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2.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omments13.xml" ContentType="application/vnd.openxmlformats-officedocument.spreadsheetml.comments+xml"/>
  <Override PartName="/xl/drawings/drawing22.xml" ContentType="application/vnd.openxmlformats-officedocument.drawing+xml"/>
  <Override PartName="/xl/comments14.xml" ContentType="application/vnd.openxmlformats-officedocument.spreadsheetml.comments+xml"/>
  <Override PartName="/xl/drawings/drawing23.xml" ContentType="application/vnd.openxmlformats-officedocument.drawing+xml"/>
  <Override PartName="/xl/comments15.xml" ContentType="application/vnd.openxmlformats-officedocument.spreadsheetml.comments+xml"/>
  <Override PartName="/xl/drawings/drawing24.xml" ContentType="application/vnd.openxmlformats-officedocument.drawing+xml"/>
  <Override PartName="/xl/comments16.xml" ContentType="application/vnd.openxmlformats-officedocument.spreadsheetml.comments+xml"/>
  <Override PartName="/xl/drawings/drawing25.xml" ContentType="application/vnd.openxmlformats-officedocument.drawing+xml"/>
  <Override PartName="/xl/comments17.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comments18.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19.xml" ContentType="application/vnd.openxmlformats-officedocument.spreadsheetml.comments+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comments21.xml" ContentType="application/vnd.openxmlformats-officedocument.spreadsheetml.comments+xml"/>
  <Override PartName="/xl/drawings/drawing34.xml" ContentType="application/vnd.openxmlformats-officedocument.drawing+xml"/>
  <Override PartName="/xl/comments22.xml" ContentType="application/vnd.openxmlformats-officedocument.spreadsheetml.comments+xml"/>
  <Override PartName="/xl/drawings/drawing35.xml" ContentType="application/vnd.openxmlformats-officedocument.drawing+xml"/>
  <Override PartName="/xl/comments23.xml" ContentType="application/vnd.openxmlformats-officedocument.spreadsheetml.comments+xml"/>
  <Override PartName="/xl/drawings/drawing36.xml" ContentType="application/vnd.openxmlformats-officedocument.drawing+xml"/>
  <Override PartName="/xl/comments24.xml" ContentType="application/vnd.openxmlformats-officedocument.spreadsheetml.comments+xml"/>
  <Override PartName="/xl/drawings/drawing37.xml" ContentType="application/vnd.openxmlformats-officedocument.drawing+xml"/>
  <Override PartName="/xl/comments25.xml" ContentType="application/vnd.openxmlformats-officedocument.spreadsheetml.comments+xml"/>
  <Override PartName="/xl/drawings/drawing38.xml" ContentType="application/vnd.openxmlformats-officedocument.drawing+xml"/>
  <Override PartName="/xl/comments26.xml" ContentType="application/vnd.openxmlformats-officedocument.spreadsheetml.comments+xml"/>
  <Override PartName="/xl/drawings/drawing39.xml" ContentType="application/vnd.openxmlformats-officedocument.drawing+xml"/>
  <Override PartName="/xl/comments27.xml" ContentType="application/vnd.openxmlformats-officedocument.spreadsheetml.comments+xml"/>
  <Override PartName="/xl/drawings/drawing40.xml" ContentType="application/vnd.openxmlformats-officedocument.drawing+xml"/>
  <Override PartName="/xl/drawings/drawing41.xml" ContentType="application/vnd.openxmlformats-officedocument.drawing+xml"/>
  <Override PartName="/xl/comments28.xml" ContentType="application/vnd.openxmlformats-officedocument.spreadsheetml.comments+xml"/>
  <Override PartName="/xl/drawings/drawing42.xml" ContentType="application/vnd.openxmlformats-officedocument.drawing+xml"/>
  <Override PartName="/xl/comments29.xml" ContentType="application/vnd.openxmlformats-officedocument.spreadsheetml.comments+xml"/>
  <Override PartName="/xl/drawings/drawing43.xml" ContentType="application/vnd.openxmlformats-officedocument.drawing+xml"/>
  <Override PartName="/xl/comments30.xml" ContentType="application/vnd.openxmlformats-officedocument.spreadsheetml.comments+xml"/>
  <Override PartName="/xl/drawings/drawing44.xml" ContentType="application/vnd.openxmlformats-officedocument.drawing+xml"/>
  <Override PartName="/xl/drawings/drawing45.xml" ContentType="application/vnd.openxmlformats-officedocument.drawing+xml"/>
  <Override PartName="/xl/comments31.xml" ContentType="application/vnd.openxmlformats-officedocument.spreadsheetml.comments+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backupFile="1" codeName="EstaPastaDeTrabalho"/>
  <mc:AlternateContent xmlns:mc="http://schemas.openxmlformats.org/markup-compatibility/2006">
    <mc:Choice Requires="x15">
      <x15ac:absPath xmlns:x15ac="http://schemas.microsoft.com/office/spreadsheetml/2010/11/ac" url="C:\IR FORCE\Série Histórica\"/>
    </mc:Choice>
  </mc:AlternateContent>
  <xr:revisionPtr revIDLastSave="0" documentId="13_ncr:1_{DE2F45EF-9930-4273-9E9C-7375FAC974FA}" xr6:coauthVersionLast="47" xr6:coauthVersionMax="47" xr10:uidLastSave="{00000000-0000-0000-0000-000000000000}"/>
  <bookViews>
    <workbookView xWindow="-120" yWindow="-120" windowWidth="29040" windowHeight="15720" tabRatio="830" activeTab="14" xr2:uid="{00000000-000D-0000-FFFF-FFFF00000000}"/>
  </bookViews>
  <sheets>
    <sheet name="Menu" sheetId="8" r:id="rId1"/>
    <sheet name="Análise Rápida" sheetId="83" r:id="rId2"/>
    <sheet name="Dados Operacionais Auto" sheetId="84" r:id="rId3"/>
    <sheet name="BP" sheetId="3" r:id="rId4"/>
    <sheet name="DRE" sheetId="2" r:id="rId5"/>
    <sheet name="Auto" sheetId="1" r:id="rId6"/>
    <sheet name="LI" sheetId="10" r:id="rId7"/>
    <sheet name="Consolidado" sheetId="12" r:id="rId8"/>
    <sheet name="DFC" sheetId="63" r:id="rId9"/>
    <sheet name="DVA" sheetId="67" r:id="rId10"/>
    <sheet name="DMPL" sheetId="79" r:id="rId11"/>
    <sheet name="Indicadores" sheetId="9" r:id="rId12"/>
    <sheet name="Dividendos" sheetId="76" r:id="rId13"/>
    <sheet name="Estimativas" sheetId="73" r:id="rId14"/>
    <sheet name="Dados Mercado" sheetId="77" r:id="rId15"/>
    <sheet name="Anexos" sheetId="13" r:id="rId16"/>
    <sheet name="Análise de Sensibilidade" sheetId="24" r:id="rId17"/>
    <sheet name="Risco de Liquidez" sheetId="23" r:id="rId18"/>
    <sheet name="Gestão de Capital" sheetId="26" r:id="rId19"/>
    <sheet name="Caixa e Equivalente de Caixa" sheetId="29" r:id="rId20"/>
    <sheet name="Contas a Receber" sheetId="30" r:id="rId21"/>
    <sheet name="Contas a Receber Aging" sheetId="31" r:id="rId22"/>
    <sheet name="Contas a Receber Mov PDD" sheetId="32" r:id="rId23"/>
    <sheet name="Demais Contas a Receber" sheetId="61" r:id="rId24"/>
    <sheet name="Impostos a Recuperar" sheetId="33" r:id="rId25"/>
    <sheet name="Investimentos A" sheetId="34" r:id="rId26"/>
    <sheet name="Investimentos C" sheetId="36" r:id="rId27"/>
    <sheet name="Investimentos E" sheetId="38" r:id="rId28"/>
    <sheet name="Investimentos F" sheetId="39" r:id="rId29"/>
    <sheet name="Imobilizado " sheetId="42" r:id="rId30"/>
    <sheet name="Empréstimos e Financiamentos" sheetId="44" r:id="rId31"/>
    <sheet name="Intangível" sheetId="85" r:id="rId32"/>
    <sheet name="Salários e Encargos Sociais" sheetId="45" r:id="rId33"/>
    <sheet name="Riscos Judiciais" sheetId="46" r:id="rId34"/>
    <sheet name="Despesas de IR e CSLL" sheetId="72" r:id="rId35"/>
    <sheet name="Demais Contas a Pagar" sheetId="49" r:id="rId36"/>
    <sheet name="Outras receitas e despesas" sheetId="52" r:id="rId37"/>
    <sheet name="Receita" sheetId="53" r:id="rId38"/>
    <sheet name="Despesas por Natureza" sheetId="71" r:id="rId39"/>
    <sheet name="IR e CS Diferidos" sheetId="48" r:id="rId40"/>
    <sheet name="Despesas por Natureza 1" sheetId="65" r:id="rId41"/>
    <sheet name="Resultado Financeiro" sheetId="55" r:id="rId42"/>
    <sheet name="Remuneração Administração" sheetId="66" r:id="rId43"/>
    <sheet name="Arrendamento Operacional" sheetId="59" r:id="rId44"/>
    <sheet name="Partes Relacionadas" sheetId="68" r:id="rId45"/>
    <sheet name="Direito de Uso" sheetId="80" r:id="rId46"/>
    <sheet name="Arrendamento Mercantil" sheetId="81" r:id="rId47"/>
    <sheet name="Operações Descontinuadas" sheetId="60" r:id="rId48"/>
    <sheet name="Regras de Atualização" sheetId="86" state="hidden" r:id="rId49"/>
  </sheets>
  <externalReferences>
    <externalReference r:id="rId50"/>
    <externalReference r:id="rId51"/>
    <externalReference r:id="rId52"/>
    <externalReference r:id="rId53"/>
    <externalReference r:id="rId54"/>
    <externalReference r:id="rId55"/>
  </externalReferences>
  <definedNames>
    <definedName name="\a" localSheetId="2">#REF!</definedName>
    <definedName name="\a" localSheetId="31">#REF!</definedName>
    <definedName name="\a">#REF!</definedName>
    <definedName name="\b" localSheetId="2">#REF!</definedName>
    <definedName name="\b">#REF!</definedName>
    <definedName name="\c" localSheetId="2">#REF!</definedName>
    <definedName name="\c">#REF!</definedName>
    <definedName name="\d" localSheetId="2">#REF!</definedName>
    <definedName name="\d">#REF!</definedName>
    <definedName name="\e" localSheetId="2">#REF!</definedName>
    <definedName name="\e">#REF!</definedName>
    <definedName name="\f" localSheetId="2">#REF!</definedName>
    <definedName name="\f">#REF!</definedName>
    <definedName name="\g" localSheetId="2">#REF!</definedName>
    <definedName name="\g">#REF!</definedName>
    <definedName name="\m" localSheetId="2">#REF!</definedName>
    <definedName name="\m">#REF!</definedName>
    <definedName name="\p" localSheetId="2">#REF!</definedName>
    <definedName name="\p">#REF!</definedName>
    <definedName name="\t" localSheetId="2">#REF!</definedName>
    <definedName name="\t">#REF!</definedName>
    <definedName name="\z" localSheetId="2">#REF!</definedName>
    <definedName name="\z">#REF!</definedName>
    <definedName name="_______________________________________________________fl1111" localSheetId="15" hidden="1">{"Fecha_Novembro",#N/A,FALSE,"FECHAMENTO-2002 ";"Defer_Novembro",#N/A,FALSE,"DIFERIDO";"Pis_Novembro",#N/A,FALSE,"PIS COFINS";"Iss_Novembro",#N/A,FALSE,"ISS"}</definedName>
    <definedName name="_______________________________________________________fl1111" localSheetId="14" hidden="1">{"Fecha_Novembro",#N/A,FALSE,"FECHAMENTO-2002 ";"Defer_Novembro",#N/A,FALSE,"DIFERIDO";"Pis_Novembro",#N/A,FALSE,"PIS COFINS";"Iss_Novembro",#N/A,FALSE,"ISS"}</definedName>
    <definedName name="_______________________________________________________fl1111" localSheetId="2" hidden="1">{"Fecha_Novembro",#N/A,FALSE,"FECHAMENTO-2002 ";"Defer_Novembro",#N/A,FALSE,"DIFERIDO";"Pis_Novembro",#N/A,FALSE,"PIS COFINS";"Iss_Novembro",#N/A,FALSE,"ISS"}</definedName>
    <definedName name="_______________________________________________________fl1111" localSheetId="34" hidden="1">{"Fecha_Novembro",#N/A,FALSE,"FECHAMENTO-2002 ";"Defer_Novembro",#N/A,FALSE,"DIFERIDO";"Pis_Novembro",#N/A,FALSE,"PIS COFINS";"Iss_Novembro",#N/A,FALSE,"ISS"}</definedName>
    <definedName name="_______________________________________________________fl1111" localSheetId="38" hidden="1">{"Fecha_Novembro",#N/A,FALSE,"FECHAMENTO-2002 ";"Defer_Novembro",#N/A,FALSE,"DIFERIDO";"Pis_Novembro",#N/A,FALSE,"PIS COFINS";"Iss_Novembro",#N/A,FALSE,"ISS"}</definedName>
    <definedName name="_______________________________________________________fl1111" localSheetId="8" hidden="1">{"Fecha_Novembro",#N/A,FALSE,"FECHAMENTO-2002 ";"Defer_Novembro",#N/A,FALSE,"DIFERIDO";"Pis_Novembro",#N/A,FALSE,"PIS COFINS";"Iss_Novembro",#N/A,FALSE,"ISS"}</definedName>
    <definedName name="_______________________________________________________fl1111" localSheetId="12" hidden="1">{"Fecha_Novembro",#N/A,FALSE,"FECHAMENTO-2002 ";"Defer_Novembro",#N/A,FALSE,"DIFERIDO";"Pis_Novembro",#N/A,FALSE,"PIS COFINS";"Iss_Novembro",#N/A,FALSE,"ISS"}</definedName>
    <definedName name="_______________________________________________________fl1111" localSheetId="13" hidden="1">{"Fecha_Novembro",#N/A,FALSE,"FECHAMENTO-2002 ";"Defer_Novembro",#N/A,FALSE,"DIFERIDO";"Pis_Novembro",#N/A,FALSE,"PIS COFINS";"Iss_Novembro",#N/A,FALSE,"ISS"}</definedName>
    <definedName name="_______________________________________________________fl1111" localSheetId="11" hidden="1">{"Fecha_Novembro",#N/A,FALSE,"FECHAMENTO-2002 ";"Defer_Novembro",#N/A,FALSE,"DIFERIDO";"Pis_Novembro",#N/A,FALSE,"PIS COFINS";"Iss_Novembro",#N/A,FALSE,"ISS"}</definedName>
    <definedName name="_______________________________________________________fl1111" localSheetId="31" hidden="1">{"Fecha_Novembro",#N/A,FALSE,"FECHAMENTO-2002 ";"Defer_Novembro",#N/A,FALSE,"DIFERIDO";"Pis_Novembro",#N/A,FALSE,"PIS COFINS";"Iss_Novembro",#N/A,FALSE,"ISS"}</definedName>
    <definedName name="_______________________________________________________fl1111" localSheetId="48" hidden="1">{"Fecha_Novembro",#N/A,FALSE,"FECHAMENTO-2002 ";"Defer_Novembro",#N/A,FALSE,"DIFERIDO";"Pis_Novembro",#N/A,FALSE,"PIS COFINS";"Iss_Novembro",#N/A,FALSE,"ISS"}</definedName>
    <definedName name="_______________________________________________________fl1111" hidden="1">{"Fecha_Novembro",#N/A,FALSE,"FECHAMENTO-2002 ";"Defer_Novembro",#N/A,FALSE,"DIFERIDO";"Pis_Novembro",#N/A,FALSE,"PIS COFINS";"Iss_Novembro",#N/A,FALSE,"ISS"}</definedName>
    <definedName name="___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fl1111" localSheetId="15" hidden="1">{"Fecha_Novembro",#N/A,FALSE,"FECHAMENTO-2002 ";"Defer_Novembro",#N/A,FALSE,"DIFERIDO";"Pis_Novembro",#N/A,FALSE,"PIS COFINS";"Iss_Novembro",#N/A,FALSE,"ISS"}</definedName>
    <definedName name="_____________________________________________________fl1111" localSheetId="14" hidden="1">{"Fecha_Novembro",#N/A,FALSE,"FECHAMENTO-2002 ";"Defer_Novembro",#N/A,FALSE,"DIFERIDO";"Pis_Novembro",#N/A,FALSE,"PIS COFINS";"Iss_Novembro",#N/A,FALSE,"ISS"}</definedName>
    <definedName name="_____________________________________________________fl1111" localSheetId="2" hidden="1">{"Fecha_Novembro",#N/A,FALSE,"FECHAMENTO-2002 ";"Defer_Novembro",#N/A,FALSE,"DIFERIDO";"Pis_Novembro",#N/A,FALSE,"PIS COFINS";"Iss_Novembro",#N/A,FALSE,"ISS"}</definedName>
    <definedName name="_____________________________________________________fl1111" localSheetId="34" hidden="1">{"Fecha_Novembro",#N/A,FALSE,"FECHAMENTO-2002 ";"Defer_Novembro",#N/A,FALSE,"DIFERIDO";"Pis_Novembro",#N/A,FALSE,"PIS COFINS";"Iss_Novembro",#N/A,FALSE,"ISS"}</definedName>
    <definedName name="_____________________________________________________fl1111" localSheetId="38" hidden="1">{"Fecha_Novembro",#N/A,FALSE,"FECHAMENTO-2002 ";"Defer_Novembro",#N/A,FALSE,"DIFERIDO";"Pis_Novembro",#N/A,FALSE,"PIS COFINS";"Iss_Novembro",#N/A,FALSE,"ISS"}</definedName>
    <definedName name="_____________________________________________________fl1111" localSheetId="8" hidden="1">{"Fecha_Novembro",#N/A,FALSE,"FECHAMENTO-2002 ";"Defer_Novembro",#N/A,FALSE,"DIFERIDO";"Pis_Novembro",#N/A,FALSE,"PIS COFINS";"Iss_Novembro",#N/A,FALSE,"ISS"}</definedName>
    <definedName name="_____________________________________________________fl1111" localSheetId="12" hidden="1">{"Fecha_Novembro",#N/A,FALSE,"FECHAMENTO-2002 ";"Defer_Novembro",#N/A,FALSE,"DIFERIDO";"Pis_Novembro",#N/A,FALSE,"PIS COFINS";"Iss_Novembro",#N/A,FALSE,"ISS"}</definedName>
    <definedName name="_____________________________________________________fl1111" localSheetId="13" hidden="1">{"Fecha_Novembro",#N/A,FALSE,"FECHAMENTO-2002 ";"Defer_Novembro",#N/A,FALSE,"DIFERIDO";"Pis_Novembro",#N/A,FALSE,"PIS COFINS";"Iss_Novembro",#N/A,FALSE,"ISS"}</definedName>
    <definedName name="_____________________________________________________fl1111" localSheetId="11" hidden="1">{"Fecha_Novembro",#N/A,FALSE,"FECHAMENTO-2002 ";"Defer_Novembro",#N/A,FALSE,"DIFERIDO";"Pis_Novembro",#N/A,FALSE,"PIS COFINS";"Iss_Novembro",#N/A,FALSE,"ISS"}</definedName>
    <definedName name="_____________________________________________________fl1111" localSheetId="31" hidden="1">{"Fecha_Novembro",#N/A,FALSE,"FECHAMENTO-2002 ";"Defer_Novembro",#N/A,FALSE,"DIFERIDO";"Pis_Novembro",#N/A,FALSE,"PIS COFINS";"Iss_Novembro",#N/A,FALSE,"ISS"}</definedName>
    <definedName name="_____________________________________________________fl1111" localSheetId="48" hidden="1">{"Fecha_Novembro",#N/A,FALSE,"FECHAMENTO-2002 ";"Defer_Novembro",#N/A,FALSE,"DIFERIDO";"Pis_Novembro",#N/A,FALSE,"PIS COFINS";"Iss_Novembro",#N/A,FALSE,"ISS"}</definedName>
    <definedName name="_____________________________________________________fl1111" hidden="1">{"Fecha_Novembro",#N/A,FALSE,"FECHAMENTO-2002 ";"Defer_Novembro",#N/A,FALSE,"DIFERIDO";"Pis_Novembro",#N/A,FALSE,"PIS COFINS";"Iss_Novembro",#N/A,FALSE,"ISS"}</definedName>
    <definedName name="_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fl1111" localSheetId="15" hidden="1">{"Fecha_Novembro",#N/A,FALSE,"FECHAMENTO-2002 ";"Defer_Novembro",#N/A,FALSE,"DIFERIDO";"Pis_Novembro",#N/A,FALSE,"PIS COFINS";"Iss_Novembro",#N/A,FALSE,"ISS"}</definedName>
    <definedName name="____________________________________________________fl1111" localSheetId="14" hidden="1">{"Fecha_Novembro",#N/A,FALSE,"FECHAMENTO-2002 ";"Defer_Novembro",#N/A,FALSE,"DIFERIDO";"Pis_Novembro",#N/A,FALSE,"PIS COFINS";"Iss_Novembro",#N/A,FALSE,"ISS"}</definedName>
    <definedName name="____________________________________________________fl1111" localSheetId="2" hidden="1">{"Fecha_Novembro",#N/A,FALSE,"FECHAMENTO-2002 ";"Defer_Novembro",#N/A,FALSE,"DIFERIDO";"Pis_Novembro",#N/A,FALSE,"PIS COFINS";"Iss_Novembro",#N/A,FALSE,"ISS"}</definedName>
    <definedName name="____________________________________________________fl1111" localSheetId="34" hidden="1">{"Fecha_Novembro",#N/A,FALSE,"FECHAMENTO-2002 ";"Defer_Novembro",#N/A,FALSE,"DIFERIDO";"Pis_Novembro",#N/A,FALSE,"PIS COFINS";"Iss_Novembro",#N/A,FALSE,"ISS"}</definedName>
    <definedName name="____________________________________________________fl1111" localSheetId="38" hidden="1">{"Fecha_Novembro",#N/A,FALSE,"FECHAMENTO-2002 ";"Defer_Novembro",#N/A,FALSE,"DIFERIDO";"Pis_Novembro",#N/A,FALSE,"PIS COFINS";"Iss_Novembro",#N/A,FALSE,"ISS"}</definedName>
    <definedName name="____________________________________________________fl1111" localSheetId="8" hidden="1">{"Fecha_Novembro",#N/A,FALSE,"FECHAMENTO-2002 ";"Defer_Novembro",#N/A,FALSE,"DIFERIDO";"Pis_Novembro",#N/A,FALSE,"PIS COFINS";"Iss_Novembro",#N/A,FALSE,"ISS"}</definedName>
    <definedName name="____________________________________________________fl1111" localSheetId="12" hidden="1">{"Fecha_Novembro",#N/A,FALSE,"FECHAMENTO-2002 ";"Defer_Novembro",#N/A,FALSE,"DIFERIDO";"Pis_Novembro",#N/A,FALSE,"PIS COFINS";"Iss_Novembro",#N/A,FALSE,"ISS"}</definedName>
    <definedName name="____________________________________________________fl1111" localSheetId="13" hidden="1">{"Fecha_Novembro",#N/A,FALSE,"FECHAMENTO-2002 ";"Defer_Novembro",#N/A,FALSE,"DIFERIDO";"Pis_Novembro",#N/A,FALSE,"PIS COFINS";"Iss_Novembro",#N/A,FALSE,"ISS"}</definedName>
    <definedName name="____________________________________________________fl1111" localSheetId="11" hidden="1">{"Fecha_Novembro",#N/A,FALSE,"FECHAMENTO-2002 ";"Defer_Novembro",#N/A,FALSE,"DIFERIDO";"Pis_Novembro",#N/A,FALSE,"PIS COFINS";"Iss_Novembro",#N/A,FALSE,"ISS"}</definedName>
    <definedName name="____________________________________________________fl1111" localSheetId="31" hidden="1">{"Fecha_Novembro",#N/A,FALSE,"FECHAMENTO-2002 ";"Defer_Novembro",#N/A,FALSE,"DIFERIDO";"Pis_Novembro",#N/A,FALSE,"PIS COFINS";"Iss_Novembro",#N/A,FALSE,"ISS"}</definedName>
    <definedName name="____________________________________________________fl1111" localSheetId="48" hidden="1">{"Fecha_Novembro",#N/A,FALSE,"FECHAMENTO-2002 ";"Defer_Novembro",#N/A,FALSE,"DIFERIDO";"Pis_Novembro",#N/A,FALSE,"PIS COFINS";"Iss_Novembro",#N/A,FALSE,"ISS"}</definedName>
    <definedName name="____________________________________________________fl1111" hidden="1">{"Fecha_Novembro",#N/A,FALSE,"FECHAMENTO-2002 ";"Defer_Novembro",#N/A,FALSE,"DIFERIDO";"Pis_Novembro",#N/A,FALSE,"PIS COFINS";"Iss_Novembro",#N/A,FALSE,"ISS"}</definedName>
    <definedName name="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fl1111" localSheetId="15" hidden="1">{"Fecha_Novembro",#N/A,FALSE,"FECHAMENTO-2002 ";"Defer_Novembro",#N/A,FALSE,"DIFERIDO";"Pis_Novembro",#N/A,FALSE,"PIS COFINS";"Iss_Novembro",#N/A,FALSE,"ISS"}</definedName>
    <definedName name="___________________________________________________fl1111" localSheetId="14" hidden="1">{"Fecha_Novembro",#N/A,FALSE,"FECHAMENTO-2002 ";"Defer_Novembro",#N/A,FALSE,"DIFERIDO";"Pis_Novembro",#N/A,FALSE,"PIS COFINS";"Iss_Novembro",#N/A,FALSE,"ISS"}</definedName>
    <definedName name="___________________________________________________fl1111" localSheetId="2" hidden="1">{"Fecha_Novembro",#N/A,FALSE,"FECHAMENTO-2002 ";"Defer_Novembro",#N/A,FALSE,"DIFERIDO";"Pis_Novembro",#N/A,FALSE,"PIS COFINS";"Iss_Novembro",#N/A,FALSE,"ISS"}</definedName>
    <definedName name="___________________________________________________fl1111" localSheetId="34" hidden="1">{"Fecha_Novembro",#N/A,FALSE,"FECHAMENTO-2002 ";"Defer_Novembro",#N/A,FALSE,"DIFERIDO";"Pis_Novembro",#N/A,FALSE,"PIS COFINS";"Iss_Novembro",#N/A,FALSE,"ISS"}</definedName>
    <definedName name="___________________________________________________fl1111" localSheetId="38" hidden="1">{"Fecha_Novembro",#N/A,FALSE,"FECHAMENTO-2002 ";"Defer_Novembro",#N/A,FALSE,"DIFERIDO";"Pis_Novembro",#N/A,FALSE,"PIS COFINS";"Iss_Novembro",#N/A,FALSE,"ISS"}</definedName>
    <definedName name="___________________________________________________fl1111" localSheetId="8" hidden="1">{"Fecha_Novembro",#N/A,FALSE,"FECHAMENTO-2002 ";"Defer_Novembro",#N/A,FALSE,"DIFERIDO";"Pis_Novembro",#N/A,FALSE,"PIS COFINS";"Iss_Novembro",#N/A,FALSE,"ISS"}</definedName>
    <definedName name="___________________________________________________fl1111" localSheetId="12" hidden="1">{"Fecha_Novembro",#N/A,FALSE,"FECHAMENTO-2002 ";"Defer_Novembro",#N/A,FALSE,"DIFERIDO";"Pis_Novembro",#N/A,FALSE,"PIS COFINS";"Iss_Novembro",#N/A,FALSE,"ISS"}</definedName>
    <definedName name="___________________________________________________fl1111" localSheetId="13" hidden="1">{"Fecha_Novembro",#N/A,FALSE,"FECHAMENTO-2002 ";"Defer_Novembro",#N/A,FALSE,"DIFERIDO";"Pis_Novembro",#N/A,FALSE,"PIS COFINS";"Iss_Novembro",#N/A,FALSE,"ISS"}</definedName>
    <definedName name="___________________________________________________fl1111" localSheetId="11" hidden="1">{"Fecha_Novembro",#N/A,FALSE,"FECHAMENTO-2002 ";"Defer_Novembro",#N/A,FALSE,"DIFERIDO";"Pis_Novembro",#N/A,FALSE,"PIS COFINS";"Iss_Novembro",#N/A,FALSE,"ISS"}</definedName>
    <definedName name="___________________________________________________fl1111" localSheetId="31" hidden="1">{"Fecha_Novembro",#N/A,FALSE,"FECHAMENTO-2002 ";"Defer_Novembro",#N/A,FALSE,"DIFERIDO";"Pis_Novembro",#N/A,FALSE,"PIS COFINS";"Iss_Novembro",#N/A,FALSE,"ISS"}</definedName>
    <definedName name="___________________________________________________fl1111" localSheetId="48" hidden="1">{"Fecha_Novembro",#N/A,FALSE,"FECHAMENTO-2002 ";"Defer_Novembro",#N/A,FALSE,"DIFERIDO";"Pis_Novembro",#N/A,FALSE,"PIS COFINS";"Iss_Novembro",#N/A,FALSE,"ISS"}</definedName>
    <definedName name="___________________________________________________fl1111" hidden="1">{"Fecha_Novembro",#N/A,FALSE,"FECHAMENTO-2002 ";"Defer_Novembro",#N/A,FALSE,"DIFERIDO";"Pis_Novembro",#N/A,FALSE,"PIS COFINS";"Iss_Novembro",#N/A,FALSE,"ISS"}</definedName>
    <definedName name="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fl1111" localSheetId="15" hidden="1">{"Fecha_Novembro",#N/A,FALSE,"FECHAMENTO-2002 ";"Defer_Novembro",#N/A,FALSE,"DIFERIDO";"Pis_Novembro",#N/A,FALSE,"PIS COFINS";"Iss_Novembro",#N/A,FALSE,"ISS"}</definedName>
    <definedName name="__________________________________________________fl1111" localSheetId="14" hidden="1">{"Fecha_Novembro",#N/A,FALSE,"FECHAMENTO-2002 ";"Defer_Novembro",#N/A,FALSE,"DIFERIDO";"Pis_Novembro",#N/A,FALSE,"PIS COFINS";"Iss_Novembro",#N/A,FALSE,"ISS"}</definedName>
    <definedName name="__________________________________________________fl1111" localSheetId="2" hidden="1">{"Fecha_Novembro",#N/A,FALSE,"FECHAMENTO-2002 ";"Defer_Novembro",#N/A,FALSE,"DIFERIDO";"Pis_Novembro",#N/A,FALSE,"PIS COFINS";"Iss_Novembro",#N/A,FALSE,"ISS"}</definedName>
    <definedName name="__________________________________________________fl1111" localSheetId="34" hidden="1">{"Fecha_Novembro",#N/A,FALSE,"FECHAMENTO-2002 ";"Defer_Novembro",#N/A,FALSE,"DIFERIDO";"Pis_Novembro",#N/A,FALSE,"PIS COFINS";"Iss_Novembro",#N/A,FALSE,"ISS"}</definedName>
    <definedName name="__________________________________________________fl1111" localSheetId="38" hidden="1">{"Fecha_Novembro",#N/A,FALSE,"FECHAMENTO-2002 ";"Defer_Novembro",#N/A,FALSE,"DIFERIDO";"Pis_Novembro",#N/A,FALSE,"PIS COFINS";"Iss_Novembro",#N/A,FALSE,"ISS"}</definedName>
    <definedName name="__________________________________________________fl1111" localSheetId="8" hidden="1">{"Fecha_Novembro",#N/A,FALSE,"FECHAMENTO-2002 ";"Defer_Novembro",#N/A,FALSE,"DIFERIDO";"Pis_Novembro",#N/A,FALSE,"PIS COFINS";"Iss_Novembro",#N/A,FALSE,"ISS"}</definedName>
    <definedName name="__________________________________________________fl1111" localSheetId="12" hidden="1">{"Fecha_Novembro",#N/A,FALSE,"FECHAMENTO-2002 ";"Defer_Novembro",#N/A,FALSE,"DIFERIDO";"Pis_Novembro",#N/A,FALSE,"PIS COFINS";"Iss_Novembro",#N/A,FALSE,"ISS"}</definedName>
    <definedName name="__________________________________________________fl1111" localSheetId="13" hidden="1">{"Fecha_Novembro",#N/A,FALSE,"FECHAMENTO-2002 ";"Defer_Novembro",#N/A,FALSE,"DIFERIDO";"Pis_Novembro",#N/A,FALSE,"PIS COFINS";"Iss_Novembro",#N/A,FALSE,"ISS"}</definedName>
    <definedName name="__________________________________________________fl1111" localSheetId="11" hidden="1">{"Fecha_Novembro",#N/A,FALSE,"FECHAMENTO-2002 ";"Defer_Novembro",#N/A,FALSE,"DIFERIDO";"Pis_Novembro",#N/A,FALSE,"PIS COFINS";"Iss_Novembro",#N/A,FALSE,"ISS"}</definedName>
    <definedName name="__________________________________________________fl1111" localSheetId="31" hidden="1">{"Fecha_Novembro",#N/A,FALSE,"FECHAMENTO-2002 ";"Defer_Novembro",#N/A,FALSE,"DIFERIDO";"Pis_Novembro",#N/A,FALSE,"PIS COFINS";"Iss_Novembro",#N/A,FALSE,"ISS"}</definedName>
    <definedName name="__________________________________________________fl1111" localSheetId="48" hidden="1">{"Fecha_Novembro",#N/A,FALSE,"FECHAMENTO-2002 ";"Defer_Novembro",#N/A,FALSE,"DIFERIDO";"Pis_Novembro",#N/A,FALSE,"PIS COFINS";"Iss_Novembro",#N/A,FALSE,"ISS"}</definedName>
    <definedName name="__________________________________________________fl1111" hidden="1">{"Fecha_Novembro",#N/A,FALSE,"FECHAMENTO-2002 ";"Defer_Novembro",#N/A,FALSE,"DIFERIDO";"Pis_Novembro",#N/A,FALSE,"PIS COFINS";"Iss_Novembro",#N/A,FALSE,"ISS"}</definedName>
    <definedName name="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fl1111" localSheetId="15" hidden="1">{"Fecha_Novembro",#N/A,FALSE,"FECHAMENTO-2002 ";"Defer_Novembro",#N/A,FALSE,"DIFERIDO";"Pis_Novembro",#N/A,FALSE,"PIS COFINS";"Iss_Novembro",#N/A,FALSE,"ISS"}</definedName>
    <definedName name="_________________________________________________fl1111" localSheetId="14" hidden="1">{"Fecha_Novembro",#N/A,FALSE,"FECHAMENTO-2002 ";"Defer_Novembro",#N/A,FALSE,"DIFERIDO";"Pis_Novembro",#N/A,FALSE,"PIS COFINS";"Iss_Novembro",#N/A,FALSE,"ISS"}</definedName>
    <definedName name="_________________________________________________fl1111" localSheetId="2" hidden="1">{"Fecha_Novembro",#N/A,FALSE,"FECHAMENTO-2002 ";"Defer_Novembro",#N/A,FALSE,"DIFERIDO";"Pis_Novembro",#N/A,FALSE,"PIS COFINS";"Iss_Novembro",#N/A,FALSE,"ISS"}</definedName>
    <definedName name="_________________________________________________fl1111" localSheetId="34" hidden="1">{"Fecha_Novembro",#N/A,FALSE,"FECHAMENTO-2002 ";"Defer_Novembro",#N/A,FALSE,"DIFERIDO";"Pis_Novembro",#N/A,FALSE,"PIS COFINS";"Iss_Novembro",#N/A,FALSE,"ISS"}</definedName>
    <definedName name="_________________________________________________fl1111" localSheetId="38" hidden="1">{"Fecha_Novembro",#N/A,FALSE,"FECHAMENTO-2002 ";"Defer_Novembro",#N/A,FALSE,"DIFERIDO";"Pis_Novembro",#N/A,FALSE,"PIS COFINS";"Iss_Novembro",#N/A,FALSE,"ISS"}</definedName>
    <definedName name="_________________________________________________fl1111" localSheetId="8" hidden="1">{"Fecha_Novembro",#N/A,FALSE,"FECHAMENTO-2002 ";"Defer_Novembro",#N/A,FALSE,"DIFERIDO";"Pis_Novembro",#N/A,FALSE,"PIS COFINS";"Iss_Novembro",#N/A,FALSE,"ISS"}</definedName>
    <definedName name="_________________________________________________fl1111" localSheetId="12" hidden="1">{"Fecha_Novembro",#N/A,FALSE,"FECHAMENTO-2002 ";"Defer_Novembro",#N/A,FALSE,"DIFERIDO";"Pis_Novembro",#N/A,FALSE,"PIS COFINS";"Iss_Novembro",#N/A,FALSE,"ISS"}</definedName>
    <definedName name="_________________________________________________fl1111" localSheetId="13" hidden="1">{"Fecha_Novembro",#N/A,FALSE,"FECHAMENTO-2002 ";"Defer_Novembro",#N/A,FALSE,"DIFERIDO";"Pis_Novembro",#N/A,FALSE,"PIS COFINS";"Iss_Novembro",#N/A,FALSE,"ISS"}</definedName>
    <definedName name="_________________________________________________fl1111" localSheetId="11" hidden="1">{"Fecha_Novembro",#N/A,FALSE,"FECHAMENTO-2002 ";"Defer_Novembro",#N/A,FALSE,"DIFERIDO";"Pis_Novembro",#N/A,FALSE,"PIS COFINS";"Iss_Novembro",#N/A,FALSE,"ISS"}</definedName>
    <definedName name="_________________________________________________fl1111" localSheetId="31" hidden="1">{"Fecha_Novembro",#N/A,FALSE,"FECHAMENTO-2002 ";"Defer_Novembro",#N/A,FALSE,"DIFERIDO";"Pis_Novembro",#N/A,FALSE,"PIS COFINS";"Iss_Novembro",#N/A,FALSE,"ISS"}</definedName>
    <definedName name="_________________________________________________fl1111" localSheetId="48" hidden="1">{"Fecha_Novembro",#N/A,FALSE,"FECHAMENTO-2002 ";"Defer_Novembro",#N/A,FALSE,"DIFERIDO";"Pis_Novembro",#N/A,FALSE,"PIS COFINS";"Iss_Novembro",#N/A,FALSE,"ISS"}</definedName>
    <definedName name="_________________________________________________fl1111" hidden="1">{"Fecha_Novembro",#N/A,FALSE,"FECHAMENTO-2002 ";"Defer_Novembro",#N/A,FALSE,"DIFERIDO";"Pis_Novembro",#N/A,FALSE,"PIS COFINS";"Iss_Novembro",#N/A,FALSE,"ISS"}</definedName>
    <definedName name="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fl1111" localSheetId="15" hidden="1">{"Fecha_Novembro",#N/A,FALSE,"FECHAMENTO-2002 ";"Defer_Novembro",#N/A,FALSE,"DIFERIDO";"Pis_Novembro",#N/A,FALSE,"PIS COFINS";"Iss_Novembro",#N/A,FALSE,"ISS"}</definedName>
    <definedName name="________________________________________________fl1111" localSheetId="14" hidden="1">{"Fecha_Novembro",#N/A,FALSE,"FECHAMENTO-2002 ";"Defer_Novembro",#N/A,FALSE,"DIFERIDO";"Pis_Novembro",#N/A,FALSE,"PIS COFINS";"Iss_Novembro",#N/A,FALSE,"ISS"}</definedName>
    <definedName name="________________________________________________fl1111" localSheetId="2" hidden="1">{"Fecha_Novembro",#N/A,FALSE,"FECHAMENTO-2002 ";"Defer_Novembro",#N/A,FALSE,"DIFERIDO";"Pis_Novembro",#N/A,FALSE,"PIS COFINS";"Iss_Novembro",#N/A,FALSE,"ISS"}</definedName>
    <definedName name="________________________________________________fl1111" localSheetId="34" hidden="1">{"Fecha_Novembro",#N/A,FALSE,"FECHAMENTO-2002 ";"Defer_Novembro",#N/A,FALSE,"DIFERIDO";"Pis_Novembro",#N/A,FALSE,"PIS COFINS";"Iss_Novembro",#N/A,FALSE,"ISS"}</definedName>
    <definedName name="________________________________________________fl1111" localSheetId="38" hidden="1">{"Fecha_Novembro",#N/A,FALSE,"FECHAMENTO-2002 ";"Defer_Novembro",#N/A,FALSE,"DIFERIDO";"Pis_Novembro",#N/A,FALSE,"PIS COFINS";"Iss_Novembro",#N/A,FALSE,"ISS"}</definedName>
    <definedName name="________________________________________________fl1111" localSheetId="8" hidden="1">{"Fecha_Novembro",#N/A,FALSE,"FECHAMENTO-2002 ";"Defer_Novembro",#N/A,FALSE,"DIFERIDO";"Pis_Novembro",#N/A,FALSE,"PIS COFINS";"Iss_Novembro",#N/A,FALSE,"ISS"}</definedName>
    <definedName name="________________________________________________fl1111" localSheetId="12" hidden="1">{"Fecha_Novembro",#N/A,FALSE,"FECHAMENTO-2002 ";"Defer_Novembro",#N/A,FALSE,"DIFERIDO";"Pis_Novembro",#N/A,FALSE,"PIS COFINS";"Iss_Novembro",#N/A,FALSE,"ISS"}</definedName>
    <definedName name="________________________________________________fl1111" localSheetId="13" hidden="1">{"Fecha_Novembro",#N/A,FALSE,"FECHAMENTO-2002 ";"Defer_Novembro",#N/A,FALSE,"DIFERIDO";"Pis_Novembro",#N/A,FALSE,"PIS COFINS";"Iss_Novembro",#N/A,FALSE,"ISS"}</definedName>
    <definedName name="________________________________________________fl1111" localSheetId="11" hidden="1">{"Fecha_Novembro",#N/A,FALSE,"FECHAMENTO-2002 ";"Defer_Novembro",#N/A,FALSE,"DIFERIDO";"Pis_Novembro",#N/A,FALSE,"PIS COFINS";"Iss_Novembro",#N/A,FALSE,"ISS"}</definedName>
    <definedName name="________________________________________________fl1111" localSheetId="31" hidden="1">{"Fecha_Novembro",#N/A,FALSE,"FECHAMENTO-2002 ";"Defer_Novembro",#N/A,FALSE,"DIFERIDO";"Pis_Novembro",#N/A,FALSE,"PIS COFINS";"Iss_Novembro",#N/A,FALSE,"ISS"}</definedName>
    <definedName name="________________________________________________fl1111" localSheetId="48" hidden="1">{"Fecha_Novembro",#N/A,FALSE,"FECHAMENTO-2002 ";"Defer_Novembro",#N/A,FALSE,"DIFERIDO";"Pis_Novembro",#N/A,FALSE,"PIS COFINS";"Iss_Novembro",#N/A,FALSE,"ISS"}</definedName>
    <definedName name="________________________________________________fl1111" hidden="1">{"Fecha_Novembro",#N/A,FALSE,"FECHAMENTO-2002 ";"Defer_Novembro",#N/A,FALSE,"DIFERIDO";"Pis_Novembro",#N/A,FALSE,"PIS COFINS";"Iss_Novembro",#N/A,FALSE,"ISS"}</definedName>
    <definedName name="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fl1111" localSheetId="15" hidden="1">{"Fecha_Novembro",#N/A,FALSE,"FECHAMENTO-2002 ";"Defer_Novembro",#N/A,FALSE,"DIFERIDO";"Pis_Novembro",#N/A,FALSE,"PIS COFINS";"Iss_Novembro",#N/A,FALSE,"ISS"}</definedName>
    <definedName name="_______________________________________________fl1111" localSheetId="14" hidden="1">{"Fecha_Novembro",#N/A,FALSE,"FECHAMENTO-2002 ";"Defer_Novembro",#N/A,FALSE,"DIFERIDO";"Pis_Novembro",#N/A,FALSE,"PIS COFINS";"Iss_Novembro",#N/A,FALSE,"ISS"}</definedName>
    <definedName name="_______________________________________________fl1111" localSheetId="2" hidden="1">{"Fecha_Novembro",#N/A,FALSE,"FECHAMENTO-2002 ";"Defer_Novembro",#N/A,FALSE,"DIFERIDO";"Pis_Novembro",#N/A,FALSE,"PIS COFINS";"Iss_Novembro",#N/A,FALSE,"ISS"}</definedName>
    <definedName name="_______________________________________________fl1111" localSheetId="34" hidden="1">{"Fecha_Novembro",#N/A,FALSE,"FECHAMENTO-2002 ";"Defer_Novembro",#N/A,FALSE,"DIFERIDO";"Pis_Novembro",#N/A,FALSE,"PIS COFINS";"Iss_Novembro",#N/A,FALSE,"ISS"}</definedName>
    <definedName name="_______________________________________________fl1111" localSheetId="38" hidden="1">{"Fecha_Novembro",#N/A,FALSE,"FECHAMENTO-2002 ";"Defer_Novembro",#N/A,FALSE,"DIFERIDO";"Pis_Novembro",#N/A,FALSE,"PIS COFINS";"Iss_Novembro",#N/A,FALSE,"ISS"}</definedName>
    <definedName name="_______________________________________________fl1111" localSheetId="8" hidden="1">{"Fecha_Novembro",#N/A,FALSE,"FECHAMENTO-2002 ";"Defer_Novembro",#N/A,FALSE,"DIFERIDO";"Pis_Novembro",#N/A,FALSE,"PIS COFINS";"Iss_Novembro",#N/A,FALSE,"ISS"}</definedName>
    <definedName name="_______________________________________________fl1111" localSheetId="12" hidden="1">{"Fecha_Novembro",#N/A,FALSE,"FECHAMENTO-2002 ";"Defer_Novembro",#N/A,FALSE,"DIFERIDO";"Pis_Novembro",#N/A,FALSE,"PIS COFINS";"Iss_Novembro",#N/A,FALSE,"ISS"}</definedName>
    <definedName name="_______________________________________________fl1111" localSheetId="13" hidden="1">{"Fecha_Novembro",#N/A,FALSE,"FECHAMENTO-2002 ";"Defer_Novembro",#N/A,FALSE,"DIFERIDO";"Pis_Novembro",#N/A,FALSE,"PIS COFINS";"Iss_Novembro",#N/A,FALSE,"ISS"}</definedName>
    <definedName name="_______________________________________________fl1111" localSheetId="11" hidden="1">{"Fecha_Novembro",#N/A,FALSE,"FECHAMENTO-2002 ";"Defer_Novembro",#N/A,FALSE,"DIFERIDO";"Pis_Novembro",#N/A,FALSE,"PIS COFINS";"Iss_Novembro",#N/A,FALSE,"ISS"}</definedName>
    <definedName name="_______________________________________________fl1111" localSheetId="31" hidden="1">{"Fecha_Novembro",#N/A,FALSE,"FECHAMENTO-2002 ";"Defer_Novembro",#N/A,FALSE,"DIFERIDO";"Pis_Novembro",#N/A,FALSE,"PIS COFINS";"Iss_Novembro",#N/A,FALSE,"ISS"}</definedName>
    <definedName name="_______________________________________________fl1111" localSheetId="48" hidden="1">{"Fecha_Novembro",#N/A,FALSE,"FECHAMENTO-2002 ";"Defer_Novembro",#N/A,FALSE,"DIFERIDO";"Pis_Novembro",#N/A,FALSE,"PIS COFINS";"Iss_Novembro",#N/A,FALSE,"ISS"}</definedName>
    <definedName name="_______________________________________________fl1111" hidden="1">{"Fecha_Novembro",#N/A,FALSE,"FECHAMENTO-2002 ";"Defer_Novembro",#N/A,FALSE,"DIFERIDO";"Pis_Novembro",#N/A,FALSE,"PIS COFINS";"Iss_Novembro",#N/A,FALSE,"ISS"}</definedName>
    <definedName name="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fl1111" localSheetId="15" hidden="1">{"Fecha_Novembro",#N/A,FALSE,"FECHAMENTO-2002 ";"Defer_Novembro",#N/A,FALSE,"DIFERIDO";"Pis_Novembro",#N/A,FALSE,"PIS COFINS";"Iss_Novembro",#N/A,FALSE,"ISS"}</definedName>
    <definedName name="______________________________________________fl1111" localSheetId="14" hidden="1">{"Fecha_Novembro",#N/A,FALSE,"FECHAMENTO-2002 ";"Defer_Novembro",#N/A,FALSE,"DIFERIDO";"Pis_Novembro",#N/A,FALSE,"PIS COFINS";"Iss_Novembro",#N/A,FALSE,"ISS"}</definedName>
    <definedName name="______________________________________________fl1111" localSheetId="2" hidden="1">{"Fecha_Novembro",#N/A,FALSE,"FECHAMENTO-2002 ";"Defer_Novembro",#N/A,FALSE,"DIFERIDO";"Pis_Novembro",#N/A,FALSE,"PIS COFINS";"Iss_Novembro",#N/A,FALSE,"ISS"}</definedName>
    <definedName name="______________________________________________fl1111" localSheetId="34" hidden="1">{"Fecha_Novembro",#N/A,FALSE,"FECHAMENTO-2002 ";"Defer_Novembro",#N/A,FALSE,"DIFERIDO";"Pis_Novembro",#N/A,FALSE,"PIS COFINS";"Iss_Novembro",#N/A,FALSE,"ISS"}</definedName>
    <definedName name="______________________________________________fl1111" localSheetId="38" hidden="1">{"Fecha_Novembro",#N/A,FALSE,"FECHAMENTO-2002 ";"Defer_Novembro",#N/A,FALSE,"DIFERIDO";"Pis_Novembro",#N/A,FALSE,"PIS COFINS";"Iss_Novembro",#N/A,FALSE,"ISS"}</definedName>
    <definedName name="______________________________________________fl1111" localSheetId="8" hidden="1">{"Fecha_Novembro",#N/A,FALSE,"FECHAMENTO-2002 ";"Defer_Novembro",#N/A,FALSE,"DIFERIDO";"Pis_Novembro",#N/A,FALSE,"PIS COFINS";"Iss_Novembro",#N/A,FALSE,"ISS"}</definedName>
    <definedName name="______________________________________________fl1111" localSheetId="12" hidden="1">{"Fecha_Novembro",#N/A,FALSE,"FECHAMENTO-2002 ";"Defer_Novembro",#N/A,FALSE,"DIFERIDO";"Pis_Novembro",#N/A,FALSE,"PIS COFINS";"Iss_Novembro",#N/A,FALSE,"ISS"}</definedName>
    <definedName name="______________________________________________fl1111" localSheetId="13" hidden="1">{"Fecha_Novembro",#N/A,FALSE,"FECHAMENTO-2002 ";"Defer_Novembro",#N/A,FALSE,"DIFERIDO";"Pis_Novembro",#N/A,FALSE,"PIS COFINS";"Iss_Novembro",#N/A,FALSE,"ISS"}</definedName>
    <definedName name="______________________________________________fl1111" localSheetId="11" hidden="1">{"Fecha_Novembro",#N/A,FALSE,"FECHAMENTO-2002 ";"Defer_Novembro",#N/A,FALSE,"DIFERIDO";"Pis_Novembro",#N/A,FALSE,"PIS COFINS";"Iss_Novembro",#N/A,FALSE,"ISS"}</definedName>
    <definedName name="______________________________________________fl1111" localSheetId="31" hidden="1">{"Fecha_Novembro",#N/A,FALSE,"FECHAMENTO-2002 ";"Defer_Novembro",#N/A,FALSE,"DIFERIDO";"Pis_Novembro",#N/A,FALSE,"PIS COFINS";"Iss_Novembro",#N/A,FALSE,"ISS"}</definedName>
    <definedName name="______________________________________________fl1111" localSheetId="48" hidden="1">{"Fecha_Novembro",#N/A,FALSE,"FECHAMENTO-2002 ";"Defer_Novembro",#N/A,FALSE,"DIFERIDO";"Pis_Novembro",#N/A,FALSE,"PIS COFINS";"Iss_Novembro",#N/A,FALSE,"ISS"}</definedName>
    <definedName name="______________________________________________fl1111" hidden="1">{"Fecha_Novembro",#N/A,FALSE,"FECHAMENTO-2002 ";"Defer_Novembro",#N/A,FALSE,"DIFERIDO";"Pis_Novembro",#N/A,FALSE,"PIS COFINS";"Iss_Novembro",#N/A,FALSE,"ISS"}</definedName>
    <definedName name="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fl1111" localSheetId="15" hidden="1">{"Fecha_Novembro",#N/A,FALSE,"FECHAMENTO-2002 ";"Defer_Novembro",#N/A,FALSE,"DIFERIDO";"Pis_Novembro",#N/A,FALSE,"PIS COFINS";"Iss_Novembro",#N/A,FALSE,"ISS"}</definedName>
    <definedName name="____________________________________________fl1111" localSheetId="14" hidden="1">{"Fecha_Novembro",#N/A,FALSE,"FECHAMENTO-2002 ";"Defer_Novembro",#N/A,FALSE,"DIFERIDO";"Pis_Novembro",#N/A,FALSE,"PIS COFINS";"Iss_Novembro",#N/A,FALSE,"ISS"}</definedName>
    <definedName name="____________________________________________fl1111" localSheetId="2" hidden="1">{"Fecha_Novembro",#N/A,FALSE,"FECHAMENTO-2002 ";"Defer_Novembro",#N/A,FALSE,"DIFERIDO";"Pis_Novembro",#N/A,FALSE,"PIS COFINS";"Iss_Novembro",#N/A,FALSE,"ISS"}</definedName>
    <definedName name="____________________________________________fl1111" localSheetId="34" hidden="1">{"Fecha_Novembro",#N/A,FALSE,"FECHAMENTO-2002 ";"Defer_Novembro",#N/A,FALSE,"DIFERIDO";"Pis_Novembro",#N/A,FALSE,"PIS COFINS";"Iss_Novembro",#N/A,FALSE,"ISS"}</definedName>
    <definedName name="____________________________________________fl1111" localSheetId="38" hidden="1">{"Fecha_Novembro",#N/A,FALSE,"FECHAMENTO-2002 ";"Defer_Novembro",#N/A,FALSE,"DIFERIDO";"Pis_Novembro",#N/A,FALSE,"PIS COFINS";"Iss_Novembro",#N/A,FALSE,"ISS"}</definedName>
    <definedName name="____________________________________________fl1111" localSheetId="8" hidden="1">{"Fecha_Novembro",#N/A,FALSE,"FECHAMENTO-2002 ";"Defer_Novembro",#N/A,FALSE,"DIFERIDO";"Pis_Novembro",#N/A,FALSE,"PIS COFINS";"Iss_Novembro",#N/A,FALSE,"ISS"}</definedName>
    <definedName name="____________________________________________fl1111" localSheetId="12" hidden="1">{"Fecha_Novembro",#N/A,FALSE,"FECHAMENTO-2002 ";"Defer_Novembro",#N/A,FALSE,"DIFERIDO";"Pis_Novembro",#N/A,FALSE,"PIS COFINS";"Iss_Novembro",#N/A,FALSE,"ISS"}</definedName>
    <definedName name="____________________________________________fl1111" localSheetId="13" hidden="1">{"Fecha_Novembro",#N/A,FALSE,"FECHAMENTO-2002 ";"Defer_Novembro",#N/A,FALSE,"DIFERIDO";"Pis_Novembro",#N/A,FALSE,"PIS COFINS";"Iss_Novembro",#N/A,FALSE,"ISS"}</definedName>
    <definedName name="____________________________________________fl1111" localSheetId="11" hidden="1">{"Fecha_Novembro",#N/A,FALSE,"FECHAMENTO-2002 ";"Defer_Novembro",#N/A,FALSE,"DIFERIDO";"Pis_Novembro",#N/A,FALSE,"PIS COFINS";"Iss_Novembro",#N/A,FALSE,"ISS"}</definedName>
    <definedName name="____________________________________________fl1111" localSheetId="31" hidden="1">{"Fecha_Novembro",#N/A,FALSE,"FECHAMENTO-2002 ";"Defer_Novembro",#N/A,FALSE,"DIFERIDO";"Pis_Novembro",#N/A,FALSE,"PIS COFINS";"Iss_Novembro",#N/A,FALSE,"ISS"}</definedName>
    <definedName name="____________________________________________fl1111" localSheetId="48" hidden="1">{"Fecha_Novembro",#N/A,FALSE,"FECHAMENTO-2002 ";"Defer_Novembro",#N/A,FALSE,"DIFERIDO";"Pis_Novembro",#N/A,FALSE,"PIS COFINS";"Iss_Novembro",#N/A,FALSE,"ISS"}</definedName>
    <definedName name="____________________________________________fl1111" hidden="1">{"Fecha_Novembro",#N/A,FALSE,"FECHAMENTO-2002 ";"Defer_Novembro",#N/A,FALSE,"DIFERIDO";"Pis_Novembro",#N/A,FALSE,"PIS COFINS";"Iss_Novembro",#N/A,FALSE,"ISS"}</definedName>
    <definedName name="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fl1111" localSheetId="15" hidden="1">{"Fecha_Novembro",#N/A,FALSE,"FECHAMENTO-2002 ";"Defer_Novembro",#N/A,FALSE,"DIFERIDO";"Pis_Novembro",#N/A,FALSE,"PIS COFINS";"Iss_Novembro",#N/A,FALSE,"ISS"}</definedName>
    <definedName name="___________________________________________fl1111" localSheetId="14" hidden="1">{"Fecha_Novembro",#N/A,FALSE,"FECHAMENTO-2002 ";"Defer_Novembro",#N/A,FALSE,"DIFERIDO";"Pis_Novembro",#N/A,FALSE,"PIS COFINS";"Iss_Novembro",#N/A,FALSE,"ISS"}</definedName>
    <definedName name="___________________________________________fl1111" localSheetId="2" hidden="1">{"Fecha_Novembro",#N/A,FALSE,"FECHAMENTO-2002 ";"Defer_Novembro",#N/A,FALSE,"DIFERIDO";"Pis_Novembro",#N/A,FALSE,"PIS COFINS";"Iss_Novembro",#N/A,FALSE,"ISS"}</definedName>
    <definedName name="___________________________________________fl1111" localSheetId="34" hidden="1">{"Fecha_Novembro",#N/A,FALSE,"FECHAMENTO-2002 ";"Defer_Novembro",#N/A,FALSE,"DIFERIDO";"Pis_Novembro",#N/A,FALSE,"PIS COFINS";"Iss_Novembro",#N/A,FALSE,"ISS"}</definedName>
    <definedName name="___________________________________________fl1111" localSheetId="38" hidden="1">{"Fecha_Novembro",#N/A,FALSE,"FECHAMENTO-2002 ";"Defer_Novembro",#N/A,FALSE,"DIFERIDO";"Pis_Novembro",#N/A,FALSE,"PIS COFINS";"Iss_Novembro",#N/A,FALSE,"ISS"}</definedName>
    <definedName name="___________________________________________fl1111" localSheetId="8" hidden="1">{"Fecha_Novembro",#N/A,FALSE,"FECHAMENTO-2002 ";"Defer_Novembro",#N/A,FALSE,"DIFERIDO";"Pis_Novembro",#N/A,FALSE,"PIS COFINS";"Iss_Novembro",#N/A,FALSE,"ISS"}</definedName>
    <definedName name="___________________________________________fl1111" localSheetId="12" hidden="1">{"Fecha_Novembro",#N/A,FALSE,"FECHAMENTO-2002 ";"Defer_Novembro",#N/A,FALSE,"DIFERIDO";"Pis_Novembro",#N/A,FALSE,"PIS COFINS";"Iss_Novembro",#N/A,FALSE,"ISS"}</definedName>
    <definedName name="___________________________________________fl1111" localSheetId="13" hidden="1">{"Fecha_Novembro",#N/A,FALSE,"FECHAMENTO-2002 ";"Defer_Novembro",#N/A,FALSE,"DIFERIDO";"Pis_Novembro",#N/A,FALSE,"PIS COFINS";"Iss_Novembro",#N/A,FALSE,"ISS"}</definedName>
    <definedName name="___________________________________________fl1111" localSheetId="11" hidden="1">{"Fecha_Novembro",#N/A,FALSE,"FECHAMENTO-2002 ";"Defer_Novembro",#N/A,FALSE,"DIFERIDO";"Pis_Novembro",#N/A,FALSE,"PIS COFINS";"Iss_Novembro",#N/A,FALSE,"ISS"}</definedName>
    <definedName name="___________________________________________fl1111" localSheetId="31" hidden="1">{"Fecha_Novembro",#N/A,FALSE,"FECHAMENTO-2002 ";"Defer_Novembro",#N/A,FALSE,"DIFERIDO";"Pis_Novembro",#N/A,FALSE,"PIS COFINS";"Iss_Novembro",#N/A,FALSE,"ISS"}</definedName>
    <definedName name="___________________________________________fl1111" localSheetId="48" hidden="1">{"Fecha_Novembro",#N/A,FALSE,"FECHAMENTO-2002 ";"Defer_Novembro",#N/A,FALSE,"DIFERIDO";"Pis_Novembro",#N/A,FALSE,"PIS COFINS";"Iss_Novembro",#N/A,FALSE,"ISS"}</definedName>
    <definedName name="___________________________________________fl1111" hidden="1">{"Fecha_Novembro",#N/A,FALSE,"FECHAMENTO-2002 ";"Defer_Novembro",#N/A,FALSE,"DIFERIDO";"Pis_Novembro",#N/A,FALSE,"PIS COFINS";"Iss_Novembro",#N/A,FALSE,"ISS"}</definedName>
    <definedName name="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fl1111" localSheetId="15" hidden="1">{"Fecha_Novembro",#N/A,FALSE,"FECHAMENTO-2002 ";"Defer_Novembro",#N/A,FALSE,"DIFERIDO";"Pis_Novembro",#N/A,FALSE,"PIS COFINS";"Iss_Novembro",#N/A,FALSE,"ISS"}</definedName>
    <definedName name="__________________________________________fl1111" localSheetId="14" hidden="1">{"Fecha_Novembro",#N/A,FALSE,"FECHAMENTO-2002 ";"Defer_Novembro",#N/A,FALSE,"DIFERIDO";"Pis_Novembro",#N/A,FALSE,"PIS COFINS";"Iss_Novembro",#N/A,FALSE,"ISS"}</definedName>
    <definedName name="__________________________________________fl1111" localSheetId="2" hidden="1">{"Fecha_Novembro",#N/A,FALSE,"FECHAMENTO-2002 ";"Defer_Novembro",#N/A,FALSE,"DIFERIDO";"Pis_Novembro",#N/A,FALSE,"PIS COFINS";"Iss_Novembro",#N/A,FALSE,"ISS"}</definedName>
    <definedName name="__________________________________________fl1111" localSheetId="34" hidden="1">{"Fecha_Novembro",#N/A,FALSE,"FECHAMENTO-2002 ";"Defer_Novembro",#N/A,FALSE,"DIFERIDO";"Pis_Novembro",#N/A,FALSE,"PIS COFINS";"Iss_Novembro",#N/A,FALSE,"ISS"}</definedName>
    <definedName name="__________________________________________fl1111" localSheetId="38" hidden="1">{"Fecha_Novembro",#N/A,FALSE,"FECHAMENTO-2002 ";"Defer_Novembro",#N/A,FALSE,"DIFERIDO";"Pis_Novembro",#N/A,FALSE,"PIS COFINS";"Iss_Novembro",#N/A,FALSE,"ISS"}</definedName>
    <definedName name="__________________________________________fl1111" localSheetId="8" hidden="1">{"Fecha_Novembro",#N/A,FALSE,"FECHAMENTO-2002 ";"Defer_Novembro",#N/A,FALSE,"DIFERIDO";"Pis_Novembro",#N/A,FALSE,"PIS COFINS";"Iss_Novembro",#N/A,FALSE,"ISS"}</definedName>
    <definedName name="__________________________________________fl1111" localSheetId="12" hidden="1">{"Fecha_Novembro",#N/A,FALSE,"FECHAMENTO-2002 ";"Defer_Novembro",#N/A,FALSE,"DIFERIDO";"Pis_Novembro",#N/A,FALSE,"PIS COFINS";"Iss_Novembro",#N/A,FALSE,"ISS"}</definedName>
    <definedName name="__________________________________________fl1111" localSheetId="13" hidden="1">{"Fecha_Novembro",#N/A,FALSE,"FECHAMENTO-2002 ";"Defer_Novembro",#N/A,FALSE,"DIFERIDO";"Pis_Novembro",#N/A,FALSE,"PIS COFINS";"Iss_Novembro",#N/A,FALSE,"ISS"}</definedName>
    <definedName name="__________________________________________fl1111" localSheetId="11" hidden="1">{"Fecha_Novembro",#N/A,FALSE,"FECHAMENTO-2002 ";"Defer_Novembro",#N/A,FALSE,"DIFERIDO";"Pis_Novembro",#N/A,FALSE,"PIS COFINS";"Iss_Novembro",#N/A,FALSE,"ISS"}</definedName>
    <definedName name="__________________________________________fl1111" localSheetId="31" hidden="1">{"Fecha_Novembro",#N/A,FALSE,"FECHAMENTO-2002 ";"Defer_Novembro",#N/A,FALSE,"DIFERIDO";"Pis_Novembro",#N/A,FALSE,"PIS COFINS";"Iss_Novembro",#N/A,FALSE,"ISS"}</definedName>
    <definedName name="__________________________________________fl1111" localSheetId="48" hidden="1">{"Fecha_Novembro",#N/A,FALSE,"FECHAMENTO-2002 ";"Defer_Novembro",#N/A,FALSE,"DIFERIDO";"Pis_Novembro",#N/A,FALSE,"PIS COFINS";"Iss_Novembro",#N/A,FALSE,"ISS"}</definedName>
    <definedName name="__________________________________________fl1111" hidden="1">{"Fecha_Novembro",#N/A,FALSE,"FECHAMENTO-2002 ";"Defer_Novembro",#N/A,FALSE,"DIFERIDO";"Pis_Novembro",#N/A,FALSE,"PIS COFINS";"Iss_Novembro",#N/A,FALSE,"ISS"}</definedName>
    <definedName name="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fl1111" localSheetId="15" hidden="1">{"Fecha_Novembro",#N/A,FALSE,"FECHAMENTO-2002 ";"Defer_Novembro",#N/A,FALSE,"DIFERIDO";"Pis_Novembro",#N/A,FALSE,"PIS COFINS";"Iss_Novembro",#N/A,FALSE,"ISS"}</definedName>
    <definedName name="_________________________________________fl1111" localSheetId="14" hidden="1">{"Fecha_Novembro",#N/A,FALSE,"FECHAMENTO-2002 ";"Defer_Novembro",#N/A,FALSE,"DIFERIDO";"Pis_Novembro",#N/A,FALSE,"PIS COFINS";"Iss_Novembro",#N/A,FALSE,"ISS"}</definedName>
    <definedName name="_________________________________________fl1111" localSheetId="2" hidden="1">{"Fecha_Novembro",#N/A,FALSE,"FECHAMENTO-2002 ";"Defer_Novembro",#N/A,FALSE,"DIFERIDO";"Pis_Novembro",#N/A,FALSE,"PIS COFINS";"Iss_Novembro",#N/A,FALSE,"ISS"}</definedName>
    <definedName name="_________________________________________fl1111" localSheetId="34" hidden="1">{"Fecha_Novembro",#N/A,FALSE,"FECHAMENTO-2002 ";"Defer_Novembro",#N/A,FALSE,"DIFERIDO";"Pis_Novembro",#N/A,FALSE,"PIS COFINS";"Iss_Novembro",#N/A,FALSE,"ISS"}</definedName>
    <definedName name="_________________________________________fl1111" localSheetId="38" hidden="1">{"Fecha_Novembro",#N/A,FALSE,"FECHAMENTO-2002 ";"Defer_Novembro",#N/A,FALSE,"DIFERIDO";"Pis_Novembro",#N/A,FALSE,"PIS COFINS";"Iss_Novembro",#N/A,FALSE,"ISS"}</definedName>
    <definedName name="_________________________________________fl1111" localSheetId="8" hidden="1">{"Fecha_Novembro",#N/A,FALSE,"FECHAMENTO-2002 ";"Defer_Novembro",#N/A,FALSE,"DIFERIDO";"Pis_Novembro",#N/A,FALSE,"PIS COFINS";"Iss_Novembro",#N/A,FALSE,"ISS"}</definedName>
    <definedName name="_________________________________________fl1111" localSheetId="12" hidden="1">{"Fecha_Novembro",#N/A,FALSE,"FECHAMENTO-2002 ";"Defer_Novembro",#N/A,FALSE,"DIFERIDO";"Pis_Novembro",#N/A,FALSE,"PIS COFINS";"Iss_Novembro",#N/A,FALSE,"ISS"}</definedName>
    <definedName name="_________________________________________fl1111" localSheetId="13" hidden="1">{"Fecha_Novembro",#N/A,FALSE,"FECHAMENTO-2002 ";"Defer_Novembro",#N/A,FALSE,"DIFERIDO";"Pis_Novembro",#N/A,FALSE,"PIS COFINS";"Iss_Novembro",#N/A,FALSE,"ISS"}</definedName>
    <definedName name="_________________________________________fl1111" localSheetId="11" hidden="1">{"Fecha_Novembro",#N/A,FALSE,"FECHAMENTO-2002 ";"Defer_Novembro",#N/A,FALSE,"DIFERIDO";"Pis_Novembro",#N/A,FALSE,"PIS COFINS";"Iss_Novembro",#N/A,FALSE,"ISS"}</definedName>
    <definedName name="_________________________________________fl1111" localSheetId="31" hidden="1">{"Fecha_Novembro",#N/A,FALSE,"FECHAMENTO-2002 ";"Defer_Novembro",#N/A,FALSE,"DIFERIDO";"Pis_Novembro",#N/A,FALSE,"PIS COFINS";"Iss_Novembro",#N/A,FALSE,"ISS"}</definedName>
    <definedName name="_________________________________________fl1111" localSheetId="48" hidden="1">{"Fecha_Novembro",#N/A,FALSE,"FECHAMENTO-2002 ";"Defer_Novembro",#N/A,FALSE,"DIFERIDO";"Pis_Novembro",#N/A,FALSE,"PIS COFINS";"Iss_Novembro",#N/A,FALSE,"ISS"}</definedName>
    <definedName name="_________________________________________fl1111" hidden="1">{"Fecha_Novembro",#N/A,FALSE,"FECHAMENTO-2002 ";"Defer_Novembro",#N/A,FALSE,"DIFERIDO";"Pis_Novembro",#N/A,FALSE,"PIS COFINS";"Iss_Novembro",#N/A,FALSE,"ISS"}</definedName>
    <definedName name="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fl1111" localSheetId="15" hidden="1">{"Fecha_Novembro",#N/A,FALSE,"FECHAMENTO-2002 ";"Defer_Novembro",#N/A,FALSE,"DIFERIDO";"Pis_Novembro",#N/A,FALSE,"PIS COFINS";"Iss_Novembro",#N/A,FALSE,"ISS"}</definedName>
    <definedName name="________________________________________fl1111" localSheetId="14" hidden="1">{"Fecha_Novembro",#N/A,FALSE,"FECHAMENTO-2002 ";"Defer_Novembro",#N/A,FALSE,"DIFERIDO";"Pis_Novembro",#N/A,FALSE,"PIS COFINS";"Iss_Novembro",#N/A,FALSE,"ISS"}</definedName>
    <definedName name="________________________________________fl1111" localSheetId="2" hidden="1">{"Fecha_Novembro",#N/A,FALSE,"FECHAMENTO-2002 ";"Defer_Novembro",#N/A,FALSE,"DIFERIDO";"Pis_Novembro",#N/A,FALSE,"PIS COFINS";"Iss_Novembro",#N/A,FALSE,"ISS"}</definedName>
    <definedName name="________________________________________fl1111" localSheetId="34" hidden="1">{"Fecha_Novembro",#N/A,FALSE,"FECHAMENTO-2002 ";"Defer_Novembro",#N/A,FALSE,"DIFERIDO";"Pis_Novembro",#N/A,FALSE,"PIS COFINS";"Iss_Novembro",#N/A,FALSE,"ISS"}</definedName>
    <definedName name="________________________________________fl1111" localSheetId="38" hidden="1">{"Fecha_Novembro",#N/A,FALSE,"FECHAMENTO-2002 ";"Defer_Novembro",#N/A,FALSE,"DIFERIDO";"Pis_Novembro",#N/A,FALSE,"PIS COFINS";"Iss_Novembro",#N/A,FALSE,"ISS"}</definedName>
    <definedName name="________________________________________fl1111" localSheetId="8" hidden="1">{"Fecha_Novembro",#N/A,FALSE,"FECHAMENTO-2002 ";"Defer_Novembro",#N/A,FALSE,"DIFERIDO";"Pis_Novembro",#N/A,FALSE,"PIS COFINS";"Iss_Novembro",#N/A,FALSE,"ISS"}</definedName>
    <definedName name="________________________________________fl1111" localSheetId="12" hidden="1">{"Fecha_Novembro",#N/A,FALSE,"FECHAMENTO-2002 ";"Defer_Novembro",#N/A,FALSE,"DIFERIDO";"Pis_Novembro",#N/A,FALSE,"PIS COFINS";"Iss_Novembro",#N/A,FALSE,"ISS"}</definedName>
    <definedName name="________________________________________fl1111" localSheetId="13" hidden="1">{"Fecha_Novembro",#N/A,FALSE,"FECHAMENTO-2002 ";"Defer_Novembro",#N/A,FALSE,"DIFERIDO";"Pis_Novembro",#N/A,FALSE,"PIS COFINS";"Iss_Novembro",#N/A,FALSE,"ISS"}</definedName>
    <definedName name="________________________________________fl1111" localSheetId="11" hidden="1">{"Fecha_Novembro",#N/A,FALSE,"FECHAMENTO-2002 ";"Defer_Novembro",#N/A,FALSE,"DIFERIDO";"Pis_Novembro",#N/A,FALSE,"PIS COFINS";"Iss_Novembro",#N/A,FALSE,"ISS"}</definedName>
    <definedName name="________________________________________fl1111" localSheetId="31" hidden="1">{"Fecha_Novembro",#N/A,FALSE,"FECHAMENTO-2002 ";"Defer_Novembro",#N/A,FALSE,"DIFERIDO";"Pis_Novembro",#N/A,FALSE,"PIS COFINS";"Iss_Novembro",#N/A,FALSE,"ISS"}</definedName>
    <definedName name="________________________________________fl1111" localSheetId="48" hidden="1">{"Fecha_Novembro",#N/A,FALSE,"FECHAMENTO-2002 ";"Defer_Novembro",#N/A,FALSE,"DIFERIDO";"Pis_Novembro",#N/A,FALSE,"PIS COFINS";"Iss_Novembro",#N/A,FALSE,"ISS"}</definedName>
    <definedName name="________________________________________fl1111" hidden="1">{"Fecha_Novembro",#N/A,FALSE,"FECHAMENTO-2002 ";"Defer_Novembro",#N/A,FALSE,"DIFERIDO";"Pis_Novembro",#N/A,FALSE,"PIS COFINS";"Iss_Novembro",#N/A,FALSE,"ISS"}</definedName>
    <definedName name="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fl1111" localSheetId="15" hidden="1">{"Fecha_Novembro",#N/A,FALSE,"FECHAMENTO-2002 ";"Defer_Novembro",#N/A,FALSE,"DIFERIDO";"Pis_Novembro",#N/A,FALSE,"PIS COFINS";"Iss_Novembro",#N/A,FALSE,"ISS"}</definedName>
    <definedName name="_______________________________________fl1111" localSheetId="14" hidden="1">{"Fecha_Novembro",#N/A,FALSE,"FECHAMENTO-2002 ";"Defer_Novembro",#N/A,FALSE,"DIFERIDO";"Pis_Novembro",#N/A,FALSE,"PIS COFINS";"Iss_Novembro",#N/A,FALSE,"ISS"}</definedName>
    <definedName name="_______________________________________fl1111" localSheetId="2" hidden="1">{"Fecha_Novembro",#N/A,FALSE,"FECHAMENTO-2002 ";"Defer_Novembro",#N/A,FALSE,"DIFERIDO";"Pis_Novembro",#N/A,FALSE,"PIS COFINS";"Iss_Novembro",#N/A,FALSE,"ISS"}</definedName>
    <definedName name="_______________________________________fl1111" localSheetId="34" hidden="1">{"Fecha_Novembro",#N/A,FALSE,"FECHAMENTO-2002 ";"Defer_Novembro",#N/A,FALSE,"DIFERIDO";"Pis_Novembro",#N/A,FALSE,"PIS COFINS";"Iss_Novembro",#N/A,FALSE,"ISS"}</definedName>
    <definedName name="_______________________________________fl1111" localSheetId="38" hidden="1">{"Fecha_Novembro",#N/A,FALSE,"FECHAMENTO-2002 ";"Defer_Novembro",#N/A,FALSE,"DIFERIDO";"Pis_Novembro",#N/A,FALSE,"PIS COFINS";"Iss_Novembro",#N/A,FALSE,"ISS"}</definedName>
    <definedName name="_______________________________________fl1111" localSheetId="8" hidden="1">{"Fecha_Novembro",#N/A,FALSE,"FECHAMENTO-2002 ";"Defer_Novembro",#N/A,FALSE,"DIFERIDO";"Pis_Novembro",#N/A,FALSE,"PIS COFINS";"Iss_Novembro",#N/A,FALSE,"ISS"}</definedName>
    <definedName name="_______________________________________fl1111" localSheetId="12" hidden="1">{"Fecha_Novembro",#N/A,FALSE,"FECHAMENTO-2002 ";"Defer_Novembro",#N/A,FALSE,"DIFERIDO";"Pis_Novembro",#N/A,FALSE,"PIS COFINS";"Iss_Novembro",#N/A,FALSE,"ISS"}</definedName>
    <definedName name="_______________________________________fl1111" localSheetId="13" hidden="1">{"Fecha_Novembro",#N/A,FALSE,"FECHAMENTO-2002 ";"Defer_Novembro",#N/A,FALSE,"DIFERIDO";"Pis_Novembro",#N/A,FALSE,"PIS COFINS";"Iss_Novembro",#N/A,FALSE,"ISS"}</definedName>
    <definedName name="_______________________________________fl1111" localSheetId="11" hidden="1">{"Fecha_Novembro",#N/A,FALSE,"FECHAMENTO-2002 ";"Defer_Novembro",#N/A,FALSE,"DIFERIDO";"Pis_Novembro",#N/A,FALSE,"PIS COFINS";"Iss_Novembro",#N/A,FALSE,"ISS"}</definedName>
    <definedName name="_______________________________________fl1111" localSheetId="31" hidden="1">{"Fecha_Novembro",#N/A,FALSE,"FECHAMENTO-2002 ";"Defer_Novembro",#N/A,FALSE,"DIFERIDO";"Pis_Novembro",#N/A,FALSE,"PIS COFINS";"Iss_Novembro",#N/A,FALSE,"ISS"}</definedName>
    <definedName name="_______________________________________fl1111" localSheetId="48" hidden="1">{"Fecha_Novembro",#N/A,FALSE,"FECHAMENTO-2002 ";"Defer_Novembro",#N/A,FALSE,"DIFERIDO";"Pis_Novembro",#N/A,FALSE,"PIS COFINS";"Iss_Novembro",#N/A,FALSE,"ISS"}</definedName>
    <definedName name="_______________________________________fl1111" hidden="1">{"Fecha_Novembro",#N/A,FALSE,"FECHAMENTO-2002 ";"Defer_Novembro",#N/A,FALSE,"DIFERIDO";"Pis_Novembro",#N/A,FALSE,"PIS COFINS";"Iss_Novembro",#N/A,FALSE,"ISS"}</definedName>
    <definedName name="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fl1111" localSheetId="15" hidden="1">{"Fecha_Novembro",#N/A,FALSE,"FECHAMENTO-2002 ";"Defer_Novembro",#N/A,FALSE,"DIFERIDO";"Pis_Novembro",#N/A,FALSE,"PIS COFINS";"Iss_Novembro",#N/A,FALSE,"ISS"}</definedName>
    <definedName name="______________________________________fl1111" localSheetId="14" hidden="1">{"Fecha_Novembro",#N/A,FALSE,"FECHAMENTO-2002 ";"Defer_Novembro",#N/A,FALSE,"DIFERIDO";"Pis_Novembro",#N/A,FALSE,"PIS COFINS";"Iss_Novembro",#N/A,FALSE,"ISS"}</definedName>
    <definedName name="______________________________________fl1111" localSheetId="2" hidden="1">{"Fecha_Novembro",#N/A,FALSE,"FECHAMENTO-2002 ";"Defer_Novembro",#N/A,FALSE,"DIFERIDO";"Pis_Novembro",#N/A,FALSE,"PIS COFINS";"Iss_Novembro",#N/A,FALSE,"ISS"}</definedName>
    <definedName name="______________________________________fl1111" localSheetId="34" hidden="1">{"Fecha_Novembro",#N/A,FALSE,"FECHAMENTO-2002 ";"Defer_Novembro",#N/A,FALSE,"DIFERIDO";"Pis_Novembro",#N/A,FALSE,"PIS COFINS";"Iss_Novembro",#N/A,FALSE,"ISS"}</definedName>
    <definedName name="______________________________________fl1111" localSheetId="38" hidden="1">{"Fecha_Novembro",#N/A,FALSE,"FECHAMENTO-2002 ";"Defer_Novembro",#N/A,FALSE,"DIFERIDO";"Pis_Novembro",#N/A,FALSE,"PIS COFINS";"Iss_Novembro",#N/A,FALSE,"ISS"}</definedName>
    <definedName name="______________________________________fl1111" localSheetId="8" hidden="1">{"Fecha_Novembro",#N/A,FALSE,"FECHAMENTO-2002 ";"Defer_Novembro",#N/A,FALSE,"DIFERIDO";"Pis_Novembro",#N/A,FALSE,"PIS COFINS";"Iss_Novembro",#N/A,FALSE,"ISS"}</definedName>
    <definedName name="______________________________________fl1111" localSheetId="12" hidden="1">{"Fecha_Novembro",#N/A,FALSE,"FECHAMENTO-2002 ";"Defer_Novembro",#N/A,FALSE,"DIFERIDO";"Pis_Novembro",#N/A,FALSE,"PIS COFINS";"Iss_Novembro",#N/A,FALSE,"ISS"}</definedName>
    <definedName name="______________________________________fl1111" localSheetId="13" hidden="1">{"Fecha_Novembro",#N/A,FALSE,"FECHAMENTO-2002 ";"Defer_Novembro",#N/A,FALSE,"DIFERIDO";"Pis_Novembro",#N/A,FALSE,"PIS COFINS";"Iss_Novembro",#N/A,FALSE,"ISS"}</definedName>
    <definedName name="______________________________________fl1111" localSheetId="11" hidden="1">{"Fecha_Novembro",#N/A,FALSE,"FECHAMENTO-2002 ";"Defer_Novembro",#N/A,FALSE,"DIFERIDO";"Pis_Novembro",#N/A,FALSE,"PIS COFINS";"Iss_Novembro",#N/A,FALSE,"ISS"}</definedName>
    <definedName name="______________________________________fl1111" localSheetId="31" hidden="1">{"Fecha_Novembro",#N/A,FALSE,"FECHAMENTO-2002 ";"Defer_Novembro",#N/A,FALSE,"DIFERIDO";"Pis_Novembro",#N/A,FALSE,"PIS COFINS";"Iss_Novembro",#N/A,FALSE,"ISS"}</definedName>
    <definedName name="______________________________________fl1111" localSheetId="48" hidden="1">{"Fecha_Novembro",#N/A,FALSE,"FECHAMENTO-2002 ";"Defer_Novembro",#N/A,FALSE,"DIFERIDO";"Pis_Novembro",#N/A,FALSE,"PIS COFINS";"Iss_Novembro",#N/A,FALSE,"ISS"}</definedName>
    <definedName name="______________________________________fl1111" hidden="1">{"Fecha_Novembro",#N/A,FALSE,"FECHAMENTO-2002 ";"Defer_Novembro",#N/A,FALSE,"DIFERIDO";"Pis_Novembro",#N/A,FALSE,"PIS COFINS";"Iss_Novembro",#N/A,FALSE,"ISS"}</definedName>
    <definedName name="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fl1111" localSheetId="15" hidden="1">{"Fecha_Novembro",#N/A,FALSE,"FECHAMENTO-2002 ";"Defer_Novembro",#N/A,FALSE,"DIFERIDO";"Pis_Novembro",#N/A,FALSE,"PIS COFINS";"Iss_Novembro",#N/A,FALSE,"ISS"}</definedName>
    <definedName name="_____________________________________fl1111" localSheetId="14" hidden="1">{"Fecha_Novembro",#N/A,FALSE,"FECHAMENTO-2002 ";"Defer_Novembro",#N/A,FALSE,"DIFERIDO";"Pis_Novembro",#N/A,FALSE,"PIS COFINS";"Iss_Novembro",#N/A,FALSE,"ISS"}</definedName>
    <definedName name="_____________________________________fl1111" localSheetId="2" hidden="1">{"Fecha_Novembro",#N/A,FALSE,"FECHAMENTO-2002 ";"Defer_Novembro",#N/A,FALSE,"DIFERIDO";"Pis_Novembro",#N/A,FALSE,"PIS COFINS";"Iss_Novembro",#N/A,FALSE,"ISS"}</definedName>
    <definedName name="_____________________________________fl1111" localSheetId="34" hidden="1">{"Fecha_Novembro",#N/A,FALSE,"FECHAMENTO-2002 ";"Defer_Novembro",#N/A,FALSE,"DIFERIDO";"Pis_Novembro",#N/A,FALSE,"PIS COFINS";"Iss_Novembro",#N/A,FALSE,"ISS"}</definedName>
    <definedName name="_____________________________________fl1111" localSheetId="38" hidden="1">{"Fecha_Novembro",#N/A,FALSE,"FECHAMENTO-2002 ";"Defer_Novembro",#N/A,FALSE,"DIFERIDO";"Pis_Novembro",#N/A,FALSE,"PIS COFINS";"Iss_Novembro",#N/A,FALSE,"ISS"}</definedName>
    <definedName name="_____________________________________fl1111" localSheetId="8" hidden="1">{"Fecha_Novembro",#N/A,FALSE,"FECHAMENTO-2002 ";"Defer_Novembro",#N/A,FALSE,"DIFERIDO";"Pis_Novembro",#N/A,FALSE,"PIS COFINS";"Iss_Novembro",#N/A,FALSE,"ISS"}</definedName>
    <definedName name="_____________________________________fl1111" localSheetId="12" hidden="1">{"Fecha_Novembro",#N/A,FALSE,"FECHAMENTO-2002 ";"Defer_Novembro",#N/A,FALSE,"DIFERIDO";"Pis_Novembro",#N/A,FALSE,"PIS COFINS";"Iss_Novembro",#N/A,FALSE,"ISS"}</definedName>
    <definedName name="_____________________________________fl1111" localSheetId="13" hidden="1">{"Fecha_Novembro",#N/A,FALSE,"FECHAMENTO-2002 ";"Defer_Novembro",#N/A,FALSE,"DIFERIDO";"Pis_Novembro",#N/A,FALSE,"PIS COFINS";"Iss_Novembro",#N/A,FALSE,"ISS"}</definedName>
    <definedName name="_____________________________________fl1111" localSheetId="11" hidden="1">{"Fecha_Novembro",#N/A,FALSE,"FECHAMENTO-2002 ";"Defer_Novembro",#N/A,FALSE,"DIFERIDO";"Pis_Novembro",#N/A,FALSE,"PIS COFINS";"Iss_Novembro",#N/A,FALSE,"ISS"}</definedName>
    <definedName name="_____________________________________fl1111" localSheetId="31" hidden="1">{"Fecha_Novembro",#N/A,FALSE,"FECHAMENTO-2002 ";"Defer_Novembro",#N/A,FALSE,"DIFERIDO";"Pis_Novembro",#N/A,FALSE,"PIS COFINS";"Iss_Novembro",#N/A,FALSE,"ISS"}</definedName>
    <definedName name="_____________________________________fl1111" localSheetId="48" hidden="1">{"Fecha_Novembro",#N/A,FALSE,"FECHAMENTO-2002 ";"Defer_Novembro",#N/A,FALSE,"DIFERIDO";"Pis_Novembro",#N/A,FALSE,"PIS COFINS";"Iss_Novembro",#N/A,FALSE,"ISS"}</definedName>
    <definedName name="_____________________________________fl1111" hidden="1">{"Fecha_Novembro",#N/A,FALSE,"FECHAMENTO-2002 ";"Defer_Novembro",#N/A,FALSE,"DIFERIDO";"Pis_Novembro",#N/A,FALSE,"PIS COFINS";"Iss_Novembro",#N/A,FALSE,"ISS"}</definedName>
    <definedName name="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fl1111" localSheetId="15" hidden="1">{"Fecha_Novembro",#N/A,FALSE,"FECHAMENTO-2002 ";"Defer_Novembro",#N/A,FALSE,"DIFERIDO";"Pis_Novembro",#N/A,FALSE,"PIS COFINS";"Iss_Novembro",#N/A,FALSE,"ISS"}</definedName>
    <definedName name="____________________________________fl1111" localSheetId="14" hidden="1">{"Fecha_Novembro",#N/A,FALSE,"FECHAMENTO-2002 ";"Defer_Novembro",#N/A,FALSE,"DIFERIDO";"Pis_Novembro",#N/A,FALSE,"PIS COFINS";"Iss_Novembro",#N/A,FALSE,"ISS"}</definedName>
    <definedName name="____________________________________fl1111" localSheetId="2" hidden="1">{"Fecha_Novembro",#N/A,FALSE,"FECHAMENTO-2002 ";"Defer_Novembro",#N/A,FALSE,"DIFERIDO";"Pis_Novembro",#N/A,FALSE,"PIS COFINS";"Iss_Novembro",#N/A,FALSE,"ISS"}</definedName>
    <definedName name="____________________________________fl1111" localSheetId="34" hidden="1">{"Fecha_Novembro",#N/A,FALSE,"FECHAMENTO-2002 ";"Defer_Novembro",#N/A,FALSE,"DIFERIDO";"Pis_Novembro",#N/A,FALSE,"PIS COFINS";"Iss_Novembro",#N/A,FALSE,"ISS"}</definedName>
    <definedName name="____________________________________fl1111" localSheetId="38" hidden="1">{"Fecha_Novembro",#N/A,FALSE,"FECHAMENTO-2002 ";"Defer_Novembro",#N/A,FALSE,"DIFERIDO";"Pis_Novembro",#N/A,FALSE,"PIS COFINS";"Iss_Novembro",#N/A,FALSE,"ISS"}</definedName>
    <definedName name="____________________________________fl1111" localSheetId="8" hidden="1">{"Fecha_Novembro",#N/A,FALSE,"FECHAMENTO-2002 ";"Defer_Novembro",#N/A,FALSE,"DIFERIDO";"Pis_Novembro",#N/A,FALSE,"PIS COFINS";"Iss_Novembro",#N/A,FALSE,"ISS"}</definedName>
    <definedName name="____________________________________fl1111" localSheetId="12" hidden="1">{"Fecha_Novembro",#N/A,FALSE,"FECHAMENTO-2002 ";"Defer_Novembro",#N/A,FALSE,"DIFERIDO";"Pis_Novembro",#N/A,FALSE,"PIS COFINS";"Iss_Novembro",#N/A,FALSE,"ISS"}</definedName>
    <definedName name="____________________________________fl1111" localSheetId="13" hidden="1">{"Fecha_Novembro",#N/A,FALSE,"FECHAMENTO-2002 ";"Defer_Novembro",#N/A,FALSE,"DIFERIDO";"Pis_Novembro",#N/A,FALSE,"PIS COFINS";"Iss_Novembro",#N/A,FALSE,"ISS"}</definedName>
    <definedName name="____________________________________fl1111" localSheetId="11" hidden="1">{"Fecha_Novembro",#N/A,FALSE,"FECHAMENTO-2002 ";"Defer_Novembro",#N/A,FALSE,"DIFERIDO";"Pis_Novembro",#N/A,FALSE,"PIS COFINS";"Iss_Novembro",#N/A,FALSE,"ISS"}</definedName>
    <definedName name="____________________________________fl1111" localSheetId="31" hidden="1">{"Fecha_Novembro",#N/A,FALSE,"FECHAMENTO-2002 ";"Defer_Novembro",#N/A,FALSE,"DIFERIDO";"Pis_Novembro",#N/A,FALSE,"PIS COFINS";"Iss_Novembro",#N/A,FALSE,"ISS"}</definedName>
    <definedName name="____________________________________fl1111" localSheetId="48" hidden="1">{"Fecha_Novembro",#N/A,FALSE,"FECHAMENTO-2002 ";"Defer_Novembro",#N/A,FALSE,"DIFERIDO";"Pis_Novembro",#N/A,FALSE,"PIS COFINS";"Iss_Novembro",#N/A,FALSE,"ISS"}</definedName>
    <definedName name="____________________________________fl1111" hidden="1">{"Fecha_Novembro",#N/A,FALSE,"FECHAMENTO-2002 ";"Defer_Novembro",#N/A,FALSE,"DIFERIDO";"Pis_Novembro",#N/A,FALSE,"PIS COFINS";"Iss_Novembro",#N/A,FALSE,"ISS"}</definedName>
    <definedName name="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fl1111" localSheetId="15" hidden="1">{"Fecha_Novembro",#N/A,FALSE,"FECHAMENTO-2002 ";"Defer_Novembro",#N/A,FALSE,"DIFERIDO";"Pis_Novembro",#N/A,FALSE,"PIS COFINS";"Iss_Novembro",#N/A,FALSE,"ISS"}</definedName>
    <definedName name="___________________________________fl1111" localSheetId="14" hidden="1">{"Fecha_Novembro",#N/A,FALSE,"FECHAMENTO-2002 ";"Defer_Novembro",#N/A,FALSE,"DIFERIDO";"Pis_Novembro",#N/A,FALSE,"PIS COFINS";"Iss_Novembro",#N/A,FALSE,"ISS"}</definedName>
    <definedName name="___________________________________fl1111" localSheetId="2" hidden="1">{"Fecha_Novembro",#N/A,FALSE,"FECHAMENTO-2002 ";"Defer_Novembro",#N/A,FALSE,"DIFERIDO";"Pis_Novembro",#N/A,FALSE,"PIS COFINS";"Iss_Novembro",#N/A,FALSE,"ISS"}</definedName>
    <definedName name="___________________________________fl1111" localSheetId="34" hidden="1">{"Fecha_Novembro",#N/A,FALSE,"FECHAMENTO-2002 ";"Defer_Novembro",#N/A,FALSE,"DIFERIDO";"Pis_Novembro",#N/A,FALSE,"PIS COFINS";"Iss_Novembro",#N/A,FALSE,"ISS"}</definedName>
    <definedName name="___________________________________fl1111" localSheetId="38" hidden="1">{"Fecha_Novembro",#N/A,FALSE,"FECHAMENTO-2002 ";"Defer_Novembro",#N/A,FALSE,"DIFERIDO";"Pis_Novembro",#N/A,FALSE,"PIS COFINS";"Iss_Novembro",#N/A,FALSE,"ISS"}</definedName>
    <definedName name="___________________________________fl1111" localSheetId="8" hidden="1">{"Fecha_Novembro",#N/A,FALSE,"FECHAMENTO-2002 ";"Defer_Novembro",#N/A,FALSE,"DIFERIDO";"Pis_Novembro",#N/A,FALSE,"PIS COFINS";"Iss_Novembro",#N/A,FALSE,"ISS"}</definedName>
    <definedName name="___________________________________fl1111" localSheetId="12" hidden="1">{"Fecha_Novembro",#N/A,FALSE,"FECHAMENTO-2002 ";"Defer_Novembro",#N/A,FALSE,"DIFERIDO";"Pis_Novembro",#N/A,FALSE,"PIS COFINS";"Iss_Novembro",#N/A,FALSE,"ISS"}</definedName>
    <definedName name="___________________________________fl1111" localSheetId="13" hidden="1">{"Fecha_Novembro",#N/A,FALSE,"FECHAMENTO-2002 ";"Defer_Novembro",#N/A,FALSE,"DIFERIDO";"Pis_Novembro",#N/A,FALSE,"PIS COFINS";"Iss_Novembro",#N/A,FALSE,"ISS"}</definedName>
    <definedName name="___________________________________fl1111" localSheetId="11" hidden="1">{"Fecha_Novembro",#N/A,FALSE,"FECHAMENTO-2002 ";"Defer_Novembro",#N/A,FALSE,"DIFERIDO";"Pis_Novembro",#N/A,FALSE,"PIS COFINS";"Iss_Novembro",#N/A,FALSE,"ISS"}</definedName>
    <definedName name="___________________________________fl1111" localSheetId="31" hidden="1">{"Fecha_Novembro",#N/A,FALSE,"FECHAMENTO-2002 ";"Defer_Novembro",#N/A,FALSE,"DIFERIDO";"Pis_Novembro",#N/A,FALSE,"PIS COFINS";"Iss_Novembro",#N/A,FALSE,"ISS"}</definedName>
    <definedName name="___________________________________fl1111" localSheetId="48" hidden="1">{"Fecha_Novembro",#N/A,FALSE,"FECHAMENTO-2002 ";"Defer_Novembro",#N/A,FALSE,"DIFERIDO";"Pis_Novembro",#N/A,FALSE,"PIS COFINS";"Iss_Novembro",#N/A,FALSE,"ISS"}</definedName>
    <definedName name="___________________________________fl1111" hidden="1">{"Fecha_Novembro",#N/A,FALSE,"FECHAMENTO-2002 ";"Defer_Novembro",#N/A,FALSE,"DIFERIDO";"Pis_Novembro",#N/A,FALSE,"PIS COFINS";"Iss_Novembro",#N/A,FALSE,"ISS"}</definedName>
    <definedName name="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fl1111" localSheetId="15" hidden="1">{"Fecha_Novembro",#N/A,FALSE,"FECHAMENTO-2002 ";"Defer_Novembro",#N/A,FALSE,"DIFERIDO";"Pis_Novembro",#N/A,FALSE,"PIS COFINS";"Iss_Novembro",#N/A,FALSE,"ISS"}</definedName>
    <definedName name="__________________________________fl1111" localSheetId="14" hidden="1">{"Fecha_Novembro",#N/A,FALSE,"FECHAMENTO-2002 ";"Defer_Novembro",#N/A,FALSE,"DIFERIDO";"Pis_Novembro",#N/A,FALSE,"PIS COFINS";"Iss_Novembro",#N/A,FALSE,"ISS"}</definedName>
    <definedName name="__________________________________fl1111" localSheetId="2" hidden="1">{"Fecha_Novembro",#N/A,FALSE,"FECHAMENTO-2002 ";"Defer_Novembro",#N/A,FALSE,"DIFERIDO";"Pis_Novembro",#N/A,FALSE,"PIS COFINS";"Iss_Novembro",#N/A,FALSE,"ISS"}</definedName>
    <definedName name="__________________________________fl1111" localSheetId="34" hidden="1">{"Fecha_Novembro",#N/A,FALSE,"FECHAMENTO-2002 ";"Defer_Novembro",#N/A,FALSE,"DIFERIDO";"Pis_Novembro",#N/A,FALSE,"PIS COFINS";"Iss_Novembro",#N/A,FALSE,"ISS"}</definedName>
    <definedName name="__________________________________fl1111" localSheetId="38" hidden="1">{"Fecha_Novembro",#N/A,FALSE,"FECHAMENTO-2002 ";"Defer_Novembro",#N/A,FALSE,"DIFERIDO";"Pis_Novembro",#N/A,FALSE,"PIS COFINS";"Iss_Novembro",#N/A,FALSE,"ISS"}</definedName>
    <definedName name="__________________________________fl1111" localSheetId="8" hidden="1">{"Fecha_Novembro",#N/A,FALSE,"FECHAMENTO-2002 ";"Defer_Novembro",#N/A,FALSE,"DIFERIDO";"Pis_Novembro",#N/A,FALSE,"PIS COFINS";"Iss_Novembro",#N/A,FALSE,"ISS"}</definedName>
    <definedName name="__________________________________fl1111" localSheetId="12" hidden="1">{"Fecha_Novembro",#N/A,FALSE,"FECHAMENTO-2002 ";"Defer_Novembro",#N/A,FALSE,"DIFERIDO";"Pis_Novembro",#N/A,FALSE,"PIS COFINS";"Iss_Novembro",#N/A,FALSE,"ISS"}</definedName>
    <definedName name="__________________________________fl1111" localSheetId="13" hidden="1">{"Fecha_Novembro",#N/A,FALSE,"FECHAMENTO-2002 ";"Defer_Novembro",#N/A,FALSE,"DIFERIDO";"Pis_Novembro",#N/A,FALSE,"PIS COFINS";"Iss_Novembro",#N/A,FALSE,"ISS"}</definedName>
    <definedName name="__________________________________fl1111" localSheetId="11" hidden="1">{"Fecha_Novembro",#N/A,FALSE,"FECHAMENTO-2002 ";"Defer_Novembro",#N/A,FALSE,"DIFERIDO";"Pis_Novembro",#N/A,FALSE,"PIS COFINS";"Iss_Novembro",#N/A,FALSE,"ISS"}</definedName>
    <definedName name="__________________________________fl1111" localSheetId="31" hidden="1">{"Fecha_Novembro",#N/A,FALSE,"FECHAMENTO-2002 ";"Defer_Novembro",#N/A,FALSE,"DIFERIDO";"Pis_Novembro",#N/A,FALSE,"PIS COFINS";"Iss_Novembro",#N/A,FALSE,"ISS"}</definedName>
    <definedName name="__________________________________fl1111" localSheetId="48" hidden="1">{"Fecha_Novembro",#N/A,FALSE,"FECHAMENTO-2002 ";"Defer_Novembro",#N/A,FALSE,"DIFERIDO";"Pis_Novembro",#N/A,FALSE,"PIS COFINS";"Iss_Novembro",#N/A,FALSE,"ISS"}</definedName>
    <definedName name="__________________________________fl1111" hidden="1">{"Fecha_Novembro",#N/A,FALSE,"FECHAMENTO-2002 ";"Defer_Novembro",#N/A,FALSE,"DIFERIDO";"Pis_Novembro",#N/A,FALSE,"PIS COFINS";"Iss_Novembro",#N/A,FALSE,"ISS"}</definedName>
    <definedName name="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fl1111" localSheetId="15" hidden="1">{"Fecha_Novembro",#N/A,FALSE,"FECHAMENTO-2002 ";"Defer_Novembro",#N/A,FALSE,"DIFERIDO";"Pis_Novembro",#N/A,FALSE,"PIS COFINS";"Iss_Novembro",#N/A,FALSE,"ISS"}</definedName>
    <definedName name="_________________________________fl1111" localSheetId="14" hidden="1">{"Fecha_Novembro",#N/A,FALSE,"FECHAMENTO-2002 ";"Defer_Novembro",#N/A,FALSE,"DIFERIDO";"Pis_Novembro",#N/A,FALSE,"PIS COFINS";"Iss_Novembro",#N/A,FALSE,"ISS"}</definedName>
    <definedName name="_________________________________fl1111" localSheetId="2" hidden="1">{"Fecha_Novembro",#N/A,FALSE,"FECHAMENTO-2002 ";"Defer_Novembro",#N/A,FALSE,"DIFERIDO";"Pis_Novembro",#N/A,FALSE,"PIS COFINS";"Iss_Novembro",#N/A,FALSE,"ISS"}</definedName>
    <definedName name="_________________________________fl1111" localSheetId="34" hidden="1">{"Fecha_Novembro",#N/A,FALSE,"FECHAMENTO-2002 ";"Defer_Novembro",#N/A,FALSE,"DIFERIDO";"Pis_Novembro",#N/A,FALSE,"PIS COFINS";"Iss_Novembro",#N/A,FALSE,"ISS"}</definedName>
    <definedName name="_________________________________fl1111" localSheetId="38" hidden="1">{"Fecha_Novembro",#N/A,FALSE,"FECHAMENTO-2002 ";"Defer_Novembro",#N/A,FALSE,"DIFERIDO";"Pis_Novembro",#N/A,FALSE,"PIS COFINS";"Iss_Novembro",#N/A,FALSE,"ISS"}</definedName>
    <definedName name="_________________________________fl1111" localSheetId="8" hidden="1">{"Fecha_Novembro",#N/A,FALSE,"FECHAMENTO-2002 ";"Defer_Novembro",#N/A,FALSE,"DIFERIDO";"Pis_Novembro",#N/A,FALSE,"PIS COFINS";"Iss_Novembro",#N/A,FALSE,"ISS"}</definedName>
    <definedName name="_________________________________fl1111" localSheetId="12" hidden="1">{"Fecha_Novembro",#N/A,FALSE,"FECHAMENTO-2002 ";"Defer_Novembro",#N/A,FALSE,"DIFERIDO";"Pis_Novembro",#N/A,FALSE,"PIS COFINS";"Iss_Novembro",#N/A,FALSE,"ISS"}</definedName>
    <definedName name="_________________________________fl1111" localSheetId="13" hidden="1">{"Fecha_Novembro",#N/A,FALSE,"FECHAMENTO-2002 ";"Defer_Novembro",#N/A,FALSE,"DIFERIDO";"Pis_Novembro",#N/A,FALSE,"PIS COFINS";"Iss_Novembro",#N/A,FALSE,"ISS"}</definedName>
    <definedName name="_________________________________fl1111" localSheetId="11" hidden="1">{"Fecha_Novembro",#N/A,FALSE,"FECHAMENTO-2002 ";"Defer_Novembro",#N/A,FALSE,"DIFERIDO";"Pis_Novembro",#N/A,FALSE,"PIS COFINS";"Iss_Novembro",#N/A,FALSE,"ISS"}</definedName>
    <definedName name="_________________________________fl1111" localSheetId="31" hidden="1">{"Fecha_Novembro",#N/A,FALSE,"FECHAMENTO-2002 ";"Defer_Novembro",#N/A,FALSE,"DIFERIDO";"Pis_Novembro",#N/A,FALSE,"PIS COFINS";"Iss_Novembro",#N/A,FALSE,"ISS"}</definedName>
    <definedName name="_________________________________fl1111" localSheetId="48" hidden="1">{"Fecha_Novembro",#N/A,FALSE,"FECHAMENTO-2002 ";"Defer_Novembro",#N/A,FALSE,"DIFERIDO";"Pis_Novembro",#N/A,FALSE,"PIS COFINS";"Iss_Novembro",#N/A,FALSE,"ISS"}</definedName>
    <definedName name="_________________________________fl1111" hidden="1">{"Fecha_Novembro",#N/A,FALSE,"FECHAMENTO-2002 ";"Defer_Novembro",#N/A,FALSE,"DIFERIDO";"Pis_Novembro",#N/A,FALSE,"PIS COFINS";"Iss_Novembro",#N/A,FALSE,"ISS"}</definedName>
    <definedName name="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fl1111" localSheetId="15" hidden="1">{"Fecha_Novembro",#N/A,FALSE,"FECHAMENTO-2002 ";"Defer_Novembro",#N/A,FALSE,"DIFERIDO";"Pis_Novembro",#N/A,FALSE,"PIS COFINS";"Iss_Novembro",#N/A,FALSE,"ISS"}</definedName>
    <definedName name="________________________________fl1111" localSheetId="14" hidden="1">{"Fecha_Novembro",#N/A,FALSE,"FECHAMENTO-2002 ";"Defer_Novembro",#N/A,FALSE,"DIFERIDO";"Pis_Novembro",#N/A,FALSE,"PIS COFINS";"Iss_Novembro",#N/A,FALSE,"ISS"}</definedName>
    <definedName name="________________________________fl1111" localSheetId="2" hidden="1">{"Fecha_Novembro",#N/A,FALSE,"FECHAMENTO-2002 ";"Defer_Novembro",#N/A,FALSE,"DIFERIDO";"Pis_Novembro",#N/A,FALSE,"PIS COFINS";"Iss_Novembro",#N/A,FALSE,"ISS"}</definedName>
    <definedName name="________________________________fl1111" localSheetId="34" hidden="1">{"Fecha_Novembro",#N/A,FALSE,"FECHAMENTO-2002 ";"Defer_Novembro",#N/A,FALSE,"DIFERIDO";"Pis_Novembro",#N/A,FALSE,"PIS COFINS";"Iss_Novembro",#N/A,FALSE,"ISS"}</definedName>
    <definedName name="________________________________fl1111" localSheetId="38" hidden="1">{"Fecha_Novembro",#N/A,FALSE,"FECHAMENTO-2002 ";"Defer_Novembro",#N/A,FALSE,"DIFERIDO";"Pis_Novembro",#N/A,FALSE,"PIS COFINS";"Iss_Novembro",#N/A,FALSE,"ISS"}</definedName>
    <definedName name="________________________________fl1111" localSheetId="8" hidden="1">{"Fecha_Novembro",#N/A,FALSE,"FECHAMENTO-2002 ";"Defer_Novembro",#N/A,FALSE,"DIFERIDO";"Pis_Novembro",#N/A,FALSE,"PIS COFINS";"Iss_Novembro",#N/A,FALSE,"ISS"}</definedName>
    <definedName name="________________________________fl1111" localSheetId="12" hidden="1">{"Fecha_Novembro",#N/A,FALSE,"FECHAMENTO-2002 ";"Defer_Novembro",#N/A,FALSE,"DIFERIDO";"Pis_Novembro",#N/A,FALSE,"PIS COFINS";"Iss_Novembro",#N/A,FALSE,"ISS"}</definedName>
    <definedName name="________________________________fl1111" localSheetId="13" hidden="1">{"Fecha_Novembro",#N/A,FALSE,"FECHAMENTO-2002 ";"Defer_Novembro",#N/A,FALSE,"DIFERIDO";"Pis_Novembro",#N/A,FALSE,"PIS COFINS";"Iss_Novembro",#N/A,FALSE,"ISS"}</definedName>
    <definedName name="________________________________fl1111" localSheetId="11" hidden="1">{"Fecha_Novembro",#N/A,FALSE,"FECHAMENTO-2002 ";"Defer_Novembro",#N/A,FALSE,"DIFERIDO";"Pis_Novembro",#N/A,FALSE,"PIS COFINS";"Iss_Novembro",#N/A,FALSE,"ISS"}</definedName>
    <definedName name="________________________________fl1111" localSheetId="31" hidden="1">{"Fecha_Novembro",#N/A,FALSE,"FECHAMENTO-2002 ";"Defer_Novembro",#N/A,FALSE,"DIFERIDO";"Pis_Novembro",#N/A,FALSE,"PIS COFINS";"Iss_Novembro",#N/A,FALSE,"ISS"}</definedName>
    <definedName name="________________________________fl1111" localSheetId="48" hidden="1">{"Fecha_Novembro",#N/A,FALSE,"FECHAMENTO-2002 ";"Defer_Novembro",#N/A,FALSE,"DIFERIDO";"Pis_Novembro",#N/A,FALSE,"PIS COFINS";"Iss_Novembro",#N/A,FALSE,"ISS"}</definedName>
    <definedName name="________________________________fl1111" hidden="1">{"Fecha_Novembro",#N/A,FALSE,"FECHAMENTO-2002 ";"Defer_Novembro",#N/A,FALSE,"DIFERIDO";"Pis_Novembro",#N/A,FALSE,"PIS COFINS";"Iss_Novembro",#N/A,FALSE,"ISS"}</definedName>
    <definedName name="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fl1111" localSheetId="15" hidden="1">{"Fecha_Novembro",#N/A,FALSE,"FECHAMENTO-2002 ";"Defer_Novembro",#N/A,FALSE,"DIFERIDO";"Pis_Novembro",#N/A,FALSE,"PIS COFINS";"Iss_Novembro",#N/A,FALSE,"ISS"}</definedName>
    <definedName name="_______________________________fl1111" localSheetId="14" hidden="1">{"Fecha_Novembro",#N/A,FALSE,"FECHAMENTO-2002 ";"Defer_Novembro",#N/A,FALSE,"DIFERIDO";"Pis_Novembro",#N/A,FALSE,"PIS COFINS";"Iss_Novembro",#N/A,FALSE,"ISS"}</definedName>
    <definedName name="_______________________________fl1111" localSheetId="2" hidden="1">{"Fecha_Novembro",#N/A,FALSE,"FECHAMENTO-2002 ";"Defer_Novembro",#N/A,FALSE,"DIFERIDO";"Pis_Novembro",#N/A,FALSE,"PIS COFINS";"Iss_Novembro",#N/A,FALSE,"ISS"}</definedName>
    <definedName name="_______________________________fl1111" localSheetId="34" hidden="1">{"Fecha_Novembro",#N/A,FALSE,"FECHAMENTO-2002 ";"Defer_Novembro",#N/A,FALSE,"DIFERIDO";"Pis_Novembro",#N/A,FALSE,"PIS COFINS";"Iss_Novembro",#N/A,FALSE,"ISS"}</definedName>
    <definedName name="_______________________________fl1111" localSheetId="38" hidden="1">{"Fecha_Novembro",#N/A,FALSE,"FECHAMENTO-2002 ";"Defer_Novembro",#N/A,FALSE,"DIFERIDO";"Pis_Novembro",#N/A,FALSE,"PIS COFINS";"Iss_Novembro",#N/A,FALSE,"ISS"}</definedName>
    <definedName name="_______________________________fl1111" localSheetId="8" hidden="1">{"Fecha_Novembro",#N/A,FALSE,"FECHAMENTO-2002 ";"Defer_Novembro",#N/A,FALSE,"DIFERIDO";"Pis_Novembro",#N/A,FALSE,"PIS COFINS";"Iss_Novembro",#N/A,FALSE,"ISS"}</definedName>
    <definedName name="_______________________________fl1111" localSheetId="12" hidden="1">{"Fecha_Novembro",#N/A,FALSE,"FECHAMENTO-2002 ";"Defer_Novembro",#N/A,FALSE,"DIFERIDO";"Pis_Novembro",#N/A,FALSE,"PIS COFINS";"Iss_Novembro",#N/A,FALSE,"ISS"}</definedName>
    <definedName name="_______________________________fl1111" localSheetId="13" hidden="1">{"Fecha_Novembro",#N/A,FALSE,"FECHAMENTO-2002 ";"Defer_Novembro",#N/A,FALSE,"DIFERIDO";"Pis_Novembro",#N/A,FALSE,"PIS COFINS";"Iss_Novembro",#N/A,FALSE,"ISS"}</definedName>
    <definedName name="_______________________________fl1111" localSheetId="11" hidden="1">{"Fecha_Novembro",#N/A,FALSE,"FECHAMENTO-2002 ";"Defer_Novembro",#N/A,FALSE,"DIFERIDO";"Pis_Novembro",#N/A,FALSE,"PIS COFINS";"Iss_Novembro",#N/A,FALSE,"ISS"}</definedName>
    <definedName name="_______________________________fl1111" localSheetId="31" hidden="1">{"Fecha_Novembro",#N/A,FALSE,"FECHAMENTO-2002 ";"Defer_Novembro",#N/A,FALSE,"DIFERIDO";"Pis_Novembro",#N/A,FALSE,"PIS COFINS";"Iss_Novembro",#N/A,FALSE,"ISS"}</definedName>
    <definedName name="_______________________________fl1111" localSheetId="48" hidden="1">{"Fecha_Novembro",#N/A,FALSE,"FECHAMENTO-2002 ";"Defer_Novembro",#N/A,FALSE,"DIFERIDO";"Pis_Novembro",#N/A,FALSE,"PIS COFINS";"Iss_Novembro",#N/A,FALSE,"ISS"}</definedName>
    <definedName name="_______________________________fl1111" hidden="1">{"Fecha_Novembro",#N/A,FALSE,"FECHAMENTO-2002 ";"Defer_Novembro",#N/A,FALSE,"DIFERIDO";"Pis_Novembro",#N/A,FALSE,"PIS COFINS";"Iss_Novembro",#N/A,FALSE,"ISS"}</definedName>
    <definedName name="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fl1111" localSheetId="15" hidden="1">{"Fecha_Novembro",#N/A,FALSE,"FECHAMENTO-2002 ";"Defer_Novembro",#N/A,FALSE,"DIFERIDO";"Pis_Novembro",#N/A,FALSE,"PIS COFINS";"Iss_Novembro",#N/A,FALSE,"ISS"}</definedName>
    <definedName name="______________________________fl1111" localSheetId="14" hidden="1">{"Fecha_Novembro",#N/A,FALSE,"FECHAMENTO-2002 ";"Defer_Novembro",#N/A,FALSE,"DIFERIDO";"Pis_Novembro",#N/A,FALSE,"PIS COFINS";"Iss_Novembro",#N/A,FALSE,"ISS"}</definedName>
    <definedName name="______________________________fl1111" localSheetId="2" hidden="1">{"Fecha_Novembro",#N/A,FALSE,"FECHAMENTO-2002 ";"Defer_Novembro",#N/A,FALSE,"DIFERIDO";"Pis_Novembro",#N/A,FALSE,"PIS COFINS";"Iss_Novembro",#N/A,FALSE,"ISS"}</definedName>
    <definedName name="______________________________fl1111" localSheetId="34" hidden="1">{"Fecha_Novembro",#N/A,FALSE,"FECHAMENTO-2002 ";"Defer_Novembro",#N/A,FALSE,"DIFERIDO";"Pis_Novembro",#N/A,FALSE,"PIS COFINS";"Iss_Novembro",#N/A,FALSE,"ISS"}</definedName>
    <definedName name="______________________________fl1111" localSheetId="38" hidden="1">{"Fecha_Novembro",#N/A,FALSE,"FECHAMENTO-2002 ";"Defer_Novembro",#N/A,FALSE,"DIFERIDO";"Pis_Novembro",#N/A,FALSE,"PIS COFINS";"Iss_Novembro",#N/A,FALSE,"ISS"}</definedName>
    <definedName name="______________________________fl1111" localSheetId="8" hidden="1">{"Fecha_Novembro",#N/A,FALSE,"FECHAMENTO-2002 ";"Defer_Novembro",#N/A,FALSE,"DIFERIDO";"Pis_Novembro",#N/A,FALSE,"PIS COFINS";"Iss_Novembro",#N/A,FALSE,"ISS"}</definedName>
    <definedName name="______________________________fl1111" localSheetId="12" hidden="1">{"Fecha_Novembro",#N/A,FALSE,"FECHAMENTO-2002 ";"Defer_Novembro",#N/A,FALSE,"DIFERIDO";"Pis_Novembro",#N/A,FALSE,"PIS COFINS";"Iss_Novembro",#N/A,FALSE,"ISS"}</definedName>
    <definedName name="______________________________fl1111" localSheetId="13" hidden="1">{"Fecha_Novembro",#N/A,FALSE,"FECHAMENTO-2002 ";"Defer_Novembro",#N/A,FALSE,"DIFERIDO";"Pis_Novembro",#N/A,FALSE,"PIS COFINS";"Iss_Novembro",#N/A,FALSE,"ISS"}</definedName>
    <definedName name="______________________________fl1111" localSheetId="11" hidden="1">{"Fecha_Novembro",#N/A,FALSE,"FECHAMENTO-2002 ";"Defer_Novembro",#N/A,FALSE,"DIFERIDO";"Pis_Novembro",#N/A,FALSE,"PIS COFINS";"Iss_Novembro",#N/A,FALSE,"ISS"}</definedName>
    <definedName name="______________________________fl1111" localSheetId="31" hidden="1">{"Fecha_Novembro",#N/A,FALSE,"FECHAMENTO-2002 ";"Defer_Novembro",#N/A,FALSE,"DIFERIDO";"Pis_Novembro",#N/A,FALSE,"PIS COFINS";"Iss_Novembro",#N/A,FALSE,"ISS"}</definedName>
    <definedName name="______________________________fl1111" localSheetId="48" hidden="1">{"Fecha_Novembro",#N/A,FALSE,"FECHAMENTO-2002 ";"Defer_Novembro",#N/A,FALSE,"DIFERIDO";"Pis_Novembro",#N/A,FALSE,"PIS COFINS";"Iss_Novembro",#N/A,FALSE,"ISS"}</definedName>
    <definedName name="______________________________fl1111" hidden="1">{"Fecha_Novembro",#N/A,FALSE,"FECHAMENTO-2002 ";"Defer_Novembro",#N/A,FALSE,"DIFERIDO";"Pis_Novembro",#N/A,FALSE,"PIS COFINS";"Iss_Novembro",#N/A,FALSE,"ISS"}</definedName>
    <definedName name="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fl1111" localSheetId="15" hidden="1">{"Fecha_Novembro",#N/A,FALSE,"FECHAMENTO-2002 ";"Defer_Novembro",#N/A,FALSE,"DIFERIDO";"Pis_Novembro",#N/A,FALSE,"PIS COFINS";"Iss_Novembro",#N/A,FALSE,"ISS"}</definedName>
    <definedName name="_____________________________fl1111" localSheetId="14" hidden="1">{"Fecha_Novembro",#N/A,FALSE,"FECHAMENTO-2002 ";"Defer_Novembro",#N/A,FALSE,"DIFERIDO";"Pis_Novembro",#N/A,FALSE,"PIS COFINS";"Iss_Novembro",#N/A,FALSE,"ISS"}</definedName>
    <definedName name="_____________________________fl1111" localSheetId="2" hidden="1">{"Fecha_Novembro",#N/A,FALSE,"FECHAMENTO-2002 ";"Defer_Novembro",#N/A,FALSE,"DIFERIDO";"Pis_Novembro",#N/A,FALSE,"PIS COFINS";"Iss_Novembro",#N/A,FALSE,"ISS"}</definedName>
    <definedName name="_____________________________fl1111" localSheetId="34" hidden="1">{"Fecha_Novembro",#N/A,FALSE,"FECHAMENTO-2002 ";"Defer_Novembro",#N/A,FALSE,"DIFERIDO";"Pis_Novembro",#N/A,FALSE,"PIS COFINS";"Iss_Novembro",#N/A,FALSE,"ISS"}</definedName>
    <definedName name="_____________________________fl1111" localSheetId="38" hidden="1">{"Fecha_Novembro",#N/A,FALSE,"FECHAMENTO-2002 ";"Defer_Novembro",#N/A,FALSE,"DIFERIDO";"Pis_Novembro",#N/A,FALSE,"PIS COFINS";"Iss_Novembro",#N/A,FALSE,"ISS"}</definedName>
    <definedName name="_____________________________fl1111" localSheetId="8" hidden="1">{"Fecha_Novembro",#N/A,FALSE,"FECHAMENTO-2002 ";"Defer_Novembro",#N/A,FALSE,"DIFERIDO";"Pis_Novembro",#N/A,FALSE,"PIS COFINS";"Iss_Novembro",#N/A,FALSE,"ISS"}</definedName>
    <definedName name="_____________________________fl1111" localSheetId="12" hidden="1">{"Fecha_Novembro",#N/A,FALSE,"FECHAMENTO-2002 ";"Defer_Novembro",#N/A,FALSE,"DIFERIDO";"Pis_Novembro",#N/A,FALSE,"PIS COFINS";"Iss_Novembro",#N/A,FALSE,"ISS"}</definedName>
    <definedName name="_____________________________fl1111" localSheetId="13" hidden="1">{"Fecha_Novembro",#N/A,FALSE,"FECHAMENTO-2002 ";"Defer_Novembro",#N/A,FALSE,"DIFERIDO";"Pis_Novembro",#N/A,FALSE,"PIS COFINS";"Iss_Novembro",#N/A,FALSE,"ISS"}</definedName>
    <definedName name="_____________________________fl1111" localSheetId="11" hidden="1">{"Fecha_Novembro",#N/A,FALSE,"FECHAMENTO-2002 ";"Defer_Novembro",#N/A,FALSE,"DIFERIDO";"Pis_Novembro",#N/A,FALSE,"PIS COFINS";"Iss_Novembro",#N/A,FALSE,"ISS"}</definedName>
    <definedName name="_____________________________fl1111" localSheetId="31" hidden="1">{"Fecha_Novembro",#N/A,FALSE,"FECHAMENTO-2002 ";"Defer_Novembro",#N/A,FALSE,"DIFERIDO";"Pis_Novembro",#N/A,FALSE,"PIS COFINS";"Iss_Novembro",#N/A,FALSE,"ISS"}</definedName>
    <definedName name="_____________________________fl1111" localSheetId="48" hidden="1">{"Fecha_Novembro",#N/A,FALSE,"FECHAMENTO-2002 ";"Defer_Novembro",#N/A,FALSE,"DIFERIDO";"Pis_Novembro",#N/A,FALSE,"PIS COFINS";"Iss_Novembro",#N/A,FALSE,"ISS"}</definedName>
    <definedName name="_____________________________fl1111" hidden="1">{"Fecha_Novembro",#N/A,FALSE,"FECHAMENTO-2002 ";"Defer_Novembro",#N/A,FALSE,"DIFERIDO";"Pis_Novembro",#N/A,FALSE,"PIS COFINS";"Iss_Novembro",#N/A,FALSE,"ISS"}</definedName>
    <definedName name="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fl1111" localSheetId="15" hidden="1">{"Fecha_Novembro",#N/A,FALSE,"FECHAMENTO-2002 ";"Defer_Novembro",#N/A,FALSE,"DIFERIDO";"Pis_Novembro",#N/A,FALSE,"PIS COFINS";"Iss_Novembro",#N/A,FALSE,"ISS"}</definedName>
    <definedName name="____________________________fl1111" localSheetId="14" hidden="1">{"Fecha_Novembro",#N/A,FALSE,"FECHAMENTO-2002 ";"Defer_Novembro",#N/A,FALSE,"DIFERIDO";"Pis_Novembro",#N/A,FALSE,"PIS COFINS";"Iss_Novembro",#N/A,FALSE,"ISS"}</definedName>
    <definedName name="____________________________fl1111" localSheetId="2" hidden="1">{"Fecha_Novembro",#N/A,FALSE,"FECHAMENTO-2002 ";"Defer_Novembro",#N/A,FALSE,"DIFERIDO";"Pis_Novembro",#N/A,FALSE,"PIS COFINS";"Iss_Novembro",#N/A,FALSE,"ISS"}</definedName>
    <definedName name="____________________________fl1111" localSheetId="34" hidden="1">{"Fecha_Novembro",#N/A,FALSE,"FECHAMENTO-2002 ";"Defer_Novembro",#N/A,FALSE,"DIFERIDO";"Pis_Novembro",#N/A,FALSE,"PIS COFINS";"Iss_Novembro",#N/A,FALSE,"ISS"}</definedName>
    <definedName name="____________________________fl1111" localSheetId="38" hidden="1">{"Fecha_Novembro",#N/A,FALSE,"FECHAMENTO-2002 ";"Defer_Novembro",#N/A,FALSE,"DIFERIDO";"Pis_Novembro",#N/A,FALSE,"PIS COFINS";"Iss_Novembro",#N/A,FALSE,"ISS"}</definedName>
    <definedName name="____________________________fl1111" localSheetId="8" hidden="1">{"Fecha_Novembro",#N/A,FALSE,"FECHAMENTO-2002 ";"Defer_Novembro",#N/A,FALSE,"DIFERIDO";"Pis_Novembro",#N/A,FALSE,"PIS COFINS";"Iss_Novembro",#N/A,FALSE,"ISS"}</definedName>
    <definedName name="____________________________fl1111" localSheetId="12" hidden="1">{"Fecha_Novembro",#N/A,FALSE,"FECHAMENTO-2002 ";"Defer_Novembro",#N/A,FALSE,"DIFERIDO";"Pis_Novembro",#N/A,FALSE,"PIS COFINS";"Iss_Novembro",#N/A,FALSE,"ISS"}</definedName>
    <definedName name="____________________________fl1111" localSheetId="13" hidden="1">{"Fecha_Novembro",#N/A,FALSE,"FECHAMENTO-2002 ";"Defer_Novembro",#N/A,FALSE,"DIFERIDO";"Pis_Novembro",#N/A,FALSE,"PIS COFINS";"Iss_Novembro",#N/A,FALSE,"ISS"}</definedName>
    <definedName name="____________________________fl1111" localSheetId="11" hidden="1">{"Fecha_Novembro",#N/A,FALSE,"FECHAMENTO-2002 ";"Defer_Novembro",#N/A,FALSE,"DIFERIDO";"Pis_Novembro",#N/A,FALSE,"PIS COFINS";"Iss_Novembro",#N/A,FALSE,"ISS"}</definedName>
    <definedName name="____________________________fl1111" localSheetId="31" hidden="1">{"Fecha_Novembro",#N/A,FALSE,"FECHAMENTO-2002 ";"Defer_Novembro",#N/A,FALSE,"DIFERIDO";"Pis_Novembro",#N/A,FALSE,"PIS COFINS";"Iss_Novembro",#N/A,FALSE,"ISS"}</definedName>
    <definedName name="____________________________fl1111" localSheetId="48" hidden="1">{"Fecha_Novembro",#N/A,FALSE,"FECHAMENTO-2002 ";"Defer_Novembro",#N/A,FALSE,"DIFERIDO";"Pis_Novembro",#N/A,FALSE,"PIS COFINS";"Iss_Novembro",#N/A,FALSE,"ISS"}</definedName>
    <definedName name="____________________________fl1111" hidden="1">{"Fecha_Novembro",#N/A,FALSE,"FECHAMENTO-2002 ";"Defer_Novembro",#N/A,FALSE,"DIFERIDO";"Pis_Novembro",#N/A,FALSE,"PIS COFINS";"Iss_Novembro",#N/A,FALSE,"ISS"}</definedName>
    <definedName name="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fl1111" localSheetId="15" hidden="1">{"Fecha_Novembro",#N/A,FALSE,"FECHAMENTO-2002 ";"Defer_Novembro",#N/A,FALSE,"DIFERIDO";"Pis_Novembro",#N/A,FALSE,"PIS COFINS";"Iss_Novembro",#N/A,FALSE,"ISS"}</definedName>
    <definedName name="___________________________fl1111" localSheetId="14" hidden="1">{"Fecha_Novembro",#N/A,FALSE,"FECHAMENTO-2002 ";"Defer_Novembro",#N/A,FALSE,"DIFERIDO";"Pis_Novembro",#N/A,FALSE,"PIS COFINS";"Iss_Novembro",#N/A,FALSE,"ISS"}</definedName>
    <definedName name="___________________________fl1111" localSheetId="2" hidden="1">{"Fecha_Novembro",#N/A,FALSE,"FECHAMENTO-2002 ";"Defer_Novembro",#N/A,FALSE,"DIFERIDO";"Pis_Novembro",#N/A,FALSE,"PIS COFINS";"Iss_Novembro",#N/A,FALSE,"ISS"}</definedName>
    <definedName name="___________________________fl1111" localSheetId="34" hidden="1">{"Fecha_Novembro",#N/A,FALSE,"FECHAMENTO-2002 ";"Defer_Novembro",#N/A,FALSE,"DIFERIDO";"Pis_Novembro",#N/A,FALSE,"PIS COFINS";"Iss_Novembro",#N/A,FALSE,"ISS"}</definedName>
    <definedName name="___________________________fl1111" localSheetId="38" hidden="1">{"Fecha_Novembro",#N/A,FALSE,"FECHAMENTO-2002 ";"Defer_Novembro",#N/A,FALSE,"DIFERIDO";"Pis_Novembro",#N/A,FALSE,"PIS COFINS";"Iss_Novembro",#N/A,FALSE,"ISS"}</definedName>
    <definedName name="___________________________fl1111" localSheetId="8" hidden="1">{"Fecha_Novembro",#N/A,FALSE,"FECHAMENTO-2002 ";"Defer_Novembro",#N/A,FALSE,"DIFERIDO";"Pis_Novembro",#N/A,FALSE,"PIS COFINS";"Iss_Novembro",#N/A,FALSE,"ISS"}</definedName>
    <definedName name="___________________________fl1111" localSheetId="12" hidden="1">{"Fecha_Novembro",#N/A,FALSE,"FECHAMENTO-2002 ";"Defer_Novembro",#N/A,FALSE,"DIFERIDO";"Pis_Novembro",#N/A,FALSE,"PIS COFINS";"Iss_Novembro",#N/A,FALSE,"ISS"}</definedName>
    <definedName name="___________________________fl1111" localSheetId="13" hidden="1">{"Fecha_Novembro",#N/A,FALSE,"FECHAMENTO-2002 ";"Defer_Novembro",#N/A,FALSE,"DIFERIDO";"Pis_Novembro",#N/A,FALSE,"PIS COFINS";"Iss_Novembro",#N/A,FALSE,"ISS"}</definedName>
    <definedName name="___________________________fl1111" localSheetId="11" hidden="1">{"Fecha_Novembro",#N/A,FALSE,"FECHAMENTO-2002 ";"Defer_Novembro",#N/A,FALSE,"DIFERIDO";"Pis_Novembro",#N/A,FALSE,"PIS COFINS";"Iss_Novembro",#N/A,FALSE,"ISS"}</definedName>
    <definedName name="___________________________fl1111" localSheetId="31" hidden="1">{"Fecha_Novembro",#N/A,FALSE,"FECHAMENTO-2002 ";"Defer_Novembro",#N/A,FALSE,"DIFERIDO";"Pis_Novembro",#N/A,FALSE,"PIS COFINS";"Iss_Novembro",#N/A,FALSE,"ISS"}</definedName>
    <definedName name="___________________________fl1111" localSheetId="48" hidden="1">{"Fecha_Novembro",#N/A,FALSE,"FECHAMENTO-2002 ";"Defer_Novembro",#N/A,FALSE,"DIFERIDO";"Pis_Novembro",#N/A,FALSE,"PIS COFINS";"Iss_Novembro",#N/A,FALSE,"ISS"}</definedName>
    <definedName name="___________________________fl1111" hidden="1">{"Fecha_Novembro",#N/A,FALSE,"FECHAMENTO-2002 ";"Defer_Novembro",#N/A,FALSE,"DIFERIDO";"Pis_Novembro",#N/A,FALSE,"PIS COFINS";"Iss_Novembro",#N/A,FALSE,"ISS"}</definedName>
    <definedName name="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fl1111" localSheetId="15" hidden="1">{"Fecha_Novembro",#N/A,FALSE,"FECHAMENTO-2002 ";"Defer_Novembro",#N/A,FALSE,"DIFERIDO";"Pis_Novembro",#N/A,FALSE,"PIS COFINS";"Iss_Novembro",#N/A,FALSE,"ISS"}</definedName>
    <definedName name="__________________________fl1111" localSheetId="14" hidden="1">{"Fecha_Novembro",#N/A,FALSE,"FECHAMENTO-2002 ";"Defer_Novembro",#N/A,FALSE,"DIFERIDO";"Pis_Novembro",#N/A,FALSE,"PIS COFINS";"Iss_Novembro",#N/A,FALSE,"ISS"}</definedName>
    <definedName name="__________________________fl1111" localSheetId="2" hidden="1">{"Fecha_Novembro",#N/A,FALSE,"FECHAMENTO-2002 ";"Defer_Novembro",#N/A,FALSE,"DIFERIDO";"Pis_Novembro",#N/A,FALSE,"PIS COFINS";"Iss_Novembro",#N/A,FALSE,"ISS"}</definedName>
    <definedName name="__________________________fl1111" localSheetId="34" hidden="1">{"Fecha_Novembro",#N/A,FALSE,"FECHAMENTO-2002 ";"Defer_Novembro",#N/A,FALSE,"DIFERIDO";"Pis_Novembro",#N/A,FALSE,"PIS COFINS";"Iss_Novembro",#N/A,FALSE,"ISS"}</definedName>
    <definedName name="__________________________fl1111" localSheetId="38" hidden="1">{"Fecha_Novembro",#N/A,FALSE,"FECHAMENTO-2002 ";"Defer_Novembro",#N/A,FALSE,"DIFERIDO";"Pis_Novembro",#N/A,FALSE,"PIS COFINS";"Iss_Novembro",#N/A,FALSE,"ISS"}</definedName>
    <definedName name="__________________________fl1111" localSheetId="8" hidden="1">{"Fecha_Novembro",#N/A,FALSE,"FECHAMENTO-2002 ";"Defer_Novembro",#N/A,FALSE,"DIFERIDO";"Pis_Novembro",#N/A,FALSE,"PIS COFINS";"Iss_Novembro",#N/A,FALSE,"ISS"}</definedName>
    <definedName name="__________________________fl1111" localSheetId="12" hidden="1">{"Fecha_Novembro",#N/A,FALSE,"FECHAMENTO-2002 ";"Defer_Novembro",#N/A,FALSE,"DIFERIDO";"Pis_Novembro",#N/A,FALSE,"PIS COFINS";"Iss_Novembro",#N/A,FALSE,"ISS"}</definedName>
    <definedName name="__________________________fl1111" localSheetId="13" hidden="1">{"Fecha_Novembro",#N/A,FALSE,"FECHAMENTO-2002 ";"Defer_Novembro",#N/A,FALSE,"DIFERIDO";"Pis_Novembro",#N/A,FALSE,"PIS COFINS";"Iss_Novembro",#N/A,FALSE,"ISS"}</definedName>
    <definedName name="__________________________fl1111" localSheetId="11" hidden="1">{"Fecha_Novembro",#N/A,FALSE,"FECHAMENTO-2002 ";"Defer_Novembro",#N/A,FALSE,"DIFERIDO";"Pis_Novembro",#N/A,FALSE,"PIS COFINS";"Iss_Novembro",#N/A,FALSE,"ISS"}</definedName>
    <definedName name="__________________________fl1111" localSheetId="31" hidden="1">{"Fecha_Novembro",#N/A,FALSE,"FECHAMENTO-2002 ";"Defer_Novembro",#N/A,FALSE,"DIFERIDO";"Pis_Novembro",#N/A,FALSE,"PIS COFINS";"Iss_Novembro",#N/A,FALSE,"ISS"}</definedName>
    <definedName name="__________________________fl1111" localSheetId="48" hidden="1">{"Fecha_Novembro",#N/A,FALSE,"FECHAMENTO-2002 ";"Defer_Novembro",#N/A,FALSE,"DIFERIDO";"Pis_Novembro",#N/A,FALSE,"PIS COFINS";"Iss_Novembro",#N/A,FALSE,"ISS"}</definedName>
    <definedName name="__________________________fl1111" hidden="1">{"Fecha_Novembro",#N/A,FALSE,"FECHAMENTO-2002 ";"Defer_Novembro",#N/A,FALSE,"DIFERIDO";"Pis_Novembro",#N/A,FALSE,"PIS COFINS";"Iss_Novembro",#N/A,FALSE,"ISS"}</definedName>
    <definedName name="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fl1111" localSheetId="15" hidden="1">{"Fecha_Novembro",#N/A,FALSE,"FECHAMENTO-2002 ";"Defer_Novembro",#N/A,FALSE,"DIFERIDO";"Pis_Novembro",#N/A,FALSE,"PIS COFINS";"Iss_Novembro",#N/A,FALSE,"ISS"}</definedName>
    <definedName name="_________________________fl1111" localSheetId="14" hidden="1">{"Fecha_Novembro",#N/A,FALSE,"FECHAMENTO-2002 ";"Defer_Novembro",#N/A,FALSE,"DIFERIDO";"Pis_Novembro",#N/A,FALSE,"PIS COFINS";"Iss_Novembro",#N/A,FALSE,"ISS"}</definedName>
    <definedName name="_________________________fl1111" localSheetId="2" hidden="1">{"Fecha_Novembro",#N/A,FALSE,"FECHAMENTO-2002 ";"Defer_Novembro",#N/A,FALSE,"DIFERIDO";"Pis_Novembro",#N/A,FALSE,"PIS COFINS";"Iss_Novembro",#N/A,FALSE,"ISS"}</definedName>
    <definedName name="_________________________fl1111" localSheetId="34" hidden="1">{"Fecha_Novembro",#N/A,FALSE,"FECHAMENTO-2002 ";"Defer_Novembro",#N/A,FALSE,"DIFERIDO";"Pis_Novembro",#N/A,FALSE,"PIS COFINS";"Iss_Novembro",#N/A,FALSE,"ISS"}</definedName>
    <definedName name="_________________________fl1111" localSheetId="38" hidden="1">{"Fecha_Novembro",#N/A,FALSE,"FECHAMENTO-2002 ";"Defer_Novembro",#N/A,FALSE,"DIFERIDO";"Pis_Novembro",#N/A,FALSE,"PIS COFINS";"Iss_Novembro",#N/A,FALSE,"ISS"}</definedName>
    <definedName name="_________________________fl1111" localSheetId="8" hidden="1">{"Fecha_Novembro",#N/A,FALSE,"FECHAMENTO-2002 ";"Defer_Novembro",#N/A,FALSE,"DIFERIDO";"Pis_Novembro",#N/A,FALSE,"PIS COFINS";"Iss_Novembro",#N/A,FALSE,"ISS"}</definedName>
    <definedName name="_________________________fl1111" localSheetId="12" hidden="1">{"Fecha_Novembro",#N/A,FALSE,"FECHAMENTO-2002 ";"Defer_Novembro",#N/A,FALSE,"DIFERIDO";"Pis_Novembro",#N/A,FALSE,"PIS COFINS";"Iss_Novembro",#N/A,FALSE,"ISS"}</definedName>
    <definedName name="_________________________fl1111" localSheetId="13" hidden="1">{"Fecha_Novembro",#N/A,FALSE,"FECHAMENTO-2002 ";"Defer_Novembro",#N/A,FALSE,"DIFERIDO";"Pis_Novembro",#N/A,FALSE,"PIS COFINS";"Iss_Novembro",#N/A,FALSE,"ISS"}</definedName>
    <definedName name="_________________________fl1111" localSheetId="11" hidden="1">{"Fecha_Novembro",#N/A,FALSE,"FECHAMENTO-2002 ";"Defer_Novembro",#N/A,FALSE,"DIFERIDO";"Pis_Novembro",#N/A,FALSE,"PIS COFINS";"Iss_Novembro",#N/A,FALSE,"ISS"}</definedName>
    <definedName name="_________________________fl1111" localSheetId="31" hidden="1">{"Fecha_Novembro",#N/A,FALSE,"FECHAMENTO-2002 ";"Defer_Novembro",#N/A,FALSE,"DIFERIDO";"Pis_Novembro",#N/A,FALSE,"PIS COFINS";"Iss_Novembro",#N/A,FALSE,"ISS"}</definedName>
    <definedName name="_________________________fl1111" localSheetId="48" hidden="1">{"Fecha_Novembro",#N/A,FALSE,"FECHAMENTO-2002 ";"Defer_Novembro",#N/A,FALSE,"DIFERIDO";"Pis_Novembro",#N/A,FALSE,"PIS COFINS";"Iss_Novembro",#N/A,FALSE,"ISS"}</definedName>
    <definedName name="_________________________fl1111" hidden="1">{"Fecha_Novembro",#N/A,FALSE,"FECHAMENTO-2002 ";"Defer_Novembro",#N/A,FALSE,"DIFERIDO";"Pis_Novembro",#N/A,FALSE,"PIS COFINS";"Iss_Novembro",#N/A,FALSE,"ISS"}</definedName>
    <definedName name="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fl1111" localSheetId="15" hidden="1">{"Fecha_Novembro",#N/A,FALSE,"FECHAMENTO-2002 ";"Defer_Novembro",#N/A,FALSE,"DIFERIDO";"Pis_Novembro",#N/A,FALSE,"PIS COFINS";"Iss_Novembro",#N/A,FALSE,"ISS"}</definedName>
    <definedName name="________________________fl1111" localSheetId="14" hidden="1">{"Fecha_Novembro",#N/A,FALSE,"FECHAMENTO-2002 ";"Defer_Novembro",#N/A,FALSE,"DIFERIDO";"Pis_Novembro",#N/A,FALSE,"PIS COFINS";"Iss_Novembro",#N/A,FALSE,"ISS"}</definedName>
    <definedName name="________________________fl1111" localSheetId="2" hidden="1">{"Fecha_Novembro",#N/A,FALSE,"FECHAMENTO-2002 ";"Defer_Novembro",#N/A,FALSE,"DIFERIDO";"Pis_Novembro",#N/A,FALSE,"PIS COFINS";"Iss_Novembro",#N/A,FALSE,"ISS"}</definedName>
    <definedName name="________________________fl1111" localSheetId="34" hidden="1">{"Fecha_Novembro",#N/A,FALSE,"FECHAMENTO-2002 ";"Defer_Novembro",#N/A,FALSE,"DIFERIDO";"Pis_Novembro",#N/A,FALSE,"PIS COFINS";"Iss_Novembro",#N/A,FALSE,"ISS"}</definedName>
    <definedName name="________________________fl1111" localSheetId="38" hidden="1">{"Fecha_Novembro",#N/A,FALSE,"FECHAMENTO-2002 ";"Defer_Novembro",#N/A,FALSE,"DIFERIDO";"Pis_Novembro",#N/A,FALSE,"PIS COFINS";"Iss_Novembro",#N/A,FALSE,"ISS"}</definedName>
    <definedName name="________________________fl1111" localSheetId="8" hidden="1">{"Fecha_Novembro",#N/A,FALSE,"FECHAMENTO-2002 ";"Defer_Novembro",#N/A,FALSE,"DIFERIDO";"Pis_Novembro",#N/A,FALSE,"PIS COFINS";"Iss_Novembro",#N/A,FALSE,"ISS"}</definedName>
    <definedName name="________________________fl1111" localSheetId="12" hidden="1">{"Fecha_Novembro",#N/A,FALSE,"FECHAMENTO-2002 ";"Defer_Novembro",#N/A,FALSE,"DIFERIDO";"Pis_Novembro",#N/A,FALSE,"PIS COFINS";"Iss_Novembro",#N/A,FALSE,"ISS"}</definedName>
    <definedName name="________________________fl1111" localSheetId="13" hidden="1">{"Fecha_Novembro",#N/A,FALSE,"FECHAMENTO-2002 ";"Defer_Novembro",#N/A,FALSE,"DIFERIDO";"Pis_Novembro",#N/A,FALSE,"PIS COFINS";"Iss_Novembro",#N/A,FALSE,"ISS"}</definedName>
    <definedName name="________________________fl1111" localSheetId="11" hidden="1">{"Fecha_Novembro",#N/A,FALSE,"FECHAMENTO-2002 ";"Defer_Novembro",#N/A,FALSE,"DIFERIDO";"Pis_Novembro",#N/A,FALSE,"PIS COFINS";"Iss_Novembro",#N/A,FALSE,"ISS"}</definedName>
    <definedName name="________________________fl1111" localSheetId="31" hidden="1">{"Fecha_Novembro",#N/A,FALSE,"FECHAMENTO-2002 ";"Defer_Novembro",#N/A,FALSE,"DIFERIDO";"Pis_Novembro",#N/A,FALSE,"PIS COFINS";"Iss_Novembro",#N/A,FALSE,"ISS"}</definedName>
    <definedName name="________________________fl1111" localSheetId="48" hidden="1">{"Fecha_Novembro",#N/A,FALSE,"FECHAMENTO-2002 ";"Defer_Novembro",#N/A,FALSE,"DIFERIDO";"Pis_Novembro",#N/A,FALSE,"PIS COFINS";"Iss_Novembro",#N/A,FALSE,"ISS"}</definedName>
    <definedName name="________________________fl1111" hidden="1">{"Fecha_Novembro",#N/A,FALSE,"FECHAMENTO-2002 ";"Defer_Novembro",#N/A,FALSE,"DIFERIDO";"Pis_Novembro",#N/A,FALSE,"PIS COFINS";"Iss_Novembro",#N/A,FALSE,"ISS"}</definedName>
    <definedName name="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fl1111" localSheetId="15" hidden="1">{"Fecha_Novembro",#N/A,FALSE,"FECHAMENTO-2002 ";"Defer_Novembro",#N/A,FALSE,"DIFERIDO";"Pis_Novembro",#N/A,FALSE,"PIS COFINS";"Iss_Novembro",#N/A,FALSE,"ISS"}</definedName>
    <definedName name="_______________________fl1111" localSheetId="14" hidden="1">{"Fecha_Novembro",#N/A,FALSE,"FECHAMENTO-2002 ";"Defer_Novembro",#N/A,FALSE,"DIFERIDO";"Pis_Novembro",#N/A,FALSE,"PIS COFINS";"Iss_Novembro",#N/A,FALSE,"ISS"}</definedName>
    <definedName name="_______________________fl1111" localSheetId="2" hidden="1">{"Fecha_Novembro",#N/A,FALSE,"FECHAMENTO-2002 ";"Defer_Novembro",#N/A,FALSE,"DIFERIDO";"Pis_Novembro",#N/A,FALSE,"PIS COFINS";"Iss_Novembro",#N/A,FALSE,"ISS"}</definedName>
    <definedName name="_______________________fl1111" localSheetId="34" hidden="1">{"Fecha_Novembro",#N/A,FALSE,"FECHAMENTO-2002 ";"Defer_Novembro",#N/A,FALSE,"DIFERIDO";"Pis_Novembro",#N/A,FALSE,"PIS COFINS";"Iss_Novembro",#N/A,FALSE,"ISS"}</definedName>
    <definedName name="_______________________fl1111" localSheetId="38" hidden="1">{"Fecha_Novembro",#N/A,FALSE,"FECHAMENTO-2002 ";"Defer_Novembro",#N/A,FALSE,"DIFERIDO";"Pis_Novembro",#N/A,FALSE,"PIS COFINS";"Iss_Novembro",#N/A,FALSE,"ISS"}</definedName>
    <definedName name="_______________________fl1111" localSheetId="8" hidden="1">{"Fecha_Novembro",#N/A,FALSE,"FECHAMENTO-2002 ";"Defer_Novembro",#N/A,FALSE,"DIFERIDO";"Pis_Novembro",#N/A,FALSE,"PIS COFINS";"Iss_Novembro",#N/A,FALSE,"ISS"}</definedName>
    <definedName name="_______________________fl1111" localSheetId="12" hidden="1">{"Fecha_Novembro",#N/A,FALSE,"FECHAMENTO-2002 ";"Defer_Novembro",#N/A,FALSE,"DIFERIDO";"Pis_Novembro",#N/A,FALSE,"PIS COFINS";"Iss_Novembro",#N/A,FALSE,"ISS"}</definedName>
    <definedName name="_______________________fl1111" localSheetId="13" hidden="1">{"Fecha_Novembro",#N/A,FALSE,"FECHAMENTO-2002 ";"Defer_Novembro",#N/A,FALSE,"DIFERIDO";"Pis_Novembro",#N/A,FALSE,"PIS COFINS";"Iss_Novembro",#N/A,FALSE,"ISS"}</definedName>
    <definedName name="_______________________fl1111" localSheetId="11" hidden="1">{"Fecha_Novembro",#N/A,FALSE,"FECHAMENTO-2002 ";"Defer_Novembro",#N/A,FALSE,"DIFERIDO";"Pis_Novembro",#N/A,FALSE,"PIS COFINS";"Iss_Novembro",#N/A,FALSE,"ISS"}</definedName>
    <definedName name="_______________________fl1111" localSheetId="31" hidden="1">{"Fecha_Novembro",#N/A,FALSE,"FECHAMENTO-2002 ";"Defer_Novembro",#N/A,FALSE,"DIFERIDO";"Pis_Novembro",#N/A,FALSE,"PIS COFINS";"Iss_Novembro",#N/A,FALSE,"ISS"}</definedName>
    <definedName name="_______________________fl1111" localSheetId="48" hidden="1">{"Fecha_Novembro",#N/A,FALSE,"FECHAMENTO-2002 ";"Defer_Novembro",#N/A,FALSE,"DIFERIDO";"Pis_Novembro",#N/A,FALSE,"PIS COFINS";"Iss_Novembro",#N/A,FALSE,"ISS"}</definedName>
    <definedName name="_______________________fl1111" hidden="1">{"Fecha_Novembro",#N/A,FALSE,"FECHAMENTO-2002 ";"Defer_Novembro",#N/A,FALSE,"DIFERIDO";"Pis_Novembro",#N/A,FALSE,"PIS COFINS";"Iss_Novembro",#N/A,FALSE,"ISS"}</definedName>
    <definedName name="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fl1111" localSheetId="15" hidden="1">{"Fecha_Novembro",#N/A,FALSE,"FECHAMENTO-2002 ";"Defer_Novembro",#N/A,FALSE,"DIFERIDO";"Pis_Novembro",#N/A,FALSE,"PIS COFINS";"Iss_Novembro",#N/A,FALSE,"ISS"}</definedName>
    <definedName name="______________________fl1111" localSheetId="14" hidden="1">{"Fecha_Novembro",#N/A,FALSE,"FECHAMENTO-2002 ";"Defer_Novembro",#N/A,FALSE,"DIFERIDO";"Pis_Novembro",#N/A,FALSE,"PIS COFINS";"Iss_Novembro",#N/A,FALSE,"ISS"}</definedName>
    <definedName name="______________________fl1111" localSheetId="2" hidden="1">{"Fecha_Novembro",#N/A,FALSE,"FECHAMENTO-2002 ";"Defer_Novembro",#N/A,FALSE,"DIFERIDO";"Pis_Novembro",#N/A,FALSE,"PIS COFINS";"Iss_Novembro",#N/A,FALSE,"ISS"}</definedName>
    <definedName name="______________________fl1111" localSheetId="34" hidden="1">{"Fecha_Novembro",#N/A,FALSE,"FECHAMENTO-2002 ";"Defer_Novembro",#N/A,FALSE,"DIFERIDO";"Pis_Novembro",#N/A,FALSE,"PIS COFINS";"Iss_Novembro",#N/A,FALSE,"ISS"}</definedName>
    <definedName name="______________________fl1111" localSheetId="38" hidden="1">{"Fecha_Novembro",#N/A,FALSE,"FECHAMENTO-2002 ";"Defer_Novembro",#N/A,FALSE,"DIFERIDO";"Pis_Novembro",#N/A,FALSE,"PIS COFINS";"Iss_Novembro",#N/A,FALSE,"ISS"}</definedName>
    <definedName name="______________________fl1111" localSheetId="8" hidden="1">{"Fecha_Novembro",#N/A,FALSE,"FECHAMENTO-2002 ";"Defer_Novembro",#N/A,FALSE,"DIFERIDO";"Pis_Novembro",#N/A,FALSE,"PIS COFINS";"Iss_Novembro",#N/A,FALSE,"ISS"}</definedName>
    <definedName name="______________________fl1111" localSheetId="12" hidden="1">{"Fecha_Novembro",#N/A,FALSE,"FECHAMENTO-2002 ";"Defer_Novembro",#N/A,FALSE,"DIFERIDO";"Pis_Novembro",#N/A,FALSE,"PIS COFINS";"Iss_Novembro",#N/A,FALSE,"ISS"}</definedName>
    <definedName name="______________________fl1111" localSheetId="13" hidden="1">{"Fecha_Novembro",#N/A,FALSE,"FECHAMENTO-2002 ";"Defer_Novembro",#N/A,FALSE,"DIFERIDO";"Pis_Novembro",#N/A,FALSE,"PIS COFINS";"Iss_Novembro",#N/A,FALSE,"ISS"}</definedName>
    <definedName name="______________________fl1111" localSheetId="11" hidden="1">{"Fecha_Novembro",#N/A,FALSE,"FECHAMENTO-2002 ";"Defer_Novembro",#N/A,FALSE,"DIFERIDO";"Pis_Novembro",#N/A,FALSE,"PIS COFINS";"Iss_Novembro",#N/A,FALSE,"ISS"}</definedName>
    <definedName name="______________________fl1111" localSheetId="31" hidden="1">{"Fecha_Novembro",#N/A,FALSE,"FECHAMENTO-2002 ";"Defer_Novembro",#N/A,FALSE,"DIFERIDO";"Pis_Novembro",#N/A,FALSE,"PIS COFINS";"Iss_Novembro",#N/A,FALSE,"ISS"}</definedName>
    <definedName name="______________________fl1111" localSheetId="48" hidden="1">{"Fecha_Novembro",#N/A,FALSE,"FECHAMENTO-2002 ";"Defer_Novembro",#N/A,FALSE,"DIFERIDO";"Pis_Novembro",#N/A,FALSE,"PIS COFINS";"Iss_Novembro",#N/A,FALSE,"ISS"}</definedName>
    <definedName name="______________________fl1111" hidden="1">{"Fecha_Novembro",#N/A,FALSE,"FECHAMENTO-2002 ";"Defer_Novembro",#N/A,FALSE,"DIFERIDO";"Pis_Novembro",#N/A,FALSE,"PIS COFINS";"Iss_Novembro",#N/A,FALSE,"ISS"}</definedName>
    <definedName name="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fl1111" localSheetId="15" hidden="1">{"Fecha_Novembro",#N/A,FALSE,"FECHAMENTO-2002 ";"Defer_Novembro",#N/A,FALSE,"DIFERIDO";"Pis_Novembro",#N/A,FALSE,"PIS COFINS";"Iss_Novembro",#N/A,FALSE,"ISS"}</definedName>
    <definedName name="_____________________fl1111" localSheetId="14" hidden="1">{"Fecha_Novembro",#N/A,FALSE,"FECHAMENTO-2002 ";"Defer_Novembro",#N/A,FALSE,"DIFERIDO";"Pis_Novembro",#N/A,FALSE,"PIS COFINS";"Iss_Novembro",#N/A,FALSE,"ISS"}</definedName>
    <definedName name="_____________________fl1111" localSheetId="2" hidden="1">{"Fecha_Novembro",#N/A,FALSE,"FECHAMENTO-2002 ";"Defer_Novembro",#N/A,FALSE,"DIFERIDO";"Pis_Novembro",#N/A,FALSE,"PIS COFINS";"Iss_Novembro",#N/A,FALSE,"ISS"}</definedName>
    <definedName name="_____________________fl1111" localSheetId="34" hidden="1">{"Fecha_Novembro",#N/A,FALSE,"FECHAMENTO-2002 ";"Defer_Novembro",#N/A,FALSE,"DIFERIDO";"Pis_Novembro",#N/A,FALSE,"PIS COFINS";"Iss_Novembro",#N/A,FALSE,"ISS"}</definedName>
    <definedName name="_____________________fl1111" localSheetId="38" hidden="1">{"Fecha_Novembro",#N/A,FALSE,"FECHAMENTO-2002 ";"Defer_Novembro",#N/A,FALSE,"DIFERIDO";"Pis_Novembro",#N/A,FALSE,"PIS COFINS";"Iss_Novembro",#N/A,FALSE,"ISS"}</definedName>
    <definedName name="_____________________fl1111" localSheetId="8" hidden="1">{"Fecha_Novembro",#N/A,FALSE,"FECHAMENTO-2002 ";"Defer_Novembro",#N/A,FALSE,"DIFERIDO";"Pis_Novembro",#N/A,FALSE,"PIS COFINS";"Iss_Novembro",#N/A,FALSE,"ISS"}</definedName>
    <definedName name="_____________________fl1111" localSheetId="12" hidden="1">{"Fecha_Novembro",#N/A,FALSE,"FECHAMENTO-2002 ";"Defer_Novembro",#N/A,FALSE,"DIFERIDO";"Pis_Novembro",#N/A,FALSE,"PIS COFINS";"Iss_Novembro",#N/A,FALSE,"ISS"}</definedName>
    <definedName name="_____________________fl1111" localSheetId="13" hidden="1">{"Fecha_Novembro",#N/A,FALSE,"FECHAMENTO-2002 ";"Defer_Novembro",#N/A,FALSE,"DIFERIDO";"Pis_Novembro",#N/A,FALSE,"PIS COFINS";"Iss_Novembro",#N/A,FALSE,"ISS"}</definedName>
    <definedName name="_____________________fl1111" localSheetId="11" hidden="1">{"Fecha_Novembro",#N/A,FALSE,"FECHAMENTO-2002 ";"Defer_Novembro",#N/A,FALSE,"DIFERIDO";"Pis_Novembro",#N/A,FALSE,"PIS COFINS";"Iss_Novembro",#N/A,FALSE,"ISS"}</definedName>
    <definedName name="_____________________fl1111" localSheetId="31" hidden="1">{"Fecha_Novembro",#N/A,FALSE,"FECHAMENTO-2002 ";"Defer_Novembro",#N/A,FALSE,"DIFERIDO";"Pis_Novembro",#N/A,FALSE,"PIS COFINS";"Iss_Novembro",#N/A,FALSE,"ISS"}</definedName>
    <definedName name="_____________________fl1111" localSheetId="48" hidden="1">{"Fecha_Novembro",#N/A,FALSE,"FECHAMENTO-2002 ";"Defer_Novembro",#N/A,FALSE,"DIFERIDO";"Pis_Novembro",#N/A,FALSE,"PIS COFINS";"Iss_Novembro",#N/A,FALSE,"ISS"}</definedName>
    <definedName name="_____________________fl1111" hidden="1">{"Fecha_Novembro",#N/A,FALSE,"FECHAMENTO-2002 ";"Defer_Novembro",#N/A,FALSE,"DIFERIDO";"Pis_Novembro",#N/A,FALSE,"PIS COFINS";"Iss_Novembro",#N/A,FALSE,"ISS"}</definedName>
    <definedName name="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fl1111" localSheetId="15" hidden="1">{"Fecha_Novembro",#N/A,FALSE,"FECHAMENTO-2002 ";"Defer_Novembro",#N/A,FALSE,"DIFERIDO";"Pis_Novembro",#N/A,FALSE,"PIS COFINS";"Iss_Novembro",#N/A,FALSE,"ISS"}</definedName>
    <definedName name="____________________fl1111" localSheetId="14" hidden="1">{"Fecha_Novembro",#N/A,FALSE,"FECHAMENTO-2002 ";"Defer_Novembro",#N/A,FALSE,"DIFERIDO";"Pis_Novembro",#N/A,FALSE,"PIS COFINS";"Iss_Novembro",#N/A,FALSE,"ISS"}</definedName>
    <definedName name="____________________fl1111" localSheetId="2" hidden="1">{"Fecha_Novembro",#N/A,FALSE,"FECHAMENTO-2002 ";"Defer_Novembro",#N/A,FALSE,"DIFERIDO";"Pis_Novembro",#N/A,FALSE,"PIS COFINS";"Iss_Novembro",#N/A,FALSE,"ISS"}</definedName>
    <definedName name="____________________fl1111" localSheetId="34" hidden="1">{"Fecha_Novembro",#N/A,FALSE,"FECHAMENTO-2002 ";"Defer_Novembro",#N/A,FALSE,"DIFERIDO";"Pis_Novembro",#N/A,FALSE,"PIS COFINS";"Iss_Novembro",#N/A,FALSE,"ISS"}</definedName>
    <definedName name="____________________fl1111" localSheetId="38" hidden="1">{"Fecha_Novembro",#N/A,FALSE,"FECHAMENTO-2002 ";"Defer_Novembro",#N/A,FALSE,"DIFERIDO";"Pis_Novembro",#N/A,FALSE,"PIS COFINS";"Iss_Novembro",#N/A,FALSE,"ISS"}</definedName>
    <definedName name="____________________fl1111" localSheetId="8" hidden="1">{"Fecha_Novembro",#N/A,FALSE,"FECHAMENTO-2002 ";"Defer_Novembro",#N/A,FALSE,"DIFERIDO";"Pis_Novembro",#N/A,FALSE,"PIS COFINS";"Iss_Novembro",#N/A,FALSE,"ISS"}</definedName>
    <definedName name="____________________fl1111" localSheetId="12" hidden="1">{"Fecha_Novembro",#N/A,FALSE,"FECHAMENTO-2002 ";"Defer_Novembro",#N/A,FALSE,"DIFERIDO";"Pis_Novembro",#N/A,FALSE,"PIS COFINS";"Iss_Novembro",#N/A,FALSE,"ISS"}</definedName>
    <definedName name="____________________fl1111" localSheetId="13" hidden="1">{"Fecha_Novembro",#N/A,FALSE,"FECHAMENTO-2002 ";"Defer_Novembro",#N/A,FALSE,"DIFERIDO";"Pis_Novembro",#N/A,FALSE,"PIS COFINS";"Iss_Novembro",#N/A,FALSE,"ISS"}</definedName>
    <definedName name="____________________fl1111" localSheetId="11" hidden="1">{"Fecha_Novembro",#N/A,FALSE,"FECHAMENTO-2002 ";"Defer_Novembro",#N/A,FALSE,"DIFERIDO";"Pis_Novembro",#N/A,FALSE,"PIS COFINS";"Iss_Novembro",#N/A,FALSE,"ISS"}</definedName>
    <definedName name="____________________fl1111" localSheetId="31" hidden="1">{"Fecha_Novembro",#N/A,FALSE,"FECHAMENTO-2002 ";"Defer_Novembro",#N/A,FALSE,"DIFERIDO";"Pis_Novembro",#N/A,FALSE,"PIS COFINS";"Iss_Novembro",#N/A,FALSE,"ISS"}</definedName>
    <definedName name="____________________fl1111" localSheetId="48" hidden="1">{"Fecha_Novembro",#N/A,FALSE,"FECHAMENTO-2002 ";"Defer_Novembro",#N/A,FALSE,"DIFERIDO";"Pis_Novembro",#N/A,FALSE,"PIS COFINS";"Iss_Novembro",#N/A,FALSE,"ISS"}</definedName>
    <definedName name="____________________fl1111" hidden="1">{"Fecha_Novembro",#N/A,FALSE,"FECHAMENTO-2002 ";"Defer_Novembro",#N/A,FALSE,"DIFERIDO";"Pis_Novembro",#N/A,FALSE,"PIS COFINS";"Iss_Novembro",#N/A,FALSE,"ISS"}</definedName>
    <definedName name="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fl1111" localSheetId="15" hidden="1">{"Fecha_Novembro",#N/A,FALSE,"FECHAMENTO-2002 ";"Defer_Novembro",#N/A,FALSE,"DIFERIDO";"Pis_Novembro",#N/A,FALSE,"PIS COFINS";"Iss_Novembro",#N/A,FALSE,"ISS"}</definedName>
    <definedName name="___________________fl1111" localSheetId="14" hidden="1">{"Fecha_Novembro",#N/A,FALSE,"FECHAMENTO-2002 ";"Defer_Novembro",#N/A,FALSE,"DIFERIDO";"Pis_Novembro",#N/A,FALSE,"PIS COFINS";"Iss_Novembro",#N/A,FALSE,"ISS"}</definedName>
    <definedName name="___________________fl1111" localSheetId="2" hidden="1">{"Fecha_Novembro",#N/A,FALSE,"FECHAMENTO-2002 ";"Defer_Novembro",#N/A,FALSE,"DIFERIDO";"Pis_Novembro",#N/A,FALSE,"PIS COFINS";"Iss_Novembro",#N/A,FALSE,"ISS"}</definedName>
    <definedName name="___________________fl1111" localSheetId="34" hidden="1">{"Fecha_Novembro",#N/A,FALSE,"FECHAMENTO-2002 ";"Defer_Novembro",#N/A,FALSE,"DIFERIDO";"Pis_Novembro",#N/A,FALSE,"PIS COFINS";"Iss_Novembro",#N/A,FALSE,"ISS"}</definedName>
    <definedName name="___________________fl1111" localSheetId="38" hidden="1">{"Fecha_Novembro",#N/A,FALSE,"FECHAMENTO-2002 ";"Defer_Novembro",#N/A,FALSE,"DIFERIDO";"Pis_Novembro",#N/A,FALSE,"PIS COFINS";"Iss_Novembro",#N/A,FALSE,"ISS"}</definedName>
    <definedName name="___________________fl1111" localSheetId="8" hidden="1">{"Fecha_Novembro",#N/A,FALSE,"FECHAMENTO-2002 ";"Defer_Novembro",#N/A,FALSE,"DIFERIDO";"Pis_Novembro",#N/A,FALSE,"PIS COFINS";"Iss_Novembro",#N/A,FALSE,"ISS"}</definedName>
    <definedName name="___________________fl1111" localSheetId="12" hidden="1">{"Fecha_Novembro",#N/A,FALSE,"FECHAMENTO-2002 ";"Defer_Novembro",#N/A,FALSE,"DIFERIDO";"Pis_Novembro",#N/A,FALSE,"PIS COFINS";"Iss_Novembro",#N/A,FALSE,"ISS"}</definedName>
    <definedName name="___________________fl1111" localSheetId="13" hidden="1">{"Fecha_Novembro",#N/A,FALSE,"FECHAMENTO-2002 ";"Defer_Novembro",#N/A,FALSE,"DIFERIDO";"Pis_Novembro",#N/A,FALSE,"PIS COFINS";"Iss_Novembro",#N/A,FALSE,"ISS"}</definedName>
    <definedName name="___________________fl1111" localSheetId="11" hidden="1">{"Fecha_Novembro",#N/A,FALSE,"FECHAMENTO-2002 ";"Defer_Novembro",#N/A,FALSE,"DIFERIDO";"Pis_Novembro",#N/A,FALSE,"PIS COFINS";"Iss_Novembro",#N/A,FALSE,"ISS"}</definedName>
    <definedName name="___________________fl1111" localSheetId="31" hidden="1">{"Fecha_Novembro",#N/A,FALSE,"FECHAMENTO-2002 ";"Defer_Novembro",#N/A,FALSE,"DIFERIDO";"Pis_Novembro",#N/A,FALSE,"PIS COFINS";"Iss_Novembro",#N/A,FALSE,"ISS"}</definedName>
    <definedName name="___________________fl1111" localSheetId="48" hidden="1">{"Fecha_Novembro",#N/A,FALSE,"FECHAMENTO-2002 ";"Defer_Novembro",#N/A,FALSE,"DIFERIDO";"Pis_Novembro",#N/A,FALSE,"PIS COFINS";"Iss_Novembro",#N/A,FALSE,"ISS"}</definedName>
    <definedName name="___________________fl1111" hidden="1">{"Fecha_Novembro",#N/A,FALSE,"FECHAMENTO-2002 ";"Defer_Novembro",#N/A,FALSE,"DIFERIDO";"Pis_Novembro",#N/A,FALSE,"PIS COFINS";"Iss_Novembro",#N/A,FALSE,"ISS"}</definedName>
    <definedName name="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fl1111" localSheetId="15" hidden="1">{"Fecha_Novembro",#N/A,FALSE,"FECHAMENTO-2002 ";"Defer_Novembro",#N/A,FALSE,"DIFERIDO";"Pis_Novembro",#N/A,FALSE,"PIS COFINS";"Iss_Novembro",#N/A,FALSE,"ISS"}</definedName>
    <definedName name="__________________fl1111" localSheetId="14" hidden="1">{"Fecha_Novembro",#N/A,FALSE,"FECHAMENTO-2002 ";"Defer_Novembro",#N/A,FALSE,"DIFERIDO";"Pis_Novembro",#N/A,FALSE,"PIS COFINS";"Iss_Novembro",#N/A,FALSE,"ISS"}</definedName>
    <definedName name="__________________fl1111" localSheetId="2" hidden="1">{"Fecha_Novembro",#N/A,FALSE,"FECHAMENTO-2002 ";"Defer_Novembro",#N/A,FALSE,"DIFERIDO";"Pis_Novembro",#N/A,FALSE,"PIS COFINS";"Iss_Novembro",#N/A,FALSE,"ISS"}</definedName>
    <definedName name="__________________fl1111" localSheetId="34" hidden="1">{"Fecha_Novembro",#N/A,FALSE,"FECHAMENTO-2002 ";"Defer_Novembro",#N/A,FALSE,"DIFERIDO";"Pis_Novembro",#N/A,FALSE,"PIS COFINS";"Iss_Novembro",#N/A,FALSE,"ISS"}</definedName>
    <definedName name="__________________fl1111" localSheetId="38" hidden="1">{"Fecha_Novembro",#N/A,FALSE,"FECHAMENTO-2002 ";"Defer_Novembro",#N/A,FALSE,"DIFERIDO";"Pis_Novembro",#N/A,FALSE,"PIS COFINS";"Iss_Novembro",#N/A,FALSE,"ISS"}</definedName>
    <definedName name="__________________fl1111" localSheetId="8" hidden="1">{"Fecha_Novembro",#N/A,FALSE,"FECHAMENTO-2002 ";"Defer_Novembro",#N/A,FALSE,"DIFERIDO";"Pis_Novembro",#N/A,FALSE,"PIS COFINS";"Iss_Novembro",#N/A,FALSE,"ISS"}</definedName>
    <definedName name="__________________fl1111" localSheetId="12" hidden="1">{"Fecha_Novembro",#N/A,FALSE,"FECHAMENTO-2002 ";"Defer_Novembro",#N/A,FALSE,"DIFERIDO";"Pis_Novembro",#N/A,FALSE,"PIS COFINS";"Iss_Novembro",#N/A,FALSE,"ISS"}</definedName>
    <definedName name="__________________fl1111" localSheetId="13" hidden="1">{"Fecha_Novembro",#N/A,FALSE,"FECHAMENTO-2002 ";"Defer_Novembro",#N/A,FALSE,"DIFERIDO";"Pis_Novembro",#N/A,FALSE,"PIS COFINS";"Iss_Novembro",#N/A,FALSE,"ISS"}</definedName>
    <definedName name="__________________fl1111" localSheetId="11" hidden="1">{"Fecha_Novembro",#N/A,FALSE,"FECHAMENTO-2002 ";"Defer_Novembro",#N/A,FALSE,"DIFERIDO";"Pis_Novembro",#N/A,FALSE,"PIS COFINS";"Iss_Novembro",#N/A,FALSE,"ISS"}</definedName>
    <definedName name="__________________fl1111" localSheetId="31" hidden="1">{"Fecha_Novembro",#N/A,FALSE,"FECHAMENTO-2002 ";"Defer_Novembro",#N/A,FALSE,"DIFERIDO";"Pis_Novembro",#N/A,FALSE,"PIS COFINS";"Iss_Novembro",#N/A,FALSE,"ISS"}</definedName>
    <definedName name="__________________fl1111" localSheetId="48" hidden="1">{"Fecha_Novembro",#N/A,FALSE,"FECHAMENTO-2002 ";"Defer_Novembro",#N/A,FALSE,"DIFERIDO";"Pis_Novembro",#N/A,FALSE,"PIS COFINS";"Iss_Novembro",#N/A,FALSE,"ISS"}</definedName>
    <definedName name="__________________fl1111" hidden="1">{"Fecha_Novembro",#N/A,FALSE,"FECHAMENTO-2002 ";"Defer_Novembro",#N/A,FALSE,"DIFERIDO";"Pis_Novembro",#N/A,FALSE,"PIS COFINS";"Iss_Novembro",#N/A,FALSE,"ISS"}</definedName>
    <definedName name="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fl1111" localSheetId="15" hidden="1">{"Fecha_Novembro",#N/A,FALSE,"FECHAMENTO-2002 ";"Defer_Novembro",#N/A,FALSE,"DIFERIDO";"Pis_Novembro",#N/A,FALSE,"PIS COFINS";"Iss_Novembro",#N/A,FALSE,"ISS"}</definedName>
    <definedName name="_________________fl1111" localSheetId="14" hidden="1">{"Fecha_Novembro",#N/A,FALSE,"FECHAMENTO-2002 ";"Defer_Novembro",#N/A,FALSE,"DIFERIDO";"Pis_Novembro",#N/A,FALSE,"PIS COFINS";"Iss_Novembro",#N/A,FALSE,"ISS"}</definedName>
    <definedName name="_________________fl1111" localSheetId="2" hidden="1">{"Fecha_Novembro",#N/A,FALSE,"FECHAMENTO-2002 ";"Defer_Novembro",#N/A,FALSE,"DIFERIDO";"Pis_Novembro",#N/A,FALSE,"PIS COFINS";"Iss_Novembro",#N/A,FALSE,"ISS"}</definedName>
    <definedName name="_________________fl1111" localSheetId="34" hidden="1">{"Fecha_Novembro",#N/A,FALSE,"FECHAMENTO-2002 ";"Defer_Novembro",#N/A,FALSE,"DIFERIDO";"Pis_Novembro",#N/A,FALSE,"PIS COFINS";"Iss_Novembro",#N/A,FALSE,"ISS"}</definedName>
    <definedName name="_________________fl1111" localSheetId="38" hidden="1">{"Fecha_Novembro",#N/A,FALSE,"FECHAMENTO-2002 ";"Defer_Novembro",#N/A,FALSE,"DIFERIDO";"Pis_Novembro",#N/A,FALSE,"PIS COFINS";"Iss_Novembro",#N/A,FALSE,"ISS"}</definedName>
    <definedName name="_________________fl1111" localSheetId="8" hidden="1">{"Fecha_Novembro",#N/A,FALSE,"FECHAMENTO-2002 ";"Defer_Novembro",#N/A,FALSE,"DIFERIDO";"Pis_Novembro",#N/A,FALSE,"PIS COFINS";"Iss_Novembro",#N/A,FALSE,"ISS"}</definedName>
    <definedName name="_________________fl1111" localSheetId="12" hidden="1">{"Fecha_Novembro",#N/A,FALSE,"FECHAMENTO-2002 ";"Defer_Novembro",#N/A,FALSE,"DIFERIDO";"Pis_Novembro",#N/A,FALSE,"PIS COFINS";"Iss_Novembro",#N/A,FALSE,"ISS"}</definedName>
    <definedName name="_________________fl1111" localSheetId="13" hidden="1">{"Fecha_Novembro",#N/A,FALSE,"FECHAMENTO-2002 ";"Defer_Novembro",#N/A,FALSE,"DIFERIDO";"Pis_Novembro",#N/A,FALSE,"PIS COFINS";"Iss_Novembro",#N/A,FALSE,"ISS"}</definedName>
    <definedName name="_________________fl1111" localSheetId="11" hidden="1">{"Fecha_Novembro",#N/A,FALSE,"FECHAMENTO-2002 ";"Defer_Novembro",#N/A,FALSE,"DIFERIDO";"Pis_Novembro",#N/A,FALSE,"PIS COFINS";"Iss_Novembro",#N/A,FALSE,"ISS"}</definedName>
    <definedName name="_________________fl1111" localSheetId="31" hidden="1">{"Fecha_Novembro",#N/A,FALSE,"FECHAMENTO-2002 ";"Defer_Novembro",#N/A,FALSE,"DIFERIDO";"Pis_Novembro",#N/A,FALSE,"PIS COFINS";"Iss_Novembro",#N/A,FALSE,"ISS"}</definedName>
    <definedName name="_________________fl1111" localSheetId="48" hidden="1">{"Fecha_Novembro",#N/A,FALSE,"FECHAMENTO-2002 ";"Defer_Novembro",#N/A,FALSE,"DIFERIDO";"Pis_Novembro",#N/A,FALSE,"PIS COFINS";"Iss_Novembro",#N/A,FALSE,"ISS"}</definedName>
    <definedName name="_________________fl1111" hidden="1">{"Fecha_Novembro",#N/A,FALSE,"FECHAMENTO-2002 ";"Defer_Novembro",#N/A,FALSE,"DIFERIDO";"Pis_Novembro",#N/A,FALSE,"PIS COFINS";"Iss_Novembro",#N/A,FALSE,"ISS"}</definedName>
    <definedName name="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fl1111" localSheetId="15" hidden="1">{"Fecha_Novembro",#N/A,FALSE,"FECHAMENTO-2002 ";"Defer_Novembro",#N/A,FALSE,"DIFERIDO";"Pis_Novembro",#N/A,FALSE,"PIS COFINS";"Iss_Novembro",#N/A,FALSE,"ISS"}</definedName>
    <definedName name="________________fl1111" localSheetId="14" hidden="1">{"Fecha_Novembro",#N/A,FALSE,"FECHAMENTO-2002 ";"Defer_Novembro",#N/A,FALSE,"DIFERIDO";"Pis_Novembro",#N/A,FALSE,"PIS COFINS";"Iss_Novembro",#N/A,FALSE,"ISS"}</definedName>
    <definedName name="________________fl1111" localSheetId="2" hidden="1">{"Fecha_Novembro",#N/A,FALSE,"FECHAMENTO-2002 ";"Defer_Novembro",#N/A,FALSE,"DIFERIDO";"Pis_Novembro",#N/A,FALSE,"PIS COFINS";"Iss_Novembro",#N/A,FALSE,"ISS"}</definedName>
    <definedName name="________________fl1111" localSheetId="34" hidden="1">{"Fecha_Novembro",#N/A,FALSE,"FECHAMENTO-2002 ";"Defer_Novembro",#N/A,FALSE,"DIFERIDO";"Pis_Novembro",#N/A,FALSE,"PIS COFINS";"Iss_Novembro",#N/A,FALSE,"ISS"}</definedName>
    <definedName name="________________fl1111" localSheetId="38" hidden="1">{"Fecha_Novembro",#N/A,FALSE,"FECHAMENTO-2002 ";"Defer_Novembro",#N/A,FALSE,"DIFERIDO";"Pis_Novembro",#N/A,FALSE,"PIS COFINS";"Iss_Novembro",#N/A,FALSE,"ISS"}</definedName>
    <definedName name="________________fl1111" localSheetId="8" hidden="1">{"Fecha_Novembro",#N/A,FALSE,"FECHAMENTO-2002 ";"Defer_Novembro",#N/A,FALSE,"DIFERIDO";"Pis_Novembro",#N/A,FALSE,"PIS COFINS";"Iss_Novembro",#N/A,FALSE,"ISS"}</definedName>
    <definedName name="________________fl1111" localSheetId="12" hidden="1">{"Fecha_Novembro",#N/A,FALSE,"FECHAMENTO-2002 ";"Defer_Novembro",#N/A,FALSE,"DIFERIDO";"Pis_Novembro",#N/A,FALSE,"PIS COFINS";"Iss_Novembro",#N/A,FALSE,"ISS"}</definedName>
    <definedName name="________________fl1111" localSheetId="13" hidden="1">{"Fecha_Novembro",#N/A,FALSE,"FECHAMENTO-2002 ";"Defer_Novembro",#N/A,FALSE,"DIFERIDO";"Pis_Novembro",#N/A,FALSE,"PIS COFINS";"Iss_Novembro",#N/A,FALSE,"ISS"}</definedName>
    <definedName name="________________fl1111" localSheetId="11" hidden="1">{"Fecha_Novembro",#N/A,FALSE,"FECHAMENTO-2002 ";"Defer_Novembro",#N/A,FALSE,"DIFERIDO";"Pis_Novembro",#N/A,FALSE,"PIS COFINS";"Iss_Novembro",#N/A,FALSE,"ISS"}</definedName>
    <definedName name="________________fl1111" localSheetId="31" hidden="1">{"Fecha_Novembro",#N/A,FALSE,"FECHAMENTO-2002 ";"Defer_Novembro",#N/A,FALSE,"DIFERIDO";"Pis_Novembro",#N/A,FALSE,"PIS COFINS";"Iss_Novembro",#N/A,FALSE,"ISS"}</definedName>
    <definedName name="________________fl1111" localSheetId="48" hidden="1">{"Fecha_Novembro",#N/A,FALSE,"FECHAMENTO-2002 ";"Defer_Novembro",#N/A,FALSE,"DIFERIDO";"Pis_Novembro",#N/A,FALSE,"PIS COFINS";"Iss_Novembro",#N/A,FALSE,"ISS"}</definedName>
    <definedName name="________________fl1111" hidden="1">{"Fecha_Novembro",#N/A,FALSE,"FECHAMENTO-2002 ";"Defer_Novembro",#N/A,FALSE,"DIFERIDO";"Pis_Novembro",#N/A,FALSE,"PIS COFINS";"Iss_Novembro",#N/A,FALSE,"ISS"}</definedName>
    <definedName name="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fl1111" localSheetId="15" hidden="1">{"Fecha_Novembro",#N/A,FALSE,"FECHAMENTO-2002 ";"Defer_Novembro",#N/A,FALSE,"DIFERIDO";"Pis_Novembro",#N/A,FALSE,"PIS COFINS";"Iss_Novembro",#N/A,FALSE,"ISS"}</definedName>
    <definedName name="_______________fl1111" localSheetId="14" hidden="1">{"Fecha_Novembro",#N/A,FALSE,"FECHAMENTO-2002 ";"Defer_Novembro",#N/A,FALSE,"DIFERIDO";"Pis_Novembro",#N/A,FALSE,"PIS COFINS";"Iss_Novembro",#N/A,FALSE,"ISS"}</definedName>
    <definedName name="_______________fl1111" localSheetId="2" hidden="1">{"Fecha_Novembro",#N/A,FALSE,"FECHAMENTO-2002 ";"Defer_Novembro",#N/A,FALSE,"DIFERIDO";"Pis_Novembro",#N/A,FALSE,"PIS COFINS";"Iss_Novembro",#N/A,FALSE,"ISS"}</definedName>
    <definedName name="_______________fl1111" localSheetId="34" hidden="1">{"Fecha_Novembro",#N/A,FALSE,"FECHAMENTO-2002 ";"Defer_Novembro",#N/A,FALSE,"DIFERIDO";"Pis_Novembro",#N/A,FALSE,"PIS COFINS";"Iss_Novembro",#N/A,FALSE,"ISS"}</definedName>
    <definedName name="_______________fl1111" localSheetId="38" hidden="1">{"Fecha_Novembro",#N/A,FALSE,"FECHAMENTO-2002 ";"Defer_Novembro",#N/A,FALSE,"DIFERIDO";"Pis_Novembro",#N/A,FALSE,"PIS COFINS";"Iss_Novembro",#N/A,FALSE,"ISS"}</definedName>
    <definedName name="_______________fl1111" localSheetId="8" hidden="1">{"Fecha_Novembro",#N/A,FALSE,"FECHAMENTO-2002 ";"Defer_Novembro",#N/A,FALSE,"DIFERIDO";"Pis_Novembro",#N/A,FALSE,"PIS COFINS";"Iss_Novembro",#N/A,FALSE,"ISS"}</definedName>
    <definedName name="_______________fl1111" localSheetId="12" hidden="1">{"Fecha_Novembro",#N/A,FALSE,"FECHAMENTO-2002 ";"Defer_Novembro",#N/A,FALSE,"DIFERIDO";"Pis_Novembro",#N/A,FALSE,"PIS COFINS";"Iss_Novembro",#N/A,FALSE,"ISS"}</definedName>
    <definedName name="_______________fl1111" localSheetId="13" hidden="1">{"Fecha_Novembro",#N/A,FALSE,"FECHAMENTO-2002 ";"Defer_Novembro",#N/A,FALSE,"DIFERIDO";"Pis_Novembro",#N/A,FALSE,"PIS COFINS";"Iss_Novembro",#N/A,FALSE,"ISS"}</definedName>
    <definedName name="_______________fl1111" localSheetId="11" hidden="1">{"Fecha_Novembro",#N/A,FALSE,"FECHAMENTO-2002 ";"Defer_Novembro",#N/A,FALSE,"DIFERIDO";"Pis_Novembro",#N/A,FALSE,"PIS COFINS";"Iss_Novembro",#N/A,FALSE,"ISS"}</definedName>
    <definedName name="_______________fl1111" localSheetId="31" hidden="1">{"Fecha_Novembro",#N/A,FALSE,"FECHAMENTO-2002 ";"Defer_Novembro",#N/A,FALSE,"DIFERIDO";"Pis_Novembro",#N/A,FALSE,"PIS COFINS";"Iss_Novembro",#N/A,FALSE,"ISS"}</definedName>
    <definedName name="_______________fl1111" localSheetId="48" hidden="1">{"Fecha_Novembro",#N/A,FALSE,"FECHAMENTO-2002 ";"Defer_Novembro",#N/A,FALSE,"DIFERIDO";"Pis_Novembro",#N/A,FALSE,"PIS COFINS";"Iss_Novembro",#N/A,FALSE,"ISS"}</definedName>
    <definedName name="_______________fl1111" hidden="1">{"Fecha_Novembro",#N/A,FALSE,"FECHAMENTO-2002 ";"Defer_Novembro",#N/A,FALSE,"DIFERIDO";"Pis_Novembro",#N/A,FALSE,"PIS COFINS";"Iss_Novembro",#N/A,FALSE,"ISS"}</definedName>
    <definedName name="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fl1111" localSheetId="15" hidden="1">{"Fecha_Novembro",#N/A,FALSE,"FECHAMENTO-2002 ";"Defer_Novembro",#N/A,FALSE,"DIFERIDO";"Pis_Novembro",#N/A,FALSE,"PIS COFINS";"Iss_Novembro",#N/A,FALSE,"ISS"}</definedName>
    <definedName name="______________fl1111" localSheetId="14" hidden="1">{"Fecha_Novembro",#N/A,FALSE,"FECHAMENTO-2002 ";"Defer_Novembro",#N/A,FALSE,"DIFERIDO";"Pis_Novembro",#N/A,FALSE,"PIS COFINS";"Iss_Novembro",#N/A,FALSE,"ISS"}</definedName>
    <definedName name="______________fl1111" localSheetId="2" hidden="1">{"Fecha_Novembro",#N/A,FALSE,"FECHAMENTO-2002 ";"Defer_Novembro",#N/A,FALSE,"DIFERIDO";"Pis_Novembro",#N/A,FALSE,"PIS COFINS";"Iss_Novembro",#N/A,FALSE,"ISS"}</definedName>
    <definedName name="______________fl1111" localSheetId="34" hidden="1">{"Fecha_Novembro",#N/A,FALSE,"FECHAMENTO-2002 ";"Defer_Novembro",#N/A,FALSE,"DIFERIDO";"Pis_Novembro",#N/A,FALSE,"PIS COFINS";"Iss_Novembro",#N/A,FALSE,"ISS"}</definedName>
    <definedName name="______________fl1111" localSheetId="38" hidden="1">{"Fecha_Novembro",#N/A,FALSE,"FECHAMENTO-2002 ";"Defer_Novembro",#N/A,FALSE,"DIFERIDO";"Pis_Novembro",#N/A,FALSE,"PIS COFINS";"Iss_Novembro",#N/A,FALSE,"ISS"}</definedName>
    <definedName name="______________fl1111" localSheetId="8" hidden="1">{"Fecha_Novembro",#N/A,FALSE,"FECHAMENTO-2002 ";"Defer_Novembro",#N/A,FALSE,"DIFERIDO";"Pis_Novembro",#N/A,FALSE,"PIS COFINS";"Iss_Novembro",#N/A,FALSE,"ISS"}</definedName>
    <definedName name="______________fl1111" localSheetId="12" hidden="1">{"Fecha_Novembro",#N/A,FALSE,"FECHAMENTO-2002 ";"Defer_Novembro",#N/A,FALSE,"DIFERIDO";"Pis_Novembro",#N/A,FALSE,"PIS COFINS";"Iss_Novembro",#N/A,FALSE,"ISS"}</definedName>
    <definedName name="______________fl1111" localSheetId="13" hidden="1">{"Fecha_Novembro",#N/A,FALSE,"FECHAMENTO-2002 ";"Defer_Novembro",#N/A,FALSE,"DIFERIDO";"Pis_Novembro",#N/A,FALSE,"PIS COFINS";"Iss_Novembro",#N/A,FALSE,"ISS"}</definedName>
    <definedName name="______________fl1111" localSheetId="11" hidden="1">{"Fecha_Novembro",#N/A,FALSE,"FECHAMENTO-2002 ";"Defer_Novembro",#N/A,FALSE,"DIFERIDO";"Pis_Novembro",#N/A,FALSE,"PIS COFINS";"Iss_Novembro",#N/A,FALSE,"ISS"}</definedName>
    <definedName name="______________fl1111" localSheetId="31" hidden="1">{"Fecha_Novembro",#N/A,FALSE,"FECHAMENTO-2002 ";"Defer_Novembro",#N/A,FALSE,"DIFERIDO";"Pis_Novembro",#N/A,FALSE,"PIS COFINS";"Iss_Novembro",#N/A,FALSE,"ISS"}</definedName>
    <definedName name="______________fl1111" localSheetId="48" hidden="1">{"Fecha_Novembro",#N/A,FALSE,"FECHAMENTO-2002 ";"Defer_Novembro",#N/A,FALSE,"DIFERIDO";"Pis_Novembro",#N/A,FALSE,"PIS COFINS";"Iss_Novembro",#N/A,FALSE,"ISS"}</definedName>
    <definedName name="______________fl1111" hidden="1">{"Fecha_Novembro",#N/A,FALSE,"FECHAMENTO-2002 ";"Defer_Novembro",#N/A,FALSE,"DIFERIDO";"Pis_Novembro",#N/A,FALSE,"PIS COFINS";"Iss_Novembro",#N/A,FALSE,"ISS"}</definedName>
    <definedName name="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fl1111" localSheetId="15" hidden="1">{"Fecha_Novembro",#N/A,FALSE,"FECHAMENTO-2002 ";"Defer_Novembro",#N/A,FALSE,"DIFERIDO";"Pis_Novembro",#N/A,FALSE,"PIS COFINS";"Iss_Novembro",#N/A,FALSE,"ISS"}</definedName>
    <definedName name="_____________fl1111" localSheetId="14" hidden="1">{"Fecha_Novembro",#N/A,FALSE,"FECHAMENTO-2002 ";"Defer_Novembro",#N/A,FALSE,"DIFERIDO";"Pis_Novembro",#N/A,FALSE,"PIS COFINS";"Iss_Novembro",#N/A,FALSE,"ISS"}</definedName>
    <definedName name="_____________fl1111" localSheetId="2" hidden="1">{"Fecha_Novembro",#N/A,FALSE,"FECHAMENTO-2002 ";"Defer_Novembro",#N/A,FALSE,"DIFERIDO";"Pis_Novembro",#N/A,FALSE,"PIS COFINS";"Iss_Novembro",#N/A,FALSE,"ISS"}</definedName>
    <definedName name="_____________fl1111" localSheetId="34" hidden="1">{"Fecha_Novembro",#N/A,FALSE,"FECHAMENTO-2002 ";"Defer_Novembro",#N/A,FALSE,"DIFERIDO";"Pis_Novembro",#N/A,FALSE,"PIS COFINS";"Iss_Novembro",#N/A,FALSE,"ISS"}</definedName>
    <definedName name="_____________fl1111" localSheetId="38" hidden="1">{"Fecha_Novembro",#N/A,FALSE,"FECHAMENTO-2002 ";"Defer_Novembro",#N/A,FALSE,"DIFERIDO";"Pis_Novembro",#N/A,FALSE,"PIS COFINS";"Iss_Novembro",#N/A,FALSE,"ISS"}</definedName>
    <definedName name="_____________fl1111" localSheetId="8" hidden="1">{"Fecha_Novembro",#N/A,FALSE,"FECHAMENTO-2002 ";"Defer_Novembro",#N/A,FALSE,"DIFERIDO";"Pis_Novembro",#N/A,FALSE,"PIS COFINS";"Iss_Novembro",#N/A,FALSE,"ISS"}</definedName>
    <definedName name="_____________fl1111" localSheetId="12" hidden="1">{"Fecha_Novembro",#N/A,FALSE,"FECHAMENTO-2002 ";"Defer_Novembro",#N/A,FALSE,"DIFERIDO";"Pis_Novembro",#N/A,FALSE,"PIS COFINS";"Iss_Novembro",#N/A,FALSE,"ISS"}</definedName>
    <definedName name="_____________fl1111" localSheetId="13" hidden="1">{"Fecha_Novembro",#N/A,FALSE,"FECHAMENTO-2002 ";"Defer_Novembro",#N/A,FALSE,"DIFERIDO";"Pis_Novembro",#N/A,FALSE,"PIS COFINS";"Iss_Novembro",#N/A,FALSE,"ISS"}</definedName>
    <definedName name="_____________fl1111" localSheetId="11" hidden="1">{"Fecha_Novembro",#N/A,FALSE,"FECHAMENTO-2002 ";"Defer_Novembro",#N/A,FALSE,"DIFERIDO";"Pis_Novembro",#N/A,FALSE,"PIS COFINS";"Iss_Novembro",#N/A,FALSE,"ISS"}</definedName>
    <definedName name="_____________fl1111" localSheetId="31" hidden="1">{"Fecha_Novembro",#N/A,FALSE,"FECHAMENTO-2002 ";"Defer_Novembro",#N/A,FALSE,"DIFERIDO";"Pis_Novembro",#N/A,FALSE,"PIS COFINS";"Iss_Novembro",#N/A,FALSE,"ISS"}</definedName>
    <definedName name="_____________fl1111" localSheetId="48" hidden="1">{"Fecha_Novembro",#N/A,FALSE,"FECHAMENTO-2002 ";"Defer_Novembro",#N/A,FALSE,"DIFERIDO";"Pis_Novembro",#N/A,FALSE,"PIS COFINS";"Iss_Novembro",#N/A,FALSE,"ISS"}</definedName>
    <definedName name="_____________fl1111" hidden="1">{"Fecha_Novembro",#N/A,FALSE,"FECHAMENTO-2002 ";"Defer_Novembro",#N/A,FALSE,"DIFERIDO";"Pis_Novembro",#N/A,FALSE,"PIS COFINS";"Iss_Novembro",#N/A,FALSE,"ISS"}</definedName>
    <definedName name="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fl1111" localSheetId="15" hidden="1">{"Fecha_Novembro",#N/A,FALSE,"FECHAMENTO-2002 ";"Defer_Novembro",#N/A,FALSE,"DIFERIDO";"Pis_Novembro",#N/A,FALSE,"PIS COFINS";"Iss_Novembro",#N/A,FALSE,"ISS"}</definedName>
    <definedName name="____________fl1111" localSheetId="14" hidden="1">{"Fecha_Novembro",#N/A,FALSE,"FECHAMENTO-2002 ";"Defer_Novembro",#N/A,FALSE,"DIFERIDO";"Pis_Novembro",#N/A,FALSE,"PIS COFINS";"Iss_Novembro",#N/A,FALSE,"ISS"}</definedName>
    <definedName name="____________fl1111" localSheetId="2" hidden="1">{"Fecha_Novembro",#N/A,FALSE,"FECHAMENTO-2002 ";"Defer_Novembro",#N/A,FALSE,"DIFERIDO";"Pis_Novembro",#N/A,FALSE,"PIS COFINS";"Iss_Novembro",#N/A,FALSE,"ISS"}</definedName>
    <definedName name="____________fl1111" localSheetId="34" hidden="1">{"Fecha_Novembro",#N/A,FALSE,"FECHAMENTO-2002 ";"Defer_Novembro",#N/A,FALSE,"DIFERIDO";"Pis_Novembro",#N/A,FALSE,"PIS COFINS";"Iss_Novembro",#N/A,FALSE,"ISS"}</definedName>
    <definedName name="____________fl1111" localSheetId="38" hidden="1">{"Fecha_Novembro",#N/A,FALSE,"FECHAMENTO-2002 ";"Defer_Novembro",#N/A,FALSE,"DIFERIDO";"Pis_Novembro",#N/A,FALSE,"PIS COFINS";"Iss_Novembro",#N/A,FALSE,"ISS"}</definedName>
    <definedName name="____________fl1111" localSheetId="8" hidden="1">{"Fecha_Novembro",#N/A,FALSE,"FECHAMENTO-2002 ";"Defer_Novembro",#N/A,FALSE,"DIFERIDO";"Pis_Novembro",#N/A,FALSE,"PIS COFINS";"Iss_Novembro",#N/A,FALSE,"ISS"}</definedName>
    <definedName name="____________fl1111" localSheetId="12" hidden="1">{"Fecha_Novembro",#N/A,FALSE,"FECHAMENTO-2002 ";"Defer_Novembro",#N/A,FALSE,"DIFERIDO";"Pis_Novembro",#N/A,FALSE,"PIS COFINS";"Iss_Novembro",#N/A,FALSE,"ISS"}</definedName>
    <definedName name="____________fl1111" localSheetId="13" hidden="1">{"Fecha_Novembro",#N/A,FALSE,"FECHAMENTO-2002 ";"Defer_Novembro",#N/A,FALSE,"DIFERIDO";"Pis_Novembro",#N/A,FALSE,"PIS COFINS";"Iss_Novembro",#N/A,FALSE,"ISS"}</definedName>
    <definedName name="____________fl1111" localSheetId="11" hidden="1">{"Fecha_Novembro",#N/A,FALSE,"FECHAMENTO-2002 ";"Defer_Novembro",#N/A,FALSE,"DIFERIDO";"Pis_Novembro",#N/A,FALSE,"PIS COFINS";"Iss_Novembro",#N/A,FALSE,"ISS"}</definedName>
    <definedName name="____________fl1111" localSheetId="31" hidden="1">{"Fecha_Novembro",#N/A,FALSE,"FECHAMENTO-2002 ";"Defer_Novembro",#N/A,FALSE,"DIFERIDO";"Pis_Novembro",#N/A,FALSE,"PIS COFINS";"Iss_Novembro",#N/A,FALSE,"ISS"}</definedName>
    <definedName name="____________fl1111" localSheetId="48" hidden="1">{"Fecha_Novembro",#N/A,FALSE,"FECHAMENTO-2002 ";"Defer_Novembro",#N/A,FALSE,"DIFERIDO";"Pis_Novembro",#N/A,FALSE,"PIS COFINS";"Iss_Novembro",#N/A,FALSE,"ISS"}</definedName>
    <definedName name="____________fl1111" hidden="1">{"Fecha_Novembro",#N/A,FALSE,"FECHAMENTO-2002 ";"Defer_Novembro",#N/A,FALSE,"DIFERIDO";"Pis_Novembro",#N/A,FALSE,"PIS COFINS";"Iss_Novembro",#N/A,FALSE,"ISS"}</definedName>
    <definedName name="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fl1111" localSheetId="15" hidden="1">{"Fecha_Novembro",#N/A,FALSE,"FECHAMENTO-2002 ";"Defer_Novembro",#N/A,FALSE,"DIFERIDO";"Pis_Novembro",#N/A,FALSE,"PIS COFINS";"Iss_Novembro",#N/A,FALSE,"ISS"}</definedName>
    <definedName name="___________fl1111" localSheetId="14" hidden="1">{"Fecha_Novembro",#N/A,FALSE,"FECHAMENTO-2002 ";"Defer_Novembro",#N/A,FALSE,"DIFERIDO";"Pis_Novembro",#N/A,FALSE,"PIS COFINS";"Iss_Novembro",#N/A,FALSE,"ISS"}</definedName>
    <definedName name="___________fl1111" localSheetId="2" hidden="1">{"Fecha_Novembro",#N/A,FALSE,"FECHAMENTO-2002 ";"Defer_Novembro",#N/A,FALSE,"DIFERIDO";"Pis_Novembro",#N/A,FALSE,"PIS COFINS";"Iss_Novembro",#N/A,FALSE,"ISS"}</definedName>
    <definedName name="___________fl1111" localSheetId="34" hidden="1">{"Fecha_Novembro",#N/A,FALSE,"FECHAMENTO-2002 ";"Defer_Novembro",#N/A,FALSE,"DIFERIDO";"Pis_Novembro",#N/A,FALSE,"PIS COFINS";"Iss_Novembro",#N/A,FALSE,"ISS"}</definedName>
    <definedName name="___________fl1111" localSheetId="38" hidden="1">{"Fecha_Novembro",#N/A,FALSE,"FECHAMENTO-2002 ";"Defer_Novembro",#N/A,FALSE,"DIFERIDO";"Pis_Novembro",#N/A,FALSE,"PIS COFINS";"Iss_Novembro",#N/A,FALSE,"ISS"}</definedName>
    <definedName name="___________fl1111" localSheetId="8" hidden="1">{"Fecha_Novembro",#N/A,FALSE,"FECHAMENTO-2002 ";"Defer_Novembro",#N/A,FALSE,"DIFERIDO";"Pis_Novembro",#N/A,FALSE,"PIS COFINS";"Iss_Novembro",#N/A,FALSE,"ISS"}</definedName>
    <definedName name="___________fl1111" localSheetId="12" hidden="1">{"Fecha_Novembro",#N/A,FALSE,"FECHAMENTO-2002 ";"Defer_Novembro",#N/A,FALSE,"DIFERIDO";"Pis_Novembro",#N/A,FALSE,"PIS COFINS";"Iss_Novembro",#N/A,FALSE,"ISS"}</definedName>
    <definedName name="___________fl1111" localSheetId="13" hidden="1">{"Fecha_Novembro",#N/A,FALSE,"FECHAMENTO-2002 ";"Defer_Novembro",#N/A,FALSE,"DIFERIDO";"Pis_Novembro",#N/A,FALSE,"PIS COFINS";"Iss_Novembro",#N/A,FALSE,"ISS"}</definedName>
    <definedName name="___________fl1111" localSheetId="11" hidden="1">{"Fecha_Novembro",#N/A,FALSE,"FECHAMENTO-2002 ";"Defer_Novembro",#N/A,FALSE,"DIFERIDO";"Pis_Novembro",#N/A,FALSE,"PIS COFINS";"Iss_Novembro",#N/A,FALSE,"ISS"}</definedName>
    <definedName name="___________fl1111" localSheetId="31" hidden="1">{"Fecha_Novembro",#N/A,FALSE,"FECHAMENTO-2002 ";"Defer_Novembro",#N/A,FALSE,"DIFERIDO";"Pis_Novembro",#N/A,FALSE,"PIS COFINS";"Iss_Novembro",#N/A,FALSE,"ISS"}</definedName>
    <definedName name="___________fl1111" localSheetId="48" hidden="1">{"Fecha_Novembro",#N/A,FALSE,"FECHAMENTO-2002 ";"Defer_Novembro",#N/A,FALSE,"DIFERIDO";"Pis_Novembro",#N/A,FALSE,"PIS COFINS";"Iss_Novembro",#N/A,FALSE,"ISS"}</definedName>
    <definedName name="___________fl1111" hidden="1">{"Fecha_Novembro",#N/A,FALSE,"FECHAMENTO-2002 ";"Defer_Novembro",#N/A,FALSE,"DIFERIDO";"Pis_Novembro",#N/A,FALSE,"PIS COFINS";"Iss_Novembro",#N/A,FALSE,"ISS"}</definedName>
    <definedName name="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fl1111" localSheetId="15" hidden="1">{"Fecha_Novembro",#N/A,FALSE,"FECHAMENTO-2002 ";"Defer_Novembro",#N/A,FALSE,"DIFERIDO";"Pis_Novembro",#N/A,FALSE,"PIS COFINS";"Iss_Novembro",#N/A,FALSE,"ISS"}</definedName>
    <definedName name="__________fl1111" localSheetId="14" hidden="1">{"Fecha_Novembro",#N/A,FALSE,"FECHAMENTO-2002 ";"Defer_Novembro",#N/A,FALSE,"DIFERIDO";"Pis_Novembro",#N/A,FALSE,"PIS COFINS";"Iss_Novembro",#N/A,FALSE,"ISS"}</definedName>
    <definedName name="__________fl1111" localSheetId="2" hidden="1">{"Fecha_Novembro",#N/A,FALSE,"FECHAMENTO-2002 ";"Defer_Novembro",#N/A,FALSE,"DIFERIDO";"Pis_Novembro",#N/A,FALSE,"PIS COFINS";"Iss_Novembro",#N/A,FALSE,"ISS"}</definedName>
    <definedName name="__________fl1111" localSheetId="34" hidden="1">{"Fecha_Novembro",#N/A,FALSE,"FECHAMENTO-2002 ";"Defer_Novembro",#N/A,FALSE,"DIFERIDO";"Pis_Novembro",#N/A,FALSE,"PIS COFINS";"Iss_Novembro",#N/A,FALSE,"ISS"}</definedName>
    <definedName name="__________fl1111" localSheetId="38" hidden="1">{"Fecha_Novembro",#N/A,FALSE,"FECHAMENTO-2002 ";"Defer_Novembro",#N/A,FALSE,"DIFERIDO";"Pis_Novembro",#N/A,FALSE,"PIS COFINS";"Iss_Novembro",#N/A,FALSE,"ISS"}</definedName>
    <definedName name="__________fl1111" localSheetId="8" hidden="1">{"Fecha_Novembro",#N/A,FALSE,"FECHAMENTO-2002 ";"Defer_Novembro",#N/A,FALSE,"DIFERIDO";"Pis_Novembro",#N/A,FALSE,"PIS COFINS";"Iss_Novembro",#N/A,FALSE,"ISS"}</definedName>
    <definedName name="__________fl1111" localSheetId="12" hidden="1">{"Fecha_Novembro",#N/A,FALSE,"FECHAMENTO-2002 ";"Defer_Novembro",#N/A,FALSE,"DIFERIDO";"Pis_Novembro",#N/A,FALSE,"PIS COFINS";"Iss_Novembro",#N/A,FALSE,"ISS"}</definedName>
    <definedName name="__________fl1111" localSheetId="13" hidden="1">{"Fecha_Novembro",#N/A,FALSE,"FECHAMENTO-2002 ";"Defer_Novembro",#N/A,FALSE,"DIFERIDO";"Pis_Novembro",#N/A,FALSE,"PIS COFINS";"Iss_Novembro",#N/A,FALSE,"ISS"}</definedName>
    <definedName name="__________fl1111" localSheetId="11" hidden="1">{"Fecha_Novembro",#N/A,FALSE,"FECHAMENTO-2002 ";"Defer_Novembro",#N/A,FALSE,"DIFERIDO";"Pis_Novembro",#N/A,FALSE,"PIS COFINS";"Iss_Novembro",#N/A,FALSE,"ISS"}</definedName>
    <definedName name="__________fl1111" localSheetId="31" hidden="1">{"Fecha_Novembro",#N/A,FALSE,"FECHAMENTO-2002 ";"Defer_Novembro",#N/A,FALSE,"DIFERIDO";"Pis_Novembro",#N/A,FALSE,"PIS COFINS";"Iss_Novembro",#N/A,FALSE,"ISS"}</definedName>
    <definedName name="__________fl1111" localSheetId="48"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fl1111" localSheetId="15" hidden="1">{"Fecha_Novembro",#N/A,FALSE,"FECHAMENTO-2002 ";"Defer_Novembro",#N/A,FALSE,"DIFERIDO";"Pis_Novembro",#N/A,FALSE,"PIS COFINS";"Iss_Novembro",#N/A,FALSE,"ISS"}</definedName>
    <definedName name="_________fl1111" localSheetId="14" hidden="1">{"Fecha_Novembro",#N/A,FALSE,"FECHAMENTO-2002 ";"Defer_Novembro",#N/A,FALSE,"DIFERIDO";"Pis_Novembro",#N/A,FALSE,"PIS COFINS";"Iss_Novembro",#N/A,FALSE,"ISS"}</definedName>
    <definedName name="_________fl1111" localSheetId="2" hidden="1">{"Fecha_Novembro",#N/A,FALSE,"FECHAMENTO-2002 ";"Defer_Novembro",#N/A,FALSE,"DIFERIDO";"Pis_Novembro",#N/A,FALSE,"PIS COFINS";"Iss_Novembro",#N/A,FALSE,"ISS"}</definedName>
    <definedName name="_________fl1111" localSheetId="34" hidden="1">{"Fecha_Novembro",#N/A,FALSE,"FECHAMENTO-2002 ";"Defer_Novembro",#N/A,FALSE,"DIFERIDO";"Pis_Novembro",#N/A,FALSE,"PIS COFINS";"Iss_Novembro",#N/A,FALSE,"ISS"}</definedName>
    <definedName name="_________fl1111" localSheetId="38" hidden="1">{"Fecha_Novembro",#N/A,FALSE,"FECHAMENTO-2002 ";"Defer_Novembro",#N/A,FALSE,"DIFERIDO";"Pis_Novembro",#N/A,FALSE,"PIS COFINS";"Iss_Novembro",#N/A,FALSE,"ISS"}</definedName>
    <definedName name="_________fl1111" localSheetId="8" hidden="1">{"Fecha_Novembro",#N/A,FALSE,"FECHAMENTO-2002 ";"Defer_Novembro",#N/A,FALSE,"DIFERIDO";"Pis_Novembro",#N/A,FALSE,"PIS COFINS";"Iss_Novembro",#N/A,FALSE,"ISS"}</definedName>
    <definedName name="_________fl1111" localSheetId="12" hidden="1">{"Fecha_Novembro",#N/A,FALSE,"FECHAMENTO-2002 ";"Defer_Novembro",#N/A,FALSE,"DIFERIDO";"Pis_Novembro",#N/A,FALSE,"PIS COFINS";"Iss_Novembro",#N/A,FALSE,"ISS"}</definedName>
    <definedName name="_________fl1111" localSheetId="13" hidden="1">{"Fecha_Novembro",#N/A,FALSE,"FECHAMENTO-2002 ";"Defer_Novembro",#N/A,FALSE,"DIFERIDO";"Pis_Novembro",#N/A,FALSE,"PIS COFINS";"Iss_Novembro",#N/A,FALSE,"ISS"}</definedName>
    <definedName name="_________fl1111" localSheetId="11" hidden="1">{"Fecha_Novembro",#N/A,FALSE,"FECHAMENTO-2002 ";"Defer_Novembro",#N/A,FALSE,"DIFERIDO";"Pis_Novembro",#N/A,FALSE,"PIS COFINS";"Iss_Novembro",#N/A,FALSE,"ISS"}</definedName>
    <definedName name="_________fl1111" localSheetId="31" hidden="1">{"Fecha_Novembro",#N/A,FALSE,"FECHAMENTO-2002 ";"Defer_Novembro",#N/A,FALSE,"DIFERIDO";"Pis_Novembro",#N/A,FALSE,"PIS COFINS";"Iss_Novembro",#N/A,FALSE,"ISS"}</definedName>
    <definedName name="_________fl1111" localSheetId="48"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fl1111" localSheetId="15" hidden="1">{"Fecha_Novembro",#N/A,FALSE,"FECHAMENTO-2002 ";"Defer_Novembro",#N/A,FALSE,"DIFERIDO";"Pis_Novembro",#N/A,FALSE,"PIS COFINS";"Iss_Novembro",#N/A,FALSE,"ISS"}</definedName>
    <definedName name="________fl1111" localSheetId="14" hidden="1">{"Fecha_Novembro",#N/A,FALSE,"FECHAMENTO-2002 ";"Defer_Novembro",#N/A,FALSE,"DIFERIDO";"Pis_Novembro",#N/A,FALSE,"PIS COFINS";"Iss_Novembro",#N/A,FALSE,"ISS"}</definedName>
    <definedName name="________fl1111" localSheetId="2" hidden="1">{"Fecha_Novembro",#N/A,FALSE,"FECHAMENTO-2002 ";"Defer_Novembro",#N/A,FALSE,"DIFERIDO";"Pis_Novembro",#N/A,FALSE,"PIS COFINS";"Iss_Novembro",#N/A,FALSE,"ISS"}</definedName>
    <definedName name="________fl1111" localSheetId="34" hidden="1">{"Fecha_Novembro",#N/A,FALSE,"FECHAMENTO-2002 ";"Defer_Novembro",#N/A,FALSE,"DIFERIDO";"Pis_Novembro",#N/A,FALSE,"PIS COFINS";"Iss_Novembro",#N/A,FALSE,"ISS"}</definedName>
    <definedName name="________fl1111" localSheetId="38" hidden="1">{"Fecha_Novembro",#N/A,FALSE,"FECHAMENTO-2002 ";"Defer_Novembro",#N/A,FALSE,"DIFERIDO";"Pis_Novembro",#N/A,FALSE,"PIS COFINS";"Iss_Novembro",#N/A,FALSE,"ISS"}</definedName>
    <definedName name="________fl1111" localSheetId="8" hidden="1">{"Fecha_Novembro",#N/A,FALSE,"FECHAMENTO-2002 ";"Defer_Novembro",#N/A,FALSE,"DIFERIDO";"Pis_Novembro",#N/A,FALSE,"PIS COFINS";"Iss_Novembro",#N/A,FALSE,"ISS"}</definedName>
    <definedName name="________fl1111" localSheetId="12" hidden="1">{"Fecha_Novembro",#N/A,FALSE,"FECHAMENTO-2002 ";"Defer_Novembro",#N/A,FALSE,"DIFERIDO";"Pis_Novembro",#N/A,FALSE,"PIS COFINS";"Iss_Novembro",#N/A,FALSE,"ISS"}</definedName>
    <definedName name="________fl1111" localSheetId="13" hidden="1">{"Fecha_Novembro",#N/A,FALSE,"FECHAMENTO-2002 ";"Defer_Novembro",#N/A,FALSE,"DIFERIDO";"Pis_Novembro",#N/A,FALSE,"PIS COFINS";"Iss_Novembro",#N/A,FALSE,"ISS"}</definedName>
    <definedName name="________fl1111" localSheetId="11" hidden="1">{"Fecha_Novembro",#N/A,FALSE,"FECHAMENTO-2002 ";"Defer_Novembro",#N/A,FALSE,"DIFERIDO";"Pis_Novembro",#N/A,FALSE,"PIS COFINS";"Iss_Novembro",#N/A,FALSE,"ISS"}</definedName>
    <definedName name="________fl1111" localSheetId="31" hidden="1">{"Fecha_Novembro",#N/A,FALSE,"FECHAMENTO-2002 ";"Defer_Novembro",#N/A,FALSE,"DIFERIDO";"Pis_Novembro",#N/A,FALSE,"PIS COFINS";"Iss_Novembro",#N/A,FALSE,"ISS"}</definedName>
    <definedName name="________fl1111" localSheetId="48"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fl1111" localSheetId="15" hidden="1">{"Fecha_Novembro",#N/A,FALSE,"FECHAMENTO-2002 ";"Defer_Novembro",#N/A,FALSE,"DIFERIDO";"Pis_Novembro",#N/A,FALSE,"PIS COFINS";"Iss_Novembro",#N/A,FALSE,"ISS"}</definedName>
    <definedName name="_______fl1111" localSheetId="14" hidden="1">{"Fecha_Novembro",#N/A,FALSE,"FECHAMENTO-2002 ";"Defer_Novembro",#N/A,FALSE,"DIFERIDO";"Pis_Novembro",#N/A,FALSE,"PIS COFINS";"Iss_Novembro",#N/A,FALSE,"ISS"}</definedName>
    <definedName name="_______fl1111" localSheetId="2" hidden="1">{"Fecha_Novembro",#N/A,FALSE,"FECHAMENTO-2002 ";"Defer_Novembro",#N/A,FALSE,"DIFERIDO";"Pis_Novembro",#N/A,FALSE,"PIS COFINS";"Iss_Novembro",#N/A,FALSE,"ISS"}</definedName>
    <definedName name="_______fl1111" localSheetId="34" hidden="1">{"Fecha_Novembro",#N/A,FALSE,"FECHAMENTO-2002 ";"Defer_Novembro",#N/A,FALSE,"DIFERIDO";"Pis_Novembro",#N/A,FALSE,"PIS COFINS";"Iss_Novembro",#N/A,FALSE,"ISS"}</definedName>
    <definedName name="_______fl1111" localSheetId="38" hidden="1">{"Fecha_Novembro",#N/A,FALSE,"FECHAMENTO-2002 ";"Defer_Novembro",#N/A,FALSE,"DIFERIDO";"Pis_Novembro",#N/A,FALSE,"PIS COFINS";"Iss_Novembro",#N/A,FALSE,"ISS"}</definedName>
    <definedName name="_______fl1111" localSheetId="8" hidden="1">{"Fecha_Novembro",#N/A,FALSE,"FECHAMENTO-2002 ";"Defer_Novembro",#N/A,FALSE,"DIFERIDO";"Pis_Novembro",#N/A,FALSE,"PIS COFINS";"Iss_Novembro",#N/A,FALSE,"ISS"}</definedName>
    <definedName name="_______fl1111" localSheetId="12" hidden="1">{"Fecha_Novembro",#N/A,FALSE,"FECHAMENTO-2002 ";"Defer_Novembro",#N/A,FALSE,"DIFERIDO";"Pis_Novembro",#N/A,FALSE,"PIS COFINS";"Iss_Novembro",#N/A,FALSE,"ISS"}</definedName>
    <definedName name="_______fl1111" localSheetId="13" hidden="1">{"Fecha_Novembro",#N/A,FALSE,"FECHAMENTO-2002 ";"Defer_Novembro",#N/A,FALSE,"DIFERIDO";"Pis_Novembro",#N/A,FALSE,"PIS COFINS";"Iss_Novembro",#N/A,FALSE,"ISS"}</definedName>
    <definedName name="_______fl1111" localSheetId="11" hidden="1">{"Fecha_Novembro",#N/A,FALSE,"FECHAMENTO-2002 ";"Defer_Novembro",#N/A,FALSE,"DIFERIDO";"Pis_Novembro",#N/A,FALSE,"PIS COFINS";"Iss_Novembro",#N/A,FALSE,"ISS"}</definedName>
    <definedName name="_______fl1111" localSheetId="31" hidden="1">{"Fecha_Novembro",#N/A,FALSE,"FECHAMENTO-2002 ";"Defer_Novembro",#N/A,FALSE,"DIFERIDO";"Pis_Novembro",#N/A,FALSE,"PIS COFINS";"Iss_Novembro",#N/A,FALSE,"ISS"}</definedName>
    <definedName name="_______fl1111" localSheetId="48"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fl1111" localSheetId="15" hidden="1">{"Fecha_Novembro",#N/A,FALSE,"FECHAMENTO-2002 ";"Defer_Novembro",#N/A,FALSE,"DIFERIDO";"Pis_Novembro",#N/A,FALSE,"PIS COFINS";"Iss_Novembro",#N/A,FALSE,"ISS"}</definedName>
    <definedName name="______fl1111" localSheetId="14" hidden="1">{"Fecha_Novembro",#N/A,FALSE,"FECHAMENTO-2002 ";"Defer_Novembro",#N/A,FALSE,"DIFERIDO";"Pis_Novembro",#N/A,FALSE,"PIS COFINS";"Iss_Novembro",#N/A,FALSE,"ISS"}</definedName>
    <definedName name="______fl1111" localSheetId="2" hidden="1">{"Fecha_Novembro",#N/A,FALSE,"FECHAMENTO-2002 ";"Defer_Novembro",#N/A,FALSE,"DIFERIDO";"Pis_Novembro",#N/A,FALSE,"PIS COFINS";"Iss_Novembro",#N/A,FALSE,"ISS"}</definedName>
    <definedName name="______fl1111" localSheetId="34" hidden="1">{"Fecha_Novembro",#N/A,FALSE,"FECHAMENTO-2002 ";"Defer_Novembro",#N/A,FALSE,"DIFERIDO";"Pis_Novembro",#N/A,FALSE,"PIS COFINS";"Iss_Novembro",#N/A,FALSE,"ISS"}</definedName>
    <definedName name="______fl1111" localSheetId="38" hidden="1">{"Fecha_Novembro",#N/A,FALSE,"FECHAMENTO-2002 ";"Defer_Novembro",#N/A,FALSE,"DIFERIDO";"Pis_Novembro",#N/A,FALSE,"PIS COFINS";"Iss_Novembro",#N/A,FALSE,"ISS"}</definedName>
    <definedName name="______fl1111" localSheetId="8" hidden="1">{"Fecha_Novembro",#N/A,FALSE,"FECHAMENTO-2002 ";"Defer_Novembro",#N/A,FALSE,"DIFERIDO";"Pis_Novembro",#N/A,FALSE,"PIS COFINS";"Iss_Novembro",#N/A,FALSE,"ISS"}</definedName>
    <definedName name="______fl1111" localSheetId="12" hidden="1">{"Fecha_Novembro",#N/A,FALSE,"FECHAMENTO-2002 ";"Defer_Novembro",#N/A,FALSE,"DIFERIDO";"Pis_Novembro",#N/A,FALSE,"PIS COFINS";"Iss_Novembro",#N/A,FALSE,"ISS"}</definedName>
    <definedName name="______fl1111" localSheetId="13" hidden="1">{"Fecha_Novembro",#N/A,FALSE,"FECHAMENTO-2002 ";"Defer_Novembro",#N/A,FALSE,"DIFERIDO";"Pis_Novembro",#N/A,FALSE,"PIS COFINS";"Iss_Novembro",#N/A,FALSE,"ISS"}</definedName>
    <definedName name="______fl1111" localSheetId="11" hidden="1">{"Fecha_Novembro",#N/A,FALSE,"FECHAMENTO-2002 ";"Defer_Novembro",#N/A,FALSE,"DIFERIDO";"Pis_Novembro",#N/A,FALSE,"PIS COFINS";"Iss_Novembro",#N/A,FALSE,"ISS"}</definedName>
    <definedName name="______fl1111" localSheetId="31" hidden="1">{"Fecha_Novembro",#N/A,FALSE,"FECHAMENTO-2002 ";"Defer_Novembro",#N/A,FALSE,"DIFERIDO";"Pis_Novembro",#N/A,FALSE,"PIS COFINS";"Iss_Novembro",#N/A,FALSE,"ISS"}</definedName>
    <definedName name="______fl1111" localSheetId="48"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fl1111" localSheetId="15" hidden="1">{"Fecha_Novembro",#N/A,FALSE,"FECHAMENTO-2002 ";"Defer_Novembro",#N/A,FALSE,"DIFERIDO";"Pis_Novembro",#N/A,FALSE,"PIS COFINS";"Iss_Novembro",#N/A,FALSE,"ISS"}</definedName>
    <definedName name="_____fl1111" localSheetId="14" hidden="1">{"Fecha_Novembro",#N/A,FALSE,"FECHAMENTO-2002 ";"Defer_Novembro",#N/A,FALSE,"DIFERIDO";"Pis_Novembro",#N/A,FALSE,"PIS COFINS";"Iss_Novembro",#N/A,FALSE,"ISS"}</definedName>
    <definedName name="_____fl1111" localSheetId="2" hidden="1">{"Fecha_Novembro",#N/A,FALSE,"FECHAMENTO-2002 ";"Defer_Novembro",#N/A,FALSE,"DIFERIDO";"Pis_Novembro",#N/A,FALSE,"PIS COFINS";"Iss_Novembro",#N/A,FALSE,"ISS"}</definedName>
    <definedName name="_____fl1111" localSheetId="34" hidden="1">{"Fecha_Novembro",#N/A,FALSE,"FECHAMENTO-2002 ";"Defer_Novembro",#N/A,FALSE,"DIFERIDO";"Pis_Novembro",#N/A,FALSE,"PIS COFINS";"Iss_Novembro",#N/A,FALSE,"ISS"}</definedName>
    <definedName name="_____fl1111" localSheetId="38" hidden="1">{"Fecha_Novembro",#N/A,FALSE,"FECHAMENTO-2002 ";"Defer_Novembro",#N/A,FALSE,"DIFERIDO";"Pis_Novembro",#N/A,FALSE,"PIS COFINS";"Iss_Novembro",#N/A,FALSE,"ISS"}</definedName>
    <definedName name="_____fl1111" localSheetId="8" hidden="1">{"Fecha_Novembro",#N/A,FALSE,"FECHAMENTO-2002 ";"Defer_Novembro",#N/A,FALSE,"DIFERIDO";"Pis_Novembro",#N/A,FALSE,"PIS COFINS";"Iss_Novembro",#N/A,FALSE,"ISS"}</definedName>
    <definedName name="_____fl1111" localSheetId="12" hidden="1">{"Fecha_Novembro",#N/A,FALSE,"FECHAMENTO-2002 ";"Defer_Novembro",#N/A,FALSE,"DIFERIDO";"Pis_Novembro",#N/A,FALSE,"PIS COFINS";"Iss_Novembro",#N/A,FALSE,"ISS"}</definedName>
    <definedName name="_____fl1111" localSheetId="13" hidden="1">{"Fecha_Novembro",#N/A,FALSE,"FECHAMENTO-2002 ";"Defer_Novembro",#N/A,FALSE,"DIFERIDO";"Pis_Novembro",#N/A,FALSE,"PIS COFINS";"Iss_Novembro",#N/A,FALSE,"ISS"}</definedName>
    <definedName name="_____fl1111" localSheetId="11" hidden="1">{"Fecha_Novembro",#N/A,FALSE,"FECHAMENTO-2002 ";"Defer_Novembro",#N/A,FALSE,"DIFERIDO";"Pis_Novembro",#N/A,FALSE,"PIS COFINS";"Iss_Novembro",#N/A,FALSE,"ISS"}</definedName>
    <definedName name="_____fl1111" localSheetId="31" hidden="1">{"Fecha_Novembro",#N/A,FALSE,"FECHAMENTO-2002 ";"Defer_Novembro",#N/A,FALSE,"DIFERIDO";"Pis_Novembro",#N/A,FALSE,"PIS COFINS";"Iss_Novembro",#N/A,FALSE,"ISS"}</definedName>
    <definedName name="_____fl1111" localSheetId="48" hidden="1">{"Fecha_Novembro",#N/A,FALSE,"FECHAMENTO-2002 ";"Defer_Novembro",#N/A,FALSE,"DIFERIDO";"Pis_Novembro",#N/A,FALSE,"PIS COFINS";"Iss_Novembro",#N/A,FALSE,"ISS"}</definedName>
    <definedName name="_____fl1111" hidden="1">{"Fecha_Novembro",#N/A,FALSE,"FECHAMENTO-2002 ";"Defer_Novembro",#N/A,FALSE,"DIFERIDO";"Pis_Novembro",#N/A,FALSE,"PIS COFINS";"Iss_Novembro",#N/A,FALSE,"ISS"}</definedName>
    <definedName name="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fl1111" localSheetId="15" hidden="1">{"Fecha_Novembro",#N/A,FALSE,"FECHAMENTO-2002 ";"Defer_Novembro",#N/A,FALSE,"DIFERIDO";"Pis_Novembro",#N/A,FALSE,"PIS COFINS";"Iss_Novembro",#N/A,FALSE,"ISS"}</definedName>
    <definedName name="____fl1111" localSheetId="14" hidden="1">{"Fecha_Novembro",#N/A,FALSE,"FECHAMENTO-2002 ";"Defer_Novembro",#N/A,FALSE,"DIFERIDO";"Pis_Novembro",#N/A,FALSE,"PIS COFINS";"Iss_Novembro",#N/A,FALSE,"ISS"}</definedName>
    <definedName name="____fl1111" localSheetId="2" hidden="1">{"Fecha_Novembro",#N/A,FALSE,"FECHAMENTO-2002 ";"Defer_Novembro",#N/A,FALSE,"DIFERIDO";"Pis_Novembro",#N/A,FALSE,"PIS COFINS";"Iss_Novembro",#N/A,FALSE,"ISS"}</definedName>
    <definedName name="____fl1111" localSheetId="34" hidden="1">{"Fecha_Novembro",#N/A,FALSE,"FECHAMENTO-2002 ";"Defer_Novembro",#N/A,FALSE,"DIFERIDO";"Pis_Novembro",#N/A,FALSE,"PIS COFINS";"Iss_Novembro",#N/A,FALSE,"ISS"}</definedName>
    <definedName name="____fl1111" localSheetId="38" hidden="1">{"Fecha_Novembro",#N/A,FALSE,"FECHAMENTO-2002 ";"Defer_Novembro",#N/A,FALSE,"DIFERIDO";"Pis_Novembro",#N/A,FALSE,"PIS COFINS";"Iss_Novembro",#N/A,FALSE,"ISS"}</definedName>
    <definedName name="____fl1111" localSheetId="8" hidden="1">{"Fecha_Novembro",#N/A,FALSE,"FECHAMENTO-2002 ";"Defer_Novembro",#N/A,FALSE,"DIFERIDO";"Pis_Novembro",#N/A,FALSE,"PIS COFINS";"Iss_Novembro",#N/A,FALSE,"ISS"}</definedName>
    <definedName name="____fl1111" localSheetId="12" hidden="1">{"Fecha_Novembro",#N/A,FALSE,"FECHAMENTO-2002 ";"Defer_Novembro",#N/A,FALSE,"DIFERIDO";"Pis_Novembro",#N/A,FALSE,"PIS COFINS";"Iss_Novembro",#N/A,FALSE,"ISS"}</definedName>
    <definedName name="____fl1111" localSheetId="13" hidden="1">{"Fecha_Novembro",#N/A,FALSE,"FECHAMENTO-2002 ";"Defer_Novembro",#N/A,FALSE,"DIFERIDO";"Pis_Novembro",#N/A,FALSE,"PIS COFINS";"Iss_Novembro",#N/A,FALSE,"ISS"}</definedName>
    <definedName name="____fl1111" localSheetId="11" hidden="1">{"Fecha_Novembro",#N/A,FALSE,"FECHAMENTO-2002 ";"Defer_Novembro",#N/A,FALSE,"DIFERIDO";"Pis_Novembro",#N/A,FALSE,"PIS COFINS";"Iss_Novembro",#N/A,FALSE,"ISS"}</definedName>
    <definedName name="____fl1111" localSheetId="31" hidden="1">{"Fecha_Novembro",#N/A,FALSE,"FECHAMENTO-2002 ";"Defer_Novembro",#N/A,FALSE,"DIFERIDO";"Pis_Novembro",#N/A,FALSE,"PIS COFINS";"Iss_Novembro",#N/A,FALSE,"ISS"}</definedName>
    <definedName name="____fl1111" localSheetId="48"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fl1111" localSheetId="15" hidden="1">{"Fecha_Novembro",#N/A,FALSE,"FECHAMENTO-2002 ";"Defer_Novembro",#N/A,FALSE,"DIFERIDO";"Pis_Novembro",#N/A,FALSE,"PIS COFINS";"Iss_Novembro",#N/A,FALSE,"ISS"}</definedName>
    <definedName name="___fl1111" localSheetId="14" hidden="1">{"Fecha_Novembro",#N/A,FALSE,"FECHAMENTO-2002 ";"Defer_Novembro",#N/A,FALSE,"DIFERIDO";"Pis_Novembro",#N/A,FALSE,"PIS COFINS";"Iss_Novembro",#N/A,FALSE,"ISS"}</definedName>
    <definedName name="___fl1111" localSheetId="2" hidden="1">{"Fecha_Novembro",#N/A,FALSE,"FECHAMENTO-2002 ";"Defer_Novembro",#N/A,FALSE,"DIFERIDO";"Pis_Novembro",#N/A,FALSE,"PIS COFINS";"Iss_Novembro",#N/A,FALSE,"ISS"}</definedName>
    <definedName name="___fl1111" localSheetId="34" hidden="1">{"Fecha_Novembro",#N/A,FALSE,"FECHAMENTO-2002 ";"Defer_Novembro",#N/A,FALSE,"DIFERIDO";"Pis_Novembro",#N/A,FALSE,"PIS COFINS";"Iss_Novembro",#N/A,FALSE,"ISS"}</definedName>
    <definedName name="___fl1111" localSheetId="38" hidden="1">{"Fecha_Novembro",#N/A,FALSE,"FECHAMENTO-2002 ";"Defer_Novembro",#N/A,FALSE,"DIFERIDO";"Pis_Novembro",#N/A,FALSE,"PIS COFINS";"Iss_Novembro",#N/A,FALSE,"ISS"}</definedName>
    <definedName name="___fl1111" localSheetId="8" hidden="1">{"Fecha_Novembro",#N/A,FALSE,"FECHAMENTO-2002 ";"Defer_Novembro",#N/A,FALSE,"DIFERIDO";"Pis_Novembro",#N/A,FALSE,"PIS COFINS";"Iss_Novembro",#N/A,FALSE,"ISS"}</definedName>
    <definedName name="___fl1111" localSheetId="12" hidden="1">{"Fecha_Novembro",#N/A,FALSE,"FECHAMENTO-2002 ";"Defer_Novembro",#N/A,FALSE,"DIFERIDO";"Pis_Novembro",#N/A,FALSE,"PIS COFINS";"Iss_Novembro",#N/A,FALSE,"ISS"}</definedName>
    <definedName name="___fl1111" localSheetId="13" hidden="1">{"Fecha_Novembro",#N/A,FALSE,"FECHAMENTO-2002 ";"Defer_Novembro",#N/A,FALSE,"DIFERIDO";"Pis_Novembro",#N/A,FALSE,"PIS COFINS";"Iss_Novembro",#N/A,FALSE,"ISS"}</definedName>
    <definedName name="___fl1111" localSheetId="11" hidden="1">{"Fecha_Novembro",#N/A,FALSE,"FECHAMENTO-2002 ";"Defer_Novembro",#N/A,FALSE,"DIFERIDO";"Pis_Novembro",#N/A,FALSE,"PIS COFINS";"Iss_Novembro",#N/A,FALSE,"ISS"}</definedName>
    <definedName name="___fl1111" localSheetId="31" hidden="1">{"Fecha_Novembro",#N/A,FALSE,"FECHAMENTO-2002 ";"Defer_Novembro",#N/A,FALSE,"DIFERIDO";"Pis_Novembro",#N/A,FALSE,"PIS COFINS";"Iss_Novembro",#N/A,FALSE,"ISS"}</definedName>
    <definedName name="___fl1111" localSheetId="48" hidden="1">{"Fecha_Novembro",#N/A,FALSE,"FECHAMENTO-2002 ";"Defer_Novembro",#N/A,FALSE,"DIFERIDO";"Pis_Novembro",#N/A,FALSE,"PIS COFINS";"Iss_Novembro",#N/A,FALSE,"ISS"}</definedName>
    <definedName name="___fl1111" hidden="1">{"Fecha_Novembro",#N/A,FALSE,"FECHAMENTO-2002 ";"Defer_Novembro",#N/A,FALSE,"DIFERIDO";"Pis_Novembro",#N/A,FALSE,"PIS COFINS";"Iss_Novembro",#N/A,FALSE,"ISS"}</definedName>
    <definedName name="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123Graph_A" hidden="1">#REF!</definedName>
    <definedName name="__123Graph_AANIDRO" hidden="1">#REF!</definedName>
    <definedName name="__123Graph_AHIALCOOL" hidden="1">#REF!</definedName>
    <definedName name="__123Graph_AHIDRATADO" hidden="1">#REF!</definedName>
    <definedName name="__123Graph_AINDMES" hidden="1">#REF!</definedName>
    <definedName name="__123Graph_AJAYME" hidden="1">#REF!</definedName>
    <definedName name="__123Graph_AMERC" hidden="1">#REF!</definedName>
    <definedName name="__123Graph_ARESFIN" hidden="1">#REF!</definedName>
    <definedName name="__123Graph_ASACAS" hidden="1">#REF!</definedName>
    <definedName name="__123Graph_ASIDECO" localSheetId="1" hidden="1">#REF!</definedName>
    <definedName name="__123Graph_ASIDECO" localSheetId="15" hidden="1">#REF!</definedName>
    <definedName name="__123Graph_ASIDECO" localSheetId="7" hidden="1">#REF!</definedName>
    <definedName name="__123Graph_ASIDECO" localSheetId="2" hidden="1">#REF!</definedName>
    <definedName name="__123Graph_ASIDECO" localSheetId="34" hidden="1">#REF!</definedName>
    <definedName name="__123Graph_ASIDECO" localSheetId="38" hidden="1">#REF!</definedName>
    <definedName name="__123Graph_ASIDECO" localSheetId="12" hidden="1">#REF!</definedName>
    <definedName name="__123Graph_ASIDECO" localSheetId="10" hidden="1">#REF!</definedName>
    <definedName name="__123Graph_ASIDECO" localSheetId="6" hidden="1">#REF!</definedName>
    <definedName name="__123Graph_ASIDECO" hidden="1">#REF!</definedName>
    <definedName name="__123Graph_AUSS" hidden="1">#REF!</definedName>
    <definedName name="__123Graph_B" localSheetId="1" hidden="1">#REF!</definedName>
    <definedName name="__123Graph_B" localSheetId="15" hidden="1">#REF!</definedName>
    <definedName name="__123Graph_B" localSheetId="7" hidden="1">#REF!</definedName>
    <definedName name="__123Graph_B" localSheetId="2" hidden="1">#REF!</definedName>
    <definedName name="__123Graph_B" localSheetId="34" hidden="1">#REF!</definedName>
    <definedName name="__123Graph_B" localSheetId="38" hidden="1">#REF!</definedName>
    <definedName name="__123Graph_B" localSheetId="12" hidden="1">#REF!</definedName>
    <definedName name="__123Graph_B" localSheetId="10" hidden="1">#REF!</definedName>
    <definedName name="__123Graph_B" localSheetId="6" hidden="1">#REF!</definedName>
    <definedName name="__123Graph_B" hidden="1">#REF!</definedName>
    <definedName name="__123Graph_BINDMES" hidden="1">#REF!</definedName>
    <definedName name="__123Graph_BJAYME" hidden="1">#REF!</definedName>
    <definedName name="__123Graph_BMERC" hidden="1">#REF!</definedName>
    <definedName name="__123Graph_BRESFIN" hidden="1">#REF!</definedName>
    <definedName name="__123Graph_BSIDECO" localSheetId="1" hidden="1">#REF!</definedName>
    <definedName name="__123Graph_BSIDECO" localSheetId="15" hidden="1">#REF!</definedName>
    <definedName name="__123Graph_BSIDECO" localSheetId="7" hidden="1">#REF!</definedName>
    <definedName name="__123Graph_BSIDECO" localSheetId="2" hidden="1">#REF!</definedName>
    <definedName name="__123Graph_BSIDECO" localSheetId="34" hidden="1">#REF!</definedName>
    <definedName name="__123Graph_BSIDECO" localSheetId="38" hidden="1">#REF!</definedName>
    <definedName name="__123Graph_BSIDECO" localSheetId="12" hidden="1">#REF!</definedName>
    <definedName name="__123Graph_BSIDECO" localSheetId="10" hidden="1">#REF!</definedName>
    <definedName name="__123Graph_BSIDECO" localSheetId="6" hidden="1">#REF!</definedName>
    <definedName name="__123Graph_BSIDECO" hidden="1">#REF!</definedName>
    <definedName name="__123Graph_C" hidden="1">#REF!</definedName>
    <definedName name="__123Graph_CINDMES" hidden="1">#REF!</definedName>
    <definedName name="__123Graph_CJAYME" hidden="1">#REF!</definedName>
    <definedName name="__123Graph_CMERC" hidden="1">#REF!</definedName>
    <definedName name="__123Graph_CRESFIN" hidden="1">#REF!</definedName>
    <definedName name="__123Graph_CSIDECO" localSheetId="1" hidden="1">#REF!</definedName>
    <definedName name="__123Graph_CSIDECO" localSheetId="15" hidden="1">#REF!</definedName>
    <definedName name="__123Graph_CSIDECO" localSheetId="7" hidden="1">#REF!</definedName>
    <definedName name="__123Graph_CSIDECO" localSheetId="2" hidden="1">#REF!</definedName>
    <definedName name="__123Graph_CSIDECO" localSheetId="34" hidden="1">#REF!</definedName>
    <definedName name="__123Graph_CSIDECO" localSheetId="38" hidden="1">#REF!</definedName>
    <definedName name="__123Graph_CSIDECO" localSheetId="12" hidden="1">#REF!</definedName>
    <definedName name="__123Graph_CSIDECO" localSheetId="10" hidden="1">#REF!</definedName>
    <definedName name="__123Graph_CSIDECO" localSheetId="6" hidden="1">#REF!</definedName>
    <definedName name="__123Graph_CSIDECO" hidden="1">#REF!</definedName>
    <definedName name="__123Graph_D" localSheetId="1" hidden="1">#REF!</definedName>
    <definedName name="__123Graph_D" localSheetId="7" hidden="1">#REF!</definedName>
    <definedName name="__123Graph_D" localSheetId="2" hidden="1">#REF!</definedName>
    <definedName name="__123Graph_D" localSheetId="34" hidden="1">#REF!</definedName>
    <definedName name="__123Graph_D" localSheetId="38" hidden="1">#REF!</definedName>
    <definedName name="__123Graph_D" localSheetId="12" hidden="1">#REF!</definedName>
    <definedName name="__123Graph_D" localSheetId="10" hidden="1">#REF!</definedName>
    <definedName name="__123Graph_D" localSheetId="11" hidden="1">#REF!</definedName>
    <definedName name="__123Graph_D" localSheetId="6" hidden="1">#REF!</definedName>
    <definedName name="__123Graph_D" hidden="1">#REF!</definedName>
    <definedName name="__123Graph_DINDMES" hidden="1">#REF!</definedName>
    <definedName name="__123Graph_F" hidden="1">#REF!</definedName>
    <definedName name="__123Graph_X" hidden="1">#REF!</definedName>
    <definedName name="__123Graph_XANIDRO" hidden="1">#REF!</definedName>
    <definedName name="__123Graph_XHIALCOOL" hidden="1">#REF!</definedName>
    <definedName name="__123Graph_XHIDRATADO" hidden="1">#REF!</definedName>
    <definedName name="__123Graph_XINDMES" hidden="1">#REF!</definedName>
    <definedName name="__123Graph_XJAYME" hidden="1">#REF!</definedName>
    <definedName name="__123Graph_XMERC" hidden="1">#REF!</definedName>
    <definedName name="__123Graph_XRESFIN" hidden="1">#REF!</definedName>
    <definedName name="__123Graph_XSACAS" hidden="1">#REF!</definedName>
    <definedName name="__123Graph_XSIDECO" localSheetId="1" hidden="1">#REF!</definedName>
    <definedName name="__123Graph_XSIDECO" localSheetId="15" hidden="1">#REF!</definedName>
    <definedName name="__123Graph_XSIDECO" localSheetId="7" hidden="1">#REF!</definedName>
    <definedName name="__123Graph_XSIDECO" localSheetId="2" hidden="1">#REF!</definedName>
    <definedName name="__123Graph_XSIDECO" localSheetId="34" hidden="1">#REF!</definedName>
    <definedName name="__123Graph_XSIDECO" localSheetId="38" hidden="1">#REF!</definedName>
    <definedName name="__123Graph_XSIDECO" localSheetId="12" hidden="1">#REF!</definedName>
    <definedName name="__123Graph_XSIDECO" localSheetId="10" hidden="1">#REF!</definedName>
    <definedName name="__123Graph_XSIDECO" localSheetId="6" hidden="1">#REF!</definedName>
    <definedName name="__123Graph_XSIDECO" hidden="1">#REF!</definedName>
    <definedName name="__123Graph_XUSS" hidden="1">#REF!</definedName>
    <definedName name="__DRE0700" localSheetId="15" hidden="1">{"'PXR_6500'!$A$1:$I$124"}</definedName>
    <definedName name="__DRE0700" localSheetId="14" hidden="1">{"'PXR_6500'!$A$1:$I$124"}</definedName>
    <definedName name="__DRE0700" localSheetId="2" hidden="1">{"'PXR_6500'!$A$1:$I$124"}</definedName>
    <definedName name="__DRE0700" localSheetId="34" hidden="1">{"'PXR_6500'!$A$1:$I$124"}</definedName>
    <definedName name="__DRE0700" localSheetId="38" hidden="1">{"'PXR_6500'!$A$1:$I$124"}</definedName>
    <definedName name="__DRE0700" localSheetId="8" hidden="1">{"'PXR_6500'!$A$1:$I$124"}</definedName>
    <definedName name="__DRE0700" localSheetId="12" hidden="1">{"'PXR_6500'!$A$1:$I$124"}</definedName>
    <definedName name="__DRE0700" localSheetId="13" hidden="1">{"'PXR_6500'!$A$1:$I$124"}</definedName>
    <definedName name="__DRE0700" localSheetId="11" hidden="1">{"'PXR_6500'!$A$1:$I$124"}</definedName>
    <definedName name="__DRE0700" localSheetId="31" hidden="1">{"'PXR_6500'!$A$1:$I$124"}</definedName>
    <definedName name="__DRE0700" localSheetId="48" hidden="1">{"'PXR_6500'!$A$1:$I$124"}</definedName>
    <definedName name="__DRE0700" hidden="1">{"'PXR_6500'!$A$1:$I$124"}</definedName>
    <definedName name="__fl1111" localSheetId="15" hidden="1">{"Fecha_Novembro",#N/A,FALSE,"FECHAMENTO-2002 ";"Defer_Novembro",#N/A,FALSE,"DIFERIDO";"Pis_Novembro",#N/A,FALSE,"PIS COFINS";"Iss_Novembro",#N/A,FALSE,"ISS"}</definedName>
    <definedName name="__fl1111" localSheetId="14" hidden="1">{"Fecha_Novembro",#N/A,FALSE,"FECHAMENTO-2002 ";"Defer_Novembro",#N/A,FALSE,"DIFERIDO";"Pis_Novembro",#N/A,FALSE,"PIS COFINS";"Iss_Novembro",#N/A,FALSE,"ISS"}</definedName>
    <definedName name="__fl1111" localSheetId="2" hidden="1">{"Fecha_Novembro",#N/A,FALSE,"FECHAMENTO-2002 ";"Defer_Novembro",#N/A,FALSE,"DIFERIDO";"Pis_Novembro",#N/A,FALSE,"PIS COFINS";"Iss_Novembro",#N/A,FALSE,"ISS"}</definedName>
    <definedName name="__fl1111" localSheetId="34" hidden="1">{"Fecha_Novembro",#N/A,FALSE,"FECHAMENTO-2002 ";"Defer_Novembro",#N/A,FALSE,"DIFERIDO";"Pis_Novembro",#N/A,FALSE,"PIS COFINS";"Iss_Novembro",#N/A,FALSE,"ISS"}</definedName>
    <definedName name="__fl1111" localSheetId="38" hidden="1">{"Fecha_Novembro",#N/A,FALSE,"FECHAMENTO-2002 ";"Defer_Novembro",#N/A,FALSE,"DIFERIDO";"Pis_Novembro",#N/A,FALSE,"PIS COFINS";"Iss_Novembro",#N/A,FALSE,"ISS"}</definedName>
    <definedName name="__fl1111" localSheetId="8" hidden="1">{"Fecha_Novembro",#N/A,FALSE,"FECHAMENTO-2002 ";"Defer_Novembro",#N/A,FALSE,"DIFERIDO";"Pis_Novembro",#N/A,FALSE,"PIS COFINS";"Iss_Novembro",#N/A,FALSE,"ISS"}</definedName>
    <definedName name="__fl1111" localSheetId="12" hidden="1">{"Fecha_Novembro",#N/A,FALSE,"FECHAMENTO-2002 ";"Defer_Novembro",#N/A,FALSE,"DIFERIDO";"Pis_Novembro",#N/A,FALSE,"PIS COFINS";"Iss_Novembro",#N/A,FALSE,"ISS"}</definedName>
    <definedName name="__fl1111" localSheetId="13" hidden="1">{"Fecha_Novembro",#N/A,FALSE,"FECHAMENTO-2002 ";"Defer_Novembro",#N/A,FALSE,"DIFERIDO";"Pis_Novembro",#N/A,FALSE,"PIS COFINS";"Iss_Novembro",#N/A,FALSE,"ISS"}</definedName>
    <definedName name="__fl1111" localSheetId="11" hidden="1">{"Fecha_Novembro",#N/A,FALSE,"FECHAMENTO-2002 ";"Defer_Novembro",#N/A,FALSE,"DIFERIDO";"Pis_Novembro",#N/A,FALSE,"PIS COFINS";"Iss_Novembro",#N/A,FALSE,"ISS"}</definedName>
    <definedName name="__fl1111" localSheetId="31" hidden="1">{"Fecha_Novembro",#N/A,FALSE,"FECHAMENTO-2002 ";"Defer_Novembro",#N/A,FALSE,"DIFERIDO";"Pis_Novembro",#N/A,FALSE,"PIS COFINS";"Iss_Novembro",#N/A,FALSE,"ISS"}</definedName>
    <definedName name="__fl1111" localSheetId="48" hidden="1">{"Fecha_Novembro",#N/A,FALSE,"FECHAMENTO-2002 ";"Defer_Novembro",#N/A,FALSE,"DIFERIDO";"Pis_Novembro",#N/A,FALSE,"PIS COFINS";"Iss_Novembro",#N/A,FALSE,"ISS"}</definedName>
    <definedName name="__fl1111" hidden="1">{"Fecha_Novembro",#N/A,FALSE,"FECHAMENTO-2002 ";"Defer_Novembro",#N/A,FALSE,"DIFERIDO";"Pis_Novembro",#N/A,FALSE,"PIS COFINS";"Iss_Novembro",#N/A,FALSE,"ISS"}</definedName>
    <definedName name="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01_jan_00__sáb">#REF!</definedName>
    <definedName name="_1_0__123Grap" localSheetId="1" hidden="1">#REF!</definedName>
    <definedName name="_1_0__123Grap" localSheetId="7" hidden="1">#REF!</definedName>
    <definedName name="_1_0__123Grap" localSheetId="2" hidden="1">#REF!</definedName>
    <definedName name="_1_0__123Grap" localSheetId="34" hidden="1">#REF!</definedName>
    <definedName name="_1_0__123Grap" localSheetId="12" hidden="1">#REF!</definedName>
    <definedName name="_1_0__123Grap" localSheetId="10" hidden="1">#REF!</definedName>
    <definedName name="_1_0__123Grap" localSheetId="6" hidden="1">#REF!</definedName>
    <definedName name="_1_0__123Grap" hidden="1">#REF!</definedName>
    <definedName name="_1_123Grap" localSheetId="1" hidden="1">#REF!</definedName>
    <definedName name="_1_123Grap" localSheetId="7" hidden="1">#REF!</definedName>
    <definedName name="_1_123Grap" localSheetId="2" hidden="1">#REF!</definedName>
    <definedName name="_1_123Grap" localSheetId="34" hidden="1">#REF!</definedName>
    <definedName name="_1_123Grap" localSheetId="12" hidden="1">#REF!</definedName>
    <definedName name="_1_123Grap" localSheetId="10" hidden="1">#REF!</definedName>
    <definedName name="_1_123Grap" localSheetId="6" hidden="1">#REF!</definedName>
    <definedName name="_1_123Grap" hidden="1">#REF!</definedName>
    <definedName name="_12__123Graph_BCHART_1" localSheetId="1" hidden="1">#REF!</definedName>
    <definedName name="_12__123Graph_BCHART_1" localSheetId="7" hidden="1">#REF!</definedName>
    <definedName name="_12__123Graph_BCHART_1" localSheetId="2" hidden="1">#REF!</definedName>
    <definedName name="_12__123Graph_BCHART_1" localSheetId="34" hidden="1">#REF!</definedName>
    <definedName name="_12__123Graph_BCHART_1" localSheetId="12" hidden="1">#REF!</definedName>
    <definedName name="_12__123Graph_BCHART_1" localSheetId="10" hidden="1">#REF!</definedName>
    <definedName name="_12__123Graph_BCHART_1" localSheetId="6" hidden="1">#REF!</definedName>
    <definedName name="_12__123Graph_BCHART_1" hidden="1">#REF!</definedName>
    <definedName name="_13œ____123Grap" localSheetId="1" hidden="1">#REF!</definedName>
    <definedName name="_13œ____123Grap" localSheetId="7" hidden="1">#REF!</definedName>
    <definedName name="_13œ____123Grap" localSheetId="2" hidden="1">#REF!</definedName>
    <definedName name="_13œ____123Grap" localSheetId="34" hidden="1">#REF!</definedName>
    <definedName name="_13œ____123Grap" localSheetId="12" hidden="1">#REF!</definedName>
    <definedName name="_13œ____123Grap" localSheetId="10" hidden="1">#REF!</definedName>
    <definedName name="_13œ____123Grap" localSheetId="6" hidden="1">#REF!</definedName>
    <definedName name="_13œ____123Grap" hidden="1">#REF!</definedName>
    <definedName name="_14__123Graph_BCHART_3" hidden="1">#REF!</definedName>
    <definedName name="_14œ_0__123Grap" localSheetId="1" hidden="1">#REF!</definedName>
    <definedName name="_14œ_0__123Grap" localSheetId="15" hidden="1">#REF!</definedName>
    <definedName name="_14œ_0__123Grap" localSheetId="7" hidden="1">#REF!</definedName>
    <definedName name="_14œ_0__123Grap" localSheetId="2" hidden="1">#REF!</definedName>
    <definedName name="_14œ_0__123Grap" localSheetId="34" hidden="1">#REF!</definedName>
    <definedName name="_14œ_0__123Grap" localSheetId="38" hidden="1">#REF!</definedName>
    <definedName name="_14œ_0__123Grap" localSheetId="12" hidden="1">#REF!</definedName>
    <definedName name="_14œ_0__123Grap" localSheetId="10" hidden="1">#REF!</definedName>
    <definedName name="_14œ_0__123Grap" localSheetId="6" hidden="1">#REF!</definedName>
    <definedName name="_14œ_0__123Grap" hidden="1">#REF!</definedName>
    <definedName name="_19__123Graph_DCHART_1" localSheetId="1" hidden="1">#REF!</definedName>
    <definedName name="_19__123Graph_DCHART_1" localSheetId="7" hidden="1">#REF!</definedName>
    <definedName name="_19__123Graph_DCHART_1" localSheetId="2" hidden="1">#REF!</definedName>
    <definedName name="_19__123Graph_DCHART_1" localSheetId="34" hidden="1">#REF!</definedName>
    <definedName name="_19__123Graph_DCHART_1" localSheetId="38" hidden="1">#REF!</definedName>
    <definedName name="_19__123Graph_DCHART_1" localSheetId="12" hidden="1">#REF!</definedName>
    <definedName name="_19__123Graph_DCHART_1" localSheetId="10" hidden="1">#REF!</definedName>
    <definedName name="_19__123Graph_DCHART_1" localSheetId="11" hidden="1">#REF!</definedName>
    <definedName name="_19__123Graph_DCHART_1" localSheetId="6" hidden="1">#REF!</definedName>
    <definedName name="_19__123Graph_DCHART_1" hidden="1">#REF!</definedName>
    <definedName name="_1Dist_Val" localSheetId="1" hidden="1">#REF!</definedName>
    <definedName name="_1Dist_Val" localSheetId="15" hidden="1">#REF!</definedName>
    <definedName name="_1Dist_Val" localSheetId="7" hidden="1">#REF!</definedName>
    <definedName name="_1Dist_Val" localSheetId="2" hidden="1">#REF!</definedName>
    <definedName name="_1Dist_Val" localSheetId="34" hidden="1">#REF!</definedName>
    <definedName name="_1Dist_Val" localSheetId="38" hidden="1">#REF!</definedName>
    <definedName name="_1Dist_Val" localSheetId="12" hidden="1">#REF!</definedName>
    <definedName name="_1Dist_Val" localSheetId="10" hidden="1">#REF!</definedName>
    <definedName name="_1Dist_Val" localSheetId="11" hidden="1">#REF!</definedName>
    <definedName name="_1Dist_Val" localSheetId="6" hidden="1">#REF!</definedName>
    <definedName name="_1Dist_Val" hidden="1">#REF!</definedName>
    <definedName name="_2__123Graph_ACDIUS" hidden="1">#REF!</definedName>
    <definedName name="_2_0__123Grap" localSheetId="1" hidden="1">#REF!</definedName>
    <definedName name="_2_0__123Grap" localSheetId="15" hidden="1">#REF!</definedName>
    <definedName name="_2_0__123Grap" localSheetId="7" hidden="1">#REF!</definedName>
    <definedName name="_2_0__123Grap" localSheetId="2" hidden="1">#REF!</definedName>
    <definedName name="_2_0__123Grap" localSheetId="34" hidden="1">#REF!</definedName>
    <definedName name="_2_0__123Grap" localSheetId="38" hidden="1">#REF!</definedName>
    <definedName name="_2_0__123Grap" localSheetId="12" hidden="1">#REF!</definedName>
    <definedName name="_2_0__123Grap" localSheetId="10" hidden="1">#REF!</definedName>
    <definedName name="_2_0__123Grap" localSheetId="6" hidden="1">#REF!</definedName>
    <definedName name="_2_0__123Grap" hidden="1">#REF!</definedName>
    <definedName name="_24__123Graph_LBL_ACHART_1" localSheetId="1" hidden="1">#REF!</definedName>
    <definedName name="_24__123Graph_LBL_ACHART_1" localSheetId="7" hidden="1">#REF!</definedName>
    <definedName name="_24__123Graph_LBL_ACHART_1" localSheetId="2" hidden="1">#REF!</definedName>
    <definedName name="_24__123Graph_LBL_ACHART_1" localSheetId="34" hidden="1">#REF!</definedName>
    <definedName name="_24__123Graph_LBL_ACHART_1" localSheetId="38" hidden="1">#REF!</definedName>
    <definedName name="_24__123Graph_LBL_ACHART_1" localSheetId="12" hidden="1">#REF!</definedName>
    <definedName name="_24__123Graph_LBL_ACHART_1" localSheetId="10" hidden="1">#REF!</definedName>
    <definedName name="_24__123Graph_LBL_ACHART_1" localSheetId="11" hidden="1">#REF!</definedName>
    <definedName name="_24__123Graph_LBL_ACHART_1" localSheetId="6" hidden="1">#REF!</definedName>
    <definedName name="_24__123Graph_LBL_ACHART_1" hidden="1">#REF!</definedName>
    <definedName name="_26__123Graph_LBL_ACHART_3" hidden="1">#REF!</definedName>
    <definedName name="_2F" localSheetId="1" hidden="1">#REF!</definedName>
    <definedName name="_2F" localSheetId="15" hidden="1">#REF!</definedName>
    <definedName name="_2F" localSheetId="7" hidden="1">#REF!</definedName>
    <definedName name="_2F" localSheetId="2" hidden="1">#REF!</definedName>
    <definedName name="_2F" localSheetId="34" hidden="1">#REF!</definedName>
    <definedName name="_2F" localSheetId="38" hidden="1">#REF!</definedName>
    <definedName name="_2F" localSheetId="12" hidden="1">#REF!</definedName>
    <definedName name="_2F" localSheetId="10" hidden="1">#REF!</definedName>
    <definedName name="_2F" localSheetId="6" hidden="1">#REF!</definedName>
    <definedName name="_2F" hidden="1">#REF!</definedName>
    <definedName name="_3__123Graph_BCDIUS" hidden="1">#REF!</definedName>
    <definedName name="_3_123Grap" localSheetId="1" hidden="1">#REF!</definedName>
    <definedName name="_3_123Grap" localSheetId="15" hidden="1">#REF!</definedName>
    <definedName name="_3_123Grap" localSheetId="7" hidden="1">#REF!</definedName>
    <definedName name="_3_123Grap" localSheetId="2" hidden="1">#REF!</definedName>
    <definedName name="_3_123Grap" localSheetId="34" hidden="1">#REF!</definedName>
    <definedName name="_3_123Grap" localSheetId="38" hidden="1">#REF!</definedName>
    <definedName name="_3_123Grap" localSheetId="12" hidden="1">#REF!</definedName>
    <definedName name="_3_123Grap" localSheetId="10" hidden="1">#REF!</definedName>
    <definedName name="_3_123Grap" localSheetId="6" hidden="1">#REF!</definedName>
    <definedName name="_3_123Grap" hidden="1">#REF!</definedName>
    <definedName name="_31__123Graph_LBL_DCHART_1" localSheetId="1" hidden="1">#REF!</definedName>
    <definedName name="_31__123Graph_LBL_DCHART_1" localSheetId="7" hidden="1">#REF!</definedName>
    <definedName name="_31__123Graph_LBL_DCHART_1" localSheetId="2" hidden="1">#REF!</definedName>
    <definedName name="_31__123Graph_LBL_DCHART_1" localSheetId="34" hidden="1">#REF!</definedName>
    <definedName name="_31__123Graph_LBL_DCHART_1" localSheetId="38" hidden="1">#REF!</definedName>
    <definedName name="_31__123Graph_LBL_DCHART_1" localSheetId="12" hidden="1">#REF!</definedName>
    <definedName name="_31__123Graph_LBL_DCHART_1" localSheetId="10" hidden="1">#REF!</definedName>
    <definedName name="_31__123Graph_LBL_DCHART_1" localSheetId="11" hidden="1">#REF!</definedName>
    <definedName name="_31__123Graph_LBL_DCHART_1" localSheetId="6" hidden="1">#REF!</definedName>
    <definedName name="_31__123Graph_LBL_DCHART_1" hidden="1">#REF!</definedName>
    <definedName name="_4__123Graph_XCDIUS" hidden="1">#REF!</definedName>
    <definedName name="_4_0__123Grap" localSheetId="1" hidden="1">#REF!</definedName>
    <definedName name="_4_0__123Grap" localSheetId="15" hidden="1">#REF!</definedName>
    <definedName name="_4_0__123Grap" localSheetId="7" hidden="1">#REF!</definedName>
    <definedName name="_4_0__123Grap" localSheetId="2" hidden="1">#REF!</definedName>
    <definedName name="_4_0__123Grap" localSheetId="34" hidden="1">#REF!</definedName>
    <definedName name="_4_0__123Grap" localSheetId="38" hidden="1">#REF!</definedName>
    <definedName name="_4_0__123Grap" localSheetId="12" hidden="1">#REF!</definedName>
    <definedName name="_4_0__123Grap" localSheetId="10" hidden="1">#REF!</definedName>
    <definedName name="_4_0__123Grap" localSheetId="6" hidden="1">#REF!</definedName>
    <definedName name="_4_0__123Grap" hidden="1">#REF!</definedName>
    <definedName name="_5__123Graph_ACDIUS" hidden="1">#REF!</definedName>
    <definedName name="_5__123Graph_ACHART_1" localSheetId="1" hidden="1">#REF!</definedName>
    <definedName name="_5__123Graph_ACHART_1" localSheetId="15" hidden="1">#REF!</definedName>
    <definedName name="_5__123Graph_ACHART_1" localSheetId="7" hidden="1">#REF!</definedName>
    <definedName name="_5__123Graph_ACHART_1" localSheetId="2" hidden="1">#REF!</definedName>
    <definedName name="_5__123Graph_ACHART_1" localSheetId="34" hidden="1">#REF!</definedName>
    <definedName name="_5__123Graph_ACHART_1" localSheetId="38" hidden="1">#REF!</definedName>
    <definedName name="_5__123Graph_ACHART_1" localSheetId="12" hidden="1">#REF!</definedName>
    <definedName name="_5__123Graph_ACHART_1" localSheetId="10" hidden="1">#REF!</definedName>
    <definedName name="_5__123Graph_ACHART_1" localSheetId="11" hidden="1">#REF!</definedName>
    <definedName name="_5__123Graph_ACHART_1" localSheetId="6" hidden="1">#REF!</definedName>
    <definedName name="_5__123Graph_ACHART_1" hidden="1">#REF!</definedName>
    <definedName name="_5œ____123Grap" localSheetId="1" hidden="1">#REF!</definedName>
    <definedName name="_5œ____123Grap" localSheetId="7" hidden="1">#REF!</definedName>
    <definedName name="_5œ____123Grap" localSheetId="2" hidden="1">#REF!</definedName>
    <definedName name="_5œ____123Grap" localSheetId="34" hidden="1">#REF!</definedName>
    <definedName name="_5œ____123Grap" localSheetId="38" hidden="1">#REF!</definedName>
    <definedName name="_5œ____123Grap" localSheetId="12" hidden="1">#REF!</definedName>
    <definedName name="_5œ____123Grap" localSheetId="10" hidden="1">#REF!</definedName>
    <definedName name="_5œ____123Grap" localSheetId="6" hidden="1">#REF!</definedName>
    <definedName name="_5œ____123Grap" hidden="1">#REF!</definedName>
    <definedName name="_6__123Graph_BCDIUS" hidden="1">#REF!</definedName>
    <definedName name="_6œ_0__123Grap" localSheetId="1" hidden="1">#REF!</definedName>
    <definedName name="_6œ_0__123Grap" localSheetId="15" hidden="1">#REF!</definedName>
    <definedName name="_6œ_0__123Grap" localSheetId="7" hidden="1">#REF!</definedName>
    <definedName name="_6œ_0__123Grap" localSheetId="2" hidden="1">#REF!</definedName>
    <definedName name="_6œ_0__123Grap" localSheetId="34" hidden="1">#REF!</definedName>
    <definedName name="_6œ_0__123Grap" localSheetId="38" hidden="1">#REF!</definedName>
    <definedName name="_6œ_0__123Grap" localSheetId="12" hidden="1">#REF!</definedName>
    <definedName name="_6œ_0__123Grap" localSheetId="10" hidden="1">#REF!</definedName>
    <definedName name="_6œ_0__123Grap" localSheetId="6" hidden="1">#REF!</definedName>
    <definedName name="_6œ_0__123Grap" hidden="1">#REF!</definedName>
    <definedName name="_7__123Graph_ACHART_3" hidden="1">#REF!</definedName>
    <definedName name="_7__123Graph_XCDIUS" hidden="1">#REF!</definedName>
    <definedName name="_ANA1" localSheetId="2">#REF!</definedName>
    <definedName name="_ANA1">#REF!</definedName>
    <definedName name="_ANA2" localSheetId="2">#REF!</definedName>
    <definedName name="_ANA2">#REF!</definedName>
    <definedName name="_bdm.A56044B6AE024A82A1E4B0A4159858FA.edm" localSheetId="1" hidden="1">#REF!</definedName>
    <definedName name="_bdm.A56044B6AE024A82A1E4B0A4159858FA.edm" localSheetId="15" hidden="1">#REF!</definedName>
    <definedName name="_bdm.A56044B6AE024A82A1E4B0A4159858FA.edm" localSheetId="7" hidden="1">#REF!</definedName>
    <definedName name="_bdm.A56044B6AE024A82A1E4B0A4159858FA.edm" localSheetId="14" hidden="1">#REF!</definedName>
    <definedName name="_bdm.A56044B6AE024A82A1E4B0A4159858FA.edm" localSheetId="2" hidden="1">#REF!</definedName>
    <definedName name="_bdm.A56044B6AE024A82A1E4B0A4159858FA.edm" localSheetId="34" hidden="1">#REF!</definedName>
    <definedName name="_bdm.A56044B6AE024A82A1E4B0A4159858FA.edm" localSheetId="38" hidden="1">#REF!</definedName>
    <definedName name="_bdm.A56044B6AE024A82A1E4B0A4159858FA.edm" localSheetId="12" hidden="1">#REF!</definedName>
    <definedName name="_bdm.A56044B6AE024A82A1E4B0A4159858FA.edm" localSheetId="10" hidden="1">#REF!</definedName>
    <definedName name="_bdm.A56044B6AE024A82A1E4B0A4159858FA.edm" localSheetId="11" hidden="1">#REF!</definedName>
    <definedName name="_bdm.A56044B6AE024A82A1E4B0A4159858FA.edm" localSheetId="6" hidden="1">#REF!</definedName>
    <definedName name="_bdm.A56044B6AE024A82A1E4B0A4159858FA.edm" hidden="1">#REF!</definedName>
    <definedName name="_bdm.B0D166CE42564D8B8A1EF8B65CFD765C.edm" localSheetId="1" hidden="1">#REF!</definedName>
    <definedName name="_bdm.B0D166CE42564D8B8A1EF8B65CFD765C.edm" localSheetId="15" hidden="1">#REF!</definedName>
    <definedName name="_bdm.B0D166CE42564D8B8A1EF8B65CFD765C.edm" localSheetId="7" hidden="1">#REF!</definedName>
    <definedName name="_bdm.B0D166CE42564D8B8A1EF8B65CFD765C.edm" localSheetId="14" hidden="1">#REF!</definedName>
    <definedName name="_bdm.B0D166CE42564D8B8A1EF8B65CFD765C.edm" localSheetId="2" hidden="1">#REF!</definedName>
    <definedName name="_bdm.B0D166CE42564D8B8A1EF8B65CFD765C.edm" localSheetId="34" hidden="1">#REF!</definedName>
    <definedName name="_bdm.B0D166CE42564D8B8A1EF8B65CFD765C.edm" localSheetId="38" hidden="1">#REF!</definedName>
    <definedName name="_bdm.B0D166CE42564D8B8A1EF8B65CFD765C.edm" localSheetId="12" hidden="1">#REF!</definedName>
    <definedName name="_bdm.B0D166CE42564D8B8A1EF8B65CFD765C.edm" localSheetId="10" hidden="1">#REF!</definedName>
    <definedName name="_bdm.B0D166CE42564D8B8A1EF8B65CFD765C.edm" localSheetId="11" hidden="1">#REF!</definedName>
    <definedName name="_bdm.B0D166CE42564D8B8A1EF8B65CFD765C.edm" localSheetId="6" hidden="1">#REF!</definedName>
    <definedName name="_bdm.B0D166CE42564D8B8A1EF8B65CFD765C.edm" hidden="1">#REF!</definedName>
    <definedName name="_Dist_Bin" localSheetId="1" hidden="1">#REF!</definedName>
    <definedName name="_Dist_Bin" localSheetId="15" hidden="1">#REF!</definedName>
    <definedName name="_Dist_Bin" localSheetId="7" hidden="1">#REF!</definedName>
    <definedName name="_Dist_Bin" localSheetId="2" hidden="1">#REF!</definedName>
    <definedName name="_Dist_Bin" localSheetId="34" hidden="1">#REF!</definedName>
    <definedName name="_Dist_Bin" localSheetId="38" hidden="1">#REF!</definedName>
    <definedName name="_Dist_Bin" localSheetId="12" hidden="1">#REF!</definedName>
    <definedName name="_Dist_Bin" localSheetId="10" hidden="1">#REF!</definedName>
    <definedName name="_Dist_Bin" localSheetId="11" hidden="1">#REF!</definedName>
    <definedName name="_Dist_Bin" localSheetId="6" hidden="1">#REF!</definedName>
    <definedName name="_Dist_Bin" hidden="1">#REF!</definedName>
    <definedName name="_Dist_Values" localSheetId="1" hidden="1">#REF!</definedName>
    <definedName name="_Dist_Values" localSheetId="15" hidden="1">#REF!</definedName>
    <definedName name="_Dist_Values" localSheetId="3" hidden="1">#REF!</definedName>
    <definedName name="_Dist_Values" localSheetId="7" hidden="1">#REF!</definedName>
    <definedName name="_Dist_Values" localSheetId="2" hidden="1">#REF!</definedName>
    <definedName name="_Dist_Values" localSheetId="34" hidden="1">#REF!</definedName>
    <definedName name="_Dist_Values" localSheetId="38" hidden="1">#REF!</definedName>
    <definedName name="_Dist_Values" localSheetId="12" hidden="1">#REF!</definedName>
    <definedName name="_Dist_Values" localSheetId="10" hidden="1">#REF!</definedName>
    <definedName name="_Dist_Values" localSheetId="11" hidden="1">#REF!</definedName>
    <definedName name="_Dist_Values" localSheetId="6" hidden="1">#REF!</definedName>
    <definedName name="_Dist_Values" hidden="1">#REF!</definedName>
    <definedName name="_DRE0700" localSheetId="15" hidden="1">{"'PXR_6500'!$A$1:$I$124"}</definedName>
    <definedName name="_DRE0700" localSheetId="14" hidden="1">{"'PXR_6500'!$A$1:$I$124"}</definedName>
    <definedName name="_DRE0700" localSheetId="2" hidden="1">{"'PXR_6500'!$A$1:$I$124"}</definedName>
    <definedName name="_DRE0700" localSheetId="34" hidden="1">{"'PXR_6500'!$A$1:$I$124"}</definedName>
    <definedName name="_DRE0700" localSheetId="38" hidden="1">{"'PXR_6500'!$A$1:$I$124"}</definedName>
    <definedName name="_DRE0700" localSheetId="8" hidden="1">{"'PXR_6500'!$A$1:$I$124"}</definedName>
    <definedName name="_DRE0700" localSheetId="12" hidden="1">{"'PXR_6500'!$A$1:$I$124"}</definedName>
    <definedName name="_DRE0700" localSheetId="13" hidden="1">{"'PXR_6500'!$A$1:$I$124"}</definedName>
    <definedName name="_DRE0700" localSheetId="11" hidden="1">{"'PXR_6500'!$A$1:$I$124"}</definedName>
    <definedName name="_DRE0700" localSheetId="31" hidden="1">{"'PXR_6500'!$A$1:$I$124"}</definedName>
    <definedName name="_DRE0700" localSheetId="48" hidden="1">{"'PXR_6500'!$A$1:$I$124"}</definedName>
    <definedName name="_DRE0700" hidden="1">{"'PXR_6500'!$A$1:$I$124"}</definedName>
    <definedName name="_Fill" localSheetId="1" hidden="1">#REF!</definedName>
    <definedName name="_Fill" localSheetId="15" hidden="1">#REF!</definedName>
    <definedName name="_Fill" localSheetId="7" hidden="1">#REF!</definedName>
    <definedName name="_Fill" localSheetId="14" hidden="1">#REF!</definedName>
    <definedName name="_Fill" localSheetId="2" hidden="1">#REF!</definedName>
    <definedName name="_Fill" localSheetId="34" hidden="1">#REF!</definedName>
    <definedName name="_Fill" localSheetId="38" hidden="1">#REF!</definedName>
    <definedName name="_Fill" localSheetId="12" hidden="1">#REF!</definedName>
    <definedName name="_Fill" localSheetId="10" hidden="1">#REF!</definedName>
    <definedName name="_Fill" localSheetId="6" hidden="1">#REF!</definedName>
    <definedName name="_Fill" hidden="1">#REF!</definedName>
    <definedName name="_FiltrarBancoDados2" localSheetId="1" hidden="1">#REF!</definedName>
    <definedName name="_FiltrarBancoDados2" localSheetId="15" hidden="1">#REF!</definedName>
    <definedName name="_FiltrarBancoDados2" localSheetId="7" hidden="1">#REF!</definedName>
    <definedName name="_FiltrarBancoDados2" localSheetId="14" hidden="1">#REF!</definedName>
    <definedName name="_FiltrarBancoDados2" localSheetId="2" hidden="1">#REF!</definedName>
    <definedName name="_FiltrarBancoDados2" localSheetId="34" hidden="1">#REF!</definedName>
    <definedName name="_FiltrarBancoDados2" localSheetId="38" hidden="1">#REF!</definedName>
    <definedName name="_FiltrarBancoDados2" localSheetId="12" hidden="1">#REF!</definedName>
    <definedName name="_FiltrarBancoDados2" localSheetId="10" hidden="1">#REF!</definedName>
    <definedName name="_FiltrarBancoDados2" localSheetId="11" hidden="1">#REF!</definedName>
    <definedName name="_FiltrarBancoDados2" localSheetId="6" hidden="1">#REF!</definedName>
    <definedName name="_FiltrarBancoDados2" hidden="1">#REF!</definedName>
    <definedName name="_xlnm._FilterDatabase" localSheetId="1" hidden="1">'Análise Rápida'!#REF!</definedName>
    <definedName name="_xlnm._FilterDatabase" localSheetId="15" hidden="1">Anexos!#REF!</definedName>
    <definedName name="_xlnm._FilterDatabase" localSheetId="5" hidden="1">Auto!$E$73:$P$73</definedName>
    <definedName name="_xlnm._FilterDatabase" localSheetId="7" hidden="1">Consolidado!$C$51:$S$51</definedName>
    <definedName name="_xlnm._FilterDatabase" localSheetId="23" hidden="1">'Demais Contas a Receber'!$O$31:$AM$31</definedName>
    <definedName name="_xlnm._FilterDatabase" localSheetId="12" hidden="1">Dividendos!#REF!</definedName>
    <definedName name="_xlnm._FilterDatabase" localSheetId="4" hidden="1">DRE!$D$31:$T$31</definedName>
    <definedName name="_xlnm._FilterDatabase" localSheetId="29" hidden="1">'Imobilizado '!$Q$5:$AC$5</definedName>
    <definedName name="_xlnm._FilterDatabase" localSheetId="24" hidden="1">'Impostos a Recuperar'!$O$5:$AE$5</definedName>
    <definedName name="_xlnm._FilterDatabase" localSheetId="11" hidden="1">Indicadores!#REF!</definedName>
    <definedName name="_xlnm._FilterDatabase" localSheetId="25" hidden="1">'Investimentos A'!$M$39:$P$39</definedName>
    <definedName name="_xlnm._FilterDatabase" localSheetId="6" hidden="1">LI!$D$52:$P$52</definedName>
    <definedName name="_xlnm._FilterDatabase" hidden="1">#REF!</definedName>
    <definedName name="_fl1111" localSheetId="15" hidden="1">{"Fecha_Novembro",#N/A,FALSE,"FECHAMENTO-2002 ";"Defer_Novembro",#N/A,FALSE,"DIFERIDO";"Pis_Novembro",#N/A,FALSE,"PIS COFINS";"Iss_Novembro",#N/A,FALSE,"ISS"}</definedName>
    <definedName name="_fl1111" localSheetId="14" hidden="1">{"Fecha_Novembro",#N/A,FALSE,"FECHAMENTO-2002 ";"Defer_Novembro",#N/A,FALSE,"DIFERIDO";"Pis_Novembro",#N/A,FALSE,"PIS COFINS";"Iss_Novembro",#N/A,FALSE,"ISS"}</definedName>
    <definedName name="_fl1111" localSheetId="2" hidden="1">{"Fecha_Novembro",#N/A,FALSE,"FECHAMENTO-2002 ";"Defer_Novembro",#N/A,FALSE,"DIFERIDO";"Pis_Novembro",#N/A,FALSE,"PIS COFINS";"Iss_Novembro",#N/A,FALSE,"ISS"}</definedName>
    <definedName name="_fl1111" localSheetId="34" hidden="1">{"Fecha_Novembro",#N/A,FALSE,"FECHAMENTO-2002 ";"Defer_Novembro",#N/A,FALSE,"DIFERIDO";"Pis_Novembro",#N/A,FALSE,"PIS COFINS";"Iss_Novembro",#N/A,FALSE,"ISS"}</definedName>
    <definedName name="_fl1111" localSheetId="38" hidden="1">{"Fecha_Novembro",#N/A,FALSE,"FECHAMENTO-2002 ";"Defer_Novembro",#N/A,FALSE,"DIFERIDO";"Pis_Novembro",#N/A,FALSE,"PIS COFINS";"Iss_Novembro",#N/A,FALSE,"ISS"}</definedName>
    <definedName name="_fl1111" localSheetId="8" hidden="1">{"Fecha_Novembro",#N/A,FALSE,"FECHAMENTO-2002 ";"Defer_Novembro",#N/A,FALSE,"DIFERIDO";"Pis_Novembro",#N/A,FALSE,"PIS COFINS";"Iss_Novembro",#N/A,FALSE,"ISS"}</definedName>
    <definedName name="_fl1111" localSheetId="12" hidden="1">{"Fecha_Novembro",#N/A,FALSE,"FECHAMENTO-2002 ";"Defer_Novembro",#N/A,FALSE,"DIFERIDO";"Pis_Novembro",#N/A,FALSE,"PIS COFINS";"Iss_Novembro",#N/A,FALSE,"ISS"}</definedName>
    <definedName name="_fl1111" localSheetId="13" hidden="1">{"Fecha_Novembro",#N/A,FALSE,"FECHAMENTO-2002 ";"Defer_Novembro",#N/A,FALSE,"DIFERIDO";"Pis_Novembro",#N/A,FALSE,"PIS COFINS";"Iss_Novembro",#N/A,FALSE,"ISS"}</definedName>
    <definedName name="_fl1111" localSheetId="11" hidden="1">{"Fecha_Novembro",#N/A,FALSE,"FECHAMENTO-2002 ";"Defer_Novembro",#N/A,FALSE,"DIFERIDO";"Pis_Novembro",#N/A,FALSE,"PIS COFINS";"Iss_Novembro",#N/A,FALSE,"ISS"}</definedName>
    <definedName name="_fl1111" localSheetId="31" hidden="1">{"Fecha_Novembro",#N/A,FALSE,"FECHAMENTO-2002 ";"Defer_Novembro",#N/A,FALSE,"DIFERIDO";"Pis_Novembro",#N/A,FALSE,"PIS COFINS";"Iss_Novembro",#N/A,FALSE,"ISS"}</definedName>
    <definedName name="_fl1111" localSheetId="48" hidden="1">{"Fecha_Novembro",#N/A,FALSE,"FECHAMENTO-2002 ";"Defer_Novembro",#N/A,FALSE,"DIFERIDO";"Pis_Novembro",#N/A,FALSE,"PIS COFINS";"Iss_Novembro",#N/A,FALSE,"ISS"}</definedName>
    <definedName name="_fl1111" hidden="1">{"Fecha_Novembro",#N/A,FALSE,"FECHAMENTO-2002 ";"Defer_Novembro",#N/A,FALSE,"DIFERIDO";"Pis_Novembro",#N/A,FALSE,"PIS COFINS";"Iss_Novembro",#N/A,FALSE,"ISS"}</definedName>
    <definedName name="_Key1" localSheetId="1" hidden="1">#REF!</definedName>
    <definedName name="_Key1" localSheetId="15" hidden="1">#REF!</definedName>
    <definedName name="_Key1" localSheetId="7" hidden="1">#REF!</definedName>
    <definedName name="_Key1" localSheetId="14" hidden="1">#REF!</definedName>
    <definedName name="_Key1" localSheetId="2" hidden="1">#REF!</definedName>
    <definedName name="_Key1" localSheetId="34" hidden="1">#REF!</definedName>
    <definedName name="_Key1" localSheetId="38" hidden="1">#REF!</definedName>
    <definedName name="_Key1" localSheetId="12" hidden="1">#REF!</definedName>
    <definedName name="_Key1" localSheetId="10" hidden="1">#REF!</definedName>
    <definedName name="_Key1" localSheetId="6" hidden="1">#REF!</definedName>
    <definedName name="_Key1" hidden="1">#REF!</definedName>
    <definedName name="_Key2" localSheetId="1" hidden="1">#REF!</definedName>
    <definedName name="_Key2" localSheetId="15" hidden="1">#REF!</definedName>
    <definedName name="_Key2" localSheetId="7" hidden="1">#REF!</definedName>
    <definedName name="_Key2" localSheetId="14" hidden="1">#REF!</definedName>
    <definedName name="_Key2" localSheetId="2" hidden="1">#REF!</definedName>
    <definedName name="_Key2" localSheetId="34" hidden="1">#REF!</definedName>
    <definedName name="_Key2" localSheetId="38" hidden="1">#REF!</definedName>
    <definedName name="_Key2" localSheetId="12" hidden="1">#REF!</definedName>
    <definedName name="_Key2" localSheetId="10" hidden="1">#REF!</definedName>
    <definedName name="_Key2" localSheetId="6" hidden="1">#REF!</definedName>
    <definedName name="_Key2" hidden="1">#REF!</definedName>
    <definedName name="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mes1" localSheetId="2">#REF!</definedName>
    <definedName name="_mes1">#REF!</definedName>
    <definedName name="_ok1" localSheetId="1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3"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4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rder1" localSheetId="0" hidden="1">255</definedName>
    <definedName name="_Order1" hidden="1">0</definedName>
    <definedName name="_Order2" localSheetId="0" hidden="1">255</definedName>
    <definedName name="_Order2" hidden="1">0</definedName>
    <definedName name="_Parse_Out" localSheetId="1" hidden="1">#REF!</definedName>
    <definedName name="_Parse_Out" localSheetId="7" hidden="1">#REF!</definedName>
    <definedName name="_Parse_Out" localSheetId="2" hidden="1">#REF!</definedName>
    <definedName name="_Parse_Out" localSheetId="34" hidden="1">#REF!</definedName>
    <definedName name="_Parse_Out" localSheetId="12" hidden="1">#REF!</definedName>
    <definedName name="_Parse_Out" localSheetId="10" hidden="1">#REF!</definedName>
    <definedName name="_Parse_Out" localSheetId="6" hidden="1">#REF!</definedName>
    <definedName name="_Parse_Out" hidden="1">#REF!</definedName>
    <definedName name="_Regression_Int" hidden="1">1</definedName>
    <definedName name="_Regression_Out" localSheetId="1" hidden="1">#REF!</definedName>
    <definedName name="_Regression_Out" localSheetId="15" hidden="1">#REF!</definedName>
    <definedName name="_Regression_Out" localSheetId="7" hidden="1">#REF!</definedName>
    <definedName name="_Regression_Out" localSheetId="14" hidden="1">#REF!</definedName>
    <definedName name="_Regression_Out" localSheetId="2" hidden="1">#REF!</definedName>
    <definedName name="_Regression_Out" localSheetId="34" hidden="1">#REF!</definedName>
    <definedName name="_Regression_Out" localSheetId="38" hidden="1">#REF!</definedName>
    <definedName name="_Regression_Out" localSheetId="12" hidden="1">#REF!</definedName>
    <definedName name="_Regression_Out" localSheetId="10" hidden="1">#REF!</definedName>
    <definedName name="_Regression_Out" localSheetId="6" hidden="1">#REF!</definedName>
    <definedName name="_Regression_Out" hidden="1">#REF!</definedName>
    <definedName name="_Regression_X" localSheetId="1" hidden="1">#REF!</definedName>
    <definedName name="_Regression_X" localSheetId="15" hidden="1">#REF!</definedName>
    <definedName name="_Regression_X" localSheetId="7" hidden="1">#REF!</definedName>
    <definedName name="_Regression_X" localSheetId="14" hidden="1">#REF!</definedName>
    <definedName name="_Regression_X" localSheetId="2" hidden="1">#REF!</definedName>
    <definedName name="_Regression_X" localSheetId="34" hidden="1">#REF!</definedName>
    <definedName name="_Regression_X" localSheetId="38" hidden="1">#REF!</definedName>
    <definedName name="_Regression_X" localSheetId="12" hidden="1">#REF!</definedName>
    <definedName name="_Regression_X" localSheetId="10" hidden="1">#REF!</definedName>
    <definedName name="_Regression_X" localSheetId="11" hidden="1">#REF!</definedName>
    <definedName name="_Regression_X" localSheetId="6" hidden="1">#REF!</definedName>
    <definedName name="_Regression_X" hidden="1">#REF!</definedName>
    <definedName name="_Regression_Y" localSheetId="1" hidden="1">#REF!</definedName>
    <definedName name="_Regression_Y" localSheetId="15" hidden="1">#REF!</definedName>
    <definedName name="_Regression_Y" localSheetId="7" hidden="1">#REF!</definedName>
    <definedName name="_Regression_Y" localSheetId="14" hidden="1">#REF!</definedName>
    <definedName name="_Regression_Y" localSheetId="2" hidden="1">#REF!</definedName>
    <definedName name="_Regression_Y" localSheetId="34" hidden="1">#REF!</definedName>
    <definedName name="_Regression_Y" localSheetId="38" hidden="1">#REF!</definedName>
    <definedName name="_Regression_Y" localSheetId="12" hidden="1">#REF!</definedName>
    <definedName name="_Regression_Y" localSheetId="10" hidden="1">#REF!</definedName>
    <definedName name="_Regression_Y" localSheetId="11" hidden="1">#REF!</definedName>
    <definedName name="_Regression_Y" localSheetId="6" hidden="1">#REF!</definedName>
    <definedName name="_Regression_Y" hidden="1">#REF!</definedName>
    <definedName name="_REL1" localSheetId="2">#REF!</definedName>
    <definedName name="_REL1">#REF!</definedName>
    <definedName name="_REL2" localSheetId="2">#REF!</definedName>
    <definedName name="_REL2">#REF!</definedName>
    <definedName name="_REL3" localSheetId="2">#REF!</definedName>
    <definedName name="_REL3">#REF!</definedName>
    <definedName name="_REL4" localSheetId="2">#REF!</definedName>
    <definedName name="_REL4">#REF!</definedName>
    <definedName name="_REL5" localSheetId="2">#REF!</definedName>
    <definedName name="_REL5">#REF!</definedName>
    <definedName name="_REL9" localSheetId="2">#REF!</definedName>
    <definedName name="_REL9">#REF!</definedName>
    <definedName name="_Sort" localSheetId="1" hidden="1">#REF!</definedName>
    <definedName name="_Sort" localSheetId="15" hidden="1">#REF!</definedName>
    <definedName name="_Sort" localSheetId="7" hidden="1">#REF!</definedName>
    <definedName name="_Sort" localSheetId="14" hidden="1">#REF!</definedName>
    <definedName name="_Sort" localSheetId="2" hidden="1">#REF!</definedName>
    <definedName name="_Sort" localSheetId="34" hidden="1">#REF!</definedName>
    <definedName name="_Sort" localSheetId="38" hidden="1">#REF!</definedName>
    <definedName name="_Sort" localSheetId="12" hidden="1">#REF!</definedName>
    <definedName name="_Sort" localSheetId="10" hidden="1">#REF!</definedName>
    <definedName name="_Sort" localSheetId="11" hidden="1">#REF!</definedName>
    <definedName name="_Sort" localSheetId="6" hidden="1">#REF!</definedName>
    <definedName name="_Sort" hidden="1">#REF!</definedName>
    <definedName name="_Table2_In1" hidden="1">#REF!</definedName>
    <definedName name="_Table2_In2" hidden="1">#REF!</definedName>
    <definedName name="_Table2_Out" hidden="1">#REF!</definedName>
    <definedName name="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a" localSheetId="15" hidden="1">{#N/A,#N/A,TRUE,"Pro Forma";#N/A,#N/A,TRUE,"PF_Bal";#N/A,#N/A,TRUE,"PF_INC";#N/A,#N/A,TRUE,"CBE";#N/A,#N/A,TRUE,"SWK"}</definedName>
    <definedName name="aa" localSheetId="14" hidden="1">{#N/A,#N/A,TRUE,"Pro Forma";#N/A,#N/A,TRUE,"PF_Bal";#N/A,#N/A,TRUE,"PF_INC";#N/A,#N/A,TRUE,"CBE";#N/A,#N/A,TRUE,"SWK"}</definedName>
    <definedName name="aa" localSheetId="2" hidden="1">{#N/A,#N/A,TRUE,"Pro Forma";#N/A,#N/A,TRUE,"PF_Bal";#N/A,#N/A,TRUE,"PF_INC";#N/A,#N/A,TRUE,"CBE";#N/A,#N/A,TRUE,"SWK"}</definedName>
    <definedName name="aa" localSheetId="34" hidden="1">{#N/A,#N/A,TRUE,"Pro Forma";#N/A,#N/A,TRUE,"PF_Bal";#N/A,#N/A,TRUE,"PF_INC";#N/A,#N/A,TRUE,"CBE";#N/A,#N/A,TRUE,"SWK"}</definedName>
    <definedName name="aa" localSheetId="38" hidden="1">{#N/A,#N/A,TRUE,"Pro Forma";#N/A,#N/A,TRUE,"PF_Bal";#N/A,#N/A,TRUE,"PF_INC";#N/A,#N/A,TRUE,"CBE";#N/A,#N/A,TRUE,"SWK"}</definedName>
    <definedName name="aa" localSheetId="8" hidden="1">{#N/A,#N/A,TRUE,"Pro Forma";#N/A,#N/A,TRUE,"PF_Bal";#N/A,#N/A,TRUE,"PF_INC";#N/A,#N/A,TRUE,"CBE";#N/A,#N/A,TRUE,"SWK"}</definedName>
    <definedName name="aa" localSheetId="12" hidden="1">{#N/A,#N/A,TRUE,"Pro Forma";#N/A,#N/A,TRUE,"PF_Bal";#N/A,#N/A,TRUE,"PF_INC";#N/A,#N/A,TRUE,"CBE";#N/A,#N/A,TRUE,"SWK"}</definedName>
    <definedName name="aa" localSheetId="13" hidden="1">{#N/A,#N/A,TRUE,"Pro Forma";#N/A,#N/A,TRUE,"PF_Bal";#N/A,#N/A,TRUE,"PF_INC";#N/A,#N/A,TRUE,"CBE";#N/A,#N/A,TRUE,"SWK"}</definedName>
    <definedName name="aa" localSheetId="11" hidden="1">{#N/A,#N/A,TRUE,"Pro Forma";#N/A,#N/A,TRUE,"PF_Bal";#N/A,#N/A,TRUE,"PF_INC";#N/A,#N/A,TRUE,"CBE";#N/A,#N/A,TRUE,"SWK"}</definedName>
    <definedName name="aa" localSheetId="31" hidden="1">{#N/A,#N/A,TRUE,"Pro Forma";#N/A,#N/A,TRUE,"PF_Bal";#N/A,#N/A,TRUE,"PF_INC";#N/A,#N/A,TRUE,"CBE";#N/A,#N/A,TRUE,"SWK"}</definedName>
    <definedName name="aa" localSheetId="48" hidden="1">{#N/A,#N/A,TRUE,"Pro Forma";#N/A,#N/A,TRUE,"PF_Bal";#N/A,#N/A,TRUE,"PF_INC";#N/A,#N/A,TRUE,"CBE";#N/A,#N/A,TRUE,"SWK"}</definedName>
    <definedName name="aa" hidden="1">{#N/A,#N/A,TRUE,"Pro Forma";#N/A,#N/A,TRUE,"PF_Bal";#N/A,#N/A,TRUE,"PF_INC";#N/A,#N/A,TRUE,"CBE";#N/A,#N/A,TRUE,"SWK"}</definedName>
    <definedName name="aa_1" localSheetId="15" hidden="1">{"Fecha_Novembro",#N/A,FALSE,"FECHAMENTO-2002 ";"Defer_Novembro",#N/A,FALSE,"DIFERIDO";"Pis_Novembro",#N/A,FALSE,"PIS COFINS";"Iss_Novembro",#N/A,FALSE,"ISS"}</definedName>
    <definedName name="aa_1" localSheetId="14" hidden="1">{"Fecha_Novembro",#N/A,FALSE,"FECHAMENTO-2002 ";"Defer_Novembro",#N/A,FALSE,"DIFERIDO";"Pis_Novembro",#N/A,FALSE,"PIS COFINS";"Iss_Novembro",#N/A,FALSE,"ISS"}</definedName>
    <definedName name="aa_1" localSheetId="2" hidden="1">{"Fecha_Novembro",#N/A,FALSE,"FECHAMENTO-2002 ";"Defer_Novembro",#N/A,FALSE,"DIFERIDO";"Pis_Novembro",#N/A,FALSE,"PIS COFINS";"Iss_Novembro",#N/A,FALSE,"ISS"}</definedName>
    <definedName name="aa_1" localSheetId="34" hidden="1">{"Fecha_Novembro",#N/A,FALSE,"FECHAMENTO-2002 ";"Defer_Novembro",#N/A,FALSE,"DIFERIDO";"Pis_Novembro",#N/A,FALSE,"PIS COFINS";"Iss_Novembro",#N/A,FALSE,"ISS"}</definedName>
    <definedName name="aa_1" localSheetId="38" hidden="1">{"Fecha_Novembro",#N/A,FALSE,"FECHAMENTO-2002 ";"Defer_Novembro",#N/A,FALSE,"DIFERIDO";"Pis_Novembro",#N/A,FALSE,"PIS COFINS";"Iss_Novembro",#N/A,FALSE,"ISS"}</definedName>
    <definedName name="aa_1" localSheetId="8" hidden="1">{"Fecha_Novembro",#N/A,FALSE,"FECHAMENTO-2002 ";"Defer_Novembro",#N/A,FALSE,"DIFERIDO";"Pis_Novembro",#N/A,FALSE,"PIS COFINS";"Iss_Novembro",#N/A,FALSE,"ISS"}</definedName>
    <definedName name="aa_1" localSheetId="12" hidden="1">{"Fecha_Novembro",#N/A,FALSE,"FECHAMENTO-2002 ";"Defer_Novembro",#N/A,FALSE,"DIFERIDO";"Pis_Novembro",#N/A,FALSE,"PIS COFINS";"Iss_Novembro",#N/A,FALSE,"ISS"}</definedName>
    <definedName name="aa_1" localSheetId="13" hidden="1">{"Fecha_Novembro",#N/A,FALSE,"FECHAMENTO-2002 ";"Defer_Novembro",#N/A,FALSE,"DIFERIDO";"Pis_Novembro",#N/A,FALSE,"PIS COFINS";"Iss_Novembro",#N/A,FALSE,"ISS"}</definedName>
    <definedName name="aa_1" localSheetId="11" hidden="1">{"Fecha_Novembro",#N/A,FALSE,"FECHAMENTO-2002 ";"Defer_Novembro",#N/A,FALSE,"DIFERIDO";"Pis_Novembro",#N/A,FALSE,"PIS COFINS";"Iss_Novembro",#N/A,FALSE,"ISS"}</definedName>
    <definedName name="aa_1" localSheetId="31" hidden="1">{"Fecha_Novembro",#N/A,FALSE,"FECHAMENTO-2002 ";"Defer_Novembro",#N/A,FALSE,"DIFERIDO";"Pis_Novembro",#N/A,FALSE,"PIS COFINS";"Iss_Novembro",#N/A,FALSE,"ISS"}</definedName>
    <definedName name="aa_1" localSheetId="48" hidden="1">{"Fecha_Novembro",#N/A,FALSE,"FECHAMENTO-2002 ";"Defer_Novembro",#N/A,FALSE,"DIFERIDO";"Pis_Novembro",#N/A,FALSE,"PIS COFINS";"Iss_Novembro",#N/A,FALSE,"ISS"}</definedName>
    <definedName name="aa_1" hidden="1">{"Fecha_Novembro",#N/A,FALSE,"FECHAMENTO-2002 ";"Defer_Novembro",#N/A,FALSE,"DIFERIDO";"Pis_Novembro",#N/A,FALSE,"PIS COFINS";"Iss_Novembro",#N/A,FALSE,"ISS"}</definedName>
    <definedName name="aaa" localSheetId="2">#REF!</definedName>
    <definedName name="aaa">#REF!</definedName>
    <definedName name="AAA_DOCTOPS" hidden="1">"AAA_SET"</definedName>
    <definedName name="aaaa" localSheetId="2">#REF!</definedName>
    <definedName name="aaaa">#REF!</definedName>
    <definedName name="ab" localSheetId="15" hidden="1">{#N/A,#N/A,TRUE,"Pro Forma";#N/A,#N/A,TRUE,"PF_Bal";#N/A,#N/A,TRUE,"PF_INC";#N/A,#N/A,TRUE,"CBE";#N/A,#N/A,TRUE,"SWK"}</definedName>
    <definedName name="ab" localSheetId="14" hidden="1">{#N/A,#N/A,TRUE,"Pro Forma";#N/A,#N/A,TRUE,"PF_Bal";#N/A,#N/A,TRUE,"PF_INC";#N/A,#N/A,TRUE,"CBE";#N/A,#N/A,TRUE,"SWK"}</definedName>
    <definedName name="ab" localSheetId="2" hidden="1">{#N/A,#N/A,TRUE,"Pro Forma";#N/A,#N/A,TRUE,"PF_Bal";#N/A,#N/A,TRUE,"PF_INC";#N/A,#N/A,TRUE,"CBE";#N/A,#N/A,TRUE,"SWK"}</definedName>
    <definedName name="ab" localSheetId="34" hidden="1">{#N/A,#N/A,TRUE,"Pro Forma";#N/A,#N/A,TRUE,"PF_Bal";#N/A,#N/A,TRUE,"PF_INC";#N/A,#N/A,TRUE,"CBE";#N/A,#N/A,TRUE,"SWK"}</definedName>
    <definedName name="ab" localSheetId="38" hidden="1">{#N/A,#N/A,TRUE,"Pro Forma";#N/A,#N/A,TRUE,"PF_Bal";#N/A,#N/A,TRUE,"PF_INC";#N/A,#N/A,TRUE,"CBE";#N/A,#N/A,TRUE,"SWK"}</definedName>
    <definedName name="ab" localSheetId="8" hidden="1">{#N/A,#N/A,TRUE,"Pro Forma";#N/A,#N/A,TRUE,"PF_Bal";#N/A,#N/A,TRUE,"PF_INC";#N/A,#N/A,TRUE,"CBE";#N/A,#N/A,TRUE,"SWK"}</definedName>
    <definedName name="ab" localSheetId="12" hidden="1">{#N/A,#N/A,TRUE,"Pro Forma";#N/A,#N/A,TRUE,"PF_Bal";#N/A,#N/A,TRUE,"PF_INC";#N/A,#N/A,TRUE,"CBE";#N/A,#N/A,TRUE,"SWK"}</definedName>
    <definedName name="ab" localSheetId="13" hidden="1">{#N/A,#N/A,TRUE,"Pro Forma";#N/A,#N/A,TRUE,"PF_Bal";#N/A,#N/A,TRUE,"PF_INC";#N/A,#N/A,TRUE,"CBE";#N/A,#N/A,TRUE,"SWK"}</definedName>
    <definedName name="ab" localSheetId="11" hidden="1">{#N/A,#N/A,TRUE,"Pro Forma";#N/A,#N/A,TRUE,"PF_Bal";#N/A,#N/A,TRUE,"PF_INC";#N/A,#N/A,TRUE,"CBE";#N/A,#N/A,TRUE,"SWK"}</definedName>
    <definedName name="ab" localSheetId="31" hidden="1">{#N/A,#N/A,TRUE,"Pro Forma";#N/A,#N/A,TRUE,"PF_Bal";#N/A,#N/A,TRUE,"PF_INC";#N/A,#N/A,TRUE,"CBE";#N/A,#N/A,TRUE,"SWK"}</definedName>
    <definedName name="ab" localSheetId="48" hidden="1">{#N/A,#N/A,TRUE,"Pro Forma";#N/A,#N/A,TRUE,"PF_Bal";#N/A,#N/A,TRUE,"PF_INC";#N/A,#N/A,TRUE,"CBE";#N/A,#N/A,TRUE,"SWK"}</definedName>
    <definedName name="ab" hidden="1">{#N/A,#N/A,TRUE,"Pro Forma";#N/A,#N/A,TRUE,"PF_Bal";#N/A,#N/A,TRUE,"PF_INC";#N/A,#N/A,TRUE,"CBE";#N/A,#N/A,TRUE,"SWK"}</definedName>
    <definedName name="ab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def" localSheetId="15" hidden="1">{"'PXR_6500'!$A$1:$I$124"}</definedName>
    <definedName name="abcdef" localSheetId="14" hidden="1">{"'PXR_6500'!$A$1:$I$124"}</definedName>
    <definedName name="abcdef" localSheetId="2" hidden="1">{"'PXR_6500'!$A$1:$I$124"}</definedName>
    <definedName name="abcdef" localSheetId="34" hidden="1">{"'PXR_6500'!$A$1:$I$124"}</definedName>
    <definedName name="abcdef" localSheetId="38" hidden="1">{"'PXR_6500'!$A$1:$I$124"}</definedName>
    <definedName name="abcdef" localSheetId="8" hidden="1">{"'PXR_6500'!$A$1:$I$124"}</definedName>
    <definedName name="abcdef" localSheetId="12" hidden="1">{"'PXR_6500'!$A$1:$I$124"}</definedName>
    <definedName name="abcdef" localSheetId="13" hidden="1">{"'PXR_6500'!$A$1:$I$124"}</definedName>
    <definedName name="abcdef" localSheetId="11" hidden="1">{"'PXR_6500'!$A$1:$I$124"}</definedName>
    <definedName name="abcdef" localSheetId="31" hidden="1">{"'PXR_6500'!$A$1:$I$124"}</definedName>
    <definedName name="abcdef" localSheetId="48" hidden="1">{"'PXR_6500'!$A$1:$I$124"}</definedName>
    <definedName name="abcdef" hidden="1">{"'PXR_6500'!$A$1:$I$124"}</definedName>
    <definedName name="ABN" localSheetId="15" hidden="1">{"'PXR_6500'!$A$1:$I$124"}</definedName>
    <definedName name="ABN" localSheetId="14" hidden="1">{"'PXR_6500'!$A$1:$I$124"}</definedName>
    <definedName name="ABN" localSheetId="2" hidden="1">{"'PXR_6500'!$A$1:$I$124"}</definedName>
    <definedName name="ABN" localSheetId="34" hidden="1">{"'PXR_6500'!$A$1:$I$124"}</definedName>
    <definedName name="ABN" localSheetId="38" hidden="1">{"'PXR_6500'!$A$1:$I$124"}</definedName>
    <definedName name="ABN" localSheetId="8" hidden="1">{"'PXR_6500'!$A$1:$I$124"}</definedName>
    <definedName name="ABN" localSheetId="12" hidden="1">{"'PXR_6500'!$A$1:$I$124"}</definedName>
    <definedName name="ABN" localSheetId="13" hidden="1">{"'PXR_6500'!$A$1:$I$124"}</definedName>
    <definedName name="ABN" localSheetId="11" hidden="1">{"'PXR_6500'!$A$1:$I$124"}</definedName>
    <definedName name="ABN" localSheetId="31" hidden="1">{"'PXR_6500'!$A$1:$I$124"}</definedName>
    <definedName name="ABN" localSheetId="48" hidden="1">{"'PXR_6500'!$A$1:$I$124"}</definedName>
    <definedName name="ABN" hidden="1">{"'PXR_6500'!$A$1:$I$124"}</definedName>
    <definedName name="AçLíquido" localSheetId="2">#REF!</definedName>
    <definedName name="AçLíquido">#REF!</definedName>
    <definedName name="ACUCADQANT" localSheetId="2">#REF!</definedName>
    <definedName name="ACUCADQANT">#REF!</definedName>
    <definedName name="ACUCADQATU" localSheetId="2">#REF!</definedName>
    <definedName name="ACUCADQATU">#REF!</definedName>
    <definedName name="ACUCARANT" localSheetId="2">#REF!</definedName>
    <definedName name="ACUCARANT">#REF!</definedName>
    <definedName name="ACUCARATU" localSheetId="2">#REF!</definedName>
    <definedName name="ACUCARATU">#REF!</definedName>
    <definedName name="acucarmi">#REF!</definedName>
    <definedName name="addg" localSheetId="15" hidden="1">{#N/A,#N/A,FALSE,"CBE";#N/A,#N/A,FALSE,"SWK"}</definedName>
    <definedName name="addg" localSheetId="14" hidden="1">{#N/A,#N/A,FALSE,"CBE";#N/A,#N/A,FALSE,"SWK"}</definedName>
    <definedName name="addg" localSheetId="2" hidden="1">{#N/A,#N/A,FALSE,"CBE";#N/A,#N/A,FALSE,"SWK"}</definedName>
    <definedName name="addg" localSheetId="34" hidden="1">{#N/A,#N/A,FALSE,"CBE";#N/A,#N/A,FALSE,"SWK"}</definedName>
    <definedName name="addg" localSheetId="38" hidden="1">{#N/A,#N/A,FALSE,"CBE";#N/A,#N/A,FALSE,"SWK"}</definedName>
    <definedName name="addg" localSheetId="8" hidden="1">{#N/A,#N/A,FALSE,"CBE";#N/A,#N/A,FALSE,"SWK"}</definedName>
    <definedName name="addg" localSheetId="12" hidden="1">{#N/A,#N/A,FALSE,"CBE";#N/A,#N/A,FALSE,"SWK"}</definedName>
    <definedName name="addg" localSheetId="13" hidden="1">{#N/A,#N/A,FALSE,"CBE";#N/A,#N/A,FALSE,"SWK"}</definedName>
    <definedName name="addg" localSheetId="11" hidden="1">{#N/A,#N/A,FALSE,"CBE";#N/A,#N/A,FALSE,"SWK"}</definedName>
    <definedName name="addg" localSheetId="31" hidden="1">{#N/A,#N/A,FALSE,"CBE";#N/A,#N/A,FALSE,"SWK"}</definedName>
    <definedName name="addg" localSheetId="48" hidden="1">{#N/A,#N/A,FALSE,"CBE";#N/A,#N/A,FALSE,"SWK"}</definedName>
    <definedName name="addg" hidden="1">{#N/A,#N/A,FALSE,"CBE";#N/A,#N/A,FALSE,"SWK"}</definedName>
    <definedName name="adeletar" localSheetId="15" hidden="1">{"TotalGeralDespesasPorArea",#N/A,FALSE,"VinculosAccessEfetivo"}</definedName>
    <definedName name="adeletar" localSheetId="14" hidden="1">{"TotalGeralDespesasPorArea",#N/A,FALSE,"VinculosAccessEfetivo"}</definedName>
    <definedName name="adeletar" localSheetId="2" hidden="1">{"TotalGeralDespesasPorArea",#N/A,FALSE,"VinculosAccessEfetivo"}</definedName>
    <definedName name="adeletar" localSheetId="34" hidden="1">{"TotalGeralDespesasPorArea",#N/A,FALSE,"VinculosAccessEfetivo"}</definedName>
    <definedName name="adeletar" localSheetId="38" hidden="1">{"TotalGeralDespesasPorArea",#N/A,FALSE,"VinculosAccessEfetivo"}</definedName>
    <definedName name="adeletar" localSheetId="8" hidden="1">{"TotalGeralDespesasPorArea",#N/A,FALSE,"VinculosAccessEfetivo"}</definedName>
    <definedName name="adeletar" localSheetId="12" hidden="1">{"TotalGeralDespesasPorArea",#N/A,FALSE,"VinculosAccessEfetivo"}</definedName>
    <definedName name="adeletar" localSheetId="13" hidden="1">{"TotalGeralDespesasPorArea",#N/A,FALSE,"VinculosAccessEfetivo"}</definedName>
    <definedName name="adeletar" localSheetId="11" hidden="1">{"TotalGeralDespesasPorArea",#N/A,FALSE,"VinculosAccessEfetivo"}</definedName>
    <definedName name="adeletar" localSheetId="31" hidden="1">{"TotalGeralDespesasPorArea",#N/A,FALSE,"VinculosAccessEfetivo"}</definedName>
    <definedName name="adeletar" localSheetId="48" hidden="1">{"TotalGeralDespesasPorArea",#N/A,FALSE,"VinculosAccessEfetivo"}</definedName>
    <definedName name="adeletar" hidden="1">{"TotalGeralDespesasPorArea",#N/A,FALSE,"VinculosAccessEfetivo"}</definedName>
    <definedName name="adeletar_1" localSheetId="15" hidden="1">{"TotalGeralDespesasPorArea",#N/A,FALSE,"VinculosAccessEfetivo"}</definedName>
    <definedName name="adeletar_1" localSheetId="14" hidden="1">{"TotalGeralDespesasPorArea",#N/A,FALSE,"VinculosAccessEfetivo"}</definedName>
    <definedName name="adeletar_1" localSheetId="2" hidden="1">{"TotalGeralDespesasPorArea",#N/A,FALSE,"VinculosAccessEfetivo"}</definedName>
    <definedName name="adeletar_1" localSheetId="34" hidden="1">{"TotalGeralDespesasPorArea",#N/A,FALSE,"VinculosAccessEfetivo"}</definedName>
    <definedName name="adeletar_1" localSheetId="38" hidden="1">{"TotalGeralDespesasPorArea",#N/A,FALSE,"VinculosAccessEfetivo"}</definedName>
    <definedName name="adeletar_1" localSheetId="8" hidden="1">{"TotalGeralDespesasPorArea",#N/A,FALSE,"VinculosAccessEfetivo"}</definedName>
    <definedName name="adeletar_1" localSheetId="12" hidden="1">{"TotalGeralDespesasPorArea",#N/A,FALSE,"VinculosAccessEfetivo"}</definedName>
    <definedName name="adeletar_1" localSheetId="13" hidden="1">{"TotalGeralDespesasPorArea",#N/A,FALSE,"VinculosAccessEfetivo"}</definedName>
    <definedName name="adeletar_1" localSheetId="11" hidden="1">{"TotalGeralDespesasPorArea",#N/A,FALSE,"VinculosAccessEfetivo"}</definedName>
    <definedName name="adeletar_1" localSheetId="31" hidden="1">{"TotalGeralDespesasPorArea",#N/A,FALSE,"VinculosAccessEfetivo"}</definedName>
    <definedName name="adeletar_1" localSheetId="48" hidden="1">{"TotalGeralDespesasPorArea",#N/A,FALSE,"VinculosAccessEfetivo"}</definedName>
    <definedName name="adeletar_1" hidden="1">{"TotalGeralDespesasPorArea",#N/A,FALSE,"VinculosAccessEfetivo"}</definedName>
    <definedName name="adeletar1" localSheetId="15" hidden="1">{"TotalGeralDespesasPorArea",#N/A,FALSE,"VinculosAccessEfetivo"}</definedName>
    <definedName name="adeletar1" localSheetId="14" hidden="1">{"TotalGeralDespesasPorArea",#N/A,FALSE,"VinculosAccessEfetivo"}</definedName>
    <definedName name="adeletar1" localSheetId="2" hidden="1">{"TotalGeralDespesasPorArea",#N/A,FALSE,"VinculosAccessEfetivo"}</definedName>
    <definedName name="adeletar1" localSheetId="34" hidden="1">{"TotalGeralDespesasPorArea",#N/A,FALSE,"VinculosAccessEfetivo"}</definedName>
    <definedName name="adeletar1" localSheetId="38" hidden="1">{"TotalGeralDespesasPorArea",#N/A,FALSE,"VinculosAccessEfetivo"}</definedName>
    <definedName name="adeletar1" localSheetId="8" hidden="1">{"TotalGeralDespesasPorArea",#N/A,FALSE,"VinculosAccessEfetivo"}</definedName>
    <definedName name="adeletar1" localSheetId="12" hidden="1">{"TotalGeralDespesasPorArea",#N/A,FALSE,"VinculosAccessEfetivo"}</definedName>
    <definedName name="adeletar1" localSheetId="13" hidden="1">{"TotalGeralDespesasPorArea",#N/A,FALSE,"VinculosAccessEfetivo"}</definedName>
    <definedName name="adeletar1" localSheetId="11" hidden="1">{"TotalGeralDespesasPorArea",#N/A,FALSE,"VinculosAccessEfetivo"}</definedName>
    <definedName name="adeletar1" localSheetId="31" hidden="1">{"TotalGeralDespesasPorArea",#N/A,FALSE,"VinculosAccessEfetivo"}</definedName>
    <definedName name="adeletar1" localSheetId="48" hidden="1">{"TotalGeralDespesasPorArea",#N/A,FALSE,"VinculosAccessEfetivo"}</definedName>
    <definedName name="adeletar1" hidden="1">{"TotalGeralDespesasPorArea",#N/A,FALSE,"VinculosAccessEfetivo"}</definedName>
    <definedName name="adeletar1_1" localSheetId="15" hidden="1">{"TotalGeralDespesasPorArea",#N/A,FALSE,"VinculosAccessEfetivo"}</definedName>
    <definedName name="adeletar1_1" localSheetId="14" hidden="1">{"TotalGeralDespesasPorArea",#N/A,FALSE,"VinculosAccessEfetivo"}</definedName>
    <definedName name="adeletar1_1" localSheetId="2" hidden="1">{"TotalGeralDespesasPorArea",#N/A,FALSE,"VinculosAccessEfetivo"}</definedName>
    <definedName name="adeletar1_1" localSheetId="34" hidden="1">{"TotalGeralDespesasPorArea",#N/A,FALSE,"VinculosAccessEfetivo"}</definedName>
    <definedName name="adeletar1_1" localSheetId="38" hidden="1">{"TotalGeralDespesasPorArea",#N/A,FALSE,"VinculosAccessEfetivo"}</definedName>
    <definedName name="adeletar1_1" localSheetId="8" hidden="1">{"TotalGeralDespesasPorArea",#N/A,FALSE,"VinculosAccessEfetivo"}</definedName>
    <definedName name="adeletar1_1" localSheetId="12" hidden="1">{"TotalGeralDespesasPorArea",#N/A,FALSE,"VinculosAccessEfetivo"}</definedName>
    <definedName name="adeletar1_1" localSheetId="13" hidden="1">{"TotalGeralDespesasPorArea",#N/A,FALSE,"VinculosAccessEfetivo"}</definedName>
    <definedName name="adeletar1_1" localSheetId="11" hidden="1">{"TotalGeralDespesasPorArea",#N/A,FALSE,"VinculosAccessEfetivo"}</definedName>
    <definedName name="adeletar1_1" localSheetId="31" hidden="1">{"TotalGeralDespesasPorArea",#N/A,FALSE,"VinculosAccessEfetivo"}</definedName>
    <definedName name="adeletar1_1" localSheetId="48" hidden="1">{"TotalGeralDespesasPorArea",#N/A,FALSE,"VinculosAccessEfetivo"}</definedName>
    <definedName name="adeletar1_1" hidden="1">{"TotalGeralDespesasPorArea",#N/A,FALSE,"VinculosAccessEfetivo"}</definedName>
    <definedName name="adeletar10" localSheetId="15" hidden="1">{"TotalGeralDespesasPorArea",#N/A,FALSE,"VinculosAccessEfetivo"}</definedName>
    <definedName name="adeletar10" localSheetId="14" hidden="1">{"TotalGeralDespesasPorArea",#N/A,FALSE,"VinculosAccessEfetivo"}</definedName>
    <definedName name="adeletar10" localSheetId="2" hidden="1">{"TotalGeralDespesasPorArea",#N/A,FALSE,"VinculosAccessEfetivo"}</definedName>
    <definedName name="adeletar10" localSheetId="34" hidden="1">{"TotalGeralDespesasPorArea",#N/A,FALSE,"VinculosAccessEfetivo"}</definedName>
    <definedName name="adeletar10" localSheetId="38" hidden="1">{"TotalGeralDespesasPorArea",#N/A,FALSE,"VinculosAccessEfetivo"}</definedName>
    <definedName name="adeletar10" localSheetId="8" hidden="1">{"TotalGeralDespesasPorArea",#N/A,FALSE,"VinculosAccessEfetivo"}</definedName>
    <definedName name="adeletar10" localSheetId="12" hidden="1">{"TotalGeralDespesasPorArea",#N/A,FALSE,"VinculosAccessEfetivo"}</definedName>
    <definedName name="adeletar10" localSheetId="13" hidden="1">{"TotalGeralDespesasPorArea",#N/A,FALSE,"VinculosAccessEfetivo"}</definedName>
    <definedName name="adeletar10" localSheetId="11" hidden="1">{"TotalGeralDespesasPorArea",#N/A,FALSE,"VinculosAccessEfetivo"}</definedName>
    <definedName name="adeletar10" localSheetId="31" hidden="1">{"TotalGeralDespesasPorArea",#N/A,FALSE,"VinculosAccessEfetivo"}</definedName>
    <definedName name="adeletar10" localSheetId="48" hidden="1">{"TotalGeralDespesasPorArea",#N/A,FALSE,"VinculosAccessEfetivo"}</definedName>
    <definedName name="adeletar10" hidden="1">{"TotalGeralDespesasPorArea",#N/A,FALSE,"VinculosAccessEfetivo"}</definedName>
    <definedName name="adeletar10_1" localSheetId="15" hidden="1">{"TotalGeralDespesasPorArea",#N/A,FALSE,"VinculosAccessEfetivo"}</definedName>
    <definedName name="adeletar10_1" localSheetId="14" hidden="1">{"TotalGeralDespesasPorArea",#N/A,FALSE,"VinculosAccessEfetivo"}</definedName>
    <definedName name="adeletar10_1" localSheetId="2" hidden="1">{"TotalGeralDespesasPorArea",#N/A,FALSE,"VinculosAccessEfetivo"}</definedName>
    <definedName name="adeletar10_1" localSheetId="34" hidden="1">{"TotalGeralDespesasPorArea",#N/A,FALSE,"VinculosAccessEfetivo"}</definedName>
    <definedName name="adeletar10_1" localSheetId="38" hidden="1">{"TotalGeralDespesasPorArea",#N/A,FALSE,"VinculosAccessEfetivo"}</definedName>
    <definedName name="adeletar10_1" localSheetId="8" hidden="1">{"TotalGeralDespesasPorArea",#N/A,FALSE,"VinculosAccessEfetivo"}</definedName>
    <definedName name="adeletar10_1" localSheetId="12" hidden="1">{"TotalGeralDespesasPorArea",#N/A,FALSE,"VinculosAccessEfetivo"}</definedName>
    <definedName name="adeletar10_1" localSheetId="13" hidden="1">{"TotalGeralDespesasPorArea",#N/A,FALSE,"VinculosAccessEfetivo"}</definedName>
    <definedName name="adeletar10_1" localSheetId="11" hidden="1">{"TotalGeralDespesasPorArea",#N/A,FALSE,"VinculosAccessEfetivo"}</definedName>
    <definedName name="adeletar10_1" localSheetId="31" hidden="1">{"TotalGeralDespesasPorArea",#N/A,FALSE,"VinculosAccessEfetivo"}</definedName>
    <definedName name="adeletar10_1" localSheetId="48" hidden="1">{"TotalGeralDespesasPorArea",#N/A,FALSE,"VinculosAccessEfetivo"}</definedName>
    <definedName name="adeletar10_1" hidden="1">{"TotalGeralDespesasPorArea",#N/A,FALSE,"VinculosAccessEfetivo"}</definedName>
    <definedName name="adeletar2" localSheetId="15" hidden="1">{"TotalGeralDespesasPorArea",#N/A,FALSE,"VinculosAccessEfetivo"}</definedName>
    <definedName name="adeletar2" localSheetId="14" hidden="1">{"TotalGeralDespesasPorArea",#N/A,FALSE,"VinculosAccessEfetivo"}</definedName>
    <definedName name="adeletar2" localSheetId="2" hidden="1">{"TotalGeralDespesasPorArea",#N/A,FALSE,"VinculosAccessEfetivo"}</definedName>
    <definedName name="adeletar2" localSheetId="34" hidden="1">{"TotalGeralDespesasPorArea",#N/A,FALSE,"VinculosAccessEfetivo"}</definedName>
    <definedName name="adeletar2" localSheetId="38" hidden="1">{"TotalGeralDespesasPorArea",#N/A,FALSE,"VinculosAccessEfetivo"}</definedName>
    <definedName name="adeletar2" localSheetId="8" hidden="1">{"TotalGeralDespesasPorArea",#N/A,FALSE,"VinculosAccessEfetivo"}</definedName>
    <definedName name="adeletar2" localSheetId="12" hidden="1">{"TotalGeralDespesasPorArea",#N/A,FALSE,"VinculosAccessEfetivo"}</definedName>
    <definedName name="adeletar2" localSheetId="13" hidden="1">{"TotalGeralDespesasPorArea",#N/A,FALSE,"VinculosAccessEfetivo"}</definedName>
    <definedName name="adeletar2" localSheetId="11" hidden="1">{"TotalGeralDespesasPorArea",#N/A,FALSE,"VinculosAccessEfetivo"}</definedName>
    <definedName name="adeletar2" localSheetId="31" hidden="1">{"TotalGeralDespesasPorArea",#N/A,FALSE,"VinculosAccessEfetivo"}</definedName>
    <definedName name="adeletar2" localSheetId="48" hidden="1">{"TotalGeralDespesasPorArea",#N/A,FALSE,"VinculosAccessEfetivo"}</definedName>
    <definedName name="adeletar2" hidden="1">{"TotalGeralDespesasPorArea",#N/A,FALSE,"VinculosAccessEfetivo"}</definedName>
    <definedName name="adeletar2_1" localSheetId="15" hidden="1">{"TotalGeralDespesasPorArea",#N/A,FALSE,"VinculosAccessEfetivo"}</definedName>
    <definedName name="adeletar2_1" localSheetId="14" hidden="1">{"TotalGeralDespesasPorArea",#N/A,FALSE,"VinculosAccessEfetivo"}</definedName>
    <definedName name="adeletar2_1" localSheetId="2" hidden="1">{"TotalGeralDespesasPorArea",#N/A,FALSE,"VinculosAccessEfetivo"}</definedName>
    <definedName name="adeletar2_1" localSheetId="34" hidden="1">{"TotalGeralDespesasPorArea",#N/A,FALSE,"VinculosAccessEfetivo"}</definedName>
    <definedName name="adeletar2_1" localSheetId="38" hidden="1">{"TotalGeralDespesasPorArea",#N/A,FALSE,"VinculosAccessEfetivo"}</definedName>
    <definedName name="adeletar2_1" localSheetId="8" hidden="1">{"TotalGeralDespesasPorArea",#N/A,FALSE,"VinculosAccessEfetivo"}</definedName>
    <definedName name="adeletar2_1" localSheetId="12" hidden="1">{"TotalGeralDespesasPorArea",#N/A,FALSE,"VinculosAccessEfetivo"}</definedName>
    <definedName name="adeletar2_1" localSheetId="13" hidden="1">{"TotalGeralDespesasPorArea",#N/A,FALSE,"VinculosAccessEfetivo"}</definedName>
    <definedName name="adeletar2_1" localSheetId="11" hidden="1">{"TotalGeralDespesasPorArea",#N/A,FALSE,"VinculosAccessEfetivo"}</definedName>
    <definedName name="adeletar2_1" localSheetId="31" hidden="1">{"TotalGeralDespesasPorArea",#N/A,FALSE,"VinculosAccessEfetivo"}</definedName>
    <definedName name="adeletar2_1" localSheetId="48" hidden="1">{"TotalGeralDespesasPorArea",#N/A,FALSE,"VinculosAccessEfetivo"}</definedName>
    <definedName name="adeletar2_1" hidden="1">{"TotalGeralDespesasPorArea",#N/A,FALSE,"VinculosAccessEfetivo"}</definedName>
    <definedName name="adeletar20" localSheetId="15" hidden="1">{"TotalGeralDespesasPorArea",#N/A,FALSE,"VinculosAccessEfetivo"}</definedName>
    <definedName name="adeletar20" localSheetId="14" hidden="1">{"TotalGeralDespesasPorArea",#N/A,FALSE,"VinculosAccessEfetivo"}</definedName>
    <definedName name="adeletar20" localSheetId="2" hidden="1">{"TotalGeralDespesasPorArea",#N/A,FALSE,"VinculosAccessEfetivo"}</definedName>
    <definedName name="adeletar20" localSheetId="34" hidden="1">{"TotalGeralDespesasPorArea",#N/A,FALSE,"VinculosAccessEfetivo"}</definedName>
    <definedName name="adeletar20" localSheetId="38" hidden="1">{"TotalGeralDespesasPorArea",#N/A,FALSE,"VinculosAccessEfetivo"}</definedName>
    <definedName name="adeletar20" localSheetId="8" hidden="1">{"TotalGeralDespesasPorArea",#N/A,FALSE,"VinculosAccessEfetivo"}</definedName>
    <definedName name="adeletar20" localSheetId="12" hidden="1">{"TotalGeralDespesasPorArea",#N/A,FALSE,"VinculosAccessEfetivo"}</definedName>
    <definedName name="adeletar20" localSheetId="13" hidden="1">{"TotalGeralDespesasPorArea",#N/A,FALSE,"VinculosAccessEfetivo"}</definedName>
    <definedName name="adeletar20" localSheetId="11" hidden="1">{"TotalGeralDespesasPorArea",#N/A,FALSE,"VinculosAccessEfetivo"}</definedName>
    <definedName name="adeletar20" localSheetId="31" hidden="1">{"TotalGeralDespesasPorArea",#N/A,FALSE,"VinculosAccessEfetivo"}</definedName>
    <definedName name="adeletar20" localSheetId="48" hidden="1">{"TotalGeralDespesasPorArea",#N/A,FALSE,"VinculosAccessEfetivo"}</definedName>
    <definedName name="adeletar20" hidden="1">{"TotalGeralDespesasPorArea",#N/A,FALSE,"VinculosAccessEfetivo"}</definedName>
    <definedName name="adeletar20_1" localSheetId="15" hidden="1">{"TotalGeralDespesasPorArea",#N/A,FALSE,"VinculosAccessEfetivo"}</definedName>
    <definedName name="adeletar20_1" localSheetId="14" hidden="1">{"TotalGeralDespesasPorArea",#N/A,FALSE,"VinculosAccessEfetivo"}</definedName>
    <definedName name="adeletar20_1" localSheetId="2" hidden="1">{"TotalGeralDespesasPorArea",#N/A,FALSE,"VinculosAccessEfetivo"}</definedName>
    <definedName name="adeletar20_1" localSheetId="34" hidden="1">{"TotalGeralDespesasPorArea",#N/A,FALSE,"VinculosAccessEfetivo"}</definedName>
    <definedName name="adeletar20_1" localSheetId="38" hidden="1">{"TotalGeralDespesasPorArea",#N/A,FALSE,"VinculosAccessEfetivo"}</definedName>
    <definedName name="adeletar20_1" localSheetId="8" hidden="1">{"TotalGeralDespesasPorArea",#N/A,FALSE,"VinculosAccessEfetivo"}</definedName>
    <definedName name="adeletar20_1" localSheetId="12" hidden="1">{"TotalGeralDespesasPorArea",#N/A,FALSE,"VinculosAccessEfetivo"}</definedName>
    <definedName name="adeletar20_1" localSheetId="13" hidden="1">{"TotalGeralDespesasPorArea",#N/A,FALSE,"VinculosAccessEfetivo"}</definedName>
    <definedName name="adeletar20_1" localSheetId="11" hidden="1">{"TotalGeralDespesasPorArea",#N/A,FALSE,"VinculosAccessEfetivo"}</definedName>
    <definedName name="adeletar20_1" localSheetId="31" hidden="1">{"TotalGeralDespesasPorArea",#N/A,FALSE,"VinculosAccessEfetivo"}</definedName>
    <definedName name="adeletar20_1" localSheetId="48" hidden="1">{"TotalGeralDespesasPorArea",#N/A,FALSE,"VinculosAccessEfetivo"}</definedName>
    <definedName name="adeletar20_1" hidden="1">{"TotalGeralDespesasPorArea",#N/A,FALSE,"VinculosAccessEfetivo"}</definedName>
    <definedName name="adeletar4" localSheetId="15" hidden="1">{"TotalGeralDespesasPorArea",#N/A,FALSE,"VinculosAccessEfetivo"}</definedName>
    <definedName name="adeletar4" localSheetId="14" hidden="1">{"TotalGeralDespesasPorArea",#N/A,FALSE,"VinculosAccessEfetivo"}</definedName>
    <definedName name="adeletar4" localSheetId="2" hidden="1">{"TotalGeralDespesasPorArea",#N/A,FALSE,"VinculosAccessEfetivo"}</definedName>
    <definedName name="adeletar4" localSheetId="34" hidden="1">{"TotalGeralDespesasPorArea",#N/A,FALSE,"VinculosAccessEfetivo"}</definedName>
    <definedName name="adeletar4" localSheetId="38" hidden="1">{"TotalGeralDespesasPorArea",#N/A,FALSE,"VinculosAccessEfetivo"}</definedName>
    <definedName name="adeletar4" localSheetId="8" hidden="1">{"TotalGeralDespesasPorArea",#N/A,FALSE,"VinculosAccessEfetivo"}</definedName>
    <definedName name="adeletar4" localSheetId="12" hidden="1">{"TotalGeralDespesasPorArea",#N/A,FALSE,"VinculosAccessEfetivo"}</definedName>
    <definedName name="adeletar4" localSheetId="13" hidden="1">{"TotalGeralDespesasPorArea",#N/A,FALSE,"VinculosAccessEfetivo"}</definedName>
    <definedName name="adeletar4" localSheetId="11" hidden="1">{"TotalGeralDespesasPorArea",#N/A,FALSE,"VinculosAccessEfetivo"}</definedName>
    <definedName name="adeletar4" localSheetId="31" hidden="1">{"TotalGeralDespesasPorArea",#N/A,FALSE,"VinculosAccessEfetivo"}</definedName>
    <definedName name="adeletar4" localSheetId="48" hidden="1">{"TotalGeralDespesasPorArea",#N/A,FALSE,"VinculosAccessEfetivo"}</definedName>
    <definedName name="adeletar4" hidden="1">{"TotalGeralDespesasPorArea",#N/A,FALSE,"VinculosAccessEfetivo"}</definedName>
    <definedName name="adeletar4_1" localSheetId="15" hidden="1">{"TotalGeralDespesasPorArea",#N/A,FALSE,"VinculosAccessEfetivo"}</definedName>
    <definedName name="adeletar4_1" localSheetId="14" hidden="1">{"TotalGeralDespesasPorArea",#N/A,FALSE,"VinculosAccessEfetivo"}</definedName>
    <definedName name="adeletar4_1" localSheetId="2" hidden="1">{"TotalGeralDespesasPorArea",#N/A,FALSE,"VinculosAccessEfetivo"}</definedName>
    <definedName name="adeletar4_1" localSheetId="34" hidden="1">{"TotalGeralDespesasPorArea",#N/A,FALSE,"VinculosAccessEfetivo"}</definedName>
    <definedName name="adeletar4_1" localSheetId="38" hidden="1">{"TotalGeralDespesasPorArea",#N/A,FALSE,"VinculosAccessEfetivo"}</definedName>
    <definedName name="adeletar4_1" localSheetId="8" hidden="1">{"TotalGeralDespesasPorArea",#N/A,FALSE,"VinculosAccessEfetivo"}</definedName>
    <definedName name="adeletar4_1" localSheetId="12" hidden="1">{"TotalGeralDespesasPorArea",#N/A,FALSE,"VinculosAccessEfetivo"}</definedName>
    <definedName name="adeletar4_1" localSheetId="13" hidden="1">{"TotalGeralDespesasPorArea",#N/A,FALSE,"VinculosAccessEfetivo"}</definedName>
    <definedName name="adeletar4_1" localSheetId="11" hidden="1">{"TotalGeralDespesasPorArea",#N/A,FALSE,"VinculosAccessEfetivo"}</definedName>
    <definedName name="adeletar4_1" localSheetId="31" hidden="1">{"TotalGeralDespesasPorArea",#N/A,FALSE,"VinculosAccessEfetivo"}</definedName>
    <definedName name="adeletar4_1" localSheetId="48" hidden="1">{"TotalGeralDespesasPorArea",#N/A,FALSE,"VinculosAccessEfetivo"}</definedName>
    <definedName name="adeletar4_1" hidden="1">{"TotalGeralDespesasPorArea",#N/A,FALSE,"VinculosAccessEfetivo"}</definedName>
    <definedName name="adeletar50" localSheetId="15" hidden="1">{"TotalGeralDespesasPorArea",#N/A,FALSE,"VinculosAccessEfetivo"}</definedName>
    <definedName name="adeletar50" localSheetId="14" hidden="1">{"TotalGeralDespesasPorArea",#N/A,FALSE,"VinculosAccessEfetivo"}</definedName>
    <definedName name="adeletar50" localSheetId="2" hidden="1">{"TotalGeralDespesasPorArea",#N/A,FALSE,"VinculosAccessEfetivo"}</definedName>
    <definedName name="adeletar50" localSheetId="34" hidden="1">{"TotalGeralDespesasPorArea",#N/A,FALSE,"VinculosAccessEfetivo"}</definedName>
    <definedName name="adeletar50" localSheetId="38" hidden="1">{"TotalGeralDespesasPorArea",#N/A,FALSE,"VinculosAccessEfetivo"}</definedName>
    <definedName name="adeletar50" localSheetId="8" hidden="1">{"TotalGeralDespesasPorArea",#N/A,FALSE,"VinculosAccessEfetivo"}</definedName>
    <definedName name="adeletar50" localSheetId="12" hidden="1">{"TotalGeralDespesasPorArea",#N/A,FALSE,"VinculosAccessEfetivo"}</definedName>
    <definedName name="adeletar50" localSheetId="13" hidden="1">{"TotalGeralDespesasPorArea",#N/A,FALSE,"VinculosAccessEfetivo"}</definedName>
    <definedName name="adeletar50" localSheetId="11" hidden="1">{"TotalGeralDespesasPorArea",#N/A,FALSE,"VinculosAccessEfetivo"}</definedName>
    <definedName name="adeletar50" localSheetId="31" hidden="1">{"TotalGeralDespesasPorArea",#N/A,FALSE,"VinculosAccessEfetivo"}</definedName>
    <definedName name="adeletar50" localSheetId="48" hidden="1">{"TotalGeralDespesasPorArea",#N/A,FALSE,"VinculosAccessEfetivo"}</definedName>
    <definedName name="adeletar50" hidden="1">{"TotalGeralDespesasPorArea",#N/A,FALSE,"VinculosAccessEfetivo"}</definedName>
    <definedName name="adeletar50_1" localSheetId="15" hidden="1">{"TotalGeralDespesasPorArea",#N/A,FALSE,"VinculosAccessEfetivo"}</definedName>
    <definedName name="adeletar50_1" localSheetId="14" hidden="1">{"TotalGeralDespesasPorArea",#N/A,FALSE,"VinculosAccessEfetivo"}</definedName>
    <definedName name="adeletar50_1" localSheetId="2" hidden="1">{"TotalGeralDespesasPorArea",#N/A,FALSE,"VinculosAccessEfetivo"}</definedName>
    <definedName name="adeletar50_1" localSheetId="34" hidden="1">{"TotalGeralDespesasPorArea",#N/A,FALSE,"VinculosAccessEfetivo"}</definedName>
    <definedName name="adeletar50_1" localSheetId="38" hidden="1">{"TotalGeralDespesasPorArea",#N/A,FALSE,"VinculosAccessEfetivo"}</definedName>
    <definedName name="adeletar50_1" localSheetId="8" hidden="1">{"TotalGeralDespesasPorArea",#N/A,FALSE,"VinculosAccessEfetivo"}</definedName>
    <definedName name="adeletar50_1" localSheetId="12" hidden="1">{"TotalGeralDespesasPorArea",#N/A,FALSE,"VinculosAccessEfetivo"}</definedName>
    <definedName name="adeletar50_1" localSheetId="13" hidden="1">{"TotalGeralDespesasPorArea",#N/A,FALSE,"VinculosAccessEfetivo"}</definedName>
    <definedName name="adeletar50_1" localSheetId="11" hidden="1">{"TotalGeralDespesasPorArea",#N/A,FALSE,"VinculosAccessEfetivo"}</definedName>
    <definedName name="adeletar50_1" localSheetId="31" hidden="1">{"TotalGeralDespesasPorArea",#N/A,FALSE,"VinculosAccessEfetivo"}</definedName>
    <definedName name="adeletar50_1" localSheetId="48" hidden="1">{"TotalGeralDespesasPorArea",#N/A,FALSE,"VinculosAccessEfetivo"}</definedName>
    <definedName name="adeletar50_1" hidden="1">{"TotalGeralDespesasPorArea",#N/A,FALSE,"VinculosAccessEfetivo"}</definedName>
    <definedName name="adeletar51" localSheetId="15" hidden="1">{"TotalGeralDespesasPorArea",#N/A,FALSE,"VinculosAccessEfetivo"}</definedName>
    <definedName name="adeletar51" localSheetId="14" hidden="1">{"TotalGeralDespesasPorArea",#N/A,FALSE,"VinculosAccessEfetivo"}</definedName>
    <definedName name="adeletar51" localSheetId="2" hidden="1">{"TotalGeralDespesasPorArea",#N/A,FALSE,"VinculosAccessEfetivo"}</definedName>
    <definedName name="adeletar51" localSheetId="34" hidden="1">{"TotalGeralDespesasPorArea",#N/A,FALSE,"VinculosAccessEfetivo"}</definedName>
    <definedName name="adeletar51" localSheetId="38" hidden="1">{"TotalGeralDespesasPorArea",#N/A,FALSE,"VinculosAccessEfetivo"}</definedName>
    <definedName name="adeletar51" localSheetId="8" hidden="1">{"TotalGeralDespesasPorArea",#N/A,FALSE,"VinculosAccessEfetivo"}</definedName>
    <definedName name="adeletar51" localSheetId="12" hidden="1">{"TotalGeralDespesasPorArea",#N/A,FALSE,"VinculosAccessEfetivo"}</definedName>
    <definedName name="adeletar51" localSheetId="13" hidden="1">{"TotalGeralDespesasPorArea",#N/A,FALSE,"VinculosAccessEfetivo"}</definedName>
    <definedName name="adeletar51" localSheetId="11" hidden="1">{"TotalGeralDespesasPorArea",#N/A,FALSE,"VinculosAccessEfetivo"}</definedName>
    <definedName name="adeletar51" localSheetId="31" hidden="1">{"TotalGeralDespesasPorArea",#N/A,FALSE,"VinculosAccessEfetivo"}</definedName>
    <definedName name="adeletar51" localSheetId="48" hidden="1">{"TotalGeralDespesasPorArea",#N/A,FALSE,"VinculosAccessEfetivo"}</definedName>
    <definedName name="adeletar51" hidden="1">{"TotalGeralDespesasPorArea",#N/A,FALSE,"VinculosAccessEfetivo"}</definedName>
    <definedName name="adeletar51_1" localSheetId="15" hidden="1">{"TotalGeralDespesasPorArea",#N/A,FALSE,"VinculosAccessEfetivo"}</definedName>
    <definedName name="adeletar51_1" localSheetId="14" hidden="1">{"TotalGeralDespesasPorArea",#N/A,FALSE,"VinculosAccessEfetivo"}</definedName>
    <definedName name="adeletar51_1" localSheetId="2" hidden="1">{"TotalGeralDespesasPorArea",#N/A,FALSE,"VinculosAccessEfetivo"}</definedName>
    <definedName name="adeletar51_1" localSheetId="34" hidden="1">{"TotalGeralDespesasPorArea",#N/A,FALSE,"VinculosAccessEfetivo"}</definedName>
    <definedName name="adeletar51_1" localSheetId="38" hidden="1">{"TotalGeralDespesasPorArea",#N/A,FALSE,"VinculosAccessEfetivo"}</definedName>
    <definedName name="adeletar51_1" localSheetId="8" hidden="1">{"TotalGeralDespesasPorArea",#N/A,FALSE,"VinculosAccessEfetivo"}</definedName>
    <definedName name="adeletar51_1" localSheetId="12" hidden="1">{"TotalGeralDespesasPorArea",#N/A,FALSE,"VinculosAccessEfetivo"}</definedName>
    <definedName name="adeletar51_1" localSheetId="13" hidden="1">{"TotalGeralDespesasPorArea",#N/A,FALSE,"VinculosAccessEfetivo"}</definedName>
    <definedName name="adeletar51_1" localSheetId="11" hidden="1">{"TotalGeralDespesasPorArea",#N/A,FALSE,"VinculosAccessEfetivo"}</definedName>
    <definedName name="adeletar51_1" localSheetId="31" hidden="1">{"TotalGeralDespesasPorArea",#N/A,FALSE,"VinculosAccessEfetivo"}</definedName>
    <definedName name="adeletar51_1" localSheetId="48" hidden="1">{"TotalGeralDespesasPorArea",#N/A,FALSE,"VinculosAccessEfetivo"}</definedName>
    <definedName name="adeletar51_1" hidden="1">{"TotalGeralDespesasPorArea",#N/A,FALSE,"VinculosAccessEfetivo"}</definedName>
    <definedName name="Adto_clientes">#REF!</definedName>
    <definedName name="Adto_fornecedores">#REF!</definedName>
    <definedName name="Agro_tiete" localSheetId="2">#REF!</definedName>
    <definedName name="Agro_tiete">#REF!</definedName>
    <definedName name="AJUSTE" localSheetId="15" hidden="1">{"Fecha_Dezembro",#N/A,FALSE,"FECHAMENTO-2002 ";"Defer_Dezermbro",#N/A,FALSE,"DIFERIDO";"Pis_Dezembro",#N/A,FALSE,"PIS COFINS";"Iss_Dezembro",#N/A,FALSE,"ISS"}</definedName>
    <definedName name="AJUSTE" localSheetId="14" hidden="1">{"Fecha_Dezembro",#N/A,FALSE,"FECHAMENTO-2002 ";"Defer_Dezermbro",#N/A,FALSE,"DIFERIDO";"Pis_Dezembro",#N/A,FALSE,"PIS COFINS";"Iss_Dezembro",#N/A,FALSE,"ISS"}</definedName>
    <definedName name="AJUSTE" localSheetId="2" hidden="1">{"Fecha_Dezembro",#N/A,FALSE,"FECHAMENTO-2002 ";"Defer_Dezermbro",#N/A,FALSE,"DIFERIDO";"Pis_Dezembro",#N/A,FALSE,"PIS COFINS";"Iss_Dezembro",#N/A,FALSE,"ISS"}</definedName>
    <definedName name="AJUSTE" localSheetId="34" hidden="1">{"Fecha_Dezembro",#N/A,FALSE,"FECHAMENTO-2002 ";"Defer_Dezermbro",#N/A,FALSE,"DIFERIDO";"Pis_Dezembro",#N/A,FALSE,"PIS COFINS";"Iss_Dezembro",#N/A,FALSE,"ISS"}</definedName>
    <definedName name="AJUSTE" localSheetId="38" hidden="1">{"Fecha_Dezembro",#N/A,FALSE,"FECHAMENTO-2002 ";"Defer_Dezermbro",#N/A,FALSE,"DIFERIDO";"Pis_Dezembro",#N/A,FALSE,"PIS COFINS";"Iss_Dezembro",#N/A,FALSE,"ISS"}</definedName>
    <definedName name="AJUSTE" localSheetId="8" hidden="1">{"Fecha_Dezembro",#N/A,FALSE,"FECHAMENTO-2002 ";"Defer_Dezermbro",#N/A,FALSE,"DIFERIDO";"Pis_Dezembro",#N/A,FALSE,"PIS COFINS";"Iss_Dezembro",#N/A,FALSE,"ISS"}</definedName>
    <definedName name="AJUSTE" localSheetId="12" hidden="1">{"Fecha_Dezembro",#N/A,FALSE,"FECHAMENTO-2002 ";"Defer_Dezermbro",#N/A,FALSE,"DIFERIDO";"Pis_Dezembro",#N/A,FALSE,"PIS COFINS";"Iss_Dezembro",#N/A,FALSE,"ISS"}</definedName>
    <definedName name="AJUSTE" localSheetId="13" hidden="1">{"Fecha_Dezembro",#N/A,FALSE,"FECHAMENTO-2002 ";"Defer_Dezermbro",#N/A,FALSE,"DIFERIDO";"Pis_Dezembro",#N/A,FALSE,"PIS COFINS";"Iss_Dezembro",#N/A,FALSE,"ISS"}</definedName>
    <definedName name="AJUSTE" localSheetId="11" hidden="1">{"Fecha_Dezembro",#N/A,FALSE,"FECHAMENTO-2002 ";"Defer_Dezermbro",#N/A,FALSE,"DIFERIDO";"Pis_Dezembro",#N/A,FALSE,"PIS COFINS";"Iss_Dezembro",#N/A,FALSE,"ISS"}</definedName>
    <definedName name="AJUSTE" localSheetId="31" hidden="1">{"Fecha_Dezembro",#N/A,FALSE,"FECHAMENTO-2002 ";"Defer_Dezermbro",#N/A,FALSE,"DIFERIDO";"Pis_Dezembro",#N/A,FALSE,"PIS COFINS";"Iss_Dezembro",#N/A,FALSE,"ISS"}</definedName>
    <definedName name="AJUSTE" localSheetId="48" hidden="1">{"Fecha_Dezembro",#N/A,FALSE,"FECHAMENTO-2002 ";"Defer_Dezermbro",#N/A,FALSE,"DIFERIDO";"Pis_Dezembro",#N/A,FALSE,"PIS COFINS";"Iss_Dezembro",#N/A,FALSE,"ISS"}</definedName>
    <definedName name="AJUSTE" hidden="1">{"Fecha_Dezembro",#N/A,FALSE,"FECHAMENTO-2002 ";"Defer_Dezermbro",#N/A,FALSE,"DIFERIDO";"Pis_Dezembro",#N/A,FALSE,"PIS COFINS";"Iss_Dezembro",#N/A,FALSE,"ISS"}</definedName>
    <definedName name="AJUSTE_1" localSheetId="15" hidden="1">{"Fecha_Dezembro",#N/A,FALSE,"FECHAMENTO-2002 ";"Defer_Dezermbro",#N/A,FALSE,"DIFERIDO";"Pis_Dezembro",#N/A,FALSE,"PIS COFINS";"Iss_Dezembro",#N/A,FALSE,"ISS"}</definedName>
    <definedName name="AJUSTE_1" localSheetId="14" hidden="1">{"Fecha_Dezembro",#N/A,FALSE,"FECHAMENTO-2002 ";"Defer_Dezermbro",#N/A,FALSE,"DIFERIDO";"Pis_Dezembro",#N/A,FALSE,"PIS COFINS";"Iss_Dezembro",#N/A,FALSE,"ISS"}</definedName>
    <definedName name="AJUSTE_1" localSheetId="2" hidden="1">{"Fecha_Dezembro",#N/A,FALSE,"FECHAMENTO-2002 ";"Defer_Dezermbro",#N/A,FALSE,"DIFERIDO";"Pis_Dezembro",#N/A,FALSE,"PIS COFINS";"Iss_Dezembro",#N/A,FALSE,"ISS"}</definedName>
    <definedName name="AJUSTE_1" localSheetId="34" hidden="1">{"Fecha_Dezembro",#N/A,FALSE,"FECHAMENTO-2002 ";"Defer_Dezermbro",#N/A,FALSE,"DIFERIDO";"Pis_Dezembro",#N/A,FALSE,"PIS COFINS";"Iss_Dezembro",#N/A,FALSE,"ISS"}</definedName>
    <definedName name="AJUSTE_1" localSheetId="38" hidden="1">{"Fecha_Dezembro",#N/A,FALSE,"FECHAMENTO-2002 ";"Defer_Dezermbro",#N/A,FALSE,"DIFERIDO";"Pis_Dezembro",#N/A,FALSE,"PIS COFINS";"Iss_Dezembro",#N/A,FALSE,"ISS"}</definedName>
    <definedName name="AJUSTE_1" localSheetId="8" hidden="1">{"Fecha_Dezembro",#N/A,FALSE,"FECHAMENTO-2002 ";"Defer_Dezermbro",#N/A,FALSE,"DIFERIDO";"Pis_Dezembro",#N/A,FALSE,"PIS COFINS";"Iss_Dezembro",#N/A,FALSE,"ISS"}</definedName>
    <definedName name="AJUSTE_1" localSheetId="12" hidden="1">{"Fecha_Dezembro",#N/A,FALSE,"FECHAMENTO-2002 ";"Defer_Dezermbro",#N/A,FALSE,"DIFERIDO";"Pis_Dezembro",#N/A,FALSE,"PIS COFINS";"Iss_Dezembro",#N/A,FALSE,"ISS"}</definedName>
    <definedName name="AJUSTE_1" localSheetId="13" hidden="1">{"Fecha_Dezembro",#N/A,FALSE,"FECHAMENTO-2002 ";"Defer_Dezermbro",#N/A,FALSE,"DIFERIDO";"Pis_Dezembro",#N/A,FALSE,"PIS COFINS";"Iss_Dezembro",#N/A,FALSE,"ISS"}</definedName>
    <definedName name="AJUSTE_1" localSheetId="11" hidden="1">{"Fecha_Dezembro",#N/A,FALSE,"FECHAMENTO-2002 ";"Defer_Dezermbro",#N/A,FALSE,"DIFERIDO";"Pis_Dezembro",#N/A,FALSE,"PIS COFINS";"Iss_Dezembro",#N/A,FALSE,"ISS"}</definedName>
    <definedName name="AJUSTE_1" localSheetId="31" hidden="1">{"Fecha_Dezembro",#N/A,FALSE,"FECHAMENTO-2002 ";"Defer_Dezermbro",#N/A,FALSE,"DIFERIDO";"Pis_Dezembro",#N/A,FALSE,"PIS COFINS";"Iss_Dezembro",#N/A,FALSE,"ISS"}</definedName>
    <definedName name="AJUSTE_1" localSheetId="48" hidden="1">{"Fecha_Dezembro",#N/A,FALSE,"FECHAMENTO-2002 ";"Defer_Dezermbro",#N/A,FALSE,"DIFERIDO";"Pis_Dezembro",#N/A,FALSE,"PIS COFINS";"Iss_Dezembro",#N/A,FALSE,"ISS"}</definedName>
    <definedName name="AJUSTE_1" hidden="1">{"Fecha_Dezembro",#N/A,FALSE,"FECHAMENTO-2002 ";"Defer_Dezermbro",#N/A,FALSE,"DIFERIDO";"Pis_Dezembro",#N/A,FALSE,"PIS COFINS";"Iss_Dezembro",#N/A,FALSE,"ISS"}</definedName>
    <definedName name="ajustes" localSheetId="2">#REF!</definedName>
    <definedName name="ajustes">#REF!</definedName>
    <definedName name="ALC_INDUST" localSheetId="2">#REF!</definedName>
    <definedName name="ALC_INDUST">#REF!</definedName>
    <definedName name="ALCADQANT" localSheetId="2">#REF!</definedName>
    <definedName name="ALCADQANT">#REF!</definedName>
    <definedName name="ALCADQATU" localSheetId="2">#REF!</definedName>
    <definedName name="ALCADQATU">#REF!</definedName>
    <definedName name="ALCOOLANT" localSheetId="2">#REF!</definedName>
    <definedName name="ALCOOLANT">#REF!</definedName>
    <definedName name="ALCOOLATU" localSheetId="2">#REF!</definedName>
    <definedName name="ALCOOLATU">#REF!</definedName>
    <definedName name="ANADATA" localSheetId="2">#REF!</definedName>
    <definedName name="ANADATA">#REF!</definedName>
    <definedName name="analise">#REF!</definedName>
    <definedName name="anidromi">#REF!</definedName>
    <definedName name="anscount" hidden="1">7</definedName>
    <definedName name="ANTERIOR" localSheetId="2">#REF!</definedName>
    <definedName name="ANTERIOR">#REF!</definedName>
    <definedName name="ap" localSheetId="15" hidden="1">{"Fecha_Novembro",#N/A,FALSE,"FECHAMENTO-2002 ";"Defer_Novembro",#N/A,FALSE,"DIFERIDO";"Pis_Novembro",#N/A,FALSE,"PIS COFINS";"Iss_Novembro",#N/A,FALSE,"ISS"}</definedName>
    <definedName name="ap" localSheetId="14" hidden="1">{"Fecha_Novembro",#N/A,FALSE,"FECHAMENTO-2002 ";"Defer_Novembro",#N/A,FALSE,"DIFERIDO";"Pis_Novembro",#N/A,FALSE,"PIS COFINS";"Iss_Novembro",#N/A,FALSE,"ISS"}</definedName>
    <definedName name="ap" localSheetId="2" hidden="1">{"Fecha_Novembro",#N/A,FALSE,"FECHAMENTO-2002 ";"Defer_Novembro",#N/A,FALSE,"DIFERIDO";"Pis_Novembro",#N/A,FALSE,"PIS COFINS";"Iss_Novembro",#N/A,FALSE,"ISS"}</definedName>
    <definedName name="ap" localSheetId="34" hidden="1">{"Fecha_Novembro",#N/A,FALSE,"FECHAMENTO-2002 ";"Defer_Novembro",#N/A,FALSE,"DIFERIDO";"Pis_Novembro",#N/A,FALSE,"PIS COFINS";"Iss_Novembro",#N/A,FALSE,"ISS"}</definedName>
    <definedName name="ap" localSheetId="38" hidden="1">{"Fecha_Novembro",#N/A,FALSE,"FECHAMENTO-2002 ";"Defer_Novembro",#N/A,FALSE,"DIFERIDO";"Pis_Novembro",#N/A,FALSE,"PIS COFINS";"Iss_Novembro",#N/A,FALSE,"ISS"}</definedName>
    <definedName name="ap" localSheetId="8" hidden="1">{"Fecha_Novembro",#N/A,FALSE,"FECHAMENTO-2002 ";"Defer_Novembro",#N/A,FALSE,"DIFERIDO";"Pis_Novembro",#N/A,FALSE,"PIS COFINS";"Iss_Novembro",#N/A,FALSE,"ISS"}</definedName>
    <definedName name="ap" localSheetId="12" hidden="1">{"Fecha_Novembro",#N/A,FALSE,"FECHAMENTO-2002 ";"Defer_Novembro",#N/A,FALSE,"DIFERIDO";"Pis_Novembro",#N/A,FALSE,"PIS COFINS";"Iss_Novembro",#N/A,FALSE,"ISS"}</definedName>
    <definedName name="ap" localSheetId="13" hidden="1">{"Fecha_Novembro",#N/A,FALSE,"FECHAMENTO-2002 ";"Defer_Novembro",#N/A,FALSE,"DIFERIDO";"Pis_Novembro",#N/A,FALSE,"PIS COFINS";"Iss_Novembro",#N/A,FALSE,"ISS"}</definedName>
    <definedName name="ap" localSheetId="11" hidden="1">{"Fecha_Novembro",#N/A,FALSE,"FECHAMENTO-2002 ";"Defer_Novembro",#N/A,FALSE,"DIFERIDO";"Pis_Novembro",#N/A,FALSE,"PIS COFINS";"Iss_Novembro",#N/A,FALSE,"ISS"}</definedName>
    <definedName name="ap" localSheetId="31" hidden="1">{"Fecha_Novembro",#N/A,FALSE,"FECHAMENTO-2002 ";"Defer_Novembro",#N/A,FALSE,"DIFERIDO";"Pis_Novembro",#N/A,FALSE,"PIS COFINS";"Iss_Novembro",#N/A,FALSE,"ISS"}</definedName>
    <definedName name="ap" localSheetId="48" hidden="1">{"Fecha_Novembro",#N/A,FALSE,"FECHAMENTO-2002 ";"Defer_Novembro",#N/A,FALSE,"DIFERIDO";"Pis_Novembro",#N/A,FALSE,"PIS COFINS";"Iss_Novembro",#N/A,FALSE,"ISS"}</definedName>
    <definedName name="ap" hidden="1">{"Fecha_Novembro",#N/A,FALSE,"FECHAMENTO-2002 ";"Defer_Novembro",#N/A,FALSE,"DIFERIDO";"Pis_Novembro",#N/A,FALSE,"PIS COFINS";"Iss_Novembro",#N/A,FALSE,"ISS"}</definedName>
    <definedName name="ap_1" localSheetId="15" hidden="1">{"Fecha_Novembro",#N/A,FALSE,"FECHAMENTO-2002 ";"Defer_Novembro",#N/A,FALSE,"DIFERIDO";"Pis_Novembro",#N/A,FALSE,"PIS COFINS";"Iss_Novembro",#N/A,FALSE,"ISS"}</definedName>
    <definedName name="ap_1" localSheetId="14" hidden="1">{"Fecha_Novembro",#N/A,FALSE,"FECHAMENTO-2002 ";"Defer_Novembro",#N/A,FALSE,"DIFERIDO";"Pis_Novembro",#N/A,FALSE,"PIS COFINS";"Iss_Novembro",#N/A,FALSE,"ISS"}</definedName>
    <definedName name="ap_1" localSheetId="2" hidden="1">{"Fecha_Novembro",#N/A,FALSE,"FECHAMENTO-2002 ";"Defer_Novembro",#N/A,FALSE,"DIFERIDO";"Pis_Novembro",#N/A,FALSE,"PIS COFINS";"Iss_Novembro",#N/A,FALSE,"ISS"}</definedName>
    <definedName name="ap_1" localSheetId="34" hidden="1">{"Fecha_Novembro",#N/A,FALSE,"FECHAMENTO-2002 ";"Defer_Novembro",#N/A,FALSE,"DIFERIDO";"Pis_Novembro",#N/A,FALSE,"PIS COFINS";"Iss_Novembro",#N/A,FALSE,"ISS"}</definedName>
    <definedName name="ap_1" localSheetId="38" hidden="1">{"Fecha_Novembro",#N/A,FALSE,"FECHAMENTO-2002 ";"Defer_Novembro",#N/A,FALSE,"DIFERIDO";"Pis_Novembro",#N/A,FALSE,"PIS COFINS";"Iss_Novembro",#N/A,FALSE,"ISS"}</definedName>
    <definedName name="ap_1" localSheetId="8" hidden="1">{"Fecha_Novembro",#N/A,FALSE,"FECHAMENTO-2002 ";"Defer_Novembro",#N/A,FALSE,"DIFERIDO";"Pis_Novembro",#N/A,FALSE,"PIS COFINS";"Iss_Novembro",#N/A,FALSE,"ISS"}</definedName>
    <definedName name="ap_1" localSheetId="12" hidden="1">{"Fecha_Novembro",#N/A,FALSE,"FECHAMENTO-2002 ";"Defer_Novembro",#N/A,FALSE,"DIFERIDO";"Pis_Novembro",#N/A,FALSE,"PIS COFINS";"Iss_Novembro",#N/A,FALSE,"ISS"}</definedName>
    <definedName name="ap_1" localSheetId="13" hidden="1">{"Fecha_Novembro",#N/A,FALSE,"FECHAMENTO-2002 ";"Defer_Novembro",#N/A,FALSE,"DIFERIDO";"Pis_Novembro",#N/A,FALSE,"PIS COFINS";"Iss_Novembro",#N/A,FALSE,"ISS"}</definedName>
    <definedName name="ap_1" localSheetId="11" hidden="1">{"Fecha_Novembro",#N/A,FALSE,"FECHAMENTO-2002 ";"Defer_Novembro",#N/A,FALSE,"DIFERIDO";"Pis_Novembro",#N/A,FALSE,"PIS COFINS";"Iss_Novembro",#N/A,FALSE,"ISS"}</definedName>
    <definedName name="ap_1" localSheetId="31" hidden="1">{"Fecha_Novembro",#N/A,FALSE,"FECHAMENTO-2002 ";"Defer_Novembro",#N/A,FALSE,"DIFERIDO";"Pis_Novembro",#N/A,FALSE,"PIS COFINS";"Iss_Novembro",#N/A,FALSE,"ISS"}</definedName>
    <definedName name="ap_1" localSheetId="48" hidden="1">{"Fecha_Novembro",#N/A,FALSE,"FECHAMENTO-2002 ";"Defer_Novembro",#N/A,FALSE,"DIFERIDO";"Pis_Novembro",#N/A,FALSE,"PIS COFINS";"Iss_Novembro",#N/A,FALSE,"ISS"}</definedName>
    <definedName name="ap_1" hidden="1">{"Fecha_Novembro",#N/A,FALSE,"FECHAMENTO-2002 ";"Defer_Novembro",#N/A,FALSE,"DIFERIDO";"Pis_Novembro",#N/A,FALSE,"PIS COFINS";"Iss_Novembro",#N/A,FALSE,"ISS"}</definedName>
    <definedName name="Apoio_C" localSheetId="2">#REF!</definedName>
    <definedName name="Apoio_C">#REF!</definedName>
    <definedName name="Apoio_CTC" localSheetId="2">#REF!</definedName>
    <definedName name="Apoio_CTC">#REF!</definedName>
    <definedName name="Apoio_outros" localSheetId="2">#REF!</definedName>
    <definedName name="Apoio_outros">#REF!</definedName>
    <definedName name="aqqq" localSheetId="15" hidden="1">{"'PXR_6500'!$A$1:$I$124"}</definedName>
    <definedName name="aqqq" localSheetId="14" hidden="1">{"'PXR_6500'!$A$1:$I$124"}</definedName>
    <definedName name="aqqq" localSheetId="2" hidden="1">{"'PXR_6500'!$A$1:$I$124"}</definedName>
    <definedName name="aqqq" localSheetId="34" hidden="1">{"'PXR_6500'!$A$1:$I$124"}</definedName>
    <definedName name="aqqq" localSheetId="38" hidden="1">{"'PXR_6500'!$A$1:$I$124"}</definedName>
    <definedName name="aqqq" localSheetId="8" hidden="1">{"'PXR_6500'!$A$1:$I$124"}</definedName>
    <definedName name="aqqq" localSheetId="12" hidden="1">{"'PXR_6500'!$A$1:$I$124"}</definedName>
    <definedName name="aqqq" localSheetId="13" hidden="1">{"'PXR_6500'!$A$1:$I$124"}</definedName>
    <definedName name="aqqq" localSheetId="11" hidden="1">{"'PXR_6500'!$A$1:$I$124"}</definedName>
    <definedName name="aqqq" localSheetId="31" hidden="1">{"'PXR_6500'!$A$1:$I$124"}</definedName>
    <definedName name="aqqq" localSheetId="48" hidden="1">{"'PXR_6500'!$A$1:$I$124"}</definedName>
    <definedName name="aqqq" hidden="1">{"'PXR_6500'!$A$1:$I$124"}</definedName>
    <definedName name="_xlnm.Print_Area">#REF!</definedName>
    <definedName name="AREA1" localSheetId="2">#REF!</definedName>
    <definedName name="AREA1">#REF!</definedName>
    <definedName name="AREA2" localSheetId="2">#REF!</definedName>
    <definedName name="AREA2">#REF!</definedName>
    <definedName name="AREA3" localSheetId="2">#REF!</definedName>
    <definedName name="AREA3">#REF!</definedName>
    <definedName name="AREA4" localSheetId="2">#REF!</definedName>
    <definedName name="AREA4">#REF!</definedName>
    <definedName name="AREA5" localSheetId="2">#REF!</definedName>
    <definedName name="AREA5">#REF!</definedName>
    <definedName name="AS" localSheetId="15" hidden="1">{"'TG'!$A$1:$L$37"}</definedName>
    <definedName name="AS" localSheetId="14" hidden="1">{"'TG'!$A$1:$L$37"}</definedName>
    <definedName name="AS" localSheetId="2" hidden="1">{"'TG'!$A$1:$L$37"}</definedName>
    <definedName name="AS" localSheetId="34" hidden="1">{"'TG'!$A$1:$L$37"}</definedName>
    <definedName name="AS" localSheetId="38" hidden="1">{"'TG'!$A$1:$L$37"}</definedName>
    <definedName name="AS" localSheetId="8" hidden="1">{"'TG'!$A$1:$L$37"}</definedName>
    <definedName name="AS" localSheetId="12" hidden="1">{"'TG'!$A$1:$L$37"}</definedName>
    <definedName name="AS" localSheetId="13" hidden="1">{"'TG'!$A$1:$L$37"}</definedName>
    <definedName name="AS" localSheetId="11" hidden="1">{"'TG'!$A$1:$L$37"}</definedName>
    <definedName name="AS" localSheetId="31" hidden="1">{"'TG'!$A$1:$L$37"}</definedName>
    <definedName name="AS" localSheetId="48" hidden="1">{"'TG'!$A$1:$L$37"}</definedName>
    <definedName name="AS" hidden="1">{"'TG'!$A$1:$L$37"}</definedName>
    <definedName name="AS2DocOpenMode" hidden="1">"AS2DocumentEdit"</definedName>
    <definedName name="AS2NamedRange" hidden="1">5</definedName>
    <definedName name="AS2ReportLS" hidden="1">1</definedName>
    <definedName name="AS2StaticLS" localSheetId="1" hidden="1">#REF!</definedName>
    <definedName name="AS2StaticLS" localSheetId="15" hidden="1">#REF!</definedName>
    <definedName name="AS2StaticLS" localSheetId="7" hidden="1">#REF!</definedName>
    <definedName name="AS2StaticLS" localSheetId="14" hidden="1">#REF!</definedName>
    <definedName name="AS2StaticLS" localSheetId="2" hidden="1">#REF!</definedName>
    <definedName name="AS2StaticLS" localSheetId="34" hidden="1">#REF!</definedName>
    <definedName name="AS2StaticLS" localSheetId="38" hidden="1">#REF!</definedName>
    <definedName name="AS2StaticLS" localSheetId="12" hidden="1">#REF!</definedName>
    <definedName name="AS2StaticLS" localSheetId="10" hidden="1">#REF!</definedName>
    <definedName name="AS2StaticLS" localSheetId="6" hidden="1">#REF!</definedName>
    <definedName name="AS2StaticLS" hidden="1">#REF!</definedName>
    <definedName name="AS2SyncStepLS" hidden="1">0</definedName>
    <definedName name="AS2TickmarkLS" localSheetId="1" hidden="1">#REF!</definedName>
    <definedName name="AS2TickmarkLS" localSheetId="15" hidden="1">#REF!</definedName>
    <definedName name="AS2TickmarkLS" localSheetId="7" hidden="1">#REF!</definedName>
    <definedName name="AS2TickmarkLS" localSheetId="14" hidden="1">#REF!</definedName>
    <definedName name="AS2TickmarkLS" localSheetId="2" hidden="1">#REF!</definedName>
    <definedName name="AS2TickmarkLS" localSheetId="34" hidden="1">#REF!</definedName>
    <definedName name="AS2TickmarkLS" localSheetId="38" hidden="1">#REF!</definedName>
    <definedName name="AS2TickmarkLS" localSheetId="12" hidden="1">#REF!</definedName>
    <definedName name="AS2TickmarkLS" localSheetId="10" hidden="1">#REF!</definedName>
    <definedName name="AS2TickmarkLS" localSheetId="6" hidden="1">#REF!</definedName>
    <definedName name="AS2TickmarkLS" hidden="1">#REF!</definedName>
    <definedName name="AS2VersionLS" hidden="1">300</definedName>
    <definedName name="asad" localSheetId="15" hidden="1">{"away stand alones",#N/A,FALSE,"Target"}</definedName>
    <definedName name="asad" localSheetId="14" hidden="1">{"away stand alones",#N/A,FALSE,"Target"}</definedName>
    <definedName name="asad" localSheetId="2" hidden="1">{"away stand alones",#N/A,FALSE,"Target"}</definedName>
    <definedName name="asad" localSheetId="34" hidden="1">{"away stand alones",#N/A,FALSE,"Target"}</definedName>
    <definedName name="asad" localSheetId="38" hidden="1">{"away stand alones",#N/A,FALSE,"Target"}</definedName>
    <definedName name="asad" localSheetId="8" hidden="1">{"away stand alones",#N/A,FALSE,"Target"}</definedName>
    <definedName name="asad" localSheetId="12" hidden="1">{"away stand alones",#N/A,FALSE,"Target"}</definedName>
    <definedName name="asad" localSheetId="13" hidden="1">{"away stand alones",#N/A,FALSE,"Target"}</definedName>
    <definedName name="asad" localSheetId="11" hidden="1">{"away stand alones",#N/A,FALSE,"Target"}</definedName>
    <definedName name="asad" localSheetId="31" hidden="1">{"away stand alones",#N/A,FALSE,"Target"}</definedName>
    <definedName name="asad" localSheetId="48" hidden="1">{"away stand alones",#N/A,FALSE,"Target"}</definedName>
    <definedName name="asad" hidden="1">{"away stand alones",#N/A,FALSE,"Target"}</definedName>
    <definedName name="asdf"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tivo">#REF!</definedName>
    <definedName name="ATUAL" localSheetId="2">#REF!</definedName>
    <definedName name="ATUAL">#REF!</definedName>
    <definedName name="avdd" localSheetId="15" hidden="1">{#N/A,#N/A,FALSE,"Calc";#N/A,#N/A,FALSE,"Sensitivity";#N/A,#N/A,FALSE,"LT Earn.Dil.";#N/A,#N/A,FALSE,"Dil. AVP"}</definedName>
    <definedName name="avdd" localSheetId="14" hidden="1">{#N/A,#N/A,FALSE,"Calc";#N/A,#N/A,FALSE,"Sensitivity";#N/A,#N/A,FALSE,"LT Earn.Dil.";#N/A,#N/A,FALSE,"Dil. AVP"}</definedName>
    <definedName name="avdd" localSheetId="2" hidden="1">{#N/A,#N/A,FALSE,"Calc";#N/A,#N/A,FALSE,"Sensitivity";#N/A,#N/A,FALSE,"LT Earn.Dil.";#N/A,#N/A,FALSE,"Dil. AVP"}</definedName>
    <definedName name="avdd" localSheetId="34" hidden="1">{#N/A,#N/A,FALSE,"Calc";#N/A,#N/A,FALSE,"Sensitivity";#N/A,#N/A,FALSE,"LT Earn.Dil.";#N/A,#N/A,FALSE,"Dil. AVP"}</definedName>
    <definedName name="avdd" localSheetId="38" hidden="1">{#N/A,#N/A,FALSE,"Calc";#N/A,#N/A,FALSE,"Sensitivity";#N/A,#N/A,FALSE,"LT Earn.Dil.";#N/A,#N/A,FALSE,"Dil. AVP"}</definedName>
    <definedName name="avdd" localSheetId="8" hidden="1">{#N/A,#N/A,FALSE,"Calc";#N/A,#N/A,FALSE,"Sensitivity";#N/A,#N/A,FALSE,"LT Earn.Dil.";#N/A,#N/A,FALSE,"Dil. AVP"}</definedName>
    <definedName name="avdd" localSheetId="12" hidden="1">{#N/A,#N/A,FALSE,"Calc";#N/A,#N/A,FALSE,"Sensitivity";#N/A,#N/A,FALSE,"LT Earn.Dil.";#N/A,#N/A,FALSE,"Dil. AVP"}</definedName>
    <definedName name="avdd" localSheetId="13" hidden="1">{#N/A,#N/A,FALSE,"Calc";#N/A,#N/A,FALSE,"Sensitivity";#N/A,#N/A,FALSE,"LT Earn.Dil.";#N/A,#N/A,FALSE,"Dil. AVP"}</definedName>
    <definedName name="avdd" localSheetId="11" hidden="1">{#N/A,#N/A,FALSE,"Calc";#N/A,#N/A,FALSE,"Sensitivity";#N/A,#N/A,FALSE,"LT Earn.Dil.";#N/A,#N/A,FALSE,"Dil. AVP"}</definedName>
    <definedName name="avdd" localSheetId="31" hidden="1">{#N/A,#N/A,FALSE,"Calc";#N/A,#N/A,FALSE,"Sensitivity";#N/A,#N/A,FALSE,"LT Earn.Dil.";#N/A,#N/A,FALSE,"Dil. AVP"}</definedName>
    <definedName name="avdd" localSheetId="48" hidden="1">{#N/A,#N/A,FALSE,"Calc";#N/A,#N/A,FALSE,"Sensitivity";#N/A,#N/A,FALSE,"LT Earn.Dil.";#N/A,#N/A,FALSE,"Dil. AVP"}</definedName>
    <definedName name="avdd" hidden="1">{#N/A,#N/A,FALSE,"Calc";#N/A,#N/A,FALSE,"Sensitivity";#N/A,#N/A,FALSE,"LT Earn.Dil.";#N/A,#N/A,FALSE,"Dil. AVP"}</definedName>
    <definedName name="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2W">#REF!</definedName>
    <definedName name="BAIXA" localSheetId="2">#REF!</definedName>
    <definedName name="BAIXA">#REF!</definedName>
    <definedName name="Bal_Ativo" localSheetId="2">#REF!</definedName>
    <definedName name="Bal_Ativo">#REF!</definedName>
    <definedName name="Bal_Pass" localSheetId="2">#REF!</definedName>
    <definedName name="Bal_Pass">#REF!</definedName>
    <definedName name="Bal_Pass1" localSheetId="2">#REF!</definedName>
    <definedName name="Bal_Pass1">#REF!</definedName>
    <definedName name="bALATIVO" localSheetId="2">#REF!</definedName>
    <definedName name="bALATIVO">#REF!</definedName>
    <definedName name="balativo1" localSheetId="2">#REF!</definedName>
    <definedName name="balativo1">#REF!</definedName>
    <definedName name="bALPASS" localSheetId="2">#REF!</definedName>
    <definedName name="bALPASS">#REF!</definedName>
    <definedName name="bb" localSheetId="15" hidden="1">{"Fecha_Novembro",#N/A,FALSE,"FECHAMENTO-2002 ";"Defer_Novembro",#N/A,FALSE,"DIFERIDO";"Pis_Novembro",#N/A,FALSE,"PIS COFINS";"Iss_Novembro",#N/A,FALSE,"ISS"}</definedName>
    <definedName name="bb" localSheetId="14" hidden="1">{"Fecha_Novembro",#N/A,FALSE,"FECHAMENTO-2002 ";"Defer_Novembro",#N/A,FALSE,"DIFERIDO";"Pis_Novembro",#N/A,FALSE,"PIS COFINS";"Iss_Novembro",#N/A,FALSE,"ISS"}</definedName>
    <definedName name="bb" localSheetId="2" hidden="1">{"Fecha_Novembro",#N/A,FALSE,"FECHAMENTO-2002 ";"Defer_Novembro",#N/A,FALSE,"DIFERIDO";"Pis_Novembro",#N/A,FALSE,"PIS COFINS";"Iss_Novembro",#N/A,FALSE,"ISS"}</definedName>
    <definedName name="bb" localSheetId="34" hidden="1">{"Fecha_Novembro",#N/A,FALSE,"FECHAMENTO-2002 ";"Defer_Novembro",#N/A,FALSE,"DIFERIDO";"Pis_Novembro",#N/A,FALSE,"PIS COFINS";"Iss_Novembro",#N/A,FALSE,"ISS"}</definedName>
    <definedName name="bb" localSheetId="38" hidden="1">{"Fecha_Novembro",#N/A,FALSE,"FECHAMENTO-2002 ";"Defer_Novembro",#N/A,FALSE,"DIFERIDO";"Pis_Novembro",#N/A,FALSE,"PIS COFINS";"Iss_Novembro",#N/A,FALSE,"ISS"}</definedName>
    <definedName name="bb" localSheetId="8" hidden="1">{"Fecha_Novembro",#N/A,FALSE,"FECHAMENTO-2002 ";"Defer_Novembro",#N/A,FALSE,"DIFERIDO";"Pis_Novembro",#N/A,FALSE,"PIS COFINS";"Iss_Novembro",#N/A,FALSE,"ISS"}</definedName>
    <definedName name="bb" localSheetId="12" hidden="1">{"Fecha_Novembro",#N/A,FALSE,"FECHAMENTO-2002 ";"Defer_Novembro",#N/A,FALSE,"DIFERIDO";"Pis_Novembro",#N/A,FALSE,"PIS COFINS";"Iss_Novembro",#N/A,FALSE,"ISS"}</definedName>
    <definedName name="bb" localSheetId="13" hidden="1">{"Fecha_Novembro",#N/A,FALSE,"FECHAMENTO-2002 ";"Defer_Novembro",#N/A,FALSE,"DIFERIDO";"Pis_Novembro",#N/A,FALSE,"PIS COFINS";"Iss_Novembro",#N/A,FALSE,"ISS"}</definedName>
    <definedName name="bb" localSheetId="11" hidden="1">{"Fecha_Novembro",#N/A,FALSE,"FECHAMENTO-2002 ";"Defer_Novembro",#N/A,FALSE,"DIFERIDO";"Pis_Novembro",#N/A,FALSE,"PIS COFINS";"Iss_Novembro",#N/A,FALSE,"ISS"}</definedName>
    <definedName name="bb" localSheetId="31" hidden="1">{"Fecha_Novembro",#N/A,FALSE,"FECHAMENTO-2002 ";"Defer_Novembro",#N/A,FALSE,"DIFERIDO";"Pis_Novembro",#N/A,FALSE,"PIS COFINS";"Iss_Novembro",#N/A,FALSE,"ISS"}</definedName>
    <definedName name="bb" localSheetId="48" hidden="1">{"Fecha_Novembro",#N/A,FALSE,"FECHAMENTO-2002 ";"Defer_Novembro",#N/A,FALSE,"DIFERIDO";"Pis_Novembro",#N/A,FALSE,"PIS COFINS";"Iss_Novembro",#N/A,FALSE,"ISS"}</definedName>
    <definedName name="bb" hidden="1">{"Fecha_Novembro",#N/A,FALSE,"FECHAMENTO-2002 ";"Defer_Novembro",#N/A,FALSE,"DIFERIDO";"Pis_Novembro",#N/A,FALSE,"PIS COFINS";"Iss_Novembro",#N/A,FALSE,"ISS"}</definedName>
    <definedName name="bb_1" localSheetId="15" hidden="1">{"Fecha_Novembro",#N/A,FALSE,"FECHAMENTO-2002 ";"Defer_Novembro",#N/A,FALSE,"DIFERIDO";"Pis_Novembro",#N/A,FALSE,"PIS COFINS";"Iss_Novembro",#N/A,FALSE,"ISS"}</definedName>
    <definedName name="bb_1" localSheetId="14" hidden="1">{"Fecha_Novembro",#N/A,FALSE,"FECHAMENTO-2002 ";"Defer_Novembro",#N/A,FALSE,"DIFERIDO";"Pis_Novembro",#N/A,FALSE,"PIS COFINS";"Iss_Novembro",#N/A,FALSE,"ISS"}</definedName>
    <definedName name="bb_1" localSheetId="2" hidden="1">{"Fecha_Novembro",#N/A,FALSE,"FECHAMENTO-2002 ";"Defer_Novembro",#N/A,FALSE,"DIFERIDO";"Pis_Novembro",#N/A,FALSE,"PIS COFINS";"Iss_Novembro",#N/A,FALSE,"ISS"}</definedName>
    <definedName name="bb_1" localSheetId="34" hidden="1">{"Fecha_Novembro",#N/A,FALSE,"FECHAMENTO-2002 ";"Defer_Novembro",#N/A,FALSE,"DIFERIDO";"Pis_Novembro",#N/A,FALSE,"PIS COFINS";"Iss_Novembro",#N/A,FALSE,"ISS"}</definedName>
    <definedName name="bb_1" localSheetId="38" hidden="1">{"Fecha_Novembro",#N/A,FALSE,"FECHAMENTO-2002 ";"Defer_Novembro",#N/A,FALSE,"DIFERIDO";"Pis_Novembro",#N/A,FALSE,"PIS COFINS";"Iss_Novembro",#N/A,FALSE,"ISS"}</definedName>
    <definedName name="bb_1" localSheetId="8" hidden="1">{"Fecha_Novembro",#N/A,FALSE,"FECHAMENTO-2002 ";"Defer_Novembro",#N/A,FALSE,"DIFERIDO";"Pis_Novembro",#N/A,FALSE,"PIS COFINS";"Iss_Novembro",#N/A,FALSE,"ISS"}</definedName>
    <definedName name="bb_1" localSheetId="12" hidden="1">{"Fecha_Novembro",#N/A,FALSE,"FECHAMENTO-2002 ";"Defer_Novembro",#N/A,FALSE,"DIFERIDO";"Pis_Novembro",#N/A,FALSE,"PIS COFINS";"Iss_Novembro",#N/A,FALSE,"ISS"}</definedName>
    <definedName name="bb_1" localSheetId="13" hidden="1">{"Fecha_Novembro",#N/A,FALSE,"FECHAMENTO-2002 ";"Defer_Novembro",#N/A,FALSE,"DIFERIDO";"Pis_Novembro",#N/A,FALSE,"PIS COFINS";"Iss_Novembro",#N/A,FALSE,"ISS"}</definedName>
    <definedName name="bb_1" localSheetId="11" hidden="1">{"Fecha_Novembro",#N/A,FALSE,"FECHAMENTO-2002 ";"Defer_Novembro",#N/A,FALSE,"DIFERIDO";"Pis_Novembro",#N/A,FALSE,"PIS COFINS";"Iss_Novembro",#N/A,FALSE,"ISS"}</definedName>
    <definedName name="bb_1" localSheetId="31" hidden="1">{"Fecha_Novembro",#N/A,FALSE,"FECHAMENTO-2002 ";"Defer_Novembro",#N/A,FALSE,"DIFERIDO";"Pis_Novembro",#N/A,FALSE,"PIS COFINS";"Iss_Novembro",#N/A,FALSE,"ISS"}</definedName>
    <definedName name="bb_1" localSheetId="48" hidden="1">{"Fecha_Novembro",#N/A,FALSE,"FECHAMENTO-2002 ";"Defer_Novembro",#N/A,FALSE,"DIFERIDO";"Pis_Novembro",#N/A,FALSE,"PIS COFINS";"Iss_Novembro",#N/A,FALSE,"ISS"}</definedName>
    <definedName name="bb_1" hidden="1">{"Fecha_Novembro",#N/A,FALSE,"FECHAMENTO-2002 ";"Defer_Novembro",#N/A,FALSE,"DIFERIDO";"Pis_Novembro",#N/A,FALSE,"PIS COFINS";"Iss_Novembro",#N/A,FALSE,"ISS"}</definedName>
    <definedName name="besdfs" localSheetId="1" hidden="1">#REF!</definedName>
    <definedName name="besdfs" localSheetId="7" hidden="1">#REF!</definedName>
    <definedName name="besdfs" localSheetId="2" hidden="1">#REF!</definedName>
    <definedName name="besdfs" localSheetId="34" hidden="1">#REF!</definedName>
    <definedName name="besdfs" localSheetId="12" hidden="1">#REF!</definedName>
    <definedName name="besdfs" localSheetId="10" hidden="1">#REF!</definedName>
    <definedName name="besdfs" localSheetId="6" hidden="1">#REF!</definedName>
    <definedName name="besdfs" hidden="1">#REF!</definedName>
    <definedName name="BEx008P2NVFDLBHL7IZ5WTMVOQ1F" localSheetId="1" hidden="1">#REF!</definedName>
    <definedName name="BEx008P2NVFDLBHL7IZ5WTMVOQ1F" localSheetId="7" hidden="1">#REF!</definedName>
    <definedName name="BEx008P2NVFDLBHL7IZ5WTMVOQ1F" localSheetId="2" hidden="1">#REF!</definedName>
    <definedName name="BEx008P2NVFDLBHL7IZ5WTMVOQ1F" localSheetId="34" hidden="1">#REF!</definedName>
    <definedName name="BEx008P2NVFDLBHL7IZ5WTMVOQ1F" localSheetId="12" hidden="1">#REF!</definedName>
    <definedName name="BEx008P2NVFDLBHL7IZ5WTMVOQ1F" localSheetId="10" hidden="1">#REF!</definedName>
    <definedName name="BEx008P2NVFDLBHL7IZ5WTMVOQ1F" localSheetId="6" hidden="1">#REF!</definedName>
    <definedName name="BEx008P2NVFDLBHL7IZ5WTMVOQ1F" hidden="1">#REF!</definedName>
    <definedName name="BEx00KZHZBHP3TDV1YMX4B19B95O" localSheetId="1" hidden="1">#REF!</definedName>
    <definedName name="BEx00KZHZBHP3TDV1YMX4B19B95O" localSheetId="7" hidden="1">#REF!</definedName>
    <definedName name="BEx00KZHZBHP3TDV1YMX4B19B95O" localSheetId="2" hidden="1">#REF!</definedName>
    <definedName name="BEx00KZHZBHP3TDV1YMX4B19B95O" localSheetId="34" hidden="1">#REF!</definedName>
    <definedName name="BEx00KZHZBHP3TDV1YMX4B19B95O" localSheetId="12" hidden="1">#REF!</definedName>
    <definedName name="BEx00KZHZBHP3TDV1YMX4B19B95O" localSheetId="10" hidden="1">#REF!</definedName>
    <definedName name="BEx00KZHZBHP3TDV1YMX4B19B95O" localSheetId="6" hidden="1">#REF!</definedName>
    <definedName name="BEx00KZHZBHP3TDV1YMX4B19B95O" hidden="1">#REF!</definedName>
    <definedName name="BEx02Q08R9G839Q4RFGG9026C7PX" localSheetId="1" hidden="1">#REF!</definedName>
    <definedName name="BEx02Q08R9G839Q4RFGG9026C7PX" localSheetId="7" hidden="1">#REF!</definedName>
    <definedName name="BEx02Q08R9G839Q4RFGG9026C7PX" localSheetId="2" hidden="1">#REF!</definedName>
    <definedName name="BEx02Q08R9G839Q4RFGG9026C7PX" localSheetId="34" hidden="1">#REF!</definedName>
    <definedName name="BEx02Q08R9G839Q4RFGG9026C7PX" localSheetId="12" hidden="1">#REF!</definedName>
    <definedName name="BEx02Q08R9G839Q4RFGG9026C7PX" localSheetId="10" hidden="1">#REF!</definedName>
    <definedName name="BEx02Q08R9G839Q4RFGG9026C7PX" localSheetId="6" hidden="1">#REF!</definedName>
    <definedName name="BEx02Q08R9G839Q4RFGG9026C7PX" hidden="1">#REF!</definedName>
    <definedName name="BEx1J7E8VCGLPYU82QXVUG5N3ZAI" localSheetId="1" hidden="1">#REF!</definedName>
    <definedName name="BEx1J7E8VCGLPYU82QXVUG5N3ZAI" localSheetId="7" hidden="1">#REF!</definedName>
    <definedName name="BEx1J7E8VCGLPYU82QXVUG5N3ZAI" localSheetId="2" hidden="1">#REF!</definedName>
    <definedName name="BEx1J7E8VCGLPYU82QXVUG5N3ZAI" localSheetId="34" hidden="1">#REF!</definedName>
    <definedName name="BEx1J7E8VCGLPYU82QXVUG5N3ZAI" localSheetId="12" hidden="1">#REF!</definedName>
    <definedName name="BEx1J7E8VCGLPYU82QXVUG5N3ZAI" localSheetId="10" hidden="1">#REF!</definedName>
    <definedName name="BEx1J7E8VCGLPYU82QXVUG5N3ZAI" localSheetId="6" hidden="1">#REF!</definedName>
    <definedName name="BEx1J7E8VCGLPYU82QXVUG5N3ZAI" hidden="1">#REF!</definedName>
    <definedName name="BEx1LRUSJW4JG54X07QWD9R27WV9" localSheetId="1" hidden="1">#REF!</definedName>
    <definedName name="BEx1LRUSJW4JG54X07QWD9R27WV9" localSheetId="7" hidden="1">#REF!</definedName>
    <definedName name="BEx1LRUSJW4JG54X07QWD9R27WV9" localSheetId="2" hidden="1">#REF!</definedName>
    <definedName name="BEx1LRUSJW4JG54X07QWD9R27WV9" localSheetId="34" hidden="1">#REF!</definedName>
    <definedName name="BEx1LRUSJW4JG54X07QWD9R27WV9" localSheetId="12" hidden="1">#REF!</definedName>
    <definedName name="BEx1LRUSJW4JG54X07QWD9R27WV9" localSheetId="10" hidden="1">#REF!</definedName>
    <definedName name="BEx1LRUSJW4JG54X07QWD9R27WV9" localSheetId="6" hidden="1">#REF!</definedName>
    <definedName name="BEx1LRUSJW4JG54X07QWD9R27WV9" hidden="1">#REF!</definedName>
    <definedName name="BEx1MTRKKVCHOZ0YGID6HZ49LJTO" localSheetId="1" hidden="1">#REF!</definedName>
    <definedName name="BEx1MTRKKVCHOZ0YGID6HZ49LJTO" localSheetId="7" hidden="1">#REF!</definedName>
    <definedName name="BEx1MTRKKVCHOZ0YGID6HZ49LJTO" localSheetId="2" hidden="1">#REF!</definedName>
    <definedName name="BEx1MTRKKVCHOZ0YGID6HZ49LJTO" localSheetId="34" hidden="1">#REF!</definedName>
    <definedName name="BEx1MTRKKVCHOZ0YGID6HZ49LJTO" localSheetId="12" hidden="1">#REF!</definedName>
    <definedName name="BEx1MTRKKVCHOZ0YGID6HZ49LJTO" localSheetId="10" hidden="1">#REF!</definedName>
    <definedName name="BEx1MTRKKVCHOZ0YGID6HZ49LJTO" localSheetId="6" hidden="1">#REF!</definedName>
    <definedName name="BEx1MTRKKVCHOZ0YGID6HZ49LJTO" hidden="1">#REF!</definedName>
    <definedName name="BEx1SVNCHNANBJIDIQVB8AFK4HAN" localSheetId="1" hidden="1">#REF!</definedName>
    <definedName name="BEx1SVNCHNANBJIDIQVB8AFK4HAN" localSheetId="7" hidden="1">#REF!</definedName>
    <definedName name="BEx1SVNCHNANBJIDIQVB8AFK4HAN" localSheetId="2" hidden="1">#REF!</definedName>
    <definedName name="BEx1SVNCHNANBJIDIQVB8AFK4HAN" localSheetId="34" hidden="1">#REF!</definedName>
    <definedName name="BEx1SVNCHNANBJIDIQVB8AFK4HAN" localSheetId="12" hidden="1">#REF!</definedName>
    <definedName name="BEx1SVNCHNANBJIDIQVB8AFK4HAN" localSheetId="10" hidden="1">#REF!</definedName>
    <definedName name="BEx1SVNCHNANBJIDIQVB8AFK4HAN" localSheetId="6" hidden="1">#REF!</definedName>
    <definedName name="BEx1SVNCHNANBJIDIQVB8AFK4HAN" hidden="1">#REF!</definedName>
    <definedName name="BEx1TJ0WLS9O7KNSGIPWTYHDYI1D" localSheetId="1" hidden="1">#REF!</definedName>
    <definedName name="BEx1TJ0WLS9O7KNSGIPWTYHDYI1D" localSheetId="7" hidden="1">#REF!</definedName>
    <definedName name="BEx1TJ0WLS9O7KNSGIPWTYHDYI1D" localSheetId="2" hidden="1">#REF!</definedName>
    <definedName name="BEx1TJ0WLS9O7KNSGIPWTYHDYI1D" localSheetId="34" hidden="1">#REF!</definedName>
    <definedName name="BEx1TJ0WLS9O7KNSGIPWTYHDYI1D" localSheetId="12" hidden="1">#REF!</definedName>
    <definedName name="BEx1TJ0WLS9O7KNSGIPWTYHDYI1D" localSheetId="10" hidden="1">#REF!</definedName>
    <definedName name="BEx1TJ0WLS9O7KNSGIPWTYHDYI1D" localSheetId="6" hidden="1">#REF!</definedName>
    <definedName name="BEx1TJ0WLS9O7KNSGIPWTYHDYI1D" hidden="1">#REF!</definedName>
    <definedName name="BEx1WHPURIV3D3PTJJ359H1OP7ZV" localSheetId="1" hidden="1">#REF!</definedName>
    <definedName name="BEx1WHPURIV3D3PTJJ359H1OP7ZV" localSheetId="7" hidden="1">#REF!</definedName>
    <definedName name="BEx1WHPURIV3D3PTJJ359H1OP7ZV" localSheetId="2" hidden="1">#REF!</definedName>
    <definedName name="BEx1WHPURIV3D3PTJJ359H1OP7ZV" localSheetId="34" hidden="1">#REF!</definedName>
    <definedName name="BEx1WHPURIV3D3PTJJ359H1OP7ZV" localSheetId="12" hidden="1">#REF!</definedName>
    <definedName name="BEx1WHPURIV3D3PTJJ359H1OP7ZV" localSheetId="10" hidden="1">#REF!</definedName>
    <definedName name="BEx1WHPURIV3D3PTJJ359H1OP7ZV" localSheetId="6" hidden="1">#REF!</definedName>
    <definedName name="BEx1WHPURIV3D3PTJJ359H1OP7ZV" hidden="1">#REF!</definedName>
    <definedName name="BEx1YL3DJ7Y4AZ01ERCOGW0FJ26T" localSheetId="1" hidden="1">#REF!</definedName>
    <definedName name="BEx1YL3DJ7Y4AZ01ERCOGW0FJ26T" localSheetId="7" hidden="1">#REF!</definedName>
    <definedName name="BEx1YL3DJ7Y4AZ01ERCOGW0FJ26T" localSheetId="2" hidden="1">#REF!</definedName>
    <definedName name="BEx1YL3DJ7Y4AZ01ERCOGW0FJ26T" localSheetId="34" hidden="1">#REF!</definedName>
    <definedName name="BEx1YL3DJ7Y4AZ01ERCOGW0FJ26T" localSheetId="12" hidden="1">#REF!</definedName>
    <definedName name="BEx1YL3DJ7Y4AZ01ERCOGW0FJ26T" localSheetId="10" hidden="1">#REF!</definedName>
    <definedName name="BEx1YL3DJ7Y4AZ01ERCOGW0FJ26T" localSheetId="6" hidden="1">#REF!</definedName>
    <definedName name="BEx1YL3DJ7Y4AZ01ERCOGW0FJ26T" hidden="1">#REF!</definedName>
    <definedName name="BEx3AOOVM42G82TNF53W0EKXLUSI" localSheetId="1" hidden="1">#REF!</definedName>
    <definedName name="BEx3AOOVM42G82TNF53W0EKXLUSI" localSheetId="7" hidden="1">#REF!</definedName>
    <definedName name="BEx3AOOVM42G82TNF53W0EKXLUSI" localSheetId="2" hidden="1">#REF!</definedName>
    <definedName name="BEx3AOOVM42G82TNF53W0EKXLUSI" localSheetId="34" hidden="1">#REF!</definedName>
    <definedName name="BEx3AOOVM42G82TNF53W0EKXLUSI" localSheetId="12" hidden="1">#REF!</definedName>
    <definedName name="BEx3AOOVM42G82TNF53W0EKXLUSI" localSheetId="10" hidden="1">#REF!</definedName>
    <definedName name="BEx3AOOVM42G82TNF53W0EKXLUSI" localSheetId="6" hidden="1">#REF!</definedName>
    <definedName name="BEx3AOOVM42G82TNF53W0EKXLUSI" hidden="1">#REF!</definedName>
    <definedName name="BEx3BQR5VZXNQ4H949ORM8ESU3B3" localSheetId="1" hidden="1">#REF!</definedName>
    <definedName name="BEx3BQR5VZXNQ4H949ORM8ESU3B3" localSheetId="7" hidden="1">#REF!</definedName>
    <definedName name="BEx3BQR5VZXNQ4H949ORM8ESU3B3" localSheetId="2" hidden="1">#REF!</definedName>
    <definedName name="BEx3BQR5VZXNQ4H949ORM8ESU3B3" localSheetId="34" hidden="1">#REF!</definedName>
    <definedName name="BEx3BQR5VZXNQ4H949ORM8ESU3B3" localSheetId="12" hidden="1">#REF!</definedName>
    <definedName name="BEx3BQR5VZXNQ4H949ORM8ESU3B3" localSheetId="10" hidden="1">#REF!</definedName>
    <definedName name="BEx3BQR5VZXNQ4H949ORM8ESU3B3" localSheetId="6" hidden="1">#REF!</definedName>
    <definedName name="BEx3BQR5VZXNQ4H949ORM8ESU3B3" hidden="1">#REF!</definedName>
    <definedName name="BEx3EHCSERZ2O2OAG8Y95UPG2IY9" localSheetId="1" hidden="1">#REF!</definedName>
    <definedName name="BEx3EHCSERZ2O2OAG8Y95UPG2IY9" localSheetId="7" hidden="1">#REF!</definedName>
    <definedName name="BEx3EHCSERZ2O2OAG8Y95UPG2IY9" localSheetId="2" hidden="1">#REF!</definedName>
    <definedName name="BEx3EHCSERZ2O2OAG8Y95UPG2IY9" localSheetId="34" hidden="1">#REF!</definedName>
    <definedName name="BEx3EHCSERZ2O2OAG8Y95UPG2IY9" localSheetId="12" hidden="1">#REF!</definedName>
    <definedName name="BEx3EHCSERZ2O2OAG8Y95UPG2IY9" localSheetId="10" hidden="1">#REF!</definedName>
    <definedName name="BEx3EHCSERZ2O2OAG8Y95UPG2IY9" localSheetId="6" hidden="1">#REF!</definedName>
    <definedName name="BEx3EHCSERZ2O2OAG8Y95UPG2IY9" hidden="1">#REF!</definedName>
    <definedName name="BEx3FX7EJL47JSLSWP3EOC265WAE" localSheetId="1" hidden="1">#REF!</definedName>
    <definedName name="BEx3FX7EJL47JSLSWP3EOC265WAE" localSheetId="7" hidden="1">#REF!</definedName>
    <definedName name="BEx3FX7EJL47JSLSWP3EOC265WAE" localSheetId="2" hidden="1">#REF!</definedName>
    <definedName name="BEx3FX7EJL47JSLSWP3EOC265WAE" localSheetId="34" hidden="1">#REF!</definedName>
    <definedName name="BEx3FX7EJL47JSLSWP3EOC265WAE" localSheetId="12" hidden="1">#REF!</definedName>
    <definedName name="BEx3FX7EJL47JSLSWP3EOC265WAE" localSheetId="10" hidden="1">#REF!</definedName>
    <definedName name="BEx3FX7EJL47JSLSWP3EOC265WAE" localSheetId="6" hidden="1">#REF!</definedName>
    <definedName name="BEx3FX7EJL47JSLSWP3EOC265WAE" hidden="1">#REF!</definedName>
    <definedName name="BEx3GEVV18SEQDI1JGY7EN6D1GT1" localSheetId="1" hidden="1">#REF!</definedName>
    <definedName name="BEx3GEVV18SEQDI1JGY7EN6D1GT1" localSheetId="7" hidden="1">#REF!</definedName>
    <definedName name="BEx3GEVV18SEQDI1JGY7EN6D1GT1" localSheetId="2" hidden="1">#REF!</definedName>
    <definedName name="BEx3GEVV18SEQDI1JGY7EN6D1GT1" localSheetId="34" hidden="1">#REF!</definedName>
    <definedName name="BEx3GEVV18SEQDI1JGY7EN6D1GT1" localSheetId="12" hidden="1">#REF!</definedName>
    <definedName name="BEx3GEVV18SEQDI1JGY7EN6D1GT1" localSheetId="10" hidden="1">#REF!</definedName>
    <definedName name="BEx3GEVV18SEQDI1JGY7EN6D1GT1" localSheetId="6" hidden="1">#REF!</definedName>
    <definedName name="BEx3GEVV18SEQDI1JGY7EN6D1GT1" hidden="1">#REF!</definedName>
    <definedName name="BEx3GMJ1Y6UU02DLRL0QXCEKDA6C" localSheetId="1" hidden="1">#REF!</definedName>
    <definedName name="BEx3GMJ1Y6UU02DLRL0QXCEKDA6C" localSheetId="7" hidden="1">#REF!</definedName>
    <definedName name="BEx3GMJ1Y6UU02DLRL0QXCEKDA6C" localSheetId="2" hidden="1">#REF!</definedName>
    <definedName name="BEx3GMJ1Y6UU02DLRL0QXCEKDA6C" localSheetId="34" hidden="1">#REF!</definedName>
    <definedName name="BEx3GMJ1Y6UU02DLRL0QXCEKDA6C" localSheetId="12" hidden="1">#REF!</definedName>
    <definedName name="BEx3GMJ1Y6UU02DLRL0QXCEKDA6C" localSheetId="10" hidden="1">#REF!</definedName>
    <definedName name="BEx3GMJ1Y6UU02DLRL0QXCEKDA6C" localSheetId="6" hidden="1">#REF!</definedName>
    <definedName name="BEx3GMJ1Y6UU02DLRL0QXCEKDA6C" hidden="1">#REF!</definedName>
    <definedName name="BEx3H5UX2GZFZZT657YR76RHW5I6" localSheetId="1" hidden="1">#REF!</definedName>
    <definedName name="BEx3H5UX2GZFZZT657YR76RHW5I6" localSheetId="7" hidden="1">#REF!</definedName>
    <definedName name="BEx3H5UX2GZFZZT657YR76RHW5I6" localSheetId="2" hidden="1">#REF!</definedName>
    <definedName name="BEx3H5UX2GZFZZT657YR76RHW5I6" localSheetId="34" hidden="1">#REF!</definedName>
    <definedName name="BEx3H5UX2GZFZZT657YR76RHW5I6" localSheetId="12" hidden="1">#REF!</definedName>
    <definedName name="BEx3H5UX2GZFZZT657YR76RHW5I6" localSheetId="10" hidden="1">#REF!</definedName>
    <definedName name="BEx3H5UX2GZFZZT657YR76RHW5I6" localSheetId="6" hidden="1">#REF!</definedName>
    <definedName name="BEx3H5UX2GZFZZT657YR76RHW5I6" hidden="1">#REF!</definedName>
    <definedName name="BEx3IYAH2DEBFWO8F94H4MXE3RLY" localSheetId="1" hidden="1">#REF!</definedName>
    <definedName name="BEx3IYAH2DEBFWO8F94H4MXE3RLY" localSheetId="7" hidden="1">#REF!</definedName>
    <definedName name="BEx3IYAH2DEBFWO8F94H4MXE3RLY" localSheetId="2" hidden="1">#REF!</definedName>
    <definedName name="BEx3IYAH2DEBFWO8F94H4MXE3RLY" localSheetId="34" hidden="1">#REF!</definedName>
    <definedName name="BEx3IYAH2DEBFWO8F94H4MXE3RLY" localSheetId="12" hidden="1">#REF!</definedName>
    <definedName name="BEx3IYAH2DEBFWO8F94H4MXE3RLY" localSheetId="10" hidden="1">#REF!</definedName>
    <definedName name="BEx3IYAH2DEBFWO8F94H4MXE3RLY" localSheetId="6" hidden="1">#REF!</definedName>
    <definedName name="BEx3IYAH2DEBFWO8F94H4MXE3RLY" hidden="1">#REF!</definedName>
    <definedName name="BEx3IZXXSYEW50379N2EAFWO8DZV" localSheetId="1" hidden="1">#REF!</definedName>
    <definedName name="BEx3IZXXSYEW50379N2EAFWO8DZV" localSheetId="7" hidden="1">#REF!</definedName>
    <definedName name="BEx3IZXXSYEW50379N2EAFWO8DZV" localSheetId="2" hidden="1">#REF!</definedName>
    <definedName name="BEx3IZXXSYEW50379N2EAFWO8DZV" localSheetId="34" hidden="1">#REF!</definedName>
    <definedName name="BEx3IZXXSYEW50379N2EAFWO8DZV" localSheetId="12" hidden="1">#REF!</definedName>
    <definedName name="BEx3IZXXSYEW50379N2EAFWO8DZV" localSheetId="10" hidden="1">#REF!</definedName>
    <definedName name="BEx3IZXXSYEW50379N2EAFWO8DZV" localSheetId="6" hidden="1">#REF!</definedName>
    <definedName name="BEx3IZXXSYEW50379N2EAFWO8DZV" hidden="1">#REF!</definedName>
    <definedName name="BEx3K4EII7GU1CG0BN7UL15M6J8Z" localSheetId="1" hidden="1">#REF!</definedName>
    <definedName name="BEx3K4EII7GU1CG0BN7UL15M6J8Z" localSheetId="7" hidden="1">#REF!</definedName>
    <definedName name="BEx3K4EII7GU1CG0BN7UL15M6J8Z" localSheetId="2" hidden="1">#REF!</definedName>
    <definedName name="BEx3K4EII7GU1CG0BN7UL15M6J8Z" localSheetId="34" hidden="1">#REF!</definedName>
    <definedName name="BEx3K4EII7GU1CG0BN7UL15M6J8Z" localSheetId="12" hidden="1">#REF!</definedName>
    <definedName name="BEx3K4EII7GU1CG0BN7UL15M6J8Z" localSheetId="10" hidden="1">#REF!</definedName>
    <definedName name="BEx3K4EII7GU1CG0BN7UL15M6J8Z" localSheetId="6" hidden="1">#REF!</definedName>
    <definedName name="BEx3K4EII7GU1CG0BN7UL15M6J8Z" hidden="1">#REF!</definedName>
    <definedName name="BEx3KIXQYOGMPK4WJJAVBRX4NR28" localSheetId="1" hidden="1">#REF!</definedName>
    <definedName name="BEx3KIXQYOGMPK4WJJAVBRX4NR28" localSheetId="7" hidden="1">#REF!</definedName>
    <definedName name="BEx3KIXQYOGMPK4WJJAVBRX4NR28" localSheetId="2" hidden="1">#REF!</definedName>
    <definedName name="BEx3KIXQYOGMPK4WJJAVBRX4NR28" localSheetId="34" hidden="1">#REF!</definedName>
    <definedName name="BEx3KIXQYOGMPK4WJJAVBRX4NR28" localSheetId="12" hidden="1">#REF!</definedName>
    <definedName name="BEx3KIXQYOGMPK4WJJAVBRX4NR28" localSheetId="10" hidden="1">#REF!</definedName>
    <definedName name="BEx3KIXQYOGMPK4WJJAVBRX4NR28" localSheetId="6" hidden="1">#REF!</definedName>
    <definedName name="BEx3KIXQYOGMPK4WJJAVBRX4NR28" hidden="1">#REF!</definedName>
    <definedName name="BEx3L4YQ0J7ZU0M5QM6YIPCEYC9K" localSheetId="1" hidden="1">#REF!</definedName>
    <definedName name="BEx3L4YQ0J7ZU0M5QM6YIPCEYC9K" localSheetId="7" hidden="1">#REF!</definedName>
    <definedName name="BEx3L4YQ0J7ZU0M5QM6YIPCEYC9K" localSheetId="2" hidden="1">#REF!</definedName>
    <definedName name="BEx3L4YQ0J7ZU0M5QM6YIPCEYC9K" localSheetId="34" hidden="1">#REF!</definedName>
    <definedName name="BEx3L4YQ0J7ZU0M5QM6YIPCEYC9K" localSheetId="12" hidden="1">#REF!</definedName>
    <definedName name="BEx3L4YQ0J7ZU0M5QM6YIPCEYC9K" localSheetId="10" hidden="1">#REF!</definedName>
    <definedName name="BEx3L4YQ0J7ZU0M5QM6YIPCEYC9K" localSheetId="6" hidden="1">#REF!</definedName>
    <definedName name="BEx3L4YQ0J7ZU0M5QM6YIPCEYC9K" hidden="1">#REF!</definedName>
    <definedName name="BEx3O85IKWARA6NCJOLRBRJFMEWW" localSheetId="1" hidden="1">#REF!</definedName>
    <definedName name="BEx3O85IKWARA6NCJOLRBRJFMEWW" localSheetId="7" hidden="1">#REF!</definedName>
    <definedName name="BEx3O85IKWARA6NCJOLRBRJFMEWW" localSheetId="2" hidden="1">#REF!</definedName>
    <definedName name="BEx3O85IKWARA6NCJOLRBRJFMEWW" localSheetId="34" hidden="1">#REF!</definedName>
    <definedName name="BEx3O85IKWARA6NCJOLRBRJFMEWW" localSheetId="12" hidden="1">#REF!</definedName>
    <definedName name="BEx3O85IKWARA6NCJOLRBRJFMEWW" localSheetId="10" hidden="1">#REF!</definedName>
    <definedName name="BEx3O85IKWARA6NCJOLRBRJFMEWW" localSheetId="6" hidden="1">#REF!</definedName>
    <definedName name="BEx3O85IKWARA6NCJOLRBRJFMEWW" hidden="1">#REF!</definedName>
    <definedName name="BEx3RHC2ZD5UFS6QD4OPFCNNMWH1" localSheetId="1" hidden="1">#REF!</definedName>
    <definedName name="BEx3RHC2ZD5UFS6QD4OPFCNNMWH1" localSheetId="7" hidden="1">#REF!</definedName>
    <definedName name="BEx3RHC2ZD5UFS6QD4OPFCNNMWH1" localSheetId="2" hidden="1">#REF!</definedName>
    <definedName name="BEx3RHC2ZD5UFS6QD4OPFCNNMWH1" localSheetId="34" hidden="1">#REF!</definedName>
    <definedName name="BEx3RHC2ZD5UFS6QD4OPFCNNMWH1" localSheetId="12" hidden="1">#REF!</definedName>
    <definedName name="BEx3RHC2ZD5UFS6QD4OPFCNNMWH1" localSheetId="10" hidden="1">#REF!</definedName>
    <definedName name="BEx3RHC2ZD5UFS6QD4OPFCNNMWH1" localSheetId="6" hidden="1">#REF!</definedName>
    <definedName name="BEx3RHC2ZD5UFS6QD4OPFCNNMWH1" hidden="1">#REF!</definedName>
    <definedName name="BEx58XHO7ZULLF2EUD7YIS0MGQJ5" localSheetId="1" hidden="1">#REF!</definedName>
    <definedName name="BEx58XHO7ZULLF2EUD7YIS0MGQJ5" localSheetId="7" hidden="1">#REF!</definedName>
    <definedName name="BEx58XHO7ZULLF2EUD7YIS0MGQJ5" localSheetId="2" hidden="1">#REF!</definedName>
    <definedName name="BEx58XHO7ZULLF2EUD7YIS0MGQJ5" localSheetId="34" hidden="1">#REF!</definedName>
    <definedName name="BEx58XHO7ZULLF2EUD7YIS0MGQJ5" localSheetId="12" hidden="1">#REF!</definedName>
    <definedName name="BEx58XHO7ZULLF2EUD7YIS0MGQJ5" localSheetId="10" hidden="1">#REF!</definedName>
    <definedName name="BEx58XHO7ZULLF2EUD7YIS0MGQJ5" localSheetId="6" hidden="1">#REF!</definedName>
    <definedName name="BEx58XHO7ZULLF2EUD7YIS0MGQJ5" hidden="1">#REF!</definedName>
    <definedName name="BEx5BHSQ42B50IU1TEQFUXFX9XQD" localSheetId="1" hidden="1">#REF!</definedName>
    <definedName name="BEx5BHSQ42B50IU1TEQFUXFX9XQD" localSheetId="7" hidden="1">#REF!</definedName>
    <definedName name="BEx5BHSQ42B50IU1TEQFUXFX9XQD" localSheetId="2" hidden="1">#REF!</definedName>
    <definedName name="BEx5BHSQ42B50IU1TEQFUXFX9XQD" localSheetId="34" hidden="1">#REF!</definedName>
    <definedName name="BEx5BHSQ42B50IU1TEQFUXFX9XQD" localSheetId="12" hidden="1">#REF!</definedName>
    <definedName name="BEx5BHSQ42B50IU1TEQFUXFX9XQD" localSheetId="10" hidden="1">#REF!</definedName>
    <definedName name="BEx5BHSQ42B50IU1TEQFUXFX9XQD" localSheetId="6" hidden="1">#REF!</definedName>
    <definedName name="BEx5BHSQ42B50IU1TEQFUXFX9XQD" hidden="1">#REF!</definedName>
    <definedName name="BEx5CFYQ0F1Z6P8SCVJ0I3UPVFE4" localSheetId="1" hidden="1">#REF!</definedName>
    <definedName name="BEx5CFYQ0F1Z6P8SCVJ0I3UPVFE4" localSheetId="7" hidden="1">#REF!</definedName>
    <definedName name="BEx5CFYQ0F1Z6P8SCVJ0I3UPVFE4" localSheetId="2" hidden="1">#REF!</definedName>
    <definedName name="BEx5CFYQ0F1Z6P8SCVJ0I3UPVFE4" localSheetId="34" hidden="1">#REF!</definedName>
    <definedName name="BEx5CFYQ0F1Z6P8SCVJ0I3UPVFE4" localSheetId="12" hidden="1">#REF!</definedName>
    <definedName name="BEx5CFYQ0F1Z6P8SCVJ0I3UPVFE4" localSheetId="10" hidden="1">#REF!</definedName>
    <definedName name="BEx5CFYQ0F1Z6P8SCVJ0I3UPVFE4" localSheetId="6" hidden="1">#REF!</definedName>
    <definedName name="BEx5CFYQ0F1Z6P8SCVJ0I3UPVFE4" hidden="1">#REF!</definedName>
    <definedName name="BEx5FO8YRFSZCG3L608EHIHIHFY4" localSheetId="1" hidden="1">#REF!</definedName>
    <definedName name="BEx5FO8YRFSZCG3L608EHIHIHFY4" localSheetId="7" hidden="1">#REF!</definedName>
    <definedName name="BEx5FO8YRFSZCG3L608EHIHIHFY4" localSheetId="2" hidden="1">#REF!</definedName>
    <definedName name="BEx5FO8YRFSZCG3L608EHIHIHFY4" localSheetId="34" hidden="1">#REF!</definedName>
    <definedName name="BEx5FO8YRFSZCG3L608EHIHIHFY4" localSheetId="12" hidden="1">#REF!</definedName>
    <definedName name="BEx5FO8YRFSZCG3L608EHIHIHFY4" localSheetId="10" hidden="1">#REF!</definedName>
    <definedName name="BEx5FO8YRFSZCG3L608EHIHIHFY4" localSheetId="6" hidden="1">#REF!</definedName>
    <definedName name="BEx5FO8YRFSZCG3L608EHIHIHFY4" hidden="1">#REF!</definedName>
    <definedName name="BEx5G1A8TFN4C4QII35U9DKYNIS8" localSheetId="1" hidden="1">#REF!</definedName>
    <definedName name="BEx5G1A8TFN4C4QII35U9DKYNIS8" localSheetId="7" hidden="1">#REF!</definedName>
    <definedName name="BEx5G1A8TFN4C4QII35U9DKYNIS8" localSheetId="2" hidden="1">#REF!</definedName>
    <definedName name="BEx5G1A8TFN4C4QII35U9DKYNIS8" localSheetId="34" hidden="1">#REF!</definedName>
    <definedName name="BEx5G1A8TFN4C4QII35U9DKYNIS8" localSheetId="12" hidden="1">#REF!</definedName>
    <definedName name="BEx5G1A8TFN4C4QII35U9DKYNIS8" localSheetId="10" hidden="1">#REF!</definedName>
    <definedName name="BEx5G1A8TFN4C4QII35U9DKYNIS8" localSheetId="6" hidden="1">#REF!</definedName>
    <definedName name="BEx5G1A8TFN4C4QII35U9DKYNIS8" hidden="1">#REF!</definedName>
    <definedName name="BEx5I244LQHZTF3XI66J8705R9XX" localSheetId="1" hidden="1">#REF!</definedName>
    <definedName name="BEx5I244LQHZTF3XI66J8705R9XX" localSheetId="7" hidden="1">#REF!</definedName>
    <definedName name="BEx5I244LQHZTF3XI66J8705R9XX" localSheetId="2" hidden="1">#REF!</definedName>
    <definedName name="BEx5I244LQHZTF3XI66J8705R9XX" localSheetId="34" hidden="1">#REF!</definedName>
    <definedName name="BEx5I244LQHZTF3XI66J8705R9XX" localSheetId="12" hidden="1">#REF!</definedName>
    <definedName name="BEx5I244LQHZTF3XI66J8705R9XX" localSheetId="10" hidden="1">#REF!</definedName>
    <definedName name="BEx5I244LQHZTF3XI66J8705R9XX" localSheetId="6" hidden="1">#REF!</definedName>
    <definedName name="BEx5I244LQHZTF3XI66J8705R9XX" hidden="1">#REF!</definedName>
    <definedName name="BEx5I8PBP4LIXDGID5BP0THLO0AQ" localSheetId="1" hidden="1">#REF!</definedName>
    <definedName name="BEx5I8PBP4LIXDGID5BP0THLO0AQ" localSheetId="7" hidden="1">#REF!</definedName>
    <definedName name="BEx5I8PBP4LIXDGID5BP0THLO0AQ" localSheetId="2" hidden="1">#REF!</definedName>
    <definedName name="BEx5I8PBP4LIXDGID5BP0THLO0AQ" localSheetId="34" hidden="1">#REF!</definedName>
    <definedName name="BEx5I8PBP4LIXDGID5BP0THLO0AQ" localSheetId="12" hidden="1">#REF!</definedName>
    <definedName name="BEx5I8PBP4LIXDGID5BP0THLO0AQ" localSheetId="10" hidden="1">#REF!</definedName>
    <definedName name="BEx5I8PBP4LIXDGID5BP0THLO0AQ" localSheetId="6" hidden="1">#REF!</definedName>
    <definedName name="BEx5I8PBP4LIXDGID5BP0THLO0AQ" hidden="1">#REF!</definedName>
    <definedName name="BEx5JHCZJ8G6OOOW6EF3GABXKH6F" localSheetId="1" hidden="1">#REF!</definedName>
    <definedName name="BEx5JHCZJ8G6OOOW6EF3GABXKH6F" localSheetId="7" hidden="1">#REF!</definedName>
    <definedName name="BEx5JHCZJ8G6OOOW6EF3GABXKH6F" localSheetId="2" hidden="1">#REF!</definedName>
    <definedName name="BEx5JHCZJ8G6OOOW6EF3GABXKH6F" localSheetId="34" hidden="1">#REF!</definedName>
    <definedName name="BEx5JHCZJ8G6OOOW6EF3GABXKH6F" localSheetId="12" hidden="1">#REF!</definedName>
    <definedName name="BEx5JHCZJ8G6OOOW6EF3GABXKH6F" localSheetId="10" hidden="1">#REF!</definedName>
    <definedName name="BEx5JHCZJ8G6OOOW6EF3GABXKH6F" localSheetId="6" hidden="1">#REF!</definedName>
    <definedName name="BEx5JHCZJ8G6OOOW6EF3GABXKH6F" hidden="1">#REF!</definedName>
    <definedName name="BEx5JNCT8Z7XSSPD5EMNAJELCU2V" localSheetId="1" hidden="1">#REF!</definedName>
    <definedName name="BEx5JNCT8Z7XSSPD5EMNAJELCU2V" localSheetId="7" hidden="1">#REF!</definedName>
    <definedName name="BEx5JNCT8Z7XSSPD5EMNAJELCU2V" localSheetId="2" hidden="1">#REF!</definedName>
    <definedName name="BEx5JNCT8Z7XSSPD5EMNAJELCU2V" localSheetId="34" hidden="1">#REF!</definedName>
    <definedName name="BEx5JNCT8Z7XSSPD5EMNAJELCU2V" localSheetId="12" hidden="1">#REF!</definedName>
    <definedName name="BEx5JNCT8Z7XSSPD5EMNAJELCU2V" localSheetId="10" hidden="1">#REF!</definedName>
    <definedName name="BEx5JNCT8Z7XSSPD5EMNAJELCU2V" localSheetId="6" hidden="1">#REF!</definedName>
    <definedName name="BEx5JNCT8Z7XSSPD5EMNAJELCU2V" hidden="1">#REF!</definedName>
    <definedName name="BEx5LSJ1LPUAX3ENSPECWPG4J7D1" localSheetId="1" hidden="1">#REF!</definedName>
    <definedName name="BEx5LSJ1LPUAX3ENSPECWPG4J7D1" localSheetId="7" hidden="1">#REF!</definedName>
    <definedName name="BEx5LSJ1LPUAX3ENSPECWPG4J7D1" localSheetId="2" hidden="1">#REF!</definedName>
    <definedName name="BEx5LSJ1LPUAX3ENSPECWPG4J7D1" localSheetId="34" hidden="1">#REF!</definedName>
    <definedName name="BEx5LSJ1LPUAX3ENSPECWPG4J7D1" localSheetId="12" hidden="1">#REF!</definedName>
    <definedName name="BEx5LSJ1LPUAX3ENSPECWPG4J7D1" localSheetId="10" hidden="1">#REF!</definedName>
    <definedName name="BEx5LSJ1LPUAX3ENSPECWPG4J7D1" localSheetId="6" hidden="1">#REF!</definedName>
    <definedName name="BEx5LSJ1LPUAX3ENSPECWPG4J7D1" hidden="1">#REF!</definedName>
    <definedName name="BEx5LTKQ8RQWJE4BC88OP928893U" localSheetId="1" hidden="1">#REF!</definedName>
    <definedName name="BEx5LTKQ8RQWJE4BC88OP928893U" localSheetId="7" hidden="1">#REF!</definedName>
    <definedName name="BEx5LTKQ8RQWJE4BC88OP928893U" localSheetId="2" hidden="1">#REF!</definedName>
    <definedName name="BEx5LTKQ8RQWJE4BC88OP928893U" localSheetId="34" hidden="1">#REF!</definedName>
    <definedName name="BEx5LTKQ8RQWJE4BC88OP928893U" localSheetId="12" hidden="1">#REF!</definedName>
    <definedName name="BEx5LTKQ8RQWJE4BC88OP928893U" localSheetId="10" hidden="1">#REF!</definedName>
    <definedName name="BEx5LTKQ8RQWJE4BC88OP928893U" localSheetId="6" hidden="1">#REF!</definedName>
    <definedName name="BEx5LTKQ8RQWJE4BC88OP928893U" hidden="1">#REF!</definedName>
    <definedName name="BEx5MLQZM68YQSKARVWTTPINFQ2C" localSheetId="1" hidden="1">#REF!</definedName>
    <definedName name="BEx5MLQZM68YQSKARVWTTPINFQ2C" localSheetId="7" hidden="1">#REF!</definedName>
    <definedName name="BEx5MLQZM68YQSKARVWTTPINFQ2C" localSheetId="2" hidden="1">#REF!</definedName>
    <definedName name="BEx5MLQZM68YQSKARVWTTPINFQ2C" localSheetId="34" hidden="1">#REF!</definedName>
    <definedName name="BEx5MLQZM68YQSKARVWTTPINFQ2C" localSheetId="12" hidden="1">#REF!</definedName>
    <definedName name="BEx5MLQZM68YQSKARVWTTPINFQ2C" localSheetId="10" hidden="1">#REF!</definedName>
    <definedName name="BEx5MLQZM68YQSKARVWTTPINFQ2C" localSheetId="6" hidden="1">#REF!</definedName>
    <definedName name="BEx5MLQZM68YQSKARVWTTPINFQ2C" hidden="1">#REF!</definedName>
    <definedName name="BEx5NV06L5J5IMKGOMGKGJ4PBZCD" localSheetId="1" hidden="1">#REF!</definedName>
    <definedName name="BEx5NV06L5J5IMKGOMGKGJ4PBZCD" localSheetId="7" hidden="1">#REF!</definedName>
    <definedName name="BEx5NV06L5J5IMKGOMGKGJ4PBZCD" localSheetId="2" hidden="1">#REF!</definedName>
    <definedName name="BEx5NV06L5J5IMKGOMGKGJ4PBZCD" localSheetId="34" hidden="1">#REF!</definedName>
    <definedName name="BEx5NV06L5J5IMKGOMGKGJ4PBZCD" localSheetId="12" hidden="1">#REF!</definedName>
    <definedName name="BEx5NV06L5J5IMKGOMGKGJ4PBZCD" localSheetId="10" hidden="1">#REF!</definedName>
    <definedName name="BEx5NV06L5J5IMKGOMGKGJ4PBZCD" localSheetId="6" hidden="1">#REF!</definedName>
    <definedName name="BEx5NV06L5J5IMKGOMGKGJ4PBZCD" hidden="1">#REF!</definedName>
    <definedName name="BEx74W6BJ8ENO3J25WNM5H5APKA3" localSheetId="1" hidden="1">#REF!</definedName>
    <definedName name="BEx74W6BJ8ENO3J25WNM5H5APKA3" localSheetId="7" hidden="1">#REF!</definedName>
    <definedName name="BEx74W6BJ8ENO3J25WNM5H5APKA3" localSheetId="2" hidden="1">#REF!</definedName>
    <definedName name="BEx74W6BJ8ENO3J25WNM5H5APKA3" localSheetId="34" hidden="1">#REF!</definedName>
    <definedName name="BEx74W6BJ8ENO3J25WNM5H5APKA3" localSheetId="12" hidden="1">#REF!</definedName>
    <definedName name="BEx74W6BJ8ENO3J25WNM5H5APKA3" localSheetId="10" hidden="1">#REF!</definedName>
    <definedName name="BEx74W6BJ8ENO3J25WNM5H5APKA3" localSheetId="6" hidden="1">#REF!</definedName>
    <definedName name="BEx74W6BJ8ENO3J25WNM5H5APKA3" hidden="1">#REF!</definedName>
    <definedName name="BEx79YJJLBELICW9F9FRYSCQ101L" localSheetId="1" hidden="1">#REF!</definedName>
    <definedName name="BEx79YJJLBELICW9F9FRYSCQ101L" localSheetId="7" hidden="1">#REF!</definedName>
    <definedName name="BEx79YJJLBELICW9F9FRYSCQ101L" localSheetId="2" hidden="1">#REF!</definedName>
    <definedName name="BEx79YJJLBELICW9F9FRYSCQ101L" localSheetId="34" hidden="1">#REF!</definedName>
    <definedName name="BEx79YJJLBELICW9F9FRYSCQ101L" localSheetId="12" hidden="1">#REF!</definedName>
    <definedName name="BEx79YJJLBELICW9F9FRYSCQ101L" localSheetId="10" hidden="1">#REF!</definedName>
    <definedName name="BEx79YJJLBELICW9F9FRYSCQ101L" localSheetId="6" hidden="1">#REF!</definedName>
    <definedName name="BEx79YJJLBELICW9F9FRYSCQ101L" hidden="1">#REF!</definedName>
    <definedName name="BEx7A06T3RC2891FUX05G3QPRAUE" localSheetId="1" hidden="1">#REF!</definedName>
    <definedName name="BEx7A06T3RC2891FUX05G3QPRAUE" localSheetId="7" hidden="1">#REF!</definedName>
    <definedName name="BEx7A06T3RC2891FUX05G3QPRAUE" localSheetId="2" hidden="1">#REF!</definedName>
    <definedName name="BEx7A06T3RC2891FUX05G3QPRAUE" localSheetId="34" hidden="1">#REF!</definedName>
    <definedName name="BEx7A06T3RC2891FUX05G3QPRAUE" localSheetId="12" hidden="1">#REF!</definedName>
    <definedName name="BEx7A06T3RC2891FUX05G3QPRAUE" localSheetId="10" hidden="1">#REF!</definedName>
    <definedName name="BEx7A06T3RC2891FUX05G3QPRAUE" localSheetId="6" hidden="1">#REF!</definedName>
    <definedName name="BEx7A06T3RC2891FUX05G3QPRAUE" hidden="1">#REF!</definedName>
    <definedName name="BEx7ASD1I654MEDCO6GGWA95PXSC" localSheetId="1" hidden="1">#REF!</definedName>
    <definedName name="BEx7ASD1I654MEDCO6GGWA95PXSC" localSheetId="7" hidden="1">#REF!</definedName>
    <definedName name="BEx7ASD1I654MEDCO6GGWA95PXSC" localSheetId="2" hidden="1">#REF!</definedName>
    <definedName name="BEx7ASD1I654MEDCO6GGWA95PXSC" localSheetId="34" hidden="1">#REF!</definedName>
    <definedName name="BEx7ASD1I654MEDCO6GGWA95PXSC" localSheetId="12" hidden="1">#REF!</definedName>
    <definedName name="BEx7ASD1I654MEDCO6GGWA95PXSC" localSheetId="10" hidden="1">#REF!</definedName>
    <definedName name="BEx7ASD1I654MEDCO6GGWA95PXSC" localSheetId="6" hidden="1">#REF!</definedName>
    <definedName name="BEx7ASD1I654MEDCO6GGWA95PXSC" hidden="1">#REF!</definedName>
    <definedName name="BEx7AVCX9S5RJP3NSZ4QM4E6ERDT" localSheetId="1" hidden="1">#REF!</definedName>
    <definedName name="BEx7AVCX9S5RJP3NSZ4QM4E6ERDT" localSheetId="7" hidden="1">#REF!</definedName>
    <definedName name="BEx7AVCX9S5RJP3NSZ4QM4E6ERDT" localSheetId="2" hidden="1">#REF!</definedName>
    <definedName name="BEx7AVCX9S5RJP3NSZ4QM4E6ERDT" localSheetId="34" hidden="1">#REF!</definedName>
    <definedName name="BEx7AVCX9S5RJP3NSZ4QM4E6ERDT" localSheetId="12" hidden="1">#REF!</definedName>
    <definedName name="BEx7AVCX9S5RJP3NSZ4QM4E6ERDT" localSheetId="10" hidden="1">#REF!</definedName>
    <definedName name="BEx7AVCX9S5RJP3NSZ4QM4E6ERDT" localSheetId="6" hidden="1">#REF!</definedName>
    <definedName name="BEx7AVCX9S5RJP3NSZ4QM4E6ERDT" hidden="1">#REF!</definedName>
    <definedName name="BEx7CO8T2XKC7GHDSYNAWTZ9L7YR" localSheetId="1" hidden="1">#REF!</definedName>
    <definedName name="BEx7CO8T2XKC7GHDSYNAWTZ9L7YR" localSheetId="7" hidden="1">#REF!</definedName>
    <definedName name="BEx7CO8T2XKC7GHDSYNAWTZ9L7YR" localSheetId="2" hidden="1">#REF!</definedName>
    <definedName name="BEx7CO8T2XKC7GHDSYNAWTZ9L7YR" localSheetId="34" hidden="1">#REF!</definedName>
    <definedName name="BEx7CO8T2XKC7GHDSYNAWTZ9L7YR" localSheetId="12" hidden="1">#REF!</definedName>
    <definedName name="BEx7CO8T2XKC7GHDSYNAWTZ9L7YR" localSheetId="10" hidden="1">#REF!</definedName>
    <definedName name="BEx7CO8T2XKC7GHDSYNAWTZ9L7YR" localSheetId="6" hidden="1">#REF!</definedName>
    <definedName name="BEx7CO8T2XKC7GHDSYNAWTZ9L7YR" hidden="1">#REF!</definedName>
    <definedName name="BEx7E2QT2U8THYOKBPXONB1B47WH" localSheetId="1" hidden="1">#REF!</definedName>
    <definedName name="BEx7E2QT2U8THYOKBPXONB1B47WH" localSheetId="7" hidden="1">#REF!</definedName>
    <definedName name="BEx7E2QT2U8THYOKBPXONB1B47WH" localSheetId="2" hidden="1">#REF!</definedName>
    <definedName name="BEx7E2QT2U8THYOKBPXONB1B47WH" localSheetId="34" hidden="1">#REF!</definedName>
    <definedName name="BEx7E2QT2U8THYOKBPXONB1B47WH" localSheetId="12" hidden="1">#REF!</definedName>
    <definedName name="BEx7E2QT2U8THYOKBPXONB1B47WH" localSheetId="10" hidden="1">#REF!</definedName>
    <definedName name="BEx7E2QT2U8THYOKBPXONB1B47WH" localSheetId="6" hidden="1">#REF!</definedName>
    <definedName name="BEx7E2QT2U8THYOKBPXONB1B47WH" hidden="1">#REF!</definedName>
    <definedName name="BEx7EI6DL1Z6UWLFBXAKVGZTKHWJ" localSheetId="1" hidden="1">#REF!</definedName>
    <definedName name="BEx7EI6DL1Z6UWLFBXAKVGZTKHWJ" localSheetId="7" hidden="1">#REF!</definedName>
    <definedName name="BEx7EI6DL1Z6UWLFBXAKVGZTKHWJ" localSheetId="2" hidden="1">#REF!</definedName>
    <definedName name="BEx7EI6DL1Z6UWLFBXAKVGZTKHWJ" localSheetId="34" hidden="1">#REF!</definedName>
    <definedName name="BEx7EI6DL1Z6UWLFBXAKVGZTKHWJ" localSheetId="12" hidden="1">#REF!</definedName>
    <definedName name="BEx7EI6DL1Z6UWLFBXAKVGZTKHWJ" localSheetId="10" hidden="1">#REF!</definedName>
    <definedName name="BEx7EI6DL1Z6UWLFBXAKVGZTKHWJ" localSheetId="6" hidden="1">#REF!</definedName>
    <definedName name="BEx7EI6DL1Z6UWLFBXAKVGZTKHWJ" hidden="1">#REF!</definedName>
    <definedName name="BEx91QH5JRZKQP1GPN2SQMR3CKAG" localSheetId="1" hidden="1">#REF!</definedName>
    <definedName name="BEx91QH5JRZKQP1GPN2SQMR3CKAG" localSheetId="7" hidden="1">#REF!</definedName>
    <definedName name="BEx91QH5JRZKQP1GPN2SQMR3CKAG" localSheetId="2" hidden="1">#REF!</definedName>
    <definedName name="BEx91QH5JRZKQP1GPN2SQMR3CKAG" localSheetId="34" hidden="1">#REF!</definedName>
    <definedName name="BEx91QH5JRZKQP1GPN2SQMR3CKAG" localSheetId="12" hidden="1">#REF!</definedName>
    <definedName name="BEx91QH5JRZKQP1GPN2SQMR3CKAG" localSheetId="10" hidden="1">#REF!</definedName>
    <definedName name="BEx91QH5JRZKQP1GPN2SQMR3CKAG" localSheetId="6" hidden="1">#REF!</definedName>
    <definedName name="BEx91QH5JRZKQP1GPN2SQMR3CKAG" hidden="1">#REF!</definedName>
    <definedName name="BEx91ROALDNHO7FI4X8L61RH4UJE" localSheetId="1" hidden="1">#REF!</definedName>
    <definedName name="BEx91ROALDNHO7FI4X8L61RH4UJE" localSheetId="7" hidden="1">#REF!</definedName>
    <definedName name="BEx91ROALDNHO7FI4X8L61RH4UJE" localSheetId="2" hidden="1">#REF!</definedName>
    <definedName name="BEx91ROALDNHO7FI4X8L61RH4UJE" localSheetId="34" hidden="1">#REF!</definedName>
    <definedName name="BEx91ROALDNHO7FI4X8L61RH4UJE" localSheetId="12" hidden="1">#REF!</definedName>
    <definedName name="BEx91ROALDNHO7FI4X8L61RH4UJE" localSheetId="10" hidden="1">#REF!</definedName>
    <definedName name="BEx91ROALDNHO7FI4X8L61RH4UJE" localSheetId="6" hidden="1">#REF!</definedName>
    <definedName name="BEx91ROALDNHO7FI4X8L61RH4UJE" hidden="1">#REF!</definedName>
    <definedName name="BEx94CKXG92OMURH41SNU6IOHK4J" localSheetId="1" hidden="1">#REF!</definedName>
    <definedName name="BEx94CKXG92OMURH41SNU6IOHK4J" localSheetId="7" hidden="1">#REF!</definedName>
    <definedName name="BEx94CKXG92OMURH41SNU6IOHK4J" localSheetId="2" hidden="1">#REF!</definedName>
    <definedName name="BEx94CKXG92OMURH41SNU6IOHK4J" localSheetId="34" hidden="1">#REF!</definedName>
    <definedName name="BEx94CKXG92OMURH41SNU6IOHK4J" localSheetId="12" hidden="1">#REF!</definedName>
    <definedName name="BEx94CKXG92OMURH41SNU6IOHK4J" localSheetId="10" hidden="1">#REF!</definedName>
    <definedName name="BEx94CKXG92OMURH41SNU6IOHK4J" localSheetId="6" hidden="1">#REF!</definedName>
    <definedName name="BEx94CKXG92OMURH41SNU6IOHK4J" hidden="1">#REF!</definedName>
    <definedName name="BEx94GXG30CIVB6ZQN3X3IK6BZXQ" localSheetId="1" hidden="1">#REF!</definedName>
    <definedName name="BEx94GXG30CIVB6ZQN3X3IK6BZXQ" localSheetId="7" hidden="1">#REF!</definedName>
    <definedName name="BEx94GXG30CIVB6ZQN3X3IK6BZXQ" localSheetId="2" hidden="1">#REF!</definedName>
    <definedName name="BEx94GXG30CIVB6ZQN3X3IK6BZXQ" localSheetId="34" hidden="1">#REF!</definedName>
    <definedName name="BEx94GXG30CIVB6ZQN3X3IK6BZXQ" localSheetId="12" hidden="1">#REF!</definedName>
    <definedName name="BEx94GXG30CIVB6ZQN3X3IK6BZXQ" localSheetId="10" hidden="1">#REF!</definedName>
    <definedName name="BEx94GXG30CIVB6ZQN3X3IK6BZXQ" localSheetId="6" hidden="1">#REF!</definedName>
    <definedName name="BEx94GXG30CIVB6ZQN3X3IK6BZXQ" hidden="1">#REF!</definedName>
    <definedName name="BEx94HZ5LURYM9ST744ALV6ZCKYP" localSheetId="1" hidden="1">#REF!</definedName>
    <definedName name="BEx94HZ5LURYM9ST744ALV6ZCKYP" localSheetId="7" hidden="1">#REF!</definedName>
    <definedName name="BEx94HZ5LURYM9ST744ALV6ZCKYP" localSheetId="2" hidden="1">#REF!</definedName>
    <definedName name="BEx94HZ5LURYM9ST744ALV6ZCKYP" localSheetId="34" hidden="1">#REF!</definedName>
    <definedName name="BEx94HZ5LURYM9ST744ALV6ZCKYP" localSheetId="12" hidden="1">#REF!</definedName>
    <definedName name="BEx94HZ5LURYM9ST744ALV6ZCKYP" localSheetId="10" hidden="1">#REF!</definedName>
    <definedName name="BEx94HZ5LURYM9ST744ALV6ZCKYP" localSheetId="6" hidden="1">#REF!</definedName>
    <definedName name="BEx94HZ5LURYM9ST744ALV6ZCKYP" hidden="1">#REF!</definedName>
    <definedName name="BEx94IQ75E90YUMWJ9N591LR7DQQ" localSheetId="1" hidden="1">#REF!</definedName>
    <definedName name="BEx94IQ75E90YUMWJ9N591LR7DQQ" localSheetId="7" hidden="1">#REF!</definedName>
    <definedName name="BEx94IQ75E90YUMWJ9N591LR7DQQ" localSheetId="2" hidden="1">#REF!</definedName>
    <definedName name="BEx94IQ75E90YUMWJ9N591LR7DQQ" localSheetId="34" hidden="1">#REF!</definedName>
    <definedName name="BEx94IQ75E90YUMWJ9N591LR7DQQ" localSheetId="12" hidden="1">#REF!</definedName>
    <definedName name="BEx94IQ75E90YUMWJ9N591LR7DQQ" localSheetId="10" hidden="1">#REF!</definedName>
    <definedName name="BEx94IQ75E90YUMWJ9N591LR7DQQ" localSheetId="6" hidden="1">#REF!</definedName>
    <definedName name="BEx94IQ75E90YUMWJ9N591LR7DQQ" hidden="1">#REF!</definedName>
    <definedName name="BEx955NIAWX5OLAHMTV6QFUZPR30" localSheetId="1" hidden="1">#REF!</definedName>
    <definedName name="BEx955NIAWX5OLAHMTV6QFUZPR30" localSheetId="7" hidden="1">#REF!</definedName>
    <definedName name="BEx955NIAWX5OLAHMTV6QFUZPR30" localSheetId="2" hidden="1">#REF!</definedName>
    <definedName name="BEx955NIAWX5OLAHMTV6QFUZPR30" localSheetId="34" hidden="1">#REF!</definedName>
    <definedName name="BEx955NIAWX5OLAHMTV6QFUZPR30" localSheetId="12" hidden="1">#REF!</definedName>
    <definedName name="BEx955NIAWX5OLAHMTV6QFUZPR30" localSheetId="10" hidden="1">#REF!</definedName>
    <definedName name="BEx955NIAWX5OLAHMTV6QFUZPR30" localSheetId="6" hidden="1">#REF!</definedName>
    <definedName name="BEx955NIAWX5OLAHMTV6QFUZPR30" hidden="1">#REF!</definedName>
    <definedName name="BEx97NPQBACJVD9K1YXI08RTW9E2" localSheetId="1" hidden="1">#REF!</definedName>
    <definedName name="BEx97NPQBACJVD9K1YXI08RTW9E2" localSheetId="7" hidden="1">#REF!</definedName>
    <definedName name="BEx97NPQBACJVD9K1YXI08RTW9E2" localSheetId="2" hidden="1">#REF!</definedName>
    <definedName name="BEx97NPQBACJVD9K1YXI08RTW9E2" localSheetId="34" hidden="1">#REF!</definedName>
    <definedName name="BEx97NPQBACJVD9K1YXI08RTW9E2" localSheetId="12" hidden="1">#REF!</definedName>
    <definedName name="BEx97NPQBACJVD9K1YXI08RTW9E2" localSheetId="10" hidden="1">#REF!</definedName>
    <definedName name="BEx97NPQBACJVD9K1YXI08RTW9E2" localSheetId="6" hidden="1">#REF!</definedName>
    <definedName name="BEx97NPQBACJVD9K1YXI08RTW9E2" hidden="1">#REF!</definedName>
    <definedName name="BEx9B8A5186FNTQQNLIO5LK02ABI" localSheetId="1" hidden="1">#REF!</definedName>
    <definedName name="BEx9B8A5186FNTQQNLIO5LK02ABI" localSheetId="7" hidden="1">#REF!</definedName>
    <definedName name="BEx9B8A5186FNTQQNLIO5LK02ABI" localSheetId="2" hidden="1">#REF!</definedName>
    <definedName name="BEx9B8A5186FNTQQNLIO5LK02ABI" localSheetId="34" hidden="1">#REF!</definedName>
    <definedName name="BEx9B8A5186FNTQQNLIO5LK02ABI" localSheetId="12" hidden="1">#REF!</definedName>
    <definedName name="BEx9B8A5186FNTQQNLIO5LK02ABI" localSheetId="10" hidden="1">#REF!</definedName>
    <definedName name="BEx9B8A5186FNTQQNLIO5LK02ABI" localSheetId="6" hidden="1">#REF!</definedName>
    <definedName name="BEx9B8A5186FNTQQNLIO5LK02ABI" hidden="1">#REF!</definedName>
    <definedName name="BEx9IW5MFLXTVCJHVUZTUH93AXOS" localSheetId="1" hidden="1">#REF!</definedName>
    <definedName name="BEx9IW5MFLXTVCJHVUZTUH93AXOS" localSheetId="7" hidden="1">#REF!</definedName>
    <definedName name="BEx9IW5MFLXTVCJHVUZTUH93AXOS" localSheetId="2" hidden="1">#REF!</definedName>
    <definedName name="BEx9IW5MFLXTVCJHVUZTUH93AXOS" localSheetId="34" hidden="1">#REF!</definedName>
    <definedName name="BEx9IW5MFLXTVCJHVUZTUH93AXOS" localSheetId="12" hidden="1">#REF!</definedName>
    <definedName name="BEx9IW5MFLXTVCJHVUZTUH93AXOS" localSheetId="10" hidden="1">#REF!</definedName>
    <definedName name="BEx9IW5MFLXTVCJHVUZTUH93AXOS" localSheetId="6" hidden="1">#REF!</definedName>
    <definedName name="BEx9IW5MFLXTVCJHVUZTUH93AXOS" hidden="1">#REF!</definedName>
    <definedName name="BEx9J6CH5E7YZPER7HXEIOIKGPCA" localSheetId="1" hidden="1">#REF!</definedName>
    <definedName name="BEx9J6CH5E7YZPER7HXEIOIKGPCA" localSheetId="7" hidden="1">#REF!</definedName>
    <definedName name="BEx9J6CH5E7YZPER7HXEIOIKGPCA" localSheetId="2" hidden="1">#REF!</definedName>
    <definedName name="BEx9J6CH5E7YZPER7HXEIOIKGPCA" localSheetId="34" hidden="1">#REF!</definedName>
    <definedName name="BEx9J6CH5E7YZPER7HXEIOIKGPCA" localSheetId="12" hidden="1">#REF!</definedName>
    <definedName name="BEx9J6CH5E7YZPER7HXEIOIKGPCA" localSheetId="10" hidden="1">#REF!</definedName>
    <definedName name="BEx9J6CH5E7YZPER7HXEIOIKGPCA" localSheetId="6" hidden="1">#REF!</definedName>
    <definedName name="BEx9J6CH5E7YZPER7HXEIOIKGPCA" hidden="1">#REF!</definedName>
    <definedName name="BEx9JLBYK239B3F841C7YG1GT7ST" localSheetId="1" hidden="1">#REF!</definedName>
    <definedName name="BEx9JLBYK239B3F841C7YG1GT7ST" localSheetId="7" hidden="1">#REF!</definedName>
    <definedName name="BEx9JLBYK239B3F841C7YG1GT7ST" localSheetId="2" hidden="1">#REF!</definedName>
    <definedName name="BEx9JLBYK239B3F841C7YG1GT7ST" localSheetId="34" hidden="1">#REF!</definedName>
    <definedName name="BEx9JLBYK239B3F841C7YG1GT7ST" localSheetId="12" hidden="1">#REF!</definedName>
    <definedName name="BEx9JLBYK239B3F841C7YG1GT7ST" localSheetId="10" hidden="1">#REF!</definedName>
    <definedName name="BEx9JLBYK239B3F841C7YG1GT7ST" localSheetId="6" hidden="1">#REF!</definedName>
    <definedName name="BEx9JLBYK239B3F841C7YG1GT7ST" hidden="1">#REF!</definedName>
    <definedName name="BExAX410NB4F2XOB84OR2197H8M5" localSheetId="1" hidden="1">#REF!</definedName>
    <definedName name="BExAX410NB4F2XOB84OR2197H8M5" localSheetId="7" hidden="1">#REF!</definedName>
    <definedName name="BExAX410NB4F2XOB84OR2197H8M5" localSheetId="2" hidden="1">#REF!</definedName>
    <definedName name="BExAX410NB4F2XOB84OR2197H8M5" localSheetId="34" hidden="1">#REF!</definedName>
    <definedName name="BExAX410NB4F2XOB84OR2197H8M5" localSheetId="12" hidden="1">#REF!</definedName>
    <definedName name="BExAX410NB4F2XOB84OR2197H8M5" localSheetId="10" hidden="1">#REF!</definedName>
    <definedName name="BExAX410NB4F2XOB84OR2197H8M5" localSheetId="6" hidden="1">#REF!</definedName>
    <definedName name="BExAX410NB4F2XOB84OR2197H8M5" hidden="1">#REF!</definedName>
    <definedName name="BExB072HHXVMUC0VYNGG48GRSH5Q" localSheetId="1" hidden="1">#REF!</definedName>
    <definedName name="BExB072HHXVMUC0VYNGG48GRSH5Q" localSheetId="7" hidden="1">#REF!</definedName>
    <definedName name="BExB072HHXVMUC0VYNGG48GRSH5Q" localSheetId="2" hidden="1">#REF!</definedName>
    <definedName name="BExB072HHXVMUC0VYNGG48GRSH5Q" localSheetId="34" hidden="1">#REF!</definedName>
    <definedName name="BExB072HHXVMUC0VYNGG48GRSH5Q" localSheetId="12" hidden="1">#REF!</definedName>
    <definedName name="BExB072HHXVMUC0VYNGG48GRSH5Q" localSheetId="10" hidden="1">#REF!</definedName>
    <definedName name="BExB072HHXVMUC0VYNGG48GRSH5Q" localSheetId="6" hidden="1">#REF!</definedName>
    <definedName name="BExB072HHXVMUC0VYNGG48GRSH5Q" hidden="1">#REF!</definedName>
    <definedName name="BExB1FKNY2UO4W5FUGFHJOA2WFGG" localSheetId="1" hidden="1">#REF!</definedName>
    <definedName name="BExB1FKNY2UO4W5FUGFHJOA2WFGG" localSheetId="7" hidden="1">#REF!</definedName>
    <definedName name="BExB1FKNY2UO4W5FUGFHJOA2WFGG" localSheetId="2" hidden="1">#REF!</definedName>
    <definedName name="BExB1FKNY2UO4W5FUGFHJOA2WFGG" localSheetId="34" hidden="1">#REF!</definedName>
    <definedName name="BExB1FKNY2UO4W5FUGFHJOA2WFGG" localSheetId="12" hidden="1">#REF!</definedName>
    <definedName name="BExB1FKNY2UO4W5FUGFHJOA2WFGG" localSheetId="10" hidden="1">#REF!</definedName>
    <definedName name="BExB1FKNY2UO4W5FUGFHJOA2WFGG" localSheetId="6" hidden="1">#REF!</definedName>
    <definedName name="BExB1FKNY2UO4W5FUGFHJOA2WFGG" hidden="1">#REF!</definedName>
    <definedName name="BExB1GMD0PIDGTFBGQOPRWQSP9I4" localSheetId="1" hidden="1">#REF!</definedName>
    <definedName name="BExB1GMD0PIDGTFBGQOPRWQSP9I4" localSheetId="7" hidden="1">#REF!</definedName>
    <definedName name="BExB1GMD0PIDGTFBGQOPRWQSP9I4" localSheetId="2" hidden="1">#REF!</definedName>
    <definedName name="BExB1GMD0PIDGTFBGQOPRWQSP9I4" localSheetId="34" hidden="1">#REF!</definedName>
    <definedName name="BExB1GMD0PIDGTFBGQOPRWQSP9I4" localSheetId="12" hidden="1">#REF!</definedName>
    <definedName name="BExB1GMD0PIDGTFBGQOPRWQSP9I4" localSheetId="10" hidden="1">#REF!</definedName>
    <definedName name="BExB1GMD0PIDGTFBGQOPRWQSP9I4" localSheetId="6" hidden="1">#REF!</definedName>
    <definedName name="BExB1GMD0PIDGTFBGQOPRWQSP9I4" hidden="1">#REF!</definedName>
    <definedName name="BExB1WI6M8I0EEP1ANUQZCFY24EV" localSheetId="1" hidden="1">#REF!</definedName>
    <definedName name="BExB1WI6M8I0EEP1ANUQZCFY24EV" localSheetId="7" hidden="1">#REF!</definedName>
    <definedName name="BExB1WI6M8I0EEP1ANUQZCFY24EV" localSheetId="2" hidden="1">#REF!</definedName>
    <definedName name="BExB1WI6M8I0EEP1ANUQZCFY24EV" localSheetId="34" hidden="1">#REF!</definedName>
    <definedName name="BExB1WI6M8I0EEP1ANUQZCFY24EV" localSheetId="12" hidden="1">#REF!</definedName>
    <definedName name="BExB1WI6M8I0EEP1ANUQZCFY24EV" localSheetId="10" hidden="1">#REF!</definedName>
    <definedName name="BExB1WI6M8I0EEP1ANUQZCFY24EV" localSheetId="6" hidden="1">#REF!</definedName>
    <definedName name="BExB1WI6M8I0EEP1ANUQZCFY24EV" hidden="1">#REF!</definedName>
    <definedName name="BExB2Q0VJ0MU2URO3JOVUAVHEI3V" localSheetId="1" hidden="1">#REF!</definedName>
    <definedName name="BExB2Q0VJ0MU2URO3JOVUAVHEI3V" localSheetId="7" hidden="1">#REF!</definedName>
    <definedName name="BExB2Q0VJ0MU2URO3JOVUAVHEI3V" localSheetId="2" hidden="1">#REF!</definedName>
    <definedName name="BExB2Q0VJ0MU2URO3JOVUAVHEI3V" localSheetId="34" hidden="1">#REF!</definedName>
    <definedName name="BExB2Q0VJ0MU2URO3JOVUAVHEI3V" localSheetId="12" hidden="1">#REF!</definedName>
    <definedName name="BExB2Q0VJ0MU2URO3JOVUAVHEI3V" localSheetId="10" hidden="1">#REF!</definedName>
    <definedName name="BExB2Q0VJ0MU2URO3JOVUAVHEI3V" localSheetId="6" hidden="1">#REF!</definedName>
    <definedName name="BExB2Q0VJ0MU2URO3JOVUAVHEI3V" hidden="1">#REF!</definedName>
    <definedName name="BExB442RX0T3L6HUL6X5T21CENW6" localSheetId="1" hidden="1">#REF!</definedName>
    <definedName name="BExB442RX0T3L6HUL6X5T21CENW6" localSheetId="7" hidden="1">#REF!</definedName>
    <definedName name="BExB442RX0T3L6HUL6X5T21CENW6" localSheetId="2" hidden="1">#REF!</definedName>
    <definedName name="BExB442RX0T3L6HUL6X5T21CENW6" localSheetId="34" hidden="1">#REF!</definedName>
    <definedName name="BExB442RX0T3L6HUL6X5T21CENW6" localSheetId="12" hidden="1">#REF!</definedName>
    <definedName name="BExB442RX0T3L6HUL6X5T21CENW6" localSheetId="10" hidden="1">#REF!</definedName>
    <definedName name="BExB442RX0T3L6HUL6X5T21CENW6" localSheetId="6" hidden="1">#REF!</definedName>
    <definedName name="BExB442RX0T3L6HUL6X5T21CENW6" hidden="1">#REF!</definedName>
    <definedName name="BExB5833OAOJ22VK1YK47FHUSVK2" localSheetId="1" hidden="1">#REF!</definedName>
    <definedName name="BExB5833OAOJ22VK1YK47FHUSVK2" localSheetId="7" hidden="1">#REF!</definedName>
    <definedName name="BExB5833OAOJ22VK1YK47FHUSVK2" localSheetId="2" hidden="1">#REF!</definedName>
    <definedName name="BExB5833OAOJ22VK1YK47FHUSVK2" localSheetId="34" hidden="1">#REF!</definedName>
    <definedName name="BExB5833OAOJ22VK1YK47FHUSVK2" localSheetId="12" hidden="1">#REF!</definedName>
    <definedName name="BExB5833OAOJ22VK1YK47FHUSVK2" localSheetId="10" hidden="1">#REF!</definedName>
    <definedName name="BExB5833OAOJ22VK1YK47FHUSVK2" localSheetId="6" hidden="1">#REF!</definedName>
    <definedName name="BExB5833OAOJ22VK1YK47FHUSVK2" hidden="1">#REF!</definedName>
    <definedName name="BExB78RH79J0MIF7H8CAZ0CFE88Q" localSheetId="1" hidden="1">#REF!</definedName>
    <definedName name="BExB78RH79J0MIF7H8CAZ0CFE88Q" localSheetId="7" hidden="1">#REF!</definedName>
    <definedName name="BExB78RH79J0MIF7H8CAZ0CFE88Q" localSheetId="2" hidden="1">#REF!</definedName>
    <definedName name="BExB78RH79J0MIF7H8CAZ0CFE88Q" localSheetId="34" hidden="1">#REF!</definedName>
    <definedName name="BExB78RH79J0MIF7H8CAZ0CFE88Q" localSheetId="12" hidden="1">#REF!</definedName>
    <definedName name="BExB78RH79J0MIF7H8CAZ0CFE88Q" localSheetId="10" hidden="1">#REF!</definedName>
    <definedName name="BExB78RH79J0MIF7H8CAZ0CFE88Q" localSheetId="6" hidden="1">#REF!</definedName>
    <definedName name="BExB78RH79J0MIF7H8CAZ0CFE88Q" hidden="1">#REF!</definedName>
    <definedName name="BExB8U5N0D85YR8APKN3PPKG0FWP" localSheetId="1" hidden="1">#REF!</definedName>
    <definedName name="BExB8U5N0D85YR8APKN3PPKG0FWP" localSheetId="7" hidden="1">#REF!</definedName>
    <definedName name="BExB8U5N0D85YR8APKN3PPKG0FWP" localSheetId="2" hidden="1">#REF!</definedName>
    <definedName name="BExB8U5N0D85YR8APKN3PPKG0FWP" localSheetId="34" hidden="1">#REF!</definedName>
    <definedName name="BExB8U5N0D85YR8APKN3PPKG0FWP" localSheetId="12" hidden="1">#REF!</definedName>
    <definedName name="BExB8U5N0D85YR8APKN3PPKG0FWP" localSheetId="10" hidden="1">#REF!</definedName>
    <definedName name="BExB8U5N0D85YR8APKN3PPKG0FWP" localSheetId="6" hidden="1">#REF!</definedName>
    <definedName name="BExB8U5N0D85YR8APKN3PPKG0FWP" hidden="1">#REF!</definedName>
    <definedName name="BExB9Q2MZZHBGW8QQKVEYIMJBPIE" localSheetId="1" hidden="1">#REF!</definedName>
    <definedName name="BExB9Q2MZZHBGW8QQKVEYIMJBPIE" localSheetId="7" hidden="1">#REF!</definedName>
    <definedName name="BExB9Q2MZZHBGW8QQKVEYIMJBPIE" localSheetId="2" hidden="1">#REF!</definedName>
    <definedName name="BExB9Q2MZZHBGW8QQKVEYIMJBPIE" localSheetId="34" hidden="1">#REF!</definedName>
    <definedName name="BExB9Q2MZZHBGW8QQKVEYIMJBPIE" localSheetId="12" hidden="1">#REF!</definedName>
    <definedName name="BExB9Q2MZZHBGW8QQKVEYIMJBPIE" localSheetId="10" hidden="1">#REF!</definedName>
    <definedName name="BExB9Q2MZZHBGW8QQKVEYIMJBPIE" localSheetId="6" hidden="1">#REF!</definedName>
    <definedName name="BExB9Q2MZZHBGW8QQKVEYIMJBPIE" hidden="1">#REF!</definedName>
    <definedName name="BExBCLMEPAN3XXX174TU8SS0627Q" localSheetId="1" hidden="1">#REF!</definedName>
    <definedName name="BExBCLMEPAN3XXX174TU8SS0627Q" localSheetId="7" hidden="1">#REF!</definedName>
    <definedName name="BExBCLMEPAN3XXX174TU8SS0627Q" localSheetId="2" hidden="1">#REF!</definedName>
    <definedName name="BExBCLMEPAN3XXX174TU8SS0627Q" localSheetId="34" hidden="1">#REF!</definedName>
    <definedName name="BExBCLMEPAN3XXX174TU8SS0627Q" localSheetId="12" hidden="1">#REF!</definedName>
    <definedName name="BExBCLMEPAN3XXX174TU8SS0627Q" localSheetId="10" hidden="1">#REF!</definedName>
    <definedName name="BExBCLMEPAN3XXX174TU8SS0627Q" localSheetId="6" hidden="1">#REF!</definedName>
    <definedName name="BExBCLMEPAN3XXX174TU8SS0627Q" hidden="1">#REF!</definedName>
    <definedName name="BExBDJS9TUEU8Z84IV59E5V4T8K6" localSheetId="1" hidden="1">#REF!</definedName>
    <definedName name="BExBDJS9TUEU8Z84IV59E5V4T8K6" localSheetId="7" hidden="1">#REF!</definedName>
    <definedName name="BExBDJS9TUEU8Z84IV59E5V4T8K6" localSheetId="2" hidden="1">#REF!</definedName>
    <definedName name="BExBDJS9TUEU8Z84IV59E5V4T8K6" localSheetId="34" hidden="1">#REF!</definedName>
    <definedName name="BExBDJS9TUEU8Z84IV59E5V4T8K6" localSheetId="12" hidden="1">#REF!</definedName>
    <definedName name="BExBDJS9TUEU8Z84IV59E5V4T8K6" localSheetId="10" hidden="1">#REF!</definedName>
    <definedName name="BExBDJS9TUEU8Z84IV59E5V4T8K6" localSheetId="6" hidden="1">#REF!</definedName>
    <definedName name="BExBDJS9TUEU8Z84IV59E5V4T8K6" hidden="1">#REF!</definedName>
    <definedName name="BExCS7ZPMHFJ4UJDAL8CQOLSZ13B" localSheetId="1" hidden="1">#REF!</definedName>
    <definedName name="BExCS7ZPMHFJ4UJDAL8CQOLSZ13B" localSheetId="7" hidden="1">#REF!</definedName>
    <definedName name="BExCS7ZPMHFJ4UJDAL8CQOLSZ13B" localSheetId="2" hidden="1">#REF!</definedName>
    <definedName name="BExCS7ZPMHFJ4UJDAL8CQOLSZ13B" localSheetId="34" hidden="1">#REF!</definedName>
    <definedName name="BExCS7ZPMHFJ4UJDAL8CQOLSZ13B" localSheetId="12" hidden="1">#REF!</definedName>
    <definedName name="BExCS7ZPMHFJ4UJDAL8CQOLSZ13B" localSheetId="10" hidden="1">#REF!</definedName>
    <definedName name="BExCS7ZPMHFJ4UJDAL8CQOLSZ13B" localSheetId="6" hidden="1">#REF!</definedName>
    <definedName name="BExCS7ZPMHFJ4UJDAL8CQOLSZ13B" hidden="1">#REF!</definedName>
    <definedName name="BExCSSDG3TM6TPKS19E9QYJEELZ6" localSheetId="1" hidden="1">#REF!</definedName>
    <definedName name="BExCSSDG3TM6TPKS19E9QYJEELZ6" localSheetId="7" hidden="1">#REF!</definedName>
    <definedName name="BExCSSDG3TM6TPKS19E9QYJEELZ6" localSheetId="2" hidden="1">#REF!</definedName>
    <definedName name="BExCSSDG3TM6TPKS19E9QYJEELZ6" localSheetId="34" hidden="1">#REF!</definedName>
    <definedName name="BExCSSDG3TM6TPKS19E9QYJEELZ6" localSheetId="12" hidden="1">#REF!</definedName>
    <definedName name="BExCSSDG3TM6TPKS19E9QYJEELZ6" localSheetId="10" hidden="1">#REF!</definedName>
    <definedName name="BExCSSDG3TM6TPKS19E9QYJEELZ6" localSheetId="6" hidden="1">#REF!</definedName>
    <definedName name="BExCSSDG3TM6TPKS19E9QYJEELZ6" hidden="1">#REF!</definedName>
    <definedName name="BExCT4NSDT61OCH04Y2QIFIOP75H" localSheetId="1" hidden="1">#REF!</definedName>
    <definedName name="BExCT4NSDT61OCH04Y2QIFIOP75H" localSheetId="7" hidden="1">#REF!</definedName>
    <definedName name="BExCT4NSDT61OCH04Y2QIFIOP75H" localSheetId="2" hidden="1">#REF!</definedName>
    <definedName name="BExCT4NSDT61OCH04Y2QIFIOP75H" localSheetId="34" hidden="1">#REF!</definedName>
    <definedName name="BExCT4NSDT61OCH04Y2QIFIOP75H" localSheetId="12" hidden="1">#REF!</definedName>
    <definedName name="BExCT4NSDT61OCH04Y2QIFIOP75H" localSheetId="10" hidden="1">#REF!</definedName>
    <definedName name="BExCT4NSDT61OCH04Y2QIFIOP75H" localSheetId="6" hidden="1">#REF!</definedName>
    <definedName name="BExCT4NSDT61OCH04Y2QIFIOP75H" hidden="1">#REF!</definedName>
    <definedName name="BExCU0A1V6NMZQ9ASYJ8QIVQ5UR2" localSheetId="1" hidden="1">#REF!</definedName>
    <definedName name="BExCU0A1V6NMZQ9ASYJ8QIVQ5UR2" localSheetId="7" hidden="1">#REF!</definedName>
    <definedName name="BExCU0A1V6NMZQ9ASYJ8QIVQ5UR2" localSheetId="2" hidden="1">#REF!</definedName>
    <definedName name="BExCU0A1V6NMZQ9ASYJ8QIVQ5UR2" localSheetId="34" hidden="1">#REF!</definedName>
    <definedName name="BExCU0A1V6NMZQ9ASYJ8QIVQ5UR2" localSheetId="12" hidden="1">#REF!</definedName>
    <definedName name="BExCU0A1V6NMZQ9ASYJ8QIVQ5UR2" localSheetId="10" hidden="1">#REF!</definedName>
    <definedName name="BExCU0A1V6NMZQ9ASYJ8QIVQ5UR2" localSheetId="6" hidden="1">#REF!</definedName>
    <definedName name="BExCU0A1V6NMZQ9ASYJ8QIVQ5UR2" hidden="1">#REF!</definedName>
    <definedName name="BExCVZ5PN4V6MRBZ04PZJW3GEF8S" localSheetId="1" hidden="1">#REF!</definedName>
    <definedName name="BExCVZ5PN4V6MRBZ04PZJW3GEF8S" localSheetId="7" hidden="1">#REF!</definedName>
    <definedName name="BExCVZ5PN4V6MRBZ04PZJW3GEF8S" localSheetId="2" hidden="1">#REF!</definedName>
    <definedName name="BExCVZ5PN4V6MRBZ04PZJW3GEF8S" localSheetId="34" hidden="1">#REF!</definedName>
    <definedName name="BExCVZ5PN4V6MRBZ04PZJW3GEF8S" localSheetId="12" hidden="1">#REF!</definedName>
    <definedName name="BExCVZ5PN4V6MRBZ04PZJW3GEF8S" localSheetId="10" hidden="1">#REF!</definedName>
    <definedName name="BExCVZ5PN4V6MRBZ04PZJW3GEF8S" localSheetId="6" hidden="1">#REF!</definedName>
    <definedName name="BExCVZ5PN4V6MRBZ04PZJW3GEF8S" hidden="1">#REF!</definedName>
    <definedName name="BExCX2KGRZBRVLZNM8SUSIE6A0RL" localSheetId="1" hidden="1">#REF!</definedName>
    <definedName name="BExCX2KGRZBRVLZNM8SUSIE6A0RL" localSheetId="7" hidden="1">#REF!</definedName>
    <definedName name="BExCX2KGRZBRVLZNM8SUSIE6A0RL" localSheetId="2" hidden="1">#REF!</definedName>
    <definedName name="BExCX2KGRZBRVLZNM8SUSIE6A0RL" localSheetId="34" hidden="1">#REF!</definedName>
    <definedName name="BExCX2KGRZBRVLZNM8SUSIE6A0RL" localSheetId="12" hidden="1">#REF!</definedName>
    <definedName name="BExCX2KGRZBRVLZNM8SUSIE6A0RL" localSheetId="10" hidden="1">#REF!</definedName>
    <definedName name="BExCX2KGRZBRVLZNM8SUSIE6A0RL" localSheetId="6" hidden="1">#REF!</definedName>
    <definedName name="BExCX2KGRZBRVLZNM8SUSIE6A0RL" hidden="1">#REF!</definedName>
    <definedName name="BExCYUK0I3UEXZNFDW71G6Z6D8XR" localSheetId="1" hidden="1">#REF!</definedName>
    <definedName name="BExCYUK0I3UEXZNFDW71G6Z6D8XR" localSheetId="7" hidden="1">#REF!</definedName>
    <definedName name="BExCYUK0I3UEXZNFDW71G6Z6D8XR" localSheetId="2" hidden="1">#REF!</definedName>
    <definedName name="BExCYUK0I3UEXZNFDW71G6Z6D8XR" localSheetId="34" hidden="1">#REF!</definedName>
    <definedName name="BExCYUK0I3UEXZNFDW71G6Z6D8XR" localSheetId="12" hidden="1">#REF!</definedName>
    <definedName name="BExCYUK0I3UEXZNFDW71G6Z6D8XR" localSheetId="10" hidden="1">#REF!</definedName>
    <definedName name="BExCYUK0I3UEXZNFDW71G6Z6D8XR" localSheetId="6" hidden="1">#REF!</definedName>
    <definedName name="BExCYUK0I3UEXZNFDW71G6Z6D8XR" hidden="1">#REF!</definedName>
    <definedName name="BExD2CFHIRMBKN5KXE5QP4XXEWFS" localSheetId="1" hidden="1">#REF!</definedName>
    <definedName name="BExD2CFHIRMBKN5KXE5QP4XXEWFS" localSheetId="7" hidden="1">#REF!</definedName>
    <definedName name="BExD2CFHIRMBKN5KXE5QP4XXEWFS" localSheetId="2" hidden="1">#REF!</definedName>
    <definedName name="BExD2CFHIRMBKN5KXE5QP4XXEWFS" localSheetId="34" hidden="1">#REF!</definedName>
    <definedName name="BExD2CFHIRMBKN5KXE5QP4XXEWFS" localSheetId="12" hidden="1">#REF!</definedName>
    <definedName name="BExD2CFHIRMBKN5KXE5QP4XXEWFS" localSheetId="10" hidden="1">#REF!</definedName>
    <definedName name="BExD2CFHIRMBKN5KXE5QP4XXEWFS" localSheetId="6" hidden="1">#REF!</definedName>
    <definedName name="BExD2CFHIRMBKN5KXE5QP4XXEWFS" hidden="1">#REF!</definedName>
    <definedName name="BExD3F368X5S25MWSUNIV57RDB57" localSheetId="1" hidden="1">#REF!</definedName>
    <definedName name="BExD3F368X5S25MWSUNIV57RDB57" localSheetId="7" hidden="1">#REF!</definedName>
    <definedName name="BExD3F368X5S25MWSUNIV57RDB57" localSheetId="2" hidden="1">#REF!</definedName>
    <definedName name="BExD3F368X5S25MWSUNIV57RDB57" localSheetId="34" hidden="1">#REF!</definedName>
    <definedName name="BExD3F368X5S25MWSUNIV57RDB57" localSheetId="12" hidden="1">#REF!</definedName>
    <definedName name="BExD3F368X5S25MWSUNIV57RDB57" localSheetId="10" hidden="1">#REF!</definedName>
    <definedName name="BExD3F368X5S25MWSUNIV57RDB57" localSheetId="6" hidden="1">#REF!</definedName>
    <definedName name="BExD3F368X5S25MWSUNIV57RDB57" hidden="1">#REF!</definedName>
    <definedName name="BExD40O0CFTNJFOFMMM1KH0P7BUI" localSheetId="1" hidden="1">#REF!</definedName>
    <definedName name="BExD40O0CFTNJFOFMMM1KH0P7BUI" localSheetId="7" hidden="1">#REF!</definedName>
    <definedName name="BExD40O0CFTNJFOFMMM1KH0P7BUI" localSheetId="2" hidden="1">#REF!</definedName>
    <definedName name="BExD40O0CFTNJFOFMMM1KH0P7BUI" localSheetId="34" hidden="1">#REF!</definedName>
    <definedName name="BExD40O0CFTNJFOFMMM1KH0P7BUI" localSheetId="12" hidden="1">#REF!</definedName>
    <definedName name="BExD40O0CFTNJFOFMMM1KH0P7BUI" localSheetId="10" hidden="1">#REF!</definedName>
    <definedName name="BExD40O0CFTNJFOFMMM1KH0P7BUI" localSheetId="6" hidden="1">#REF!</definedName>
    <definedName name="BExD40O0CFTNJFOFMMM1KH0P7BUI" hidden="1">#REF!</definedName>
    <definedName name="BExD4H5GQWXBS6LUL3TSP36DVO38" localSheetId="1" hidden="1">#REF!</definedName>
    <definedName name="BExD4H5GQWXBS6LUL3TSP36DVO38" localSheetId="7" hidden="1">#REF!</definedName>
    <definedName name="BExD4H5GQWXBS6LUL3TSP36DVO38" localSheetId="2" hidden="1">#REF!</definedName>
    <definedName name="BExD4H5GQWXBS6LUL3TSP36DVO38" localSheetId="34" hidden="1">#REF!</definedName>
    <definedName name="BExD4H5GQWXBS6LUL3TSP36DVO38" localSheetId="12" hidden="1">#REF!</definedName>
    <definedName name="BExD4H5GQWXBS6LUL3TSP36DVO38" localSheetId="10" hidden="1">#REF!</definedName>
    <definedName name="BExD4H5GQWXBS6LUL3TSP36DVO38" localSheetId="6" hidden="1">#REF!</definedName>
    <definedName name="BExD4H5GQWXBS6LUL3TSP36DVO38" hidden="1">#REF!</definedName>
    <definedName name="BExD4JJSS3QDBLABCJCHD45SRNPI" localSheetId="1" hidden="1">#REF!</definedName>
    <definedName name="BExD4JJSS3QDBLABCJCHD45SRNPI" localSheetId="7" hidden="1">#REF!</definedName>
    <definedName name="BExD4JJSS3QDBLABCJCHD45SRNPI" localSheetId="2" hidden="1">#REF!</definedName>
    <definedName name="BExD4JJSS3QDBLABCJCHD45SRNPI" localSheetId="34" hidden="1">#REF!</definedName>
    <definedName name="BExD4JJSS3QDBLABCJCHD45SRNPI" localSheetId="12" hidden="1">#REF!</definedName>
    <definedName name="BExD4JJSS3QDBLABCJCHD45SRNPI" localSheetId="10" hidden="1">#REF!</definedName>
    <definedName name="BExD4JJSS3QDBLABCJCHD45SRNPI" localSheetId="6" hidden="1">#REF!</definedName>
    <definedName name="BExD4JJSS3QDBLABCJCHD45SRNPI" hidden="1">#REF!</definedName>
    <definedName name="BExD4R1I0MKF033I5LPUYIMTZ6E8" localSheetId="1" hidden="1">#REF!</definedName>
    <definedName name="BExD4R1I0MKF033I5LPUYIMTZ6E8" localSheetId="7" hidden="1">#REF!</definedName>
    <definedName name="BExD4R1I0MKF033I5LPUYIMTZ6E8" localSheetId="2" hidden="1">#REF!</definedName>
    <definedName name="BExD4R1I0MKF033I5LPUYIMTZ6E8" localSheetId="34" hidden="1">#REF!</definedName>
    <definedName name="BExD4R1I0MKF033I5LPUYIMTZ6E8" localSheetId="12" hidden="1">#REF!</definedName>
    <definedName name="BExD4R1I0MKF033I5LPUYIMTZ6E8" localSheetId="10" hidden="1">#REF!</definedName>
    <definedName name="BExD4R1I0MKF033I5LPUYIMTZ6E8" localSheetId="6" hidden="1">#REF!</definedName>
    <definedName name="BExD4R1I0MKF033I5LPUYIMTZ6E8" hidden="1">#REF!</definedName>
    <definedName name="BExD623C9LRX18BE0W2V6SZLQUXX" localSheetId="1" hidden="1">#REF!</definedName>
    <definedName name="BExD623C9LRX18BE0W2V6SZLQUXX" localSheetId="7" hidden="1">#REF!</definedName>
    <definedName name="BExD623C9LRX18BE0W2V6SZLQUXX" localSheetId="2" hidden="1">#REF!</definedName>
    <definedName name="BExD623C9LRX18BE0W2V6SZLQUXX" localSheetId="34" hidden="1">#REF!</definedName>
    <definedName name="BExD623C9LRX18BE0W2V6SZLQUXX" localSheetId="12" hidden="1">#REF!</definedName>
    <definedName name="BExD623C9LRX18BE0W2V6SZLQUXX" localSheetId="10" hidden="1">#REF!</definedName>
    <definedName name="BExD623C9LRX18BE0W2V6SZLQUXX" localSheetId="6" hidden="1">#REF!</definedName>
    <definedName name="BExD623C9LRX18BE0W2V6SZLQUXX" hidden="1">#REF!</definedName>
    <definedName name="BExD6GMP0LK8WKVWMIT1NNH8CHLF" localSheetId="1" hidden="1">#REF!</definedName>
    <definedName name="BExD6GMP0LK8WKVWMIT1NNH8CHLF" localSheetId="7" hidden="1">#REF!</definedName>
    <definedName name="BExD6GMP0LK8WKVWMIT1NNH8CHLF" localSheetId="2" hidden="1">#REF!</definedName>
    <definedName name="BExD6GMP0LK8WKVWMIT1NNH8CHLF" localSheetId="34" hidden="1">#REF!</definedName>
    <definedName name="BExD6GMP0LK8WKVWMIT1NNH8CHLF" localSheetId="12" hidden="1">#REF!</definedName>
    <definedName name="BExD6GMP0LK8WKVWMIT1NNH8CHLF" localSheetId="10" hidden="1">#REF!</definedName>
    <definedName name="BExD6GMP0LK8WKVWMIT1NNH8CHLF" localSheetId="6" hidden="1">#REF!</definedName>
    <definedName name="BExD6GMP0LK8WKVWMIT1NNH8CHLF" hidden="1">#REF!</definedName>
    <definedName name="BExD7GAIGULTB3YHM1OS9RBQOTEC" localSheetId="1" hidden="1">#REF!</definedName>
    <definedName name="BExD7GAIGULTB3YHM1OS9RBQOTEC" localSheetId="7" hidden="1">#REF!</definedName>
    <definedName name="BExD7GAIGULTB3YHM1OS9RBQOTEC" localSheetId="2" hidden="1">#REF!</definedName>
    <definedName name="BExD7GAIGULTB3YHM1OS9RBQOTEC" localSheetId="34" hidden="1">#REF!</definedName>
    <definedName name="BExD7GAIGULTB3YHM1OS9RBQOTEC" localSheetId="12" hidden="1">#REF!</definedName>
    <definedName name="BExD7GAIGULTB3YHM1OS9RBQOTEC" localSheetId="10" hidden="1">#REF!</definedName>
    <definedName name="BExD7GAIGULTB3YHM1OS9RBQOTEC" localSheetId="6" hidden="1">#REF!</definedName>
    <definedName name="BExD7GAIGULTB3YHM1OS9RBQOTEC" hidden="1">#REF!</definedName>
    <definedName name="BExD7JQOJ35HGL8U2OCEI2P2JT7I" localSheetId="1" hidden="1">#REF!</definedName>
    <definedName name="BExD7JQOJ35HGL8U2OCEI2P2JT7I" localSheetId="7" hidden="1">#REF!</definedName>
    <definedName name="BExD7JQOJ35HGL8U2OCEI2P2JT7I" localSheetId="2" hidden="1">#REF!</definedName>
    <definedName name="BExD7JQOJ35HGL8U2OCEI2P2JT7I" localSheetId="34" hidden="1">#REF!</definedName>
    <definedName name="BExD7JQOJ35HGL8U2OCEI2P2JT7I" localSheetId="12" hidden="1">#REF!</definedName>
    <definedName name="BExD7JQOJ35HGL8U2OCEI2P2JT7I" localSheetId="10" hidden="1">#REF!</definedName>
    <definedName name="BExD7JQOJ35HGL8U2OCEI2P2JT7I" localSheetId="6" hidden="1">#REF!</definedName>
    <definedName name="BExD7JQOJ35HGL8U2OCEI2P2JT7I" hidden="1">#REF!</definedName>
    <definedName name="BExD8OCLZMFN5K3VZYI4Q4ITVKUA" localSheetId="1" hidden="1">#REF!</definedName>
    <definedName name="BExD8OCLZMFN5K3VZYI4Q4ITVKUA" localSheetId="7" hidden="1">#REF!</definedName>
    <definedName name="BExD8OCLZMFN5K3VZYI4Q4ITVKUA" localSheetId="2" hidden="1">#REF!</definedName>
    <definedName name="BExD8OCLZMFN5K3VZYI4Q4ITVKUA" localSheetId="34" hidden="1">#REF!</definedName>
    <definedName name="BExD8OCLZMFN5K3VZYI4Q4ITVKUA" localSheetId="12" hidden="1">#REF!</definedName>
    <definedName name="BExD8OCLZMFN5K3VZYI4Q4ITVKUA" localSheetId="10" hidden="1">#REF!</definedName>
    <definedName name="BExD8OCLZMFN5K3VZYI4Q4ITVKUA" localSheetId="6" hidden="1">#REF!</definedName>
    <definedName name="BExD8OCLZMFN5K3VZYI4Q4ITVKUA" hidden="1">#REF!</definedName>
    <definedName name="BExEQB8ZWXO6IIGOEPWTLOJGE2NR" localSheetId="1" hidden="1">#REF!</definedName>
    <definedName name="BExEQB8ZWXO6IIGOEPWTLOJGE2NR" localSheetId="7" hidden="1">#REF!</definedName>
    <definedName name="BExEQB8ZWXO6IIGOEPWTLOJGE2NR" localSheetId="2" hidden="1">#REF!</definedName>
    <definedName name="BExEQB8ZWXO6IIGOEPWTLOJGE2NR" localSheetId="34" hidden="1">#REF!</definedName>
    <definedName name="BExEQB8ZWXO6IIGOEPWTLOJGE2NR" localSheetId="12" hidden="1">#REF!</definedName>
    <definedName name="BExEQB8ZWXO6IIGOEPWTLOJGE2NR" localSheetId="10" hidden="1">#REF!</definedName>
    <definedName name="BExEQB8ZWXO6IIGOEPWTLOJGE2NR" localSheetId="6" hidden="1">#REF!</definedName>
    <definedName name="BExEQB8ZWXO6IIGOEPWTLOJGE2NR" hidden="1">#REF!</definedName>
    <definedName name="BExERSANFNM1O7T65PC5MJ301YET" localSheetId="1" hidden="1">#REF!</definedName>
    <definedName name="BExERSANFNM1O7T65PC5MJ301YET" localSheetId="7" hidden="1">#REF!</definedName>
    <definedName name="BExERSANFNM1O7T65PC5MJ301YET" localSheetId="2" hidden="1">#REF!</definedName>
    <definedName name="BExERSANFNM1O7T65PC5MJ301YET" localSheetId="34" hidden="1">#REF!</definedName>
    <definedName name="BExERSANFNM1O7T65PC5MJ301YET" localSheetId="12" hidden="1">#REF!</definedName>
    <definedName name="BExERSANFNM1O7T65PC5MJ301YET" localSheetId="10" hidden="1">#REF!</definedName>
    <definedName name="BExERSANFNM1O7T65PC5MJ301YET" localSheetId="6" hidden="1">#REF!</definedName>
    <definedName name="BExERSANFNM1O7T65PC5MJ301YET" hidden="1">#REF!</definedName>
    <definedName name="BExERWCEBKQRYWRQLYJ4UCMMKTHG" localSheetId="1" hidden="1">#REF!</definedName>
    <definedName name="BExERWCEBKQRYWRQLYJ4UCMMKTHG" localSheetId="7" hidden="1">#REF!</definedName>
    <definedName name="BExERWCEBKQRYWRQLYJ4UCMMKTHG" localSheetId="2" hidden="1">#REF!</definedName>
    <definedName name="BExERWCEBKQRYWRQLYJ4UCMMKTHG" localSheetId="34" hidden="1">#REF!</definedName>
    <definedName name="BExERWCEBKQRYWRQLYJ4UCMMKTHG" localSheetId="12" hidden="1">#REF!</definedName>
    <definedName name="BExERWCEBKQRYWRQLYJ4UCMMKTHG" localSheetId="10" hidden="1">#REF!</definedName>
    <definedName name="BExERWCEBKQRYWRQLYJ4UCMMKTHG" localSheetId="6" hidden="1">#REF!</definedName>
    <definedName name="BExERWCEBKQRYWRQLYJ4UCMMKTHG" hidden="1">#REF!</definedName>
    <definedName name="BExEX9HWY2G6928ZVVVQF77QCM2C" localSheetId="1" hidden="1">#REF!</definedName>
    <definedName name="BExEX9HWY2G6928ZVVVQF77QCM2C" localSheetId="7" hidden="1">#REF!</definedName>
    <definedName name="BExEX9HWY2G6928ZVVVQF77QCM2C" localSheetId="2" hidden="1">#REF!</definedName>
    <definedName name="BExEX9HWY2G6928ZVVVQF77QCM2C" localSheetId="34" hidden="1">#REF!</definedName>
    <definedName name="BExEX9HWY2G6928ZVVVQF77QCM2C" localSheetId="12" hidden="1">#REF!</definedName>
    <definedName name="BExEX9HWY2G6928ZVVVQF77QCM2C" localSheetId="10" hidden="1">#REF!</definedName>
    <definedName name="BExEX9HWY2G6928ZVVVQF77QCM2C" localSheetId="6" hidden="1">#REF!</definedName>
    <definedName name="BExEX9HWY2G6928ZVVVQF77QCM2C" hidden="1">#REF!</definedName>
    <definedName name="BExEXRBZ0DI9E2UFLLKYWGN66B61" localSheetId="1" hidden="1">#REF!</definedName>
    <definedName name="BExEXRBZ0DI9E2UFLLKYWGN66B61" localSheetId="7" hidden="1">#REF!</definedName>
    <definedName name="BExEXRBZ0DI9E2UFLLKYWGN66B61" localSheetId="2" hidden="1">#REF!</definedName>
    <definedName name="BExEXRBZ0DI9E2UFLLKYWGN66B61" localSheetId="34" hidden="1">#REF!</definedName>
    <definedName name="BExEXRBZ0DI9E2UFLLKYWGN66B61" localSheetId="12" hidden="1">#REF!</definedName>
    <definedName name="BExEXRBZ0DI9E2UFLLKYWGN66B61" localSheetId="10" hidden="1">#REF!</definedName>
    <definedName name="BExEXRBZ0DI9E2UFLLKYWGN66B61" localSheetId="6" hidden="1">#REF!</definedName>
    <definedName name="BExEXRBZ0DI9E2UFLLKYWGN66B61" hidden="1">#REF!</definedName>
    <definedName name="BExF0ZRI7W4RSLIDLHTSM0AWXO3S" localSheetId="1" hidden="1">#REF!</definedName>
    <definedName name="BExF0ZRI7W4RSLIDLHTSM0AWXO3S" localSheetId="7" hidden="1">#REF!</definedName>
    <definedName name="BExF0ZRI7W4RSLIDLHTSM0AWXO3S" localSheetId="2" hidden="1">#REF!</definedName>
    <definedName name="BExF0ZRI7W4RSLIDLHTSM0AWXO3S" localSheetId="34" hidden="1">#REF!</definedName>
    <definedName name="BExF0ZRI7W4RSLIDLHTSM0AWXO3S" localSheetId="12" hidden="1">#REF!</definedName>
    <definedName name="BExF0ZRI7W4RSLIDLHTSM0AWXO3S" localSheetId="10" hidden="1">#REF!</definedName>
    <definedName name="BExF0ZRI7W4RSLIDLHTSM0AWXO3S" localSheetId="6" hidden="1">#REF!</definedName>
    <definedName name="BExF0ZRI7W4RSLIDLHTSM0AWXO3S" hidden="1">#REF!</definedName>
    <definedName name="BExF3NTC4BGZEM6B87TCFX277QCS" localSheetId="1" hidden="1">#REF!</definedName>
    <definedName name="BExF3NTC4BGZEM6B87TCFX277QCS" localSheetId="7" hidden="1">#REF!</definedName>
    <definedName name="BExF3NTC4BGZEM6B87TCFX277QCS" localSheetId="2" hidden="1">#REF!</definedName>
    <definedName name="BExF3NTC4BGZEM6B87TCFX277QCS" localSheetId="34" hidden="1">#REF!</definedName>
    <definedName name="BExF3NTC4BGZEM6B87TCFX277QCS" localSheetId="12" hidden="1">#REF!</definedName>
    <definedName name="BExF3NTC4BGZEM6B87TCFX277QCS" localSheetId="10" hidden="1">#REF!</definedName>
    <definedName name="BExF3NTC4BGZEM6B87TCFX277QCS" localSheetId="6" hidden="1">#REF!</definedName>
    <definedName name="BExF3NTC4BGZEM6B87TCFX277QCS" hidden="1">#REF!</definedName>
    <definedName name="BExF42SSBVPMLK2UB3B7FPEIY9TU" localSheetId="1" hidden="1">#REF!</definedName>
    <definedName name="BExF42SSBVPMLK2UB3B7FPEIY9TU" localSheetId="7" hidden="1">#REF!</definedName>
    <definedName name="BExF42SSBVPMLK2UB3B7FPEIY9TU" localSheetId="2" hidden="1">#REF!</definedName>
    <definedName name="BExF42SSBVPMLK2UB3B7FPEIY9TU" localSheetId="34" hidden="1">#REF!</definedName>
    <definedName name="BExF42SSBVPMLK2UB3B7FPEIY9TU" localSheetId="12" hidden="1">#REF!</definedName>
    <definedName name="BExF42SSBVPMLK2UB3B7FPEIY9TU" localSheetId="10" hidden="1">#REF!</definedName>
    <definedName name="BExF42SSBVPMLK2UB3B7FPEIY9TU" localSheetId="6" hidden="1">#REF!</definedName>
    <definedName name="BExF42SSBVPMLK2UB3B7FPEIY9TU" hidden="1">#REF!</definedName>
    <definedName name="BExF4PVMZYV36E8HOYY06J81AMBI" localSheetId="1" hidden="1">#REF!</definedName>
    <definedName name="BExF4PVMZYV36E8HOYY06J81AMBI" localSheetId="7" hidden="1">#REF!</definedName>
    <definedName name="BExF4PVMZYV36E8HOYY06J81AMBI" localSheetId="2" hidden="1">#REF!</definedName>
    <definedName name="BExF4PVMZYV36E8HOYY06J81AMBI" localSheetId="34" hidden="1">#REF!</definedName>
    <definedName name="BExF4PVMZYV36E8HOYY06J81AMBI" localSheetId="12" hidden="1">#REF!</definedName>
    <definedName name="BExF4PVMZYV36E8HOYY06J81AMBI" localSheetId="10" hidden="1">#REF!</definedName>
    <definedName name="BExF4PVMZYV36E8HOYY06J81AMBI" localSheetId="6" hidden="1">#REF!</definedName>
    <definedName name="BExF4PVMZYV36E8HOYY06J81AMBI" hidden="1">#REF!</definedName>
    <definedName name="BExF5ZFO2A29GHWR5ES64Z9OS16J" localSheetId="1" hidden="1">#REF!</definedName>
    <definedName name="BExF5ZFO2A29GHWR5ES64Z9OS16J" localSheetId="7" hidden="1">#REF!</definedName>
    <definedName name="BExF5ZFO2A29GHWR5ES64Z9OS16J" localSheetId="2" hidden="1">#REF!</definedName>
    <definedName name="BExF5ZFO2A29GHWR5ES64Z9OS16J" localSheetId="34" hidden="1">#REF!</definedName>
    <definedName name="BExF5ZFO2A29GHWR5ES64Z9OS16J" localSheetId="12" hidden="1">#REF!</definedName>
    <definedName name="BExF5ZFO2A29GHWR5ES64Z9OS16J" localSheetId="10" hidden="1">#REF!</definedName>
    <definedName name="BExF5ZFO2A29GHWR5ES64Z9OS16J" localSheetId="6" hidden="1">#REF!</definedName>
    <definedName name="BExF5ZFO2A29GHWR5ES64Z9OS16J" hidden="1">#REF!</definedName>
    <definedName name="BExF67O951CF8UJF3KBDNR0E83C1" localSheetId="1" hidden="1">#REF!</definedName>
    <definedName name="BExF67O951CF8UJF3KBDNR0E83C1" localSheetId="7" hidden="1">#REF!</definedName>
    <definedName name="BExF67O951CF8UJF3KBDNR0E83C1" localSheetId="2" hidden="1">#REF!</definedName>
    <definedName name="BExF67O951CF8UJF3KBDNR0E83C1" localSheetId="34" hidden="1">#REF!</definedName>
    <definedName name="BExF67O951CF8UJF3KBDNR0E83C1" localSheetId="12" hidden="1">#REF!</definedName>
    <definedName name="BExF67O951CF8UJF3KBDNR0E83C1" localSheetId="10" hidden="1">#REF!</definedName>
    <definedName name="BExF67O951CF8UJF3KBDNR0E83C1" localSheetId="6" hidden="1">#REF!</definedName>
    <definedName name="BExF67O951CF8UJF3KBDNR0E83C1" hidden="1">#REF!</definedName>
    <definedName name="BExF6GNYXWY8A0SY4PW1B6KJMMTM" localSheetId="1" hidden="1">#REF!</definedName>
    <definedName name="BExF6GNYXWY8A0SY4PW1B6KJMMTM" localSheetId="7" hidden="1">#REF!</definedName>
    <definedName name="BExF6GNYXWY8A0SY4PW1B6KJMMTM" localSheetId="2" hidden="1">#REF!</definedName>
    <definedName name="BExF6GNYXWY8A0SY4PW1B6KJMMTM" localSheetId="34" hidden="1">#REF!</definedName>
    <definedName name="BExF6GNYXWY8A0SY4PW1B6KJMMTM" localSheetId="12" hidden="1">#REF!</definedName>
    <definedName name="BExF6GNYXWY8A0SY4PW1B6KJMMTM" localSheetId="10" hidden="1">#REF!</definedName>
    <definedName name="BExF6GNYXWY8A0SY4PW1B6KJMMTM" localSheetId="6" hidden="1">#REF!</definedName>
    <definedName name="BExF6GNYXWY8A0SY4PW1B6KJMMTM" hidden="1">#REF!</definedName>
    <definedName name="BExF7K88K7ASGV6RAOAGH52G04VR" localSheetId="1" hidden="1">#REF!</definedName>
    <definedName name="BExF7K88K7ASGV6RAOAGH52G04VR" localSheetId="7" hidden="1">#REF!</definedName>
    <definedName name="BExF7K88K7ASGV6RAOAGH52G04VR" localSheetId="2" hidden="1">#REF!</definedName>
    <definedName name="BExF7K88K7ASGV6RAOAGH52G04VR" localSheetId="34" hidden="1">#REF!</definedName>
    <definedName name="BExF7K88K7ASGV6RAOAGH52G04VR" localSheetId="12" hidden="1">#REF!</definedName>
    <definedName name="BExF7K88K7ASGV6RAOAGH52G04VR" localSheetId="10" hidden="1">#REF!</definedName>
    <definedName name="BExF7K88K7ASGV6RAOAGH52G04VR" localSheetId="6" hidden="1">#REF!</definedName>
    <definedName name="BExF7K88K7ASGV6RAOAGH52G04VR" hidden="1">#REF!</definedName>
    <definedName name="BExGL97US0Y3KXXASUTVR26XLT70" localSheetId="1" hidden="1">#REF!</definedName>
    <definedName name="BExGL97US0Y3KXXASUTVR26XLT70" localSheetId="7" hidden="1">#REF!</definedName>
    <definedName name="BExGL97US0Y3KXXASUTVR26XLT70" localSheetId="2" hidden="1">#REF!</definedName>
    <definedName name="BExGL97US0Y3KXXASUTVR26XLT70" localSheetId="34" hidden="1">#REF!</definedName>
    <definedName name="BExGL97US0Y3KXXASUTVR26XLT70" localSheetId="12" hidden="1">#REF!</definedName>
    <definedName name="BExGL97US0Y3KXXASUTVR26XLT70" localSheetId="10" hidden="1">#REF!</definedName>
    <definedName name="BExGL97US0Y3KXXASUTVR26XLT70" localSheetId="6" hidden="1">#REF!</definedName>
    <definedName name="BExGL97US0Y3KXXASUTVR26XLT70" hidden="1">#REF!</definedName>
    <definedName name="BExGMJDGIH0MEPC2TUSFUCY2ROTB" localSheetId="1" hidden="1">#REF!</definedName>
    <definedName name="BExGMJDGIH0MEPC2TUSFUCY2ROTB" localSheetId="7" hidden="1">#REF!</definedName>
    <definedName name="BExGMJDGIH0MEPC2TUSFUCY2ROTB" localSheetId="2" hidden="1">#REF!</definedName>
    <definedName name="BExGMJDGIH0MEPC2TUSFUCY2ROTB" localSheetId="34" hidden="1">#REF!</definedName>
    <definedName name="BExGMJDGIH0MEPC2TUSFUCY2ROTB" localSheetId="12" hidden="1">#REF!</definedName>
    <definedName name="BExGMJDGIH0MEPC2TUSFUCY2ROTB" localSheetId="10" hidden="1">#REF!</definedName>
    <definedName name="BExGMJDGIH0MEPC2TUSFUCY2ROTB" localSheetId="6" hidden="1">#REF!</definedName>
    <definedName name="BExGMJDGIH0MEPC2TUSFUCY2ROTB" hidden="1">#REF!</definedName>
    <definedName name="BExGNDSIMTHOCXXG6QOGR6DA8SGG" localSheetId="1" hidden="1">#REF!</definedName>
    <definedName name="BExGNDSIMTHOCXXG6QOGR6DA8SGG" localSheetId="7" hidden="1">#REF!</definedName>
    <definedName name="BExGNDSIMTHOCXXG6QOGR6DA8SGG" localSheetId="2" hidden="1">#REF!</definedName>
    <definedName name="BExGNDSIMTHOCXXG6QOGR6DA8SGG" localSheetId="34" hidden="1">#REF!</definedName>
    <definedName name="BExGNDSIMTHOCXXG6QOGR6DA8SGG" localSheetId="12" hidden="1">#REF!</definedName>
    <definedName name="BExGNDSIMTHOCXXG6QOGR6DA8SGG" localSheetId="10" hidden="1">#REF!</definedName>
    <definedName name="BExGNDSIMTHOCXXG6QOGR6DA8SGG" localSheetId="6" hidden="1">#REF!</definedName>
    <definedName name="BExGNDSIMTHOCXXG6QOGR6DA8SGG" hidden="1">#REF!</definedName>
    <definedName name="BExGNN2YQ9BDAZXT2GLCSAPXKIM7" localSheetId="1" hidden="1">#REF!</definedName>
    <definedName name="BExGNN2YQ9BDAZXT2GLCSAPXKIM7" localSheetId="7" hidden="1">#REF!</definedName>
    <definedName name="BExGNN2YQ9BDAZXT2GLCSAPXKIM7" localSheetId="2" hidden="1">#REF!</definedName>
    <definedName name="BExGNN2YQ9BDAZXT2GLCSAPXKIM7" localSheetId="34" hidden="1">#REF!</definedName>
    <definedName name="BExGNN2YQ9BDAZXT2GLCSAPXKIM7" localSheetId="12" hidden="1">#REF!</definedName>
    <definedName name="BExGNN2YQ9BDAZXT2GLCSAPXKIM7" localSheetId="10" hidden="1">#REF!</definedName>
    <definedName name="BExGNN2YQ9BDAZXT2GLCSAPXKIM7" localSheetId="6" hidden="1">#REF!</definedName>
    <definedName name="BExGNN2YQ9BDAZXT2GLCSAPXKIM7" hidden="1">#REF!</definedName>
    <definedName name="BExGNZO44DEG8CGIDYSEGDUQ531R" localSheetId="1" hidden="1">#REF!</definedName>
    <definedName name="BExGNZO44DEG8CGIDYSEGDUQ531R" localSheetId="7" hidden="1">#REF!</definedName>
    <definedName name="BExGNZO44DEG8CGIDYSEGDUQ531R" localSheetId="2" hidden="1">#REF!</definedName>
    <definedName name="BExGNZO44DEG8CGIDYSEGDUQ531R" localSheetId="34" hidden="1">#REF!</definedName>
    <definedName name="BExGNZO44DEG8CGIDYSEGDUQ531R" localSheetId="12" hidden="1">#REF!</definedName>
    <definedName name="BExGNZO44DEG8CGIDYSEGDUQ531R" localSheetId="10" hidden="1">#REF!</definedName>
    <definedName name="BExGNZO44DEG8CGIDYSEGDUQ531R" localSheetId="6" hidden="1">#REF!</definedName>
    <definedName name="BExGNZO44DEG8CGIDYSEGDUQ531R" hidden="1">#REF!</definedName>
    <definedName name="BExGO2YUBOVLYHY1QSIHRE1KLAFV" localSheetId="1" hidden="1">#REF!</definedName>
    <definedName name="BExGO2YUBOVLYHY1QSIHRE1KLAFV" localSheetId="7" hidden="1">#REF!</definedName>
    <definedName name="BExGO2YUBOVLYHY1QSIHRE1KLAFV" localSheetId="2" hidden="1">#REF!</definedName>
    <definedName name="BExGO2YUBOVLYHY1QSIHRE1KLAFV" localSheetId="34" hidden="1">#REF!</definedName>
    <definedName name="BExGO2YUBOVLYHY1QSIHRE1KLAFV" localSheetId="12" hidden="1">#REF!</definedName>
    <definedName name="BExGO2YUBOVLYHY1QSIHRE1KLAFV" localSheetId="10" hidden="1">#REF!</definedName>
    <definedName name="BExGO2YUBOVLYHY1QSIHRE1KLAFV" localSheetId="6" hidden="1">#REF!</definedName>
    <definedName name="BExGO2YUBOVLYHY1QSIHRE1KLAFV" hidden="1">#REF!</definedName>
    <definedName name="BExGODAZKJ9EXMQZNQR5YDBSS525" localSheetId="1" hidden="1">#REF!</definedName>
    <definedName name="BExGODAZKJ9EXMQZNQR5YDBSS525" localSheetId="7" hidden="1">#REF!</definedName>
    <definedName name="BExGODAZKJ9EXMQZNQR5YDBSS525" localSheetId="2" hidden="1">#REF!</definedName>
    <definedName name="BExGODAZKJ9EXMQZNQR5YDBSS525" localSheetId="34" hidden="1">#REF!</definedName>
    <definedName name="BExGODAZKJ9EXMQZNQR5YDBSS525" localSheetId="12" hidden="1">#REF!</definedName>
    <definedName name="BExGODAZKJ9EXMQZNQR5YDBSS525" localSheetId="10" hidden="1">#REF!</definedName>
    <definedName name="BExGODAZKJ9EXMQZNQR5YDBSS525" localSheetId="6" hidden="1">#REF!</definedName>
    <definedName name="BExGODAZKJ9EXMQZNQR5YDBSS525" hidden="1">#REF!</definedName>
    <definedName name="BExGQ36ZOMR9GV8T05M605MMOY3Y" localSheetId="1" hidden="1">#REF!</definedName>
    <definedName name="BExGQ36ZOMR9GV8T05M605MMOY3Y" localSheetId="7" hidden="1">#REF!</definedName>
    <definedName name="BExGQ36ZOMR9GV8T05M605MMOY3Y" localSheetId="2" hidden="1">#REF!</definedName>
    <definedName name="BExGQ36ZOMR9GV8T05M605MMOY3Y" localSheetId="34" hidden="1">#REF!</definedName>
    <definedName name="BExGQ36ZOMR9GV8T05M605MMOY3Y" localSheetId="12" hidden="1">#REF!</definedName>
    <definedName name="BExGQ36ZOMR9GV8T05M605MMOY3Y" localSheetId="10" hidden="1">#REF!</definedName>
    <definedName name="BExGQ36ZOMR9GV8T05M605MMOY3Y" localSheetId="6" hidden="1">#REF!</definedName>
    <definedName name="BExGQ36ZOMR9GV8T05M605MMOY3Y" hidden="1">#REF!</definedName>
    <definedName name="BExGQX0H4EZMXBJTKJJE4ICJWN5O" localSheetId="1" hidden="1">#REF!</definedName>
    <definedName name="BExGQX0H4EZMXBJTKJJE4ICJWN5O" localSheetId="7" hidden="1">#REF!</definedName>
    <definedName name="BExGQX0H4EZMXBJTKJJE4ICJWN5O" localSheetId="2" hidden="1">#REF!</definedName>
    <definedName name="BExGQX0H4EZMXBJTKJJE4ICJWN5O" localSheetId="34" hidden="1">#REF!</definedName>
    <definedName name="BExGQX0H4EZMXBJTKJJE4ICJWN5O" localSheetId="12" hidden="1">#REF!</definedName>
    <definedName name="BExGQX0H4EZMXBJTKJJE4ICJWN5O" localSheetId="10" hidden="1">#REF!</definedName>
    <definedName name="BExGQX0H4EZMXBJTKJJE4ICJWN5O" localSheetId="6" hidden="1">#REF!</definedName>
    <definedName name="BExGQX0H4EZMXBJTKJJE4ICJWN5O" hidden="1">#REF!</definedName>
    <definedName name="BExGSQY65LH1PCKKM5WHDW83F35O" localSheetId="1" hidden="1">#REF!</definedName>
    <definedName name="BExGSQY65LH1PCKKM5WHDW83F35O" localSheetId="7" hidden="1">#REF!</definedName>
    <definedName name="BExGSQY65LH1PCKKM5WHDW83F35O" localSheetId="2" hidden="1">#REF!</definedName>
    <definedName name="BExGSQY65LH1PCKKM5WHDW83F35O" localSheetId="34" hidden="1">#REF!</definedName>
    <definedName name="BExGSQY65LH1PCKKM5WHDW83F35O" localSheetId="12" hidden="1">#REF!</definedName>
    <definedName name="BExGSQY65LH1PCKKM5WHDW83F35O" localSheetId="10" hidden="1">#REF!</definedName>
    <definedName name="BExGSQY65LH1PCKKM5WHDW83F35O" localSheetId="6" hidden="1">#REF!</definedName>
    <definedName name="BExGSQY65LH1PCKKM5WHDW83F35O" hidden="1">#REF!</definedName>
    <definedName name="BExGT0DZJB6LSF6L693UUB9EY1VQ" localSheetId="1" hidden="1">#REF!</definedName>
    <definedName name="BExGT0DZJB6LSF6L693UUB9EY1VQ" localSheetId="7" hidden="1">#REF!</definedName>
    <definedName name="BExGT0DZJB6LSF6L693UUB9EY1VQ" localSheetId="2" hidden="1">#REF!</definedName>
    <definedName name="BExGT0DZJB6LSF6L693UUB9EY1VQ" localSheetId="34" hidden="1">#REF!</definedName>
    <definedName name="BExGT0DZJB6LSF6L693UUB9EY1VQ" localSheetId="12" hidden="1">#REF!</definedName>
    <definedName name="BExGT0DZJB6LSF6L693UUB9EY1VQ" localSheetId="10" hidden="1">#REF!</definedName>
    <definedName name="BExGT0DZJB6LSF6L693UUB9EY1VQ" localSheetId="6" hidden="1">#REF!</definedName>
    <definedName name="BExGT0DZJB6LSF6L693UUB9EY1VQ" hidden="1">#REF!</definedName>
    <definedName name="BExGTIYX3OWPIINOGY1E4QQYSKHP" localSheetId="1" hidden="1">#REF!</definedName>
    <definedName name="BExGTIYX3OWPIINOGY1E4QQYSKHP" localSheetId="7" hidden="1">#REF!</definedName>
    <definedName name="BExGTIYX3OWPIINOGY1E4QQYSKHP" localSheetId="2" hidden="1">#REF!</definedName>
    <definedName name="BExGTIYX3OWPIINOGY1E4QQYSKHP" localSheetId="34" hidden="1">#REF!</definedName>
    <definedName name="BExGTIYX3OWPIINOGY1E4QQYSKHP" localSheetId="12" hidden="1">#REF!</definedName>
    <definedName name="BExGTIYX3OWPIINOGY1E4QQYSKHP" localSheetId="10" hidden="1">#REF!</definedName>
    <definedName name="BExGTIYX3OWPIINOGY1E4QQYSKHP" localSheetId="6" hidden="1">#REF!</definedName>
    <definedName name="BExGTIYX3OWPIINOGY1E4QQYSKHP" hidden="1">#REF!</definedName>
    <definedName name="BExGUDDZXFFQHAF4UZF8ZB1HO7H6" localSheetId="1" hidden="1">#REF!</definedName>
    <definedName name="BExGUDDZXFFQHAF4UZF8ZB1HO7H6" localSheetId="7" hidden="1">#REF!</definedName>
    <definedName name="BExGUDDZXFFQHAF4UZF8ZB1HO7H6" localSheetId="2" hidden="1">#REF!</definedName>
    <definedName name="BExGUDDZXFFQHAF4UZF8ZB1HO7H6" localSheetId="34" hidden="1">#REF!</definedName>
    <definedName name="BExGUDDZXFFQHAF4UZF8ZB1HO7H6" localSheetId="12" hidden="1">#REF!</definedName>
    <definedName name="BExGUDDZXFFQHAF4UZF8ZB1HO7H6" localSheetId="10" hidden="1">#REF!</definedName>
    <definedName name="BExGUDDZXFFQHAF4UZF8ZB1HO7H6" localSheetId="6" hidden="1">#REF!</definedName>
    <definedName name="BExGUDDZXFFQHAF4UZF8ZB1HO7H6" hidden="1">#REF!</definedName>
    <definedName name="BExGUM8D91UNPCOO4TKP9FGX85TF" localSheetId="1" hidden="1">#REF!</definedName>
    <definedName name="BExGUM8D91UNPCOO4TKP9FGX85TF" localSheetId="7" hidden="1">#REF!</definedName>
    <definedName name="BExGUM8D91UNPCOO4TKP9FGX85TF" localSheetId="2" hidden="1">#REF!</definedName>
    <definedName name="BExGUM8D91UNPCOO4TKP9FGX85TF" localSheetId="34" hidden="1">#REF!</definedName>
    <definedName name="BExGUM8D91UNPCOO4TKP9FGX85TF" localSheetId="12" hidden="1">#REF!</definedName>
    <definedName name="BExGUM8D91UNPCOO4TKP9FGX85TF" localSheetId="10" hidden="1">#REF!</definedName>
    <definedName name="BExGUM8D91UNPCOO4TKP9FGX85TF" localSheetId="6" hidden="1">#REF!</definedName>
    <definedName name="BExGUM8D91UNPCOO4TKP9FGX85TF" hidden="1">#REF!</definedName>
    <definedName name="BExGWEO0JDG84NYLEAV5NSOAGMJZ" localSheetId="1" hidden="1">#REF!</definedName>
    <definedName name="BExGWEO0JDG84NYLEAV5NSOAGMJZ" localSheetId="7" hidden="1">#REF!</definedName>
    <definedName name="BExGWEO0JDG84NYLEAV5NSOAGMJZ" localSheetId="2" hidden="1">#REF!</definedName>
    <definedName name="BExGWEO0JDG84NYLEAV5NSOAGMJZ" localSheetId="34" hidden="1">#REF!</definedName>
    <definedName name="BExGWEO0JDG84NYLEAV5NSOAGMJZ" localSheetId="12" hidden="1">#REF!</definedName>
    <definedName name="BExGWEO0JDG84NYLEAV5NSOAGMJZ" localSheetId="10" hidden="1">#REF!</definedName>
    <definedName name="BExGWEO0JDG84NYLEAV5NSOAGMJZ" localSheetId="6" hidden="1">#REF!</definedName>
    <definedName name="BExGWEO0JDG84NYLEAV5NSOAGMJZ" hidden="1">#REF!</definedName>
    <definedName name="BExGWNCXLCRTLBVMTXYJ5PHQI6SS" localSheetId="1" hidden="1">#REF!</definedName>
    <definedName name="BExGWNCXLCRTLBVMTXYJ5PHQI6SS" localSheetId="7" hidden="1">#REF!</definedName>
    <definedName name="BExGWNCXLCRTLBVMTXYJ5PHQI6SS" localSheetId="2" hidden="1">#REF!</definedName>
    <definedName name="BExGWNCXLCRTLBVMTXYJ5PHQI6SS" localSheetId="34" hidden="1">#REF!</definedName>
    <definedName name="BExGWNCXLCRTLBVMTXYJ5PHQI6SS" localSheetId="12" hidden="1">#REF!</definedName>
    <definedName name="BExGWNCXLCRTLBVMTXYJ5PHQI6SS" localSheetId="10" hidden="1">#REF!</definedName>
    <definedName name="BExGWNCXLCRTLBVMTXYJ5PHQI6SS" localSheetId="6" hidden="1">#REF!</definedName>
    <definedName name="BExGWNCXLCRTLBVMTXYJ5PHQI6SS" hidden="1">#REF!</definedName>
    <definedName name="BExGX7FTB1CKAT5HUW6H531FIY6I" localSheetId="1" hidden="1">#REF!</definedName>
    <definedName name="BExGX7FTB1CKAT5HUW6H531FIY6I" localSheetId="7" hidden="1">#REF!</definedName>
    <definedName name="BExGX7FTB1CKAT5HUW6H531FIY6I" localSheetId="2" hidden="1">#REF!</definedName>
    <definedName name="BExGX7FTB1CKAT5HUW6H531FIY6I" localSheetId="34" hidden="1">#REF!</definedName>
    <definedName name="BExGX7FTB1CKAT5HUW6H531FIY6I" localSheetId="12" hidden="1">#REF!</definedName>
    <definedName name="BExGX7FTB1CKAT5HUW6H531FIY6I" localSheetId="10" hidden="1">#REF!</definedName>
    <definedName name="BExGX7FTB1CKAT5HUW6H531FIY6I" localSheetId="6" hidden="1">#REF!</definedName>
    <definedName name="BExGX7FTB1CKAT5HUW6H531FIY6I" hidden="1">#REF!</definedName>
    <definedName name="BExH02ZD6VAY1KQLAQYBBI6WWIZB" localSheetId="1" hidden="1">#REF!</definedName>
    <definedName name="BExH02ZD6VAY1KQLAQYBBI6WWIZB" localSheetId="7" hidden="1">#REF!</definedName>
    <definedName name="BExH02ZD6VAY1KQLAQYBBI6WWIZB" localSheetId="2" hidden="1">#REF!</definedName>
    <definedName name="BExH02ZD6VAY1KQLAQYBBI6WWIZB" localSheetId="34" hidden="1">#REF!</definedName>
    <definedName name="BExH02ZD6VAY1KQLAQYBBI6WWIZB" localSheetId="12" hidden="1">#REF!</definedName>
    <definedName name="BExH02ZD6VAY1KQLAQYBBI6WWIZB" localSheetId="10" hidden="1">#REF!</definedName>
    <definedName name="BExH02ZD6VAY1KQLAQYBBI6WWIZB" localSheetId="6" hidden="1">#REF!</definedName>
    <definedName name="BExH02ZD6VAY1KQLAQYBBI6WWIZB" hidden="1">#REF!</definedName>
    <definedName name="BExH0WNJAKTJRCKMTX8O4KNMIIJM" localSheetId="1" hidden="1">#REF!</definedName>
    <definedName name="BExH0WNJAKTJRCKMTX8O4KNMIIJM" localSheetId="7" hidden="1">#REF!</definedName>
    <definedName name="BExH0WNJAKTJRCKMTX8O4KNMIIJM" localSheetId="2" hidden="1">#REF!</definedName>
    <definedName name="BExH0WNJAKTJRCKMTX8O4KNMIIJM" localSheetId="34" hidden="1">#REF!</definedName>
    <definedName name="BExH0WNJAKTJRCKMTX8O4KNMIIJM" localSheetId="12" hidden="1">#REF!</definedName>
    <definedName name="BExH0WNJAKTJRCKMTX8O4KNMIIJM" localSheetId="10" hidden="1">#REF!</definedName>
    <definedName name="BExH0WNJAKTJRCKMTX8O4KNMIIJM" localSheetId="6" hidden="1">#REF!</definedName>
    <definedName name="BExH0WNJAKTJRCKMTX8O4KNMIIJM" hidden="1">#REF!</definedName>
    <definedName name="BExH1FDTQXR9QQ31WDB7OPXU7MPT" localSheetId="1" hidden="1">#REF!</definedName>
    <definedName name="BExH1FDTQXR9QQ31WDB7OPXU7MPT" localSheetId="7" hidden="1">#REF!</definedName>
    <definedName name="BExH1FDTQXR9QQ31WDB7OPXU7MPT" localSheetId="2" hidden="1">#REF!</definedName>
    <definedName name="BExH1FDTQXR9QQ31WDB7OPXU7MPT" localSheetId="34" hidden="1">#REF!</definedName>
    <definedName name="BExH1FDTQXR9QQ31WDB7OPXU7MPT" localSheetId="12" hidden="1">#REF!</definedName>
    <definedName name="BExH1FDTQXR9QQ31WDB7OPXU7MPT" localSheetId="10" hidden="1">#REF!</definedName>
    <definedName name="BExH1FDTQXR9QQ31WDB7OPXU7MPT" localSheetId="6" hidden="1">#REF!</definedName>
    <definedName name="BExH1FDTQXR9QQ31WDB7OPXU7MPT" hidden="1">#REF!</definedName>
    <definedName name="BExH2ZA0SZ4SSITL50NA8LZ3OEX6" localSheetId="1" hidden="1">#REF!</definedName>
    <definedName name="BExH2ZA0SZ4SSITL50NA8LZ3OEX6" localSheetId="7" hidden="1">#REF!</definedName>
    <definedName name="BExH2ZA0SZ4SSITL50NA8LZ3OEX6" localSheetId="2" hidden="1">#REF!</definedName>
    <definedName name="BExH2ZA0SZ4SSITL50NA8LZ3OEX6" localSheetId="34" hidden="1">#REF!</definedName>
    <definedName name="BExH2ZA0SZ4SSITL50NA8LZ3OEX6" localSheetId="12" hidden="1">#REF!</definedName>
    <definedName name="BExH2ZA0SZ4SSITL50NA8LZ3OEX6" localSheetId="10" hidden="1">#REF!</definedName>
    <definedName name="BExH2ZA0SZ4SSITL50NA8LZ3OEX6" localSheetId="6" hidden="1">#REF!</definedName>
    <definedName name="BExH2ZA0SZ4SSITL50NA8LZ3OEX6" hidden="1">#REF!</definedName>
    <definedName name="BExIGWT86FPOEYTI8GXCGU5Y3KGK" localSheetId="1" hidden="1">#REF!</definedName>
    <definedName name="BExIGWT86FPOEYTI8GXCGU5Y3KGK" localSheetId="7" hidden="1">#REF!</definedName>
    <definedName name="BExIGWT86FPOEYTI8GXCGU5Y3KGK" localSheetId="2" hidden="1">#REF!</definedName>
    <definedName name="BExIGWT86FPOEYTI8GXCGU5Y3KGK" localSheetId="34" hidden="1">#REF!</definedName>
    <definedName name="BExIGWT86FPOEYTI8GXCGU5Y3KGK" localSheetId="12" hidden="1">#REF!</definedName>
    <definedName name="BExIGWT86FPOEYTI8GXCGU5Y3KGK" localSheetId="10" hidden="1">#REF!</definedName>
    <definedName name="BExIGWT86FPOEYTI8GXCGU5Y3KGK" localSheetId="6" hidden="1">#REF!</definedName>
    <definedName name="BExIGWT86FPOEYTI8GXCGU5Y3KGK" hidden="1">#REF!</definedName>
    <definedName name="BExIJFGZJ5ED9D6KAY4PGQYLELAX" localSheetId="1" hidden="1">#REF!</definedName>
    <definedName name="BExIJFGZJ5ED9D6KAY4PGQYLELAX" localSheetId="7" hidden="1">#REF!</definedName>
    <definedName name="BExIJFGZJ5ED9D6KAY4PGQYLELAX" localSheetId="2" hidden="1">#REF!</definedName>
    <definedName name="BExIJFGZJ5ED9D6KAY4PGQYLELAX" localSheetId="34" hidden="1">#REF!</definedName>
    <definedName name="BExIJFGZJ5ED9D6KAY4PGQYLELAX" localSheetId="12" hidden="1">#REF!</definedName>
    <definedName name="BExIJFGZJ5ED9D6KAY4PGQYLELAX" localSheetId="10" hidden="1">#REF!</definedName>
    <definedName name="BExIJFGZJ5ED9D6KAY4PGQYLELAX" localSheetId="6" hidden="1">#REF!</definedName>
    <definedName name="BExIJFGZJ5ED9D6KAY4PGQYLELAX" hidden="1">#REF!</definedName>
    <definedName name="BExILG5F338C0FFLMVOKMKF8X5ZP" localSheetId="1" hidden="1">#REF!</definedName>
    <definedName name="BExILG5F338C0FFLMVOKMKF8X5ZP" localSheetId="7" hidden="1">#REF!</definedName>
    <definedName name="BExILG5F338C0FFLMVOKMKF8X5ZP" localSheetId="2" hidden="1">#REF!</definedName>
    <definedName name="BExILG5F338C0FFLMVOKMKF8X5ZP" localSheetId="34" hidden="1">#REF!</definedName>
    <definedName name="BExILG5F338C0FFLMVOKMKF8X5ZP" localSheetId="12" hidden="1">#REF!</definedName>
    <definedName name="BExILG5F338C0FFLMVOKMKF8X5ZP" localSheetId="10" hidden="1">#REF!</definedName>
    <definedName name="BExILG5F338C0FFLMVOKMKF8X5ZP" localSheetId="6" hidden="1">#REF!</definedName>
    <definedName name="BExILG5F338C0FFLMVOKMKF8X5ZP" hidden="1">#REF!</definedName>
    <definedName name="BExINLX401ZKEGWU168DS4JUM2J6" localSheetId="1" hidden="1">#REF!</definedName>
    <definedName name="BExINLX401ZKEGWU168DS4JUM2J6" localSheetId="7" hidden="1">#REF!</definedName>
    <definedName name="BExINLX401ZKEGWU168DS4JUM2J6" localSheetId="2" hidden="1">#REF!</definedName>
    <definedName name="BExINLX401ZKEGWU168DS4JUM2J6" localSheetId="34" hidden="1">#REF!</definedName>
    <definedName name="BExINLX401ZKEGWU168DS4JUM2J6" localSheetId="12" hidden="1">#REF!</definedName>
    <definedName name="BExINLX401ZKEGWU168DS4JUM2J6" localSheetId="10" hidden="1">#REF!</definedName>
    <definedName name="BExINLX401ZKEGWU168DS4JUM2J6" localSheetId="6" hidden="1">#REF!</definedName>
    <definedName name="BExINLX401ZKEGWU168DS4JUM2J6" hidden="1">#REF!</definedName>
    <definedName name="BExINMYYJO1FTV1CZF6O5XCFAMQX" localSheetId="1" hidden="1">#REF!</definedName>
    <definedName name="BExINMYYJO1FTV1CZF6O5XCFAMQX" localSheetId="7" hidden="1">#REF!</definedName>
    <definedName name="BExINMYYJO1FTV1CZF6O5XCFAMQX" localSheetId="2" hidden="1">#REF!</definedName>
    <definedName name="BExINMYYJO1FTV1CZF6O5XCFAMQX" localSheetId="34" hidden="1">#REF!</definedName>
    <definedName name="BExINMYYJO1FTV1CZF6O5XCFAMQX" localSheetId="12" hidden="1">#REF!</definedName>
    <definedName name="BExINMYYJO1FTV1CZF6O5XCFAMQX" localSheetId="10" hidden="1">#REF!</definedName>
    <definedName name="BExINMYYJO1FTV1CZF6O5XCFAMQX" localSheetId="6" hidden="1">#REF!</definedName>
    <definedName name="BExINMYYJO1FTV1CZF6O5XCFAMQX" hidden="1">#REF!</definedName>
    <definedName name="BExIPDLT8JYAMGE5HTN4D1YHZF3V" localSheetId="1" hidden="1">#REF!</definedName>
    <definedName name="BExIPDLT8JYAMGE5HTN4D1YHZF3V" localSheetId="7" hidden="1">#REF!</definedName>
    <definedName name="BExIPDLT8JYAMGE5HTN4D1YHZF3V" localSheetId="2" hidden="1">#REF!</definedName>
    <definedName name="BExIPDLT8JYAMGE5HTN4D1YHZF3V" localSheetId="34" hidden="1">#REF!</definedName>
    <definedName name="BExIPDLT8JYAMGE5HTN4D1YHZF3V" localSheetId="12" hidden="1">#REF!</definedName>
    <definedName name="BExIPDLT8JYAMGE5HTN4D1YHZF3V" localSheetId="10" hidden="1">#REF!</definedName>
    <definedName name="BExIPDLT8JYAMGE5HTN4D1YHZF3V" localSheetId="6" hidden="1">#REF!</definedName>
    <definedName name="BExIPDLT8JYAMGE5HTN4D1YHZF3V" hidden="1">#REF!</definedName>
    <definedName name="BExIPYAAOZP764DQYX0K3FGLP313" localSheetId="1" hidden="1">#REF!</definedName>
    <definedName name="BExIPYAAOZP764DQYX0K3FGLP313" localSheetId="7" hidden="1">#REF!</definedName>
    <definedName name="BExIPYAAOZP764DQYX0K3FGLP313" localSheetId="2" hidden="1">#REF!</definedName>
    <definedName name="BExIPYAAOZP764DQYX0K3FGLP313" localSheetId="34" hidden="1">#REF!</definedName>
    <definedName name="BExIPYAAOZP764DQYX0K3FGLP313" localSheetId="12" hidden="1">#REF!</definedName>
    <definedName name="BExIPYAAOZP764DQYX0K3FGLP313" localSheetId="10" hidden="1">#REF!</definedName>
    <definedName name="BExIPYAAOZP764DQYX0K3FGLP313" localSheetId="6" hidden="1">#REF!</definedName>
    <definedName name="BExIPYAAOZP764DQYX0K3FGLP313" hidden="1">#REF!</definedName>
    <definedName name="BExIUUT2MHIOV6R3WHA0DPM1KBKY" localSheetId="1" hidden="1">#REF!</definedName>
    <definedName name="BExIUUT2MHIOV6R3WHA0DPM1KBKY" localSheetId="7" hidden="1">#REF!</definedName>
    <definedName name="BExIUUT2MHIOV6R3WHA0DPM1KBKY" localSheetId="2" hidden="1">#REF!</definedName>
    <definedName name="BExIUUT2MHIOV6R3WHA0DPM1KBKY" localSheetId="34" hidden="1">#REF!</definedName>
    <definedName name="BExIUUT2MHIOV6R3WHA0DPM1KBKY" localSheetId="12" hidden="1">#REF!</definedName>
    <definedName name="BExIUUT2MHIOV6R3WHA0DPM1KBKY" localSheetId="10" hidden="1">#REF!</definedName>
    <definedName name="BExIUUT2MHIOV6R3WHA0DPM1KBKY" localSheetId="6" hidden="1">#REF!</definedName>
    <definedName name="BExIUUT2MHIOV6R3WHA0DPM1KBKY" hidden="1">#REF!</definedName>
    <definedName name="BExIVYTFI35KNR2XSA6N8OJYUTUR" localSheetId="1" hidden="1">#REF!</definedName>
    <definedName name="BExIVYTFI35KNR2XSA6N8OJYUTUR" localSheetId="7" hidden="1">#REF!</definedName>
    <definedName name="BExIVYTFI35KNR2XSA6N8OJYUTUR" localSheetId="2" hidden="1">#REF!</definedName>
    <definedName name="BExIVYTFI35KNR2XSA6N8OJYUTUR" localSheetId="34" hidden="1">#REF!</definedName>
    <definedName name="BExIVYTFI35KNR2XSA6N8OJYUTUR" localSheetId="12" hidden="1">#REF!</definedName>
    <definedName name="BExIVYTFI35KNR2XSA6N8OJYUTUR" localSheetId="10" hidden="1">#REF!</definedName>
    <definedName name="BExIVYTFI35KNR2XSA6N8OJYUTUR" localSheetId="6" hidden="1">#REF!</definedName>
    <definedName name="BExIVYTFI35KNR2XSA6N8OJYUTUR" hidden="1">#REF!</definedName>
    <definedName name="BExIWG1W7XP9DFYYSZAIOSHM0QLQ" localSheetId="1" hidden="1">#REF!</definedName>
    <definedName name="BExIWG1W7XP9DFYYSZAIOSHM0QLQ" localSheetId="7" hidden="1">#REF!</definedName>
    <definedName name="BExIWG1W7XP9DFYYSZAIOSHM0QLQ" localSheetId="2" hidden="1">#REF!</definedName>
    <definedName name="BExIWG1W7XP9DFYYSZAIOSHM0QLQ" localSheetId="34" hidden="1">#REF!</definedName>
    <definedName name="BExIWG1W7XP9DFYYSZAIOSHM0QLQ" localSheetId="12" hidden="1">#REF!</definedName>
    <definedName name="BExIWG1W7XP9DFYYSZAIOSHM0QLQ" localSheetId="10" hidden="1">#REF!</definedName>
    <definedName name="BExIWG1W7XP9DFYYSZAIOSHM0QLQ" localSheetId="6" hidden="1">#REF!</definedName>
    <definedName name="BExIWG1W7XP9DFYYSZAIOSHM0QLQ" hidden="1">#REF!</definedName>
    <definedName name="BExIYI2RH0K4225XO970K2IQ1E79" localSheetId="1" hidden="1">#REF!</definedName>
    <definedName name="BExIYI2RH0K4225XO970K2IQ1E79" localSheetId="7" hidden="1">#REF!</definedName>
    <definedName name="BExIYI2RH0K4225XO970K2IQ1E79" localSheetId="2" hidden="1">#REF!</definedName>
    <definedName name="BExIYI2RH0K4225XO970K2IQ1E79" localSheetId="34" hidden="1">#REF!</definedName>
    <definedName name="BExIYI2RH0K4225XO970K2IQ1E79" localSheetId="12" hidden="1">#REF!</definedName>
    <definedName name="BExIYI2RH0K4225XO970K2IQ1E79" localSheetId="10" hidden="1">#REF!</definedName>
    <definedName name="BExIYI2RH0K4225XO970K2IQ1E79" localSheetId="6" hidden="1">#REF!</definedName>
    <definedName name="BExIYI2RH0K4225XO970K2IQ1E79" hidden="1">#REF!</definedName>
    <definedName name="BExJ08KBRR2XMWW3VZMPSQKXHZUH" localSheetId="1" hidden="1">#REF!</definedName>
    <definedName name="BExJ08KBRR2XMWW3VZMPSQKXHZUH" localSheetId="7" hidden="1">#REF!</definedName>
    <definedName name="BExJ08KBRR2XMWW3VZMPSQKXHZUH" localSheetId="2" hidden="1">#REF!</definedName>
    <definedName name="BExJ08KBRR2XMWW3VZMPSQKXHZUH" localSheetId="34" hidden="1">#REF!</definedName>
    <definedName name="BExJ08KBRR2XMWW3VZMPSQKXHZUH" localSheetId="12" hidden="1">#REF!</definedName>
    <definedName name="BExJ08KBRR2XMWW3VZMPSQKXHZUH" localSheetId="10" hidden="1">#REF!</definedName>
    <definedName name="BExJ08KBRR2XMWW3VZMPSQKXHZUH" localSheetId="6" hidden="1">#REF!</definedName>
    <definedName name="BExJ08KBRR2XMWW3VZMPSQKXHZUH" hidden="1">#REF!</definedName>
    <definedName name="BExKI4076KXCDE5KXL79KT36OKLO" localSheetId="1" hidden="1">#REF!</definedName>
    <definedName name="BExKI4076KXCDE5KXL79KT36OKLO" localSheetId="7" hidden="1">#REF!</definedName>
    <definedName name="BExKI4076KXCDE5KXL79KT36OKLO" localSheetId="2" hidden="1">#REF!</definedName>
    <definedName name="BExKI4076KXCDE5KXL79KT36OKLO" localSheetId="34" hidden="1">#REF!</definedName>
    <definedName name="BExKI4076KXCDE5KXL79KT36OKLO" localSheetId="12" hidden="1">#REF!</definedName>
    <definedName name="BExKI4076KXCDE5KXL79KT36OKLO" localSheetId="10" hidden="1">#REF!</definedName>
    <definedName name="BExKI4076KXCDE5KXL79KT36OKLO" localSheetId="6" hidden="1">#REF!</definedName>
    <definedName name="BExKI4076KXCDE5KXL79KT36OKLO" hidden="1">#REF!</definedName>
    <definedName name="BExKKQ3ZWADYV03YHMXDOAMU90EB" localSheetId="1" hidden="1">#REF!</definedName>
    <definedName name="BExKKQ3ZWADYV03YHMXDOAMU90EB" localSheetId="7" hidden="1">#REF!</definedName>
    <definedName name="BExKKQ3ZWADYV03YHMXDOAMU90EB" localSheetId="2" hidden="1">#REF!</definedName>
    <definedName name="BExKKQ3ZWADYV03YHMXDOAMU90EB" localSheetId="34" hidden="1">#REF!</definedName>
    <definedName name="BExKKQ3ZWADYV03YHMXDOAMU90EB" localSheetId="12" hidden="1">#REF!</definedName>
    <definedName name="BExKKQ3ZWADYV03YHMXDOAMU90EB" localSheetId="10" hidden="1">#REF!</definedName>
    <definedName name="BExKKQ3ZWADYV03YHMXDOAMU90EB" localSheetId="6" hidden="1">#REF!</definedName>
    <definedName name="BExKKQ3ZWADYV03YHMXDOAMU90EB" hidden="1">#REF!</definedName>
    <definedName name="BExKPLQJX0HJ8OTXBXH9IC9J2V0W" localSheetId="1" hidden="1">#REF!</definedName>
    <definedName name="BExKPLQJX0HJ8OTXBXH9IC9J2V0W" localSheetId="7" hidden="1">#REF!</definedName>
    <definedName name="BExKPLQJX0HJ8OTXBXH9IC9J2V0W" localSheetId="2" hidden="1">#REF!</definedName>
    <definedName name="BExKPLQJX0HJ8OTXBXH9IC9J2V0W" localSheetId="34" hidden="1">#REF!</definedName>
    <definedName name="BExKPLQJX0HJ8OTXBXH9IC9J2V0W" localSheetId="12" hidden="1">#REF!</definedName>
    <definedName name="BExKPLQJX0HJ8OTXBXH9IC9J2V0W" localSheetId="10" hidden="1">#REF!</definedName>
    <definedName name="BExKPLQJX0HJ8OTXBXH9IC9J2V0W" localSheetId="6" hidden="1">#REF!</definedName>
    <definedName name="BExKPLQJX0HJ8OTXBXH9IC9J2V0W" hidden="1">#REF!</definedName>
    <definedName name="BExKQJGAAWNM3NT19E9I0CQDBTU0" localSheetId="1" hidden="1">#REF!</definedName>
    <definedName name="BExKQJGAAWNM3NT19E9I0CQDBTU0" localSheetId="7" hidden="1">#REF!</definedName>
    <definedName name="BExKQJGAAWNM3NT19E9I0CQDBTU0" localSheetId="2" hidden="1">#REF!</definedName>
    <definedName name="BExKQJGAAWNM3NT19E9I0CQDBTU0" localSheetId="34" hidden="1">#REF!</definedName>
    <definedName name="BExKQJGAAWNM3NT19E9I0CQDBTU0" localSheetId="12" hidden="1">#REF!</definedName>
    <definedName name="BExKQJGAAWNM3NT19E9I0CQDBTU0" localSheetId="10" hidden="1">#REF!</definedName>
    <definedName name="BExKQJGAAWNM3NT19E9I0CQDBTU0" localSheetId="6" hidden="1">#REF!</definedName>
    <definedName name="BExKQJGAAWNM3NT19E9I0CQDBTU0" hidden="1">#REF!</definedName>
    <definedName name="BExKVFZ3ZZGIC1QI8XN6BYFWN0ZY" localSheetId="1" hidden="1">#REF!</definedName>
    <definedName name="BExKVFZ3ZZGIC1QI8XN6BYFWN0ZY" localSheetId="7" hidden="1">#REF!</definedName>
    <definedName name="BExKVFZ3ZZGIC1QI8XN6BYFWN0ZY" localSheetId="2" hidden="1">#REF!</definedName>
    <definedName name="BExKVFZ3ZZGIC1QI8XN6BYFWN0ZY" localSheetId="34" hidden="1">#REF!</definedName>
    <definedName name="BExKVFZ3ZZGIC1QI8XN6BYFWN0ZY" localSheetId="12" hidden="1">#REF!</definedName>
    <definedName name="BExKVFZ3ZZGIC1QI8XN6BYFWN0ZY" localSheetId="10" hidden="1">#REF!</definedName>
    <definedName name="BExKVFZ3ZZGIC1QI8XN6BYFWN0ZY" localSheetId="6" hidden="1">#REF!</definedName>
    <definedName name="BExKVFZ3ZZGIC1QI8XN6BYFWN0ZY" hidden="1">#REF!</definedName>
    <definedName name="BExM9OG182RP30MY23PG49LVPZ1C" localSheetId="1" hidden="1">#REF!</definedName>
    <definedName name="BExM9OG182RP30MY23PG49LVPZ1C" localSheetId="7" hidden="1">#REF!</definedName>
    <definedName name="BExM9OG182RP30MY23PG49LVPZ1C" localSheetId="2" hidden="1">#REF!</definedName>
    <definedName name="BExM9OG182RP30MY23PG49LVPZ1C" localSheetId="34" hidden="1">#REF!</definedName>
    <definedName name="BExM9OG182RP30MY23PG49LVPZ1C" localSheetId="12" hidden="1">#REF!</definedName>
    <definedName name="BExM9OG182RP30MY23PG49LVPZ1C" localSheetId="10" hidden="1">#REF!</definedName>
    <definedName name="BExM9OG182RP30MY23PG49LVPZ1C" localSheetId="6" hidden="1">#REF!</definedName>
    <definedName name="BExM9OG182RP30MY23PG49LVPZ1C" hidden="1">#REF!</definedName>
    <definedName name="BExMALEWFUEM8Y686IT03ECURUBR" localSheetId="1" hidden="1">#REF!</definedName>
    <definedName name="BExMALEWFUEM8Y686IT03ECURUBR" localSheetId="7" hidden="1">#REF!</definedName>
    <definedName name="BExMALEWFUEM8Y686IT03ECURUBR" localSheetId="2" hidden="1">#REF!</definedName>
    <definedName name="BExMALEWFUEM8Y686IT03ECURUBR" localSheetId="34" hidden="1">#REF!</definedName>
    <definedName name="BExMALEWFUEM8Y686IT03ECURUBR" localSheetId="12" hidden="1">#REF!</definedName>
    <definedName name="BExMALEWFUEM8Y686IT03ECURUBR" localSheetId="10" hidden="1">#REF!</definedName>
    <definedName name="BExMALEWFUEM8Y686IT03ECURUBR" localSheetId="6" hidden="1">#REF!</definedName>
    <definedName name="BExMALEWFUEM8Y686IT03ECURUBR" hidden="1">#REF!</definedName>
    <definedName name="BExMBYPQDG9AYDQ5E8IECVFREPO6" localSheetId="1" hidden="1">#REF!</definedName>
    <definedName name="BExMBYPQDG9AYDQ5E8IECVFREPO6" localSheetId="7" hidden="1">#REF!</definedName>
    <definedName name="BExMBYPQDG9AYDQ5E8IECVFREPO6" localSheetId="2" hidden="1">#REF!</definedName>
    <definedName name="BExMBYPQDG9AYDQ5E8IECVFREPO6" localSheetId="34" hidden="1">#REF!</definedName>
    <definedName name="BExMBYPQDG9AYDQ5E8IECVFREPO6" localSheetId="12" hidden="1">#REF!</definedName>
    <definedName name="BExMBYPQDG9AYDQ5E8IECVFREPO6" localSheetId="10" hidden="1">#REF!</definedName>
    <definedName name="BExMBYPQDG9AYDQ5E8IECVFREPO6" localSheetId="6" hidden="1">#REF!</definedName>
    <definedName name="BExMBYPQDG9AYDQ5E8IECVFREPO6" hidden="1">#REF!</definedName>
    <definedName name="BExMCA96YR10V72G2R0SCIKPZLIZ" localSheetId="1" hidden="1">#REF!</definedName>
    <definedName name="BExMCA96YR10V72G2R0SCIKPZLIZ" localSheetId="7" hidden="1">#REF!</definedName>
    <definedName name="BExMCA96YR10V72G2R0SCIKPZLIZ" localSheetId="2" hidden="1">#REF!</definedName>
    <definedName name="BExMCA96YR10V72G2R0SCIKPZLIZ" localSheetId="34" hidden="1">#REF!</definedName>
    <definedName name="BExMCA96YR10V72G2R0SCIKPZLIZ" localSheetId="12" hidden="1">#REF!</definedName>
    <definedName name="BExMCA96YR10V72G2R0SCIKPZLIZ" localSheetId="10" hidden="1">#REF!</definedName>
    <definedName name="BExMCA96YR10V72G2R0SCIKPZLIZ" localSheetId="6" hidden="1">#REF!</definedName>
    <definedName name="BExMCA96YR10V72G2R0SCIKPZLIZ" hidden="1">#REF!</definedName>
    <definedName name="BExMCFSQFSEMPY5IXDIRKZDASDBR" localSheetId="1" hidden="1">#REF!</definedName>
    <definedName name="BExMCFSQFSEMPY5IXDIRKZDASDBR" localSheetId="7" hidden="1">#REF!</definedName>
    <definedName name="BExMCFSQFSEMPY5IXDIRKZDASDBR" localSheetId="2" hidden="1">#REF!</definedName>
    <definedName name="BExMCFSQFSEMPY5IXDIRKZDASDBR" localSheetId="34" hidden="1">#REF!</definedName>
    <definedName name="BExMCFSQFSEMPY5IXDIRKZDASDBR" localSheetId="12" hidden="1">#REF!</definedName>
    <definedName name="BExMCFSQFSEMPY5IXDIRKZDASDBR" localSheetId="10" hidden="1">#REF!</definedName>
    <definedName name="BExMCFSQFSEMPY5IXDIRKZDASDBR" localSheetId="6" hidden="1">#REF!</definedName>
    <definedName name="BExMCFSQFSEMPY5IXDIRKZDASDBR" hidden="1">#REF!</definedName>
    <definedName name="BExMDGD1KQP7NNR78X2ZX4FCBQ1S" localSheetId="1" hidden="1">#REF!</definedName>
    <definedName name="BExMDGD1KQP7NNR78X2ZX4FCBQ1S" localSheetId="7" hidden="1">#REF!</definedName>
    <definedName name="BExMDGD1KQP7NNR78X2ZX4FCBQ1S" localSheetId="2" hidden="1">#REF!</definedName>
    <definedName name="BExMDGD1KQP7NNR78X2ZX4FCBQ1S" localSheetId="34" hidden="1">#REF!</definedName>
    <definedName name="BExMDGD1KQP7NNR78X2ZX4FCBQ1S" localSheetId="12" hidden="1">#REF!</definedName>
    <definedName name="BExMDGD1KQP7NNR78X2ZX4FCBQ1S" localSheetId="10" hidden="1">#REF!</definedName>
    <definedName name="BExMDGD1KQP7NNR78X2ZX4FCBQ1S" localSheetId="6" hidden="1">#REF!</definedName>
    <definedName name="BExMDGD1KQP7NNR78X2ZX4FCBQ1S" hidden="1">#REF!</definedName>
    <definedName name="BExMHOWPB34KPZ76M2KIX2C9R2VB" localSheetId="1" hidden="1">#REF!</definedName>
    <definedName name="BExMHOWPB34KPZ76M2KIX2C9R2VB" localSheetId="7" hidden="1">#REF!</definedName>
    <definedName name="BExMHOWPB34KPZ76M2KIX2C9R2VB" localSheetId="2" hidden="1">#REF!</definedName>
    <definedName name="BExMHOWPB34KPZ76M2KIX2C9R2VB" localSheetId="34" hidden="1">#REF!</definedName>
    <definedName name="BExMHOWPB34KPZ76M2KIX2C9R2VB" localSheetId="12" hidden="1">#REF!</definedName>
    <definedName name="BExMHOWPB34KPZ76M2KIX2C9R2VB" localSheetId="10" hidden="1">#REF!</definedName>
    <definedName name="BExMHOWPB34KPZ76M2KIX2C9R2VB" localSheetId="6" hidden="1">#REF!</definedName>
    <definedName name="BExMHOWPB34KPZ76M2KIX2C9R2VB" hidden="1">#REF!</definedName>
    <definedName name="BExMI3AJ9477KDL4T9DHET4LJJTW" localSheetId="1" hidden="1">#REF!</definedName>
    <definedName name="BExMI3AJ9477KDL4T9DHET4LJJTW" localSheetId="7" hidden="1">#REF!</definedName>
    <definedName name="BExMI3AJ9477KDL4T9DHET4LJJTW" localSheetId="2" hidden="1">#REF!</definedName>
    <definedName name="BExMI3AJ9477KDL4T9DHET4LJJTW" localSheetId="34" hidden="1">#REF!</definedName>
    <definedName name="BExMI3AJ9477KDL4T9DHET4LJJTW" localSheetId="12" hidden="1">#REF!</definedName>
    <definedName name="BExMI3AJ9477KDL4T9DHET4LJJTW" localSheetId="10" hidden="1">#REF!</definedName>
    <definedName name="BExMI3AJ9477KDL4T9DHET4LJJTW" localSheetId="6" hidden="1">#REF!</definedName>
    <definedName name="BExMI3AJ9477KDL4T9DHET4LJJTW" hidden="1">#REF!</definedName>
    <definedName name="BExMIBOOZU40JS3F89OMPSRCE9MM" localSheetId="1" hidden="1">#REF!</definedName>
    <definedName name="BExMIBOOZU40JS3F89OMPSRCE9MM" localSheetId="7" hidden="1">#REF!</definedName>
    <definedName name="BExMIBOOZU40JS3F89OMPSRCE9MM" localSheetId="2" hidden="1">#REF!</definedName>
    <definedName name="BExMIBOOZU40JS3F89OMPSRCE9MM" localSheetId="34" hidden="1">#REF!</definedName>
    <definedName name="BExMIBOOZU40JS3F89OMPSRCE9MM" localSheetId="12" hidden="1">#REF!</definedName>
    <definedName name="BExMIBOOZU40JS3F89OMPSRCE9MM" localSheetId="10" hidden="1">#REF!</definedName>
    <definedName name="BExMIBOOZU40JS3F89OMPSRCE9MM" localSheetId="6" hidden="1">#REF!</definedName>
    <definedName name="BExMIBOOZU40JS3F89OMPSRCE9MM" hidden="1">#REF!</definedName>
    <definedName name="BExMIV0KC8555D5E42ZGWG15Y0MO" localSheetId="1" hidden="1">#REF!</definedName>
    <definedName name="BExMIV0KC8555D5E42ZGWG15Y0MO" localSheetId="7" hidden="1">#REF!</definedName>
    <definedName name="BExMIV0KC8555D5E42ZGWG15Y0MO" localSheetId="2" hidden="1">#REF!</definedName>
    <definedName name="BExMIV0KC8555D5E42ZGWG15Y0MO" localSheetId="34" hidden="1">#REF!</definedName>
    <definedName name="BExMIV0KC8555D5E42ZGWG15Y0MO" localSheetId="12" hidden="1">#REF!</definedName>
    <definedName name="BExMIV0KC8555D5E42ZGWG15Y0MO" localSheetId="10" hidden="1">#REF!</definedName>
    <definedName name="BExMIV0KC8555D5E42ZGWG15Y0MO" localSheetId="6" hidden="1">#REF!</definedName>
    <definedName name="BExMIV0KC8555D5E42ZGWG15Y0MO" hidden="1">#REF!</definedName>
    <definedName name="BExMKUN3WPECJR2XRID2R7GZRGNX" localSheetId="1" hidden="1">#REF!</definedName>
    <definedName name="BExMKUN3WPECJR2XRID2R7GZRGNX" localSheetId="7" hidden="1">#REF!</definedName>
    <definedName name="BExMKUN3WPECJR2XRID2R7GZRGNX" localSheetId="2" hidden="1">#REF!</definedName>
    <definedName name="BExMKUN3WPECJR2XRID2R7GZRGNX" localSheetId="34" hidden="1">#REF!</definedName>
    <definedName name="BExMKUN3WPECJR2XRID2R7GZRGNX" localSheetId="12" hidden="1">#REF!</definedName>
    <definedName name="BExMKUN3WPECJR2XRID2R7GZRGNX" localSheetId="10" hidden="1">#REF!</definedName>
    <definedName name="BExMKUN3WPECJR2XRID2R7GZRGNX" localSheetId="6" hidden="1">#REF!</definedName>
    <definedName name="BExMKUN3WPECJR2XRID2R7GZRGNX" hidden="1">#REF!</definedName>
    <definedName name="BExMKZ535P011X4TNV16GCOH4H21" localSheetId="1" hidden="1">#REF!</definedName>
    <definedName name="BExMKZ535P011X4TNV16GCOH4H21" localSheetId="7" hidden="1">#REF!</definedName>
    <definedName name="BExMKZ535P011X4TNV16GCOH4H21" localSheetId="2" hidden="1">#REF!</definedName>
    <definedName name="BExMKZ535P011X4TNV16GCOH4H21" localSheetId="34" hidden="1">#REF!</definedName>
    <definedName name="BExMKZ535P011X4TNV16GCOH4H21" localSheetId="12" hidden="1">#REF!</definedName>
    <definedName name="BExMKZ535P011X4TNV16GCOH4H21" localSheetId="10" hidden="1">#REF!</definedName>
    <definedName name="BExMKZ535P011X4TNV16GCOH4H21" localSheetId="6" hidden="1">#REF!</definedName>
    <definedName name="BExMKZ535P011X4TNV16GCOH4H21" hidden="1">#REF!</definedName>
    <definedName name="BExMLVI7UORSHM9FMO8S2EI0TMTS" localSheetId="1" hidden="1">#REF!</definedName>
    <definedName name="BExMLVI7UORSHM9FMO8S2EI0TMTS" localSheetId="7" hidden="1">#REF!</definedName>
    <definedName name="BExMLVI7UORSHM9FMO8S2EI0TMTS" localSheetId="2" hidden="1">#REF!</definedName>
    <definedName name="BExMLVI7UORSHM9FMO8S2EI0TMTS" localSheetId="34" hidden="1">#REF!</definedName>
    <definedName name="BExMLVI7UORSHM9FMO8S2EI0TMTS" localSheetId="12" hidden="1">#REF!</definedName>
    <definedName name="BExMLVI7UORSHM9FMO8S2EI0TMTS" localSheetId="10" hidden="1">#REF!</definedName>
    <definedName name="BExMLVI7UORSHM9FMO8S2EI0TMTS" localSheetId="6" hidden="1">#REF!</definedName>
    <definedName name="BExMLVI7UORSHM9FMO8S2EI0TMTS" hidden="1">#REF!</definedName>
    <definedName name="BExMM5UCOT2HSSN0ZIPZW55GSOVO" localSheetId="1" hidden="1">#REF!</definedName>
    <definedName name="BExMM5UCOT2HSSN0ZIPZW55GSOVO" localSheetId="7" hidden="1">#REF!</definedName>
    <definedName name="BExMM5UCOT2HSSN0ZIPZW55GSOVO" localSheetId="2" hidden="1">#REF!</definedName>
    <definedName name="BExMM5UCOT2HSSN0ZIPZW55GSOVO" localSheetId="34" hidden="1">#REF!</definedName>
    <definedName name="BExMM5UCOT2HSSN0ZIPZW55GSOVO" localSheetId="12" hidden="1">#REF!</definedName>
    <definedName name="BExMM5UCOT2HSSN0ZIPZW55GSOVO" localSheetId="10" hidden="1">#REF!</definedName>
    <definedName name="BExMM5UCOT2HSSN0ZIPZW55GSOVO" localSheetId="6" hidden="1">#REF!</definedName>
    <definedName name="BExMM5UCOT2HSSN0ZIPZW55GSOVO" hidden="1">#REF!</definedName>
    <definedName name="BExMMNIZ2T7M22WECMUQXEF4NJ71" localSheetId="1" hidden="1">#REF!</definedName>
    <definedName name="BExMMNIZ2T7M22WECMUQXEF4NJ71" localSheetId="7" hidden="1">#REF!</definedName>
    <definedName name="BExMMNIZ2T7M22WECMUQXEF4NJ71" localSheetId="2" hidden="1">#REF!</definedName>
    <definedName name="BExMMNIZ2T7M22WECMUQXEF4NJ71" localSheetId="34" hidden="1">#REF!</definedName>
    <definedName name="BExMMNIZ2T7M22WECMUQXEF4NJ71" localSheetId="12" hidden="1">#REF!</definedName>
    <definedName name="BExMMNIZ2T7M22WECMUQXEF4NJ71" localSheetId="10" hidden="1">#REF!</definedName>
    <definedName name="BExMMNIZ2T7M22WECMUQXEF4NJ71" localSheetId="6" hidden="1">#REF!</definedName>
    <definedName name="BExMMNIZ2T7M22WECMUQXEF4NJ71" hidden="1">#REF!</definedName>
    <definedName name="BExMPSD77XQ3HA6A4FZOJK8G2JP3" localSheetId="1" hidden="1">#REF!</definedName>
    <definedName name="BExMPSD77XQ3HA6A4FZOJK8G2JP3" localSheetId="7" hidden="1">#REF!</definedName>
    <definedName name="BExMPSD77XQ3HA6A4FZOJK8G2JP3" localSheetId="2" hidden="1">#REF!</definedName>
    <definedName name="BExMPSD77XQ3HA6A4FZOJK8G2JP3" localSheetId="34" hidden="1">#REF!</definedName>
    <definedName name="BExMPSD77XQ3HA6A4FZOJK8G2JP3" localSheetId="12" hidden="1">#REF!</definedName>
    <definedName name="BExMPSD77XQ3HA6A4FZOJK8G2JP3" localSheetId="10" hidden="1">#REF!</definedName>
    <definedName name="BExMPSD77XQ3HA6A4FZOJK8G2JP3" localSheetId="6" hidden="1">#REF!</definedName>
    <definedName name="BExMPSD77XQ3HA6A4FZOJK8G2JP3" hidden="1">#REF!</definedName>
    <definedName name="BExMQ71WHW50GVX45JU951AGPLFQ" localSheetId="1" hidden="1">#REF!</definedName>
    <definedName name="BExMQ71WHW50GVX45JU951AGPLFQ" localSheetId="7" hidden="1">#REF!</definedName>
    <definedName name="BExMQ71WHW50GVX45JU951AGPLFQ" localSheetId="2" hidden="1">#REF!</definedName>
    <definedName name="BExMQ71WHW50GVX45JU951AGPLFQ" localSheetId="34" hidden="1">#REF!</definedName>
    <definedName name="BExMQ71WHW50GVX45JU951AGPLFQ" localSheetId="12" hidden="1">#REF!</definedName>
    <definedName name="BExMQ71WHW50GVX45JU951AGPLFQ" localSheetId="10" hidden="1">#REF!</definedName>
    <definedName name="BExMQ71WHW50GVX45JU951AGPLFQ" localSheetId="6" hidden="1">#REF!</definedName>
    <definedName name="BExMQ71WHW50GVX45JU951AGPLFQ" hidden="1">#REF!</definedName>
    <definedName name="BExOBP0FKQ4SVR59FB48UNLKCOR6" localSheetId="1" hidden="1">#REF!</definedName>
    <definedName name="BExOBP0FKQ4SVR59FB48UNLKCOR6" localSheetId="7" hidden="1">#REF!</definedName>
    <definedName name="BExOBP0FKQ4SVR59FB48UNLKCOR6" localSheetId="2" hidden="1">#REF!</definedName>
    <definedName name="BExOBP0FKQ4SVR59FB48UNLKCOR6" localSheetId="34" hidden="1">#REF!</definedName>
    <definedName name="BExOBP0FKQ4SVR59FB48UNLKCOR6" localSheetId="12" hidden="1">#REF!</definedName>
    <definedName name="BExOBP0FKQ4SVR59FB48UNLKCOR6" localSheetId="10" hidden="1">#REF!</definedName>
    <definedName name="BExOBP0FKQ4SVR59FB48UNLKCOR6" localSheetId="6" hidden="1">#REF!</definedName>
    <definedName name="BExOBP0FKQ4SVR59FB48UNLKCOR6" hidden="1">#REF!</definedName>
    <definedName name="BExOFVLXVD6RVHSQO8KZOOACSV24" localSheetId="1" hidden="1">#REF!</definedName>
    <definedName name="BExOFVLXVD6RVHSQO8KZOOACSV24" localSheetId="7" hidden="1">#REF!</definedName>
    <definedName name="BExOFVLXVD6RVHSQO8KZOOACSV24" localSheetId="2" hidden="1">#REF!</definedName>
    <definedName name="BExOFVLXVD6RVHSQO8KZOOACSV24" localSheetId="34" hidden="1">#REF!</definedName>
    <definedName name="BExOFVLXVD6RVHSQO8KZOOACSV24" localSheetId="12" hidden="1">#REF!</definedName>
    <definedName name="BExOFVLXVD6RVHSQO8KZOOACSV24" localSheetId="10" hidden="1">#REF!</definedName>
    <definedName name="BExOFVLXVD6RVHSQO8KZOOACSV24" localSheetId="6" hidden="1">#REF!</definedName>
    <definedName name="BExOFVLXVD6RVHSQO8KZOOACSV24" hidden="1">#REF!</definedName>
    <definedName name="BExOJXEUJJ9SYRJXKYYV2NCCDT2R" localSheetId="1" hidden="1">#REF!</definedName>
    <definedName name="BExOJXEUJJ9SYRJXKYYV2NCCDT2R" localSheetId="7" hidden="1">#REF!</definedName>
    <definedName name="BExOJXEUJJ9SYRJXKYYV2NCCDT2R" localSheetId="2" hidden="1">#REF!</definedName>
    <definedName name="BExOJXEUJJ9SYRJXKYYV2NCCDT2R" localSheetId="34" hidden="1">#REF!</definedName>
    <definedName name="BExOJXEUJJ9SYRJXKYYV2NCCDT2R" localSheetId="12" hidden="1">#REF!</definedName>
    <definedName name="BExOJXEUJJ9SYRJXKYYV2NCCDT2R" localSheetId="10" hidden="1">#REF!</definedName>
    <definedName name="BExOJXEUJJ9SYRJXKYYV2NCCDT2R" localSheetId="6" hidden="1">#REF!</definedName>
    <definedName name="BExOJXEUJJ9SYRJXKYYV2NCCDT2R" hidden="1">#REF!</definedName>
    <definedName name="BExOK0EQYM9JUMAGWOUN7QDH7VMZ" localSheetId="1" hidden="1">#REF!</definedName>
    <definedName name="BExOK0EQYM9JUMAGWOUN7QDH7VMZ" localSheetId="7" hidden="1">#REF!</definedName>
    <definedName name="BExOK0EQYM9JUMAGWOUN7QDH7VMZ" localSheetId="2" hidden="1">#REF!</definedName>
    <definedName name="BExOK0EQYM9JUMAGWOUN7QDH7VMZ" localSheetId="34" hidden="1">#REF!</definedName>
    <definedName name="BExOK0EQYM9JUMAGWOUN7QDH7VMZ" localSheetId="12" hidden="1">#REF!</definedName>
    <definedName name="BExOK0EQYM9JUMAGWOUN7QDH7VMZ" localSheetId="10" hidden="1">#REF!</definedName>
    <definedName name="BExOK0EQYM9JUMAGWOUN7QDH7VMZ" localSheetId="6" hidden="1">#REF!</definedName>
    <definedName name="BExOK0EQYM9JUMAGWOUN7QDH7VMZ" hidden="1">#REF!</definedName>
    <definedName name="BExOLICXFHJLILCJVFMJE5MGGWKR" localSheetId="1" hidden="1">#REF!</definedName>
    <definedName name="BExOLICXFHJLILCJVFMJE5MGGWKR" localSheetId="7" hidden="1">#REF!</definedName>
    <definedName name="BExOLICXFHJLILCJVFMJE5MGGWKR" localSheetId="2" hidden="1">#REF!</definedName>
    <definedName name="BExOLICXFHJLILCJVFMJE5MGGWKR" localSheetId="34" hidden="1">#REF!</definedName>
    <definedName name="BExOLICXFHJLILCJVFMJE5MGGWKR" localSheetId="12" hidden="1">#REF!</definedName>
    <definedName name="BExOLICXFHJLILCJVFMJE5MGGWKR" localSheetId="10" hidden="1">#REF!</definedName>
    <definedName name="BExOLICXFHJLILCJVFMJE5MGGWKR" localSheetId="6" hidden="1">#REF!</definedName>
    <definedName name="BExOLICXFHJLILCJVFMJE5MGGWKR" hidden="1">#REF!</definedName>
    <definedName name="BExOMU0A6XMY48SZRYL4WQZD13BI" localSheetId="1" hidden="1">#REF!</definedName>
    <definedName name="BExOMU0A6XMY48SZRYL4WQZD13BI" localSheetId="7" hidden="1">#REF!</definedName>
    <definedName name="BExOMU0A6XMY48SZRYL4WQZD13BI" localSheetId="2" hidden="1">#REF!</definedName>
    <definedName name="BExOMU0A6XMY48SZRYL4WQZD13BI" localSheetId="34" hidden="1">#REF!</definedName>
    <definedName name="BExOMU0A6XMY48SZRYL4WQZD13BI" localSheetId="12" hidden="1">#REF!</definedName>
    <definedName name="BExOMU0A6XMY48SZRYL4WQZD13BI" localSheetId="10" hidden="1">#REF!</definedName>
    <definedName name="BExOMU0A6XMY48SZRYL4WQZD13BI" localSheetId="6" hidden="1">#REF!</definedName>
    <definedName name="BExOMU0A6XMY48SZRYL4WQZD13BI" hidden="1">#REF!</definedName>
    <definedName name="BExQ2M841F5Z1BQYR8DG5FKK0LIU" localSheetId="1" hidden="1">#REF!</definedName>
    <definedName name="BExQ2M841F5Z1BQYR8DG5FKK0LIU" localSheetId="7" hidden="1">#REF!</definedName>
    <definedName name="BExQ2M841F5Z1BQYR8DG5FKK0LIU" localSheetId="2" hidden="1">#REF!</definedName>
    <definedName name="BExQ2M841F5Z1BQYR8DG5FKK0LIU" localSheetId="34" hidden="1">#REF!</definedName>
    <definedName name="BExQ2M841F5Z1BQYR8DG5FKK0LIU" localSheetId="12" hidden="1">#REF!</definedName>
    <definedName name="BExQ2M841F5Z1BQYR8DG5FKK0LIU" localSheetId="10" hidden="1">#REF!</definedName>
    <definedName name="BExQ2M841F5Z1BQYR8DG5FKK0LIU" localSheetId="6" hidden="1">#REF!</definedName>
    <definedName name="BExQ2M841F5Z1BQYR8DG5FKK0LIU" hidden="1">#REF!</definedName>
    <definedName name="BExQ300G8I8TK45A0MVHV15422EU" localSheetId="1" hidden="1">#REF!</definedName>
    <definedName name="BExQ300G8I8TK45A0MVHV15422EU" localSheetId="7" hidden="1">#REF!</definedName>
    <definedName name="BExQ300G8I8TK45A0MVHV15422EU" localSheetId="2" hidden="1">#REF!</definedName>
    <definedName name="BExQ300G8I8TK45A0MVHV15422EU" localSheetId="34" hidden="1">#REF!</definedName>
    <definedName name="BExQ300G8I8TK45A0MVHV15422EU" localSheetId="12" hidden="1">#REF!</definedName>
    <definedName name="BExQ300G8I8TK45A0MVHV15422EU" localSheetId="10" hidden="1">#REF!</definedName>
    <definedName name="BExQ300G8I8TK45A0MVHV15422EU" localSheetId="6" hidden="1">#REF!</definedName>
    <definedName name="BExQ300G8I8TK45A0MVHV15422EU" hidden="1">#REF!</definedName>
    <definedName name="BExQ39R28MXSG2SEV956F0KZ20AN" localSheetId="1" hidden="1">#REF!</definedName>
    <definedName name="BExQ39R28MXSG2SEV956F0KZ20AN" localSheetId="7" hidden="1">#REF!</definedName>
    <definedName name="BExQ39R28MXSG2SEV956F0KZ20AN" localSheetId="2" hidden="1">#REF!</definedName>
    <definedName name="BExQ39R28MXSG2SEV956F0KZ20AN" localSheetId="34" hidden="1">#REF!</definedName>
    <definedName name="BExQ39R28MXSG2SEV956F0KZ20AN" localSheetId="12" hidden="1">#REF!</definedName>
    <definedName name="BExQ39R28MXSG2SEV956F0KZ20AN" localSheetId="10" hidden="1">#REF!</definedName>
    <definedName name="BExQ39R28MXSG2SEV956F0KZ20AN" localSheetId="6" hidden="1">#REF!</definedName>
    <definedName name="BExQ39R28MXSG2SEV956F0KZ20AN" hidden="1">#REF!</definedName>
    <definedName name="BExQ3D1P3M5Z3HLMEZ17E0BLEE4U" localSheetId="1" hidden="1">#REF!</definedName>
    <definedName name="BExQ3D1P3M5Z3HLMEZ17E0BLEE4U" localSheetId="7" hidden="1">#REF!</definedName>
    <definedName name="BExQ3D1P3M5Z3HLMEZ17E0BLEE4U" localSheetId="2" hidden="1">#REF!</definedName>
    <definedName name="BExQ3D1P3M5Z3HLMEZ17E0BLEE4U" localSheetId="34" hidden="1">#REF!</definedName>
    <definedName name="BExQ3D1P3M5Z3HLMEZ17E0BLEE4U" localSheetId="12" hidden="1">#REF!</definedName>
    <definedName name="BExQ3D1P3M5Z3HLMEZ17E0BLEE4U" localSheetId="10" hidden="1">#REF!</definedName>
    <definedName name="BExQ3D1P3M5Z3HLMEZ17E0BLEE4U" localSheetId="6" hidden="1">#REF!</definedName>
    <definedName name="BExQ3D1P3M5Z3HLMEZ17E0BLEE4U" hidden="1">#REF!</definedName>
    <definedName name="BExQ42IU9MNDYLODP41DL6YTZMAR" localSheetId="1" hidden="1">#REF!</definedName>
    <definedName name="BExQ42IU9MNDYLODP41DL6YTZMAR" localSheetId="7" hidden="1">#REF!</definedName>
    <definedName name="BExQ42IU9MNDYLODP41DL6YTZMAR" localSheetId="2" hidden="1">#REF!</definedName>
    <definedName name="BExQ42IU9MNDYLODP41DL6YTZMAR" localSheetId="34" hidden="1">#REF!</definedName>
    <definedName name="BExQ42IU9MNDYLODP41DL6YTZMAR" localSheetId="12" hidden="1">#REF!</definedName>
    <definedName name="BExQ42IU9MNDYLODP41DL6YTZMAR" localSheetId="10" hidden="1">#REF!</definedName>
    <definedName name="BExQ42IU9MNDYLODP41DL6YTZMAR" localSheetId="6" hidden="1">#REF!</definedName>
    <definedName name="BExQ42IU9MNDYLODP41DL6YTZMAR" hidden="1">#REF!</definedName>
    <definedName name="BExQ63793YQ9BH7JLCNRIATIGTRG" localSheetId="1" hidden="1">#REF!</definedName>
    <definedName name="BExQ63793YQ9BH7JLCNRIATIGTRG" localSheetId="7" hidden="1">#REF!</definedName>
    <definedName name="BExQ63793YQ9BH7JLCNRIATIGTRG" localSheetId="2" hidden="1">#REF!</definedName>
    <definedName name="BExQ63793YQ9BH7JLCNRIATIGTRG" localSheetId="34" hidden="1">#REF!</definedName>
    <definedName name="BExQ63793YQ9BH7JLCNRIATIGTRG" localSheetId="12" hidden="1">#REF!</definedName>
    <definedName name="BExQ63793YQ9BH7JLCNRIATIGTRG" localSheetId="10" hidden="1">#REF!</definedName>
    <definedName name="BExQ63793YQ9BH7JLCNRIATIGTRG" localSheetId="6" hidden="1">#REF!</definedName>
    <definedName name="BExQ63793YQ9BH7JLCNRIATIGTRG" hidden="1">#REF!</definedName>
    <definedName name="BExQ7MY3U2Z1IZ71U5LJUD00VVB4" localSheetId="1" hidden="1">#REF!</definedName>
    <definedName name="BExQ7MY3U2Z1IZ71U5LJUD00VVB4" localSheetId="7" hidden="1">#REF!</definedName>
    <definedName name="BExQ7MY3U2Z1IZ71U5LJUD00VVB4" localSheetId="2" hidden="1">#REF!</definedName>
    <definedName name="BExQ7MY3U2Z1IZ71U5LJUD00VVB4" localSheetId="34" hidden="1">#REF!</definedName>
    <definedName name="BExQ7MY3U2Z1IZ71U5LJUD00VVB4" localSheetId="12" hidden="1">#REF!</definedName>
    <definedName name="BExQ7MY3U2Z1IZ71U5LJUD00VVB4" localSheetId="10" hidden="1">#REF!</definedName>
    <definedName name="BExQ7MY3U2Z1IZ71U5LJUD00VVB4" localSheetId="6" hidden="1">#REF!</definedName>
    <definedName name="BExQ7MY3U2Z1IZ71U5LJUD00VVB4" hidden="1">#REF!</definedName>
    <definedName name="BExQ7XL2Q1GVUFL1F9KK0K0EXMWG" localSheetId="1" hidden="1">#REF!</definedName>
    <definedName name="BExQ7XL2Q1GVUFL1F9KK0K0EXMWG" localSheetId="7" hidden="1">#REF!</definedName>
    <definedName name="BExQ7XL2Q1GVUFL1F9KK0K0EXMWG" localSheetId="2" hidden="1">#REF!</definedName>
    <definedName name="BExQ7XL2Q1GVUFL1F9KK0K0EXMWG" localSheetId="34" hidden="1">#REF!</definedName>
    <definedName name="BExQ7XL2Q1GVUFL1F9KK0K0EXMWG" localSheetId="12" hidden="1">#REF!</definedName>
    <definedName name="BExQ7XL2Q1GVUFL1F9KK0K0EXMWG" localSheetId="10" hidden="1">#REF!</definedName>
    <definedName name="BExQ7XL2Q1GVUFL1F9KK0K0EXMWG" localSheetId="6" hidden="1">#REF!</definedName>
    <definedName name="BExQ7XL2Q1GVUFL1F9KK0K0EXMWG" hidden="1">#REF!</definedName>
    <definedName name="BExQ8A0RPE3IMIFIZLUE7KD2N21W" localSheetId="1" hidden="1">#REF!</definedName>
    <definedName name="BExQ8A0RPE3IMIFIZLUE7KD2N21W" localSheetId="7" hidden="1">#REF!</definedName>
    <definedName name="BExQ8A0RPE3IMIFIZLUE7KD2N21W" localSheetId="2" hidden="1">#REF!</definedName>
    <definedName name="BExQ8A0RPE3IMIFIZLUE7KD2N21W" localSheetId="34" hidden="1">#REF!</definedName>
    <definedName name="BExQ8A0RPE3IMIFIZLUE7KD2N21W" localSheetId="12" hidden="1">#REF!</definedName>
    <definedName name="BExQ8A0RPE3IMIFIZLUE7KD2N21W" localSheetId="10" hidden="1">#REF!</definedName>
    <definedName name="BExQ8A0RPE3IMIFIZLUE7KD2N21W" localSheetId="6" hidden="1">#REF!</definedName>
    <definedName name="BExQ8A0RPE3IMIFIZLUE7KD2N21W" hidden="1">#REF!</definedName>
    <definedName name="BExQ8O3WEU8HNTTGKTW5T0QSKCLP" localSheetId="1" hidden="1">#REF!</definedName>
    <definedName name="BExQ8O3WEU8HNTTGKTW5T0QSKCLP" localSheetId="7" hidden="1">#REF!</definedName>
    <definedName name="BExQ8O3WEU8HNTTGKTW5T0QSKCLP" localSheetId="2" hidden="1">#REF!</definedName>
    <definedName name="BExQ8O3WEU8HNTTGKTW5T0QSKCLP" localSheetId="34" hidden="1">#REF!</definedName>
    <definedName name="BExQ8O3WEU8HNTTGKTW5T0QSKCLP" localSheetId="12" hidden="1">#REF!</definedName>
    <definedName name="BExQ8O3WEU8HNTTGKTW5T0QSKCLP" localSheetId="10" hidden="1">#REF!</definedName>
    <definedName name="BExQ8O3WEU8HNTTGKTW5T0QSKCLP" localSheetId="6" hidden="1">#REF!</definedName>
    <definedName name="BExQ8O3WEU8HNTTGKTW5T0QSKCLP" hidden="1">#REF!</definedName>
    <definedName name="BExQ9M4E2ACZOWWWP1JJIQO8AHUM" localSheetId="1" hidden="1">#REF!</definedName>
    <definedName name="BExQ9M4E2ACZOWWWP1JJIQO8AHUM" localSheetId="7" hidden="1">#REF!</definedName>
    <definedName name="BExQ9M4E2ACZOWWWP1JJIQO8AHUM" localSheetId="2" hidden="1">#REF!</definedName>
    <definedName name="BExQ9M4E2ACZOWWWP1JJIQO8AHUM" localSheetId="34" hidden="1">#REF!</definedName>
    <definedName name="BExQ9M4E2ACZOWWWP1JJIQO8AHUM" localSheetId="12" hidden="1">#REF!</definedName>
    <definedName name="BExQ9M4E2ACZOWWWP1JJIQO8AHUM" localSheetId="10" hidden="1">#REF!</definedName>
    <definedName name="BExQ9M4E2ACZOWWWP1JJIQO8AHUM" localSheetId="6" hidden="1">#REF!</definedName>
    <definedName name="BExQ9M4E2ACZOWWWP1JJIQO8AHUM" hidden="1">#REF!</definedName>
    <definedName name="BExQ9ZLYHWABXAA9NJDW8ZS0UQ9P" localSheetId="1" hidden="1">#REF!</definedName>
    <definedName name="BExQ9ZLYHWABXAA9NJDW8ZS0UQ9P" localSheetId="7" hidden="1">#REF!</definedName>
    <definedName name="BExQ9ZLYHWABXAA9NJDW8ZS0UQ9P" localSheetId="2" hidden="1">#REF!</definedName>
    <definedName name="BExQ9ZLYHWABXAA9NJDW8ZS0UQ9P" localSheetId="34" hidden="1">#REF!</definedName>
    <definedName name="BExQ9ZLYHWABXAA9NJDW8ZS0UQ9P" localSheetId="12" hidden="1">#REF!</definedName>
    <definedName name="BExQ9ZLYHWABXAA9NJDW8ZS0UQ9P" localSheetId="10" hidden="1">#REF!</definedName>
    <definedName name="BExQ9ZLYHWABXAA9NJDW8ZS0UQ9P" localSheetId="6" hidden="1">#REF!</definedName>
    <definedName name="BExQ9ZLYHWABXAA9NJDW8ZS0UQ9P" hidden="1">#REF!</definedName>
    <definedName name="BExQA324HSCK40ENJUT9CS9EC71B" localSheetId="1" hidden="1">#REF!</definedName>
    <definedName name="BExQA324HSCK40ENJUT9CS9EC71B" localSheetId="7" hidden="1">#REF!</definedName>
    <definedName name="BExQA324HSCK40ENJUT9CS9EC71B" localSheetId="2" hidden="1">#REF!</definedName>
    <definedName name="BExQA324HSCK40ENJUT9CS9EC71B" localSheetId="34" hidden="1">#REF!</definedName>
    <definedName name="BExQA324HSCK40ENJUT9CS9EC71B" localSheetId="12" hidden="1">#REF!</definedName>
    <definedName name="BExQA324HSCK40ENJUT9CS9EC71B" localSheetId="10" hidden="1">#REF!</definedName>
    <definedName name="BExQA324HSCK40ENJUT9CS9EC71B" localSheetId="6" hidden="1">#REF!</definedName>
    <definedName name="BExQA324HSCK40ENJUT9CS9EC71B" hidden="1">#REF!</definedName>
    <definedName name="BExQAX0WXHFYUMB6XDMGQ9IS2IZ3" localSheetId="1" hidden="1">#REF!</definedName>
    <definedName name="BExQAX0WXHFYUMB6XDMGQ9IS2IZ3" localSheetId="7" hidden="1">#REF!</definedName>
    <definedName name="BExQAX0WXHFYUMB6XDMGQ9IS2IZ3" localSheetId="2" hidden="1">#REF!</definedName>
    <definedName name="BExQAX0WXHFYUMB6XDMGQ9IS2IZ3" localSheetId="34" hidden="1">#REF!</definedName>
    <definedName name="BExQAX0WXHFYUMB6XDMGQ9IS2IZ3" localSheetId="12" hidden="1">#REF!</definedName>
    <definedName name="BExQAX0WXHFYUMB6XDMGQ9IS2IZ3" localSheetId="10" hidden="1">#REF!</definedName>
    <definedName name="BExQAX0WXHFYUMB6XDMGQ9IS2IZ3" localSheetId="6" hidden="1">#REF!</definedName>
    <definedName name="BExQAX0WXHFYUMB6XDMGQ9IS2IZ3" hidden="1">#REF!</definedName>
    <definedName name="BExQDE1B6U2Q9B73KBENABP71YM1" localSheetId="1" hidden="1">#REF!</definedName>
    <definedName name="BExQDE1B6U2Q9B73KBENABP71YM1" localSheetId="7" hidden="1">#REF!</definedName>
    <definedName name="BExQDE1B6U2Q9B73KBENABP71YM1" localSheetId="2" hidden="1">#REF!</definedName>
    <definedName name="BExQDE1B6U2Q9B73KBENABP71YM1" localSheetId="34" hidden="1">#REF!</definedName>
    <definedName name="BExQDE1B6U2Q9B73KBENABP71YM1" localSheetId="12" hidden="1">#REF!</definedName>
    <definedName name="BExQDE1B6U2Q9B73KBENABP71YM1" localSheetId="10" hidden="1">#REF!</definedName>
    <definedName name="BExQDE1B6U2Q9B73KBENABP71YM1" localSheetId="6" hidden="1">#REF!</definedName>
    <definedName name="BExQDE1B6U2Q9B73KBENABP71YM1" hidden="1">#REF!</definedName>
    <definedName name="BExQEMUA4HEFM4OVO8M8MA8PIAW1" localSheetId="1" hidden="1">#REF!</definedName>
    <definedName name="BExQEMUA4HEFM4OVO8M8MA8PIAW1" localSheetId="7" hidden="1">#REF!</definedName>
    <definedName name="BExQEMUA4HEFM4OVO8M8MA8PIAW1" localSheetId="2" hidden="1">#REF!</definedName>
    <definedName name="BExQEMUA4HEFM4OVO8M8MA8PIAW1" localSheetId="34" hidden="1">#REF!</definedName>
    <definedName name="BExQEMUA4HEFM4OVO8M8MA8PIAW1" localSheetId="12" hidden="1">#REF!</definedName>
    <definedName name="BExQEMUA4HEFM4OVO8M8MA8PIAW1" localSheetId="10" hidden="1">#REF!</definedName>
    <definedName name="BExQEMUA4HEFM4OVO8M8MA8PIAW1" localSheetId="6" hidden="1">#REF!</definedName>
    <definedName name="BExQEMUA4HEFM4OVO8M8MA8PIAW1" hidden="1">#REF!</definedName>
    <definedName name="BExQFEK8NUD04X2OBRA275ADPSDL" localSheetId="1" hidden="1">#REF!</definedName>
    <definedName name="BExQFEK8NUD04X2OBRA275ADPSDL" localSheetId="7" hidden="1">#REF!</definedName>
    <definedName name="BExQFEK8NUD04X2OBRA275ADPSDL" localSheetId="2" hidden="1">#REF!</definedName>
    <definedName name="BExQFEK8NUD04X2OBRA275ADPSDL" localSheetId="34" hidden="1">#REF!</definedName>
    <definedName name="BExQFEK8NUD04X2OBRA275ADPSDL" localSheetId="12" hidden="1">#REF!</definedName>
    <definedName name="BExQFEK8NUD04X2OBRA275ADPSDL" localSheetId="10" hidden="1">#REF!</definedName>
    <definedName name="BExQFEK8NUD04X2OBRA275ADPSDL" localSheetId="6" hidden="1">#REF!</definedName>
    <definedName name="BExQFEK8NUD04X2OBRA275ADPSDL" hidden="1">#REF!</definedName>
    <definedName name="BExS6ITKSZFRR01YD5B0F676SYN7" localSheetId="1" hidden="1">#REF!</definedName>
    <definedName name="BExS6ITKSZFRR01YD5B0F676SYN7" localSheetId="7" hidden="1">#REF!</definedName>
    <definedName name="BExS6ITKSZFRR01YD5B0F676SYN7" localSheetId="2" hidden="1">#REF!</definedName>
    <definedName name="BExS6ITKSZFRR01YD5B0F676SYN7" localSheetId="34" hidden="1">#REF!</definedName>
    <definedName name="BExS6ITKSZFRR01YD5B0F676SYN7" localSheetId="12" hidden="1">#REF!</definedName>
    <definedName name="BExS6ITKSZFRR01YD5B0F676SYN7" localSheetId="10" hidden="1">#REF!</definedName>
    <definedName name="BExS6ITKSZFRR01YD5B0F676SYN7" localSheetId="6" hidden="1">#REF!</definedName>
    <definedName name="BExS6ITKSZFRR01YD5B0F676SYN7" hidden="1">#REF!</definedName>
    <definedName name="BExS81TE0EY44Y3W2M4Z4MGNP5OM" localSheetId="1" hidden="1">#REF!</definedName>
    <definedName name="BExS81TE0EY44Y3W2M4Z4MGNP5OM" localSheetId="7" hidden="1">#REF!</definedName>
    <definedName name="BExS81TE0EY44Y3W2M4Z4MGNP5OM" localSheetId="2" hidden="1">#REF!</definedName>
    <definedName name="BExS81TE0EY44Y3W2M4Z4MGNP5OM" localSheetId="34" hidden="1">#REF!</definedName>
    <definedName name="BExS81TE0EY44Y3W2M4Z4MGNP5OM" localSheetId="12" hidden="1">#REF!</definedName>
    <definedName name="BExS81TE0EY44Y3W2M4Z4MGNP5OM" localSheetId="10" hidden="1">#REF!</definedName>
    <definedName name="BExS81TE0EY44Y3W2M4Z4MGNP5OM" localSheetId="6" hidden="1">#REF!</definedName>
    <definedName name="BExS81TE0EY44Y3W2M4Z4MGNP5OM" hidden="1">#REF!</definedName>
    <definedName name="BExSAY9CA9TFXQ9M9FBJRGJO9T9E" localSheetId="1" hidden="1">#REF!</definedName>
    <definedName name="BExSAY9CA9TFXQ9M9FBJRGJO9T9E" localSheetId="7" hidden="1">#REF!</definedName>
    <definedName name="BExSAY9CA9TFXQ9M9FBJRGJO9T9E" localSheetId="2" hidden="1">#REF!</definedName>
    <definedName name="BExSAY9CA9TFXQ9M9FBJRGJO9T9E" localSheetId="34" hidden="1">#REF!</definedName>
    <definedName name="BExSAY9CA9TFXQ9M9FBJRGJO9T9E" localSheetId="12" hidden="1">#REF!</definedName>
    <definedName name="BExSAY9CA9TFXQ9M9FBJRGJO9T9E" localSheetId="10" hidden="1">#REF!</definedName>
    <definedName name="BExSAY9CA9TFXQ9M9FBJRGJO9T9E" localSheetId="6" hidden="1">#REF!</definedName>
    <definedName name="BExSAY9CA9TFXQ9M9FBJRGJO9T9E" hidden="1">#REF!</definedName>
    <definedName name="BExSBMOS41ZRLWYLOU29V6Y7YORR" localSheetId="1" hidden="1">#REF!</definedName>
    <definedName name="BExSBMOS41ZRLWYLOU29V6Y7YORR" localSheetId="7" hidden="1">#REF!</definedName>
    <definedName name="BExSBMOS41ZRLWYLOU29V6Y7YORR" localSheetId="2" hidden="1">#REF!</definedName>
    <definedName name="BExSBMOS41ZRLWYLOU29V6Y7YORR" localSheetId="34" hidden="1">#REF!</definedName>
    <definedName name="BExSBMOS41ZRLWYLOU29V6Y7YORR" localSheetId="12" hidden="1">#REF!</definedName>
    <definedName name="BExSBMOS41ZRLWYLOU29V6Y7YORR" localSheetId="10" hidden="1">#REF!</definedName>
    <definedName name="BExSBMOS41ZRLWYLOU29V6Y7YORR" localSheetId="6" hidden="1">#REF!</definedName>
    <definedName name="BExSBMOS41ZRLWYLOU29V6Y7YORR" hidden="1">#REF!</definedName>
    <definedName name="BExSG9X3DU845PNXYJGGLBQY2UHG" localSheetId="1" hidden="1">#REF!</definedName>
    <definedName name="BExSG9X3DU845PNXYJGGLBQY2UHG" localSheetId="7" hidden="1">#REF!</definedName>
    <definedName name="BExSG9X3DU845PNXYJGGLBQY2UHG" localSheetId="2" hidden="1">#REF!</definedName>
    <definedName name="BExSG9X3DU845PNXYJGGLBQY2UHG" localSheetId="34" hidden="1">#REF!</definedName>
    <definedName name="BExSG9X3DU845PNXYJGGLBQY2UHG" localSheetId="12" hidden="1">#REF!</definedName>
    <definedName name="BExSG9X3DU845PNXYJGGLBQY2UHG" localSheetId="10" hidden="1">#REF!</definedName>
    <definedName name="BExSG9X3DU845PNXYJGGLBQY2UHG" localSheetId="6" hidden="1">#REF!</definedName>
    <definedName name="BExSG9X3DU845PNXYJGGLBQY2UHG" hidden="1">#REF!</definedName>
    <definedName name="BExSGOAYG73SFWOPAQV80P710GID" localSheetId="1" hidden="1">#REF!</definedName>
    <definedName name="BExSGOAYG73SFWOPAQV80P710GID" localSheetId="7" hidden="1">#REF!</definedName>
    <definedName name="BExSGOAYG73SFWOPAQV80P710GID" localSheetId="2" hidden="1">#REF!</definedName>
    <definedName name="BExSGOAYG73SFWOPAQV80P710GID" localSheetId="34" hidden="1">#REF!</definedName>
    <definedName name="BExSGOAYG73SFWOPAQV80P710GID" localSheetId="12" hidden="1">#REF!</definedName>
    <definedName name="BExSGOAYG73SFWOPAQV80P710GID" localSheetId="10" hidden="1">#REF!</definedName>
    <definedName name="BExSGOAYG73SFWOPAQV80P710GID" localSheetId="6" hidden="1">#REF!</definedName>
    <definedName name="BExSGOAYG73SFWOPAQV80P710GID" hidden="1">#REF!</definedName>
    <definedName name="BExTTZNS2PBCR93C9IUW49UZ4I6T" localSheetId="1" hidden="1">#REF!</definedName>
    <definedName name="BExTTZNS2PBCR93C9IUW49UZ4I6T" localSheetId="7" hidden="1">#REF!</definedName>
    <definedName name="BExTTZNS2PBCR93C9IUW49UZ4I6T" localSheetId="2" hidden="1">#REF!</definedName>
    <definedName name="BExTTZNS2PBCR93C9IUW49UZ4I6T" localSheetId="34" hidden="1">#REF!</definedName>
    <definedName name="BExTTZNS2PBCR93C9IUW49UZ4I6T" localSheetId="12" hidden="1">#REF!</definedName>
    <definedName name="BExTTZNS2PBCR93C9IUW49UZ4I6T" localSheetId="10" hidden="1">#REF!</definedName>
    <definedName name="BExTTZNS2PBCR93C9IUW49UZ4I6T" localSheetId="6" hidden="1">#REF!</definedName>
    <definedName name="BExTTZNS2PBCR93C9IUW49UZ4I6T" hidden="1">#REF!</definedName>
    <definedName name="BExTUY9WNSJ91GV8CP0SKJTEIV82" localSheetId="1" hidden="1">#REF!</definedName>
    <definedName name="BExTUY9WNSJ91GV8CP0SKJTEIV82" localSheetId="7" hidden="1">#REF!</definedName>
    <definedName name="BExTUY9WNSJ91GV8CP0SKJTEIV82" localSheetId="2" hidden="1">#REF!</definedName>
    <definedName name="BExTUY9WNSJ91GV8CP0SKJTEIV82" localSheetId="34" hidden="1">#REF!</definedName>
    <definedName name="BExTUY9WNSJ91GV8CP0SKJTEIV82" localSheetId="12" hidden="1">#REF!</definedName>
    <definedName name="BExTUY9WNSJ91GV8CP0SKJTEIV82" localSheetId="10" hidden="1">#REF!</definedName>
    <definedName name="BExTUY9WNSJ91GV8CP0SKJTEIV82" localSheetId="6" hidden="1">#REF!</definedName>
    <definedName name="BExTUY9WNSJ91GV8CP0SKJTEIV82" hidden="1">#REF!</definedName>
    <definedName name="BExTVELZCF2YA5L6F23BYZZR6WHF" localSheetId="1" hidden="1">#REF!</definedName>
    <definedName name="BExTVELZCF2YA5L6F23BYZZR6WHF" localSheetId="7" hidden="1">#REF!</definedName>
    <definedName name="BExTVELZCF2YA5L6F23BYZZR6WHF" localSheetId="2" hidden="1">#REF!</definedName>
    <definedName name="BExTVELZCF2YA5L6F23BYZZR6WHF" localSheetId="34" hidden="1">#REF!</definedName>
    <definedName name="BExTVELZCF2YA5L6F23BYZZR6WHF" localSheetId="12" hidden="1">#REF!</definedName>
    <definedName name="BExTVELZCF2YA5L6F23BYZZR6WHF" localSheetId="10" hidden="1">#REF!</definedName>
    <definedName name="BExTVELZCF2YA5L6F23BYZZR6WHF" localSheetId="6" hidden="1">#REF!</definedName>
    <definedName name="BExTVELZCF2YA5L6F23BYZZR6WHF" hidden="1">#REF!</definedName>
    <definedName name="BExTXJ6HBAIXMMWKZTJNFDYVZCAY" localSheetId="1" hidden="1">#REF!</definedName>
    <definedName name="BExTXJ6HBAIXMMWKZTJNFDYVZCAY" localSheetId="7" hidden="1">#REF!</definedName>
    <definedName name="BExTXJ6HBAIXMMWKZTJNFDYVZCAY" localSheetId="2" hidden="1">#REF!</definedName>
    <definedName name="BExTXJ6HBAIXMMWKZTJNFDYVZCAY" localSheetId="34" hidden="1">#REF!</definedName>
    <definedName name="BExTXJ6HBAIXMMWKZTJNFDYVZCAY" localSheetId="12" hidden="1">#REF!</definedName>
    <definedName name="BExTXJ6HBAIXMMWKZTJNFDYVZCAY" localSheetId="10" hidden="1">#REF!</definedName>
    <definedName name="BExTXJ6HBAIXMMWKZTJNFDYVZCAY" localSheetId="6" hidden="1">#REF!</definedName>
    <definedName name="BExTXJ6HBAIXMMWKZTJNFDYVZCAY" hidden="1">#REF!</definedName>
    <definedName name="BExTXT812NQT8GAEGH738U29BI0D" localSheetId="1" hidden="1">#REF!</definedName>
    <definedName name="BExTXT812NQT8GAEGH738U29BI0D" localSheetId="7" hidden="1">#REF!</definedName>
    <definedName name="BExTXT812NQT8GAEGH738U29BI0D" localSheetId="2" hidden="1">#REF!</definedName>
    <definedName name="BExTXT812NQT8GAEGH738U29BI0D" localSheetId="34" hidden="1">#REF!</definedName>
    <definedName name="BExTXT812NQT8GAEGH738U29BI0D" localSheetId="12" hidden="1">#REF!</definedName>
    <definedName name="BExTXT812NQT8GAEGH738U29BI0D" localSheetId="10" hidden="1">#REF!</definedName>
    <definedName name="BExTXT812NQT8GAEGH738U29BI0D" localSheetId="6" hidden="1">#REF!</definedName>
    <definedName name="BExTXT812NQT8GAEGH738U29BI0D" hidden="1">#REF!</definedName>
    <definedName name="BExTY5T62H651VC86QM4X7E28JVA" localSheetId="1" hidden="1">#REF!</definedName>
    <definedName name="BExTY5T62H651VC86QM4X7E28JVA" localSheetId="7" hidden="1">#REF!</definedName>
    <definedName name="BExTY5T62H651VC86QM4X7E28JVA" localSheetId="2" hidden="1">#REF!</definedName>
    <definedName name="BExTY5T62H651VC86QM4X7E28JVA" localSheetId="34" hidden="1">#REF!</definedName>
    <definedName name="BExTY5T62H651VC86QM4X7E28JVA" localSheetId="12" hidden="1">#REF!</definedName>
    <definedName name="BExTY5T62H651VC86QM4X7E28JVA" localSheetId="10" hidden="1">#REF!</definedName>
    <definedName name="BExTY5T62H651VC86QM4X7E28JVA" localSheetId="6" hidden="1">#REF!</definedName>
    <definedName name="BExTY5T62H651VC86QM4X7E28JVA" hidden="1">#REF!</definedName>
    <definedName name="BExTZO2596CBZKPI7YNA1QQNPAIJ" localSheetId="1" hidden="1">#REF!</definedName>
    <definedName name="BExTZO2596CBZKPI7YNA1QQNPAIJ" localSheetId="7" hidden="1">#REF!</definedName>
    <definedName name="BExTZO2596CBZKPI7YNA1QQNPAIJ" localSheetId="2" hidden="1">#REF!</definedName>
    <definedName name="BExTZO2596CBZKPI7YNA1QQNPAIJ" localSheetId="34" hidden="1">#REF!</definedName>
    <definedName name="BExTZO2596CBZKPI7YNA1QQNPAIJ" localSheetId="12" hidden="1">#REF!</definedName>
    <definedName name="BExTZO2596CBZKPI7YNA1QQNPAIJ" localSheetId="10" hidden="1">#REF!</definedName>
    <definedName name="BExTZO2596CBZKPI7YNA1QQNPAIJ" localSheetId="6" hidden="1">#REF!</definedName>
    <definedName name="BExTZO2596CBZKPI7YNA1QQNPAIJ" hidden="1">#REF!</definedName>
    <definedName name="BExU02QNT4LT7H9JPUC4FXTLVGZT" localSheetId="1" hidden="1">#REF!</definedName>
    <definedName name="BExU02QNT4LT7H9JPUC4FXTLVGZT" localSheetId="7" hidden="1">#REF!</definedName>
    <definedName name="BExU02QNT4LT7H9JPUC4FXTLVGZT" localSheetId="2" hidden="1">#REF!</definedName>
    <definedName name="BExU02QNT4LT7H9JPUC4FXTLVGZT" localSheetId="34" hidden="1">#REF!</definedName>
    <definedName name="BExU02QNT4LT7H9JPUC4FXTLVGZT" localSheetId="12" hidden="1">#REF!</definedName>
    <definedName name="BExU02QNT4LT7H9JPUC4FXTLVGZT" localSheetId="10" hidden="1">#REF!</definedName>
    <definedName name="BExU02QNT4LT7H9JPUC4FXTLVGZT" localSheetId="6" hidden="1">#REF!</definedName>
    <definedName name="BExU02QNT4LT7H9JPUC4FXTLVGZT" hidden="1">#REF!</definedName>
    <definedName name="BExU1IL9AOHFO85BZB6S60DK3N8H" localSheetId="1" hidden="1">#REF!</definedName>
    <definedName name="BExU1IL9AOHFO85BZB6S60DK3N8H" localSheetId="7" hidden="1">#REF!</definedName>
    <definedName name="BExU1IL9AOHFO85BZB6S60DK3N8H" localSheetId="2" hidden="1">#REF!</definedName>
    <definedName name="BExU1IL9AOHFO85BZB6S60DK3N8H" localSheetId="34" hidden="1">#REF!</definedName>
    <definedName name="BExU1IL9AOHFO85BZB6S60DK3N8H" localSheetId="12" hidden="1">#REF!</definedName>
    <definedName name="BExU1IL9AOHFO85BZB6S60DK3N8H" localSheetId="10" hidden="1">#REF!</definedName>
    <definedName name="BExU1IL9AOHFO85BZB6S60DK3N8H" localSheetId="6" hidden="1">#REF!</definedName>
    <definedName name="BExU1IL9AOHFO85BZB6S60DK3N8H" hidden="1">#REF!</definedName>
    <definedName name="BExU1NOPS09CLFZL1O31RAF9BQNQ" localSheetId="1" hidden="1">#REF!</definedName>
    <definedName name="BExU1NOPS09CLFZL1O31RAF9BQNQ" localSheetId="7" hidden="1">#REF!</definedName>
    <definedName name="BExU1NOPS09CLFZL1O31RAF9BQNQ" localSheetId="2" hidden="1">#REF!</definedName>
    <definedName name="BExU1NOPS09CLFZL1O31RAF9BQNQ" localSheetId="34" hidden="1">#REF!</definedName>
    <definedName name="BExU1NOPS09CLFZL1O31RAF9BQNQ" localSheetId="12" hidden="1">#REF!</definedName>
    <definedName name="BExU1NOPS09CLFZL1O31RAF9BQNQ" localSheetId="10" hidden="1">#REF!</definedName>
    <definedName name="BExU1NOPS09CLFZL1O31RAF9BQNQ" localSheetId="6" hidden="1">#REF!</definedName>
    <definedName name="BExU1NOPS09CLFZL1O31RAF9BQNQ" hidden="1">#REF!</definedName>
    <definedName name="BExU1VRURIWWVJ95O40WA23LMTJD" localSheetId="1" hidden="1">#REF!</definedName>
    <definedName name="BExU1VRURIWWVJ95O40WA23LMTJD" localSheetId="7" hidden="1">#REF!</definedName>
    <definedName name="BExU1VRURIWWVJ95O40WA23LMTJD" localSheetId="2" hidden="1">#REF!</definedName>
    <definedName name="BExU1VRURIWWVJ95O40WA23LMTJD" localSheetId="34" hidden="1">#REF!</definedName>
    <definedName name="BExU1VRURIWWVJ95O40WA23LMTJD" localSheetId="12" hidden="1">#REF!</definedName>
    <definedName name="BExU1VRURIWWVJ95O40WA23LMTJD" localSheetId="10" hidden="1">#REF!</definedName>
    <definedName name="BExU1VRURIWWVJ95O40WA23LMTJD" localSheetId="6" hidden="1">#REF!</definedName>
    <definedName name="BExU1VRURIWWVJ95O40WA23LMTJD" hidden="1">#REF!</definedName>
    <definedName name="BExU4GDVLPUEWBA4MRYRTQAUNO7B" localSheetId="1" hidden="1">#REF!</definedName>
    <definedName name="BExU4GDVLPUEWBA4MRYRTQAUNO7B" localSheetId="7" hidden="1">#REF!</definedName>
    <definedName name="BExU4GDVLPUEWBA4MRYRTQAUNO7B" localSheetId="2" hidden="1">#REF!</definedName>
    <definedName name="BExU4GDVLPUEWBA4MRYRTQAUNO7B" localSheetId="34" hidden="1">#REF!</definedName>
    <definedName name="BExU4GDVLPUEWBA4MRYRTQAUNO7B" localSheetId="12" hidden="1">#REF!</definedName>
    <definedName name="BExU4GDVLPUEWBA4MRYRTQAUNO7B" localSheetId="10" hidden="1">#REF!</definedName>
    <definedName name="BExU4GDVLPUEWBA4MRYRTQAUNO7B" localSheetId="6" hidden="1">#REF!</definedName>
    <definedName name="BExU4GDVLPUEWBA4MRYRTQAUNO7B" hidden="1">#REF!</definedName>
    <definedName name="BExU80I6AE5OU7P7F5V7HWIZBJ4P" localSheetId="1" hidden="1">#REF!</definedName>
    <definedName name="BExU80I6AE5OU7P7F5V7HWIZBJ4P" localSheetId="7" hidden="1">#REF!</definedName>
    <definedName name="BExU80I6AE5OU7P7F5V7HWIZBJ4P" localSheetId="2" hidden="1">#REF!</definedName>
    <definedName name="BExU80I6AE5OU7P7F5V7HWIZBJ4P" localSheetId="34" hidden="1">#REF!</definedName>
    <definedName name="BExU80I6AE5OU7P7F5V7HWIZBJ4P" localSheetId="12" hidden="1">#REF!</definedName>
    <definedName name="BExU80I6AE5OU7P7F5V7HWIZBJ4P" localSheetId="10" hidden="1">#REF!</definedName>
    <definedName name="BExU80I6AE5OU7P7F5V7HWIZBJ4P" localSheetId="6" hidden="1">#REF!</definedName>
    <definedName name="BExU80I6AE5OU7P7F5V7HWIZBJ4P" hidden="1">#REF!</definedName>
    <definedName name="BExUC623BDYEODBN0N4DO6PJQ7NU" localSheetId="1" hidden="1">#REF!</definedName>
    <definedName name="BExUC623BDYEODBN0N4DO6PJQ7NU" localSheetId="7" hidden="1">#REF!</definedName>
    <definedName name="BExUC623BDYEODBN0N4DO6PJQ7NU" localSheetId="2" hidden="1">#REF!</definedName>
    <definedName name="BExUC623BDYEODBN0N4DO6PJQ7NU" localSheetId="34" hidden="1">#REF!</definedName>
    <definedName name="BExUC623BDYEODBN0N4DO6PJQ7NU" localSheetId="12" hidden="1">#REF!</definedName>
    <definedName name="BExUC623BDYEODBN0N4DO6PJQ7NU" localSheetId="10" hidden="1">#REF!</definedName>
    <definedName name="BExUC623BDYEODBN0N4DO6PJQ7NU" localSheetId="6" hidden="1">#REF!</definedName>
    <definedName name="BExUC623BDYEODBN0N4DO6PJQ7NU" hidden="1">#REF!</definedName>
    <definedName name="BExUDEV0CYVO7Y5IQQBEJ6FUY9S6" localSheetId="1" hidden="1">#REF!</definedName>
    <definedName name="BExUDEV0CYVO7Y5IQQBEJ6FUY9S6" localSheetId="7" hidden="1">#REF!</definedName>
    <definedName name="BExUDEV0CYVO7Y5IQQBEJ6FUY9S6" localSheetId="2" hidden="1">#REF!</definedName>
    <definedName name="BExUDEV0CYVO7Y5IQQBEJ6FUY9S6" localSheetId="34" hidden="1">#REF!</definedName>
    <definedName name="BExUDEV0CYVO7Y5IQQBEJ6FUY9S6" localSheetId="12" hidden="1">#REF!</definedName>
    <definedName name="BExUDEV0CYVO7Y5IQQBEJ6FUY9S6" localSheetId="10" hidden="1">#REF!</definedName>
    <definedName name="BExUDEV0CYVO7Y5IQQBEJ6FUY9S6" localSheetId="6" hidden="1">#REF!</definedName>
    <definedName name="BExUDEV0CYVO7Y5IQQBEJ6FUY9S6" hidden="1">#REF!</definedName>
    <definedName name="BExUEJGX3OQQP5KFRJSRCZ70EI9V" localSheetId="1" hidden="1">#REF!</definedName>
    <definedName name="BExUEJGX3OQQP5KFRJSRCZ70EI9V" localSheetId="7" hidden="1">#REF!</definedName>
    <definedName name="BExUEJGX3OQQP5KFRJSRCZ70EI9V" localSheetId="2" hidden="1">#REF!</definedName>
    <definedName name="BExUEJGX3OQQP5KFRJSRCZ70EI9V" localSheetId="34" hidden="1">#REF!</definedName>
    <definedName name="BExUEJGX3OQQP5KFRJSRCZ70EI9V" localSheetId="12" hidden="1">#REF!</definedName>
    <definedName name="BExUEJGX3OQQP5KFRJSRCZ70EI9V" localSheetId="10" hidden="1">#REF!</definedName>
    <definedName name="BExUEJGX3OQQP5KFRJSRCZ70EI9V" localSheetId="6" hidden="1">#REF!</definedName>
    <definedName name="BExUEJGX3OQQP5KFRJSRCZ70EI9V" hidden="1">#REF!</definedName>
    <definedName name="BExVTCMDDEDGLUIMUU6BSFHEWTOP" localSheetId="1" hidden="1">#REF!</definedName>
    <definedName name="BExVTCMDDEDGLUIMUU6BSFHEWTOP" localSheetId="7" hidden="1">#REF!</definedName>
    <definedName name="BExVTCMDDEDGLUIMUU6BSFHEWTOP" localSheetId="2" hidden="1">#REF!</definedName>
    <definedName name="BExVTCMDDEDGLUIMUU6BSFHEWTOP" localSheetId="34" hidden="1">#REF!</definedName>
    <definedName name="BExVTCMDDEDGLUIMUU6BSFHEWTOP" localSheetId="12" hidden="1">#REF!</definedName>
    <definedName name="BExVTCMDDEDGLUIMUU6BSFHEWTOP" localSheetId="10" hidden="1">#REF!</definedName>
    <definedName name="BExVTCMDDEDGLUIMUU6BSFHEWTOP" localSheetId="6" hidden="1">#REF!</definedName>
    <definedName name="BExVTCMDDEDGLUIMUU6BSFHEWTOP" hidden="1">#REF!</definedName>
    <definedName name="BExVVPFO2J7FMSRPD36909HN4BZJ" localSheetId="1" hidden="1">#REF!</definedName>
    <definedName name="BExVVPFO2J7FMSRPD36909HN4BZJ" localSheetId="7" hidden="1">#REF!</definedName>
    <definedName name="BExVVPFO2J7FMSRPD36909HN4BZJ" localSheetId="2" hidden="1">#REF!</definedName>
    <definedName name="BExVVPFO2J7FMSRPD36909HN4BZJ" localSheetId="34" hidden="1">#REF!</definedName>
    <definedName name="BExVVPFO2J7FMSRPD36909HN4BZJ" localSheetId="12" hidden="1">#REF!</definedName>
    <definedName name="BExVVPFO2J7FMSRPD36909HN4BZJ" localSheetId="10" hidden="1">#REF!</definedName>
    <definedName name="BExVVPFO2J7FMSRPD36909HN4BZJ" localSheetId="6" hidden="1">#REF!</definedName>
    <definedName name="BExVVPFO2J7FMSRPD36909HN4BZJ" hidden="1">#REF!</definedName>
    <definedName name="BExVVQ19TAECID45CS4HXT1RD3AQ" localSheetId="1" hidden="1">#REF!</definedName>
    <definedName name="BExVVQ19TAECID45CS4HXT1RD3AQ" localSheetId="7" hidden="1">#REF!</definedName>
    <definedName name="BExVVQ19TAECID45CS4HXT1RD3AQ" localSheetId="2" hidden="1">#REF!</definedName>
    <definedName name="BExVVQ19TAECID45CS4HXT1RD3AQ" localSheetId="34" hidden="1">#REF!</definedName>
    <definedName name="BExVVQ19TAECID45CS4HXT1RD3AQ" localSheetId="12" hidden="1">#REF!</definedName>
    <definedName name="BExVVQ19TAECID45CS4HXT1RD3AQ" localSheetId="10" hidden="1">#REF!</definedName>
    <definedName name="BExVVQ19TAECID45CS4HXT1RD3AQ" localSheetId="6" hidden="1">#REF!</definedName>
    <definedName name="BExVVQ19TAECID45CS4HXT1RD3AQ" hidden="1">#REF!</definedName>
    <definedName name="BExVXLX2BZ5EF2X6R41BTKRJR1NM" localSheetId="1" hidden="1">#REF!</definedName>
    <definedName name="BExVXLX2BZ5EF2X6R41BTKRJR1NM" localSheetId="7" hidden="1">#REF!</definedName>
    <definedName name="BExVXLX2BZ5EF2X6R41BTKRJR1NM" localSheetId="2" hidden="1">#REF!</definedName>
    <definedName name="BExVXLX2BZ5EF2X6R41BTKRJR1NM" localSheetId="34" hidden="1">#REF!</definedName>
    <definedName name="BExVXLX2BZ5EF2X6R41BTKRJR1NM" localSheetId="12" hidden="1">#REF!</definedName>
    <definedName name="BExVXLX2BZ5EF2X6R41BTKRJR1NM" localSheetId="10" hidden="1">#REF!</definedName>
    <definedName name="BExVXLX2BZ5EF2X6R41BTKRJR1NM" localSheetId="6" hidden="1">#REF!</definedName>
    <definedName name="BExVXLX2BZ5EF2X6R41BTKRJR1NM" hidden="1">#REF!</definedName>
    <definedName name="BExVY1SV37DL5YU59HS4IG3VBCP4" localSheetId="1" hidden="1">#REF!</definedName>
    <definedName name="BExVY1SV37DL5YU59HS4IG3VBCP4" localSheetId="7" hidden="1">#REF!</definedName>
    <definedName name="BExVY1SV37DL5YU59HS4IG3VBCP4" localSheetId="2" hidden="1">#REF!</definedName>
    <definedName name="BExVY1SV37DL5YU59HS4IG3VBCP4" localSheetId="34" hidden="1">#REF!</definedName>
    <definedName name="BExVY1SV37DL5YU59HS4IG3VBCP4" localSheetId="12" hidden="1">#REF!</definedName>
    <definedName name="BExVY1SV37DL5YU59HS4IG3VBCP4" localSheetId="10" hidden="1">#REF!</definedName>
    <definedName name="BExVY1SV37DL5YU59HS4IG3VBCP4" localSheetId="6" hidden="1">#REF!</definedName>
    <definedName name="BExVY1SV37DL5YU59HS4IG3VBCP4" hidden="1">#REF!</definedName>
    <definedName name="BExVZJQVO5LQ0BJH5JEN5NOBIAF6" localSheetId="1" hidden="1">#REF!</definedName>
    <definedName name="BExVZJQVO5LQ0BJH5JEN5NOBIAF6" localSheetId="7" hidden="1">#REF!</definedName>
    <definedName name="BExVZJQVO5LQ0BJH5JEN5NOBIAF6" localSheetId="2" hidden="1">#REF!</definedName>
    <definedName name="BExVZJQVO5LQ0BJH5JEN5NOBIAF6" localSheetId="34" hidden="1">#REF!</definedName>
    <definedName name="BExVZJQVO5LQ0BJH5JEN5NOBIAF6" localSheetId="12" hidden="1">#REF!</definedName>
    <definedName name="BExVZJQVO5LQ0BJH5JEN5NOBIAF6" localSheetId="10" hidden="1">#REF!</definedName>
    <definedName name="BExVZJQVO5LQ0BJH5JEN5NOBIAF6" localSheetId="6" hidden="1">#REF!</definedName>
    <definedName name="BExVZJQVO5LQ0BJH5JEN5NOBIAF6" hidden="1">#REF!</definedName>
    <definedName name="BExW66LVVZK656PQY1257QMHP2AY" localSheetId="1" hidden="1">#REF!</definedName>
    <definedName name="BExW66LVVZK656PQY1257QMHP2AY" localSheetId="7" hidden="1">#REF!</definedName>
    <definedName name="BExW66LVVZK656PQY1257QMHP2AY" localSheetId="2" hidden="1">#REF!</definedName>
    <definedName name="BExW66LVVZK656PQY1257QMHP2AY" localSheetId="34" hidden="1">#REF!</definedName>
    <definedName name="BExW66LVVZK656PQY1257QMHP2AY" localSheetId="12" hidden="1">#REF!</definedName>
    <definedName name="BExW66LVVZK656PQY1257QMHP2AY" localSheetId="10" hidden="1">#REF!</definedName>
    <definedName name="BExW66LVVZK656PQY1257QMHP2AY" localSheetId="6" hidden="1">#REF!</definedName>
    <definedName name="BExW66LVVZK656PQY1257QMHP2AY" hidden="1">#REF!</definedName>
    <definedName name="BExXLDE6PN4ESWT3LXJNQCY94NE4" localSheetId="1" hidden="1">#REF!</definedName>
    <definedName name="BExXLDE6PN4ESWT3LXJNQCY94NE4" localSheetId="7" hidden="1">#REF!</definedName>
    <definedName name="BExXLDE6PN4ESWT3LXJNQCY94NE4" localSheetId="2" hidden="1">#REF!</definedName>
    <definedName name="BExXLDE6PN4ESWT3LXJNQCY94NE4" localSheetId="34" hidden="1">#REF!</definedName>
    <definedName name="BExXLDE6PN4ESWT3LXJNQCY94NE4" localSheetId="12" hidden="1">#REF!</definedName>
    <definedName name="BExXLDE6PN4ESWT3LXJNQCY94NE4" localSheetId="10" hidden="1">#REF!</definedName>
    <definedName name="BExXLDE6PN4ESWT3LXJNQCY94NE4" localSheetId="6" hidden="1">#REF!</definedName>
    <definedName name="BExXLDE6PN4ESWT3LXJNQCY94NE4" hidden="1">#REF!</definedName>
    <definedName name="BExXM065WOLYRYHGHOJE0OOFXA4M" localSheetId="1" hidden="1">#REF!</definedName>
    <definedName name="BExXM065WOLYRYHGHOJE0OOFXA4M" localSheetId="7" hidden="1">#REF!</definedName>
    <definedName name="BExXM065WOLYRYHGHOJE0OOFXA4M" localSheetId="2" hidden="1">#REF!</definedName>
    <definedName name="BExXM065WOLYRYHGHOJE0OOFXA4M" localSheetId="34" hidden="1">#REF!</definedName>
    <definedName name="BExXM065WOLYRYHGHOJE0OOFXA4M" localSheetId="12" hidden="1">#REF!</definedName>
    <definedName name="BExXM065WOLYRYHGHOJE0OOFXA4M" localSheetId="10" hidden="1">#REF!</definedName>
    <definedName name="BExXM065WOLYRYHGHOJE0OOFXA4M" localSheetId="6" hidden="1">#REF!</definedName>
    <definedName name="BExXM065WOLYRYHGHOJE0OOFXA4M" hidden="1">#REF!</definedName>
    <definedName name="BExXNWYB165VO9MHARCL5WLCHWS0" localSheetId="1" hidden="1">#REF!</definedName>
    <definedName name="BExXNWYB165VO9MHARCL5WLCHWS0" localSheetId="7" hidden="1">#REF!</definedName>
    <definedName name="BExXNWYB165VO9MHARCL5WLCHWS0" localSheetId="2" hidden="1">#REF!</definedName>
    <definedName name="BExXNWYB165VO9MHARCL5WLCHWS0" localSheetId="34" hidden="1">#REF!</definedName>
    <definedName name="BExXNWYB165VO9MHARCL5WLCHWS0" localSheetId="12" hidden="1">#REF!</definedName>
    <definedName name="BExXNWYB165VO9MHARCL5WLCHWS0" localSheetId="10" hidden="1">#REF!</definedName>
    <definedName name="BExXNWYB165VO9MHARCL5WLCHWS0" localSheetId="6" hidden="1">#REF!</definedName>
    <definedName name="BExXNWYB165VO9MHARCL5WLCHWS0" hidden="1">#REF!</definedName>
    <definedName name="BExXQH41O5HZAH8BO6HCFY8YC3TU" localSheetId="1" hidden="1">#REF!</definedName>
    <definedName name="BExXQH41O5HZAH8BO6HCFY8YC3TU" localSheetId="7" hidden="1">#REF!</definedName>
    <definedName name="BExXQH41O5HZAH8BO6HCFY8YC3TU" localSheetId="2" hidden="1">#REF!</definedName>
    <definedName name="BExXQH41O5HZAH8BO6HCFY8YC3TU" localSheetId="34" hidden="1">#REF!</definedName>
    <definedName name="BExXQH41O5HZAH8BO6HCFY8YC3TU" localSheetId="12" hidden="1">#REF!</definedName>
    <definedName name="BExXQH41O5HZAH8BO6HCFY8YC3TU" localSheetId="10" hidden="1">#REF!</definedName>
    <definedName name="BExXQH41O5HZAH8BO6HCFY8YC3TU" localSheetId="6" hidden="1">#REF!</definedName>
    <definedName name="BExXQH41O5HZAH8BO6HCFY8YC3TU" hidden="1">#REF!</definedName>
    <definedName name="BExXRD13K1S9Y3JGR7CXSONT7RJZ" localSheetId="1" hidden="1">#REF!</definedName>
    <definedName name="BExXRD13K1S9Y3JGR7CXSONT7RJZ" localSheetId="7" hidden="1">#REF!</definedName>
    <definedName name="BExXRD13K1S9Y3JGR7CXSONT7RJZ" localSheetId="2" hidden="1">#REF!</definedName>
    <definedName name="BExXRD13K1S9Y3JGR7CXSONT7RJZ" localSheetId="34" hidden="1">#REF!</definedName>
    <definedName name="BExXRD13K1S9Y3JGR7CXSONT7RJZ" localSheetId="12" hidden="1">#REF!</definedName>
    <definedName name="BExXRD13K1S9Y3JGR7CXSONT7RJZ" localSheetId="10" hidden="1">#REF!</definedName>
    <definedName name="BExXRD13K1S9Y3JGR7CXSONT7RJZ" localSheetId="6" hidden="1">#REF!</definedName>
    <definedName name="BExXRD13K1S9Y3JGR7CXSONT7RJZ" hidden="1">#REF!</definedName>
    <definedName name="BExXRO4A6VUH1F4XV8N1BRJ4896W" localSheetId="1" hidden="1">#REF!</definedName>
    <definedName name="BExXRO4A6VUH1F4XV8N1BRJ4896W" localSheetId="7" hidden="1">#REF!</definedName>
    <definedName name="BExXRO4A6VUH1F4XV8N1BRJ4896W" localSheetId="2" hidden="1">#REF!</definedName>
    <definedName name="BExXRO4A6VUH1F4XV8N1BRJ4896W" localSheetId="34" hidden="1">#REF!</definedName>
    <definedName name="BExXRO4A6VUH1F4XV8N1BRJ4896W" localSheetId="12" hidden="1">#REF!</definedName>
    <definedName name="BExXRO4A6VUH1F4XV8N1BRJ4896W" localSheetId="10" hidden="1">#REF!</definedName>
    <definedName name="BExXRO4A6VUH1F4XV8N1BRJ4896W" localSheetId="6" hidden="1">#REF!</definedName>
    <definedName name="BExXRO4A6VUH1F4XV8N1BRJ4896W" hidden="1">#REF!</definedName>
    <definedName name="BExXU8VLZA7WLPZ3RAQZGNERUD26" localSheetId="1" hidden="1">#REF!</definedName>
    <definedName name="BExXU8VLZA7WLPZ3RAQZGNERUD26" localSheetId="7" hidden="1">#REF!</definedName>
    <definedName name="BExXU8VLZA7WLPZ3RAQZGNERUD26" localSheetId="2" hidden="1">#REF!</definedName>
    <definedName name="BExXU8VLZA7WLPZ3RAQZGNERUD26" localSheetId="34" hidden="1">#REF!</definedName>
    <definedName name="BExXU8VLZA7WLPZ3RAQZGNERUD26" localSheetId="12" hidden="1">#REF!</definedName>
    <definedName name="BExXU8VLZA7WLPZ3RAQZGNERUD26" localSheetId="10" hidden="1">#REF!</definedName>
    <definedName name="BExXU8VLZA7WLPZ3RAQZGNERUD26" localSheetId="6" hidden="1">#REF!</definedName>
    <definedName name="BExXU8VLZA7WLPZ3RAQZGNERUD26" hidden="1">#REF!</definedName>
    <definedName name="BExXXBM521DL8R4ZX7NZ3DBCUOR5" localSheetId="1" hidden="1">#REF!</definedName>
    <definedName name="BExXXBM521DL8R4ZX7NZ3DBCUOR5" localSheetId="7" hidden="1">#REF!</definedName>
    <definedName name="BExXXBM521DL8R4ZX7NZ3DBCUOR5" localSheetId="2" hidden="1">#REF!</definedName>
    <definedName name="BExXXBM521DL8R4ZX7NZ3DBCUOR5" localSheetId="34" hidden="1">#REF!</definedName>
    <definedName name="BExXXBM521DL8R4ZX7NZ3DBCUOR5" localSheetId="12" hidden="1">#REF!</definedName>
    <definedName name="BExXXBM521DL8R4ZX7NZ3DBCUOR5" localSheetId="10" hidden="1">#REF!</definedName>
    <definedName name="BExXXBM521DL8R4ZX7NZ3DBCUOR5" localSheetId="6" hidden="1">#REF!</definedName>
    <definedName name="BExXXBM521DL8R4ZX7NZ3DBCUOR5" hidden="1">#REF!</definedName>
    <definedName name="BExXXZQNZY6IZI45DJXJK0MQZWA7" localSheetId="1" hidden="1">#REF!</definedName>
    <definedName name="BExXXZQNZY6IZI45DJXJK0MQZWA7" localSheetId="7" hidden="1">#REF!</definedName>
    <definedName name="BExXXZQNZY6IZI45DJXJK0MQZWA7" localSheetId="2" hidden="1">#REF!</definedName>
    <definedName name="BExXXZQNZY6IZI45DJXJK0MQZWA7" localSheetId="34" hidden="1">#REF!</definedName>
    <definedName name="BExXXZQNZY6IZI45DJXJK0MQZWA7" localSheetId="12" hidden="1">#REF!</definedName>
    <definedName name="BExXXZQNZY6IZI45DJXJK0MQZWA7" localSheetId="10" hidden="1">#REF!</definedName>
    <definedName name="BExXXZQNZY6IZI45DJXJK0MQZWA7" localSheetId="6" hidden="1">#REF!</definedName>
    <definedName name="BExXXZQNZY6IZI45DJXJK0MQZWA7" hidden="1">#REF!</definedName>
    <definedName name="BExXY7TYEBFXRYUYIFHTN65RJ8EW" localSheetId="1" hidden="1">#REF!</definedName>
    <definedName name="BExXY7TYEBFXRYUYIFHTN65RJ8EW" localSheetId="7" hidden="1">#REF!</definedName>
    <definedName name="BExXY7TYEBFXRYUYIFHTN65RJ8EW" localSheetId="2" hidden="1">#REF!</definedName>
    <definedName name="BExXY7TYEBFXRYUYIFHTN65RJ8EW" localSheetId="34" hidden="1">#REF!</definedName>
    <definedName name="BExXY7TYEBFXRYUYIFHTN65RJ8EW" localSheetId="12" hidden="1">#REF!</definedName>
    <definedName name="BExXY7TYEBFXRYUYIFHTN65RJ8EW" localSheetId="10" hidden="1">#REF!</definedName>
    <definedName name="BExXY7TYEBFXRYUYIFHTN65RJ8EW" localSheetId="6" hidden="1">#REF!</definedName>
    <definedName name="BExXY7TYEBFXRYUYIFHTN65RJ8EW" hidden="1">#REF!</definedName>
    <definedName name="BExXZOVPCEP495TQSON6PSRQ8XCY" localSheetId="1" hidden="1">#REF!</definedName>
    <definedName name="BExXZOVPCEP495TQSON6PSRQ8XCY" localSheetId="7" hidden="1">#REF!</definedName>
    <definedName name="BExXZOVPCEP495TQSON6PSRQ8XCY" localSheetId="2" hidden="1">#REF!</definedName>
    <definedName name="BExXZOVPCEP495TQSON6PSRQ8XCY" localSheetId="34" hidden="1">#REF!</definedName>
    <definedName name="BExXZOVPCEP495TQSON6PSRQ8XCY" localSheetId="12" hidden="1">#REF!</definedName>
    <definedName name="BExXZOVPCEP495TQSON6PSRQ8XCY" localSheetId="10" hidden="1">#REF!</definedName>
    <definedName name="BExXZOVPCEP495TQSON6PSRQ8XCY" localSheetId="6" hidden="1">#REF!</definedName>
    <definedName name="BExXZOVPCEP495TQSON6PSRQ8XCY" hidden="1">#REF!</definedName>
    <definedName name="BExY07WSDH5QEVM7BJXJK2ZRAI1O" localSheetId="1" hidden="1">#REF!</definedName>
    <definedName name="BExY07WSDH5QEVM7BJXJK2ZRAI1O" localSheetId="7" hidden="1">#REF!</definedName>
    <definedName name="BExY07WSDH5QEVM7BJXJK2ZRAI1O" localSheetId="2" hidden="1">#REF!</definedName>
    <definedName name="BExY07WSDH5QEVM7BJXJK2ZRAI1O" localSheetId="34" hidden="1">#REF!</definedName>
    <definedName name="BExY07WSDH5QEVM7BJXJK2ZRAI1O" localSheetId="12" hidden="1">#REF!</definedName>
    <definedName name="BExY07WSDH5QEVM7BJXJK2ZRAI1O" localSheetId="10" hidden="1">#REF!</definedName>
    <definedName name="BExY07WSDH5QEVM7BJXJK2ZRAI1O" localSheetId="6" hidden="1">#REF!</definedName>
    <definedName name="BExY07WSDH5QEVM7BJXJK2ZRAI1O" hidden="1">#REF!</definedName>
    <definedName name="BExY3HOSK7YI364K15OX70AVR6F1" localSheetId="1" hidden="1">#REF!</definedName>
    <definedName name="BExY3HOSK7YI364K15OX70AVR6F1" localSheetId="7" hidden="1">#REF!</definedName>
    <definedName name="BExY3HOSK7YI364K15OX70AVR6F1" localSheetId="2" hidden="1">#REF!</definedName>
    <definedName name="BExY3HOSK7YI364K15OX70AVR6F1" localSheetId="34" hidden="1">#REF!</definedName>
    <definedName name="BExY3HOSK7YI364K15OX70AVR6F1" localSheetId="12" hidden="1">#REF!</definedName>
    <definedName name="BExY3HOSK7YI364K15OX70AVR6F1" localSheetId="10" hidden="1">#REF!</definedName>
    <definedName name="BExY3HOSK7YI364K15OX70AVR6F1" localSheetId="6" hidden="1">#REF!</definedName>
    <definedName name="BExY3HOSK7YI364K15OX70AVR6F1" hidden="1">#REF!</definedName>
    <definedName name="BExZK3FGPHH5H771U7D5XY7XBS6E" localSheetId="1" hidden="1">#REF!</definedName>
    <definedName name="BExZK3FGPHH5H771U7D5XY7XBS6E" localSheetId="7" hidden="1">#REF!</definedName>
    <definedName name="BExZK3FGPHH5H771U7D5XY7XBS6E" localSheetId="2" hidden="1">#REF!</definedName>
    <definedName name="BExZK3FGPHH5H771U7D5XY7XBS6E" localSheetId="34" hidden="1">#REF!</definedName>
    <definedName name="BExZK3FGPHH5H771U7D5XY7XBS6E" localSheetId="12" hidden="1">#REF!</definedName>
    <definedName name="BExZK3FGPHH5H771U7D5XY7XBS6E" localSheetId="10" hidden="1">#REF!</definedName>
    <definedName name="BExZK3FGPHH5H771U7D5XY7XBS6E" localSheetId="6" hidden="1">#REF!</definedName>
    <definedName name="BExZK3FGPHH5H771U7D5XY7XBS6E" hidden="1">#REF!</definedName>
    <definedName name="BExZKHYORG3O8C772XPFHM1N8T80" localSheetId="1" hidden="1">#REF!</definedName>
    <definedName name="BExZKHYORG3O8C772XPFHM1N8T80" localSheetId="7" hidden="1">#REF!</definedName>
    <definedName name="BExZKHYORG3O8C772XPFHM1N8T80" localSheetId="2" hidden="1">#REF!</definedName>
    <definedName name="BExZKHYORG3O8C772XPFHM1N8T80" localSheetId="34" hidden="1">#REF!</definedName>
    <definedName name="BExZKHYORG3O8C772XPFHM1N8T80" localSheetId="12" hidden="1">#REF!</definedName>
    <definedName name="BExZKHYORG3O8C772XPFHM1N8T80" localSheetId="10" hidden="1">#REF!</definedName>
    <definedName name="BExZKHYORG3O8C772XPFHM1N8T80" localSheetId="6" hidden="1">#REF!</definedName>
    <definedName name="BExZKHYORG3O8C772XPFHM1N8T80" hidden="1">#REF!</definedName>
    <definedName name="BExZL6E4YVXRUN7ZGF2BIGIXFR8K" localSheetId="1" hidden="1">#REF!</definedName>
    <definedName name="BExZL6E4YVXRUN7ZGF2BIGIXFR8K" localSheetId="7" hidden="1">#REF!</definedName>
    <definedName name="BExZL6E4YVXRUN7ZGF2BIGIXFR8K" localSheetId="2" hidden="1">#REF!</definedName>
    <definedName name="BExZL6E4YVXRUN7ZGF2BIGIXFR8K" localSheetId="34" hidden="1">#REF!</definedName>
    <definedName name="BExZL6E4YVXRUN7ZGF2BIGIXFR8K" localSheetId="12" hidden="1">#REF!</definedName>
    <definedName name="BExZL6E4YVXRUN7ZGF2BIGIXFR8K" localSheetId="10" hidden="1">#REF!</definedName>
    <definedName name="BExZL6E4YVXRUN7ZGF2BIGIXFR8K" localSheetId="6" hidden="1">#REF!</definedName>
    <definedName name="BExZL6E4YVXRUN7ZGF2BIGIXFR8K" hidden="1">#REF!</definedName>
    <definedName name="BExZQIHTGHK7OOI2Y2PN3JYBY82I" localSheetId="1" hidden="1">#REF!</definedName>
    <definedName name="BExZQIHTGHK7OOI2Y2PN3JYBY82I" localSheetId="7" hidden="1">#REF!</definedName>
    <definedName name="BExZQIHTGHK7OOI2Y2PN3JYBY82I" localSheetId="2" hidden="1">#REF!</definedName>
    <definedName name="BExZQIHTGHK7OOI2Y2PN3JYBY82I" localSheetId="34" hidden="1">#REF!</definedName>
    <definedName name="BExZQIHTGHK7OOI2Y2PN3JYBY82I" localSheetId="12" hidden="1">#REF!</definedName>
    <definedName name="BExZQIHTGHK7OOI2Y2PN3JYBY82I" localSheetId="10" hidden="1">#REF!</definedName>
    <definedName name="BExZQIHTGHK7OOI2Y2PN3JYBY82I" localSheetId="6" hidden="1">#REF!</definedName>
    <definedName name="BExZQIHTGHK7OOI2Y2PN3JYBY82I" hidden="1">#REF!</definedName>
    <definedName name="BExZQJJMGU5MHQOILGXGJPAQI5XI" localSheetId="1" hidden="1">#REF!</definedName>
    <definedName name="BExZQJJMGU5MHQOILGXGJPAQI5XI" localSheetId="7" hidden="1">#REF!</definedName>
    <definedName name="BExZQJJMGU5MHQOILGXGJPAQI5XI" localSheetId="2" hidden="1">#REF!</definedName>
    <definedName name="BExZQJJMGU5MHQOILGXGJPAQI5XI" localSheetId="34" hidden="1">#REF!</definedName>
    <definedName name="BExZQJJMGU5MHQOILGXGJPAQI5XI" localSheetId="12" hidden="1">#REF!</definedName>
    <definedName name="BExZQJJMGU5MHQOILGXGJPAQI5XI" localSheetId="10" hidden="1">#REF!</definedName>
    <definedName name="BExZQJJMGU5MHQOILGXGJPAQI5XI" localSheetId="6" hidden="1">#REF!</definedName>
    <definedName name="BExZQJJMGU5MHQOILGXGJPAQI5XI" hidden="1">#REF!</definedName>
    <definedName name="BExZQZKT146WEN8FTVZ7Y5TSB8L5" localSheetId="1" hidden="1">#REF!</definedName>
    <definedName name="BExZQZKT146WEN8FTVZ7Y5TSB8L5" localSheetId="7" hidden="1">#REF!</definedName>
    <definedName name="BExZQZKT146WEN8FTVZ7Y5TSB8L5" localSheetId="2" hidden="1">#REF!</definedName>
    <definedName name="BExZQZKT146WEN8FTVZ7Y5TSB8L5" localSheetId="34" hidden="1">#REF!</definedName>
    <definedName name="BExZQZKT146WEN8FTVZ7Y5TSB8L5" localSheetId="12" hidden="1">#REF!</definedName>
    <definedName name="BExZQZKT146WEN8FTVZ7Y5TSB8L5" localSheetId="10" hidden="1">#REF!</definedName>
    <definedName name="BExZQZKT146WEN8FTVZ7Y5TSB8L5" localSheetId="6" hidden="1">#REF!</definedName>
    <definedName name="BExZQZKT146WEN8FTVZ7Y5TSB8L5" hidden="1">#REF!</definedName>
    <definedName name="BExZRP1X6UVLN1UOLHH5VF4STP1O" localSheetId="1" hidden="1">#REF!</definedName>
    <definedName name="BExZRP1X6UVLN1UOLHH5VF4STP1O" localSheetId="7" hidden="1">#REF!</definedName>
    <definedName name="BExZRP1X6UVLN1UOLHH5VF4STP1O" localSheetId="2" hidden="1">#REF!</definedName>
    <definedName name="BExZRP1X6UVLN1UOLHH5VF4STP1O" localSheetId="34" hidden="1">#REF!</definedName>
    <definedName name="BExZRP1X6UVLN1UOLHH5VF4STP1O" localSheetId="12" hidden="1">#REF!</definedName>
    <definedName name="BExZRP1X6UVLN1UOLHH5VF4STP1O" localSheetId="10" hidden="1">#REF!</definedName>
    <definedName name="BExZRP1X6UVLN1UOLHH5VF4STP1O" localSheetId="6" hidden="1">#REF!</definedName>
    <definedName name="BExZRP1X6UVLN1UOLHH5VF4STP1O" hidden="1">#REF!</definedName>
    <definedName name="BExZRW8W514W8OZ72YBONYJ64GXF" localSheetId="1" hidden="1">#REF!</definedName>
    <definedName name="BExZRW8W514W8OZ72YBONYJ64GXF" localSheetId="7" hidden="1">#REF!</definedName>
    <definedName name="BExZRW8W514W8OZ72YBONYJ64GXF" localSheetId="2" hidden="1">#REF!</definedName>
    <definedName name="BExZRW8W514W8OZ72YBONYJ64GXF" localSheetId="34" hidden="1">#REF!</definedName>
    <definedName name="BExZRW8W514W8OZ72YBONYJ64GXF" localSheetId="12" hidden="1">#REF!</definedName>
    <definedName name="BExZRW8W514W8OZ72YBONYJ64GXF" localSheetId="10" hidden="1">#REF!</definedName>
    <definedName name="BExZRW8W514W8OZ72YBONYJ64GXF" localSheetId="6" hidden="1">#REF!</definedName>
    <definedName name="BExZRW8W514W8OZ72YBONYJ64GXF" hidden="1">#REF!</definedName>
    <definedName name="BExZTAQV2QVSZY5Y3VCCWUBSBW9P" localSheetId="1" hidden="1">#REF!</definedName>
    <definedName name="BExZTAQV2QVSZY5Y3VCCWUBSBW9P" localSheetId="7" hidden="1">#REF!</definedName>
    <definedName name="BExZTAQV2QVSZY5Y3VCCWUBSBW9P" localSheetId="2" hidden="1">#REF!</definedName>
    <definedName name="BExZTAQV2QVSZY5Y3VCCWUBSBW9P" localSheetId="34" hidden="1">#REF!</definedName>
    <definedName name="BExZTAQV2QVSZY5Y3VCCWUBSBW9P" localSheetId="12" hidden="1">#REF!</definedName>
    <definedName name="BExZTAQV2QVSZY5Y3VCCWUBSBW9P" localSheetId="10" hidden="1">#REF!</definedName>
    <definedName name="BExZTAQV2QVSZY5Y3VCCWUBSBW9P" localSheetId="6" hidden="1">#REF!</definedName>
    <definedName name="BExZTAQV2QVSZY5Y3VCCWUBSBW9P" hidden="1">#REF!</definedName>
    <definedName name="BExZTT6J3X0TOX0ZY6YPLUVMCW9X" localSheetId="1" hidden="1">#REF!</definedName>
    <definedName name="BExZTT6J3X0TOX0ZY6YPLUVMCW9X" localSheetId="7" hidden="1">#REF!</definedName>
    <definedName name="BExZTT6J3X0TOX0ZY6YPLUVMCW9X" localSheetId="2" hidden="1">#REF!</definedName>
    <definedName name="BExZTT6J3X0TOX0ZY6YPLUVMCW9X" localSheetId="34" hidden="1">#REF!</definedName>
    <definedName name="BExZTT6J3X0TOX0ZY6YPLUVMCW9X" localSheetId="12" hidden="1">#REF!</definedName>
    <definedName name="BExZTT6J3X0TOX0ZY6YPLUVMCW9X" localSheetId="10" hidden="1">#REF!</definedName>
    <definedName name="BExZTT6J3X0TOX0ZY6YPLUVMCW9X" localSheetId="6" hidden="1">#REF!</definedName>
    <definedName name="BExZTT6J3X0TOX0ZY6YPLUVMCW9X" hidden="1">#REF!</definedName>
    <definedName name="BExZY02V77YJBMODJSWZOYCMPS5X" localSheetId="1" hidden="1">#REF!</definedName>
    <definedName name="BExZY02V77YJBMODJSWZOYCMPS5X" localSheetId="7" hidden="1">#REF!</definedName>
    <definedName name="BExZY02V77YJBMODJSWZOYCMPS5X" localSheetId="2" hidden="1">#REF!</definedName>
    <definedName name="BExZY02V77YJBMODJSWZOYCMPS5X" localSheetId="34" hidden="1">#REF!</definedName>
    <definedName name="BExZY02V77YJBMODJSWZOYCMPS5X" localSheetId="12" hidden="1">#REF!</definedName>
    <definedName name="BExZY02V77YJBMODJSWZOYCMPS5X" localSheetId="10" hidden="1">#REF!</definedName>
    <definedName name="BExZY02V77YJBMODJSWZOYCMPS5X" localSheetId="6" hidden="1">#REF!</definedName>
    <definedName name="BExZY02V77YJBMODJSWZOYCMPS5X" hidden="1">#REF!</definedName>
    <definedName name="BExZZTK54OTLF2YB68BHGOS27GEN" localSheetId="1" hidden="1">#REF!</definedName>
    <definedName name="BExZZTK54OTLF2YB68BHGOS27GEN" localSheetId="7" hidden="1">#REF!</definedName>
    <definedName name="BExZZTK54OTLF2YB68BHGOS27GEN" localSheetId="2" hidden="1">#REF!</definedName>
    <definedName name="BExZZTK54OTLF2YB68BHGOS27GEN" localSheetId="34" hidden="1">#REF!</definedName>
    <definedName name="BExZZTK54OTLF2YB68BHGOS27GEN" localSheetId="12" hidden="1">#REF!</definedName>
    <definedName name="BExZZTK54OTLF2YB68BHGOS27GEN" localSheetId="10" hidden="1">#REF!</definedName>
    <definedName name="BExZZTK54OTLF2YB68BHGOS27GEN" localSheetId="6" hidden="1">#REF!</definedName>
    <definedName name="BExZZTK54OTLF2YB68BHGOS27GEN" hidden="1">#REF!</definedName>
    <definedName name="BExZZZEMIIFKMLLV4DJKX5TB9R5V" localSheetId="1" hidden="1">#REF!</definedName>
    <definedName name="BExZZZEMIIFKMLLV4DJKX5TB9R5V" localSheetId="7" hidden="1">#REF!</definedName>
    <definedName name="BExZZZEMIIFKMLLV4DJKX5TB9R5V" localSheetId="2" hidden="1">#REF!</definedName>
    <definedName name="BExZZZEMIIFKMLLV4DJKX5TB9R5V" localSheetId="34" hidden="1">#REF!</definedName>
    <definedName name="BExZZZEMIIFKMLLV4DJKX5TB9R5V" localSheetId="12" hidden="1">#REF!</definedName>
    <definedName name="BExZZZEMIIFKMLLV4DJKX5TB9R5V" localSheetId="10" hidden="1">#REF!</definedName>
    <definedName name="BExZZZEMIIFKMLLV4DJKX5TB9R5V" localSheetId="6" hidden="1">#REF!</definedName>
    <definedName name="BExZZZEMIIFKMLLV4DJKX5TB9R5V" hidden="1">#REF!</definedName>
    <definedName name="bg" localSheetId="1" hidden="1">#REF!</definedName>
    <definedName name="bg" localSheetId="15" hidden="1">#REF!</definedName>
    <definedName name="bg" localSheetId="7" hidden="1">#REF!</definedName>
    <definedName name="bg" localSheetId="14" hidden="1">#REF!</definedName>
    <definedName name="bg" localSheetId="2" hidden="1">#REF!</definedName>
    <definedName name="bg" localSheetId="34" hidden="1">#REF!</definedName>
    <definedName name="bg" localSheetId="38" hidden="1">#REF!</definedName>
    <definedName name="bg" localSheetId="12" hidden="1">#REF!</definedName>
    <definedName name="bg" localSheetId="10" hidden="1">#REF!</definedName>
    <definedName name="bg" localSheetId="11" hidden="1">#REF!</definedName>
    <definedName name="bg" localSheetId="6" hidden="1">#REF!</definedName>
    <definedName name="bg" hidden="1">#REF!</definedName>
    <definedName name="BG_Del" hidden="1">15</definedName>
    <definedName name="BG_Ins" hidden="1">4</definedName>
    <definedName name="BG_Mod" hidden="1">6</definedName>
    <definedName name="bloqueio">#REF!</definedName>
    <definedName name="BLPH1" localSheetId="1" hidden="1">#REF!</definedName>
    <definedName name="BLPH1" localSheetId="15" hidden="1">#REF!</definedName>
    <definedName name="BLPH1" localSheetId="7" hidden="1">#REF!</definedName>
    <definedName name="BLPH1" localSheetId="14" hidden="1">#REF!</definedName>
    <definedName name="BLPH1" localSheetId="2" hidden="1">#REF!</definedName>
    <definedName name="BLPH1" localSheetId="34" hidden="1">#REF!</definedName>
    <definedName name="BLPH1" localSheetId="38" hidden="1">#REF!</definedName>
    <definedName name="BLPH1" localSheetId="12" hidden="1">#REF!</definedName>
    <definedName name="BLPH1" localSheetId="10" hidden="1">#REF!</definedName>
    <definedName name="BLPH1" localSheetId="11" hidden="1">#REF!</definedName>
    <definedName name="BLPH1" localSheetId="6" hidden="1">#REF!</definedName>
    <definedName name="BLPH1" hidden="1">#REF!</definedName>
    <definedName name="BLPH100" hidden="1">#REF!</definedName>
    <definedName name="BLPH101" hidden="1">#REF!</definedName>
    <definedName name="BLPH102" hidden="1">#REF!</definedName>
    <definedName name="BLPH103" hidden="1">#REF!</definedName>
    <definedName name="BLPH104" hidden="1">#REF!</definedName>
    <definedName name="BLPH107" localSheetId="1" hidden="1">#REF!</definedName>
    <definedName name="BLPH107" localSheetId="7" hidden="1">#REF!</definedName>
    <definedName name="BLPH107" localSheetId="2" hidden="1">#REF!</definedName>
    <definedName name="BLPH107" localSheetId="34" hidden="1">#REF!</definedName>
    <definedName name="BLPH107" localSheetId="12" hidden="1">#REF!</definedName>
    <definedName name="BLPH107" localSheetId="10" hidden="1">#REF!</definedName>
    <definedName name="BLPH107" localSheetId="6" hidden="1">#REF!</definedName>
    <definedName name="BLPH107" hidden="1">#REF!</definedName>
    <definedName name="BLPH2" localSheetId="1" hidden="1">#REF!</definedName>
    <definedName name="BLPH2" localSheetId="15" hidden="1">#REF!</definedName>
    <definedName name="BLPH2" localSheetId="7" hidden="1">#REF!</definedName>
    <definedName name="BLPH2" localSheetId="14" hidden="1">#REF!</definedName>
    <definedName name="BLPH2" localSheetId="2" hidden="1">#REF!</definedName>
    <definedName name="BLPH2" localSheetId="34" hidden="1">#REF!</definedName>
    <definedName name="BLPH2" localSheetId="38" hidden="1">#REF!</definedName>
    <definedName name="BLPH2" localSheetId="12" hidden="1">#REF!</definedName>
    <definedName name="BLPH2" localSheetId="10" hidden="1">#REF!</definedName>
    <definedName name="BLPH2" localSheetId="11" hidden="1">#REF!</definedName>
    <definedName name="BLPH2" localSheetId="6" hidden="1">#REF!</definedName>
    <definedName name="BLPH2" hidden="1">#REF!</definedName>
    <definedName name="BLPH3" localSheetId="1" hidden="1">#REF!</definedName>
    <definedName name="BLPH3" localSheetId="15" hidden="1">#REF!</definedName>
    <definedName name="BLPH3" localSheetId="7" hidden="1">#REF!</definedName>
    <definedName name="BLPH3" localSheetId="14" hidden="1">#REF!</definedName>
    <definedName name="BLPH3" localSheetId="2" hidden="1">#REF!</definedName>
    <definedName name="BLPH3" localSheetId="34" hidden="1">#REF!</definedName>
    <definedName name="BLPH3" localSheetId="38" hidden="1">#REF!</definedName>
    <definedName name="BLPH3" localSheetId="12" hidden="1">#REF!</definedName>
    <definedName name="BLPH3" localSheetId="10" hidden="1">#REF!</definedName>
    <definedName name="BLPH3" localSheetId="11" hidden="1">#REF!</definedName>
    <definedName name="BLPH3" localSheetId="6" hidden="1">#REF!</definedName>
    <definedName name="BLPH3" hidden="1">#REF!</definedName>
    <definedName name="BLPH4" localSheetId="1" hidden="1">#REF!</definedName>
    <definedName name="BLPH4" localSheetId="15" hidden="1">#REF!</definedName>
    <definedName name="BLPH4" localSheetId="7" hidden="1">#REF!</definedName>
    <definedName name="BLPH4" localSheetId="14" hidden="1">#REF!</definedName>
    <definedName name="BLPH4" localSheetId="2" hidden="1">#REF!</definedName>
    <definedName name="BLPH4" localSheetId="34" hidden="1">#REF!</definedName>
    <definedName name="BLPH4" localSheetId="38" hidden="1">#REF!</definedName>
    <definedName name="BLPH4" localSheetId="12" hidden="1">#REF!</definedName>
    <definedName name="BLPH4" localSheetId="10" hidden="1">#REF!</definedName>
    <definedName name="BLPH4" localSheetId="11" hidden="1">#REF!</definedName>
    <definedName name="BLPH4" localSheetId="6" hidden="1">#REF!</definedName>
    <definedName name="BLPH4" hidden="1">#REF!</definedName>
    <definedName name="BLPH5" localSheetId="1" hidden="1">#REF!</definedName>
    <definedName name="BLPH5" localSheetId="15" hidden="1">#REF!</definedName>
    <definedName name="BLPH5" localSheetId="7" hidden="1">#REF!</definedName>
    <definedName name="BLPH5" localSheetId="14" hidden="1">#REF!</definedName>
    <definedName name="BLPH5" localSheetId="2" hidden="1">#REF!</definedName>
    <definedName name="BLPH5" localSheetId="34" hidden="1">#REF!</definedName>
    <definedName name="BLPH5" localSheetId="38" hidden="1">#REF!</definedName>
    <definedName name="BLPH5" localSheetId="12" hidden="1">#REF!</definedName>
    <definedName name="BLPH5" localSheetId="10" hidden="1">#REF!</definedName>
    <definedName name="BLPH5" localSheetId="11" hidden="1">#REF!</definedName>
    <definedName name="BLPH5" localSheetId="6" hidden="1">#REF!</definedName>
    <definedName name="BLPH5" hidden="1">#REF!</definedName>
    <definedName name="BLPH6" localSheetId="1" hidden="1">#REF!</definedName>
    <definedName name="BLPH6" localSheetId="15" hidden="1">#REF!</definedName>
    <definedName name="BLPH6" localSheetId="7" hidden="1">#REF!</definedName>
    <definedName name="BLPH6" localSheetId="14" hidden="1">#REF!</definedName>
    <definedName name="BLPH6" localSheetId="2" hidden="1">#REF!</definedName>
    <definedName name="BLPH6" localSheetId="34" hidden="1">#REF!</definedName>
    <definedName name="BLPH6" localSheetId="38" hidden="1">#REF!</definedName>
    <definedName name="BLPH6" localSheetId="12" hidden="1">#REF!</definedName>
    <definedName name="BLPH6" localSheetId="10" hidden="1">#REF!</definedName>
    <definedName name="BLPH6" localSheetId="11" hidden="1">#REF!</definedName>
    <definedName name="BLPH6" localSheetId="6" hidden="1">#REF!</definedName>
    <definedName name="BLPH6" hidden="1">#REF!</definedName>
    <definedName name="BLPH7" localSheetId="1" hidden="1">#REF!</definedName>
    <definedName name="BLPH7" localSheetId="15" hidden="1">#REF!</definedName>
    <definedName name="BLPH7" localSheetId="7" hidden="1">#REF!</definedName>
    <definedName name="BLPH7" localSheetId="14" hidden="1">#REF!</definedName>
    <definedName name="BLPH7" localSheetId="2" hidden="1">#REF!</definedName>
    <definedName name="BLPH7" localSheetId="34" hidden="1">#REF!</definedName>
    <definedName name="BLPH7" localSheetId="38" hidden="1">#REF!</definedName>
    <definedName name="BLPH7" localSheetId="12" hidden="1">#REF!</definedName>
    <definedName name="BLPH7" localSheetId="10" hidden="1">#REF!</definedName>
    <definedName name="BLPH7" localSheetId="11" hidden="1">#REF!</definedName>
    <definedName name="BLPH7" localSheetId="6" hidden="1">#REF!</definedName>
    <definedName name="BLPH7" hidden="1">#REF!</definedName>
    <definedName name="BLPH8" localSheetId="1" hidden="1">#REF!</definedName>
    <definedName name="BLPH8" localSheetId="15" hidden="1">#REF!</definedName>
    <definedName name="BLPH8" localSheetId="7" hidden="1">#REF!</definedName>
    <definedName name="BLPH8" localSheetId="14" hidden="1">#REF!</definedName>
    <definedName name="BLPH8" localSheetId="2" hidden="1">#REF!</definedName>
    <definedName name="BLPH8" localSheetId="34" hidden="1">#REF!</definedName>
    <definedName name="BLPH8" localSheetId="38" hidden="1">#REF!</definedName>
    <definedName name="BLPH8" localSheetId="12" hidden="1">#REF!</definedName>
    <definedName name="BLPH8" localSheetId="10" hidden="1">#REF!</definedName>
    <definedName name="BLPH8" localSheetId="11" hidden="1">#REF!</definedName>
    <definedName name="BLPH8" localSheetId="6" hidden="1">#REF!</definedName>
    <definedName name="BLPH8" hidden="1">#REF!</definedName>
    <definedName name="BLPH96" hidden="1">#REF!</definedName>
    <definedName name="BLPH97" hidden="1">#REF!</definedName>
    <definedName name="BLPH98" hidden="1">#REF!</definedName>
    <definedName name="BLPH99" hidden="1">#REF!</definedName>
    <definedName name="bnkj" localSheetId="15" hidden="1">{#N/A,#N/A,FALSE,"output";#N/A,#N/A,FALSE,"contrib";#N/A,#N/A,FALSE,"profile";#N/A,#N/A,FALSE,"comps"}</definedName>
    <definedName name="bnkj" localSheetId="14" hidden="1">{#N/A,#N/A,FALSE,"output";#N/A,#N/A,FALSE,"contrib";#N/A,#N/A,FALSE,"profile";#N/A,#N/A,FALSE,"comps"}</definedName>
    <definedName name="bnkj" localSheetId="2" hidden="1">{#N/A,#N/A,FALSE,"output";#N/A,#N/A,FALSE,"contrib";#N/A,#N/A,FALSE,"profile";#N/A,#N/A,FALSE,"comps"}</definedName>
    <definedName name="bnkj" localSheetId="34" hidden="1">{#N/A,#N/A,FALSE,"output";#N/A,#N/A,FALSE,"contrib";#N/A,#N/A,FALSE,"profile";#N/A,#N/A,FALSE,"comps"}</definedName>
    <definedName name="bnkj" localSheetId="38" hidden="1">{#N/A,#N/A,FALSE,"output";#N/A,#N/A,FALSE,"contrib";#N/A,#N/A,FALSE,"profile";#N/A,#N/A,FALSE,"comps"}</definedName>
    <definedName name="bnkj" localSheetId="8" hidden="1">{#N/A,#N/A,FALSE,"output";#N/A,#N/A,FALSE,"contrib";#N/A,#N/A,FALSE,"profile";#N/A,#N/A,FALSE,"comps"}</definedName>
    <definedName name="bnkj" localSheetId="12" hidden="1">{#N/A,#N/A,FALSE,"output";#N/A,#N/A,FALSE,"contrib";#N/A,#N/A,FALSE,"profile";#N/A,#N/A,FALSE,"comps"}</definedName>
    <definedName name="bnkj" localSheetId="13" hidden="1">{#N/A,#N/A,FALSE,"output";#N/A,#N/A,FALSE,"contrib";#N/A,#N/A,FALSE,"profile";#N/A,#N/A,FALSE,"comps"}</definedName>
    <definedName name="bnkj" localSheetId="11" hidden="1">{#N/A,#N/A,FALSE,"output";#N/A,#N/A,FALSE,"contrib";#N/A,#N/A,FALSE,"profile";#N/A,#N/A,FALSE,"comps"}</definedName>
    <definedName name="bnkj" localSheetId="31" hidden="1">{#N/A,#N/A,FALSE,"output";#N/A,#N/A,FALSE,"contrib";#N/A,#N/A,FALSE,"profile";#N/A,#N/A,FALSE,"comps"}</definedName>
    <definedName name="bnkj" localSheetId="48" hidden="1">{#N/A,#N/A,FALSE,"output";#N/A,#N/A,FALSE,"contrib";#N/A,#N/A,FALSE,"profile";#N/A,#N/A,FALSE,"comps"}</definedName>
    <definedName name="bnkj" hidden="1">{#N/A,#N/A,FALSE,"output";#N/A,#N/A,FALSE,"contrib";#N/A,#N/A,FALSE,"profile";#N/A,#N/A,FALSE,"comps"}</definedName>
    <definedName name="BookJan" localSheetId="2">#REF!</definedName>
    <definedName name="BookJan">#REF!</definedName>
    <definedName name="boston" localSheetId="15" hidden="1">{"TotalGeralDespesasPorArea",#N/A,FALSE,"VinculosAccessEfetivo"}</definedName>
    <definedName name="boston" localSheetId="14" hidden="1">{"TotalGeralDespesasPorArea",#N/A,FALSE,"VinculosAccessEfetivo"}</definedName>
    <definedName name="boston" localSheetId="2" hidden="1">{"TotalGeralDespesasPorArea",#N/A,FALSE,"VinculosAccessEfetivo"}</definedName>
    <definedName name="boston" localSheetId="34" hidden="1">{"TotalGeralDespesasPorArea",#N/A,FALSE,"VinculosAccessEfetivo"}</definedName>
    <definedName name="boston" localSheetId="38" hidden="1">{"TotalGeralDespesasPorArea",#N/A,FALSE,"VinculosAccessEfetivo"}</definedName>
    <definedName name="boston" localSheetId="8" hidden="1">{"TotalGeralDespesasPorArea",#N/A,FALSE,"VinculosAccessEfetivo"}</definedName>
    <definedName name="boston" localSheetId="12" hidden="1">{"TotalGeralDespesasPorArea",#N/A,FALSE,"VinculosAccessEfetivo"}</definedName>
    <definedName name="boston" localSheetId="13" hidden="1">{"TotalGeralDespesasPorArea",#N/A,FALSE,"VinculosAccessEfetivo"}</definedName>
    <definedName name="boston" localSheetId="11" hidden="1">{"TotalGeralDespesasPorArea",#N/A,FALSE,"VinculosAccessEfetivo"}</definedName>
    <definedName name="boston" localSheetId="31" hidden="1">{"TotalGeralDespesasPorArea",#N/A,FALSE,"VinculosAccessEfetivo"}</definedName>
    <definedName name="boston" localSheetId="48" hidden="1">{"TotalGeralDespesasPorArea",#N/A,FALSE,"VinculosAccessEfetivo"}</definedName>
    <definedName name="boston" hidden="1">{"TotalGeralDespesasPorArea",#N/A,FALSE,"VinculosAccessEfetivo"}</definedName>
    <definedName name="boston_1" localSheetId="15" hidden="1">{"TotalGeralDespesasPorArea",#N/A,FALSE,"VinculosAccessEfetivo"}</definedName>
    <definedName name="boston_1" localSheetId="14" hidden="1">{"TotalGeralDespesasPorArea",#N/A,FALSE,"VinculosAccessEfetivo"}</definedName>
    <definedName name="boston_1" localSheetId="2" hidden="1">{"TotalGeralDespesasPorArea",#N/A,FALSE,"VinculosAccessEfetivo"}</definedName>
    <definedName name="boston_1" localSheetId="34" hidden="1">{"TotalGeralDespesasPorArea",#N/A,FALSE,"VinculosAccessEfetivo"}</definedName>
    <definedName name="boston_1" localSheetId="38" hidden="1">{"TotalGeralDespesasPorArea",#N/A,FALSE,"VinculosAccessEfetivo"}</definedName>
    <definedName name="boston_1" localSheetId="8" hidden="1">{"TotalGeralDespesasPorArea",#N/A,FALSE,"VinculosAccessEfetivo"}</definedName>
    <definedName name="boston_1" localSheetId="12" hidden="1">{"TotalGeralDespesasPorArea",#N/A,FALSE,"VinculosAccessEfetivo"}</definedName>
    <definedName name="boston_1" localSheetId="13" hidden="1">{"TotalGeralDespesasPorArea",#N/A,FALSE,"VinculosAccessEfetivo"}</definedName>
    <definedName name="boston_1" localSheetId="11" hidden="1">{"TotalGeralDespesasPorArea",#N/A,FALSE,"VinculosAccessEfetivo"}</definedName>
    <definedName name="boston_1" localSheetId="31" hidden="1">{"TotalGeralDespesasPorArea",#N/A,FALSE,"VinculosAccessEfetivo"}</definedName>
    <definedName name="boston_1" localSheetId="48" hidden="1">{"TotalGeralDespesasPorArea",#N/A,FALSE,"VinculosAccessEfetivo"}</definedName>
    <definedName name="boston_1" hidden="1">{"TotalGeralDespesasPorArea",#N/A,FALSE,"VinculosAccessEfetivo"}</definedName>
    <definedName name="CAIXA" localSheetId="2">#REF!</definedName>
    <definedName name="CAIXA">#REF!</definedName>
    <definedName name="Carburante" localSheetId="2">#REF!</definedName>
    <definedName name="Carburante">#REF!</definedName>
    <definedName name="CARREFOUR">#REF!</definedName>
    <definedName name="CARTA" localSheetId="2">#REF!</definedName>
    <definedName name="CARTA">#REF!</definedName>
    <definedName name="cc" localSheetId="15" hidden="1">{"Fecha_Outubro",#N/A,FALSE,"FECHAMENTO-2002 ";"Defer_Outubro",#N/A,FALSE,"DIFERIDO";"Pis_Outubro",#N/A,FALSE,"PIS COFINS";"Iss_Outubro",#N/A,FALSE,"ISS"}</definedName>
    <definedName name="cc" localSheetId="14" hidden="1">{"Fecha_Outubro",#N/A,FALSE,"FECHAMENTO-2002 ";"Defer_Outubro",#N/A,FALSE,"DIFERIDO";"Pis_Outubro",#N/A,FALSE,"PIS COFINS";"Iss_Outubro",#N/A,FALSE,"ISS"}</definedName>
    <definedName name="cc" localSheetId="2" hidden="1">{"Fecha_Outubro",#N/A,FALSE,"FECHAMENTO-2002 ";"Defer_Outubro",#N/A,FALSE,"DIFERIDO";"Pis_Outubro",#N/A,FALSE,"PIS COFINS";"Iss_Outubro",#N/A,FALSE,"ISS"}</definedName>
    <definedName name="cc" localSheetId="34" hidden="1">{"Fecha_Outubro",#N/A,FALSE,"FECHAMENTO-2002 ";"Defer_Outubro",#N/A,FALSE,"DIFERIDO";"Pis_Outubro",#N/A,FALSE,"PIS COFINS";"Iss_Outubro",#N/A,FALSE,"ISS"}</definedName>
    <definedName name="cc" localSheetId="38" hidden="1">{"Fecha_Outubro",#N/A,FALSE,"FECHAMENTO-2002 ";"Defer_Outubro",#N/A,FALSE,"DIFERIDO";"Pis_Outubro",#N/A,FALSE,"PIS COFINS";"Iss_Outubro",#N/A,FALSE,"ISS"}</definedName>
    <definedName name="cc" localSheetId="8" hidden="1">{"Fecha_Outubro",#N/A,FALSE,"FECHAMENTO-2002 ";"Defer_Outubro",#N/A,FALSE,"DIFERIDO";"Pis_Outubro",#N/A,FALSE,"PIS COFINS";"Iss_Outubro",#N/A,FALSE,"ISS"}</definedName>
    <definedName name="cc" localSheetId="12" hidden="1">{"Fecha_Outubro",#N/A,FALSE,"FECHAMENTO-2002 ";"Defer_Outubro",#N/A,FALSE,"DIFERIDO";"Pis_Outubro",#N/A,FALSE,"PIS COFINS";"Iss_Outubro",#N/A,FALSE,"ISS"}</definedName>
    <definedName name="cc" localSheetId="13" hidden="1">{"Fecha_Outubro",#N/A,FALSE,"FECHAMENTO-2002 ";"Defer_Outubro",#N/A,FALSE,"DIFERIDO";"Pis_Outubro",#N/A,FALSE,"PIS COFINS";"Iss_Outubro",#N/A,FALSE,"ISS"}</definedName>
    <definedName name="cc" localSheetId="11" hidden="1">{"Fecha_Outubro",#N/A,FALSE,"FECHAMENTO-2002 ";"Defer_Outubro",#N/A,FALSE,"DIFERIDO";"Pis_Outubro",#N/A,FALSE,"PIS COFINS";"Iss_Outubro",#N/A,FALSE,"ISS"}</definedName>
    <definedName name="cc" localSheetId="31" hidden="1">{"Fecha_Outubro",#N/A,FALSE,"FECHAMENTO-2002 ";"Defer_Outubro",#N/A,FALSE,"DIFERIDO";"Pis_Outubro",#N/A,FALSE,"PIS COFINS";"Iss_Outubro",#N/A,FALSE,"ISS"}</definedName>
    <definedName name="cc" localSheetId="48" hidden="1">{"Fecha_Outubro",#N/A,FALSE,"FECHAMENTO-2002 ";"Defer_Outubro",#N/A,FALSE,"DIFERIDO";"Pis_Outubro",#N/A,FALSE,"PIS COFINS";"Iss_Outubro",#N/A,FALSE,"ISS"}</definedName>
    <definedName name="cc" hidden="1">{"Fecha_Outubro",#N/A,FALSE,"FECHAMENTO-2002 ";"Defer_Outubro",#N/A,FALSE,"DIFERIDO";"Pis_Outubro",#N/A,FALSE,"PIS COFINS";"Iss_Outubro",#N/A,FALSE,"ISS"}</definedName>
    <definedName name="cc_1" localSheetId="15" hidden="1">{"Fecha_Outubro",#N/A,FALSE,"FECHAMENTO-2002 ";"Defer_Outubro",#N/A,FALSE,"DIFERIDO";"Pis_Outubro",#N/A,FALSE,"PIS COFINS";"Iss_Outubro",#N/A,FALSE,"ISS"}</definedName>
    <definedName name="cc_1" localSheetId="14" hidden="1">{"Fecha_Outubro",#N/A,FALSE,"FECHAMENTO-2002 ";"Defer_Outubro",#N/A,FALSE,"DIFERIDO";"Pis_Outubro",#N/A,FALSE,"PIS COFINS";"Iss_Outubro",#N/A,FALSE,"ISS"}</definedName>
    <definedName name="cc_1" localSheetId="2" hidden="1">{"Fecha_Outubro",#N/A,FALSE,"FECHAMENTO-2002 ";"Defer_Outubro",#N/A,FALSE,"DIFERIDO";"Pis_Outubro",#N/A,FALSE,"PIS COFINS";"Iss_Outubro",#N/A,FALSE,"ISS"}</definedName>
    <definedName name="cc_1" localSheetId="34" hidden="1">{"Fecha_Outubro",#N/A,FALSE,"FECHAMENTO-2002 ";"Defer_Outubro",#N/A,FALSE,"DIFERIDO";"Pis_Outubro",#N/A,FALSE,"PIS COFINS";"Iss_Outubro",#N/A,FALSE,"ISS"}</definedName>
    <definedName name="cc_1" localSheetId="38" hidden="1">{"Fecha_Outubro",#N/A,FALSE,"FECHAMENTO-2002 ";"Defer_Outubro",#N/A,FALSE,"DIFERIDO";"Pis_Outubro",#N/A,FALSE,"PIS COFINS";"Iss_Outubro",#N/A,FALSE,"ISS"}</definedName>
    <definedName name="cc_1" localSheetId="8" hidden="1">{"Fecha_Outubro",#N/A,FALSE,"FECHAMENTO-2002 ";"Defer_Outubro",#N/A,FALSE,"DIFERIDO";"Pis_Outubro",#N/A,FALSE,"PIS COFINS";"Iss_Outubro",#N/A,FALSE,"ISS"}</definedName>
    <definedName name="cc_1" localSheetId="12" hidden="1">{"Fecha_Outubro",#N/A,FALSE,"FECHAMENTO-2002 ";"Defer_Outubro",#N/A,FALSE,"DIFERIDO";"Pis_Outubro",#N/A,FALSE,"PIS COFINS";"Iss_Outubro",#N/A,FALSE,"ISS"}</definedName>
    <definedName name="cc_1" localSheetId="13" hidden="1">{"Fecha_Outubro",#N/A,FALSE,"FECHAMENTO-2002 ";"Defer_Outubro",#N/A,FALSE,"DIFERIDO";"Pis_Outubro",#N/A,FALSE,"PIS COFINS";"Iss_Outubro",#N/A,FALSE,"ISS"}</definedName>
    <definedName name="cc_1" localSheetId="11" hidden="1">{"Fecha_Outubro",#N/A,FALSE,"FECHAMENTO-2002 ";"Defer_Outubro",#N/A,FALSE,"DIFERIDO";"Pis_Outubro",#N/A,FALSE,"PIS COFINS";"Iss_Outubro",#N/A,FALSE,"ISS"}</definedName>
    <definedName name="cc_1" localSheetId="31" hidden="1">{"Fecha_Outubro",#N/A,FALSE,"FECHAMENTO-2002 ";"Defer_Outubro",#N/A,FALSE,"DIFERIDO";"Pis_Outubro",#N/A,FALSE,"PIS COFINS";"Iss_Outubro",#N/A,FALSE,"ISS"}</definedName>
    <definedName name="cc_1" localSheetId="48" hidden="1">{"Fecha_Outubro",#N/A,FALSE,"FECHAMENTO-2002 ";"Defer_Outubro",#N/A,FALSE,"DIFERIDO";"Pis_Outubro",#N/A,FALSE,"PIS COFINS";"Iss_Outubro",#N/A,FALSE,"ISS"}</definedName>
    <definedName name="cc_1" hidden="1">{"Fecha_Outubro",#N/A,FALSE,"FECHAMENTO-2002 ";"Defer_Outubro",#N/A,FALSE,"DIFERIDO";"Pis_Outubro",#N/A,FALSE,"PIS COFINS";"Iss_Outubro",#N/A,FALSE,"ISS"}</definedName>
    <definedName name="ccc" localSheetId="15" hidden="1">{#N/A,#N/A,FALSE,"HONORÁRIOS"}</definedName>
    <definedName name="ccc" localSheetId="14" hidden="1">{#N/A,#N/A,FALSE,"HONORÁRIOS"}</definedName>
    <definedName name="ccc" localSheetId="2" hidden="1">{#N/A,#N/A,FALSE,"HONORÁRIOS"}</definedName>
    <definedName name="ccc" localSheetId="34" hidden="1">{#N/A,#N/A,FALSE,"HONORÁRIOS"}</definedName>
    <definedName name="ccc" localSheetId="38" hidden="1">{#N/A,#N/A,FALSE,"HONORÁRIOS"}</definedName>
    <definedName name="ccc" localSheetId="8" hidden="1">{#N/A,#N/A,FALSE,"HONORÁRIOS"}</definedName>
    <definedName name="ccc" localSheetId="12" hidden="1">{#N/A,#N/A,FALSE,"HONORÁRIOS"}</definedName>
    <definedName name="ccc" localSheetId="13" hidden="1">{#N/A,#N/A,FALSE,"HONORÁRIOS"}</definedName>
    <definedName name="ccc" localSheetId="11" hidden="1">{#N/A,#N/A,FALSE,"HONORÁRIOS"}</definedName>
    <definedName name="ccc" localSheetId="31" hidden="1">{#N/A,#N/A,FALSE,"HONORÁRIOS"}</definedName>
    <definedName name="ccc" localSheetId="48" hidden="1">{#N/A,#N/A,FALSE,"HONORÁRIOS"}</definedName>
    <definedName name="ccc" hidden="1">{#N/A,#N/A,FALSE,"HONORÁRIOS"}</definedName>
    <definedName name="ccc_1" localSheetId="15" hidden="1">{#N/A,#N/A,FALSE,"HONORÁRIOS"}</definedName>
    <definedName name="ccc_1" localSheetId="14" hidden="1">{#N/A,#N/A,FALSE,"HONORÁRIOS"}</definedName>
    <definedName name="ccc_1" localSheetId="2" hidden="1">{#N/A,#N/A,FALSE,"HONORÁRIOS"}</definedName>
    <definedName name="ccc_1" localSheetId="34" hidden="1">{#N/A,#N/A,FALSE,"HONORÁRIOS"}</definedName>
    <definedName name="ccc_1" localSheetId="38" hidden="1">{#N/A,#N/A,FALSE,"HONORÁRIOS"}</definedName>
    <definedName name="ccc_1" localSheetId="8" hidden="1">{#N/A,#N/A,FALSE,"HONORÁRIOS"}</definedName>
    <definedName name="ccc_1" localSheetId="12" hidden="1">{#N/A,#N/A,FALSE,"HONORÁRIOS"}</definedName>
    <definedName name="ccc_1" localSheetId="13" hidden="1">{#N/A,#N/A,FALSE,"HONORÁRIOS"}</definedName>
    <definedName name="ccc_1" localSheetId="11" hidden="1">{#N/A,#N/A,FALSE,"HONORÁRIOS"}</definedName>
    <definedName name="ccc_1" localSheetId="31" hidden="1">{#N/A,#N/A,FALSE,"HONORÁRIOS"}</definedName>
    <definedName name="ccc_1" localSheetId="48" hidden="1">{#N/A,#N/A,FALSE,"HONORÁRIOS"}</definedName>
    <definedName name="ccc_1" hidden="1">{#N/A,#N/A,FALSE,"HONORÁRIOS"}</definedName>
    <definedName name="cdsc" localSheetId="15" hidden="1">{#N/A,#N/A,FALSE,"FFCXOUT3"}</definedName>
    <definedName name="cdsc" localSheetId="14" hidden="1">{#N/A,#N/A,FALSE,"FFCXOUT3"}</definedName>
    <definedName name="cdsc" localSheetId="2" hidden="1">{#N/A,#N/A,FALSE,"FFCXOUT3"}</definedName>
    <definedName name="cdsc" localSheetId="34" hidden="1">{#N/A,#N/A,FALSE,"FFCXOUT3"}</definedName>
    <definedName name="cdsc" localSheetId="38" hidden="1">{#N/A,#N/A,FALSE,"FFCXOUT3"}</definedName>
    <definedName name="cdsc" localSheetId="8" hidden="1">{#N/A,#N/A,FALSE,"FFCXOUT3"}</definedName>
    <definedName name="cdsc" localSheetId="12" hidden="1">{#N/A,#N/A,FALSE,"FFCXOUT3"}</definedName>
    <definedName name="cdsc" localSheetId="13" hidden="1">{#N/A,#N/A,FALSE,"FFCXOUT3"}</definedName>
    <definedName name="cdsc" localSheetId="11" hidden="1">{#N/A,#N/A,FALSE,"FFCXOUT3"}</definedName>
    <definedName name="cdsc" localSheetId="31" hidden="1">{#N/A,#N/A,FALSE,"FFCXOUT3"}</definedName>
    <definedName name="cdsc" localSheetId="48" hidden="1">{#N/A,#N/A,FALSE,"FFCXOUT3"}</definedName>
    <definedName name="cdsc" hidden="1">{#N/A,#N/A,FALSE,"FFCXOUT3"}</definedName>
    <definedName name="cesar" localSheetId="15" hidden="1">{"Fecha_Novembro",#N/A,FALSE,"FECHAMENTO-2002 ";"Defer_Novembro",#N/A,FALSE,"DIFERIDO";"Pis_Novembro",#N/A,FALSE,"PIS COFINS";"Iss_Novembro",#N/A,FALSE,"ISS"}</definedName>
    <definedName name="cesar" localSheetId="14" hidden="1">{"Fecha_Novembro",#N/A,FALSE,"FECHAMENTO-2002 ";"Defer_Novembro",#N/A,FALSE,"DIFERIDO";"Pis_Novembro",#N/A,FALSE,"PIS COFINS";"Iss_Novembro",#N/A,FALSE,"ISS"}</definedName>
    <definedName name="cesar" localSheetId="2" hidden="1">{"Fecha_Novembro",#N/A,FALSE,"FECHAMENTO-2002 ";"Defer_Novembro",#N/A,FALSE,"DIFERIDO";"Pis_Novembro",#N/A,FALSE,"PIS COFINS";"Iss_Novembro",#N/A,FALSE,"ISS"}</definedName>
    <definedName name="cesar" localSheetId="34" hidden="1">{"Fecha_Novembro",#N/A,FALSE,"FECHAMENTO-2002 ";"Defer_Novembro",#N/A,FALSE,"DIFERIDO";"Pis_Novembro",#N/A,FALSE,"PIS COFINS";"Iss_Novembro",#N/A,FALSE,"ISS"}</definedName>
    <definedName name="cesar" localSheetId="38" hidden="1">{"Fecha_Novembro",#N/A,FALSE,"FECHAMENTO-2002 ";"Defer_Novembro",#N/A,FALSE,"DIFERIDO";"Pis_Novembro",#N/A,FALSE,"PIS COFINS";"Iss_Novembro",#N/A,FALSE,"ISS"}</definedName>
    <definedName name="cesar" localSheetId="8" hidden="1">{"Fecha_Novembro",#N/A,FALSE,"FECHAMENTO-2002 ";"Defer_Novembro",#N/A,FALSE,"DIFERIDO";"Pis_Novembro",#N/A,FALSE,"PIS COFINS";"Iss_Novembro",#N/A,FALSE,"ISS"}</definedName>
    <definedName name="cesar" localSheetId="12" hidden="1">{"Fecha_Novembro",#N/A,FALSE,"FECHAMENTO-2002 ";"Defer_Novembro",#N/A,FALSE,"DIFERIDO";"Pis_Novembro",#N/A,FALSE,"PIS COFINS";"Iss_Novembro",#N/A,FALSE,"ISS"}</definedName>
    <definedName name="cesar" localSheetId="13" hidden="1">{"Fecha_Novembro",#N/A,FALSE,"FECHAMENTO-2002 ";"Defer_Novembro",#N/A,FALSE,"DIFERIDO";"Pis_Novembro",#N/A,FALSE,"PIS COFINS";"Iss_Novembro",#N/A,FALSE,"ISS"}</definedName>
    <definedName name="cesar" localSheetId="11" hidden="1">{"Fecha_Novembro",#N/A,FALSE,"FECHAMENTO-2002 ";"Defer_Novembro",#N/A,FALSE,"DIFERIDO";"Pis_Novembro",#N/A,FALSE,"PIS COFINS";"Iss_Novembro",#N/A,FALSE,"ISS"}</definedName>
    <definedName name="cesar" localSheetId="31" hidden="1">{"Fecha_Novembro",#N/A,FALSE,"FECHAMENTO-2002 ";"Defer_Novembro",#N/A,FALSE,"DIFERIDO";"Pis_Novembro",#N/A,FALSE,"PIS COFINS";"Iss_Novembro",#N/A,FALSE,"ISS"}</definedName>
    <definedName name="cesar" localSheetId="48" hidden="1">{"Fecha_Novembro",#N/A,FALSE,"FECHAMENTO-2002 ";"Defer_Novembro",#N/A,FALSE,"DIFERIDO";"Pis_Novembro",#N/A,FALSE,"PIS COFINS";"Iss_Novembro",#N/A,FALSE,"ISS"}</definedName>
    <definedName name="cesar" hidden="1">{"Fecha_Novembro",#N/A,FALSE,"FECHAMENTO-2002 ";"Defer_Novembro",#N/A,FALSE,"DIFERIDO";"Pis_Novembro",#N/A,FALSE,"PIS COFINS";"Iss_Novembro",#N/A,FALSE,"ISS"}</definedName>
    <definedName name="cliente" localSheetId="1" hidden="1">#REF!</definedName>
    <definedName name="cliente" localSheetId="15" hidden="1">#REF!</definedName>
    <definedName name="cliente" localSheetId="7" hidden="1">#REF!</definedName>
    <definedName name="cliente" localSheetId="14" hidden="1">#REF!</definedName>
    <definedName name="cliente" localSheetId="2" hidden="1">#REF!</definedName>
    <definedName name="cliente" localSheetId="34" hidden="1">#REF!</definedName>
    <definedName name="cliente" localSheetId="38" hidden="1">#REF!</definedName>
    <definedName name="cliente" localSheetId="12" hidden="1">#REF!</definedName>
    <definedName name="cliente" localSheetId="10" hidden="1">#REF!</definedName>
    <definedName name="cliente" localSheetId="6" hidden="1">#REF!</definedName>
    <definedName name="cliente" hidden="1">#REF!</definedName>
    <definedName name="cnh" localSheetId="2">#REF!</definedName>
    <definedName name="cnh">#REF!</definedName>
    <definedName name="CODREAL" localSheetId="2">#REF!</definedName>
    <definedName name="CODREAL">#REF!</definedName>
    <definedName name="coelho"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FINS" localSheetId="15" hidden="1">{"Fecha_Dezembro",#N/A,FALSE,"FECHAMENTO-2002 ";"Defer_Dezermbro",#N/A,FALSE,"DIFERIDO";"Pis_Dezembro",#N/A,FALSE,"PIS COFINS";"Iss_Dezembro",#N/A,FALSE,"ISS"}</definedName>
    <definedName name="COFINS" localSheetId="14" hidden="1">{"Fecha_Dezembro",#N/A,FALSE,"FECHAMENTO-2002 ";"Defer_Dezermbro",#N/A,FALSE,"DIFERIDO";"Pis_Dezembro",#N/A,FALSE,"PIS COFINS";"Iss_Dezembro",#N/A,FALSE,"ISS"}</definedName>
    <definedName name="COFINS" localSheetId="2" hidden="1">{"Fecha_Dezembro",#N/A,FALSE,"FECHAMENTO-2002 ";"Defer_Dezermbro",#N/A,FALSE,"DIFERIDO";"Pis_Dezembro",#N/A,FALSE,"PIS COFINS";"Iss_Dezembro",#N/A,FALSE,"ISS"}</definedName>
    <definedName name="COFINS" localSheetId="34" hidden="1">{"Fecha_Dezembro",#N/A,FALSE,"FECHAMENTO-2002 ";"Defer_Dezermbro",#N/A,FALSE,"DIFERIDO";"Pis_Dezembro",#N/A,FALSE,"PIS COFINS";"Iss_Dezembro",#N/A,FALSE,"ISS"}</definedName>
    <definedName name="COFINS" localSheetId="38" hidden="1">{"Fecha_Dezembro",#N/A,FALSE,"FECHAMENTO-2002 ";"Defer_Dezermbro",#N/A,FALSE,"DIFERIDO";"Pis_Dezembro",#N/A,FALSE,"PIS COFINS";"Iss_Dezembro",#N/A,FALSE,"ISS"}</definedName>
    <definedName name="COFINS" localSheetId="8" hidden="1">{"Fecha_Dezembro",#N/A,FALSE,"FECHAMENTO-2002 ";"Defer_Dezermbro",#N/A,FALSE,"DIFERIDO";"Pis_Dezembro",#N/A,FALSE,"PIS COFINS";"Iss_Dezembro",#N/A,FALSE,"ISS"}</definedName>
    <definedName name="COFINS" localSheetId="12" hidden="1">{"Fecha_Dezembro",#N/A,FALSE,"FECHAMENTO-2002 ";"Defer_Dezermbro",#N/A,FALSE,"DIFERIDO";"Pis_Dezembro",#N/A,FALSE,"PIS COFINS";"Iss_Dezembro",#N/A,FALSE,"ISS"}</definedName>
    <definedName name="COFINS" localSheetId="13" hidden="1">{"Fecha_Dezembro",#N/A,FALSE,"FECHAMENTO-2002 ";"Defer_Dezermbro",#N/A,FALSE,"DIFERIDO";"Pis_Dezembro",#N/A,FALSE,"PIS COFINS";"Iss_Dezembro",#N/A,FALSE,"ISS"}</definedName>
    <definedName name="COFINS" localSheetId="11" hidden="1">{"Fecha_Dezembro",#N/A,FALSE,"FECHAMENTO-2002 ";"Defer_Dezermbro",#N/A,FALSE,"DIFERIDO";"Pis_Dezembro",#N/A,FALSE,"PIS COFINS";"Iss_Dezembro",#N/A,FALSE,"ISS"}</definedName>
    <definedName name="COFINS" localSheetId="31" hidden="1">{"Fecha_Dezembro",#N/A,FALSE,"FECHAMENTO-2002 ";"Defer_Dezermbro",#N/A,FALSE,"DIFERIDO";"Pis_Dezembro",#N/A,FALSE,"PIS COFINS";"Iss_Dezembro",#N/A,FALSE,"ISS"}</definedName>
    <definedName name="COFINS" localSheetId="48" hidden="1">{"Fecha_Dezembro",#N/A,FALSE,"FECHAMENTO-2002 ";"Defer_Dezermbro",#N/A,FALSE,"DIFERIDO";"Pis_Dezembro",#N/A,FALSE,"PIS COFINS";"Iss_Dezembro",#N/A,FALSE,"ISS"}</definedName>
    <definedName name="COFINS" hidden="1">{"Fecha_Dezembro",#N/A,FALSE,"FECHAMENTO-2002 ";"Defer_Dezermbro",#N/A,FALSE,"DIFERIDO";"Pis_Dezembro",#N/A,FALSE,"PIS COFINS";"Iss_Dezembro",#N/A,FALSE,"ISS"}</definedName>
    <definedName name="COFINS_1" localSheetId="15" hidden="1">{"Fecha_Dezembro",#N/A,FALSE,"FECHAMENTO-2002 ";"Defer_Dezermbro",#N/A,FALSE,"DIFERIDO";"Pis_Dezembro",#N/A,FALSE,"PIS COFINS";"Iss_Dezembro",#N/A,FALSE,"ISS"}</definedName>
    <definedName name="COFINS_1" localSheetId="14" hidden="1">{"Fecha_Dezembro",#N/A,FALSE,"FECHAMENTO-2002 ";"Defer_Dezermbro",#N/A,FALSE,"DIFERIDO";"Pis_Dezembro",#N/A,FALSE,"PIS COFINS";"Iss_Dezembro",#N/A,FALSE,"ISS"}</definedName>
    <definedName name="COFINS_1" localSheetId="2" hidden="1">{"Fecha_Dezembro",#N/A,FALSE,"FECHAMENTO-2002 ";"Defer_Dezermbro",#N/A,FALSE,"DIFERIDO";"Pis_Dezembro",#N/A,FALSE,"PIS COFINS";"Iss_Dezembro",#N/A,FALSE,"ISS"}</definedName>
    <definedName name="COFINS_1" localSheetId="34" hidden="1">{"Fecha_Dezembro",#N/A,FALSE,"FECHAMENTO-2002 ";"Defer_Dezermbro",#N/A,FALSE,"DIFERIDO";"Pis_Dezembro",#N/A,FALSE,"PIS COFINS";"Iss_Dezembro",#N/A,FALSE,"ISS"}</definedName>
    <definedName name="COFINS_1" localSheetId="38" hidden="1">{"Fecha_Dezembro",#N/A,FALSE,"FECHAMENTO-2002 ";"Defer_Dezermbro",#N/A,FALSE,"DIFERIDO";"Pis_Dezembro",#N/A,FALSE,"PIS COFINS";"Iss_Dezembro",#N/A,FALSE,"ISS"}</definedName>
    <definedName name="COFINS_1" localSheetId="8" hidden="1">{"Fecha_Dezembro",#N/A,FALSE,"FECHAMENTO-2002 ";"Defer_Dezermbro",#N/A,FALSE,"DIFERIDO";"Pis_Dezembro",#N/A,FALSE,"PIS COFINS";"Iss_Dezembro",#N/A,FALSE,"ISS"}</definedName>
    <definedName name="COFINS_1" localSheetId="12" hidden="1">{"Fecha_Dezembro",#N/A,FALSE,"FECHAMENTO-2002 ";"Defer_Dezermbro",#N/A,FALSE,"DIFERIDO";"Pis_Dezembro",#N/A,FALSE,"PIS COFINS";"Iss_Dezembro",#N/A,FALSE,"ISS"}</definedName>
    <definedName name="COFINS_1" localSheetId="13" hidden="1">{"Fecha_Dezembro",#N/A,FALSE,"FECHAMENTO-2002 ";"Defer_Dezermbro",#N/A,FALSE,"DIFERIDO";"Pis_Dezembro",#N/A,FALSE,"PIS COFINS";"Iss_Dezembro",#N/A,FALSE,"ISS"}</definedName>
    <definedName name="COFINS_1" localSheetId="11" hidden="1">{"Fecha_Dezembro",#N/A,FALSE,"FECHAMENTO-2002 ";"Defer_Dezermbro",#N/A,FALSE,"DIFERIDO";"Pis_Dezembro",#N/A,FALSE,"PIS COFINS";"Iss_Dezembro",#N/A,FALSE,"ISS"}</definedName>
    <definedName name="COFINS_1" localSheetId="31" hidden="1">{"Fecha_Dezembro",#N/A,FALSE,"FECHAMENTO-2002 ";"Defer_Dezermbro",#N/A,FALSE,"DIFERIDO";"Pis_Dezembro",#N/A,FALSE,"PIS COFINS";"Iss_Dezembro",#N/A,FALSE,"ISS"}</definedName>
    <definedName name="COFINS_1" localSheetId="48" hidden="1">{"Fecha_Dezembro",#N/A,FALSE,"FECHAMENTO-2002 ";"Defer_Dezermbro",#N/A,FALSE,"DIFERIDO";"Pis_Dezembro",#N/A,FALSE,"PIS COFINS";"Iss_Dezembro",#N/A,FALSE,"ISS"}</definedName>
    <definedName name="COFINS_1" hidden="1">{"Fecha_Dezembro",#N/A,FALSE,"FECHAMENTO-2002 ";"Defer_Dezermbro",#N/A,FALSE,"DIFERIDO";"Pis_Dezembro",#N/A,FALSE,"PIS COFINS";"Iss_Dezembro",#N/A,FALSE,"ISS"}</definedName>
    <definedName name="cofins1" localSheetId="15" hidden="1">{"Fecha_Outubro",#N/A,FALSE,"FECHAMENTO-2002 ";"Defer_Outubro",#N/A,FALSE,"DIFERIDO";"Pis_Outubro",#N/A,FALSE,"PIS COFINS";"Iss_Outubro",#N/A,FALSE,"ISS"}</definedName>
    <definedName name="cofins1" localSheetId="14" hidden="1">{"Fecha_Outubro",#N/A,FALSE,"FECHAMENTO-2002 ";"Defer_Outubro",#N/A,FALSE,"DIFERIDO";"Pis_Outubro",#N/A,FALSE,"PIS COFINS";"Iss_Outubro",#N/A,FALSE,"ISS"}</definedName>
    <definedName name="cofins1" localSheetId="2" hidden="1">{"Fecha_Outubro",#N/A,FALSE,"FECHAMENTO-2002 ";"Defer_Outubro",#N/A,FALSE,"DIFERIDO";"Pis_Outubro",#N/A,FALSE,"PIS COFINS";"Iss_Outubro",#N/A,FALSE,"ISS"}</definedName>
    <definedName name="cofins1" localSheetId="34" hidden="1">{"Fecha_Outubro",#N/A,FALSE,"FECHAMENTO-2002 ";"Defer_Outubro",#N/A,FALSE,"DIFERIDO";"Pis_Outubro",#N/A,FALSE,"PIS COFINS";"Iss_Outubro",#N/A,FALSE,"ISS"}</definedName>
    <definedName name="cofins1" localSheetId="38" hidden="1">{"Fecha_Outubro",#N/A,FALSE,"FECHAMENTO-2002 ";"Defer_Outubro",#N/A,FALSE,"DIFERIDO";"Pis_Outubro",#N/A,FALSE,"PIS COFINS";"Iss_Outubro",#N/A,FALSE,"ISS"}</definedName>
    <definedName name="cofins1" localSheetId="8" hidden="1">{"Fecha_Outubro",#N/A,FALSE,"FECHAMENTO-2002 ";"Defer_Outubro",#N/A,FALSE,"DIFERIDO";"Pis_Outubro",#N/A,FALSE,"PIS COFINS";"Iss_Outubro",#N/A,FALSE,"ISS"}</definedName>
    <definedName name="cofins1" localSheetId="12" hidden="1">{"Fecha_Outubro",#N/A,FALSE,"FECHAMENTO-2002 ";"Defer_Outubro",#N/A,FALSE,"DIFERIDO";"Pis_Outubro",#N/A,FALSE,"PIS COFINS";"Iss_Outubro",#N/A,FALSE,"ISS"}</definedName>
    <definedName name="cofins1" localSheetId="13" hidden="1">{"Fecha_Outubro",#N/A,FALSE,"FECHAMENTO-2002 ";"Defer_Outubro",#N/A,FALSE,"DIFERIDO";"Pis_Outubro",#N/A,FALSE,"PIS COFINS";"Iss_Outubro",#N/A,FALSE,"ISS"}</definedName>
    <definedName name="cofins1" localSheetId="11" hidden="1">{"Fecha_Outubro",#N/A,FALSE,"FECHAMENTO-2002 ";"Defer_Outubro",#N/A,FALSE,"DIFERIDO";"Pis_Outubro",#N/A,FALSE,"PIS COFINS";"Iss_Outubro",#N/A,FALSE,"ISS"}</definedName>
    <definedName name="cofins1" localSheetId="31" hidden="1">{"Fecha_Outubro",#N/A,FALSE,"FECHAMENTO-2002 ";"Defer_Outubro",#N/A,FALSE,"DIFERIDO";"Pis_Outubro",#N/A,FALSE,"PIS COFINS";"Iss_Outubro",#N/A,FALSE,"ISS"}</definedName>
    <definedName name="cofins1" localSheetId="48" hidden="1">{"Fecha_Outubro",#N/A,FALSE,"FECHAMENTO-2002 ";"Defer_Outubro",#N/A,FALSE,"DIFERIDO";"Pis_Outubro",#N/A,FALSE,"PIS COFINS";"Iss_Outubro",#N/A,FALSE,"ISS"}</definedName>
    <definedName name="cofins1" hidden="1">{"Fecha_Outubro",#N/A,FALSE,"FECHAMENTO-2002 ";"Defer_Outubro",#N/A,FALSE,"DIFERIDO";"Pis_Outubro",#N/A,FALSE,"PIS COFINS";"Iss_Outubro",#N/A,FALSE,"ISS"}</definedName>
    <definedName name="cofins1_1" localSheetId="15" hidden="1">{"Fecha_Outubro",#N/A,FALSE,"FECHAMENTO-2002 ";"Defer_Outubro",#N/A,FALSE,"DIFERIDO";"Pis_Outubro",#N/A,FALSE,"PIS COFINS";"Iss_Outubro",#N/A,FALSE,"ISS"}</definedName>
    <definedName name="cofins1_1" localSheetId="14" hidden="1">{"Fecha_Outubro",#N/A,FALSE,"FECHAMENTO-2002 ";"Defer_Outubro",#N/A,FALSE,"DIFERIDO";"Pis_Outubro",#N/A,FALSE,"PIS COFINS";"Iss_Outubro",#N/A,FALSE,"ISS"}</definedName>
    <definedName name="cofins1_1" localSheetId="2" hidden="1">{"Fecha_Outubro",#N/A,FALSE,"FECHAMENTO-2002 ";"Defer_Outubro",#N/A,FALSE,"DIFERIDO";"Pis_Outubro",#N/A,FALSE,"PIS COFINS";"Iss_Outubro",#N/A,FALSE,"ISS"}</definedName>
    <definedName name="cofins1_1" localSheetId="34" hidden="1">{"Fecha_Outubro",#N/A,FALSE,"FECHAMENTO-2002 ";"Defer_Outubro",#N/A,FALSE,"DIFERIDO";"Pis_Outubro",#N/A,FALSE,"PIS COFINS";"Iss_Outubro",#N/A,FALSE,"ISS"}</definedName>
    <definedName name="cofins1_1" localSheetId="38" hidden="1">{"Fecha_Outubro",#N/A,FALSE,"FECHAMENTO-2002 ";"Defer_Outubro",#N/A,FALSE,"DIFERIDO";"Pis_Outubro",#N/A,FALSE,"PIS COFINS";"Iss_Outubro",#N/A,FALSE,"ISS"}</definedName>
    <definedName name="cofins1_1" localSheetId="8" hidden="1">{"Fecha_Outubro",#N/A,FALSE,"FECHAMENTO-2002 ";"Defer_Outubro",#N/A,FALSE,"DIFERIDO";"Pis_Outubro",#N/A,FALSE,"PIS COFINS";"Iss_Outubro",#N/A,FALSE,"ISS"}</definedName>
    <definedName name="cofins1_1" localSheetId="12" hidden="1">{"Fecha_Outubro",#N/A,FALSE,"FECHAMENTO-2002 ";"Defer_Outubro",#N/A,FALSE,"DIFERIDO";"Pis_Outubro",#N/A,FALSE,"PIS COFINS";"Iss_Outubro",#N/A,FALSE,"ISS"}</definedName>
    <definedName name="cofins1_1" localSheetId="13" hidden="1">{"Fecha_Outubro",#N/A,FALSE,"FECHAMENTO-2002 ";"Defer_Outubro",#N/A,FALSE,"DIFERIDO";"Pis_Outubro",#N/A,FALSE,"PIS COFINS";"Iss_Outubro",#N/A,FALSE,"ISS"}</definedName>
    <definedName name="cofins1_1" localSheetId="11" hidden="1">{"Fecha_Outubro",#N/A,FALSE,"FECHAMENTO-2002 ";"Defer_Outubro",#N/A,FALSE,"DIFERIDO";"Pis_Outubro",#N/A,FALSE,"PIS COFINS";"Iss_Outubro",#N/A,FALSE,"ISS"}</definedName>
    <definedName name="cofins1_1" localSheetId="31" hidden="1">{"Fecha_Outubro",#N/A,FALSE,"FECHAMENTO-2002 ";"Defer_Outubro",#N/A,FALSE,"DIFERIDO";"Pis_Outubro",#N/A,FALSE,"PIS COFINS";"Iss_Outubro",#N/A,FALSE,"ISS"}</definedName>
    <definedName name="cofins1_1" localSheetId="48" hidden="1">{"Fecha_Outubro",#N/A,FALSE,"FECHAMENTO-2002 ";"Defer_Outubro",#N/A,FALSE,"DIFERIDO";"Pis_Outubro",#N/A,FALSE,"PIS COFINS";"Iss_Outubro",#N/A,FALSE,"ISS"}</definedName>
    <definedName name="cofins1_1" hidden="1">{"Fecha_Outubro",#N/A,FALSE,"FECHAMENTO-2002 ";"Defer_Outubro",#N/A,FALSE,"DIFERIDO";"Pis_Outubro",#N/A,FALSE,"PIS COFINS";"Iss_Outubro",#N/A,FALSE,"ISS"}</definedName>
    <definedName name="COMPAR" localSheetId="2">#REF!</definedName>
    <definedName name="COMPAR">#REF!</definedName>
    <definedName name="COMPARSF" localSheetId="2">#REF!</definedName>
    <definedName name="COMPARSF">#REF!</definedName>
    <definedName name="ConsolidadoGeral" localSheetId="2">#REF!</definedName>
    <definedName name="ConsolidadoGeral">#REF!</definedName>
    <definedName name="CONTAD" localSheetId="2">#REF!</definedName>
    <definedName name="CONTAD">#REF!</definedName>
    <definedName name="CONTAD1" localSheetId="2">#REF!</definedName>
    <definedName name="CONTAD1">#REF!</definedName>
    <definedName name="CONTAD2" localSheetId="2">#REF!</definedName>
    <definedName name="CONTAD2">#REF!</definedName>
    <definedName name="CONTAD3" localSheetId="2">#REF!</definedName>
    <definedName name="CONTAD3">#REF!</definedName>
    <definedName name="CONTPD" localSheetId="2">#REF!</definedName>
    <definedName name="CONTPD">#REF!</definedName>
    <definedName name="CONTUN" localSheetId="2">#REF!</definedName>
    <definedName name="CONTUN">#REF!</definedName>
    <definedName name="CONTUN1" localSheetId="2">#REF!</definedName>
    <definedName name="CONTUN1">#REF!</definedName>
    <definedName name="CONTUN2" localSheetId="2">#REF!</definedName>
    <definedName name="CONTUN2">#REF!</definedName>
    <definedName name="CONTUN3" localSheetId="2">#REF!</definedName>
    <definedName name="CONTUN3">#REF!</definedName>
    <definedName name="CRED1" localSheetId="2">#REF!</definedName>
    <definedName name="CRED1">#REF!</definedName>
    <definedName name="CRED2" localSheetId="2">#REF!</definedName>
    <definedName name="CRED2">#REF!</definedName>
    <definedName name="CRED3" localSheetId="2">#REF!</definedName>
    <definedName name="CRED3">#REF!</definedName>
    <definedName name="CRED4" localSheetId="2">#REF!</definedName>
    <definedName name="CRED4">#REF!</definedName>
    <definedName name="CRED6" localSheetId="2">#REF!</definedName>
    <definedName name="CRED6">#REF!</definedName>
    <definedName name="CS" localSheetId="2">#REF!</definedName>
    <definedName name="CS">#REF!</definedName>
    <definedName name="CTCpve" localSheetId="2">#REF!</definedName>
    <definedName name="CTCpve">#REF!</definedName>
    <definedName name="CTCpvu" localSheetId="2">#REF!</definedName>
    <definedName name="CTCpvu">#REF!</definedName>
    <definedName name="custo" localSheetId="2">#REF!</definedName>
    <definedName name="custo">#REF!</definedName>
    <definedName name="custo2" localSheetId="2">#REF!</definedName>
    <definedName name="custo2">#REF!</definedName>
    <definedName name="Custos">#REF!</definedName>
    <definedName name="d" localSheetId="0" hidden="1">{"Bradesco 1",#N/A,TRUE,"Bradesco acc_dil";"Bradesco2",#N/A,TRUE,"Bradesco acc_dil";"Bradesco3",#N/A,TRUE,"Bradesco's RWA analysis";"Unibanco1",#N/A,TRUE,"Unibanco acc_dil ";"Unibanco2",#N/A,TRUE,"Unibanco acc_dil ";"Unibanco3",#N/A,TRUE,"Unibanco's RWA analysis"}</definedName>
    <definedName name="d_1" localSheetId="15" hidden="1">{"Fecha_Novembro",#N/A,FALSE,"FECHAMENTO-2002 ";"Defer_Novembro",#N/A,FALSE,"DIFERIDO";"Pis_Novembro",#N/A,FALSE,"PIS COFINS";"Iss_Novembro",#N/A,FALSE,"ISS"}</definedName>
    <definedName name="d_1" localSheetId="14" hidden="1">{"Fecha_Novembro",#N/A,FALSE,"FECHAMENTO-2002 ";"Defer_Novembro",#N/A,FALSE,"DIFERIDO";"Pis_Novembro",#N/A,FALSE,"PIS COFINS";"Iss_Novembro",#N/A,FALSE,"ISS"}</definedName>
    <definedName name="d_1" localSheetId="2" hidden="1">{"Fecha_Novembro",#N/A,FALSE,"FECHAMENTO-2002 ";"Defer_Novembro",#N/A,FALSE,"DIFERIDO";"Pis_Novembro",#N/A,FALSE,"PIS COFINS";"Iss_Novembro",#N/A,FALSE,"ISS"}</definedName>
    <definedName name="d_1" localSheetId="34" hidden="1">{"Fecha_Novembro",#N/A,FALSE,"FECHAMENTO-2002 ";"Defer_Novembro",#N/A,FALSE,"DIFERIDO";"Pis_Novembro",#N/A,FALSE,"PIS COFINS";"Iss_Novembro",#N/A,FALSE,"ISS"}</definedName>
    <definedName name="d_1" localSheetId="38" hidden="1">{"Fecha_Novembro",#N/A,FALSE,"FECHAMENTO-2002 ";"Defer_Novembro",#N/A,FALSE,"DIFERIDO";"Pis_Novembro",#N/A,FALSE,"PIS COFINS";"Iss_Novembro",#N/A,FALSE,"ISS"}</definedName>
    <definedName name="d_1" localSheetId="8" hidden="1">{"Fecha_Novembro",#N/A,FALSE,"FECHAMENTO-2002 ";"Defer_Novembro",#N/A,FALSE,"DIFERIDO";"Pis_Novembro",#N/A,FALSE,"PIS COFINS";"Iss_Novembro",#N/A,FALSE,"ISS"}</definedName>
    <definedName name="d_1" localSheetId="12" hidden="1">{"Fecha_Novembro",#N/A,FALSE,"FECHAMENTO-2002 ";"Defer_Novembro",#N/A,FALSE,"DIFERIDO";"Pis_Novembro",#N/A,FALSE,"PIS COFINS";"Iss_Novembro",#N/A,FALSE,"ISS"}</definedName>
    <definedName name="d_1" localSheetId="13" hidden="1">{"Fecha_Novembro",#N/A,FALSE,"FECHAMENTO-2002 ";"Defer_Novembro",#N/A,FALSE,"DIFERIDO";"Pis_Novembro",#N/A,FALSE,"PIS COFINS";"Iss_Novembro",#N/A,FALSE,"ISS"}</definedName>
    <definedName name="d_1" localSheetId="11" hidden="1">{"Fecha_Novembro",#N/A,FALSE,"FECHAMENTO-2002 ";"Defer_Novembro",#N/A,FALSE,"DIFERIDO";"Pis_Novembro",#N/A,FALSE,"PIS COFINS";"Iss_Novembro",#N/A,FALSE,"ISS"}</definedName>
    <definedName name="d_1" localSheetId="31" hidden="1">{"Fecha_Novembro",#N/A,FALSE,"FECHAMENTO-2002 ";"Defer_Novembro",#N/A,FALSE,"DIFERIDO";"Pis_Novembro",#N/A,FALSE,"PIS COFINS";"Iss_Novembro",#N/A,FALSE,"ISS"}</definedName>
    <definedName name="d_1" localSheetId="48" hidden="1">{"Fecha_Novembro",#N/A,FALSE,"FECHAMENTO-2002 ";"Defer_Novembro",#N/A,FALSE,"DIFERIDO";"Pis_Novembro",#N/A,FALSE,"PIS COFINS";"Iss_Novembro",#N/A,FALSE,"ISS"}</definedName>
    <definedName name="d_1" hidden="1">{"Fecha_Novembro",#N/A,FALSE,"FECHAMENTO-2002 ";"Defer_Novembro",#N/A,FALSE,"DIFERIDO";"Pis_Novembro",#N/A,FALSE,"PIS COFINS";"Iss_Novembro",#N/A,FALSE,"ISS"}</definedName>
    <definedName name="DATASUL">#REF!</definedName>
    <definedName name="DATASULPMR" localSheetId="2">#REF!</definedName>
    <definedName name="DATASULPMR">#REF!</definedName>
    <definedName name="DATASULZZ" localSheetId="2">#REF!</definedName>
    <definedName name="DATASULZZ">#REF!</definedName>
    <definedName name="DB">#REF!</definedName>
    <definedName name="DD" localSheetId="15" hidden="1">{"consolidated",#N/A,FALSE,"Sheet1";"cms",#N/A,FALSE,"Sheet1";"fse",#N/A,FALSE,"Sheet1"}</definedName>
    <definedName name="DD" localSheetId="14" hidden="1">{"consolidated",#N/A,FALSE,"Sheet1";"cms",#N/A,FALSE,"Sheet1";"fse",#N/A,FALSE,"Sheet1"}</definedName>
    <definedName name="DD" localSheetId="2" hidden="1">{"consolidated",#N/A,FALSE,"Sheet1";"cms",#N/A,FALSE,"Sheet1";"fse",#N/A,FALSE,"Sheet1"}</definedName>
    <definedName name="DD" localSheetId="34" hidden="1">{"consolidated",#N/A,FALSE,"Sheet1";"cms",#N/A,FALSE,"Sheet1";"fse",#N/A,FALSE,"Sheet1"}</definedName>
    <definedName name="DD" localSheetId="38" hidden="1">{"consolidated",#N/A,FALSE,"Sheet1";"cms",#N/A,FALSE,"Sheet1";"fse",#N/A,FALSE,"Sheet1"}</definedName>
    <definedName name="DD" localSheetId="8" hidden="1">{"consolidated",#N/A,FALSE,"Sheet1";"cms",#N/A,FALSE,"Sheet1";"fse",#N/A,FALSE,"Sheet1"}</definedName>
    <definedName name="DD" localSheetId="12" hidden="1">{"consolidated",#N/A,FALSE,"Sheet1";"cms",#N/A,FALSE,"Sheet1";"fse",#N/A,FALSE,"Sheet1"}</definedName>
    <definedName name="DD" localSheetId="13" hidden="1">{"consolidated",#N/A,FALSE,"Sheet1";"cms",#N/A,FALSE,"Sheet1";"fse",#N/A,FALSE,"Sheet1"}</definedName>
    <definedName name="DD" localSheetId="11" hidden="1">{"consolidated",#N/A,FALSE,"Sheet1";"cms",#N/A,FALSE,"Sheet1";"fse",#N/A,FALSE,"Sheet1"}</definedName>
    <definedName name="DD" localSheetId="31" hidden="1">{"consolidated",#N/A,FALSE,"Sheet1";"cms",#N/A,FALSE,"Sheet1";"fse",#N/A,FALSE,"Sheet1"}</definedName>
    <definedName name="DD" localSheetId="48" hidden="1">{"consolidated",#N/A,FALSE,"Sheet1";"cms",#N/A,FALSE,"Sheet1";"fse",#N/A,FALSE,"Sheet1"}</definedName>
    <definedName name="DD" hidden="1">{"consolidated",#N/A,FALSE,"Sheet1";"cms",#N/A,FALSE,"Sheet1";"fse",#N/A,FALSE,"Sheet1"}</definedName>
    <definedName name="dddddddddddd" localSheetId="15" hidden="1">{0,#N/A,FALSE,0;0,#N/A,FALSE,0;0,#N/A,FALSE,0;0,#N/A,FALSE,0}</definedName>
    <definedName name="dddddddddddd" localSheetId="14" hidden="1">{0,#N/A,FALSE,0;0,#N/A,FALSE,0;0,#N/A,FALSE,0;0,#N/A,FALSE,0}</definedName>
    <definedName name="dddddddddddd" localSheetId="2" hidden="1">{0,#N/A,FALSE,0;0,#N/A,FALSE,0;0,#N/A,FALSE,0;0,#N/A,FALSE,0}</definedName>
    <definedName name="dddddddddddd" localSheetId="34" hidden="1">{0,#N/A,FALSE,0;0,#N/A,FALSE,0;0,#N/A,FALSE,0;0,#N/A,FALSE,0}</definedName>
    <definedName name="dddddddddddd" localSheetId="38" hidden="1">{0,#N/A,FALSE,0;0,#N/A,FALSE,0;0,#N/A,FALSE,0;0,#N/A,FALSE,0}</definedName>
    <definedName name="dddddddddddd" localSheetId="8" hidden="1">{0,#N/A,FALSE,0;0,#N/A,FALSE,0;0,#N/A,FALSE,0;0,#N/A,FALSE,0}</definedName>
    <definedName name="dddddddddddd" localSheetId="12" hidden="1">{0,#N/A,FALSE,0;0,#N/A,FALSE,0;0,#N/A,FALSE,0;0,#N/A,FALSE,0}</definedName>
    <definedName name="dddddddddddd" localSheetId="13" hidden="1">{0,#N/A,FALSE,0;0,#N/A,FALSE,0;0,#N/A,FALSE,0;0,#N/A,FALSE,0}</definedName>
    <definedName name="dddddddddddd" localSheetId="11" hidden="1">{0,#N/A,FALSE,0;0,#N/A,FALSE,0;0,#N/A,FALSE,0;0,#N/A,FALSE,0}</definedName>
    <definedName name="dddddddddddd" localSheetId="31" hidden="1">{0,#N/A,FALSE,0;0,#N/A,FALSE,0;0,#N/A,FALSE,0;0,#N/A,FALSE,0}</definedName>
    <definedName name="dddddddddddd" localSheetId="48" hidden="1">{0,#N/A,FALSE,0;0,#N/A,FALSE,0;0,#N/A,FALSE,0;0,#N/A,FALSE,0}</definedName>
    <definedName name="dddddddddddd" hidden="1">{0,#N/A,FALSE,0;0,#N/A,FALSE,0;0,#N/A,FALSE,0;0,#N/A,FALSE,0}</definedName>
    <definedName name="dddddddddddd_1" localSheetId="15" hidden="1">{0,#N/A,FALSE,0;0,#N/A,FALSE,0;0,#N/A,FALSE,0;0,#N/A,FALSE,0}</definedName>
    <definedName name="dddddddddddd_1" localSheetId="14" hidden="1">{0,#N/A,FALSE,0;0,#N/A,FALSE,0;0,#N/A,FALSE,0;0,#N/A,FALSE,0}</definedName>
    <definedName name="dddddddddddd_1" localSheetId="2" hidden="1">{0,#N/A,FALSE,0;0,#N/A,FALSE,0;0,#N/A,FALSE,0;0,#N/A,FALSE,0}</definedName>
    <definedName name="dddddddddddd_1" localSheetId="34" hidden="1">{0,#N/A,FALSE,0;0,#N/A,FALSE,0;0,#N/A,FALSE,0;0,#N/A,FALSE,0}</definedName>
    <definedName name="dddddddddddd_1" localSheetId="38" hidden="1">{0,#N/A,FALSE,0;0,#N/A,FALSE,0;0,#N/A,FALSE,0;0,#N/A,FALSE,0}</definedName>
    <definedName name="dddddddddddd_1" localSheetId="8" hidden="1">{0,#N/A,FALSE,0;0,#N/A,FALSE,0;0,#N/A,FALSE,0;0,#N/A,FALSE,0}</definedName>
    <definedName name="dddddddddddd_1" localSheetId="12" hidden="1">{0,#N/A,FALSE,0;0,#N/A,FALSE,0;0,#N/A,FALSE,0;0,#N/A,FALSE,0}</definedName>
    <definedName name="dddddddddddd_1" localSheetId="13" hidden="1">{0,#N/A,FALSE,0;0,#N/A,FALSE,0;0,#N/A,FALSE,0;0,#N/A,FALSE,0}</definedName>
    <definedName name="dddddddddddd_1" localSheetId="11" hidden="1">{0,#N/A,FALSE,0;0,#N/A,FALSE,0;0,#N/A,FALSE,0;0,#N/A,FALSE,0}</definedName>
    <definedName name="dddddddddddd_1" localSheetId="31" hidden="1">{0,#N/A,FALSE,0;0,#N/A,FALSE,0;0,#N/A,FALSE,0;0,#N/A,FALSE,0}</definedName>
    <definedName name="dddddddddddd_1" localSheetId="48" hidden="1">{0,#N/A,FALSE,0;0,#N/A,FALSE,0;0,#N/A,FALSE,0;0,#N/A,FALSE,0}</definedName>
    <definedName name="dddddddddddd_1" hidden="1">{0,#N/A,FALSE,0;0,#N/A,FALSE,0;0,#N/A,FALSE,0;0,#N/A,FALSE,0}</definedName>
    <definedName name="de" localSheetId="15" hidden="1">{"Fecha_Dezembro",#N/A,FALSE,"FECHAMENTO-2002 ";"Defer_Dezermbro",#N/A,FALSE,"DIFERIDO";"Pis_Dezembro",#N/A,FALSE,"PIS COFINS";"Iss_Dezembro",#N/A,FALSE,"ISS"}</definedName>
    <definedName name="de" localSheetId="14" hidden="1">{"Fecha_Dezembro",#N/A,FALSE,"FECHAMENTO-2002 ";"Defer_Dezermbro",#N/A,FALSE,"DIFERIDO";"Pis_Dezembro",#N/A,FALSE,"PIS COFINS";"Iss_Dezembro",#N/A,FALSE,"ISS"}</definedName>
    <definedName name="de" localSheetId="2" hidden="1">{"Fecha_Dezembro",#N/A,FALSE,"FECHAMENTO-2002 ";"Defer_Dezermbro",#N/A,FALSE,"DIFERIDO";"Pis_Dezembro",#N/A,FALSE,"PIS COFINS";"Iss_Dezembro",#N/A,FALSE,"ISS"}</definedName>
    <definedName name="de" localSheetId="34" hidden="1">{"Fecha_Dezembro",#N/A,FALSE,"FECHAMENTO-2002 ";"Defer_Dezermbro",#N/A,FALSE,"DIFERIDO";"Pis_Dezembro",#N/A,FALSE,"PIS COFINS";"Iss_Dezembro",#N/A,FALSE,"ISS"}</definedName>
    <definedName name="de" localSheetId="38" hidden="1">{"Fecha_Dezembro",#N/A,FALSE,"FECHAMENTO-2002 ";"Defer_Dezermbro",#N/A,FALSE,"DIFERIDO";"Pis_Dezembro",#N/A,FALSE,"PIS COFINS";"Iss_Dezembro",#N/A,FALSE,"ISS"}</definedName>
    <definedName name="de" localSheetId="8" hidden="1">{"Fecha_Dezembro",#N/A,FALSE,"FECHAMENTO-2002 ";"Defer_Dezermbro",#N/A,FALSE,"DIFERIDO";"Pis_Dezembro",#N/A,FALSE,"PIS COFINS";"Iss_Dezembro",#N/A,FALSE,"ISS"}</definedName>
    <definedName name="de" localSheetId="12" hidden="1">{"Fecha_Dezembro",#N/A,FALSE,"FECHAMENTO-2002 ";"Defer_Dezermbro",#N/A,FALSE,"DIFERIDO";"Pis_Dezembro",#N/A,FALSE,"PIS COFINS";"Iss_Dezembro",#N/A,FALSE,"ISS"}</definedName>
    <definedName name="de" localSheetId="13" hidden="1">{"Fecha_Dezembro",#N/A,FALSE,"FECHAMENTO-2002 ";"Defer_Dezermbro",#N/A,FALSE,"DIFERIDO";"Pis_Dezembro",#N/A,FALSE,"PIS COFINS";"Iss_Dezembro",#N/A,FALSE,"ISS"}</definedName>
    <definedName name="de" localSheetId="11" hidden="1">{"Fecha_Dezembro",#N/A,FALSE,"FECHAMENTO-2002 ";"Defer_Dezermbro",#N/A,FALSE,"DIFERIDO";"Pis_Dezembro",#N/A,FALSE,"PIS COFINS";"Iss_Dezembro",#N/A,FALSE,"ISS"}</definedName>
    <definedName name="de" localSheetId="31" hidden="1">{"Fecha_Dezembro",#N/A,FALSE,"FECHAMENTO-2002 ";"Defer_Dezermbro",#N/A,FALSE,"DIFERIDO";"Pis_Dezembro",#N/A,FALSE,"PIS COFINS";"Iss_Dezembro",#N/A,FALSE,"ISS"}</definedName>
    <definedName name="de" localSheetId="48" hidden="1">{"Fecha_Dezembro",#N/A,FALSE,"FECHAMENTO-2002 ";"Defer_Dezermbro",#N/A,FALSE,"DIFERIDO";"Pis_Dezembro",#N/A,FALSE,"PIS COFINS";"Iss_Dezembro",#N/A,FALSE,"ISS"}</definedName>
    <definedName name="de" hidden="1">{"Fecha_Dezembro",#N/A,FALSE,"FECHAMENTO-2002 ";"Defer_Dezermbro",#N/A,FALSE,"DIFERIDO";"Pis_Dezembro",#N/A,FALSE,"PIS COFINS";"Iss_Dezembro",#N/A,FALSE,"ISS"}</definedName>
    <definedName name="de_1" localSheetId="15" hidden="1">{"Fecha_Dezembro",#N/A,FALSE,"FECHAMENTO-2002 ";"Defer_Dezermbro",#N/A,FALSE,"DIFERIDO";"Pis_Dezembro",#N/A,FALSE,"PIS COFINS";"Iss_Dezembro",#N/A,FALSE,"ISS"}</definedName>
    <definedName name="de_1" localSheetId="14" hidden="1">{"Fecha_Dezembro",#N/A,FALSE,"FECHAMENTO-2002 ";"Defer_Dezermbro",#N/A,FALSE,"DIFERIDO";"Pis_Dezembro",#N/A,FALSE,"PIS COFINS";"Iss_Dezembro",#N/A,FALSE,"ISS"}</definedName>
    <definedName name="de_1" localSheetId="2" hidden="1">{"Fecha_Dezembro",#N/A,FALSE,"FECHAMENTO-2002 ";"Defer_Dezermbro",#N/A,FALSE,"DIFERIDO";"Pis_Dezembro",#N/A,FALSE,"PIS COFINS";"Iss_Dezembro",#N/A,FALSE,"ISS"}</definedName>
    <definedName name="de_1" localSheetId="34" hidden="1">{"Fecha_Dezembro",#N/A,FALSE,"FECHAMENTO-2002 ";"Defer_Dezermbro",#N/A,FALSE,"DIFERIDO";"Pis_Dezembro",#N/A,FALSE,"PIS COFINS";"Iss_Dezembro",#N/A,FALSE,"ISS"}</definedName>
    <definedName name="de_1" localSheetId="38" hidden="1">{"Fecha_Dezembro",#N/A,FALSE,"FECHAMENTO-2002 ";"Defer_Dezermbro",#N/A,FALSE,"DIFERIDO";"Pis_Dezembro",#N/A,FALSE,"PIS COFINS";"Iss_Dezembro",#N/A,FALSE,"ISS"}</definedName>
    <definedName name="de_1" localSheetId="8" hidden="1">{"Fecha_Dezembro",#N/A,FALSE,"FECHAMENTO-2002 ";"Defer_Dezermbro",#N/A,FALSE,"DIFERIDO";"Pis_Dezembro",#N/A,FALSE,"PIS COFINS";"Iss_Dezembro",#N/A,FALSE,"ISS"}</definedName>
    <definedName name="de_1" localSheetId="12" hidden="1">{"Fecha_Dezembro",#N/A,FALSE,"FECHAMENTO-2002 ";"Defer_Dezermbro",#N/A,FALSE,"DIFERIDO";"Pis_Dezembro",#N/A,FALSE,"PIS COFINS";"Iss_Dezembro",#N/A,FALSE,"ISS"}</definedName>
    <definedName name="de_1" localSheetId="13" hidden="1">{"Fecha_Dezembro",#N/A,FALSE,"FECHAMENTO-2002 ";"Defer_Dezermbro",#N/A,FALSE,"DIFERIDO";"Pis_Dezembro",#N/A,FALSE,"PIS COFINS";"Iss_Dezembro",#N/A,FALSE,"ISS"}</definedName>
    <definedName name="de_1" localSheetId="11" hidden="1">{"Fecha_Dezembro",#N/A,FALSE,"FECHAMENTO-2002 ";"Defer_Dezermbro",#N/A,FALSE,"DIFERIDO";"Pis_Dezembro",#N/A,FALSE,"PIS COFINS";"Iss_Dezembro",#N/A,FALSE,"ISS"}</definedName>
    <definedName name="de_1" localSheetId="31" hidden="1">{"Fecha_Dezembro",#N/A,FALSE,"FECHAMENTO-2002 ";"Defer_Dezermbro",#N/A,FALSE,"DIFERIDO";"Pis_Dezembro",#N/A,FALSE,"PIS COFINS";"Iss_Dezembro",#N/A,FALSE,"ISS"}</definedName>
    <definedName name="de_1" localSheetId="48" hidden="1">{"Fecha_Dezembro",#N/A,FALSE,"FECHAMENTO-2002 ";"Defer_Dezermbro",#N/A,FALSE,"DIFERIDO";"Pis_Dezembro",#N/A,FALSE,"PIS COFINS";"Iss_Dezembro",#N/A,FALSE,"ISS"}</definedName>
    <definedName name="de_1" hidden="1">{"Fecha_Dezembro",#N/A,FALSE,"FECHAMENTO-2002 ";"Defer_Dezermbro",#N/A,FALSE,"DIFERIDO";"Pis_Dezembro",#N/A,FALSE,"PIS COFINS";"Iss_Dezembro",#N/A,FALSE,"ISS"}</definedName>
    <definedName name="Dec" localSheetId="2">#REF!</definedName>
    <definedName name="Dec">#REF!</definedName>
    <definedName name="DEDD" localSheetId="15" hidden="1">{"comp1",#N/A,FALSE,"COMPS";"footnotes",#N/A,FALSE,"COMPS"}</definedName>
    <definedName name="DEDD" localSheetId="14" hidden="1">{"comp1",#N/A,FALSE,"COMPS";"footnotes",#N/A,FALSE,"COMPS"}</definedName>
    <definedName name="DEDD" localSheetId="2" hidden="1">{"comp1",#N/A,FALSE,"COMPS";"footnotes",#N/A,FALSE,"COMPS"}</definedName>
    <definedName name="DEDD" localSheetId="34" hidden="1">{"comp1",#N/A,FALSE,"COMPS";"footnotes",#N/A,FALSE,"COMPS"}</definedName>
    <definedName name="DEDD" localSheetId="38" hidden="1">{"comp1",#N/A,FALSE,"COMPS";"footnotes",#N/A,FALSE,"COMPS"}</definedName>
    <definedName name="DEDD" localSheetId="8" hidden="1">{"comp1",#N/A,FALSE,"COMPS";"footnotes",#N/A,FALSE,"COMPS"}</definedName>
    <definedName name="DEDD" localSheetId="12" hidden="1">{"comp1",#N/A,FALSE,"COMPS";"footnotes",#N/A,FALSE,"COMPS"}</definedName>
    <definedName name="DEDD" localSheetId="13" hidden="1">{"comp1",#N/A,FALSE,"COMPS";"footnotes",#N/A,FALSE,"COMPS"}</definedName>
    <definedName name="DEDD" localSheetId="11" hidden="1">{"comp1",#N/A,FALSE,"COMPS";"footnotes",#N/A,FALSE,"COMPS"}</definedName>
    <definedName name="DEDD" localSheetId="31" hidden="1">{"comp1",#N/A,FALSE,"COMPS";"footnotes",#N/A,FALSE,"COMPS"}</definedName>
    <definedName name="DEDD" localSheetId="48" hidden="1">{"comp1",#N/A,FALSE,"COMPS";"footnotes",#N/A,FALSE,"COMPS"}</definedName>
    <definedName name="DEDD" hidden="1">{"comp1",#N/A,FALSE,"COMPS";"footnotes",#N/A,FALSE,"COMPS"}</definedName>
    <definedName name="DEDEWFEW" localSheetId="15" hidden="1">{"Fecha_Outubro",#N/A,FALSE,"FECHAMENTO-2002 ";"Defer_Outubro",#N/A,FALSE,"DIFERIDO";"Pis_Outubro",#N/A,FALSE,"PIS COFINS";"Iss_Outubro",#N/A,FALSE,"ISS"}</definedName>
    <definedName name="DEDEWFEW" localSheetId="14" hidden="1">{"Fecha_Outubro",#N/A,FALSE,"FECHAMENTO-2002 ";"Defer_Outubro",#N/A,FALSE,"DIFERIDO";"Pis_Outubro",#N/A,FALSE,"PIS COFINS";"Iss_Outubro",#N/A,FALSE,"ISS"}</definedName>
    <definedName name="DEDEWFEW" localSheetId="2" hidden="1">{"Fecha_Outubro",#N/A,FALSE,"FECHAMENTO-2002 ";"Defer_Outubro",#N/A,FALSE,"DIFERIDO";"Pis_Outubro",#N/A,FALSE,"PIS COFINS";"Iss_Outubro",#N/A,FALSE,"ISS"}</definedName>
    <definedName name="DEDEWFEW" localSheetId="34" hidden="1">{"Fecha_Outubro",#N/A,FALSE,"FECHAMENTO-2002 ";"Defer_Outubro",#N/A,FALSE,"DIFERIDO";"Pis_Outubro",#N/A,FALSE,"PIS COFINS";"Iss_Outubro",#N/A,FALSE,"ISS"}</definedName>
    <definedName name="DEDEWFEW" localSheetId="38" hidden="1">{"Fecha_Outubro",#N/A,FALSE,"FECHAMENTO-2002 ";"Defer_Outubro",#N/A,FALSE,"DIFERIDO";"Pis_Outubro",#N/A,FALSE,"PIS COFINS";"Iss_Outubro",#N/A,FALSE,"ISS"}</definedName>
    <definedName name="DEDEWFEW" localSheetId="8" hidden="1">{"Fecha_Outubro",#N/A,FALSE,"FECHAMENTO-2002 ";"Defer_Outubro",#N/A,FALSE,"DIFERIDO";"Pis_Outubro",#N/A,FALSE,"PIS COFINS";"Iss_Outubro",#N/A,FALSE,"ISS"}</definedName>
    <definedName name="DEDEWFEW" localSheetId="12" hidden="1">{"Fecha_Outubro",#N/A,FALSE,"FECHAMENTO-2002 ";"Defer_Outubro",#N/A,FALSE,"DIFERIDO";"Pis_Outubro",#N/A,FALSE,"PIS COFINS";"Iss_Outubro",#N/A,FALSE,"ISS"}</definedName>
    <definedName name="DEDEWFEW" localSheetId="13" hidden="1">{"Fecha_Outubro",#N/A,FALSE,"FECHAMENTO-2002 ";"Defer_Outubro",#N/A,FALSE,"DIFERIDO";"Pis_Outubro",#N/A,FALSE,"PIS COFINS";"Iss_Outubro",#N/A,FALSE,"ISS"}</definedName>
    <definedName name="DEDEWFEW" localSheetId="11" hidden="1">{"Fecha_Outubro",#N/A,FALSE,"FECHAMENTO-2002 ";"Defer_Outubro",#N/A,FALSE,"DIFERIDO";"Pis_Outubro",#N/A,FALSE,"PIS COFINS";"Iss_Outubro",#N/A,FALSE,"ISS"}</definedName>
    <definedName name="DEDEWFEW" localSheetId="31" hidden="1">{"Fecha_Outubro",#N/A,FALSE,"FECHAMENTO-2002 ";"Defer_Outubro",#N/A,FALSE,"DIFERIDO";"Pis_Outubro",#N/A,FALSE,"PIS COFINS";"Iss_Outubro",#N/A,FALSE,"ISS"}</definedName>
    <definedName name="DEDEWFEW" localSheetId="48" hidden="1">{"Fecha_Outubro",#N/A,FALSE,"FECHAMENTO-2002 ";"Defer_Outubro",#N/A,FALSE,"DIFERIDO";"Pis_Outubro",#N/A,FALSE,"PIS COFINS";"Iss_Outubro",#N/A,FALSE,"ISS"}</definedName>
    <definedName name="DEDEWFEW" hidden="1">{"Fecha_Outubro",#N/A,FALSE,"FECHAMENTO-2002 ";"Defer_Outubro",#N/A,FALSE,"DIFERIDO";"Pis_Outubro",#N/A,FALSE,"PIS COFINS";"Iss_Outubro",#N/A,FALSE,"ISS"}</definedName>
    <definedName name="deee" localSheetId="15" hidden="1">{"Fecha_Setembro",#N/A,FALSE,"FECHAMENTO-2002 ";"Defer_Setembro",#N/A,FALSE,"DIFERIDO";"Pis_Setembro",#N/A,FALSE,"PIS COFINS";"Iss_Setembro",#N/A,FALSE,"ISS"}</definedName>
    <definedName name="deee" localSheetId="14" hidden="1">{"Fecha_Setembro",#N/A,FALSE,"FECHAMENTO-2002 ";"Defer_Setembro",#N/A,FALSE,"DIFERIDO";"Pis_Setembro",#N/A,FALSE,"PIS COFINS";"Iss_Setembro",#N/A,FALSE,"ISS"}</definedName>
    <definedName name="deee" localSheetId="2" hidden="1">{"Fecha_Setembro",#N/A,FALSE,"FECHAMENTO-2002 ";"Defer_Setembro",#N/A,FALSE,"DIFERIDO";"Pis_Setembro",#N/A,FALSE,"PIS COFINS";"Iss_Setembro",#N/A,FALSE,"ISS"}</definedName>
    <definedName name="deee" localSheetId="34" hidden="1">{"Fecha_Setembro",#N/A,FALSE,"FECHAMENTO-2002 ";"Defer_Setembro",#N/A,FALSE,"DIFERIDO";"Pis_Setembro",#N/A,FALSE,"PIS COFINS";"Iss_Setembro",#N/A,FALSE,"ISS"}</definedName>
    <definedName name="deee" localSheetId="38" hidden="1">{"Fecha_Setembro",#N/A,FALSE,"FECHAMENTO-2002 ";"Defer_Setembro",#N/A,FALSE,"DIFERIDO";"Pis_Setembro",#N/A,FALSE,"PIS COFINS";"Iss_Setembro",#N/A,FALSE,"ISS"}</definedName>
    <definedName name="deee" localSheetId="8" hidden="1">{"Fecha_Setembro",#N/A,FALSE,"FECHAMENTO-2002 ";"Defer_Setembro",#N/A,FALSE,"DIFERIDO";"Pis_Setembro",#N/A,FALSE,"PIS COFINS";"Iss_Setembro",#N/A,FALSE,"ISS"}</definedName>
    <definedName name="deee" localSheetId="12" hidden="1">{"Fecha_Setembro",#N/A,FALSE,"FECHAMENTO-2002 ";"Defer_Setembro",#N/A,FALSE,"DIFERIDO";"Pis_Setembro",#N/A,FALSE,"PIS COFINS";"Iss_Setembro",#N/A,FALSE,"ISS"}</definedName>
    <definedName name="deee" localSheetId="13" hidden="1">{"Fecha_Setembro",#N/A,FALSE,"FECHAMENTO-2002 ";"Defer_Setembro",#N/A,FALSE,"DIFERIDO";"Pis_Setembro",#N/A,FALSE,"PIS COFINS";"Iss_Setembro",#N/A,FALSE,"ISS"}</definedName>
    <definedName name="deee" localSheetId="11" hidden="1">{"Fecha_Setembro",#N/A,FALSE,"FECHAMENTO-2002 ";"Defer_Setembro",#N/A,FALSE,"DIFERIDO";"Pis_Setembro",#N/A,FALSE,"PIS COFINS";"Iss_Setembro",#N/A,FALSE,"ISS"}</definedName>
    <definedName name="deee" localSheetId="31" hidden="1">{"Fecha_Setembro",#N/A,FALSE,"FECHAMENTO-2002 ";"Defer_Setembro",#N/A,FALSE,"DIFERIDO";"Pis_Setembro",#N/A,FALSE,"PIS COFINS";"Iss_Setembro",#N/A,FALSE,"ISS"}</definedName>
    <definedName name="deee" localSheetId="48" hidden="1">{"Fecha_Setembro",#N/A,FALSE,"FECHAMENTO-2002 ";"Defer_Setembro",#N/A,FALSE,"DIFERIDO";"Pis_Setembro",#N/A,FALSE,"PIS COFINS";"Iss_Setembro",#N/A,FALSE,"ISS"}</definedName>
    <definedName name="deee" hidden="1">{"Fecha_Setembro",#N/A,FALSE,"FECHAMENTO-2002 ";"Defer_Setembro",#N/A,FALSE,"DIFERIDO";"Pis_Setembro",#N/A,FALSE,"PIS COFINS";"Iss_Setembro",#N/A,FALSE,"ISS"}</definedName>
    <definedName name="deee_1" localSheetId="15" hidden="1">{"Fecha_Setembro",#N/A,FALSE,"FECHAMENTO-2002 ";"Defer_Setembro",#N/A,FALSE,"DIFERIDO";"Pis_Setembro",#N/A,FALSE,"PIS COFINS";"Iss_Setembro",#N/A,FALSE,"ISS"}</definedName>
    <definedName name="deee_1" localSheetId="14" hidden="1">{"Fecha_Setembro",#N/A,FALSE,"FECHAMENTO-2002 ";"Defer_Setembro",#N/A,FALSE,"DIFERIDO";"Pis_Setembro",#N/A,FALSE,"PIS COFINS";"Iss_Setembro",#N/A,FALSE,"ISS"}</definedName>
    <definedName name="deee_1" localSheetId="2" hidden="1">{"Fecha_Setembro",#N/A,FALSE,"FECHAMENTO-2002 ";"Defer_Setembro",#N/A,FALSE,"DIFERIDO";"Pis_Setembro",#N/A,FALSE,"PIS COFINS";"Iss_Setembro",#N/A,FALSE,"ISS"}</definedName>
    <definedName name="deee_1" localSheetId="34" hidden="1">{"Fecha_Setembro",#N/A,FALSE,"FECHAMENTO-2002 ";"Defer_Setembro",#N/A,FALSE,"DIFERIDO";"Pis_Setembro",#N/A,FALSE,"PIS COFINS";"Iss_Setembro",#N/A,FALSE,"ISS"}</definedName>
    <definedName name="deee_1" localSheetId="38" hidden="1">{"Fecha_Setembro",#N/A,FALSE,"FECHAMENTO-2002 ";"Defer_Setembro",#N/A,FALSE,"DIFERIDO";"Pis_Setembro",#N/A,FALSE,"PIS COFINS";"Iss_Setembro",#N/A,FALSE,"ISS"}</definedName>
    <definedName name="deee_1" localSheetId="8" hidden="1">{"Fecha_Setembro",#N/A,FALSE,"FECHAMENTO-2002 ";"Defer_Setembro",#N/A,FALSE,"DIFERIDO";"Pis_Setembro",#N/A,FALSE,"PIS COFINS";"Iss_Setembro",#N/A,FALSE,"ISS"}</definedName>
    <definedName name="deee_1" localSheetId="12" hidden="1">{"Fecha_Setembro",#N/A,FALSE,"FECHAMENTO-2002 ";"Defer_Setembro",#N/A,FALSE,"DIFERIDO";"Pis_Setembro",#N/A,FALSE,"PIS COFINS";"Iss_Setembro",#N/A,FALSE,"ISS"}</definedName>
    <definedName name="deee_1" localSheetId="13" hidden="1">{"Fecha_Setembro",#N/A,FALSE,"FECHAMENTO-2002 ";"Defer_Setembro",#N/A,FALSE,"DIFERIDO";"Pis_Setembro",#N/A,FALSE,"PIS COFINS";"Iss_Setembro",#N/A,FALSE,"ISS"}</definedName>
    <definedName name="deee_1" localSheetId="11" hidden="1">{"Fecha_Setembro",#N/A,FALSE,"FECHAMENTO-2002 ";"Defer_Setembro",#N/A,FALSE,"DIFERIDO";"Pis_Setembro",#N/A,FALSE,"PIS COFINS";"Iss_Setembro",#N/A,FALSE,"ISS"}</definedName>
    <definedName name="deee_1" localSheetId="31" hidden="1">{"Fecha_Setembro",#N/A,FALSE,"FECHAMENTO-2002 ";"Defer_Setembro",#N/A,FALSE,"DIFERIDO";"Pis_Setembro",#N/A,FALSE,"PIS COFINS";"Iss_Setembro",#N/A,FALSE,"ISS"}</definedName>
    <definedName name="deee_1" localSheetId="48" hidden="1">{"Fecha_Setembro",#N/A,FALSE,"FECHAMENTO-2002 ";"Defer_Setembro",#N/A,FALSE,"DIFERIDO";"Pis_Setembro",#N/A,FALSE,"PIS COFINS";"Iss_Setembro",#N/A,FALSE,"ISS"}</definedName>
    <definedName name="deee_1" hidden="1">{"Fecha_Setembro",#N/A,FALSE,"FECHAMENTO-2002 ";"Defer_Setembro",#N/A,FALSE,"DIFERIDO";"Pis_Setembro",#N/A,FALSE,"PIS COFINS";"Iss_Setembro",#N/A,FALSE,"ISS"}</definedName>
    <definedName name="Demerara" localSheetId="2">#REF!</definedName>
    <definedName name="Demerara">#REF!</definedName>
    <definedName name="DemResult" localSheetId="2">#REF!</definedName>
    <definedName name="DemResult">#REF!</definedName>
    <definedName name="DER" localSheetId="2">#REF!</definedName>
    <definedName name="DER">#REF!</definedName>
    <definedName name="DERE" localSheetId="2">#REF!</definedName>
    <definedName name="DERE">#REF!</definedName>
    <definedName name="Desp2" localSheetId="15" hidden="1">{"Bradesco 1",#N/A,TRUE,"Bradesco acc_dil";"Bradesco2",#N/A,TRUE,"Bradesco acc_dil";"Bradesco3",#N/A,TRUE,"Bradesco's RWA analysis";"Unibanco1",#N/A,TRUE,"Unibanco acc_dil ";"Unibanco2",#N/A,TRUE,"Unibanco acc_dil ";"Unibanco3",#N/A,TRUE,"Unibanco's RWA analysis"}</definedName>
    <definedName name="Desp2" localSheetId="14"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localSheetId="38" hidden="1">{"Bradesco 1",#N/A,TRUE,"Bradesco acc_dil";"Bradesco2",#N/A,TRUE,"Bradesco acc_dil";"Bradesco3",#N/A,TRUE,"Bradesco's RWA analysis";"Unibanco1",#N/A,TRUE,"Unibanco acc_dil ";"Unibanco2",#N/A,TRUE,"Unibanco acc_dil ";"Unibanco3",#N/A,TRUE,"Unibanco's RWA analysis"}</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48"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espesas1">#REF!</definedName>
    <definedName name="Despesas2">#REF!</definedName>
    <definedName name="Det_Ativo" localSheetId="2">#REF!</definedName>
    <definedName name="Det_Ativo">#REF!</definedName>
    <definedName name="Det_Custos" localSheetId="2">#REF!</definedName>
    <definedName name="Det_Custos">#REF!</definedName>
    <definedName name="Det_DespFin" localSheetId="2">#REF!</definedName>
    <definedName name="Det_DespFin">#REF!</definedName>
    <definedName name="Det_DespOper" localSheetId="2">#REF!</definedName>
    <definedName name="Det_DespOper">#REF!</definedName>
    <definedName name="Det_LucroBr" localSheetId="2">#REF!</definedName>
    <definedName name="Det_LucroBr">#REF!</definedName>
    <definedName name="Det_Passivo" localSheetId="2">#REF!</definedName>
    <definedName name="Det_Passivo">#REF!</definedName>
    <definedName name="DETPASSIVO" localSheetId="2">#REF!</definedName>
    <definedName name="DETPASSIVO">#REF!</definedName>
    <definedName name="DEZ" localSheetId="2">#REF!</definedName>
    <definedName name="DEZ">#REF!</definedName>
    <definedName name="dEZEMBRO" hidden="1">#REF!</definedName>
    <definedName name="DIFSERVD" localSheetId="2">#REF!</definedName>
    <definedName name="DIFSERVD">#REF!</definedName>
    <definedName name="DIFSERVO" localSheetId="2">#REF!</definedName>
    <definedName name="DIFSERVO">#REF!</definedName>
    <definedName name="DÍVIDA" localSheetId="15" hidden="1">{"comps",#N/A,FALSE,"HANDPACK";"footnotes",#N/A,FALSE,"HANDPACK"}</definedName>
    <definedName name="DÍVIDA" localSheetId="14" hidden="1">{"comps",#N/A,FALSE,"HANDPACK";"footnotes",#N/A,FALSE,"HANDPACK"}</definedName>
    <definedName name="DÍVIDA" localSheetId="2" hidden="1">{"comps",#N/A,FALSE,"HANDPACK";"footnotes",#N/A,FALSE,"HANDPACK"}</definedName>
    <definedName name="DÍVIDA" localSheetId="34" hidden="1">{"comps",#N/A,FALSE,"HANDPACK";"footnotes",#N/A,FALSE,"HANDPACK"}</definedName>
    <definedName name="DÍVIDA" localSheetId="38" hidden="1">{"comps",#N/A,FALSE,"HANDPACK";"footnotes",#N/A,FALSE,"HANDPACK"}</definedName>
    <definedName name="DÍVIDA" localSheetId="8" hidden="1">{"comps",#N/A,FALSE,"HANDPACK";"footnotes",#N/A,FALSE,"HANDPACK"}</definedName>
    <definedName name="DÍVIDA" localSheetId="12" hidden="1">{"comps",#N/A,FALSE,"HANDPACK";"footnotes",#N/A,FALSE,"HANDPACK"}</definedName>
    <definedName name="DÍVIDA" localSheetId="13" hidden="1">{"comps",#N/A,FALSE,"HANDPACK";"footnotes",#N/A,FALSE,"HANDPACK"}</definedName>
    <definedName name="DÍVIDA" localSheetId="11" hidden="1">{"comps",#N/A,FALSE,"HANDPACK";"footnotes",#N/A,FALSE,"HANDPACK"}</definedName>
    <definedName name="DÍVIDA" localSheetId="31" hidden="1">{"comps",#N/A,FALSE,"HANDPACK";"footnotes",#N/A,FALSE,"HANDPACK"}</definedName>
    <definedName name="DÍVIDA" localSheetId="48" hidden="1">{"comps",#N/A,FALSE,"HANDPACK";"footnotes",#N/A,FALSE,"HANDPACK"}</definedName>
    <definedName name="DÍVIDA" hidden="1">{"comps",#N/A,FALSE,"HANDPACK";"footnotes",#N/A,FALSE,"HANDPACK"}</definedName>
    <definedName name="DNFIDFDFDSHUFV" localSheetId="15" hidden="1">{"TotalGeralDespesasPorArea",#N/A,FALSE,"VinculosAccessEfetivo"}</definedName>
    <definedName name="DNFIDFDFDSHUFV" localSheetId="14" hidden="1">{"TotalGeralDespesasPorArea",#N/A,FALSE,"VinculosAccessEfetivo"}</definedName>
    <definedName name="DNFIDFDFDSHUFV" localSheetId="2" hidden="1">{"TotalGeralDespesasPorArea",#N/A,FALSE,"VinculosAccessEfetivo"}</definedName>
    <definedName name="DNFIDFDFDSHUFV" localSheetId="34" hidden="1">{"TotalGeralDespesasPorArea",#N/A,FALSE,"VinculosAccessEfetivo"}</definedName>
    <definedName name="DNFIDFDFDSHUFV" localSheetId="38" hidden="1">{"TotalGeralDespesasPorArea",#N/A,FALSE,"VinculosAccessEfetivo"}</definedName>
    <definedName name="DNFIDFDFDSHUFV" localSheetId="8" hidden="1">{"TotalGeralDespesasPorArea",#N/A,FALSE,"VinculosAccessEfetivo"}</definedName>
    <definedName name="DNFIDFDFDSHUFV" localSheetId="12" hidden="1">{"TotalGeralDespesasPorArea",#N/A,FALSE,"VinculosAccessEfetivo"}</definedName>
    <definedName name="DNFIDFDFDSHUFV" localSheetId="13" hidden="1">{"TotalGeralDespesasPorArea",#N/A,FALSE,"VinculosAccessEfetivo"}</definedName>
    <definedName name="DNFIDFDFDSHUFV" localSheetId="11" hidden="1">{"TotalGeralDespesasPorArea",#N/A,FALSE,"VinculosAccessEfetivo"}</definedName>
    <definedName name="DNFIDFDFDSHUFV" localSheetId="31" hidden="1">{"TotalGeralDespesasPorArea",#N/A,FALSE,"VinculosAccessEfetivo"}</definedName>
    <definedName name="DNFIDFDFDSHUFV" localSheetId="48" hidden="1">{"TotalGeralDespesasPorArea",#N/A,FALSE,"VinculosAccessEfetivo"}</definedName>
    <definedName name="DNFIDFDFDSHUFV" hidden="1">{"TotalGeralDespesasPorArea",#N/A,FALSE,"VinculosAccessEfetivo"}</definedName>
    <definedName name="DOAR" localSheetId="2">#REF!</definedName>
    <definedName name="DOAR">#REF!</definedName>
    <definedName name="DOAT" localSheetId="2">#REF!</definedName>
    <definedName name="DOAT">#REF!</definedName>
    <definedName name="DOLAR" localSheetId="2">#REF!</definedName>
    <definedName name="DOLAR">#REF!</definedName>
    <definedName name="DREevol" localSheetId="2">#REF!</definedName>
    <definedName name="DREevol">#REF!</definedName>
    <definedName name="DREevolperc" localSheetId="2">#REF!</definedName>
    <definedName name="DREevolperc">#REF!</definedName>
    <definedName name="DREm1tri" localSheetId="2">#REF!</definedName>
    <definedName name="DREm1tri">#REF!</definedName>
    <definedName name="DREm2tri" localSheetId="2">#REF!</definedName>
    <definedName name="DREm2tri">#REF!</definedName>
    <definedName name="dsd" hidden="1">"CAVD7SCWJ2AXAA0RJGKFLUFZV"</definedName>
    <definedName name="Duplicatas">#REF!</definedName>
    <definedName name="DVFDVD" localSheetId="15" hidden="1">{"Fecha_Novembro",#N/A,FALSE,"FECHAMENTO-2002 ";"Defer_Novembro",#N/A,FALSE,"DIFERIDO";"Pis_Novembro",#N/A,FALSE,"PIS COFINS";"Iss_Novembro",#N/A,FALSE,"ISS"}</definedName>
    <definedName name="DVFDVD" localSheetId="14" hidden="1">{"Fecha_Novembro",#N/A,FALSE,"FECHAMENTO-2002 ";"Defer_Novembro",#N/A,FALSE,"DIFERIDO";"Pis_Novembro",#N/A,FALSE,"PIS COFINS";"Iss_Novembro",#N/A,FALSE,"ISS"}</definedName>
    <definedName name="DVFDVD" localSheetId="2" hidden="1">{"Fecha_Novembro",#N/A,FALSE,"FECHAMENTO-2002 ";"Defer_Novembro",#N/A,FALSE,"DIFERIDO";"Pis_Novembro",#N/A,FALSE,"PIS COFINS";"Iss_Novembro",#N/A,FALSE,"ISS"}</definedName>
    <definedName name="DVFDVD" localSheetId="34" hidden="1">{"Fecha_Novembro",#N/A,FALSE,"FECHAMENTO-2002 ";"Defer_Novembro",#N/A,FALSE,"DIFERIDO";"Pis_Novembro",#N/A,FALSE,"PIS COFINS";"Iss_Novembro",#N/A,FALSE,"ISS"}</definedName>
    <definedName name="DVFDVD" localSheetId="38" hidden="1">{"Fecha_Novembro",#N/A,FALSE,"FECHAMENTO-2002 ";"Defer_Novembro",#N/A,FALSE,"DIFERIDO";"Pis_Novembro",#N/A,FALSE,"PIS COFINS";"Iss_Novembro",#N/A,FALSE,"ISS"}</definedName>
    <definedName name="DVFDVD" localSheetId="8" hidden="1">{"Fecha_Novembro",#N/A,FALSE,"FECHAMENTO-2002 ";"Defer_Novembro",#N/A,FALSE,"DIFERIDO";"Pis_Novembro",#N/A,FALSE,"PIS COFINS";"Iss_Novembro",#N/A,FALSE,"ISS"}</definedName>
    <definedName name="DVFDVD" localSheetId="12" hidden="1">{"Fecha_Novembro",#N/A,FALSE,"FECHAMENTO-2002 ";"Defer_Novembro",#N/A,FALSE,"DIFERIDO";"Pis_Novembro",#N/A,FALSE,"PIS COFINS";"Iss_Novembro",#N/A,FALSE,"ISS"}</definedName>
    <definedName name="DVFDVD" localSheetId="13" hidden="1">{"Fecha_Novembro",#N/A,FALSE,"FECHAMENTO-2002 ";"Defer_Novembro",#N/A,FALSE,"DIFERIDO";"Pis_Novembro",#N/A,FALSE,"PIS COFINS";"Iss_Novembro",#N/A,FALSE,"ISS"}</definedName>
    <definedName name="DVFDVD" localSheetId="11" hidden="1">{"Fecha_Novembro",#N/A,FALSE,"FECHAMENTO-2002 ";"Defer_Novembro",#N/A,FALSE,"DIFERIDO";"Pis_Novembro",#N/A,FALSE,"PIS COFINS";"Iss_Novembro",#N/A,FALSE,"ISS"}</definedName>
    <definedName name="DVFDVD" localSheetId="31" hidden="1">{"Fecha_Novembro",#N/A,FALSE,"FECHAMENTO-2002 ";"Defer_Novembro",#N/A,FALSE,"DIFERIDO";"Pis_Novembro",#N/A,FALSE,"PIS COFINS";"Iss_Novembro",#N/A,FALSE,"ISS"}</definedName>
    <definedName name="DVFDVD" localSheetId="48" hidden="1">{"Fecha_Novembro",#N/A,FALSE,"FECHAMENTO-2002 ";"Defer_Novembro",#N/A,FALSE,"DIFERIDO";"Pis_Novembro",#N/A,FALSE,"PIS COFINS";"Iss_Novembro",#N/A,FALSE,"ISS"}</definedName>
    <definedName name="DVFDVD" hidden="1">{"Fecha_Novembro",#N/A,FALSE,"FECHAMENTO-2002 ";"Defer_Novembro",#N/A,FALSE,"DIFERIDO";"Pis_Novembro",#N/A,FALSE,"PIS COFINS";"Iss_Novembro",#N/A,FALSE,"ISS"}</definedName>
    <definedName name="e" localSheetId="0" hidden="1">{"Bradesco 1",#N/A,TRUE,"Bradesco acc_dil";"Bradesco2",#N/A,TRUE,"Bradesco acc_dil";"Bradesco3",#N/A,TRUE,"Bradesco's RWA analysis";"Unibanco1",#N/A,TRUE,"Unibanco acc_dil ";"Unibanco2",#N/A,TRUE,"Unibanco acc_dil ";"Unibanco3",#N/A,TRUE,"Unibanco's RWA analysis"}</definedName>
    <definedName name="EBITDAAAno" localSheetId="31">INDIRECT("$b$"&amp;#REF!)</definedName>
    <definedName name="EBITDAAAno">INDIRECT("$b$"&amp;#REF!)</definedName>
    <definedName name="EBITDAAAUTOTri">INDIRECT("$b$"&amp;#REF!)</definedName>
    <definedName name="EBITDAALITri">INDIRECT("$b$"&amp;#REF!)</definedName>
    <definedName name="EBITDAAno">INDIRECT("$b$"&amp;#REF!)</definedName>
    <definedName name="EBITDAATri">INDIRECT("$b$"&amp;#REF!)</definedName>
    <definedName name="EBITDAAUTOAno">INDIRECT("$b$"&amp;#REF!)</definedName>
    <definedName name="EBITDAAUTOTri">INDIRECT("$b$"&amp;#REF!)</definedName>
    <definedName name="EBITDALITri">INDIRECT("$b$"&amp;#REF!)</definedName>
    <definedName name="EBITDATri">INDIRECT("$b$"&amp;#REF!)</definedName>
    <definedName name="ECNOFIBRAS" localSheetId="15" hidden="1">{"'PXR_6500'!$A$1:$I$124"}</definedName>
    <definedName name="ECNOFIBRAS" localSheetId="14" hidden="1">{"'PXR_6500'!$A$1:$I$124"}</definedName>
    <definedName name="ECNOFIBRAS" localSheetId="2" hidden="1">{"'PXR_6500'!$A$1:$I$124"}</definedName>
    <definedName name="ECNOFIBRAS" localSheetId="34" hidden="1">{"'PXR_6500'!$A$1:$I$124"}</definedName>
    <definedName name="ECNOFIBRAS" localSheetId="38" hidden="1">{"'PXR_6500'!$A$1:$I$124"}</definedName>
    <definedName name="ECNOFIBRAS" localSheetId="8" hidden="1">{"'PXR_6500'!$A$1:$I$124"}</definedName>
    <definedName name="ECNOFIBRAS" localSheetId="12" hidden="1">{"'PXR_6500'!$A$1:$I$124"}</definedName>
    <definedName name="ECNOFIBRAS" localSheetId="13" hidden="1">{"'PXR_6500'!$A$1:$I$124"}</definedName>
    <definedName name="ECNOFIBRAS" localSheetId="11" hidden="1">{"'PXR_6500'!$A$1:$I$124"}</definedName>
    <definedName name="ECNOFIBRAS" localSheetId="31" hidden="1">{"'PXR_6500'!$A$1:$I$124"}</definedName>
    <definedName name="ECNOFIBRAS" localSheetId="48" hidden="1">{"'PXR_6500'!$A$1:$I$124"}</definedName>
    <definedName name="ECNOFIBRAS" hidden="1">{"'PXR_6500'!$A$1:$I$124"}</definedName>
    <definedName name="ECNOFIBRAS2" localSheetId="15" hidden="1">{"'PXR_6500'!$A$1:$I$124"}</definedName>
    <definedName name="ECNOFIBRAS2" localSheetId="14" hidden="1">{"'PXR_6500'!$A$1:$I$124"}</definedName>
    <definedName name="ECNOFIBRAS2" localSheetId="2" hidden="1">{"'PXR_6500'!$A$1:$I$124"}</definedName>
    <definedName name="ECNOFIBRAS2" localSheetId="34" hidden="1">{"'PXR_6500'!$A$1:$I$124"}</definedName>
    <definedName name="ECNOFIBRAS2" localSheetId="38" hidden="1">{"'PXR_6500'!$A$1:$I$124"}</definedName>
    <definedName name="ECNOFIBRAS2" localSheetId="8" hidden="1">{"'PXR_6500'!$A$1:$I$124"}</definedName>
    <definedName name="ECNOFIBRAS2" localSheetId="12" hidden="1">{"'PXR_6500'!$A$1:$I$124"}</definedName>
    <definedName name="ECNOFIBRAS2" localSheetId="13" hidden="1">{"'PXR_6500'!$A$1:$I$124"}</definedName>
    <definedName name="ECNOFIBRAS2" localSheetId="11" hidden="1">{"'PXR_6500'!$A$1:$I$124"}</definedName>
    <definedName name="ECNOFIBRAS2" localSheetId="31" hidden="1">{"'PXR_6500'!$A$1:$I$124"}</definedName>
    <definedName name="ECNOFIBRAS2" localSheetId="48" hidden="1">{"'PXR_6500'!$A$1:$I$124"}</definedName>
    <definedName name="ECNOFIBRAS2" hidden="1">{"'PXR_6500'!$A$1:$I$124"}</definedName>
    <definedName name="edp" localSheetId="15" hidden="1">{"assumption 50 50",#N/A,TRUE,"Merger";"has gets cash",#N/A,TRUE,"Merger";"accretion dilution",#N/A,TRUE,"Merger";"comparison credit stats",#N/A,TRUE,"Merger";"pf credit stats",#N/A,TRUE,"Merger";"pf sheets",#N/A,TRUE,"Merger"}</definedName>
    <definedName name="edp" localSheetId="14" hidden="1">{"assumption 50 50",#N/A,TRUE,"Merger";"has gets cash",#N/A,TRUE,"Merger";"accretion dilution",#N/A,TRUE,"Merger";"comparison credit stats",#N/A,TRUE,"Merger";"pf credit stats",#N/A,TRUE,"Merger";"pf sheets",#N/A,TRUE,"Merger"}</definedName>
    <definedName name="edp" localSheetId="2" hidden="1">{"assumption 50 50",#N/A,TRUE,"Merger";"has gets cash",#N/A,TRUE,"Merger";"accretion dilution",#N/A,TRUE,"Merger";"comparison credit stats",#N/A,TRUE,"Merger";"pf credit stats",#N/A,TRUE,"Merger";"pf sheets",#N/A,TRUE,"Merger"}</definedName>
    <definedName name="edp" localSheetId="34" hidden="1">{"assumption 50 50",#N/A,TRUE,"Merger";"has gets cash",#N/A,TRUE,"Merger";"accretion dilution",#N/A,TRUE,"Merger";"comparison credit stats",#N/A,TRUE,"Merger";"pf credit stats",#N/A,TRUE,"Merger";"pf sheets",#N/A,TRUE,"Merger"}</definedName>
    <definedName name="edp" localSheetId="38" hidden="1">{"assumption 50 50",#N/A,TRUE,"Merger";"has gets cash",#N/A,TRUE,"Merger";"accretion dilution",#N/A,TRUE,"Merger";"comparison credit stats",#N/A,TRUE,"Merger";"pf credit stats",#N/A,TRUE,"Merger";"pf sheets",#N/A,TRUE,"Merger"}</definedName>
    <definedName name="edp" localSheetId="8" hidden="1">{"assumption 50 50",#N/A,TRUE,"Merger";"has gets cash",#N/A,TRUE,"Merger";"accretion dilution",#N/A,TRUE,"Merger";"comparison credit stats",#N/A,TRUE,"Merger";"pf credit stats",#N/A,TRUE,"Merger";"pf sheets",#N/A,TRUE,"Merger"}</definedName>
    <definedName name="edp" localSheetId="12" hidden="1">{"assumption 50 50",#N/A,TRUE,"Merger";"has gets cash",#N/A,TRUE,"Merger";"accretion dilution",#N/A,TRUE,"Merger";"comparison credit stats",#N/A,TRUE,"Merger";"pf credit stats",#N/A,TRUE,"Merger";"pf sheets",#N/A,TRUE,"Merger"}</definedName>
    <definedName name="edp" localSheetId="13" hidden="1">{"assumption 50 50",#N/A,TRUE,"Merger";"has gets cash",#N/A,TRUE,"Merger";"accretion dilution",#N/A,TRUE,"Merger";"comparison credit stats",#N/A,TRUE,"Merger";"pf credit stats",#N/A,TRUE,"Merger";"pf sheets",#N/A,TRUE,"Merger"}</definedName>
    <definedName name="edp" localSheetId="11" hidden="1">{"assumption 50 50",#N/A,TRUE,"Merger";"has gets cash",#N/A,TRUE,"Merger";"accretion dilution",#N/A,TRUE,"Merger";"comparison credit stats",#N/A,TRUE,"Merger";"pf credit stats",#N/A,TRUE,"Merger";"pf sheets",#N/A,TRUE,"Merger"}</definedName>
    <definedName name="edp" localSheetId="31" hidden="1">{"assumption 50 50",#N/A,TRUE,"Merger";"has gets cash",#N/A,TRUE,"Merger";"accretion dilution",#N/A,TRUE,"Merger";"comparison credit stats",#N/A,TRUE,"Merger";"pf credit stats",#N/A,TRUE,"Merger";"pf sheets",#N/A,TRUE,"Merger"}</definedName>
    <definedName name="edp" localSheetId="48"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eee" localSheetId="1" hidden="1">#REF!</definedName>
    <definedName name="eeee" localSheetId="7" hidden="1">#REF!</definedName>
    <definedName name="eeee" localSheetId="2" hidden="1">#REF!</definedName>
    <definedName name="eeee" localSheetId="34" hidden="1">#REF!</definedName>
    <definedName name="eeee" localSheetId="12" hidden="1">#REF!</definedName>
    <definedName name="eeee" localSheetId="10" hidden="1">#REF!</definedName>
    <definedName name="eeee" localSheetId="6" hidden="1">#REF!</definedName>
    <definedName name="eeee" hidden="1">#REF!</definedName>
    <definedName name="eeeee" localSheetId="1" hidden="1">#REF!</definedName>
    <definedName name="eeeee" localSheetId="7" hidden="1">#REF!</definedName>
    <definedName name="eeeee" localSheetId="2" hidden="1">#REF!</definedName>
    <definedName name="eeeee" localSheetId="34" hidden="1">#REF!</definedName>
    <definedName name="eeeee" localSheetId="12" hidden="1">#REF!</definedName>
    <definedName name="eeeee" localSheetId="10" hidden="1">#REF!</definedName>
    <definedName name="eeeee" localSheetId="6" hidden="1">#REF!</definedName>
    <definedName name="eeeee" hidden="1">#REF!</definedName>
    <definedName name="emily" localSheetId="15" hidden="1">{#N/A,#N/A,FALSE,"Calc";#N/A,#N/A,FALSE,"Sensitivity";#N/A,#N/A,FALSE,"LT Earn.Dil.";#N/A,#N/A,FALSE,"Dil. AVP"}</definedName>
    <definedName name="emily" localSheetId="14" hidden="1">{#N/A,#N/A,FALSE,"Calc";#N/A,#N/A,FALSE,"Sensitivity";#N/A,#N/A,FALSE,"LT Earn.Dil.";#N/A,#N/A,FALSE,"Dil. AVP"}</definedName>
    <definedName name="emily" localSheetId="2" hidden="1">{#N/A,#N/A,FALSE,"Calc";#N/A,#N/A,FALSE,"Sensitivity";#N/A,#N/A,FALSE,"LT Earn.Dil.";#N/A,#N/A,FALSE,"Dil. AVP"}</definedName>
    <definedName name="emily" localSheetId="34" hidden="1">{#N/A,#N/A,FALSE,"Calc";#N/A,#N/A,FALSE,"Sensitivity";#N/A,#N/A,FALSE,"LT Earn.Dil.";#N/A,#N/A,FALSE,"Dil. AVP"}</definedName>
    <definedName name="emily" localSheetId="38" hidden="1">{#N/A,#N/A,FALSE,"Calc";#N/A,#N/A,FALSE,"Sensitivity";#N/A,#N/A,FALSE,"LT Earn.Dil.";#N/A,#N/A,FALSE,"Dil. AVP"}</definedName>
    <definedName name="emily" localSheetId="8" hidden="1">{#N/A,#N/A,FALSE,"Calc";#N/A,#N/A,FALSE,"Sensitivity";#N/A,#N/A,FALSE,"LT Earn.Dil.";#N/A,#N/A,FALSE,"Dil. AVP"}</definedName>
    <definedName name="emily" localSheetId="12" hidden="1">{#N/A,#N/A,FALSE,"Calc";#N/A,#N/A,FALSE,"Sensitivity";#N/A,#N/A,FALSE,"LT Earn.Dil.";#N/A,#N/A,FALSE,"Dil. AVP"}</definedName>
    <definedName name="emily" localSheetId="13" hidden="1">{#N/A,#N/A,FALSE,"Calc";#N/A,#N/A,FALSE,"Sensitivity";#N/A,#N/A,FALSE,"LT Earn.Dil.";#N/A,#N/A,FALSE,"Dil. AVP"}</definedName>
    <definedName name="emily" localSheetId="11" hidden="1">{#N/A,#N/A,FALSE,"Calc";#N/A,#N/A,FALSE,"Sensitivity";#N/A,#N/A,FALSE,"LT Earn.Dil.";#N/A,#N/A,FALSE,"Dil. AVP"}</definedName>
    <definedName name="emily" localSheetId="31" hidden="1">{#N/A,#N/A,FALSE,"Calc";#N/A,#N/A,FALSE,"Sensitivity";#N/A,#N/A,FALSE,"LT Earn.Dil.";#N/A,#N/A,FALSE,"Dil. AVP"}</definedName>
    <definedName name="emily" localSheetId="48" hidden="1">{#N/A,#N/A,FALSE,"Calc";#N/A,#N/A,FALSE,"Sensitivity";#N/A,#N/A,FALSE,"LT Earn.Dil.";#N/A,#N/A,FALSE,"Dil. AVP"}</definedName>
    <definedName name="emily" hidden="1">{#N/A,#N/A,FALSE,"Calc";#N/A,#N/A,FALSE,"Sensitivity";#N/A,#N/A,FALSE,"LT Earn.Dil.";#N/A,#N/A,FALSE,"Dil. AVP"}</definedName>
    <definedName name="Engarrafado" localSheetId="2">#REF!</definedName>
    <definedName name="Engarrafado">#REF!</definedName>
    <definedName name="ERFDFD" localSheetId="15" hidden="1">{0,#N/A,FALSE,0;0,#N/A,FALSE,0;0,#N/A,FALSE,0;0,#N/A,FALSE,0}</definedName>
    <definedName name="ERFDFD" localSheetId="14" hidden="1">{0,#N/A,FALSE,0;0,#N/A,FALSE,0;0,#N/A,FALSE,0;0,#N/A,FALSE,0}</definedName>
    <definedName name="ERFDFD" localSheetId="2" hidden="1">{0,#N/A,FALSE,0;0,#N/A,FALSE,0;0,#N/A,FALSE,0;0,#N/A,FALSE,0}</definedName>
    <definedName name="ERFDFD" localSheetId="34" hidden="1">{0,#N/A,FALSE,0;0,#N/A,FALSE,0;0,#N/A,FALSE,0;0,#N/A,FALSE,0}</definedName>
    <definedName name="ERFDFD" localSheetId="38" hidden="1">{0,#N/A,FALSE,0;0,#N/A,FALSE,0;0,#N/A,FALSE,0;0,#N/A,FALSE,0}</definedName>
    <definedName name="ERFDFD" localSheetId="8" hidden="1">{0,#N/A,FALSE,0;0,#N/A,FALSE,0;0,#N/A,FALSE,0;0,#N/A,FALSE,0}</definedName>
    <definedName name="ERFDFD" localSheetId="12" hidden="1">{0,#N/A,FALSE,0;0,#N/A,FALSE,0;0,#N/A,FALSE,0;0,#N/A,FALSE,0}</definedName>
    <definedName name="ERFDFD" localSheetId="13" hidden="1">{0,#N/A,FALSE,0;0,#N/A,FALSE,0;0,#N/A,FALSE,0;0,#N/A,FALSE,0}</definedName>
    <definedName name="ERFDFD" localSheetId="11" hidden="1">{0,#N/A,FALSE,0;0,#N/A,FALSE,0;0,#N/A,FALSE,0;0,#N/A,FALSE,0}</definedName>
    <definedName name="ERFDFD" localSheetId="31" hidden="1">{0,#N/A,FALSE,0;0,#N/A,FALSE,0;0,#N/A,FALSE,0;0,#N/A,FALSE,0}</definedName>
    <definedName name="ERFDFD" localSheetId="48" hidden="1">{0,#N/A,FALSE,0;0,#N/A,FALSE,0;0,#N/A,FALSE,0;0,#N/A,FALSE,0}</definedName>
    <definedName name="ERFDFD" hidden="1">{0,#N/A,FALSE,0;0,#N/A,FALSE,0;0,#N/A,FALSE,0;0,#N/A,FALSE,0}</definedName>
    <definedName name="Especial" localSheetId="2">#REF!</definedName>
    <definedName name="Especial">#REF!</definedName>
    <definedName name="EspecialExtra" localSheetId="2">#REF!</definedName>
    <definedName name="EspecialExtra">#REF!</definedName>
    <definedName name="EXT" localSheetId="2">#REF!</definedName>
    <definedName name="EXT">#REF!</definedName>
    <definedName name="eyr" localSheetId="15" hidden="1">{"hiden",#N/A,FALSE,"14";"hidden",#N/A,FALSE,"16";"hidden",#N/A,FALSE,"18";"hidden",#N/A,FALSE,"20"}</definedName>
    <definedName name="eyr" localSheetId="14" hidden="1">{"hiden",#N/A,FALSE,"14";"hidden",#N/A,FALSE,"16";"hidden",#N/A,FALSE,"18";"hidden",#N/A,FALSE,"20"}</definedName>
    <definedName name="eyr" localSheetId="2" hidden="1">{"hiden",#N/A,FALSE,"14";"hidden",#N/A,FALSE,"16";"hidden",#N/A,FALSE,"18";"hidden",#N/A,FALSE,"20"}</definedName>
    <definedName name="eyr" localSheetId="34" hidden="1">{"hiden",#N/A,FALSE,"14";"hidden",#N/A,FALSE,"16";"hidden",#N/A,FALSE,"18";"hidden",#N/A,FALSE,"20"}</definedName>
    <definedName name="eyr" localSheetId="38" hidden="1">{"hiden",#N/A,FALSE,"14";"hidden",#N/A,FALSE,"16";"hidden",#N/A,FALSE,"18";"hidden",#N/A,FALSE,"20"}</definedName>
    <definedName name="eyr" localSheetId="8" hidden="1">{"hiden",#N/A,FALSE,"14";"hidden",#N/A,FALSE,"16";"hidden",#N/A,FALSE,"18";"hidden",#N/A,FALSE,"20"}</definedName>
    <definedName name="eyr" localSheetId="12" hidden="1">{"hiden",#N/A,FALSE,"14";"hidden",#N/A,FALSE,"16";"hidden",#N/A,FALSE,"18";"hidden",#N/A,FALSE,"20"}</definedName>
    <definedName name="eyr" localSheetId="13" hidden="1">{"hiden",#N/A,FALSE,"14";"hidden",#N/A,FALSE,"16";"hidden",#N/A,FALSE,"18";"hidden",#N/A,FALSE,"20"}</definedName>
    <definedName name="eyr" localSheetId="11" hidden="1">{"hiden",#N/A,FALSE,"14";"hidden",#N/A,FALSE,"16";"hidden",#N/A,FALSE,"18";"hidden",#N/A,FALSE,"20"}</definedName>
    <definedName name="eyr" localSheetId="31" hidden="1">{"hiden",#N/A,FALSE,"14";"hidden",#N/A,FALSE,"16";"hidden",#N/A,FALSE,"18";"hidden",#N/A,FALSE,"20"}</definedName>
    <definedName name="eyr" localSheetId="48" hidden="1">{"hiden",#N/A,FALSE,"14";"hidden",#N/A,FALSE,"16";"hidden",#N/A,FALSE,"18";"hidden",#N/A,FALSE,"20"}</definedName>
    <definedName name="eyr" hidden="1">{"hiden",#N/A,FALSE,"14";"hidden",#N/A,FALSE,"16";"hidden",#N/A,FALSE,"18";"hidden",#N/A,FALSE,"20"}</definedName>
    <definedName name="f" localSheetId="15" hidden="1">{"assumption cash",#N/A,TRUE,"Merger";"has gets cash",#N/A,TRUE,"Merger";"accretion dilution",#N/A,TRUE,"Merger";"comparison credit stats",#N/A,TRUE,"Merger";"pf credit stats",#N/A,TRUE,"Merger";"pf sheets",#N/A,TRUE,"Merger"}</definedName>
    <definedName name="f" localSheetId="14" hidden="1">{"assumption cash",#N/A,TRUE,"Merger";"has gets cash",#N/A,TRUE,"Merger";"accretion dilution",#N/A,TRUE,"Merger";"comparison credit stats",#N/A,TRUE,"Merger";"pf credit stats",#N/A,TRUE,"Merger";"pf sheets",#N/A,TRUE,"Merger"}</definedName>
    <definedName name="f" localSheetId="2" hidden="1">{"assumption cash",#N/A,TRUE,"Merger";"has gets cash",#N/A,TRUE,"Merger";"accretion dilution",#N/A,TRUE,"Merger";"comparison credit stats",#N/A,TRUE,"Merger";"pf credit stats",#N/A,TRUE,"Merger";"pf sheets",#N/A,TRUE,"Merger"}</definedName>
    <definedName name="f" localSheetId="34" hidden="1">{"assumption cash",#N/A,TRUE,"Merger";"has gets cash",#N/A,TRUE,"Merger";"accretion dilution",#N/A,TRUE,"Merger";"comparison credit stats",#N/A,TRUE,"Merger";"pf credit stats",#N/A,TRUE,"Merger";"pf sheets",#N/A,TRUE,"Merger"}</definedName>
    <definedName name="f" localSheetId="38" hidden="1">{"assumption cash",#N/A,TRUE,"Merger";"has gets cash",#N/A,TRUE,"Merger";"accretion dilution",#N/A,TRUE,"Merger";"comparison credit stats",#N/A,TRUE,"Merger";"pf credit stats",#N/A,TRUE,"Merger";"pf sheets",#N/A,TRUE,"Merger"}</definedName>
    <definedName name="f" localSheetId="8" hidden="1">{"assumption cash",#N/A,TRUE,"Merger";"has gets cash",#N/A,TRUE,"Merger";"accretion dilution",#N/A,TRUE,"Merger";"comparison credit stats",#N/A,TRUE,"Merger";"pf credit stats",#N/A,TRUE,"Merger";"pf sheets",#N/A,TRUE,"Merger"}</definedName>
    <definedName name="f" localSheetId="12" hidden="1">{"assumption cash",#N/A,TRUE,"Merger";"has gets cash",#N/A,TRUE,"Merger";"accretion dilution",#N/A,TRUE,"Merger";"comparison credit stats",#N/A,TRUE,"Merger";"pf credit stats",#N/A,TRUE,"Merger";"pf sheets",#N/A,TRUE,"Merger"}</definedName>
    <definedName name="f" localSheetId="13" hidden="1">{"assumption cash",#N/A,TRUE,"Merger";"has gets cash",#N/A,TRUE,"Merger";"accretion dilution",#N/A,TRUE,"Merger";"comparison credit stats",#N/A,TRUE,"Merger";"pf credit stats",#N/A,TRUE,"Merger";"pf sheets",#N/A,TRUE,"Merger"}</definedName>
    <definedName name="f" localSheetId="11" hidden="1">{"assumption cash",#N/A,TRUE,"Merger";"has gets cash",#N/A,TRUE,"Merger";"accretion dilution",#N/A,TRUE,"Merger";"comparison credit stats",#N/A,TRUE,"Merger";"pf credit stats",#N/A,TRUE,"Merger";"pf sheets",#N/A,TRUE,"Merger"}</definedName>
    <definedName name="f" localSheetId="31" hidden="1">{"assumption cash",#N/A,TRUE,"Merger";"has gets cash",#N/A,TRUE,"Merger";"accretion dilution",#N/A,TRUE,"Merger";"comparison credit stats",#N/A,TRUE,"Merger";"pf credit stats",#N/A,TRUE,"Merger";"pf sheets",#N/A,TRUE,"Merger"}</definedName>
    <definedName name="f" localSheetId="48" hidden="1">{"assumption cash",#N/A,TRUE,"Merger";"has gets cash",#N/A,TRUE,"Merger";"accretion dilution",#N/A,TRUE,"Merger";"comparison credit stats",#N/A,TRUE,"Merger";"pf credit stats",#N/A,TRUE,"Merger";"pf sheets",#N/A,TRUE,"Merger"}</definedName>
    <definedName name="f" hidden="1">{"assumption cash",#N/A,TRUE,"Merger";"has gets cash",#N/A,TRUE,"Merger";"accretion dilution",#N/A,TRUE,"Merger";"comparison credit stats",#N/A,TRUE,"Merger";"pf credit stats",#N/A,TRUE,"Merger";"pf sheets",#N/A,TRUE,"Merger"}</definedName>
    <definedName name="FatCli" localSheetId="2">#REF!</definedName>
    <definedName name="FatCli">#REF!</definedName>
    <definedName name="fds" localSheetId="15" hidden="1">{"comps",#N/A,FALSE,"comps";"notes",#N/A,FALSE,"comps"}</definedName>
    <definedName name="fds" localSheetId="14" hidden="1">{"comps",#N/A,FALSE,"comps";"notes",#N/A,FALSE,"comps"}</definedName>
    <definedName name="fds" localSheetId="2" hidden="1">{"comps",#N/A,FALSE,"comps";"notes",#N/A,FALSE,"comps"}</definedName>
    <definedName name="fds" localSheetId="34" hidden="1">{"comps",#N/A,FALSE,"comps";"notes",#N/A,FALSE,"comps"}</definedName>
    <definedName name="fds" localSheetId="38" hidden="1">{"comps",#N/A,FALSE,"comps";"notes",#N/A,FALSE,"comps"}</definedName>
    <definedName name="fds" localSheetId="8" hidden="1">{"comps",#N/A,FALSE,"comps";"notes",#N/A,FALSE,"comps"}</definedName>
    <definedName name="fds" localSheetId="12" hidden="1">{"comps",#N/A,FALSE,"comps";"notes",#N/A,FALSE,"comps"}</definedName>
    <definedName name="fds" localSheetId="13" hidden="1">{"comps",#N/A,FALSE,"comps";"notes",#N/A,FALSE,"comps"}</definedName>
    <definedName name="fds" localSheetId="11" hidden="1">{"comps",#N/A,FALSE,"comps";"notes",#N/A,FALSE,"comps"}</definedName>
    <definedName name="fds" localSheetId="31" hidden="1">{"comps",#N/A,FALSE,"comps";"notes",#N/A,FALSE,"comps"}</definedName>
    <definedName name="fds" localSheetId="48" hidden="1">{"comps",#N/A,FALSE,"comps";"notes",#N/A,FALSE,"comps"}</definedName>
    <definedName name="fds" hidden="1">{"comps",#N/A,FALSE,"comps";"notes",#N/A,FALSE,"comps"}</definedName>
    <definedName name="fdsf" localSheetId="15" hidden="1">{"general",#N/A,FALSE,"Assumptions"}</definedName>
    <definedName name="fdsf" localSheetId="14" hidden="1">{"general",#N/A,FALSE,"Assumptions"}</definedName>
    <definedName name="fdsf" localSheetId="2" hidden="1">{"general",#N/A,FALSE,"Assumptions"}</definedName>
    <definedName name="fdsf" localSheetId="34" hidden="1">{"general",#N/A,FALSE,"Assumptions"}</definedName>
    <definedName name="fdsf" localSheetId="38" hidden="1">{"general",#N/A,FALSE,"Assumptions"}</definedName>
    <definedName name="fdsf" localSheetId="8" hidden="1">{"general",#N/A,FALSE,"Assumptions"}</definedName>
    <definedName name="fdsf" localSheetId="12" hidden="1">{"general",#N/A,FALSE,"Assumptions"}</definedName>
    <definedName name="fdsf" localSheetId="13" hidden="1">{"general",#N/A,FALSE,"Assumptions"}</definedName>
    <definedName name="fdsf" localSheetId="11" hidden="1">{"general",#N/A,FALSE,"Assumptions"}</definedName>
    <definedName name="fdsf" localSheetId="31" hidden="1">{"general",#N/A,FALSE,"Assumptions"}</definedName>
    <definedName name="fdsf" localSheetId="48" hidden="1">{"general",#N/A,FALSE,"Assumptions"}</definedName>
    <definedName name="fdsf" hidden="1">{"general",#N/A,FALSE,"Assumptions"}</definedName>
    <definedName name="Feriado">#REF!</definedName>
    <definedName name="FILIAL" localSheetId="2">#REF!</definedName>
    <definedName name="FILIAL">#REF!</definedName>
    <definedName name="FILIALP" localSheetId="2">#REF!</definedName>
    <definedName name="FILIALP">#REF!</definedName>
    <definedName name="FILIALP1" localSheetId="2">#REF!</definedName>
    <definedName name="FILIALP1">#REF!</definedName>
    <definedName name="FILIALP2" localSheetId="2">#REF!</definedName>
    <definedName name="FILIALP2">#REF!</definedName>
    <definedName name="FILIALP3" localSheetId="2">#REF!</definedName>
    <definedName name="FILIALP3">#REF!</definedName>
    <definedName name="fins1" localSheetId="15" hidden="1">{#N/A,#N/A,FALSE,"Calc";#N/A,#N/A,FALSE,"Sensitivity";#N/A,#N/A,FALSE,"LT Earn.Dil.";#N/A,#N/A,FALSE,"Dil. AVP"}</definedName>
    <definedName name="fins1" localSheetId="14" hidden="1">{#N/A,#N/A,FALSE,"Calc";#N/A,#N/A,FALSE,"Sensitivity";#N/A,#N/A,FALSE,"LT Earn.Dil.";#N/A,#N/A,FALSE,"Dil. AVP"}</definedName>
    <definedName name="fins1" localSheetId="2" hidden="1">{#N/A,#N/A,FALSE,"Calc";#N/A,#N/A,FALSE,"Sensitivity";#N/A,#N/A,FALSE,"LT Earn.Dil.";#N/A,#N/A,FALSE,"Dil. AVP"}</definedName>
    <definedName name="fins1" localSheetId="34" hidden="1">{#N/A,#N/A,FALSE,"Calc";#N/A,#N/A,FALSE,"Sensitivity";#N/A,#N/A,FALSE,"LT Earn.Dil.";#N/A,#N/A,FALSE,"Dil. AVP"}</definedName>
    <definedName name="fins1" localSheetId="38" hidden="1">{#N/A,#N/A,FALSE,"Calc";#N/A,#N/A,FALSE,"Sensitivity";#N/A,#N/A,FALSE,"LT Earn.Dil.";#N/A,#N/A,FALSE,"Dil. AVP"}</definedName>
    <definedName name="fins1" localSheetId="8" hidden="1">{#N/A,#N/A,FALSE,"Calc";#N/A,#N/A,FALSE,"Sensitivity";#N/A,#N/A,FALSE,"LT Earn.Dil.";#N/A,#N/A,FALSE,"Dil. AVP"}</definedName>
    <definedName name="fins1" localSheetId="12" hidden="1">{#N/A,#N/A,FALSE,"Calc";#N/A,#N/A,FALSE,"Sensitivity";#N/A,#N/A,FALSE,"LT Earn.Dil.";#N/A,#N/A,FALSE,"Dil. AVP"}</definedName>
    <definedName name="fins1" localSheetId="13" hidden="1">{#N/A,#N/A,FALSE,"Calc";#N/A,#N/A,FALSE,"Sensitivity";#N/A,#N/A,FALSE,"LT Earn.Dil.";#N/A,#N/A,FALSE,"Dil. AVP"}</definedName>
    <definedName name="fins1" localSheetId="11" hidden="1">{#N/A,#N/A,FALSE,"Calc";#N/A,#N/A,FALSE,"Sensitivity";#N/A,#N/A,FALSE,"LT Earn.Dil.";#N/A,#N/A,FALSE,"Dil. AVP"}</definedName>
    <definedName name="fins1" localSheetId="31" hidden="1">{#N/A,#N/A,FALSE,"Calc";#N/A,#N/A,FALSE,"Sensitivity";#N/A,#N/A,FALSE,"LT Earn.Dil.";#N/A,#N/A,FALSE,"Dil. AVP"}</definedName>
    <definedName name="fins1" localSheetId="48" hidden="1">{#N/A,#N/A,FALSE,"Calc";#N/A,#N/A,FALSE,"Sensitivity";#N/A,#N/A,FALSE,"LT Earn.Dil.";#N/A,#N/A,FALSE,"Dil. AVP"}</definedName>
    <definedName name="fins1" hidden="1">{#N/A,#N/A,FALSE,"Calc";#N/A,#N/A,FALSE,"Sensitivity";#N/A,#N/A,FALSE,"LT Earn.Dil.";#N/A,#N/A,FALSE,"Dil. AVP"}</definedName>
    <definedName name="FIPEQUADMER" localSheetId="1" hidden="1">#REF!</definedName>
    <definedName name="FIPEQUADMER" localSheetId="3" hidden="1">#REF!</definedName>
    <definedName name="FIPEQUADMER" localSheetId="7" hidden="1">#REF!</definedName>
    <definedName name="FIPEQUADMER" localSheetId="2" hidden="1">#REF!</definedName>
    <definedName name="FIPEQUADMER" localSheetId="34" hidden="1">#REF!</definedName>
    <definedName name="FIPEQUADMER" localSheetId="12" hidden="1">#REF!</definedName>
    <definedName name="FIPEQUADMER" localSheetId="10" hidden="1">#REF!</definedName>
    <definedName name="FIPEQUADMER" localSheetId="6" hidden="1">#REF!</definedName>
    <definedName name="FIPEQUADMER" hidden="1">#REF!</definedName>
    <definedName name="Fornecedores">#REF!</definedName>
    <definedName name="g" localSheetId="0" hidden="1">{"assumptions and inputs",#N/A,FALSE,"valuation";"intermediate calculations",#N/A,FALSE,"valuation";"dollar conversion",#N/A,FALSE,"valuation";"analysis at various prices",#N/A,FALSE,"valuation"}</definedName>
    <definedName name="GERAL">#REF!</definedName>
    <definedName name="gg" localSheetId="15" hidden="1">{"Fecha_Outubro",#N/A,FALSE,"FECHAMENTO-2002 ";"Defer_Outubro",#N/A,FALSE,"DIFERIDO";"Pis_Outubro",#N/A,FALSE,"PIS COFINS";"Iss_Outubro",#N/A,FALSE,"ISS"}</definedName>
    <definedName name="gg" localSheetId="14" hidden="1">{"Fecha_Outubro",#N/A,FALSE,"FECHAMENTO-2002 ";"Defer_Outubro",#N/A,FALSE,"DIFERIDO";"Pis_Outubro",#N/A,FALSE,"PIS COFINS";"Iss_Outubro",#N/A,FALSE,"ISS"}</definedName>
    <definedName name="gg" localSheetId="2" hidden="1">{"Fecha_Outubro",#N/A,FALSE,"FECHAMENTO-2002 ";"Defer_Outubro",#N/A,FALSE,"DIFERIDO";"Pis_Outubro",#N/A,FALSE,"PIS COFINS";"Iss_Outubro",#N/A,FALSE,"ISS"}</definedName>
    <definedName name="gg" localSheetId="34" hidden="1">{"Fecha_Outubro",#N/A,FALSE,"FECHAMENTO-2002 ";"Defer_Outubro",#N/A,FALSE,"DIFERIDO";"Pis_Outubro",#N/A,FALSE,"PIS COFINS";"Iss_Outubro",#N/A,FALSE,"ISS"}</definedName>
    <definedName name="gg" localSheetId="38" hidden="1">{"Fecha_Outubro",#N/A,FALSE,"FECHAMENTO-2002 ";"Defer_Outubro",#N/A,FALSE,"DIFERIDO";"Pis_Outubro",#N/A,FALSE,"PIS COFINS";"Iss_Outubro",#N/A,FALSE,"ISS"}</definedName>
    <definedName name="gg" localSheetId="8" hidden="1">{"Fecha_Outubro",#N/A,FALSE,"FECHAMENTO-2002 ";"Defer_Outubro",#N/A,FALSE,"DIFERIDO";"Pis_Outubro",#N/A,FALSE,"PIS COFINS";"Iss_Outubro",#N/A,FALSE,"ISS"}</definedName>
    <definedName name="gg" localSheetId="12" hidden="1">{"Fecha_Outubro",#N/A,FALSE,"FECHAMENTO-2002 ";"Defer_Outubro",#N/A,FALSE,"DIFERIDO";"Pis_Outubro",#N/A,FALSE,"PIS COFINS";"Iss_Outubro",#N/A,FALSE,"ISS"}</definedName>
    <definedName name="gg" localSheetId="13" hidden="1">{"Fecha_Outubro",#N/A,FALSE,"FECHAMENTO-2002 ";"Defer_Outubro",#N/A,FALSE,"DIFERIDO";"Pis_Outubro",#N/A,FALSE,"PIS COFINS";"Iss_Outubro",#N/A,FALSE,"ISS"}</definedName>
    <definedName name="gg" localSheetId="11" hidden="1">{"Fecha_Outubro",#N/A,FALSE,"FECHAMENTO-2002 ";"Defer_Outubro",#N/A,FALSE,"DIFERIDO";"Pis_Outubro",#N/A,FALSE,"PIS COFINS";"Iss_Outubro",#N/A,FALSE,"ISS"}</definedName>
    <definedName name="gg" localSheetId="31" hidden="1">{"Fecha_Outubro",#N/A,FALSE,"FECHAMENTO-2002 ";"Defer_Outubro",#N/A,FALSE,"DIFERIDO";"Pis_Outubro",#N/A,FALSE,"PIS COFINS";"Iss_Outubro",#N/A,FALSE,"ISS"}</definedName>
    <definedName name="gg" localSheetId="48" hidden="1">{"Fecha_Outubro",#N/A,FALSE,"FECHAMENTO-2002 ";"Defer_Outubro",#N/A,FALSE,"DIFERIDO";"Pis_Outubro",#N/A,FALSE,"PIS COFINS";"Iss_Outubro",#N/A,FALSE,"ISS"}</definedName>
    <definedName name="gg" hidden="1">{"Fecha_Outubro",#N/A,FALSE,"FECHAMENTO-2002 ";"Defer_Outubro",#N/A,FALSE,"DIFERIDO";"Pis_Outubro",#N/A,FALSE,"PIS COFINS";"Iss_Outubro",#N/A,FALSE,"ISS"}</definedName>
    <definedName name="gg_1" localSheetId="15" hidden="1">{"Fecha_Outubro",#N/A,FALSE,"FECHAMENTO-2002 ";"Defer_Outubro",#N/A,FALSE,"DIFERIDO";"Pis_Outubro",#N/A,FALSE,"PIS COFINS";"Iss_Outubro",#N/A,FALSE,"ISS"}</definedName>
    <definedName name="gg_1" localSheetId="14" hidden="1">{"Fecha_Outubro",#N/A,FALSE,"FECHAMENTO-2002 ";"Defer_Outubro",#N/A,FALSE,"DIFERIDO";"Pis_Outubro",#N/A,FALSE,"PIS COFINS";"Iss_Outubro",#N/A,FALSE,"ISS"}</definedName>
    <definedName name="gg_1" localSheetId="2" hidden="1">{"Fecha_Outubro",#N/A,FALSE,"FECHAMENTO-2002 ";"Defer_Outubro",#N/A,FALSE,"DIFERIDO";"Pis_Outubro",#N/A,FALSE,"PIS COFINS";"Iss_Outubro",#N/A,FALSE,"ISS"}</definedName>
    <definedName name="gg_1" localSheetId="34" hidden="1">{"Fecha_Outubro",#N/A,FALSE,"FECHAMENTO-2002 ";"Defer_Outubro",#N/A,FALSE,"DIFERIDO";"Pis_Outubro",#N/A,FALSE,"PIS COFINS";"Iss_Outubro",#N/A,FALSE,"ISS"}</definedName>
    <definedName name="gg_1" localSheetId="38" hidden="1">{"Fecha_Outubro",#N/A,FALSE,"FECHAMENTO-2002 ";"Defer_Outubro",#N/A,FALSE,"DIFERIDO";"Pis_Outubro",#N/A,FALSE,"PIS COFINS";"Iss_Outubro",#N/A,FALSE,"ISS"}</definedName>
    <definedName name="gg_1" localSheetId="8" hidden="1">{"Fecha_Outubro",#N/A,FALSE,"FECHAMENTO-2002 ";"Defer_Outubro",#N/A,FALSE,"DIFERIDO";"Pis_Outubro",#N/A,FALSE,"PIS COFINS";"Iss_Outubro",#N/A,FALSE,"ISS"}</definedName>
    <definedName name="gg_1" localSheetId="12" hidden="1">{"Fecha_Outubro",#N/A,FALSE,"FECHAMENTO-2002 ";"Defer_Outubro",#N/A,FALSE,"DIFERIDO";"Pis_Outubro",#N/A,FALSE,"PIS COFINS";"Iss_Outubro",#N/A,FALSE,"ISS"}</definedName>
    <definedName name="gg_1" localSheetId="13" hidden="1">{"Fecha_Outubro",#N/A,FALSE,"FECHAMENTO-2002 ";"Defer_Outubro",#N/A,FALSE,"DIFERIDO";"Pis_Outubro",#N/A,FALSE,"PIS COFINS";"Iss_Outubro",#N/A,FALSE,"ISS"}</definedName>
    <definedName name="gg_1" localSheetId="11" hidden="1">{"Fecha_Outubro",#N/A,FALSE,"FECHAMENTO-2002 ";"Defer_Outubro",#N/A,FALSE,"DIFERIDO";"Pis_Outubro",#N/A,FALSE,"PIS COFINS";"Iss_Outubro",#N/A,FALSE,"ISS"}</definedName>
    <definedName name="gg_1" localSheetId="31" hidden="1">{"Fecha_Outubro",#N/A,FALSE,"FECHAMENTO-2002 ";"Defer_Outubro",#N/A,FALSE,"DIFERIDO";"Pis_Outubro",#N/A,FALSE,"PIS COFINS";"Iss_Outubro",#N/A,FALSE,"ISS"}</definedName>
    <definedName name="gg_1" localSheetId="48" hidden="1">{"Fecha_Outubro",#N/A,FALSE,"FECHAMENTO-2002 ";"Defer_Outubro",#N/A,FALSE,"DIFERIDO";"Pis_Outubro",#N/A,FALSE,"PIS COFINS";"Iss_Outubro",#N/A,FALSE,"ISS"}</definedName>
    <definedName name="gg_1" hidden="1">{"Fecha_Outubro",#N/A,FALSE,"FECHAMENTO-2002 ";"Defer_Outubro",#N/A,FALSE,"DIFERIDO";"Pis_Outubro",#N/A,FALSE,"PIS COFINS";"Iss_Outubro",#N/A,FALSE,"ISS"}</definedName>
    <definedName name="ggf" localSheetId="15" hidden="1">{"comps",#N/A,FALSE,"comps";"notes",#N/A,FALSE,"comps"}</definedName>
    <definedName name="ggf" localSheetId="14" hidden="1">{"comps",#N/A,FALSE,"comps";"notes",#N/A,FALSE,"comps"}</definedName>
    <definedName name="ggf" localSheetId="2" hidden="1">{"comps",#N/A,FALSE,"comps";"notes",#N/A,FALSE,"comps"}</definedName>
    <definedName name="ggf" localSheetId="34" hidden="1">{"comps",#N/A,FALSE,"comps";"notes",#N/A,FALSE,"comps"}</definedName>
    <definedName name="ggf" localSheetId="38" hidden="1">{"comps",#N/A,FALSE,"comps";"notes",#N/A,FALSE,"comps"}</definedName>
    <definedName name="ggf" localSheetId="8" hidden="1">{"comps",#N/A,FALSE,"comps";"notes",#N/A,FALSE,"comps"}</definedName>
    <definedName name="ggf" localSheetId="12" hidden="1">{"comps",#N/A,FALSE,"comps";"notes",#N/A,FALSE,"comps"}</definedName>
    <definedName name="ggf" localSheetId="13" hidden="1">{"comps",#N/A,FALSE,"comps";"notes",#N/A,FALSE,"comps"}</definedName>
    <definedName name="ggf" localSheetId="11" hidden="1">{"comps",#N/A,FALSE,"comps";"notes",#N/A,FALSE,"comps"}</definedName>
    <definedName name="ggf" localSheetId="31" hidden="1">{"comps",#N/A,FALSE,"comps";"notes",#N/A,FALSE,"comps"}</definedName>
    <definedName name="ggf" localSheetId="48" hidden="1">{"comps",#N/A,FALSE,"comps";"notes",#N/A,FALSE,"comps"}</definedName>
    <definedName name="ggf" hidden="1">{"comps",#N/A,FALSE,"comps";"notes",#N/A,FALSE,"comps"}</definedName>
    <definedName name="Granulado" localSheetId="2">#REF!</definedName>
    <definedName name="Granulado">#REF!</definedName>
    <definedName name="GrpAcct1" hidden="1">"Blank (325)"</definedName>
    <definedName name="GrpLevel" hidden="1">2</definedName>
    <definedName name="GUIAS_XEROX">#REF!</definedName>
    <definedName name="hhhsdf" localSheetId="15" hidden="1">{"up stand alones",#N/A,FALSE,"Acquiror"}</definedName>
    <definedName name="hhhsdf" localSheetId="14" hidden="1">{"up stand alones",#N/A,FALSE,"Acquiror"}</definedName>
    <definedName name="hhhsdf" localSheetId="2" hidden="1">{"up stand alones",#N/A,FALSE,"Acquiror"}</definedName>
    <definedName name="hhhsdf" localSheetId="34" hidden="1">{"up stand alones",#N/A,FALSE,"Acquiror"}</definedName>
    <definedName name="hhhsdf" localSheetId="38" hidden="1">{"up stand alones",#N/A,FALSE,"Acquiror"}</definedName>
    <definedName name="hhhsdf" localSheetId="8" hidden="1">{"up stand alones",#N/A,FALSE,"Acquiror"}</definedName>
    <definedName name="hhhsdf" localSheetId="12" hidden="1">{"up stand alones",#N/A,FALSE,"Acquiror"}</definedName>
    <definedName name="hhhsdf" localSheetId="13" hidden="1">{"up stand alones",#N/A,FALSE,"Acquiror"}</definedName>
    <definedName name="hhhsdf" localSheetId="11" hidden="1">{"up stand alones",#N/A,FALSE,"Acquiror"}</definedName>
    <definedName name="hhhsdf" localSheetId="31" hidden="1">{"up stand alones",#N/A,FALSE,"Acquiror"}</definedName>
    <definedName name="hhhsdf" localSheetId="48" hidden="1">{"up stand alones",#N/A,FALSE,"Acquiror"}</definedName>
    <definedName name="hhhsdf" hidden="1">{"up stand alones",#N/A,FALSE,"Acquiror"}</definedName>
    <definedName name="hidratmi">#REF!</definedName>
    <definedName name="HTML" localSheetId="15" hidden="1">{"'PXR_6500'!$A$1:$I$124"}</definedName>
    <definedName name="HTML" localSheetId="14" hidden="1">{"'PXR_6500'!$A$1:$I$124"}</definedName>
    <definedName name="HTML" localSheetId="2" hidden="1">{"'PXR_6500'!$A$1:$I$124"}</definedName>
    <definedName name="HTML" localSheetId="34" hidden="1">{"'PXR_6500'!$A$1:$I$124"}</definedName>
    <definedName name="HTML" localSheetId="38" hidden="1">{"'PXR_6500'!$A$1:$I$124"}</definedName>
    <definedName name="HTML" localSheetId="8" hidden="1">{"'PXR_6500'!$A$1:$I$124"}</definedName>
    <definedName name="HTML" localSheetId="12" hidden="1">{"'PXR_6500'!$A$1:$I$124"}</definedName>
    <definedName name="HTML" localSheetId="13" hidden="1">{"'PXR_6500'!$A$1:$I$124"}</definedName>
    <definedName name="HTML" localSheetId="11" hidden="1">{"'PXR_6500'!$A$1:$I$124"}</definedName>
    <definedName name="HTML" localSheetId="31" hidden="1">{"'PXR_6500'!$A$1:$I$124"}</definedName>
    <definedName name="HTML" localSheetId="48" hidden="1">{"'PXR_6500'!$A$1:$I$124"}</definedName>
    <definedName name="HTML" hidden="1">{"'PXR_6500'!$A$1:$I$124"}</definedName>
    <definedName name="HTML_CodePage" hidden="1">1252</definedName>
    <definedName name="HTML_Control" localSheetId="15" hidden="1">{"'TG'!$A$1:$L$37"}</definedName>
    <definedName name="HTML_Control" localSheetId="14" hidden="1">{"'TG'!$A$1:$L$37"}</definedName>
    <definedName name="HTML_Control" localSheetId="2" hidden="1">{"'TG'!$A$1:$L$37"}</definedName>
    <definedName name="HTML_Control" localSheetId="34" hidden="1">{"'TG'!$A$1:$L$37"}</definedName>
    <definedName name="HTML_Control" localSheetId="38" hidden="1">{"'TG'!$A$1:$L$37"}</definedName>
    <definedName name="HTML_Control" localSheetId="8" hidden="1">{"'TG'!$A$1:$L$37"}</definedName>
    <definedName name="HTML_Control" localSheetId="12" hidden="1">{"'TG'!$A$1:$L$37"}</definedName>
    <definedName name="HTML_Control" localSheetId="13" hidden="1">{"'TG'!$A$1:$L$37"}</definedName>
    <definedName name="HTML_Control" localSheetId="11" hidden="1">{"'TG'!$A$1:$L$37"}</definedName>
    <definedName name="HTML_Control" localSheetId="31" hidden="1">{"'TG'!$A$1:$L$37"}</definedName>
    <definedName name="HTML_Control" localSheetId="0" hidden="1">{"'ec X reg'!$C$27:$F$31","'ec X reg'!$C$27:$F$31","'cobert reg(-)ant'!$B$8:$D$20","'ec X reg'!$C$27:$F$31"}</definedName>
    <definedName name="HTML_Control" localSheetId="48" hidden="1">{"'TG'!$A$1:$L$37"}</definedName>
    <definedName name="HTML_Control" hidden="1">{"'TG'!$A$1:$L$37"}</definedName>
    <definedName name="HTML_Description" hidden="1">""</definedName>
    <definedName name="HTML_Email" localSheetId="0" hidden="1">"rogerio.lelis@unibanco.com.br"</definedName>
    <definedName name="HTML_Email" hidden="1">""</definedName>
    <definedName name="HTML_Header" localSheetId="0" hidden="1">"março de 2001"</definedName>
    <definedName name="HTML_Header" hidden="1">""</definedName>
    <definedName name="HTML_LastUpdate" localSheetId="0" hidden="1">"13/07/01"</definedName>
    <definedName name="HTML_LastUpdate" hidden="1">"16/06/98"</definedName>
    <definedName name="HTML_LineAfter" localSheetId="0" hidden="1">TRUE</definedName>
    <definedName name="HTML_LineAfter" hidden="1">FALSE</definedName>
    <definedName name="HTML_LineBefore" localSheetId="0" hidden="1">TRUE</definedName>
    <definedName name="HTML_LineBefore" hidden="1">FALSE</definedName>
    <definedName name="HTML_Name" localSheetId="0" hidden="1">"Global Risk Management"</definedName>
    <definedName name="HTML_Name" hidden="1">"Setor de Custos"</definedName>
    <definedName name="HTML_OBDlg2" hidden="1">TRUE</definedName>
    <definedName name="HTML_OBDlg3" hidden="1">TRUE</definedName>
    <definedName name="HTML_OBDlg4" hidden="1">TRUE</definedName>
    <definedName name="HTML_OS" hidden="1">0</definedName>
    <definedName name="HTML_PathFile" localSheetId="0" hidden="1">"C:\Rogério\Alocação\01_03\UBB\Consolidado\Alocação_mar01.htm"</definedName>
    <definedName name="HTML_PathFile" hidden="1">"D:\FIX\Mai98\PXR6500.htm"</definedName>
    <definedName name="HTML_PathTemplate" hidden="1">"C:\Rogério\Alocação\01_03\UBB\Consolidado\alocação_0103.htm"</definedName>
    <definedName name="HTML_Title" localSheetId="0" hidden="1">"Alocação de Capital"</definedName>
    <definedName name="HTML_Title" hidden="1">""</definedName>
    <definedName name="HTML1_1" hidden="1">"[APU97.XLS]INTRA!$A$1:$B$93"</definedName>
    <definedName name="HTML1_10" hidden="1">""</definedName>
    <definedName name="HTML1_11" hidden="1">1</definedName>
    <definedName name="HTML1_12" hidden="1">"\\NT_ECON\InetPub\wwwroot\Fiscal\Impostos\CSIRADI.htm"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"08/08/97"</definedName>
    <definedName name="HTML1_9" hidden="1">"MARCELO H. VIOLA CANDIDO"</definedName>
    <definedName name="HTML2_1" hidden="1">"[APU97.XLS]INTRA!$A$1:$B$92"</definedName>
    <definedName name="HTML2_10" hidden="1">""</definedName>
    <definedName name="HTML2_11" hidden="1">1</definedName>
    <definedName name="HTML2_12" hidden="1">"\\NT_ECON\InetPub\wwwroot\Fiscal\Impostos\CSIRADI.htm"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"08/08/97"</definedName>
    <definedName name="HTML2_9" hidden="1">""</definedName>
    <definedName name="HTML3_1" hidden="1">"[APU97.XLS]INTRA!$A$2:$B$92"</definedName>
    <definedName name="HTML3_10" hidden="1">""</definedName>
    <definedName name="HTML3_11" hidden="1">1</definedName>
    <definedName name="HTML3_12" hidden="1">"C:\Meus Documentos\IR1997\csiradi.htm"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"21/08/97"</definedName>
    <definedName name="HTML3_9" hidden="1">""</definedName>
    <definedName name="HTML4_1" hidden="1">"[APU97.XLS]INTRA!$A$1:$B$91"</definedName>
    <definedName name="HTML4_10" hidden="1">""</definedName>
    <definedName name="HTML4_11" hidden="1">1</definedName>
    <definedName name="HTML4_12" hidden="1">"\\NT_ECON\InetPub\wwwroot\Fiscal\Impostos\CSIRADI.htm"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"08/08/97"</definedName>
    <definedName name="HTML4_9" hidden="1">""</definedName>
    <definedName name="HTML5_1" hidden="1">"[APU97.XLS]INTRA!$D$2:$E$92"</definedName>
    <definedName name="HTML5_10" hidden="1">""</definedName>
    <definedName name="HTML5_11" hidden="1">1</definedName>
    <definedName name="HTML5_12" hidden="1">"C:\Meus Documentos\IR1997\csirinfo.htm"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"21/08/97"</definedName>
    <definedName name="HTML5_9" hidden="1">""</definedName>
    <definedName name="HTML6_1" hidden="1">"[APU97.XLS]INTRA!$G$2:$H$92"</definedName>
    <definedName name="HTML6_10" hidden="1">""</definedName>
    <definedName name="HTML6_11" hidden="1">1</definedName>
    <definedName name="HTML6_12" hidden="1">"C:\Meus Documentos\IR1997\csiritph.htm"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"21/08/97"</definedName>
    <definedName name="HTML6_9" hidden="1">""</definedName>
    <definedName name="HTML7_1" hidden="1">"[APU97.XLS]INTRA!$J$2:$K$92"</definedName>
    <definedName name="HTML7_10" hidden="1">""</definedName>
    <definedName name="HTML7_11" hidden="1">1</definedName>
    <definedName name="HTML7_12" hidden="1">"C:\Meus Documentos\IR1997\csircom.htm"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"21/08/97"</definedName>
    <definedName name="HTML7_9" hidden="1">""</definedName>
    <definedName name="HTML8_1" hidden="1">"[APU97.XLS]INTRA!$M$2:$N$92"</definedName>
    <definedName name="HTML8_10" hidden="1">""</definedName>
    <definedName name="HTML8_11" hidden="1">1</definedName>
    <definedName name="HTML8_12" hidden="1">"C:\Meus Documentos\IR1997\csiripp.htm"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"21/08/97"</definedName>
    <definedName name="HTML8_9" hidden="1">""</definedName>
    <definedName name="HTMLCount" hidden="1">8</definedName>
    <definedName name="ik" localSheetId="15" hidden="1">{"casespecific",#N/A,FALSE,"Assumptions"}</definedName>
    <definedName name="ik" localSheetId="14" hidden="1">{"casespecific",#N/A,FALSE,"Assumptions"}</definedName>
    <definedName name="ik" localSheetId="2" hidden="1">{"casespecific",#N/A,FALSE,"Assumptions"}</definedName>
    <definedName name="ik" localSheetId="34" hidden="1">{"casespecific",#N/A,FALSE,"Assumptions"}</definedName>
    <definedName name="ik" localSheetId="38" hidden="1">{"casespecific",#N/A,FALSE,"Assumptions"}</definedName>
    <definedName name="ik" localSheetId="8" hidden="1">{"casespecific",#N/A,FALSE,"Assumptions"}</definedName>
    <definedName name="ik" localSheetId="12" hidden="1">{"casespecific",#N/A,FALSE,"Assumptions"}</definedName>
    <definedName name="ik" localSheetId="13" hidden="1">{"casespecific",#N/A,FALSE,"Assumptions"}</definedName>
    <definedName name="ik" localSheetId="11" hidden="1">{"casespecific",#N/A,FALSE,"Assumptions"}</definedName>
    <definedName name="ik" localSheetId="31" hidden="1">{"casespecific",#N/A,FALSE,"Assumptions"}</definedName>
    <definedName name="ik"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8" hidden="1">{"casespecific",#N/A,FALSE,"Assumptions"}</definedName>
    <definedName name="ik" hidden="1">{"casespecific",#N/A,FALSE,"Assumptions"}</definedName>
    <definedName name="Importado" localSheetId="2">#REF!</definedName>
    <definedName name="Importado">#REF!</definedName>
    <definedName name="incmes" localSheetId="2">#REF!</definedName>
    <definedName name="incmes">#REF!</definedName>
    <definedName name="ind">#REF!</definedName>
    <definedName name="INDEN" localSheetId="2">#REF!</definedName>
    <definedName name="INDEN">#REF!</definedName>
    <definedName name="INDENIZAÇÕES" localSheetId="2">#REF!</definedName>
    <definedName name="INDENIZAÇÕES">#REF!</definedName>
    <definedName name="Indicadores" localSheetId="2">#REF!</definedName>
    <definedName name="Indicadores">#REF!</definedName>
    <definedName name="Industrial" localSheetId="2">#REF!</definedName>
    <definedName name="Industrial">#REF!</definedName>
    <definedName name="INPC" localSheetId="2">#REF!</definedName>
    <definedName name="INPC">#REF!</definedName>
    <definedName name="Insumos" localSheetId="2">#REF!</definedName>
    <definedName name="Insumos">#REF!</definedName>
    <definedName name="IPIRECUP">#REF!</definedName>
    <definedName name="IPISUB">#REF!</definedName>
    <definedName name="IPIUNIALCOOL">#REF!</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MES_REVISION_DATE_" hidden="1">40315.7747337963</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R" localSheetId="2">#REF!</definedName>
    <definedName name="IR">#REF!</definedName>
    <definedName name="kkkkk" localSheetId="15" hidden="1">{"TotalGeralDespesasPorArea",#N/A,FALSE,"VinculosAccessEfetivo"}</definedName>
    <definedName name="kkkkk" localSheetId="14" hidden="1">{"TotalGeralDespesasPorArea",#N/A,FALSE,"VinculosAccessEfetivo"}</definedName>
    <definedName name="kkkkk" localSheetId="2" hidden="1">{"TotalGeralDespesasPorArea",#N/A,FALSE,"VinculosAccessEfetivo"}</definedName>
    <definedName name="kkkkk" localSheetId="34" hidden="1">{"TotalGeralDespesasPorArea",#N/A,FALSE,"VinculosAccessEfetivo"}</definedName>
    <definedName name="kkkkk" localSheetId="38" hidden="1">{"TotalGeralDespesasPorArea",#N/A,FALSE,"VinculosAccessEfetivo"}</definedName>
    <definedName name="kkkkk" localSheetId="8" hidden="1">{"TotalGeralDespesasPorArea",#N/A,FALSE,"VinculosAccessEfetivo"}</definedName>
    <definedName name="kkkkk" localSheetId="12" hidden="1">{"TotalGeralDespesasPorArea",#N/A,FALSE,"VinculosAccessEfetivo"}</definedName>
    <definedName name="kkkkk" localSheetId="13" hidden="1">{"TotalGeralDespesasPorArea",#N/A,FALSE,"VinculosAccessEfetivo"}</definedName>
    <definedName name="kkkkk" localSheetId="11" hidden="1">{"TotalGeralDespesasPorArea",#N/A,FALSE,"VinculosAccessEfetivo"}</definedName>
    <definedName name="kkkkk" localSheetId="31" hidden="1">{"TotalGeralDespesasPorArea",#N/A,FALSE,"VinculosAccessEfetivo"}</definedName>
    <definedName name="kkkkk" localSheetId="48" hidden="1">{"TotalGeralDespesasPorArea",#N/A,FALSE,"VinculosAccessEfetivo"}</definedName>
    <definedName name="kkkkk" hidden="1">{"TotalGeralDespesasPorArea",#N/A,FALSE,"VinculosAccessEfetivo"}</definedName>
    <definedName name="kkkkk_1" localSheetId="15" hidden="1">{"TotalGeralDespesasPorArea",#N/A,FALSE,"VinculosAccessEfetivo"}</definedName>
    <definedName name="kkkkk_1" localSheetId="14" hidden="1">{"TotalGeralDespesasPorArea",#N/A,FALSE,"VinculosAccessEfetivo"}</definedName>
    <definedName name="kkkkk_1" localSheetId="2" hidden="1">{"TotalGeralDespesasPorArea",#N/A,FALSE,"VinculosAccessEfetivo"}</definedName>
    <definedName name="kkkkk_1" localSheetId="34" hidden="1">{"TotalGeralDespesasPorArea",#N/A,FALSE,"VinculosAccessEfetivo"}</definedName>
    <definedName name="kkkkk_1" localSheetId="38" hidden="1">{"TotalGeralDespesasPorArea",#N/A,FALSE,"VinculosAccessEfetivo"}</definedName>
    <definedName name="kkkkk_1" localSheetId="8" hidden="1">{"TotalGeralDespesasPorArea",#N/A,FALSE,"VinculosAccessEfetivo"}</definedName>
    <definedName name="kkkkk_1" localSheetId="12" hidden="1">{"TotalGeralDespesasPorArea",#N/A,FALSE,"VinculosAccessEfetivo"}</definedName>
    <definedName name="kkkkk_1" localSheetId="13" hidden="1">{"TotalGeralDespesasPorArea",#N/A,FALSE,"VinculosAccessEfetivo"}</definedName>
    <definedName name="kkkkk_1" localSheetId="11" hidden="1">{"TotalGeralDespesasPorArea",#N/A,FALSE,"VinculosAccessEfetivo"}</definedName>
    <definedName name="kkkkk_1" localSheetId="31" hidden="1">{"TotalGeralDespesasPorArea",#N/A,FALSE,"VinculosAccessEfetivo"}</definedName>
    <definedName name="kkkkk_1" localSheetId="48" hidden="1">{"TotalGeralDespesasPorArea",#N/A,FALSE,"VinculosAccessEfetivo"}</definedName>
    <definedName name="kkkkk_1" hidden="1">{"TotalGeralDespesasPorArea",#N/A,FALSE,"VinculosAccessEfetivo"}</definedName>
    <definedName name="kol" localSheetId="15" hidden="1">{"away stand alones",#N/A,FALSE,"Target"}</definedName>
    <definedName name="kol" localSheetId="14" hidden="1">{"away stand alones",#N/A,FALSE,"Target"}</definedName>
    <definedName name="kol" localSheetId="2" hidden="1">{"away stand alones",#N/A,FALSE,"Target"}</definedName>
    <definedName name="kol" localSheetId="34" hidden="1">{"away stand alones",#N/A,FALSE,"Target"}</definedName>
    <definedName name="kol" localSheetId="38" hidden="1">{"away stand alones",#N/A,FALSE,"Target"}</definedName>
    <definedName name="kol" localSheetId="8" hidden="1">{"away stand alones",#N/A,FALSE,"Target"}</definedName>
    <definedName name="kol" localSheetId="12" hidden="1">{"away stand alones",#N/A,FALSE,"Target"}</definedName>
    <definedName name="kol" localSheetId="13" hidden="1">{"away stand alones",#N/A,FALSE,"Target"}</definedName>
    <definedName name="kol" localSheetId="11" hidden="1">{"away stand alones",#N/A,FALSE,"Target"}</definedName>
    <definedName name="kol" localSheetId="31" hidden="1">{"away stand alones",#N/A,FALSE,"Target"}</definedName>
    <definedName name="kol" localSheetId="48" hidden="1">{"away stand alones",#N/A,FALSE,"Target"}</definedName>
    <definedName name="kol" hidden="1">{"away stand alones",#N/A,FALSE,"Target"}</definedName>
    <definedName name="LANCTO_CUSTEIO" localSheetId="2">#REF!</definedName>
    <definedName name="LANCTO_CUSTEIO">#REF!</definedName>
    <definedName name="LANCTO_KARDEX" localSheetId="2">#REF!</definedName>
    <definedName name="LANCTO_KARDEX">#REF!</definedName>
    <definedName name="LANCTOKARDEX" localSheetId="2">#REF!</definedName>
    <definedName name="LANCTOKARDEX">#REF!</definedName>
    <definedName name="LCIPIOUTR" localSheetId="2">#REF!</definedName>
    <definedName name="LCIPIOUTR">#REF!</definedName>
    <definedName name="LE" localSheetId="2">#REF!</definedName>
    <definedName name="LE">#REF!</definedName>
    <definedName name="li" localSheetId="1" hidden="1">#REF!</definedName>
    <definedName name="li" localSheetId="7" hidden="1">#REF!</definedName>
    <definedName name="li" localSheetId="2" hidden="1">#REF!</definedName>
    <definedName name="li" localSheetId="34" hidden="1">#REF!</definedName>
    <definedName name="li" localSheetId="12" hidden="1">#REF!</definedName>
    <definedName name="li" localSheetId="10" hidden="1">#REF!</definedName>
    <definedName name="li" localSheetId="6" hidden="1">#REF!</definedName>
    <definedName name="li" hidden="1">#REF!</definedName>
    <definedName name="limcount" localSheetId="0" hidden="1">1</definedName>
    <definedName name="limcount" hidden="1">3</definedName>
    <definedName name="LIMVAR" localSheetId="2">#REF!</definedName>
    <definedName name="LIMVAR">#REF!</definedName>
    <definedName name="list2" localSheetId="15" hidden="1">{"'Welcome'!$A$1:$J$27"}</definedName>
    <definedName name="list2" localSheetId="14" hidden="1">{"'Welcome'!$A$1:$J$27"}</definedName>
    <definedName name="list2" localSheetId="2" hidden="1">{"'Welcome'!$A$1:$J$27"}</definedName>
    <definedName name="list2" localSheetId="34" hidden="1">{"'Welcome'!$A$1:$J$27"}</definedName>
    <definedName name="list2" localSheetId="38" hidden="1">{"'Welcome'!$A$1:$J$27"}</definedName>
    <definedName name="list2" localSheetId="8" hidden="1">{"'Welcome'!$A$1:$J$27"}</definedName>
    <definedName name="list2" localSheetId="12" hidden="1">{"'Welcome'!$A$1:$J$27"}</definedName>
    <definedName name="list2" localSheetId="13" hidden="1">{"'Welcome'!$A$1:$J$27"}</definedName>
    <definedName name="list2" localSheetId="31" hidden="1">{"'Welcome'!$A$1:$J$27"}</definedName>
    <definedName name="list2" localSheetId="48" hidden="1">{"'Welcome'!$A$1:$J$27"}</definedName>
    <definedName name="list2" hidden="1">{"'Welcome'!$A$1:$J$27"}</definedName>
    <definedName name="Lista_Centros">#REF!</definedName>
    <definedName name="ll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AAno" localSheetId="31">INDIRECT("$b$"&amp;#REF!)</definedName>
    <definedName name="LLAAno">INDIRECT("$b$"&amp;#REF!)</definedName>
    <definedName name="LLAno">INDIRECT("$b$"&amp;#REF!)</definedName>
    <definedName name="LLATri">INDIRECT("$b$"&amp;#REF!)</definedName>
    <definedName name="lll" localSheetId="15" hidden="1">{"Fecha_Novembro",#N/A,FALSE,"FECHAMENTO-2002 ";"Defer_Novembro",#N/A,FALSE,"DIFERIDO";"Pis_Novembro",#N/A,FALSE,"PIS COFINS";"Iss_Novembro",#N/A,FALSE,"ISS"}</definedName>
    <definedName name="lll" localSheetId="14" hidden="1">{"Fecha_Novembro",#N/A,FALSE,"FECHAMENTO-2002 ";"Defer_Novembro",#N/A,FALSE,"DIFERIDO";"Pis_Novembro",#N/A,FALSE,"PIS COFINS";"Iss_Novembro",#N/A,FALSE,"ISS"}</definedName>
    <definedName name="lll" localSheetId="2" hidden="1">{"Fecha_Novembro",#N/A,FALSE,"FECHAMENTO-2002 ";"Defer_Novembro",#N/A,FALSE,"DIFERIDO";"Pis_Novembro",#N/A,FALSE,"PIS COFINS";"Iss_Novembro",#N/A,FALSE,"ISS"}</definedName>
    <definedName name="lll" localSheetId="34" hidden="1">{"Fecha_Novembro",#N/A,FALSE,"FECHAMENTO-2002 ";"Defer_Novembro",#N/A,FALSE,"DIFERIDO";"Pis_Novembro",#N/A,FALSE,"PIS COFINS";"Iss_Novembro",#N/A,FALSE,"ISS"}</definedName>
    <definedName name="lll" localSheetId="38" hidden="1">{"Fecha_Novembro",#N/A,FALSE,"FECHAMENTO-2002 ";"Defer_Novembro",#N/A,FALSE,"DIFERIDO";"Pis_Novembro",#N/A,FALSE,"PIS COFINS";"Iss_Novembro",#N/A,FALSE,"ISS"}</definedName>
    <definedName name="lll" localSheetId="8" hidden="1">{"Fecha_Novembro",#N/A,FALSE,"FECHAMENTO-2002 ";"Defer_Novembro",#N/A,FALSE,"DIFERIDO";"Pis_Novembro",#N/A,FALSE,"PIS COFINS";"Iss_Novembro",#N/A,FALSE,"ISS"}</definedName>
    <definedName name="lll" localSheetId="12" hidden="1">{"Fecha_Novembro",#N/A,FALSE,"FECHAMENTO-2002 ";"Defer_Novembro",#N/A,FALSE,"DIFERIDO";"Pis_Novembro",#N/A,FALSE,"PIS COFINS";"Iss_Novembro",#N/A,FALSE,"ISS"}</definedName>
    <definedName name="lll" localSheetId="13" hidden="1">{"Fecha_Novembro",#N/A,FALSE,"FECHAMENTO-2002 ";"Defer_Novembro",#N/A,FALSE,"DIFERIDO";"Pis_Novembro",#N/A,FALSE,"PIS COFINS";"Iss_Novembro",#N/A,FALSE,"ISS"}</definedName>
    <definedName name="lll" localSheetId="11" hidden="1">{"Fecha_Novembro",#N/A,FALSE,"FECHAMENTO-2002 ";"Defer_Novembro",#N/A,FALSE,"DIFERIDO";"Pis_Novembro",#N/A,FALSE,"PIS COFINS";"Iss_Novembro",#N/A,FALSE,"ISS"}</definedName>
    <definedName name="lll" localSheetId="31" hidden="1">{"Fecha_Novembro",#N/A,FALSE,"FECHAMENTO-2002 ";"Defer_Novembro",#N/A,FALSE,"DIFERIDO";"Pis_Novembro",#N/A,FALSE,"PIS COFINS";"Iss_Novembro",#N/A,FALSE,"ISS"}</definedName>
    <definedName name="lll" localSheetId="48" hidden="1">{"Fecha_Novembro",#N/A,FALSE,"FECHAMENTO-2002 ";"Defer_Novembro",#N/A,FALSE,"DIFERIDO";"Pis_Novembro",#N/A,FALSE,"PIS COFINS";"Iss_Novembro",#N/A,FALSE,"ISS"}</definedName>
    <definedName name="lll" hidden="1">{"Fecha_Novembro",#N/A,FALSE,"FECHAMENTO-2002 ";"Defer_Novembro",#N/A,FALSE,"DIFERIDO";"Pis_Novembro",#N/A,FALSE,"PIS COFINS";"Iss_Novembro",#N/A,FALSE,"ISS"}</definedName>
    <definedName name="lll_1" localSheetId="15" hidden="1">{"Fecha_Novembro",#N/A,FALSE,"FECHAMENTO-2002 ";"Defer_Novembro",#N/A,FALSE,"DIFERIDO";"Pis_Novembro",#N/A,FALSE,"PIS COFINS";"Iss_Novembro",#N/A,FALSE,"ISS"}</definedName>
    <definedName name="lll_1" localSheetId="14" hidden="1">{"Fecha_Novembro",#N/A,FALSE,"FECHAMENTO-2002 ";"Defer_Novembro",#N/A,FALSE,"DIFERIDO";"Pis_Novembro",#N/A,FALSE,"PIS COFINS";"Iss_Novembro",#N/A,FALSE,"ISS"}</definedName>
    <definedName name="lll_1" localSheetId="2" hidden="1">{"Fecha_Novembro",#N/A,FALSE,"FECHAMENTO-2002 ";"Defer_Novembro",#N/A,FALSE,"DIFERIDO";"Pis_Novembro",#N/A,FALSE,"PIS COFINS";"Iss_Novembro",#N/A,FALSE,"ISS"}</definedName>
    <definedName name="lll_1" localSheetId="34" hidden="1">{"Fecha_Novembro",#N/A,FALSE,"FECHAMENTO-2002 ";"Defer_Novembro",#N/A,FALSE,"DIFERIDO";"Pis_Novembro",#N/A,FALSE,"PIS COFINS";"Iss_Novembro",#N/A,FALSE,"ISS"}</definedName>
    <definedName name="lll_1" localSheetId="38" hidden="1">{"Fecha_Novembro",#N/A,FALSE,"FECHAMENTO-2002 ";"Defer_Novembro",#N/A,FALSE,"DIFERIDO";"Pis_Novembro",#N/A,FALSE,"PIS COFINS";"Iss_Novembro",#N/A,FALSE,"ISS"}</definedName>
    <definedName name="lll_1" localSheetId="8" hidden="1">{"Fecha_Novembro",#N/A,FALSE,"FECHAMENTO-2002 ";"Defer_Novembro",#N/A,FALSE,"DIFERIDO";"Pis_Novembro",#N/A,FALSE,"PIS COFINS";"Iss_Novembro",#N/A,FALSE,"ISS"}</definedName>
    <definedName name="lll_1" localSheetId="12" hidden="1">{"Fecha_Novembro",#N/A,FALSE,"FECHAMENTO-2002 ";"Defer_Novembro",#N/A,FALSE,"DIFERIDO";"Pis_Novembro",#N/A,FALSE,"PIS COFINS";"Iss_Novembro",#N/A,FALSE,"ISS"}</definedName>
    <definedName name="lll_1" localSheetId="13" hidden="1">{"Fecha_Novembro",#N/A,FALSE,"FECHAMENTO-2002 ";"Defer_Novembro",#N/A,FALSE,"DIFERIDO";"Pis_Novembro",#N/A,FALSE,"PIS COFINS";"Iss_Novembro",#N/A,FALSE,"ISS"}</definedName>
    <definedName name="lll_1" localSheetId="11" hidden="1">{"Fecha_Novembro",#N/A,FALSE,"FECHAMENTO-2002 ";"Defer_Novembro",#N/A,FALSE,"DIFERIDO";"Pis_Novembro",#N/A,FALSE,"PIS COFINS";"Iss_Novembro",#N/A,FALSE,"ISS"}</definedName>
    <definedName name="lll_1" localSheetId="31" hidden="1">{"Fecha_Novembro",#N/A,FALSE,"FECHAMENTO-2002 ";"Defer_Novembro",#N/A,FALSE,"DIFERIDO";"Pis_Novembro",#N/A,FALSE,"PIS COFINS";"Iss_Novembro",#N/A,FALSE,"ISS"}</definedName>
    <definedName name="lll_1" localSheetId="48" hidden="1">{"Fecha_Novembro",#N/A,FALSE,"FECHAMENTO-2002 ";"Defer_Novembro",#N/A,FALSE,"DIFERIDO";"Pis_Novembro",#N/A,FALSE,"PIS COFINS";"Iss_Novembro",#N/A,FALSE,"ISS"}</definedName>
    <definedName name="lll_1" hidden="1">{"Fecha_Novembro",#N/A,FALSE,"FECHAMENTO-2002 ";"Defer_Novembro",#N/A,FALSE,"DIFERIDO";"Pis_Novembro",#N/A,FALSE,"PIS COFINS";"Iss_Novembro",#N/A,FALSE,"ISS"}</definedName>
    <definedName name="LLTri" localSheetId="31">INDIRECT("$b$"&amp;#REF!)</definedName>
    <definedName name="LLTri">INDIRECT("$b$"&amp;#REF!)</definedName>
    <definedName name="Localizar">#REF!</definedName>
    <definedName name="lote1" localSheetId="2">#REF!</definedName>
    <definedName name="lote1">#REF!</definedName>
    <definedName name="lote2" localSheetId="2">#REF!</definedName>
    <definedName name="lote2">#REF!</definedName>
    <definedName name="m" localSheetId="15" hidden="1">#REF!</definedName>
    <definedName name="m" localSheetId="14" hidden="1">{"Bradesco 1",#N/A,TRUE,"Bradesco acc_dil";"Bradesco2",#N/A,TRUE,"Bradesco acc_dil";"Bradesco3",#N/A,TRUE,"Bradesco's RWA analysis";"Unibanco1",#N/A,TRUE,"Unibanco acc_dil ";"Unibanco2",#N/A,TRUE,"Unibanco acc_dil ";"Unibanco3",#N/A,TRUE,"Unibanco's RWA analysis"}</definedName>
    <definedName name="m" localSheetId="2" hidden="1">{"Bradesco 1",#N/A,TRUE,"Bradesco acc_dil";"Bradesco2",#N/A,TRUE,"Bradesco acc_dil";"Bradesco3",#N/A,TRUE,"Bradesco's RWA analysis";"Unibanco1",#N/A,TRUE,"Unibanco acc_dil ";"Unibanco2",#N/A,TRUE,"Unibanco acc_dil ";"Unibanco3",#N/A,TRUE,"Unibanco's RWA analysis"}</definedName>
    <definedName name="m" localSheetId="34" hidden="1">{"Bradesco 1",#N/A,TRUE,"Bradesco acc_dil";"Bradesco2",#N/A,TRUE,"Bradesco acc_dil";"Bradesco3",#N/A,TRUE,"Bradesco's RWA analysis";"Unibanco1",#N/A,TRUE,"Unibanco acc_dil ";"Unibanco2",#N/A,TRUE,"Unibanco acc_dil ";"Unibanco3",#N/A,TRUE,"Unibanco's RWA analysis"}</definedName>
    <definedName name="m" localSheetId="38" hidden="1">{"Bradesco 1",#N/A,TRUE,"Bradesco acc_dil";"Bradesco2",#N/A,TRUE,"Bradesco acc_dil";"Bradesco3",#N/A,TRUE,"Bradesco's RWA analysis";"Unibanco1",#N/A,TRUE,"Unibanco acc_dil ";"Unibanco2",#N/A,TRUE,"Unibanco acc_dil ";"Unibanco3",#N/A,TRUE,"Unibanco's RWA analysis"}</definedName>
    <definedName name="m" localSheetId="8" hidden="1">{"Bradesco 1",#N/A,TRUE,"Bradesco acc_dil";"Bradesco2",#N/A,TRUE,"Bradesco acc_dil";"Bradesco3",#N/A,TRUE,"Bradesco's RWA analysis";"Unibanco1",#N/A,TRUE,"Unibanco acc_dil ";"Unibanco2",#N/A,TRUE,"Unibanco acc_dil ";"Unibanco3",#N/A,TRUE,"Unibanco's RWA analysis"}</definedName>
    <definedName name="m" localSheetId="12" hidden="1">{"Bradesco 1",#N/A,TRUE,"Bradesco acc_dil";"Bradesco2",#N/A,TRUE,"Bradesco acc_dil";"Bradesco3",#N/A,TRUE,"Bradesco's RWA analysis";"Unibanco1",#N/A,TRUE,"Unibanco acc_dil ";"Unibanco2",#N/A,TRUE,"Unibanco acc_dil ";"Unibanco3",#N/A,TRUE,"Unibanco's RWA analysis"}</definedName>
    <definedName name="m" localSheetId="13" hidden="1">{"Bradesco 1",#N/A,TRUE,"Bradesco acc_dil";"Bradesco2",#N/A,TRUE,"Bradesco acc_dil";"Bradesco3",#N/A,TRUE,"Bradesco's RWA analysis";"Unibanco1",#N/A,TRUE,"Unibanco acc_dil ";"Unibanco2",#N/A,TRUE,"Unibanco acc_dil ";"Unibanco3",#N/A,TRUE,"Unibanco's RWA analysis"}</definedName>
    <definedName name="m" localSheetId="11" hidden="1">{"Bradesco 1",#N/A,TRUE,"Bradesco acc_dil";"Bradesco2",#N/A,TRUE,"Bradesco acc_dil";"Bradesco3",#N/A,TRUE,"Bradesco's RWA analysis";"Unibanco1",#N/A,TRUE,"Unibanco acc_dil ";"Unibanco2",#N/A,TRUE,"Unibanco acc_dil ";"Unibanco3",#N/A,TRUE,"Unibanco's RWA analysis"}</definedName>
    <definedName name="m" localSheetId="31" hidden="1">{"Bradesco 1",#N/A,TRUE,"Bradesco acc_dil";"Bradesco2",#N/A,TRUE,"Bradesco acc_dil";"Bradesco3",#N/A,TRUE,"Bradesco's RWA analysis";"Unibanco1",#N/A,TRUE,"Unibanco acc_dil ";"Unibanco2",#N/A,TRUE,"Unibanco acc_dil ";"Unibanco3",#N/A,TRUE,"Unibanco's RWA analysis"}</definedName>
    <definedName name="m" localSheetId="48" hidden="1">{"Bradesco 1",#N/A,TRUE,"Bradesco acc_dil";"Bradesco2",#N/A,TRUE,"Bradesco acc_dil";"Bradesco3",#N/A,TRUE,"Bradesco's RWA analysis";"Unibanco1",#N/A,TRUE,"Unibanco acc_dil ";"Unibanco2",#N/A,TRUE,"Unibanco acc_dil ";"Unibanco3",#N/A,TRUE,"Unibanco's RWA analysis"}</definedName>
    <definedName name="m" hidden="1">{"Bradesco 1",#N/A,TRUE,"Bradesco acc_dil";"Bradesco2",#N/A,TRUE,"Bradesco acc_dil";"Bradesco3",#N/A,TRUE,"Bradesco's RWA analysis";"Unibanco1",#N/A,TRUE,"Unibanco acc_dil ";"Unibanco2",#N/A,TRUE,"Unibanco acc_dil ";"Unibanco3",#N/A,TRUE,"Unibanco's RWA analysis"}</definedName>
    <definedName name="MAIO" localSheetId="2">#REF!</definedName>
    <definedName name="MAIO">#REF!</definedName>
    <definedName name="MARGEM" localSheetId="2">#REF!</definedName>
    <definedName name="MARGEM">#REF!</definedName>
    <definedName name="marzo" localSheetId="15" hidden="1">{#N/A,#N/A,FALSE,"Acum Julio - 00"}</definedName>
    <definedName name="marzo" localSheetId="3" hidden="1">{#N/A,#N/A,FALSE,"Acum Julio - 00"}</definedName>
    <definedName name="marzo" localSheetId="14" hidden="1">{#N/A,#N/A,FALSE,"Acum Julio - 00"}</definedName>
    <definedName name="marzo" localSheetId="2" hidden="1">{#N/A,#N/A,FALSE,"Acum Julio - 00"}</definedName>
    <definedName name="marzo" localSheetId="34" hidden="1">{#N/A,#N/A,FALSE,"Acum Julio - 00"}</definedName>
    <definedName name="marzo" localSheetId="38" hidden="1">{#N/A,#N/A,FALSE,"Acum Julio - 00"}</definedName>
    <definedName name="marzo" localSheetId="8" hidden="1">{#N/A,#N/A,FALSE,"Acum Julio - 00"}</definedName>
    <definedName name="marzo" localSheetId="12" hidden="1">{#N/A,#N/A,FALSE,"Acum Julio - 00"}</definedName>
    <definedName name="marzo" localSheetId="13" hidden="1">{#N/A,#N/A,FALSE,"Acum Julio - 00"}</definedName>
    <definedName name="marzo" localSheetId="11" hidden="1">{#N/A,#N/A,FALSE,"Acum Julio - 00"}</definedName>
    <definedName name="marzo" localSheetId="31" hidden="1">{#N/A,#N/A,FALSE,"Acum Julio - 00"}</definedName>
    <definedName name="marzo" localSheetId="48" hidden="1">{#N/A,#N/A,FALSE,"Acum Julio - 00"}</definedName>
    <definedName name="marzo" hidden="1">{#N/A,#N/A,FALSE,"Acum Julio - 00"}</definedName>
    <definedName name="marzo1" localSheetId="15" hidden="1">{#N/A,#N/A,FALSE,"Acum Julio - 00"}</definedName>
    <definedName name="marzo1" localSheetId="3" hidden="1">{#N/A,#N/A,FALSE,"Acum Julio - 00"}</definedName>
    <definedName name="marzo1" localSheetId="14" hidden="1">{#N/A,#N/A,FALSE,"Acum Julio - 00"}</definedName>
    <definedName name="marzo1" localSheetId="2" hidden="1">{#N/A,#N/A,FALSE,"Acum Julio - 00"}</definedName>
    <definedName name="marzo1" localSheetId="34" hidden="1">{#N/A,#N/A,FALSE,"Acum Julio - 00"}</definedName>
    <definedName name="marzo1" localSheetId="38" hidden="1">{#N/A,#N/A,FALSE,"Acum Julio - 00"}</definedName>
    <definedName name="marzo1" localSheetId="8" hidden="1">{#N/A,#N/A,FALSE,"Acum Julio - 00"}</definedName>
    <definedName name="marzo1" localSheetId="12" hidden="1">{#N/A,#N/A,FALSE,"Acum Julio - 00"}</definedName>
    <definedName name="marzo1" localSheetId="13" hidden="1">{#N/A,#N/A,FALSE,"Acum Julio - 00"}</definedName>
    <definedName name="marzo1" localSheetId="11" hidden="1">{#N/A,#N/A,FALSE,"Acum Julio - 00"}</definedName>
    <definedName name="marzo1" localSheetId="31" hidden="1">{#N/A,#N/A,FALSE,"Acum Julio - 00"}</definedName>
    <definedName name="marzo1" localSheetId="48" hidden="1">{#N/A,#N/A,FALSE,"Acum Julio - 00"}</definedName>
    <definedName name="marzo1" hidden="1">{#N/A,#N/A,FALSE,"Acum Julio - 00"}</definedName>
    <definedName name="MELADQANT" localSheetId="2">#REF!</definedName>
    <definedName name="MELADQANT">#REF!</definedName>
    <definedName name="MELADQATU" localSheetId="2">#REF!</definedName>
    <definedName name="MELADQATU">#REF!</definedName>
    <definedName name="MELANT" localSheetId="2">#REF!</definedName>
    <definedName name="MELANT">#REF!</definedName>
    <definedName name="MELATU" localSheetId="2">#REF!</definedName>
    <definedName name="MELATU">#REF!</definedName>
    <definedName name="MES">#REF!</definedName>
    <definedName name="Mês" localSheetId="2">#REF!</definedName>
    <definedName name="Mês">#REF!</definedName>
    <definedName name="MESES" localSheetId="2">#REF!</definedName>
    <definedName name="MESES">#REF!</definedName>
    <definedName name="MESREAL">#REF!</definedName>
    <definedName name="mtk" localSheetId="1" hidden="1">{"Fecha_Novembro",#N/A,FALSE,"FECHAMENTO-2002 ";"Defer_Novembro",#N/A,FALSE,"DIFERIDO";"Pis_Novembro",#N/A,FALSE,"PIS COFINS";"Iss_Novembro",#N/A,FALSE,"ISS"}</definedName>
    <definedName name="mtk" localSheetId="2" hidden="1">{"Fecha_Novembro",#N/A,FALSE,"FECHAMENTO-2002 ";"Defer_Novembro",#N/A,FALSE,"DIFERIDO";"Pis_Novembro",#N/A,FALSE,"PIS COFINS";"Iss_Novembro",#N/A,FALSE,"ISS"}</definedName>
    <definedName name="mtk" localSheetId="31" hidden="1">{"Fecha_Novembro",#N/A,FALSE,"FECHAMENTO-2002 ";"Defer_Novembro",#N/A,FALSE,"DIFERIDO";"Pis_Novembro",#N/A,FALSE,"PIS COFINS";"Iss_Novembro",#N/A,FALSE,"ISS"}</definedName>
    <definedName name="mtk" localSheetId="48" hidden="1">{"Fecha_Novembro",#N/A,FALSE,"FECHAMENTO-2002 ";"Defer_Novembro",#N/A,FALSE,"DIFERIDO";"Pis_Novembro",#N/A,FALSE,"PIS COFINS";"Iss_Novembro",#N/A,FALSE,"ISS"}</definedName>
    <definedName name="mtk" hidden="1">{"Fecha_Novembro",#N/A,FALSE,"FECHAMENTO-2002 ";"Defer_Novembro",#N/A,FALSE,"DIFERIDO";"Pis_Novembro",#N/A,FALSE,"PIS COFINS";"Iss_Novembro",#N/A,FALSE,"ISS"}</definedName>
    <definedName name="NEWWW" localSheetId="15" hidden="1">{"'PXR_6500'!$A$1:$I$124"}</definedName>
    <definedName name="NEWWW" localSheetId="14" hidden="1">{"'PXR_6500'!$A$1:$I$124"}</definedName>
    <definedName name="NEWWW" localSheetId="2" hidden="1">{"'PXR_6500'!$A$1:$I$124"}</definedName>
    <definedName name="NEWWW" localSheetId="34" hidden="1">{"'PXR_6500'!$A$1:$I$124"}</definedName>
    <definedName name="NEWWW" localSheetId="38" hidden="1">{"'PXR_6500'!$A$1:$I$124"}</definedName>
    <definedName name="NEWWW" localSheetId="8" hidden="1">{"'PXR_6500'!$A$1:$I$124"}</definedName>
    <definedName name="NEWWW" localSheetId="12" hidden="1">{"'PXR_6500'!$A$1:$I$124"}</definedName>
    <definedName name="NEWWW" localSheetId="13" hidden="1">{"'PXR_6500'!$A$1:$I$124"}</definedName>
    <definedName name="NEWWW" localSheetId="11" hidden="1">{"'PXR_6500'!$A$1:$I$124"}</definedName>
    <definedName name="NEWWW" localSheetId="31" hidden="1">{"'PXR_6500'!$A$1:$I$124"}</definedName>
    <definedName name="NEWWW" localSheetId="48" hidden="1">{"'PXR_6500'!$A$1:$I$124"}</definedName>
    <definedName name="NEWWW" hidden="1">{"'PXR_6500'!$A$1:$I$124"}</definedName>
    <definedName name="noidea" localSheetId="15" hidden="1">{#N/A,#N/A,FALSE,"Calc";#N/A,#N/A,FALSE,"Sensitivity";#N/A,#N/A,FALSE,"LT Earn.Dil.";#N/A,#N/A,FALSE,"Dil. AVP"}</definedName>
    <definedName name="noidea" localSheetId="14" hidden="1">{#N/A,#N/A,FALSE,"Calc";#N/A,#N/A,FALSE,"Sensitivity";#N/A,#N/A,FALSE,"LT Earn.Dil.";#N/A,#N/A,FALSE,"Dil. AVP"}</definedName>
    <definedName name="noidea" localSheetId="2" hidden="1">{#N/A,#N/A,FALSE,"Calc";#N/A,#N/A,FALSE,"Sensitivity";#N/A,#N/A,FALSE,"LT Earn.Dil.";#N/A,#N/A,FALSE,"Dil. AVP"}</definedName>
    <definedName name="noidea" localSheetId="34" hidden="1">{#N/A,#N/A,FALSE,"Calc";#N/A,#N/A,FALSE,"Sensitivity";#N/A,#N/A,FALSE,"LT Earn.Dil.";#N/A,#N/A,FALSE,"Dil. AVP"}</definedName>
    <definedName name="noidea" localSheetId="38" hidden="1">{#N/A,#N/A,FALSE,"Calc";#N/A,#N/A,FALSE,"Sensitivity";#N/A,#N/A,FALSE,"LT Earn.Dil.";#N/A,#N/A,FALSE,"Dil. AVP"}</definedName>
    <definedName name="noidea" localSheetId="8" hidden="1">{#N/A,#N/A,FALSE,"Calc";#N/A,#N/A,FALSE,"Sensitivity";#N/A,#N/A,FALSE,"LT Earn.Dil.";#N/A,#N/A,FALSE,"Dil. AVP"}</definedName>
    <definedName name="noidea" localSheetId="12" hidden="1">{#N/A,#N/A,FALSE,"Calc";#N/A,#N/A,FALSE,"Sensitivity";#N/A,#N/A,FALSE,"LT Earn.Dil.";#N/A,#N/A,FALSE,"Dil. AVP"}</definedName>
    <definedName name="noidea" localSheetId="13" hidden="1">{#N/A,#N/A,FALSE,"Calc";#N/A,#N/A,FALSE,"Sensitivity";#N/A,#N/A,FALSE,"LT Earn.Dil.";#N/A,#N/A,FALSE,"Dil. AVP"}</definedName>
    <definedName name="noidea" localSheetId="11" hidden="1">{#N/A,#N/A,FALSE,"Calc";#N/A,#N/A,FALSE,"Sensitivity";#N/A,#N/A,FALSE,"LT Earn.Dil.";#N/A,#N/A,FALSE,"Dil. AVP"}</definedName>
    <definedName name="noidea" localSheetId="31" hidden="1">{#N/A,#N/A,FALSE,"Calc";#N/A,#N/A,FALSE,"Sensitivity";#N/A,#N/A,FALSE,"LT Earn.Dil.";#N/A,#N/A,FALSE,"Dil. AVP"}</definedName>
    <definedName name="noidea" localSheetId="48" hidden="1">{#N/A,#N/A,FALSE,"Calc";#N/A,#N/A,FALSE,"Sensitivity";#N/A,#N/A,FALSE,"LT Earn.Dil.";#N/A,#N/A,FALSE,"Dil. AVP"}</definedName>
    <definedName name="noidea" hidden="1">{#N/A,#N/A,FALSE,"Calc";#N/A,#N/A,FALSE,"Sensitivity";#N/A,#N/A,FALSE,"LT Earn.Dil.";#N/A,#N/A,FALSE,"Dil. AVP"}</definedName>
    <definedName name="NOIDEA2" localSheetId="15" hidden="1">{#N/A,#N/A,FALSE,"Calc";#N/A,#N/A,FALSE,"Sensitivity";#N/A,#N/A,FALSE,"LT Earn.Dil.";#N/A,#N/A,FALSE,"Dil. AVP"}</definedName>
    <definedName name="NOIDEA2" localSheetId="14" hidden="1">{#N/A,#N/A,FALSE,"Calc";#N/A,#N/A,FALSE,"Sensitivity";#N/A,#N/A,FALSE,"LT Earn.Dil.";#N/A,#N/A,FALSE,"Dil. AVP"}</definedName>
    <definedName name="NOIDEA2" localSheetId="2" hidden="1">{#N/A,#N/A,FALSE,"Calc";#N/A,#N/A,FALSE,"Sensitivity";#N/A,#N/A,FALSE,"LT Earn.Dil.";#N/A,#N/A,FALSE,"Dil. AVP"}</definedName>
    <definedName name="NOIDEA2" localSheetId="34" hidden="1">{#N/A,#N/A,FALSE,"Calc";#N/A,#N/A,FALSE,"Sensitivity";#N/A,#N/A,FALSE,"LT Earn.Dil.";#N/A,#N/A,FALSE,"Dil. AVP"}</definedName>
    <definedName name="NOIDEA2" localSheetId="38" hidden="1">{#N/A,#N/A,FALSE,"Calc";#N/A,#N/A,FALSE,"Sensitivity";#N/A,#N/A,FALSE,"LT Earn.Dil.";#N/A,#N/A,FALSE,"Dil. AVP"}</definedName>
    <definedName name="NOIDEA2" localSheetId="8" hidden="1">{#N/A,#N/A,FALSE,"Calc";#N/A,#N/A,FALSE,"Sensitivity";#N/A,#N/A,FALSE,"LT Earn.Dil.";#N/A,#N/A,FALSE,"Dil. AVP"}</definedName>
    <definedName name="NOIDEA2" localSheetId="12" hidden="1">{#N/A,#N/A,FALSE,"Calc";#N/A,#N/A,FALSE,"Sensitivity";#N/A,#N/A,FALSE,"LT Earn.Dil.";#N/A,#N/A,FALSE,"Dil. AVP"}</definedName>
    <definedName name="NOIDEA2" localSheetId="13" hidden="1">{#N/A,#N/A,FALSE,"Calc";#N/A,#N/A,FALSE,"Sensitivity";#N/A,#N/A,FALSE,"LT Earn.Dil.";#N/A,#N/A,FALSE,"Dil. AVP"}</definedName>
    <definedName name="NOIDEA2" localSheetId="11" hidden="1">{#N/A,#N/A,FALSE,"Calc";#N/A,#N/A,FALSE,"Sensitivity";#N/A,#N/A,FALSE,"LT Earn.Dil.";#N/A,#N/A,FALSE,"Dil. AVP"}</definedName>
    <definedName name="NOIDEA2" localSheetId="31" hidden="1">{#N/A,#N/A,FALSE,"Calc";#N/A,#N/A,FALSE,"Sensitivity";#N/A,#N/A,FALSE,"LT Earn.Dil.";#N/A,#N/A,FALSE,"Dil. AVP"}</definedName>
    <definedName name="NOIDEA2" localSheetId="48" hidden="1">{#N/A,#N/A,FALSE,"Calc";#N/A,#N/A,FALSE,"Sensitivity";#N/A,#N/A,FALSE,"LT Earn.Dil.";#N/A,#N/A,FALSE,"Dil. AVP"}</definedName>
    <definedName name="NOIDEA2" hidden="1">{#N/A,#N/A,FALSE,"Calc";#N/A,#N/A,FALSE,"Sensitivity";#N/A,#N/A,FALSE,"LT Earn.Dil.";#N/A,#N/A,FALSE,"Dil. AVP"}</definedName>
    <definedName name="NOVA">#REF!</definedName>
    <definedName name="novo" localSheetId="2">#REF!</definedName>
    <definedName name="novo">#REF!</definedName>
    <definedName name="NUMREL" localSheetId="2">#REF!</definedName>
    <definedName name="NUMREL">#REF!</definedName>
    <definedName name="oi" localSheetId="15" hidden="1">{"'Welcome'!$A$1:$J$27"}</definedName>
    <definedName name="oi" localSheetId="14" hidden="1">{"'Welcome'!$A$1:$J$27"}</definedName>
    <definedName name="oi" localSheetId="2" hidden="1">{"'Welcome'!$A$1:$J$27"}</definedName>
    <definedName name="oi" localSheetId="34" hidden="1">{"'Welcome'!$A$1:$J$27"}</definedName>
    <definedName name="oi" localSheetId="38" hidden="1">{"'Welcome'!$A$1:$J$27"}</definedName>
    <definedName name="oi" localSheetId="8" hidden="1">{"'Welcome'!$A$1:$J$27"}</definedName>
    <definedName name="oi" localSheetId="12" hidden="1">{"'Welcome'!$A$1:$J$27"}</definedName>
    <definedName name="oi" localSheetId="13" hidden="1">{"'Welcome'!$A$1:$J$27"}</definedName>
    <definedName name="oi" localSheetId="31" hidden="1">{"'Welcome'!$A$1:$J$27"}</definedName>
    <definedName name="oi" localSheetId="48" hidden="1">{"'Welcome'!$A$1:$J$27"}</definedName>
    <definedName name="oi" hidden="1">{"'Welcome'!$A$1:$J$27"}</definedName>
    <definedName name="ok" localSheetId="15" hidden="1">{#N/A,#N/A,FALSE,"Calc";#N/A,#N/A,FALSE,"Sensitivity";#N/A,#N/A,FALSE,"LT Earn.Dil.";#N/A,#N/A,FALSE,"Dil. AVP"}</definedName>
    <definedName name="ok" localSheetId="14" hidden="1">{#N/A,#N/A,FALSE,"Calc";#N/A,#N/A,FALSE,"Sensitivity";#N/A,#N/A,FALSE,"LT Earn.Dil.";#N/A,#N/A,FALSE,"Dil. AVP"}</definedName>
    <definedName name="ok" localSheetId="2" hidden="1">{#N/A,#N/A,FALSE,"Calc";#N/A,#N/A,FALSE,"Sensitivity";#N/A,#N/A,FALSE,"LT Earn.Dil.";#N/A,#N/A,FALSE,"Dil. AVP"}</definedName>
    <definedName name="ok" localSheetId="34" hidden="1">{#N/A,#N/A,FALSE,"Calc";#N/A,#N/A,FALSE,"Sensitivity";#N/A,#N/A,FALSE,"LT Earn.Dil.";#N/A,#N/A,FALSE,"Dil. AVP"}</definedName>
    <definedName name="ok" localSheetId="38" hidden="1">{#N/A,#N/A,FALSE,"Calc";#N/A,#N/A,FALSE,"Sensitivity";#N/A,#N/A,FALSE,"LT Earn.Dil.";#N/A,#N/A,FALSE,"Dil. AVP"}</definedName>
    <definedName name="ok" localSheetId="8" hidden="1">{#N/A,#N/A,FALSE,"Calc";#N/A,#N/A,FALSE,"Sensitivity";#N/A,#N/A,FALSE,"LT Earn.Dil.";#N/A,#N/A,FALSE,"Dil. AVP"}</definedName>
    <definedName name="ok" localSheetId="12" hidden="1">{#N/A,#N/A,FALSE,"Calc";#N/A,#N/A,FALSE,"Sensitivity";#N/A,#N/A,FALSE,"LT Earn.Dil.";#N/A,#N/A,FALSE,"Dil. AVP"}</definedName>
    <definedName name="ok" localSheetId="13" hidden="1">{#N/A,#N/A,FALSE,"Calc";#N/A,#N/A,FALSE,"Sensitivity";#N/A,#N/A,FALSE,"LT Earn.Dil.";#N/A,#N/A,FALSE,"Dil. AVP"}</definedName>
    <definedName name="ok" localSheetId="11" hidden="1">{#N/A,#N/A,FALSE,"Calc";#N/A,#N/A,FALSE,"Sensitivity";#N/A,#N/A,FALSE,"LT Earn.Dil.";#N/A,#N/A,FALSE,"Dil. AVP"}</definedName>
    <definedName name="ok" localSheetId="31" hidden="1">{#N/A,#N/A,FALSE,"Calc";#N/A,#N/A,FALSE,"Sensitivity";#N/A,#N/A,FALSE,"LT Earn.Dil.";#N/A,#N/A,FALSE,"Dil. AVP"}</definedName>
    <definedName name="ok" localSheetId="48" hidden="1">{#N/A,#N/A,FALSE,"Calc";#N/A,#N/A,FALSE,"Sensitivity";#N/A,#N/A,FALSE,"LT Earn.Dil.";#N/A,#N/A,FALSE,"Dil. AVP"}</definedName>
    <definedName name="ok" hidden="1">{#N/A,#N/A,FALSE,"Calc";#N/A,#N/A,FALSE,"Sensitivity";#N/A,#N/A,FALSE,"LT Earn.Dil.";#N/A,#N/A,FALSE,"Dil. AVP"}</definedName>
    <definedName name="oku" localSheetId="15" hidden="1">{"equity comps",#N/A,FALSE,"CS Comps";"equity comps",#N/A,FALSE,"PS Comps";"equity comps",#N/A,FALSE,"GIC_Comps";"equity comps",#N/A,FALSE,"GIC2_Comps";"debt comps",#N/A,FALSE,"CS Comps";"debt comps",#N/A,FALSE,"PS Comps";"debt comps",#N/A,FALSE,"GIC_Comps";"debt comps",#N/A,FALSE,"GIC2_Comps"}</definedName>
    <definedName name="oku" localSheetId="14" hidden="1">{"equity comps",#N/A,FALSE,"CS Comps";"equity comps",#N/A,FALSE,"PS Comps";"equity comps",#N/A,FALSE,"GIC_Comps";"equity comps",#N/A,FALSE,"GIC2_Comps";"debt comps",#N/A,FALSE,"CS Comps";"debt comps",#N/A,FALSE,"PS Comps";"debt comps",#N/A,FALSE,"GIC_Comps";"debt comps",#N/A,FALSE,"GIC2_Comps"}</definedName>
    <definedName name="oku" localSheetId="2" hidden="1">{"equity comps",#N/A,FALSE,"CS Comps";"equity comps",#N/A,FALSE,"PS Comps";"equity comps",#N/A,FALSE,"GIC_Comps";"equity comps",#N/A,FALSE,"GIC2_Comps";"debt comps",#N/A,FALSE,"CS Comps";"debt comps",#N/A,FALSE,"PS Comps";"debt comps",#N/A,FALSE,"GIC_Comps";"debt comps",#N/A,FALSE,"GIC2_Comps"}</definedName>
    <definedName name="oku" localSheetId="34" hidden="1">{"equity comps",#N/A,FALSE,"CS Comps";"equity comps",#N/A,FALSE,"PS Comps";"equity comps",#N/A,FALSE,"GIC_Comps";"equity comps",#N/A,FALSE,"GIC2_Comps";"debt comps",#N/A,FALSE,"CS Comps";"debt comps",#N/A,FALSE,"PS Comps";"debt comps",#N/A,FALSE,"GIC_Comps";"debt comps",#N/A,FALSE,"GIC2_Comps"}</definedName>
    <definedName name="oku" localSheetId="38" hidden="1">{"equity comps",#N/A,FALSE,"CS Comps";"equity comps",#N/A,FALSE,"PS Comps";"equity comps",#N/A,FALSE,"GIC_Comps";"equity comps",#N/A,FALSE,"GIC2_Comps";"debt comps",#N/A,FALSE,"CS Comps";"debt comps",#N/A,FALSE,"PS Comps";"debt comps",#N/A,FALSE,"GIC_Comps";"debt comps",#N/A,FALSE,"GIC2_Comps"}</definedName>
    <definedName name="oku" localSheetId="8" hidden="1">{"equity comps",#N/A,FALSE,"CS Comps";"equity comps",#N/A,FALSE,"PS Comps";"equity comps",#N/A,FALSE,"GIC_Comps";"equity comps",#N/A,FALSE,"GIC2_Comps";"debt comps",#N/A,FALSE,"CS Comps";"debt comps",#N/A,FALSE,"PS Comps";"debt comps",#N/A,FALSE,"GIC_Comps";"debt comps",#N/A,FALSE,"GIC2_Comps"}</definedName>
    <definedName name="oku" localSheetId="12" hidden="1">{"equity comps",#N/A,FALSE,"CS Comps";"equity comps",#N/A,FALSE,"PS Comps";"equity comps",#N/A,FALSE,"GIC_Comps";"equity comps",#N/A,FALSE,"GIC2_Comps";"debt comps",#N/A,FALSE,"CS Comps";"debt comps",#N/A,FALSE,"PS Comps";"debt comps",#N/A,FALSE,"GIC_Comps";"debt comps",#N/A,FALSE,"GIC2_Comps"}</definedName>
    <definedName name="oku" localSheetId="13" hidden="1">{"equity comps",#N/A,FALSE,"CS Comps";"equity comps",#N/A,FALSE,"PS Comps";"equity comps",#N/A,FALSE,"GIC_Comps";"equity comps",#N/A,FALSE,"GIC2_Comps";"debt comps",#N/A,FALSE,"CS Comps";"debt comps",#N/A,FALSE,"PS Comps";"debt comps",#N/A,FALSE,"GIC_Comps";"debt comps",#N/A,FALSE,"GIC2_Comps"}</definedName>
    <definedName name="oku" localSheetId="11" hidden="1">{"equity comps",#N/A,FALSE,"CS Comps";"equity comps",#N/A,FALSE,"PS Comps";"equity comps",#N/A,FALSE,"GIC_Comps";"equity comps",#N/A,FALSE,"GIC2_Comps";"debt comps",#N/A,FALSE,"CS Comps";"debt comps",#N/A,FALSE,"PS Comps";"debt comps",#N/A,FALSE,"GIC_Comps";"debt comps",#N/A,FALSE,"GIC2_Comps"}</definedName>
    <definedName name="oku" localSheetId="31" hidden="1">{"equity comps",#N/A,FALSE,"CS Comps";"equity comps",#N/A,FALSE,"PS Comps";"equity comps",#N/A,FALSE,"GIC_Comps";"equity comps",#N/A,FALSE,"GIC2_Comps";"debt comps",#N/A,FALSE,"CS Comps";"debt comps",#N/A,FALSE,"PS Comps";"debt comps",#N/A,FALSE,"GIC_Comps";"debt comps",#N/A,FALSE,"GIC2_Comps"}</definedName>
    <definedName name="oku" localSheetId="48" hidden="1">{"equity comps",#N/A,FALSE,"CS Comps";"equity comps",#N/A,FALSE,"PS Comps";"equity comps",#N/A,FALSE,"GIC_Comps";"equity comps",#N/A,FALSE,"GIC2_Comps";"debt comps",#N/A,FALSE,"CS Comps";"debt comps",#N/A,FALSE,"PS Comps";"debt comps",#N/A,FALSE,"GIC_Comps";"debt comps",#N/A,FALSE,"GIC2_Comps"}</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psMin">MIN(#REF!)</definedName>
    <definedName name="OUTRO" localSheetId="15" hidden="1">{"'PXR_6500'!$A$1:$I$124"}</definedName>
    <definedName name="OUTRO" localSheetId="14" hidden="1">{"'PXR_6500'!$A$1:$I$124"}</definedName>
    <definedName name="OUTRO" localSheetId="2" hidden="1">{"'PXR_6500'!$A$1:$I$124"}</definedName>
    <definedName name="OUTRO" localSheetId="34" hidden="1">{"'PXR_6500'!$A$1:$I$124"}</definedName>
    <definedName name="OUTRO" localSheetId="38" hidden="1">{"'PXR_6500'!$A$1:$I$124"}</definedName>
    <definedName name="OUTRO" localSheetId="8" hidden="1">{"'PXR_6500'!$A$1:$I$124"}</definedName>
    <definedName name="OUTRO" localSheetId="12" hidden="1">{"'PXR_6500'!$A$1:$I$124"}</definedName>
    <definedName name="OUTRO" localSheetId="13" hidden="1">{"'PXR_6500'!$A$1:$I$124"}</definedName>
    <definedName name="OUTRO" localSheetId="11" hidden="1">{"'PXR_6500'!$A$1:$I$124"}</definedName>
    <definedName name="OUTRO" localSheetId="31" hidden="1">{"'PXR_6500'!$A$1:$I$124"}</definedName>
    <definedName name="OUTRO" localSheetId="48" hidden="1">{"'PXR_6500'!$A$1:$I$124"}</definedName>
    <definedName name="OUTRO" hidden="1">{"'PXR_6500'!$A$1:$I$124"}</definedName>
    <definedName name="Outros" localSheetId="2">#REF!</definedName>
    <definedName name="Outros">#REF!</definedName>
    <definedName name="P" localSheetId="0" hidden="1">{"assumptions and inputs",#N/A,FALSE,"valuation";"intermediate calculations",#N/A,FALSE,"valuation";"dollar conversion",#N/A,FALSE,"valuation";"analysis at various prices",#N/A,FALSE,"valuation"}</definedName>
    <definedName name="pagos">#REF!</definedName>
    <definedName name="Passivo">#REF!</definedName>
    <definedName name="Password" localSheetId="2">#REF!</definedName>
    <definedName name="Password">#REF!</definedName>
    <definedName name="PDC" localSheetId="1" hidden="1">#REF!</definedName>
    <definedName name="PDC" localSheetId="15" hidden="1">#REF!</definedName>
    <definedName name="PDC" localSheetId="7" hidden="1">#REF!</definedName>
    <definedName name="PDC" localSheetId="14" hidden="1">#REF!</definedName>
    <definedName name="PDC" localSheetId="2" hidden="1">#REF!</definedName>
    <definedName name="PDC" localSheetId="34" hidden="1">#REF!</definedName>
    <definedName name="PDC" localSheetId="38" hidden="1">#REF!</definedName>
    <definedName name="PDC" localSheetId="12" hidden="1">#REF!</definedName>
    <definedName name="PDC" localSheetId="10" hidden="1">#REF!</definedName>
    <definedName name="PDC" localSheetId="6" hidden="1">#REF!</definedName>
    <definedName name="PDC" hidden="1">#REF!</definedName>
    <definedName name="pdd" localSheetId="2">#REF!</definedName>
    <definedName name="pdd">#REF!</definedName>
    <definedName name="pdddez" localSheetId="2">#REF!</definedName>
    <definedName name="pdddez">#REF!</definedName>
    <definedName name="pddjunho" localSheetId="2">#REF!</definedName>
    <definedName name="pddjunho">#REF!</definedName>
    <definedName name="peneirado" localSheetId="2">#REF!</definedName>
    <definedName name="peneirado">#REF!</definedName>
    <definedName name="Período" localSheetId="2">#REF!</definedName>
    <definedName name="Período">#REF!</definedName>
    <definedName name="Piasf" localSheetId="2">#REF!</definedName>
    <definedName name="Piasf">#REF!</definedName>
    <definedName name="pinco" localSheetId="1" hidden="1">#REF!</definedName>
    <definedName name="pinco" localSheetId="15" hidden="1">#REF!</definedName>
    <definedName name="pinco" localSheetId="7" hidden="1">#REF!</definedName>
    <definedName name="pinco" localSheetId="2" hidden="1">#REF!</definedName>
    <definedName name="pinco" localSheetId="34" hidden="1">#REF!</definedName>
    <definedName name="pinco" localSheetId="12" hidden="1">#REF!</definedName>
    <definedName name="pinco" localSheetId="10" hidden="1">#REF!</definedName>
    <definedName name="pinco" localSheetId="6" hidden="1">#REF!</definedName>
    <definedName name="pinco" hidden="1">#REF!</definedName>
    <definedName name="pippo" localSheetId="1" hidden="1">#REF!</definedName>
    <definedName name="pippo" localSheetId="7" hidden="1">#REF!</definedName>
    <definedName name="pippo" localSheetId="2" hidden="1">#REF!</definedName>
    <definedName name="pippo" localSheetId="34" hidden="1">#REF!</definedName>
    <definedName name="pippo" localSheetId="12" hidden="1">#REF!</definedName>
    <definedName name="pippo" localSheetId="10" hidden="1">#REF!</definedName>
    <definedName name="pippo" localSheetId="6" hidden="1">#REF!</definedName>
    <definedName name="pippo" hidden="1">#REF!</definedName>
    <definedName name="PIS">#REF!</definedName>
    <definedName name="po" localSheetId="15" hidden="1">{#N/A,#N/A,FALSE,"Calc";#N/A,#N/A,FALSE,"Sensitivity";#N/A,#N/A,FALSE,"LT Earn.Dil.";#N/A,#N/A,FALSE,"Dil. AVP"}</definedName>
    <definedName name="po" localSheetId="14" hidden="1">{#N/A,#N/A,FALSE,"Calc";#N/A,#N/A,FALSE,"Sensitivity";#N/A,#N/A,FALSE,"LT Earn.Dil.";#N/A,#N/A,FALSE,"Dil. AVP"}</definedName>
    <definedName name="po" localSheetId="2" hidden="1">{#N/A,#N/A,FALSE,"Calc";#N/A,#N/A,FALSE,"Sensitivity";#N/A,#N/A,FALSE,"LT Earn.Dil.";#N/A,#N/A,FALSE,"Dil. AVP"}</definedName>
    <definedName name="po" localSheetId="34" hidden="1">{#N/A,#N/A,FALSE,"Calc";#N/A,#N/A,FALSE,"Sensitivity";#N/A,#N/A,FALSE,"LT Earn.Dil.";#N/A,#N/A,FALSE,"Dil. AVP"}</definedName>
    <definedName name="po" localSheetId="38" hidden="1">{#N/A,#N/A,FALSE,"Calc";#N/A,#N/A,FALSE,"Sensitivity";#N/A,#N/A,FALSE,"LT Earn.Dil.";#N/A,#N/A,FALSE,"Dil. AVP"}</definedName>
    <definedName name="po" localSheetId="8" hidden="1">{#N/A,#N/A,FALSE,"Calc";#N/A,#N/A,FALSE,"Sensitivity";#N/A,#N/A,FALSE,"LT Earn.Dil.";#N/A,#N/A,FALSE,"Dil. AVP"}</definedName>
    <definedName name="po" localSheetId="12" hidden="1">{#N/A,#N/A,FALSE,"Calc";#N/A,#N/A,FALSE,"Sensitivity";#N/A,#N/A,FALSE,"LT Earn.Dil.";#N/A,#N/A,FALSE,"Dil. AVP"}</definedName>
    <definedName name="po" localSheetId="13" hidden="1">{#N/A,#N/A,FALSE,"Calc";#N/A,#N/A,FALSE,"Sensitivity";#N/A,#N/A,FALSE,"LT Earn.Dil.";#N/A,#N/A,FALSE,"Dil. AVP"}</definedName>
    <definedName name="po" localSheetId="11" hidden="1">{#N/A,#N/A,FALSE,"Calc";#N/A,#N/A,FALSE,"Sensitivity";#N/A,#N/A,FALSE,"LT Earn.Dil.";#N/A,#N/A,FALSE,"Dil. AVP"}</definedName>
    <definedName name="po" localSheetId="31" hidden="1">{#N/A,#N/A,FALSE,"Calc";#N/A,#N/A,FALSE,"Sensitivity";#N/A,#N/A,FALSE,"LT Earn.Dil.";#N/A,#N/A,FALSE,"Dil. AVP"}</definedName>
    <definedName name="po" localSheetId="48" hidden="1">{#N/A,#N/A,FALSE,"Calc";#N/A,#N/A,FALSE,"Sensitivity";#N/A,#N/A,FALSE,"LT Earn.Dil.";#N/A,#N/A,FALSE,"Dil. AVP"}</definedName>
    <definedName name="po" hidden="1">{#N/A,#N/A,FALSE,"Calc";#N/A,#N/A,FALSE,"Sensitivity";#N/A,#N/A,FALSE,"LT Earn.Dil.";#N/A,#N/A,FALSE,"Dil. AVP"}</definedName>
    <definedName name="poi" localSheetId="15" hidden="1">{"assumption 50 50",#N/A,TRUE,"Merger";"has gets cash",#N/A,TRUE,"Merger";"accretion dilution",#N/A,TRUE,"Merger";"comparison credit stats",#N/A,TRUE,"Merger";"pf credit stats",#N/A,TRUE,"Merger";"pf sheets",#N/A,TRUE,"Merger"}</definedName>
    <definedName name="poi" localSheetId="14" hidden="1">{"assumption 50 50",#N/A,TRUE,"Merger";"has gets cash",#N/A,TRUE,"Merger";"accretion dilution",#N/A,TRUE,"Merger";"comparison credit stats",#N/A,TRUE,"Merger";"pf credit stats",#N/A,TRUE,"Merger";"pf sheets",#N/A,TRUE,"Merger"}</definedName>
    <definedName name="poi" localSheetId="2" hidden="1">{"assumption 50 50",#N/A,TRUE,"Merger";"has gets cash",#N/A,TRUE,"Merger";"accretion dilution",#N/A,TRUE,"Merger";"comparison credit stats",#N/A,TRUE,"Merger";"pf credit stats",#N/A,TRUE,"Merger";"pf sheets",#N/A,TRUE,"Merger"}</definedName>
    <definedName name="poi" localSheetId="34" hidden="1">{"assumption 50 50",#N/A,TRUE,"Merger";"has gets cash",#N/A,TRUE,"Merger";"accretion dilution",#N/A,TRUE,"Merger";"comparison credit stats",#N/A,TRUE,"Merger";"pf credit stats",#N/A,TRUE,"Merger";"pf sheets",#N/A,TRUE,"Merger"}</definedName>
    <definedName name="poi" localSheetId="38" hidden="1">{"assumption 50 50",#N/A,TRUE,"Merger";"has gets cash",#N/A,TRUE,"Merger";"accretion dilution",#N/A,TRUE,"Merger";"comparison credit stats",#N/A,TRUE,"Merger";"pf credit stats",#N/A,TRUE,"Merger";"pf sheets",#N/A,TRUE,"Merger"}</definedName>
    <definedName name="poi" localSheetId="8" hidden="1">{"assumption 50 50",#N/A,TRUE,"Merger";"has gets cash",#N/A,TRUE,"Merger";"accretion dilution",#N/A,TRUE,"Merger";"comparison credit stats",#N/A,TRUE,"Merger";"pf credit stats",#N/A,TRUE,"Merger";"pf sheets",#N/A,TRUE,"Merger"}</definedName>
    <definedName name="poi" localSheetId="12" hidden="1">{"assumption 50 50",#N/A,TRUE,"Merger";"has gets cash",#N/A,TRUE,"Merger";"accretion dilution",#N/A,TRUE,"Merger";"comparison credit stats",#N/A,TRUE,"Merger";"pf credit stats",#N/A,TRUE,"Merger";"pf sheets",#N/A,TRUE,"Merger"}</definedName>
    <definedName name="poi" localSheetId="13" hidden="1">{"assumption 50 50",#N/A,TRUE,"Merger";"has gets cash",#N/A,TRUE,"Merger";"accretion dilution",#N/A,TRUE,"Merger";"comparison credit stats",#N/A,TRUE,"Merger";"pf credit stats",#N/A,TRUE,"Merger";"pf sheets",#N/A,TRUE,"Merger"}</definedName>
    <definedName name="poi" localSheetId="11" hidden="1">{"assumption 50 50",#N/A,TRUE,"Merger";"has gets cash",#N/A,TRUE,"Merger";"accretion dilution",#N/A,TRUE,"Merger";"comparison credit stats",#N/A,TRUE,"Merger";"pf credit stats",#N/A,TRUE,"Merger";"pf sheets",#N/A,TRUE,"Merger"}</definedName>
    <definedName name="poi" localSheetId="31" hidden="1">{"assumption 50 50",#N/A,TRUE,"Merger";"has gets cash",#N/A,TRUE,"Merger";"accretion dilution",#N/A,TRUE,"Merger";"comparison credit stats",#N/A,TRUE,"Merger";"pf credit stats",#N/A,TRUE,"Merger";"pf sheets",#N/A,TRUE,"Merger"}</definedName>
    <definedName name="poi" localSheetId="48" hidden="1">{"assumption 50 50",#N/A,TRUE,"Merger";"has gets cash",#N/A,TRUE,"Merger";"accretion dilution",#N/A,TRUE,"Merger";"comparison credit stats",#N/A,TRUE,"Merger";"pf credit stats",#N/A,TRUE,"Merger";"pf sheets",#N/A,TRUE,"Merger"}</definedName>
    <definedName name="poi" hidden="1">{"assumption 50 50",#N/A,TRUE,"Merger";"has gets cash",#N/A,TRUE,"Merger";"accretion dilution",#N/A,TRUE,"Merger";"comparison credit stats",#N/A,TRUE,"Merger";"pf credit stats",#N/A,TRUE,"Merger";"pf sheets",#N/A,TRUE,"Merger"}</definedName>
    <definedName name="pppp"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4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4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REMISSA" localSheetId="2">#REF!</definedName>
    <definedName name="PREMISSA">#REF!</definedName>
    <definedName name="Premissas" localSheetId="15" hidden="1">{"summary1",#N/A,TRUE,"Comps";"summary2",#N/A,TRUE,"Comps";"summary3",#N/A,TRUE,"Comps"}</definedName>
    <definedName name="Premissas" localSheetId="14" hidden="1">{"summary1",#N/A,TRUE,"Comps";"summary2",#N/A,TRUE,"Comps";"summary3",#N/A,TRUE,"Comps"}</definedName>
    <definedName name="Premissas" localSheetId="2" hidden="1">{"summary1",#N/A,TRUE,"Comps";"summary2",#N/A,TRUE,"Comps";"summary3",#N/A,TRUE,"Comps"}</definedName>
    <definedName name="Premissas" localSheetId="34" hidden="1">{"summary1",#N/A,TRUE,"Comps";"summary2",#N/A,TRUE,"Comps";"summary3",#N/A,TRUE,"Comps"}</definedName>
    <definedName name="Premissas" localSheetId="38" hidden="1">{"summary1",#N/A,TRUE,"Comps";"summary2",#N/A,TRUE,"Comps";"summary3",#N/A,TRUE,"Comps"}</definedName>
    <definedName name="Premissas" localSheetId="8" hidden="1">{"summary1",#N/A,TRUE,"Comps";"summary2",#N/A,TRUE,"Comps";"summary3",#N/A,TRUE,"Comps"}</definedName>
    <definedName name="Premissas" localSheetId="12" hidden="1">{"summary1",#N/A,TRUE,"Comps";"summary2",#N/A,TRUE,"Comps";"summary3",#N/A,TRUE,"Comps"}</definedName>
    <definedName name="Premissas" localSheetId="13" hidden="1">{"summary1",#N/A,TRUE,"Comps";"summary2",#N/A,TRUE,"Comps";"summary3",#N/A,TRUE,"Comps"}</definedName>
    <definedName name="Premissas" localSheetId="11" hidden="1">{"summary1",#N/A,TRUE,"Comps";"summary2",#N/A,TRUE,"Comps";"summary3",#N/A,TRUE,"Comps"}</definedName>
    <definedName name="Premissas" localSheetId="31" hidden="1">{"summary1",#N/A,TRUE,"Comps";"summary2",#N/A,TRUE,"Comps";"summary3",#N/A,TRUE,"Comps"}</definedName>
    <definedName name="Premissas" localSheetId="48" hidden="1">{"summary1",#N/A,TRUE,"Comps";"summary2",#N/A,TRUE,"Comps";"summary3",#N/A,TRUE,"Comps"}</definedName>
    <definedName name="Premissas" hidden="1">{"summary1",#N/A,TRUE,"Comps";"summary2",#N/A,TRUE,"Comps";"summary3",#N/A,TRUE,"Comps"}</definedName>
    <definedName name="PREV1" localSheetId="2">#REF!</definedName>
    <definedName name="PREV1">#REF!</definedName>
    <definedName name="PREV2" localSheetId="2">#REF!</definedName>
    <definedName name="PREV2">#REF!</definedName>
    <definedName name="Processar_2001" localSheetId="2">#REF!</definedName>
    <definedName name="Processar_2001">#REF!</definedName>
    <definedName name="PROD" localSheetId="2">#REF!</definedName>
    <definedName name="PROD">#REF!</definedName>
    <definedName name="prout" localSheetId="15" hidden="1">{"comp1",#N/A,FALSE,"COMPS";"footnotes",#N/A,FALSE,"COMPS"}</definedName>
    <definedName name="prout" localSheetId="14" hidden="1">{"comp1",#N/A,FALSE,"COMPS";"footnotes",#N/A,FALSE,"COMPS"}</definedName>
    <definedName name="prout" localSheetId="2" hidden="1">{"comp1",#N/A,FALSE,"COMPS";"footnotes",#N/A,FALSE,"COMPS"}</definedName>
    <definedName name="prout" localSheetId="34" hidden="1">{"comp1",#N/A,FALSE,"COMPS";"footnotes",#N/A,FALSE,"COMPS"}</definedName>
    <definedName name="prout" localSheetId="38" hidden="1">{"comp1",#N/A,FALSE,"COMPS";"footnotes",#N/A,FALSE,"COMPS"}</definedName>
    <definedName name="prout" localSheetId="8" hidden="1">{"comp1",#N/A,FALSE,"COMPS";"footnotes",#N/A,FALSE,"COMPS"}</definedName>
    <definedName name="prout" localSheetId="12" hidden="1">{"comp1",#N/A,FALSE,"COMPS";"footnotes",#N/A,FALSE,"COMPS"}</definedName>
    <definedName name="prout" localSheetId="13" hidden="1">{"comp1",#N/A,FALSE,"COMPS";"footnotes",#N/A,FALSE,"COMPS"}</definedName>
    <definedName name="prout" localSheetId="11" hidden="1">{"comp1",#N/A,FALSE,"COMPS";"footnotes",#N/A,FALSE,"COMPS"}</definedName>
    <definedName name="prout" localSheetId="31" hidden="1">{"comp1",#N/A,FALSE,"COMPS";"footnotes",#N/A,FALSE,"COMPS"}</definedName>
    <definedName name="prout" localSheetId="48" hidden="1">{"comp1",#N/A,FALSE,"COMPS";"footnotes",#N/A,FALSE,"COMPS"}</definedName>
    <definedName name="prout" hidden="1">{"comp1",#N/A,FALSE,"COMPS";"footnotes",#N/A,FALSE,"COMPS"}</definedName>
    <definedName name="prsMin" localSheetId="2">MIN(#REF!)</definedName>
    <definedName name="prsMin">MIN(#REF!)</definedName>
    <definedName name="q_1" localSheetId="15" hidden="1">{"Fecha_Setembro",#N/A,FALSE,"FECHAMENTO-2002 ";"Defer_Setembro",#N/A,FALSE,"DIFERIDO";"Pis_Setembro",#N/A,FALSE,"PIS COFINS";"Iss_Setembro",#N/A,FALSE,"ISS"}</definedName>
    <definedName name="q_1" localSheetId="14" hidden="1">{"Fecha_Setembro",#N/A,FALSE,"FECHAMENTO-2002 ";"Defer_Setembro",#N/A,FALSE,"DIFERIDO";"Pis_Setembro",#N/A,FALSE,"PIS COFINS";"Iss_Setembro",#N/A,FALSE,"ISS"}</definedName>
    <definedName name="q_1" localSheetId="2" hidden="1">{"Fecha_Setembro",#N/A,FALSE,"FECHAMENTO-2002 ";"Defer_Setembro",#N/A,FALSE,"DIFERIDO";"Pis_Setembro",#N/A,FALSE,"PIS COFINS";"Iss_Setembro",#N/A,FALSE,"ISS"}</definedName>
    <definedName name="q_1" localSheetId="34" hidden="1">{"Fecha_Setembro",#N/A,FALSE,"FECHAMENTO-2002 ";"Defer_Setembro",#N/A,FALSE,"DIFERIDO";"Pis_Setembro",#N/A,FALSE,"PIS COFINS";"Iss_Setembro",#N/A,FALSE,"ISS"}</definedName>
    <definedName name="q_1" localSheetId="38" hidden="1">{"Fecha_Setembro",#N/A,FALSE,"FECHAMENTO-2002 ";"Defer_Setembro",#N/A,FALSE,"DIFERIDO";"Pis_Setembro",#N/A,FALSE,"PIS COFINS";"Iss_Setembro",#N/A,FALSE,"ISS"}</definedName>
    <definedName name="q_1" localSheetId="8" hidden="1">{"Fecha_Setembro",#N/A,FALSE,"FECHAMENTO-2002 ";"Defer_Setembro",#N/A,FALSE,"DIFERIDO";"Pis_Setembro",#N/A,FALSE,"PIS COFINS";"Iss_Setembro",#N/A,FALSE,"ISS"}</definedName>
    <definedName name="q_1" localSheetId="12" hidden="1">{"Fecha_Setembro",#N/A,FALSE,"FECHAMENTO-2002 ";"Defer_Setembro",#N/A,FALSE,"DIFERIDO";"Pis_Setembro",#N/A,FALSE,"PIS COFINS";"Iss_Setembro",#N/A,FALSE,"ISS"}</definedName>
    <definedName name="q_1" localSheetId="13" hidden="1">{"Fecha_Setembro",#N/A,FALSE,"FECHAMENTO-2002 ";"Defer_Setembro",#N/A,FALSE,"DIFERIDO";"Pis_Setembro",#N/A,FALSE,"PIS COFINS";"Iss_Setembro",#N/A,FALSE,"ISS"}</definedName>
    <definedName name="q_1" localSheetId="11" hidden="1">{"Fecha_Setembro",#N/A,FALSE,"FECHAMENTO-2002 ";"Defer_Setembro",#N/A,FALSE,"DIFERIDO";"Pis_Setembro",#N/A,FALSE,"PIS COFINS";"Iss_Setembro",#N/A,FALSE,"ISS"}</definedName>
    <definedName name="q_1" localSheetId="31" hidden="1">{"Fecha_Setembro",#N/A,FALSE,"FECHAMENTO-2002 ";"Defer_Setembro",#N/A,FALSE,"DIFERIDO";"Pis_Setembro",#N/A,FALSE,"PIS COFINS";"Iss_Setembro",#N/A,FALSE,"ISS"}</definedName>
    <definedName name="q_1" localSheetId="48" hidden="1">{"Fecha_Setembro",#N/A,FALSE,"FECHAMENTO-2002 ";"Defer_Setembro",#N/A,FALSE,"DIFERIDO";"Pis_Setembro",#N/A,FALSE,"PIS COFINS";"Iss_Setembro",#N/A,FALSE,"ISS"}</definedName>
    <definedName name="q_1" hidden="1">{"Fecha_Setembro",#N/A,FALSE,"FECHAMENTO-2002 ";"Defer_Setembro",#N/A,FALSE,"DIFERIDO";"Pis_Setembro",#N/A,FALSE,"PIS COFINS";"Iss_Setembro",#N/A,FALSE,"ISS"}</definedName>
    <definedName name="QQQQ"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4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atios_2" localSheetId="15" hidden="1">{"'TG'!$A$1:$L$37"}</definedName>
    <definedName name="Ratios_2" localSheetId="14" hidden="1">{"'TG'!$A$1:$L$37"}</definedName>
    <definedName name="Ratios_2" localSheetId="2" hidden="1">{"'TG'!$A$1:$L$37"}</definedName>
    <definedName name="Ratios_2" localSheetId="34" hidden="1">{"'TG'!$A$1:$L$37"}</definedName>
    <definedName name="Ratios_2" localSheetId="38" hidden="1">{"'TG'!$A$1:$L$37"}</definedName>
    <definedName name="Ratios_2" localSheetId="8" hidden="1">{"'TG'!$A$1:$L$37"}</definedName>
    <definedName name="Ratios_2" localSheetId="12" hidden="1">{"'TG'!$A$1:$L$37"}</definedName>
    <definedName name="Ratios_2" localSheetId="13" hidden="1">{"'TG'!$A$1:$L$37"}</definedName>
    <definedName name="Ratios_2" localSheetId="11" hidden="1">{"'TG'!$A$1:$L$37"}</definedName>
    <definedName name="Ratios_2" localSheetId="31" hidden="1">{"'TG'!$A$1:$L$37"}</definedName>
    <definedName name="Ratios_2" localSheetId="48" hidden="1">{"'TG'!$A$1:$L$37"}</definedName>
    <definedName name="Ratios_2" hidden="1">{"'TG'!$A$1:$L$37"}</definedName>
    <definedName name="re" localSheetId="15" hidden="1">{"assumptions and inputs",#N/A,FALSE,"valuation";"intermediate calculations",#N/A,FALSE,"valuation";"dollar conversion",#N/A,FALSE,"valuation";"analysis at various prices",#N/A,FALSE,"valuation"}</definedName>
    <definedName name="re" localSheetId="14" hidden="1">{"assumptions and inputs",#N/A,FALSE,"valuation";"intermediate calculations",#N/A,FALSE,"valuation";"dollar conversion",#N/A,FALSE,"valuation";"analysis at various prices",#N/A,FALSE,"valuation"}</definedName>
    <definedName name="re" localSheetId="2" hidden="1">{"assumptions and inputs",#N/A,FALSE,"valuation";"intermediate calculations",#N/A,FALSE,"valuation";"dollar conversion",#N/A,FALSE,"valuation";"analysis at various prices",#N/A,FALSE,"valuation"}</definedName>
    <definedName name="re" localSheetId="34" hidden="1">{"assumptions and inputs",#N/A,FALSE,"valuation";"intermediate calculations",#N/A,FALSE,"valuation";"dollar conversion",#N/A,FALSE,"valuation";"analysis at various prices",#N/A,FALSE,"valuation"}</definedName>
    <definedName name="re" localSheetId="38" hidden="1">{"assumptions and inputs",#N/A,FALSE,"valuation";"intermediate calculations",#N/A,FALSE,"valuation";"dollar conversion",#N/A,FALSE,"valuation";"analysis at various prices",#N/A,FALSE,"valuation"}</definedName>
    <definedName name="re" localSheetId="8" hidden="1">{"assumptions and inputs",#N/A,FALSE,"valuation";"intermediate calculations",#N/A,FALSE,"valuation";"dollar conversion",#N/A,FALSE,"valuation";"analysis at various prices",#N/A,FALSE,"valuation"}</definedName>
    <definedName name="re" localSheetId="12" hidden="1">{"assumptions and inputs",#N/A,FALSE,"valuation";"intermediate calculations",#N/A,FALSE,"valuation";"dollar conversion",#N/A,FALSE,"valuation";"analysis at various prices",#N/A,FALSE,"valuation"}</definedName>
    <definedName name="re" localSheetId="13" hidden="1">{"assumptions and inputs",#N/A,FALSE,"valuation";"intermediate calculations",#N/A,FALSE,"valuation";"dollar conversion",#N/A,FALSE,"valuation";"analysis at various prices",#N/A,FALSE,"valuation"}</definedName>
    <definedName name="re" localSheetId="11" hidden="1">{"assumptions and inputs",#N/A,FALSE,"valuation";"intermediate calculations",#N/A,FALSE,"valuation";"dollar conversion",#N/A,FALSE,"valuation";"analysis at various prices",#N/A,FALSE,"valuation"}</definedName>
    <definedName name="re" localSheetId="31" hidden="1">{"assumptions and inputs",#N/A,FALSE,"valuation";"intermediate calculations",#N/A,FALSE,"valuation";"dollar conversion",#N/A,FALSE,"valuation";"analysis at various prices",#N/A,FALSE,"valuation"}</definedName>
    <definedName name="re" localSheetId="48" hidden="1">{"assumptions and inputs",#N/A,FALSE,"valuation";"intermediate calculations",#N/A,FALSE,"valuation";"dollar conversion",#N/A,FALSE,"valuation";"analysis at various prices",#N/A,FALSE,"valuation"}</definedName>
    <definedName name="re" hidden="1">{"assumptions and inputs",#N/A,FALSE,"valuation";"intermediate calculations",#N/A,FALSE,"valuation";"dollar conversion",#N/A,FALSE,"valuation";"analysis at various prices",#N/A,FALSE,"valuation"}</definedName>
    <definedName name="REL_AD" localSheetId="2">#REF!</definedName>
    <definedName name="REL_AD">#REF!</definedName>
    <definedName name="REL_PAR" localSheetId="2">#REF!</definedName>
    <definedName name="REL_PAR">#REF!</definedName>
    <definedName name="Remanescente" localSheetId="2">#REF!</definedName>
    <definedName name="Remanescente">#REF!</definedName>
    <definedName name="renata"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SULTADO1" localSheetId="2">#REF!</definedName>
    <definedName name="RESULTADO1">#REF!</definedName>
    <definedName name="RESULTADO2" localSheetId="2">#REF!</definedName>
    <definedName name="RESULTADO2">#REF!</definedName>
    <definedName name="Roger" hidden="1">"                                                                                                                                                                                                                                                            38"</definedName>
    <definedName name="ROLAno">INDIRECT("$b$"&amp;#REF!)</definedName>
    <definedName name="ROLAUTOAno">INDIRECT("$b$"&amp;#REF!)</definedName>
    <definedName name="ROLAUTOTri">INDIRECT("$b$"&amp;#REF!)</definedName>
    <definedName name="ROLLITri">INDIRECT("$b$"&amp;#REF!)</definedName>
    <definedName name="ROLTri">INDIRECT("$b$"&amp;#REF!)</definedName>
    <definedName name="RRRR"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4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ty" localSheetId="15" hidden="1">{#N/A,#N/A,TRUE,"Pro Forma";#N/A,#N/A,TRUE,"PF_Bal";#N/A,#N/A,TRUE,"PF_INC";#N/A,#N/A,TRUE,"CBE";#N/A,#N/A,TRUE,"SWK"}</definedName>
    <definedName name="rty" localSheetId="14" hidden="1">{#N/A,#N/A,TRUE,"Pro Forma";#N/A,#N/A,TRUE,"PF_Bal";#N/A,#N/A,TRUE,"PF_INC";#N/A,#N/A,TRUE,"CBE";#N/A,#N/A,TRUE,"SWK"}</definedName>
    <definedName name="rty" localSheetId="2" hidden="1">{#N/A,#N/A,TRUE,"Pro Forma";#N/A,#N/A,TRUE,"PF_Bal";#N/A,#N/A,TRUE,"PF_INC";#N/A,#N/A,TRUE,"CBE";#N/A,#N/A,TRUE,"SWK"}</definedName>
    <definedName name="rty" localSheetId="34" hidden="1">{#N/A,#N/A,TRUE,"Pro Forma";#N/A,#N/A,TRUE,"PF_Bal";#N/A,#N/A,TRUE,"PF_INC";#N/A,#N/A,TRUE,"CBE";#N/A,#N/A,TRUE,"SWK"}</definedName>
    <definedName name="rty" localSheetId="38" hidden="1">{#N/A,#N/A,TRUE,"Pro Forma";#N/A,#N/A,TRUE,"PF_Bal";#N/A,#N/A,TRUE,"PF_INC";#N/A,#N/A,TRUE,"CBE";#N/A,#N/A,TRUE,"SWK"}</definedName>
    <definedName name="rty" localSheetId="8" hidden="1">{#N/A,#N/A,TRUE,"Pro Forma";#N/A,#N/A,TRUE,"PF_Bal";#N/A,#N/A,TRUE,"PF_INC";#N/A,#N/A,TRUE,"CBE";#N/A,#N/A,TRUE,"SWK"}</definedName>
    <definedName name="rty" localSheetId="12" hidden="1">{#N/A,#N/A,TRUE,"Pro Forma";#N/A,#N/A,TRUE,"PF_Bal";#N/A,#N/A,TRUE,"PF_INC";#N/A,#N/A,TRUE,"CBE";#N/A,#N/A,TRUE,"SWK"}</definedName>
    <definedName name="rty" localSheetId="13" hidden="1">{#N/A,#N/A,TRUE,"Pro Forma";#N/A,#N/A,TRUE,"PF_Bal";#N/A,#N/A,TRUE,"PF_INC";#N/A,#N/A,TRUE,"CBE";#N/A,#N/A,TRUE,"SWK"}</definedName>
    <definedName name="rty" localSheetId="11" hidden="1">{#N/A,#N/A,TRUE,"Pro Forma";#N/A,#N/A,TRUE,"PF_Bal";#N/A,#N/A,TRUE,"PF_INC";#N/A,#N/A,TRUE,"CBE";#N/A,#N/A,TRUE,"SWK"}</definedName>
    <definedName name="rty" localSheetId="31" hidden="1">{#N/A,#N/A,TRUE,"Pro Forma";#N/A,#N/A,TRUE,"PF_Bal";#N/A,#N/A,TRUE,"PF_INC";#N/A,#N/A,TRUE,"CBE";#N/A,#N/A,TRUE,"SWK"}</definedName>
    <definedName name="rty" localSheetId="48" hidden="1">{#N/A,#N/A,TRUE,"Pro Forma";#N/A,#N/A,TRUE,"PF_Bal";#N/A,#N/A,TRUE,"PF_INC";#N/A,#N/A,TRUE,"CBE";#N/A,#N/A,TRUE,"SWK"}</definedName>
    <definedName name="rty" hidden="1">{#N/A,#N/A,TRUE,"Pro Forma";#N/A,#N/A,TRUE,"PF_Bal";#N/A,#N/A,TRUE,"PF_INC";#N/A,#N/A,TRUE,"CBE";#N/A,#N/A,TRUE,"SWK"}</definedName>
    <definedName name="SAFRA" localSheetId="2">#REF!</definedName>
    <definedName name="SAFRA">#REF!</definedName>
    <definedName name="SaldoAtivo">#REF!</definedName>
    <definedName name="SaldoPassivo">#REF!</definedName>
    <definedName name="SAPBEXhrIndnt" hidden="1">"Wide"</definedName>
    <definedName name="SAPBEXrevision" hidden="1">14</definedName>
    <definedName name="SAPBEXsysID" hidden="1">"BIP"</definedName>
    <definedName name="SAPBEXwbID" hidden="1">"3SO04G3IWYENSZLK6QOKKYLB2"</definedName>
    <definedName name="SAPsysID" hidden="1">"708C5W7SBKP804JT78WJ0JNKI"</definedName>
    <definedName name="SAPwbID" hidden="1">"ARS"</definedName>
    <definedName name="sdf" localSheetId="15" hidden="1">{#N/A,#N/A,FALSE,"Calc";#N/A,#N/A,FALSE,"Sensitivity";#N/A,#N/A,FALSE,"LT Earn.Dil.";#N/A,#N/A,FALSE,"Dil. AVP"}</definedName>
    <definedName name="sdf" localSheetId="14" hidden="1">{#N/A,#N/A,FALSE,"Calc";#N/A,#N/A,FALSE,"Sensitivity";#N/A,#N/A,FALSE,"LT Earn.Dil.";#N/A,#N/A,FALSE,"Dil. AVP"}</definedName>
    <definedName name="sdf" localSheetId="2" hidden="1">{#N/A,#N/A,FALSE,"Calc";#N/A,#N/A,FALSE,"Sensitivity";#N/A,#N/A,FALSE,"LT Earn.Dil.";#N/A,#N/A,FALSE,"Dil. AVP"}</definedName>
    <definedName name="sdf" localSheetId="34" hidden="1">{#N/A,#N/A,FALSE,"Calc";#N/A,#N/A,FALSE,"Sensitivity";#N/A,#N/A,FALSE,"LT Earn.Dil.";#N/A,#N/A,FALSE,"Dil. AVP"}</definedName>
    <definedName name="sdf" localSheetId="38" hidden="1">{#N/A,#N/A,FALSE,"Calc";#N/A,#N/A,FALSE,"Sensitivity";#N/A,#N/A,FALSE,"LT Earn.Dil.";#N/A,#N/A,FALSE,"Dil. AVP"}</definedName>
    <definedName name="sdf" localSheetId="8" hidden="1">{#N/A,#N/A,FALSE,"Calc";#N/A,#N/A,FALSE,"Sensitivity";#N/A,#N/A,FALSE,"LT Earn.Dil.";#N/A,#N/A,FALSE,"Dil. AVP"}</definedName>
    <definedName name="sdf" localSheetId="12" hidden="1">{#N/A,#N/A,FALSE,"Calc";#N/A,#N/A,FALSE,"Sensitivity";#N/A,#N/A,FALSE,"LT Earn.Dil.";#N/A,#N/A,FALSE,"Dil. AVP"}</definedName>
    <definedName name="sdf" localSheetId="13" hidden="1">{#N/A,#N/A,FALSE,"Calc";#N/A,#N/A,FALSE,"Sensitivity";#N/A,#N/A,FALSE,"LT Earn.Dil.";#N/A,#N/A,FALSE,"Dil. AVP"}</definedName>
    <definedName name="sdf" localSheetId="11" hidden="1">{#N/A,#N/A,FALSE,"Calc";#N/A,#N/A,FALSE,"Sensitivity";#N/A,#N/A,FALSE,"LT Earn.Dil.";#N/A,#N/A,FALSE,"Dil. AVP"}</definedName>
    <definedName name="sdf" localSheetId="31" hidden="1">{#N/A,#N/A,FALSE,"Calc";#N/A,#N/A,FALSE,"Sensitivity";#N/A,#N/A,FALSE,"LT Earn.Dil.";#N/A,#N/A,FALSE,"Dil. AVP"}</definedName>
    <definedName name="sdf" localSheetId="48" hidden="1">{#N/A,#N/A,FALSE,"Calc";#N/A,#N/A,FALSE,"Sensitivity";#N/A,#N/A,FALSE,"LT Earn.Dil.";#N/A,#N/A,FALSE,"Dil. AVP"}</definedName>
    <definedName name="sdf" hidden="1">{#N/A,#N/A,FALSE,"Calc";#N/A,#N/A,FALSE,"Sensitivity";#N/A,#N/A,FALSE,"LT Earn.Dil.";#N/A,#N/A,FALSE,"Dil. AVP"}</definedName>
    <definedName name="sdgdfghfhgfjhgfjhjjjg" localSheetId="15" hidden="1">{"general",#N/A,FALSE,"Assumptions"}</definedName>
    <definedName name="sdgdfghfhgfjhgfjhjjjg" localSheetId="14" hidden="1">{"general",#N/A,FALSE,"Assumptions"}</definedName>
    <definedName name="sdgdfghfhgfjhgfjhjjjg" localSheetId="2" hidden="1">{"general",#N/A,FALSE,"Assumptions"}</definedName>
    <definedName name="sdgdfghfhgfjhgfjhjjjg" localSheetId="34" hidden="1">{"general",#N/A,FALSE,"Assumptions"}</definedName>
    <definedName name="sdgdfghfhgfjhgfjhjjjg" localSheetId="38" hidden="1">{"general",#N/A,FALSE,"Assumptions"}</definedName>
    <definedName name="sdgdfghfhgfjhgfjhjjjg" localSheetId="8" hidden="1">{"general",#N/A,FALSE,"Assumptions"}</definedName>
    <definedName name="sdgdfghfhgfjhgfjhjjjg" localSheetId="12" hidden="1">{"general",#N/A,FALSE,"Assumptions"}</definedName>
    <definedName name="sdgdfghfhgfjhgfjhjjjg" localSheetId="13" hidden="1">{"general",#N/A,FALSE,"Assumptions"}</definedName>
    <definedName name="sdgdfghfhgfjhgfjhjjjg" localSheetId="11" hidden="1">{"general",#N/A,FALSE,"Assumptions"}</definedName>
    <definedName name="sdgdfghfhgfjhgfjhjjjg" localSheetId="31" hidden="1">{"general",#N/A,FALSE,"Assumptions"}</definedName>
    <definedName name="sdgdfghfhgfjhgfjhjjjg" localSheetId="48" hidden="1">{"general",#N/A,FALSE,"Assumptions"}</definedName>
    <definedName name="sdgdfghfhgfjhgfjhjjjg" hidden="1">{"general",#N/A,FALSE,"Assumptions"}</definedName>
    <definedName name="SDXSSDXSDX" localSheetId="15" hidden="1">{"Fecha_Outubro",#N/A,FALSE,"FECHAMENTO-2002 ";"Defer_Outubro",#N/A,FALSE,"DIFERIDO";"Pis_Outubro",#N/A,FALSE,"PIS COFINS";"Iss_Outubro",#N/A,FALSE,"ISS"}</definedName>
    <definedName name="SDXSSDXSDX" localSheetId="14" hidden="1">{"Fecha_Outubro",#N/A,FALSE,"FECHAMENTO-2002 ";"Defer_Outubro",#N/A,FALSE,"DIFERIDO";"Pis_Outubro",#N/A,FALSE,"PIS COFINS";"Iss_Outubro",#N/A,FALSE,"ISS"}</definedName>
    <definedName name="SDXSSDXSDX" localSheetId="2" hidden="1">{"Fecha_Outubro",#N/A,FALSE,"FECHAMENTO-2002 ";"Defer_Outubro",#N/A,FALSE,"DIFERIDO";"Pis_Outubro",#N/A,FALSE,"PIS COFINS";"Iss_Outubro",#N/A,FALSE,"ISS"}</definedName>
    <definedName name="SDXSSDXSDX" localSheetId="34" hidden="1">{"Fecha_Outubro",#N/A,FALSE,"FECHAMENTO-2002 ";"Defer_Outubro",#N/A,FALSE,"DIFERIDO";"Pis_Outubro",#N/A,FALSE,"PIS COFINS";"Iss_Outubro",#N/A,FALSE,"ISS"}</definedName>
    <definedName name="SDXSSDXSDX" localSheetId="38" hidden="1">{"Fecha_Outubro",#N/A,FALSE,"FECHAMENTO-2002 ";"Defer_Outubro",#N/A,FALSE,"DIFERIDO";"Pis_Outubro",#N/A,FALSE,"PIS COFINS";"Iss_Outubro",#N/A,FALSE,"ISS"}</definedName>
    <definedName name="SDXSSDXSDX" localSheetId="8" hidden="1">{"Fecha_Outubro",#N/A,FALSE,"FECHAMENTO-2002 ";"Defer_Outubro",#N/A,FALSE,"DIFERIDO";"Pis_Outubro",#N/A,FALSE,"PIS COFINS";"Iss_Outubro",#N/A,FALSE,"ISS"}</definedName>
    <definedName name="SDXSSDXSDX" localSheetId="12" hidden="1">{"Fecha_Outubro",#N/A,FALSE,"FECHAMENTO-2002 ";"Defer_Outubro",#N/A,FALSE,"DIFERIDO";"Pis_Outubro",#N/A,FALSE,"PIS COFINS";"Iss_Outubro",#N/A,FALSE,"ISS"}</definedName>
    <definedName name="SDXSSDXSDX" localSheetId="13" hidden="1">{"Fecha_Outubro",#N/A,FALSE,"FECHAMENTO-2002 ";"Defer_Outubro",#N/A,FALSE,"DIFERIDO";"Pis_Outubro",#N/A,FALSE,"PIS COFINS";"Iss_Outubro",#N/A,FALSE,"ISS"}</definedName>
    <definedName name="SDXSSDXSDX" localSheetId="11" hidden="1">{"Fecha_Outubro",#N/A,FALSE,"FECHAMENTO-2002 ";"Defer_Outubro",#N/A,FALSE,"DIFERIDO";"Pis_Outubro",#N/A,FALSE,"PIS COFINS";"Iss_Outubro",#N/A,FALSE,"ISS"}</definedName>
    <definedName name="SDXSSDXSDX" localSheetId="31" hidden="1">{"Fecha_Outubro",#N/A,FALSE,"FECHAMENTO-2002 ";"Defer_Outubro",#N/A,FALSE,"DIFERIDO";"Pis_Outubro",#N/A,FALSE,"PIS COFINS";"Iss_Outubro",#N/A,FALSE,"ISS"}</definedName>
    <definedName name="SDXSSDXSDX" localSheetId="48" hidden="1">{"Fecha_Outubro",#N/A,FALSE,"FECHAMENTO-2002 ";"Defer_Outubro",#N/A,FALSE,"DIFERIDO";"Pis_Outubro",#N/A,FALSE,"PIS COFINS";"Iss_Outubro",#N/A,FALSE,"ISS"}</definedName>
    <definedName name="SDXSSDXSDX" hidden="1">{"Fecha_Outubro",#N/A,FALSE,"FECHAMENTO-2002 ";"Defer_Outubro",#N/A,FALSE,"DIFERIDO";"Pis_Outubro",#N/A,FALSE,"PIS COFINS";"Iss_Outubro",#N/A,FALSE,"ISS"}</definedName>
    <definedName name="se" localSheetId="15" hidden="1">{"consolidated",#N/A,FALSE,"Sheet1";"cms",#N/A,FALSE,"Sheet1";"fse",#N/A,FALSE,"Sheet1"}</definedName>
    <definedName name="se" localSheetId="14" hidden="1">{"consolidated",#N/A,FALSE,"Sheet1";"cms",#N/A,FALSE,"Sheet1";"fse",#N/A,FALSE,"Sheet1"}</definedName>
    <definedName name="se" localSheetId="2" hidden="1">{"consolidated",#N/A,FALSE,"Sheet1";"cms",#N/A,FALSE,"Sheet1";"fse",#N/A,FALSE,"Sheet1"}</definedName>
    <definedName name="se" localSheetId="34" hidden="1">{"consolidated",#N/A,FALSE,"Sheet1";"cms",#N/A,FALSE,"Sheet1";"fse",#N/A,FALSE,"Sheet1"}</definedName>
    <definedName name="se" localSheetId="38" hidden="1">{"consolidated",#N/A,FALSE,"Sheet1";"cms",#N/A,FALSE,"Sheet1";"fse",#N/A,FALSE,"Sheet1"}</definedName>
    <definedName name="se" localSheetId="8" hidden="1">{"consolidated",#N/A,FALSE,"Sheet1";"cms",#N/A,FALSE,"Sheet1";"fse",#N/A,FALSE,"Sheet1"}</definedName>
    <definedName name="se" localSheetId="12" hidden="1">{"consolidated",#N/A,FALSE,"Sheet1";"cms",#N/A,FALSE,"Sheet1";"fse",#N/A,FALSE,"Sheet1"}</definedName>
    <definedName name="se" localSheetId="13" hidden="1">{"consolidated",#N/A,FALSE,"Sheet1";"cms",#N/A,FALSE,"Sheet1";"fse",#N/A,FALSE,"Sheet1"}</definedName>
    <definedName name="se" localSheetId="11" hidden="1">{"consolidated",#N/A,FALSE,"Sheet1";"cms",#N/A,FALSE,"Sheet1";"fse",#N/A,FALSE,"Sheet1"}</definedName>
    <definedName name="se" localSheetId="31" hidden="1">{"consolidated",#N/A,FALSE,"Sheet1";"cms",#N/A,FALSE,"Sheet1";"fse",#N/A,FALSE,"Sheet1"}</definedName>
    <definedName name="se" localSheetId="48" hidden="1">{"consolidated",#N/A,FALSE,"Sheet1";"cms",#N/A,FALSE,"Sheet1";"fse",#N/A,FALSE,"Sheet1"}</definedName>
    <definedName name="se" hidden="1">{"consolidated",#N/A,FALSE,"Sheet1";"cms",#N/A,FALSE,"Sheet1";"fse",#N/A,FALSE,"Sheet1"}</definedName>
    <definedName name="sencount" hidden="1">1</definedName>
    <definedName name="Serviços" localSheetId="2">#REF!</definedName>
    <definedName name="Serviços">#REF!</definedName>
    <definedName name="solver_adj" localSheetId="1" hidden="1">#REF!,#REF!</definedName>
    <definedName name="solver_adj" localSheetId="15" hidden="1">#REF!,#REF!</definedName>
    <definedName name="solver_adj" localSheetId="7" hidden="1">#REF!,#REF!</definedName>
    <definedName name="solver_adj" localSheetId="14" hidden="1">#REF!,#REF!</definedName>
    <definedName name="solver_adj" localSheetId="2" hidden="1">#REF!,#REF!</definedName>
    <definedName name="solver_adj" localSheetId="34" hidden="1">#REF!,#REF!</definedName>
    <definedName name="solver_adj" localSheetId="38" hidden="1">#REF!,#REF!</definedName>
    <definedName name="solver_adj" localSheetId="12" hidden="1">#REF!,#REF!</definedName>
    <definedName name="solver_adj" localSheetId="10" hidden="1">#REF!,#REF!</definedName>
    <definedName name="solver_adj" localSheetId="11" hidden="1">#REF!,#REF!</definedName>
    <definedName name="solver_adj" localSheetId="6" hidden="1">#REF!,#REF!</definedName>
    <definedName name="solver_adj" hidden="1">#REF!,#REF!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localSheetId="1" hidden="1">#REF!</definedName>
    <definedName name="solver_opt" localSheetId="15" hidden="1">#REF!</definedName>
    <definedName name="solver_opt" localSheetId="7" hidden="1">#REF!</definedName>
    <definedName name="solver_opt" localSheetId="14" hidden="1">#REF!</definedName>
    <definedName name="solver_opt" localSheetId="2" hidden="1">#REF!</definedName>
    <definedName name="solver_opt" localSheetId="34" hidden="1">#REF!</definedName>
    <definedName name="solver_opt" localSheetId="38" hidden="1">#REF!</definedName>
    <definedName name="solver_opt" localSheetId="12" hidden="1">#REF!</definedName>
    <definedName name="solver_opt" localSheetId="10" hidden="1">#REF!</definedName>
    <definedName name="solver_opt" localSheetId="11" hidden="1">#REF!</definedName>
    <definedName name="solver_opt" localSheetId="6"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s_1" localSheetId="15" hidden="1">{"Fecha_Setembro",#N/A,FALSE,"FECHAMENTO-2002 ";"Defer_Setembro",#N/A,FALSE,"DIFERIDO";"Pis_Setembro",#N/A,FALSE,"PIS COFINS";"Iss_Setembro",#N/A,FALSE,"ISS"}</definedName>
    <definedName name="ss_1" localSheetId="14" hidden="1">{"Fecha_Setembro",#N/A,FALSE,"FECHAMENTO-2002 ";"Defer_Setembro",#N/A,FALSE,"DIFERIDO";"Pis_Setembro",#N/A,FALSE,"PIS COFINS";"Iss_Setembro",#N/A,FALSE,"ISS"}</definedName>
    <definedName name="ss_1" localSheetId="2" hidden="1">{"Fecha_Setembro",#N/A,FALSE,"FECHAMENTO-2002 ";"Defer_Setembro",#N/A,FALSE,"DIFERIDO";"Pis_Setembro",#N/A,FALSE,"PIS COFINS";"Iss_Setembro",#N/A,FALSE,"ISS"}</definedName>
    <definedName name="ss_1" localSheetId="34" hidden="1">{"Fecha_Setembro",#N/A,FALSE,"FECHAMENTO-2002 ";"Defer_Setembro",#N/A,FALSE,"DIFERIDO";"Pis_Setembro",#N/A,FALSE,"PIS COFINS";"Iss_Setembro",#N/A,FALSE,"ISS"}</definedName>
    <definedName name="ss_1" localSheetId="38" hidden="1">{"Fecha_Setembro",#N/A,FALSE,"FECHAMENTO-2002 ";"Defer_Setembro",#N/A,FALSE,"DIFERIDO";"Pis_Setembro",#N/A,FALSE,"PIS COFINS";"Iss_Setembro",#N/A,FALSE,"ISS"}</definedName>
    <definedName name="ss_1" localSheetId="8" hidden="1">{"Fecha_Setembro",#N/A,FALSE,"FECHAMENTO-2002 ";"Defer_Setembro",#N/A,FALSE,"DIFERIDO";"Pis_Setembro",#N/A,FALSE,"PIS COFINS";"Iss_Setembro",#N/A,FALSE,"ISS"}</definedName>
    <definedName name="ss_1" localSheetId="12" hidden="1">{"Fecha_Setembro",#N/A,FALSE,"FECHAMENTO-2002 ";"Defer_Setembro",#N/A,FALSE,"DIFERIDO";"Pis_Setembro",#N/A,FALSE,"PIS COFINS";"Iss_Setembro",#N/A,FALSE,"ISS"}</definedName>
    <definedName name="ss_1" localSheetId="13" hidden="1">{"Fecha_Setembro",#N/A,FALSE,"FECHAMENTO-2002 ";"Defer_Setembro",#N/A,FALSE,"DIFERIDO";"Pis_Setembro",#N/A,FALSE,"PIS COFINS";"Iss_Setembro",#N/A,FALSE,"ISS"}</definedName>
    <definedName name="ss_1" localSheetId="11" hidden="1">{"Fecha_Setembro",#N/A,FALSE,"FECHAMENTO-2002 ";"Defer_Setembro",#N/A,FALSE,"DIFERIDO";"Pis_Setembro",#N/A,FALSE,"PIS COFINS";"Iss_Setembro",#N/A,FALSE,"ISS"}</definedName>
    <definedName name="ss_1" localSheetId="31" hidden="1">{"Fecha_Setembro",#N/A,FALSE,"FECHAMENTO-2002 ";"Defer_Setembro",#N/A,FALSE,"DIFERIDO";"Pis_Setembro",#N/A,FALSE,"PIS COFINS";"Iss_Setembro",#N/A,FALSE,"ISS"}</definedName>
    <definedName name="ss_1" localSheetId="48" hidden="1">{"Fecha_Setembro",#N/A,FALSE,"FECHAMENTO-2002 ";"Defer_Setembro",#N/A,FALSE,"DIFERIDO";"Pis_Setembro",#N/A,FALSE,"PIS COFINS";"Iss_Setembro",#N/A,FALSE,"ISS"}</definedName>
    <definedName name="ss_1" hidden="1">{"Fecha_Setembro",#N/A,FALSE,"FECHAMENTO-2002 ";"Defer_Setembro",#N/A,FALSE,"DIFERIDO";"Pis_Setembro",#N/A,FALSE,"PIS COFINS";"Iss_Setembro",#N/A,FALSE,"ISS"}</definedName>
    <definedName name="sss" localSheetId="15" hidden="1">{#N/A,#N/A,FALSE,"HONORÁRIOS"}</definedName>
    <definedName name="sss" localSheetId="14" hidden="1">{#N/A,#N/A,FALSE,"HONORÁRIOS"}</definedName>
    <definedName name="sss" localSheetId="2" hidden="1">{#N/A,#N/A,FALSE,"HONORÁRIOS"}</definedName>
    <definedName name="sss" localSheetId="34" hidden="1">{#N/A,#N/A,FALSE,"HONORÁRIOS"}</definedName>
    <definedName name="sss" localSheetId="38" hidden="1">{#N/A,#N/A,FALSE,"HONORÁRIOS"}</definedName>
    <definedName name="sss" localSheetId="8" hidden="1">{#N/A,#N/A,FALSE,"HONORÁRIOS"}</definedName>
    <definedName name="sss" localSheetId="12" hidden="1">{#N/A,#N/A,FALSE,"HONORÁRIOS"}</definedName>
    <definedName name="sss" localSheetId="13" hidden="1">{#N/A,#N/A,FALSE,"HONORÁRIOS"}</definedName>
    <definedName name="sss" localSheetId="11" hidden="1">{#N/A,#N/A,FALSE,"HONORÁRIOS"}</definedName>
    <definedName name="sss" localSheetId="31" hidden="1">{#N/A,#N/A,FALSE,"HONORÁRIOS"}</definedName>
    <definedName name="sss" localSheetId="48" hidden="1">{#N/A,#N/A,FALSE,"HONORÁRIOS"}</definedName>
    <definedName name="sss" hidden="1">{#N/A,#N/A,FALSE,"HONORÁRIOS"}</definedName>
    <definedName name="sss_1" localSheetId="15" hidden="1">{#N/A,#N/A,FALSE,"HONORÁRIOS"}</definedName>
    <definedName name="sss_1" localSheetId="14" hidden="1">{#N/A,#N/A,FALSE,"HONORÁRIOS"}</definedName>
    <definedName name="sss_1" localSheetId="2" hidden="1">{#N/A,#N/A,FALSE,"HONORÁRIOS"}</definedName>
    <definedName name="sss_1" localSheetId="34" hidden="1">{#N/A,#N/A,FALSE,"HONORÁRIOS"}</definedName>
    <definedName name="sss_1" localSheetId="38" hidden="1">{#N/A,#N/A,FALSE,"HONORÁRIOS"}</definedName>
    <definedName name="sss_1" localSheetId="8" hidden="1">{#N/A,#N/A,FALSE,"HONORÁRIOS"}</definedName>
    <definedName name="sss_1" localSheetId="12" hidden="1">{#N/A,#N/A,FALSE,"HONORÁRIOS"}</definedName>
    <definedName name="sss_1" localSheetId="13" hidden="1">{#N/A,#N/A,FALSE,"HONORÁRIOS"}</definedName>
    <definedName name="sss_1" localSheetId="11" hidden="1">{#N/A,#N/A,FALSE,"HONORÁRIOS"}</definedName>
    <definedName name="sss_1" localSheetId="31" hidden="1">{#N/A,#N/A,FALSE,"HONORÁRIOS"}</definedName>
    <definedName name="sss_1" localSheetId="48" hidden="1">{#N/A,#N/A,FALSE,"HONORÁRIOS"}</definedName>
    <definedName name="sss_1" hidden="1">{#N/A,#N/A,FALSE,"HONORÁRIOS"}</definedName>
    <definedName name="ssss" localSheetId="15" hidden="1">{"Fecha_Dezembro",#N/A,FALSE,"FECHAMENTO-2002 ";"Defer_Dezermbro",#N/A,FALSE,"DIFERIDO";"Pis_Dezembro",#N/A,FALSE,"PIS COFINS";"Iss_Dezembro",#N/A,FALSE,"ISS"}</definedName>
    <definedName name="ssss" localSheetId="14" hidden="1">{"Fecha_Dezembro",#N/A,FALSE,"FECHAMENTO-2002 ";"Defer_Dezermbro",#N/A,FALSE,"DIFERIDO";"Pis_Dezembro",#N/A,FALSE,"PIS COFINS";"Iss_Dezembro",#N/A,FALSE,"ISS"}</definedName>
    <definedName name="ssss" localSheetId="2" hidden="1">{"Fecha_Dezembro",#N/A,FALSE,"FECHAMENTO-2002 ";"Defer_Dezermbro",#N/A,FALSE,"DIFERIDO";"Pis_Dezembro",#N/A,FALSE,"PIS COFINS";"Iss_Dezembro",#N/A,FALSE,"ISS"}</definedName>
    <definedName name="ssss" localSheetId="34" hidden="1">{"Fecha_Dezembro",#N/A,FALSE,"FECHAMENTO-2002 ";"Defer_Dezermbro",#N/A,FALSE,"DIFERIDO";"Pis_Dezembro",#N/A,FALSE,"PIS COFINS";"Iss_Dezembro",#N/A,FALSE,"ISS"}</definedName>
    <definedName name="ssss" localSheetId="38" hidden="1">{"Fecha_Dezembro",#N/A,FALSE,"FECHAMENTO-2002 ";"Defer_Dezermbro",#N/A,FALSE,"DIFERIDO";"Pis_Dezembro",#N/A,FALSE,"PIS COFINS";"Iss_Dezembro",#N/A,FALSE,"ISS"}</definedName>
    <definedName name="ssss" localSheetId="8" hidden="1">{"Fecha_Dezembro",#N/A,FALSE,"FECHAMENTO-2002 ";"Defer_Dezermbro",#N/A,FALSE,"DIFERIDO";"Pis_Dezembro",#N/A,FALSE,"PIS COFINS";"Iss_Dezembro",#N/A,FALSE,"ISS"}</definedName>
    <definedName name="ssss" localSheetId="12" hidden="1">{"Fecha_Dezembro",#N/A,FALSE,"FECHAMENTO-2002 ";"Defer_Dezermbro",#N/A,FALSE,"DIFERIDO";"Pis_Dezembro",#N/A,FALSE,"PIS COFINS";"Iss_Dezembro",#N/A,FALSE,"ISS"}</definedName>
    <definedName name="ssss" localSheetId="13" hidden="1">{"Fecha_Dezembro",#N/A,FALSE,"FECHAMENTO-2002 ";"Defer_Dezermbro",#N/A,FALSE,"DIFERIDO";"Pis_Dezembro",#N/A,FALSE,"PIS COFINS";"Iss_Dezembro",#N/A,FALSE,"ISS"}</definedName>
    <definedName name="ssss" localSheetId="11" hidden="1">{"Fecha_Dezembro",#N/A,FALSE,"FECHAMENTO-2002 ";"Defer_Dezermbro",#N/A,FALSE,"DIFERIDO";"Pis_Dezembro",#N/A,FALSE,"PIS COFINS";"Iss_Dezembro",#N/A,FALSE,"ISS"}</definedName>
    <definedName name="ssss" localSheetId="31" hidden="1">{"Fecha_Dezembro",#N/A,FALSE,"FECHAMENTO-2002 ";"Defer_Dezermbro",#N/A,FALSE,"DIFERIDO";"Pis_Dezembro",#N/A,FALSE,"PIS COFINS";"Iss_Dezembro",#N/A,FALSE,"ISS"}</definedName>
    <definedName name="ssss" localSheetId="48" hidden="1">{"Fecha_Dezembro",#N/A,FALSE,"FECHAMENTO-2002 ";"Defer_Dezermbro",#N/A,FALSE,"DIFERIDO";"Pis_Dezembro",#N/A,FALSE,"PIS COFINS";"Iss_Dezembro",#N/A,FALSE,"ISS"}</definedName>
    <definedName name="ssss" hidden="1">{"Fecha_Dezembro",#N/A,FALSE,"FECHAMENTO-2002 ";"Defer_Dezermbro",#N/A,FALSE,"DIFERIDO";"Pis_Dezembro",#N/A,FALSE,"PIS COFINS";"Iss_Dezembro",#N/A,FALSE,"ISS"}</definedName>
    <definedName name="ssss_1" localSheetId="15" hidden="1">{"Fecha_Dezembro",#N/A,FALSE,"FECHAMENTO-2002 ";"Defer_Dezermbro",#N/A,FALSE,"DIFERIDO";"Pis_Dezembro",#N/A,FALSE,"PIS COFINS";"Iss_Dezembro",#N/A,FALSE,"ISS"}</definedName>
    <definedName name="ssss_1" localSheetId="14" hidden="1">{"Fecha_Dezembro",#N/A,FALSE,"FECHAMENTO-2002 ";"Defer_Dezermbro",#N/A,FALSE,"DIFERIDO";"Pis_Dezembro",#N/A,FALSE,"PIS COFINS";"Iss_Dezembro",#N/A,FALSE,"ISS"}</definedName>
    <definedName name="ssss_1" localSheetId="2" hidden="1">{"Fecha_Dezembro",#N/A,FALSE,"FECHAMENTO-2002 ";"Defer_Dezermbro",#N/A,FALSE,"DIFERIDO";"Pis_Dezembro",#N/A,FALSE,"PIS COFINS";"Iss_Dezembro",#N/A,FALSE,"ISS"}</definedName>
    <definedName name="ssss_1" localSheetId="34" hidden="1">{"Fecha_Dezembro",#N/A,FALSE,"FECHAMENTO-2002 ";"Defer_Dezermbro",#N/A,FALSE,"DIFERIDO";"Pis_Dezembro",#N/A,FALSE,"PIS COFINS";"Iss_Dezembro",#N/A,FALSE,"ISS"}</definedName>
    <definedName name="ssss_1" localSheetId="38" hidden="1">{"Fecha_Dezembro",#N/A,FALSE,"FECHAMENTO-2002 ";"Defer_Dezermbro",#N/A,FALSE,"DIFERIDO";"Pis_Dezembro",#N/A,FALSE,"PIS COFINS";"Iss_Dezembro",#N/A,FALSE,"ISS"}</definedName>
    <definedName name="ssss_1" localSheetId="8" hidden="1">{"Fecha_Dezembro",#N/A,FALSE,"FECHAMENTO-2002 ";"Defer_Dezermbro",#N/A,FALSE,"DIFERIDO";"Pis_Dezembro",#N/A,FALSE,"PIS COFINS";"Iss_Dezembro",#N/A,FALSE,"ISS"}</definedName>
    <definedName name="ssss_1" localSheetId="12" hidden="1">{"Fecha_Dezembro",#N/A,FALSE,"FECHAMENTO-2002 ";"Defer_Dezermbro",#N/A,FALSE,"DIFERIDO";"Pis_Dezembro",#N/A,FALSE,"PIS COFINS";"Iss_Dezembro",#N/A,FALSE,"ISS"}</definedName>
    <definedName name="ssss_1" localSheetId="13" hidden="1">{"Fecha_Dezembro",#N/A,FALSE,"FECHAMENTO-2002 ";"Defer_Dezermbro",#N/A,FALSE,"DIFERIDO";"Pis_Dezembro",#N/A,FALSE,"PIS COFINS";"Iss_Dezembro",#N/A,FALSE,"ISS"}</definedName>
    <definedName name="ssss_1" localSheetId="11" hidden="1">{"Fecha_Dezembro",#N/A,FALSE,"FECHAMENTO-2002 ";"Defer_Dezermbro",#N/A,FALSE,"DIFERIDO";"Pis_Dezembro",#N/A,FALSE,"PIS COFINS";"Iss_Dezembro",#N/A,FALSE,"ISS"}</definedName>
    <definedName name="ssss_1" localSheetId="31" hidden="1">{"Fecha_Dezembro",#N/A,FALSE,"FECHAMENTO-2002 ";"Defer_Dezermbro",#N/A,FALSE,"DIFERIDO";"Pis_Dezembro",#N/A,FALSE,"PIS COFINS";"Iss_Dezembro",#N/A,FALSE,"ISS"}</definedName>
    <definedName name="ssss_1" localSheetId="48" hidden="1">{"Fecha_Dezembro",#N/A,FALSE,"FECHAMENTO-2002 ";"Defer_Dezermbro",#N/A,FALSE,"DIFERIDO";"Pis_Dezembro",#N/A,FALSE,"PIS COFINS";"Iss_Dezembro",#N/A,FALSE,"ISS"}</definedName>
    <definedName name="ssss_1" hidden="1">{"Fecha_Dezembro",#N/A,FALSE,"FECHAMENTO-2002 ";"Defer_Dezermbro",#N/A,FALSE,"DIFERIDO";"Pis_Dezembro",#N/A,FALSE,"PIS COFINS";"Iss_Dezembro",#N/A,FALSE,"ISS"}</definedName>
    <definedName name="sssss" localSheetId="15" hidden="1">{"Fecha_Dezembro",#N/A,FALSE,"FECHAMENTO-2002 ";"Defer_Dezermbro",#N/A,FALSE,"DIFERIDO";"Pis_Dezembro",#N/A,FALSE,"PIS COFINS";"Iss_Dezembro",#N/A,FALSE,"ISS"}</definedName>
    <definedName name="sssss" localSheetId="14" hidden="1">{"Fecha_Dezembro",#N/A,FALSE,"FECHAMENTO-2002 ";"Defer_Dezermbro",#N/A,FALSE,"DIFERIDO";"Pis_Dezembro",#N/A,FALSE,"PIS COFINS";"Iss_Dezembro",#N/A,FALSE,"ISS"}</definedName>
    <definedName name="sssss" localSheetId="2" hidden="1">{"Fecha_Dezembro",#N/A,FALSE,"FECHAMENTO-2002 ";"Defer_Dezermbro",#N/A,FALSE,"DIFERIDO";"Pis_Dezembro",#N/A,FALSE,"PIS COFINS";"Iss_Dezembro",#N/A,FALSE,"ISS"}</definedName>
    <definedName name="sssss" localSheetId="34" hidden="1">{"Fecha_Dezembro",#N/A,FALSE,"FECHAMENTO-2002 ";"Defer_Dezermbro",#N/A,FALSE,"DIFERIDO";"Pis_Dezembro",#N/A,FALSE,"PIS COFINS";"Iss_Dezembro",#N/A,FALSE,"ISS"}</definedName>
    <definedName name="sssss" localSheetId="38" hidden="1">{"Fecha_Dezembro",#N/A,FALSE,"FECHAMENTO-2002 ";"Defer_Dezermbro",#N/A,FALSE,"DIFERIDO";"Pis_Dezembro",#N/A,FALSE,"PIS COFINS";"Iss_Dezembro",#N/A,FALSE,"ISS"}</definedName>
    <definedName name="sssss" localSheetId="8" hidden="1">{"Fecha_Dezembro",#N/A,FALSE,"FECHAMENTO-2002 ";"Defer_Dezermbro",#N/A,FALSE,"DIFERIDO";"Pis_Dezembro",#N/A,FALSE,"PIS COFINS";"Iss_Dezembro",#N/A,FALSE,"ISS"}</definedName>
    <definedName name="sssss" localSheetId="12" hidden="1">{"Fecha_Dezembro",#N/A,FALSE,"FECHAMENTO-2002 ";"Defer_Dezermbro",#N/A,FALSE,"DIFERIDO";"Pis_Dezembro",#N/A,FALSE,"PIS COFINS";"Iss_Dezembro",#N/A,FALSE,"ISS"}</definedName>
    <definedName name="sssss" localSheetId="13" hidden="1">{"Fecha_Dezembro",#N/A,FALSE,"FECHAMENTO-2002 ";"Defer_Dezermbro",#N/A,FALSE,"DIFERIDO";"Pis_Dezembro",#N/A,FALSE,"PIS COFINS";"Iss_Dezembro",#N/A,FALSE,"ISS"}</definedName>
    <definedName name="sssss" localSheetId="11" hidden="1">{"Fecha_Dezembro",#N/A,FALSE,"FECHAMENTO-2002 ";"Defer_Dezermbro",#N/A,FALSE,"DIFERIDO";"Pis_Dezembro",#N/A,FALSE,"PIS COFINS";"Iss_Dezembro",#N/A,FALSE,"ISS"}</definedName>
    <definedName name="sssss" localSheetId="31" hidden="1">{"Fecha_Dezembro",#N/A,FALSE,"FECHAMENTO-2002 ";"Defer_Dezermbro",#N/A,FALSE,"DIFERIDO";"Pis_Dezembro",#N/A,FALSE,"PIS COFINS";"Iss_Dezembro",#N/A,FALSE,"ISS"}</definedName>
    <definedName name="sssss" localSheetId="48"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_1" localSheetId="15" hidden="1">{"Fecha_Dezembro",#N/A,FALSE,"FECHAMENTO-2002 ";"Defer_Dezermbro",#N/A,FALSE,"DIFERIDO";"Pis_Dezembro",#N/A,FALSE,"PIS COFINS";"Iss_Dezembro",#N/A,FALSE,"ISS"}</definedName>
    <definedName name="sssss_1" localSheetId="14" hidden="1">{"Fecha_Dezembro",#N/A,FALSE,"FECHAMENTO-2002 ";"Defer_Dezermbro",#N/A,FALSE,"DIFERIDO";"Pis_Dezembro",#N/A,FALSE,"PIS COFINS";"Iss_Dezembro",#N/A,FALSE,"ISS"}</definedName>
    <definedName name="sssss_1" localSheetId="2" hidden="1">{"Fecha_Dezembro",#N/A,FALSE,"FECHAMENTO-2002 ";"Defer_Dezermbro",#N/A,FALSE,"DIFERIDO";"Pis_Dezembro",#N/A,FALSE,"PIS COFINS";"Iss_Dezembro",#N/A,FALSE,"ISS"}</definedName>
    <definedName name="sssss_1" localSheetId="34" hidden="1">{"Fecha_Dezembro",#N/A,FALSE,"FECHAMENTO-2002 ";"Defer_Dezermbro",#N/A,FALSE,"DIFERIDO";"Pis_Dezembro",#N/A,FALSE,"PIS COFINS";"Iss_Dezembro",#N/A,FALSE,"ISS"}</definedName>
    <definedName name="sssss_1" localSheetId="38" hidden="1">{"Fecha_Dezembro",#N/A,FALSE,"FECHAMENTO-2002 ";"Defer_Dezermbro",#N/A,FALSE,"DIFERIDO";"Pis_Dezembro",#N/A,FALSE,"PIS COFINS";"Iss_Dezembro",#N/A,FALSE,"ISS"}</definedName>
    <definedName name="sssss_1" localSheetId="8" hidden="1">{"Fecha_Dezembro",#N/A,FALSE,"FECHAMENTO-2002 ";"Defer_Dezermbro",#N/A,FALSE,"DIFERIDO";"Pis_Dezembro",#N/A,FALSE,"PIS COFINS";"Iss_Dezembro",#N/A,FALSE,"ISS"}</definedName>
    <definedName name="sssss_1" localSheetId="12" hidden="1">{"Fecha_Dezembro",#N/A,FALSE,"FECHAMENTO-2002 ";"Defer_Dezermbro",#N/A,FALSE,"DIFERIDO";"Pis_Dezembro",#N/A,FALSE,"PIS COFINS";"Iss_Dezembro",#N/A,FALSE,"ISS"}</definedName>
    <definedName name="sssss_1" localSheetId="13" hidden="1">{"Fecha_Dezembro",#N/A,FALSE,"FECHAMENTO-2002 ";"Defer_Dezermbro",#N/A,FALSE,"DIFERIDO";"Pis_Dezembro",#N/A,FALSE,"PIS COFINS";"Iss_Dezembro",#N/A,FALSE,"ISS"}</definedName>
    <definedName name="sssss_1" localSheetId="11" hidden="1">{"Fecha_Dezembro",#N/A,FALSE,"FECHAMENTO-2002 ";"Defer_Dezermbro",#N/A,FALSE,"DIFERIDO";"Pis_Dezembro",#N/A,FALSE,"PIS COFINS";"Iss_Dezembro",#N/A,FALSE,"ISS"}</definedName>
    <definedName name="sssss_1" localSheetId="31" hidden="1">{"Fecha_Dezembro",#N/A,FALSE,"FECHAMENTO-2002 ";"Defer_Dezermbro",#N/A,FALSE,"DIFERIDO";"Pis_Dezembro",#N/A,FALSE,"PIS COFINS";"Iss_Dezembro",#N/A,FALSE,"ISS"}</definedName>
    <definedName name="sssss_1" localSheetId="48" hidden="1">{"Fecha_Dezembro",#N/A,FALSE,"FECHAMENTO-2002 ";"Defer_Dezermbro",#N/A,FALSE,"DIFERIDO";"Pis_Dezembro",#N/A,FALSE,"PIS COFINS";"Iss_Dezembro",#N/A,FALSE,"ISS"}</definedName>
    <definedName name="sssss_1" hidden="1">{"Fecha_Dezembro",#N/A,FALSE,"FECHAMENTO-2002 ";"Defer_Dezermbro",#N/A,FALSE,"DIFERIDO";"Pis_Dezembro",#N/A,FALSE,"PIS COFINS";"Iss_Dezembro",#N/A,FALSE,"ISS"}</definedName>
    <definedName name="sssssss" localSheetId="15" hidden="1">{"Fecha_Dezembro",#N/A,FALSE,"FECHAMENTO-2002 ";"Defer_Dezermbro",#N/A,FALSE,"DIFERIDO";"Pis_Dezembro",#N/A,FALSE,"PIS COFINS";"Iss_Dezembro",#N/A,FALSE,"ISS"}</definedName>
    <definedName name="sssssss" localSheetId="14" hidden="1">{"Fecha_Dezembro",#N/A,FALSE,"FECHAMENTO-2002 ";"Defer_Dezermbro",#N/A,FALSE,"DIFERIDO";"Pis_Dezembro",#N/A,FALSE,"PIS COFINS";"Iss_Dezembro",#N/A,FALSE,"ISS"}</definedName>
    <definedName name="sssssss" localSheetId="2" hidden="1">{"Fecha_Dezembro",#N/A,FALSE,"FECHAMENTO-2002 ";"Defer_Dezermbro",#N/A,FALSE,"DIFERIDO";"Pis_Dezembro",#N/A,FALSE,"PIS COFINS";"Iss_Dezembro",#N/A,FALSE,"ISS"}</definedName>
    <definedName name="sssssss" localSheetId="34" hidden="1">{"Fecha_Dezembro",#N/A,FALSE,"FECHAMENTO-2002 ";"Defer_Dezermbro",#N/A,FALSE,"DIFERIDO";"Pis_Dezembro",#N/A,FALSE,"PIS COFINS";"Iss_Dezembro",#N/A,FALSE,"ISS"}</definedName>
    <definedName name="sssssss" localSheetId="38" hidden="1">{"Fecha_Dezembro",#N/A,FALSE,"FECHAMENTO-2002 ";"Defer_Dezermbro",#N/A,FALSE,"DIFERIDO";"Pis_Dezembro",#N/A,FALSE,"PIS COFINS";"Iss_Dezembro",#N/A,FALSE,"ISS"}</definedName>
    <definedName name="sssssss" localSheetId="8" hidden="1">{"Fecha_Dezembro",#N/A,FALSE,"FECHAMENTO-2002 ";"Defer_Dezermbro",#N/A,FALSE,"DIFERIDO";"Pis_Dezembro",#N/A,FALSE,"PIS COFINS";"Iss_Dezembro",#N/A,FALSE,"ISS"}</definedName>
    <definedName name="sssssss" localSheetId="12" hidden="1">{"Fecha_Dezembro",#N/A,FALSE,"FECHAMENTO-2002 ";"Defer_Dezermbro",#N/A,FALSE,"DIFERIDO";"Pis_Dezembro",#N/A,FALSE,"PIS COFINS";"Iss_Dezembro",#N/A,FALSE,"ISS"}</definedName>
    <definedName name="sssssss" localSheetId="13" hidden="1">{"Fecha_Dezembro",#N/A,FALSE,"FECHAMENTO-2002 ";"Defer_Dezermbro",#N/A,FALSE,"DIFERIDO";"Pis_Dezembro",#N/A,FALSE,"PIS COFINS";"Iss_Dezembro",#N/A,FALSE,"ISS"}</definedName>
    <definedName name="sssssss" localSheetId="11" hidden="1">{"Fecha_Dezembro",#N/A,FALSE,"FECHAMENTO-2002 ";"Defer_Dezermbro",#N/A,FALSE,"DIFERIDO";"Pis_Dezembro",#N/A,FALSE,"PIS COFINS";"Iss_Dezembro",#N/A,FALSE,"ISS"}</definedName>
    <definedName name="sssssss" localSheetId="31" hidden="1">{"Fecha_Dezembro",#N/A,FALSE,"FECHAMENTO-2002 ";"Defer_Dezermbro",#N/A,FALSE,"DIFERIDO";"Pis_Dezembro",#N/A,FALSE,"PIS COFINS";"Iss_Dezembro",#N/A,FALSE,"ISS"}</definedName>
    <definedName name="sssssss" localSheetId="48"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ssssss_1" localSheetId="15" hidden="1">{"Fecha_Dezembro",#N/A,FALSE,"FECHAMENTO-2002 ";"Defer_Dezermbro",#N/A,FALSE,"DIFERIDO";"Pis_Dezembro",#N/A,FALSE,"PIS COFINS";"Iss_Dezembro",#N/A,FALSE,"ISS"}</definedName>
    <definedName name="sssssss_1" localSheetId="14" hidden="1">{"Fecha_Dezembro",#N/A,FALSE,"FECHAMENTO-2002 ";"Defer_Dezermbro",#N/A,FALSE,"DIFERIDO";"Pis_Dezembro",#N/A,FALSE,"PIS COFINS";"Iss_Dezembro",#N/A,FALSE,"ISS"}</definedName>
    <definedName name="sssssss_1" localSheetId="2" hidden="1">{"Fecha_Dezembro",#N/A,FALSE,"FECHAMENTO-2002 ";"Defer_Dezermbro",#N/A,FALSE,"DIFERIDO";"Pis_Dezembro",#N/A,FALSE,"PIS COFINS";"Iss_Dezembro",#N/A,FALSE,"ISS"}</definedName>
    <definedName name="sssssss_1" localSheetId="34" hidden="1">{"Fecha_Dezembro",#N/A,FALSE,"FECHAMENTO-2002 ";"Defer_Dezermbro",#N/A,FALSE,"DIFERIDO";"Pis_Dezembro",#N/A,FALSE,"PIS COFINS";"Iss_Dezembro",#N/A,FALSE,"ISS"}</definedName>
    <definedName name="sssssss_1" localSheetId="38" hidden="1">{"Fecha_Dezembro",#N/A,FALSE,"FECHAMENTO-2002 ";"Defer_Dezermbro",#N/A,FALSE,"DIFERIDO";"Pis_Dezembro",#N/A,FALSE,"PIS COFINS";"Iss_Dezembro",#N/A,FALSE,"ISS"}</definedName>
    <definedName name="sssssss_1" localSheetId="8" hidden="1">{"Fecha_Dezembro",#N/A,FALSE,"FECHAMENTO-2002 ";"Defer_Dezermbro",#N/A,FALSE,"DIFERIDO";"Pis_Dezembro",#N/A,FALSE,"PIS COFINS";"Iss_Dezembro",#N/A,FALSE,"ISS"}</definedName>
    <definedName name="sssssss_1" localSheetId="12" hidden="1">{"Fecha_Dezembro",#N/A,FALSE,"FECHAMENTO-2002 ";"Defer_Dezermbro",#N/A,FALSE,"DIFERIDO";"Pis_Dezembro",#N/A,FALSE,"PIS COFINS";"Iss_Dezembro",#N/A,FALSE,"ISS"}</definedName>
    <definedName name="sssssss_1" localSheetId="13" hidden="1">{"Fecha_Dezembro",#N/A,FALSE,"FECHAMENTO-2002 ";"Defer_Dezermbro",#N/A,FALSE,"DIFERIDO";"Pis_Dezembro",#N/A,FALSE,"PIS COFINS";"Iss_Dezembro",#N/A,FALSE,"ISS"}</definedName>
    <definedName name="sssssss_1" localSheetId="11" hidden="1">{"Fecha_Dezembro",#N/A,FALSE,"FECHAMENTO-2002 ";"Defer_Dezermbro",#N/A,FALSE,"DIFERIDO";"Pis_Dezembro",#N/A,FALSE,"PIS COFINS";"Iss_Dezembro",#N/A,FALSE,"ISS"}</definedName>
    <definedName name="sssssss_1" localSheetId="31" hidden="1">{"Fecha_Dezembro",#N/A,FALSE,"FECHAMENTO-2002 ";"Defer_Dezermbro",#N/A,FALSE,"DIFERIDO";"Pis_Dezembro",#N/A,FALSE,"PIS COFINS";"Iss_Dezembro",#N/A,FALSE,"ISS"}</definedName>
    <definedName name="sssssss_1" localSheetId="48" hidden="1">{"Fecha_Dezembro",#N/A,FALSE,"FECHAMENTO-2002 ";"Defer_Dezermbro",#N/A,FALSE,"DIFERIDO";"Pis_Dezembro",#N/A,FALSE,"PIS COFINS";"Iss_Dezembro",#N/A,FALSE,"ISS"}</definedName>
    <definedName name="sssssss_1" hidden="1">{"Fecha_Dezembro",#N/A,FALSE,"FECHAMENTO-2002 ";"Defer_Dezermbro",#N/A,FALSE,"DIFERIDO";"Pis_Dezembro",#N/A,FALSE,"PIS COFINS";"Iss_Dezembro",#N/A,FALSE,"ISS"}</definedName>
    <definedName name="Standard" localSheetId="2">#REF!</definedName>
    <definedName name="Standard">#REF!</definedName>
    <definedName name="status_24">#REF!</definedName>
    <definedName name="Superior" localSheetId="2">#REF!</definedName>
    <definedName name="Superior">#REF!</definedName>
    <definedName name="t" localSheetId="15" hidden="1">{"'TG'!$A$1:$L$37"}</definedName>
    <definedName name="t" localSheetId="14" hidden="1">{"'TG'!$A$1:$L$37"}</definedName>
    <definedName name="t" localSheetId="2" hidden="1">{"'TG'!$A$1:$L$37"}</definedName>
    <definedName name="t" localSheetId="34" hidden="1">{"'TG'!$A$1:$L$37"}</definedName>
    <definedName name="t" localSheetId="38" hidden="1">{"'TG'!$A$1:$L$37"}</definedName>
    <definedName name="t" localSheetId="8" hidden="1">{"'TG'!$A$1:$L$37"}</definedName>
    <definedName name="t" localSheetId="12" hidden="1">{"'TG'!$A$1:$L$37"}</definedName>
    <definedName name="t" localSheetId="13" hidden="1">{"'TG'!$A$1:$L$37"}</definedName>
    <definedName name="t" localSheetId="11" hidden="1">{"'TG'!$A$1:$L$37"}</definedName>
    <definedName name="t" localSheetId="31" hidden="1">{"'TG'!$A$1:$L$37"}</definedName>
    <definedName name="t" localSheetId="48" hidden="1">{"'TG'!$A$1:$L$37"}</definedName>
    <definedName name="t" hidden="1">{"'TG'!$A$1:$L$37"}</definedName>
    <definedName name="TABABASTEC">#REF!</definedName>
    <definedName name="TABADMID">#REF!</definedName>
    <definedName name="TABADMNID">#REF!</definedName>
    <definedName name="TABAGUA">#REF!</definedName>
    <definedName name="TABCAPGIRO">#REF!</definedName>
    <definedName name="TABCOMISSAO">#REF!</definedName>
    <definedName name="TABDEPECON">#REF!</definedName>
    <definedName name="TABDEPRFISCAL">#REF!</definedName>
    <definedName name="TABDESCONTOS">#REF!</definedName>
    <definedName name="TABDISTRIB">#REF!</definedName>
    <definedName name="TABEMBALAGEM">#REF!</definedName>
    <definedName name="TABENERGIA">#REF!</definedName>
    <definedName name="TABESTOQMP">#REF!</definedName>
    <definedName name="TABESTOQPA">#REF!</definedName>
    <definedName name="TABFAMILIA">#REF!</definedName>
    <definedName name="TABICMS">#REF!</definedName>
    <definedName name="TABINCENTIVO">#REF!</definedName>
    <definedName name="TABINDID">#REF!</definedName>
    <definedName name="TABINDNID">#REF!</definedName>
    <definedName name="TABLINHA">#REF!</definedName>
    <definedName name="TABLOGID">#REF!</definedName>
    <definedName name="TABLOGNID">#REF!</definedName>
    <definedName name="TABMANUT">#REF!</definedName>
    <definedName name="TABMARCA">#REF!</definedName>
    <definedName name="TABMATAUXILIAR">#REF!</definedName>
    <definedName name="TABMATPRIMA">#REF!</definedName>
    <definedName name="TABMOBRA">#REF!</definedName>
    <definedName name="TABPERDA">#REF!</definedName>
    <definedName name="TABPRAZO">#REF!</definedName>
    <definedName name="TABPRECOS">#REF!</definedName>
    <definedName name="TABPROID">#REF!</definedName>
    <definedName name="TABPRONID">#REF!</definedName>
    <definedName name="TABQUANTIDADE">#REF!</definedName>
    <definedName name="TABTIPO">#REF!</definedName>
    <definedName name="TABTRANSF">#REF!</definedName>
    <definedName name="TABUNICOP">#REF!</definedName>
    <definedName name="TABUTILFIXA">#REF!</definedName>
    <definedName name="TABUTILIDADES">#REF!</definedName>
    <definedName name="TABVDAID">#REF!</definedName>
    <definedName name="TABVDANID">#REF!</definedName>
    <definedName name="TAçúcar" localSheetId="2">#REF!</definedName>
    <definedName name="TAçúcar">#REF!</definedName>
    <definedName name="TÁlcool" localSheetId="2">#REF!</definedName>
    <definedName name="TÁlcool">#REF!</definedName>
    <definedName name="TApoio" localSheetId="2">#REF!</definedName>
    <definedName name="TApoio">#REF!</definedName>
    <definedName name="TECNOFIBRAS" localSheetId="15" hidden="1">{"'PXR_6500'!$A$1:$I$124"}</definedName>
    <definedName name="TECNOFIBRAS" localSheetId="14" hidden="1">{"'PXR_6500'!$A$1:$I$124"}</definedName>
    <definedName name="TECNOFIBRAS" localSheetId="2" hidden="1">{"'PXR_6500'!$A$1:$I$124"}</definedName>
    <definedName name="TECNOFIBRAS" localSheetId="34" hidden="1">{"'PXR_6500'!$A$1:$I$124"}</definedName>
    <definedName name="TECNOFIBRAS" localSheetId="38" hidden="1">{"'PXR_6500'!$A$1:$I$124"}</definedName>
    <definedName name="TECNOFIBRAS" localSheetId="8" hidden="1">{"'PXR_6500'!$A$1:$I$124"}</definedName>
    <definedName name="TECNOFIBRAS" localSheetId="12" hidden="1">{"'PXR_6500'!$A$1:$I$124"}</definedName>
    <definedName name="TECNOFIBRAS" localSheetId="13" hidden="1">{"'PXR_6500'!$A$1:$I$124"}</definedName>
    <definedName name="TECNOFIBRAS" localSheetId="11" hidden="1">{"'PXR_6500'!$A$1:$I$124"}</definedName>
    <definedName name="TECNOFIBRAS" localSheetId="31" hidden="1">{"'PXR_6500'!$A$1:$I$124"}</definedName>
    <definedName name="TECNOFIBRAS" localSheetId="48" hidden="1">{"'PXR_6500'!$A$1:$I$124"}</definedName>
    <definedName name="TECNOFIBRAS" hidden="1">{"'PXR_6500'!$A$1:$I$124"}</definedName>
    <definedName name="TECNOFIBRAS2" localSheetId="15" hidden="1">{"'PXR_6500'!$A$1:$I$124"}</definedName>
    <definedName name="TECNOFIBRAS2" localSheetId="14" hidden="1">{"'PXR_6500'!$A$1:$I$124"}</definedName>
    <definedName name="TECNOFIBRAS2" localSheetId="2" hidden="1">{"'PXR_6500'!$A$1:$I$124"}</definedName>
    <definedName name="TECNOFIBRAS2" localSheetId="34" hidden="1">{"'PXR_6500'!$A$1:$I$124"}</definedName>
    <definedName name="TECNOFIBRAS2" localSheetId="38" hidden="1">{"'PXR_6500'!$A$1:$I$124"}</definedName>
    <definedName name="TECNOFIBRAS2" localSheetId="8" hidden="1">{"'PXR_6500'!$A$1:$I$124"}</definedName>
    <definedName name="TECNOFIBRAS2" localSheetId="12" hidden="1">{"'PXR_6500'!$A$1:$I$124"}</definedName>
    <definedName name="TECNOFIBRAS2" localSheetId="13" hidden="1">{"'PXR_6500'!$A$1:$I$124"}</definedName>
    <definedName name="TECNOFIBRAS2" localSheetId="11" hidden="1">{"'PXR_6500'!$A$1:$I$124"}</definedName>
    <definedName name="TECNOFIBRAS2" localSheetId="31" hidden="1">{"'PXR_6500'!$A$1:$I$124"}</definedName>
    <definedName name="TECNOFIBRAS2" localSheetId="48" hidden="1">{"'PXR_6500'!$A$1:$I$124"}</definedName>
    <definedName name="TECNOFIBRAS2" hidden="1">{"'PXR_6500'!$A$1:$I$124"}</definedName>
    <definedName name="test" localSheetId="15" hidden="1">{"'PXR_6500'!$A$1:$I$124"}</definedName>
    <definedName name="test" localSheetId="14" hidden="1">{"'PXR_6500'!$A$1:$I$124"}</definedName>
    <definedName name="test" localSheetId="2" hidden="1">{"'PXR_6500'!$A$1:$I$124"}</definedName>
    <definedName name="test" localSheetId="34" hidden="1">{"'PXR_6500'!$A$1:$I$124"}</definedName>
    <definedName name="test" localSheetId="38" hidden="1">{"'PXR_6500'!$A$1:$I$124"}</definedName>
    <definedName name="test" localSheetId="8" hidden="1">{"'PXR_6500'!$A$1:$I$124"}</definedName>
    <definedName name="test" localSheetId="12" hidden="1">{"'PXR_6500'!$A$1:$I$124"}</definedName>
    <definedName name="test" localSheetId="13" hidden="1">{"'PXR_6500'!$A$1:$I$124"}</definedName>
    <definedName name="test" localSheetId="11" hidden="1">{"'PXR_6500'!$A$1:$I$124"}</definedName>
    <definedName name="test" localSheetId="31" hidden="1">{"'PXR_6500'!$A$1:$I$124"}</definedName>
    <definedName name="test" localSheetId="48" hidden="1">{"'PXR_6500'!$A$1:$I$124"}</definedName>
    <definedName name="test" hidden="1">{"'PXR_6500'!$A$1:$I$124"}</definedName>
    <definedName name="teste_1" localSheetId="15" hidden="1">{"Fecha_Dezembro",#N/A,FALSE,"FECHAMENTO-2002 ";"Defer_Dezermbro",#N/A,FALSE,"DIFERIDO";"Pis_Dezembro",#N/A,FALSE,"PIS COFINS";"Iss_Dezembro",#N/A,FALSE,"ISS"}</definedName>
    <definedName name="teste_1" localSheetId="14" hidden="1">{"Fecha_Dezembro",#N/A,FALSE,"FECHAMENTO-2002 ";"Defer_Dezermbro",#N/A,FALSE,"DIFERIDO";"Pis_Dezembro",#N/A,FALSE,"PIS COFINS";"Iss_Dezembro",#N/A,FALSE,"ISS"}</definedName>
    <definedName name="teste_1" localSheetId="2" hidden="1">{"Fecha_Dezembro",#N/A,FALSE,"FECHAMENTO-2002 ";"Defer_Dezermbro",#N/A,FALSE,"DIFERIDO";"Pis_Dezembro",#N/A,FALSE,"PIS COFINS";"Iss_Dezembro",#N/A,FALSE,"ISS"}</definedName>
    <definedName name="teste_1" localSheetId="34" hidden="1">{"Fecha_Dezembro",#N/A,FALSE,"FECHAMENTO-2002 ";"Defer_Dezermbro",#N/A,FALSE,"DIFERIDO";"Pis_Dezembro",#N/A,FALSE,"PIS COFINS";"Iss_Dezembro",#N/A,FALSE,"ISS"}</definedName>
    <definedName name="teste_1" localSheetId="38" hidden="1">{"Fecha_Dezembro",#N/A,FALSE,"FECHAMENTO-2002 ";"Defer_Dezermbro",#N/A,FALSE,"DIFERIDO";"Pis_Dezembro",#N/A,FALSE,"PIS COFINS";"Iss_Dezembro",#N/A,FALSE,"ISS"}</definedName>
    <definedName name="teste_1" localSheetId="8" hidden="1">{"Fecha_Dezembro",#N/A,FALSE,"FECHAMENTO-2002 ";"Defer_Dezermbro",#N/A,FALSE,"DIFERIDO";"Pis_Dezembro",#N/A,FALSE,"PIS COFINS";"Iss_Dezembro",#N/A,FALSE,"ISS"}</definedName>
    <definedName name="teste_1" localSheetId="12" hidden="1">{"Fecha_Dezembro",#N/A,FALSE,"FECHAMENTO-2002 ";"Defer_Dezermbro",#N/A,FALSE,"DIFERIDO";"Pis_Dezembro",#N/A,FALSE,"PIS COFINS";"Iss_Dezembro",#N/A,FALSE,"ISS"}</definedName>
    <definedName name="teste_1" localSheetId="13" hidden="1">{"Fecha_Dezembro",#N/A,FALSE,"FECHAMENTO-2002 ";"Defer_Dezermbro",#N/A,FALSE,"DIFERIDO";"Pis_Dezembro",#N/A,FALSE,"PIS COFINS";"Iss_Dezembro",#N/A,FALSE,"ISS"}</definedName>
    <definedName name="teste_1" localSheetId="11" hidden="1">{"Fecha_Dezembro",#N/A,FALSE,"FECHAMENTO-2002 ";"Defer_Dezermbro",#N/A,FALSE,"DIFERIDO";"Pis_Dezembro",#N/A,FALSE,"PIS COFINS";"Iss_Dezembro",#N/A,FALSE,"ISS"}</definedName>
    <definedName name="teste_1" localSheetId="31" hidden="1">{"Fecha_Dezembro",#N/A,FALSE,"FECHAMENTO-2002 ";"Defer_Dezermbro",#N/A,FALSE,"DIFERIDO";"Pis_Dezembro",#N/A,FALSE,"PIS COFINS";"Iss_Dezembro",#N/A,FALSE,"ISS"}</definedName>
    <definedName name="teste_1" localSheetId="48" hidden="1">{"Fecha_Dezembro",#N/A,FALSE,"FECHAMENTO-2002 ";"Defer_Dezermbro",#N/A,FALSE,"DIFERIDO";"Pis_Dezembro",#N/A,FALSE,"PIS COFINS";"Iss_Dezembro",#N/A,FALSE,"ISS"}</definedName>
    <definedName name="teste_1" hidden="1">{"Fecha_Dezembro",#N/A,FALSE,"FECHAMENTO-2002 ";"Defer_Dezermbro",#N/A,FALSE,"DIFERIDO";"Pis_Dezembro",#N/A,FALSE,"PIS COFINS";"Iss_Dezembro",#N/A,FALSE,"ISS"}</definedName>
    <definedName name="teste2" localSheetId="15" hidden="1">{"Fecha_Novembro",#N/A,FALSE,"FECHAMENTO-2002 ";"Defer_Novembro",#N/A,FALSE,"DIFERIDO";"Pis_Novembro",#N/A,FALSE,"PIS COFINS";"Iss_Novembro",#N/A,FALSE,"ISS"}</definedName>
    <definedName name="teste2" localSheetId="14" hidden="1">{"Fecha_Novembro",#N/A,FALSE,"FECHAMENTO-2002 ";"Defer_Novembro",#N/A,FALSE,"DIFERIDO";"Pis_Novembro",#N/A,FALSE,"PIS COFINS";"Iss_Novembro",#N/A,FALSE,"ISS"}</definedName>
    <definedName name="teste2" localSheetId="2" hidden="1">{"Fecha_Novembro",#N/A,FALSE,"FECHAMENTO-2002 ";"Defer_Novembro",#N/A,FALSE,"DIFERIDO";"Pis_Novembro",#N/A,FALSE,"PIS COFINS";"Iss_Novembro",#N/A,FALSE,"ISS"}</definedName>
    <definedName name="teste2" localSheetId="34" hidden="1">{"Fecha_Novembro",#N/A,FALSE,"FECHAMENTO-2002 ";"Defer_Novembro",#N/A,FALSE,"DIFERIDO";"Pis_Novembro",#N/A,FALSE,"PIS COFINS";"Iss_Novembro",#N/A,FALSE,"ISS"}</definedName>
    <definedName name="teste2" localSheetId="38" hidden="1">{"Fecha_Novembro",#N/A,FALSE,"FECHAMENTO-2002 ";"Defer_Novembro",#N/A,FALSE,"DIFERIDO";"Pis_Novembro",#N/A,FALSE,"PIS COFINS";"Iss_Novembro",#N/A,FALSE,"ISS"}</definedName>
    <definedName name="teste2" localSheetId="8" hidden="1">{"Fecha_Novembro",#N/A,FALSE,"FECHAMENTO-2002 ";"Defer_Novembro",#N/A,FALSE,"DIFERIDO";"Pis_Novembro",#N/A,FALSE,"PIS COFINS";"Iss_Novembro",#N/A,FALSE,"ISS"}</definedName>
    <definedName name="teste2" localSheetId="12" hidden="1">{"Fecha_Novembro",#N/A,FALSE,"FECHAMENTO-2002 ";"Defer_Novembro",#N/A,FALSE,"DIFERIDO";"Pis_Novembro",#N/A,FALSE,"PIS COFINS";"Iss_Novembro",#N/A,FALSE,"ISS"}</definedName>
    <definedName name="teste2" localSheetId="13" hidden="1">{"Fecha_Novembro",#N/A,FALSE,"FECHAMENTO-2002 ";"Defer_Novembro",#N/A,FALSE,"DIFERIDO";"Pis_Novembro",#N/A,FALSE,"PIS COFINS";"Iss_Novembro",#N/A,FALSE,"ISS"}</definedName>
    <definedName name="teste2" localSheetId="11" hidden="1">{"Fecha_Novembro",#N/A,FALSE,"FECHAMENTO-2002 ";"Defer_Novembro",#N/A,FALSE,"DIFERIDO";"Pis_Novembro",#N/A,FALSE,"PIS COFINS";"Iss_Novembro",#N/A,FALSE,"ISS"}</definedName>
    <definedName name="teste2" localSheetId="31" hidden="1">{"Fecha_Novembro",#N/A,FALSE,"FECHAMENTO-2002 ";"Defer_Novembro",#N/A,FALSE,"DIFERIDO";"Pis_Novembro",#N/A,FALSE,"PIS COFINS";"Iss_Novembro",#N/A,FALSE,"ISS"}</definedName>
    <definedName name="teste2" localSheetId="48" hidden="1">{"Fecha_Novembro",#N/A,FALSE,"FECHAMENTO-2002 ";"Defer_Novembro",#N/A,FALSE,"DIFERIDO";"Pis_Novembro",#N/A,FALSE,"PIS COFINS";"Iss_Novembro",#N/A,FALSE,"ISS"}</definedName>
    <definedName name="teste2" hidden="1">{"Fecha_Novembro",#N/A,FALSE,"FECHAMENTO-2002 ";"Defer_Novembro",#N/A,FALSE,"DIFERIDO";"Pis_Novembro",#N/A,FALSE,"PIS COFINS";"Iss_Novembro",#N/A,FALSE,"ISS"}</definedName>
    <definedName name="teste2_1" localSheetId="15" hidden="1">{"Fecha_Novembro",#N/A,FALSE,"FECHAMENTO-2002 ";"Defer_Novembro",#N/A,FALSE,"DIFERIDO";"Pis_Novembro",#N/A,FALSE,"PIS COFINS";"Iss_Novembro",#N/A,FALSE,"ISS"}</definedName>
    <definedName name="teste2_1" localSheetId="14" hidden="1">{"Fecha_Novembro",#N/A,FALSE,"FECHAMENTO-2002 ";"Defer_Novembro",#N/A,FALSE,"DIFERIDO";"Pis_Novembro",#N/A,FALSE,"PIS COFINS";"Iss_Novembro",#N/A,FALSE,"ISS"}</definedName>
    <definedName name="teste2_1" localSheetId="2" hidden="1">{"Fecha_Novembro",#N/A,FALSE,"FECHAMENTO-2002 ";"Defer_Novembro",#N/A,FALSE,"DIFERIDO";"Pis_Novembro",#N/A,FALSE,"PIS COFINS";"Iss_Novembro",#N/A,FALSE,"ISS"}</definedName>
    <definedName name="teste2_1" localSheetId="34" hidden="1">{"Fecha_Novembro",#N/A,FALSE,"FECHAMENTO-2002 ";"Defer_Novembro",#N/A,FALSE,"DIFERIDO";"Pis_Novembro",#N/A,FALSE,"PIS COFINS";"Iss_Novembro",#N/A,FALSE,"ISS"}</definedName>
    <definedName name="teste2_1" localSheetId="38" hidden="1">{"Fecha_Novembro",#N/A,FALSE,"FECHAMENTO-2002 ";"Defer_Novembro",#N/A,FALSE,"DIFERIDO";"Pis_Novembro",#N/A,FALSE,"PIS COFINS";"Iss_Novembro",#N/A,FALSE,"ISS"}</definedName>
    <definedName name="teste2_1" localSheetId="8" hidden="1">{"Fecha_Novembro",#N/A,FALSE,"FECHAMENTO-2002 ";"Defer_Novembro",#N/A,FALSE,"DIFERIDO";"Pis_Novembro",#N/A,FALSE,"PIS COFINS";"Iss_Novembro",#N/A,FALSE,"ISS"}</definedName>
    <definedName name="teste2_1" localSheetId="12" hidden="1">{"Fecha_Novembro",#N/A,FALSE,"FECHAMENTO-2002 ";"Defer_Novembro",#N/A,FALSE,"DIFERIDO";"Pis_Novembro",#N/A,FALSE,"PIS COFINS";"Iss_Novembro",#N/A,FALSE,"ISS"}</definedName>
    <definedName name="teste2_1" localSheetId="13" hidden="1">{"Fecha_Novembro",#N/A,FALSE,"FECHAMENTO-2002 ";"Defer_Novembro",#N/A,FALSE,"DIFERIDO";"Pis_Novembro",#N/A,FALSE,"PIS COFINS";"Iss_Novembro",#N/A,FALSE,"ISS"}</definedName>
    <definedName name="teste2_1" localSheetId="11" hidden="1">{"Fecha_Novembro",#N/A,FALSE,"FECHAMENTO-2002 ";"Defer_Novembro",#N/A,FALSE,"DIFERIDO";"Pis_Novembro",#N/A,FALSE,"PIS COFINS";"Iss_Novembro",#N/A,FALSE,"ISS"}</definedName>
    <definedName name="teste2_1" localSheetId="31" hidden="1">{"Fecha_Novembro",#N/A,FALSE,"FECHAMENTO-2002 ";"Defer_Novembro",#N/A,FALSE,"DIFERIDO";"Pis_Novembro",#N/A,FALSE,"PIS COFINS";"Iss_Novembro",#N/A,FALSE,"ISS"}</definedName>
    <definedName name="teste2_1" localSheetId="48" hidden="1">{"Fecha_Novembro",#N/A,FALSE,"FECHAMENTO-2002 ";"Defer_Novembro",#N/A,FALSE,"DIFERIDO";"Pis_Novembro",#N/A,FALSE,"PIS COFINS";"Iss_Novembro",#N/A,FALSE,"ISS"}</definedName>
    <definedName name="teste2_1" hidden="1">{"Fecha_Novembro",#N/A,FALSE,"FECHAMENTO-2002 ";"Defer_Novembro",#N/A,FALSE,"DIFERIDO";"Pis_Novembro",#N/A,FALSE,"PIS COFINS";"Iss_Novembro",#N/A,FALSE,"ISS"}</definedName>
    <definedName name="teste3" localSheetId="15" hidden="1">{"Fecha_Outubro",#N/A,FALSE,"FECHAMENTO-2002 ";"Defer_Outubro",#N/A,FALSE,"DIFERIDO";"Pis_Outubro",#N/A,FALSE,"PIS COFINS";"Iss_Outubro",#N/A,FALSE,"ISS"}</definedName>
    <definedName name="teste3" localSheetId="14" hidden="1">{"Fecha_Outubro",#N/A,FALSE,"FECHAMENTO-2002 ";"Defer_Outubro",#N/A,FALSE,"DIFERIDO";"Pis_Outubro",#N/A,FALSE,"PIS COFINS";"Iss_Outubro",#N/A,FALSE,"ISS"}</definedName>
    <definedName name="teste3" localSheetId="2" hidden="1">{"Fecha_Outubro",#N/A,FALSE,"FECHAMENTO-2002 ";"Defer_Outubro",#N/A,FALSE,"DIFERIDO";"Pis_Outubro",#N/A,FALSE,"PIS COFINS";"Iss_Outubro",#N/A,FALSE,"ISS"}</definedName>
    <definedName name="teste3" localSheetId="34" hidden="1">{"Fecha_Outubro",#N/A,FALSE,"FECHAMENTO-2002 ";"Defer_Outubro",#N/A,FALSE,"DIFERIDO";"Pis_Outubro",#N/A,FALSE,"PIS COFINS";"Iss_Outubro",#N/A,FALSE,"ISS"}</definedName>
    <definedName name="teste3" localSheetId="38" hidden="1">{"Fecha_Outubro",#N/A,FALSE,"FECHAMENTO-2002 ";"Defer_Outubro",#N/A,FALSE,"DIFERIDO";"Pis_Outubro",#N/A,FALSE,"PIS COFINS";"Iss_Outubro",#N/A,FALSE,"ISS"}</definedName>
    <definedName name="teste3" localSheetId="8" hidden="1">{"Fecha_Outubro",#N/A,FALSE,"FECHAMENTO-2002 ";"Defer_Outubro",#N/A,FALSE,"DIFERIDO";"Pis_Outubro",#N/A,FALSE,"PIS COFINS";"Iss_Outubro",#N/A,FALSE,"ISS"}</definedName>
    <definedName name="teste3" localSheetId="12" hidden="1">{"Fecha_Outubro",#N/A,FALSE,"FECHAMENTO-2002 ";"Defer_Outubro",#N/A,FALSE,"DIFERIDO";"Pis_Outubro",#N/A,FALSE,"PIS COFINS";"Iss_Outubro",#N/A,FALSE,"ISS"}</definedName>
    <definedName name="teste3" localSheetId="13" hidden="1">{"Fecha_Outubro",#N/A,FALSE,"FECHAMENTO-2002 ";"Defer_Outubro",#N/A,FALSE,"DIFERIDO";"Pis_Outubro",#N/A,FALSE,"PIS COFINS";"Iss_Outubro",#N/A,FALSE,"ISS"}</definedName>
    <definedName name="teste3" localSheetId="11" hidden="1">{"Fecha_Outubro",#N/A,FALSE,"FECHAMENTO-2002 ";"Defer_Outubro",#N/A,FALSE,"DIFERIDO";"Pis_Outubro",#N/A,FALSE,"PIS COFINS";"Iss_Outubro",#N/A,FALSE,"ISS"}</definedName>
    <definedName name="teste3" localSheetId="31" hidden="1">{"Fecha_Outubro",#N/A,FALSE,"FECHAMENTO-2002 ";"Defer_Outubro",#N/A,FALSE,"DIFERIDO";"Pis_Outubro",#N/A,FALSE,"PIS COFINS";"Iss_Outubro",#N/A,FALSE,"ISS"}</definedName>
    <definedName name="teste3" localSheetId="48" hidden="1">{"Fecha_Outubro",#N/A,FALSE,"FECHAMENTO-2002 ";"Defer_Outubro",#N/A,FALSE,"DIFERIDO";"Pis_Outubro",#N/A,FALSE,"PIS COFINS";"Iss_Outubro",#N/A,FALSE,"ISS"}</definedName>
    <definedName name="teste3" hidden="1">{"Fecha_Outubro",#N/A,FALSE,"FECHAMENTO-2002 ";"Defer_Outubro",#N/A,FALSE,"DIFERIDO";"Pis_Outubro",#N/A,FALSE,"PIS COFINS";"Iss_Outubro",#N/A,FALSE,"ISS"}</definedName>
    <definedName name="teste3_1" localSheetId="15" hidden="1">{"Fecha_Outubro",#N/A,FALSE,"FECHAMENTO-2002 ";"Defer_Outubro",#N/A,FALSE,"DIFERIDO";"Pis_Outubro",#N/A,FALSE,"PIS COFINS";"Iss_Outubro",#N/A,FALSE,"ISS"}</definedName>
    <definedName name="teste3_1" localSheetId="14" hidden="1">{"Fecha_Outubro",#N/A,FALSE,"FECHAMENTO-2002 ";"Defer_Outubro",#N/A,FALSE,"DIFERIDO";"Pis_Outubro",#N/A,FALSE,"PIS COFINS";"Iss_Outubro",#N/A,FALSE,"ISS"}</definedName>
    <definedName name="teste3_1" localSheetId="2" hidden="1">{"Fecha_Outubro",#N/A,FALSE,"FECHAMENTO-2002 ";"Defer_Outubro",#N/A,FALSE,"DIFERIDO";"Pis_Outubro",#N/A,FALSE,"PIS COFINS";"Iss_Outubro",#N/A,FALSE,"ISS"}</definedName>
    <definedName name="teste3_1" localSheetId="34" hidden="1">{"Fecha_Outubro",#N/A,FALSE,"FECHAMENTO-2002 ";"Defer_Outubro",#N/A,FALSE,"DIFERIDO";"Pis_Outubro",#N/A,FALSE,"PIS COFINS";"Iss_Outubro",#N/A,FALSE,"ISS"}</definedName>
    <definedName name="teste3_1" localSheetId="38" hidden="1">{"Fecha_Outubro",#N/A,FALSE,"FECHAMENTO-2002 ";"Defer_Outubro",#N/A,FALSE,"DIFERIDO";"Pis_Outubro",#N/A,FALSE,"PIS COFINS";"Iss_Outubro",#N/A,FALSE,"ISS"}</definedName>
    <definedName name="teste3_1" localSheetId="8" hidden="1">{"Fecha_Outubro",#N/A,FALSE,"FECHAMENTO-2002 ";"Defer_Outubro",#N/A,FALSE,"DIFERIDO";"Pis_Outubro",#N/A,FALSE,"PIS COFINS";"Iss_Outubro",#N/A,FALSE,"ISS"}</definedName>
    <definedName name="teste3_1" localSheetId="12" hidden="1">{"Fecha_Outubro",#N/A,FALSE,"FECHAMENTO-2002 ";"Defer_Outubro",#N/A,FALSE,"DIFERIDO";"Pis_Outubro",#N/A,FALSE,"PIS COFINS";"Iss_Outubro",#N/A,FALSE,"ISS"}</definedName>
    <definedName name="teste3_1" localSheetId="13" hidden="1">{"Fecha_Outubro",#N/A,FALSE,"FECHAMENTO-2002 ";"Defer_Outubro",#N/A,FALSE,"DIFERIDO";"Pis_Outubro",#N/A,FALSE,"PIS COFINS";"Iss_Outubro",#N/A,FALSE,"ISS"}</definedName>
    <definedName name="teste3_1" localSheetId="11" hidden="1">{"Fecha_Outubro",#N/A,FALSE,"FECHAMENTO-2002 ";"Defer_Outubro",#N/A,FALSE,"DIFERIDO";"Pis_Outubro",#N/A,FALSE,"PIS COFINS";"Iss_Outubro",#N/A,FALSE,"ISS"}</definedName>
    <definedName name="teste3_1" localSheetId="31" hidden="1">{"Fecha_Outubro",#N/A,FALSE,"FECHAMENTO-2002 ";"Defer_Outubro",#N/A,FALSE,"DIFERIDO";"Pis_Outubro",#N/A,FALSE,"PIS COFINS";"Iss_Outubro",#N/A,FALSE,"ISS"}</definedName>
    <definedName name="teste3_1" localSheetId="48" hidden="1">{"Fecha_Outubro",#N/A,FALSE,"FECHAMENTO-2002 ";"Defer_Outubro",#N/A,FALSE,"DIFERIDO";"Pis_Outubro",#N/A,FALSE,"PIS COFINS";"Iss_Outubro",#N/A,FALSE,"ISS"}</definedName>
    <definedName name="teste3_1" hidden="1">{"Fecha_Outubro",#N/A,FALSE,"FECHAMENTO-2002 ";"Defer_Outubro",#N/A,FALSE,"DIFERIDO";"Pis_Outubro",#N/A,FALSE,"PIS COFINS";"Iss_Outubro",#N/A,FALSE,"ISS"}</definedName>
    <definedName name="teste4" localSheetId="15" hidden="1">{#N/A,#N/A,FALSE,"HONORÁRIOS"}</definedName>
    <definedName name="teste4" localSheetId="14" hidden="1">{#N/A,#N/A,FALSE,"HONORÁRIOS"}</definedName>
    <definedName name="teste4" localSheetId="2" hidden="1">{#N/A,#N/A,FALSE,"HONORÁRIOS"}</definedName>
    <definedName name="teste4" localSheetId="34" hidden="1">{#N/A,#N/A,FALSE,"HONORÁRIOS"}</definedName>
    <definedName name="teste4" localSheetId="38" hidden="1">{#N/A,#N/A,FALSE,"HONORÁRIOS"}</definedName>
    <definedName name="teste4" localSheetId="8" hidden="1">{#N/A,#N/A,FALSE,"HONORÁRIOS"}</definedName>
    <definedName name="teste4" localSheetId="12" hidden="1">{#N/A,#N/A,FALSE,"HONORÁRIOS"}</definedName>
    <definedName name="teste4" localSheetId="13" hidden="1">{#N/A,#N/A,FALSE,"HONORÁRIOS"}</definedName>
    <definedName name="teste4" localSheetId="11" hidden="1">{#N/A,#N/A,FALSE,"HONORÁRIOS"}</definedName>
    <definedName name="teste4" localSheetId="31" hidden="1">{#N/A,#N/A,FALSE,"HONORÁRIOS"}</definedName>
    <definedName name="teste4" localSheetId="48" hidden="1">{#N/A,#N/A,FALSE,"HONORÁRIOS"}</definedName>
    <definedName name="teste4" hidden="1">{#N/A,#N/A,FALSE,"HONORÁRIOS"}</definedName>
    <definedName name="teste4_1" localSheetId="15" hidden="1">{#N/A,#N/A,FALSE,"HONORÁRIOS"}</definedName>
    <definedName name="teste4_1" localSheetId="14" hidden="1">{#N/A,#N/A,FALSE,"HONORÁRIOS"}</definedName>
    <definedName name="teste4_1" localSheetId="2" hidden="1">{#N/A,#N/A,FALSE,"HONORÁRIOS"}</definedName>
    <definedName name="teste4_1" localSheetId="34" hidden="1">{#N/A,#N/A,FALSE,"HONORÁRIOS"}</definedName>
    <definedName name="teste4_1" localSheetId="38" hidden="1">{#N/A,#N/A,FALSE,"HONORÁRIOS"}</definedName>
    <definedName name="teste4_1" localSheetId="8" hidden="1">{#N/A,#N/A,FALSE,"HONORÁRIOS"}</definedName>
    <definedName name="teste4_1" localSheetId="12" hidden="1">{#N/A,#N/A,FALSE,"HONORÁRIOS"}</definedName>
    <definedName name="teste4_1" localSheetId="13" hidden="1">{#N/A,#N/A,FALSE,"HONORÁRIOS"}</definedName>
    <definedName name="teste4_1" localSheetId="11" hidden="1">{#N/A,#N/A,FALSE,"HONORÁRIOS"}</definedName>
    <definedName name="teste4_1" localSheetId="31" hidden="1">{#N/A,#N/A,FALSE,"HONORÁRIOS"}</definedName>
    <definedName name="teste4_1" localSheetId="48" hidden="1">{#N/A,#N/A,FALSE,"HONORÁRIOS"}</definedName>
    <definedName name="teste4_1" hidden="1">{#N/A,#N/A,FALSE,"HONORÁRIOS"}</definedName>
    <definedName name="teste5" localSheetId="15" hidden="1">{"Fecha_Setembro",#N/A,FALSE,"FECHAMENTO-2002 ";"Defer_Setembro",#N/A,FALSE,"DIFERIDO";"Pis_Setembro",#N/A,FALSE,"PIS COFINS";"Iss_Setembro",#N/A,FALSE,"ISS"}</definedName>
    <definedName name="teste5" localSheetId="14" hidden="1">{"Fecha_Setembro",#N/A,FALSE,"FECHAMENTO-2002 ";"Defer_Setembro",#N/A,FALSE,"DIFERIDO";"Pis_Setembro",#N/A,FALSE,"PIS COFINS";"Iss_Setembro",#N/A,FALSE,"ISS"}</definedName>
    <definedName name="teste5" localSheetId="2" hidden="1">{"Fecha_Setembro",#N/A,FALSE,"FECHAMENTO-2002 ";"Defer_Setembro",#N/A,FALSE,"DIFERIDO";"Pis_Setembro",#N/A,FALSE,"PIS COFINS";"Iss_Setembro",#N/A,FALSE,"ISS"}</definedName>
    <definedName name="teste5" localSheetId="34" hidden="1">{"Fecha_Setembro",#N/A,FALSE,"FECHAMENTO-2002 ";"Defer_Setembro",#N/A,FALSE,"DIFERIDO";"Pis_Setembro",#N/A,FALSE,"PIS COFINS";"Iss_Setembro",#N/A,FALSE,"ISS"}</definedName>
    <definedName name="teste5" localSheetId="38" hidden="1">{"Fecha_Setembro",#N/A,FALSE,"FECHAMENTO-2002 ";"Defer_Setembro",#N/A,FALSE,"DIFERIDO";"Pis_Setembro",#N/A,FALSE,"PIS COFINS";"Iss_Setembro",#N/A,FALSE,"ISS"}</definedName>
    <definedName name="teste5" localSheetId="8" hidden="1">{"Fecha_Setembro",#N/A,FALSE,"FECHAMENTO-2002 ";"Defer_Setembro",#N/A,FALSE,"DIFERIDO";"Pis_Setembro",#N/A,FALSE,"PIS COFINS";"Iss_Setembro",#N/A,FALSE,"ISS"}</definedName>
    <definedName name="teste5" localSheetId="12" hidden="1">{"Fecha_Setembro",#N/A,FALSE,"FECHAMENTO-2002 ";"Defer_Setembro",#N/A,FALSE,"DIFERIDO";"Pis_Setembro",#N/A,FALSE,"PIS COFINS";"Iss_Setembro",#N/A,FALSE,"ISS"}</definedName>
    <definedName name="teste5" localSheetId="13" hidden="1">{"Fecha_Setembro",#N/A,FALSE,"FECHAMENTO-2002 ";"Defer_Setembro",#N/A,FALSE,"DIFERIDO";"Pis_Setembro",#N/A,FALSE,"PIS COFINS";"Iss_Setembro",#N/A,FALSE,"ISS"}</definedName>
    <definedName name="teste5" localSheetId="11" hidden="1">{"Fecha_Setembro",#N/A,FALSE,"FECHAMENTO-2002 ";"Defer_Setembro",#N/A,FALSE,"DIFERIDO";"Pis_Setembro",#N/A,FALSE,"PIS COFINS";"Iss_Setembro",#N/A,FALSE,"ISS"}</definedName>
    <definedName name="teste5" localSheetId="31" hidden="1">{"Fecha_Setembro",#N/A,FALSE,"FECHAMENTO-2002 ";"Defer_Setembro",#N/A,FALSE,"DIFERIDO";"Pis_Setembro",#N/A,FALSE,"PIS COFINS";"Iss_Setembro",#N/A,FALSE,"ISS"}</definedName>
    <definedName name="teste5" localSheetId="48" hidden="1">{"Fecha_Setembro",#N/A,FALSE,"FECHAMENTO-2002 ";"Defer_Setembro",#N/A,FALSE,"DIFERIDO";"Pis_Setembro",#N/A,FALSE,"PIS COFINS";"Iss_Setembro",#N/A,FALSE,"ISS"}</definedName>
    <definedName name="teste5" hidden="1">{"Fecha_Setembro",#N/A,FALSE,"FECHAMENTO-2002 ";"Defer_Setembro",#N/A,FALSE,"DIFERIDO";"Pis_Setembro",#N/A,FALSE,"PIS COFINS";"Iss_Setembro",#N/A,FALSE,"ISS"}</definedName>
    <definedName name="teste5_1" localSheetId="15" hidden="1">{"Fecha_Setembro",#N/A,FALSE,"FECHAMENTO-2002 ";"Defer_Setembro",#N/A,FALSE,"DIFERIDO";"Pis_Setembro",#N/A,FALSE,"PIS COFINS";"Iss_Setembro",#N/A,FALSE,"ISS"}</definedName>
    <definedName name="teste5_1" localSheetId="14" hidden="1">{"Fecha_Setembro",#N/A,FALSE,"FECHAMENTO-2002 ";"Defer_Setembro",#N/A,FALSE,"DIFERIDO";"Pis_Setembro",#N/A,FALSE,"PIS COFINS";"Iss_Setembro",#N/A,FALSE,"ISS"}</definedName>
    <definedName name="teste5_1" localSheetId="2" hidden="1">{"Fecha_Setembro",#N/A,FALSE,"FECHAMENTO-2002 ";"Defer_Setembro",#N/A,FALSE,"DIFERIDO";"Pis_Setembro",#N/A,FALSE,"PIS COFINS";"Iss_Setembro",#N/A,FALSE,"ISS"}</definedName>
    <definedName name="teste5_1" localSheetId="34" hidden="1">{"Fecha_Setembro",#N/A,FALSE,"FECHAMENTO-2002 ";"Defer_Setembro",#N/A,FALSE,"DIFERIDO";"Pis_Setembro",#N/A,FALSE,"PIS COFINS";"Iss_Setembro",#N/A,FALSE,"ISS"}</definedName>
    <definedName name="teste5_1" localSheetId="38" hidden="1">{"Fecha_Setembro",#N/A,FALSE,"FECHAMENTO-2002 ";"Defer_Setembro",#N/A,FALSE,"DIFERIDO";"Pis_Setembro",#N/A,FALSE,"PIS COFINS";"Iss_Setembro",#N/A,FALSE,"ISS"}</definedName>
    <definedName name="teste5_1" localSheetId="8" hidden="1">{"Fecha_Setembro",#N/A,FALSE,"FECHAMENTO-2002 ";"Defer_Setembro",#N/A,FALSE,"DIFERIDO";"Pis_Setembro",#N/A,FALSE,"PIS COFINS";"Iss_Setembro",#N/A,FALSE,"ISS"}</definedName>
    <definedName name="teste5_1" localSheetId="12" hidden="1">{"Fecha_Setembro",#N/A,FALSE,"FECHAMENTO-2002 ";"Defer_Setembro",#N/A,FALSE,"DIFERIDO";"Pis_Setembro",#N/A,FALSE,"PIS COFINS";"Iss_Setembro",#N/A,FALSE,"ISS"}</definedName>
    <definedName name="teste5_1" localSheetId="13" hidden="1">{"Fecha_Setembro",#N/A,FALSE,"FECHAMENTO-2002 ";"Defer_Setembro",#N/A,FALSE,"DIFERIDO";"Pis_Setembro",#N/A,FALSE,"PIS COFINS";"Iss_Setembro",#N/A,FALSE,"ISS"}</definedName>
    <definedName name="teste5_1" localSheetId="11" hidden="1">{"Fecha_Setembro",#N/A,FALSE,"FECHAMENTO-2002 ";"Defer_Setembro",#N/A,FALSE,"DIFERIDO";"Pis_Setembro",#N/A,FALSE,"PIS COFINS";"Iss_Setembro",#N/A,FALSE,"ISS"}</definedName>
    <definedName name="teste5_1" localSheetId="31" hidden="1">{"Fecha_Setembro",#N/A,FALSE,"FECHAMENTO-2002 ";"Defer_Setembro",#N/A,FALSE,"DIFERIDO";"Pis_Setembro",#N/A,FALSE,"PIS COFINS";"Iss_Setembro",#N/A,FALSE,"ISS"}</definedName>
    <definedName name="teste5_1" localSheetId="48" hidden="1">{"Fecha_Setembro",#N/A,FALSE,"FECHAMENTO-2002 ";"Defer_Setembro",#N/A,FALSE,"DIFERIDO";"Pis_Setembro",#N/A,FALSE,"PIS COFINS";"Iss_Setembro",#N/A,FALSE,"ISS"}</definedName>
    <definedName name="teste5_1" hidden="1">{"Fecha_Setembro",#N/A,FALSE,"FECHAMENTO-2002 ";"Defer_Setembro",#N/A,FALSE,"DIFERIDO";"Pis_Setembro",#N/A,FALSE,"PIS COFINS";"Iss_Setembro",#N/A,FALSE,"ISS"}</definedName>
    <definedName name="TextRefCopyRangeCount" hidden="1">15</definedName>
    <definedName name="TImportado" localSheetId="2">#REF!</definedName>
    <definedName name="TImportado">#REF!</definedName>
    <definedName name="TMapa" localSheetId="2">#REF!</definedName>
    <definedName name="TMapa">#REF!</definedName>
    <definedName name="TOTAD" localSheetId="2">#REF!</definedName>
    <definedName name="TOTAD">#REF!</definedName>
    <definedName name="TotalAçúcar" localSheetId="2">#REF!</definedName>
    <definedName name="TotalAçúcar">#REF!</definedName>
    <definedName name="TOTPAR" localSheetId="2">#REF!</definedName>
    <definedName name="TOTPAR">#REF!</definedName>
    <definedName name="TOTPAR1" localSheetId="2">#REF!</definedName>
    <definedName name="TOTPAR1">#REF!</definedName>
    <definedName name="TOTPAR2" localSheetId="2">#REF!</definedName>
    <definedName name="TOTPAR2">#REF!</definedName>
    <definedName name="TOTUN" localSheetId="2">#REF!</definedName>
    <definedName name="TOTUN">#REF!</definedName>
    <definedName name="TOutros" localSheetId="2">#REF!</definedName>
    <definedName name="TOutros">#REF!</definedName>
    <definedName name="TTTTTTT" localSheetId="15" hidden="1">{"Bradesco 1",#N/A,TRUE,"Bradesco acc_dil";"Bradesco2",#N/A,TRUE,"Bradesco acc_dil";"Bradesco3",#N/A,TRUE,"Bradesco's RWA analysis";"Unibanco1",#N/A,TRUE,"Unibanco acc_dil ";"Unibanco2",#N/A,TRUE,"Unibanco acc_dil ";"Unibanco3",#N/A,TRUE,"Unibanco's RWA analysis"}</definedName>
    <definedName name="TTTTTTT" localSheetId="14"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localSheetId="38" hidden="1">{"Bradesco 1",#N/A,TRUE,"Bradesco acc_dil";"Bradesco2",#N/A,TRUE,"Bradesco acc_dil";"Bradesco3",#N/A,TRUE,"Bradesco's RWA analysis";"Unibanco1",#N/A,TRUE,"Unibanco acc_dil ";"Unibanco2",#N/A,TRUE,"Unibanco acc_dil ";"Unibanco3",#N/A,TRUE,"Unibanco's RWA analysis"}</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48"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UGEFRYGDFYGYRG" localSheetId="15" hidden="1">{"TotalGeralDespesasPorArea",#N/A,FALSE,"VinculosAccessEfetivo"}</definedName>
    <definedName name="UGEFRYGDFYGYRG" localSheetId="14" hidden="1">{"TotalGeralDespesasPorArea",#N/A,FALSE,"VinculosAccessEfetivo"}</definedName>
    <definedName name="UGEFRYGDFYGYRG" localSheetId="2" hidden="1">{"TotalGeralDespesasPorArea",#N/A,FALSE,"VinculosAccessEfetivo"}</definedName>
    <definedName name="UGEFRYGDFYGYRG" localSheetId="34" hidden="1">{"TotalGeralDespesasPorArea",#N/A,FALSE,"VinculosAccessEfetivo"}</definedName>
    <definedName name="UGEFRYGDFYGYRG" localSheetId="38" hidden="1">{"TotalGeralDespesasPorArea",#N/A,FALSE,"VinculosAccessEfetivo"}</definedName>
    <definedName name="UGEFRYGDFYGYRG" localSheetId="8" hidden="1">{"TotalGeralDespesasPorArea",#N/A,FALSE,"VinculosAccessEfetivo"}</definedName>
    <definedName name="UGEFRYGDFYGYRG" localSheetId="12" hidden="1">{"TotalGeralDespesasPorArea",#N/A,FALSE,"VinculosAccessEfetivo"}</definedName>
    <definedName name="UGEFRYGDFYGYRG" localSheetId="13" hidden="1">{"TotalGeralDespesasPorArea",#N/A,FALSE,"VinculosAccessEfetivo"}</definedName>
    <definedName name="UGEFRYGDFYGYRG" localSheetId="11" hidden="1">{"TotalGeralDespesasPorArea",#N/A,FALSE,"VinculosAccessEfetivo"}</definedName>
    <definedName name="UGEFRYGDFYGYRG" localSheetId="31" hidden="1">{"TotalGeralDespesasPorArea",#N/A,FALSE,"VinculosAccessEfetivo"}</definedName>
    <definedName name="UGEFRYGDFYGYRG" localSheetId="48" hidden="1">{"TotalGeralDespesasPorArea",#N/A,FALSE,"VinculosAccessEfetivo"}</definedName>
    <definedName name="UGEFRYGDFYGYRG" hidden="1">{"TotalGeralDespesasPorArea",#N/A,FALSE,"VinculosAccessEfetivo"}</definedName>
    <definedName name="UNIC" localSheetId="2">#REF!</definedName>
    <definedName name="UNIC">#REF!</definedName>
    <definedName name="UNICOP" localSheetId="2">#REF!</definedName>
    <definedName name="UNICOP">#REF!</definedName>
    <definedName name="UNICOP1" localSheetId="2">#REF!</definedName>
    <definedName name="UNICOP1">#REF!</definedName>
    <definedName name="UNICOP2" localSheetId="2">#REF!</definedName>
    <definedName name="UNICOP2">#REF!</definedName>
    <definedName name="UNICOP3" localSheetId="2">#REF!</definedName>
    <definedName name="UNICOP3">#REF!</definedName>
    <definedName name="Unimodal" localSheetId="2">#REF!</definedName>
    <definedName name="Unimodal">#REF!</definedName>
    <definedName name="ush">#REF!</definedName>
    <definedName name="VALOR" localSheetId="2">#REF!</definedName>
    <definedName name="VALOR">#REF!</definedName>
    <definedName name="VALOR1" localSheetId="2">#REF!</definedName>
    <definedName name="VALOR1">#REF!</definedName>
    <definedName name="VALOR2" localSheetId="2">#REF!</definedName>
    <definedName name="VALOR2">#REF!</definedName>
    <definedName name="VALOR3" localSheetId="2">#REF!</definedName>
    <definedName name="VALOR3">#REF!</definedName>
    <definedName name="ver">#REF!</definedName>
    <definedName name="vf" localSheetId="15" hidden="1">{"Bradesco 1",#N/A,TRUE,"Bradesco acc_dil";"Bradesco2",#N/A,TRUE,"Bradesco acc_dil";"Bradesco3",#N/A,TRUE,"Bradesco's RWA analysis";"Unibanco1",#N/A,TRUE,"Unibanco acc_dil ";"Unibanco2",#N/A,TRUE,"Unibanco acc_dil ";"Unibanco3",#N/A,TRUE,"Unibanco's RWA analysis"}</definedName>
    <definedName name="vf" localSheetId="14"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localSheetId="38" hidden="1">{"Bradesco 1",#N/A,TRUE,"Bradesco acc_dil";"Bradesco2",#N/A,TRUE,"Bradesco acc_dil";"Bradesco3",#N/A,TRUE,"Bradesco's RWA analysis";"Unibanco1",#N/A,TRUE,"Unibanco acc_dil ";"Unibanco2",#N/A,TRUE,"Unibanco acc_dil ";"Unibanco3",#N/A,TRUE,"Unibanco's RWA analysis"}</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48"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VolxPreço" localSheetId="2">#REF!</definedName>
    <definedName name="VolxPreço">#REF!</definedName>
    <definedName name="wef"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L" localSheetId="2">#REF!</definedName>
    <definedName name="WEL">#REF!</definedName>
    <definedName name="WEWE" localSheetId="15" hidden="1">{"Fecha_Novembro",#N/A,FALSE,"FECHAMENTO-2002 ";"Defer_Novembro",#N/A,FALSE,"DIFERIDO";"Pis_Novembro",#N/A,FALSE,"PIS COFINS";"Iss_Novembro",#N/A,FALSE,"ISS"}</definedName>
    <definedName name="WEWE" localSheetId="14" hidden="1">{"Fecha_Novembro",#N/A,FALSE,"FECHAMENTO-2002 ";"Defer_Novembro",#N/A,FALSE,"DIFERIDO";"Pis_Novembro",#N/A,FALSE,"PIS COFINS";"Iss_Novembro",#N/A,FALSE,"ISS"}</definedName>
    <definedName name="WEWE" localSheetId="2" hidden="1">{"Fecha_Novembro",#N/A,FALSE,"FECHAMENTO-2002 ";"Defer_Novembro",#N/A,FALSE,"DIFERIDO";"Pis_Novembro",#N/A,FALSE,"PIS COFINS";"Iss_Novembro",#N/A,FALSE,"ISS"}</definedName>
    <definedName name="WEWE" localSheetId="34" hidden="1">{"Fecha_Novembro",#N/A,FALSE,"FECHAMENTO-2002 ";"Defer_Novembro",#N/A,FALSE,"DIFERIDO";"Pis_Novembro",#N/A,FALSE,"PIS COFINS";"Iss_Novembro",#N/A,FALSE,"ISS"}</definedName>
    <definedName name="WEWE" localSheetId="38" hidden="1">{"Fecha_Novembro",#N/A,FALSE,"FECHAMENTO-2002 ";"Defer_Novembro",#N/A,FALSE,"DIFERIDO";"Pis_Novembro",#N/A,FALSE,"PIS COFINS";"Iss_Novembro",#N/A,FALSE,"ISS"}</definedName>
    <definedName name="WEWE" localSheetId="8" hidden="1">{"Fecha_Novembro",#N/A,FALSE,"FECHAMENTO-2002 ";"Defer_Novembro",#N/A,FALSE,"DIFERIDO";"Pis_Novembro",#N/A,FALSE,"PIS COFINS";"Iss_Novembro",#N/A,FALSE,"ISS"}</definedName>
    <definedName name="WEWE" localSheetId="12" hidden="1">{"Fecha_Novembro",#N/A,FALSE,"FECHAMENTO-2002 ";"Defer_Novembro",#N/A,FALSE,"DIFERIDO";"Pis_Novembro",#N/A,FALSE,"PIS COFINS";"Iss_Novembro",#N/A,FALSE,"ISS"}</definedName>
    <definedName name="WEWE" localSheetId="13" hidden="1">{"Fecha_Novembro",#N/A,FALSE,"FECHAMENTO-2002 ";"Defer_Novembro",#N/A,FALSE,"DIFERIDO";"Pis_Novembro",#N/A,FALSE,"PIS COFINS";"Iss_Novembro",#N/A,FALSE,"ISS"}</definedName>
    <definedName name="WEWE" localSheetId="11" hidden="1">{"Fecha_Novembro",#N/A,FALSE,"FECHAMENTO-2002 ";"Defer_Novembro",#N/A,FALSE,"DIFERIDO";"Pis_Novembro",#N/A,FALSE,"PIS COFINS";"Iss_Novembro",#N/A,FALSE,"ISS"}</definedName>
    <definedName name="WEWE" localSheetId="31" hidden="1">{"Fecha_Novembro",#N/A,FALSE,"FECHAMENTO-2002 ";"Defer_Novembro",#N/A,FALSE,"DIFERIDO";"Pis_Novembro",#N/A,FALSE,"PIS COFINS";"Iss_Novembro",#N/A,FALSE,"ISS"}</definedName>
    <definedName name="WEWE" localSheetId="48" hidden="1">{"Fecha_Novembro",#N/A,FALSE,"FECHAMENTO-2002 ";"Defer_Novembro",#N/A,FALSE,"DIFERIDO";"Pis_Novembro",#N/A,FALSE,"PIS COFINS";"Iss_Novembro",#N/A,FALSE,"ISS"}</definedName>
    <definedName name="WEWE" hidden="1">{"Fecha_Novembro",#N/A,FALSE,"FECHAMENTO-2002 ";"Defer_Novembro",#N/A,FALSE,"DIFERIDO";"Pis_Novembro",#N/A,FALSE,"PIS COFINS";"Iss_Novembro",#N/A,FALSE,"ISS"}</definedName>
    <definedName name="wq" localSheetId="15" hidden="1">{"'PXR_6500'!$A$1:$I$124"}</definedName>
    <definedName name="wq" localSheetId="14" hidden="1">{"'PXR_6500'!$A$1:$I$124"}</definedName>
    <definedName name="wq" localSheetId="2" hidden="1">{"'PXR_6500'!$A$1:$I$124"}</definedName>
    <definedName name="wq" localSheetId="34" hidden="1">{"'PXR_6500'!$A$1:$I$124"}</definedName>
    <definedName name="wq" localSheetId="38" hidden="1">{"'PXR_6500'!$A$1:$I$124"}</definedName>
    <definedName name="wq" localSheetId="8" hidden="1">{"'PXR_6500'!$A$1:$I$124"}</definedName>
    <definedName name="wq" localSheetId="12" hidden="1">{"'PXR_6500'!$A$1:$I$124"}</definedName>
    <definedName name="wq" localSheetId="13" hidden="1">{"'PXR_6500'!$A$1:$I$124"}</definedName>
    <definedName name="wq" localSheetId="11" hidden="1">{"'PXR_6500'!$A$1:$I$124"}</definedName>
    <definedName name="wq" localSheetId="31" hidden="1">{"'PXR_6500'!$A$1:$I$124"}</definedName>
    <definedName name="wq" localSheetId="48" hidden="1">{"'PXR_6500'!$A$1:$I$124"}</definedName>
    <definedName name="wq" hidden="1">{"'PXR_6500'!$A$1:$I$124"}</definedName>
    <definedName name="wrn.1." localSheetId="15" hidden="1">{#N/A,#N/A,FALSE,"Calc";#N/A,#N/A,FALSE,"Sensitivity";#N/A,#N/A,FALSE,"LT Earn.Dil.";#N/A,#N/A,FALSE,"Dil. AVP"}</definedName>
    <definedName name="wrn.1." localSheetId="14" hidden="1">{#N/A,#N/A,FALSE,"Calc";#N/A,#N/A,FALSE,"Sensitivity";#N/A,#N/A,FALSE,"LT Earn.Dil.";#N/A,#N/A,FALSE,"Dil. AVP"}</definedName>
    <definedName name="wrn.1." localSheetId="2" hidden="1">{#N/A,#N/A,FALSE,"Calc";#N/A,#N/A,FALSE,"Sensitivity";#N/A,#N/A,FALSE,"LT Earn.Dil.";#N/A,#N/A,FALSE,"Dil. AVP"}</definedName>
    <definedName name="wrn.1." localSheetId="34" hidden="1">{#N/A,#N/A,FALSE,"Calc";#N/A,#N/A,FALSE,"Sensitivity";#N/A,#N/A,FALSE,"LT Earn.Dil.";#N/A,#N/A,FALSE,"Dil. AVP"}</definedName>
    <definedName name="wrn.1." localSheetId="38" hidden="1">{#N/A,#N/A,FALSE,"Calc";#N/A,#N/A,FALSE,"Sensitivity";#N/A,#N/A,FALSE,"LT Earn.Dil.";#N/A,#N/A,FALSE,"Dil. AVP"}</definedName>
    <definedName name="wrn.1." localSheetId="8" hidden="1">{#N/A,#N/A,FALSE,"Calc";#N/A,#N/A,FALSE,"Sensitivity";#N/A,#N/A,FALSE,"LT Earn.Dil.";#N/A,#N/A,FALSE,"Dil. AVP"}</definedName>
    <definedName name="wrn.1." localSheetId="12" hidden="1">{#N/A,#N/A,FALSE,"Calc";#N/A,#N/A,FALSE,"Sensitivity";#N/A,#N/A,FALSE,"LT Earn.Dil.";#N/A,#N/A,FALSE,"Dil. AVP"}</definedName>
    <definedName name="wrn.1." localSheetId="13" hidden="1">{#N/A,#N/A,FALSE,"Calc";#N/A,#N/A,FALSE,"Sensitivity";#N/A,#N/A,FALSE,"LT Earn.Dil.";#N/A,#N/A,FALSE,"Dil. AVP"}</definedName>
    <definedName name="wrn.1." localSheetId="11" hidden="1">{#N/A,#N/A,FALSE,"Calc";#N/A,#N/A,FALSE,"Sensitivity";#N/A,#N/A,FALSE,"LT Earn.Dil.";#N/A,#N/A,FALSE,"Dil. AVP"}</definedName>
    <definedName name="wrn.1." localSheetId="31" hidden="1">{#N/A,#N/A,FALSE,"Calc";#N/A,#N/A,FALSE,"Sensitivity";#N/A,#N/A,FALSE,"LT Earn.Dil.";#N/A,#N/A,FALSE,"Dil. AVP"}</definedName>
    <definedName name="wrn.1." localSheetId="48" hidden="1">{#N/A,#N/A,FALSE,"Calc";#N/A,#N/A,FALSE,"Sensitivity";#N/A,#N/A,FALSE,"LT Earn.Dil.";#N/A,#N/A,FALSE,"Dil. AVP"}</definedName>
    <definedName name="wrn.1." hidden="1">{#N/A,#N/A,FALSE,"Calc";#N/A,#N/A,FALSE,"Sensitivity";#N/A,#N/A,FALSE,"LT Earn.Dil.";#N/A,#N/A,FALSE,"Dil. AVP"}</definedName>
    <definedName name="WRN.2." localSheetId="15" hidden="1">{#N/A,#N/A,FALSE,"Calc";#N/A,#N/A,FALSE,"Sensitivity";#N/A,#N/A,FALSE,"LT Earn.Dil.";#N/A,#N/A,FALSE,"Dil. AVP"}</definedName>
    <definedName name="WRN.2." localSheetId="14" hidden="1">{#N/A,#N/A,FALSE,"Calc";#N/A,#N/A,FALSE,"Sensitivity";#N/A,#N/A,FALSE,"LT Earn.Dil.";#N/A,#N/A,FALSE,"Dil. AVP"}</definedName>
    <definedName name="WRN.2." localSheetId="2" hidden="1">{#N/A,#N/A,FALSE,"Calc";#N/A,#N/A,FALSE,"Sensitivity";#N/A,#N/A,FALSE,"LT Earn.Dil.";#N/A,#N/A,FALSE,"Dil. AVP"}</definedName>
    <definedName name="WRN.2." localSheetId="34" hidden="1">{#N/A,#N/A,FALSE,"Calc";#N/A,#N/A,FALSE,"Sensitivity";#N/A,#N/A,FALSE,"LT Earn.Dil.";#N/A,#N/A,FALSE,"Dil. AVP"}</definedName>
    <definedName name="WRN.2." localSheetId="38" hidden="1">{#N/A,#N/A,FALSE,"Calc";#N/A,#N/A,FALSE,"Sensitivity";#N/A,#N/A,FALSE,"LT Earn.Dil.";#N/A,#N/A,FALSE,"Dil. AVP"}</definedName>
    <definedName name="WRN.2." localSheetId="8" hidden="1">{#N/A,#N/A,FALSE,"Calc";#N/A,#N/A,FALSE,"Sensitivity";#N/A,#N/A,FALSE,"LT Earn.Dil.";#N/A,#N/A,FALSE,"Dil. AVP"}</definedName>
    <definedName name="WRN.2." localSheetId="12" hidden="1">{#N/A,#N/A,FALSE,"Calc";#N/A,#N/A,FALSE,"Sensitivity";#N/A,#N/A,FALSE,"LT Earn.Dil.";#N/A,#N/A,FALSE,"Dil. AVP"}</definedName>
    <definedName name="WRN.2." localSheetId="13" hidden="1">{#N/A,#N/A,FALSE,"Calc";#N/A,#N/A,FALSE,"Sensitivity";#N/A,#N/A,FALSE,"LT Earn.Dil.";#N/A,#N/A,FALSE,"Dil. AVP"}</definedName>
    <definedName name="WRN.2." localSheetId="11" hidden="1">{#N/A,#N/A,FALSE,"Calc";#N/A,#N/A,FALSE,"Sensitivity";#N/A,#N/A,FALSE,"LT Earn.Dil.";#N/A,#N/A,FALSE,"Dil. AVP"}</definedName>
    <definedName name="WRN.2." localSheetId="31" hidden="1">{#N/A,#N/A,FALSE,"Calc";#N/A,#N/A,FALSE,"Sensitivity";#N/A,#N/A,FALSE,"LT Earn.Dil.";#N/A,#N/A,FALSE,"Dil. AVP"}</definedName>
    <definedName name="WRN.2." localSheetId="48" hidden="1">{#N/A,#N/A,FALSE,"Calc";#N/A,#N/A,FALSE,"Sensitivity";#N/A,#N/A,FALSE,"LT Earn.Dil.";#N/A,#N/A,FALSE,"Dil. AVP"}</definedName>
    <definedName name="WRN.2." hidden="1">{#N/A,#N/A,FALSE,"Calc";#N/A,#N/A,FALSE,"Sensitivity";#N/A,#N/A,FALSE,"LT Earn.Dil.";#N/A,#N/A,FALSE,"Dil. AVP"}</definedName>
    <definedName name="wrn.50._.50." localSheetId="15" hidden="1">{"assumption 50 50",#N/A,TRUE,"Merger";"has gets cash",#N/A,TRUE,"Merger";"accretion dilution",#N/A,TRUE,"Merger";"comparison credit stats",#N/A,TRUE,"Merger";"pf credit stats",#N/A,TRUE,"Merger";"pf sheets",#N/A,TRUE,"Merger"}</definedName>
    <definedName name="wrn.50._.50." localSheetId="14" hidden="1">{"assumption 50 50",#N/A,TRUE,"Merger";"has gets cash",#N/A,TRUE,"Merger";"accretion dilution",#N/A,TRUE,"Merger";"comparison credit stats",#N/A,TRUE,"Merger";"pf credit stats",#N/A,TRUE,"Merger";"pf sheets",#N/A,TRUE,"Merger"}</definedName>
    <definedName name="wrn.50._.50." localSheetId="2" hidden="1">{"assumption 50 50",#N/A,TRUE,"Merger";"has gets cash",#N/A,TRUE,"Merger";"accretion dilution",#N/A,TRUE,"Merger";"comparison credit stats",#N/A,TRUE,"Merger";"pf credit stats",#N/A,TRUE,"Merger";"pf sheets",#N/A,TRUE,"Merger"}</definedName>
    <definedName name="wrn.50._.50." localSheetId="34" hidden="1">{"assumption 50 50",#N/A,TRUE,"Merger";"has gets cash",#N/A,TRUE,"Merger";"accretion dilution",#N/A,TRUE,"Merger";"comparison credit stats",#N/A,TRUE,"Merger";"pf credit stats",#N/A,TRUE,"Merger";"pf sheets",#N/A,TRUE,"Merger"}</definedName>
    <definedName name="wrn.50._.50." localSheetId="38" hidden="1">{"assumption 50 50",#N/A,TRUE,"Merger";"has gets cash",#N/A,TRUE,"Merger";"accretion dilution",#N/A,TRUE,"Merger";"comparison credit stats",#N/A,TRUE,"Merger";"pf credit stats",#N/A,TRUE,"Merger";"pf sheets",#N/A,TRUE,"Merger"}</definedName>
    <definedName name="wrn.50._.50." localSheetId="8" hidden="1">{"assumption 50 50",#N/A,TRUE,"Merger";"has gets cash",#N/A,TRUE,"Merger";"accretion dilution",#N/A,TRUE,"Merger";"comparison credit stats",#N/A,TRUE,"Merger";"pf credit stats",#N/A,TRUE,"Merger";"pf sheets",#N/A,TRUE,"Merger"}</definedName>
    <definedName name="wrn.50._.50." localSheetId="12" hidden="1">{"assumption 50 50",#N/A,TRUE,"Merger";"has gets cash",#N/A,TRUE,"Merger";"accretion dilution",#N/A,TRUE,"Merger";"comparison credit stats",#N/A,TRUE,"Merger";"pf credit stats",#N/A,TRUE,"Merger";"pf sheets",#N/A,TRUE,"Merger"}</definedName>
    <definedName name="wrn.50._.50." localSheetId="13" hidden="1">{"assumption 50 50",#N/A,TRUE,"Merger";"has gets cash",#N/A,TRUE,"Merger";"accretion dilution",#N/A,TRUE,"Merger";"comparison credit stats",#N/A,TRUE,"Merger";"pf credit stats",#N/A,TRUE,"Merger";"pf sheets",#N/A,TRUE,"Merger"}</definedName>
    <definedName name="wrn.50._.50." localSheetId="11" hidden="1">{"assumption 50 50",#N/A,TRUE,"Merger";"has gets cash",#N/A,TRUE,"Merger";"accretion dilution",#N/A,TRUE,"Merger";"comparison credit stats",#N/A,TRUE,"Merger";"pf credit stats",#N/A,TRUE,"Merger";"pf sheets",#N/A,TRUE,"Merger"}</definedName>
    <definedName name="wrn.50._.50." localSheetId="31" hidden="1">{"assumption 50 50",#N/A,TRUE,"Merger";"has gets cash",#N/A,TRUE,"Merger";"accretion dilution",#N/A,TRUE,"Merger";"comparison credit stats",#N/A,TRUE,"Merger";"pf credit stats",#N/A,TRUE,"Merger";"pf sheets",#N/A,TRUE,"Merger"}</definedName>
    <definedName name="wrn.50._.50." localSheetId="48"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administracion." localSheetId="15" hidden="1">{#N/A,#N/A,FALSE,"CARATULA GENERAL";#N/A,#N/A,FALSE,"GSxDIRECCION";#N/A,#N/A,FALSE,"Caratula";#N/A,#N/A,FALSE,"GSxCTRO";#N/A,#N/A,FALSE,"GsAdm.Centr";#N/A,#N/A,FALSE,"Dir.Gral";#N/A,#N/A,FALSE,"AdmyFzas";#N/A,#N/A,FALSE,"Sistemas";#N/A,#N/A,FALSE,"RRHH"}</definedName>
    <definedName name="wrn.administracion." localSheetId="14" hidden="1">{#N/A,#N/A,FALSE,"CARATULA GENERAL";#N/A,#N/A,FALSE,"GSxDIRECCION";#N/A,#N/A,FALSE,"Caratula";#N/A,#N/A,FALSE,"GSxCTRO";#N/A,#N/A,FALSE,"GsAdm.Centr";#N/A,#N/A,FALSE,"Dir.Gral";#N/A,#N/A,FALSE,"AdmyFzas";#N/A,#N/A,FALSE,"Sistemas";#N/A,#N/A,FALSE,"RRHH"}</definedName>
    <definedName name="wrn.administracion." localSheetId="2" hidden="1">{#N/A,#N/A,FALSE,"CARATULA GENERAL";#N/A,#N/A,FALSE,"GSxDIRECCION";#N/A,#N/A,FALSE,"Caratula";#N/A,#N/A,FALSE,"GSxCTRO";#N/A,#N/A,FALSE,"GsAdm.Centr";#N/A,#N/A,FALSE,"Dir.Gral";#N/A,#N/A,FALSE,"AdmyFzas";#N/A,#N/A,FALSE,"Sistemas";#N/A,#N/A,FALSE,"RRHH"}</definedName>
    <definedName name="wrn.administracion." localSheetId="34" hidden="1">{#N/A,#N/A,FALSE,"CARATULA GENERAL";#N/A,#N/A,FALSE,"GSxDIRECCION";#N/A,#N/A,FALSE,"Caratula";#N/A,#N/A,FALSE,"GSxCTRO";#N/A,#N/A,FALSE,"GsAdm.Centr";#N/A,#N/A,FALSE,"Dir.Gral";#N/A,#N/A,FALSE,"AdmyFzas";#N/A,#N/A,FALSE,"Sistemas";#N/A,#N/A,FALSE,"RRHH"}</definedName>
    <definedName name="wrn.administracion." localSheetId="38" hidden="1">{#N/A,#N/A,FALSE,"CARATULA GENERAL";#N/A,#N/A,FALSE,"GSxDIRECCION";#N/A,#N/A,FALSE,"Caratula";#N/A,#N/A,FALSE,"GSxCTRO";#N/A,#N/A,FALSE,"GsAdm.Centr";#N/A,#N/A,FALSE,"Dir.Gral";#N/A,#N/A,FALSE,"AdmyFzas";#N/A,#N/A,FALSE,"Sistemas";#N/A,#N/A,FALSE,"RRHH"}</definedName>
    <definedName name="wrn.administracion." localSheetId="8" hidden="1">{#N/A,#N/A,FALSE,"CARATULA GENERAL";#N/A,#N/A,FALSE,"GSxDIRECCION";#N/A,#N/A,FALSE,"Caratula";#N/A,#N/A,FALSE,"GSxCTRO";#N/A,#N/A,FALSE,"GsAdm.Centr";#N/A,#N/A,FALSE,"Dir.Gral";#N/A,#N/A,FALSE,"AdmyFzas";#N/A,#N/A,FALSE,"Sistemas";#N/A,#N/A,FALSE,"RRHH"}</definedName>
    <definedName name="wrn.administracion." localSheetId="12" hidden="1">{#N/A,#N/A,FALSE,"CARATULA GENERAL";#N/A,#N/A,FALSE,"GSxDIRECCION";#N/A,#N/A,FALSE,"Caratula";#N/A,#N/A,FALSE,"GSxCTRO";#N/A,#N/A,FALSE,"GsAdm.Centr";#N/A,#N/A,FALSE,"Dir.Gral";#N/A,#N/A,FALSE,"AdmyFzas";#N/A,#N/A,FALSE,"Sistemas";#N/A,#N/A,FALSE,"RRHH"}</definedName>
    <definedName name="wrn.administracion." localSheetId="13" hidden="1">{#N/A,#N/A,FALSE,"CARATULA GENERAL";#N/A,#N/A,FALSE,"GSxDIRECCION";#N/A,#N/A,FALSE,"Caratula";#N/A,#N/A,FALSE,"GSxCTRO";#N/A,#N/A,FALSE,"GsAdm.Centr";#N/A,#N/A,FALSE,"Dir.Gral";#N/A,#N/A,FALSE,"AdmyFzas";#N/A,#N/A,FALSE,"Sistemas";#N/A,#N/A,FALSE,"RRHH"}</definedName>
    <definedName name="wrn.administracion." localSheetId="11" hidden="1">{#N/A,#N/A,FALSE,"CARATULA GENERAL";#N/A,#N/A,FALSE,"GSxDIRECCION";#N/A,#N/A,FALSE,"Caratula";#N/A,#N/A,FALSE,"GSxCTRO";#N/A,#N/A,FALSE,"GsAdm.Centr";#N/A,#N/A,FALSE,"Dir.Gral";#N/A,#N/A,FALSE,"AdmyFzas";#N/A,#N/A,FALSE,"Sistemas";#N/A,#N/A,FALSE,"RRHH"}</definedName>
    <definedName name="wrn.administracion." localSheetId="31" hidden="1">{#N/A,#N/A,FALSE,"CARATULA GENERAL";#N/A,#N/A,FALSE,"GSxDIRECCION";#N/A,#N/A,FALSE,"Caratula";#N/A,#N/A,FALSE,"GSxCTRO";#N/A,#N/A,FALSE,"GsAdm.Centr";#N/A,#N/A,FALSE,"Dir.Gral";#N/A,#N/A,FALSE,"AdmyFzas";#N/A,#N/A,FALSE,"Sistemas";#N/A,#N/A,FALSE,"RRHH"}</definedName>
    <definedName name="wrn.administracion." localSheetId="48" hidden="1">{#N/A,#N/A,FALSE,"CARATULA GENERAL";#N/A,#N/A,FALSE,"GSxDIRECCION";#N/A,#N/A,FALSE,"Caratula";#N/A,#N/A,FALSE,"GSxCTRO";#N/A,#N/A,FALSE,"GsAdm.Centr";#N/A,#N/A,FALSE,"Dir.Gral";#N/A,#N/A,FALSE,"AdmyFzas";#N/A,#N/A,FALSE,"Sistemas";#N/A,#N/A,FALSE,"RRHH"}</definedName>
    <definedName name="wrn.administracion." hidden="1">{#N/A,#N/A,FALSE,"CARATULA GENERAL";#N/A,#N/A,FALSE,"GSxDIRECCION";#N/A,#N/A,FALSE,"Caratula";#N/A,#N/A,FALSE,"GSxCTRO";#N/A,#N/A,FALSE,"GsAdm.Centr";#N/A,#N/A,FALSE,"Dir.Gral";#N/A,#N/A,FALSE,"AdmyFzas";#N/A,#N/A,FALSE,"Sistemas";#N/A,#N/A,FALSE,"RRHH"}</definedName>
    <definedName name="wrn.Advertising._.Acum._.Julio._.00." localSheetId="15" hidden="1">{#N/A,#N/A,FALSE,"Acum Julio - 00"}</definedName>
    <definedName name="wrn.Advertising._.Acum._.Julio._.00." localSheetId="3" hidden="1">{#N/A,#N/A,FALSE,"Acum Julio - 00"}</definedName>
    <definedName name="wrn.Advertising._.Acum._.Julio._.00." localSheetId="14" hidden="1">{#N/A,#N/A,FALSE,"Acum Julio - 00"}</definedName>
    <definedName name="wrn.Advertising._.Acum._.Julio._.00." localSheetId="2" hidden="1">{#N/A,#N/A,FALSE,"Acum Julio - 00"}</definedName>
    <definedName name="wrn.Advertising._.Acum._.Julio._.00." localSheetId="34" hidden="1">{#N/A,#N/A,FALSE,"Acum Julio - 00"}</definedName>
    <definedName name="wrn.Advertising._.Acum._.Julio._.00." localSheetId="38" hidden="1">{#N/A,#N/A,FALSE,"Acum Julio - 00"}</definedName>
    <definedName name="wrn.Advertising._.Acum._.Julio._.00." localSheetId="8" hidden="1">{#N/A,#N/A,FALSE,"Acum Julio - 00"}</definedName>
    <definedName name="wrn.Advertising._.Acum._.Julio._.00." localSheetId="12" hidden="1">{#N/A,#N/A,FALSE,"Acum Julio - 00"}</definedName>
    <definedName name="wrn.Advertising._.Acum._.Julio._.00." localSheetId="13" hidden="1">{#N/A,#N/A,FALSE,"Acum Julio - 00"}</definedName>
    <definedName name="wrn.Advertising._.Acum._.Julio._.00." localSheetId="11" hidden="1">{#N/A,#N/A,FALSE,"Acum Julio - 00"}</definedName>
    <definedName name="wrn.Advertising._.Acum._.Julio._.00." localSheetId="31" hidden="1">{#N/A,#N/A,FALSE,"Acum Julio - 00"}</definedName>
    <definedName name="wrn.Advertising._.Acum._.Julio._.00." localSheetId="48" hidden="1">{#N/A,#N/A,FALSE,"Acum Julio - 00"}</definedName>
    <definedName name="wrn.Advertising._.Acum._.Julio._.00." hidden="1">{#N/A,#N/A,FALSE,"Acum Julio - 00"}</definedName>
    <definedName name="wrn.Aging._.and._.Trend._.Analysis." localSheetId="15"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34" hidden="1">{#N/A,#N/A,FALSE,"Aging Summary";#N/A,#N/A,FALSE,"Ratio Analysis";#N/A,#N/A,FALSE,"Test 120 Day Accts";#N/A,#N/A,FALSE,"Tickmarks"}</definedName>
    <definedName name="wrn.Aging._.and._.Trend._.Analysis." localSheetId="38"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localSheetId="31" hidden="1">{#N/A,#N/A,FALSE,"Aging Summary";#N/A,#N/A,FALSE,"Ratio Analysis";#N/A,#N/A,FALSE,"Test 120 Day Accts";#N/A,#N/A,FALSE,"Tickmarks"}</definedName>
    <definedName name="wrn.Aging._.and._.Trend._.Analysis." localSheetId="4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5" hidden="1">{#N/A,#N/A,FALSE,"Aging Summary";#N/A,#N/A,FALSE,"Ratio Analysis";#N/A,#N/A,FALSE,"Test 120 Day Accts";#N/A,#N/A,FALSE,"Tickmarks"}</definedName>
    <definedName name="wrn.Aging._.and._.Trend._.Analysis._1" localSheetId="14" hidden="1">{#N/A,#N/A,FALSE,"Aging Summary";#N/A,#N/A,FALSE,"Ratio Analysis";#N/A,#N/A,FALSE,"Test 120 Day Accts";#N/A,#N/A,FALSE,"Tickmarks"}</definedName>
    <definedName name="wrn.Aging._.and._.Trend._.Analysis._1" localSheetId="2" hidden="1">{#N/A,#N/A,FALSE,"Aging Summary";#N/A,#N/A,FALSE,"Ratio Analysis";#N/A,#N/A,FALSE,"Test 120 Day Accts";#N/A,#N/A,FALSE,"Tickmarks"}</definedName>
    <definedName name="wrn.Aging._.and._.Trend._.Analysis._1" localSheetId="34" hidden="1">{#N/A,#N/A,FALSE,"Aging Summary";#N/A,#N/A,FALSE,"Ratio Analysis";#N/A,#N/A,FALSE,"Test 120 Day Accts";#N/A,#N/A,FALSE,"Tickmarks"}</definedName>
    <definedName name="wrn.Aging._.and._.Trend._.Analysis._1" localSheetId="38" hidden="1">{#N/A,#N/A,FALSE,"Aging Summary";#N/A,#N/A,FALSE,"Ratio Analysis";#N/A,#N/A,FALSE,"Test 120 Day Accts";#N/A,#N/A,FALSE,"Tickmarks"}</definedName>
    <definedName name="wrn.Aging._.and._.Trend._.Analysis._1" localSheetId="8" hidden="1">{#N/A,#N/A,FALSE,"Aging Summary";#N/A,#N/A,FALSE,"Ratio Analysis";#N/A,#N/A,FALSE,"Test 120 Day Accts";#N/A,#N/A,FALSE,"Tickmarks"}</definedName>
    <definedName name="wrn.Aging._.and._.Trend._.Analysis._1" localSheetId="12" hidden="1">{#N/A,#N/A,FALSE,"Aging Summary";#N/A,#N/A,FALSE,"Ratio Analysis";#N/A,#N/A,FALSE,"Test 120 Day Accts";#N/A,#N/A,FALSE,"Tickmarks"}</definedName>
    <definedName name="wrn.Aging._.and._.Trend._.Analysis._1" localSheetId="13" hidden="1">{#N/A,#N/A,FALSE,"Aging Summary";#N/A,#N/A,FALSE,"Ratio Analysis";#N/A,#N/A,FALSE,"Test 120 Day Accts";#N/A,#N/A,FALSE,"Tickmarks"}</definedName>
    <definedName name="wrn.Aging._.and._.Trend._.Analysis._1" localSheetId="11" hidden="1">{#N/A,#N/A,FALSE,"Aging Summary";#N/A,#N/A,FALSE,"Ratio Analysis";#N/A,#N/A,FALSE,"Test 120 Day Accts";#N/A,#N/A,FALSE,"Tickmarks"}</definedName>
    <definedName name="wrn.Aging._.and._.Trend._.Analysis._1" localSheetId="31" hidden="1">{#N/A,#N/A,FALSE,"Aging Summary";#N/A,#N/A,FALSE,"Ratio Analysis";#N/A,#N/A,FALSE,"Test 120 Day Accts";#N/A,#N/A,FALSE,"Tickmarks"}</definedName>
    <definedName name="wrn.Aging._.and._.Trend._.Analysis._1" localSheetId="48"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_.comps." localSheetId="15" hidden="1">{"equity comps",#N/A,FALSE,"CS Comps";"equity comps",#N/A,FALSE,"PS Comps";"equity comps",#N/A,FALSE,"GIC_Comps";"equity comps",#N/A,FALSE,"GIC2_Comps";"debt comps",#N/A,FALSE,"CS Comps";"debt comps",#N/A,FALSE,"PS Comps";"debt comps",#N/A,FALSE,"GIC_Comps";"debt comps",#N/A,FALSE,"GIC2_Comps"}</definedName>
    <definedName name="wrn.all._.comps." localSheetId="14" hidden="1">{"equity comps",#N/A,FALSE,"CS Comps";"equity comps",#N/A,FALSE,"PS Comps";"equity comps",#N/A,FALSE,"GIC_Comps";"equity comps",#N/A,FALSE,"GIC2_Comps";"debt comps",#N/A,FALSE,"CS Comps";"debt comps",#N/A,FALSE,"PS Comps";"debt comps",#N/A,FALSE,"GIC_Comps";"debt comps",#N/A,FALSE,"GIC2_Comps"}</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34" hidden="1">{"equity comps",#N/A,FALSE,"CS Comps";"equity comps",#N/A,FALSE,"PS Comps";"equity comps",#N/A,FALSE,"GIC_Comps";"equity comps",#N/A,FALSE,"GIC2_Comps";"debt comps",#N/A,FALSE,"CS Comps";"debt comps",#N/A,FALSE,"PS Comps";"debt comps",#N/A,FALSE,"GIC_Comps";"debt comps",#N/A,FALSE,"GIC2_Comps"}</definedName>
    <definedName name="wrn.all._.comps." localSheetId="38" hidden="1">{"equity comps",#N/A,FALSE,"CS Comps";"equity comps",#N/A,FALSE,"PS Comps";"equity comps",#N/A,FALSE,"GIC_Comps";"equity comps",#N/A,FALSE,"GIC2_Comps";"debt comps",#N/A,FALSE,"CS Comps";"debt comps",#N/A,FALSE,"PS Comps";"debt comps",#N/A,FALSE,"GIC_Comps";"debt comps",#N/A,FALSE,"GIC2_Comps"}</definedName>
    <definedName name="wrn.all._.comps." localSheetId="8" hidden="1">{"equity comps",#N/A,FALSE,"CS Comps";"equity comps",#N/A,FALSE,"PS Comps";"equity comps",#N/A,FALSE,"GIC_Comps";"equity comps",#N/A,FALSE,"GIC2_Comps";"debt comps",#N/A,FALSE,"CS Comps";"debt comps",#N/A,FALSE,"PS Comps";"debt comps",#N/A,FALSE,"GIC_Comps";"debt comps",#N/A,FALSE,"GIC2_Comps"}</definedName>
    <definedName name="wrn.all._.comps." localSheetId="12" hidden="1">{"equity comps",#N/A,FALSE,"CS Comps";"equity comps",#N/A,FALSE,"PS Comps";"equity comps",#N/A,FALSE,"GIC_Comps";"equity comps",#N/A,FALSE,"GIC2_Comps";"debt comps",#N/A,FALSE,"CS Comps";"debt comps",#N/A,FALSE,"PS Comps";"debt comps",#N/A,FALSE,"GIC_Comps";"debt comps",#N/A,FALSE,"GIC2_Comps"}</definedName>
    <definedName name="wrn.all._.comps." localSheetId="13" hidden="1">{"equity comps",#N/A,FALSE,"CS Comps";"equity comps",#N/A,FALSE,"PS Comps";"equity comps",#N/A,FALSE,"GIC_Comps";"equity comps",#N/A,FALSE,"GIC2_Comps";"debt comps",#N/A,FALSE,"CS Comps";"debt comps",#N/A,FALSE,"PS Comps";"debt comps",#N/A,FALSE,"GIC_Comps";"debt comps",#N/A,FALSE,"GIC2_Comps"}</definedName>
    <definedName name="wrn.all._.comps." localSheetId="11" hidden="1">{"equity comps",#N/A,FALSE,"CS Comps";"equity comps",#N/A,FALSE,"PS Comps";"equity comps",#N/A,FALSE,"GIC_Comps";"equity comps",#N/A,FALSE,"GIC2_Comps";"debt comps",#N/A,FALSE,"CS Comps";"debt comps",#N/A,FALSE,"PS Comps";"debt comps",#N/A,FALSE,"GIC_Comps";"debt comps",#N/A,FALSE,"GIC2_Comps"}</definedName>
    <definedName name="wrn.all._.comps." localSheetId="31" hidden="1">{"equity comps",#N/A,FALSE,"CS Comps";"equity comps",#N/A,FALSE,"PS Comps";"equity comps",#N/A,FALSE,"GIC_Comps";"equity comps",#N/A,FALSE,"GIC2_Comps";"debt comps",#N/A,FALSE,"CS Comps";"debt comps",#N/A,FALSE,"PS Comps";"debt comps",#N/A,FALSE,"GIC_Comps";"debt comps",#N/A,FALSE,"GIC2_Comps"}</definedName>
    <definedName name="wrn.all._.comps." localSheetId="48"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NALISIS._.SENSIBILIDAD." localSheetId="15" hidden="1">{#N/A,#N/A,FALSE,"BALANCE";#N/A,#N/A,FALSE,"CUENTA DE PYG";#N/A,#N/A,FALSE,"RATIOS"}</definedName>
    <definedName name="wrn.ANALISIS._.SENSIBILIDAD." localSheetId="14" hidden="1">{#N/A,#N/A,FALSE,"BALANCE";#N/A,#N/A,FALSE,"CUENTA DE PYG";#N/A,#N/A,FALSE,"RATIOS"}</definedName>
    <definedName name="wrn.ANALISIS._.SENSIBILIDAD." localSheetId="2" hidden="1">{#N/A,#N/A,FALSE,"BALANCE";#N/A,#N/A,FALSE,"CUENTA DE PYG";#N/A,#N/A,FALSE,"RATIOS"}</definedName>
    <definedName name="wrn.ANALISIS._.SENSIBILIDAD." localSheetId="34" hidden="1">{#N/A,#N/A,FALSE,"BALANCE";#N/A,#N/A,FALSE,"CUENTA DE PYG";#N/A,#N/A,FALSE,"RATIOS"}</definedName>
    <definedName name="wrn.ANALISIS._.SENSIBILIDAD." localSheetId="38" hidden="1">{#N/A,#N/A,FALSE,"BALANCE";#N/A,#N/A,FALSE,"CUENTA DE PYG";#N/A,#N/A,FALSE,"RATIOS"}</definedName>
    <definedName name="wrn.ANALISIS._.SENSIBILIDAD." localSheetId="8" hidden="1">{#N/A,#N/A,FALSE,"BALANCE";#N/A,#N/A,FALSE,"CUENTA DE PYG";#N/A,#N/A,FALSE,"RATIOS"}</definedName>
    <definedName name="wrn.ANALISIS._.SENSIBILIDAD." localSheetId="12" hidden="1">{#N/A,#N/A,FALSE,"BALANCE";#N/A,#N/A,FALSE,"CUENTA DE PYG";#N/A,#N/A,FALSE,"RATIOS"}</definedName>
    <definedName name="wrn.ANALISIS._.SENSIBILIDAD." localSheetId="13" hidden="1">{#N/A,#N/A,FALSE,"BALANCE";#N/A,#N/A,FALSE,"CUENTA DE PYG";#N/A,#N/A,FALSE,"RATIOS"}</definedName>
    <definedName name="wrn.ANALISIS._.SENSIBILIDAD." localSheetId="11" hidden="1">{#N/A,#N/A,FALSE,"BALANCE";#N/A,#N/A,FALSE,"CUENTA DE PYG";#N/A,#N/A,FALSE,"RATIOS"}</definedName>
    <definedName name="wrn.ANALISIS._.SENSIBILIDAD." localSheetId="31" hidden="1">{#N/A,#N/A,FALSE,"BALANCE";#N/A,#N/A,FALSE,"CUENTA DE PYG";#N/A,#N/A,FALSE,"RATIOS"}</definedName>
    <definedName name="wrn.ANALISIS._.SENSIBILIDAD." localSheetId="48" hidden="1">{#N/A,#N/A,FALSE,"BALANCE";#N/A,#N/A,FALSE,"CUENTA DE PYG";#N/A,#N/A,FALSE,"RATIOS"}</definedName>
    <definedName name="wrn.ANALISIS._.SENSIBILIDAD." hidden="1">{#N/A,#N/A,FALSE,"BALANCE";#N/A,#N/A,FALSE,"CUENTA DE PYG";#N/A,#N/A,FALSE,"RATIOS"}</definedName>
    <definedName name="wrn.assumptions." localSheetId="15" hidden="1">{"casespecific",#N/A,FALSE,"Assumptions"}</definedName>
    <definedName name="wrn.assumptions." localSheetId="14" hidden="1">{"casespecific",#N/A,FALSE,"Assumptions"}</definedName>
    <definedName name="wrn.assumptions." localSheetId="2" hidden="1">{"casespecific",#N/A,FALSE,"Assumptions"}</definedName>
    <definedName name="wrn.assumptions." localSheetId="34" hidden="1">{"casespecific",#N/A,FALSE,"Assumptions"}</definedName>
    <definedName name="wrn.assumptions." localSheetId="38" hidden="1">{"casespecific",#N/A,FALSE,"Assumptions"}</definedName>
    <definedName name="wrn.assumptions." localSheetId="8" hidden="1">{"casespecific",#N/A,FALSE,"Assumptions"}</definedName>
    <definedName name="wrn.assumptions." localSheetId="12" hidden="1">{"casespecific",#N/A,FALSE,"Assumptions"}</definedName>
    <definedName name="wrn.assumptions." localSheetId="13" hidden="1">{"casespecific",#N/A,FALSE,"Assumptions"}</definedName>
    <definedName name="wrn.assumptions." localSheetId="11" hidden="1">{"casespecific",#N/A,FALSE,"Assumptions"}</definedName>
    <definedName name="wrn.assumptions." localSheetId="31" hidden="1">{"casespecific",#N/A,FALSE,"Assumptions"}</definedName>
    <definedName name="wrn.assumptions." localSheetId="48" hidden="1">{"casespecific",#N/A,FALSE,"Assumptions"}</definedName>
    <definedName name="wrn.assumptions." hidden="1">{"casespecific",#N/A,FALSE,"Assumptions"}</definedName>
    <definedName name="wrn.away." localSheetId="15" hidden="1">{"away stand alones",#N/A,FALSE,"Target"}</definedName>
    <definedName name="wrn.away." localSheetId="14" hidden="1">{"away stand alones",#N/A,FALSE,"Target"}</definedName>
    <definedName name="wrn.away." localSheetId="2" hidden="1">{"away stand alones",#N/A,FALSE,"Target"}</definedName>
    <definedName name="wrn.away." localSheetId="34" hidden="1">{"away stand alones",#N/A,FALSE,"Target"}</definedName>
    <definedName name="wrn.away." localSheetId="38" hidden="1">{"away stand alones",#N/A,FALSE,"Target"}</definedName>
    <definedName name="wrn.away." localSheetId="8" hidden="1">{"away stand alones",#N/A,FALSE,"Target"}</definedName>
    <definedName name="wrn.away." localSheetId="12" hidden="1">{"away stand alones",#N/A,FALSE,"Target"}</definedName>
    <definedName name="wrn.away." localSheetId="13" hidden="1">{"away stand alones",#N/A,FALSE,"Target"}</definedName>
    <definedName name="wrn.away." localSheetId="11" hidden="1">{"away stand alones",#N/A,FALSE,"Target"}</definedName>
    <definedName name="wrn.away." localSheetId="31" hidden="1">{"away stand alones",#N/A,FALSE,"Target"}</definedName>
    <definedName name="wrn.away." localSheetId="48" hidden="1">{"away stand alones",#N/A,FALSE,"Target"}</definedName>
    <definedName name="wrn.away." hidden="1">{"away stand alones",#N/A,FALSE,"Target"}</definedName>
    <definedName name="wrn.B._.P._.TDS."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rian." localSheetId="15" hidden="1">{#N/A,#N/A,FALSE,"output";#N/A,#N/A,FALSE,"contrib";#N/A,#N/A,FALSE,"profile";#N/A,#N/A,FALSE,"comps"}</definedName>
    <definedName name="wrn.brian." localSheetId="14" hidden="1">{#N/A,#N/A,FALSE,"output";#N/A,#N/A,FALSE,"contrib";#N/A,#N/A,FALSE,"profile";#N/A,#N/A,FALSE,"comps"}</definedName>
    <definedName name="wrn.brian." localSheetId="2" hidden="1">{#N/A,#N/A,FALSE,"output";#N/A,#N/A,FALSE,"contrib";#N/A,#N/A,FALSE,"profile";#N/A,#N/A,FALSE,"comps"}</definedName>
    <definedName name="wrn.brian." localSheetId="34" hidden="1">{#N/A,#N/A,FALSE,"output";#N/A,#N/A,FALSE,"contrib";#N/A,#N/A,FALSE,"profile";#N/A,#N/A,FALSE,"comps"}</definedName>
    <definedName name="wrn.brian." localSheetId="38" hidden="1">{#N/A,#N/A,FALSE,"output";#N/A,#N/A,FALSE,"contrib";#N/A,#N/A,FALSE,"profile";#N/A,#N/A,FALSE,"comps"}</definedName>
    <definedName name="wrn.brian." localSheetId="8" hidden="1">{#N/A,#N/A,FALSE,"output";#N/A,#N/A,FALSE,"contrib";#N/A,#N/A,FALSE,"profile";#N/A,#N/A,FALSE,"comps"}</definedName>
    <definedName name="wrn.brian." localSheetId="12" hidden="1">{#N/A,#N/A,FALSE,"output";#N/A,#N/A,FALSE,"contrib";#N/A,#N/A,FALSE,"profile";#N/A,#N/A,FALSE,"comps"}</definedName>
    <definedName name="wrn.brian." localSheetId="13" hidden="1">{#N/A,#N/A,FALSE,"output";#N/A,#N/A,FALSE,"contrib";#N/A,#N/A,FALSE,"profile";#N/A,#N/A,FALSE,"comps"}</definedName>
    <definedName name="wrn.brian." localSheetId="11" hidden="1">{#N/A,#N/A,FALSE,"output";#N/A,#N/A,FALSE,"contrib";#N/A,#N/A,FALSE,"profile";#N/A,#N/A,FALSE,"comps"}</definedName>
    <definedName name="wrn.brian." localSheetId="31" hidden="1">{#N/A,#N/A,FALSE,"output";#N/A,#N/A,FALSE,"contrib";#N/A,#N/A,FALSE,"profile";#N/A,#N/A,FALSE,"comps"}</definedName>
    <definedName name="wrn.brian." localSheetId="48" hidden="1">{#N/A,#N/A,FALSE,"output";#N/A,#N/A,FALSE,"contrib";#N/A,#N/A,FALSE,"profile";#N/A,#N/A,FALSE,"comps"}</definedName>
    <definedName name="wrn.brian." hidden="1">{#N/A,#N/A,FALSE,"output";#N/A,#N/A,FALSE,"contrib";#N/A,#N/A,FALSE,"profile";#N/A,#N/A,FALSE,"comps"}</definedName>
    <definedName name="wrn.Buyers._.analysis." localSheetId="15" hidden="1">{"Bradesco 1",#N/A,TRUE,"Bradesco acc_dil";"Bradesco2",#N/A,TRUE,"Bradesco acc_dil";"Bradesco3",#N/A,TRUE,"Bradesco's RWA analysis";"Unibanco1",#N/A,TRUE,"Unibanco acc_dil ";"Unibanco2",#N/A,TRUE,"Unibanco acc_dil ";"Unibanco3",#N/A,TRUE,"Unibanco's RWA analysis"}</definedName>
    <definedName name="wrn.Buyers._.analysis." localSheetId="14"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localSheetId="38" hidden="1">{"Bradesco 1",#N/A,TRUE,"Bradesco acc_dil";"Bradesco2",#N/A,TRUE,"Bradesco acc_dil";"Bradesco3",#N/A,TRUE,"Bradesco's RWA analysis";"Unibanco1",#N/A,TRUE,"Unibanco acc_dil ";"Unibanco2",#N/A,TRUE,"Unibanco acc_dil ";"Unibanco3",#N/A,TRUE,"Unibanco's RWA analysis"}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48"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ash." localSheetId="15" hidden="1">{"assumption cash",#N/A,TRUE,"Merger";"has gets cash",#N/A,TRUE,"Merger";"accretion dilution",#N/A,TRUE,"Merger";"comparison credit stats",#N/A,TRUE,"Merger";"pf credit stats",#N/A,TRUE,"Merger";"pf sheets",#N/A,TRUE,"Merger"}</definedName>
    <definedName name="wrn.cash." localSheetId="14" hidden="1">{"assumption cash",#N/A,TRUE,"Merger";"has gets cash",#N/A,TRUE,"Merger";"accretion dilution",#N/A,TRUE,"Merger";"comparison credit stats",#N/A,TRUE,"Merger";"pf credit stats",#N/A,TRUE,"Merger";"pf sheets",#N/A,TRUE,"Merger"}</definedName>
    <definedName name="wrn.cash." localSheetId="2" hidden="1">{"assumption cash",#N/A,TRUE,"Merger";"has gets cash",#N/A,TRUE,"Merger";"accretion dilution",#N/A,TRUE,"Merger";"comparison credit stats",#N/A,TRUE,"Merger";"pf credit stats",#N/A,TRUE,"Merger";"pf sheets",#N/A,TRUE,"Merger"}</definedName>
    <definedName name="wrn.cash." localSheetId="34" hidden="1">{"assumption cash",#N/A,TRUE,"Merger";"has gets cash",#N/A,TRUE,"Merger";"accretion dilution",#N/A,TRUE,"Merger";"comparison credit stats",#N/A,TRUE,"Merger";"pf credit stats",#N/A,TRUE,"Merger";"pf sheets",#N/A,TRUE,"Merger"}</definedName>
    <definedName name="wrn.cash." localSheetId="38" hidden="1">{"assumption cash",#N/A,TRUE,"Merger";"has gets cash",#N/A,TRUE,"Merger";"accretion dilution",#N/A,TRUE,"Merger";"comparison credit stats",#N/A,TRUE,"Merger";"pf credit stats",#N/A,TRUE,"Merger";"pf sheets",#N/A,TRUE,"Merger"}</definedName>
    <definedName name="wrn.cash." localSheetId="8" hidden="1">{"assumption cash",#N/A,TRUE,"Merger";"has gets cash",#N/A,TRUE,"Merger";"accretion dilution",#N/A,TRUE,"Merger";"comparison credit stats",#N/A,TRUE,"Merger";"pf credit stats",#N/A,TRUE,"Merger";"pf sheets",#N/A,TRUE,"Merger"}</definedName>
    <definedName name="wrn.cash." localSheetId="12" hidden="1">{"assumption cash",#N/A,TRUE,"Merger";"has gets cash",#N/A,TRUE,"Merger";"accretion dilution",#N/A,TRUE,"Merger";"comparison credit stats",#N/A,TRUE,"Merger";"pf credit stats",#N/A,TRUE,"Merger";"pf sheets",#N/A,TRUE,"Merger"}</definedName>
    <definedName name="wrn.cash." localSheetId="13" hidden="1">{"assumption cash",#N/A,TRUE,"Merger";"has gets cash",#N/A,TRUE,"Merger";"accretion dilution",#N/A,TRUE,"Merger";"comparison credit stats",#N/A,TRUE,"Merger";"pf credit stats",#N/A,TRUE,"Merger";"pf sheets",#N/A,TRUE,"Merger"}</definedName>
    <definedName name="wrn.cash." localSheetId="11" hidden="1">{"assumption cash",#N/A,TRUE,"Merger";"has gets cash",#N/A,TRUE,"Merger";"accretion dilution",#N/A,TRUE,"Merger";"comparison credit stats",#N/A,TRUE,"Merger";"pf credit stats",#N/A,TRUE,"Merger";"pf sheets",#N/A,TRUE,"Merger"}</definedName>
    <definedName name="wrn.cash." localSheetId="31" hidden="1">{"assumption cash",#N/A,TRUE,"Merger";"has gets cash",#N/A,TRUE,"Merger";"accretion dilution",#N/A,TRUE,"Merger";"comparison credit stats",#N/A,TRUE,"Merger";"pf credit stats",#N/A,TRUE,"Merger";"pf sheets",#N/A,TRUE,"Merger"}</definedName>
    <definedName name="wrn.cash." localSheetId="48"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omps." localSheetId="15" hidden="1">{"comps",#N/A,FALSE,"comps";"notes",#N/A,FALSE,"comps"}</definedName>
    <definedName name="wrn.comps." localSheetId="14" hidden="1">{"comps",#N/A,FALSE,"comps";"notes",#N/A,FALSE,"comps"}</definedName>
    <definedName name="wrn.comps." localSheetId="2" hidden="1">{"comps",#N/A,FALSE,"comps";"notes",#N/A,FALSE,"comps"}</definedName>
    <definedName name="wrn.comps." localSheetId="34" hidden="1">{"comps",#N/A,FALSE,"comps";"notes",#N/A,FALSE,"comps"}</definedName>
    <definedName name="wrn.comps." localSheetId="38" hidden="1">{"comps",#N/A,FALSE,"comps";"notes",#N/A,FALSE,"comps"}</definedName>
    <definedName name="wrn.comps." localSheetId="8" hidden="1">{"comps",#N/A,FALSE,"comps";"notes",#N/A,FALSE,"comps"}</definedName>
    <definedName name="wrn.comps." localSheetId="12" hidden="1">{"comps",#N/A,FALSE,"comps";"notes",#N/A,FALSE,"comps"}</definedName>
    <definedName name="wrn.comps." localSheetId="13" hidden="1">{"comps",#N/A,FALSE,"comps";"notes",#N/A,FALSE,"comps"}</definedName>
    <definedName name="wrn.comps." localSheetId="11" hidden="1">{"comps",#N/A,FALSE,"comps";"notes",#N/A,FALSE,"comps"}</definedName>
    <definedName name="wrn.comps." localSheetId="31" hidden="1">{"comps",#N/A,FALSE,"comps";"notes",#N/A,FALSE,"comps"}</definedName>
    <definedName name="wrn.comps." localSheetId="48" hidden="1">{"comps",#N/A,FALSE,"comps";"notes",#N/A,FALSE,"comps"}</definedName>
    <definedName name="wrn.comps." hidden="1">{"comps",#N/A,FALSE,"comps";"notes",#N/A,FALSE,"comps"}</definedName>
    <definedName name="wrn.cooper." localSheetId="15" hidden="1">{#N/A,#N/A,TRUE,"Pro Forma";#N/A,#N/A,TRUE,"PF_Bal";#N/A,#N/A,TRUE,"PF_INC";#N/A,#N/A,TRUE,"CBE";#N/A,#N/A,TRUE,"SWK"}</definedName>
    <definedName name="wrn.cooper." localSheetId="14" hidden="1">{#N/A,#N/A,TRUE,"Pro Forma";#N/A,#N/A,TRUE,"PF_Bal";#N/A,#N/A,TRUE,"PF_INC";#N/A,#N/A,TRUE,"CBE";#N/A,#N/A,TRUE,"SWK"}</definedName>
    <definedName name="wrn.cooper." localSheetId="2" hidden="1">{#N/A,#N/A,TRUE,"Pro Forma";#N/A,#N/A,TRUE,"PF_Bal";#N/A,#N/A,TRUE,"PF_INC";#N/A,#N/A,TRUE,"CBE";#N/A,#N/A,TRUE,"SWK"}</definedName>
    <definedName name="wrn.cooper." localSheetId="34" hidden="1">{#N/A,#N/A,TRUE,"Pro Forma";#N/A,#N/A,TRUE,"PF_Bal";#N/A,#N/A,TRUE,"PF_INC";#N/A,#N/A,TRUE,"CBE";#N/A,#N/A,TRUE,"SWK"}</definedName>
    <definedName name="wrn.cooper." localSheetId="38" hidden="1">{#N/A,#N/A,TRUE,"Pro Forma";#N/A,#N/A,TRUE,"PF_Bal";#N/A,#N/A,TRUE,"PF_INC";#N/A,#N/A,TRUE,"CBE";#N/A,#N/A,TRUE,"SWK"}</definedName>
    <definedName name="wrn.cooper." localSheetId="8" hidden="1">{#N/A,#N/A,TRUE,"Pro Forma";#N/A,#N/A,TRUE,"PF_Bal";#N/A,#N/A,TRUE,"PF_INC";#N/A,#N/A,TRUE,"CBE";#N/A,#N/A,TRUE,"SWK"}</definedName>
    <definedName name="wrn.cooper." localSheetId="12" hidden="1">{#N/A,#N/A,TRUE,"Pro Forma";#N/A,#N/A,TRUE,"PF_Bal";#N/A,#N/A,TRUE,"PF_INC";#N/A,#N/A,TRUE,"CBE";#N/A,#N/A,TRUE,"SWK"}</definedName>
    <definedName name="wrn.cooper." localSheetId="13" hidden="1">{#N/A,#N/A,TRUE,"Pro Forma";#N/A,#N/A,TRUE,"PF_Bal";#N/A,#N/A,TRUE,"PF_INC";#N/A,#N/A,TRUE,"CBE";#N/A,#N/A,TRUE,"SWK"}</definedName>
    <definedName name="wrn.cooper." localSheetId="11" hidden="1">{#N/A,#N/A,TRUE,"Pro Forma";#N/A,#N/A,TRUE,"PF_Bal";#N/A,#N/A,TRUE,"PF_INC";#N/A,#N/A,TRUE,"CBE";#N/A,#N/A,TRUE,"SWK"}</definedName>
    <definedName name="wrn.cooper." localSheetId="31" hidden="1">{#N/A,#N/A,TRUE,"Pro Forma";#N/A,#N/A,TRUE,"PF_Bal";#N/A,#N/A,TRUE,"PF_INC";#N/A,#N/A,TRUE,"CBE";#N/A,#N/A,TRUE,"SWK"}</definedName>
    <definedName name="wrn.cooper." localSheetId="48" hidden="1">{#N/A,#N/A,TRUE,"Pro Forma";#N/A,#N/A,TRUE,"PF_Bal";#N/A,#N/A,TRUE,"PF_INC";#N/A,#N/A,TRUE,"CBE";#N/A,#N/A,TRUE,"SWK"}</definedName>
    <definedName name="wrn.cooper." hidden="1">{#N/A,#N/A,TRUE,"Pro Forma";#N/A,#N/A,TRUE,"PF_Bal";#N/A,#N/A,TRUE,"PF_INC";#N/A,#N/A,TRUE,"CBE";#N/A,#N/A,TRUE,"SWK"}</definedName>
    <definedName name="wrn.CotaçõesDiáriasAGO95." localSheetId="15" hidden="1">{"CotaçõesDiáriasAGO95",#N/A,FALSE,"CotaçõesDiáriasJUL95"}</definedName>
    <definedName name="wrn.CotaçõesDiáriasAGO95." localSheetId="3" hidden="1">{"CotaçõesDiáriasAGO95",#N/A,FALSE,"CotaçõesDiáriasJUL95"}</definedName>
    <definedName name="wrn.CotaçõesDiáriasAGO95." localSheetId="14" hidden="1">{"CotaçõesDiáriasAGO95",#N/A,FALSE,"CotaçõesDiáriasJUL95"}</definedName>
    <definedName name="wrn.CotaçõesDiáriasAGO95." localSheetId="2" hidden="1">{"CotaçõesDiáriasAGO95",#N/A,FALSE,"CotaçõesDiáriasJUL95"}</definedName>
    <definedName name="wrn.CotaçõesDiáriasAGO95." localSheetId="34" hidden="1">{"CotaçõesDiáriasAGO95",#N/A,FALSE,"CotaçõesDiáriasJUL95"}</definedName>
    <definedName name="wrn.CotaçõesDiáriasAGO95." localSheetId="38" hidden="1">{"CotaçõesDiáriasAGO95",#N/A,FALSE,"CotaçõesDiáriasJUL95"}</definedName>
    <definedName name="wrn.CotaçõesDiáriasAGO95." localSheetId="8" hidden="1">{"CotaçõesDiáriasAGO95",#N/A,FALSE,"CotaçõesDiáriasJUL95"}</definedName>
    <definedName name="wrn.CotaçõesDiáriasAGO95." localSheetId="12" hidden="1">{"CotaçõesDiáriasAGO95",#N/A,FALSE,"CotaçõesDiáriasJUL95"}</definedName>
    <definedName name="wrn.CotaçõesDiáriasAGO95." localSheetId="13" hidden="1">{"CotaçõesDiáriasAGO95",#N/A,FALSE,"CotaçõesDiáriasJUL95"}</definedName>
    <definedName name="wrn.CotaçõesDiáriasAGO95." localSheetId="11" hidden="1">{"CotaçõesDiáriasAGO95",#N/A,FALSE,"CotaçõesDiáriasJUL95"}</definedName>
    <definedName name="wrn.CotaçõesDiáriasAGO95." localSheetId="31" hidden="1">{"CotaçõesDiáriasAGO95",#N/A,FALSE,"CotaçõesDiáriasJUL95"}</definedName>
    <definedName name="wrn.CotaçõesDiáriasAGO95." localSheetId="48" hidden="1">{"CotaçõesDiáriasAGO95",#N/A,FALSE,"CotaçõesDiáriasJUL95"}</definedName>
    <definedName name="wrn.CotaçõesDiáriasAGO95." hidden="1">{"CotaçõesDiáriasAGO95",#N/A,FALSE,"CotaçõesDiáriasJUL95"}</definedName>
    <definedName name="wrn.CotaçõesDiáriasJUL95." localSheetId="15" hidden="1">{"COTAÇÕESDIÁRIASJUL95",#N/A,FALSE,"CotaçõesDiáriasJUL95"}</definedName>
    <definedName name="wrn.CotaçõesDiáriasJUL95." localSheetId="3" hidden="1">{"COTAÇÕESDIÁRIASJUL95",#N/A,FALSE,"CotaçõesDiáriasJUL95"}</definedName>
    <definedName name="wrn.CotaçõesDiáriasJUL95." localSheetId="14" hidden="1">{"COTAÇÕESDIÁRIASJUL95",#N/A,FALSE,"CotaçõesDiáriasJUL95"}</definedName>
    <definedName name="wrn.CotaçõesDiáriasJUL95." localSheetId="2" hidden="1">{"COTAÇÕESDIÁRIASJUL95",#N/A,FALSE,"CotaçõesDiáriasJUL95"}</definedName>
    <definedName name="wrn.CotaçõesDiáriasJUL95." localSheetId="34" hidden="1">{"COTAÇÕESDIÁRIASJUL95",#N/A,FALSE,"CotaçõesDiáriasJUL95"}</definedName>
    <definedName name="wrn.CotaçõesDiáriasJUL95." localSheetId="38" hidden="1">{"COTAÇÕESDIÁRIASJUL95",#N/A,FALSE,"CotaçõesDiáriasJUL95"}</definedName>
    <definedName name="wrn.CotaçõesDiáriasJUL95." localSheetId="8" hidden="1">{"COTAÇÕESDIÁRIASJUL95",#N/A,FALSE,"CotaçõesDiáriasJUL95"}</definedName>
    <definedName name="wrn.CotaçõesDiáriasJUL95." localSheetId="12" hidden="1">{"COTAÇÕESDIÁRIASJUL95",#N/A,FALSE,"CotaçõesDiáriasJUL95"}</definedName>
    <definedName name="wrn.CotaçõesDiáriasJUL95." localSheetId="13" hidden="1">{"COTAÇÕESDIÁRIASJUL95",#N/A,FALSE,"CotaçõesDiáriasJUL95"}</definedName>
    <definedName name="wrn.CotaçõesDiáriasJUL95." localSheetId="11" hidden="1">{"COTAÇÕESDIÁRIASJUL95",#N/A,FALSE,"CotaçõesDiáriasJUL95"}</definedName>
    <definedName name="wrn.CotaçõesDiáriasJUL95." localSheetId="31" hidden="1">{"COTAÇÕESDIÁRIASJUL95",#N/A,FALSE,"CotaçõesDiáriasJUL95"}</definedName>
    <definedName name="wrn.CotaçõesDiáriasJUL95." localSheetId="48" hidden="1">{"COTAÇÕESDIÁRIASJUL95",#N/A,FALSE,"CotaçõesDiáriasJUL95"}</definedName>
    <definedName name="wrn.CotaçõesDiáriasJUL95." hidden="1">{"COTAÇÕESDIÁRIASJUL95",#N/A,FALSE,"CotaçõesDiáriasJUL95"}</definedName>
    <definedName name="wrn.cxdia." localSheetId="15" hidden="1">{#N/A,#N/A,FALSE,"FFCXOUT3"}</definedName>
    <definedName name="wrn.cxdia." localSheetId="14" hidden="1">{#N/A,#N/A,FALSE,"FFCXOUT3"}</definedName>
    <definedName name="wrn.cxdia." localSheetId="2" hidden="1">{#N/A,#N/A,FALSE,"FFCXOUT3"}</definedName>
    <definedName name="wrn.cxdia." localSheetId="34" hidden="1">{#N/A,#N/A,FALSE,"FFCXOUT3"}</definedName>
    <definedName name="wrn.cxdia." localSheetId="38" hidden="1">{#N/A,#N/A,FALSE,"FFCXOUT3"}</definedName>
    <definedName name="wrn.cxdia." localSheetId="8" hidden="1">{#N/A,#N/A,FALSE,"FFCXOUT3"}</definedName>
    <definedName name="wrn.cxdia." localSheetId="12" hidden="1">{#N/A,#N/A,FALSE,"FFCXOUT3"}</definedName>
    <definedName name="wrn.cxdia." localSheetId="13" hidden="1">{#N/A,#N/A,FALSE,"FFCXOUT3"}</definedName>
    <definedName name="wrn.cxdia." localSheetId="11" hidden="1">{#N/A,#N/A,FALSE,"FFCXOUT3"}</definedName>
    <definedName name="wrn.cxdia." localSheetId="31" hidden="1">{#N/A,#N/A,FALSE,"FFCXOUT3"}</definedName>
    <definedName name="wrn.cxdia." localSheetId="48" hidden="1">{#N/A,#N/A,FALSE,"FFCXOUT3"}</definedName>
    <definedName name="wrn.cxdia." hidden="1">{#N/A,#N/A,FALSE,"FFCXOUT3"}</definedName>
    <definedName name="wrn.cxdiager." localSheetId="15" hidden="1">{#N/A,#N/A,FALSE,"FFCXOUT3"}</definedName>
    <definedName name="wrn.cxdiager." localSheetId="14" hidden="1">{#N/A,#N/A,FALSE,"FFCXOUT3"}</definedName>
    <definedName name="wrn.cxdiager." localSheetId="2" hidden="1">{#N/A,#N/A,FALSE,"FFCXOUT3"}</definedName>
    <definedName name="wrn.cxdiager." localSheetId="34" hidden="1">{#N/A,#N/A,FALSE,"FFCXOUT3"}</definedName>
    <definedName name="wrn.cxdiager." localSheetId="38" hidden="1">{#N/A,#N/A,FALSE,"FFCXOUT3"}</definedName>
    <definedName name="wrn.cxdiager." localSheetId="8" hidden="1">{#N/A,#N/A,FALSE,"FFCXOUT3"}</definedName>
    <definedName name="wrn.cxdiager." localSheetId="12" hidden="1">{#N/A,#N/A,FALSE,"FFCXOUT3"}</definedName>
    <definedName name="wrn.cxdiager." localSheetId="13" hidden="1">{#N/A,#N/A,FALSE,"FFCXOUT3"}</definedName>
    <definedName name="wrn.cxdiager." localSheetId="11" hidden="1">{#N/A,#N/A,FALSE,"FFCXOUT3"}</definedName>
    <definedName name="wrn.cxdiager." localSheetId="31" hidden="1">{#N/A,#N/A,FALSE,"FFCXOUT3"}</definedName>
    <definedName name="wrn.cxdiager." localSheetId="48" hidden="1">{#N/A,#N/A,FALSE,"FFCXOUT3"}</definedName>
    <definedName name="wrn.cxdiager." hidden="1">{#N/A,#N/A,FALSE,"FFCXOUT3"}</definedName>
    <definedName name="wrn.DespesasPorArea." localSheetId="15" hidden="1">{"TotalGeralDespesasPorArea",#N/A,FALSE,"VinculosAccessEfetivo"}</definedName>
    <definedName name="wrn.DespesasPorArea." localSheetId="14" hidden="1">{"TotalGeralDespesasPorArea",#N/A,FALSE,"VinculosAccessEfetivo"}</definedName>
    <definedName name="wrn.DespesasPorArea." localSheetId="2" hidden="1">{"TotalGeralDespesasPorArea",#N/A,FALSE,"VinculosAccessEfetivo"}</definedName>
    <definedName name="wrn.DespesasPorArea." localSheetId="34" hidden="1">{"TotalGeralDespesasPorArea",#N/A,FALSE,"VinculosAccessEfetivo"}</definedName>
    <definedName name="wrn.DespesasPorArea." localSheetId="38" hidden="1">{"TotalGeralDespesasPorArea",#N/A,FALSE,"VinculosAccessEfetivo"}</definedName>
    <definedName name="wrn.DespesasPorArea." localSheetId="8" hidden="1">{"TotalGeralDespesasPorArea",#N/A,FALSE,"VinculosAccessEfetivo"}</definedName>
    <definedName name="wrn.DespesasPorArea." localSheetId="12" hidden="1">{"TotalGeralDespesasPorArea",#N/A,FALSE,"VinculosAccessEfetivo"}</definedName>
    <definedName name="wrn.DespesasPorArea." localSheetId="13" hidden="1">{"TotalGeralDespesasPorArea",#N/A,FALSE,"VinculosAccessEfetivo"}</definedName>
    <definedName name="wrn.DespesasPorArea." localSheetId="11" hidden="1">{"TotalGeralDespesasPorArea",#N/A,FALSE,"VinculosAccessEfetivo"}</definedName>
    <definedName name="wrn.DespesasPorArea." localSheetId="31" hidden="1">{"TotalGeralDespesasPorArea",#N/A,FALSE,"VinculosAccessEfetivo"}</definedName>
    <definedName name="wrn.DespesasPorArea." localSheetId="48" hidden="1">{"TotalGeralDespesasPorArea",#N/A,FALSE,"VinculosAccessEfetivo"}</definedName>
    <definedName name="wrn.DespesasPorArea." hidden="1">{"TotalGeralDespesasPorArea",#N/A,FALSE,"VinculosAccessEfetivo"}</definedName>
    <definedName name="wrn.DespesasPorArea._1" localSheetId="15" hidden="1">{"TotalGeralDespesasPorArea",#N/A,FALSE,"VinculosAccessEfetivo"}</definedName>
    <definedName name="wrn.DespesasPorArea._1" localSheetId="14" hidden="1">{"TotalGeralDespesasPorArea",#N/A,FALSE,"VinculosAccessEfetivo"}</definedName>
    <definedName name="wrn.DespesasPorArea._1" localSheetId="2" hidden="1">{"TotalGeralDespesasPorArea",#N/A,FALSE,"VinculosAccessEfetivo"}</definedName>
    <definedName name="wrn.DespesasPorArea._1" localSheetId="34" hidden="1">{"TotalGeralDespesasPorArea",#N/A,FALSE,"VinculosAccessEfetivo"}</definedName>
    <definedName name="wrn.DespesasPorArea._1" localSheetId="38" hidden="1">{"TotalGeralDespesasPorArea",#N/A,FALSE,"VinculosAccessEfetivo"}</definedName>
    <definedName name="wrn.DespesasPorArea._1" localSheetId="8" hidden="1">{"TotalGeralDespesasPorArea",#N/A,FALSE,"VinculosAccessEfetivo"}</definedName>
    <definedName name="wrn.DespesasPorArea._1" localSheetId="12" hidden="1">{"TotalGeralDespesasPorArea",#N/A,FALSE,"VinculosAccessEfetivo"}</definedName>
    <definedName name="wrn.DespesasPorArea._1" localSheetId="13" hidden="1">{"TotalGeralDespesasPorArea",#N/A,FALSE,"VinculosAccessEfetivo"}</definedName>
    <definedName name="wrn.DespesasPorArea._1" localSheetId="11" hidden="1">{"TotalGeralDespesasPorArea",#N/A,FALSE,"VinculosAccessEfetivo"}</definedName>
    <definedName name="wrn.DespesasPorArea._1" localSheetId="31" hidden="1">{"TotalGeralDespesasPorArea",#N/A,FALSE,"VinculosAccessEfetivo"}</definedName>
    <definedName name="wrn.DespesasPorArea._1" localSheetId="48" hidden="1">{"TotalGeralDespesasPorArea",#N/A,FALSE,"VinculosAccessEfetivo"}</definedName>
    <definedName name="wrn.DespesasPorArea._1" hidden="1">{"TotalGeralDespesasPorArea",#N/A,FALSE,"VinculosAccessEfetivo"}</definedName>
    <definedName name="wrn.Dezembro." localSheetId="15" hidden="1">{"Fecha_Dezembro",#N/A,FALSE,"FECHAMENTO-2002 ";"Defer_Dezermbro",#N/A,FALSE,"DIFERIDO";"Pis_Dezembro",#N/A,FALSE,"PIS COFINS";"Iss_Dezembro",#N/A,FALSE,"ISS"}</definedName>
    <definedName name="wrn.Dezembro." localSheetId="14" hidden="1">{"Fecha_Dezembro",#N/A,FALSE,"FECHAMENTO-2002 ";"Defer_Dezermbro",#N/A,FALSE,"DIFERIDO";"Pis_Dezembro",#N/A,FALSE,"PIS COFINS";"Iss_Dezembro",#N/A,FALSE,"ISS"}</definedName>
    <definedName name="wrn.Dezembro." localSheetId="2" hidden="1">{"Fecha_Dezembro",#N/A,FALSE,"FECHAMENTO-2002 ";"Defer_Dezermbro",#N/A,FALSE,"DIFERIDO";"Pis_Dezembro",#N/A,FALSE,"PIS COFINS";"Iss_Dezembro",#N/A,FALSE,"ISS"}</definedName>
    <definedName name="wrn.Dezembro." localSheetId="34" hidden="1">{"Fecha_Dezembro",#N/A,FALSE,"FECHAMENTO-2002 ";"Defer_Dezermbro",#N/A,FALSE,"DIFERIDO";"Pis_Dezembro",#N/A,FALSE,"PIS COFINS";"Iss_Dezembro",#N/A,FALSE,"ISS"}</definedName>
    <definedName name="wrn.Dezembro." localSheetId="38" hidden="1">{"Fecha_Dezembro",#N/A,FALSE,"FECHAMENTO-2002 ";"Defer_Dezermbro",#N/A,FALSE,"DIFERIDO";"Pis_Dezembro",#N/A,FALSE,"PIS COFINS";"Iss_Dezembro",#N/A,FALSE,"ISS"}</definedName>
    <definedName name="wrn.Dezembro." localSheetId="8" hidden="1">{"Fecha_Dezembro",#N/A,FALSE,"FECHAMENTO-2002 ";"Defer_Dezermbro",#N/A,FALSE,"DIFERIDO";"Pis_Dezembro",#N/A,FALSE,"PIS COFINS";"Iss_Dezembro",#N/A,FALSE,"ISS"}</definedName>
    <definedName name="wrn.Dezembro." localSheetId="12" hidden="1">{"Fecha_Dezembro",#N/A,FALSE,"FECHAMENTO-2002 ";"Defer_Dezermbro",#N/A,FALSE,"DIFERIDO";"Pis_Dezembro",#N/A,FALSE,"PIS COFINS";"Iss_Dezembro",#N/A,FALSE,"ISS"}</definedName>
    <definedName name="wrn.Dezembro." localSheetId="13" hidden="1">{"Fecha_Dezembro",#N/A,FALSE,"FECHAMENTO-2002 ";"Defer_Dezermbro",#N/A,FALSE,"DIFERIDO";"Pis_Dezembro",#N/A,FALSE,"PIS COFINS";"Iss_Dezembro",#N/A,FALSE,"ISS"}</definedName>
    <definedName name="wrn.Dezembro." localSheetId="11" hidden="1">{"Fecha_Dezembro",#N/A,FALSE,"FECHAMENTO-2002 ";"Defer_Dezermbro",#N/A,FALSE,"DIFERIDO";"Pis_Dezembro",#N/A,FALSE,"PIS COFINS";"Iss_Dezembro",#N/A,FALSE,"ISS"}</definedName>
    <definedName name="wrn.Dezembro." localSheetId="31" hidden="1">{"Fecha_Dezembro",#N/A,FALSE,"FECHAMENTO-2002 ";"Defer_Dezermbro",#N/A,FALSE,"DIFERIDO";"Pis_Dezembro",#N/A,FALSE,"PIS COFINS";"Iss_Dezembro",#N/A,FALSE,"ISS"}</definedName>
    <definedName name="wrn.Dezembro." localSheetId="48" hidden="1">{"Fecha_Dezembro",#N/A,FALSE,"FECHAMENTO-2002 ";"Defer_Dezermbro",#N/A,FALSE,"DIFERIDO";"Pis_Dezembro",#N/A,FALSE,"PIS COFINS";"Iss_Dezembro",#N/A,FALSE,"ISS"}</definedName>
    <definedName name="wrn.Dezembro." hidden="1">{"Fecha_Dezembro",#N/A,FALSE,"FECHAMENTO-2002 ";"Defer_Dezermbro",#N/A,FALSE,"DIFERIDO";"Pis_Dezembro",#N/A,FALSE,"PIS COFINS";"Iss_Dezembro",#N/A,FALSE,"ISS"}</definedName>
    <definedName name="wrn.Dezembro._1" localSheetId="15" hidden="1">{"Fecha_Dezembro",#N/A,FALSE,"FECHAMENTO-2002 ";"Defer_Dezermbro",#N/A,FALSE,"DIFERIDO";"Pis_Dezembro",#N/A,FALSE,"PIS COFINS";"Iss_Dezembro",#N/A,FALSE,"ISS"}</definedName>
    <definedName name="wrn.Dezembro._1" localSheetId="14" hidden="1">{"Fecha_Dezembro",#N/A,FALSE,"FECHAMENTO-2002 ";"Defer_Dezermbro",#N/A,FALSE,"DIFERIDO";"Pis_Dezembro",#N/A,FALSE,"PIS COFINS";"Iss_Dezembro",#N/A,FALSE,"ISS"}</definedName>
    <definedName name="wrn.Dezembro._1" localSheetId="2" hidden="1">{"Fecha_Dezembro",#N/A,FALSE,"FECHAMENTO-2002 ";"Defer_Dezermbro",#N/A,FALSE,"DIFERIDO";"Pis_Dezembro",#N/A,FALSE,"PIS COFINS";"Iss_Dezembro",#N/A,FALSE,"ISS"}</definedName>
    <definedName name="wrn.Dezembro._1" localSheetId="34" hidden="1">{"Fecha_Dezembro",#N/A,FALSE,"FECHAMENTO-2002 ";"Defer_Dezermbro",#N/A,FALSE,"DIFERIDO";"Pis_Dezembro",#N/A,FALSE,"PIS COFINS";"Iss_Dezembro",#N/A,FALSE,"ISS"}</definedName>
    <definedName name="wrn.Dezembro._1" localSheetId="38" hidden="1">{"Fecha_Dezembro",#N/A,FALSE,"FECHAMENTO-2002 ";"Defer_Dezermbro",#N/A,FALSE,"DIFERIDO";"Pis_Dezembro",#N/A,FALSE,"PIS COFINS";"Iss_Dezembro",#N/A,FALSE,"ISS"}</definedName>
    <definedName name="wrn.Dezembro._1" localSheetId="8" hidden="1">{"Fecha_Dezembro",#N/A,FALSE,"FECHAMENTO-2002 ";"Defer_Dezermbro",#N/A,FALSE,"DIFERIDO";"Pis_Dezembro",#N/A,FALSE,"PIS COFINS";"Iss_Dezembro",#N/A,FALSE,"ISS"}</definedName>
    <definedName name="wrn.Dezembro._1" localSheetId="12" hidden="1">{"Fecha_Dezembro",#N/A,FALSE,"FECHAMENTO-2002 ";"Defer_Dezermbro",#N/A,FALSE,"DIFERIDO";"Pis_Dezembro",#N/A,FALSE,"PIS COFINS";"Iss_Dezembro",#N/A,FALSE,"ISS"}</definedName>
    <definedName name="wrn.Dezembro._1" localSheetId="13" hidden="1">{"Fecha_Dezembro",#N/A,FALSE,"FECHAMENTO-2002 ";"Defer_Dezermbro",#N/A,FALSE,"DIFERIDO";"Pis_Dezembro",#N/A,FALSE,"PIS COFINS";"Iss_Dezembro",#N/A,FALSE,"ISS"}</definedName>
    <definedName name="wrn.Dezembro._1" localSheetId="11" hidden="1">{"Fecha_Dezembro",#N/A,FALSE,"FECHAMENTO-2002 ";"Defer_Dezermbro",#N/A,FALSE,"DIFERIDO";"Pis_Dezembro",#N/A,FALSE,"PIS COFINS";"Iss_Dezembro",#N/A,FALSE,"ISS"}</definedName>
    <definedName name="wrn.Dezembro._1" localSheetId="31" hidden="1">{"Fecha_Dezembro",#N/A,FALSE,"FECHAMENTO-2002 ";"Defer_Dezermbro",#N/A,FALSE,"DIFERIDO";"Pis_Dezembro",#N/A,FALSE,"PIS COFINS";"Iss_Dezembro",#N/A,FALSE,"ISS"}</definedName>
    <definedName name="wrn.Dezembro._1" localSheetId="48" hidden="1">{"Fecha_Dezembro",#N/A,FALSE,"FECHAMENTO-2002 ";"Defer_Dezermbro",#N/A,FALSE,"DIFERIDO";"Pis_Dezembro",#N/A,FALSE,"PIS COFINS";"Iss_Dezembro",#N/A,FALSE,"ISS"}</definedName>
    <definedName name="wrn.Dezembro._1" hidden="1">{"Fecha_Dezembro",#N/A,FALSE,"FECHAMENTO-2002 ";"Defer_Dezermbro",#N/A,FALSE,"DIFERIDO";"Pis_Dezembro",#N/A,FALSE,"PIS COFINS";"Iss_Dezembro",#N/A,FALSE,"ISS"}</definedName>
    <definedName name="wrn.dil_anal." localSheetId="15" hidden="1">{"hiden",#N/A,FALSE,"14";"hidden",#N/A,FALSE,"16";"hidden",#N/A,FALSE,"18";"hidden",#N/A,FALSE,"20"}</definedName>
    <definedName name="wrn.dil_anal." localSheetId="14" hidden="1">{"hiden",#N/A,FALSE,"14";"hidden",#N/A,FALSE,"16";"hidden",#N/A,FALSE,"18";"hidden",#N/A,FALSE,"20"}</definedName>
    <definedName name="wrn.dil_anal." localSheetId="2" hidden="1">{"hiden",#N/A,FALSE,"14";"hidden",#N/A,FALSE,"16";"hidden",#N/A,FALSE,"18";"hidden",#N/A,FALSE,"20"}</definedName>
    <definedName name="wrn.dil_anal." localSheetId="34" hidden="1">{"hiden",#N/A,FALSE,"14";"hidden",#N/A,FALSE,"16";"hidden",#N/A,FALSE,"18";"hidden",#N/A,FALSE,"20"}</definedName>
    <definedName name="wrn.dil_anal." localSheetId="38" hidden="1">{"hiden",#N/A,FALSE,"14";"hidden",#N/A,FALSE,"16";"hidden",#N/A,FALSE,"18";"hidden",#N/A,FALSE,"20"}</definedName>
    <definedName name="wrn.dil_anal." localSheetId="8" hidden="1">{"hiden",#N/A,FALSE,"14";"hidden",#N/A,FALSE,"16";"hidden",#N/A,FALSE,"18";"hidden",#N/A,FALSE,"20"}</definedName>
    <definedName name="wrn.dil_anal." localSheetId="12" hidden="1">{"hiden",#N/A,FALSE,"14";"hidden",#N/A,FALSE,"16";"hidden",#N/A,FALSE,"18";"hidden",#N/A,FALSE,"20"}</definedName>
    <definedName name="wrn.dil_anal." localSheetId="13" hidden="1">{"hiden",#N/A,FALSE,"14";"hidden",#N/A,FALSE,"16";"hidden",#N/A,FALSE,"18";"hidden",#N/A,FALSE,"20"}</definedName>
    <definedName name="wrn.dil_anal." localSheetId="11" hidden="1">{"hiden",#N/A,FALSE,"14";"hidden",#N/A,FALSE,"16";"hidden",#N/A,FALSE,"18";"hidden",#N/A,FALSE,"20"}</definedName>
    <definedName name="wrn.dil_anal." localSheetId="31" hidden="1">{"hiden",#N/A,FALSE,"14";"hidden",#N/A,FALSE,"16";"hidden",#N/A,FALSE,"18";"hidden",#N/A,FALSE,"20"}</definedName>
    <definedName name="wrn.dil_anal." localSheetId="48" hidden="1">{"hiden",#N/A,FALSE,"14";"hidden",#N/A,FALSE,"16";"hidden",#N/A,FALSE,"18";"hidden",#N/A,FALSE,"20"}</definedName>
    <definedName name="wrn.dil_anal." hidden="1">{"hiden",#N/A,FALSE,"14";"hidden",#N/A,FALSE,"16";"hidden",#N/A,FALSE,"18";"hidden",#N/A,FALSE,"20"}</definedName>
    <definedName name="wrn.document." localSheetId="15" hidden="1">{"consolidated",#N/A,FALSE,"Sheet1";"cms",#N/A,FALSE,"Sheet1";"fse",#N/A,FALSE,"Sheet1"}</definedName>
    <definedName name="wrn.document." localSheetId="14" hidden="1">{"consolidated",#N/A,FALSE,"Sheet1";"cms",#N/A,FALSE,"Sheet1";"fse",#N/A,FALSE,"Sheet1"}</definedName>
    <definedName name="wrn.document." localSheetId="2" hidden="1">{"consolidated",#N/A,FALSE,"Sheet1";"cms",#N/A,FALSE,"Sheet1";"fse",#N/A,FALSE,"Sheet1"}</definedName>
    <definedName name="wrn.document." localSheetId="34" hidden="1">{"consolidated",#N/A,FALSE,"Sheet1";"cms",#N/A,FALSE,"Sheet1";"fse",#N/A,FALSE,"Sheet1"}</definedName>
    <definedName name="wrn.document." localSheetId="38" hidden="1">{"consolidated",#N/A,FALSE,"Sheet1";"cms",#N/A,FALSE,"Sheet1";"fse",#N/A,FALSE,"Sheet1"}</definedName>
    <definedName name="wrn.document." localSheetId="8" hidden="1">{"consolidated",#N/A,FALSE,"Sheet1";"cms",#N/A,FALSE,"Sheet1";"fse",#N/A,FALSE,"Sheet1"}</definedName>
    <definedName name="wrn.document." localSheetId="12" hidden="1">{"consolidated",#N/A,FALSE,"Sheet1";"cms",#N/A,FALSE,"Sheet1";"fse",#N/A,FALSE,"Sheet1"}</definedName>
    <definedName name="wrn.document." localSheetId="13" hidden="1">{"consolidated",#N/A,FALSE,"Sheet1";"cms",#N/A,FALSE,"Sheet1";"fse",#N/A,FALSE,"Sheet1"}</definedName>
    <definedName name="wrn.document." localSheetId="11" hidden="1">{"consolidated",#N/A,FALSE,"Sheet1";"cms",#N/A,FALSE,"Sheet1";"fse",#N/A,FALSE,"Sheet1"}</definedName>
    <definedName name="wrn.document." localSheetId="31" hidden="1">{"consolidated",#N/A,FALSE,"Sheet1";"cms",#N/A,FALSE,"Sheet1";"fse",#N/A,FALSE,"Sheet1"}</definedName>
    <definedName name="wrn.document." localSheetId="48" hidden="1">{"consolidated",#N/A,FALSE,"Sheet1";"cms",#N/A,FALSE,"Sheet1";"fse",#N/A,FALSE,"Sheet1"}</definedName>
    <definedName name="wrn.document." hidden="1">{"consolidated",#N/A,FALSE,"Sheet1";"cms",#N/A,FALSE,"Sheet1";"fse",#N/A,FALSE,"Sheet1"}</definedName>
    <definedName name="wrn.documentaero." localSheetId="15" hidden="1">{"comps2",#N/A,FALSE,"AERO";"footnotes",#N/A,FALSE,"AERO"}</definedName>
    <definedName name="wrn.documentaero." localSheetId="14" hidden="1">{"comps2",#N/A,FALSE,"AERO";"footnotes",#N/A,FALSE,"AERO"}</definedName>
    <definedName name="wrn.documentaero." localSheetId="2" hidden="1">{"comps2",#N/A,FALSE,"AERO";"footnotes",#N/A,FALSE,"AERO"}</definedName>
    <definedName name="wrn.documentaero." localSheetId="34" hidden="1">{"comps2",#N/A,FALSE,"AERO";"footnotes",#N/A,FALSE,"AERO"}</definedName>
    <definedName name="wrn.documentaero." localSheetId="38" hidden="1">{"comps2",#N/A,FALSE,"AERO";"footnotes",#N/A,FALSE,"AERO"}</definedName>
    <definedName name="wrn.documentaero." localSheetId="8" hidden="1">{"comps2",#N/A,FALSE,"AERO";"footnotes",#N/A,FALSE,"AERO"}</definedName>
    <definedName name="wrn.documentaero." localSheetId="12" hidden="1">{"comps2",#N/A,FALSE,"AERO";"footnotes",#N/A,FALSE,"AERO"}</definedName>
    <definedName name="wrn.documentaero." localSheetId="13" hidden="1">{"comps2",#N/A,FALSE,"AERO";"footnotes",#N/A,FALSE,"AERO"}</definedName>
    <definedName name="wrn.documentaero." localSheetId="11" hidden="1">{"comps2",#N/A,FALSE,"AERO";"footnotes",#N/A,FALSE,"AERO"}</definedName>
    <definedName name="wrn.documentaero." localSheetId="31" hidden="1">{"comps2",#N/A,FALSE,"AERO";"footnotes",#N/A,FALSE,"AERO"}</definedName>
    <definedName name="wrn.documentaero." localSheetId="48" hidden="1">{"comps2",#N/A,FALSE,"AERO";"footnotes",#N/A,FALSE,"AERO"}</definedName>
    <definedName name="wrn.documentaero." hidden="1">{"comps2",#N/A,FALSE,"AERO";"footnotes",#N/A,FALSE,"AERO"}</definedName>
    <definedName name="wrn.documenthand." localSheetId="15" hidden="1">{"comps",#N/A,FALSE,"HANDPACK";"footnotes",#N/A,FALSE,"HANDPACK"}</definedName>
    <definedName name="wrn.documenthand." localSheetId="14" hidden="1">{"comps",#N/A,FALSE,"HANDPACK";"footnotes",#N/A,FALSE,"HANDPACK"}</definedName>
    <definedName name="wrn.documenthand." localSheetId="2" hidden="1">{"comps",#N/A,FALSE,"HANDPACK";"footnotes",#N/A,FALSE,"HANDPACK"}</definedName>
    <definedName name="wrn.documenthand." localSheetId="34" hidden="1">{"comps",#N/A,FALSE,"HANDPACK";"footnotes",#N/A,FALSE,"HANDPACK"}</definedName>
    <definedName name="wrn.documenthand." localSheetId="38" hidden="1">{"comps",#N/A,FALSE,"HANDPACK";"footnotes",#N/A,FALSE,"HANDPACK"}</definedName>
    <definedName name="wrn.documenthand." localSheetId="8" hidden="1">{"comps",#N/A,FALSE,"HANDPACK";"footnotes",#N/A,FALSE,"HANDPACK"}</definedName>
    <definedName name="wrn.documenthand." localSheetId="12" hidden="1">{"comps",#N/A,FALSE,"HANDPACK";"footnotes",#N/A,FALSE,"HANDPACK"}</definedName>
    <definedName name="wrn.documenthand." localSheetId="13" hidden="1">{"comps",#N/A,FALSE,"HANDPACK";"footnotes",#N/A,FALSE,"HANDPACK"}</definedName>
    <definedName name="wrn.documenthand." localSheetId="11" hidden="1">{"comps",#N/A,FALSE,"HANDPACK";"footnotes",#N/A,FALSE,"HANDPACK"}</definedName>
    <definedName name="wrn.documenthand." localSheetId="31" hidden="1">{"comps",#N/A,FALSE,"HANDPACK";"footnotes",#N/A,FALSE,"HANDPACK"}</definedName>
    <definedName name="wrn.documenthand." localSheetId="48" hidden="1">{"comps",#N/A,FALSE,"HANDPACK";"footnotes",#N/A,FALSE,"HANDPACK"}</definedName>
    <definedName name="wrn.documenthand." hidden="1">{"comps",#N/A,FALSE,"HANDPACK";"footnotes",#N/A,FALSE,"HANDPACK"}</definedName>
    <definedName name="wrn.equity._.comps." localSheetId="15" hidden="1">{"equity comps",#N/A,FALSE,"CS Comps";"equity comps",#N/A,FALSE,"PS Comps";"equity comps",#N/A,FALSE,"GIC_Comps";"equity comps",#N/A,FALSE,"GIC2_Comps"}</definedName>
    <definedName name="wrn.equity._.comps." localSheetId="14" hidden="1">{"equity comps",#N/A,FALSE,"CS Comps";"equity comps",#N/A,FALSE,"PS Comps";"equity comps",#N/A,FALSE,"GIC_Comps";"equity comps",#N/A,FALSE,"GIC2_Comps"}</definedName>
    <definedName name="wrn.equity._.comps." localSheetId="2" hidden="1">{"equity comps",#N/A,FALSE,"CS Comps";"equity comps",#N/A,FALSE,"PS Comps";"equity comps",#N/A,FALSE,"GIC_Comps";"equity comps",#N/A,FALSE,"GIC2_Comps"}</definedName>
    <definedName name="wrn.equity._.comps." localSheetId="34" hidden="1">{"equity comps",#N/A,FALSE,"CS Comps";"equity comps",#N/A,FALSE,"PS Comps";"equity comps",#N/A,FALSE,"GIC_Comps";"equity comps",#N/A,FALSE,"GIC2_Comps"}</definedName>
    <definedName name="wrn.equity._.comps." localSheetId="38" hidden="1">{"equity comps",#N/A,FALSE,"CS Comps";"equity comps",#N/A,FALSE,"PS Comps";"equity comps",#N/A,FALSE,"GIC_Comps";"equity comps",#N/A,FALSE,"GIC2_Comps"}</definedName>
    <definedName name="wrn.equity._.comps." localSheetId="8" hidden="1">{"equity comps",#N/A,FALSE,"CS Comps";"equity comps",#N/A,FALSE,"PS Comps";"equity comps",#N/A,FALSE,"GIC_Comps";"equity comps",#N/A,FALSE,"GIC2_Comps"}</definedName>
    <definedName name="wrn.equity._.comps." localSheetId="12" hidden="1">{"equity comps",#N/A,FALSE,"CS Comps";"equity comps",#N/A,FALSE,"PS Comps";"equity comps",#N/A,FALSE,"GIC_Comps";"equity comps",#N/A,FALSE,"GIC2_Comps"}</definedName>
    <definedName name="wrn.equity._.comps." localSheetId="13" hidden="1">{"equity comps",#N/A,FALSE,"CS Comps";"equity comps",#N/A,FALSE,"PS Comps";"equity comps",#N/A,FALSE,"GIC_Comps";"equity comps",#N/A,FALSE,"GIC2_Comps"}</definedName>
    <definedName name="wrn.equity._.comps." localSheetId="11" hidden="1">{"equity comps",#N/A,FALSE,"CS Comps";"equity comps",#N/A,FALSE,"PS Comps";"equity comps",#N/A,FALSE,"GIC_Comps";"equity comps",#N/A,FALSE,"GIC2_Comps"}</definedName>
    <definedName name="wrn.equity._.comps." localSheetId="31" hidden="1">{"equity comps",#N/A,FALSE,"CS Comps";"equity comps",#N/A,FALSE,"PS Comps";"equity comps",#N/A,FALSE,"GIC_Comps";"equity comps",#N/A,FALSE,"GIC2_Comps"}</definedName>
    <definedName name="wrn.equity._.comps." localSheetId="48"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forecast." localSheetId="15" hidden="1">{#N/A,#N/A,FALSE,"model"}</definedName>
    <definedName name="wrn.forecast." localSheetId="14" hidden="1">{#N/A,#N/A,FALSE,"model"}</definedName>
    <definedName name="wrn.forecast." localSheetId="2" hidden="1">{#N/A,#N/A,FALSE,"model"}</definedName>
    <definedName name="wrn.forecast." localSheetId="34" hidden="1">{#N/A,#N/A,FALSE,"model"}</definedName>
    <definedName name="wrn.forecast." localSheetId="38" hidden="1">{#N/A,#N/A,FALSE,"model"}</definedName>
    <definedName name="wrn.forecast." localSheetId="8" hidden="1">{#N/A,#N/A,FALSE,"model"}</definedName>
    <definedName name="wrn.forecast." localSheetId="12" hidden="1">{#N/A,#N/A,FALSE,"model"}</definedName>
    <definedName name="wrn.forecast." localSheetId="13" hidden="1">{#N/A,#N/A,FALSE,"model"}</definedName>
    <definedName name="wrn.forecast." localSheetId="11" hidden="1">{#N/A,#N/A,FALSE,"model"}</definedName>
    <definedName name="wrn.forecast." localSheetId="31" hidden="1">{#N/A,#N/A,FALSE,"model"}</definedName>
    <definedName name="wrn.forecast." localSheetId="48" hidden="1">{#N/A,#N/A,FALSE,"model"}</definedName>
    <definedName name="wrn.forecast." hidden="1">{#N/A,#N/A,FALSE,"model"}</definedName>
    <definedName name="wrn.forecast2" localSheetId="15" hidden="1">{#N/A,#N/A,FALSE,"model"}</definedName>
    <definedName name="wrn.forecast2" localSheetId="14" hidden="1">{#N/A,#N/A,FALSE,"model"}</definedName>
    <definedName name="wrn.forecast2" localSheetId="2" hidden="1">{#N/A,#N/A,FALSE,"model"}</definedName>
    <definedName name="wrn.forecast2" localSheetId="34" hidden="1">{#N/A,#N/A,FALSE,"model"}</definedName>
    <definedName name="wrn.forecast2" localSheetId="38" hidden="1">{#N/A,#N/A,FALSE,"model"}</definedName>
    <definedName name="wrn.forecast2" localSheetId="8" hidden="1">{#N/A,#N/A,FALSE,"model"}</definedName>
    <definedName name="wrn.forecast2" localSheetId="12" hidden="1">{#N/A,#N/A,FALSE,"model"}</definedName>
    <definedName name="wrn.forecast2" localSheetId="13" hidden="1">{#N/A,#N/A,FALSE,"model"}</definedName>
    <definedName name="wrn.forecast2" localSheetId="11" hidden="1">{#N/A,#N/A,FALSE,"model"}</definedName>
    <definedName name="wrn.forecast2" localSheetId="31" hidden="1">{#N/A,#N/A,FALSE,"model"}</definedName>
    <definedName name="wrn.forecast2" localSheetId="48" hidden="1">{#N/A,#N/A,FALSE,"model"}</definedName>
    <definedName name="wrn.forecast2" hidden="1">{#N/A,#N/A,FALSE,"model"}</definedName>
    <definedName name="wrn.forecastassumptions." localSheetId="15" hidden="1">{#N/A,#N/A,FALSE,"model"}</definedName>
    <definedName name="wrn.forecastassumptions." localSheetId="14" hidden="1">{#N/A,#N/A,FALSE,"model"}</definedName>
    <definedName name="wrn.forecastassumptions." localSheetId="2" hidden="1">{#N/A,#N/A,FALSE,"model"}</definedName>
    <definedName name="wrn.forecastassumptions." localSheetId="34" hidden="1">{#N/A,#N/A,FALSE,"model"}</definedName>
    <definedName name="wrn.forecastassumptions." localSheetId="38" hidden="1">{#N/A,#N/A,FALSE,"model"}</definedName>
    <definedName name="wrn.forecastassumptions." localSheetId="8" hidden="1">{#N/A,#N/A,FALSE,"model"}</definedName>
    <definedName name="wrn.forecastassumptions." localSheetId="12" hidden="1">{#N/A,#N/A,FALSE,"model"}</definedName>
    <definedName name="wrn.forecastassumptions." localSheetId="13" hidden="1">{#N/A,#N/A,FALSE,"model"}</definedName>
    <definedName name="wrn.forecastassumptions." localSheetId="11" hidden="1">{#N/A,#N/A,FALSE,"model"}</definedName>
    <definedName name="wrn.forecastassumptions." localSheetId="31" hidden="1">{#N/A,#N/A,FALSE,"model"}</definedName>
    <definedName name="wrn.forecastassumptions." localSheetId="48" hidden="1">{#N/A,#N/A,FALSE,"model"}</definedName>
    <definedName name="wrn.forecastassumptions." hidden="1">{#N/A,#N/A,FALSE,"model"}</definedName>
    <definedName name="wrn.forecastassumptions2" localSheetId="15" hidden="1">{#N/A,#N/A,FALSE,"model"}</definedName>
    <definedName name="wrn.forecastassumptions2" localSheetId="14" hidden="1">{#N/A,#N/A,FALSE,"model"}</definedName>
    <definedName name="wrn.forecastassumptions2" localSheetId="2" hidden="1">{#N/A,#N/A,FALSE,"model"}</definedName>
    <definedName name="wrn.forecastassumptions2" localSheetId="34" hidden="1">{#N/A,#N/A,FALSE,"model"}</definedName>
    <definedName name="wrn.forecastassumptions2" localSheetId="38" hidden="1">{#N/A,#N/A,FALSE,"model"}</definedName>
    <definedName name="wrn.forecastassumptions2" localSheetId="8" hidden="1">{#N/A,#N/A,FALSE,"model"}</definedName>
    <definedName name="wrn.forecastassumptions2" localSheetId="12" hidden="1">{#N/A,#N/A,FALSE,"model"}</definedName>
    <definedName name="wrn.forecastassumptions2" localSheetId="13" hidden="1">{#N/A,#N/A,FALSE,"model"}</definedName>
    <definedName name="wrn.forecastassumptions2" localSheetId="11" hidden="1">{#N/A,#N/A,FALSE,"model"}</definedName>
    <definedName name="wrn.forecastassumptions2" localSheetId="31" hidden="1">{#N/A,#N/A,FALSE,"model"}</definedName>
    <definedName name="wrn.forecastassumptions2" localSheetId="48" hidden="1">{#N/A,#N/A,FALSE,"model"}</definedName>
    <definedName name="wrn.forecastassumptions2" hidden="1">{#N/A,#N/A,FALSE,"model"}</definedName>
    <definedName name="wrn.forecastROIC." localSheetId="15" hidden="1">{#N/A,#N/A,FALSE,"model"}</definedName>
    <definedName name="wrn.forecastROIC." localSheetId="14" hidden="1">{#N/A,#N/A,FALSE,"model"}</definedName>
    <definedName name="wrn.forecastROIC." localSheetId="2" hidden="1">{#N/A,#N/A,FALSE,"model"}</definedName>
    <definedName name="wrn.forecastROIC." localSheetId="34" hidden="1">{#N/A,#N/A,FALSE,"model"}</definedName>
    <definedName name="wrn.forecastROIC." localSheetId="38" hidden="1">{#N/A,#N/A,FALSE,"model"}</definedName>
    <definedName name="wrn.forecastROIC." localSheetId="8" hidden="1">{#N/A,#N/A,FALSE,"model"}</definedName>
    <definedName name="wrn.forecastROIC." localSheetId="12" hidden="1">{#N/A,#N/A,FALSE,"model"}</definedName>
    <definedName name="wrn.forecastROIC." localSheetId="13" hidden="1">{#N/A,#N/A,FALSE,"model"}</definedName>
    <definedName name="wrn.forecastROIC." localSheetId="11" hidden="1">{#N/A,#N/A,FALSE,"model"}</definedName>
    <definedName name="wrn.forecastROIC." localSheetId="31" hidden="1">{#N/A,#N/A,FALSE,"model"}</definedName>
    <definedName name="wrn.forecastROIC." localSheetId="48" hidden="1">{#N/A,#N/A,FALSE,"model"}</definedName>
    <definedName name="wrn.forecastROIC." hidden="1">{#N/A,#N/A,FALSE,"model"}</definedName>
    <definedName name="wrn.forecastROIC2" localSheetId="15" hidden="1">{#N/A,#N/A,FALSE,"model"}</definedName>
    <definedName name="wrn.forecastROIC2" localSheetId="14" hidden="1">{#N/A,#N/A,FALSE,"model"}</definedName>
    <definedName name="wrn.forecastROIC2" localSheetId="2" hidden="1">{#N/A,#N/A,FALSE,"model"}</definedName>
    <definedName name="wrn.forecastROIC2" localSheetId="34" hidden="1">{#N/A,#N/A,FALSE,"model"}</definedName>
    <definedName name="wrn.forecastROIC2" localSheetId="38" hidden="1">{#N/A,#N/A,FALSE,"model"}</definedName>
    <definedName name="wrn.forecastROIC2" localSheetId="8" hidden="1">{#N/A,#N/A,FALSE,"model"}</definedName>
    <definedName name="wrn.forecastROIC2" localSheetId="12" hidden="1">{#N/A,#N/A,FALSE,"model"}</definedName>
    <definedName name="wrn.forecastROIC2" localSheetId="13" hidden="1">{#N/A,#N/A,FALSE,"model"}</definedName>
    <definedName name="wrn.forecastROIC2" localSheetId="11" hidden="1">{#N/A,#N/A,FALSE,"model"}</definedName>
    <definedName name="wrn.forecastROIC2" localSheetId="31" hidden="1">{#N/A,#N/A,FALSE,"model"}</definedName>
    <definedName name="wrn.forecastROIC2" localSheetId="48" hidden="1">{#N/A,#N/A,FALSE,"model"}</definedName>
    <definedName name="wrn.forecastROIC2" hidden="1">{#N/A,#N/A,FALSE,"model"}</definedName>
    <definedName name="wrn.history." localSheetId="15" hidden="1">{#N/A,#N/A,FALSE,"model"}</definedName>
    <definedName name="wrn.history." localSheetId="14" hidden="1">{#N/A,#N/A,FALSE,"model"}</definedName>
    <definedName name="wrn.history." localSheetId="2" hidden="1">{#N/A,#N/A,FALSE,"model"}</definedName>
    <definedName name="wrn.history." localSheetId="34" hidden="1">{#N/A,#N/A,FALSE,"model"}</definedName>
    <definedName name="wrn.history." localSheetId="38" hidden="1">{#N/A,#N/A,FALSE,"model"}</definedName>
    <definedName name="wrn.history." localSheetId="8" hidden="1">{#N/A,#N/A,FALSE,"model"}</definedName>
    <definedName name="wrn.history." localSheetId="12" hidden="1">{#N/A,#N/A,FALSE,"model"}</definedName>
    <definedName name="wrn.history." localSheetId="13" hidden="1">{#N/A,#N/A,FALSE,"model"}</definedName>
    <definedName name="wrn.history." localSheetId="11" hidden="1">{#N/A,#N/A,FALSE,"model"}</definedName>
    <definedName name="wrn.history." localSheetId="31" hidden="1">{#N/A,#N/A,FALSE,"model"}</definedName>
    <definedName name="wrn.history." localSheetId="48" hidden="1">{#N/A,#N/A,FALSE,"model"}</definedName>
    <definedName name="wrn.history." hidden="1">{#N/A,#N/A,FALSE,"model"}</definedName>
    <definedName name="wrn.history2" localSheetId="15" hidden="1">{#N/A,#N/A,FALSE,"model"}</definedName>
    <definedName name="wrn.history2" localSheetId="14" hidden="1">{#N/A,#N/A,FALSE,"model"}</definedName>
    <definedName name="wrn.history2" localSheetId="2" hidden="1">{#N/A,#N/A,FALSE,"model"}</definedName>
    <definedName name="wrn.history2" localSheetId="34" hidden="1">{#N/A,#N/A,FALSE,"model"}</definedName>
    <definedName name="wrn.history2" localSheetId="38" hidden="1">{#N/A,#N/A,FALSE,"model"}</definedName>
    <definedName name="wrn.history2" localSheetId="8" hidden="1">{#N/A,#N/A,FALSE,"model"}</definedName>
    <definedName name="wrn.history2" localSheetId="12" hidden="1">{#N/A,#N/A,FALSE,"model"}</definedName>
    <definedName name="wrn.history2" localSheetId="13" hidden="1">{#N/A,#N/A,FALSE,"model"}</definedName>
    <definedName name="wrn.history2" localSheetId="11" hidden="1">{#N/A,#N/A,FALSE,"model"}</definedName>
    <definedName name="wrn.history2" localSheetId="31" hidden="1">{#N/A,#N/A,FALSE,"model"}</definedName>
    <definedName name="wrn.history2" localSheetId="48" hidden="1">{#N/A,#N/A,FALSE,"model"}</definedName>
    <definedName name="wrn.history2" hidden="1">{#N/A,#N/A,FALSE,"model"}</definedName>
    <definedName name="wrn.histROIC." localSheetId="15" hidden="1">{#N/A,#N/A,FALSE,"model"}</definedName>
    <definedName name="wrn.histROIC." localSheetId="14" hidden="1">{#N/A,#N/A,FALSE,"model"}</definedName>
    <definedName name="wrn.histROIC." localSheetId="2" hidden="1">{#N/A,#N/A,FALSE,"model"}</definedName>
    <definedName name="wrn.histROIC." localSheetId="34" hidden="1">{#N/A,#N/A,FALSE,"model"}</definedName>
    <definedName name="wrn.histROIC." localSheetId="38" hidden="1">{#N/A,#N/A,FALSE,"model"}</definedName>
    <definedName name="wrn.histROIC." localSheetId="8" hidden="1">{#N/A,#N/A,FALSE,"model"}</definedName>
    <definedName name="wrn.histROIC." localSheetId="12" hidden="1">{#N/A,#N/A,FALSE,"model"}</definedName>
    <definedName name="wrn.histROIC." localSheetId="13" hidden="1">{#N/A,#N/A,FALSE,"model"}</definedName>
    <definedName name="wrn.histROIC." localSheetId="11" hidden="1">{#N/A,#N/A,FALSE,"model"}</definedName>
    <definedName name="wrn.histROIC." localSheetId="31" hidden="1">{#N/A,#N/A,FALSE,"model"}</definedName>
    <definedName name="wrn.histROIC." localSheetId="48" hidden="1">{#N/A,#N/A,FALSE,"model"}</definedName>
    <definedName name="wrn.histROIC." hidden="1">{#N/A,#N/A,FALSE,"model"}</definedName>
    <definedName name="wrn.histROIC2" localSheetId="15" hidden="1">{#N/A,#N/A,FALSE,"model"}</definedName>
    <definedName name="wrn.histROIC2" localSheetId="14" hidden="1">{#N/A,#N/A,FALSE,"model"}</definedName>
    <definedName name="wrn.histROIC2" localSheetId="2" hidden="1">{#N/A,#N/A,FALSE,"model"}</definedName>
    <definedName name="wrn.histROIC2" localSheetId="34" hidden="1">{#N/A,#N/A,FALSE,"model"}</definedName>
    <definedName name="wrn.histROIC2" localSheetId="38" hidden="1">{#N/A,#N/A,FALSE,"model"}</definedName>
    <definedName name="wrn.histROIC2" localSheetId="8" hidden="1">{#N/A,#N/A,FALSE,"model"}</definedName>
    <definedName name="wrn.histROIC2" localSheetId="12" hidden="1">{#N/A,#N/A,FALSE,"model"}</definedName>
    <definedName name="wrn.histROIC2" localSheetId="13" hidden="1">{#N/A,#N/A,FALSE,"model"}</definedName>
    <definedName name="wrn.histROIC2" localSheetId="11" hidden="1">{#N/A,#N/A,FALSE,"model"}</definedName>
    <definedName name="wrn.histROIC2" localSheetId="31" hidden="1">{#N/A,#N/A,FALSE,"model"}</definedName>
    <definedName name="wrn.histROIC2" localSheetId="48" hidden="1">{#N/A,#N/A,FALSE,"model"}</definedName>
    <definedName name="wrn.histROIC2" hidden="1">{#N/A,#N/A,FALSE,"model"}</definedName>
    <definedName name="wrn.imp_flx." localSheetId="15" hidden="1">{#N/A,#N/A,FALSE,"CONSOLID";#N/A,#N/A,FALSE,"CIMENTO";#N/A,#N/A,FALSE,"METALURGIA";#N/A,#N/A,FALSE,"PAPEL";#N/A,#N/A,FALSE,"QUÍMICA";#N/A,#N/A,FALSE,"AGROINDL";#N/A,#N/A,FALSE,"OUTROS";#N/A,#N/A,FALSE,"REAL_ORCADO"}</definedName>
    <definedName name="wrn.imp_flx." localSheetId="14" hidden="1">{#N/A,#N/A,FALSE,"CONSOLID";#N/A,#N/A,FALSE,"CIMENTO";#N/A,#N/A,FALSE,"METALURGIA";#N/A,#N/A,FALSE,"PAPEL";#N/A,#N/A,FALSE,"QUÍMICA";#N/A,#N/A,FALSE,"AGROINDL";#N/A,#N/A,FALSE,"OUTROS";#N/A,#N/A,FALSE,"REAL_ORCADO"}</definedName>
    <definedName name="wrn.imp_flx." localSheetId="2" hidden="1">{#N/A,#N/A,FALSE,"CONSOLID";#N/A,#N/A,FALSE,"CIMENTO";#N/A,#N/A,FALSE,"METALURGIA";#N/A,#N/A,FALSE,"PAPEL";#N/A,#N/A,FALSE,"QUÍMICA";#N/A,#N/A,FALSE,"AGROINDL";#N/A,#N/A,FALSE,"OUTROS";#N/A,#N/A,FALSE,"REAL_ORCADO"}</definedName>
    <definedName name="wrn.imp_flx." localSheetId="34" hidden="1">{#N/A,#N/A,FALSE,"CONSOLID";#N/A,#N/A,FALSE,"CIMENTO";#N/A,#N/A,FALSE,"METALURGIA";#N/A,#N/A,FALSE,"PAPEL";#N/A,#N/A,FALSE,"QUÍMICA";#N/A,#N/A,FALSE,"AGROINDL";#N/A,#N/A,FALSE,"OUTROS";#N/A,#N/A,FALSE,"REAL_ORCADO"}</definedName>
    <definedName name="wrn.imp_flx." localSheetId="38" hidden="1">{#N/A,#N/A,FALSE,"CONSOLID";#N/A,#N/A,FALSE,"CIMENTO";#N/A,#N/A,FALSE,"METALURGIA";#N/A,#N/A,FALSE,"PAPEL";#N/A,#N/A,FALSE,"QUÍMICA";#N/A,#N/A,FALSE,"AGROINDL";#N/A,#N/A,FALSE,"OUTROS";#N/A,#N/A,FALSE,"REAL_ORCADO"}</definedName>
    <definedName name="wrn.imp_flx." localSheetId="8" hidden="1">{#N/A,#N/A,FALSE,"CONSOLID";#N/A,#N/A,FALSE,"CIMENTO";#N/A,#N/A,FALSE,"METALURGIA";#N/A,#N/A,FALSE,"PAPEL";#N/A,#N/A,FALSE,"QUÍMICA";#N/A,#N/A,FALSE,"AGROINDL";#N/A,#N/A,FALSE,"OUTROS";#N/A,#N/A,FALSE,"REAL_ORCADO"}</definedName>
    <definedName name="wrn.imp_flx." localSheetId="12" hidden="1">{#N/A,#N/A,FALSE,"CONSOLID";#N/A,#N/A,FALSE,"CIMENTO";#N/A,#N/A,FALSE,"METALURGIA";#N/A,#N/A,FALSE,"PAPEL";#N/A,#N/A,FALSE,"QUÍMICA";#N/A,#N/A,FALSE,"AGROINDL";#N/A,#N/A,FALSE,"OUTROS";#N/A,#N/A,FALSE,"REAL_ORCADO"}</definedName>
    <definedName name="wrn.imp_flx." localSheetId="13" hidden="1">{#N/A,#N/A,FALSE,"CONSOLID";#N/A,#N/A,FALSE,"CIMENTO";#N/A,#N/A,FALSE,"METALURGIA";#N/A,#N/A,FALSE,"PAPEL";#N/A,#N/A,FALSE,"QUÍMICA";#N/A,#N/A,FALSE,"AGROINDL";#N/A,#N/A,FALSE,"OUTROS";#N/A,#N/A,FALSE,"REAL_ORCADO"}</definedName>
    <definedName name="wrn.imp_flx." localSheetId="11" hidden="1">{#N/A,#N/A,FALSE,"CONSOLID";#N/A,#N/A,FALSE,"CIMENTO";#N/A,#N/A,FALSE,"METALURGIA";#N/A,#N/A,FALSE,"PAPEL";#N/A,#N/A,FALSE,"QUÍMICA";#N/A,#N/A,FALSE,"AGROINDL";#N/A,#N/A,FALSE,"OUTROS";#N/A,#N/A,FALSE,"REAL_ORCADO"}</definedName>
    <definedName name="wrn.imp_flx." localSheetId="31" hidden="1">{#N/A,#N/A,FALSE,"CONSOLID";#N/A,#N/A,FALSE,"CIMENTO";#N/A,#N/A,FALSE,"METALURGIA";#N/A,#N/A,FALSE,"PAPEL";#N/A,#N/A,FALSE,"QUÍMICA";#N/A,#N/A,FALSE,"AGROINDL";#N/A,#N/A,FALSE,"OUTROS";#N/A,#N/A,FALSE,"REAL_ORCADO"}</definedName>
    <definedName name="wrn.imp_flx." localSheetId="48" hidden="1">{#N/A,#N/A,FALSE,"CONSOLID";#N/A,#N/A,FALSE,"CIMENTO";#N/A,#N/A,FALSE,"METALURGIA";#N/A,#N/A,FALSE,"PAPEL";#N/A,#N/A,FALSE,"QUÍMICA";#N/A,#N/A,FALSE,"AGROINDL";#N/A,#N/A,FALSE,"OUTROS";#N/A,#N/A,FALSE,"REAL_ORCADO"}</definedName>
    <definedName name="wrn.imp_flx." hidden="1">{#N/A,#N/A,FALSE,"CONSOLID";#N/A,#N/A,FALSE,"CIMENTO";#N/A,#N/A,FALSE,"METALURGIA";#N/A,#N/A,FALSE,"PAPEL";#N/A,#N/A,FALSE,"QUÍMICA";#N/A,#N/A,FALSE,"AGROINDL";#N/A,#N/A,FALSE,"OUTROS";#N/A,#N/A,FALSE,"REAL_ORCADO"}</definedName>
    <definedName name="wrn.Informe._.Mensual." localSheetId="15"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4"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2"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4"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8"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8"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2"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3"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1"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1"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48"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NOVIEMBRE." localSheetId="15"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4"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2"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4"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8"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8"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2"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3"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1"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1"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48"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JOGO_CONSOLIDADO." localSheetId="15" hidden="1">{#N/A,#N/A,TRUE,"Consolidado";#N/A,#N/A,TRUE,"Laticínios";#N/A,#N/A,TRUE,"Frangos";#N/A,#N/A,TRUE,"Suínos";#N/A,#N/A,TRUE,"Peru";#N/A,#N/A,TRUE,"Carnes";#N/A,#N/A,TRUE,"Suco";#N/A,#N/A,TRUE,"Batata"}</definedName>
    <definedName name="wrn.JOGO_CONSOLIDADO." localSheetId="14" hidden="1">{#N/A,#N/A,TRUE,"Consolidado";#N/A,#N/A,TRUE,"Laticínios";#N/A,#N/A,TRUE,"Frangos";#N/A,#N/A,TRUE,"Suínos";#N/A,#N/A,TRUE,"Peru";#N/A,#N/A,TRUE,"Carnes";#N/A,#N/A,TRUE,"Suco";#N/A,#N/A,TRUE,"Batata"}</definedName>
    <definedName name="wrn.JOGO_CONSOLIDADO." localSheetId="2" hidden="1">{#N/A,#N/A,TRUE,"Consolidado";#N/A,#N/A,TRUE,"Laticínios";#N/A,#N/A,TRUE,"Frangos";#N/A,#N/A,TRUE,"Suínos";#N/A,#N/A,TRUE,"Peru";#N/A,#N/A,TRUE,"Carnes";#N/A,#N/A,TRUE,"Suco";#N/A,#N/A,TRUE,"Batata"}</definedName>
    <definedName name="wrn.JOGO_CONSOLIDADO." localSheetId="34" hidden="1">{#N/A,#N/A,TRUE,"Consolidado";#N/A,#N/A,TRUE,"Laticínios";#N/A,#N/A,TRUE,"Frangos";#N/A,#N/A,TRUE,"Suínos";#N/A,#N/A,TRUE,"Peru";#N/A,#N/A,TRUE,"Carnes";#N/A,#N/A,TRUE,"Suco";#N/A,#N/A,TRUE,"Batata"}</definedName>
    <definedName name="wrn.JOGO_CONSOLIDADO." localSheetId="38" hidden="1">{#N/A,#N/A,TRUE,"Consolidado";#N/A,#N/A,TRUE,"Laticínios";#N/A,#N/A,TRUE,"Frangos";#N/A,#N/A,TRUE,"Suínos";#N/A,#N/A,TRUE,"Peru";#N/A,#N/A,TRUE,"Carnes";#N/A,#N/A,TRUE,"Suco";#N/A,#N/A,TRUE,"Batata"}</definedName>
    <definedName name="wrn.JOGO_CONSOLIDADO." localSheetId="8" hidden="1">{#N/A,#N/A,TRUE,"Consolidado";#N/A,#N/A,TRUE,"Laticínios";#N/A,#N/A,TRUE,"Frangos";#N/A,#N/A,TRUE,"Suínos";#N/A,#N/A,TRUE,"Peru";#N/A,#N/A,TRUE,"Carnes";#N/A,#N/A,TRUE,"Suco";#N/A,#N/A,TRUE,"Batata"}</definedName>
    <definedName name="wrn.JOGO_CONSOLIDADO." localSheetId="12" hidden="1">{#N/A,#N/A,TRUE,"Consolidado";#N/A,#N/A,TRUE,"Laticínios";#N/A,#N/A,TRUE,"Frangos";#N/A,#N/A,TRUE,"Suínos";#N/A,#N/A,TRUE,"Peru";#N/A,#N/A,TRUE,"Carnes";#N/A,#N/A,TRUE,"Suco";#N/A,#N/A,TRUE,"Batata"}</definedName>
    <definedName name="wrn.JOGO_CONSOLIDADO." localSheetId="13" hidden="1">{#N/A,#N/A,TRUE,"Consolidado";#N/A,#N/A,TRUE,"Laticínios";#N/A,#N/A,TRUE,"Frangos";#N/A,#N/A,TRUE,"Suínos";#N/A,#N/A,TRUE,"Peru";#N/A,#N/A,TRUE,"Carnes";#N/A,#N/A,TRUE,"Suco";#N/A,#N/A,TRUE,"Batata"}</definedName>
    <definedName name="wrn.JOGO_CONSOLIDADO." localSheetId="11" hidden="1">{#N/A,#N/A,TRUE,"Consolidado";#N/A,#N/A,TRUE,"Laticínios";#N/A,#N/A,TRUE,"Frangos";#N/A,#N/A,TRUE,"Suínos";#N/A,#N/A,TRUE,"Peru";#N/A,#N/A,TRUE,"Carnes";#N/A,#N/A,TRUE,"Suco";#N/A,#N/A,TRUE,"Batata"}</definedName>
    <definedName name="wrn.JOGO_CONSOLIDADO." localSheetId="31" hidden="1">{#N/A,#N/A,TRUE,"Consolidado";#N/A,#N/A,TRUE,"Laticínios";#N/A,#N/A,TRUE,"Frangos";#N/A,#N/A,TRUE,"Suínos";#N/A,#N/A,TRUE,"Peru";#N/A,#N/A,TRUE,"Carnes";#N/A,#N/A,TRUE,"Suco";#N/A,#N/A,TRUE,"Batata"}</definedName>
    <definedName name="wrn.JOGO_CONSOLIDADO." localSheetId="48" hidden="1">{#N/A,#N/A,TRUE,"Consolidado";#N/A,#N/A,TRUE,"Laticínios";#N/A,#N/A,TRUE,"Frangos";#N/A,#N/A,TRUE,"Suínos";#N/A,#N/A,TRUE,"Peru";#N/A,#N/A,TRUE,"Carnes";#N/A,#N/A,TRUE,"Suco";#N/A,#N/A,TRUE,"Batata"}</definedName>
    <definedName name="wrn.JOGO_CONSOLIDADO." hidden="1">{#N/A,#N/A,TRUE,"Consolidado";#N/A,#N/A,TRUE,"Laticínios";#N/A,#N/A,TRUE,"Frangos";#N/A,#N/A,TRUE,"Suínos";#N/A,#N/A,TRUE,"Peru";#N/A,#N/A,TRUE,"Carnes";#N/A,#N/A,TRUE,"Suco";#N/A,#N/A,TRUE,"Batata"}</definedName>
    <definedName name="wrn.memo." localSheetId="15" hidden="1">{#N/A,#N/A,TRUE,"financial";#N/A,#N/A,TRUE,"plants"}</definedName>
    <definedName name="wrn.memo." localSheetId="14" hidden="1">{#N/A,#N/A,TRUE,"financial";#N/A,#N/A,TRUE,"plants"}</definedName>
    <definedName name="wrn.memo." localSheetId="2" hidden="1">{#N/A,#N/A,TRUE,"financial";#N/A,#N/A,TRUE,"plants"}</definedName>
    <definedName name="wrn.memo." localSheetId="34" hidden="1">{#N/A,#N/A,TRUE,"financial";#N/A,#N/A,TRUE,"plants"}</definedName>
    <definedName name="wrn.memo." localSheetId="38" hidden="1">{#N/A,#N/A,TRUE,"financial";#N/A,#N/A,TRUE,"plants"}</definedName>
    <definedName name="wrn.memo." localSheetId="8" hidden="1">{#N/A,#N/A,TRUE,"financial";#N/A,#N/A,TRUE,"plants"}</definedName>
    <definedName name="wrn.memo." localSheetId="12" hidden="1">{#N/A,#N/A,TRUE,"financial";#N/A,#N/A,TRUE,"plants"}</definedName>
    <definedName name="wrn.memo." localSheetId="13" hidden="1">{#N/A,#N/A,TRUE,"financial";#N/A,#N/A,TRUE,"plants"}</definedName>
    <definedName name="wrn.memo." localSheetId="11" hidden="1">{#N/A,#N/A,TRUE,"financial";#N/A,#N/A,TRUE,"plants"}</definedName>
    <definedName name="wrn.memo." localSheetId="31" hidden="1">{#N/A,#N/A,TRUE,"financial";#N/A,#N/A,TRUE,"plants"}</definedName>
    <definedName name="wrn.memo." localSheetId="48" hidden="1">{#N/A,#N/A,TRUE,"financial";#N/A,#N/A,TRUE,"plants"}</definedName>
    <definedName name="wrn.memo." hidden="1">{#N/A,#N/A,TRUE,"financial";#N/A,#N/A,TRUE,"plants"}</definedName>
    <definedName name="wrn.Memoria97."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4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TESA." localSheetId="15"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4"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2"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4"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8"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8"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2"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3"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1"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1"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48"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rger." localSheetId="1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3"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4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Novembro." localSheetId="15" hidden="1">{"Fecha_Novembro",#N/A,FALSE,"FECHAMENTO-2002 ";"Defer_Novembro",#N/A,FALSE,"DIFERIDO";"Pis_Novembro",#N/A,FALSE,"PIS COFINS";"Iss_Novembro",#N/A,FALSE,"ISS"}</definedName>
    <definedName name="wrn.Novembro." localSheetId="14" hidden="1">{"Fecha_Novembro",#N/A,FALSE,"FECHAMENTO-2002 ";"Defer_Novembro",#N/A,FALSE,"DIFERIDO";"Pis_Novembro",#N/A,FALSE,"PIS COFINS";"Iss_Novembro",#N/A,FALSE,"ISS"}</definedName>
    <definedName name="wrn.Novembro." localSheetId="2" hidden="1">{"Fecha_Novembro",#N/A,FALSE,"FECHAMENTO-2002 ";"Defer_Novembro",#N/A,FALSE,"DIFERIDO";"Pis_Novembro",#N/A,FALSE,"PIS COFINS";"Iss_Novembro",#N/A,FALSE,"ISS"}</definedName>
    <definedName name="wrn.Novembro." localSheetId="34" hidden="1">{"Fecha_Novembro",#N/A,FALSE,"FECHAMENTO-2002 ";"Defer_Novembro",#N/A,FALSE,"DIFERIDO";"Pis_Novembro",#N/A,FALSE,"PIS COFINS";"Iss_Novembro",#N/A,FALSE,"ISS"}</definedName>
    <definedName name="wrn.Novembro." localSheetId="38" hidden="1">{"Fecha_Novembro",#N/A,FALSE,"FECHAMENTO-2002 ";"Defer_Novembro",#N/A,FALSE,"DIFERIDO";"Pis_Novembro",#N/A,FALSE,"PIS COFINS";"Iss_Novembro",#N/A,FALSE,"ISS"}</definedName>
    <definedName name="wrn.Novembro." localSheetId="8" hidden="1">{"Fecha_Novembro",#N/A,FALSE,"FECHAMENTO-2002 ";"Defer_Novembro",#N/A,FALSE,"DIFERIDO";"Pis_Novembro",#N/A,FALSE,"PIS COFINS";"Iss_Novembro",#N/A,FALSE,"ISS"}</definedName>
    <definedName name="wrn.Novembro." localSheetId="12" hidden="1">{"Fecha_Novembro",#N/A,FALSE,"FECHAMENTO-2002 ";"Defer_Novembro",#N/A,FALSE,"DIFERIDO";"Pis_Novembro",#N/A,FALSE,"PIS COFINS";"Iss_Novembro",#N/A,FALSE,"ISS"}</definedName>
    <definedName name="wrn.Novembro." localSheetId="13" hidden="1">{"Fecha_Novembro",#N/A,FALSE,"FECHAMENTO-2002 ";"Defer_Novembro",#N/A,FALSE,"DIFERIDO";"Pis_Novembro",#N/A,FALSE,"PIS COFINS";"Iss_Novembro",#N/A,FALSE,"ISS"}</definedName>
    <definedName name="wrn.Novembro." localSheetId="11" hidden="1">{"Fecha_Novembro",#N/A,FALSE,"FECHAMENTO-2002 ";"Defer_Novembro",#N/A,FALSE,"DIFERIDO";"Pis_Novembro",#N/A,FALSE,"PIS COFINS";"Iss_Novembro",#N/A,FALSE,"ISS"}</definedName>
    <definedName name="wrn.Novembro." localSheetId="31" hidden="1">{"Fecha_Novembro",#N/A,FALSE,"FECHAMENTO-2002 ";"Defer_Novembro",#N/A,FALSE,"DIFERIDO";"Pis_Novembro",#N/A,FALSE,"PIS COFINS";"Iss_Novembro",#N/A,FALSE,"ISS"}</definedName>
    <definedName name="wrn.Novembro." localSheetId="48" hidden="1">{"Fecha_Novembro",#N/A,FALSE,"FECHAMENTO-2002 ";"Defer_Novembro",#N/A,FALSE,"DIFERIDO";"Pis_Novembro",#N/A,FALSE,"PIS COFINS";"Iss_Novembro",#N/A,FALSE,"ISS"}</definedName>
    <definedName name="wrn.Novembro." hidden="1">{"Fecha_Novembro",#N/A,FALSE,"FECHAMENTO-2002 ";"Defer_Novembro",#N/A,FALSE,"DIFERIDO";"Pis_Novembro",#N/A,FALSE,"PIS COFINS";"Iss_Novembro",#N/A,FALSE,"ISS"}</definedName>
    <definedName name="wrn.Novembro._1" localSheetId="15" hidden="1">{"Fecha_Novembro",#N/A,FALSE,"FECHAMENTO-2002 ";"Defer_Novembro",#N/A,FALSE,"DIFERIDO";"Pis_Novembro",#N/A,FALSE,"PIS COFINS";"Iss_Novembro",#N/A,FALSE,"ISS"}</definedName>
    <definedName name="wrn.Novembro._1" localSheetId="14" hidden="1">{"Fecha_Novembro",#N/A,FALSE,"FECHAMENTO-2002 ";"Defer_Novembro",#N/A,FALSE,"DIFERIDO";"Pis_Novembro",#N/A,FALSE,"PIS COFINS";"Iss_Novembro",#N/A,FALSE,"ISS"}</definedName>
    <definedName name="wrn.Novembro._1" localSheetId="2" hidden="1">{"Fecha_Novembro",#N/A,FALSE,"FECHAMENTO-2002 ";"Defer_Novembro",#N/A,FALSE,"DIFERIDO";"Pis_Novembro",#N/A,FALSE,"PIS COFINS";"Iss_Novembro",#N/A,FALSE,"ISS"}</definedName>
    <definedName name="wrn.Novembro._1" localSheetId="34" hidden="1">{"Fecha_Novembro",#N/A,FALSE,"FECHAMENTO-2002 ";"Defer_Novembro",#N/A,FALSE,"DIFERIDO";"Pis_Novembro",#N/A,FALSE,"PIS COFINS";"Iss_Novembro",#N/A,FALSE,"ISS"}</definedName>
    <definedName name="wrn.Novembro._1" localSheetId="38" hidden="1">{"Fecha_Novembro",#N/A,FALSE,"FECHAMENTO-2002 ";"Defer_Novembro",#N/A,FALSE,"DIFERIDO";"Pis_Novembro",#N/A,FALSE,"PIS COFINS";"Iss_Novembro",#N/A,FALSE,"ISS"}</definedName>
    <definedName name="wrn.Novembro._1" localSheetId="8" hidden="1">{"Fecha_Novembro",#N/A,FALSE,"FECHAMENTO-2002 ";"Defer_Novembro",#N/A,FALSE,"DIFERIDO";"Pis_Novembro",#N/A,FALSE,"PIS COFINS";"Iss_Novembro",#N/A,FALSE,"ISS"}</definedName>
    <definedName name="wrn.Novembro._1" localSheetId="12" hidden="1">{"Fecha_Novembro",#N/A,FALSE,"FECHAMENTO-2002 ";"Defer_Novembro",#N/A,FALSE,"DIFERIDO";"Pis_Novembro",#N/A,FALSE,"PIS COFINS";"Iss_Novembro",#N/A,FALSE,"ISS"}</definedName>
    <definedName name="wrn.Novembro._1" localSheetId="13" hidden="1">{"Fecha_Novembro",#N/A,FALSE,"FECHAMENTO-2002 ";"Defer_Novembro",#N/A,FALSE,"DIFERIDO";"Pis_Novembro",#N/A,FALSE,"PIS COFINS";"Iss_Novembro",#N/A,FALSE,"ISS"}</definedName>
    <definedName name="wrn.Novembro._1" localSheetId="11" hidden="1">{"Fecha_Novembro",#N/A,FALSE,"FECHAMENTO-2002 ";"Defer_Novembro",#N/A,FALSE,"DIFERIDO";"Pis_Novembro",#N/A,FALSE,"PIS COFINS";"Iss_Novembro",#N/A,FALSE,"ISS"}</definedName>
    <definedName name="wrn.Novembro._1" localSheetId="31" hidden="1">{"Fecha_Novembro",#N/A,FALSE,"FECHAMENTO-2002 ";"Defer_Novembro",#N/A,FALSE,"DIFERIDO";"Pis_Novembro",#N/A,FALSE,"PIS COFINS";"Iss_Novembro",#N/A,FALSE,"ISS"}</definedName>
    <definedName name="wrn.Novembro._1" localSheetId="48" hidden="1">{"Fecha_Novembro",#N/A,FALSE,"FECHAMENTO-2002 ";"Defer_Novembro",#N/A,FALSE,"DIFERIDO";"Pis_Novembro",#N/A,FALSE,"PIS COFINS";"Iss_Novembro",#N/A,FALSE,"ISS"}</definedName>
    <definedName name="wrn.Novembro._1" hidden="1">{"Fecha_Novembro",#N/A,FALSE,"FECHAMENTO-2002 ";"Defer_Novembro",#N/A,FALSE,"DIFERIDO";"Pis_Novembro",#N/A,FALSE,"PIS COFINS";"Iss_Novembro",#N/A,FALSE,"ISS"}</definedName>
    <definedName name="wrn.output." localSheetId="15" hidden="1">{"assumptions and inputs",#N/A,FALSE,"valuation";"intermediate calculations",#N/A,FALSE,"valuation";"dollar conversion",#N/A,FALSE,"valuation";"analysis at various prices",#N/A,FALSE,"valuation"}</definedName>
    <definedName name="wrn.output." localSheetId="14"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localSheetId="38" hidden="1">{"assumptions and inputs",#N/A,FALSE,"valuation";"intermediate calculations",#N/A,FALSE,"valuation";"dollar conversion",#N/A,FALSE,"valuation";"analysis at various prices",#N/A,FALSE,"valuation"}</definedName>
    <definedName name="wrn.output." localSheetId="8"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48"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Outubro." localSheetId="15" hidden="1">{"Fecha_Outubro",#N/A,FALSE,"FECHAMENTO-2002 ";"Defer_Outubro",#N/A,FALSE,"DIFERIDO";"Pis_Outubro",#N/A,FALSE,"PIS COFINS";"Iss_Outubro",#N/A,FALSE,"ISS"}</definedName>
    <definedName name="wrn.Outubro." localSheetId="14" hidden="1">{"Fecha_Outubro",#N/A,FALSE,"FECHAMENTO-2002 ";"Defer_Outubro",#N/A,FALSE,"DIFERIDO";"Pis_Outubro",#N/A,FALSE,"PIS COFINS";"Iss_Outubro",#N/A,FALSE,"ISS"}</definedName>
    <definedName name="wrn.Outubro." localSheetId="2" hidden="1">{"Fecha_Outubro",#N/A,FALSE,"FECHAMENTO-2002 ";"Defer_Outubro",#N/A,FALSE,"DIFERIDO";"Pis_Outubro",#N/A,FALSE,"PIS COFINS";"Iss_Outubro",#N/A,FALSE,"ISS"}</definedName>
    <definedName name="wrn.Outubro." localSheetId="34" hidden="1">{"Fecha_Outubro",#N/A,FALSE,"FECHAMENTO-2002 ";"Defer_Outubro",#N/A,FALSE,"DIFERIDO";"Pis_Outubro",#N/A,FALSE,"PIS COFINS";"Iss_Outubro",#N/A,FALSE,"ISS"}</definedName>
    <definedName name="wrn.Outubro." localSheetId="38" hidden="1">{"Fecha_Outubro",#N/A,FALSE,"FECHAMENTO-2002 ";"Defer_Outubro",#N/A,FALSE,"DIFERIDO";"Pis_Outubro",#N/A,FALSE,"PIS COFINS";"Iss_Outubro",#N/A,FALSE,"ISS"}</definedName>
    <definedName name="wrn.Outubro." localSheetId="8" hidden="1">{"Fecha_Outubro",#N/A,FALSE,"FECHAMENTO-2002 ";"Defer_Outubro",#N/A,FALSE,"DIFERIDO";"Pis_Outubro",#N/A,FALSE,"PIS COFINS";"Iss_Outubro",#N/A,FALSE,"ISS"}</definedName>
    <definedName name="wrn.Outubro." localSheetId="12" hidden="1">{"Fecha_Outubro",#N/A,FALSE,"FECHAMENTO-2002 ";"Defer_Outubro",#N/A,FALSE,"DIFERIDO";"Pis_Outubro",#N/A,FALSE,"PIS COFINS";"Iss_Outubro",#N/A,FALSE,"ISS"}</definedName>
    <definedName name="wrn.Outubro." localSheetId="13" hidden="1">{"Fecha_Outubro",#N/A,FALSE,"FECHAMENTO-2002 ";"Defer_Outubro",#N/A,FALSE,"DIFERIDO";"Pis_Outubro",#N/A,FALSE,"PIS COFINS";"Iss_Outubro",#N/A,FALSE,"ISS"}</definedName>
    <definedName name="wrn.Outubro." localSheetId="11" hidden="1">{"Fecha_Outubro",#N/A,FALSE,"FECHAMENTO-2002 ";"Defer_Outubro",#N/A,FALSE,"DIFERIDO";"Pis_Outubro",#N/A,FALSE,"PIS COFINS";"Iss_Outubro",#N/A,FALSE,"ISS"}</definedName>
    <definedName name="wrn.Outubro." localSheetId="31" hidden="1">{"Fecha_Outubro",#N/A,FALSE,"FECHAMENTO-2002 ";"Defer_Outubro",#N/A,FALSE,"DIFERIDO";"Pis_Outubro",#N/A,FALSE,"PIS COFINS";"Iss_Outubro",#N/A,FALSE,"ISS"}</definedName>
    <definedName name="wrn.Outubro." localSheetId="48" hidden="1">{"Fecha_Outubro",#N/A,FALSE,"FECHAMENTO-2002 ";"Defer_Outubro",#N/A,FALSE,"DIFERIDO";"Pis_Outubro",#N/A,FALSE,"PIS COFINS";"Iss_Outubro",#N/A,FALSE,"ISS"}</definedName>
    <definedName name="wrn.Outubro." hidden="1">{"Fecha_Outubro",#N/A,FALSE,"FECHAMENTO-2002 ";"Defer_Outubro",#N/A,FALSE,"DIFERIDO";"Pis_Outubro",#N/A,FALSE,"PIS COFINS";"Iss_Outubro",#N/A,FALSE,"ISS"}</definedName>
    <definedName name="wrn.Outubro._1" localSheetId="15" hidden="1">{"Fecha_Outubro",#N/A,FALSE,"FECHAMENTO-2002 ";"Defer_Outubro",#N/A,FALSE,"DIFERIDO";"Pis_Outubro",#N/A,FALSE,"PIS COFINS";"Iss_Outubro",#N/A,FALSE,"ISS"}</definedName>
    <definedName name="wrn.Outubro._1" localSheetId="14" hidden="1">{"Fecha_Outubro",#N/A,FALSE,"FECHAMENTO-2002 ";"Defer_Outubro",#N/A,FALSE,"DIFERIDO";"Pis_Outubro",#N/A,FALSE,"PIS COFINS";"Iss_Outubro",#N/A,FALSE,"ISS"}</definedName>
    <definedName name="wrn.Outubro._1" localSheetId="2" hidden="1">{"Fecha_Outubro",#N/A,FALSE,"FECHAMENTO-2002 ";"Defer_Outubro",#N/A,FALSE,"DIFERIDO";"Pis_Outubro",#N/A,FALSE,"PIS COFINS";"Iss_Outubro",#N/A,FALSE,"ISS"}</definedName>
    <definedName name="wrn.Outubro._1" localSheetId="34" hidden="1">{"Fecha_Outubro",#N/A,FALSE,"FECHAMENTO-2002 ";"Defer_Outubro",#N/A,FALSE,"DIFERIDO";"Pis_Outubro",#N/A,FALSE,"PIS COFINS";"Iss_Outubro",#N/A,FALSE,"ISS"}</definedName>
    <definedName name="wrn.Outubro._1" localSheetId="38" hidden="1">{"Fecha_Outubro",#N/A,FALSE,"FECHAMENTO-2002 ";"Defer_Outubro",#N/A,FALSE,"DIFERIDO";"Pis_Outubro",#N/A,FALSE,"PIS COFINS";"Iss_Outubro",#N/A,FALSE,"ISS"}</definedName>
    <definedName name="wrn.Outubro._1" localSheetId="8" hidden="1">{"Fecha_Outubro",#N/A,FALSE,"FECHAMENTO-2002 ";"Defer_Outubro",#N/A,FALSE,"DIFERIDO";"Pis_Outubro",#N/A,FALSE,"PIS COFINS";"Iss_Outubro",#N/A,FALSE,"ISS"}</definedName>
    <definedName name="wrn.Outubro._1" localSheetId="12" hidden="1">{"Fecha_Outubro",#N/A,FALSE,"FECHAMENTO-2002 ";"Defer_Outubro",#N/A,FALSE,"DIFERIDO";"Pis_Outubro",#N/A,FALSE,"PIS COFINS";"Iss_Outubro",#N/A,FALSE,"ISS"}</definedName>
    <definedName name="wrn.Outubro._1" localSheetId="13" hidden="1">{"Fecha_Outubro",#N/A,FALSE,"FECHAMENTO-2002 ";"Defer_Outubro",#N/A,FALSE,"DIFERIDO";"Pis_Outubro",#N/A,FALSE,"PIS COFINS";"Iss_Outubro",#N/A,FALSE,"ISS"}</definedName>
    <definedName name="wrn.Outubro._1" localSheetId="11" hidden="1">{"Fecha_Outubro",#N/A,FALSE,"FECHAMENTO-2002 ";"Defer_Outubro",#N/A,FALSE,"DIFERIDO";"Pis_Outubro",#N/A,FALSE,"PIS COFINS";"Iss_Outubro",#N/A,FALSE,"ISS"}</definedName>
    <definedName name="wrn.Outubro._1" localSheetId="31" hidden="1">{"Fecha_Outubro",#N/A,FALSE,"FECHAMENTO-2002 ";"Defer_Outubro",#N/A,FALSE,"DIFERIDO";"Pis_Outubro",#N/A,FALSE,"PIS COFINS";"Iss_Outubro",#N/A,FALSE,"ISS"}</definedName>
    <definedName name="wrn.Outubro._1" localSheetId="48" hidden="1">{"Fecha_Outubro",#N/A,FALSE,"FECHAMENTO-2002 ";"Defer_Outubro",#N/A,FALSE,"DIFERIDO";"Pis_Outubro",#N/A,FALSE,"PIS COFINS";"Iss_Outubro",#N/A,FALSE,"ISS"}</definedName>
    <definedName name="wrn.Outubro._1" hidden="1">{"Fecha_Outubro",#N/A,FALSE,"FECHAMENTO-2002 ";"Defer_Outubro",#N/A,FALSE,"DIFERIDO";"Pis_Outubro",#N/A,FALSE,"PIS COFINS";"Iss_Outubro",#N/A,FALSE,"ISS"}</definedName>
    <definedName name="wrn.print._.graphs." localSheetId="15" hidden="1">{"cap_structure",#N/A,FALSE,"Graph-Mkt Cap";"price",#N/A,FALSE,"Graph-Price";"ebit",#N/A,FALSE,"Graph-EBITDA";"ebitda",#N/A,FALSE,"Graph-EBITDA"}</definedName>
    <definedName name="wrn.print._.graphs." localSheetId="14" hidden="1">{"cap_structure",#N/A,FALSE,"Graph-Mkt Cap";"price",#N/A,FALSE,"Graph-Price";"ebit",#N/A,FALSE,"Graph-EBITDA";"ebitda",#N/A,FALSE,"Graph-EBITDA"}</definedName>
    <definedName name="wrn.print._.graphs." localSheetId="2" hidden="1">{"cap_structure",#N/A,FALSE,"Graph-Mkt Cap";"price",#N/A,FALSE,"Graph-Price";"ebit",#N/A,FALSE,"Graph-EBITDA";"ebitda",#N/A,FALSE,"Graph-EBITDA"}</definedName>
    <definedName name="wrn.print._.graphs." localSheetId="34" hidden="1">{"cap_structure",#N/A,FALSE,"Graph-Mkt Cap";"price",#N/A,FALSE,"Graph-Price";"ebit",#N/A,FALSE,"Graph-EBITDA";"ebitda",#N/A,FALSE,"Graph-EBITDA"}</definedName>
    <definedName name="wrn.print._.graphs." localSheetId="38"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localSheetId="12" hidden="1">{"cap_structure",#N/A,FALSE,"Graph-Mkt Cap";"price",#N/A,FALSE,"Graph-Price";"ebit",#N/A,FALSE,"Graph-EBITDA";"ebitda",#N/A,FALSE,"Graph-EBITDA"}</definedName>
    <definedName name="wrn.print._.graphs." localSheetId="13" hidden="1">{"cap_structure",#N/A,FALSE,"Graph-Mkt Cap";"price",#N/A,FALSE,"Graph-Price";"ebit",#N/A,FALSE,"Graph-EBITDA";"ebitda",#N/A,FALSE,"Graph-EBITDA"}</definedName>
    <definedName name="wrn.print._.graphs." localSheetId="11" hidden="1">{"cap_structure",#N/A,FALSE,"Graph-Mkt Cap";"price",#N/A,FALSE,"Graph-Price";"ebit",#N/A,FALSE,"Graph-EBITDA";"ebitda",#N/A,FALSE,"Graph-EBITDA"}</definedName>
    <definedName name="wrn.print._.graphs." localSheetId="31" hidden="1">{"cap_structure",#N/A,FALSE,"Graph-Mkt Cap";"price",#N/A,FALSE,"Graph-Price";"ebit",#N/A,FALSE,"Graph-EBITDA";"ebitda",#N/A,FALSE,"Graph-EBITDA"}</definedName>
    <definedName name="wrn.print._.graphs." localSheetId="48"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5" hidden="1">{"inputs raw data",#N/A,TRUE,"INPUT"}</definedName>
    <definedName name="wrn.print._.raw._.data._.entry." localSheetId="14" hidden="1">{"inputs raw data",#N/A,TRUE,"INPUT"}</definedName>
    <definedName name="wrn.print._.raw._.data._.entry." localSheetId="2" hidden="1">{"inputs raw data",#N/A,TRUE,"INPUT"}</definedName>
    <definedName name="wrn.print._.raw._.data._.entry." localSheetId="34" hidden="1">{"inputs raw data",#N/A,TRUE,"INPUT"}</definedName>
    <definedName name="wrn.print._.raw._.data._.entry." localSheetId="38" hidden="1">{"inputs raw data",#N/A,TRUE,"INPUT"}</definedName>
    <definedName name="wrn.print._.raw._.data._.entry." localSheetId="8" hidden="1">{"inputs raw data",#N/A,TRUE,"INPUT"}</definedName>
    <definedName name="wrn.print._.raw._.data._.entry." localSheetId="12" hidden="1">{"inputs raw data",#N/A,TRUE,"INPUT"}</definedName>
    <definedName name="wrn.print._.raw._.data._.entry." localSheetId="13" hidden="1">{"inputs raw data",#N/A,TRUE,"INPUT"}</definedName>
    <definedName name="wrn.print._.raw._.data._.entry." localSheetId="11" hidden="1">{"inputs raw data",#N/A,TRUE,"INPUT"}</definedName>
    <definedName name="wrn.print._.raw._.data._.entry." localSheetId="31" hidden="1">{"inputs raw data",#N/A,TRUE,"INPUT"}</definedName>
    <definedName name="wrn.print._.raw._.data._.entry." localSheetId="48" hidden="1">{"inputs raw data",#N/A,TRUE,"INPUT"}</definedName>
    <definedName name="wrn.print._.raw._.data._.entry." hidden="1">{"inputs raw data",#N/A,TRUE,"INPUT"}</definedName>
    <definedName name="wrn.print._.summary._.sheets." localSheetId="15" hidden="1">{"summary1",#N/A,TRUE,"Comps";"summary2",#N/A,TRUE,"Comps";"summary3",#N/A,TRUE,"Comps"}</definedName>
    <definedName name="wrn.print._.summary._.sheets." localSheetId="14" hidden="1">{"summary1",#N/A,TRUE,"Comps";"summary2",#N/A,TRUE,"Comps";"summary3",#N/A,TRUE,"Comps"}</definedName>
    <definedName name="wrn.print._.summary._.sheets." localSheetId="2" hidden="1">{"summary1",#N/A,TRUE,"Comps";"summary2",#N/A,TRUE,"Comps";"summary3",#N/A,TRUE,"Comps"}</definedName>
    <definedName name="wrn.print._.summary._.sheets." localSheetId="34" hidden="1">{"summary1",#N/A,TRUE,"Comps";"summary2",#N/A,TRUE,"Comps";"summary3",#N/A,TRUE,"Comps"}</definedName>
    <definedName name="wrn.print._.summary._.sheets." localSheetId="38" hidden="1">{"summary1",#N/A,TRUE,"Comps";"summary2",#N/A,TRUE,"Comps";"summary3",#N/A,TRUE,"Comps"}</definedName>
    <definedName name="wrn.print._.summary._.sheets." localSheetId="8" hidden="1">{"summary1",#N/A,TRUE,"Comps";"summary2",#N/A,TRUE,"Comps";"summary3",#N/A,TRUE,"Comps"}</definedName>
    <definedName name="wrn.print._.summary._.sheets." localSheetId="12" hidden="1">{"summary1",#N/A,TRUE,"Comps";"summary2",#N/A,TRUE,"Comps";"summary3",#N/A,TRUE,"Comps"}</definedName>
    <definedName name="wrn.print._.summary._.sheets." localSheetId="13" hidden="1">{"summary1",#N/A,TRUE,"Comps";"summary2",#N/A,TRUE,"Comps";"summary3",#N/A,TRUE,"Comps"}</definedName>
    <definedName name="wrn.print._.summary._.sheets." localSheetId="11" hidden="1">{"summary1",#N/A,TRUE,"Comps";"summary2",#N/A,TRUE,"Comps";"summary3",#N/A,TRUE,"Comps"}</definedName>
    <definedName name="wrn.print._.summary._.sheets." localSheetId="31" hidden="1">{"summary1",#N/A,TRUE,"Comps";"summary2",#N/A,TRUE,"Comps";"summary3",#N/A,TRUE,"Comps"}</definedName>
    <definedName name="wrn.print._.summary._.sheets." localSheetId="48" hidden="1">{"summary1",#N/A,TRUE,"Comps";"summary2",#N/A,TRUE,"Comps";"summary3",#N/A,TRUE,"Comps"}</definedName>
    <definedName name="wrn.print._.summary._.sheets." hidden="1">{"summary1",#N/A,TRUE,"Comps";"summary2",#N/A,TRUE,"Comps";"summary3",#N/A,TRUE,"Comps"}</definedName>
    <definedName name="wrn.Project._.Banespa1."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RESUMO." localSheetId="15" hidden="1">{#N/A,#N/A,FALSE,"HONORÁRIOS"}</definedName>
    <definedName name="wrn.RESUMO." localSheetId="14" hidden="1">{#N/A,#N/A,FALSE,"HONORÁRIOS"}</definedName>
    <definedName name="wrn.RESUMO." localSheetId="2" hidden="1">{#N/A,#N/A,FALSE,"HONORÁRIOS"}</definedName>
    <definedName name="wrn.RESUMO." localSheetId="34" hidden="1">{#N/A,#N/A,FALSE,"HONORÁRIOS"}</definedName>
    <definedName name="wrn.RESUMO." localSheetId="38" hidden="1">{#N/A,#N/A,FALSE,"HONORÁRIOS"}</definedName>
    <definedName name="wrn.RESUMO." localSheetId="8" hidden="1">{#N/A,#N/A,FALSE,"HONORÁRIOS"}</definedName>
    <definedName name="wrn.RESUMO." localSheetId="12" hidden="1">{#N/A,#N/A,FALSE,"HONORÁRIOS"}</definedName>
    <definedName name="wrn.RESUMO." localSheetId="13" hidden="1">{#N/A,#N/A,FALSE,"HONORÁRIOS"}</definedName>
    <definedName name="wrn.RESUMO." localSheetId="11" hidden="1">{#N/A,#N/A,FALSE,"HONORÁRIOS"}</definedName>
    <definedName name="wrn.RESUMO." localSheetId="31" hidden="1">{#N/A,#N/A,FALSE,"HONORÁRIOS"}</definedName>
    <definedName name="wrn.RESUMO." localSheetId="48" hidden="1">{#N/A,#N/A,FALSE,"HONORÁRIOS"}</definedName>
    <definedName name="wrn.RESUMO." hidden="1">{#N/A,#N/A,FALSE,"HONORÁRIOS"}</definedName>
    <definedName name="wrn.RESUMO._1" localSheetId="15" hidden="1">{#N/A,#N/A,FALSE,"HONORÁRIOS"}</definedName>
    <definedName name="wrn.RESUMO._1" localSheetId="14" hidden="1">{#N/A,#N/A,FALSE,"HONORÁRIOS"}</definedName>
    <definedName name="wrn.RESUMO._1" localSheetId="2" hidden="1">{#N/A,#N/A,FALSE,"HONORÁRIOS"}</definedName>
    <definedName name="wrn.RESUMO._1" localSheetId="34" hidden="1">{#N/A,#N/A,FALSE,"HONORÁRIOS"}</definedName>
    <definedName name="wrn.RESUMO._1" localSheetId="38" hidden="1">{#N/A,#N/A,FALSE,"HONORÁRIOS"}</definedName>
    <definedName name="wrn.RESUMO._1" localSheetId="8" hidden="1">{#N/A,#N/A,FALSE,"HONORÁRIOS"}</definedName>
    <definedName name="wrn.RESUMO._1" localSheetId="12" hidden="1">{#N/A,#N/A,FALSE,"HONORÁRIOS"}</definedName>
    <definedName name="wrn.RESUMO._1" localSheetId="13" hidden="1">{#N/A,#N/A,FALSE,"HONORÁRIOS"}</definedName>
    <definedName name="wrn.RESUMO._1" localSheetId="11" hidden="1">{#N/A,#N/A,FALSE,"HONORÁRIOS"}</definedName>
    <definedName name="wrn.RESUMO._1" localSheetId="31" hidden="1">{#N/A,#N/A,FALSE,"HONORÁRIOS"}</definedName>
    <definedName name="wrn.RESUMO._1" localSheetId="48" hidden="1">{#N/A,#N/A,FALSE,"HONORÁRIOS"}</definedName>
    <definedName name="wrn.RESUMO._1" hidden="1">{#N/A,#N/A,FALSE,"HONORÁRIOS"}</definedName>
    <definedName name="wrn.sensitivity._.analyses." localSheetId="15" hidden="1">{"general",#N/A,FALSE,"Assumptions"}</definedName>
    <definedName name="wrn.sensitivity._.analyses." localSheetId="14" hidden="1">{"general",#N/A,FALSE,"Assumptions"}</definedName>
    <definedName name="wrn.sensitivity._.analyses." localSheetId="2" hidden="1">{"general",#N/A,FALSE,"Assumptions"}</definedName>
    <definedName name="wrn.sensitivity._.analyses." localSheetId="34" hidden="1">{"general",#N/A,FALSE,"Assumptions"}</definedName>
    <definedName name="wrn.sensitivity._.analyses." localSheetId="38" hidden="1">{"general",#N/A,FALSE,"Assumptions"}</definedName>
    <definedName name="wrn.sensitivity._.analyses." localSheetId="8" hidden="1">{"general",#N/A,FALSE,"Assumptions"}</definedName>
    <definedName name="wrn.sensitivity._.analyses." localSheetId="12" hidden="1">{"general",#N/A,FALSE,"Assumptions"}</definedName>
    <definedName name="wrn.sensitivity._.analyses." localSheetId="13" hidden="1">{"general",#N/A,FALSE,"Assumptions"}</definedName>
    <definedName name="wrn.sensitivity._.analyses." localSheetId="11" hidden="1">{"general",#N/A,FALSE,"Assumptions"}</definedName>
    <definedName name="wrn.sensitivity._.analyses." localSheetId="31" hidden="1">{"general",#N/A,FALSE,"Assumptions"}</definedName>
    <definedName name="wrn.sensitivity._.analyses." localSheetId="48" hidden="1">{"general",#N/A,FALSE,"Assumptions"}</definedName>
    <definedName name="wrn.sensitivity._.analyses." hidden="1">{"general",#N/A,FALSE,"Assumptions"}</definedName>
    <definedName name="wrn.Setembro." localSheetId="15" hidden="1">{"Fecha_Setembro",#N/A,FALSE,"FECHAMENTO-2002 ";"Defer_Setembro",#N/A,FALSE,"DIFERIDO";"Pis_Setembro",#N/A,FALSE,"PIS COFINS";"Iss_Setembro",#N/A,FALSE,"ISS"}</definedName>
    <definedName name="wrn.Setembro." localSheetId="14" hidden="1">{"Fecha_Setembro",#N/A,FALSE,"FECHAMENTO-2002 ";"Defer_Setembro",#N/A,FALSE,"DIFERIDO";"Pis_Setembro",#N/A,FALSE,"PIS COFINS";"Iss_Setembro",#N/A,FALSE,"ISS"}</definedName>
    <definedName name="wrn.Setembro." localSheetId="2" hidden="1">{"Fecha_Setembro",#N/A,FALSE,"FECHAMENTO-2002 ";"Defer_Setembro",#N/A,FALSE,"DIFERIDO";"Pis_Setembro",#N/A,FALSE,"PIS COFINS";"Iss_Setembro",#N/A,FALSE,"ISS"}</definedName>
    <definedName name="wrn.Setembro." localSheetId="34" hidden="1">{"Fecha_Setembro",#N/A,FALSE,"FECHAMENTO-2002 ";"Defer_Setembro",#N/A,FALSE,"DIFERIDO";"Pis_Setembro",#N/A,FALSE,"PIS COFINS";"Iss_Setembro",#N/A,FALSE,"ISS"}</definedName>
    <definedName name="wrn.Setembro." localSheetId="38" hidden="1">{"Fecha_Setembro",#N/A,FALSE,"FECHAMENTO-2002 ";"Defer_Setembro",#N/A,FALSE,"DIFERIDO";"Pis_Setembro",#N/A,FALSE,"PIS COFINS";"Iss_Setembro",#N/A,FALSE,"ISS"}</definedName>
    <definedName name="wrn.Setembro." localSheetId="8" hidden="1">{"Fecha_Setembro",#N/A,FALSE,"FECHAMENTO-2002 ";"Defer_Setembro",#N/A,FALSE,"DIFERIDO";"Pis_Setembro",#N/A,FALSE,"PIS COFINS";"Iss_Setembro",#N/A,FALSE,"ISS"}</definedName>
    <definedName name="wrn.Setembro." localSheetId="12" hidden="1">{"Fecha_Setembro",#N/A,FALSE,"FECHAMENTO-2002 ";"Defer_Setembro",#N/A,FALSE,"DIFERIDO";"Pis_Setembro",#N/A,FALSE,"PIS COFINS";"Iss_Setembro",#N/A,FALSE,"ISS"}</definedName>
    <definedName name="wrn.Setembro." localSheetId="13" hidden="1">{"Fecha_Setembro",#N/A,FALSE,"FECHAMENTO-2002 ";"Defer_Setembro",#N/A,FALSE,"DIFERIDO";"Pis_Setembro",#N/A,FALSE,"PIS COFINS";"Iss_Setembro",#N/A,FALSE,"ISS"}</definedName>
    <definedName name="wrn.Setembro." localSheetId="11" hidden="1">{"Fecha_Setembro",#N/A,FALSE,"FECHAMENTO-2002 ";"Defer_Setembro",#N/A,FALSE,"DIFERIDO";"Pis_Setembro",#N/A,FALSE,"PIS COFINS";"Iss_Setembro",#N/A,FALSE,"ISS"}</definedName>
    <definedName name="wrn.Setembro." localSheetId="31" hidden="1">{"Fecha_Setembro",#N/A,FALSE,"FECHAMENTO-2002 ";"Defer_Setembro",#N/A,FALSE,"DIFERIDO";"Pis_Setembro",#N/A,FALSE,"PIS COFINS";"Iss_Setembro",#N/A,FALSE,"ISS"}</definedName>
    <definedName name="wrn.Setembro." localSheetId="48" hidden="1">{"Fecha_Setembro",#N/A,FALSE,"FECHAMENTO-2002 ";"Defer_Setembro",#N/A,FALSE,"DIFERIDO";"Pis_Setembro",#N/A,FALSE,"PIS COFINS";"Iss_Setembro",#N/A,FALSE,"ISS"}</definedName>
    <definedName name="wrn.Setembro." hidden="1">{"Fecha_Setembro",#N/A,FALSE,"FECHAMENTO-2002 ";"Defer_Setembro",#N/A,FALSE,"DIFERIDO";"Pis_Setembro",#N/A,FALSE,"PIS COFINS";"Iss_Setembro",#N/A,FALSE,"ISS"}</definedName>
    <definedName name="wrn.Setembro._1" localSheetId="15" hidden="1">{"Fecha_Setembro",#N/A,FALSE,"FECHAMENTO-2002 ";"Defer_Setembro",#N/A,FALSE,"DIFERIDO";"Pis_Setembro",#N/A,FALSE,"PIS COFINS";"Iss_Setembro",#N/A,FALSE,"ISS"}</definedName>
    <definedName name="wrn.Setembro._1" localSheetId="14" hidden="1">{"Fecha_Setembro",#N/A,FALSE,"FECHAMENTO-2002 ";"Defer_Setembro",#N/A,FALSE,"DIFERIDO";"Pis_Setembro",#N/A,FALSE,"PIS COFINS";"Iss_Setembro",#N/A,FALSE,"ISS"}</definedName>
    <definedName name="wrn.Setembro._1" localSheetId="2" hidden="1">{"Fecha_Setembro",#N/A,FALSE,"FECHAMENTO-2002 ";"Defer_Setembro",#N/A,FALSE,"DIFERIDO";"Pis_Setembro",#N/A,FALSE,"PIS COFINS";"Iss_Setembro",#N/A,FALSE,"ISS"}</definedName>
    <definedName name="wrn.Setembro._1" localSheetId="34" hidden="1">{"Fecha_Setembro",#N/A,FALSE,"FECHAMENTO-2002 ";"Defer_Setembro",#N/A,FALSE,"DIFERIDO";"Pis_Setembro",#N/A,FALSE,"PIS COFINS";"Iss_Setembro",#N/A,FALSE,"ISS"}</definedName>
    <definedName name="wrn.Setembro._1" localSheetId="38" hidden="1">{"Fecha_Setembro",#N/A,FALSE,"FECHAMENTO-2002 ";"Defer_Setembro",#N/A,FALSE,"DIFERIDO";"Pis_Setembro",#N/A,FALSE,"PIS COFINS";"Iss_Setembro",#N/A,FALSE,"ISS"}</definedName>
    <definedName name="wrn.Setembro._1" localSheetId="8" hidden="1">{"Fecha_Setembro",#N/A,FALSE,"FECHAMENTO-2002 ";"Defer_Setembro",#N/A,FALSE,"DIFERIDO";"Pis_Setembro",#N/A,FALSE,"PIS COFINS";"Iss_Setembro",#N/A,FALSE,"ISS"}</definedName>
    <definedName name="wrn.Setembro._1" localSheetId="12" hidden="1">{"Fecha_Setembro",#N/A,FALSE,"FECHAMENTO-2002 ";"Defer_Setembro",#N/A,FALSE,"DIFERIDO";"Pis_Setembro",#N/A,FALSE,"PIS COFINS";"Iss_Setembro",#N/A,FALSE,"ISS"}</definedName>
    <definedName name="wrn.Setembro._1" localSheetId="13" hidden="1">{"Fecha_Setembro",#N/A,FALSE,"FECHAMENTO-2002 ";"Defer_Setembro",#N/A,FALSE,"DIFERIDO";"Pis_Setembro",#N/A,FALSE,"PIS COFINS";"Iss_Setembro",#N/A,FALSE,"ISS"}</definedName>
    <definedName name="wrn.Setembro._1" localSheetId="11" hidden="1">{"Fecha_Setembro",#N/A,FALSE,"FECHAMENTO-2002 ";"Defer_Setembro",#N/A,FALSE,"DIFERIDO";"Pis_Setembro",#N/A,FALSE,"PIS COFINS";"Iss_Setembro",#N/A,FALSE,"ISS"}</definedName>
    <definedName name="wrn.Setembro._1" localSheetId="31" hidden="1">{"Fecha_Setembro",#N/A,FALSE,"FECHAMENTO-2002 ";"Defer_Setembro",#N/A,FALSE,"DIFERIDO";"Pis_Setembro",#N/A,FALSE,"PIS COFINS";"Iss_Setembro",#N/A,FALSE,"ISS"}</definedName>
    <definedName name="wrn.Setembro._1" localSheetId="48" hidden="1">{"Fecha_Setembro",#N/A,FALSE,"FECHAMENTO-2002 ";"Defer_Setembro",#N/A,FALSE,"DIFERIDO";"Pis_Setembro",#N/A,FALSE,"PIS COFINS";"Iss_Setembro",#N/A,FALSE,"ISS"}</definedName>
    <definedName name="wrn.Setembro._1" hidden="1">{"Fecha_Setembro",#N/A,FALSE,"FECHAMENTO-2002 ";"Defer_Setembro",#N/A,FALSE,"DIFERIDO";"Pis_Setembro",#N/A,FALSE,"PIS COFINS";"Iss_Setembro",#N/A,FALSE,"ISS"}</definedName>
    <definedName name="wrn.stand_alone." localSheetId="15" hidden="1">{#N/A,#N/A,FALSE,"CBE";#N/A,#N/A,FALSE,"SWK"}</definedName>
    <definedName name="wrn.stand_alone." localSheetId="14" hidden="1">{#N/A,#N/A,FALSE,"CBE";#N/A,#N/A,FALSE,"SWK"}</definedName>
    <definedName name="wrn.stand_alone." localSheetId="2" hidden="1">{#N/A,#N/A,FALSE,"CBE";#N/A,#N/A,FALSE,"SWK"}</definedName>
    <definedName name="wrn.stand_alone." localSheetId="34" hidden="1">{#N/A,#N/A,FALSE,"CBE";#N/A,#N/A,FALSE,"SWK"}</definedName>
    <definedName name="wrn.stand_alone." localSheetId="38" hidden="1">{#N/A,#N/A,FALSE,"CBE";#N/A,#N/A,FALSE,"SWK"}</definedName>
    <definedName name="wrn.stand_alone." localSheetId="8" hidden="1">{#N/A,#N/A,FALSE,"CBE";#N/A,#N/A,FALSE,"SWK"}</definedName>
    <definedName name="wrn.stand_alone." localSheetId="12" hidden="1">{#N/A,#N/A,FALSE,"CBE";#N/A,#N/A,FALSE,"SWK"}</definedName>
    <definedName name="wrn.stand_alone." localSheetId="13" hidden="1">{#N/A,#N/A,FALSE,"CBE";#N/A,#N/A,FALSE,"SWK"}</definedName>
    <definedName name="wrn.stand_alone." localSheetId="11" hidden="1">{#N/A,#N/A,FALSE,"CBE";#N/A,#N/A,FALSE,"SWK"}</definedName>
    <definedName name="wrn.stand_alone." localSheetId="31" hidden="1">{#N/A,#N/A,FALSE,"CBE";#N/A,#N/A,FALSE,"SWK"}</definedName>
    <definedName name="wrn.stand_alone." localSheetId="48" hidden="1">{#N/A,#N/A,FALSE,"CBE";#N/A,#N/A,FALSE,"SWK"}</definedName>
    <definedName name="wrn.stand_alone." hidden="1">{#N/A,#N/A,FALSE,"CBE";#N/A,#N/A,FALSE,"SWK"}</definedName>
    <definedName name="wrn.TODO." localSheetId="15" hidden="1">{#N/A,#N/A,FALSE,"RESUMEN";#N/A,#N/A,FALSE,"PARQ_C";#N/A,#N/A,FALSE,"PARQ_P";#N/A,#N/A,FALSE,"MIN_S_C";#N/A,#N/A,FALSE,"MIN_S_P";#N/A,#N/A,FALSE,"MIN_E_M_M";#N/A,#N/A,FALSE,"MIN_E_FIJA";#N/A,#N/A,FALSE,"SUPUESTOS"}</definedName>
    <definedName name="wrn.TODO." localSheetId="14" hidden="1">{#N/A,#N/A,FALSE,"RESUMEN";#N/A,#N/A,FALSE,"PARQ_C";#N/A,#N/A,FALSE,"PARQ_P";#N/A,#N/A,FALSE,"MIN_S_C";#N/A,#N/A,FALSE,"MIN_S_P";#N/A,#N/A,FALSE,"MIN_E_M_M";#N/A,#N/A,FALSE,"MIN_E_FIJA";#N/A,#N/A,FALSE,"SUPUESTOS"}</definedName>
    <definedName name="wrn.TODO." localSheetId="2" hidden="1">{#N/A,#N/A,FALSE,"RESUMEN";#N/A,#N/A,FALSE,"PARQ_C";#N/A,#N/A,FALSE,"PARQ_P";#N/A,#N/A,FALSE,"MIN_S_C";#N/A,#N/A,FALSE,"MIN_S_P";#N/A,#N/A,FALSE,"MIN_E_M_M";#N/A,#N/A,FALSE,"MIN_E_FIJA";#N/A,#N/A,FALSE,"SUPUESTOS"}</definedName>
    <definedName name="wrn.TODO." localSheetId="34" hidden="1">{#N/A,#N/A,FALSE,"RESUMEN";#N/A,#N/A,FALSE,"PARQ_C";#N/A,#N/A,FALSE,"PARQ_P";#N/A,#N/A,FALSE,"MIN_S_C";#N/A,#N/A,FALSE,"MIN_S_P";#N/A,#N/A,FALSE,"MIN_E_M_M";#N/A,#N/A,FALSE,"MIN_E_FIJA";#N/A,#N/A,FALSE,"SUPUESTOS"}</definedName>
    <definedName name="wrn.TODO." localSheetId="38" hidden="1">{#N/A,#N/A,FALSE,"RESUMEN";#N/A,#N/A,FALSE,"PARQ_C";#N/A,#N/A,FALSE,"PARQ_P";#N/A,#N/A,FALSE,"MIN_S_C";#N/A,#N/A,FALSE,"MIN_S_P";#N/A,#N/A,FALSE,"MIN_E_M_M";#N/A,#N/A,FALSE,"MIN_E_FIJA";#N/A,#N/A,FALSE,"SUPUESTOS"}</definedName>
    <definedName name="wrn.TODO." localSheetId="8" hidden="1">{#N/A,#N/A,FALSE,"RESUMEN";#N/A,#N/A,FALSE,"PARQ_C";#N/A,#N/A,FALSE,"PARQ_P";#N/A,#N/A,FALSE,"MIN_S_C";#N/A,#N/A,FALSE,"MIN_S_P";#N/A,#N/A,FALSE,"MIN_E_M_M";#N/A,#N/A,FALSE,"MIN_E_FIJA";#N/A,#N/A,FALSE,"SUPUESTOS"}</definedName>
    <definedName name="wrn.TODO." localSheetId="12" hidden="1">{#N/A,#N/A,FALSE,"RESUMEN";#N/A,#N/A,FALSE,"PARQ_C";#N/A,#N/A,FALSE,"PARQ_P";#N/A,#N/A,FALSE,"MIN_S_C";#N/A,#N/A,FALSE,"MIN_S_P";#N/A,#N/A,FALSE,"MIN_E_M_M";#N/A,#N/A,FALSE,"MIN_E_FIJA";#N/A,#N/A,FALSE,"SUPUESTOS"}</definedName>
    <definedName name="wrn.TODO." localSheetId="13" hidden="1">{#N/A,#N/A,FALSE,"RESUMEN";#N/A,#N/A,FALSE,"PARQ_C";#N/A,#N/A,FALSE,"PARQ_P";#N/A,#N/A,FALSE,"MIN_S_C";#N/A,#N/A,FALSE,"MIN_S_P";#N/A,#N/A,FALSE,"MIN_E_M_M";#N/A,#N/A,FALSE,"MIN_E_FIJA";#N/A,#N/A,FALSE,"SUPUESTOS"}</definedName>
    <definedName name="wrn.TODO." localSheetId="11" hidden="1">{#N/A,#N/A,FALSE,"RESUMEN";#N/A,#N/A,FALSE,"PARQ_C";#N/A,#N/A,FALSE,"PARQ_P";#N/A,#N/A,FALSE,"MIN_S_C";#N/A,#N/A,FALSE,"MIN_S_P";#N/A,#N/A,FALSE,"MIN_E_M_M";#N/A,#N/A,FALSE,"MIN_E_FIJA";#N/A,#N/A,FALSE,"SUPUESTOS"}</definedName>
    <definedName name="wrn.TODO." localSheetId="31" hidden="1">{#N/A,#N/A,FALSE,"RESUMEN";#N/A,#N/A,FALSE,"PARQ_C";#N/A,#N/A,FALSE,"PARQ_P";#N/A,#N/A,FALSE,"MIN_S_C";#N/A,#N/A,FALSE,"MIN_S_P";#N/A,#N/A,FALSE,"MIN_E_M_M";#N/A,#N/A,FALSE,"MIN_E_FIJA";#N/A,#N/A,FALSE,"SUPUESTOS"}</definedName>
    <definedName name="wrn.TODO." localSheetId="48" hidden="1">{#N/A,#N/A,FALSE,"RESUMEN";#N/A,#N/A,FALSE,"PARQ_C";#N/A,#N/A,FALSE,"PARQ_P";#N/A,#N/A,FALSE,"MIN_S_C";#N/A,#N/A,FALSE,"MIN_S_P";#N/A,#N/A,FALSE,"MIN_E_M_M";#N/A,#N/A,FALSE,"MIN_E_FIJA";#N/A,#N/A,FALSE,"SUPUESTOS"}</definedName>
    <definedName name="wrn.TODO." hidden="1">{#N/A,#N/A,FALSE,"RESUMEN";#N/A,#N/A,FALSE,"PARQ_C";#N/A,#N/A,FALSE,"PARQ_P";#N/A,#N/A,FALSE,"MIN_S_C";#N/A,#N/A,FALSE,"MIN_S_P";#N/A,#N/A,FALSE,"MIN_E_M_M";#N/A,#N/A,FALSE,"MIN_E_FIJA";#N/A,#N/A,FALSE,"SUPUESTOS"}</definedName>
    <definedName name="wrn.TOTAL." localSheetId="15" hidden="1">{#N/A,#N/A,FALSE,"INVERSIONES Y AMORTIZ";#N/A,#N/A,FALSE,"BALANCE";#N/A,#N/A,FALSE,"CUENTA DE PYG";#N/A,#N/A,FALSE,"CUENTA DE PYG (2)";#N/A,#N/A,FALSE,"RATIOS";#N/A,#N/A,FALSE,"G. PERSONAL";#N/A,#N/A,FALSE,"G. SOCIALES";#N/A,#N/A,FALSE,"G. GENERALES";#N/A,#N/A,FALSE,"LINEAS DE PRODUCTOS"}</definedName>
    <definedName name="wrn.TOTAL." localSheetId="14" hidden="1">{#N/A,#N/A,FALSE,"INVERSIONES Y AMORTIZ";#N/A,#N/A,FALSE,"BALANCE";#N/A,#N/A,FALSE,"CUENTA DE PYG";#N/A,#N/A,FALSE,"CUENTA DE PYG (2)";#N/A,#N/A,FALSE,"RATIOS";#N/A,#N/A,FALSE,"G. PERSONAL";#N/A,#N/A,FALSE,"G. SOCIALES";#N/A,#N/A,FALSE,"G. GENERALES";#N/A,#N/A,FALSE,"LINEAS DE PRODUCTOS"}</definedName>
    <definedName name="wrn.TOTAL." localSheetId="2" hidden="1">{#N/A,#N/A,FALSE,"INVERSIONES Y AMORTIZ";#N/A,#N/A,FALSE,"BALANCE";#N/A,#N/A,FALSE,"CUENTA DE PYG";#N/A,#N/A,FALSE,"CUENTA DE PYG (2)";#N/A,#N/A,FALSE,"RATIOS";#N/A,#N/A,FALSE,"G. PERSONAL";#N/A,#N/A,FALSE,"G. SOCIALES";#N/A,#N/A,FALSE,"G. GENERALES";#N/A,#N/A,FALSE,"LINEAS DE PRODUCTOS"}</definedName>
    <definedName name="wrn.TOTAL." localSheetId="34" hidden="1">{#N/A,#N/A,FALSE,"INVERSIONES Y AMORTIZ";#N/A,#N/A,FALSE,"BALANCE";#N/A,#N/A,FALSE,"CUENTA DE PYG";#N/A,#N/A,FALSE,"CUENTA DE PYG (2)";#N/A,#N/A,FALSE,"RATIOS";#N/A,#N/A,FALSE,"G. PERSONAL";#N/A,#N/A,FALSE,"G. SOCIALES";#N/A,#N/A,FALSE,"G. GENERALES";#N/A,#N/A,FALSE,"LINEAS DE PRODUCTOS"}</definedName>
    <definedName name="wrn.TOTAL." localSheetId="38" hidden="1">{#N/A,#N/A,FALSE,"INVERSIONES Y AMORTIZ";#N/A,#N/A,FALSE,"BALANCE";#N/A,#N/A,FALSE,"CUENTA DE PYG";#N/A,#N/A,FALSE,"CUENTA DE PYG (2)";#N/A,#N/A,FALSE,"RATIOS";#N/A,#N/A,FALSE,"G. PERSONAL";#N/A,#N/A,FALSE,"G. SOCIALES";#N/A,#N/A,FALSE,"G. GENERALES";#N/A,#N/A,FALSE,"LINEAS DE PRODUCTOS"}</definedName>
    <definedName name="wrn.TOTAL." localSheetId="8" hidden="1">{#N/A,#N/A,FALSE,"INVERSIONES Y AMORTIZ";#N/A,#N/A,FALSE,"BALANCE";#N/A,#N/A,FALSE,"CUENTA DE PYG";#N/A,#N/A,FALSE,"CUENTA DE PYG (2)";#N/A,#N/A,FALSE,"RATIOS";#N/A,#N/A,FALSE,"G. PERSONAL";#N/A,#N/A,FALSE,"G. SOCIALES";#N/A,#N/A,FALSE,"G. GENERALES";#N/A,#N/A,FALSE,"LINEAS DE PRODUCTOS"}</definedName>
    <definedName name="wrn.TOTAL." localSheetId="12" hidden="1">{#N/A,#N/A,FALSE,"INVERSIONES Y AMORTIZ";#N/A,#N/A,FALSE,"BALANCE";#N/A,#N/A,FALSE,"CUENTA DE PYG";#N/A,#N/A,FALSE,"CUENTA DE PYG (2)";#N/A,#N/A,FALSE,"RATIOS";#N/A,#N/A,FALSE,"G. PERSONAL";#N/A,#N/A,FALSE,"G. SOCIALES";#N/A,#N/A,FALSE,"G. GENERALES";#N/A,#N/A,FALSE,"LINEAS DE PRODUCTOS"}</definedName>
    <definedName name="wrn.TOTAL." localSheetId="13" hidden="1">{#N/A,#N/A,FALSE,"INVERSIONES Y AMORTIZ";#N/A,#N/A,FALSE,"BALANCE";#N/A,#N/A,FALSE,"CUENTA DE PYG";#N/A,#N/A,FALSE,"CUENTA DE PYG (2)";#N/A,#N/A,FALSE,"RATIOS";#N/A,#N/A,FALSE,"G. PERSONAL";#N/A,#N/A,FALSE,"G. SOCIALES";#N/A,#N/A,FALSE,"G. GENERALES";#N/A,#N/A,FALSE,"LINEAS DE PRODUCTOS"}</definedName>
    <definedName name="wrn.TOTAL." localSheetId="11" hidden="1">{#N/A,#N/A,FALSE,"INVERSIONES Y AMORTIZ";#N/A,#N/A,FALSE,"BALANCE";#N/A,#N/A,FALSE,"CUENTA DE PYG";#N/A,#N/A,FALSE,"CUENTA DE PYG (2)";#N/A,#N/A,FALSE,"RATIOS";#N/A,#N/A,FALSE,"G. PERSONAL";#N/A,#N/A,FALSE,"G. SOCIALES";#N/A,#N/A,FALSE,"G. GENERALES";#N/A,#N/A,FALSE,"LINEAS DE PRODUCTOS"}</definedName>
    <definedName name="wrn.TOTAL." localSheetId="31" hidden="1">{#N/A,#N/A,FALSE,"INVERSIONES Y AMORTIZ";#N/A,#N/A,FALSE,"BALANCE";#N/A,#N/A,FALSE,"CUENTA DE PYG";#N/A,#N/A,FALSE,"CUENTA DE PYG (2)";#N/A,#N/A,FALSE,"RATIOS";#N/A,#N/A,FALSE,"G. PERSONAL";#N/A,#N/A,FALSE,"G. SOCIALES";#N/A,#N/A,FALSE,"G. GENERALES";#N/A,#N/A,FALSE,"LINEAS DE PRODUCTOS"}</definedName>
    <definedName name="wrn.TOTAL." localSheetId="48" hidden="1">{#N/A,#N/A,FALSE,"INVERSIONES Y AMORTIZ";#N/A,#N/A,FALSE,"BALANCE";#N/A,#N/A,FALSE,"CUENTA DE PYG";#N/A,#N/A,FALSE,"CUENTA DE PYG (2)";#N/A,#N/A,FALSE,"RATIOS";#N/A,#N/A,FALSE,"G. PERSONAL";#N/A,#N/A,FALSE,"G. SOCIALES";#N/A,#N/A,FALSE,"G. GENERALES";#N/A,#N/A,FALSE,"LINEAS DE PRODUCTOS"}</definedName>
    <definedName name="wrn.TOTAL." hidden="1">{#N/A,#N/A,FALSE,"INVERSIONES Y AMORTIZ";#N/A,#N/A,FALSE,"BALANCE";#N/A,#N/A,FALSE,"CUENTA DE PYG";#N/A,#N/A,FALSE,"CUENTA DE PYG (2)";#N/A,#N/A,FALSE,"RATIOS";#N/A,#N/A,FALSE,"G. PERSONAL";#N/A,#N/A,FALSE,"G. SOCIALES";#N/A,#N/A,FALSE,"G. GENERALES";#N/A,#N/A,FALSE,"LINEAS DE PRODUCTOS"}</definedName>
    <definedName name="wrn.totalcomp." localSheetId="15" hidden="1">{"comp1",#N/A,FALSE,"COMPS";"footnotes",#N/A,FALSE,"COMPS"}</definedName>
    <definedName name="wrn.totalcomp." localSheetId="14" hidden="1">{"comp1",#N/A,FALSE,"COMPS";"footnotes",#N/A,FALSE,"COMPS"}</definedName>
    <definedName name="wrn.totalcomp." localSheetId="2" hidden="1">{"comp1",#N/A,FALSE,"COMPS";"footnotes",#N/A,FALSE,"COMPS"}</definedName>
    <definedName name="wrn.totalcomp." localSheetId="34" hidden="1">{"comp1",#N/A,FALSE,"COMPS";"footnotes",#N/A,FALSE,"COMPS"}</definedName>
    <definedName name="wrn.totalcomp." localSheetId="38" hidden="1">{"comp1",#N/A,FALSE,"COMPS";"footnotes",#N/A,FALSE,"COMPS"}</definedName>
    <definedName name="wrn.totalcomp." localSheetId="8" hidden="1">{"comp1",#N/A,FALSE,"COMPS";"footnotes",#N/A,FALSE,"COMPS"}</definedName>
    <definedName name="wrn.totalcomp." localSheetId="12" hidden="1">{"comp1",#N/A,FALSE,"COMPS";"footnotes",#N/A,FALSE,"COMPS"}</definedName>
    <definedName name="wrn.totalcomp." localSheetId="13" hidden="1">{"comp1",#N/A,FALSE,"COMPS";"footnotes",#N/A,FALSE,"COMPS"}</definedName>
    <definedName name="wrn.totalcomp." localSheetId="11" hidden="1">{"comp1",#N/A,FALSE,"COMPS";"footnotes",#N/A,FALSE,"COMPS"}</definedName>
    <definedName name="wrn.totalcomp." localSheetId="31" hidden="1">{"comp1",#N/A,FALSE,"COMPS";"footnotes",#N/A,FALSE,"COMPS"}</definedName>
    <definedName name="wrn.totalcomp." localSheetId="48" hidden="1">{"comp1",#N/A,FALSE,"COMPS";"footnotes",#N/A,FALSE,"COMPS"}</definedName>
    <definedName name="wrn.totalcomp." hidden="1">{"comp1",#N/A,FALSE,"COMPS";"footnotes",#N/A,FALSE,"COMPS"}</definedName>
    <definedName name="wrn.trans._.sum." localSheetId="15" hidden="1">{"trans assumptions",#N/A,FALSE,"Merger";"trans accretion",#N/A,FALSE,"Merger"}</definedName>
    <definedName name="wrn.trans._.sum." localSheetId="14" hidden="1">{"trans assumptions",#N/A,FALSE,"Merger";"trans accretion",#N/A,FALSE,"Merger"}</definedName>
    <definedName name="wrn.trans._.sum." localSheetId="2" hidden="1">{"trans assumptions",#N/A,FALSE,"Merger";"trans accretion",#N/A,FALSE,"Merger"}</definedName>
    <definedName name="wrn.trans._.sum." localSheetId="34" hidden="1">{"trans assumptions",#N/A,FALSE,"Merger";"trans accretion",#N/A,FALSE,"Merger"}</definedName>
    <definedName name="wrn.trans._.sum." localSheetId="38" hidden="1">{"trans assumptions",#N/A,FALSE,"Merger";"trans accretion",#N/A,FALSE,"Merger"}</definedName>
    <definedName name="wrn.trans._.sum." localSheetId="8" hidden="1">{"trans assumptions",#N/A,FALSE,"Merger";"trans accretion",#N/A,FALSE,"Merger"}</definedName>
    <definedName name="wrn.trans._.sum." localSheetId="12" hidden="1">{"trans assumptions",#N/A,FALSE,"Merger";"trans accretion",#N/A,FALSE,"Merger"}</definedName>
    <definedName name="wrn.trans._.sum." localSheetId="13" hidden="1">{"trans assumptions",#N/A,FALSE,"Merger";"trans accretion",#N/A,FALSE,"Merger"}</definedName>
    <definedName name="wrn.trans._.sum." localSheetId="11" hidden="1">{"trans assumptions",#N/A,FALSE,"Merger";"trans accretion",#N/A,FALSE,"Merger"}</definedName>
    <definedName name="wrn.trans._.sum." localSheetId="31" hidden="1">{"trans assumptions",#N/A,FALSE,"Merger";"trans accretion",#N/A,FALSE,"Merger"}</definedName>
    <definedName name="wrn.trans._.sum." localSheetId="48" hidden="1">{"trans assumptions",#N/A,FALSE,"Merger";"trans accretion",#N/A,FALSE,"Merger"}</definedName>
    <definedName name="wrn.trans._.sum." hidden="1">{"trans assumptions",#N/A,FALSE,"Merger";"trans accretion",#N/A,FALSE,"Merger"}</definedName>
    <definedName name="wrn.up." localSheetId="15" hidden="1">{"up stand alones",#N/A,FALSE,"Acquiror"}</definedName>
    <definedName name="wrn.up." localSheetId="14" hidden="1">{"up stand alones",#N/A,FALSE,"Acquiror"}</definedName>
    <definedName name="wrn.up." localSheetId="2" hidden="1">{"up stand alones",#N/A,FALSE,"Acquiror"}</definedName>
    <definedName name="wrn.up." localSheetId="34" hidden="1">{"up stand alones",#N/A,FALSE,"Acquiror"}</definedName>
    <definedName name="wrn.up." localSheetId="38" hidden="1">{"up stand alones",#N/A,FALSE,"Acquiror"}</definedName>
    <definedName name="wrn.up." localSheetId="8" hidden="1">{"up stand alones",#N/A,FALSE,"Acquiror"}</definedName>
    <definedName name="wrn.up." localSheetId="12" hidden="1">{"up stand alones",#N/A,FALSE,"Acquiror"}</definedName>
    <definedName name="wrn.up." localSheetId="13" hidden="1">{"up stand alones",#N/A,FALSE,"Acquiror"}</definedName>
    <definedName name="wrn.up." localSheetId="11" hidden="1">{"up stand alones",#N/A,FALSE,"Acquiror"}</definedName>
    <definedName name="wrn.up." localSheetId="31" hidden="1">{"up stand alones",#N/A,FALSE,"Acquiror"}</definedName>
    <definedName name="wrn.up." localSheetId="48" hidden="1">{"up stand alones",#N/A,FALSE,"Acquiror"}</definedName>
    <definedName name="wrn.up." hidden="1">{"up stand alones",#N/A,FALSE,"Acquiror"}</definedName>
    <definedName name="wrn.Wacc." localSheetId="15" hidden="1">{"Area1",#N/A,FALSE,"OREWACC";"Area2",#N/A,FALSE,"OREWACC"}</definedName>
    <definedName name="wrn.Wacc." localSheetId="14" hidden="1">{"Area1",#N/A,FALSE,"OREWACC";"Area2",#N/A,FALSE,"OREWACC"}</definedName>
    <definedName name="wrn.Wacc." localSheetId="2" hidden="1">{"Area1",#N/A,FALSE,"OREWACC";"Area2",#N/A,FALSE,"OREWACC"}</definedName>
    <definedName name="wrn.Wacc." localSheetId="34" hidden="1">{"Area1",#N/A,FALSE,"OREWACC";"Area2",#N/A,FALSE,"OREWACC"}</definedName>
    <definedName name="wrn.Wacc." localSheetId="38" hidden="1">{"Area1",#N/A,FALSE,"OREWACC";"Area2",#N/A,FALSE,"OREWACC"}</definedName>
    <definedName name="wrn.Wacc." localSheetId="8" hidden="1">{"Area1",#N/A,FALSE,"OREWACC";"Area2",#N/A,FALSE,"OREWACC"}</definedName>
    <definedName name="wrn.Wacc." localSheetId="12" hidden="1">{"Area1",#N/A,FALSE,"OREWACC";"Area2",#N/A,FALSE,"OREWACC"}</definedName>
    <definedName name="wrn.Wacc." localSheetId="13" hidden="1">{"Area1",#N/A,FALSE,"OREWACC";"Area2",#N/A,FALSE,"OREWACC"}</definedName>
    <definedName name="wrn.Wacc." localSheetId="11" hidden="1">{"Area1",#N/A,FALSE,"OREWACC";"Area2",#N/A,FALSE,"OREWACC"}</definedName>
    <definedName name="wrn.Wacc." localSheetId="31" hidden="1">{"Area1",#N/A,FALSE,"OREWACC";"Area2",#N/A,FALSE,"OREWACC"}</definedName>
    <definedName name="wrn.Wacc." localSheetId="48" hidden="1">{"Area1",#N/A,FALSE,"OREWACC";"Area2",#N/A,FALSE,"OREWACC"}</definedName>
    <definedName name="wrn.Wacc." hidden="1">{"Area1",#N/A,FALSE,"OREWACC";"Area2",#N/A,FALSE,"OREWACC"}</definedName>
    <definedName name="wrn1.history" localSheetId="15" hidden="1">{#N/A,#N/A,FALSE,"model"}</definedName>
    <definedName name="wrn1.history" localSheetId="14" hidden="1">{#N/A,#N/A,FALSE,"model"}</definedName>
    <definedName name="wrn1.history" localSheetId="2" hidden="1">{#N/A,#N/A,FALSE,"model"}</definedName>
    <definedName name="wrn1.history" localSheetId="34" hidden="1">{#N/A,#N/A,FALSE,"model"}</definedName>
    <definedName name="wrn1.history" localSheetId="38" hidden="1">{#N/A,#N/A,FALSE,"model"}</definedName>
    <definedName name="wrn1.history" localSheetId="8" hidden="1">{#N/A,#N/A,FALSE,"model"}</definedName>
    <definedName name="wrn1.history" localSheetId="12" hidden="1">{#N/A,#N/A,FALSE,"model"}</definedName>
    <definedName name="wrn1.history" localSheetId="13" hidden="1">{#N/A,#N/A,FALSE,"model"}</definedName>
    <definedName name="wrn1.history" localSheetId="11" hidden="1">{#N/A,#N/A,FALSE,"model"}</definedName>
    <definedName name="wrn1.history" localSheetId="31" hidden="1">{#N/A,#N/A,FALSE,"model"}</definedName>
    <definedName name="wrn1.history" localSheetId="48" hidden="1">{#N/A,#N/A,FALSE,"model"}</definedName>
    <definedName name="wrn1.history" hidden="1">{#N/A,#N/A,FALSE,"model"}</definedName>
    <definedName name="wrn1.output" localSheetId="15" hidden="1">{"assumptions and inputs",#N/A,FALSE,"valuation";"intermediate calculations",#N/A,FALSE,"valuation";"dollar conversion",#N/A,FALSE,"valuation";"analysis at various prices",#N/A,FALSE,"valuation"}</definedName>
    <definedName name="wrn1.output" localSheetId="14"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localSheetId="38"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48"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RN2.Document" localSheetId="15" hidden="1">{"consolidated",#N/A,FALSE,"Sheet1";"cms",#N/A,FALSE,"Sheet1";"fse",#N/A,FALSE,"Sheet1"}</definedName>
    <definedName name="WRN2.Document" localSheetId="14" hidden="1">{"consolidated",#N/A,FALSE,"Sheet1";"cms",#N/A,FALSE,"Sheet1";"fse",#N/A,FALSE,"Sheet1"}</definedName>
    <definedName name="WRN2.Document" localSheetId="2" hidden="1">{"consolidated",#N/A,FALSE,"Sheet1";"cms",#N/A,FALSE,"Sheet1";"fse",#N/A,FALSE,"Sheet1"}</definedName>
    <definedName name="WRN2.Document" localSheetId="34" hidden="1">{"consolidated",#N/A,FALSE,"Sheet1";"cms",#N/A,FALSE,"Sheet1";"fse",#N/A,FALSE,"Sheet1"}</definedName>
    <definedName name="WRN2.Document" localSheetId="38" hidden="1">{"consolidated",#N/A,FALSE,"Sheet1";"cms",#N/A,FALSE,"Sheet1";"fse",#N/A,FALSE,"Sheet1"}</definedName>
    <definedName name="WRN2.Document" localSheetId="8" hidden="1">{"consolidated",#N/A,FALSE,"Sheet1";"cms",#N/A,FALSE,"Sheet1";"fse",#N/A,FALSE,"Sheet1"}</definedName>
    <definedName name="WRN2.Document" localSheetId="12" hidden="1">{"consolidated",#N/A,FALSE,"Sheet1";"cms",#N/A,FALSE,"Sheet1";"fse",#N/A,FALSE,"Sheet1"}</definedName>
    <definedName name="WRN2.Document" localSheetId="13" hidden="1">{"consolidated",#N/A,FALSE,"Sheet1";"cms",#N/A,FALSE,"Sheet1";"fse",#N/A,FALSE,"Sheet1"}</definedName>
    <definedName name="WRN2.Document" localSheetId="11" hidden="1">{"consolidated",#N/A,FALSE,"Sheet1";"cms",#N/A,FALSE,"Sheet1";"fse",#N/A,FALSE,"Sheet1"}</definedName>
    <definedName name="WRN2.Document" localSheetId="31" hidden="1">{"consolidated",#N/A,FALSE,"Sheet1";"cms",#N/A,FALSE,"Sheet1";"fse",#N/A,FALSE,"Sheet1"}</definedName>
    <definedName name="WRN2.Document" localSheetId="48" hidden="1">{"consolidated",#N/A,FALSE,"Sheet1";"cms",#N/A,FALSE,"Sheet1";"fse",#N/A,FALSE,"Sheet1"}</definedName>
    <definedName name="WRN2.Document" hidden="1">{"consolidated",#N/A,FALSE,"Sheet1";"cms",#N/A,FALSE,"Sheet1";"fse",#N/A,FALSE,"Sheet1"}</definedName>
    <definedName name="wrn3.histroic" localSheetId="15" hidden="1">{#N/A,#N/A,FALSE,"model"}</definedName>
    <definedName name="wrn3.histroic" localSheetId="14" hidden="1">{#N/A,#N/A,FALSE,"model"}</definedName>
    <definedName name="wrn3.histroic" localSheetId="2" hidden="1">{#N/A,#N/A,FALSE,"model"}</definedName>
    <definedName name="wrn3.histroic" localSheetId="34" hidden="1">{#N/A,#N/A,FALSE,"model"}</definedName>
    <definedName name="wrn3.histroic" localSheetId="38" hidden="1">{#N/A,#N/A,FALSE,"model"}</definedName>
    <definedName name="wrn3.histroic" localSheetId="8" hidden="1">{#N/A,#N/A,FALSE,"model"}</definedName>
    <definedName name="wrn3.histroic" localSheetId="12" hidden="1">{#N/A,#N/A,FALSE,"model"}</definedName>
    <definedName name="wrn3.histroic" localSheetId="13" hidden="1">{#N/A,#N/A,FALSE,"model"}</definedName>
    <definedName name="wrn3.histroic" localSheetId="11" hidden="1">{#N/A,#N/A,FALSE,"model"}</definedName>
    <definedName name="wrn3.histroic" localSheetId="31" hidden="1">{#N/A,#N/A,FALSE,"model"}</definedName>
    <definedName name="wrn3.histroic" localSheetId="48" hidden="1">{#N/A,#N/A,FALSE,"model"}</definedName>
    <definedName name="wrn3.histroic" hidden="1">{#N/A,#N/A,FALSE,"model"}</definedName>
    <definedName name="wvu.inputs._.raw._.data."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4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4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4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4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 localSheetId="2">#REF!</definedName>
    <definedName name="x">#REF!</definedName>
    <definedName name="XREF_COLUMN_1" localSheetId="1" hidden="1">#REF!</definedName>
    <definedName name="XREF_COLUMN_1" localSheetId="15" hidden="1">#REF!</definedName>
    <definedName name="XREF_COLUMN_1" localSheetId="7" hidden="1">#REF!</definedName>
    <definedName name="XREF_COLUMN_1" localSheetId="14" hidden="1">#REF!</definedName>
    <definedName name="XREF_COLUMN_1" localSheetId="2" hidden="1">#REF!</definedName>
    <definedName name="XREF_COLUMN_1" localSheetId="34" hidden="1">#REF!</definedName>
    <definedName name="XREF_COLUMN_1" localSheetId="38" hidden="1">#REF!</definedName>
    <definedName name="XREF_COLUMN_1" localSheetId="12" hidden="1">#REF!</definedName>
    <definedName name="XREF_COLUMN_1" localSheetId="10" hidden="1">#REF!</definedName>
    <definedName name="XREF_COLUMN_1" localSheetId="6" hidden="1">#REF!</definedName>
    <definedName name="XREF_COLUMN_1" hidden="1">#REF!</definedName>
    <definedName name="XREF_COLUMN_10" localSheetId="1" hidden="1">#REF!</definedName>
    <definedName name="XREF_COLUMN_10" localSheetId="15" hidden="1">#REF!</definedName>
    <definedName name="XREF_COLUMN_10" localSheetId="7" hidden="1">#REF!</definedName>
    <definedName name="XREF_COLUMN_10" localSheetId="2" hidden="1">#REF!</definedName>
    <definedName name="XREF_COLUMN_10" localSheetId="34" hidden="1">#REF!</definedName>
    <definedName name="XREF_COLUMN_10" localSheetId="12" hidden="1">#REF!</definedName>
    <definedName name="XREF_COLUMN_10" localSheetId="10" hidden="1">#REF!</definedName>
    <definedName name="XREF_COLUMN_10" localSheetId="6" hidden="1">#REF!</definedName>
    <definedName name="XREF_COLUMN_10" hidden="1">#REF!</definedName>
    <definedName name="XREF_COLUMN_13" localSheetId="1" hidden="1">#REF!</definedName>
    <definedName name="XREF_COLUMN_13" localSheetId="15" hidden="1">#REF!</definedName>
    <definedName name="XREF_COLUMN_13" localSheetId="7" hidden="1">#REF!</definedName>
    <definedName name="XREF_COLUMN_13" localSheetId="14" hidden="1">#REF!</definedName>
    <definedName name="XREF_COLUMN_13" localSheetId="2" hidden="1">#REF!</definedName>
    <definedName name="XREF_COLUMN_13" localSheetId="34" hidden="1">#REF!</definedName>
    <definedName name="XREF_COLUMN_13" localSheetId="38" hidden="1">#REF!</definedName>
    <definedName name="XREF_COLUMN_13" localSheetId="12" hidden="1">#REF!</definedName>
    <definedName name="XREF_COLUMN_13" localSheetId="10" hidden="1">#REF!</definedName>
    <definedName name="XREF_COLUMN_13" localSheetId="11" hidden="1">#REF!</definedName>
    <definedName name="XREF_COLUMN_13" localSheetId="6" hidden="1">#REF!</definedName>
    <definedName name="XREF_COLUMN_13" hidden="1">#REF!</definedName>
    <definedName name="XREF_COLUMN_14" localSheetId="1" hidden="1">#REF!</definedName>
    <definedName name="XREF_COLUMN_14" localSheetId="15" hidden="1">#REF!</definedName>
    <definedName name="XREF_COLUMN_14" localSheetId="7" hidden="1">#REF!</definedName>
    <definedName name="XREF_COLUMN_14" localSheetId="14" hidden="1">#REF!</definedName>
    <definedName name="XREF_COLUMN_14" localSheetId="2" hidden="1">#REF!</definedName>
    <definedName name="XREF_COLUMN_14" localSheetId="34" hidden="1">#REF!</definedName>
    <definedName name="XREF_COLUMN_14" localSheetId="38" hidden="1">#REF!</definedName>
    <definedName name="XREF_COLUMN_14" localSheetId="12" hidden="1">#REF!</definedName>
    <definedName name="XREF_COLUMN_14" localSheetId="10" hidden="1">#REF!</definedName>
    <definedName name="XREF_COLUMN_14" localSheetId="11" hidden="1">#REF!</definedName>
    <definedName name="XREF_COLUMN_14" localSheetId="6" hidden="1">#REF!</definedName>
    <definedName name="XREF_COLUMN_14" hidden="1">#REF!</definedName>
    <definedName name="XREF_COLUMN_15" localSheetId="1" hidden="1">#REF!</definedName>
    <definedName name="XREF_COLUMN_15" localSheetId="15" hidden="1">#REF!</definedName>
    <definedName name="XREF_COLUMN_15" localSheetId="7" hidden="1">#REF!</definedName>
    <definedName name="XREF_COLUMN_15" localSheetId="2" hidden="1">#REF!</definedName>
    <definedName name="XREF_COLUMN_15" localSheetId="34" hidden="1">#REF!</definedName>
    <definedName name="XREF_COLUMN_15" localSheetId="38" hidden="1">#REF!</definedName>
    <definedName name="XREF_COLUMN_15" localSheetId="12" hidden="1">#REF!</definedName>
    <definedName name="XREF_COLUMN_15" localSheetId="10" hidden="1">#REF!</definedName>
    <definedName name="XREF_COLUMN_15" localSheetId="11" hidden="1">#REF!</definedName>
    <definedName name="XREF_COLUMN_15" localSheetId="6" hidden="1">#REF!</definedName>
    <definedName name="XREF_COLUMN_15" hidden="1">#REF!</definedName>
    <definedName name="XREF_COLUMN_16" localSheetId="1" hidden="1">#REF!</definedName>
    <definedName name="XREF_COLUMN_16" localSheetId="15" hidden="1">#REF!</definedName>
    <definedName name="XREF_COLUMN_16" localSheetId="7" hidden="1">#REF!</definedName>
    <definedName name="XREF_COLUMN_16" localSheetId="14" hidden="1">#REF!</definedName>
    <definedName name="XREF_COLUMN_16" localSheetId="2" hidden="1">#REF!</definedName>
    <definedName name="XREF_COLUMN_16" localSheetId="34" hidden="1">#REF!</definedName>
    <definedName name="XREF_COLUMN_16" localSheetId="38" hidden="1">#REF!</definedName>
    <definedName name="XREF_COLUMN_16" localSheetId="12" hidden="1">#REF!</definedName>
    <definedName name="XREF_COLUMN_16" localSheetId="10" hidden="1">#REF!</definedName>
    <definedName name="XREF_COLUMN_16" localSheetId="6" hidden="1">#REF!</definedName>
    <definedName name="XREF_COLUMN_16" hidden="1">#REF!</definedName>
    <definedName name="XREF_COLUMN_17" localSheetId="1" hidden="1">#REF!</definedName>
    <definedName name="XREF_COLUMN_17" localSheetId="15" hidden="1">#REF!</definedName>
    <definedName name="XREF_COLUMN_17" localSheetId="7" hidden="1">#REF!</definedName>
    <definedName name="XREF_COLUMN_17" localSheetId="14" hidden="1">#REF!</definedName>
    <definedName name="XREF_COLUMN_17" localSheetId="2" hidden="1">#REF!</definedName>
    <definedName name="XREF_COLUMN_17" localSheetId="34" hidden="1">#REF!</definedName>
    <definedName name="XREF_COLUMN_17" localSheetId="38" hidden="1">#REF!</definedName>
    <definedName name="XREF_COLUMN_17" localSheetId="12" hidden="1">#REF!</definedName>
    <definedName name="XREF_COLUMN_17" localSheetId="10" hidden="1">#REF!</definedName>
    <definedName name="XREF_COLUMN_17" localSheetId="6" hidden="1">#REF!</definedName>
    <definedName name="XREF_COLUMN_17" hidden="1">#REF!</definedName>
    <definedName name="XREF_COLUMN_19" localSheetId="1" hidden="1">#REF!</definedName>
    <definedName name="XREF_COLUMN_19" localSheetId="15" hidden="1">#REF!</definedName>
    <definedName name="XREF_COLUMN_19" localSheetId="7" hidden="1">#REF!</definedName>
    <definedName name="XREF_COLUMN_19" localSheetId="2" hidden="1">#REF!</definedName>
    <definedName name="XREF_COLUMN_19" localSheetId="34" hidden="1">#REF!</definedName>
    <definedName name="XREF_COLUMN_19" localSheetId="38" hidden="1">#REF!</definedName>
    <definedName name="XREF_COLUMN_19" localSheetId="12" hidden="1">#REF!</definedName>
    <definedName name="XREF_COLUMN_19" localSheetId="10" hidden="1">#REF!</definedName>
    <definedName name="XREF_COLUMN_19" localSheetId="11" hidden="1">#REF!</definedName>
    <definedName name="XREF_COLUMN_19" localSheetId="6" hidden="1">#REF!</definedName>
    <definedName name="XREF_COLUMN_19" hidden="1">#REF!</definedName>
    <definedName name="XREF_COLUMN_2" localSheetId="1" hidden="1">#REF!</definedName>
    <definedName name="XREF_COLUMN_2" localSheetId="7" hidden="1">#REF!</definedName>
    <definedName name="XREF_COLUMN_2" localSheetId="2" hidden="1">#REF!</definedName>
    <definedName name="XREF_COLUMN_2" localSheetId="34" hidden="1">#REF!</definedName>
    <definedName name="XREF_COLUMN_2" localSheetId="38" hidden="1">#REF!</definedName>
    <definedName name="XREF_COLUMN_2" localSheetId="12" hidden="1">#REF!</definedName>
    <definedName name="XREF_COLUMN_2" localSheetId="10" hidden="1">#REF!</definedName>
    <definedName name="XREF_COLUMN_2" localSheetId="11" hidden="1">#REF!</definedName>
    <definedName name="XREF_COLUMN_2" localSheetId="6" hidden="1">#REF!</definedName>
    <definedName name="XREF_COLUMN_2" hidden="1">#REF!</definedName>
    <definedName name="XREF_COLUMN_20" localSheetId="1" hidden="1">#REF!</definedName>
    <definedName name="XREF_COLUMN_20" localSheetId="15" hidden="1">#REF!</definedName>
    <definedName name="XREF_COLUMN_20" localSheetId="7" hidden="1">#REF!</definedName>
    <definedName name="XREF_COLUMN_20" localSheetId="14" hidden="1">#REF!</definedName>
    <definedName name="XREF_COLUMN_20" localSheetId="2" hidden="1">#REF!</definedName>
    <definedName name="XREF_COLUMN_20" localSheetId="34" hidden="1">#REF!</definedName>
    <definedName name="XREF_COLUMN_20" localSheetId="38" hidden="1">#REF!</definedName>
    <definedName name="XREF_COLUMN_20" localSheetId="12" hidden="1">#REF!</definedName>
    <definedName name="XREF_COLUMN_20" localSheetId="10" hidden="1">#REF!</definedName>
    <definedName name="XREF_COLUMN_20" localSheetId="11" hidden="1">#REF!</definedName>
    <definedName name="XREF_COLUMN_20" localSheetId="6" hidden="1">#REF!</definedName>
    <definedName name="XREF_COLUMN_20" hidden="1">#REF!</definedName>
    <definedName name="XREF_COLUMN_21" localSheetId="1" hidden="1">#REF!</definedName>
    <definedName name="XREF_COLUMN_21" localSheetId="15" hidden="1">#REF!</definedName>
    <definedName name="XREF_COLUMN_21" localSheetId="7" hidden="1">#REF!</definedName>
    <definedName name="XREF_COLUMN_21" localSheetId="2" hidden="1">#REF!</definedName>
    <definedName name="XREF_COLUMN_21" localSheetId="34" hidden="1">#REF!</definedName>
    <definedName name="XREF_COLUMN_21" localSheetId="38" hidden="1">#REF!</definedName>
    <definedName name="XREF_COLUMN_21" localSheetId="12" hidden="1">#REF!</definedName>
    <definedName name="XREF_COLUMN_21" localSheetId="10" hidden="1">#REF!</definedName>
    <definedName name="XREF_COLUMN_21" localSheetId="11" hidden="1">#REF!</definedName>
    <definedName name="XREF_COLUMN_21" localSheetId="6" hidden="1">#REF!</definedName>
    <definedName name="XREF_COLUMN_21" hidden="1">#REF!</definedName>
    <definedName name="XREF_COLUMN_22" localSheetId="1" hidden="1">#REF!</definedName>
    <definedName name="XREF_COLUMN_22" localSheetId="15" hidden="1">#REF!</definedName>
    <definedName name="XREF_COLUMN_22" localSheetId="7" hidden="1">#REF!</definedName>
    <definedName name="XREF_COLUMN_22" localSheetId="14" hidden="1">#REF!</definedName>
    <definedName name="XREF_COLUMN_22" localSheetId="2" hidden="1">#REF!</definedName>
    <definedName name="XREF_COLUMN_22" localSheetId="34" hidden="1">#REF!</definedName>
    <definedName name="XREF_COLUMN_22" localSheetId="38" hidden="1">#REF!</definedName>
    <definedName name="XREF_COLUMN_22" localSheetId="12" hidden="1">#REF!</definedName>
    <definedName name="XREF_COLUMN_22" localSheetId="10" hidden="1">#REF!</definedName>
    <definedName name="XREF_COLUMN_22" localSheetId="11" hidden="1">#REF!</definedName>
    <definedName name="XREF_COLUMN_22" localSheetId="6" hidden="1">#REF!</definedName>
    <definedName name="XREF_COLUMN_22" hidden="1">#REF!</definedName>
    <definedName name="XREF_COLUMN_23" localSheetId="1" hidden="1">#REF!</definedName>
    <definedName name="XREF_COLUMN_23" localSheetId="15" hidden="1">#REF!</definedName>
    <definedName name="XREF_COLUMN_23" localSheetId="7" hidden="1">#REF!</definedName>
    <definedName name="XREF_COLUMN_23" localSheetId="14" hidden="1">#REF!</definedName>
    <definedName name="XREF_COLUMN_23" localSheetId="2" hidden="1">#REF!</definedName>
    <definedName name="XREF_COLUMN_23" localSheetId="34" hidden="1">#REF!</definedName>
    <definedName name="XREF_COLUMN_23" localSheetId="38" hidden="1">#REF!</definedName>
    <definedName name="XREF_COLUMN_23" localSheetId="12" hidden="1">#REF!</definedName>
    <definedName name="XREF_COLUMN_23" localSheetId="10" hidden="1">#REF!</definedName>
    <definedName name="XREF_COLUMN_23" localSheetId="6" hidden="1">#REF!</definedName>
    <definedName name="XREF_COLUMN_23" hidden="1">#REF!</definedName>
    <definedName name="XREF_COLUMN_24" localSheetId="1" hidden="1">#REF!</definedName>
    <definedName name="XREF_COLUMN_24" localSheetId="15" hidden="1">#REF!</definedName>
    <definedName name="XREF_COLUMN_24" localSheetId="7" hidden="1">#REF!</definedName>
    <definedName name="XREF_COLUMN_24" localSheetId="14" hidden="1">#REF!</definedName>
    <definedName name="XREF_COLUMN_24" localSheetId="2" hidden="1">#REF!</definedName>
    <definedName name="XREF_COLUMN_24" localSheetId="34" hidden="1">#REF!</definedName>
    <definedName name="XREF_COLUMN_24" localSheetId="38" hidden="1">#REF!</definedName>
    <definedName name="XREF_COLUMN_24" localSheetId="12" hidden="1">#REF!</definedName>
    <definedName name="XREF_COLUMN_24" localSheetId="10" hidden="1">#REF!</definedName>
    <definedName name="XREF_COLUMN_24" localSheetId="6" hidden="1">#REF!</definedName>
    <definedName name="XREF_COLUMN_24" hidden="1">#REF!</definedName>
    <definedName name="XREF_COLUMN_26" localSheetId="1" hidden="1">#REF!</definedName>
    <definedName name="XREF_COLUMN_26" localSheetId="15" hidden="1">#REF!</definedName>
    <definedName name="XREF_COLUMN_26" localSheetId="7" hidden="1">#REF!</definedName>
    <definedName name="XREF_COLUMN_26" localSheetId="14" hidden="1">#REF!</definedName>
    <definedName name="XREF_COLUMN_26" localSheetId="2" hidden="1">#REF!</definedName>
    <definedName name="XREF_COLUMN_26" localSheetId="34" hidden="1">#REF!</definedName>
    <definedName name="XREF_COLUMN_26" localSheetId="38" hidden="1">#REF!</definedName>
    <definedName name="XREF_COLUMN_26" localSheetId="12" hidden="1">#REF!</definedName>
    <definedName name="XREF_COLUMN_26" localSheetId="10" hidden="1">#REF!</definedName>
    <definedName name="XREF_COLUMN_26" localSheetId="6" hidden="1">#REF!</definedName>
    <definedName name="XREF_COLUMN_26" hidden="1">#REF!</definedName>
    <definedName name="XREF_COLUMN_27" localSheetId="1" hidden="1">#REF!</definedName>
    <definedName name="XREF_COLUMN_27" localSheetId="15" hidden="1">#REF!</definedName>
    <definedName name="XREF_COLUMN_27" localSheetId="7" hidden="1">#REF!</definedName>
    <definedName name="XREF_COLUMN_27" localSheetId="14" hidden="1">#REF!</definedName>
    <definedName name="XREF_COLUMN_27" localSheetId="2" hidden="1">#REF!</definedName>
    <definedName name="XREF_COLUMN_27" localSheetId="34" hidden="1">#REF!</definedName>
    <definedName name="XREF_COLUMN_27" localSheetId="38" hidden="1">#REF!</definedName>
    <definedName name="XREF_COLUMN_27" localSheetId="12" hidden="1">#REF!</definedName>
    <definedName name="XREF_COLUMN_27" localSheetId="10" hidden="1">#REF!</definedName>
    <definedName name="XREF_COLUMN_27" localSheetId="6" hidden="1">#REF!</definedName>
    <definedName name="XREF_COLUMN_27" hidden="1">#REF!</definedName>
    <definedName name="XREF_COLUMN_28" localSheetId="1" hidden="1">#REF!</definedName>
    <definedName name="XREF_COLUMN_28" localSheetId="15" hidden="1">#REF!</definedName>
    <definedName name="XREF_COLUMN_28" localSheetId="7" hidden="1">#REF!</definedName>
    <definedName name="XREF_COLUMN_28" localSheetId="2" hidden="1">#REF!</definedName>
    <definedName name="XREF_COLUMN_28" localSheetId="34" hidden="1">#REF!</definedName>
    <definedName name="XREF_COLUMN_28" localSheetId="38" hidden="1">#REF!</definedName>
    <definedName name="XREF_COLUMN_28" localSheetId="12" hidden="1">#REF!</definedName>
    <definedName name="XREF_COLUMN_28" localSheetId="10" hidden="1">#REF!</definedName>
    <definedName name="XREF_COLUMN_28" localSheetId="6" hidden="1">#REF!</definedName>
    <definedName name="XREF_COLUMN_28" hidden="1">#REF!</definedName>
    <definedName name="XREF_COLUMN_3" localSheetId="1" hidden="1">#REF!</definedName>
    <definedName name="XREF_COLUMN_3" localSheetId="15" hidden="1">#REF!</definedName>
    <definedName name="XREF_COLUMN_3" localSheetId="7" hidden="1">#REF!</definedName>
    <definedName name="XREF_COLUMN_3" localSheetId="14" hidden="1">#REF!</definedName>
    <definedName name="XREF_COLUMN_3" localSheetId="2" hidden="1">#REF!</definedName>
    <definedName name="XREF_COLUMN_3" localSheetId="34" hidden="1">#REF!</definedName>
    <definedName name="XREF_COLUMN_3" localSheetId="38" hidden="1">#REF!</definedName>
    <definedName name="XREF_COLUMN_3" localSheetId="12" hidden="1">#REF!</definedName>
    <definedName name="XREF_COLUMN_3" localSheetId="10" hidden="1">#REF!</definedName>
    <definedName name="XREF_COLUMN_3" localSheetId="11" hidden="1">#REF!</definedName>
    <definedName name="XREF_COLUMN_3" localSheetId="6" hidden="1">#REF!</definedName>
    <definedName name="XREF_COLUMN_3" hidden="1">#REF!</definedName>
    <definedName name="XREF_COLUMN_4" localSheetId="1" hidden="1">#REF!</definedName>
    <definedName name="XREF_COLUMN_4" localSheetId="15" hidden="1">#REF!</definedName>
    <definedName name="XREF_COLUMN_4" localSheetId="7" hidden="1">#REF!</definedName>
    <definedName name="XREF_COLUMN_4" localSheetId="14" hidden="1">#REF!</definedName>
    <definedName name="XREF_COLUMN_4" localSheetId="2" hidden="1">#REF!</definedName>
    <definedName name="XREF_COLUMN_4" localSheetId="34" hidden="1">#REF!</definedName>
    <definedName name="XREF_COLUMN_4" localSheetId="38" hidden="1">#REF!</definedName>
    <definedName name="XREF_COLUMN_4" localSheetId="12" hidden="1">#REF!</definedName>
    <definedName name="XREF_COLUMN_4" localSheetId="10" hidden="1">#REF!</definedName>
    <definedName name="XREF_COLUMN_4" localSheetId="11" hidden="1">#REF!</definedName>
    <definedName name="XREF_COLUMN_4" localSheetId="6" hidden="1">#REF!</definedName>
    <definedName name="XREF_COLUMN_4" hidden="1">#REF!</definedName>
    <definedName name="XREF_COLUMN_5" localSheetId="1" hidden="1">#REF!</definedName>
    <definedName name="XREF_COLUMN_5" localSheetId="15" hidden="1">#REF!</definedName>
    <definedName name="XREF_COLUMN_5" localSheetId="7" hidden="1">#REF!</definedName>
    <definedName name="XREF_COLUMN_5" localSheetId="14" hidden="1">#REF!</definedName>
    <definedName name="XREF_COLUMN_5" localSheetId="2" hidden="1">#REF!</definedName>
    <definedName name="XREF_COLUMN_5" localSheetId="34" hidden="1">#REF!</definedName>
    <definedName name="XREF_COLUMN_5" localSheetId="38" hidden="1">#REF!</definedName>
    <definedName name="XREF_COLUMN_5" localSheetId="12" hidden="1">#REF!</definedName>
    <definedName name="XREF_COLUMN_5" localSheetId="10" hidden="1">#REF!</definedName>
    <definedName name="XREF_COLUMN_5" localSheetId="11" hidden="1">#REF!</definedName>
    <definedName name="XREF_COLUMN_5" localSheetId="6" hidden="1">#REF!</definedName>
    <definedName name="XREF_COLUMN_5" hidden="1">#REF!</definedName>
    <definedName name="XREF_COLUMN_6" localSheetId="1" hidden="1">#REF!</definedName>
    <definedName name="XREF_COLUMN_6" localSheetId="15" hidden="1">#REF!</definedName>
    <definedName name="XREF_COLUMN_6" localSheetId="7" hidden="1">#REF!</definedName>
    <definedName name="XREF_COLUMN_6" localSheetId="2" hidden="1">#REF!</definedName>
    <definedName name="XREF_COLUMN_6" localSheetId="34" hidden="1">#REF!</definedName>
    <definedName name="XREF_COLUMN_6" localSheetId="38" hidden="1">#REF!</definedName>
    <definedName name="XREF_COLUMN_6" localSheetId="12" hidden="1">#REF!</definedName>
    <definedName name="XREF_COLUMN_6" localSheetId="10" hidden="1">#REF!</definedName>
    <definedName name="XREF_COLUMN_6" localSheetId="11" hidden="1">#REF!</definedName>
    <definedName name="XREF_COLUMN_6" localSheetId="6" hidden="1">#REF!</definedName>
    <definedName name="XREF_COLUMN_6" hidden="1">#REF!</definedName>
    <definedName name="XREF_COLUMN_7" localSheetId="1" hidden="1">#REF!</definedName>
    <definedName name="XREF_COLUMN_7" localSheetId="15" hidden="1">#REF!</definedName>
    <definedName name="XREF_COLUMN_7" localSheetId="7" hidden="1">#REF!</definedName>
    <definedName name="XREF_COLUMN_7" localSheetId="14" hidden="1">#REF!</definedName>
    <definedName name="XREF_COLUMN_7" localSheetId="2" hidden="1">#REF!</definedName>
    <definedName name="XREF_COLUMN_7" localSheetId="34" hidden="1">#REF!</definedName>
    <definedName name="XREF_COLUMN_7" localSheetId="38" hidden="1">#REF!</definedName>
    <definedName name="XREF_COLUMN_7" localSheetId="12" hidden="1">#REF!</definedName>
    <definedName name="XREF_COLUMN_7" localSheetId="10" hidden="1">#REF!</definedName>
    <definedName name="XREF_COLUMN_7" localSheetId="11" hidden="1">#REF!</definedName>
    <definedName name="XREF_COLUMN_7" localSheetId="6" hidden="1">#REF!</definedName>
    <definedName name="XREF_COLUMN_7" hidden="1">#REF!</definedName>
    <definedName name="XREF_COLUMN_8" localSheetId="1" hidden="1">#REF!</definedName>
    <definedName name="XREF_COLUMN_8" localSheetId="15" hidden="1">#REF!</definedName>
    <definedName name="XREF_COLUMN_8" localSheetId="7" hidden="1">#REF!</definedName>
    <definedName name="XREF_COLUMN_8" localSheetId="2" hidden="1">#REF!</definedName>
    <definedName name="XREF_COLUMN_8" localSheetId="34" hidden="1">#REF!</definedName>
    <definedName name="XREF_COLUMN_8" localSheetId="38" hidden="1">#REF!</definedName>
    <definedName name="XREF_COLUMN_8" localSheetId="12" hidden="1">#REF!</definedName>
    <definedName name="XREF_COLUMN_8" localSheetId="10" hidden="1">#REF!</definedName>
    <definedName name="XREF_COLUMN_8" localSheetId="11" hidden="1">#REF!</definedName>
    <definedName name="XREF_COLUMN_8" localSheetId="6" hidden="1">#REF!</definedName>
    <definedName name="XREF_COLUMN_8" hidden="1">#REF!</definedName>
    <definedName name="XREF_COLUMN_9" localSheetId="1" hidden="1">#REF!</definedName>
    <definedName name="XREF_COLUMN_9" localSheetId="15" hidden="1">#REF!</definedName>
    <definedName name="XREF_COLUMN_9" localSheetId="7" hidden="1">#REF!</definedName>
    <definedName name="XREF_COLUMN_9" localSheetId="14" hidden="1">#REF!</definedName>
    <definedName name="XREF_COLUMN_9" localSheetId="2" hidden="1">#REF!</definedName>
    <definedName name="XREF_COLUMN_9" localSheetId="34" hidden="1">#REF!</definedName>
    <definedName name="XREF_COLUMN_9" localSheetId="38" hidden="1">#REF!</definedName>
    <definedName name="XREF_COLUMN_9" localSheetId="12" hidden="1">#REF!</definedName>
    <definedName name="XREF_COLUMN_9" localSheetId="10" hidden="1">#REF!</definedName>
    <definedName name="XREF_COLUMN_9" localSheetId="6" hidden="1">#REF!</definedName>
    <definedName name="XREF_COLUMN_9" hidden="1">#REF!</definedName>
    <definedName name="XRefColumnsCount" hidden="1">2</definedName>
    <definedName name="XRefCopy1" localSheetId="1" hidden="1">#REF!</definedName>
    <definedName name="XRefCopy1" localSheetId="15" hidden="1">#REF!</definedName>
    <definedName name="XRefCopy1" localSheetId="7" hidden="1">#REF!</definedName>
    <definedName name="XRefCopy1" localSheetId="14" hidden="1">#REF!</definedName>
    <definedName name="XRefCopy1" localSheetId="2" hidden="1">#REF!</definedName>
    <definedName name="XRefCopy1" localSheetId="34" hidden="1">#REF!</definedName>
    <definedName name="XRefCopy1" localSheetId="38" hidden="1">#REF!</definedName>
    <definedName name="XRefCopy1" localSheetId="12" hidden="1">#REF!</definedName>
    <definedName name="XRefCopy1" localSheetId="10" hidden="1">#REF!</definedName>
    <definedName name="XRefCopy1" localSheetId="11" hidden="1">#REF!</definedName>
    <definedName name="XRefCopy1" localSheetId="6" hidden="1">#REF!</definedName>
    <definedName name="XRefCopy1" hidden="1">#REF!</definedName>
    <definedName name="XRefCopy10" localSheetId="1" hidden="1">#REF!</definedName>
    <definedName name="XRefCopy10" localSheetId="15" hidden="1">#REF!</definedName>
    <definedName name="XRefCopy10" localSheetId="7" hidden="1">#REF!</definedName>
    <definedName name="XRefCopy10" localSheetId="14" hidden="1">#REF!</definedName>
    <definedName name="XRefCopy10" localSheetId="2" hidden="1">#REF!</definedName>
    <definedName name="XRefCopy10" localSheetId="34" hidden="1">#REF!</definedName>
    <definedName name="XRefCopy10" localSheetId="38" hidden="1">#REF!</definedName>
    <definedName name="XRefCopy10" localSheetId="12" hidden="1">#REF!</definedName>
    <definedName name="XRefCopy10" localSheetId="10" hidden="1">#REF!</definedName>
    <definedName name="XRefCopy10" localSheetId="6" hidden="1">#REF!</definedName>
    <definedName name="XRefCopy10" hidden="1">#REF!</definedName>
    <definedName name="XRefCopy10Row" localSheetId="1" hidden="1">#REF!</definedName>
    <definedName name="XRefCopy10Row" localSheetId="15" hidden="1">#REF!</definedName>
    <definedName name="XRefCopy10Row" localSheetId="7" hidden="1">#REF!</definedName>
    <definedName name="XRefCopy10Row" localSheetId="14" hidden="1">#REF!</definedName>
    <definedName name="XRefCopy10Row" localSheetId="2" hidden="1">#REF!</definedName>
    <definedName name="XRefCopy10Row" localSheetId="34" hidden="1">#REF!</definedName>
    <definedName name="XRefCopy10Row" localSheetId="38" hidden="1">#REF!</definedName>
    <definedName name="XRefCopy10Row" localSheetId="12" hidden="1">#REF!</definedName>
    <definedName name="XRefCopy10Row" localSheetId="10" hidden="1">#REF!</definedName>
    <definedName name="XRefCopy10Row" localSheetId="11" hidden="1">#REF!</definedName>
    <definedName name="XRefCopy10Row" localSheetId="6" hidden="1">#REF!</definedName>
    <definedName name="XRefCopy10Row" hidden="1">#REF!</definedName>
    <definedName name="XRefCopy11" localSheetId="1" hidden="1">#REF!</definedName>
    <definedName name="XRefCopy11" localSheetId="15" hidden="1">#REF!</definedName>
    <definedName name="XRefCopy11" localSheetId="7" hidden="1">#REF!</definedName>
    <definedName name="XRefCopy11" localSheetId="14" hidden="1">#REF!</definedName>
    <definedName name="XRefCopy11" localSheetId="2" hidden="1">#REF!</definedName>
    <definedName name="XRefCopy11" localSheetId="34" hidden="1">#REF!</definedName>
    <definedName name="XRefCopy11" localSheetId="38" hidden="1">#REF!</definedName>
    <definedName name="XRefCopy11" localSheetId="12" hidden="1">#REF!</definedName>
    <definedName name="XRefCopy11" localSheetId="10" hidden="1">#REF!</definedName>
    <definedName name="XRefCopy11" localSheetId="6" hidden="1">#REF!</definedName>
    <definedName name="XRefCopy11" hidden="1">#REF!</definedName>
    <definedName name="XRefCopy11Row" localSheetId="1" hidden="1">#REF!</definedName>
    <definedName name="XRefCopy11Row" localSheetId="15" hidden="1">#REF!</definedName>
    <definedName name="XRefCopy11Row" localSheetId="7" hidden="1">#REF!</definedName>
    <definedName name="XRefCopy11Row" localSheetId="14" hidden="1">#REF!</definedName>
    <definedName name="XRefCopy11Row" localSheetId="2" hidden="1">#REF!</definedName>
    <definedName name="XRefCopy11Row" localSheetId="34" hidden="1">#REF!</definedName>
    <definedName name="XRefCopy11Row" localSheetId="38" hidden="1">#REF!</definedName>
    <definedName name="XRefCopy11Row" localSheetId="12" hidden="1">#REF!</definedName>
    <definedName name="XRefCopy11Row" localSheetId="10" hidden="1">#REF!</definedName>
    <definedName name="XRefCopy11Row" localSheetId="11" hidden="1">#REF!</definedName>
    <definedName name="XRefCopy11Row" localSheetId="6" hidden="1">#REF!</definedName>
    <definedName name="XRefCopy11Row" hidden="1">#REF!</definedName>
    <definedName name="XRefCopy12" localSheetId="1" hidden="1">#REF!</definedName>
    <definedName name="XRefCopy12" localSheetId="15" hidden="1">#REF!</definedName>
    <definedName name="XRefCopy12" localSheetId="7" hidden="1">#REF!</definedName>
    <definedName name="XRefCopy12" localSheetId="14" hidden="1">#REF!</definedName>
    <definedName name="XRefCopy12" localSheetId="2" hidden="1">#REF!</definedName>
    <definedName name="XRefCopy12" localSheetId="34" hidden="1">#REF!</definedName>
    <definedName name="XRefCopy12" localSheetId="38" hidden="1">#REF!</definedName>
    <definedName name="XRefCopy12" localSheetId="12" hidden="1">#REF!</definedName>
    <definedName name="XRefCopy12" localSheetId="10" hidden="1">#REF!</definedName>
    <definedName name="XRefCopy12" localSheetId="11" hidden="1">#REF!</definedName>
    <definedName name="XRefCopy12" localSheetId="6" hidden="1">#REF!</definedName>
    <definedName name="XRefCopy12" hidden="1">#REF!</definedName>
    <definedName name="XRefCopy12Row" localSheetId="1" hidden="1">#REF!</definedName>
    <definedName name="XRefCopy12Row" localSheetId="15" hidden="1">#REF!</definedName>
    <definedName name="XRefCopy12Row" localSheetId="7" hidden="1">#REF!</definedName>
    <definedName name="XRefCopy12Row" localSheetId="14" hidden="1">#REF!</definedName>
    <definedName name="XRefCopy12Row" localSheetId="2" hidden="1">#REF!</definedName>
    <definedName name="XRefCopy12Row" localSheetId="34" hidden="1">#REF!</definedName>
    <definedName name="XRefCopy12Row" localSheetId="38" hidden="1">#REF!</definedName>
    <definedName name="XRefCopy12Row" localSheetId="12" hidden="1">#REF!</definedName>
    <definedName name="XRefCopy12Row" localSheetId="10" hidden="1">#REF!</definedName>
    <definedName name="XRefCopy12Row" localSheetId="11" hidden="1">#REF!</definedName>
    <definedName name="XRefCopy12Row" localSheetId="6" hidden="1">#REF!</definedName>
    <definedName name="XRefCopy12Row" hidden="1">#REF!</definedName>
    <definedName name="XRefCopy13" localSheetId="1" hidden="1">#REF!</definedName>
    <definedName name="XRefCopy13" localSheetId="15" hidden="1">#REF!</definedName>
    <definedName name="XRefCopy13" localSheetId="7" hidden="1">#REF!</definedName>
    <definedName name="XRefCopy13" localSheetId="14" hidden="1">#REF!</definedName>
    <definedName name="XRefCopy13" localSheetId="2" hidden="1">#REF!</definedName>
    <definedName name="XRefCopy13" localSheetId="34" hidden="1">#REF!</definedName>
    <definedName name="XRefCopy13" localSheetId="38" hidden="1">#REF!</definedName>
    <definedName name="XRefCopy13" localSheetId="12" hidden="1">#REF!</definedName>
    <definedName name="XRefCopy13" localSheetId="10" hidden="1">#REF!</definedName>
    <definedName name="XRefCopy13" localSheetId="11" hidden="1">#REF!</definedName>
    <definedName name="XRefCopy13" localSheetId="6" hidden="1">#REF!</definedName>
    <definedName name="XRefCopy13" hidden="1">#REF!</definedName>
    <definedName name="XRefCopy13Row" localSheetId="1" hidden="1">#REF!</definedName>
    <definedName name="XRefCopy13Row" localSheetId="15" hidden="1">#REF!</definedName>
    <definedName name="XRefCopy13Row" localSheetId="7" hidden="1">#REF!</definedName>
    <definedName name="XRefCopy13Row" localSheetId="14" hidden="1">#REF!</definedName>
    <definedName name="XRefCopy13Row" localSheetId="2" hidden="1">#REF!</definedName>
    <definedName name="XRefCopy13Row" localSheetId="34" hidden="1">#REF!</definedName>
    <definedName name="XRefCopy13Row" localSheetId="38" hidden="1">#REF!</definedName>
    <definedName name="XRefCopy13Row" localSheetId="12" hidden="1">#REF!</definedName>
    <definedName name="XRefCopy13Row" localSheetId="10" hidden="1">#REF!</definedName>
    <definedName name="XRefCopy13Row" localSheetId="11" hidden="1">#REF!</definedName>
    <definedName name="XRefCopy13Row" localSheetId="6" hidden="1">#REF!</definedName>
    <definedName name="XRefCopy13Row" hidden="1">#REF!</definedName>
    <definedName name="XRefCopy14" localSheetId="1" hidden="1">#REF!</definedName>
    <definedName name="XRefCopy14" localSheetId="15" hidden="1">#REF!</definedName>
    <definedName name="XRefCopy14" localSheetId="7" hidden="1">#REF!</definedName>
    <definedName name="XRefCopy14" localSheetId="14" hidden="1">#REF!</definedName>
    <definedName name="XRefCopy14" localSheetId="2" hidden="1">#REF!</definedName>
    <definedName name="XRefCopy14" localSheetId="34" hidden="1">#REF!</definedName>
    <definedName name="XRefCopy14" localSheetId="38" hidden="1">#REF!</definedName>
    <definedName name="XRefCopy14" localSheetId="12" hidden="1">#REF!</definedName>
    <definedName name="XRefCopy14" localSheetId="10" hidden="1">#REF!</definedName>
    <definedName name="XRefCopy14" localSheetId="11" hidden="1">#REF!</definedName>
    <definedName name="XRefCopy14" localSheetId="6" hidden="1">#REF!</definedName>
    <definedName name="XRefCopy14" hidden="1">#REF!</definedName>
    <definedName name="XRefCopy14Row" localSheetId="1" hidden="1">#REF!</definedName>
    <definedName name="XRefCopy14Row" localSheetId="15" hidden="1">#REF!</definedName>
    <definedName name="XRefCopy14Row" localSheetId="7" hidden="1">#REF!</definedName>
    <definedName name="XRefCopy14Row" localSheetId="14" hidden="1">#REF!</definedName>
    <definedName name="XRefCopy14Row" localSheetId="2" hidden="1">#REF!</definedName>
    <definedName name="XRefCopy14Row" localSheetId="34" hidden="1">#REF!</definedName>
    <definedName name="XRefCopy14Row" localSheetId="38" hidden="1">#REF!</definedName>
    <definedName name="XRefCopy14Row" localSheetId="12" hidden="1">#REF!</definedName>
    <definedName name="XRefCopy14Row" localSheetId="10" hidden="1">#REF!</definedName>
    <definedName name="XRefCopy14Row" localSheetId="11" hidden="1">#REF!</definedName>
    <definedName name="XRefCopy14Row" localSheetId="6" hidden="1">#REF!</definedName>
    <definedName name="XRefCopy14Row" hidden="1">#REF!</definedName>
    <definedName name="XRefCopy15" localSheetId="1" hidden="1">#REF!</definedName>
    <definedName name="XRefCopy15" localSheetId="15" hidden="1">#REF!</definedName>
    <definedName name="XRefCopy15" localSheetId="7" hidden="1">#REF!</definedName>
    <definedName name="XRefCopy15" localSheetId="14" hidden="1">#REF!</definedName>
    <definedName name="XRefCopy15" localSheetId="2" hidden="1">#REF!</definedName>
    <definedName name="XRefCopy15" localSheetId="34" hidden="1">#REF!</definedName>
    <definedName name="XRefCopy15" localSheetId="38" hidden="1">#REF!</definedName>
    <definedName name="XRefCopy15" localSheetId="12" hidden="1">#REF!</definedName>
    <definedName name="XRefCopy15" localSheetId="10" hidden="1">#REF!</definedName>
    <definedName name="XRefCopy15" localSheetId="11" hidden="1">#REF!</definedName>
    <definedName name="XRefCopy15" localSheetId="6" hidden="1">#REF!</definedName>
    <definedName name="XRefCopy15" hidden="1">#REF!</definedName>
    <definedName name="XRefCopy15Row" localSheetId="1" hidden="1">#REF!</definedName>
    <definedName name="XRefCopy15Row" localSheetId="15" hidden="1">#REF!</definedName>
    <definedName name="XRefCopy15Row" localSheetId="7" hidden="1">#REF!</definedName>
    <definedName name="XRefCopy15Row" localSheetId="14" hidden="1">#REF!</definedName>
    <definedName name="XRefCopy15Row" localSheetId="2" hidden="1">#REF!</definedName>
    <definedName name="XRefCopy15Row" localSheetId="34" hidden="1">#REF!</definedName>
    <definedName name="XRefCopy15Row" localSheetId="38" hidden="1">#REF!</definedName>
    <definedName name="XRefCopy15Row" localSheetId="12" hidden="1">#REF!</definedName>
    <definedName name="XRefCopy15Row" localSheetId="10" hidden="1">#REF!</definedName>
    <definedName name="XRefCopy15Row" localSheetId="11" hidden="1">#REF!</definedName>
    <definedName name="XRefCopy15Row" localSheetId="6" hidden="1">#REF!</definedName>
    <definedName name="XRefCopy15Row" hidden="1">#REF!</definedName>
    <definedName name="XRefCopy16" localSheetId="1" hidden="1">#REF!</definedName>
    <definedName name="XRefCopy16" localSheetId="15" hidden="1">#REF!</definedName>
    <definedName name="XRefCopy16" localSheetId="7" hidden="1">#REF!</definedName>
    <definedName name="XRefCopy16" localSheetId="14" hidden="1">#REF!</definedName>
    <definedName name="XRefCopy16" localSheetId="2" hidden="1">#REF!</definedName>
    <definedName name="XRefCopy16" localSheetId="34" hidden="1">#REF!</definedName>
    <definedName name="XRefCopy16" localSheetId="38" hidden="1">#REF!</definedName>
    <definedName name="XRefCopy16" localSheetId="12" hidden="1">#REF!</definedName>
    <definedName name="XRefCopy16" localSheetId="10" hidden="1">#REF!</definedName>
    <definedName name="XRefCopy16" localSheetId="11" hidden="1">#REF!</definedName>
    <definedName name="XRefCopy16" localSheetId="6" hidden="1">#REF!</definedName>
    <definedName name="XRefCopy16" hidden="1">#REF!</definedName>
    <definedName name="XRefCopy16Row" localSheetId="1" hidden="1">#REF!</definedName>
    <definedName name="XRefCopy16Row" localSheetId="15" hidden="1">#REF!</definedName>
    <definedName name="XRefCopy16Row" localSheetId="7" hidden="1">#REF!</definedName>
    <definedName name="XRefCopy16Row" localSheetId="14" hidden="1">#REF!</definedName>
    <definedName name="XRefCopy16Row" localSheetId="2" hidden="1">#REF!</definedName>
    <definedName name="XRefCopy16Row" localSheetId="34" hidden="1">#REF!</definedName>
    <definedName name="XRefCopy16Row" localSheetId="38" hidden="1">#REF!</definedName>
    <definedName name="XRefCopy16Row" localSheetId="12" hidden="1">#REF!</definedName>
    <definedName name="XRefCopy16Row" localSheetId="10" hidden="1">#REF!</definedName>
    <definedName name="XRefCopy16Row" localSheetId="11" hidden="1">#REF!</definedName>
    <definedName name="XRefCopy16Row" localSheetId="6" hidden="1">#REF!</definedName>
    <definedName name="XRefCopy16Row" hidden="1">#REF!</definedName>
    <definedName name="XRefCopy17" localSheetId="1" hidden="1">#REF!</definedName>
    <definedName name="XRefCopy17" localSheetId="15" hidden="1">#REF!</definedName>
    <definedName name="XRefCopy17" localSheetId="7" hidden="1">#REF!</definedName>
    <definedName name="XRefCopy17" localSheetId="14" hidden="1">#REF!</definedName>
    <definedName name="XRefCopy17" localSheetId="2" hidden="1">#REF!</definedName>
    <definedName name="XRefCopy17" localSheetId="34" hidden="1">#REF!</definedName>
    <definedName name="XRefCopy17" localSheetId="38" hidden="1">#REF!</definedName>
    <definedName name="XRefCopy17" localSheetId="12" hidden="1">#REF!</definedName>
    <definedName name="XRefCopy17" localSheetId="10" hidden="1">#REF!</definedName>
    <definedName name="XRefCopy17" localSheetId="6" hidden="1">#REF!</definedName>
    <definedName name="XRefCopy17" hidden="1">#REF!</definedName>
    <definedName name="XRefCopy17Row" localSheetId="1" hidden="1">#REF!</definedName>
    <definedName name="XRefCopy17Row" localSheetId="15" hidden="1">#REF!</definedName>
    <definedName name="XRefCopy17Row" localSheetId="7" hidden="1">#REF!</definedName>
    <definedName name="XRefCopy17Row" localSheetId="14" hidden="1">#REF!</definedName>
    <definedName name="XRefCopy17Row" localSheetId="2" hidden="1">#REF!</definedName>
    <definedName name="XRefCopy17Row" localSheetId="34" hidden="1">#REF!</definedName>
    <definedName name="XRefCopy17Row" localSheetId="38" hidden="1">#REF!</definedName>
    <definedName name="XRefCopy17Row" localSheetId="12" hidden="1">#REF!</definedName>
    <definedName name="XRefCopy17Row" localSheetId="10" hidden="1">#REF!</definedName>
    <definedName name="XRefCopy17Row" localSheetId="11" hidden="1">#REF!</definedName>
    <definedName name="XRefCopy17Row" localSheetId="6" hidden="1">#REF!</definedName>
    <definedName name="XRefCopy17Row" hidden="1">#REF!</definedName>
    <definedName name="XRefCopy18" localSheetId="1" hidden="1">#REF!</definedName>
    <definedName name="XRefCopy18" localSheetId="15" hidden="1">#REF!</definedName>
    <definedName name="XRefCopy18" localSheetId="7" hidden="1">#REF!</definedName>
    <definedName name="XRefCopy18" localSheetId="14" hidden="1">#REF!</definedName>
    <definedName name="XRefCopy18" localSheetId="2" hidden="1">#REF!</definedName>
    <definedName name="XRefCopy18" localSheetId="34" hidden="1">#REF!</definedName>
    <definedName name="XRefCopy18" localSheetId="38" hidden="1">#REF!</definedName>
    <definedName name="XRefCopy18" localSheetId="12" hidden="1">#REF!</definedName>
    <definedName name="XRefCopy18" localSheetId="10" hidden="1">#REF!</definedName>
    <definedName name="XRefCopy18" localSheetId="11" hidden="1">#REF!</definedName>
    <definedName name="XRefCopy18" localSheetId="6" hidden="1">#REF!</definedName>
    <definedName name="XRefCopy18" hidden="1">#REF!</definedName>
    <definedName name="XRefCopy18Row" localSheetId="1" hidden="1">#REF!</definedName>
    <definedName name="XRefCopy18Row" localSheetId="15" hidden="1">#REF!</definedName>
    <definedName name="XRefCopy18Row" localSheetId="7" hidden="1">#REF!</definedName>
    <definedName name="XRefCopy18Row" localSheetId="2" hidden="1">#REF!</definedName>
    <definedName name="XRefCopy18Row" localSheetId="34" hidden="1">#REF!</definedName>
    <definedName name="XRefCopy18Row" localSheetId="38" hidden="1">#REF!</definedName>
    <definedName name="XRefCopy18Row" localSheetId="12" hidden="1">#REF!</definedName>
    <definedName name="XRefCopy18Row" localSheetId="10" hidden="1">#REF!</definedName>
    <definedName name="XRefCopy18Row" localSheetId="6" hidden="1">#REF!</definedName>
    <definedName name="XRefCopy18Row" hidden="1">#REF!</definedName>
    <definedName name="XRefCopy19" localSheetId="1" hidden="1">#REF!</definedName>
    <definedName name="XRefCopy19" localSheetId="15" hidden="1">#REF!</definedName>
    <definedName name="XRefCopy19" localSheetId="7" hidden="1">#REF!</definedName>
    <definedName name="XRefCopy19" localSheetId="14" hidden="1">#REF!</definedName>
    <definedName name="XRefCopy19" localSheetId="2" hidden="1">#REF!</definedName>
    <definedName name="XRefCopy19" localSheetId="34" hidden="1">#REF!</definedName>
    <definedName name="XRefCopy19" localSheetId="38" hidden="1">#REF!</definedName>
    <definedName name="XRefCopy19" localSheetId="12" hidden="1">#REF!</definedName>
    <definedName name="XRefCopy19" localSheetId="10" hidden="1">#REF!</definedName>
    <definedName name="XRefCopy19" localSheetId="6" hidden="1">#REF!</definedName>
    <definedName name="XRefCopy19" hidden="1">#REF!</definedName>
    <definedName name="XRefCopy19Row" localSheetId="1" hidden="1">#REF!</definedName>
    <definedName name="XRefCopy19Row" localSheetId="15" hidden="1">#REF!</definedName>
    <definedName name="XRefCopy19Row" localSheetId="7" hidden="1">#REF!</definedName>
    <definedName name="XRefCopy19Row" localSheetId="14" hidden="1">#REF!</definedName>
    <definedName name="XRefCopy19Row" localSheetId="2" hidden="1">#REF!</definedName>
    <definedName name="XRefCopy19Row" localSheetId="34" hidden="1">#REF!</definedName>
    <definedName name="XRefCopy19Row" localSheetId="38" hidden="1">#REF!</definedName>
    <definedName name="XRefCopy19Row" localSheetId="12" hidden="1">#REF!</definedName>
    <definedName name="XRefCopy19Row" localSheetId="10" hidden="1">#REF!</definedName>
    <definedName name="XRefCopy19Row" localSheetId="6" hidden="1">#REF!</definedName>
    <definedName name="XRefCopy19Row" hidden="1">#REF!</definedName>
    <definedName name="XRefCopy1Row" localSheetId="1" hidden="1">#REF!</definedName>
    <definedName name="XRefCopy1Row" localSheetId="15" hidden="1">#REF!</definedName>
    <definedName name="XRefCopy1Row" localSheetId="7" hidden="1">#REF!</definedName>
    <definedName name="XRefCopy1Row" localSheetId="14" hidden="1">#REF!</definedName>
    <definedName name="XRefCopy1Row" localSheetId="2" hidden="1">#REF!</definedName>
    <definedName name="XRefCopy1Row" localSheetId="34" hidden="1">#REF!</definedName>
    <definedName name="XRefCopy1Row" localSheetId="38" hidden="1">#REF!</definedName>
    <definedName name="XRefCopy1Row" localSheetId="12" hidden="1">#REF!</definedName>
    <definedName name="XRefCopy1Row" localSheetId="10" hidden="1">#REF!</definedName>
    <definedName name="XRefCopy1Row" localSheetId="11" hidden="1">#REF!</definedName>
    <definedName name="XRefCopy1Row" localSheetId="6" hidden="1">#REF!</definedName>
    <definedName name="XRefCopy1Row" hidden="1">#REF!</definedName>
    <definedName name="XRefCopy2" localSheetId="1" hidden="1">#REF!</definedName>
    <definedName name="XRefCopy2" localSheetId="15" hidden="1">#REF!</definedName>
    <definedName name="XRefCopy2" localSheetId="7" hidden="1">#REF!</definedName>
    <definedName name="XRefCopy2" localSheetId="2" hidden="1">#REF!</definedName>
    <definedName name="XRefCopy2" localSheetId="34" hidden="1">#REF!</definedName>
    <definedName name="XRefCopy2" localSheetId="38" hidden="1">#REF!</definedName>
    <definedName name="XRefCopy2" localSheetId="12" hidden="1">#REF!</definedName>
    <definedName name="XRefCopy2" localSheetId="10" hidden="1">#REF!</definedName>
    <definedName name="XRefCopy2" localSheetId="11" hidden="1">#REF!</definedName>
    <definedName name="XRefCopy2" localSheetId="6" hidden="1">#REF!</definedName>
    <definedName name="XRefCopy2" hidden="1">#REF!</definedName>
    <definedName name="XRefCopy20" localSheetId="1" hidden="1">#REF!</definedName>
    <definedName name="XRefCopy20" localSheetId="15" hidden="1">#REF!</definedName>
    <definedName name="XRefCopy20" localSheetId="7" hidden="1">#REF!</definedName>
    <definedName name="XRefCopy20" localSheetId="14" hidden="1">#REF!</definedName>
    <definedName name="XRefCopy20" localSheetId="2" hidden="1">#REF!</definedName>
    <definedName name="XRefCopy20" localSheetId="34" hidden="1">#REF!</definedName>
    <definedName name="XRefCopy20" localSheetId="38" hidden="1">#REF!</definedName>
    <definedName name="XRefCopy20" localSheetId="12" hidden="1">#REF!</definedName>
    <definedName name="XRefCopy20" localSheetId="10" hidden="1">#REF!</definedName>
    <definedName name="XRefCopy20" localSheetId="6" hidden="1">#REF!</definedName>
    <definedName name="XRefCopy20" hidden="1">#REF!</definedName>
    <definedName name="XRefCopy20Row" localSheetId="1" hidden="1">#REF!</definedName>
    <definedName name="XRefCopy20Row" localSheetId="15" hidden="1">#REF!</definedName>
    <definedName name="XRefCopy20Row" localSheetId="7" hidden="1">#REF!</definedName>
    <definedName name="XRefCopy20Row" localSheetId="14" hidden="1">#REF!</definedName>
    <definedName name="XRefCopy20Row" localSheetId="2" hidden="1">#REF!</definedName>
    <definedName name="XRefCopy20Row" localSheetId="34" hidden="1">#REF!</definedName>
    <definedName name="XRefCopy20Row" localSheetId="38" hidden="1">#REF!</definedName>
    <definedName name="XRefCopy20Row" localSheetId="12" hidden="1">#REF!</definedName>
    <definedName name="XRefCopy20Row" localSheetId="10" hidden="1">#REF!</definedName>
    <definedName name="XRefCopy20Row" localSheetId="6" hidden="1">#REF!</definedName>
    <definedName name="XRefCopy20Row" hidden="1">#REF!</definedName>
    <definedName name="XRefCopy21" localSheetId="1" hidden="1">#REF!</definedName>
    <definedName name="XRefCopy21" localSheetId="15" hidden="1">#REF!</definedName>
    <definedName name="XRefCopy21" localSheetId="7" hidden="1">#REF!</definedName>
    <definedName name="XRefCopy21" localSheetId="14" hidden="1">#REF!</definedName>
    <definedName name="XRefCopy21" localSheetId="2" hidden="1">#REF!</definedName>
    <definedName name="XRefCopy21" localSheetId="34" hidden="1">#REF!</definedName>
    <definedName name="XRefCopy21" localSheetId="38" hidden="1">#REF!</definedName>
    <definedName name="XRefCopy21" localSheetId="12" hidden="1">#REF!</definedName>
    <definedName name="XRefCopy21" localSheetId="10" hidden="1">#REF!</definedName>
    <definedName name="XRefCopy21" localSheetId="6" hidden="1">#REF!</definedName>
    <definedName name="XRefCopy21" hidden="1">#REF!</definedName>
    <definedName name="XRefCopy21Row" localSheetId="1" hidden="1">#REF!</definedName>
    <definedName name="XRefCopy21Row" localSheetId="15" hidden="1">#REF!</definedName>
    <definedName name="XRefCopy21Row" localSheetId="7" hidden="1">#REF!</definedName>
    <definedName name="XRefCopy21Row" localSheetId="14" hidden="1">#REF!</definedName>
    <definedName name="XRefCopy21Row" localSheetId="2" hidden="1">#REF!</definedName>
    <definedName name="XRefCopy21Row" localSheetId="34" hidden="1">#REF!</definedName>
    <definedName name="XRefCopy21Row" localSheetId="38" hidden="1">#REF!</definedName>
    <definedName name="XRefCopy21Row" localSheetId="12" hidden="1">#REF!</definedName>
    <definedName name="XRefCopy21Row" localSheetId="10" hidden="1">#REF!</definedName>
    <definedName name="XRefCopy21Row" localSheetId="6" hidden="1">#REF!</definedName>
    <definedName name="XRefCopy21Row" hidden="1">#REF!</definedName>
    <definedName name="XRefCopy22" localSheetId="1" hidden="1">#REF!</definedName>
    <definedName name="XRefCopy22" localSheetId="15" hidden="1">#REF!</definedName>
    <definedName name="XRefCopy22" localSheetId="7" hidden="1">#REF!</definedName>
    <definedName name="XRefCopy22" localSheetId="14" hidden="1">#REF!</definedName>
    <definedName name="XRefCopy22" localSheetId="2" hidden="1">#REF!</definedName>
    <definedName name="XRefCopy22" localSheetId="34" hidden="1">#REF!</definedName>
    <definedName name="XRefCopy22" localSheetId="38" hidden="1">#REF!</definedName>
    <definedName name="XRefCopy22" localSheetId="12" hidden="1">#REF!</definedName>
    <definedName name="XRefCopy22" localSheetId="10" hidden="1">#REF!</definedName>
    <definedName name="XRefCopy22" localSheetId="6" hidden="1">#REF!</definedName>
    <definedName name="XRefCopy22" hidden="1">#REF!</definedName>
    <definedName name="XRefCopy22Row" localSheetId="1" hidden="1">#REF!</definedName>
    <definedName name="XRefCopy22Row" localSheetId="15" hidden="1">#REF!</definedName>
    <definedName name="XRefCopy22Row" localSheetId="7" hidden="1">#REF!</definedName>
    <definedName name="XRefCopy22Row" localSheetId="2" hidden="1">#REF!</definedName>
    <definedName name="XRefCopy22Row" localSheetId="34" hidden="1">#REF!</definedName>
    <definedName name="XRefCopy22Row" localSheetId="38" hidden="1">#REF!</definedName>
    <definedName name="XRefCopy22Row" localSheetId="12" hidden="1">#REF!</definedName>
    <definedName name="XRefCopy22Row" localSheetId="10" hidden="1">#REF!</definedName>
    <definedName name="XRefCopy22Row" localSheetId="6" hidden="1">#REF!</definedName>
    <definedName name="XRefCopy22Row" hidden="1">#REF!</definedName>
    <definedName name="XRefCopy23" localSheetId="1" hidden="1">#REF!</definedName>
    <definedName name="XRefCopy23" localSheetId="15" hidden="1">#REF!</definedName>
    <definedName name="XRefCopy23" localSheetId="7" hidden="1">#REF!</definedName>
    <definedName name="XRefCopy23" localSheetId="14" hidden="1">#REF!</definedName>
    <definedName name="XRefCopy23" localSheetId="2" hidden="1">#REF!</definedName>
    <definedName name="XRefCopy23" localSheetId="34" hidden="1">#REF!</definedName>
    <definedName name="XRefCopy23" localSheetId="38" hidden="1">#REF!</definedName>
    <definedName name="XRefCopy23" localSheetId="12" hidden="1">#REF!</definedName>
    <definedName name="XRefCopy23" localSheetId="10" hidden="1">#REF!</definedName>
    <definedName name="XRefCopy23" localSheetId="6" hidden="1">#REF!</definedName>
    <definedName name="XRefCopy23" hidden="1">#REF!</definedName>
    <definedName name="XRefCopy23Row" localSheetId="1" hidden="1">#REF!</definedName>
    <definedName name="XRefCopy23Row" localSheetId="15" hidden="1">#REF!</definedName>
    <definedName name="XRefCopy23Row" localSheetId="7" hidden="1">#REF!</definedName>
    <definedName name="XRefCopy23Row" localSheetId="14" hidden="1">#REF!</definedName>
    <definedName name="XRefCopy23Row" localSheetId="2" hidden="1">#REF!</definedName>
    <definedName name="XRefCopy23Row" localSheetId="34" hidden="1">#REF!</definedName>
    <definedName name="XRefCopy23Row" localSheetId="38" hidden="1">#REF!</definedName>
    <definedName name="XRefCopy23Row" localSheetId="12" hidden="1">#REF!</definedName>
    <definedName name="XRefCopy23Row" localSheetId="10" hidden="1">#REF!</definedName>
    <definedName name="XRefCopy23Row" localSheetId="6" hidden="1">#REF!</definedName>
    <definedName name="XRefCopy23Row" hidden="1">#REF!</definedName>
    <definedName name="XRefCopy24" localSheetId="1" hidden="1">#REF!</definedName>
    <definedName name="XRefCopy24" localSheetId="15" hidden="1">#REF!</definedName>
    <definedName name="XRefCopy24" localSheetId="7" hidden="1">#REF!</definedName>
    <definedName name="XRefCopy24" localSheetId="14" hidden="1">#REF!</definedName>
    <definedName name="XRefCopy24" localSheetId="2" hidden="1">#REF!</definedName>
    <definedName name="XRefCopy24" localSheetId="34" hidden="1">#REF!</definedName>
    <definedName name="XRefCopy24" localSheetId="38" hidden="1">#REF!</definedName>
    <definedName name="XRefCopy24" localSheetId="12" hidden="1">#REF!</definedName>
    <definedName name="XRefCopy24" localSheetId="10" hidden="1">#REF!</definedName>
    <definedName name="XRefCopy24" localSheetId="6" hidden="1">#REF!</definedName>
    <definedName name="XRefCopy24" hidden="1">#REF!</definedName>
    <definedName name="XRefCopy24Row" localSheetId="1" hidden="1">#REF!</definedName>
    <definedName name="XRefCopy24Row" localSheetId="15" hidden="1">#REF!</definedName>
    <definedName name="XRefCopy24Row" localSheetId="7" hidden="1">#REF!</definedName>
    <definedName name="XRefCopy24Row" localSheetId="14" hidden="1">#REF!</definedName>
    <definedName name="XRefCopy24Row" localSheetId="2" hidden="1">#REF!</definedName>
    <definedName name="XRefCopy24Row" localSheetId="34" hidden="1">#REF!</definedName>
    <definedName name="XRefCopy24Row" localSheetId="38" hidden="1">#REF!</definedName>
    <definedName name="XRefCopy24Row" localSheetId="12" hidden="1">#REF!</definedName>
    <definedName name="XRefCopy24Row" localSheetId="10" hidden="1">#REF!</definedName>
    <definedName name="XRefCopy24Row" localSheetId="6" hidden="1">#REF!</definedName>
    <definedName name="XRefCopy24Row" hidden="1">#REF!</definedName>
    <definedName name="XRefCopy25" localSheetId="1" hidden="1">#REF!</definedName>
    <definedName name="XRefCopy25" localSheetId="15" hidden="1">#REF!</definedName>
    <definedName name="XRefCopy25" localSheetId="7" hidden="1">#REF!</definedName>
    <definedName name="XRefCopy25" localSheetId="14" hidden="1">#REF!</definedName>
    <definedName name="XRefCopy25" localSheetId="2" hidden="1">#REF!</definedName>
    <definedName name="XRefCopy25" localSheetId="34" hidden="1">#REF!</definedName>
    <definedName name="XRefCopy25" localSheetId="38" hidden="1">#REF!</definedName>
    <definedName name="XRefCopy25" localSheetId="12" hidden="1">#REF!</definedName>
    <definedName name="XRefCopy25" localSheetId="10" hidden="1">#REF!</definedName>
    <definedName name="XRefCopy25" localSheetId="6" hidden="1">#REF!</definedName>
    <definedName name="XRefCopy25" hidden="1">#REF!</definedName>
    <definedName name="XRefCopy25Row" localSheetId="1" hidden="1">#REF!</definedName>
    <definedName name="XRefCopy25Row" localSheetId="15" hidden="1">#REF!</definedName>
    <definedName name="XRefCopy25Row" localSheetId="7" hidden="1">#REF!</definedName>
    <definedName name="XRefCopy25Row" localSheetId="14" hidden="1">#REF!</definedName>
    <definedName name="XRefCopy25Row" localSheetId="2" hidden="1">#REF!</definedName>
    <definedName name="XRefCopy25Row" localSheetId="34" hidden="1">#REF!</definedName>
    <definedName name="XRefCopy25Row" localSheetId="38" hidden="1">#REF!</definedName>
    <definedName name="XRefCopy25Row" localSheetId="12" hidden="1">#REF!</definedName>
    <definedName name="XRefCopy25Row" localSheetId="10" hidden="1">#REF!</definedName>
    <definedName name="XRefCopy25Row" localSheetId="6" hidden="1">#REF!</definedName>
    <definedName name="XRefCopy25Row" hidden="1">#REF!</definedName>
    <definedName name="XRefCopy26" localSheetId="1" hidden="1">#REF!</definedName>
    <definedName name="XRefCopy26" localSheetId="15" hidden="1">#REF!</definedName>
    <definedName name="XRefCopy26" localSheetId="7" hidden="1">#REF!</definedName>
    <definedName name="XRefCopy26" localSheetId="14" hidden="1">#REF!</definedName>
    <definedName name="XRefCopy26" localSheetId="2" hidden="1">#REF!</definedName>
    <definedName name="XRefCopy26" localSheetId="34" hidden="1">#REF!</definedName>
    <definedName name="XRefCopy26" localSheetId="38" hidden="1">#REF!</definedName>
    <definedName name="XRefCopy26" localSheetId="12" hidden="1">#REF!</definedName>
    <definedName name="XRefCopy26" localSheetId="10" hidden="1">#REF!</definedName>
    <definedName name="XRefCopy26" localSheetId="6" hidden="1">#REF!</definedName>
    <definedName name="XRefCopy26" hidden="1">#REF!</definedName>
    <definedName name="XRefCopy26Row" localSheetId="1" hidden="1">#REF!</definedName>
    <definedName name="XRefCopy26Row" localSheetId="15" hidden="1">#REF!</definedName>
    <definedName name="XRefCopy26Row" localSheetId="7" hidden="1">#REF!</definedName>
    <definedName name="XRefCopy26Row" localSheetId="14" hidden="1">#REF!</definedName>
    <definedName name="XRefCopy26Row" localSheetId="2" hidden="1">#REF!</definedName>
    <definedName name="XRefCopy26Row" localSheetId="34" hidden="1">#REF!</definedName>
    <definedName name="XRefCopy26Row" localSheetId="38" hidden="1">#REF!</definedName>
    <definedName name="XRefCopy26Row" localSheetId="12" hidden="1">#REF!</definedName>
    <definedName name="XRefCopy26Row" localSheetId="10" hidden="1">#REF!</definedName>
    <definedName name="XRefCopy26Row" localSheetId="6" hidden="1">#REF!</definedName>
    <definedName name="XRefCopy26Row" hidden="1">#REF!</definedName>
    <definedName name="XRefCopy27" localSheetId="1" hidden="1">#REF!</definedName>
    <definedName name="XRefCopy27" localSheetId="15" hidden="1">#REF!</definedName>
    <definedName name="XRefCopy27" localSheetId="7" hidden="1">#REF!</definedName>
    <definedName name="XRefCopy27" localSheetId="2" hidden="1">#REF!</definedName>
    <definedName name="XRefCopy27" localSheetId="34" hidden="1">#REF!</definedName>
    <definedName name="XRefCopy27" localSheetId="38" hidden="1">#REF!</definedName>
    <definedName name="XRefCopy27" localSheetId="12" hidden="1">#REF!</definedName>
    <definedName name="XRefCopy27" localSheetId="10" hidden="1">#REF!</definedName>
    <definedName name="XRefCopy27" localSheetId="11" hidden="1">#REF!</definedName>
    <definedName name="XRefCopy27" localSheetId="6" hidden="1">#REF!</definedName>
    <definedName name="XRefCopy27" hidden="1">#REF!</definedName>
    <definedName name="XRefCopy27Row" localSheetId="1" hidden="1">#REF!</definedName>
    <definedName name="XRefCopy27Row" localSheetId="15" hidden="1">#REF!</definedName>
    <definedName name="XRefCopy27Row" localSheetId="7" hidden="1">#REF!</definedName>
    <definedName name="XRefCopy27Row" localSheetId="14" hidden="1">#REF!</definedName>
    <definedName name="XRefCopy27Row" localSheetId="2" hidden="1">#REF!</definedName>
    <definedName name="XRefCopy27Row" localSheetId="34" hidden="1">#REF!</definedName>
    <definedName name="XRefCopy27Row" localSheetId="38" hidden="1">#REF!</definedName>
    <definedName name="XRefCopy27Row" localSheetId="12" hidden="1">#REF!</definedName>
    <definedName name="XRefCopy27Row" localSheetId="10" hidden="1">#REF!</definedName>
    <definedName name="XRefCopy27Row" localSheetId="6" hidden="1">#REF!</definedName>
    <definedName name="XRefCopy27Row" hidden="1">#REF!</definedName>
    <definedName name="XRefCopy28" localSheetId="1" hidden="1">#REF!</definedName>
    <definedName name="XRefCopy28" localSheetId="15" hidden="1">#REF!</definedName>
    <definedName name="XRefCopy28" localSheetId="7" hidden="1">#REF!</definedName>
    <definedName name="XRefCopy28" localSheetId="2" hidden="1">#REF!</definedName>
    <definedName name="XRefCopy28" localSheetId="34" hidden="1">#REF!</definedName>
    <definedName name="XRefCopy28" localSheetId="38" hidden="1">#REF!</definedName>
    <definedName name="XRefCopy28" localSheetId="12" hidden="1">#REF!</definedName>
    <definedName name="XRefCopy28" localSheetId="10" hidden="1">#REF!</definedName>
    <definedName name="XRefCopy28" localSheetId="6" hidden="1">#REF!</definedName>
    <definedName name="XRefCopy28" hidden="1">#REF!</definedName>
    <definedName name="XRefCopy28Row" localSheetId="1" hidden="1">#REF!</definedName>
    <definedName name="XRefCopy28Row" localSheetId="15" hidden="1">#REF!</definedName>
    <definedName name="XRefCopy28Row" localSheetId="7" hidden="1">#REF!</definedName>
    <definedName name="XRefCopy28Row" localSheetId="14" hidden="1">#REF!</definedName>
    <definedName name="XRefCopy28Row" localSheetId="2" hidden="1">#REF!</definedName>
    <definedName name="XRefCopy28Row" localSheetId="34" hidden="1">#REF!</definedName>
    <definedName name="XRefCopy28Row" localSheetId="38" hidden="1">#REF!</definedName>
    <definedName name="XRefCopy28Row" localSheetId="12" hidden="1">#REF!</definedName>
    <definedName name="XRefCopy28Row" localSheetId="10" hidden="1">#REF!</definedName>
    <definedName name="XRefCopy28Row" localSheetId="6" hidden="1">#REF!</definedName>
    <definedName name="XRefCopy28Row" hidden="1">#REF!</definedName>
    <definedName name="XRefCopy29Row" localSheetId="1" hidden="1">#REF!</definedName>
    <definedName name="XRefCopy29Row" localSheetId="15" hidden="1">#REF!</definedName>
    <definedName name="XRefCopy29Row" localSheetId="7" hidden="1">#REF!</definedName>
    <definedName name="XRefCopy29Row" localSheetId="14" hidden="1">#REF!</definedName>
    <definedName name="XRefCopy29Row" localSheetId="2" hidden="1">#REF!</definedName>
    <definedName name="XRefCopy29Row" localSheetId="34" hidden="1">#REF!</definedName>
    <definedName name="XRefCopy29Row" localSheetId="38" hidden="1">#REF!</definedName>
    <definedName name="XRefCopy29Row" localSheetId="12" hidden="1">#REF!</definedName>
    <definedName name="XRefCopy29Row" localSheetId="10" hidden="1">#REF!</definedName>
    <definedName name="XRefCopy29Row" localSheetId="6" hidden="1">#REF!</definedName>
    <definedName name="XRefCopy29Row" hidden="1">#REF!</definedName>
    <definedName name="XRefCopy2Row" localSheetId="1" hidden="1">#REF!</definedName>
    <definedName name="XRefCopy2Row" localSheetId="15" hidden="1">#REF!</definedName>
    <definedName name="XRefCopy2Row" localSheetId="7" hidden="1">#REF!</definedName>
    <definedName name="XRefCopy2Row" localSheetId="2" hidden="1">#REF!</definedName>
    <definedName name="XRefCopy2Row" localSheetId="34" hidden="1">#REF!</definedName>
    <definedName name="XRefCopy2Row" localSheetId="38" hidden="1">#REF!</definedName>
    <definedName name="XRefCopy2Row" localSheetId="12" hidden="1">#REF!</definedName>
    <definedName name="XRefCopy2Row" localSheetId="10" hidden="1">#REF!</definedName>
    <definedName name="XRefCopy2Row" localSheetId="11" hidden="1">#REF!</definedName>
    <definedName name="XRefCopy2Row" localSheetId="6" hidden="1">#REF!</definedName>
    <definedName name="XRefCopy2Row" hidden="1">#REF!</definedName>
    <definedName name="XRefCopy3" localSheetId="1" hidden="1">#REF!</definedName>
    <definedName name="XRefCopy3" localSheetId="15" hidden="1">#REF!</definedName>
    <definedName name="XRefCopy3" localSheetId="7" hidden="1">#REF!</definedName>
    <definedName name="XRefCopy3" localSheetId="14" hidden="1">#REF!</definedName>
    <definedName name="XRefCopy3" localSheetId="2" hidden="1">#REF!</definedName>
    <definedName name="XRefCopy3" localSheetId="34" hidden="1">#REF!</definedName>
    <definedName name="XRefCopy3" localSheetId="38" hidden="1">#REF!</definedName>
    <definedName name="XRefCopy3" localSheetId="12" hidden="1">#REF!</definedName>
    <definedName name="XRefCopy3" localSheetId="10" hidden="1">#REF!</definedName>
    <definedName name="XRefCopy3" localSheetId="11" hidden="1">#REF!</definedName>
    <definedName name="XRefCopy3" localSheetId="6" hidden="1">#REF!</definedName>
    <definedName name="XRefCopy3" hidden="1">#REF!</definedName>
    <definedName name="XRefCopy30" localSheetId="1" hidden="1">#REF!</definedName>
    <definedName name="XRefCopy30" localSheetId="15" hidden="1">#REF!</definedName>
    <definedName name="XRefCopy30" localSheetId="7" hidden="1">#REF!</definedName>
    <definedName name="XRefCopy30" localSheetId="14" hidden="1">#REF!</definedName>
    <definedName name="XRefCopy30" localSheetId="2" hidden="1">#REF!</definedName>
    <definedName name="XRefCopy30" localSheetId="34" hidden="1">#REF!</definedName>
    <definedName name="XRefCopy30" localSheetId="38" hidden="1">#REF!</definedName>
    <definedName name="XRefCopy30" localSheetId="12" hidden="1">#REF!</definedName>
    <definedName name="XRefCopy30" localSheetId="10" hidden="1">#REF!</definedName>
    <definedName name="XRefCopy30" localSheetId="6" hidden="1">#REF!</definedName>
    <definedName name="XRefCopy30" hidden="1">#REF!</definedName>
    <definedName name="XRefCopy30Row" localSheetId="1" hidden="1">#REF!</definedName>
    <definedName name="XRefCopy30Row" localSheetId="15" hidden="1">#REF!</definedName>
    <definedName name="XRefCopy30Row" localSheetId="7" hidden="1">#REF!</definedName>
    <definedName name="XRefCopy30Row" localSheetId="14" hidden="1">#REF!</definedName>
    <definedName name="XRefCopy30Row" localSheetId="2" hidden="1">#REF!</definedName>
    <definedName name="XRefCopy30Row" localSheetId="34" hidden="1">#REF!</definedName>
    <definedName name="XRefCopy30Row" localSheetId="38" hidden="1">#REF!</definedName>
    <definedName name="XRefCopy30Row" localSheetId="12" hidden="1">#REF!</definedName>
    <definedName name="XRefCopy30Row" localSheetId="10" hidden="1">#REF!</definedName>
    <definedName name="XRefCopy30Row" localSheetId="6" hidden="1">#REF!</definedName>
    <definedName name="XRefCopy30Row" hidden="1">#REF!</definedName>
    <definedName name="XRefCopy31" localSheetId="1" hidden="1">#REF!</definedName>
    <definedName name="XRefCopy31" localSheetId="15" hidden="1">#REF!</definedName>
    <definedName name="XRefCopy31" localSheetId="7" hidden="1">#REF!</definedName>
    <definedName name="XRefCopy31" localSheetId="14" hidden="1">#REF!</definedName>
    <definedName name="XRefCopy31" localSheetId="2" hidden="1">#REF!</definedName>
    <definedName name="XRefCopy31" localSheetId="34" hidden="1">#REF!</definedName>
    <definedName name="XRefCopy31" localSheetId="38" hidden="1">#REF!</definedName>
    <definedName name="XRefCopy31" localSheetId="12" hidden="1">#REF!</definedName>
    <definedName name="XRefCopy31" localSheetId="10" hidden="1">#REF!</definedName>
    <definedName name="XRefCopy31" localSheetId="6" hidden="1">#REF!</definedName>
    <definedName name="XRefCopy31" hidden="1">#REF!</definedName>
    <definedName name="XRefCopy31Row" localSheetId="1" hidden="1">#REF!</definedName>
    <definedName name="XRefCopy31Row" localSheetId="15" hidden="1">#REF!</definedName>
    <definedName name="XRefCopy31Row" localSheetId="7" hidden="1">#REF!</definedName>
    <definedName name="XRefCopy31Row" localSheetId="14" hidden="1">#REF!</definedName>
    <definedName name="XRefCopy31Row" localSheetId="2" hidden="1">#REF!</definedName>
    <definedName name="XRefCopy31Row" localSheetId="34" hidden="1">#REF!</definedName>
    <definedName name="XRefCopy31Row" localSheetId="38" hidden="1">#REF!</definedName>
    <definedName name="XRefCopy31Row" localSheetId="12" hidden="1">#REF!</definedName>
    <definedName name="XRefCopy31Row" localSheetId="10" hidden="1">#REF!</definedName>
    <definedName name="XRefCopy31Row" localSheetId="6" hidden="1">#REF!</definedName>
    <definedName name="XRefCopy31Row" hidden="1">#REF!</definedName>
    <definedName name="XRefCopy32" localSheetId="1" hidden="1">#REF!</definedName>
    <definedName name="XRefCopy32" localSheetId="15" hidden="1">#REF!</definedName>
    <definedName name="XRefCopy32" localSheetId="7" hidden="1">#REF!</definedName>
    <definedName name="XRefCopy32" localSheetId="14" hidden="1">#REF!</definedName>
    <definedName name="XRefCopy32" localSheetId="2" hidden="1">#REF!</definedName>
    <definedName name="XRefCopy32" localSheetId="34" hidden="1">#REF!</definedName>
    <definedName name="XRefCopy32" localSheetId="38" hidden="1">#REF!</definedName>
    <definedName name="XRefCopy32" localSheetId="12" hidden="1">#REF!</definedName>
    <definedName name="XRefCopy32" localSheetId="10" hidden="1">#REF!</definedName>
    <definedName name="XRefCopy32" localSheetId="6" hidden="1">#REF!</definedName>
    <definedName name="XRefCopy32" hidden="1">#REF!</definedName>
    <definedName name="XRefCopy32Row" localSheetId="1" hidden="1">#REF!</definedName>
    <definedName name="XRefCopy32Row" localSheetId="15" hidden="1">#REF!</definedName>
    <definedName name="XRefCopy32Row" localSheetId="7" hidden="1">#REF!</definedName>
    <definedName name="XRefCopy32Row" localSheetId="14" hidden="1">#REF!</definedName>
    <definedName name="XRefCopy32Row" localSheetId="2" hidden="1">#REF!</definedName>
    <definedName name="XRefCopy32Row" localSheetId="34" hidden="1">#REF!</definedName>
    <definedName name="XRefCopy32Row" localSheetId="38" hidden="1">#REF!</definedName>
    <definedName name="XRefCopy32Row" localSheetId="12" hidden="1">#REF!</definedName>
    <definedName name="XRefCopy32Row" localSheetId="10" hidden="1">#REF!</definedName>
    <definedName name="XRefCopy32Row" localSheetId="6" hidden="1">#REF!</definedName>
    <definedName name="XRefCopy32Row" hidden="1">#REF!</definedName>
    <definedName name="XRefCopy33" localSheetId="1" hidden="1">#REF!</definedName>
    <definedName name="XRefCopy33" localSheetId="15" hidden="1">#REF!</definedName>
    <definedName name="XRefCopy33" localSheetId="7" hidden="1">#REF!</definedName>
    <definedName name="XRefCopy33" localSheetId="14" hidden="1">#REF!</definedName>
    <definedName name="XRefCopy33" localSheetId="2" hidden="1">#REF!</definedName>
    <definedName name="XRefCopy33" localSheetId="34" hidden="1">#REF!</definedName>
    <definedName name="XRefCopy33" localSheetId="38" hidden="1">#REF!</definedName>
    <definedName name="XRefCopy33" localSheetId="12" hidden="1">#REF!</definedName>
    <definedName name="XRefCopy33" localSheetId="10" hidden="1">#REF!</definedName>
    <definedName name="XRefCopy33" localSheetId="6" hidden="1">#REF!</definedName>
    <definedName name="XRefCopy33" hidden="1">#REF!</definedName>
    <definedName name="XRefCopy33Row" localSheetId="1" hidden="1">#REF!</definedName>
    <definedName name="XRefCopy33Row" localSheetId="15" hidden="1">#REF!</definedName>
    <definedName name="XRefCopy33Row" localSheetId="7" hidden="1">#REF!</definedName>
    <definedName name="XRefCopy33Row" localSheetId="14" hidden="1">#REF!</definedName>
    <definedName name="XRefCopy33Row" localSheetId="2" hidden="1">#REF!</definedName>
    <definedName name="XRefCopy33Row" localSheetId="34" hidden="1">#REF!</definedName>
    <definedName name="XRefCopy33Row" localSheetId="38" hidden="1">#REF!</definedName>
    <definedName name="XRefCopy33Row" localSheetId="12" hidden="1">#REF!</definedName>
    <definedName name="XRefCopy33Row" localSheetId="10" hidden="1">#REF!</definedName>
    <definedName name="XRefCopy33Row" localSheetId="6" hidden="1">#REF!</definedName>
    <definedName name="XRefCopy33Row" hidden="1">#REF!</definedName>
    <definedName name="XRefCopy34" localSheetId="1" hidden="1">#REF!</definedName>
    <definedName name="XRefCopy34" localSheetId="15" hidden="1">#REF!</definedName>
    <definedName name="XRefCopy34" localSheetId="7" hidden="1">#REF!</definedName>
    <definedName name="XRefCopy34" localSheetId="14" hidden="1">#REF!</definedName>
    <definedName name="XRefCopy34" localSheetId="2" hidden="1">#REF!</definedName>
    <definedName name="XRefCopy34" localSheetId="34" hidden="1">#REF!</definedName>
    <definedName name="XRefCopy34" localSheetId="38" hidden="1">#REF!</definedName>
    <definedName name="XRefCopy34" localSheetId="12" hidden="1">#REF!</definedName>
    <definedName name="XRefCopy34" localSheetId="10" hidden="1">#REF!</definedName>
    <definedName name="XRefCopy34" localSheetId="6" hidden="1">#REF!</definedName>
    <definedName name="XRefCopy34" hidden="1">#REF!</definedName>
    <definedName name="XRefCopy34Row" localSheetId="1" hidden="1">#REF!</definedName>
    <definedName name="XRefCopy34Row" localSheetId="15" hidden="1">#REF!</definedName>
    <definedName name="XRefCopy34Row" localSheetId="7" hidden="1">#REF!</definedName>
    <definedName name="XRefCopy34Row" localSheetId="14" hidden="1">#REF!</definedName>
    <definedName name="XRefCopy34Row" localSheetId="2" hidden="1">#REF!</definedName>
    <definedName name="XRefCopy34Row" localSheetId="34" hidden="1">#REF!</definedName>
    <definedName name="XRefCopy34Row" localSheetId="38" hidden="1">#REF!</definedName>
    <definedName name="XRefCopy34Row" localSheetId="12" hidden="1">#REF!</definedName>
    <definedName name="XRefCopy34Row" localSheetId="10" hidden="1">#REF!</definedName>
    <definedName name="XRefCopy34Row" localSheetId="6" hidden="1">#REF!</definedName>
    <definedName name="XRefCopy34Row" hidden="1">#REF!</definedName>
    <definedName name="XRefCopy35" localSheetId="1" hidden="1">#REF!</definedName>
    <definedName name="XRefCopy35" localSheetId="15" hidden="1">#REF!</definedName>
    <definedName name="XRefCopy35" localSheetId="7" hidden="1">#REF!</definedName>
    <definedName name="XRefCopy35" localSheetId="14" hidden="1">#REF!</definedName>
    <definedName name="XRefCopy35" localSheetId="2" hidden="1">#REF!</definedName>
    <definedName name="XRefCopy35" localSheetId="34" hidden="1">#REF!</definedName>
    <definedName name="XRefCopy35" localSheetId="38" hidden="1">#REF!</definedName>
    <definedName name="XRefCopy35" localSheetId="12" hidden="1">#REF!</definedName>
    <definedName name="XRefCopy35" localSheetId="10" hidden="1">#REF!</definedName>
    <definedName name="XRefCopy35" localSheetId="6" hidden="1">#REF!</definedName>
    <definedName name="XRefCopy35" hidden="1">#REF!</definedName>
    <definedName name="XRefCopy35Row" localSheetId="1" hidden="1">#REF!</definedName>
    <definedName name="XRefCopy35Row" localSheetId="15" hidden="1">#REF!</definedName>
    <definedName name="XRefCopy35Row" localSheetId="7" hidden="1">#REF!</definedName>
    <definedName name="XRefCopy35Row" localSheetId="14" hidden="1">#REF!</definedName>
    <definedName name="XRefCopy35Row" localSheetId="2" hidden="1">#REF!</definedName>
    <definedName name="XRefCopy35Row" localSheetId="34" hidden="1">#REF!</definedName>
    <definedName name="XRefCopy35Row" localSheetId="38" hidden="1">#REF!</definedName>
    <definedName name="XRefCopy35Row" localSheetId="12" hidden="1">#REF!</definedName>
    <definedName name="XRefCopy35Row" localSheetId="10" hidden="1">#REF!</definedName>
    <definedName name="XRefCopy35Row" localSheetId="6" hidden="1">#REF!</definedName>
    <definedName name="XRefCopy35Row" hidden="1">#REF!</definedName>
    <definedName name="XRefCopy36" localSheetId="1" hidden="1">#REF!</definedName>
    <definedName name="XRefCopy36" localSheetId="15" hidden="1">#REF!</definedName>
    <definedName name="XRefCopy36" localSheetId="7" hidden="1">#REF!</definedName>
    <definedName name="XRefCopy36" localSheetId="14" hidden="1">#REF!</definedName>
    <definedName name="XRefCopy36" localSheetId="2" hidden="1">#REF!</definedName>
    <definedName name="XRefCopy36" localSheetId="34" hidden="1">#REF!</definedName>
    <definedName name="XRefCopy36" localSheetId="38" hidden="1">#REF!</definedName>
    <definedName name="XRefCopy36" localSheetId="12" hidden="1">#REF!</definedName>
    <definedName name="XRefCopy36" localSheetId="10" hidden="1">#REF!</definedName>
    <definedName name="XRefCopy36" localSheetId="6" hidden="1">#REF!</definedName>
    <definedName name="XRefCopy36" hidden="1">#REF!</definedName>
    <definedName name="XRefCopy36Row" localSheetId="1" hidden="1">#REF!</definedName>
    <definedName name="XRefCopy36Row" localSheetId="15" hidden="1">#REF!</definedName>
    <definedName name="XRefCopy36Row" localSheetId="7" hidden="1">#REF!</definedName>
    <definedName name="XRefCopy36Row" localSheetId="14" hidden="1">#REF!</definedName>
    <definedName name="XRefCopy36Row" localSheetId="2" hidden="1">#REF!</definedName>
    <definedName name="XRefCopy36Row" localSheetId="34" hidden="1">#REF!</definedName>
    <definedName name="XRefCopy36Row" localSheetId="38" hidden="1">#REF!</definedName>
    <definedName name="XRefCopy36Row" localSheetId="12" hidden="1">#REF!</definedName>
    <definedName name="XRefCopy36Row" localSheetId="10" hidden="1">#REF!</definedName>
    <definedName name="XRefCopy36Row" localSheetId="6" hidden="1">#REF!</definedName>
    <definedName name="XRefCopy36Row" hidden="1">#REF!</definedName>
    <definedName name="XRefCopy37" localSheetId="1" hidden="1">#REF!</definedName>
    <definedName name="XRefCopy37" localSheetId="15" hidden="1">#REF!</definedName>
    <definedName name="XRefCopy37" localSheetId="7" hidden="1">#REF!</definedName>
    <definedName name="XRefCopy37" localSheetId="14" hidden="1">#REF!</definedName>
    <definedName name="XRefCopy37" localSheetId="2" hidden="1">#REF!</definedName>
    <definedName name="XRefCopy37" localSheetId="34" hidden="1">#REF!</definedName>
    <definedName name="XRefCopy37" localSheetId="38" hidden="1">#REF!</definedName>
    <definedName name="XRefCopy37" localSheetId="12" hidden="1">#REF!</definedName>
    <definedName name="XRefCopy37" localSheetId="10" hidden="1">#REF!</definedName>
    <definedName name="XRefCopy37" localSheetId="6" hidden="1">#REF!</definedName>
    <definedName name="XRefCopy37" hidden="1">#REF!</definedName>
    <definedName name="XRefCopy37Row" localSheetId="1" hidden="1">#REF!</definedName>
    <definedName name="XRefCopy37Row" localSheetId="15" hidden="1">#REF!</definedName>
    <definedName name="XRefCopy37Row" localSheetId="7" hidden="1">#REF!</definedName>
    <definedName name="XRefCopy37Row" localSheetId="14" hidden="1">#REF!</definedName>
    <definedName name="XRefCopy37Row" localSheetId="2" hidden="1">#REF!</definedName>
    <definedName name="XRefCopy37Row" localSheetId="34" hidden="1">#REF!</definedName>
    <definedName name="XRefCopy37Row" localSheetId="38" hidden="1">#REF!</definedName>
    <definedName name="XRefCopy37Row" localSheetId="12" hidden="1">#REF!</definedName>
    <definedName name="XRefCopy37Row" localSheetId="10" hidden="1">#REF!</definedName>
    <definedName name="XRefCopy37Row" localSheetId="6" hidden="1">#REF!</definedName>
    <definedName name="XRefCopy37Row" hidden="1">#REF!</definedName>
    <definedName name="XRefCopy38" localSheetId="1" hidden="1">#REF!</definedName>
    <definedName name="XRefCopy38" localSheetId="15" hidden="1">#REF!</definedName>
    <definedName name="XRefCopy38" localSheetId="7" hidden="1">#REF!</definedName>
    <definedName name="XRefCopy38" localSheetId="14" hidden="1">#REF!</definedName>
    <definedName name="XRefCopy38" localSheetId="2" hidden="1">#REF!</definedName>
    <definedName name="XRefCopy38" localSheetId="34" hidden="1">#REF!</definedName>
    <definedName name="XRefCopy38" localSheetId="38" hidden="1">#REF!</definedName>
    <definedName name="XRefCopy38" localSheetId="12" hidden="1">#REF!</definedName>
    <definedName name="XRefCopy38" localSheetId="10" hidden="1">#REF!</definedName>
    <definedName name="XRefCopy38" localSheetId="6" hidden="1">#REF!</definedName>
    <definedName name="XRefCopy38" hidden="1">#REF!</definedName>
    <definedName name="XRefCopy38Row" localSheetId="1" hidden="1">#REF!</definedName>
    <definedName name="XRefCopy38Row" localSheetId="15" hidden="1">#REF!</definedName>
    <definedName name="XRefCopy38Row" localSheetId="7" hidden="1">#REF!</definedName>
    <definedName name="XRefCopy38Row" localSheetId="14" hidden="1">#REF!</definedName>
    <definedName name="XRefCopy38Row" localSheetId="2" hidden="1">#REF!</definedName>
    <definedName name="XRefCopy38Row" localSheetId="34" hidden="1">#REF!</definedName>
    <definedName name="XRefCopy38Row" localSheetId="38" hidden="1">#REF!</definedName>
    <definedName name="XRefCopy38Row" localSheetId="12" hidden="1">#REF!</definedName>
    <definedName name="XRefCopy38Row" localSheetId="10" hidden="1">#REF!</definedName>
    <definedName name="XRefCopy38Row" localSheetId="6" hidden="1">#REF!</definedName>
    <definedName name="XRefCopy38Row" hidden="1">#REF!</definedName>
    <definedName name="XRefCopy39" localSheetId="1" hidden="1">#REF!</definedName>
    <definedName name="XRefCopy39" localSheetId="15" hidden="1">#REF!</definedName>
    <definedName name="XRefCopy39" localSheetId="7" hidden="1">#REF!</definedName>
    <definedName name="XRefCopy39" localSheetId="14" hidden="1">#REF!</definedName>
    <definedName name="XRefCopy39" localSheetId="2" hidden="1">#REF!</definedName>
    <definedName name="XRefCopy39" localSheetId="34" hidden="1">#REF!</definedName>
    <definedName name="XRefCopy39" localSheetId="38" hidden="1">#REF!</definedName>
    <definedName name="XRefCopy39" localSheetId="12" hidden="1">#REF!</definedName>
    <definedName name="XRefCopy39" localSheetId="10" hidden="1">#REF!</definedName>
    <definedName name="XRefCopy39" localSheetId="6" hidden="1">#REF!</definedName>
    <definedName name="XRefCopy39" hidden="1">#REF!</definedName>
    <definedName name="XRefCopy39Row" localSheetId="1" hidden="1">#REF!</definedName>
    <definedName name="XRefCopy39Row" localSheetId="15" hidden="1">#REF!</definedName>
    <definedName name="XRefCopy39Row" localSheetId="7" hidden="1">#REF!</definedName>
    <definedName name="XRefCopy39Row" localSheetId="14" hidden="1">#REF!</definedName>
    <definedName name="XRefCopy39Row" localSheetId="2" hidden="1">#REF!</definedName>
    <definedName name="XRefCopy39Row" localSheetId="34" hidden="1">#REF!</definedName>
    <definedName name="XRefCopy39Row" localSheetId="38" hidden="1">#REF!</definedName>
    <definedName name="XRefCopy39Row" localSheetId="12" hidden="1">#REF!</definedName>
    <definedName name="XRefCopy39Row" localSheetId="10" hidden="1">#REF!</definedName>
    <definedName name="XRefCopy39Row" localSheetId="6" hidden="1">#REF!</definedName>
    <definedName name="XRefCopy39Row" hidden="1">#REF!</definedName>
    <definedName name="XRefCopy3Row" localSheetId="1" hidden="1">#REF!</definedName>
    <definedName name="XRefCopy3Row" localSheetId="15" hidden="1">#REF!</definedName>
    <definedName name="XRefCopy3Row" localSheetId="7" hidden="1">#REF!</definedName>
    <definedName name="XRefCopy3Row" localSheetId="14" hidden="1">#REF!</definedName>
    <definedName name="XRefCopy3Row" localSheetId="2" hidden="1">#REF!</definedName>
    <definedName name="XRefCopy3Row" localSheetId="34" hidden="1">#REF!</definedName>
    <definedName name="XRefCopy3Row" localSheetId="38" hidden="1">#REF!</definedName>
    <definedName name="XRefCopy3Row" localSheetId="12" hidden="1">#REF!</definedName>
    <definedName name="XRefCopy3Row" localSheetId="10" hidden="1">#REF!</definedName>
    <definedName name="XRefCopy3Row" localSheetId="11" hidden="1">#REF!</definedName>
    <definedName name="XRefCopy3Row" localSheetId="6" hidden="1">#REF!</definedName>
    <definedName name="XRefCopy3Row" hidden="1">#REF!</definedName>
    <definedName name="XRefCopy4" localSheetId="1" hidden="1">#REF!</definedName>
    <definedName name="XRefCopy4" localSheetId="15" hidden="1">#REF!</definedName>
    <definedName name="XRefCopy4" localSheetId="7" hidden="1">#REF!</definedName>
    <definedName name="XRefCopy4" localSheetId="14" hidden="1">#REF!</definedName>
    <definedName name="XRefCopy4" localSheetId="2" hidden="1">#REF!</definedName>
    <definedName name="XRefCopy4" localSheetId="34" hidden="1">#REF!</definedName>
    <definedName name="XRefCopy4" localSheetId="38" hidden="1">#REF!</definedName>
    <definedName name="XRefCopy4" localSheetId="12" hidden="1">#REF!</definedName>
    <definedName name="XRefCopy4" localSheetId="10" hidden="1">#REF!</definedName>
    <definedName name="XRefCopy4" localSheetId="11" hidden="1">#REF!</definedName>
    <definedName name="XRefCopy4" localSheetId="6" hidden="1">#REF!</definedName>
    <definedName name="XRefCopy4" hidden="1">#REF!</definedName>
    <definedName name="XRefCopy40" localSheetId="1" hidden="1">#REF!</definedName>
    <definedName name="XRefCopy40" localSheetId="15" hidden="1">#REF!</definedName>
    <definedName name="XRefCopy40" localSheetId="7" hidden="1">#REF!</definedName>
    <definedName name="XRefCopy40" localSheetId="14" hidden="1">#REF!</definedName>
    <definedName name="XRefCopy40" localSheetId="2" hidden="1">#REF!</definedName>
    <definedName name="XRefCopy40" localSheetId="34" hidden="1">#REF!</definedName>
    <definedName name="XRefCopy40" localSheetId="38" hidden="1">#REF!</definedName>
    <definedName name="XRefCopy40" localSheetId="12" hidden="1">#REF!</definedName>
    <definedName name="XRefCopy40" localSheetId="10" hidden="1">#REF!</definedName>
    <definedName name="XRefCopy40" localSheetId="6" hidden="1">#REF!</definedName>
    <definedName name="XRefCopy40" hidden="1">#REF!</definedName>
    <definedName name="XRefCopy41" localSheetId="1" hidden="1">#REF!</definedName>
    <definedName name="XRefCopy41" localSheetId="15" hidden="1">#REF!</definedName>
    <definedName name="XRefCopy41" localSheetId="7" hidden="1">#REF!</definedName>
    <definedName name="XRefCopy41" localSheetId="14" hidden="1">#REF!</definedName>
    <definedName name="XRefCopy41" localSheetId="2" hidden="1">#REF!</definedName>
    <definedName name="XRefCopy41" localSheetId="34" hidden="1">#REF!</definedName>
    <definedName name="XRefCopy41" localSheetId="38" hidden="1">#REF!</definedName>
    <definedName name="XRefCopy41" localSheetId="12" hidden="1">#REF!</definedName>
    <definedName name="XRefCopy41" localSheetId="10" hidden="1">#REF!</definedName>
    <definedName name="XRefCopy41" localSheetId="6" hidden="1">#REF!</definedName>
    <definedName name="XRefCopy41" hidden="1">#REF!</definedName>
    <definedName name="XRefCopy41Row" localSheetId="1" hidden="1">#REF!</definedName>
    <definedName name="XRefCopy41Row" localSheetId="15" hidden="1">#REF!</definedName>
    <definedName name="XRefCopy41Row" localSheetId="7" hidden="1">#REF!</definedName>
    <definedName name="XRefCopy41Row" localSheetId="14" hidden="1">#REF!</definedName>
    <definedName name="XRefCopy41Row" localSheetId="2" hidden="1">#REF!</definedName>
    <definedName name="XRefCopy41Row" localSheetId="34" hidden="1">#REF!</definedName>
    <definedName name="XRefCopy41Row" localSheetId="38" hidden="1">#REF!</definedName>
    <definedName name="XRefCopy41Row" localSheetId="12" hidden="1">#REF!</definedName>
    <definedName name="XRefCopy41Row" localSheetId="10" hidden="1">#REF!</definedName>
    <definedName name="XRefCopy41Row" localSheetId="6" hidden="1">#REF!</definedName>
    <definedName name="XRefCopy41Row" hidden="1">#REF!</definedName>
    <definedName name="XRefCopy42" localSheetId="1" hidden="1">#REF!</definedName>
    <definedName name="XRefCopy42" localSheetId="15" hidden="1">#REF!</definedName>
    <definedName name="XRefCopy42" localSheetId="7" hidden="1">#REF!</definedName>
    <definedName name="XRefCopy42" localSheetId="14" hidden="1">#REF!</definedName>
    <definedName name="XRefCopy42" localSheetId="2" hidden="1">#REF!</definedName>
    <definedName name="XRefCopy42" localSheetId="34" hidden="1">#REF!</definedName>
    <definedName name="XRefCopy42" localSheetId="38" hidden="1">#REF!</definedName>
    <definedName name="XRefCopy42" localSheetId="12" hidden="1">#REF!</definedName>
    <definedName name="XRefCopy42" localSheetId="10" hidden="1">#REF!</definedName>
    <definedName name="XRefCopy42" localSheetId="6" hidden="1">#REF!</definedName>
    <definedName name="XRefCopy42" hidden="1">#REF!</definedName>
    <definedName name="XRefCopy42Row" localSheetId="1" hidden="1">#REF!</definedName>
    <definedName name="XRefCopy42Row" localSheetId="15" hidden="1">#REF!</definedName>
    <definedName name="XRefCopy42Row" localSheetId="7" hidden="1">#REF!</definedName>
    <definedName name="XRefCopy42Row" localSheetId="14" hidden="1">#REF!</definedName>
    <definedName name="XRefCopy42Row" localSheetId="2" hidden="1">#REF!</definedName>
    <definedName name="XRefCopy42Row" localSheetId="34" hidden="1">#REF!</definedName>
    <definedName name="XRefCopy42Row" localSheetId="38" hidden="1">#REF!</definedName>
    <definedName name="XRefCopy42Row" localSheetId="12" hidden="1">#REF!</definedName>
    <definedName name="XRefCopy42Row" localSheetId="10" hidden="1">#REF!</definedName>
    <definedName name="XRefCopy42Row" localSheetId="6" hidden="1">#REF!</definedName>
    <definedName name="XRefCopy42Row" hidden="1">#REF!</definedName>
    <definedName name="XRefCopy43" localSheetId="1" hidden="1">#REF!</definedName>
    <definedName name="XRefCopy43" localSheetId="15" hidden="1">#REF!</definedName>
    <definedName name="XRefCopy43" localSheetId="7" hidden="1">#REF!</definedName>
    <definedName name="XRefCopy43" localSheetId="14" hidden="1">#REF!</definedName>
    <definedName name="XRefCopy43" localSheetId="2" hidden="1">#REF!</definedName>
    <definedName name="XRefCopy43" localSheetId="34" hidden="1">#REF!</definedName>
    <definedName name="XRefCopy43" localSheetId="38" hidden="1">#REF!</definedName>
    <definedName name="XRefCopy43" localSheetId="12" hidden="1">#REF!</definedName>
    <definedName name="XRefCopy43" localSheetId="10" hidden="1">#REF!</definedName>
    <definedName name="XRefCopy43" localSheetId="6" hidden="1">#REF!</definedName>
    <definedName name="XRefCopy43" hidden="1">#REF!</definedName>
    <definedName name="XRefCopy43Row" localSheetId="1" hidden="1">#REF!</definedName>
    <definedName name="XRefCopy43Row" localSheetId="15" hidden="1">#REF!</definedName>
    <definedName name="XRefCopy43Row" localSheetId="7" hidden="1">#REF!</definedName>
    <definedName name="XRefCopy43Row" localSheetId="14" hidden="1">#REF!</definedName>
    <definedName name="XRefCopy43Row" localSheetId="2" hidden="1">#REF!</definedName>
    <definedName name="XRefCopy43Row" localSheetId="34" hidden="1">#REF!</definedName>
    <definedName name="XRefCopy43Row" localSheetId="38" hidden="1">#REF!</definedName>
    <definedName name="XRefCopy43Row" localSheetId="12" hidden="1">#REF!</definedName>
    <definedName name="XRefCopy43Row" localSheetId="10" hidden="1">#REF!</definedName>
    <definedName name="XRefCopy43Row" localSheetId="6" hidden="1">#REF!</definedName>
    <definedName name="XRefCopy43Row" hidden="1">#REF!</definedName>
    <definedName name="XRefCopy44" localSheetId="1" hidden="1">#REF!</definedName>
    <definedName name="XRefCopy44" localSheetId="15" hidden="1">#REF!</definedName>
    <definedName name="XRefCopy44" localSheetId="7" hidden="1">#REF!</definedName>
    <definedName name="XRefCopy44" localSheetId="14" hidden="1">#REF!</definedName>
    <definedName name="XRefCopy44" localSheetId="2" hidden="1">#REF!</definedName>
    <definedName name="XRefCopy44" localSheetId="34" hidden="1">#REF!</definedName>
    <definedName name="XRefCopy44" localSheetId="38" hidden="1">#REF!</definedName>
    <definedName name="XRefCopy44" localSheetId="12" hidden="1">#REF!</definedName>
    <definedName name="XRefCopy44" localSheetId="10" hidden="1">#REF!</definedName>
    <definedName name="XRefCopy44" localSheetId="6" hidden="1">#REF!</definedName>
    <definedName name="XRefCopy44" hidden="1">#REF!</definedName>
    <definedName name="XRefCopy44Row" localSheetId="1" hidden="1">#REF!</definedName>
    <definedName name="XRefCopy44Row" localSheetId="15" hidden="1">#REF!</definedName>
    <definedName name="XRefCopy44Row" localSheetId="7" hidden="1">#REF!</definedName>
    <definedName name="XRefCopy44Row" localSheetId="14" hidden="1">#REF!</definedName>
    <definedName name="XRefCopy44Row" localSheetId="2" hidden="1">#REF!</definedName>
    <definedName name="XRefCopy44Row" localSheetId="34" hidden="1">#REF!</definedName>
    <definedName name="XRefCopy44Row" localSheetId="38" hidden="1">#REF!</definedName>
    <definedName name="XRefCopy44Row" localSheetId="12" hidden="1">#REF!</definedName>
    <definedName name="XRefCopy44Row" localSheetId="10" hidden="1">#REF!</definedName>
    <definedName name="XRefCopy44Row" localSheetId="6" hidden="1">#REF!</definedName>
    <definedName name="XRefCopy44Row" hidden="1">#REF!</definedName>
    <definedName name="XRefCopy45" localSheetId="1" hidden="1">#REF!</definedName>
    <definedName name="XRefCopy45" localSheetId="15" hidden="1">#REF!</definedName>
    <definedName name="XRefCopy45" localSheetId="7" hidden="1">#REF!</definedName>
    <definedName name="XRefCopy45" localSheetId="14" hidden="1">#REF!</definedName>
    <definedName name="XRefCopy45" localSheetId="2" hidden="1">#REF!</definedName>
    <definedName name="XRefCopy45" localSheetId="34" hidden="1">#REF!</definedName>
    <definedName name="XRefCopy45" localSheetId="38" hidden="1">#REF!</definedName>
    <definedName name="XRefCopy45" localSheetId="12" hidden="1">#REF!</definedName>
    <definedName name="XRefCopy45" localSheetId="10" hidden="1">#REF!</definedName>
    <definedName name="XRefCopy45" localSheetId="6" hidden="1">#REF!</definedName>
    <definedName name="XRefCopy45" hidden="1">#REF!</definedName>
    <definedName name="XRefCopy45Row" localSheetId="1" hidden="1">#REF!</definedName>
    <definedName name="XRefCopy45Row" localSheetId="15" hidden="1">#REF!</definedName>
    <definedName name="XRefCopy45Row" localSheetId="7" hidden="1">#REF!</definedName>
    <definedName name="XRefCopy45Row" localSheetId="14" hidden="1">#REF!</definedName>
    <definedName name="XRefCopy45Row" localSheetId="2" hidden="1">#REF!</definedName>
    <definedName name="XRefCopy45Row" localSheetId="34" hidden="1">#REF!</definedName>
    <definedName name="XRefCopy45Row" localSheetId="38" hidden="1">#REF!</definedName>
    <definedName name="XRefCopy45Row" localSheetId="12" hidden="1">#REF!</definedName>
    <definedName name="XRefCopy45Row" localSheetId="10" hidden="1">#REF!</definedName>
    <definedName name="XRefCopy45Row" localSheetId="6" hidden="1">#REF!</definedName>
    <definedName name="XRefCopy45Row" hidden="1">#REF!</definedName>
    <definedName name="XRefCopy46" localSheetId="1" hidden="1">#REF!</definedName>
    <definedName name="XRefCopy46" localSheetId="15" hidden="1">#REF!</definedName>
    <definedName name="XRefCopy46" localSheetId="7" hidden="1">#REF!</definedName>
    <definedName name="XRefCopy46" localSheetId="14" hidden="1">#REF!</definedName>
    <definedName name="XRefCopy46" localSheetId="2" hidden="1">#REF!</definedName>
    <definedName name="XRefCopy46" localSheetId="34" hidden="1">#REF!</definedName>
    <definedName name="XRefCopy46" localSheetId="38" hidden="1">#REF!</definedName>
    <definedName name="XRefCopy46" localSheetId="12" hidden="1">#REF!</definedName>
    <definedName name="XRefCopy46" localSheetId="10" hidden="1">#REF!</definedName>
    <definedName name="XRefCopy46" localSheetId="6" hidden="1">#REF!</definedName>
    <definedName name="XRefCopy46" hidden="1">#REF!</definedName>
    <definedName name="XRefCopy46Row" localSheetId="1" hidden="1">#REF!</definedName>
    <definedName name="XRefCopy46Row" localSheetId="15" hidden="1">#REF!</definedName>
    <definedName name="XRefCopy46Row" localSheetId="7" hidden="1">#REF!</definedName>
    <definedName name="XRefCopy46Row" localSheetId="14" hidden="1">#REF!</definedName>
    <definedName name="XRefCopy46Row" localSheetId="2" hidden="1">#REF!</definedName>
    <definedName name="XRefCopy46Row" localSheetId="34" hidden="1">#REF!</definedName>
    <definedName name="XRefCopy46Row" localSheetId="38" hidden="1">#REF!</definedName>
    <definedName name="XRefCopy46Row" localSheetId="12" hidden="1">#REF!</definedName>
    <definedName name="XRefCopy46Row" localSheetId="10" hidden="1">#REF!</definedName>
    <definedName name="XRefCopy46Row" localSheetId="6" hidden="1">#REF!</definedName>
    <definedName name="XRefCopy46Row" hidden="1">#REF!</definedName>
    <definedName name="XRefCopy47" localSheetId="1" hidden="1">#REF!</definedName>
    <definedName name="XRefCopy47" localSheetId="15" hidden="1">#REF!</definedName>
    <definedName name="XRefCopy47" localSheetId="7" hidden="1">#REF!</definedName>
    <definedName name="XRefCopy47" localSheetId="14" hidden="1">#REF!</definedName>
    <definedName name="XRefCopy47" localSheetId="2" hidden="1">#REF!</definedName>
    <definedName name="XRefCopy47" localSheetId="34" hidden="1">#REF!</definedName>
    <definedName name="XRefCopy47" localSheetId="38" hidden="1">#REF!</definedName>
    <definedName name="XRefCopy47" localSheetId="12" hidden="1">#REF!</definedName>
    <definedName name="XRefCopy47" localSheetId="10" hidden="1">#REF!</definedName>
    <definedName name="XRefCopy47" localSheetId="6" hidden="1">#REF!</definedName>
    <definedName name="XRefCopy47" hidden="1">#REF!</definedName>
    <definedName name="XRefCopy47Row" localSheetId="1" hidden="1">#REF!</definedName>
    <definedName name="XRefCopy47Row" localSheetId="15" hidden="1">#REF!</definedName>
    <definedName name="XRefCopy47Row" localSheetId="7" hidden="1">#REF!</definedName>
    <definedName name="XRefCopy47Row" localSheetId="14" hidden="1">#REF!</definedName>
    <definedName name="XRefCopy47Row" localSheetId="2" hidden="1">#REF!</definedName>
    <definedName name="XRefCopy47Row" localSheetId="34" hidden="1">#REF!</definedName>
    <definedName name="XRefCopy47Row" localSheetId="38" hidden="1">#REF!</definedName>
    <definedName name="XRefCopy47Row" localSheetId="12" hidden="1">#REF!</definedName>
    <definedName name="XRefCopy47Row" localSheetId="10" hidden="1">#REF!</definedName>
    <definedName name="XRefCopy47Row" localSheetId="6" hidden="1">#REF!</definedName>
    <definedName name="XRefCopy47Row" hidden="1">#REF!</definedName>
    <definedName name="XRefCopy48" localSheetId="1" hidden="1">#REF!</definedName>
    <definedName name="XRefCopy48" localSheetId="15" hidden="1">#REF!</definedName>
    <definedName name="XRefCopy48" localSheetId="7" hidden="1">#REF!</definedName>
    <definedName name="XRefCopy48" localSheetId="14" hidden="1">#REF!</definedName>
    <definedName name="XRefCopy48" localSheetId="2" hidden="1">#REF!</definedName>
    <definedName name="XRefCopy48" localSheetId="34" hidden="1">#REF!</definedName>
    <definedName name="XRefCopy48" localSheetId="38" hidden="1">#REF!</definedName>
    <definedName name="XRefCopy48" localSheetId="12" hidden="1">#REF!</definedName>
    <definedName name="XRefCopy48" localSheetId="10" hidden="1">#REF!</definedName>
    <definedName name="XRefCopy48" localSheetId="6" hidden="1">#REF!</definedName>
    <definedName name="XRefCopy48" hidden="1">#REF!</definedName>
    <definedName name="XRefCopy48Row" localSheetId="1" hidden="1">#REF!</definedName>
    <definedName name="XRefCopy48Row" localSheetId="15" hidden="1">#REF!</definedName>
    <definedName name="XRefCopy48Row" localSheetId="7" hidden="1">#REF!</definedName>
    <definedName name="XRefCopy48Row" localSheetId="14" hidden="1">#REF!</definedName>
    <definedName name="XRefCopy48Row" localSheetId="2" hidden="1">#REF!</definedName>
    <definedName name="XRefCopy48Row" localSheetId="34" hidden="1">#REF!</definedName>
    <definedName name="XRefCopy48Row" localSheetId="38" hidden="1">#REF!</definedName>
    <definedName name="XRefCopy48Row" localSheetId="12" hidden="1">#REF!</definedName>
    <definedName name="XRefCopy48Row" localSheetId="10" hidden="1">#REF!</definedName>
    <definedName name="XRefCopy48Row" localSheetId="6" hidden="1">#REF!</definedName>
    <definedName name="XRefCopy48Row" hidden="1">#REF!</definedName>
    <definedName name="XRefCopy49" localSheetId="1" hidden="1">#REF!</definedName>
    <definedName name="XRefCopy49" localSheetId="15" hidden="1">#REF!</definedName>
    <definedName name="XRefCopy49" localSheetId="7" hidden="1">#REF!</definedName>
    <definedName name="XRefCopy49" localSheetId="14" hidden="1">#REF!</definedName>
    <definedName name="XRefCopy49" localSheetId="2" hidden="1">#REF!</definedName>
    <definedName name="XRefCopy49" localSheetId="34" hidden="1">#REF!</definedName>
    <definedName name="XRefCopy49" localSheetId="38" hidden="1">#REF!</definedName>
    <definedName name="XRefCopy49" localSheetId="12" hidden="1">#REF!</definedName>
    <definedName name="XRefCopy49" localSheetId="10" hidden="1">#REF!</definedName>
    <definedName name="XRefCopy49" localSheetId="6" hidden="1">#REF!</definedName>
    <definedName name="XRefCopy49" hidden="1">#REF!</definedName>
    <definedName name="XRefCopy49Row" localSheetId="1" hidden="1">#REF!</definedName>
    <definedName name="XRefCopy49Row" localSheetId="15" hidden="1">#REF!</definedName>
    <definedName name="XRefCopy49Row" localSheetId="7" hidden="1">#REF!</definedName>
    <definedName name="XRefCopy49Row" localSheetId="14" hidden="1">#REF!</definedName>
    <definedName name="XRefCopy49Row" localSheetId="2" hidden="1">#REF!</definedName>
    <definedName name="XRefCopy49Row" localSheetId="34" hidden="1">#REF!</definedName>
    <definedName name="XRefCopy49Row" localSheetId="38" hidden="1">#REF!</definedName>
    <definedName name="XRefCopy49Row" localSheetId="12" hidden="1">#REF!</definedName>
    <definedName name="XRefCopy49Row" localSheetId="10" hidden="1">#REF!</definedName>
    <definedName name="XRefCopy49Row" localSheetId="6" hidden="1">#REF!</definedName>
    <definedName name="XRefCopy49Row" hidden="1">#REF!</definedName>
    <definedName name="XRefCopy4Row" localSheetId="1" hidden="1">#REF!</definedName>
    <definedName name="XRefCopy4Row" localSheetId="15" hidden="1">#REF!</definedName>
    <definedName name="XRefCopy4Row" localSheetId="7" hidden="1">#REF!</definedName>
    <definedName name="XRefCopy4Row" localSheetId="14" hidden="1">#REF!</definedName>
    <definedName name="XRefCopy4Row" localSheetId="2" hidden="1">#REF!</definedName>
    <definedName name="XRefCopy4Row" localSheetId="34" hidden="1">#REF!</definedName>
    <definedName name="XRefCopy4Row" localSheetId="38" hidden="1">#REF!</definedName>
    <definedName name="XRefCopy4Row" localSheetId="12" hidden="1">#REF!</definedName>
    <definedName name="XRefCopy4Row" localSheetId="10" hidden="1">#REF!</definedName>
    <definedName name="XRefCopy4Row" localSheetId="6" hidden="1">#REF!</definedName>
    <definedName name="XRefCopy4Row" hidden="1">#REF!</definedName>
    <definedName name="XRefCopy5" localSheetId="1" hidden="1">#REF!</definedName>
    <definedName name="XRefCopy5" localSheetId="15" hidden="1">#REF!</definedName>
    <definedName name="XRefCopy5" localSheetId="7" hidden="1">#REF!</definedName>
    <definedName name="XRefCopy5" localSheetId="2" hidden="1">#REF!</definedName>
    <definedName name="XRefCopy5" localSheetId="34" hidden="1">#REF!</definedName>
    <definedName name="XRefCopy5" localSheetId="38" hidden="1">#REF!</definedName>
    <definedName name="XRefCopy5" localSheetId="12" hidden="1">#REF!</definedName>
    <definedName name="XRefCopy5" localSheetId="10" hidden="1">#REF!</definedName>
    <definedName name="XRefCopy5" localSheetId="11" hidden="1">#REF!</definedName>
    <definedName name="XRefCopy5" localSheetId="6" hidden="1">#REF!</definedName>
    <definedName name="XRefCopy5" hidden="1">#REF!</definedName>
    <definedName name="XRefCopy50" localSheetId="1" hidden="1">#REF!</definedName>
    <definedName name="XRefCopy50" localSheetId="15" hidden="1">#REF!</definedName>
    <definedName name="XRefCopy50" localSheetId="7" hidden="1">#REF!</definedName>
    <definedName name="XRefCopy50" localSheetId="14" hidden="1">#REF!</definedName>
    <definedName name="XRefCopy50" localSheetId="2" hidden="1">#REF!</definedName>
    <definedName name="XRefCopy50" localSheetId="34" hidden="1">#REF!</definedName>
    <definedName name="XRefCopy50" localSheetId="38" hidden="1">#REF!</definedName>
    <definedName name="XRefCopy50" localSheetId="12" hidden="1">#REF!</definedName>
    <definedName name="XRefCopy50" localSheetId="10" hidden="1">#REF!</definedName>
    <definedName name="XRefCopy50" localSheetId="6" hidden="1">#REF!</definedName>
    <definedName name="XRefCopy50" hidden="1">#REF!</definedName>
    <definedName name="XRefCopy50Row" localSheetId="1" hidden="1">#REF!</definedName>
    <definedName name="XRefCopy50Row" localSheetId="15" hidden="1">#REF!</definedName>
    <definedName name="XRefCopy50Row" localSheetId="7" hidden="1">#REF!</definedName>
    <definedName name="XRefCopy50Row" localSheetId="14" hidden="1">#REF!</definedName>
    <definedName name="XRefCopy50Row" localSheetId="2" hidden="1">#REF!</definedName>
    <definedName name="XRefCopy50Row" localSheetId="34" hidden="1">#REF!</definedName>
    <definedName name="XRefCopy50Row" localSheetId="38" hidden="1">#REF!</definedName>
    <definedName name="XRefCopy50Row" localSheetId="12" hidden="1">#REF!</definedName>
    <definedName name="XRefCopy50Row" localSheetId="10" hidden="1">#REF!</definedName>
    <definedName name="XRefCopy50Row" localSheetId="6" hidden="1">#REF!</definedName>
    <definedName name="XRefCopy50Row" hidden="1">#REF!</definedName>
    <definedName name="XRefCopy51Row" localSheetId="1" hidden="1">#REF!</definedName>
    <definedName name="XRefCopy51Row" localSheetId="15" hidden="1">#REF!</definedName>
    <definedName name="XRefCopy51Row" localSheetId="7" hidden="1">#REF!</definedName>
    <definedName name="XRefCopy51Row" localSheetId="14" hidden="1">#REF!</definedName>
    <definedName name="XRefCopy51Row" localSheetId="2" hidden="1">#REF!</definedName>
    <definedName name="XRefCopy51Row" localSheetId="34" hidden="1">#REF!</definedName>
    <definedName name="XRefCopy51Row" localSheetId="38" hidden="1">#REF!</definedName>
    <definedName name="XRefCopy51Row" localSheetId="12" hidden="1">#REF!</definedName>
    <definedName name="XRefCopy51Row" localSheetId="10" hidden="1">#REF!</definedName>
    <definedName name="XRefCopy51Row" localSheetId="6" hidden="1">#REF!</definedName>
    <definedName name="XRefCopy51Row" hidden="1">#REF!</definedName>
    <definedName name="XRefCopy52Row" localSheetId="1" hidden="1">#REF!</definedName>
    <definedName name="XRefCopy52Row" localSheetId="15" hidden="1">#REF!</definedName>
    <definedName name="XRefCopy52Row" localSheetId="7" hidden="1">#REF!</definedName>
    <definedName name="XRefCopy52Row" localSheetId="14" hidden="1">#REF!</definedName>
    <definedName name="XRefCopy52Row" localSheetId="2" hidden="1">#REF!</definedName>
    <definedName name="XRefCopy52Row" localSheetId="34" hidden="1">#REF!</definedName>
    <definedName name="XRefCopy52Row" localSheetId="38" hidden="1">#REF!</definedName>
    <definedName name="XRefCopy52Row" localSheetId="12" hidden="1">#REF!</definedName>
    <definedName name="XRefCopy52Row" localSheetId="10" hidden="1">#REF!</definedName>
    <definedName name="XRefCopy52Row" localSheetId="6" hidden="1">#REF!</definedName>
    <definedName name="XRefCopy52Row" hidden="1">#REF!</definedName>
    <definedName name="XRefCopy54" localSheetId="1" hidden="1">#REF!</definedName>
    <definedName name="XRefCopy54" localSheetId="15" hidden="1">#REF!</definedName>
    <definedName name="XRefCopy54" localSheetId="7" hidden="1">#REF!</definedName>
    <definedName name="XRefCopy54" localSheetId="14" hidden="1">#REF!</definedName>
    <definedName name="XRefCopy54" localSheetId="2" hidden="1">#REF!</definedName>
    <definedName name="XRefCopy54" localSheetId="34" hidden="1">#REF!</definedName>
    <definedName name="XRefCopy54" localSheetId="38" hidden="1">#REF!</definedName>
    <definedName name="XRefCopy54" localSheetId="12" hidden="1">#REF!</definedName>
    <definedName name="XRefCopy54" localSheetId="10" hidden="1">#REF!</definedName>
    <definedName name="XRefCopy54" localSheetId="6" hidden="1">#REF!</definedName>
    <definedName name="XRefCopy54" hidden="1">#REF!</definedName>
    <definedName name="XRefCopy54Row" localSheetId="1" hidden="1">#REF!</definedName>
    <definedName name="XRefCopy54Row" localSheetId="15" hidden="1">#REF!</definedName>
    <definedName name="XRefCopy54Row" localSheetId="7" hidden="1">#REF!</definedName>
    <definedName name="XRefCopy54Row" localSheetId="14" hidden="1">#REF!</definedName>
    <definedName name="XRefCopy54Row" localSheetId="2" hidden="1">#REF!</definedName>
    <definedName name="XRefCopy54Row" localSheetId="34" hidden="1">#REF!</definedName>
    <definedName name="XRefCopy54Row" localSheetId="38" hidden="1">#REF!</definedName>
    <definedName name="XRefCopy54Row" localSheetId="12" hidden="1">#REF!</definedName>
    <definedName name="XRefCopy54Row" localSheetId="10" hidden="1">#REF!</definedName>
    <definedName name="XRefCopy54Row" localSheetId="6" hidden="1">#REF!</definedName>
    <definedName name="XRefCopy54Row" hidden="1">#REF!</definedName>
    <definedName name="XRefCopy55Row" localSheetId="1" hidden="1">#REF!</definedName>
    <definedName name="XRefCopy55Row" localSheetId="15" hidden="1">#REF!</definedName>
    <definedName name="XRefCopy55Row" localSheetId="7" hidden="1">#REF!</definedName>
    <definedName name="XRefCopy55Row" localSheetId="14" hidden="1">#REF!</definedName>
    <definedName name="XRefCopy55Row" localSheetId="2" hidden="1">#REF!</definedName>
    <definedName name="XRefCopy55Row" localSheetId="34" hidden="1">#REF!</definedName>
    <definedName name="XRefCopy55Row" localSheetId="38" hidden="1">#REF!</definedName>
    <definedName name="XRefCopy55Row" localSheetId="12" hidden="1">#REF!</definedName>
    <definedName name="XRefCopy55Row" localSheetId="10" hidden="1">#REF!</definedName>
    <definedName name="XRefCopy55Row" localSheetId="6" hidden="1">#REF!</definedName>
    <definedName name="XRefCopy55Row" hidden="1">#REF!</definedName>
    <definedName name="XRefCopy56Row" localSheetId="1" hidden="1">#REF!</definedName>
    <definedName name="XRefCopy56Row" localSheetId="15" hidden="1">#REF!</definedName>
    <definedName name="XRefCopy56Row" localSheetId="7" hidden="1">#REF!</definedName>
    <definedName name="XRefCopy56Row" localSheetId="14" hidden="1">#REF!</definedName>
    <definedName name="XRefCopy56Row" localSheetId="2" hidden="1">#REF!</definedName>
    <definedName name="XRefCopy56Row" localSheetId="34" hidden="1">#REF!</definedName>
    <definedName name="XRefCopy56Row" localSheetId="38" hidden="1">#REF!</definedName>
    <definedName name="XRefCopy56Row" localSheetId="12" hidden="1">#REF!</definedName>
    <definedName name="XRefCopy56Row" localSheetId="10" hidden="1">#REF!</definedName>
    <definedName name="XRefCopy56Row" localSheetId="6" hidden="1">#REF!</definedName>
    <definedName name="XRefCopy56Row" hidden="1">#REF!</definedName>
    <definedName name="XRefCopy57Row" localSheetId="1" hidden="1">#REF!</definedName>
    <definedName name="XRefCopy57Row" localSheetId="15" hidden="1">#REF!</definedName>
    <definedName name="XRefCopy57Row" localSheetId="7" hidden="1">#REF!</definedName>
    <definedName name="XRefCopy57Row" localSheetId="14" hidden="1">#REF!</definedName>
    <definedName name="XRefCopy57Row" localSheetId="2" hidden="1">#REF!</definedName>
    <definedName name="XRefCopy57Row" localSheetId="34" hidden="1">#REF!</definedName>
    <definedName name="XRefCopy57Row" localSheetId="38" hidden="1">#REF!</definedName>
    <definedName name="XRefCopy57Row" localSheetId="12" hidden="1">#REF!</definedName>
    <definedName name="XRefCopy57Row" localSheetId="10" hidden="1">#REF!</definedName>
    <definedName name="XRefCopy57Row" localSheetId="6" hidden="1">#REF!</definedName>
    <definedName name="XRefCopy57Row" hidden="1">#REF!</definedName>
    <definedName name="XRefCopy58Row" localSheetId="1" hidden="1">#REF!</definedName>
    <definedName name="XRefCopy58Row" localSheetId="15" hidden="1">#REF!</definedName>
    <definedName name="XRefCopy58Row" localSheetId="7" hidden="1">#REF!</definedName>
    <definedName name="XRefCopy58Row" localSheetId="14" hidden="1">#REF!</definedName>
    <definedName name="XRefCopy58Row" localSheetId="2" hidden="1">#REF!</definedName>
    <definedName name="XRefCopy58Row" localSheetId="34" hidden="1">#REF!</definedName>
    <definedName name="XRefCopy58Row" localSheetId="38" hidden="1">#REF!</definedName>
    <definedName name="XRefCopy58Row" localSheetId="12" hidden="1">#REF!</definedName>
    <definedName name="XRefCopy58Row" localSheetId="10" hidden="1">#REF!</definedName>
    <definedName name="XRefCopy58Row" localSheetId="6" hidden="1">#REF!</definedName>
    <definedName name="XRefCopy58Row" hidden="1">#REF!</definedName>
    <definedName name="XRefCopy59Row" localSheetId="1" hidden="1">#REF!</definedName>
    <definedName name="XRefCopy59Row" localSheetId="15" hidden="1">#REF!</definedName>
    <definedName name="XRefCopy59Row" localSheetId="7" hidden="1">#REF!</definedName>
    <definedName name="XRefCopy59Row" localSheetId="14" hidden="1">#REF!</definedName>
    <definedName name="XRefCopy59Row" localSheetId="2" hidden="1">#REF!</definedName>
    <definedName name="XRefCopy59Row" localSheetId="34" hidden="1">#REF!</definedName>
    <definedName name="XRefCopy59Row" localSheetId="38" hidden="1">#REF!</definedName>
    <definedName name="XRefCopy59Row" localSheetId="12" hidden="1">#REF!</definedName>
    <definedName name="XRefCopy59Row" localSheetId="10" hidden="1">#REF!</definedName>
    <definedName name="XRefCopy59Row" localSheetId="6" hidden="1">#REF!</definedName>
    <definedName name="XRefCopy59Row" hidden="1">#REF!</definedName>
    <definedName name="XRefCopy5Row" localSheetId="1" hidden="1">#REF!</definedName>
    <definedName name="XRefCopy5Row" localSheetId="15" hidden="1">#REF!</definedName>
    <definedName name="XRefCopy5Row" localSheetId="7" hidden="1">#REF!</definedName>
    <definedName name="XRefCopy5Row" localSheetId="14" hidden="1">#REF!</definedName>
    <definedName name="XRefCopy5Row" localSheetId="2" hidden="1">#REF!</definedName>
    <definedName name="XRefCopy5Row" localSheetId="34" hidden="1">#REF!</definedName>
    <definedName name="XRefCopy5Row" localSheetId="38" hidden="1">#REF!</definedName>
    <definedName name="XRefCopy5Row" localSheetId="12" hidden="1">#REF!</definedName>
    <definedName name="XRefCopy5Row" localSheetId="10" hidden="1">#REF!</definedName>
    <definedName name="XRefCopy5Row" localSheetId="6" hidden="1">#REF!</definedName>
    <definedName name="XRefCopy5Row" hidden="1">#REF!</definedName>
    <definedName name="XRefCopy6" localSheetId="1" hidden="1">#REF!</definedName>
    <definedName name="XRefCopy6" localSheetId="15" hidden="1">#REF!</definedName>
    <definedName name="XRefCopy6" localSheetId="7" hidden="1">#REF!</definedName>
    <definedName name="XRefCopy6" localSheetId="14" hidden="1">#REF!</definedName>
    <definedName name="XRefCopy6" localSheetId="2" hidden="1">#REF!</definedName>
    <definedName name="XRefCopy6" localSheetId="34" hidden="1">#REF!</definedName>
    <definedName name="XRefCopy6" localSheetId="38" hidden="1">#REF!</definedName>
    <definedName name="XRefCopy6" localSheetId="12" hidden="1">#REF!</definedName>
    <definedName name="XRefCopy6" localSheetId="10" hidden="1">#REF!</definedName>
    <definedName name="XRefCopy6" localSheetId="11" hidden="1">#REF!</definedName>
    <definedName name="XRefCopy6" localSheetId="6" hidden="1">#REF!</definedName>
    <definedName name="XRefCopy6" hidden="1">#REF!</definedName>
    <definedName name="XRefCopy60Row" localSheetId="1" hidden="1">#REF!</definedName>
    <definedName name="XRefCopy60Row" localSheetId="15" hidden="1">#REF!</definedName>
    <definedName name="XRefCopy60Row" localSheetId="7" hidden="1">#REF!</definedName>
    <definedName name="XRefCopy60Row" localSheetId="14" hidden="1">#REF!</definedName>
    <definedName name="XRefCopy60Row" localSheetId="2" hidden="1">#REF!</definedName>
    <definedName name="XRefCopy60Row" localSheetId="34" hidden="1">#REF!</definedName>
    <definedName name="XRefCopy60Row" localSheetId="38" hidden="1">#REF!</definedName>
    <definedName name="XRefCopy60Row" localSheetId="12" hidden="1">#REF!</definedName>
    <definedName name="XRefCopy60Row" localSheetId="10" hidden="1">#REF!</definedName>
    <definedName name="XRefCopy60Row" localSheetId="6" hidden="1">#REF!</definedName>
    <definedName name="XRefCopy60Row" hidden="1">#REF!</definedName>
    <definedName name="XRefCopy61Row" localSheetId="1" hidden="1">#REF!</definedName>
    <definedName name="XRefCopy61Row" localSheetId="15" hidden="1">#REF!</definedName>
    <definedName name="XRefCopy61Row" localSheetId="7" hidden="1">#REF!</definedName>
    <definedName name="XRefCopy61Row" localSheetId="14" hidden="1">#REF!</definedName>
    <definedName name="XRefCopy61Row" localSheetId="2" hidden="1">#REF!</definedName>
    <definedName name="XRefCopy61Row" localSheetId="34" hidden="1">#REF!</definedName>
    <definedName name="XRefCopy61Row" localSheetId="38" hidden="1">#REF!</definedName>
    <definedName name="XRefCopy61Row" localSheetId="12" hidden="1">#REF!</definedName>
    <definedName name="XRefCopy61Row" localSheetId="10" hidden="1">#REF!</definedName>
    <definedName name="XRefCopy61Row" localSheetId="6" hidden="1">#REF!</definedName>
    <definedName name="XRefCopy61Row" hidden="1">#REF!</definedName>
    <definedName name="XRefCopy62Row" localSheetId="1" hidden="1">#REF!</definedName>
    <definedName name="XRefCopy62Row" localSheetId="15" hidden="1">#REF!</definedName>
    <definedName name="XRefCopy62Row" localSheetId="7" hidden="1">#REF!</definedName>
    <definedName name="XRefCopy62Row" localSheetId="14" hidden="1">#REF!</definedName>
    <definedName name="XRefCopy62Row" localSheetId="2" hidden="1">#REF!</definedName>
    <definedName name="XRefCopy62Row" localSheetId="34" hidden="1">#REF!</definedName>
    <definedName name="XRefCopy62Row" localSheetId="38" hidden="1">#REF!</definedName>
    <definedName name="XRefCopy62Row" localSheetId="12" hidden="1">#REF!</definedName>
    <definedName name="XRefCopy62Row" localSheetId="10" hidden="1">#REF!</definedName>
    <definedName name="XRefCopy62Row" localSheetId="6" hidden="1">#REF!</definedName>
    <definedName name="XRefCopy62Row" hidden="1">#REF!</definedName>
    <definedName name="XRefCopy63Row" localSheetId="1" hidden="1">#REF!</definedName>
    <definedName name="XRefCopy63Row" localSheetId="15" hidden="1">#REF!</definedName>
    <definedName name="XRefCopy63Row" localSheetId="7" hidden="1">#REF!</definedName>
    <definedName name="XRefCopy63Row" localSheetId="14" hidden="1">#REF!</definedName>
    <definedName name="XRefCopy63Row" localSheetId="2" hidden="1">#REF!</definedName>
    <definedName name="XRefCopy63Row" localSheetId="34" hidden="1">#REF!</definedName>
    <definedName name="XRefCopy63Row" localSheetId="38" hidden="1">#REF!</definedName>
    <definedName name="XRefCopy63Row" localSheetId="12" hidden="1">#REF!</definedName>
    <definedName name="XRefCopy63Row" localSheetId="10" hidden="1">#REF!</definedName>
    <definedName name="XRefCopy63Row" localSheetId="6" hidden="1">#REF!</definedName>
    <definedName name="XRefCopy63Row" hidden="1">#REF!</definedName>
    <definedName name="XRefCopy64Row" localSheetId="1" hidden="1">#REF!</definedName>
    <definedName name="XRefCopy64Row" localSheetId="15" hidden="1">#REF!</definedName>
    <definedName name="XRefCopy64Row" localSheetId="7" hidden="1">#REF!</definedName>
    <definedName name="XRefCopy64Row" localSheetId="14" hidden="1">#REF!</definedName>
    <definedName name="XRefCopy64Row" localSheetId="2" hidden="1">#REF!</definedName>
    <definedName name="XRefCopy64Row" localSheetId="34" hidden="1">#REF!</definedName>
    <definedName name="XRefCopy64Row" localSheetId="38" hidden="1">#REF!</definedName>
    <definedName name="XRefCopy64Row" localSheetId="12" hidden="1">#REF!</definedName>
    <definedName name="XRefCopy64Row" localSheetId="10" hidden="1">#REF!</definedName>
    <definedName name="XRefCopy64Row" localSheetId="6" hidden="1">#REF!</definedName>
    <definedName name="XRefCopy64Row" hidden="1">#REF!</definedName>
    <definedName name="XRefCopy65Row" localSheetId="1" hidden="1">#REF!</definedName>
    <definedName name="XRefCopy65Row" localSheetId="15" hidden="1">#REF!</definedName>
    <definedName name="XRefCopy65Row" localSheetId="7" hidden="1">#REF!</definedName>
    <definedName name="XRefCopy65Row" localSheetId="14" hidden="1">#REF!</definedName>
    <definedName name="XRefCopy65Row" localSheetId="2" hidden="1">#REF!</definedName>
    <definedName name="XRefCopy65Row" localSheetId="34" hidden="1">#REF!</definedName>
    <definedName name="XRefCopy65Row" localSheetId="38" hidden="1">#REF!</definedName>
    <definedName name="XRefCopy65Row" localSheetId="12" hidden="1">#REF!</definedName>
    <definedName name="XRefCopy65Row" localSheetId="10" hidden="1">#REF!</definedName>
    <definedName name="XRefCopy65Row" localSheetId="6" hidden="1">#REF!</definedName>
    <definedName name="XRefCopy65Row" hidden="1">#REF!</definedName>
    <definedName name="XRefCopy66Row" localSheetId="1" hidden="1">#REF!</definedName>
    <definedName name="XRefCopy66Row" localSheetId="15" hidden="1">#REF!</definedName>
    <definedName name="XRefCopy66Row" localSheetId="7" hidden="1">#REF!</definedName>
    <definedName name="XRefCopy66Row" localSheetId="14" hidden="1">#REF!</definedName>
    <definedName name="XRefCopy66Row" localSheetId="2" hidden="1">#REF!</definedName>
    <definedName name="XRefCopy66Row" localSheetId="34" hidden="1">#REF!</definedName>
    <definedName name="XRefCopy66Row" localSheetId="38" hidden="1">#REF!</definedName>
    <definedName name="XRefCopy66Row" localSheetId="12" hidden="1">#REF!</definedName>
    <definedName name="XRefCopy66Row" localSheetId="10" hidden="1">#REF!</definedName>
    <definedName name="XRefCopy66Row" localSheetId="6" hidden="1">#REF!</definedName>
    <definedName name="XRefCopy66Row" hidden="1">#REF!</definedName>
    <definedName name="XRefCopy67Row" localSheetId="1" hidden="1">#REF!</definedName>
    <definedName name="XRefCopy67Row" localSheetId="15" hidden="1">#REF!</definedName>
    <definedName name="XRefCopy67Row" localSheetId="7" hidden="1">#REF!</definedName>
    <definedName name="XRefCopy67Row" localSheetId="14" hidden="1">#REF!</definedName>
    <definedName name="XRefCopy67Row" localSheetId="2" hidden="1">#REF!</definedName>
    <definedName name="XRefCopy67Row" localSheetId="34" hidden="1">#REF!</definedName>
    <definedName name="XRefCopy67Row" localSheetId="38" hidden="1">#REF!</definedName>
    <definedName name="XRefCopy67Row" localSheetId="12" hidden="1">#REF!</definedName>
    <definedName name="XRefCopy67Row" localSheetId="10" hidden="1">#REF!</definedName>
    <definedName name="XRefCopy67Row" localSheetId="6" hidden="1">#REF!</definedName>
    <definedName name="XRefCopy67Row" hidden="1">#REF!</definedName>
    <definedName name="XRefCopy6Row" localSheetId="1" hidden="1">#REF!</definedName>
    <definedName name="XRefCopy6Row" localSheetId="15" hidden="1">#REF!</definedName>
    <definedName name="XRefCopy6Row" localSheetId="7" hidden="1">#REF!</definedName>
    <definedName name="XRefCopy6Row" localSheetId="14" hidden="1">#REF!</definedName>
    <definedName name="XRefCopy6Row" localSheetId="2" hidden="1">#REF!</definedName>
    <definedName name="XRefCopy6Row" localSheetId="34" hidden="1">#REF!</definedName>
    <definedName name="XRefCopy6Row" localSheetId="38" hidden="1">#REF!</definedName>
    <definedName name="XRefCopy6Row" localSheetId="12" hidden="1">#REF!</definedName>
    <definedName name="XRefCopy6Row" localSheetId="10" hidden="1">#REF!</definedName>
    <definedName name="XRefCopy6Row" localSheetId="6" hidden="1">#REF!</definedName>
    <definedName name="XRefCopy6Row" hidden="1">#REF!</definedName>
    <definedName name="XRefCopy7" localSheetId="1" hidden="1">#REF!</definedName>
    <definedName name="XRefCopy7" localSheetId="15" hidden="1">#REF!</definedName>
    <definedName name="XRefCopy7" localSheetId="7" hidden="1">#REF!</definedName>
    <definedName name="XRefCopy7" localSheetId="14" hidden="1">#REF!</definedName>
    <definedName name="XRefCopy7" localSheetId="2" hidden="1">#REF!</definedName>
    <definedName name="XRefCopy7" localSheetId="34" hidden="1">#REF!</definedName>
    <definedName name="XRefCopy7" localSheetId="38" hidden="1">#REF!</definedName>
    <definedName name="XRefCopy7" localSheetId="12" hidden="1">#REF!</definedName>
    <definedName name="XRefCopy7" localSheetId="10" hidden="1">#REF!</definedName>
    <definedName name="XRefCopy7" localSheetId="11" hidden="1">#REF!</definedName>
    <definedName name="XRefCopy7" localSheetId="6" hidden="1">#REF!</definedName>
    <definedName name="XRefCopy7" hidden="1">#REF!</definedName>
    <definedName name="XRefCopy7Row" localSheetId="1" hidden="1">#REF!</definedName>
    <definedName name="XRefCopy7Row" localSheetId="15" hidden="1">#REF!</definedName>
    <definedName name="XRefCopy7Row" localSheetId="7" hidden="1">#REF!</definedName>
    <definedName name="XRefCopy7Row" localSheetId="14" hidden="1">#REF!</definedName>
    <definedName name="XRefCopy7Row" localSheetId="2" hidden="1">#REF!</definedName>
    <definedName name="XRefCopy7Row" localSheetId="34" hidden="1">#REF!</definedName>
    <definedName name="XRefCopy7Row" localSheetId="38" hidden="1">#REF!</definedName>
    <definedName name="XRefCopy7Row" localSheetId="12" hidden="1">#REF!</definedName>
    <definedName name="XRefCopy7Row" localSheetId="10" hidden="1">#REF!</definedName>
    <definedName name="XRefCopy7Row" localSheetId="6" hidden="1">#REF!</definedName>
    <definedName name="XRefCopy7Row" hidden="1">#REF!</definedName>
    <definedName name="XRefCopy8" localSheetId="1" hidden="1">#REF!</definedName>
    <definedName name="XRefCopy8" localSheetId="15" hidden="1">#REF!</definedName>
    <definedName name="XRefCopy8" localSheetId="7" hidden="1">#REF!</definedName>
    <definedName name="XRefCopy8" localSheetId="14" hidden="1">#REF!</definedName>
    <definedName name="XRefCopy8" localSheetId="2" hidden="1">#REF!</definedName>
    <definedName name="XRefCopy8" localSheetId="34" hidden="1">#REF!</definedName>
    <definedName name="XRefCopy8" localSheetId="38" hidden="1">#REF!</definedName>
    <definedName name="XRefCopy8" localSheetId="12" hidden="1">#REF!</definedName>
    <definedName name="XRefCopy8" localSheetId="10" hidden="1">#REF!</definedName>
    <definedName name="XRefCopy8" localSheetId="11" hidden="1">#REF!</definedName>
    <definedName name="XRefCopy8" localSheetId="6" hidden="1">#REF!</definedName>
    <definedName name="XRefCopy8" hidden="1">#REF!</definedName>
    <definedName name="XRefCopy82Row" localSheetId="1" hidden="1">#REF!</definedName>
    <definedName name="XRefCopy82Row" localSheetId="15" hidden="1">#REF!</definedName>
    <definedName name="XRefCopy82Row" localSheetId="7" hidden="1">#REF!</definedName>
    <definedName name="XRefCopy82Row" localSheetId="14" hidden="1">#REF!</definedName>
    <definedName name="XRefCopy82Row" localSheetId="2" hidden="1">#REF!</definedName>
    <definedName name="XRefCopy82Row" localSheetId="34" hidden="1">#REF!</definedName>
    <definedName name="XRefCopy82Row" localSheetId="38" hidden="1">#REF!</definedName>
    <definedName name="XRefCopy82Row" localSheetId="12" hidden="1">#REF!</definedName>
    <definedName name="XRefCopy82Row" localSheetId="10" hidden="1">#REF!</definedName>
    <definedName name="XRefCopy82Row" localSheetId="6" hidden="1">#REF!</definedName>
    <definedName name="XRefCopy82Row" hidden="1">#REF!</definedName>
    <definedName name="XRefCopy87" localSheetId="1" hidden="1">#REF!</definedName>
    <definedName name="XRefCopy87" localSheetId="15" hidden="1">#REF!</definedName>
    <definedName name="XRefCopy87" localSheetId="7" hidden="1">#REF!</definedName>
    <definedName name="XRefCopy87" localSheetId="14" hidden="1">#REF!</definedName>
    <definedName name="XRefCopy87" localSheetId="2" hidden="1">#REF!</definedName>
    <definedName name="XRefCopy87" localSheetId="34" hidden="1">#REF!</definedName>
    <definedName name="XRefCopy87" localSheetId="38" hidden="1">#REF!</definedName>
    <definedName name="XRefCopy87" localSheetId="12" hidden="1">#REF!</definedName>
    <definedName name="XRefCopy87" localSheetId="10" hidden="1">#REF!</definedName>
    <definedName name="XRefCopy87" localSheetId="6" hidden="1">#REF!</definedName>
    <definedName name="XRefCopy87" hidden="1">#REF!</definedName>
    <definedName name="XRefCopy87Row" localSheetId="1" hidden="1">#REF!</definedName>
    <definedName name="XRefCopy87Row" localSheetId="15" hidden="1">#REF!</definedName>
    <definedName name="XRefCopy87Row" localSheetId="7" hidden="1">#REF!</definedName>
    <definedName name="XRefCopy87Row" localSheetId="2" hidden="1">#REF!</definedName>
    <definedName name="XRefCopy87Row" localSheetId="34" hidden="1">#REF!</definedName>
    <definedName name="XRefCopy87Row" localSheetId="38" hidden="1">#REF!</definedName>
    <definedName name="XRefCopy87Row" localSheetId="12" hidden="1">#REF!</definedName>
    <definedName name="XRefCopy87Row" localSheetId="10" hidden="1">#REF!</definedName>
    <definedName name="XRefCopy87Row" localSheetId="6" hidden="1">#REF!</definedName>
    <definedName name="XRefCopy87Row" hidden="1">#REF!</definedName>
    <definedName name="XRefCopy88" localSheetId="1" hidden="1">#REF!</definedName>
    <definedName name="XRefCopy88" localSheetId="15" hidden="1">#REF!</definedName>
    <definedName name="XRefCopy88" localSheetId="7" hidden="1">#REF!</definedName>
    <definedName name="XRefCopy88" localSheetId="14" hidden="1">#REF!</definedName>
    <definedName name="XRefCopy88" localSheetId="2" hidden="1">#REF!</definedName>
    <definedName name="XRefCopy88" localSheetId="34" hidden="1">#REF!</definedName>
    <definedName name="XRefCopy88" localSheetId="38" hidden="1">#REF!</definedName>
    <definedName name="XRefCopy88" localSheetId="12" hidden="1">#REF!</definedName>
    <definedName name="XRefCopy88" localSheetId="10" hidden="1">#REF!</definedName>
    <definedName name="XRefCopy88" localSheetId="6" hidden="1">#REF!</definedName>
    <definedName name="XRefCopy88" hidden="1">#REF!</definedName>
    <definedName name="XRefCopy88Row" localSheetId="1" hidden="1">#REF!</definedName>
    <definedName name="XRefCopy88Row" localSheetId="15" hidden="1">#REF!</definedName>
    <definedName name="XRefCopy88Row" localSheetId="7" hidden="1">#REF!</definedName>
    <definedName name="XRefCopy88Row" localSheetId="2" hidden="1">#REF!</definedName>
    <definedName name="XRefCopy88Row" localSheetId="34" hidden="1">#REF!</definedName>
    <definedName name="XRefCopy88Row" localSheetId="38" hidden="1">#REF!</definedName>
    <definedName name="XRefCopy88Row" localSheetId="12" hidden="1">#REF!</definedName>
    <definedName name="XRefCopy88Row" localSheetId="10" hidden="1">#REF!</definedName>
    <definedName name="XRefCopy88Row" localSheetId="6" hidden="1">#REF!</definedName>
    <definedName name="XRefCopy88Row" hidden="1">#REF!</definedName>
    <definedName name="XRefCopy89" localSheetId="1" hidden="1">#REF!</definedName>
    <definedName name="XRefCopy89" localSheetId="15" hidden="1">#REF!</definedName>
    <definedName name="XRefCopy89" localSheetId="7" hidden="1">#REF!</definedName>
    <definedName name="XRefCopy89" localSheetId="14" hidden="1">#REF!</definedName>
    <definedName name="XRefCopy89" localSheetId="2" hidden="1">#REF!</definedName>
    <definedName name="XRefCopy89" localSheetId="34" hidden="1">#REF!</definedName>
    <definedName name="XRefCopy89" localSheetId="38" hidden="1">#REF!</definedName>
    <definedName name="XRefCopy89" localSheetId="12" hidden="1">#REF!</definedName>
    <definedName name="XRefCopy89" localSheetId="10" hidden="1">#REF!</definedName>
    <definedName name="XRefCopy89" localSheetId="6" hidden="1">#REF!</definedName>
    <definedName name="XRefCopy89" hidden="1">#REF!</definedName>
    <definedName name="XRefCopy89Row" localSheetId="1" hidden="1">#REF!</definedName>
    <definedName name="XRefCopy89Row" localSheetId="15" hidden="1">#REF!</definedName>
    <definedName name="XRefCopy89Row" localSheetId="7" hidden="1">#REF!</definedName>
    <definedName name="XRefCopy89Row" localSheetId="2" hidden="1">#REF!</definedName>
    <definedName name="XRefCopy89Row" localSheetId="34" hidden="1">#REF!</definedName>
    <definedName name="XRefCopy89Row" localSheetId="38" hidden="1">#REF!</definedName>
    <definedName name="XRefCopy89Row" localSheetId="12" hidden="1">#REF!</definedName>
    <definedName name="XRefCopy89Row" localSheetId="10" hidden="1">#REF!</definedName>
    <definedName name="XRefCopy89Row" localSheetId="6" hidden="1">#REF!</definedName>
    <definedName name="XRefCopy89Row" hidden="1">#REF!</definedName>
    <definedName name="XRefCopy8Row" localSheetId="1" hidden="1">#REF!</definedName>
    <definedName name="XRefCopy8Row" localSheetId="15" hidden="1">#REF!</definedName>
    <definedName name="XRefCopy8Row" localSheetId="7" hidden="1">#REF!</definedName>
    <definedName name="XRefCopy8Row" localSheetId="14" hidden="1">#REF!</definedName>
    <definedName name="XRefCopy8Row" localSheetId="2" hidden="1">#REF!</definedName>
    <definedName name="XRefCopy8Row" localSheetId="34" hidden="1">#REF!</definedName>
    <definedName name="XRefCopy8Row" localSheetId="38" hidden="1">#REF!</definedName>
    <definedName name="XRefCopy8Row" localSheetId="12" hidden="1">#REF!</definedName>
    <definedName name="XRefCopy8Row" localSheetId="10" hidden="1">#REF!</definedName>
    <definedName name="XRefCopy8Row" localSheetId="6" hidden="1">#REF!</definedName>
    <definedName name="XRefCopy8Row" hidden="1">#REF!</definedName>
    <definedName name="XRefCopy9" localSheetId="1" hidden="1">#REF!</definedName>
    <definedName name="XRefCopy9" localSheetId="15" hidden="1">#REF!</definedName>
    <definedName name="XRefCopy9" localSheetId="7" hidden="1">#REF!</definedName>
    <definedName name="XRefCopy9" localSheetId="2" hidden="1">#REF!</definedName>
    <definedName name="XRefCopy9" localSheetId="34" hidden="1">#REF!</definedName>
    <definedName name="XRefCopy9" localSheetId="38" hidden="1">#REF!</definedName>
    <definedName name="XRefCopy9" localSheetId="12" hidden="1">#REF!</definedName>
    <definedName name="XRefCopy9" localSheetId="10" hidden="1">#REF!</definedName>
    <definedName name="XRefCopy9" localSheetId="11" hidden="1">#REF!</definedName>
    <definedName name="XRefCopy9" localSheetId="6" hidden="1">#REF!</definedName>
    <definedName name="XRefCopy9" hidden="1">#REF!</definedName>
    <definedName name="XRefCopy91Row" localSheetId="1" hidden="1">#REF!</definedName>
    <definedName name="XRefCopy91Row" localSheetId="7" hidden="1">#REF!</definedName>
    <definedName name="XRefCopy91Row" localSheetId="2" hidden="1">#REF!</definedName>
    <definedName name="XRefCopy91Row" localSheetId="34" hidden="1">#REF!</definedName>
    <definedName name="XRefCopy91Row" localSheetId="38" hidden="1">#REF!</definedName>
    <definedName name="XRefCopy91Row" localSheetId="12" hidden="1">#REF!</definedName>
    <definedName name="XRefCopy91Row" localSheetId="10" hidden="1">#REF!</definedName>
    <definedName name="XRefCopy91Row" localSheetId="6" hidden="1">#REF!</definedName>
    <definedName name="XRefCopy91Row" hidden="1">#REF!</definedName>
    <definedName name="XRefCopy9Row" localSheetId="1" hidden="1">#REF!</definedName>
    <definedName name="XRefCopy9Row" localSheetId="15" hidden="1">#REF!</definedName>
    <definedName name="XRefCopy9Row" localSheetId="7" hidden="1">#REF!</definedName>
    <definedName name="XRefCopy9Row" localSheetId="14" hidden="1">#REF!</definedName>
    <definedName name="XRefCopy9Row" localSheetId="2" hidden="1">#REF!</definedName>
    <definedName name="XRefCopy9Row" localSheetId="34" hidden="1">#REF!</definedName>
    <definedName name="XRefCopy9Row" localSheetId="38" hidden="1">#REF!</definedName>
    <definedName name="XRefCopy9Row" localSheetId="12" hidden="1">#REF!</definedName>
    <definedName name="XRefCopy9Row" localSheetId="10" hidden="1">#REF!</definedName>
    <definedName name="XRefCopy9Row" localSheetId="11" hidden="1">#REF!</definedName>
    <definedName name="XRefCopy9Row" localSheetId="6" hidden="1">#REF!</definedName>
    <definedName name="XRefCopy9Row" hidden="1">#REF!</definedName>
    <definedName name="XRefCopyRangeCount" hidden="1">3</definedName>
    <definedName name="XRefPaste1" localSheetId="1" hidden="1">#REF!</definedName>
    <definedName name="XRefPaste1" localSheetId="15" hidden="1">#REF!</definedName>
    <definedName name="XRefPaste1" localSheetId="7" hidden="1">#REF!</definedName>
    <definedName name="XRefPaste1" localSheetId="2" hidden="1">#REF!</definedName>
    <definedName name="XRefPaste1" localSheetId="34" hidden="1">#REF!</definedName>
    <definedName name="XRefPaste1" localSheetId="38" hidden="1">#REF!</definedName>
    <definedName name="XRefPaste1" localSheetId="12" hidden="1">#REF!</definedName>
    <definedName name="XRefPaste1" localSheetId="10" hidden="1">#REF!</definedName>
    <definedName name="XRefPaste1" localSheetId="11" hidden="1">#REF!</definedName>
    <definedName name="XRefPaste1" localSheetId="6" hidden="1">#REF!</definedName>
    <definedName name="XRefPaste1" hidden="1">#REF!</definedName>
    <definedName name="XRefPaste10" localSheetId="1" hidden="1">#REF!</definedName>
    <definedName name="XRefPaste10" localSheetId="15" hidden="1">#REF!</definedName>
    <definedName name="XRefPaste10" localSheetId="7" hidden="1">#REF!</definedName>
    <definedName name="XRefPaste10" localSheetId="14" hidden="1">#REF!</definedName>
    <definedName name="XRefPaste10" localSheetId="2" hidden="1">#REF!</definedName>
    <definedName name="XRefPaste10" localSheetId="34" hidden="1">#REF!</definedName>
    <definedName name="XRefPaste10" localSheetId="38" hidden="1">#REF!</definedName>
    <definedName name="XRefPaste10" localSheetId="12" hidden="1">#REF!</definedName>
    <definedName name="XRefPaste10" localSheetId="10" hidden="1">#REF!</definedName>
    <definedName name="XRefPaste10" localSheetId="6" hidden="1">#REF!</definedName>
    <definedName name="XRefPaste10" hidden="1">#REF!</definedName>
    <definedName name="XRefPaste10Row" localSheetId="1" hidden="1">#REF!</definedName>
    <definedName name="XRefPaste10Row" localSheetId="15" hidden="1">#REF!</definedName>
    <definedName name="XRefPaste10Row" localSheetId="7" hidden="1">#REF!</definedName>
    <definedName name="XRefPaste10Row" localSheetId="14" hidden="1">#REF!</definedName>
    <definedName name="XRefPaste10Row" localSheetId="2" hidden="1">#REF!</definedName>
    <definedName name="XRefPaste10Row" localSheetId="34" hidden="1">#REF!</definedName>
    <definedName name="XRefPaste10Row" localSheetId="38" hidden="1">#REF!</definedName>
    <definedName name="XRefPaste10Row" localSheetId="12" hidden="1">#REF!</definedName>
    <definedName name="XRefPaste10Row" localSheetId="10" hidden="1">#REF!</definedName>
    <definedName name="XRefPaste10Row" localSheetId="11" hidden="1">#REF!</definedName>
    <definedName name="XRefPaste10Row" localSheetId="6" hidden="1">#REF!</definedName>
    <definedName name="XRefPaste10Row" hidden="1">#REF!</definedName>
    <definedName name="XRefPaste11Row" localSheetId="1" hidden="1">#REF!</definedName>
    <definedName name="XRefPaste11Row" localSheetId="15" hidden="1">#REF!</definedName>
    <definedName name="XRefPaste11Row" localSheetId="7" hidden="1">#REF!</definedName>
    <definedName name="XRefPaste11Row" localSheetId="14" hidden="1">#REF!</definedName>
    <definedName name="XRefPaste11Row" localSheetId="2" hidden="1">#REF!</definedName>
    <definedName name="XRefPaste11Row" localSheetId="34" hidden="1">#REF!</definedName>
    <definedName name="XRefPaste11Row" localSheetId="38" hidden="1">#REF!</definedName>
    <definedName name="XRefPaste11Row" localSheetId="12" hidden="1">#REF!</definedName>
    <definedName name="XRefPaste11Row" localSheetId="10" hidden="1">#REF!</definedName>
    <definedName name="XRefPaste11Row" localSheetId="11" hidden="1">#REF!</definedName>
    <definedName name="XRefPaste11Row" localSheetId="6" hidden="1">#REF!</definedName>
    <definedName name="XRefPaste11Row" hidden="1">#REF!</definedName>
    <definedName name="XRefPaste12" localSheetId="1" hidden="1">#REF!</definedName>
    <definedName name="XRefPaste12" localSheetId="15" hidden="1">#REF!</definedName>
    <definedName name="XRefPaste12" localSheetId="7" hidden="1">#REF!</definedName>
    <definedName name="XRefPaste12" localSheetId="14" hidden="1">#REF!</definedName>
    <definedName name="XRefPaste12" localSheetId="2" hidden="1">#REF!</definedName>
    <definedName name="XRefPaste12" localSheetId="34" hidden="1">#REF!</definedName>
    <definedName name="XRefPaste12" localSheetId="38" hidden="1">#REF!</definedName>
    <definedName name="XRefPaste12" localSheetId="12" hidden="1">#REF!</definedName>
    <definedName name="XRefPaste12" localSheetId="10" hidden="1">#REF!</definedName>
    <definedName name="XRefPaste12" localSheetId="6" hidden="1">#REF!</definedName>
    <definedName name="XRefPaste12" hidden="1">#REF!</definedName>
    <definedName name="XRefPaste12Row" localSheetId="1" hidden="1">#REF!</definedName>
    <definedName name="XRefPaste12Row" localSheetId="15" hidden="1">#REF!</definedName>
    <definedName name="XRefPaste12Row" localSheetId="7" hidden="1">#REF!</definedName>
    <definedName name="XRefPaste12Row" localSheetId="14" hidden="1">#REF!</definedName>
    <definedName name="XRefPaste12Row" localSheetId="2" hidden="1">#REF!</definedName>
    <definedName name="XRefPaste12Row" localSheetId="34" hidden="1">#REF!</definedName>
    <definedName name="XRefPaste12Row" localSheetId="38" hidden="1">#REF!</definedName>
    <definedName name="XRefPaste12Row" localSheetId="12" hidden="1">#REF!</definedName>
    <definedName name="XRefPaste12Row" localSheetId="10" hidden="1">#REF!</definedName>
    <definedName name="XRefPaste12Row" localSheetId="11" hidden="1">#REF!</definedName>
    <definedName name="XRefPaste12Row" localSheetId="6" hidden="1">#REF!</definedName>
    <definedName name="XRefPaste12Row" hidden="1">#REF!</definedName>
    <definedName name="XRefPaste13Row" localSheetId="1" hidden="1">#REF!</definedName>
    <definedName name="XRefPaste13Row" localSheetId="15" hidden="1">#REF!</definedName>
    <definedName name="XRefPaste13Row" localSheetId="7" hidden="1">#REF!</definedName>
    <definedName name="XRefPaste13Row" localSheetId="14" hidden="1">#REF!</definedName>
    <definedName name="XRefPaste13Row" localSheetId="2" hidden="1">#REF!</definedName>
    <definedName name="XRefPaste13Row" localSheetId="34" hidden="1">#REF!</definedName>
    <definedName name="XRefPaste13Row" localSheetId="38" hidden="1">#REF!</definedName>
    <definedName name="XRefPaste13Row" localSheetId="12" hidden="1">#REF!</definedName>
    <definedName name="XRefPaste13Row" localSheetId="10" hidden="1">#REF!</definedName>
    <definedName name="XRefPaste13Row" localSheetId="11" hidden="1">#REF!</definedName>
    <definedName name="XRefPaste13Row" localSheetId="6" hidden="1">#REF!</definedName>
    <definedName name="XRefPaste13Row" hidden="1">#REF!</definedName>
    <definedName name="XRefPaste14" localSheetId="1" hidden="1">#REF!</definedName>
    <definedName name="XRefPaste14" localSheetId="15" hidden="1">#REF!</definedName>
    <definedName name="XRefPaste14" localSheetId="7" hidden="1">#REF!</definedName>
    <definedName name="XRefPaste14" localSheetId="14" hidden="1">#REF!</definedName>
    <definedName name="XRefPaste14" localSheetId="2" hidden="1">#REF!</definedName>
    <definedName name="XRefPaste14" localSheetId="34" hidden="1">#REF!</definedName>
    <definedName name="XRefPaste14" localSheetId="38" hidden="1">#REF!</definedName>
    <definedName name="XRefPaste14" localSheetId="12" hidden="1">#REF!</definedName>
    <definedName name="XRefPaste14" localSheetId="10" hidden="1">#REF!</definedName>
    <definedName name="XRefPaste14" localSheetId="6" hidden="1">#REF!</definedName>
    <definedName name="XRefPaste14" hidden="1">#REF!</definedName>
    <definedName name="XRefPaste14Row" localSheetId="1" hidden="1">#REF!</definedName>
    <definedName name="XRefPaste14Row" localSheetId="15" hidden="1">#REF!</definedName>
    <definedName name="XRefPaste14Row" localSheetId="7" hidden="1">#REF!</definedName>
    <definedName name="XRefPaste14Row" localSheetId="14" hidden="1">#REF!</definedName>
    <definedName name="XRefPaste14Row" localSheetId="2" hidden="1">#REF!</definedName>
    <definedName name="XRefPaste14Row" localSheetId="34" hidden="1">#REF!</definedName>
    <definedName name="XRefPaste14Row" localSheetId="38" hidden="1">#REF!</definedName>
    <definedName name="XRefPaste14Row" localSheetId="12" hidden="1">#REF!</definedName>
    <definedName name="XRefPaste14Row" localSheetId="10" hidden="1">#REF!</definedName>
    <definedName name="XRefPaste14Row" localSheetId="11" hidden="1">#REF!</definedName>
    <definedName name="XRefPaste14Row" localSheetId="6" hidden="1">#REF!</definedName>
    <definedName name="XRefPaste14Row" hidden="1">#REF!</definedName>
    <definedName name="XRefPaste15" localSheetId="1" hidden="1">#REF!</definedName>
    <definedName name="XRefPaste15" localSheetId="15" hidden="1">#REF!</definedName>
    <definedName name="XRefPaste15" localSheetId="7" hidden="1">#REF!</definedName>
    <definedName name="XRefPaste15" localSheetId="14" hidden="1">#REF!</definedName>
    <definedName name="XRefPaste15" localSheetId="2" hidden="1">#REF!</definedName>
    <definedName name="XRefPaste15" localSheetId="34" hidden="1">#REF!</definedName>
    <definedName name="XRefPaste15" localSheetId="38" hidden="1">#REF!</definedName>
    <definedName name="XRefPaste15" localSheetId="12" hidden="1">#REF!</definedName>
    <definedName name="XRefPaste15" localSheetId="10" hidden="1">#REF!</definedName>
    <definedName name="XRefPaste15" localSheetId="6" hidden="1">#REF!</definedName>
    <definedName name="XRefPaste15" hidden="1">#REF!</definedName>
    <definedName name="XRefPaste15Row" localSheetId="1" hidden="1">#REF!</definedName>
    <definedName name="XRefPaste15Row" localSheetId="15" hidden="1">#REF!</definedName>
    <definedName name="XRefPaste15Row" localSheetId="7" hidden="1">#REF!</definedName>
    <definedName name="XRefPaste15Row" localSheetId="14" hidden="1">#REF!</definedName>
    <definedName name="XRefPaste15Row" localSheetId="2" hidden="1">#REF!</definedName>
    <definedName name="XRefPaste15Row" localSheetId="34" hidden="1">#REF!</definedName>
    <definedName name="XRefPaste15Row" localSheetId="38" hidden="1">#REF!</definedName>
    <definedName name="XRefPaste15Row" localSheetId="12" hidden="1">#REF!</definedName>
    <definedName name="XRefPaste15Row" localSheetId="10" hidden="1">#REF!</definedName>
    <definedName name="XRefPaste15Row" localSheetId="11" hidden="1">#REF!</definedName>
    <definedName name="XRefPaste15Row" localSheetId="6" hidden="1">#REF!</definedName>
    <definedName name="XRefPaste15Row" hidden="1">#REF!</definedName>
    <definedName name="XRefPaste16" localSheetId="1" hidden="1">#REF!</definedName>
    <definedName name="XRefPaste16" localSheetId="15" hidden="1">#REF!</definedName>
    <definedName name="XRefPaste16" localSheetId="7" hidden="1">#REF!</definedName>
    <definedName name="XRefPaste16" localSheetId="14" hidden="1">#REF!</definedName>
    <definedName name="XRefPaste16" localSheetId="2" hidden="1">#REF!</definedName>
    <definedName name="XRefPaste16" localSheetId="34" hidden="1">#REF!</definedName>
    <definedName name="XRefPaste16" localSheetId="38" hidden="1">#REF!</definedName>
    <definedName name="XRefPaste16" localSheetId="12" hidden="1">#REF!</definedName>
    <definedName name="XRefPaste16" localSheetId="10" hidden="1">#REF!</definedName>
    <definedName name="XRefPaste16" localSheetId="6" hidden="1">#REF!</definedName>
    <definedName name="XRefPaste16" hidden="1">#REF!</definedName>
    <definedName name="XRefPaste16Row" localSheetId="1" hidden="1">#REF!</definedName>
    <definedName name="XRefPaste16Row" localSheetId="15" hidden="1">#REF!</definedName>
    <definedName name="XRefPaste16Row" localSheetId="7" hidden="1">#REF!</definedName>
    <definedName name="XRefPaste16Row" localSheetId="14" hidden="1">#REF!</definedName>
    <definedName name="XRefPaste16Row" localSheetId="2" hidden="1">#REF!</definedName>
    <definedName name="XRefPaste16Row" localSheetId="34" hidden="1">#REF!</definedName>
    <definedName name="XRefPaste16Row" localSheetId="38" hidden="1">#REF!</definedName>
    <definedName name="XRefPaste16Row" localSheetId="12" hidden="1">#REF!</definedName>
    <definedName name="XRefPaste16Row" localSheetId="10" hidden="1">#REF!</definedName>
    <definedName name="XRefPaste16Row" localSheetId="11" hidden="1">#REF!</definedName>
    <definedName name="XRefPaste16Row" localSheetId="6" hidden="1">#REF!</definedName>
    <definedName name="XRefPaste16Row" hidden="1">#REF!</definedName>
    <definedName name="XRefPaste17" localSheetId="1" hidden="1">#REF!</definedName>
    <definedName name="XRefPaste17" localSheetId="15" hidden="1">#REF!</definedName>
    <definedName name="XRefPaste17" localSheetId="7" hidden="1">#REF!</definedName>
    <definedName name="XRefPaste17" localSheetId="14" hidden="1">#REF!</definedName>
    <definedName name="XRefPaste17" localSheetId="2" hidden="1">#REF!</definedName>
    <definedName name="XRefPaste17" localSheetId="34" hidden="1">#REF!</definedName>
    <definedName name="XRefPaste17" localSheetId="38" hidden="1">#REF!</definedName>
    <definedName name="XRefPaste17" localSheetId="12" hidden="1">#REF!</definedName>
    <definedName name="XRefPaste17" localSheetId="10" hidden="1">#REF!</definedName>
    <definedName name="XRefPaste17" localSheetId="6" hidden="1">#REF!</definedName>
    <definedName name="XRefPaste17" hidden="1">#REF!</definedName>
    <definedName name="XRefPaste17Row" localSheetId="1" hidden="1">#REF!</definedName>
    <definedName name="XRefPaste17Row" localSheetId="15" hidden="1">#REF!</definedName>
    <definedName name="XRefPaste17Row" localSheetId="7" hidden="1">#REF!</definedName>
    <definedName name="XRefPaste17Row" localSheetId="14" hidden="1">#REF!</definedName>
    <definedName name="XRefPaste17Row" localSheetId="2" hidden="1">#REF!</definedName>
    <definedName name="XRefPaste17Row" localSheetId="34" hidden="1">#REF!</definedName>
    <definedName name="XRefPaste17Row" localSheetId="38" hidden="1">#REF!</definedName>
    <definedName name="XRefPaste17Row" localSheetId="12" hidden="1">#REF!</definedName>
    <definedName name="XRefPaste17Row" localSheetId="10" hidden="1">#REF!</definedName>
    <definedName name="XRefPaste17Row" localSheetId="11" hidden="1">#REF!</definedName>
    <definedName name="XRefPaste17Row" localSheetId="6" hidden="1">#REF!</definedName>
    <definedName name="XRefPaste17Row" hidden="1">#REF!</definedName>
    <definedName name="XRefPaste18" localSheetId="1" hidden="1">#REF!</definedName>
    <definedName name="XRefPaste18" localSheetId="15" hidden="1">#REF!</definedName>
    <definedName name="XRefPaste18" localSheetId="7" hidden="1">#REF!</definedName>
    <definedName name="XRefPaste18" localSheetId="14" hidden="1">#REF!</definedName>
    <definedName name="XRefPaste18" localSheetId="2" hidden="1">#REF!</definedName>
    <definedName name="XRefPaste18" localSheetId="34" hidden="1">#REF!</definedName>
    <definedName name="XRefPaste18" localSheetId="38" hidden="1">#REF!</definedName>
    <definedName name="XRefPaste18" localSheetId="12" hidden="1">#REF!</definedName>
    <definedName name="XRefPaste18" localSheetId="10" hidden="1">#REF!</definedName>
    <definedName name="XRefPaste18" localSheetId="11" hidden="1">#REF!</definedName>
    <definedName name="XRefPaste18" localSheetId="6" hidden="1">#REF!</definedName>
    <definedName name="XRefPaste18" hidden="1">#REF!</definedName>
    <definedName name="XRefPaste18Row" localSheetId="1" hidden="1">#REF!</definedName>
    <definedName name="XRefPaste18Row" localSheetId="15" hidden="1">#REF!</definedName>
    <definedName name="XRefPaste18Row" localSheetId="7" hidden="1">#REF!</definedName>
    <definedName name="XRefPaste18Row" localSheetId="14" hidden="1">#REF!</definedName>
    <definedName name="XRefPaste18Row" localSheetId="2" hidden="1">#REF!</definedName>
    <definedName name="XRefPaste18Row" localSheetId="34" hidden="1">#REF!</definedName>
    <definedName name="XRefPaste18Row" localSheetId="38" hidden="1">#REF!</definedName>
    <definedName name="XRefPaste18Row" localSheetId="12" hidden="1">#REF!</definedName>
    <definedName name="XRefPaste18Row" localSheetId="10" hidden="1">#REF!</definedName>
    <definedName name="XRefPaste18Row" localSheetId="11" hidden="1">#REF!</definedName>
    <definedName name="XRefPaste18Row" localSheetId="6" hidden="1">#REF!</definedName>
    <definedName name="XRefPaste18Row" hidden="1">#REF!</definedName>
    <definedName name="XRefPaste19" localSheetId="1" hidden="1">#REF!</definedName>
    <definedName name="XRefPaste19" localSheetId="15" hidden="1">#REF!</definedName>
    <definedName name="XRefPaste19" localSheetId="7" hidden="1">#REF!</definedName>
    <definedName name="XRefPaste19" localSheetId="14" hidden="1">#REF!</definedName>
    <definedName name="XRefPaste19" localSheetId="2" hidden="1">#REF!</definedName>
    <definedName name="XRefPaste19" localSheetId="34" hidden="1">#REF!</definedName>
    <definedName name="XRefPaste19" localSheetId="38" hidden="1">#REF!</definedName>
    <definedName name="XRefPaste19" localSheetId="12" hidden="1">#REF!</definedName>
    <definedName name="XRefPaste19" localSheetId="10" hidden="1">#REF!</definedName>
    <definedName name="XRefPaste19" localSheetId="6" hidden="1">#REF!</definedName>
    <definedName name="XRefPaste19" hidden="1">#REF!</definedName>
    <definedName name="XRefPaste19Row" localSheetId="1" hidden="1">#REF!</definedName>
    <definedName name="XRefPaste19Row" localSheetId="15" hidden="1">#REF!</definedName>
    <definedName name="XRefPaste19Row" localSheetId="7" hidden="1">#REF!</definedName>
    <definedName name="XRefPaste19Row" localSheetId="14" hidden="1">#REF!</definedName>
    <definedName name="XRefPaste19Row" localSheetId="2" hidden="1">#REF!</definedName>
    <definedName name="XRefPaste19Row" localSheetId="34" hidden="1">#REF!</definedName>
    <definedName name="XRefPaste19Row" localSheetId="38" hidden="1">#REF!</definedName>
    <definedName name="XRefPaste19Row" localSheetId="12" hidden="1">#REF!</definedName>
    <definedName name="XRefPaste19Row" localSheetId="10" hidden="1">#REF!</definedName>
    <definedName name="XRefPaste19Row" localSheetId="11" hidden="1">#REF!</definedName>
    <definedName name="XRefPaste19Row" localSheetId="6" hidden="1">#REF!</definedName>
    <definedName name="XRefPaste19Row" hidden="1">#REF!</definedName>
    <definedName name="XRefPaste1Row" localSheetId="1" hidden="1">#REF!</definedName>
    <definedName name="XRefPaste1Row" localSheetId="15" hidden="1">#REF!</definedName>
    <definedName name="XRefPaste1Row" localSheetId="7" hidden="1">#REF!</definedName>
    <definedName name="XRefPaste1Row" localSheetId="14" hidden="1">#REF!</definedName>
    <definedName name="XRefPaste1Row" localSheetId="2" hidden="1">#REF!</definedName>
    <definedName name="XRefPaste1Row" localSheetId="34" hidden="1">#REF!</definedName>
    <definedName name="XRefPaste1Row" localSheetId="38" hidden="1">#REF!</definedName>
    <definedName name="XRefPaste1Row" localSheetId="12" hidden="1">#REF!</definedName>
    <definedName name="XRefPaste1Row" localSheetId="10" hidden="1">#REF!</definedName>
    <definedName name="XRefPaste1Row" localSheetId="6" hidden="1">#REF!</definedName>
    <definedName name="XRefPaste1Row" hidden="1">#REF!</definedName>
    <definedName name="XRefPaste2" localSheetId="1" hidden="1">#REF!</definedName>
    <definedName name="XRefPaste2" localSheetId="15" hidden="1">#REF!</definedName>
    <definedName name="XRefPaste2" localSheetId="7" hidden="1">#REF!</definedName>
    <definedName name="XRefPaste2" localSheetId="2" hidden="1">#REF!</definedName>
    <definedName name="XRefPaste2" localSheetId="34" hidden="1">#REF!</definedName>
    <definedName name="XRefPaste2" localSheetId="38" hidden="1">#REF!</definedName>
    <definedName name="XRefPaste2" localSheetId="12" hidden="1">#REF!</definedName>
    <definedName name="XRefPaste2" localSheetId="10" hidden="1">#REF!</definedName>
    <definedName name="XRefPaste2" localSheetId="11" hidden="1">#REF!</definedName>
    <definedName name="XRefPaste2" localSheetId="6" hidden="1">#REF!</definedName>
    <definedName name="XRefPaste2" hidden="1">#REF!</definedName>
    <definedName name="XRefPaste20" localSheetId="1" hidden="1">#REF!</definedName>
    <definedName name="XRefPaste20" localSheetId="15" hidden="1">#REF!</definedName>
    <definedName name="XRefPaste20" localSheetId="7" hidden="1">#REF!</definedName>
    <definedName name="XRefPaste20" localSheetId="14" hidden="1">#REF!</definedName>
    <definedName name="XRefPaste20" localSheetId="2" hidden="1">#REF!</definedName>
    <definedName name="XRefPaste20" localSheetId="34" hidden="1">#REF!</definedName>
    <definedName name="XRefPaste20" localSheetId="38" hidden="1">#REF!</definedName>
    <definedName name="XRefPaste20" localSheetId="12" hidden="1">#REF!</definedName>
    <definedName name="XRefPaste20" localSheetId="10" hidden="1">#REF!</definedName>
    <definedName name="XRefPaste20" localSheetId="6" hidden="1">#REF!</definedName>
    <definedName name="XRefPaste20" hidden="1">#REF!</definedName>
    <definedName name="XRefPaste20Row" localSheetId="1" hidden="1">#REF!</definedName>
    <definedName name="XRefPaste20Row" localSheetId="15" hidden="1">#REF!</definedName>
    <definedName name="XRefPaste20Row" localSheetId="7" hidden="1">#REF!</definedName>
    <definedName name="XRefPaste20Row" localSheetId="2" hidden="1">#REF!</definedName>
    <definedName name="XRefPaste20Row" localSheetId="34" hidden="1">#REF!</definedName>
    <definedName name="XRefPaste20Row" localSheetId="38" hidden="1">#REF!</definedName>
    <definedName name="XRefPaste20Row" localSheetId="12" hidden="1">#REF!</definedName>
    <definedName name="XRefPaste20Row" localSheetId="10" hidden="1">#REF!</definedName>
    <definedName name="XRefPaste20Row" localSheetId="6" hidden="1">#REF!</definedName>
    <definedName name="XRefPaste20Row" hidden="1">#REF!</definedName>
    <definedName name="XRefPaste21" localSheetId="1" hidden="1">#REF!</definedName>
    <definedName name="XRefPaste21" localSheetId="15" hidden="1">#REF!</definedName>
    <definedName name="XRefPaste21" localSheetId="7" hidden="1">#REF!</definedName>
    <definedName name="XRefPaste21" localSheetId="14" hidden="1">#REF!</definedName>
    <definedName name="XRefPaste21" localSheetId="2" hidden="1">#REF!</definedName>
    <definedName name="XRefPaste21" localSheetId="34" hidden="1">#REF!</definedName>
    <definedName name="XRefPaste21" localSheetId="38" hidden="1">#REF!</definedName>
    <definedName name="XRefPaste21" localSheetId="12" hidden="1">#REF!</definedName>
    <definedName name="XRefPaste21" localSheetId="10" hidden="1">#REF!</definedName>
    <definedName name="XRefPaste21" localSheetId="6" hidden="1">#REF!</definedName>
    <definedName name="XRefPaste21" hidden="1">#REF!</definedName>
    <definedName name="XRefPaste21Row" localSheetId="1" hidden="1">#REF!</definedName>
    <definedName name="XRefPaste21Row" localSheetId="15" hidden="1">#REF!</definedName>
    <definedName name="XRefPaste21Row" localSheetId="7" hidden="1">#REF!</definedName>
    <definedName name="XRefPaste21Row" localSheetId="14" hidden="1">#REF!</definedName>
    <definedName name="XRefPaste21Row" localSheetId="2" hidden="1">#REF!</definedName>
    <definedName name="XRefPaste21Row" localSheetId="34" hidden="1">#REF!</definedName>
    <definedName name="XRefPaste21Row" localSheetId="38" hidden="1">#REF!</definedName>
    <definedName name="XRefPaste21Row" localSheetId="12" hidden="1">#REF!</definedName>
    <definedName name="XRefPaste21Row" localSheetId="10" hidden="1">#REF!</definedName>
    <definedName name="XRefPaste21Row" localSheetId="11" hidden="1">#REF!</definedName>
    <definedName name="XRefPaste21Row" localSheetId="6" hidden="1">#REF!</definedName>
    <definedName name="XRefPaste21Row" hidden="1">#REF!</definedName>
    <definedName name="XRefPaste22" localSheetId="1" hidden="1">#REF!</definedName>
    <definedName name="XRefPaste22" localSheetId="15" hidden="1">#REF!</definedName>
    <definedName name="XRefPaste22" localSheetId="7" hidden="1">#REF!</definedName>
    <definedName name="XRefPaste22" localSheetId="14" hidden="1">#REF!</definedName>
    <definedName name="XRefPaste22" localSheetId="2" hidden="1">#REF!</definedName>
    <definedName name="XRefPaste22" localSheetId="34" hidden="1">#REF!</definedName>
    <definedName name="XRefPaste22" localSheetId="38" hidden="1">#REF!</definedName>
    <definedName name="XRefPaste22" localSheetId="12" hidden="1">#REF!</definedName>
    <definedName name="XRefPaste22" localSheetId="10" hidden="1">#REF!</definedName>
    <definedName name="XRefPaste22" localSheetId="11" hidden="1">#REF!</definedName>
    <definedName name="XRefPaste22" localSheetId="6" hidden="1">#REF!</definedName>
    <definedName name="XRefPaste22" hidden="1">#REF!</definedName>
    <definedName name="XRefPaste22Row" localSheetId="1" hidden="1">#REF!</definedName>
    <definedName name="XRefPaste22Row" localSheetId="15" hidden="1">#REF!</definedName>
    <definedName name="XRefPaste22Row" localSheetId="7" hidden="1">#REF!</definedName>
    <definedName name="XRefPaste22Row" localSheetId="2" hidden="1">#REF!</definedName>
    <definedName name="XRefPaste22Row" localSheetId="34" hidden="1">#REF!</definedName>
    <definedName name="XRefPaste22Row" localSheetId="38" hidden="1">#REF!</definedName>
    <definedName name="XRefPaste22Row" localSheetId="12" hidden="1">#REF!</definedName>
    <definedName name="XRefPaste22Row" localSheetId="10" hidden="1">#REF!</definedName>
    <definedName name="XRefPaste22Row" localSheetId="6" hidden="1">#REF!</definedName>
    <definedName name="XRefPaste22Row" hidden="1">#REF!</definedName>
    <definedName name="XRefPaste23" localSheetId="1" hidden="1">#REF!</definedName>
    <definedName name="XRefPaste23" localSheetId="15" hidden="1">#REF!</definedName>
    <definedName name="XRefPaste23" localSheetId="7" hidden="1">#REF!</definedName>
    <definedName name="XRefPaste23" localSheetId="14" hidden="1">#REF!</definedName>
    <definedName name="XRefPaste23" localSheetId="2" hidden="1">#REF!</definedName>
    <definedName name="XRefPaste23" localSheetId="34" hidden="1">#REF!</definedName>
    <definedName name="XRefPaste23" localSheetId="38" hidden="1">#REF!</definedName>
    <definedName name="XRefPaste23" localSheetId="12" hidden="1">#REF!</definedName>
    <definedName name="XRefPaste23" localSheetId="10" hidden="1">#REF!</definedName>
    <definedName name="XRefPaste23" localSheetId="6" hidden="1">#REF!</definedName>
    <definedName name="XRefPaste23" hidden="1">#REF!</definedName>
    <definedName name="XRefPaste23Row" localSheetId="1" hidden="1">#REF!</definedName>
    <definedName name="XRefPaste23Row" localSheetId="15" hidden="1">#REF!</definedName>
    <definedName name="XRefPaste23Row" localSheetId="7" hidden="1">#REF!</definedName>
    <definedName name="XRefPaste23Row" localSheetId="14" hidden="1">#REF!</definedName>
    <definedName name="XRefPaste23Row" localSheetId="2" hidden="1">#REF!</definedName>
    <definedName name="XRefPaste23Row" localSheetId="34" hidden="1">#REF!</definedName>
    <definedName name="XRefPaste23Row" localSheetId="38" hidden="1">#REF!</definedName>
    <definedName name="XRefPaste23Row" localSheetId="12" hidden="1">#REF!</definedName>
    <definedName name="XRefPaste23Row" localSheetId="10" hidden="1">#REF!</definedName>
    <definedName name="XRefPaste23Row" localSheetId="11" hidden="1">#REF!</definedName>
    <definedName name="XRefPaste23Row" localSheetId="6" hidden="1">#REF!</definedName>
    <definedName name="XRefPaste23Row" hidden="1">#REF!</definedName>
    <definedName name="XRefPaste24" localSheetId="1" hidden="1">#REF!</definedName>
    <definedName name="XRefPaste24" localSheetId="15" hidden="1">#REF!</definedName>
    <definedName name="XRefPaste24" localSheetId="7" hidden="1">#REF!</definedName>
    <definedName name="XRefPaste24" localSheetId="14" hidden="1">#REF!</definedName>
    <definedName name="XRefPaste24" localSheetId="2" hidden="1">#REF!</definedName>
    <definedName name="XRefPaste24" localSheetId="34" hidden="1">#REF!</definedName>
    <definedName name="XRefPaste24" localSheetId="38" hidden="1">#REF!</definedName>
    <definedName name="XRefPaste24" localSheetId="12" hidden="1">#REF!</definedName>
    <definedName name="XRefPaste24" localSheetId="10" hidden="1">#REF!</definedName>
    <definedName name="XRefPaste24" localSheetId="6" hidden="1">#REF!</definedName>
    <definedName name="XRefPaste24" hidden="1">#REF!</definedName>
    <definedName name="XRefPaste24Row" localSheetId="1" hidden="1">#REF!</definedName>
    <definedName name="XRefPaste24Row" localSheetId="15" hidden="1">#REF!</definedName>
    <definedName name="XRefPaste24Row" localSheetId="7" hidden="1">#REF!</definedName>
    <definedName name="XRefPaste24Row" localSheetId="14" hidden="1">#REF!</definedName>
    <definedName name="XRefPaste24Row" localSheetId="2" hidden="1">#REF!</definedName>
    <definedName name="XRefPaste24Row" localSheetId="34" hidden="1">#REF!</definedName>
    <definedName name="XRefPaste24Row" localSheetId="38" hidden="1">#REF!</definedName>
    <definedName name="XRefPaste24Row" localSheetId="12" hidden="1">#REF!</definedName>
    <definedName name="XRefPaste24Row" localSheetId="10" hidden="1">#REF!</definedName>
    <definedName name="XRefPaste24Row" localSheetId="6" hidden="1">#REF!</definedName>
    <definedName name="XRefPaste24Row" hidden="1">#REF!</definedName>
    <definedName name="XRefPaste25" localSheetId="1" hidden="1">#REF!</definedName>
    <definedName name="XRefPaste25" localSheetId="15" hidden="1">#REF!</definedName>
    <definedName name="XRefPaste25" localSheetId="7" hidden="1">#REF!</definedName>
    <definedName name="XRefPaste25" localSheetId="14" hidden="1">#REF!</definedName>
    <definedName name="XRefPaste25" localSheetId="2" hidden="1">#REF!</definedName>
    <definedName name="XRefPaste25" localSheetId="34" hidden="1">#REF!</definedName>
    <definedName name="XRefPaste25" localSheetId="38" hidden="1">#REF!</definedName>
    <definedName name="XRefPaste25" localSheetId="12" hidden="1">#REF!</definedName>
    <definedName name="XRefPaste25" localSheetId="10" hidden="1">#REF!</definedName>
    <definedName name="XRefPaste25" localSheetId="6" hidden="1">#REF!</definedName>
    <definedName name="XRefPaste25" hidden="1">#REF!</definedName>
    <definedName name="XRefPaste25Row" localSheetId="1" hidden="1">#REF!</definedName>
    <definedName name="XRefPaste25Row" localSheetId="15" hidden="1">#REF!</definedName>
    <definedName name="XRefPaste25Row" localSheetId="7" hidden="1">#REF!</definedName>
    <definedName name="XRefPaste25Row" localSheetId="14" hidden="1">#REF!</definedName>
    <definedName name="XRefPaste25Row" localSheetId="2" hidden="1">#REF!</definedName>
    <definedName name="XRefPaste25Row" localSheetId="34" hidden="1">#REF!</definedName>
    <definedName name="XRefPaste25Row" localSheetId="38" hidden="1">#REF!</definedName>
    <definedName name="XRefPaste25Row" localSheetId="12" hidden="1">#REF!</definedName>
    <definedName name="XRefPaste25Row" localSheetId="10" hidden="1">#REF!</definedName>
    <definedName name="XRefPaste25Row" localSheetId="11" hidden="1">#REF!</definedName>
    <definedName name="XRefPaste25Row" localSheetId="6" hidden="1">#REF!</definedName>
    <definedName name="XRefPaste25Row" hidden="1">#REF!</definedName>
    <definedName name="XRefPaste26" localSheetId="1" hidden="1">#REF!</definedName>
    <definedName name="XRefPaste26" localSheetId="15" hidden="1">#REF!</definedName>
    <definedName name="XRefPaste26" localSheetId="7" hidden="1">#REF!</definedName>
    <definedName name="XRefPaste26" localSheetId="14" hidden="1">#REF!</definedName>
    <definedName name="XRefPaste26" localSheetId="2" hidden="1">#REF!</definedName>
    <definedName name="XRefPaste26" localSheetId="34" hidden="1">#REF!</definedName>
    <definedName name="XRefPaste26" localSheetId="38" hidden="1">#REF!</definedName>
    <definedName name="XRefPaste26" localSheetId="12" hidden="1">#REF!</definedName>
    <definedName name="XRefPaste26" localSheetId="10" hidden="1">#REF!</definedName>
    <definedName name="XRefPaste26" localSheetId="6" hidden="1">#REF!</definedName>
    <definedName name="XRefPaste26" hidden="1">#REF!</definedName>
    <definedName name="XRefPaste26Row" localSheetId="1" hidden="1">#REF!</definedName>
    <definedName name="XRefPaste26Row" localSheetId="15" hidden="1">#REF!</definedName>
    <definedName name="XRefPaste26Row" localSheetId="7" hidden="1">#REF!</definedName>
    <definedName name="XRefPaste26Row" localSheetId="14" hidden="1">#REF!</definedName>
    <definedName name="XRefPaste26Row" localSheetId="2" hidden="1">#REF!</definedName>
    <definedName name="XRefPaste26Row" localSheetId="34" hidden="1">#REF!</definedName>
    <definedName name="XRefPaste26Row" localSheetId="38" hidden="1">#REF!</definedName>
    <definedName name="XRefPaste26Row" localSheetId="12" hidden="1">#REF!</definedName>
    <definedName name="XRefPaste26Row" localSheetId="10" hidden="1">#REF!</definedName>
    <definedName name="XRefPaste26Row" localSheetId="11" hidden="1">#REF!</definedName>
    <definedName name="XRefPaste26Row" localSheetId="6" hidden="1">#REF!</definedName>
    <definedName name="XRefPaste26Row" hidden="1">#REF!</definedName>
    <definedName name="XRefPaste27" localSheetId="1" hidden="1">#REF!</definedName>
    <definedName name="XRefPaste27" localSheetId="15" hidden="1">#REF!</definedName>
    <definedName name="XRefPaste27" localSheetId="7" hidden="1">#REF!</definedName>
    <definedName name="XRefPaste27" localSheetId="14" hidden="1">#REF!</definedName>
    <definedName name="XRefPaste27" localSheetId="2" hidden="1">#REF!</definedName>
    <definedName name="XRefPaste27" localSheetId="34" hidden="1">#REF!</definedName>
    <definedName name="XRefPaste27" localSheetId="38" hidden="1">#REF!</definedName>
    <definedName name="XRefPaste27" localSheetId="12" hidden="1">#REF!</definedName>
    <definedName name="XRefPaste27" localSheetId="10" hidden="1">#REF!</definedName>
    <definedName name="XRefPaste27" localSheetId="6" hidden="1">#REF!</definedName>
    <definedName name="XRefPaste27" hidden="1">#REF!</definedName>
    <definedName name="XRefPaste27Row" localSheetId="1" hidden="1">#REF!</definedName>
    <definedName name="XRefPaste27Row" localSheetId="15" hidden="1">#REF!</definedName>
    <definedName name="XRefPaste27Row" localSheetId="7" hidden="1">#REF!</definedName>
    <definedName name="XRefPaste27Row" localSheetId="14" hidden="1">#REF!</definedName>
    <definedName name="XRefPaste27Row" localSheetId="2" hidden="1">#REF!</definedName>
    <definedName name="XRefPaste27Row" localSheetId="34" hidden="1">#REF!</definedName>
    <definedName name="XRefPaste27Row" localSheetId="38" hidden="1">#REF!</definedName>
    <definedName name="XRefPaste27Row" localSheetId="12" hidden="1">#REF!</definedName>
    <definedName name="XRefPaste27Row" localSheetId="10" hidden="1">#REF!</definedName>
    <definedName name="XRefPaste27Row" localSheetId="11" hidden="1">#REF!</definedName>
    <definedName name="XRefPaste27Row" localSheetId="6" hidden="1">#REF!</definedName>
    <definedName name="XRefPaste27Row" hidden="1">#REF!</definedName>
    <definedName name="XRefPaste28" localSheetId="1" hidden="1">#REF!</definedName>
    <definedName name="XRefPaste28" localSheetId="15" hidden="1">#REF!</definedName>
    <definedName name="XRefPaste28" localSheetId="7" hidden="1">#REF!</definedName>
    <definedName name="XRefPaste28" localSheetId="14" hidden="1">#REF!</definedName>
    <definedName name="XRefPaste28" localSheetId="2" hidden="1">#REF!</definedName>
    <definedName name="XRefPaste28" localSheetId="34" hidden="1">#REF!</definedName>
    <definedName name="XRefPaste28" localSheetId="38" hidden="1">#REF!</definedName>
    <definedName name="XRefPaste28" localSheetId="12" hidden="1">#REF!</definedName>
    <definedName name="XRefPaste28" localSheetId="10" hidden="1">#REF!</definedName>
    <definedName name="XRefPaste28" localSheetId="6" hidden="1">#REF!</definedName>
    <definedName name="XRefPaste28" hidden="1">#REF!</definedName>
    <definedName name="XRefPaste28Row" localSheetId="1" hidden="1">#REF!</definedName>
    <definedName name="XRefPaste28Row" localSheetId="15" hidden="1">#REF!</definedName>
    <definedName name="XRefPaste28Row" localSheetId="7" hidden="1">#REF!</definedName>
    <definedName name="XRefPaste28Row" localSheetId="14" hidden="1">#REF!</definedName>
    <definedName name="XRefPaste28Row" localSheetId="2" hidden="1">#REF!</definedName>
    <definedName name="XRefPaste28Row" localSheetId="34" hidden="1">#REF!</definedName>
    <definedName name="XRefPaste28Row" localSheetId="38" hidden="1">#REF!</definedName>
    <definedName name="XRefPaste28Row" localSheetId="12" hidden="1">#REF!</definedName>
    <definedName name="XRefPaste28Row" localSheetId="10" hidden="1">#REF!</definedName>
    <definedName name="XRefPaste28Row" localSheetId="11" hidden="1">#REF!</definedName>
    <definedName name="XRefPaste28Row" localSheetId="6" hidden="1">#REF!</definedName>
    <definedName name="XRefPaste28Row" hidden="1">#REF!</definedName>
    <definedName name="XRefPaste29" localSheetId="1" hidden="1">#REF!</definedName>
    <definedName name="XRefPaste29" localSheetId="15" hidden="1">#REF!</definedName>
    <definedName name="XRefPaste29" localSheetId="7" hidden="1">#REF!</definedName>
    <definedName name="XRefPaste29" localSheetId="14" hidden="1">#REF!</definedName>
    <definedName name="XRefPaste29" localSheetId="2" hidden="1">#REF!</definedName>
    <definedName name="XRefPaste29" localSheetId="34" hidden="1">#REF!</definedName>
    <definedName name="XRefPaste29" localSheetId="38" hidden="1">#REF!</definedName>
    <definedName name="XRefPaste29" localSheetId="12" hidden="1">#REF!</definedName>
    <definedName name="XRefPaste29" localSheetId="10" hidden="1">#REF!</definedName>
    <definedName name="XRefPaste29" localSheetId="6" hidden="1">#REF!</definedName>
    <definedName name="XRefPaste29" hidden="1">#REF!</definedName>
    <definedName name="XRefPaste29Row" localSheetId="1" hidden="1">#REF!</definedName>
    <definedName name="XRefPaste29Row" localSheetId="15" hidden="1">#REF!</definedName>
    <definedName name="XRefPaste29Row" localSheetId="7" hidden="1">#REF!</definedName>
    <definedName name="XRefPaste29Row" localSheetId="14" hidden="1">#REF!</definedName>
    <definedName name="XRefPaste29Row" localSheetId="2" hidden="1">#REF!</definedName>
    <definedName name="XRefPaste29Row" localSheetId="34" hidden="1">#REF!</definedName>
    <definedName name="XRefPaste29Row" localSheetId="38" hidden="1">#REF!</definedName>
    <definedName name="XRefPaste29Row" localSheetId="12" hidden="1">#REF!</definedName>
    <definedName name="XRefPaste29Row" localSheetId="10" hidden="1">#REF!</definedName>
    <definedName name="XRefPaste29Row" localSheetId="11" hidden="1">#REF!</definedName>
    <definedName name="XRefPaste29Row" localSheetId="6" hidden="1">#REF!</definedName>
    <definedName name="XRefPaste29Row" hidden="1">#REF!</definedName>
    <definedName name="XRefPaste2Row" localSheetId="1" hidden="1">#REF!</definedName>
    <definedName name="XRefPaste2Row" localSheetId="15" hidden="1">#REF!</definedName>
    <definedName name="XRefPaste2Row" localSheetId="7" hidden="1">#REF!</definedName>
    <definedName name="XRefPaste2Row" localSheetId="14" hidden="1">#REF!</definedName>
    <definedName name="XRefPaste2Row" localSheetId="2" hidden="1">#REF!</definedName>
    <definedName name="XRefPaste2Row" localSheetId="34" hidden="1">#REF!</definedName>
    <definedName name="XRefPaste2Row" localSheetId="38" hidden="1">#REF!</definedName>
    <definedName name="XRefPaste2Row" localSheetId="12" hidden="1">#REF!</definedName>
    <definedName name="XRefPaste2Row" localSheetId="10" hidden="1">#REF!</definedName>
    <definedName name="XRefPaste2Row" localSheetId="6" hidden="1">#REF!</definedName>
    <definedName name="XRefPaste2Row" hidden="1">#REF!</definedName>
    <definedName name="XRefPaste3" localSheetId="1" hidden="1">#REF!</definedName>
    <definedName name="XRefPaste3" localSheetId="15" hidden="1">#REF!</definedName>
    <definedName name="XRefPaste3" localSheetId="7" hidden="1">#REF!</definedName>
    <definedName name="XRefPaste3" localSheetId="14" hidden="1">#REF!</definedName>
    <definedName name="XRefPaste3" localSheetId="2" hidden="1">#REF!</definedName>
    <definedName name="XRefPaste3" localSheetId="34" hidden="1">#REF!</definedName>
    <definedName name="XRefPaste3" localSheetId="38" hidden="1">#REF!</definedName>
    <definedName name="XRefPaste3" localSheetId="12" hidden="1">#REF!</definedName>
    <definedName name="XRefPaste3" localSheetId="10" hidden="1">#REF!</definedName>
    <definedName name="XRefPaste3" localSheetId="11" hidden="1">#REF!</definedName>
    <definedName name="XRefPaste3" localSheetId="6" hidden="1">#REF!</definedName>
    <definedName name="XRefPaste3" hidden="1">#REF!</definedName>
    <definedName name="XRefPaste30" localSheetId="1" hidden="1">#REF!</definedName>
    <definedName name="XRefPaste30" localSheetId="15" hidden="1">#REF!</definedName>
    <definedName name="XRefPaste30" localSheetId="7" hidden="1">#REF!</definedName>
    <definedName name="XRefPaste30" localSheetId="14" hidden="1">#REF!</definedName>
    <definedName name="XRefPaste30" localSheetId="2" hidden="1">#REF!</definedName>
    <definedName name="XRefPaste30" localSheetId="34" hidden="1">#REF!</definedName>
    <definedName name="XRefPaste30" localSheetId="38" hidden="1">#REF!</definedName>
    <definedName name="XRefPaste30" localSheetId="12" hidden="1">#REF!</definedName>
    <definedName name="XRefPaste30" localSheetId="10" hidden="1">#REF!</definedName>
    <definedName name="XRefPaste30" localSheetId="6" hidden="1">#REF!</definedName>
    <definedName name="XRefPaste30" hidden="1">#REF!</definedName>
    <definedName name="XRefPaste30Row" localSheetId="1" hidden="1">#REF!</definedName>
    <definedName name="XRefPaste30Row" localSheetId="15" hidden="1">#REF!</definedName>
    <definedName name="XRefPaste30Row" localSheetId="7" hidden="1">#REF!</definedName>
    <definedName name="XRefPaste30Row" localSheetId="14" hidden="1">#REF!</definedName>
    <definedName name="XRefPaste30Row" localSheetId="2" hidden="1">#REF!</definedName>
    <definedName name="XRefPaste30Row" localSheetId="34" hidden="1">#REF!</definedName>
    <definedName name="XRefPaste30Row" localSheetId="38" hidden="1">#REF!</definedName>
    <definedName name="XRefPaste30Row" localSheetId="12" hidden="1">#REF!</definedName>
    <definedName name="XRefPaste30Row" localSheetId="10" hidden="1">#REF!</definedName>
    <definedName name="XRefPaste30Row" localSheetId="11" hidden="1">#REF!</definedName>
    <definedName name="XRefPaste30Row" localSheetId="6" hidden="1">#REF!</definedName>
    <definedName name="XRefPaste30Row" hidden="1">#REF!</definedName>
    <definedName name="XRefPaste31" localSheetId="1" hidden="1">#REF!</definedName>
    <definedName name="XRefPaste31" localSheetId="15" hidden="1">#REF!</definedName>
    <definedName name="XRefPaste31" localSheetId="7" hidden="1">#REF!</definedName>
    <definedName name="XRefPaste31" localSheetId="14" hidden="1">#REF!</definedName>
    <definedName name="XRefPaste31" localSheetId="2" hidden="1">#REF!</definedName>
    <definedName name="XRefPaste31" localSheetId="34" hidden="1">#REF!</definedName>
    <definedName name="XRefPaste31" localSheetId="38" hidden="1">#REF!</definedName>
    <definedName name="XRefPaste31" localSheetId="12" hidden="1">#REF!</definedName>
    <definedName name="XRefPaste31" localSheetId="10" hidden="1">#REF!</definedName>
    <definedName name="XRefPaste31" localSheetId="6" hidden="1">#REF!</definedName>
    <definedName name="XRefPaste31" hidden="1">#REF!</definedName>
    <definedName name="XRefPaste31Row" localSheetId="1" hidden="1">#REF!</definedName>
    <definedName name="XRefPaste31Row" localSheetId="15" hidden="1">#REF!</definedName>
    <definedName name="XRefPaste31Row" localSheetId="7" hidden="1">#REF!</definedName>
    <definedName name="XRefPaste31Row" localSheetId="14" hidden="1">#REF!</definedName>
    <definedName name="XRefPaste31Row" localSheetId="2" hidden="1">#REF!</definedName>
    <definedName name="XRefPaste31Row" localSheetId="34" hidden="1">#REF!</definedName>
    <definedName name="XRefPaste31Row" localSheetId="38" hidden="1">#REF!</definedName>
    <definedName name="XRefPaste31Row" localSheetId="12" hidden="1">#REF!</definedName>
    <definedName name="XRefPaste31Row" localSheetId="10" hidden="1">#REF!</definedName>
    <definedName name="XRefPaste31Row" localSheetId="11" hidden="1">#REF!</definedName>
    <definedName name="XRefPaste31Row" localSheetId="6" hidden="1">#REF!</definedName>
    <definedName name="XRefPaste31Row" hidden="1">#REF!</definedName>
    <definedName name="XRefPaste32" localSheetId="1" hidden="1">#REF!</definedName>
    <definedName name="XRefPaste32" localSheetId="15" hidden="1">#REF!</definedName>
    <definedName name="XRefPaste32" localSheetId="7" hidden="1">#REF!</definedName>
    <definedName name="XRefPaste32" localSheetId="14" hidden="1">#REF!</definedName>
    <definedName name="XRefPaste32" localSheetId="2" hidden="1">#REF!</definedName>
    <definedName name="XRefPaste32" localSheetId="34" hidden="1">#REF!</definedName>
    <definedName name="XRefPaste32" localSheetId="38" hidden="1">#REF!</definedName>
    <definedName name="XRefPaste32" localSheetId="12" hidden="1">#REF!</definedName>
    <definedName name="XRefPaste32" localSheetId="10" hidden="1">#REF!</definedName>
    <definedName name="XRefPaste32" localSheetId="6" hidden="1">#REF!</definedName>
    <definedName name="XRefPaste32" hidden="1">#REF!</definedName>
    <definedName name="XRefPaste32Row" localSheetId="1" hidden="1">#REF!</definedName>
    <definedName name="XRefPaste32Row" localSheetId="15" hidden="1">#REF!</definedName>
    <definedName name="XRefPaste32Row" localSheetId="7" hidden="1">#REF!</definedName>
    <definedName name="XRefPaste32Row" localSheetId="14" hidden="1">#REF!</definedName>
    <definedName name="XRefPaste32Row" localSheetId="2" hidden="1">#REF!</definedName>
    <definedName name="XRefPaste32Row" localSheetId="34" hidden="1">#REF!</definedName>
    <definedName name="XRefPaste32Row" localSheetId="38" hidden="1">#REF!</definedName>
    <definedName name="XRefPaste32Row" localSheetId="12" hidden="1">#REF!</definedName>
    <definedName name="XRefPaste32Row" localSheetId="10" hidden="1">#REF!</definedName>
    <definedName name="XRefPaste32Row" localSheetId="11" hidden="1">#REF!</definedName>
    <definedName name="XRefPaste32Row" localSheetId="6" hidden="1">#REF!</definedName>
    <definedName name="XRefPaste32Row" hidden="1">#REF!</definedName>
    <definedName name="XRefPaste33Row" localSheetId="1" hidden="1">#REF!</definedName>
    <definedName name="XRefPaste33Row" localSheetId="15" hidden="1">#REF!</definedName>
    <definedName name="XRefPaste33Row" localSheetId="7" hidden="1">#REF!</definedName>
    <definedName name="XRefPaste33Row" localSheetId="14" hidden="1">#REF!</definedName>
    <definedName name="XRefPaste33Row" localSheetId="2" hidden="1">#REF!</definedName>
    <definedName name="XRefPaste33Row" localSheetId="34" hidden="1">#REF!</definedName>
    <definedName name="XRefPaste33Row" localSheetId="38" hidden="1">#REF!</definedName>
    <definedName name="XRefPaste33Row" localSheetId="12" hidden="1">#REF!</definedName>
    <definedName name="XRefPaste33Row" localSheetId="10" hidden="1">#REF!</definedName>
    <definedName name="XRefPaste33Row" localSheetId="11" hidden="1">#REF!</definedName>
    <definedName name="XRefPaste33Row" localSheetId="6" hidden="1">#REF!</definedName>
    <definedName name="XRefPaste33Row" hidden="1">#REF!</definedName>
    <definedName name="XRefPaste34" localSheetId="1" hidden="1">#REF!</definedName>
    <definedName name="XRefPaste34" localSheetId="15" hidden="1">#REF!</definedName>
    <definedName name="XRefPaste34" localSheetId="7" hidden="1">#REF!</definedName>
    <definedName name="XRefPaste34" localSheetId="14" hidden="1">#REF!</definedName>
    <definedName name="XRefPaste34" localSheetId="2" hidden="1">#REF!</definedName>
    <definedName name="XRefPaste34" localSheetId="34" hidden="1">#REF!</definedName>
    <definedName name="XRefPaste34" localSheetId="38" hidden="1">#REF!</definedName>
    <definedName name="XRefPaste34" localSheetId="12" hidden="1">#REF!</definedName>
    <definedName name="XRefPaste34" localSheetId="10" hidden="1">#REF!</definedName>
    <definedName name="XRefPaste34" localSheetId="6" hidden="1">#REF!</definedName>
    <definedName name="XRefPaste34" hidden="1">#REF!</definedName>
    <definedName name="XRefPaste34Row" localSheetId="1" hidden="1">#REF!</definedName>
    <definedName name="XRefPaste34Row" localSheetId="15" hidden="1">#REF!</definedName>
    <definedName name="XRefPaste34Row" localSheetId="7" hidden="1">#REF!</definedName>
    <definedName name="XRefPaste34Row" localSheetId="14" hidden="1">#REF!</definedName>
    <definedName name="XRefPaste34Row" localSheetId="2" hidden="1">#REF!</definedName>
    <definedName name="XRefPaste34Row" localSheetId="34" hidden="1">#REF!</definedName>
    <definedName name="XRefPaste34Row" localSheetId="38" hidden="1">#REF!</definedName>
    <definedName name="XRefPaste34Row" localSheetId="12" hidden="1">#REF!</definedName>
    <definedName name="XRefPaste34Row" localSheetId="10" hidden="1">#REF!</definedName>
    <definedName name="XRefPaste34Row" localSheetId="11" hidden="1">#REF!</definedName>
    <definedName name="XRefPaste34Row" localSheetId="6" hidden="1">#REF!</definedName>
    <definedName name="XRefPaste34Row" hidden="1">#REF!</definedName>
    <definedName name="XRefPaste35" localSheetId="1" hidden="1">#REF!</definedName>
    <definedName name="XRefPaste35" localSheetId="15" hidden="1">#REF!</definedName>
    <definedName name="XRefPaste35" localSheetId="7" hidden="1">#REF!</definedName>
    <definedName name="XRefPaste35" localSheetId="14" hidden="1">#REF!</definedName>
    <definedName name="XRefPaste35" localSheetId="2" hidden="1">#REF!</definedName>
    <definedName name="XRefPaste35" localSheetId="34" hidden="1">#REF!</definedName>
    <definedName name="XRefPaste35" localSheetId="38" hidden="1">#REF!</definedName>
    <definedName name="XRefPaste35" localSheetId="12" hidden="1">#REF!</definedName>
    <definedName name="XRefPaste35" localSheetId="10" hidden="1">#REF!</definedName>
    <definedName name="XRefPaste35" localSheetId="6" hidden="1">#REF!</definedName>
    <definedName name="XRefPaste35" hidden="1">#REF!</definedName>
    <definedName name="XRefPaste35Row" localSheetId="1" hidden="1">#REF!</definedName>
    <definedName name="XRefPaste35Row" localSheetId="15" hidden="1">#REF!</definedName>
    <definedName name="XRefPaste35Row" localSheetId="7" hidden="1">#REF!</definedName>
    <definedName name="XRefPaste35Row" localSheetId="14" hidden="1">#REF!</definedName>
    <definedName name="XRefPaste35Row" localSheetId="2" hidden="1">#REF!</definedName>
    <definedName name="XRefPaste35Row" localSheetId="34" hidden="1">#REF!</definedName>
    <definedName name="XRefPaste35Row" localSheetId="38" hidden="1">#REF!</definedName>
    <definedName name="XRefPaste35Row" localSheetId="12" hidden="1">#REF!</definedName>
    <definedName name="XRefPaste35Row" localSheetId="10" hidden="1">#REF!</definedName>
    <definedName name="XRefPaste35Row" localSheetId="11" hidden="1">#REF!</definedName>
    <definedName name="XRefPaste35Row" localSheetId="6" hidden="1">#REF!</definedName>
    <definedName name="XRefPaste35Row" hidden="1">#REF!</definedName>
    <definedName name="XRefPaste36" localSheetId="1" hidden="1">#REF!</definedName>
    <definedName name="XRefPaste36" localSheetId="15" hidden="1">#REF!</definedName>
    <definedName name="XRefPaste36" localSheetId="7" hidden="1">#REF!</definedName>
    <definedName name="XRefPaste36" localSheetId="14" hidden="1">#REF!</definedName>
    <definedName name="XRefPaste36" localSheetId="2" hidden="1">#REF!</definedName>
    <definedName name="XRefPaste36" localSheetId="34" hidden="1">#REF!</definedName>
    <definedName name="XRefPaste36" localSheetId="38" hidden="1">#REF!</definedName>
    <definedName name="XRefPaste36" localSheetId="12" hidden="1">#REF!</definedName>
    <definedName name="XRefPaste36" localSheetId="10" hidden="1">#REF!</definedName>
    <definedName name="XRefPaste36" localSheetId="6" hidden="1">#REF!</definedName>
    <definedName name="XRefPaste36" hidden="1">#REF!</definedName>
    <definedName name="XRefPaste36Row" localSheetId="1" hidden="1">#REF!</definedName>
    <definedName name="XRefPaste36Row" localSheetId="15" hidden="1">#REF!</definedName>
    <definedName name="XRefPaste36Row" localSheetId="7" hidden="1">#REF!</definedName>
    <definedName name="XRefPaste36Row" localSheetId="14" hidden="1">#REF!</definedName>
    <definedName name="XRefPaste36Row" localSheetId="2" hidden="1">#REF!</definedName>
    <definedName name="XRefPaste36Row" localSheetId="34" hidden="1">#REF!</definedName>
    <definedName name="XRefPaste36Row" localSheetId="38" hidden="1">#REF!</definedName>
    <definedName name="XRefPaste36Row" localSheetId="12" hidden="1">#REF!</definedName>
    <definedName name="XRefPaste36Row" localSheetId="10" hidden="1">#REF!</definedName>
    <definedName name="XRefPaste36Row" localSheetId="6" hidden="1">#REF!</definedName>
    <definedName name="XRefPaste36Row" hidden="1">#REF!</definedName>
    <definedName name="XRefPaste37" localSheetId="1" hidden="1">#REF!</definedName>
    <definedName name="XRefPaste37" localSheetId="15" hidden="1">#REF!</definedName>
    <definedName name="XRefPaste37" localSheetId="7" hidden="1">#REF!</definedName>
    <definedName name="XRefPaste37" localSheetId="14" hidden="1">#REF!</definedName>
    <definedName name="XRefPaste37" localSheetId="2" hidden="1">#REF!</definedName>
    <definedName name="XRefPaste37" localSheetId="34" hidden="1">#REF!</definedName>
    <definedName name="XRefPaste37" localSheetId="38" hidden="1">#REF!</definedName>
    <definedName name="XRefPaste37" localSheetId="12" hidden="1">#REF!</definedName>
    <definedName name="XRefPaste37" localSheetId="10" hidden="1">#REF!</definedName>
    <definedName name="XRefPaste37" localSheetId="6" hidden="1">#REF!</definedName>
    <definedName name="XRefPaste37" hidden="1">#REF!</definedName>
    <definedName name="XRefPaste37Row" localSheetId="1" hidden="1">#REF!</definedName>
    <definedName name="XRefPaste37Row" localSheetId="15" hidden="1">#REF!</definedName>
    <definedName name="XRefPaste37Row" localSheetId="7" hidden="1">#REF!</definedName>
    <definedName name="XRefPaste37Row" localSheetId="14" hidden="1">#REF!</definedName>
    <definedName name="XRefPaste37Row" localSheetId="2" hidden="1">#REF!</definedName>
    <definedName name="XRefPaste37Row" localSheetId="34" hidden="1">#REF!</definedName>
    <definedName name="XRefPaste37Row" localSheetId="38" hidden="1">#REF!</definedName>
    <definedName name="XRefPaste37Row" localSheetId="12" hidden="1">#REF!</definedName>
    <definedName name="XRefPaste37Row" localSheetId="10" hidden="1">#REF!</definedName>
    <definedName name="XRefPaste37Row" localSheetId="6" hidden="1">#REF!</definedName>
    <definedName name="XRefPaste37Row" hidden="1">#REF!</definedName>
    <definedName name="XRefPaste38" localSheetId="1" hidden="1">#REF!</definedName>
    <definedName name="XRefPaste38" localSheetId="15" hidden="1">#REF!</definedName>
    <definedName name="XRefPaste38" localSheetId="7" hidden="1">#REF!</definedName>
    <definedName name="XRefPaste38" localSheetId="14" hidden="1">#REF!</definedName>
    <definedName name="XRefPaste38" localSheetId="2" hidden="1">#REF!</definedName>
    <definedName name="XRefPaste38" localSheetId="34" hidden="1">#REF!</definedName>
    <definedName name="XRefPaste38" localSheetId="38" hidden="1">#REF!</definedName>
    <definedName name="XRefPaste38" localSheetId="12" hidden="1">#REF!</definedName>
    <definedName name="XRefPaste38" localSheetId="10" hidden="1">#REF!</definedName>
    <definedName name="XRefPaste38" localSheetId="6" hidden="1">#REF!</definedName>
    <definedName name="XRefPaste38" hidden="1">#REF!</definedName>
    <definedName name="XRefPaste38Row" localSheetId="1" hidden="1">#REF!</definedName>
    <definedName name="XRefPaste38Row" localSheetId="15" hidden="1">#REF!</definedName>
    <definedName name="XRefPaste38Row" localSheetId="7" hidden="1">#REF!</definedName>
    <definedName name="XRefPaste38Row" localSheetId="14" hidden="1">#REF!</definedName>
    <definedName name="XRefPaste38Row" localSheetId="2" hidden="1">#REF!</definedName>
    <definedName name="XRefPaste38Row" localSheetId="34" hidden="1">#REF!</definedName>
    <definedName name="XRefPaste38Row" localSheetId="38" hidden="1">#REF!</definedName>
    <definedName name="XRefPaste38Row" localSheetId="12" hidden="1">#REF!</definedName>
    <definedName name="XRefPaste38Row" localSheetId="10" hidden="1">#REF!</definedName>
    <definedName name="XRefPaste38Row" localSheetId="6" hidden="1">#REF!</definedName>
    <definedName name="XRefPaste38Row" hidden="1">#REF!</definedName>
    <definedName name="XRefPaste39" localSheetId="1" hidden="1">#REF!</definedName>
    <definedName name="XRefPaste39" localSheetId="15" hidden="1">#REF!</definedName>
    <definedName name="XRefPaste39" localSheetId="7" hidden="1">#REF!</definedName>
    <definedName name="XRefPaste39" localSheetId="14" hidden="1">#REF!</definedName>
    <definedName name="XRefPaste39" localSheetId="2" hidden="1">#REF!</definedName>
    <definedName name="XRefPaste39" localSheetId="34" hidden="1">#REF!</definedName>
    <definedName name="XRefPaste39" localSheetId="38" hidden="1">#REF!</definedName>
    <definedName name="XRefPaste39" localSheetId="12" hidden="1">#REF!</definedName>
    <definedName name="XRefPaste39" localSheetId="10" hidden="1">#REF!</definedName>
    <definedName name="XRefPaste39" localSheetId="6" hidden="1">#REF!</definedName>
    <definedName name="XRefPaste39" hidden="1">#REF!</definedName>
    <definedName name="XRefPaste39Row" localSheetId="1" hidden="1">#REF!</definedName>
    <definedName name="XRefPaste39Row" localSheetId="15" hidden="1">#REF!</definedName>
    <definedName name="XRefPaste39Row" localSheetId="7" hidden="1">#REF!</definedName>
    <definedName name="XRefPaste39Row" localSheetId="14" hidden="1">#REF!</definedName>
    <definedName name="XRefPaste39Row" localSheetId="2" hidden="1">#REF!</definedName>
    <definedName name="XRefPaste39Row" localSheetId="34" hidden="1">#REF!</definedName>
    <definedName name="XRefPaste39Row" localSheetId="38" hidden="1">#REF!</definedName>
    <definedName name="XRefPaste39Row" localSheetId="12" hidden="1">#REF!</definedName>
    <definedName name="XRefPaste39Row" localSheetId="10" hidden="1">#REF!</definedName>
    <definedName name="XRefPaste39Row" localSheetId="6" hidden="1">#REF!</definedName>
    <definedName name="XRefPaste39Row" hidden="1">#REF!</definedName>
    <definedName name="XRefPaste3Row" localSheetId="1" hidden="1">#REF!</definedName>
    <definedName name="XRefPaste3Row" localSheetId="15" hidden="1">#REF!</definedName>
    <definedName name="XRefPaste3Row" localSheetId="7" hidden="1">#REF!</definedName>
    <definedName name="XRefPaste3Row" localSheetId="14" hidden="1">#REF!</definedName>
    <definedName name="XRefPaste3Row" localSheetId="2" hidden="1">#REF!</definedName>
    <definedName name="XRefPaste3Row" localSheetId="34" hidden="1">#REF!</definedName>
    <definedName name="XRefPaste3Row" localSheetId="38" hidden="1">#REF!</definedName>
    <definedName name="XRefPaste3Row" localSheetId="12" hidden="1">#REF!</definedName>
    <definedName name="XRefPaste3Row" localSheetId="10" hidden="1">#REF!</definedName>
    <definedName name="XRefPaste3Row" localSheetId="6" hidden="1">#REF!</definedName>
    <definedName name="XRefPaste3Row" hidden="1">#REF!</definedName>
    <definedName name="XRefPaste4" localSheetId="1" hidden="1">#REF!</definedName>
    <definedName name="XRefPaste4" localSheetId="15" hidden="1">#REF!</definedName>
    <definedName name="XRefPaste4" localSheetId="7" hidden="1">#REF!</definedName>
    <definedName name="XRefPaste4" localSheetId="2" hidden="1">#REF!</definedName>
    <definedName name="XRefPaste4" localSheetId="34" hidden="1">#REF!</definedName>
    <definedName name="XRefPaste4" localSheetId="38" hidden="1">#REF!</definedName>
    <definedName name="XRefPaste4" localSheetId="12" hidden="1">#REF!</definedName>
    <definedName name="XRefPaste4" localSheetId="10" hidden="1">#REF!</definedName>
    <definedName name="XRefPaste4" localSheetId="11" hidden="1">#REF!</definedName>
    <definedName name="XRefPaste4" localSheetId="6" hidden="1">#REF!</definedName>
    <definedName name="XRefPaste4" hidden="1">#REF!</definedName>
    <definedName name="XRefPaste40" localSheetId="1" hidden="1">#REF!</definedName>
    <definedName name="XRefPaste40" localSheetId="15" hidden="1">#REF!</definedName>
    <definedName name="XRefPaste40" localSheetId="7" hidden="1">#REF!</definedName>
    <definedName name="XRefPaste40" localSheetId="14" hidden="1">#REF!</definedName>
    <definedName name="XRefPaste40" localSheetId="2" hidden="1">#REF!</definedName>
    <definedName name="XRefPaste40" localSheetId="34" hidden="1">#REF!</definedName>
    <definedName name="XRefPaste40" localSheetId="38" hidden="1">#REF!</definedName>
    <definedName name="XRefPaste40" localSheetId="12" hidden="1">#REF!</definedName>
    <definedName name="XRefPaste40" localSheetId="10" hidden="1">#REF!</definedName>
    <definedName name="XRefPaste40" localSheetId="6" hidden="1">#REF!</definedName>
    <definedName name="XRefPaste40" hidden="1">#REF!</definedName>
    <definedName name="XRefPaste40Row" localSheetId="1" hidden="1">#REF!</definedName>
    <definedName name="XRefPaste40Row" localSheetId="15" hidden="1">#REF!</definedName>
    <definedName name="XRefPaste40Row" localSheetId="7" hidden="1">#REF!</definedName>
    <definedName name="XRefPaste40Row" localSheetId="14" hidden="1">#REF!</definedName>
    <definedName name="XRefPaste40Row" localSheetId="2" hidden="1">#REF!</definedName>
    <definedName name="XRefPaste40Row" localSheetId="34" hidden="1">#REF!</definedName>
    <definedName name="XRefPaste40Row" localSheetId="38" hidden="1">#REF!</definedName>
    <definedName name="XRefPaste40Row" localSheetId="12" hidden="1">#REF!</definedName>
    <definedName name="XRefPaste40Row" localSheetId="10" hidden="1">#REF!</definedName>
    <definedName name="XRefPaste40Row" localSheetId="6" hidden="1">#REF!</definedName>
    <definedName name="XRefPaste40Row" hidden="1">#REF!</definedName>
    <definedName name="XRefPaste41" localSheetId="1" hidden="1">#REF!</definedName>
    <definedName name="XRefPaste41" localSheetId="15" hidden="1">#REF!</definedName>
    <definedName name="XRefPaste41" localSheetId="7" hidden="1">#REF!</definedName>
    <definedName name="XRefPaste41" localSheetId="14" hidden="1">#REF!</definedName>
    <definedName name="XRefPaste41" localSheetId="2" hidden="1">#REF!</definedName>
    <definedName name="XRefPaste41" localSheetId="34" hidden="1">#REF!</definedName>
    <definedName name="XRefPaste41" localSheetId="38" hidden="1">#REF!</definedName>
    <definedName name="XRefPaste41" localSheetId="12" hidden="1">#REF!</definedName>
    <definedName name="XRefPaste41" localSheetId="10" hidden="1">#REF!</definedName>
    <definedName name="XRefPaste41" localSheetId="6" hidden="1">#REF!</definedName>
    <definedName name="XRefPaste41" hidden="1">#REF!</definedName>
    <definedName name="XRefPaste41Row" localSheetId="1" hidden="1">#REF!</definedName>
    <definedName name="XRefPaste41Row" localSheetId="15" hidden="1">#REF!</definedName>
    <definedName name="XRefPaste41Row" localSheetId="7" hidden="1">#REF!</definedName>
    <definedName name="XRefPaste41Row" localSheetId="14" hidden="1">#REF!</definedName>
    <definedName name="XRefPaste41Row" localSheetId="2" hidden="1">#REF!</definedName>
    <definedName name="XRefPaste41Row" localSheetId="34" hidden="1">#REF!</definedName>
    <definedName name="XRefPaste41Row" localSheetId="38" hidden="1">#REF!</definedName>
    <definedName name="XRefPaste41Row" localSheetId="12" hidden="1">#REF!</definedName>
    <definedName name="XRefPaste41Row" localSheetId="10" hidden="1">#REF!</definedName>
    <definedName name="XRefPaste41Row" localSheetId="6" hidden="1">#REF!</definedName>
    <definedName name="XRefPaste41Row" hidden="1">#REF!</definedName>
    <definedName name="XRefPaste42" localSheetId="1" hidden="1">#REF!</definedName>
    <definedName name="XRefPaste42" localSheetId="15" hidden="1">#REF!</definedName>
    <definedName name="XRefPaste42" localSheetId="7" hidden="1">#REF!</definedName>
    <definedName name="XRefPaste42" localSheetId="14" hidden="1">#REF!</definedName>
    <definedName name="XRefPaste42" localSheetId="2" hidden="1">#REF!</definedName>
    <definedName name="XRefPaste42" localSheetId="34" hidden="1">#REF!</definedName>
    <definedName name="XRefPaste42" localSheetId="38" hidden="1">#REF!</definedName>
    <definedName name="XRefPaste42" localSheetId="12" hidden="1">#REF!</definedName>
    <definedName name="XRefPaste42" localSheetId="10" hidden="1">#REF!</definedName>
    <definedName name="XRefPaste42" localSheetId="6" hidden="1">#REF!</definedName>
    <definedName name="XRefPaste42" hidden="1">#REF!</definedName>
    <definedName name="XRefPaste42Row" localSheetId="1" hidden="1">#REF!</definedName>
    <definedName name="XRefPaste42Row" localSheetId="15" hidden="1">#REF!</definedName>
    <definedName name="XRefPaste42Row" localSheetId="7" hidden="1">#REF!</definedName>
    <definedName name="XRefPaste42Row" localSheetId="14" hidden="1">#REF!</definedName>
    <definedName name="XRefPaste42Row" localSheetId="2" hidden="1">#REF!</definedName>
    <definedName name="XRefPaste42Row" localSheetId="34" hidden="1">#REF!</definedName>
    <definedName name="XRefPaste42Row" localSheetId="38" hidden="1">#REF!</definedName>
    <definedName name="XRefPaste42Row" localSheetId="12" hidden="1">#REF!</definedName>
    <definedName name="XRefPaste42Row" localSheetId="10" hidden="1">#REF!</definedName>
    <definedName name="XRefPaste42Row" localSheetId="6" hidden="1">#REF!</definedName>
    <definedName name="XRefPaste42Row" hidden="1">#REF!</definedName>
    <definedName name="XRefPaste43" localSheetId="1" hidden="1">#REF!</definedName>
    <definedName name="XRefPaste43" localSheetId="15" hidden="1">#REF!</definedName>
    <definedName name="XRefPaste43" localSheetId="7" hidden="1">#REF!</definedName>
    <definedName name="XRefPaste43" localSheetId="14" hidden="1">#REF!</definedName>
    <definedName name="XRefPaste43" localSheetId="2" hidden="1">#REF!</definedName>
    <definedName name="XRefPaste43" localSheetId="34" hidden="1">#REF!</definedName>
    <definedName name="XRefPaste43" localSheetId="38" hidden="1">#REF!</definedName>
    <definedName name="XRefPaste43" localSheetId="12" hidden="1">#REF!</definedName>
    <definedName name="XRefPaste43" localSheetId="10" hidden="1">#REF!</definedName>
    <definedName name="XRefPaste43" localSheetId="6" hidden="1">#REF!</definedName>
    <definedName name="XRefPaste43" hidden="1">#REF!</definedName>
    <definedName name="XRefPaste43Row" localSheetId="1" hidden="1">#REF!</definedName>
    <definedName name="XRefPaste43Row" localSheetId="15" hidden="1">#REF!</definedName>
    <definedName name="XRefPaste43Row" localSheetId="7" hidden="1">#REF!</definedName>
    <definedName name="XRefPaste43Row" localSheetId="14" hidden="1">#REF!</definedName>
    <definedName name="XRefPaste43Row" localSheetId="2" hidden="1">#REF!</definedName>
    <definedName name="XRefPaste43Row" localSheetId="34" hidden="1">#REF!</definedName>
    <definedName name="XRefPaste43Row" localSheetId="38" hidden="1">#REF!</definedName>
    <definedName name="XRefPaste43Row" localSheetId="12" hidden="1">#REF!</definedName>
    <definedName name="XRefPaste43Row" localSheetId="10" hidden="1">#REF!</definedName>
    <definedName name="XRefPaste43Row" localSheetId="6" hidden="1">#REF!</definedName>
    <definedName name="XRefPaste43Row" hidden="1">#REF!</definedName>
    <definedName name="XRefPaste44" localSheetId="1" hidden="1">#REF!</definedName>
    <definedName name="XRefPaste44" localSheetId="15" hidden="1">#REF!</definedName>
    <definedName name="XRefPaste44" localSheetId="7" hidden="1">#REF!</definedName>
    <definedName name="XRefPaste44" localSheetId="14" hidden="1">#REF!</definedName>
    <definedName name="XRefPaste44" localSheetId="2" hidden="1">#REF!</definedName>
    <definedName name="XRefPaste44" localSheetId="34" hidden="1">#REF!</definedName>
    <definedName name="XRefPaste44" localSheetId="38" hidden="1">#REF!</definedName>
    <definedName name="XRefPaste44" localSheetId="12" hidden="1">#REF!</definedName>
    <definedName name="XRefPaste44" localSheetId="10" hidden="1">#REF!</definedName>
    <definedName name="XRefPaste44" localSheetId="6" hidden="1">#REF!</definedName>
    <definedName name="XRefPaste44" hidden="1">#REF!</definedName>
    <definedName name="XRefPaste44Row" localSheetId="1" hidden="1">#REF!</definedName>
    <definedName name="XRefPaste44Row" localSheetId="15" hidden="1">#REF!</definedName>
    <definedName name="XRefPaste44Row" localSheetId="7" hidden="1">#REF!</definedName>
    <definedName name="XRefPaste44Row" localSheetId="14" hidden="1">#REF!</definedName>
    <definedName name="XRefPaste44Row" localSheetId="2" hidden="1">#REF!</definedName>
    <definedName name="XRefPaste44Row" localSheetId="34" hidden="1">#REF!</definedName>
    <definedName name="XRefPaste44Row" localSheetId="38" hidden="1">#REF!</definedName>
    <definedName name="XRefPaste44Row" localSheetId="12" hidden="1">#REF!</definedName>
    <definedName name="XRefPaste44Row" localSheetId="10" hidden="1">#REF!</definedName>
    <definedName name="XRefPaste44Row" localSheetId="6" hidden="1">#REF!</definedName>
    <definedName name="XRefPaste44Row" hidden="1">#REF!</definedName>
    <definedName name="XRefPaste45" localSheetId="1" hidden="1">#REF!</definedName>
    <definedName name="XRefPaste45" localSheetId="15" hidden="1">#REF!</definedName>
    <definedName name="XRefPaste45" localSheetId="7" hidden="1">#REF!</definedName>
    <definedName name="XRefPaste45" localSheetId="14" hidden="1">#REF!</definedName>
    <definedName name="XRefPaste45" localSheetId="2" hidden="1">#REF!</definedName>
    <definedName name="XRefPaste45" localSheetId="34" hidden="1">#REF!</definedName>
    <definedName name="XRefPaste45" localSheetId="38" hidden="1">#REF!</definedName>
    <definedName name="XRefPaste45" localSheetId="12" hidden="1">#REF!</definedName>
    <definedName name="XRefPaste45" localSheetId="10" hidden="1">#REF!</definedName>
    <definedName name="XRefPaste45" localSheetId="6" hidden="1">#REF!</definedName>
    <definedName name="XRefPaste45" hidden="1">#REF!</definedName>
    <definedName name="XRefPaste45Row" localSheetId="1" hidden="1">#REF!</definedName>
    <definedName name="XRefPaste45Row" localSheetId="15" hidden="1">#REF!</definedName>
    <definedName name="XRefPaste45Row" localSheetId="7" hidden="1">#REF!</definedName>
    <definedName name="XRefPaste45Row" localSheetId="14" hidden="1">#REF!</definedName>
    <definedName name="XRefPaste45Row" localSheetId="2" hidden="1">#REF!</definedName>
    <definedName name="XRefPaste45Row" localSheetId="34" hidden="1">#REF!</definedName>
    <definedName name="XRefPaste45Row" localSheetId="38" hidden="1">#REF!</definedName>
    <definedName name="XRefPaste45Row" localSheetId="12" hidden="1">#REF!</definedName>
    <definedName name="XRefPaste45Row" localSheetId="10" hidden="1">#REF!</definedName>
    <definedName name="XRefPaste45Row" localSheetId="6" hidden="1">#REF!</definedName>
    <definedName name="XRefPaste45Row" hidden="1">#REF!</definedName>
    <definedName name="XRefPaste46Row" localSheetId="1" hidden="1">#REF!</definedName>
    <definedName name="XRefPaste46Row" localSheetId="15" hidden="1">#REF!</definedName>
    <definedName name="XRefPaste46Row" localSheetId="7" hidden="1">#REF!</definedName>
    <definedName name="XRefPaste46Row" localSheetId="14" hidden="1">#REF!</definedName>
    <definedName name="XRefPaste46Row" localSheetId="2" hidden="1">#REF!</definedName>
    <definedName name="XRefPaste46Row" localSheetId="34" hidden="1">#REF!</definedName>
    <definedName name="XRefPaste46Row" localSheetId="38" hidden="1">#REF!</definedName>
    <definedName name="XRefPaste46Row" localSheetId="12" hidden="1">#REF!</definedName>
    <definedName name="XRefPaste46Row" localSheetId="10" hidden="1">#REF!</definedName>
    <definedName name="XRefPaste46Row" localSheetId="6" hidden="1">#REF!</definedName>
    <definedName name="XRefPaste46Row" hidden="1">#REF!</definedName>
    <definedName name="XRefPaste47Row" localSheetId="1" hidden="1">#REF!</definedName>
    <definedName name="XRefPaste47Row" localSheetId="15" hidden="1">#REF!</definedName>
    <definedName name="XRefPaste47Row" localSheetId="7" hidden="1">#REF!</definedName>
    <definedName name="XRefPaste47Row" localSheetId="14" hidden="1">#REF!</definedName>
    <definedName name="XRefPaste47Row" localSheetId="2" hidden="1">#REF!</definedName>
    <definedName name="XRefPaste47Row" localSheetId="34" hidden="1">#REF!</definedName>
    <definedName name="XRefPaste47Row" localSheetId="38" hidden="1">#REF!</definedName>
    <definedName name="XRefPaste47Row" localSheetId="12" hidden="1">#REF!</definedName>
    <definedName name="XRefPaste47Row" localSheetId="10" hidden="1">#REF!</definedName>
    <definedName name="XRefPaste47Row" localSheetId="6" hidden="1">#REF!</definedName>
    <definedName name="XRefPaste47Row" hidden="1">#REF!</definedName>
    <definedName name="XRefPaste48" localSheetId="1" hidden="1">#REF!</definedName>
    <definedName name="XRefPaste48" localSheetId="15" hidden="1">#REF!</definedName>
    <definedName name="XRefPaste48" localSheetId="7" hidden="1">#REF!</definedName>
    <definedName name="XRefPaste48" localSheetId="14" hidden="1">#REF!</definedName>
    <definedName name="XRefPaste48" localSheetId="2" hidden="1">#REF!</definedName>
    <definedName name="XRefPaste48" localSheetId="34" hidden="1">#REF!</definedName>
    <definedName name="XRefPaste48" localSheetId="38" hidden="1">#REF!</definedName>
    <definedName name="XRefPaste48" localSheetId="12" hidden="1">#REF!</definedName>
    <definedName name="XRefPaste48" localSheetId="10" hidden="1">#REF!</definedName>
    <definedName name="XRefPaste48" localSheetId="6" hidden="1">#REF!</definedName>
    <definedName name="XRefPaste48" hidden="1">#REF!</definedName>
    <definedName name="XRefPaste48Row" localSheetId="1" hidden="1">#REF!</definedName>
    <definedName name="XRefPaste48Row" localSheetId="15" hidden="1">#REF!</definedName>
    <definedName name="XRefPaste48Row" localSheetId="7" hidden="1">#REF!</definedName>
    <definedName name="XRefPaste48Row" localSheetId="14" hidden="1">#REF!</definedName>
    <definedName name="XRefPaste48Row" localSheetId="2" hidden="1">#REF!</definedName>
    <definedName name="XRefPaste48Row" localSheetId="34" hidden="1">#REF!</definedName>
    <definedName name="XRefPaste48Row" localSheetId="38" hidden="1">#REF!</definedName>
    <definedName name="XRefPaste48Row" localSheetId="12" hidden="1">#REF!</definedName>
    <definedName name="XRefPaste48Row" localSheetId="10" hidden="1">#REF!</definedName>
    <definedName name="XRefPaste48Row" localSheetId="6" hidden="1">#REF!</definedName>
    <definedName name="XRefPaste48Row" hidden="1">#REF!</definedName>
    <definedName name="XRefPaste49" localSheetId="1" hidden="1">#REF!</definedName>
    <definedName name="XRefPaste49" localSheetId="15" hidden="1">#REF!</definedName>
    <definedName name="XRefPaste49" localSheetId="7" hidden="1">#REF!</definedName>
    <definedName name="XRefPaste49" localSheetId="14" hidden="1">#REF!</definedName>
    <definedName name="XRefPaste49" localSheetId="2" hidden="1">#REF!</definedName>
    <definedName name="XRefPaste49" localSheetId="34" hidden="1">#REF!</definedName>
    <definedName name="XRefPaste49" localSheetId="38" hidden="1">#REF!</definedName>
    <definedName name="XRefPaste49" localSheetId="12" hidden="1">#REF!</definedName>
    <definedName name="XRefPaste49" localSheetId="10" hidden="1">#REF!</definedName>
    <definedName name="XRefPaste49" localSheetId="6" hidden="1">#REF!</definedName>
    <definedName name="XRefPaste49" hidden="1">#REF!</definedName>
    <definedName name="XRefPaste49Row" localSheetId="1" hidden="1">#REF!</definedName>
    <definedName name="XRefPaste49Row" localSheetId="15" hidden="1">#REF!</definedName>
    <definedName name="XRefPaste49Row" localSheetId="7" hidden="1">#REF!</definedName>
    <definedName name="XRefPaste49Row" localSheetId="14" hidden="1">#REF!</definedName>
    <definedName name="XRefPaste49Row" localSheetId="2" hidden="1">#REF!</definedName>
    <definedName name="XRefPaste49Row" localSheetId="34" hidden="1">#REF!</definedName>
    <definedName name="XRefPaste49Row" localSheetId="38" hidden="1">#REF!</definedName>
    <definedName name="XRefPaste49Row" localSheetId="12" hidden="1">#REF!</definedName>
    <definedName name="XRefPaste49Row" localSheetId="10" hidden="1">#REF!</definedName>
    <definedName name="XRefPaste49Row" localSheetId="6" hidden="1">#REF!</definedName>
    <definedName name="XRefPaste49Row" hidden="1">#REF!</definedName>
    <definedName name="XRefPaste4Row" localSheetId="1" hidden="1">#REF!</definedName>
    <definedName name="XRefPaste4Row" localSheetId="15" hidden="1">#REF!</definedName>
    <definedName name="XRefPaste4Row" localSheetId="7" hidden="1">#REF!</definedName>
    <definedName name="XRefPaste4Row" localSheetId="14" hidden="1">#REF!</definedName>
    <definedName name="XRefPaste4Row" localSheetId="2" hidden="1">#REF!</definedName>
    <definedName name="XRefPaste4Row" localSheetId="34" hidden="1">#REF!</definedName>
    <definedName name="XRefPaste4Row" localSheetId="38" hidden="1">#REF!</definedName>
    <definedName name="XRefPaste4Row" localSheetId="12" hidden="1">#REF!</definedName>
    <definedName name="XRefPaste4Row" localSheetId="10" hidden="1">#REF!</definedName>
    <definedName name="XRefPaste4Row" localSheetId="6" hidden="1">#REF!</definedName>
    <definedName name="XRefPaste4Row" hidden="1">#REF!</definedName>
    <definedName name="XRefPaste5" localSheetId="1" hidden="1">#REF!</definedName>
    <definedName name="XRefPaste5" localSheetId="15" hidden="1">#REF!</definedName>
    <definedName name="XRefPaste5" localSheetId="7" hidden="1">#REF!</definedName>
    <definedName name="XRefPaste5" localSheetId="14" hidden="1">#REF!</definedName>
    <definedName name="XRefPaste5" localSheetId="2" hidden="1">#REF!</definedName>
    <definedName name="XRefPaste5" localSheetId="34" hidden="1">#REF!</definedName>
    <definedName name="XRefPaste5" localSheetId="38" hidden="1">#REF!</definedName>
    <definedName name="XRefPaste5" localSheetId="12" hidden="1">#REF!</definedName>
    <definedName name="XRefPaste5" localSheetId="10" hidden="1">#REF!</definedName>
    <definedName name="XRefPaste5" localSheetId="11" hidden="1">#REF!</definedName>
    <definedName name="XRefPaste5" localSheetId="6" hidden="1">#REF!</definedName>
    <definedName name="XRefPaste5" hidden="1">#REF!</definedName>
    <definedName name="XRefPaste50Row" localSheetId="1" hidden="1">#REF!</definedName>
    <definedName name="XRefPaste50Row" localSheetId="15" hidden="1">#REF!</definedName>
    <definedName name="XRefPaste50Row" localSheetId="7" hidden="1">#REF!</definedName>
    <definedName name="XRefPaste50Row" localSheetId="14" hidden="1">#REF!</definedName>
    <definedName name="XRefPaste50Row" localSheetId="2" hidden="1">#REF!</definedName>
    <definedName name="XRefPaste50Row" localSheetId="34" hidden="1">#REF!</definedName>
    <definedName name="XRefPaste50Row" localSheetId="38" hidden="1">#REF!</definedName>
    <definedName name="XRefPaste50Row" localSheetId="12" hidden="1">#REF!</definedName>
    <definedName name="XRefPaste50Row" localSheetId="10" hidden="1">#REF!</definedName>
    <definedName name="XRefPaste50Row" localSheetId="6" hidden="1">#REF!</definedName>
    <definedName name="XRefPaste50Row" hidden="1">#REF!</definedName>
    <definedName name="XRefPaste51" localSheetId="1" hidden="1">#REF!</definedName>
    <definedName name="XRefPaste51" localSheetId="15" hidden="1">#REF!</definedName>
    <definedName name="XRefPaste51" localSheetId="7" hidden="1">#REF!</definedName>
    <definedName name="XRefPaste51" localSheetId="14" hidden="1">#REF!</definedName>
    <definedName name="XRefPaste51" localSheetId="2" hidden="1">#REF!</definedName>
    <definedName name="XRefPaste51" localSheetId="34" hidden="1">#REF!</definedName>
    <definedName name="XRefPaste51" localSheetId="38" hidden="1">#REF!</definedName>
    <definedName name="XRefPaste51" localSheetId="12" hidden="1">#REF!</definedName>
    <definedName name="XRefPaste51" localSheetId="10" hidden="1">#REF!</definedName>
    <definedName name="XRefPaste51" localSheetId="6" hidden="1">#REF!</definedName>
    <definedName name="XRefPaste51" hidden="1">#REF!</definedName>
    <definedName name="XRefPaste51Row" localSheetId="1" hidden="1">#REF!</definedName>
    <definedName name="XRefPaste51Row" localSheetId="15" hidden="1">#REF!</definedName>
    <definedName name="XRefPaste51Row" localSheetId="7" hidden="1">#REF!</definedName>
    <definedName name="XRefPaste51Row" localSheetId="14" hidden="1">#REF!</definedName>
    <definedName name="XRefPaste51Row" localSheetId="2" hidden="1">#REF!</definedName>
    <definedName name="XRefPaste51Row" localSheetId="34" hidden="1">#REF!</definedName>
    <definedName name="XRefPaste51Row" localSheetId="38" hidden="1">#REF!</definedName>
    <definedName name="XRefPaste51Row" localSheetId="12" hidden="1">#REF!</definedName>
    <definedName name="XRefPaste51Row" localSheetId="10" hidden="1">#REF!</definedName>
    <definedName name="XRefPaste51Row" localSheetId="6" hidden="1">#REF!</definedName>
    <definedName name="XRefPaste51Row" hidden="1">#REF!</definedName>
    <definedName name="XRefPaste52" localSheetId="1" hidden="1">#REF!</definedName>
    <definedName name="XRefPaste52" localSheetId="15" hidden="1">#REF!</definedName>
    <definedName name="XRefPaste52" localSheetId="7" hidden="1">#REF!</definedName>
    <definedName name="XRefPaste52" localSheetId="14" hidden="1">#REF!</definedName>
    <definedName name="XRefPaste52" localSheetId="2" hidden="1">#REF!</definedName>
    <definedName name="XRefPaste52" localSheetId="34" hidden="1">#REF!</definedName>
    <definedName name="XRefPaste52" localSheetId="38" hidden="1">#REF!</definedName>
    <definedName name="XRefPaste52" localSheetId="12" hidden="1">#REF!</definedName>
    <definedName name="XRefPaste52" localSheetId="10" hidden="1">#REF!</definedName>
    <definedName name="XRefPaste52" localSheetId="6" hidden="1">#REF!</definedName>
    <definedName name="XRefPaste52" hidden="1">#REF!</definedName>
    <definedName name="XRefPaste52Row" localSheetId="1" hidden="1">#REF!</definedName>
    <definedName name="XRefPaste52Row" localSheetId="15" hidden="1">#REF!</definedName>
    <definedName name="XRefPaste52Row" localSheetId="7" hidden="1">#REF!</definedName>
    <definedName name="XRefPaste52Row" localSheetId="14" hidden="1">#REF!</definedName>
    <definedName name="XRefPaste52Row" localSheetId="2" hidden="1">#REF!</definedName>
    <definedName name="XRefPaste52Row" localSheetId="34" hidden="1">#REF!</definedName>
    <definedName name="XRefPaste52Row" localSheetId="38" hidden="1">#REF!</definedName>
    <definedName name="XRefPaste52Row" localSheetId="12" hidden="1">#REF!</definedName>
    <definedName name="XRefPaste52Row" localSheetId="10" hidden="1">#REF!</definedName>
    <definedName name="XRefPaste52Row" localSheetId="6" hidden="1">#REF!</definedName>
    <definedName name="XRefPaste52Row" hidden="1">#REF!</definedName>
    <definedName name="XRefPaste53Row" localSheetId="1" hidden="1">#REF!</definedName>
    <definedName name="XRefPaste53Row" localSheetId="15" hidden="1">#REF!</definedName>
    <definedName name="XRefPaste53Row" localSheetId="7" hidden="1">#REF!</definedName>
    <definedName name="XRefPaste53Row" localSheetId="14" hidden="1">#REF!</definedName>
    <definedName name="XRefPaste53Row" localSheetId="2" hidden="1">#REF!</definedName>
    <definedName name="XRefPaste53Row" localSheetId="34" hidden="1">#REF!</definedName>
    <definedName name="XRefPaste53Row" localSheetId="38" hidden="1">#REF!</definedName>
    <definedName name="XRefPaste53Row" localSheetId="12" hidden="1">#REF!</definedName>
    <definedName name="XRefPaste53Row" localSheetId="10" hidden="1">#REF!</definedName>
    <definedName name="XRefPaste53Row" localSheetId="6" hidden="1">#REF!</definedName>
    <definedName name="XRefPaste53Row" hidden="1">#REF!</definedName>
    <definedName name="XRefPaste54Row" localSheetId="1" hidden="1">#REF!</definedName>
    <definedName name="XRefPaste54Row" localSheetId="15" hidden="1">#REF!</definedName>
    <definedName name="XRefPaste54Row" localSheetId="7" hidden="1">#REF!</definedName>
    <definedName name="XRefPaste54Row" localSheetId="14" hidden="1">#REF!</definedName>
    <definedName name="XRefPaste54Row" localSheetId="2" hidden="1">#REF!</definedName>
    <definedName name="XRefPaste54Row" localSheetId="34" hidden="1">#REF!</definedName>
    <definedName name="XRefPaste54Row" localSheetId="38" hidden="1">#REF!</definedName>
    <definedName name="XRefPaste54Row" localSheetId="12" hidden="1">#REF!</definedName>
    <definedName name="XRefPaste54Row" localSheetId="10" hidden="1">#REF!</definedName>
    <definedName name="XRefPaste54Row" localSheetId="6" hidden="1">#REF!</definedName>
    <definedName name="XRefPaste54Row" hidden="1">#REF!</definedName>
    <definedName name="XRefPaste55Row" localSheetId="1" hidden="1">#REF!</definedName>
    <definedName name="XRefPaste55Row" localSheetId="15" hidden="1">#REF!</definedName>
    <definedName name="XRefPaste55Row" localSheetId="7" hidden="1">#REF!</definedName>
    <definedName name="XRefPaste55Row" localSheetId="14" hidden="1">#REF!</definedName>
    <definedName name="XRefPaste55Row" localSheetId="2" hidden="1">#REF!</definedName>
    <definedName name="XRefPaste55Row" localSheetId="34" hidden="1">#REF!</definedName>
    <definedName name="XRefPaste55Row" localSheetId="38" hidden="1">#REF!</definedName>
    <definedName name="XRefPaste55Row" localSheetId="12" hidden="1">#REF!</definedName>
    <definedName name="XRefPaste55Row" localSheetId="10" hidden="1">#REF!</definedName>
    <definedName name="XRefPaste55Row" localSheetId="6" hidden="1">#REF!</definedName>
    <definedName name="XRefPaste55Row" hidden="1">#REF!</definedName>
    <definedName name="XRefPaste56Row" localSheetId="1" hidden="1">#REF!</definedName>
    <definedName name="XRefPaste56Row" localSheetId="15" hidden="1">#REF!</definedName>
    <definedName name="XRefPaste56Row" localSheetId="7" hidden="1">#REF!</definedName>
    <definedName name="XRefPaste56Row" localSheetId="14" hidden="1">#REF!</definedName>
    <definedName name="XRefPaste56Row" localSheetId="2" hidden="1">#REF!</definedName>
    <definedName name="XRefPaste56Row" localSheetId="34" hidden="1">#REF!</definedName>
    <definedName name="XRefPaste56Row" localSheetId="38" hidden="1">#REF!</definedName>
    <definedName name="XRefPaste56Row" localSheetId="12" hidden="1">#REF!</definedName>
    <definedName name="XRefPaste56Row" localSheetId="10" hidden="1">#REF!</definedName>
    <definedName name="XRefPaste56Row" localSheetId="6" hidden="1">#REF!</definedName>
    <definedName name="XRefPaste56Row" hidden="1">#REF!</definedName>
    <definedName name="XRefPaste57Row" localSheetId="1" hidden="1">#REF!</definedName>
    <definedName name="XRefPaste57Row" localSheetId="15" hidden="1">#REF!</definedName>
    <definedName name="XRefPaste57Row" localSheetId="7" hidden="1">#REF!</definedName>
    <definedName name="XRefPaste57Row" localSheetId="14" hidden="1">#REF!</definedName>
    <definedName name="XRefPaste57Row" localSheetId="2" hidden="1">#REF!</definedName>
    <definedName name="XRefPaste57Row" localSheetId="34" hidden="1">#REF!</definedName>
    <definedName name="XRefPaste57Row" localSheetId="38" hidden="1">#REF!</definedName>
    <definedName name="XRefPaste57Row" localSheetId="12" hidden="1">#REF!</definedName>
    <definedName name="XRefPaste57Row" localSheetId="10" hidden="1">#REF!</definedName>
    <definedName name="XRefPaste57Row" localSheetId="6" hidden="1">#REF!</definedName>
    <definedName name="XRefPaste57Row" hidden="1">#REF!</definedName>
    <definedName name="XRefPaste58Row" localSheetId="1" hidden="1">#REF!</definedName>
    <definedName name="XRefPaste58Row" localSheetId="15" hidden="1">#REF!</definedName>
    <definedName name="XRefPaste58Row" localSheetId="7" hidden="1">#REF!</definedName>
    <definedName name="XRefPaste58Row" localSheetId="14" hidden="1">#REF!</definedName>
    <definedName name="XRefPaste58Row" localSheetId="2" hidden="1">#REF!</definedName>
    <definedName name="XRefPaste58Row" localSheetId="34" hidden="1">#REF!</definedName>
    <definedName name="XRefPaste58Row" localSheetId="38" hidden="1">#REF!</definedName>
    <definedName name="XRefPaste58Row" localSheetId="12" hidden="1">#REF!</definedName>
    <definedName name="XRefPaste58Row" localSheetId="10" hidden="1">#REF!</definedName>
    <definedName name="XRefPaste58Row" localSheetId="6" hidden="1">#REF!</definedName>
    <definedName name="XRefPaste58Row" hidden="1">#REF!</definedName>
    <definedName name="XRefPaste59Row" localSheetId="1" hidden="1">#REF!</definedName>
    <definedName name="XRefPaste59Row" localSheetId="15" hidden="1">#REF!</definedName>
    <definedName name="XRefPaste59Row" localSheetId="7" hidden="1">#REF!</definedName>
    <definedName name="XRefPaste59Row" localSheetId="14" hidden="1">#REF!</definedName>
    <definedName name="XRefPaste59Row" localSheetId="2" hidden="1">#REF!</definedName>
    <definedName name="XRefPaste59Row" localSheetId="34" hidden="1">#REF!</definedName>
    <definedName name="XRefPaste59Row" localSheetId="38" hidden="1">#REF!</definedName>
    <definedName name="XRefPaste59Row" localSheetId="12" hidden="1">#REF!</definedName>
    <definedName name="XRefPaste59Row" localSheetId="10" hidden="1">#REF!</definedName>
    <definedName name="XRefPaste59Row" localSheetId="6" hidden="1">#REF!</definedName>
    <definedName name="XRefPaste59Row" hidden="1">#REF!</definedName>
    <definedName name="XRefPaste5Row" localSheetId="1" hidden="1">#REF!</definedName>
    <definedName name="XRefPaste5Row" localSheetId="15" hidden="1">#REF!</definedName>
    <definedName name="XRefPaste5Row" localSheetId="7" hidden="1">#REF!</definedName>
    <definedName name="XRefPaste5Row" localSheetId="14" hidden="1">#REF!</definedName>
    <definedName name="XRefPaste5Row" localSheetId="2" hidden="1">#REF!</definedName>
    <definedName name="XRefPaste5Row" localSheetId="34" hidden="1">#REF!</definedName>
    <definedName name="XRefPaste5Row" localSheetId="38" hidden="1">#REF!</definedName>
    <definedName name="XRefPaste5Row" localSheetId="12" hidden="1">#REF!</definedName>
    <definedName name="XRefPaste5Row" localSheetId="10" hidden="1">#REF!</definedName>
    <definedName name="XRefPaste5Row" localSheetId="11" hidden="1">#REF!</definedName>
    <definedName name="XRefPaste5Row" localSheetId="6" hidden="1">#REF!</definedName>
    <definedName name="XRefPaste5Row" hidden="1">#REF!</definedName>
    <definedName name="XRefPaste6" localSheetId="1" hidden="1">#REF!</definedName>
    <definedName name="XRefPaste6" localSheetId="15" hidden="1">#REF!</definedName>
    <definedName name="XRefPaste6" localSheetId="7" hidden="1">#REF!</definedName>
    <definedName name="XRefPaste6" localSheetId="14" hidden="1">#REF!</definedName>
    <definedName name="XRefPaste6" localSheetId="2" hidden="1">#REF!</definedName>
    <definedName name="XRefPaste6" localSheetId="34" hidden="1">#REF!</definedName>
    <definedName name="XRefPaste6" localSheetId="38" hidden="1">#REF!</definedName>
    <definedName name="XRefPaste6" localSheetId="12" hidden="1">#REF!</definedName>
    <definedName name="XRefPaste6" localSheetId="10" hidden="1">#REF!</definedName>
    <definedName name="XRefPaste6" localSheetId="11" hidden="1">#REF!</definedName>
    <definedName name="XRefPaste6" localSheetId="6" hidden="1">#REF!</definedName>
    <definedName name="XRefPaste6" hidden="1">#REF!</definedName>
    <definedName name="XRefPaste60Row" localSheetId="1" hidden="1">#REF!</definedName>
    <definedName name="XRefPaste60Row" localSheetId="15" hidden="1">#REF!</definedName>
    <definedName name="XRefPaste60Row" localSheetId="7" hidden="1">#REF!</definedName>
    <definedName name="XRefPaste60Row" localSheetId="14" hidden="1">#REF!</definedName>
    <definedName name="XRefPaste60Row" localSheetId="2" hidden="1">#REF!</definedName>
    <definedName name="XRefPaste60Row" localSheetId="34" hidden="1">#REF!</definedName>
    <definedName name="XRefPaste60Row" localSheetId="38" hidden="1">#REF!</definedName>
    <definedName name="XRefPaste60Row" localSheetId="12" hidden="1">#REF!</definedName>
    <definedName name="XRefPaste60Row" localSheetId="10" hidden="1">#REF!</definedName>
    <definedName name="XRefPaste60Row" localSheetId="6" hidden="1">#REF!</definedName>
    <definedName name="XRefPaste60Row" hidden="1">#REF!</definedName>
    <definedName name="XRefPaste61Row" localSheetId="1" hidden="1">#REF!</definedName>
    <definedName name="XRefPaste61Row" localSheetId="15" hidden="1">#REF!</definedName>
    <definedName name="XRefPaste61Row" localSheetId="7" hidden="1">#REF!</definedName>
    <definedName name="XRefPaste61Row" localSheetId="14" hidden="1">#REF!</definedName>
    <definedName name="XRefPaste61Row" localSheetId="2" hidden="1">#REF!</definedName>
    <definedName name="XRefPaste61Row" localSheetId="34" hidden="1">#REF!</definedName>
    <definedName name="XRefPaste61Row" localSheetId="38" hidden="1">#REF!</definedName>
    <definedName name="XRefPaste61Row" localSheetId="12" hidden="1">#REF!</definedName>
    <definedName name="XRefPaste61Row" localSheetId="10" hidden="1">#REF!</definedName>
    <definedName name="XRefPaste61Row" localSheetId="6" hidden="1">#REF!</definedName>
    <definedName name="XRefPaste61Row" hidden="1">#REF!</definedName>
    <definedName name="XRefPaste62Row" localSheetId="1" hidden="1">#REF!</definedName>
    <definedName name="XRefPaste62Row" localSheetId="15" hidden="1">#REF!</definedName>
    <definedName name="XRefPaste62Row" localSheetId="7" hidden="1">#REF!</definedName>
    <definedName name="XRefPaste62Row" localSheetId="14" hidden="1">#REF!</definedName>
    <definedName name="XRefPaste62Row" localSheetId="2" hidden="1">#REF!</definedName>
    <definedName name="XRefPaste62Row" localSheetId="34" hidden="1">#REF!</definedName>
    <definedName name="XRefPaste62Row" localSheetId="38" hidden="1">#REF!</definedName>
    <definedName name="XRefPaste62Row" localSheetId="12" hidden="1">#REF!</definedName>
    <definedName name="XRefPaste62Row" localSheetId="10" hidden="1">#REF!</definedName>
    <definedName name="XRefPaste62Row" localSheetId="6" hidden="1">#REF!</definedName>
    <definedName name="XRefPaste62Row" hidden="1">#REF!</definedName>
    <definedName name="XRefPaste63Row" localSheetId="1" hidden="1">#REF!</definedName>
    <definedName name="XRefPaste63Row" localSheetId="15" hidden="1">#REF!</definedName>
    <definedName name="XRefPaste63Row" localSheetId="7" hidden="1">#REF!</definedName>
    <definedName name="XRefPaste63Row" localSheetId="14" hidden="1">#REF!</definedName>
    <definedName name="XRefPaste63Row" localSheetId="2" hidden="1">#REF!</definedName>
    <definedName name="XRefPaste63Row" localSheetId="34" hidden="1">#REF!</definedName>
    <definedName name="XRefPaste63Row" localSheetId="38" hidden="1">#REF!</definedName>
    <definedName name="XRefPaste63Row" localSheetId="12" hidden="1">#REF!</definedName>
    <definedName name="XRefPaste63Row" localSheetId="10" hidden="1">#REF!</definedName>
    <definedName name="XRefPaste63Row" localSheetId="6" hidden="1">#REF!</definedName>
    <definedName name="XRefPaste63Row" hidden="1">#REF!</definedName>
    <definedName name="XRefPaste64Row" localSheetId="1" hidden="1">#REF!</definedName>
    <definedName name="XRefPaste64Row" localSheetId="15" hidden="1">#REF!</definedName>
    <definedName name="XRefPaste64Row" localSheetId="7" hidden="1">#REF!</definedName>
    <definedName name="XRefPaste64Row" localSheetId="14" hidden="1">#REF!</definedName>
    <definedName name="XRefPaste64Row" localSheetId="2" hidden="1">#REF!</definedName>
    <definedName name="XRefPaste64Row" localSheetId="34" hidden="1">#REF!</definedName>
    <definedName name="XRefPaste64Row" localSheetId="38" hidden="1">#REF!</definedName>
    <definedName name="XRefPaste64Row" localSheetId="12" hidden="1">#REF!</definedName>
    <definedName name="XRefPaste64Row" localSheetId="10" hidden="1">#REF!</definedName>
    <definedName name="XRefPaste64Row" localSheetId="6" hidden="1">#REF!</definedName>
    <definedName name="XRefPaste64Row" hidden="1">#REF!</definedName>
    <definedName name="XRefPaste65Row" localSheetId="1" hidden="1">#REF!</definedName>
    <definedName name="XRefPaste65Row" localSheetId="15" hidden="1">#REF!</definedName>
    <definedName name="XRefPaste65Row" localSheetId="7" hidden="1">#REF!</definedName>
    <definedName name="XRefPaste65Row" localSheetId="14" hidden="1">#REF!</definedName>
    <definedName name="XRefPaste65Row" localSheetId="2" hidden="1">#REF!</definedName>
    <definedName name="XRefPaste65Row" localSheetId="34" hidden="1">#REF!</definedName>
    <definedName name="XRefPaste65Row" localSheetId="38" hidden="1">#REF!</definedName>
    <definedName name="XRefPaste65Row" localSheetId="12" hidden="1">#REF!</definedName>
    <definedName name="XRefPaste65Row" localSheetId="10" hidden="1">#REF!</definedName>
    <definedName name="XRefPaste65Row" localSheetId="6" hidden="1">#REF!</definedName>
    <definedName name="XRefPaste65Row" hidden="1">#REF!</definedName>
    <definedName name="XRefPaste68" localSheetId="1" hidden="1">#REF!</definedName>
    <definedName name="XRefPaste68" localSheetId="15" hidden="1">#REF!</definedName>
    <definedName name="XRefPaste68" localSheetId="7" hidden="1">#REF!</definedName>
    <definedName name="XRefPaste68" localSheetId="2" hidden="1">#REF!</definedName>
    <definedName name="XRefPaste68" localSheetId="34" hidden="1">#REF!</definedName>
    <definedName name="XRefPaste68" localSheetId="38" hidden="1">#REF!</definedName>
    <definedName name="XRefPaste68" localSheetId="12" hidden="1">#REF!</definedName>
    <definedName name="XRefPaste68" localSheetId="10" hidden="1">#REF!</definedName>
    <definedName name="XRefPaste68" localSheetId="6" hidden="1">#REF!</definedName>
    <definedName name="XRefPaste68" hidden="1">#REF!</definedName>
    <definedName name="XRefPaste6Row" localSheetId="1" hidden="1">#REF!</definedName>
    <definedName name="XRefPaste6Row" localSheetId="15" hidden="1">#REF!</definedName>
    <definedName name="XRefPaste6Row" localSheetId="7" hidden="1">#REF!</definedName>
    <definedName name="XRefPaste6Row" localSheetId="14" hidden="1">#REF!</definedName>
    <definedName name="XRefPaste6Row" localSheetId="2" hidden="1">#REF!</definedName>
    <definedName name="XRefPaste6Row" localSheetId="34" hidden="1">#REF!</definedName>
    <definedName name="XRefPaste6Row" localSheetId="38" hidden="1">#REF!</definedName>
    <definedName name="XRefPaste6Row" localSheetId="12" hidden="1">#REF!</definedName>
    <definedName name="XRefPaste6Row" localSheetId="10" hidden="1">#REF!</definedName>
    <definedName name="XRefPaste6Row" localSheetId="11" hidden="1">#REF!</definedName>
    <definedName name="XRefPaste6Row" localSheetId="6" hidden="1">#REF!</definedName>
    <definedName name="XRefPaste6Row" hidden="1">#REF!</definedName>
    <definedName name="XRefPaste70Row" localSheetId="1" hidden="1">#REF!</definedName>
    <definedName name="XRefPaste70Row" localSheetId="15" hidden="1">#REF!</definedName>
    <definedName name="XRefPaste70Row" localSheetId="7" hidden="1">#REF!</definedName>
    <definedName name="XRefPaste70Row" localSheetId="2" hidden="1">#REF!</definedName>
    <definedName name="XRefPaste70Row" localSheetId="34" hidden="1">#REF!</definedName>
    <definedName name="XRefPaste70Row" localSheetId="38" hidden="1">#REF!</definedName>
    <definedName name="XRefPaste70Row" localSheetId="12" hidden="1">#REF!</definedName>
    <definedName name="XRefPaste70Row" localSheetId="10" hidden="1">#REF!</definedName>
    <definedName name="XRefPaste70Row" localSheetId="6" hidden="1">#REF!</definedName>
    <definedName name="XRefPaste70Row" hidden="1">#REF!</definedName>
    <definedName name="XRefPaste7Row" localSheetId="1" hidden="1">#REF!</definedName>
    <definedName name="XRefPaste7Row" localSheetId="15" hidden="1">#REF!</definedName>
    <definedName name="XRefPaste7Row" localSheetId="7" hidden="1">#REF!</definedName>
    <definedName name="XRefPaste7Row" localSheetId="14" hidden="1">#REF!</definedName>
    <definedName name="XRefPaste7Row" localSheetId="2" hidden="1">#REF!</definedName>
    <definedName name="XRefPaste7Row" localSheetId="34" hidden="1">#REF!</definedName>
    <definedName name="XRefPaste7Row" localSheetId="38" hidden="1">#REF!</definedName>
    <definedName name="XRefPaste7Row" localSheetId="12" hidden="1">#REF!</definedName>
    <definedName name="XRefPaste7Row" localSheetId="10" hidden="1">#REF!</definedName>
    <definedName name="XRefPaste7Row" localSheetId="11" hidden="1">#REF!</definedName>
    <definedName name="XRefPaste7Row" localSheetId="6" hidden="1">#REF!</definedName>
    <definedName name="XRefPaste7Row" hidden="1">#REF!</definedName>
    <definedName name="XRefPaste8" localSheetId="1" hidden="1">#REF!</definedName>
    <definedName name="XRefPaste8" localSheetId="15" hidden="1">#REF!</definedName>
    <definedName name="XRefPaste8" localSheetId="7" hidden="1">#REF!</definedName>
    <definedName name="XRefPaste8" localSheetId="14" hidden="1">#REF!</definedName>
    <definedName name="XRefPaste8" localSheetId="2" hidden="1">#REF!</definedName>
    <definedName name="XRefPaste8" localSheetId="34" hidden="1">#REF!</definedName>
    <definedName name="XRefPaste8" localSheetId="38" hidden="1">#REF!</definedName>
    <definedName name="XRefPaste8" localSheetId="12" hidden="1">#REF!</definedName>
    <definedName name="XRefPaste8" localSheetId="10" hidden="1">#REF!</definedName>
    <definedName name="XRefPaste8" localSheetId="6" hidden="1">#REF!</definedName>
    <definedName name="XRefPaste8" hidden="1">#REF!</definedName>
    <definedName name="XRefPaste8Row" localSheetId="1" hidden="1">#REF!</definedName>
    <definedName name="XRefPaste8Row" localSheetId="15" hidden="1">#REF!</definedName>
    <definedName name="XRefPaste8Row" localSheetId="7" hidden="1">#REF!</definedName>
    <definedName name="XRefPaste8Row" localSheetId="14" hidden="1">#REF!</definedName>
    <definedName name="XRefPaste8Row" localSheetId="2" hidden="1">#REF!</definedName>
    <definedName name="XRefPaste8Row" localSheetId="34" hidden="1">#REF!</definedName>
    <definedName name="XRefPaste8Row" localSheetId="38" hidden="1">#REF!</definedName>
    <definedName name="XRefPaste8Row" localSheetId="12" hidden="1">#REF!</definedName>
    <definedName name="XRefPaste8Row" localSheetId="10" hidden="1">#REF!</definedName>
    <definedName name="XRefPaste8Row" localSheetId="11" hidden="1">#REF!</definedName>
    <definedName name="XRefPaste8Row" localSheetId="6" hidden="1">#REF!</definedName>
    <definedName name="XRefPaste8Row" hidden="1">#REF!</definedName>
    <definedName name="XRefPaste9Row" localSheetId="1" hidden="1">#REF!</definedName>
    <definedName name="XRefPaste9Row" localSheetId="15" hidden="1">#REF!</definedName>
    <definedName name="XRefPaste9Row" localSheetId="7" hidden="1">#REF!</definedName>
    <definedName name="XRefPaste9Row" localSheetId="14" hidden="1">#REF!</definedName>
    <definedName name="XRefPaste9Row" localSheetId="2" hidden="1">#REF!</definedName>
    <definedName name="XRefPaste9Row" localSheetId="34" hidden="1">#REF!</definedName>
    <definedName name="XRefPaste9Row" localSheetId="38" hidden="1">#REF!</definedName>
    <definedName name="XRefPaste9Row" localSheetId="12" hidden="1">#REF!</definedName>
    <definedName name="XRefPaste9Row" localSheetId="10" hidden="1">#REF!</definedName>
    <definedName name="XRefPaste9Row" localSheetId="11" hidden="1">#REF!</definedName>
    <definedName name="XRefPaste9Row" localSheetId="6" hidden="1">#REF!</definedName>
    <definedName name="XRefPaste9Row" hidden="1">#REF!</definedName>
    <definedName name="XRefPasteRangeCount" hidden="1">7</definedName>
    <definedName name="xx" localSheetId="2">#REF!</definedName>
    <definedName name="xx">#REF!</definedName>
    <definedName name="yy_1" localSheetId="15" hidden="1">{"Fecha_Novembro",#N/A,FALSE,"FECHAMENTO-2002 ";"Defer_Novembro",#N/A,FALSE,"DIFERIDO";"Pis_Novembro",#N/A,FALSE,"PIS COFINS";"Iss_Novembro",#N/A,FALSE,"ISS"}</definedName>
    <definedName name="yy_1" localSheetId="14" hidden="1">{"Fecha_Novembro",#N/A,FALSE,"FECHAMENTO-2002 ";"Defer_Novembro",#N/A,FALSE,"DIFERIDO";"Pis_Novembro",#N/A,FALSE,"PIS COFINS";"Iss_Novembro",#N/A,FALSE,"ISS"}</definedName>
    <definedName name="yy_1" localSheetId="2" hidden="1">{"Fecha_Novembro",#N/A,FALSE,"FECHAMENTO-2002 ";"Defer_Novembro",#N/A,FALSE,"DIFERIDO";"Pis_Novembro",#N/A,FALSE,"PIS COFINS";"Iss_Novembro",#N/A,FALSE,"ISS"}</definedName>
    <definedName name="yy_1" localSheetId="34" hidden="1">{"Fecha_Novembro",#N/A,FALSE,"FECHAMENTO-2002 ";"Defer_Novembro",#N/A,FALSE,"DIFERIDO";"Pis_Novembro",#N/A,FALSE,"PIS COFINS";"Iss_Novembro",#N/A,FALSE,"ISS"}</definedName>
    <definedName name="yy_1" localSheetId="38" hidden="1">{"Fecha_Novembro",#N/A,FALSE,"FECHAMENTO-2002 ";"Defer_Novembro",#N/A,FALSE,"DIFERIDO";"Pis_Novembro",#N/A,FALSE,"PIS COFINS";"Iss_Novembro",#N/A,FALSE,"ISS"}</definedName>
    <definedName name="yy_1" localSheetId="8" hidden="1">{"Fecha_Novembro",#N/A,FALSE,"FECHAMENTO-2002 ";"Defer_Novembro",#N/A,FALSE,"DIFERIDO";"Pis_Novembro",#N/A,FALSE,"PIS COFINS";"Iss_Novembro",#N/A,FALSE,"ISS"}</definedName>
    <definedName name="yy_1" localSheetId="12" hidden="1">{"Fecha_Novembro",#N/A,FALSE,"FECHAMENTO-2002 ";"Defer_Novembro",#N/A,FALSE,"DIFERIDO";"Pis_Novembro",#N/A,FALSE,"PIS COFINS";"Iss_Novembro",#N/A,FALSE,"ISS"}</definedName>
    <definedName name="yy_1" localSheetId="13" hidden="1">{"Fecha_Novembro",#N/A,FALSE,"FECHAMENTO-2002 ";"Defer_Novembro",#N/A,FALSE,"DIFERIDO";"Pis_Novembro",#N/A,FALSE,"PIS COFINS";"Iss_Novembro",#N/A,FALSE,"ISS"}</definedName>
    <definedName name="yy_1" localSheetId="11" hidden="1">{"Fecha_Novembro",#N/A,FALSE,"FECHAMENTO-2002 ";"Defer_Novembro",#N/A,FALSE,"DIFERIDO";"Pis_Novembro",#N/A,FALSE,"PIS COFINS";"Iss_Novembro",#N/A,FALSE,"ISS"}</definedName>
    <definedName name="yy_1" localSheetId="31" hidden="1">{"Fecha_Novembro",#N/A,FALSE,"FECHAMENTO-2002 ";"Defer_Novembro",#N/A,FALSE,"DIFERIDO";"Pis_Novembro",#N/A,FALSE,"PIS COFINS";"Iss_Novembro",#N/A,FALSE,"ISS"}</definedName>
    <definedName name="yy_1" localSheetId="48" hidden="1">{"Fecha_Novembro",#N/A,FALSE,"FECHAMENTO-2002 ";"Defer_Novembro",#N/A,FALSE,"DIFERIDO";"Pis_Novembro",#N/A,FALSE,"PIS COFINS";"Iss_Novembro",#N/A,FALSE,"ISS"}</definedName>
    <definedName name="yy_1" hidden="1">{"Fecha_Novembro",#N/A,FALSE,"FECHAMENTO-2002 ";"Defer_Novembro",#N/A,FALSE,"DIFERIDO";"Pis_Novembro",#N/A,FALSE,"PIS COFINS";"Iss_Novembro",#N/A,FALSE,"ISS"}</definedName>
    <definedName name="yyy" localSheetId="15" hidden="1">{"Fecha_Novembro",#N/A,FALSE,"FECHAMENTO-2002 ";"Defer_Novembro",#N/A,FALSE,"DIFERIDO";"Pis_Novembro",#N/A,FALSE,"PIS COFINS";"Iss_Novembro",#N/A,FALSE,"ISS"}</definedName>
    <definedName name="yyy" localSheetId="14" hidden="1">{"Fecha_Novembro",#N/A,FALSE,"FECHAMENTO-2002 ";"Defer_Novembro",#N/A,FALSE,"DIFERIDO";"Pis_Novembro",#N/A,FALSE,"PIS COFINS";"Iss_Novembro",#N/A,FALSE,"ISS"}</definedName>
    <definedName name="yyy" localSheetId="2" hidden="1">{"Fecha_Novembro",#N/A,FALSE,"FECHAMENTO-2002 ";"Defer_Novembro",#N/A,FALSE,"DIFERIDO";"Pis_Novembro",#N/A,FALSE,"PIS COFINS";"Iss_Novembro",#N/A,FALSE,"ISS"}</definedName>
    <definedName name="yyy" localSheetId="34" hidden="1">{"Fecha_Novembro",#N/A,FALSE,"FECHAMENTO-2002 ";"Defer_Novembro",#N/A,FALSE,"DIFERIDO";"Pis_Novembro",#N/A,FALSE,"PIS COFINS";"Iss_Novembro",#N/A,FALSE,"ISS"}</definedName>
    <definedName name="yyy" localSheetId="38" hidden="1">{"Fecha_Novembro",#N/A,FALSE,"FECHAMENTO-2002 ";"Defer_Novembro",#N/A,FALSE,"DIFERIDO";"Pis_Novembro",#N/A,FALSE,"PIS COFINS";"Iss_Novembro",#N/A,FALSE,"ISS"}</definedName>
    <definedName name="yyy" localSheetId="8" hidden="1">{"Fecha_Novembro",#N/A,FALSE,"FECHAMENTO-2002 ";"Defer_Novembro",#N/A,FALSE,"DIFERIDO";"Pis_Novembro",#N/A,FALSE,"PIS COFINS";"Iss_Novembro",#N/A,FALSE,"ISS"}</definedName>
    <definedName name="yyy" localSheetId="12" hidden="1">{"Fecha_Novembro",#N/A,FALSE,"FECHAMENTO-2002 ";"Defer_Novembro",#N/A,FALSE,"DIFERIDO";"Pis_Novembro",#N/A,FALSE,"PIS COFINS";"Iss_Novembro",#N/A,FALSE,"ISS"}</definedName>
    <definedName name="yyy" localSheetId="13" hidden="1">{"Fecha_Novembro",#N/A,FALSE,"FECHAMENTO-2002 ";"Defer_Novembro",#N/A,FALSE,"DIFERIDO";"Pis_Novembro",#N/A,FALSE,"PIS COFINS";"Iss_Novembro",#N/A,FALSE,"ISS"}</definedName>
    <definedName name="yyy" localSheetId="11" hidden="1">{"Fecha_Novembro",#N/A,FALSE,"FECHAMENTO-2002 ";"Defer_Novembro",#N/A,FALSE,"DIFERIDO";"Pis_Novembro",#N/A,FALSE,"PIS COFINS";"Iss_Novembro",#N/A,FALSE,"ISS"}</definedName>
    <definedName name="yyy" localSheetId="31" hidden="1">{"Fecha_Novembro",#N/A,FALSE,"FECHAMENTO-2002 ";"Defer_Novembro",#N/A,FALSE,"DIFERIDO";"Pis_Novembro",#N/A,FALSE,"PIS COFINS";"Iss_Novembro",#N/A,FALSE,"ISS"}</definedName>
    <definedName name="yyy" localSheetId="48"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_1" localSheetId="15" hidden="1">{"Fecha_Novembro",#N/A,FALSE,"FECHAMENTO-2002 ";"Defer_Novembro",#N/A,FALSE,"DIFERIDO";"Pis_Novembro",#N/A,FALSE,"PIS COFINS";"Iss_Novembro",#N/A,FALSE,"ISS"}</definedName>
    <definedName name="yyy_1" localSheetId="14" hidden="1">{"Fecha_Novembro",#N/A,FALSE,"FECHAMENTO-2002 ";"Defer_Novembro",#N/A,FALSE,"DIFERIDO";"Pis_Novembro",#N/A,FALSE,"PIS COFINS";"Iss_Novembro",#N/A,FALSE,"ISS"}</definedName>
    <definedName name="yyy_1" localSheetId="2" hidden="1">{"Fecha_Novembro",#N/A,FALSE,"FECHAMENTO-2002 ";"Defer_Novembro",#N/A,FALSE,"DIFERIDO";"Pis_Novembro",#N/A,FALSE,"PIS COFINS";"Iss_Novembro",#N/A,FALSE,"ISS"}</definedName>
    <definedName name="yyy_1" localSheetId="34" hidden="1">{"Fecha_Novembro",#N/A,FALSE,"FECHAMENTO-2002 ";"Defer_Novembro",#N/A,FALSE,"DIFERIDO";"Pis_Novembro",#N/A,FALSE,"PIS COFINS";"Iss_Novembro",#N/A,FALSE,"ISS"}</definedName>
    <definedName name="yyy_1" localSheetId="38" hidden="1">{"Fecha_Novembro",#N/A,FALSE,"FECHAMENTO-2002 ";"Defer_Novembro",#N/A,FALSE,"DIFERIDO";"Pis_Novembro",#N/A,FALSE,"PIS COFINS";"Iss_Novembro",#N/A,FALSE,"ISS"}</definedName>
    <definedName name="yyy_1" localSheetId="8" hidden="1">{"Fecha_Novembro",#N/A,FALSE,"FECHAMENTO-2002 ";"Defer_Novembro",#N/A,FALSE,"DIFERIDO";"Pis_Novembro",#N/A,FALSE,"PIS COFINS";"Iss_Novembro",#N/A,FALSE,"ISS"}</definedName>
    <definedName name="yyy_1" localSheetId="12" hidden="1">{"Fecha_Novembro",#N/A,FALSE,"FECHAMENTO-2002 ";"Defer_Novembro",#N/A,FALSE,"DIFERIDO";"Pis_Novembro",#N/A,FALSE,"PIS COFINS";"Iss_Novembro",#N/A,FALSE,"ISS"}</definedName>
    <definedName name="yyy_1" localSheetId="13" hidden="1">{"Fecha_Novembro",#N/A,FALSE,"FECHAMENTO-2002 ";"Defer_Novembro",#N/A,FALSE,"DIFERIDO";"Pis_Novembro",#N/A,FALSE,"PIS COFINS";"Iss_Novembro",#N/A,FALSE,"ISS"}</definedName>
    <definedName name="yyy_1" localSheetId="11" hidden="1">{"Fecha_Novembro",#N/A,FALSE,"FECHAMENTO-2002 ";"Defer_Novembro",#N/A,FALSE,"DIFERIDO";"Pis_Novembro",#N/A,FALSE,"PIS COFINS";"Iss_Novembro",#N/A,FALSE,"ISS"}</definedName>
    <definedName name="yyy_1" localSheetId="31" hidden="1">{"Fecha_Novembro",#N/A,FALSE,"FECHAMENTO-2002 ";"Defer_Novembro",#N/A,FALSE,"DIFERIDO";"Pis_Novembro",#N/A,FALSE,"PIS COFINS";"Iss_Novembro",#N/A,FALSE,"ISS"}</definedName>
    <definedName name="yyy_1" localSheetId="48" hidden="1">{"Fecha_Novembro",#N/A,FALSE,"FECHAMENTO-2002 ";"Defer_Novembro",#N/A,FALSE,"DIFERIDO";"Pis_Novembro",#N/A,FALSE,"PIS COFINS";"Iss_Novembro",#N/A,FALSE,"ISS"}</definedName>
    <definedName name="yyy_1" hidden="1">{"Fecha_Novembro",#N/A,FALSE,"FECHAMENTO-2002 ";"Defer_Novembro",#N/A,FALSE,"DIFERIDO";"Pis_Novembro",#N/A,FALSE,"PIS COFINS";"Iss_Novembro",#N/A,FALSE,"ISS"}</definedName>
    <definedName name="yyyyy" localSheetId="15" hidden="1">{"Fecha_Outubro",#N/A,FALSE,"FECHAMENTO-2002 ";"Defer_Outubro",#N/A,FALSE,"DIFERIDO";"Pis_Outubro",#N/A,FALSE,"PIS COFINS";"Iss_Outubro",#N/A,FALSE,"ISS"}</definedName>
    <definedName name="yyyyy" localSheetId="14" hidden="1">{"Fecha_Outubro",#N/A,FALSE,"FECHAMENTO-2002 ";"Defer_Outubro",#N/A,FALSE,"DIFERIDO";"Pis_Outubro",#N/A,FALSE,"PIS COFINS";"Iss_Outubro",#N/A,FALSE,"ISS"}</definedName>
    <definedName name="yyyyy" localSheetId="2" hidden="1">{"Fecha_Outubro",#N/A,FALSE,"FECHAMENTO-2002 ";"Defer_Outubro",#N/A,FALSE,"DIFERIDO";"Pis_Outubro",#N/A,FALSE,"PIS COFINS";"Iss_Outubro",#N/A,FALSE,"ISS"}</definedName>
    <definedName name="yyyyy" localSheetId="34" hidden="1">{"Fecha_Outubro",#N/A,FALSE,"FECHAMENTO-2002 ";"Defer_Outubro",#N/A,FALSE,"DIFERIDO";"Pis_Outubro",#N/A,FALSE,"PIS COFINS";"Iss_Outubro",#N/A,FALSE,"ISS"}</definedName>
    <definedName name="yyyyy" localSheetId="38" hidden="1">{"Fecha_Outubro",#N/A,FALSE,"FECHAMENTO-2002 ";"Defer_Outubro",#N/A,FALSE,"DIFERIDO";"Pis_Outubro",#N/A,FALSE,"PIS COFINS";"Iss_Outubro",#N/A,FALSE,"ISS"}</definedName>
    <definedName name="yyyyy" localSheetId="8" hidden="1">{"Fecha_Outubro",#N/A,FALSE,"FECHAMENTO-2002 ";"Defer_Outubro",#N/A,FALSE,"DIFERIDO";"Pis_Outubro",#N/A,FALSE,"PIS COFINS";"Iss_Outubro",#N/A,FALSE,"ISS"}</definedName>
    <definedName name="yyyyy" localSheetId="12" hidden="1">{"Fecha_Outubro",#N/A,FALSE,"FECHAMENTO-2002 ";"Defer_Outubro",#N/A,FALSE,"DIFERIDO";"Pis_Outubro",#N/A,FALSE,"PIS COFINS";"Iss_Outubro",#N/A,FALSE,"ISS"}</definedName>
    <definedName name="yyyyy" localSheetId="13" hidden="1">{"Fecha_Outubro",#N/A,FALSE,"FECHAMENTO-2002 ";"Defer_Outubro",#N/A,FALSE,"DIFERIDO";"Pis_Outubro",#N/A,FALSE,"PIS COFINS";"Iss_Outubro",#N/A,FALSE,"ISS"}</definedName>
    <definedName name="yyyyy" localSheetId="11" hidden="1">{"Fecha_Outubro",#N/A,FALSE,"FECHAMENTO-2002 ";"Defer_Outubro",#N/A,FALSE,"DIFERIDO";"Pis_Outubro",#N/A,FALSE,"PIS COFINS";"Iss_Outubro",#N/A,FALSE,"ISS"}</definedName>
    <definedName name="yyyyy" localSheetId="31" hidden="1">{"Fecha_Outubro",#N/A,FALSE,"FECHAMENTO-2002 ";"Defer_Outubro",#N/A,FALSE,"DIFERIDO";"Pis_Outubro",#N/A,FALSE,"PIS COFINS";"Iss_Outubro",#N/A,FALSE,"ISS"}</definedName>
    <definedName name="yyyyy" localSheetId="48" hidden="1">{"Fecha_Outubro",#N/A,FALSE,"FECHAMENTO-2002 ";"Defer_Outubro",#N/A,FALSE,"DIFERIDO";"Pis_Outubro",#N/A,FALSE,"PIS COFINS";"Iss_Outubro",#N/A,FALSE,"ISS"}</definedName>
    <definedName name="yyyyy" hidden="1">{"Fecha_Outubro",#N/A,FALSE,"FECHAMENTO-2002 ";"Defer_Outubro",#N/A,FALSE,"DIFERIDO";"Pis_Outubro",#N/A,FALSE,"PIS COFINS";"Iss_Outubro",#N/A,FALSE,"ISS"}</definedName>
    <definedName name="yyyyy_1" localSheetId="15" hidden="1">{"Fecha_Outubro",#N/A,FALSE,"FECHAMENTO-2002 ";"Defer_Outubro",#N/A,FALSE,"DIFERIDO";"Pis_Outubro",#N/A,FALSE,"PIS COFINS";"Iss_Outubro",#N/A,FALSE,"ISS"}</definedName>
    <definedName name="yyyyy_1" localSheetId="14" hidden="1">{"Fecha_Outubro",#N/A,FALSE,"FECHAMENTO-2002 ";"Defer_Outubro",#N/A,FALSE,"DIFERIDO";"Pis_Outubro",#N/A,FALSE,"PIS COFINS";"Iss_Outubro",#N/A,FALSE,"ISS"}</definedName>
    <definedName name="yyyyy_1" localSheetId="2" hidden="1">{"Fecha_Outubro",#N/A,FALSE,"FECHAMENTO-2002 ";"Defer_Outubro",#N/A,FALSE,"DIFERIDO";"Pis_Outubro",#N/A,FALSE,"PIS COFINS";"Iss_Outubro",#N/A,FALSE,"ISS"}</definedName>
    <definedName name="yyyyy_1" localSheetId="34" hidden="1">{"Fecha_Outubro",#N/A,FALSE,"FECHAMENTO-2002 ";"Defer_Outubro",#N/A,FALSE,"DIFERIDO";"Pis_Outubro",#N/A,FALSE,"PIS COFINS";"Iss_Outubro",#N/A,FALSE,"ISS"}</definedName>
    <definedName name="yyyyy_1" localSheetId="38" hidden="1">{"Fecha_Outubro",#N/A,FALSE,"FECHAMENTO-2002 ";"Defer_Outubro",#N/A,FALSE,"DIFERIDO";"Pis_Outubro",#N/A,FALSE,"PIS COFINS";"Iss_Outubro",#N/A,FALSE,"ISS"}</definedName>
    <definedName name="yyyyy_1" localSheetId="8" hidden="1">{"Fecha_Outubro",#N/A,FALSE,"FECHAMENTO-2002 ";"Defer_Outubro",#N/A,FALSE,"DIFERIDO";"Pis_Outubro",#N/A,FALSE,"PIS COFINS";"Iss_Outubro",#N/A,FALSE,"ISS"}</definedName>
    <definedName name="yyyyy_1" localSheetId="12" hidden="1">{"Fecha_Outubro",#N/A,FALSE,"FECHAMENTO-2002 ";"Defer_Outubro",#N/A,FALSE,"DIFERIDO";"Pis_Outubro",#N/A,FALSE,"PIS COFINS";"Iss_Outubro",#N/A,FALSE,"ISS"}</definedName>
    <definedName name="yyyyy_1" localSheetId="13" hidden="1">{"Fecha_Outubro",#N/A,FALSE,"FECHAMENTO-2002 ";"Defer_Outubro",#N/A,FALSE,"DIFERIDO";"Pis_Outubro",#N/A,FALSE,"PIS COFINS";"Iss_Outubro",#N/A,FALSE,"ISS"}</definedName>
    <definedName name="yyyyy_1" localSheetId="11" hidden="1">{"Fecha_Outubro",#N/A,FALSE,"FECHAMENTO-2002 ";"Defer_Outubro",#N/A,FALSE,"DIFERIDO";"Pis_Outubro",#N/A,FALSE,"PIS COFINS";"Iss_Outubro",#N/A,FALSE,"ISS"}</definedName>
    <definedName name="yyyyy_1" localSheetId="31" hidden="1">{"Fecha_Outubro",#N/A,FALSE,"FECHAMENTO-2002 ";"Defer_Outubro",#N/A,FALSE,"DIFERIDO";"Pis_Outubro",#N/A,FALSE,"PIS COFINS";"Iss_Outubro",#N/A,FALSE,"ISS"}</definedName>
    <definedName name="yyyyy_1" localSheetId="48" hidden="1">{"Fecha_Outubro",#N/A,FALSE,"FECHAMENTO-2002 ";"Defer_Outubro",#N/A,FALSE,"DIFERIDO";"Pis_Outubro",#N/A,FALSE,"PIS COFINS";"Iss_Outubro",#N/A,FALSE,"ISS"}</definedName>
    <definedName name="yyyyy_1" hidden="1">{"Fecha_Outubro",#N/A,FALSE,"FECHAMENTO-2002 ";"Defer_Outubro",#N/A,FALSE,"DIFERIDO";"Pis_Outubro",#N/A,FALSE,"PIS COFINS";"Iss_Outubro",#N/A,FALSE,"ISS"}</definedName>
    <definedName name="yyyyyy" localSheetId="15" hidden="1">{"Fecha_Setembro",#N/A,FALSE,"FECHAMENTO-2002 ";"Defer_Setembro",#N/A,FALSE,"DIFERIDO";"Pis_Setembro",#N/A,FALSE,"PIS COFINS";"Iss_Setembro",#N/A,FALSE,"ISS"}</definedName>
    <definedName name="yyyyyy" localSheetId="14" hidden="1">{"Fecha_Setembro",#N/A,FALSE,"FECHAMENTO-2002 ";"Defer_Setembro",#N/A,FALSE,"DIFERIDO";"Pis_Setembro",#N/A,FALSE,"PIS COFINS";"Iss_Setembro",#N/A,FALSE,"ISS"}</definedName>
    <definedName name="yyyyyy" localSheetId="2" hidden="1">{"Fecha_Setembro",#N/A,FALSE,"FECHAMENTO-2002 ";"Defer_Setembro",#N/A,FALSE,"DIFERIDO";"Pis_Setembro",#N/A,FALSE,"PIS COFINS";"Iss_Setembro",#N/A,FALSE,"ISS"}</definedName>
    <definedName name="yyyyyy" localSheetId="34" hidden="1">{"Fecha_Setembro",#N/A,FALSE,"FECHAMENTO-2002 ";"Defer_Setembro",#N/A,FALSE,"DIFERIDO";"Pis_Setembro",#N/A,FALSE,"PIS COFINS";"Iss_Setembro",#N/A,FALSE,"ISS"}</definedName>
    <definedName name="yyyyyy" localSheetId="38" hidden="1">{"Fecha_Setembro",#N/A,FALSE,"FECHAMENTO-2002 ";"Defer_Setembro",#N/A,FALSE,"DIFERIDO";"Pis_Setembro",#N/A,FALSE,"PIS COFINS";"Iss_Setembro",#N/A,FALSE,"ISS"}</definedName>
    <definedName name="yyyyyy" localSheetId="8" hidden="1">{"Fecha_Setembro",#N/A,FALSE,"FECHAMENTO-2002 ";"Defer_Setembro",#N/A,FALSE,"DIFERIDO";"Pis_Setembro",#N/A,FALSE,"PIS COFINS";"Iss_Setembro",#N/A,FALSE,"ISS"}</definedName>
    <definedName name="yyyyyy" localSheetId="12" hidden="1">{"Fecha_Setembro",#N/A,FALSE,"FECHAMENTO-2002 ";"Defer_Setembro",#N/A,FALSE,"DIFERIDO";"Pis_Setembro",#N/A,FALSE,"PIS COFINS";"Iss_Setembro",#N/A,FALSE,"ISS"}</definedName>
    <definedName name="yyyyyy" localSheetId="13" hidden="1">{"Fecha_Setembro",#N/A,FALSE,"FECHAMENTO-2002 ";"Defer_Setembro",#N/A,FALSE,"DIFERIDO";"Pis_Setembro",#N/A,FALSE,"PIS COFINS";"Iss_Setembro",#N/A,FALSE,"ISS"}</definedName>
    <definedName name="yyyyyy" localSheetId="11" hidden="1">{"Fecha_Setembro",#N/A,FALSE,"FECHAMENTO-2002 ";"Defer_Setembro",#N/A,FALSE,"DIFERIDO";"Pis_Setembro",#N/A,FALSE,"PIS COFINS";"Iss_Setembro",#N/A,FALSE,"ISS"}</definedName>
    <definedName name="yyyyyy" localSheetId="31" hidden="1">{"Fecha_Setembro",#N/A,FALSE,"FECHAMENTO-2002 ";"Defer_Setembro",#N/A,FALSE,"DIFERIDO";"Pis_Setembro",#N/A,FALSE,"PIS COFINS";"Iss_Setembro",#N/A,FALSE,"ISS"}</definedName>
    <definedName name="yyyyyy" localSheetId="48" hidden="1">{"Fecha_Setembro",#N/A,FALSE,"FECHAMENTO-2002 ";"Defer_Setembro",#N/A,FALSE,"DIFERIDO";"Pis_Setembro",#N/A,FALSE,"PIS COFINS";"Iss_Setembro",#N/A,FALSE,"ISS"}</definedName>
    <definedName name="yyyyyy" hidden="1">{"Fecha_Setembro",#N/A,FALSE,"FECHAMENTO-2002 ";"Defer_Setembro",#N/A,FALSE,"DIFERIDO";"Pis_Setembro",#N/A,FALSE,"PIS COFINS";"Iss_Setembro",#N/A,FALSE,"ISS"}</definedName>
    <definedName name="yyyyyy_1" localSheetId="15" hidden="1">{"Fecha_Setembro",#N/A,FALSE,"FECHAMENTO-2002 ";"Defer_Setembro",#N/A,FALSE,"DIFERIDO";"Pis_Setembro",#N/A,FALSE,"PIS COFINS";"Iss_Setembro",#N/A,FALSE,"ISS"}</definedName>
    <definedName name="yyyyyy_1" localSheetId="14" hidden="1">{"Fecha_Setembro",#N/A,FALSE,"FECHAMENTO-2002 ";"Defer_Setembro",#N/A,FALSE,"DIFERIDO";"Pis_Setembro",#N/A,FALSE,"PIS COFINS";"Iss_Setembro",#N/A,FALSE,"ISS"}</definedName>
    <definedName name="yyyyyy_1" localSheetId="2" hidden="1">{"Fecha_Setembro",#N/A,FALSE,"FECHAMENTO-2002 ";"Defer_Setembro",#N/A,FALSE,"DIFERIDO";"Pis_Setembro",#N/A,FALSE,"PIS COFINS";"Iss_Setembro",#N/A,FALSE,"ISS"}</definedName>
    <definedName name="yyyyyy_1" localSheetId="34" hidden="1">{"Fecha_Setembro",#N/A,FALSE,"FECHAMENTO-2002 ";"Defer_Setembro",#N/A,FALSE,"DIFERIDO";"Pis_Setembro",#N/A,FALSE,"PIS COFINS";"Iss_Setembro",#N/A,FALSE,"ISS"}</definedName>
    <definedName name="yyyyyy_1" localSheetId="38" hidden="1">{"Fecha_Setembro",#N/A,FALSE,"FECHAMENTO-2002 ";"Defer_Setembro",#N/A,FALSE,"DIFERIDO";"Pis_Setembro",#N/A,FALSE,"PIS COFINS";"Iss_Setembro",#N/A,FALSE,"ISS"}</definedName>
    <definedName name="yyyyyy_1" localSheetId="8" hidden="1">{"Fecha_Setembro",#N/A,FALSE,"FECHAMENTO-2002 ";"Defer_Setembro",#N/A,FALSE,"DIFERIDO";"Pis_Setembro",#N/A,FALSE,"PIS COFINS";"Iss_Setembro",#N/A,FALSE,"ISS"}</definedName>
    <definedName name="yyyyyy_1" localSheetId="12" hidden="1">{"Fecha_Setembro",#N/A,FALSE,"FECHAMENTO-2002 ";"Defer_Setembro",#N/A,FALSE,"DIFERIDO";"Pis_Setembro",#N/A,FALSE,"PIS COFINS";"Iss_Setembro",#N/A,FALSE,"ISS"}</definedName>
    <definedName name="yyyyyy_1" localSheetId="13" hidden="1">{"Fecha_Setembro",#N/A,FALSE,"FECHAMENTO-2002 ";"Defer_Setembro",#N/A,FALSE,"DIFERIDO";"Pis_Setembro",#N/A,FALSE,"PIS COFINS";"Iss_Setembro",#N/A,FALSE,"ISS"}</definedName>
    <definedName name="yyyyyy_1" localSheetId="11" hidden="1">{"Fecha_Setembro",#N/A,FALSE,"FECHAMENTO-2002 ";"Defer_Setembro",#N/A,FALSE,"DIFERIDO";"Pis_Setembro",#N/A,FALSE,"PIS COFINS";"Iss_Setembro",#N/A,FALSE,"ISS"}</definedName>
    <definedName name="yyyyyy_1" localSheetId="31" hidden="1">{"Fecha_Setembro",#N/A,FALSE,"FECHAMENTO-2002 ";"Defer_Setembro",#N/A,FALSE,"DIFERIDO";"Pis_Setembro",#N/A,FALSE,"PIS COFINS";"Iss_Setembro",#N/A,FALSE,"ISS"}</definedName>
    <definedName name="yyyyyy_1" localSheetId="48" hidden="1">{"Fecha_Setembro",#N/A,FALSE,"FECHAMENTO-2002 ";"Defer_Setembro",#N/A,FALSE,"DIFERIDO";"Pis_Setembro",#N/A,FALSE,"PIS COFINS";"Iss_Setembro",#N/A,FALSE,"ISS"}</definedName>
    <definedName name="yyyyyy_1" hidden="1">{"Fecha_Setembro",#N/A,FALSE,"FECHAMENTO-2002 ";"Defer_Setembro",#N/A,FALSE,"DIFERIDO";"Pis_Setembro",#N/A,FALSE,"PIS COFINS";"Iss_Setembro",#N/A,FALSE,"ISS"}</definedName>
    <definedName name="yyyyyyy" localSheetId="15" hidden="1">{#N/A,#N/A,FALSE,"HONORÁRIOS"}</definedName>
    <definedName name="yyyyyyy" localSheetId="14" hidden="1">{#N/A,#N/A,FALSE,"HONORÁRIOS"}</definedName>
    <definedName name="yyyyyyy" localSheetId="2" hidden="1">{#N/A,#N/A,FALSE,"HONORÁRIOS"}</definedName>
    <definedName name="yyyyyyy" localSheetId="34" hidden="1">{#N/A,#N/A,FALSE,"HONORÁRIOS"}</definedName>
    <definedName name="yyyyyyy" localSheetId="38" hidden="1">{#N/A,#N/A,FALSE,"HONORÁRIOS"}</definedName>
    <definedName name="yyyyyyy" localSheetId="8" hidden="1">{#N/A,#N/A,FALSE,"HONORÁRIOS"}</definedName>
    <definedName name="yyyyyyy" localSheetId="12" hidden="1">{#N/A,#N/A,FALSE,"HONORÁRIOS"}</definedName>
    <definedName name="yyyyyyy" localSheetId="13" hidden="1">{#N/A,#N/A,FALSE,"HONORÁRIOS"}</definedName>
    <definedName name="yyyyyyy" localSheetId="11" hidden="1">{#N/A,#N/A,FALSE,"HONORÁRIOS"}</definedName>
    <definedName name="yyyyyyy" localSheetId="31" hidden="1">{#N/A,#N/A,FALSE,"HONORÁRIOS"}</definedName>
    <definedName name="yyyyyyy" localSheetId="48" hidden="1">{#N/A,#N/A,FALSE,"HONORÁRIOS"}</definedName>
    <definedName name="yyyyyyy" hidden="1">{#N/A,#N/A,FALSE,"HONORÁRIOS"}</definedName>
    <definedName name="yyyyyyy_1" localSheetId="15" hidden="1">{#N/A,#N/A,FALSE,"HONORÁRIOS"}</definedName>
    <definedName name="yyyyyyy_1" localSheetId="14" hidden="1">{#N/A,#N/A,FALSE,"HONORÁRIOS"}</definedName>
    <definedName name="yyyyyyy_1" localSheetId="2" hidden="1">{#N/A,#N/A,FALSE,"HONORÁRIOS"}</definedName>
    <definedName name="yyyyyyy_1" localSheetId="34" hidden="1">{#N/A,#N/A,FALSE,"HONORÁRIOS"}</definedName>
    <definedName name="yyyyyyy_1" localSheetId="38" hidden="1">{#N/A,#N/A,FALSE,"HONORÁRIOS"}</definedName>
    <definedName name="yyyyyyy_1" localSheetId="8" hidden="1">{#N/A,#N/A,FALSE,"HONORÁRIOS"}</definedName>
    <definedName name="yyyyyyy_1" localSheetId="12" hidden="1">{#N/A,#N/A,FALSE,"HONORÁRIOS"}</definedName>
    <definedName name="yyyyyyy_1" localSheetId="13" hidden="1">{#N/A,#N/A,FALSE,"HONORÁRIOS"}</definedName>
    <definedName name="yyyyyyy_1" localSheetId="11" hidden="1">{#N/A,#N/A,FALSE,"HONORÁRIOS"}</definedName>
    <definedName name="yyyyyyy_1" localSheetId="31" hidden="1">{#N/A,#N/A,FALSE,"HONORÁRIOS"}</definedName>
    <definedName name="yyyyyyy_1" localSheetId="48" hidden="1">{#N/A,#N/A,FALSE,"HONORÁRIOS"}</definedName>
    <definedName name="yyyyyyy_1" hidden="1">{#N/A,#N/A,FALSE,"HONORÁRIOS"}</definedName>
    <definedName name="yyyyyyyy" localSheetId="15" hidden="1">{"Fecha_Dezembro",#N/A,FALSE,"FECHAMENTO-2002 ";"Defer_Dezermbro",#N/A,FALSE,"DIFERIDO";"Pis_Dezembro",#N/A,FALSE,"PIS COFINS";"Iss_Dezembro",#N/A,FALSE,"ISS"}</definedName>
    <definedName name="yyyyyyyy" localSheetId="14" hidden="1">{"Fecha_Dezembro",#N/A,FALSE,"FECHAMENTO-2002 ";"Defer_Dezermbro",#N/A,FALSE,"DIFERIDO";"Pis_Dezembro",#N/A,FALSE,"PIS COFINS";"Iss_Dezembro",#N/A,FALSE,"ISS"}</definedName>
    <definedName name="yyyyyyyy" localSheetId="2" hidden="1">{"Fecha_Dezembro",#N/A,FALSE,"FECHAMENTO-2002 ";"Defer_Dezermbro",#N/A,FALSE,"DIFERIDO";"Pis_Dezembro",#N/A,FALSE,"PIS COFINS";"Iss_Dezembro",#N/A,FALSE,"ISS"}</definedName>
    <definedName name="yyyyyyyy" localSheetId="34" hidden="1">{"Fecha_Dezembro",#N/A,FALSE,"FECHAMENTO-2002 ";"Defer_Dezermbro",#N/A,FALSE,"DIFERIDO";"Pis_Dezembro",#N/A,FALSE,"PIS COFINS";"Iss_Dezembro",#N/A,FALSE,"ISS"}</definedName>
    <definedName name="yyyyyyyy" localSheetId="38" hidden="1">{"Fecha_Dezembro",#N/A,FALSE,"FECHAMENTO-2002 ";"Defer_Dezermbro",#N/A,FALSE,"DIFERIDO";"Pis_Dezembro",#N/A,FALSE,"PIS COFINS";"Iss_Dezembro",#N/A,FALSE,"ISS"}</definedName>
    <definedName name="yyyyyyyy" localSheetId="8" hidden="1">{"Fecha_Dezembro",#N/A,FALSE,"FECHAMENTO-2002 ";"Defer_Dezermbro",#N/A,FALSE,"DIFERIDO";"Pis_Dezembro",#N/A,FALSE,"PIS COFINS";"Iss_Dezembro",#N/A,FALSE,"ISS"}</definedName>
    <definedName name="yyyyyyyy" localSheetId="12" hidden="1">{"Fecha_Dezembro",#N/A,FALSE,"FECHAMENTO-2002 ";"Defer_Dezermbro",#N/A,FALSE,"DIFERIDO";"Pis_Dezembro",#N/A,FALSE,"PIS COFINS";"Iss_Dezembro",#N/A,FALSE,"ISS"}</definedName>
    <definedName name="yyyyyyyy" localSheetId="13" hidden="1">{"Fecha_Dezembro",#N/A,FALSE,"FECHAMENTO-2002 ";"Defer_Dezermbro",#N/A,FALSE,"DIFERIDO";"Pis_Dezembro",#N/A,FALSE,"PIS COFINS";"Iss_Dezembro",#N/A,FALSE,"ISS"}</definedName>
    <definedName name="yyyyyyyy" localSheetId="11" hidden="1">{"Fecha_Dezembro",#N/A,FALSE,"FECHAMENTO-2002 ";"Defer_Dezermbro",#N/A,FALSE,"DIFERIDO";"Pis_Dezembro",#N/A,FALSE,"PIS COFINS";"Iss_Dezembro",#N/A,FALSE,"ISS"}</definedName>
    <definedName name="yyyyyyyy" localSheetId="31" hidden="1">{"Fecha_Dezembro",#N/A,FALSE,"FECHAMENTO-2002 ";"Defer_Dezermbro",#N/A,FALSE,"DIFERIDO";"Pis_Dezembro",#N/A,FALSE,"PIS COFINS";"Iss_Dezembro",#N/A,FALSE,"ISS"}</definedName>
    <definedName name="yyyyyyyy" localSheetId="48" hidden="1">{"Fecha_Dezembro",#N/A,FALSE,"FECHAMENTO-2002 ";"Defer_Dezermbro",#N/A,FALSE,"DIFERIDO";"Pis_Dezembro",#N/A,FALSE,"PIS COFINS";"Iss_Dezembro",#N/A,FALSE,"ISS"}</definedName>
    <definedName name="yyyyyyyy" hidden="1">{"Fecha_Dezembro",#N/A,FALSE,"FECHAMENTO-2002 ";"Defer_Dezermbro",#N/A,FALSE,"DIFERIDO";"Pis_Dezembro",#N/A,FALSE,"PIS COFINS";"Iss_Dezembro",#N/A,FALSE,"ISS"}</definedName>
    <definedName name="yyyyyyyy_1" localSheetId="15" hidden="1">{"Fecha_Dezembro",#N/A,FALSE,"FECHAMENTO-2002 ";"Defer_Dezermbro",#N/A,FALSE,"DIFERIDO";"Pis_Dezembro",#N/A,FALSE,"PIS COFINS";"Iss_Dezembro",#N/A,FALSE,"ISS"}</definedName>
    <definedName name="yyyyyyyy_1" localSheetId="14" hidden="1">{"Fecha_Dezembro",#N/A,FALSE,"FECHAMENTO-2002 ";"Defer_Dezermbro",#N/A,FALSE,"DIFERIDO";"Pis_Dezembro",#N/A,FALSE,"PIS COFINS";"Iss_Dezembro",#N/A,FALSE,"ISS"}</definedName>
    <definedName name="yyyyyyyy_1" localSheetId="2" hidden="1">{"Fecha_Dezembro",#N/A,FALSE,"FECHAMENTO-2002 ";"Defer_Dezermbro",#N/A,FALSE,"DIFERIDO";"Pis_Dezembro",#N/A,FALSE,"PIS COFINS";"Iss_Dezembro",#N/A,FALSE,"ISS"}</definedName>
    <definedName name="yyyyyyyy_1" localSheetId="34" hidden="1">{"Fecha_Dezembro",#N/A,FALSE,"FECHAMENTO-2002 ";"Defer_Dezermbro",#N/A,FALSE,"DIFERIDO";"Pis_Dezembro",#N/A,FALSE,"PIS COFINS";"Iss_Dezembro",#N/A,FALSE,"ISS"}</definedName>
    <definedName name="yyyyyyyy_1" localSheetId="38" hidden="1">{"Fecha_Dezembro",#N/A,FALSE,"FECHAMENTO-2002 ";"Defer_Dezermbro",#N/A,FALSE,"DIFERIDO";"Pis_Dezembro",#N/A,FALSE,"PIS COFINS";"Iss_Dezembro",#N/A,FALSE,"ISS"}</definedName>
    <definedName name="yyyyyyyy_1" localSheetId="8" hidden="1">{"Fecha_Dezembro",#N/A,FALSE,"FECHAMENTO-2002 ";"Defer_Dezermbro",#N/A,FALSE,"DIFERIDO";"Pis_Dezembro",#N/A,FALSE,"PIS COFINS";"Iss_Dezembro",#N/A,FALSE,"ISS"}</definedName>
    <definedName name="yyyyyyyy_1" localSheetId="12" hidden="1">{"Fecha_Dezembro",#N/A,FALSE,"FECHAMENTO-2002 ";"Defer_Dezermbro",#N/A,FALSE,"DIFERIDO";"Pis_Dezembro",#N/A,FALSE,"PIS COFINS";"Iss_Dezembro",#N/A,FALSE,"ISS"}</definedName>
    <definedName name="yyyyyyyy_1" localSheetId="13" hidden="1">{"Fecha_Dezembro",#N/A,FALSE,"FECHAMENTO-2002 ";"Defer_Dezermbro",#N/A,FALSE,"DIFERIDO";"Pis_Dezembro",#N/A,FALSE,"PIS COFINS";"Iss_Dezembro",#N/A,FALSE,"ISS"}</definedName>
    <definedName name="yyyyyyyy_1" localSheetId="11" hidden="1">{"Fecha_Dezembro",#N/A,FALSE,"FECHAMENTO-2002 ";"Defer_Dezermbro",#N/A,FALSE,"DIFERIDO";"Pis_Dezembro",#N/A,FALSE,"PIS COFINS";"Iss_Dezembro",#N/A,FALSE,"ISS"}</definedName>
    <definedName name="yyyyyyyy_1" localSheetId="31" hidden="1">{"Fecha_Dezembro",#N/A,FALSE,"FECHAMENTO-2002 ";"Defer_Dezermbro",#N/A,FALSE,"DIFERIDO";"Pis_Dezembro",#N/A,FALSE,"PIS COFINS";"Iss_Dezembro",#N/A,FALSE,"ISS"}</definedName>
    <definedName name="yyyyyyyy_1" localSheetId="48" hidden="1">{"Fecha_Dezembro",#N/A,FALSE,"FECHAMENTO-2002 ";"Defer_Dezermbro",#N/A,FALSE,"DIFERIDO";"Pis_Dezembro",#N/A,FALSE,"PIS COFINS";"Iss_Dezembro",#N/A,FALSE,"ISS"}</definedName>
    <definedName name="yyyyyyyy_1" hidden="1">{"Fecha_Dezembro",#N/A,FALSE,"FECHAMENTO-2002 ";"Defer_Dezermbro",#N/A,FALSE,"DIFERIDO";"Pis_Dezembro",#N/A,FALSE,"PIS COFINS";"Iss_Dezembro",#N/A,FALSE,"ISS"}</definedName>
    <definedName name="yyyyyyyyyyyyyyyy" localSheetId="15" hidden="1">{"Fecha_Dezembro",#N/A,FALSE,"FECHAMENTO-2002 ";"Defer_Dezermbro",#N/A,FALSE,"DIFERIDO";"Pis_Dezembro",#N/A,FALSE,"PIS COFINS";"Iss_Dezembro",#N/A,FALSE,"ISS"}</definedName>
    <definedName name="yyyyyyyyyyyyyyyy" localSheetId="14" hidden="1">{"Fecha_Dezembro",#N/A,FALSE,"FECHAMENTO-2002 ";"Defer_Dezermbro",#N/A,FALSE,"DIFERIDO";"Pis_Dezembro",#N/A,FALSE,"PIS COFINS";"Iss_Dezembro",#N/A,FALSE,"ISS"}</definedName>
    <definedName name="yyyyyyyyyyyyyyyy" localSheetId="2" hidden="1">{"Fecha_Dezembro",#N/A,FALSE,"FECHAMENTO-2002 ";"Defer_Dezermbro",#N/A,FALSE,"DIFERIDO";"Pis_Dezembro",#N/A,FALSE,"PIS COFINS";"Iss_Dezembro",#N/A,FALSE,"ISS"}</definedName>
    <definedName name="yyyyyyyyyyyyyyyy" localSheetId="34" hidden="1">{"Fecha_Dezembro",#N/A,FALSE,"FECHAMENTO-2002 ";"Defer_Dezermbro",#N/A,FALSE,"DIFERIDO";"Pis_Dezembro",#N/A,FALSE,"PIS COFINS";"Iss_Dezembro",#N/A,FALSE,"ISS"}</definedName>
    <definedName name="yyyyyyyyyyyyyyyy" localSheetId="38" hidden="1">{"Fecha_Dezembro",#N/A,FALSE,"FECHAMENTO-2002 ";"Defer_Dezermbro",#N/A,FALSE,"DIFERIDO";"Pis_Dezembro",#N/A,FALSE,"PIS COFINS";"Iss_Dezembro",#N/A,FALSE,"ISS"}</definedName>
    <definedName name="yyyyyyyyyyyyyyyy" localSheetId="8" hidden="1">{"Fecha_Dezembro",#N/A,FALSE,"FECHAMENTO-2002 ";"Defer_Dezermbro",#N/A,FALSE,"DIFERIDO";"Pis_Dezembro",#N/A,FALSE,"PIS COFINS";"Iss_Dezembro",#N/A,FALSE,"ISS"}</definedName>
    <definedName name="yyyyyyyyyyyyyyyy" localSheetId="12" hidden="1">{"Fecha_Dezembro",#N/A,FALSE,"FECHAMENTO-2002 ";"Defer_Dezermbro",#N/A,FALSE,"DIFERIDO";"Pis_Dezembro",#N/A,FALSE,"PIS COFINS";"Iss_Dezembro",#N/A,FALSE,"ISS"}</definedName>
    <definedName name="yyyyyyyyyyyyyyyy" localSheetId="13" hidden="1">{"Fecha_Dezembro",#N/A,FALSE,"FECHAMENTO-2002 ";"Defer_Dezermbro",#N/A,FALSE,"DIFERIDO";"Pis_Dezembro",#N/A,FALSE,"PIS COFINS";"Iss_Dezembro",#N/A,FALSE,"ISS"}</definedName>
    <definedName name="yyyyyyyyyyyyyyyy" localSheetId="11" hidden="1">{"Fecha_Dezembro",#N/A,FALSE,"FECHAMENTO-2002 ";"Defer_Dezermbro",#N/A,FALSE,"DIFERIDO";"Pis_Dezembro",#N/A,FALSE,"PIS COFINS";"Iss_Dezembro",#N/A,FALSE,"ISS"}</definedName>
    <definedName name="yyyyyyyyyyyyyyyy" localSheetId="31" hidden="1">{"Fecha_Dezembro",#N/A,FALSE,"FECHAMENTO-2002 ";"Defer_Dezermbro",#N/A,FALSE,"DIFERIDO";"Pis_Dezembro",#N/A,FALSE,"PIS COFINS";"Iss_Dezembro",#N/A,FALSE,"ISS"}</definedName>
    <definedName name="yyyyyyyyyyyyyyyy" localSheetId="48"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_1" localSheetId="15" hidden="1">{"Fecha_Dezembro",#N/A,FALSE,"FECHAMENTO-2002 ";"Defer_Dezermbro",#N/A,FALSE,"DIFERIDO";"Pis_Dezembro",#N/A,FALSE,"PIS COFINS";"Iss_Dezembro",#N/A,FALSE,"ISS"}</definedName>
    <definedName name="yyyyyyyyyyyyyyyy_1" localSheetId="14" hidden="1">{"Fecha_Dezembro",#N/A,FALSE,"FECHAMENTO-2002 ";"Defer_Dezermbro",#N/A,FALSE,"DIFERIDO";"Pis_Dezembro",#N/A,FALSE,"PIS COFINS";"Iss_Dezembro",#N/A,FALSE,"ISS"}</definedName>
    <definedName name="yyyyyyyyyyyyyyyy_1" localSheetId="2" hidden="1">{"Fecha_Dezembro",#N/A,FALSE,"FECHAMENTO-2002 ";"Defer_Dezermbro",#N/A,FALSE,"DIFERIDO";"Pis_Dezembro",#N/A,FALSE,"PIS COFINS";"Iss_Dezembro",#N/A,FALSE,"ISS"}</definedName>
    <definedName name="yyyyyyyyyyyyyyyy_1" localSheetId="34" hidden="1">{"Fecha_Dezembro",#N/A,FALSE,"FECHAMENTO-2002 ";"Defer_Dezermbro",#N/A,FALSE,"DIFERIDO";"Pis_Dezembro",#N/A,FALSE,"PIS COFINS";"Iss_Dezembro",#N/A,FALSE,"ISS"}</definedName>
    <definedName name="yyyyyyyyyyyyyyyy_1" localSheetId="38" hidden="1">{"Fecha_Dezembro",#N/A,FALSE,"FECHAMENTO-2002 ";"Defer_Dezermbro",#N/A,FALSE,"DIFERIDO";"Pis_Dezembro",#N/A,FALSE,"PIS COFINS";"Iss_Dezembro",#N/A,FALSE,"ISS"}</definedName>
    <definedName name="yyyyyyyyyyyyyyyy_1" localSheetId="8" hidden="1">{"Fecha_Dezembro",#N/A,FALSE,"FECHAMENTO-2002 ";"Defer_Dezermbro",#N/A,FALSE,"DIFERIDO";"Pis_Dezembro",#N/A,FALSE,"PIS COFINS";"Iss_Dezembro",#N/A,FALSE,"ISS"}</definedName>
    <definedName name="yyyyyyyyyyyyyyyy_1" localSheetId="12" hidden="1">{"Fecha_Dezembro",#N/A,FALSE,"FECHAMENTO-2002 ";"Defer_Dezermbro",#N/A,FALSE,"DIFERIDO";"Pis_Dezembro",#N/A,FALSE,"PIS COFINS";"Iss_Dezembro",#N/A,FALSE,"ISS"}</definedName>
    <definedName name="yyyyyyyyyyyyyyyy_1" localSheetId="13" hidden="1">{"Fecha_Dezembro",#N/A,FALSE,"FECHAMENTO-2002 ";"Defer_Dezermbro",#N/A,FALSE,"DIFERIDO";"Pis_Dezembro",#N/A,FALSE,"PIS COFINS";"Iss_Dezembro",#N/A,FALSE,"ISS"}</definedName>
    <definedName name="yyyyyyyyyyyyyyyy_1" localSheetId="11" hidden="1">{"Fecha_Dezembro",#N/A,FALSE,"FECHAMENTO-2002 ";"Defer_Dezermbro",#N/A,FALSE,"DIFERIDO";"Pis_Dezembro",#N/A,FALSE,"PIS COFINS";"Iss_Dezembro",#N/A,FALSE,"ISS"}</definedName>
    <definedName name="yyyyyyyyyyyyyyyy_1" localSheetId="31" hidden="1">{"Fecha_Dezembro",#N/A,FALSE,"FECHAMENTO-2002 ";"Defer_Dezermbro",#N/A,FALSE,"DIFERIDO";"Pis_Dezembro",#N/A,FALSE,"PIS COFINS";"Iss_Dezembro",#N/A,FALSE,"ISS"}</definedName>
    <definedName name="yyyyyyyyyyyyyyyy_1" localSheetId="48" hidden="1">{"Fecha_Dezembro",#N/A,FALSE,"FECHAMENTO-2002 ";"Defer_Dezermbro",#N/A,FALSE,"DIFERIDO";"Pis_Dezembro",#N/A,FALSE,"PIS COFINS";"Iss_Dezembro",#N/A,FALSE,"ISS"}</definedName>
    <definedName name="yyyyyyyyyyyyyyyy_1" hidden="1">{"Fecha_Dezembro",#N/A,FALSE,"FECHAMENTO-2002 ";"Defer_Dezermbro",#N/A,FALSE,"DIFERIDO";"Pis_Dezembro",#N/A,FALSE,"PIS COFINS";"Iss_Dezembro",#N/A,FALSE,"ISS"}</definedName>
    <definedName name="yyyyyyyyyyyyyyyyyyy" localSheetId="15" hidden="1">{"Fecha_Dezembro",#N/A,FALSE,"FECHAMENTO-2002 ";"Defer_Dezermbro",#N/A,FALSE,"DIFERIDO";"Pis_Dezembro",#N/A,FALSE,"PIS COFINS";"Iss_Dezembro",#N/A,FALSE,"ISS"}</definedName>
    <definedName name="yyyyyyyyyyyyyyyyyyy" localSheetId="14" hidden="1">{"Fecha_Dezembro",#N/A,FALSE,"FECHAMENTO-2002 ";"Defer_Dezermbro",#N/A,FALSE,"DIFERIDO";"Pis_Dezembro",#N/A,FALSE,"PIS COFINS";"Iss_Dezembro",#N/A,FALSE,"ISS"}</definedName>
    <definedName name="yyyyyyyyyyyyyyyyyyy" localSheetId="2" hidden="1">{"Fecha_Dezembro",#N/A,FALSE,"FECHAMENTO-2002 ";"Defer_Dezermbro",#N/A,FALSE,"DIFERIDO";"Pis_Dezembro",#N/A,FALSE,"PIS COFINS";"Iss_Dezembro",#N/A,FALSE,"ISS"}</definedName>
    <definedName name="yyyyyyyyyyyyyyyyyyy" localSheetId="34" hidden="1">{"Fecha_Dezembro",#N/A,FALSE,"FECHAMENTO-2002 ";"Defer_Dezermbro",#N/A,FALSE,"DIFERIDO";"Pis_Dezembro",#N/A,FALSE,"PIS COFINS";"Iss_Dezembro",#N/A,FALSE,"ISS"}</definedName>
    <definedName name="yyyyyyyyyyyyyyyyyyy" localSheetId="38" hidden="1">{"Fecha_Dezembro",#N/A,FALSE,"FECHAMENTO-2002 ";"Defer_Dezermbro",#N/A,FALSE,"DIFERIDO";"Pis_Dezembro",#N/A,FALSE,"PIS COFINS";"Iss_Dezembro",#N/A,FALSE,"ISS"}</definedName>
    <definedName name="yyyyyyyyyyyyyyyyyyy" localSheetId="8" hidden="1">{"Fecha_Dezembro",#N/A,FALSE,"FECHAMENTO-2002 ";"Defer_Dezermbro",#N/A,FALSE,"DIFERIDO";"Pis_Dezembro",#N/A,FALSE,"PIS COFINS";"Iss_Dezembro",#N/A,FALSE,"ISS"}</definedName>
    <definedName name="yyyyyyyyyyyyyyyyyyy" localSheetId="12" hidden="1">{"Fecha_Dezembro",#N/A,FALSE,"FECHAMENTO-2002 ";"Defer_Dezermbro",#N/A,FALSE,"DIFERIDO";"Pis_Dezembro",#N/A,FALSE,"PIS COFINS";"Iss_Dezembro",#N/A,FALSE,"ISS"}</definedName>
    <definedName name="yyyyyyyyyyyyyyyyyyy" localSheetId="13" hidden="1">{"Fecha_Dezembro",#N/A,FALSE,"FECHAMENTO-2002 ";"Defer_Dezermbro",#N/A,FALSE,"DIFERIDO";"Pis_Dezembro",#N/A,FALSE,"PIS COFINS";"Iss_Dezembro",#N/A,FALSE,"ISS"}</definedName>
    <definedName name="yyyyyyyyyyyyyyyyyyy" localSheetId="11" hidden="1">{"Fecha_Dezembro",#N/A,FALSE,"FECHAMENTO-2002 ";"Defer_Dezermbro",#N/A,FALSE,"DIFERIDO";"Pis_Dezembro",#N/A,FALSE,"PIS COFINS";"Iss_Dezembro",#N/A,FALSE,"ISS"}</definedName>
    <definedName name="yyyyyyyyyyyyyyyyyyy" localSheetId="31" hidden="1">{"Fecha_Dezembro",#N/A,FALSE,"FECHAMENTO-2002 ";"Defer_Dezermbro",#N/A,FALSE,"DIFERIDO";"Pis_Dezembro",#N/A,FALSE,"PIS COFINS";"Iss_Dezembro",#N/A,FALSE,"ISS"}</definedName>
    <definedName name="yyyyyyyyyyyyyyyyyyy" localSheetId="48"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yyyyyyyyyyyyyyyyyyy_1" localSheetId="15" hidden="1">{"Fecha_Dezembro",#N/A,FALSE,"FECHAMENTO-2002 ";"Defer_Dezermbro",#N/A,FALSE,"DIFERIDO";"Pis_Dezembro",#N/A,FALSE,"PIS COFINS";"Iss_Dezembro",#N/A,FALSE,"ISS"}</definedName>
    <definedName name="yyyyyyyyyyyyyyyyyyy_1" localSheetId="14" hidden="1">{"Fecha_Dezembro",#N/A,FALSE,"FECHAMENTO-2002 ";"Defer_Dezermbro",#N/A,FALSE,"DIFERIDO";"Pis_Dezembro",#N/A,FALSE,"PIS COFINS";"Iss_Dezembro",#N/A,FALSE,"ISS"}</definedName>
    <definedName name="yyyyyyyyyyyyyyyyyyy_1" localSheetId="2" hidden="1">{"Fecha_Dezembro",#N/A,FALSE,"FECHAMENTO-2002 ";"Defer_Dezermbro",#N/A,FALSE,"DIFERIDO";"Pis_Dezembro",#N/A,FALSE,"PIS COFINS";"Iss_Dezembro",#N/A,FALSE,"ISS"}</definedName>
    <definedName name="yyyyyyyyyyyyyyyyyyy_1" localSheetId="34" hidden="1">{"Fecha_Dezembro",#N/A,FALSE,"FECHAMENTO-2002 ";"Defer_Dezermbro",#N/A,FALSE,"DIFERIDO";"Pis_Dezembro",#N/A,FALSE,"PIS COFINS";"Iss_Dezembro",#N/A,FALSE,"ISS"}</definedName>
    <definedName name="yyyyyyyyyyyyyyyyyyy_1" localSheetId="38" hidden="1">{"Fecha_Dezembro",#N/A,FALSE,"FECHAMENTO-2002 ";"Defer_Dezermbro",#N/A,FALSE,"DIFERIDO";"Pis_Dezembro",#N/A,FALSE,"PIS COFINS";"Iss_Dezembro",#N/A,FALSE,"ISS"}</definedName>
    <definedName name="yyyyyyyyyyyyyyyyyyy_1" localSheetId="8" hidden="1">{"Fecha_Dezembro",#N/A,FALSE,"FECHAMENTO-2002 ";"Defer_Dezermbro",#N/A,FALSE,"DIFERIDO";"Pis_Dezembro",#N/A,FALSE,"PIS COFINS";"Iss_Dezembro",#N/A,FALSE,"ISS"}</definedName>
    <definedName name="yyyyyyyyyyyyyyyyyyy_1" localSheetId="12" hidden="1">{"Fecha_Dezembro",#N/A,FALSE,"FECHAMENTO-2002 ";"Defer_Dezermbro",#N/A,FALSE,"DIFERIDO";"Pis_Dezembro",#N/A,FALSE,"PIS COFINS";"Iss_Dezembro",#N/A,FALSE,"ISS"}</definedName>
    <definedName name="yyyyyyyyyyyyyyyyyyy_1" localSheetId="13" hidden="1">{"Fecha_Dezembro",#N/A,FALSE,"FECHAMENTO-2002 ";"Defer_Dezermbro",#N/A,FALSE,"DIFERIDO";"Pis_Dezembro",#N/A,FALSE,"PIS COFINS";"Iss_Dezembro",#N/A,FALSE,"ISS"}</definedName>
    <definedName name="yyyyyyyyyyyyyyyyyyy_1" localSheetId="11" hidden="1">{"Fecha_Dezembro",#N/A,FALSE,"FECHAMENTO-2002 ";"Defer_Dezermbro",#N/A,FALSE,"DIFERIDO";"Pis_Dezembro",#N/A,FALSE,"PIS COFINS";"Iss_Dezembro",#N/A,FALSE,"ISS"}</definedName>
    <definedName name="yyyyyyyyyyyyyyyyyyy_1" localSheetId="31" hidden="1">{"Fecha_Dezembro",#N/A,FALSE,"FECHAMENTO-2002 ";"Defer_Dezermbro",#N/A,FALSE,"DIFERIDO";"Pis_Dezembro",#N/A,FALSE,"PIS COFINS";"Iss_Dezembro",#N/A,FALSE,"ISS"}</definedName>
    <definedName name="yyyyyyyyyyyyyyyyyyy_1" localSheetId="48" hidden="1">{"Fecha_Dezembro",#N/A,FALSE,"FECHAMENTO-2002 ";"Defer_Dezermbro",#N/A,FALSE,"DIFERIDO";"Pis_Dezembro",#N/A,FALSE,"PIS COFINS";"Iss_Dezembro",#N/A,FALSE,"ISS"}</definedName>
    <definedName name="yyyyyyyyyyyyyyyyyyy_1" hidden="1">{"Fecha_Dezembro",#N/A,FALSE,"FECHAMENTO-2002 ";"Defer_Dezermbro",#N/A,FALSE,"DIFERIDO";"Pis_Dezembro",#N/A,FALSE,"PIS COFINS";"Iss_Dezembro",#N/A,FALSE,"ISS"}</definedName>
    <definedName name="Z_56785A02_7067_463E_810B_6732D2DF0DB2_.wvu.PrintArea" localSheetId="1" hidden="1">#REF!</definedName>
    <definedName name="Z_56785A02_7067_463E_810B_6732D2DF0DB2_.wvu.PrintArea" localSheetId="15" hidden="1">#REF!</definedName>
    <definedName name="Z_56785A02_7067_463E_810B_6732D2DF0DB2_.wvu.PrintArea" localSheetId="7" hidden="1">#REF!</definedName>
    <definedName name="Z_56785A02_7067_463E_810B_6732D2DF0DB2_.wvu.PrintArea" localSheetId="14" hidden="1">#REF!</definedName>
    <definedName name="Z_56785A02_7067_463E_810B_6732D2DF0DB2_.wvu.PrintArea" localSheetId="2" hidden="1">#REF!</definedName>
    <definedName name="Z_56785A02_7067_463E_810B_6732D2DF0DB2_.wvu.PrintArea" localSheetId="34" hidden="1">#REF!</definedName>
    <definedName name="Z_56785A02_7067_463E_810B_6732D2DF0DB2_.wvu.PrintArea" localSheetId="38" hidden="1">#REF!</definedName>
    <definedName name="Z_56785A02_7067_463E_810B_6732D2DF0DB2_.wvu.PrintArea" localSheetId="12" hidden="1">#REF!</definedName>
    <definedName name="Z_56785A02_7067_463E_810B_6732D2DF0DB2_.wvu.PrintArea" localSheetId="10" hidden="1">#REF!</definedName>
    <definedName name="Z_56785A02_7067_463E_810B_6732D2DF0DB2_.wvu.PrintArea" localSheetId="6" hidden="1">#REF!</definedName>
    <definedName name="Z_56785A02_7067_463E_810B_6732D2DF0DB2_.wvu.PrintArea" hidden="1">#REF!</definedName>
    <definedName name="Z_70ACAE61_1F25_11D3_B062_00104BC637D4_.wvu.Cols" hidden="1">#REF!</definedName>
    <definedName name="Z_70ACAE61_1F25_11D3_B062_00104BC637D4_.wvu.PrintArea" hidden="1">#REF!</definedName>
    <definedName name="Z_70ACAE61_1F25_11D3_B062_00104BC637D4_.wvu.PrintTitles" hidden="1">#REF!</definedName>
    <definedName name="Z_FAB890B6_A7DF_49B5_8B84_7933F7804438_.wvu.PrintArea" localSheetId="1" hidden="1">#REF!</definedName>
    <definedName name="Z_FAB890B6_A7DF_49B5_8B84_7933F7804438_.wvu.PrintArea" localSheetId="15" hidden="1">#REF!</definedName>
    <definedName name="Z_FAB890B6_A7DF_49B5_8B84_7933F7804438_.wvu.PrintArea" localSheetId="7" hidden="1">#REF!</definedName>
    <definedName name="Z_FAB890B6_A7DF_49B5_8B84_7933F7804438_.wvu.PrintArea" localSheetId="14" hidden="1">#REF!</definedName>
    <definedName name="Z_FAB890B6_A7DF_49B5_8B84_7933F7804438_.wvu.PrintArea" localSheetId="2" hidden="1">#REF!</definedName>
    <definedName name="Z_FAB890B6_A7DF_49B5_8B84_7933F7804438_.wvu.PrintArea" localSheetId="34" hidden="1">#REF!</definedName>
    <definedName name="Z_FAB890B6_A7DF_49B5_8B84_7933F7804438_.wvu.PrintArea" localSheetId="38" hidden="1">#REF!</definedName>
    <definedName name="Z_FAB890B6_A7DF_49B5_8B84_7933F7804438_.wvu.PrintArea" localSheetId="12" hidden="1">#REF!</definedName>
    <definedName name="Z_FAB890B6_A7DF_49B5_8B84_7933F7804438_.wvu.PrintArea" localSheetId="10" hidden="1">#REF!</definedName>
    <definedName name="Z_FAB890B6_A7DF_49B5_8B84_7933F7804438_.wvu.PrintArea" localSheetId="6" hidden="1">#REF!</definedName>
    <definedName name="Z_FAB890B6_A7DF_49B5_8B84_7933F7804438_.wvu.PrintArea" hidden="1">#REF!</definedName>
    <definedName name="ZI" localSheetId="1" hidden="1">#REF!</definedName>
    <definedName name="ZI" localSheetId="15" hidden="1">#REF!</definedName>
    <definedName name="ZI" localSheetId="7" hidden="1">#REF!</definedName>
    <definedName name="ZI" localSheetId="14" hidden="1">#REF!</definedName>
    <definedName name="ZI" localSheetId="2" hidden="1">#REF!</definedName>
    <definedName name="ZI" localSheetId="34" hidden="1">#REF!</definedName>
    <definedName name="ZI" localSheetId="38" hidden="1">#REF!</definedName>
    <definedName name="ZI" localSheetId="12" hidden="1">#REF!</definedName>
    <definedName name="ZI" localSheetId="10" hidden="1">#REF!</definedName>
    <definedName name="ZI" localSheetId="6" hidden="1">#REF!</definedName>
    <definedName name="ZI"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215" i="77" l="1"/>
  <c r="AZ215" i="77"/>
  <c r="AY215" i="77"/>
  <c r="AX215" i="77"/>
  <c r="AW215" i="77"/>
  <c r="AF215" i="77"/>
  <c r="AD215" i="77"/>
  <c r="AO215" i="77" s="1"/>
  <c r="AC215" i="77"/>
  <c r="AN215" i="77" s="1"/>
  <c r="AB215" i="77"/>
  <c r="AM215" i="77" s="1"/>
  <c r="AA215" i="77"/>
  <c r="AL215" i="77" s="1"/>
  <c r="Z215" i="77"/>
  <c r="AK215" i="77" s="1"/>
  <c r="Y215" i="77"/>
  <c r="AJ215" i="77" s="1"/>
  <c r="X215" i="77"/>
  <c r="AI215" i="77" s="1"/>
  <c r="W215" i="77"/>
  <c r="AH215" i="77" s="1"/>
  <c r="V215" i="77"/>
  <c r="AG215" i="77" s="1"/>
  <c r="N215" i="77"/>
  <c r="BD215" i="77" s="1"/>
  <c r="M215" i="77"/>
  <c r="G215" i="77"/>
  <c r="BC215" i="77" s="1"/>
  <c r="F215" i="77"/>
  <c r="E215" i="77"/>
  <c r="C215" i="77"/>
  <c r="B215" i="77"/>
  <c r="AY2" i="8"/>
  <c r="P218" i="80"/>
  <c r="P211" i="80"/>
  <c r="P212" i="80"/>
  <c r="P214" i="80"/>
  <c r="P203" i="80"/>
  <c r="P204" i="80"/>
  <c r="P205" i="80"/>
  <c r="P206" i="80"/>
  <c r="O205" i="80"/>
  <c r="F222" i="80"/>
  <c r="F219" i="80"/>
  <c r="E222" i="80"/>
  <c r="E219" i="80"/>
  <c r="N222" i="80"/>
  <c r="M222" i="80"/>
  <c r="P222" i="80" s="1"/>
  <c r="M219" i="80"/>
  <c r="P219" i="80" s="1"/>
  <c r="L20" i="76"/>
  <c r="AY23" i="83"/>
  <c r="AY85" i="83"/>
  <c r="BC27" i="48"/>
  <c r="BC28" i="48"/>
  <c r="BC31" i="44"/>
  <c r="BC29" i="44"/>
  <c r="BC28" i="44"/>
  <c r="BC27" i="44"/>
  <c r="BC26" i="44"/>
  <c r="BC7" i="44"/>
  <c r="M59" i="42"/>
  <c r="J447" i="36"/>
  <c r="BA18" i="33"/>
  <c r="BC19" i="26"/>
  <c r="BC18" i="26"/>
  <c r="BC9" i="26"/>
  <c r="BC8" i="26"/>
  <c r="BB11" i="24"/>
  <c r="BB8" i="24"/>
  <c r="BC17" i="39"/>
  <c r="BC15" i="39"/>
  <c r="BC14" i="39"/>
  <c r="BC13" i="39"/>
  <c r="BC12" i="39"/>
  <c r="AX6" i="72"/>
  <c r="BB19" i="55"/>
  <c r="BB18" i="55"/>
  <c r="BB17" i="55"/>
  <c r="BB15" i="55"/>
  <c r="BB14" i="55"/>
  <c r="BB21" i="55"/>
  <c r="BB16" i="55"/>
  <c r="BB20" i="55"/>
  <c r="BJ39" i="9"/>
  <c r="BI129" i="9"/>
  <c r="BP40" i="3"/>
  <c r="BQ40" i="3"/>
  <c r="BI12" i="9" s="1"/>
  <c r="BI13" i="9"/>
  <c r="BI18" i="9"/>
  <c r="AI17" i="81"/>
  <c r="AI16" i="81"/>
  <c r="AI14" i="81"/>
  <c r="AI13" i="81"/>
  <c r="AI11" i="81"/>
  <c r="AI10" i="81"/>
  <c r="AI9" i="81"/>
  <c r="AI8" i="81"/>
  <c r="AI7" i="81"/>
  <c r="O222" i="80"/>
  <c r="O223" i="80" s="1"/>
  <c r="O217" i="80"/>
  <c r="O210" i="80"/>
  <c r="O209" i="80"/>
  <c r="G222" i="80"/>
  <c r="G221" i="80"/>
  <c r="E221" i="80"/>
  <c r="G220" i="80"/>
  <c r="G218" i="80"/>
  <c r="G217" i="80"/>
  <c r="G214" i="80"/>
  <c r="G213" i="80"/>
  <c r="G212" i="80"/>
  <c r="G210" i="80"/>
  <c r="G209" i="80"/>
  <c r="N221" i="80"/>
  <c r="M221" i="80"/>
  <c r="P221" i="80" s="1"/>
  <c r="N220" i="80"/>
  <c r="M220" i="80"/>
  <c r="P220" i="80" s="1"/>
  <c r="N217" i="80"/>
  <c r="F221" i="80"/>
  <c r="F220" i="80"/>
  <c r="F218" i="80"/>
  <c r="F217" i="80"/>
  <c r="N210" i="80"/>
  <c r="N209" i="80"/>
  <c r="F213" i="80"/>
  <c r="F212" i="80"/>
  <c r="F210" i="80"/>
  <c r="F209" i="80"/>
  <c r="AY75" i="68"/>
  <c r="AW75" i="68"/>
  <c r="AY74" i="68"/>
  <c r="AW74" i="68"/>
  <c r="AP75" i="68"/>
  <c r="AO75" i="68"/>
  <c r="AP74" i="68"/>
  <c r="AO74" i="68"/>
  <c r="AY66" i="68"/>
  <c r="AW66" i="68"/>
  <c r="AY58" i="68"/>
  <c r="AO58" i="68"/>
  <c r="AM58" i="68"/>
  <c r="AY19" i="68"/>
  <c r="AW19" i="68"/>
  <c r="AV19" i="68"/>
  <c r="AU19" i="68"/>
  <c r="AY16" i="68"/>
  <c r="AW16" i="68"/>
  <c r="AV16" i="68"/>
  <c r="AU16" i="68"/>
  <c r="AY15" i="68"/>
  <c r="AW15" i="68"/>
  <c r="AV15" i="68"/>
  <c r="AU15" i="68"/>
  <c r="AY13" i="68"/>
  <c r="AW13" i="68"/>
  <c r="AV13" i="68"/>
  <c r="AU13" i="68"/>
  <c r="AP19" i="68"/>
  <c r="AO19" i="68"/>
  <c r="AP16" i="68"/>
  <c r="AO16" i="68"/>
  <c r="AP15" i="68"/>
  <c r="AO15" i="68"/>
  <c r="AP13" i="68"/>
  <c r="AO13" i="68"/>
  <c r="AY7" i="68"/>
  <c r="AY79" i="68"/>
  <c r="AW79" i="68"/>
  <c r="AY70" i="68"/>
  <c r="AW70" i="68"/>
  <c r="AY57" i="68"/>
  <c r="AY56" i="68"/>
  <c r="AY55" i="68"/>
  <c r="AY53" i="68"/>
  <c r="AY52" i="68"/>
  <c r="AY47" i="68"/>
  <c r="AY46" i="68"/>
  <c r="AY39" i="68"/>
  <c r="AY36" i="68"/>
  <c r="AY35" i="68"/>
  <c r="AY34" i="68"/>
  <c r="AY30" i="68"/>
  <c r="AY29" i="68"/>
  <c r="AY22" i="68"/>
  <c r="AY11" i="68"/>
  <c r="AY10" i="68"/>
  <c r="AY9" i="68"/>
  <c r="AY8" i="68"/>
  <c r="AY6" i="68"/>
  <c r="BB8" i="66"/>
  <c r="BB7" i="66"/>
  <c r="BB6" i="66"/>
  <c r="BB10" i="55"/>
  <c r="BB9" i="55"/>
  <c r="BB8" i="55"/>
  <c r="BB7" i="55"/>
  <c r="BB6" i="55"/>
  <c r="BB16" i="65"/>
  <c r="BB8" i="65"/>
  <c r="BB17" i="65"/>
  <c r="BB15" i="65"/>
  <c r="BB14" i="65"/>
  <c r="BB10" i="65"/>
  <c r="BB9" i="65"/>
  <c r="BB7" i="65"/>
  <c r="BB6" i="65"/>
  <c r="BB57" i="71"/>
  <c r="BB16" i="53"/>
  <c r="BB14" i="53"/>
  <c r="BB13" i="53"/>
  <c r="BB9" i="53"/>
  <c r="BB7" i="53"/>
  <c r="BB6" i="53"/>
  <c r="BB12" i="52"/>
  <c r="BB11" i="52"/>
  <c r="BB10" i="52"/>
  <c r="BB13" i="52"/>
  <c r="BB9" i="52"/>
  <c r="BB8" i="52"/>
  <c r="BB7" i="52"/>
  <c r="BB6" i="52"/>
  <c r="BB36" i="49"/>
  <c r="BA36" i="49"/>
  <c r="AZ36" i="49"/>
  <c r="AY36" i="49"/>
  <c r="AX36" i="49"/>
  <c r="AS36" i="49"/>
  <c r="AR36" i="49"/>
  <c r="AQ36" i="49"/>
  <c r="AP36" i="49"/>
  <c r="AO36" i="49"/>
  <c r="AN36" i="49"/>
  <c r="AL36" i="49"/>
  <c r="AH36" i="49"/>
  <c r="AG36" i="49"/>
  <c r="BB35" i="49"/>
  <c r="BB34" i="49"/>
  <c r="BB31" i="49"/>
  <c r="BB30" i="49"/>
  <c r="BB29" i="49"/>
  <c r="BB27" i="49"/>
  <c r="BB26" i="49"/>
  <c r="BB25" i="49"/>
  <c r="BB24" i="49"/>
  <c r="BB18" i="49"/>
  <c r="BA18" i="49"/>
  <c r="AZ18" i="49"/>
  <c r="AY18" i="49"/>
  <c r="AX18" i="49"/>
  <c r="AS18" i="49"/>
  <c r="AR18" i="49"/>
  <c r="AQ18" i="49"/>
  <c r="AP18" i="49"/>
  <c r="AO18" i="49"/>
  <c r="AN18" i="49"/>
  <c r="AL18" i="49"/>
  <c r="AH18" i="49"/>
  <c r="AG18" i="49"/>
  <c r="BB17" i="49"/>
  <c r="BB16" i="49"/>
  <c r="BB15" i="49"/>
  <c r="BB14" i="49"/>
  <c r="BB13" i="49"/>
  <c r="BB12" i="49"/>
  <c r="BB11" i="49"/>
  <c r="BB10" i="49"/>
  <c r="BB9" i="49"/>
  <c r="BB8" i="49"/>
  <c r="BB7" i="49"/>
  <c r="BB6" i="49"/>
  <c r="BC26" i="48"/>
  <c r="BC25" i="48"/>
  <c r="BC18" i="48"/>
  <c r="BC17" i="48"/>
  <c r="BC16" i="48"/>
  <c r="BC15" i="48"/>
  <c r="BC14" i="48"/>
  <c r="BC13" i="48"/>
  <c r="BC12" i="48"/>
  <c r="BC11" i="48"/>
  <c r="BC10" i="48"/>
  <c r="BC9" i="48"/>
  <c r="BC8" i="48"/>
  <c r="BC7" i="48"/>
  <c r="BC6" i="48"/>
  <c r="AX23" i="72"/>
  <c r="AX22" i="72"/>
  <c r="AX14" i="72"/>
  <c r="AX12" i="72"/>
  <c r="AX11" i="72"/>
  <c r="AX10" i="72"/>
  <c r="BF102" i="46"/>
  <c r="BF101" i="46"/>
  <c r="BF100" i="46"/>
  <c r="BF99" i="46"/>
  <c r="BF96" i="46"/>
  <c r="BF95" i="46"/>
  <c r="BF90" i="46"/>
  <c r="BF89" i="46"/>
  <c r="BF88" i="46"/>
  <c r="BF87" i="46"/>
  <c r="BF84" i="46"/>
  <c r="BF83" i="46"/>
  <c r="BF71" i="46"/>
  <c r="BF70" i="46"/>
  <c r="BF69" i="46"/>
  <c r="BF65" i="46"/>
  <c r="BF64" i="46"/>
  <c r="BF63" i="46"/>
  <c r="BF52" i="46"/>
  <c r="BF51" i="46"/>
  <c r="BF50" i="46"/>
  <c r="BF46" i="46"/>
  <c r="BF45" i="46"/>
  <c r="BF44" i="46"/>
  <c r="BF33" i="46"/>
  <c r="BF32" i="46"/>
  <c r="BF31" i="46"/>
  <c r="BF27" i="46"/>
  <c r="BF26" i="46"/>
  <c r="BF25" i="46"/>
  <c r="BF14" i="46"/>
  <c r="BF13" i="46"/>
  <c r="BF12" i="46"/>
  <c r="BF8" i="46"/>
  <c r="BF7" i="46"/>
  <c r="BF6" i="46"/>
  <c r="BC21" i="45"/>
  <c r="BC20" i="45"/>
  <c r="BC19" i="45"/>
  <c r="BC18" i="45"/>
  <c r="BC17" i="45"/>
  <c r="BC16" i="45"/>
  <c r="BC11" i="45"/>
  <c r="BC10" i="45"/>
  <c r="BC9" i="45"/>
  <c r="BC8" i="45"/>
  <c r="BC7" i="45"/>
  <c r="BC6" i="45"/>
  <c r="HL34" i="85"/>
  <c r="HL33" i="85"/>
  <c r="GZ33" i="85"/>
  <c r="GH33" i="85"/>
  <c r="GB33" i="85"/>
  <c r="FO33" i="85"/>
  <c r="FK33" i="85"/>
  <c r="FC33" i="85"/>
  <c r="HK9" i="85"/>
  <c r="HI9" i="85"/>
  <c r="FB9" i="85"/>
  <c r="FA9" i="85"/>
  <c r="EH9" i="85"/>
  <c r="EG9" i="85"/>
  <c r="ED9" i="85"/>
  <c r="EC9" i="85"/>
  <c r="BC21" i="44"/>
  <c r="AZ21" i="44"/>
  <c r="BC20" i="44"/>
  <c r="AZ20" i="44"/>
  <c r="BC17" i="44"/>
  <c r="AZ17" i="44"/>
  <c r="BC16" i="44"/>
  <c r="AZ16" i="44"/>
  <c r="AS21" i="44"/>
  <c r="AP21" i="44"/>
  <c r="AS20" i="44"/>
  <c r="AP20" i="44"/>
  <c r="AS17" i="44"/>
  <c r="AP17" i="44"/>
  <c r="AS16" i="44"/>
  <c r="AP16" i="44"/>
  <c r="BC14" i="44"/>
  <c r="BC13" i="44"/>
  <c r="BC6" i="44"/>
  <c r="Z59" i="42"/>
  <c r="Y59" i="42"/>
  <c r="X59" i="42"/>
  <c r="W59" i="42"/>
  <c r="V59" i="42"/>
  <c r="U59" i="42"/>
  <c r="T59" i="42"/>
  <c r="S59" i="42"/>
  <c r="R59" i="42"/>
  <c r="L59" i="42"/>
  <c r="K59" i="42"/>
  <c r="J59" i="42"/>
  <c r="I59" i="42"/>
  <c r="H59" i="42"/>
  <c r="G59" i="42"/>
  <c r="F59" i="42"/>
  <c r="E59" i="42"/>
  <c r="Z50" i="42"/>
  <c r="Y50" i="42"/>
  <c r="X50" i="42"/>
  <c r="W50" i="42"/>
  <c r="V50" i="42"/>
  <c r="U50" i="42"/>
  <c r="T50" i="42"/>
  <c r="S50" i="42"/>
  <c r="R50" i="42"/>
  <c r="L337" i="36"/>
  <c r="U453" i="36"/>
  <c r="T453" i="36"/>
  <c r="U452" i="36"/>
  <c r="T452" i="36"/>
  <c r="U451" i="36"/>
  <c r="T451" i="36"/>
  <c r="U450" i="36"/>
  <c r="T450" i="36"/>
  <c r="U447" i="36"/>
  <c r="T447" i="36"/>
  <c r="U445" i="36"/>
  <c r="T445" i="36"/>
  <c r="U444" i="36"/>
  <c r="T444" i="36"/>
  <c r="U441" i="36"/>
  <c r="T441" i="36"/>
  <c r="U440" i="36"/>
  <c r="T440" i="36"/>
  <c r="U439" i="36"/>
  <c r="T439" i="36"/>
  <c r="U438" i="36"/>
  <c r="T438" i="36"/>
  <c r="U435" i="36"/>
  <c r="T435" i="36"/>
  <c r="U433" i="36"/>
  <c r="T433" i="36"/>
  <c r="U393" i="36"/>
  <c r="T393" i="36"/>
  <c r="U392" i="36"/>
  <c r="T392" i="36"/>
  <c r="U391" i="36"/>
  <c r="T391" i="36"/>
  <c r="U390" i="36"/>
  <c r="T390" i="36"/>
  <c r="U387" i="36"/>
  <c r="T387" i="36"/>
  <c r="U385" i="36"/>
  <c r="T385" i="36"/>
  <c r="M345" i="36"/>
  <c r="M343" i="36"/>
  <c r="M341" i="36"/>
  <c r="M340" i="36"/>
  <c r="M335" i="36"/>
  <c r="M333" i="36"/>
  <c r="O332" i="36"/>
  <c r="O342" i="36" s="1"/>
  <c r="M331" i="36"/>
  <c r="O330" i="36"/>
  <c r="O340" i="36" s="1"/>
  <c r="M330" i="36"/>
  <c r="U346" i="36"/>
  <c r="T346" i="36"/>
  <c r="U345" i="36"/>
  <c r="T345" i="36"/>
  <c r="U344" i="36"/>
  <c r="T344" i="36"/>
  <c r="U343" i="36"/>
  <c r="T343" i="36"/>
  <c r="U341" i="36"/>
  <c r="T341" i="36"/>
  <c r="U340" i="36"/>
  <c r="T340" i="36"/>
  <c r="U336" i="36"/>
  <c r="T336" i="36"/>
  <c r="U335" i="36"/>
  <c r="T335" i="36"/>
  <c r="U334" i="36"/>
  <c r="T334" i="36"/>
  <c r="U333" i="36"/>
  <c r="T333" i="36"/>
  <c r="U331" i="36"/>
  <c r="T331" i="36"/>
  <c r="U330" i="36"/>
  <c r="T330" i="36"/>
  <c r="U326" i="36"/>
  <c r="T326" i="36"/>
  <c r="U325" i="36"/>
  <c r="T325" i="36"/>
  <c r="U324" i="36"/>
  <c r="T324" i="36"/>
  <c r="U323" i="36"/>
  <c r="T323" i="36"/>
  <c r="U321" i="36"/>
  <c r="T321" i="36"/>
  <c r="U320" i="36"/>
  <c r="T320" i="36"/>
  <c r="M325" i="36"/>
  <c r="M323" i="36"/>
  <c r="M321" i="36"/>
  <c r="M320" i="36"/>
  <c r="U315" i="36"/>
  <c r="U339" i="36" s="1"/>
  <c r="T315" i="36"/>
  <c r="T339" i="36" s="1"/>
  <c r="U314" i="36"/>
  <c r="T314" i="36"/>
  <c r="U313" i="36"/>
  <c r="U384" i="36" s="1"/>
  <c r="T313" i="36"/>
  <c r="T384" i="36" s="1"/>
  <c r="U311" i="36"/>
  <c r="T311" i="36"/>
  <c r="U310" i="36"/>
  <c r="T310" i="36"/>
  <c r="M315" i="36"/>
  <c r="M339" i="36" s="1"/>
  <c r="M313" i="36"/>
  <c r="M311" i="36"/>
  <c r="M310" i="36"/>
  <c r="U305" i="36"/>
  <c r="U329" i="36" s="1"/>
  <c r="T305" i="36"/>
  <c r="T329" i="36" s="1"/>
  <c r="U304" i="36"/>
  <c r="T304" i="36"/>
  <c r="U303" i="36"/>
  <c r="T303" i="36"/>
  <c r="U301" i="36"/>
  <c r="T301" i="36"/>
  <c r="U300" i="36"/>
  <c r="T300" i="36"/>
  <c r="U299" i="36"/>
  <c r="T299" i="36"/>
  <c r="M305" i="36"/>
  <c r="M329" i="36" s="1"/>
  <c r="M303" i="36"/>
  <c r="M301" i="36"/>
  <c r="M300" i="36"/>
  <c r="M299" i="36"/>
  <c r="U295" i="36"/>
  <c r="U319" i="36" s="1"/>
  <c r="T295" i="36"/>
  <c r="T319" i="36" s="1"/>
  <c r="U294" i="36"/>
  <c r="T294" i="36"/>
  <c r="U293" i="36"/>
  <c r="T293" i="36"/>
  <c r="U291" i="36"/>
  <c r="T291" i="36"/>
  <c r="U290" i="36"/>
  <c r="T290" i="36"/>
  <c r="M295" i="36"/>
  <c r="M319" i="36" s="1"/>
  <c r="M293" i="36"/>
  <c r="M291" i="36"/>
  <c r="M290" i="36"/>
  <c r="M289" i="36"/>
  <c r="U285" i="36"/>
  <c r="U309" i="36" s="1"/>
  <c r="T285" i="36"/>
  <c r="T309" i="36" s="1"/>
  <c r="U284" i="36"/>
  <c r="T284" i="36"/>
  <c r="U283" i="36"/>
  <c r="T283" i="36"/>
  <c r="U281" i="36"/>
  <c r="T281" i="36"/>
  <c r="U280" i="36"/>
  <c r="T280" i="36"/>
  <c r="U279" i="36"/>
  <c r="T279" i="36"/>
  <c r="M285" i="36"/>
  <c r="M309" i="36" s="1"/>
  <c r="M283" i="36"/>
  <c r="M281" i="36"/>
  <c r="M280" i="36"/>
  <c r="M279" i="36"/>
  <c r="U266" i="36"/>
  <c r="T266" i="36"/>
  <c r="U265" i="36"/>
  <c r="U289" i="36" s="1"/>
  <c r="T265" i="36"/>
  <c r="T289" i="36" s="1"/>
  <c r="U264" i="36"/>
  <c r="T264" i="36"/>
  <c r="U263" i="36"/>
  <c r="T263" i="36"/>
  <c r="U262" i="36"/>
  <c r="T262" i="36"/>
  <c r="M266" i="36"/>
  <c r="M264" i="36"/>
  <c r="M263" i="36"/>
  <c r="M262" i="36"/>
  <c r="U242" i="36"/>
  <c r="T242" i="36"/>
  <c r="U241" i="36"/>
  <c r="T241" i="36"/>
  <c r="U240" i="36"/>
  <c r="T240" i="36"/>
  <c r="U239" i="36"/>
  <c r="T239" i="36"/>
  <c r="U238" i="36"/>
  <c r="U237" i="36"/>
  <c r="U261" i="36" s="1"/>
  <c r="T237" i="36"/>
  <c r="T261" i="36" s="1"/>
  <c r="M242" i="36"/>
  <c r="M240" i="36"/>
  <c r="M239" i="36"/>
  <c r="M237" i="36"/>
  <c r="M261" i="36" s="1"/>
  <c r="HI34" i="85"/>
  <c r="HM17" i="85"/>
  <c r="HJ17" i="85"/>
  <c r="HI17" i="85"/>
  <c r="HM15" i="85"/>
  <c r="HK15" i="85"/>
  <c r="HJ15" i="85"/>
  <c r="HI15" i="85"/>
  <c r="HM8" i="85"/>
  <c r="HJ8" i="85"/>
  <c r="HI8" i="85"/>
  <c r="HM7" i="85"/>
  <c r="HK7" i="85"/>
  <c r="HJ7" i="85"/>
  <c r="HI7" i="85"/>
  <c r="N59" i="42"/>
  <c r="N75" i="38"/>
  <c r="N57" i="36"/>
  <c r="N57" i="34"/>
  <c r="DM26" i="34"/>
  <c r="DL26" i="34"/>
  <c r="CX26" i="34"/>
  <c r="EY19" i="34"/>
  <c r="EV19" i="34"/>
  <c r="EX19" i="34" s="1"/>
  <c r="ES19" i="34"/>
  <c r="EP19" i="34"/>
  <c r="EM19" i="34"/>
  <c r="EJ19" i="34"/>
  <c r="DX19" i="34"/>
  <c r="DU19" i="34"/>
  <c r="DR19" i="34"/>
  <c r="DO19" i="34"/>
  <c r="DL19" i="34"/>
  <c r="DI19" i="34"/>
  <c r="DF19" i="34"/>
  <c r="DC19" i="34"/>
  <c r="CW19" i="34"/>
  <c r="EZ16" i="34"/>
  <c r="EW16" i="34"/>
  <c r="ET16" i="34"/>
  <c r="EQ16" i="34"/>
  <c r="EN16" i="34"/>
  <c r="EK16" i="34"/>
  <c r="CX16" i="34"/>
  <c r="EZ12" i="34"/>
  <c r="EZ11" i="34"/>
  <c r="EZ10" i="34"/>
  <c r="EZ9" i="34"/>
  <c r="EZ8" i="34"/>
  <c r="CX12" i="34"/>
  <c r="CX11" i="34"/>
  <c r="CX10" i="34"/>
  <c r="CX9" i="34"/>
  <c r="CX8" i="34"/>
  <c r="BC8" i="39"/>
  <c r="BC7" i="39"/>
  <c r="BC6" i="39"/>
  <c r="K12" i="38"/>
  <c r="J12" i="38"/>
  <c r="I12" i="38"/>
  <c r="H12" i="38"/>
  <c r="G12" i="38"/>
  <c r="F12" i="38"/>
  <c r="E12" i="38"/>
  <c r="K11" i="38"/>
  <c r="J11" i="38"/>
  <c r="I11" i="38"/>
  <c r="H11" i="38"/>
  <c r="G11" i="38"/>
  <c r="F11" i="38"/>
  <c r="E11" i="38"/>
  <c r="K10" i="38"/>
  <c r="J10" i="38"/>
  <c r="I10" i="38"/>
  <c r="H10" i="38"/>
  <c r="G10" i="38"/>
  <c r="F10" i="38"/>
  <c r="E10" i="38"/>
  <c r="K9" i="38"/>
  <c r="J9" i="38"/>
  <c r="I9" i="38"/>
  <c r="H9" i="38"/>
  <c r="G9" i="38"/>
  <c r="F9" i="38"/>
  <c r="E9" i="38"/>
  <c r="K8" i="38"/>
  <c r="J8" i="38"/>
  <c r="I8" i="38"/>
  <c r="H8" i="38"/>
  <c r="G8" i="38"/>
  <c r="F8" i="38"/>
  <c r="E8" i="38"/>
  <c r="K7" i="38"/>
  <c r="J7" i="38"/>
  <c r="I7" i="38"/>
  <c r="H7" i="38"/>
  <c r="G7" i="38"/>
  <c r="F7" i="38"/>
  <c r="E7" i="38"/>
  <c r="K6" i="38"/>
  <c r="J6" i="38"/>
  <c r="I6" i="38"/>
  <c r="H6" i="38"/>
  <c r="H13" i="38" s="1"/>
  <c r="G6" i="38"/>
  <c r="G13" i="38" s="1"/>
  <c r="F6" i="38"/>
  <c r="F13" i="38" s="1"/>
  <c r="E6" i="38"/>
  <c r="E13" i="38" s="1"/>
  <c r="Y451" i="36"/>
  <c r="K451" i="36"/>
  <c r="J451" i="36"/>
  <c r="I451" i="36"/>
  <c r="G451" i="36"/>
  <c r="F451" i="36"/>
  <c r="E451" i="36"/>
  <c r="I447" i="36"/>
  <c r="G447" i="36"/>
  <c r="Y439" i="36"/>
  <c r="AA439" i="36" s="1"/>
  <c r="Z444" i="36"/>
  <c r="Y444" i="36"/>
  <c r="I435" i="36"/>
  <c r="V435" i="36" s="1"/>
  <c r="K444" i="36"/>
  <c r="J444" i="36"/>
  <c r="I444" i="36"/>
  <c r="H444" i="36"/>
  <c r="G444" i="36"/>
  <c r="F444" i="36"/>
  <c r="E444" i="36"/>
  <c r="O336" i="36"/>
  <c r="O346" i="36" s="1"/>
  <c r="O334" i="36"/>
  <c r="O344" i="36" s="1"/>
  <c r="O329" i="36"/>
  <c r="O339" i="36" s="1"/>
  <c r="EZ25" i="34"/>
  <c r="EY25" i="34"/>
  <c r="EY14" i="34"/>
  <c r="EY13" i="34"/>
  <c r="EY12" i="34"/>
  <c r="EY11" i="34"/>
  <c r="EY10" i="34"/>
  <c r="EY9" i="34"/>
  <c r="EY8" i="34"/>
  <c r="EZ7" i="34"/>
  <c r="EY7" i="34"/>
  <c r="BC30" i="33"/>
  <c r="BC29" i="33"/>
  <c r="AU30" i="33"/>
  <c r="AU29" i="33"/>
  <c r="BC25" i="33"/>
  <c r="BC24" i="33"/>
  <c r="BC22" i="33"/>
  <c r="BC21" i="33"/>
  <c r="BC20" i="33"/>
  <c r="BC16" i="33"/>
  <c r="BC15" i="33"/>
  <c r="BC10" i="33"/>
  <c r="BC9" i="33"/>
  <c r="BC8" i="33"/>
  <c r="BC7" i="33"/>
  <c r="BC6" i="33"/>
  <c r="BC34" i="61"/>
  <c r="BC33" i="61"/>
  <c r="BC27" i="61"/>
  <c r="BC24" i="61"/>
  <c r="BC23" i="61"/>
  <c r="BC22" i="61"/>
  <c r="BC18" i="61"/>
  <c r="BC17" i="61"/>
  <c r="BC12" i="61"/>
  <c r="BC8" i="61"/>
  <c r="BC7" i="61"/>
  <c r="BC6" i="61"/>
  <c r="BC10" i="32"/>
  <c r="BC9" i="32"/>
  <c r="AK17" i="30"/>
  <c r="BC17" i="32"/>
  <c r="BC16" i="32"/>
  <c r="BC8" i="32"/>
  <c r="BC7" i="32"/>
  <c r="BB19" i="31"/>
  <c r="BB18" i="31"/>
  <c r="BB17" i="31"/>
  <c r="BB16" i="31"/>
  <c r="BB15" i="31"/>
  <c r="BB10" i="31"/>
  <c r="BB9" i="31"/>
  <c r="BB8" i="31"/>
  <c r="BB7" i="31"/>
  <c r="BB6" i="31"/>
  <c r="BC17" i="30"/>
  <c r="BC16" i="30"/>
  <c r="BC14" i="30"/>
  <c r="BC9" i="30"/>
  <c r="BC8" i="30"/>
  <c r="BC6" i="30"/>
  <c r="BC12" i="29"/>
  <c r="BC11" i="29"/>
  <c r="BC7" i="29"/>
  <c r="BC6" i="29"/>
  <c r="BC16" i="26"/>
  <c r="BC6" i="26"/>
  <c r="P16" i="23"/>
  <c r="O16" i="23"/>
  <c r="N16" i="23"/>
  <c r="M16" i="23"/>
  <c r="L16" i="23"/>
  <c r="P15" i="23"/>
  <c r="O15" i="23"/>
  <c r="N15" i="23"/>
  <c r="M15" i="23"/>
  <c r="L15" i="23"/>
  <c r="P14" i="23"/>
  <c r="O14" i="23"/>
  <c r="N14" i="23"/>
  <c r="M14" i="23"/>
  <c r="L14" i="23"/>
  <c r="P13" i="23"/>
  <c r="O13" i="23"/>
  <c r="N13" i="23"/>
  <c r="M13" i="23"/>
  <c r="L13" i="23"/>
  <c r="P12" i="23"/>
  <c r="P17" i="23" s="1"/>
  <c r="O12" i="23"/>
  <c r="O17" i="23" s="1"/>
  <c r="N12" i="23"/>
  <c r="N17" i="23" s="1"/>
  <c r="M12" i="23"/>
  <c r="M17" i="23" s="1"/>
  <c r="L12" i="23"/>
  <c r="L17" i="23" s="1"/>
  <c r="P10" i="23"/>
  <c r="O10" i="23"/>
  <c r="N10" i="23"/>
  <c r="M10" i="23"/>
  <c r="L10" i="23"/>
  <c r="I10" i="23"/>
  <c r="H10" i="23"/>
  <c r="G10" i="23"/>
  <c r="F10" i="23"/>
  <c r="E10" i="23"/>
  <c r="P9" i="23"/>
  <c r="O9" i="23"/>
  <c r="N9" i="23"/>
  <c r="M9" i="23"/>
  <c r="L9" i="23"/>
  <c r="I9" i="23"/>
  <c r="H9" i="23"/>
  <c r="G9" i="23"/>
  <c r="F9" i="23"/>
  <c r="E9" i="23"/>
  <c r="P8" i="23"/>
  <c r="O8" i="23"/>
  <c r="N8" i="23"/>
  <c r="M8" i="23"/>
  <c r="L8" i="23"/>
  <c r="I8" i="23"/>
  <c r="H8" i="23"/>
  <c r="G8" i="23"/>
  <c r="F8" i="23"/>
  <c r="E8" i="23"/>
  <c r="P7" i="23"/>
  <c r="O7" i="23"/>
  <c r="N7" i="23"/>
  <c r="M7" i="23"/>
  <c r="L7" i="23"/>
  <c r="I7" i="23"/>
  <c r="H7" i="23"/>
  <c r="G7" i="23"/>
  <c r="F7" i="23"/>
  <c r="E7" i="23"/>
  <c r="P6" i="23"/>
  <c r="O6" i="23"/>
  <c r="N6" i="23"/>
  <c r="M6" i="23"/>
  <c r="L6" i="23"/>
  <c r="I6" i="23"/>
  <c r="H6" i="23"/>
  <c r="G6" i="23"/>
  <c r="F6" i="23"/>
  <c r="E6" i="23"/>
  <c r="BB7" i="24"/>
  <c r="AS12" i="24"/>
  <c r="AR12" i="24"/>
  <c r="AQ12" i="24"/>
  <c r="BB10" i="24"/>
  <c r="BB9" i="24"/>
  <c r="BB6" i="24"/>
  <c r="AY6" i="24"/>
  <c r="AQ6" i="24"/>
  <c r="G399" i="79"/>
  <c r="E394" i="79"/>
  <c r="L399" i="79"/>
  <c r="M398" i="79"/>
  <c r="P397" i="79"/>
  <c r="L397" i="79"/>
  <c r="P396" i="79"/>
  <c r="L396" i="79"/>
  <c r="N395" i="79"/>
  <c r="M395" i="79"/>
  <c r="L395" i="79"/>
  <c r="M394" i="79"/>
  <c r="L394" i="79"/>
  <c r="L393" i="79"/>
  <c r="G372" i="79"/>
  <c r="Q277" i="79"/>
  <c r="O277" i="79"/>
  <c r="M277" i="79"/>
  <c r="AP12" i="67"/>
  <c r="BA8" i="67"/>
  <c r="AX84" i="63"/>
  <c r="BR46" i="3"/>
  <c r="AR214" i="77"/>
  <c r="AD214" i="77"/>
  <c r="AB214" i="77"/>
  <c r="AA214" i="77"/>
  <c r="Z214" i="77"/>
  <c r="Y214" i="77"/>
  <c r="X214" i="77"/>
  <c r="V214" i="77"/>
  <c r="DV314" i="73"/>
  <c r="DV316" i="73" s="1"/>
  <c r="DV47" i="73"/>
  <c r="DV42" i="73"/>
  <c r="DV37" i="73"/>
  <c r="DV32" i="73"/>
  <c r="DV321" i="73" s="1"/>
  <c r="DV27" i="73"/>
  <c r="DV320" i="73" s="1"/>
  <c r="DV22" i="73"/>
  <c r="DV11" i="73"/>
  <c r="DV9" i="73"/>
  <c r="DV6" i="73"/>
  <c r="BJ20" i="12"/>
  <c r="BO29" i="2"/>
  <c r="BO25" i="2"/>
  <c r="BO23" i="2"/>
  <c r="BO22" i="2"/>
  <c r="BO20" i="2"/>
  <c r="BO18" i="2"/>
  <c r="BO17" i="2"/>
  <c r="BO15" i="2"/>
  <c r="BO14" i="2" s="1"/>
  <c r="BO13" i="2"/>
  <c r="BO12" i="2"/>
  <c r="BO9" i="2"/>
  <c r="BJ44" i="10"/>
  <c r="BJ42" i="10"/>
  <c r="BJ41" i="10"/>
  <c r="BJ39" i="10"/>
  <c r="BJ38" i="10"/>
  <c r="BJ15" i="10"/>
  <c r="BJ13" i="10"/>
  <c r="BJ11" i="10"/>
  <c r="BJ7" i="10"/>
  <c r="BJ44" i="1"/>
  <c r="BJ42" i="1"/>
  <c r="BJ41" i="1"/>
  <c r="BJ39" i="1"/>
  <c r="BJ38" i="1"/>
  <c r="BJ14" i="1"/>
  <c r="BJ12" i="1"/>
  <c r="BJ10" i="1"/>
  <c r="BJ6" i="1"/>
  <c r="L215" i="80"/>
  <c r="D215" i="80"/>
  <c r="L214" i="80"/>
  <c r="H214" i="80"/>
  <c r="D214" i="80"/>
  <c r="L213" i="80"/>
  <c r="H213" i="80"/>
  <c r="D213" i="80"/>
  <c r="L212" i="80"/>
  <c r="H212" i="80"/>
  <c r="D212" i="80"/>
  <c r="L211" i="80"/>
  <c r="H211" i="80"/>
  <c r="D211" i="80"/>
  <c r="P210" i="80"/>
  <c r="L210" i="80"/>
  <c r="H210" i="80"/>
  <c r="D210" i="80"/>
  <c r="L209" i="80"/>
  <c r="D209" i="80"/>
  <c r="AX92" i="68"/>
  <c r="AX80" i="68"/>
  <c r="AX78" i="68"/>
  <c r="AX69" i="68"/>
  <c r="AX59" i="68"/>
  <c r="AX60" i="68" s="1"/>
  <c r="AX61" i="68" s="1"/>
  <c r="AX54" i="68"/>
  <c r="AX50" i="68"/>
  <c r="AX51" i="68" s="1"/>
  <c r="AX45" i="68"/>
  <c r="AX31" i="68"/>
  <c r="AX23" i="68"/>
  <c r="AX20" i="68"/>
  <c r="AY5" i="68"/>
  <c r="AX5" i="68"/>
  <c r="AW5" i="68"/>
  <c r="HN36" i="85"/>
  <c r="HN35" i="85"/>
  <c r="HN32" i="85"/>
  <c r="HN31" i="85"/>
  <c r="HN30" i="85"/>
  <c r="HN29" i="85"/>
  <c r="HN28" i="85"/>
  <c r="HN27" i="85"/>
  <c r="HN25" i="85"/>
  <c r="HN24" i="85"/>
  <c r="HN23" i="85"/>
  <c r="HN22" i="85"/>
  <c r="HN21" i="85"/>
  <c r="HN20" i="85"/>
  <c r="HN19" i="85"/>
  <c r="HN26" i="85" s="1"/>
  <c r="HN16" i="85"/>
  <c r="HH36" i="85"/>
  <c r="HH35" i="85"/>
  <c r="HH34" i="85"/>
  <c r="HH32" i="85"/>
  <c r="HH31" i="85"/>
  <c r="HH30" i="85"/>
  <c r="HH29" i="85"/>
  <c r="HH28" i="85"/>
  <c r="HH27" i="85"/>
  <c r="HH25" i="85"/>
  <c r="HH24" i="85"/>
  <c r="HH23" i="85"/>
  <c r="HH22" i="85"/>
  <c r="HH21" i="85"/>
  <c r="HH20" i="85"/>
  <c r="HH19" i="85"/>
  <c r="HH26" i="85" s="1"/>
  <c r="HH17" i="85"/>
  <c r="HH16" i="85"/>
  <c r="HH15" i="85"/>
  <c r="HH18" i="85" s="1"/>
  <c r="HG38" i="85"/>
  <c r="HF38" i="85"/>
  <c r="HE38" i="85"/>
  <c r="HD38" i="85"/>
  <c r="HC38" i="85"/>
  <c r="HG18" i="85"/>
  <c r="HF18" i="85"/>
  <c r="HE18" i="85"/>
  <c r="HD18" i="85"/>
  <c r="HC18" i="85"/>
  <c r="HH10" i="85"/>
  <c r="HH9" i="85"/>
  <c r="HH8" i="85"/>
  <c r="HH7" i="85"/>
  <c r="HG11" i="85"/>
  <c r="HF11" i="85"/>
  <c r="HE11" i="85"/>
  <c r="HD11" i="85"/>
  <c r="HC11" i="85"/>
  <c r="Q58" i="42"/>
  <c r="Q59" i="42"/>
  <c r="O58" i="42"/>
  <c r="D58" i="42"/>
  <c r="BB18" i="39"/>
  <c r="BB9" i="39"/>
  <c r="BB1" i="39"/>
  <c r="D14" i="38"/>
  <c r="D13" i="38"/>
  <c r="D12" i="38"/>
  <c r="D10" i="38"/>
  <c r="D9" i="38"/>
  <c r="D8" i="38"/>
  <c r="D7" i="38"/>
  <c r="D6" i="38"/>
  <c r="X442" i="36"/>
  <c r="D442" i="36"/>
  <c r="AA441" i="36"/>
  <c r="X441" i="36"/>
  <c r="V441" i="36"/>
  <c r="D441" i="36"/>
  <c r="AA440" i="36"/>
  <c r="X440" i="36"/>
  <c r="V440" i="36"/>
  <c r="D440" i="36"/>
  <c r="X439" i="36"/>
  <c r="V439" i="36"/>
  <c r="D439" i="36"/>
  <c r="AA438" i="36"/>
  <c r="X438" i="36"/>
  <c r="V438" i="36"/>
  <c r="D438" i="36"/>
  <c r="AA437" i="36"/>
  <c r="X437" i="36"/>
  <c r="V437" i="36"/>
  <c r="D437" i="36"/>
  <c r="AA436" i="36"/>
  <c r="X436" i="36"/>
  <c r="V436" i="36"/>
  <c r="D436" i="36"/>
  <c r="AA435" i="36"/>
  <c r="X435" i="36"/>
  <c r="D435" i="36"/>
  <c r="X434" i="36"/>
  <c r="D434" i="36"/>
  <c r="AA433" i="36"/>
  <c r="X433" i="36"/>
  <c r="V433" i="36"/>
  <c r="D433" i="36"/>
  <c r="X432" i="36"/>
  <c r="D432" i="36"/>
  <c r="EP5" i="34"/>
  <c r="ES5" i="34"/>
  <c r="EV5" i="34"/>
  <c r="EY5" i="34"/>
  <c r="ER1" i="34"/>
  <c r="EW24" i="34"/>
  <c r="EX23" i="34"/>
  <c r="EW23" i="34"/>
  <c r="EV23" i="34"/>
  <c r="EX20" i="34"/>
  <c r="EX18" i="34"/>
  <c r="EX17" i="34"/>
  <c r="EX15" i="34"/>
  <c r="EX14" i="34"/>
  <c r="EX13" i="34"/>
  <c r="EX12" i="34"/>
  <c r="EX11" i="34"/>
  <c r="EX10" i="34"/>
  <c r="EX9" i="34"/>
  <c r="EX8" i="34"/>
  <c r="D17" i="23"/>
  <c r="K17" i="23" s="1"/>
  <c r="D16" i="23"/>
  <c r="K16" i="23" s="1"/>
  <c r="D15" i="23"/>
  <c r="K15" i="23" s="1"/>
  <c r="D14" i="23"/>
  <c r="K14" i="23" s="1"/>
  <c r="D13" i="23"/>
  <c r="K13" i="23" s="1"/>
  <c r="I17" i="23"/>
  <c r="H17" i="23"/>
  <c r="G17" i="23"/>
  <c r="F17" i="23"/>
  <c r="E17" i="23"/>
  <c r="D12" i="23"/>
  <c r="K12" i="23" s="1"/>
  <c r="AG25" i="13"/>
  <c r="AG24" i="13"/>
  <c r="AG23" i="13" s="1"/>
  <c r="AH22" i="13"/>
  <c r="AG22" i="13"/>
  <c r="AF22" i="13"/>
  <c r="AE22" i="13"/>
  <c r="AD22" i="13"/>
  <c r="AC22" i="13"/>
  <c r="AH21" i="13"/>
  <c r="AG21" i="13"/>
  <c r="AF21" i="13"/>
  <c r="AE21" i="13"/>
  <c r="AD21" i="13"/>
  <c r="AC21" i="13"/>
  <c r="AH20" i="13"/>
  <c r="AG20" i="13"/>
  <c r="AF20" i="13"/>
  <c r="AE20" i="13"/>
  <c r="AD20" i="13"/>
  <c r="AC20" i="13"/>
  <c r="AH19" i="13"/>
  <c r="AG19" i="13"/>
  <c r="AF19" i="13"/>
  <c r="AE19" i="13"/>
  <c r="AD19" i="13"/>
  <c r="AC19" i="13"/>
  <c r="AH18" i="13"/>
  <c r="AG18" i="13"/>
  <c r="AF18" i="13"/>
  <c r="AE18" i="13"/>
  <c r="AD18" i="13"/>
  <c r="AC18" i="13"/>
  <c r="AH1" i="13"/>
  <c r="AU214" i="77"/>
  <c r="AT214" i="77"/>
  <c r="AS214" i="77"/>
  <c r="AQ214" i="77"/>
  <c r="AF214" i="77"/>
  <c r="AC214" i="77"/>
  <c r="W214" i="77"/>
  <c r="N214" i="77"/>
  <c r="M214" i="77"/>
  <c r="G214" i="77"/>
  <c r="BC214" i="77" s="1"/>
  <c r="F214" i="77"/>
  <c r="E214" i="77"/>
  <c r="AU213" i="77"/>
  <c r="AT213" i="77"/>
  <c r="AS213" i="77"/>
  <c r="AR213" i="77"/>
  <c r="AQ213" i="77"/>
  <c r="AF213" i="77"/>
  <c r="AD213" i="77"/>
  <c r="AC213" i="77"/>
  <c r="AB213" i="77"/>
  <c r="AA213" i="77"/>
  <c r="Z213" i="77"/>
  <c r="Y213" i="77"/>
  <c r="X213" i="77"/>
  <c r="W213" i="77"/>
  <c r="V213" i="77"/>
  <c r="AG213" i="77" s="1"/>
  <c r="Q213" i="77"/>
  <c r="P213" i="77"/>
  <c r="N213" i="77"/>
  <c r="M213" i="77"/>
  <c r="G213" i="77"/>
  <c r="BC213" i="77" s="1"/>
  <c r="F213" i="77"/>
  <c r="E213" i="77"/>
  <c r="AU212" i="77"/>
  <c r="AT212" i="77"/>
  <c r="AS212" i="77"/>
  <c r="AR212" i="77"/>
  <c r="AQ212" i="77"/>
  <c r="AF212" i="77"/>
  <c r="AD212" i="77"/>
  <c r="AC212" i="77"/>
  <c r="AB212" i="77"/>
  <c r="AA212" i="77"/>
  <c r="Z212" i="77"/>
  <c r="Y212" i="77"/>
  <c r="X212" i="77"/>
  <c r="W212" i="77"/>
  <c r="V212" i="77"/>
  <c r="AG212" i="77" s="1"/>
  <c r="Q212" i="77"/>
  <c r="P212" i="77"/>
  <c r="N212" i="77"/>
  <c r="M212" i="77"/>
  <c r="G212" i="77"/>
  <c r="BC212" i="77" s="1"/>
  <c r="F212" i="77"/>
  <c r="E212" i="77"/>
  <c r="AF292" i="77"/>
  <c r="D292" i="77"/>
  <c r="D8" i="76"/>
  <c r="D7" i="76"/>
  <c r="E6" i="76"/>
  <c r="D129" i="9"/>
  <c r="BI49" i="9"/>
  <c r="BI51" i="9"/>
  <c r="P391" i="79"/>
  <c r="L391" i="79"/>
  <c r="D391" i="79"/>
  <c r="R390" i="79"/>
  <c r="D390" i="79"/>
  <c r="D389" i="79"/>
  <c r="R388" i="79"/>
  <c r="T388" i="79" s="1"/>
  <c r="D388" i="79"/>
  <c r="R387" i="79"/>
  <c r="T387" i="79" s="1"/>
  <c r="D387" i="79"/>
  <c r="R386" i="79"/>
  <c r="T386" i="79" s="1"/>
  <c r="D386" i="79"/>
  <c r="R384" i="79"/>
  <c r="D384" i="79"/>
  <c r="G211" i="77"/>
  <c r="F211" i="77"/>
  <c r="E211" i="77"/>
  <c r="G210" i="77"/>
  <c r="F210" i="77"/>
  <c r="E210" i="77"/>
  <c r="G209" i="77"/>
  <c r="F209" i="77"/>
  <c r="E209" i="77"/>
  <c r="G208" i="77"/>
  <c r="F208" i="77"/>
  <c r="E208" i="77"/>
  <c r="G207" i="77"/>
  <c r="F207" i="77"/>
  <c r="E207" i="77"/>
  <c r="G206" i="77"/>
  <c r="F206" i="77"/>
  <c r="E206" i="77"/>
  <c r="G205" i="77"/>
  <c r="F205" i="77"/>
  <c r="E205" i="77"/>
  <c r="G204" i="77"/>
  <c r="F204" i="77"/>
  <c r="E204" i="77"/>
  <c r="G203" i="77"/>
  <c r="F203" i="77"/>
  <c r="E203" i="77"/>
  <c r="G202" i="77"/>
  <c r="F202" i="77"/>
  <c r="E202" i="77"/>
  <c r="G201" i="77"/>
  <c r="F201" i="77"/>
  <c r="E201" i="77"/>
  <c r="G200" i="77"/>
  <c r="F200" i="77"/>
  <c r="E200" i="77"/>
  <c r="G199" i="77"/>
  <c r="F199" i="77"/>
  <c r="E199" i="77"/>
  <c r="G198" i="77"/>
  <c r="F198" i="77"/>
  <c r="E198" i="77"/>
  <c r="G197" i="77"/>
  <c r="F197" i="77"/>
  <c r="E197" i="77"/>
  <c r="G196" i="77"/>
  <c r="F196" i="77"/>
  <c r="E196" i="77"/>
  <c r="G195" i="77"/>
  <c r="F195" i="77"/>
  <c r="E195" i="77"/>
  <c r="G194" i="77"/>
  <c r="F194" i="77"/>
  <c r="E194" i="77"/>
  <c r="G193" i="77"/>
  <c r="F193" i="77"/>
  <c r="E193" i="77"/>
  <c r="G192" i="77"/>
  <c r="F192" i="77"/>
  <c r="E192" i="77"/>
  <c r="G191" i="77"/>
  <c r="F191" i="77"/>
  <c r="E191" i="77"/>
  <c r="G190" i="77"/>
  <c r="F190" i="77"/>
  <c r="E190" i="77"/>
  <c r="G189" i="77"/>
  <c r="F189" i="77"/>
  <c r="E189" i="77"/>
  <c r="G188" i="77"/>
  <c r="F188" i="77"/>
  <c r="E188" i="77"/>
  <c r="G187" i="77"/>
  <c r="F187" i="77"/>
  <c r="E187" i="77"/>
  <c r="G186" i="77"/>
  <c r="F186" i="77"/>
  <c r="E186" i="77"/>
  <c r="G185" i="77"/>
  <c r="F185" i="77"/>
  <c r="E185" i="77"/>
  <c r="G184" i="77"/>
  <c r="F184" i="77"/>
  <c r="E184" i="77"/>
  <c r="G183" i="77"/>
  <c r="F183" i="77"/>
  <c r="E183" i="77"/>
  <c r="G182" i="77"/>
  <c r="F182" i="77"/>
  <c r="E182" i="77"/>
  <c r="G181" i="77"/>
  <c r="F181" i="77"/>
  <c r="E181" i="77"/>
  <c r="G180" i="77"/>
  <c r="F180" i="77"/>
  <c r="E180" i="77"/>
  <c r="G179" i="77"/>
  <c r="F179" i="77"/>
  <c r="E179" i="77"/>
  <c r="G178" i="77"/>
  <c r="F178" i="77"/>
  <c r="E178" i="77"/>
  <c r="G177" i="77"/>
  <c r="F177" i="77"/>
  <c r="E177" i="77"/>
  <c r="G176" i="77"/>
  <c r="F176" i="77"/>
  <c r="E176" i="77"/>
  <c r="G175" i="77"/>
  <c r="F175" i="77"/>
  <c r="E175" i="77"/>
  <c r="G174" i="77"/>
  <c r="F174" i="77"/>
  <c r="E174" i="77"/>
  <c r="G173" i="77"/>
  <c r="F173" i="77"/>
  <c r="E173" i="77"/>
  <c r="G172" i="77"/>
  <c r="F172" i="77"/>
  <c r="E172" i="77"/>
  <c r="G171" i="77"/>
  <c r="F171" i="77"/>
  <c r="E171" i="77"/>
  <c r="G170" i="77"/>
  <c r="F170" i="77"/>
  <c r="E170" i="77"/>
  <c r="G169" i="77"/>
  <c r="F169" i="77"/>
  <c r="E169" i="77"/>
  <c r="G168" i="77"/>
  <c r="F168" i="77"/>
  <c r="E168" i="77"/>
  <c r="G167" i="77"/>
  <c r="F167" i="77"/>
  <c r="E167" i="77"/>
  <c r="G166" i="77"/>
  <c r="F166" i="77"/>
  <c r="E166" i="77"/>
  <c r="G165" i="77"/>
  <c r="F165" i="77"/>
  <c r="E165" i="77"/>
  <c r="G164" i="77"/>
  <c r="F164" i="77"/>
  <c r="E164" i="77"/>
  <c r="G163" i="77"/>
  <c r="F163" i="77"/>
  <c r="E163" i="77"/>
  <c r="G162" i="77"/>
  <c r="F162" i="77"/>
  <c r="E162" i="77"/>
  <c r="G161" i="77"/>
  <c r="F161" i="77"/>
  <c r="E161" i="77"/>
  <c r="G160" i="77"/>
  <c r="F160" i="77"/>
  <c r="E160" i="77"/>
  <c r="G159" i="77"/>
  <c r="F159" i="77"/>
  <c r="E159" i="77"/>
  <c r="G158" i="77"/>
  <c r="F158" i="77"/>
  <c r="E158" i="77"/>
  <c r="G157" i="77"/>
  <c r="F157" i="77"/>
  <c r="E157" i="77"/>
  <c r="G156" i="77"/>
  <c r="F156" i="77"/>
  <c r="E156" i="77"/>
  <c r="G155" i="77"/>
  <c r="F155" i="77"/>
  <c r="E155" i="77"/>
  <c r="G154" i="77"/>
  <c r="F154" i="77"/>
  <c r="E154" i="77"/>
  <c r="G153" i="77"/>
  <c r="F153" i="77"/>
  <c r="E153" i="77"/>
  <c r="G152" i="77"/>
  <c r="F152" i="77"/>
  <c r="E152" i="77"/>
  <c r="G151" i="77"/>
  <c r="F151" i="77"/>
  <c r="E151" i="77"/>
  <c r="G150" i="77"/>
  <c r="F150" i="77"/>
  <c r="E150" i="77"/>
  <c r="G149" i="77"/>
  <c r="F149" i="77"/>
  <c r="E149" i="77"/>
  <c r="G148" i="77"/>
  <c r="F148" i="77"/>
  <c r="E148" i="77"/>
  <c r="G147" i="77"/>
  <c r="F147" i="77"/>
  <c r="E147" i="77"/>
  <c r="G146" i="77"/>
  <c r="F146" i="77"/>
  <c r="E146" i="77"/>
  <c r="G145" i="77"/>
  <c r="F145" i="77"/>
  <c r="E145" i="77"/>
  <c r="G144" i="77"/>
  <c r="F144" i="77"/>
  <c r="E144" i="77"/>
  <c r="G143" i="77"/>
  <c r="F143" i="77"/>
  <c r="E143" i="77"/>
  <c r="G142" i="77"/>
  <c r="F142" i="77"/>
  <c r="E142" i="77"/>
  <c r="G141" i="77"/>
  <c r="F141" i="77"/>
  <c r="E141" i="77"/>
  <c r="G140" i="77"/>
  <c r="F140" i="77"/>
  <c r="E140" i="77"/>
  <c r="G139" i="77"/>
  <c r="F139" i="77"/>
  <c r="E139" i="77"/>
  <c r="G138" i="77"/>
  <c r="F138" i="77"/>
  <c r="E138" i="77"/>
  <c r="G137" i="77"/>
  <c r="F137" i="77"/>
  <c r="E137" i="77"/>
  <c r="G136" i="77"/>
  <c r="F136" i="77"/>
  <c r="E136" i="77"/>
  <c r="G135" i="77"/>
  <c r="F135" i="77"/>
  <c r="E135" i="77"/>
  <c r="G134" i="77"/>
  <c r="F134" i="77"/>
  <c r="E134" i="77"/>
  <c r="G133" i="77"/>
  <c r="F133" i="77"/>
  <c r="E133" i="77"/>
  <c r="G132" i="77"/>
  <c r="F132" i="77"/>
  <c r="E132" i="77"/>
  <c r="G131" i="77"/>
  <c r="F131" i="77"/>
  <c r="E131" i="77"/>
  <c r="G130" i="77"/>
  <c r="F130" i="77"/>
  <c r="E130" i="77"/>
  <c r="G129" i="77"/>
  <c r="F129" i="77"/>
  <c r="E129" i="77"/>
  <c r="G128" i="77"/>
  <c r="F128" i="77"/>
  <c r="E128" i="77"/>
  <c r="G127" i="77"/>
  <c r="F127" i="77"/>
  <c r="E127" i="77"/>
  <c r="G126" i="77"/>
  <c r="F126" i="77"/>
  <c r="E126" i="77"/>
  <c r="G125" i="77"/>
  <c r="F125" i="77"/>
  <c r="E125" i="77"/>
  <c r="G124" i="77"/>
  <c r="F124" i="77"/>
  <c r="E124" i="77"/>
  <c r="G123" i="77"/>
  <c r="F123" i="77"/>
  <c r="E123" i="77"/>
  <c r="G122" i="77"/>
  <c r="F122" i="77"/>
  <c r="E122" i="77"/>
  <c r="G121" i="77"/>
  <c r="F121" i="77"/>
  <c r="E121" i="77"/>
  <c r="G120" i="77"/>
  <c r="F120" i="77"/>
  <c r="E120" i="77"/>
  <c r="G119" i="77"/>
  <c r="F119" i="77"/>
  <c r="E119" i="77"/>
  <c r="G118" i="77"/>
  <c r="F118" i="77"/>
  <c r="E118" i="77"/>
  <c r="G117" i="77"/>
  <c r="F117" i="77"/>
  <c r="E117" i="77"/>
  <c r="G116" i="77"/>
  <c r="F116" i="77"/>
  <c r="E116" i="77"/>
  <c r="G115" i="77"/>
  <c r="F115" i="77"/>
  <c r="E115" i="77"/>
  <c r="G114" i="77"/>
  <c r="F114" i="77"/>
  <c r="E114" i="77"/>
  <c r="G113" i="77"/>
  <c r="F113" i="77"/>
  <c r="E113" i="77"/>
  <c r="G112" i="77"/>
  <c r="F112" i="77"/>
  <c r="E112" i="77"/>
  <c r="G111" i="77"/>
  <c r="F111" i="77"/>
  <c r="E111" i="77"/>
  <c r="K205" i="77"/>
  <c r="J205" i="77"/>
  <c r="I205" i="77"/>
  <c r="K204" i="77"/>
  <c r="J204" i="77"/>
  <c r="I204" i="77"/>
  <c r="K203" i="77"/>
  <c r="J203" i="77"/>
  <c r="I203" i="77"/>
  <c r="K202" i="77"/>
  <c r="J202" i="77"/>
  <c r="I202" i="77"/>
  <c r="K201" i="77"/>
  <c r="J201" i="77"/>
  <c r="I201" i="77"/>
  <c r="K200" i="77"/>
  <c r="J200" i="77"/>
  <c r="I200" i="77"/>
  <c r="K199" i="77"/>
  <c r="J199" i="77"/>
  <c r="I199" i="77"/>
  <c r="K198" i="77"/>
  <c r="J198" i="77"/>
  <c r="I198" i="77"/>
  <c r="K197" i="77"/>
  <c r="J197" i="77"/>
  <c r="I197" i="77"/>
  <c r="K196" i="77"/>
  <c r="J196" i="77"/>
  <c r="I196" i="77"/>
  <c r="K195" i="77"/>
  <c r="J195" i="77"/>
  <c r="I195" i="77"/>
  <c r="K194" i="77"/>
  <c r="J194" i="77"/>
  <c r="I194" i="77"/>
  <c r="K193" i="77"/>
  <c r="J193" i="77"/>
  <c r="I193" i="77"/>
  <c r="K192" i="77"/>
  <c r="J192" i="77"/>
  <c r="I192" i="77"/>
  <c r="K191" i="77"/>
  <c r="J191" i="77"/>
  <c r="I191" i="77"/>
  <c r="K190" i="77"/>
  <c r="J190" i="77"/>
  <c r="I190" i="77"/>
  <c r="K189" i="77"/>
  <c r="J189" i="77"/>
  <c r="I189" i="77"/>
  <c r="K188" i="77"/>
  <c r="J188" i="77"/>
  <c r="I188" i="77"/>
  <c r="K187" i="77"/>
  <c r="J187" i="77"/>
  <c r="I187" i="77"/>
  <c r="K186" i="77"/>
  <c r="J186" i="77"/>
  <c r="I186" i="77"/>
  <c r="K185" i="77"/>
  <c r="J185" i="77"/>
  <c r="I185" i="77"/>
  <c r="K184" i="77"/>
  <c r="J184" i="77"/>
  <c r="I184" i="77"/>
  <c r="K183" i="77"/>
  <c r="J183" i="77"/>
  <c r="I183" i="77"/>
  <c r="K182" i="77"/>
  <c r="J182" i="77"/>
  <c r="I182" i="77"/>
  <c r="K181" i="77"/>
  <c r="J181" i="77"/>
  <c r="I181" i="77"/>
  <c r="K180" i="77"/>
  <c r="J180" i="77"/>
  <c r="I180" i="77"/>
  <c r="K179" i="77"/>
  <c r="J179" i="77"/>
  <c r="I179" i="77"/>
  <c r="K178" i="77"/>
  <c r="J178" i="77"/>
  <c r="I178" i="77"/>
  <c r="K177" i="77"/>
  <c r="J177" i="77"/>
  <c r="I177" i="77"/>
  <c r="K176" i="77"/>
  <c r="J176" i="77"/>
  <c r="I176" i="77"/>
  <c r="K175" i="77"/>
  <c r="J175" i="77"/>
  <c r="I175" i="77"/>
  <c r="K174" i="77"/>
  <c r="J174" i="77"/>
  <c r="I174" i="77"/>
  <c r="K173" i="77"/>
  <c r="J173" i="77"/>
  <c r="I173" i="77"/>
  <c r="K172" i="77"/>
  <c r="J172" i="77"/>
  <c r="I172" i="77"/>
  <c r="K171" i="77"/>
  <c r="J171" i="77"/>
  <c r="I171" i="77"/>
  <c r="K170" i="77"/>
  <c r="J170" i="77"/>
  <c r="I170" i="77"/>
  <c r="K169" i="77"/>
  <c r="J169" i="77"/>
  <c r="I169" i="77"/>
  <c r="K168" i="77"/>
  <c r="J168" i="77"/>
  <c r="I168" i="77"/>
  <c r="K167" i="77"/>
  <c r="J167" i="77"/>
  <c r="I167" i="77"/>
  <c r="K166" i="77"/>
  <c r="J166" i="77"/>
  <c r="I166" i="77"/>
  <c r="K165" i="77"/>
  <c r="J165" i="77"/>
  <c r="I165" i="77"/>
  <c r="K164" i="77"/>
  <c r="J164" i="77"/>
  <c r="I164" i="77"/>
  <c r="K163" i="77"/>
  <c r="J163" i="77"/>
  <c r="I163" i="77"/>
  <c r="K162" i="77"/>
  <c r="J162" i="77"/>
  <c r="I162" i="77"/>
  <c r="K161" i="77"/>
  <c r="J161" i="77"/>
  <c r="I161" i="77"/>
  <c r="K160" i="77"/>
  <c r="J160" i="77"/>
  <c r="I160" i="77"/>
  <c r="K159" i="77"/>
  <c r="J159" i="77"/>
  <c r="I159" i="77"/>
  <c r="K158" i="77"/>
  <c r="J158" i="77"/>
  <c r="I158" i="77"/>
  <c r="K157" i="77"/>
  <c r="J157" i="77"/>
  <c r="I157" i="77"/>
  <c r="K156" i="77"/>
  <c r="J156" i="77"/>
  <c r="I156" i="77"/>
  <c r="K155" i="77"/>
  <c r="J155" i="77"/>
  <c r="I155" i="77"/>
  <c r="K154" i="77"/>
  <c r="J154" i="77"/>
  <c r="I154" i="77"/>
  <c r="K153" i="77"/>
  <c r="J153" i="77"/>
  <c r="I153" i="77"/>
  <c r="K152" i="77"/>
  <c r="J152" i="77"/>
  <c r="I152" i="77"/>
  <c r="K151" i="77"/>
  <c r="J151" i="77"/>
  <c r="I151" i="77"/>
  <c r="K150" i="77"/>
  <c r="J150" i="77"/>
  <c r="I150" i="77"/>
  <c r="K149" i="77"/>
  <c r="J149" i="77"/>
  <c r="I149" i="77"/>
  <c r="K148" i="77"/>
  <c r="J148" i="77"/>
  <c r="I148" i="77"/>
  <c r="K147" i="77"/>
  <c r="J147" i="77"/>
  <c r="I147" i="77"/>
  <c r="K146" i="77"/>
  <c r="J146" i="77"/>
  <c r="I146" i="77"/>
  <c r="K145" i="77"/>
  <c r="J145" i="77"/>
  <c r="I145" i="77"/>
  <c r="K144" i="77"/>
  <c r="J144" i="77"/>
  <c r="I144" i="77"/>
  <c r="K143" i="77"/>
  <c r="J143" i="77"/>
  <c r="I143" i="77"/>
  <c r="K142" i="77"/>
  <c r="J142" i="77"/>
  <c r="I142" i="77"/>
  <c r="K141" i="77"/>
  <c r="J141" i="77"/>
  <c r="I141" i="77"/>
  <c r="K140" i="77"/>
  <c r="J140" i="77"/>
  <c r="I140" i="77"/>
  <c r="K139" i="77"/>
  <c r="J139" i="77"/>
  <c r="I139" i="77"/>
  <c r="K138" i="77"/>
  <c r="J138" i="77"/>
  <c r="I138" i="77"/>
  <c r="K137" i="77"/>
  <c r="J137" i="77"/>
  <c r="I137" i="77"/>
  <c r="K136" i="77"/>
  <c r="J136" i="77"/>
  <c r="I136" i="77"/>
  <c r="K135" i="77"/>
  <c r="J135" i="77"/>
  <c r="I135" i="77"/>
  <c r="K134" i="77"/>
  <c r="J134" i="77"/>
  <c r="I134" i="77"/>
  <c r="K133" i="77"/>
  <c r="J133" i="77"/>
  <c r="I133" i="77"/>
  <c r="K132" i="77"/>
  <c r="J132" i="77"/>
  <c r="I132" i="77"/>
  <c r="K131" i="77"/>
  <c r="J131" i="77"/>
  <c r="I131" i="77"/>
  <c r="K130" i="77"/>
  <c r="J130" i="77"/>
  <c r="I130" i="77"/>
  <c r="K129" i="77"/>
  <c r="J129" i="77"/>
  <c r="I129" i="77"/>
  <c r="K128" i="77"/>
  <c r="J128" i="77"/>
  <c r="I128" i="77"/>
  <c r="K127" i="77"/>
  <c r="J127" i="77"/>
  <c r="I127" i="77"/>
  <c r="K126" i="77"/>
  <c r="J126" i="77"/>
  <c r="I126" i="77"/>
  <c r="K125" i="77"/>
  <c r="J125" i="77"/>
  <c r="I125" i="77"/>
  <c r="K124" i="77"/>
  <c r="J124" i="77"/>
  <c r="I124" i="77"/>
  <c r="K123" i="77"/>
  <c r="J123" i="77"/>
  <c r="I123" i="77"/>
  <c r="K122" i="77"/>
  <c r="J122" i="77"/>
  <c r="I122" i="77"/>
  <c r="K121" i="77"/>
  <c r="J121" i="77"/>
  <c r="I121" i="77"/>
  <c r="K120" i="77"/>
  <c r="J120" i="77"/>
  <c r="I120" i="77"/>
  <c r="K119" i="77"/>
  <c r="J119" i="77"/>
  <c r="I119" i="77"/>
  <c r="K118" i="77"/>
  <c r="J118" i="77"/>
  <c r="I118" i="77"/>
  <c r="K117" i="77"/>
  <c r="J117" i="77"/>
  <c r="I117" i="77"/>
  <c r="K116" i="77"/>
  <c r="J116" i="77"/>
  <c r="I116" i="77"/>
  <c r="K115" i="77"/>
  <c r="J115" i="77"/>
  <c r="I115" i="77"/>
  <c r="K114" i="77"/>
  <c r="J114" i="77"/>
  <c r="I114" i="77"/>
  <c r="K113" i="77"/>
  <c r="J113" i="77"/>
  <c r="I113" i="77"/>
  <c r="K112" i="77"/>
  <c r="J112" i="77"/>
  <c r="I112" i="77"/>
  <c r="K111" i="77"/>
  <c r="J111" i="77"/>
  <c r="I111" i="77"/>
  <c r="K110" i="77"/>
  <c r="J110" i="77"/>
  <c r="I110" i="77"/>
  <c r="N211" i="77"/>
  <c r="M211" i="77"/>
  <c r="N210" i="77"/>
  <c r="M210" i="77"/>
  <c r="N209" i="77"/>
  <c r="M209" i="77"/>
  <c r="N208" i="77"/>
  <c r="M208" i="77"/>
  <c r="N207" i="77"/>
  <c r="M207" i="77"/>
  <c r="N206" i="77"/>
  <c r="M206" i="77"/>
  <c r="N205" i="77"/>
  <c r="M205" i="77"/>
  <c r="N204" i="77"/>
  <c r="M204" i="77"/>
  <c r="N203" i="77"/>
  <c r="M203" i="77"/>
  <c r="N202" i="77"/>
  <c r="M202" i="77"/>
  <c r="N201" i="77"/>
  <c r="M201" i="77"/>
  <c r="N200" i="77"/>
  <c r="M200" i="77"/>
  <c r="N199" i="77"/>
  <c r="M199" i="77"/>
  <c r="N198" i="77"/>
  <c r="M198" i="77"/>
  <c r="N197" i="77"/>
  <c r="M197" i="77"/>
  <c r="N196" i="77"/>
  <c r="M196" i="77"/>
  <c r="N195" i="77"/>
  <c r="M195" i="77"/>
  <c r="N194" i="77"/>
  <c r="M194" i="77"/>
  <c r="N193" i="77"/>
  <c r="M193" i="77"/>
  <c r="N192" i="77"/>
  <c r="M192" i="77"/>
  <c r="N191" i="77"/>
  <c r="M191" i="77"/>
  <c r="N190" i="77"/>
  <c r="M190" i="77"/>
  <c r="N189" i="77"/>
  <c r="M189" i="77"/>
  <c r="N188" i="77"/>
  <c r="M188" i="77"/>
  <c r="N187" i="77"/>
  <c r="M187" i="77"/>
  <c r="N186" i="77"/>
  <c r="M186" i="77"/>
  <c r="N185" i="77"/>
  <c r="M185" i="77"/>
  <c r="N184" i="77"/>
  <c r="M184" i="77"/>
  <c r="N183" i="77"/>
  <c r="M183" i="77"/>
  <c r="N182" i="77"/>
  <c r="M182" i="77"/>
  <c r="N181" i="77"/>
  <c r="M181" i="77"/>
  <c r="N180" i="77"/>
  <c r="M180" i="77"/>
  <c r="N179" i="77"/>
  <c r="M179" i="77"/>
  <c r="N178" i="77"/>
  <c r="M178" i="77"/>
  <c r="N177" i="77"/>
  <c r="M177" i="77"/>
  <c r="N176" i="77"/>
  <c r="M176" i="77"/>
  <c r="N175" i="77"/>
  <c r="M175" i="77"/>
  <c r="N174" i="77"/>
  <c r="M174" i="77"/>
  <c r="N173" i="77"/>
  <c r="M173" i="77"/>
  <c r="N172" i="77"/>
  <c r="M172" i="77"/>
  <c r="N171" i="77"/>
  <c r="M171" i="77"/>
  <c r="N170" i="77"/>
  <c r="M170" i="77"/>
  <c r="N169" i="77"/>
  <c r="M169" i="77"/>
  <c r="N168" i="77"/>
  <c r="M168" i="77"/>
  <c r="N167" i="77"/>
  <c r="M167" i="77"/>
  <c r="N166" i="77"/>
  <c r="M166" i="77"/>
  <c r="N165" i="77"/>
  <c r="M165" i="77"/>
  <c r="N164" i="77"/>
  <c r="M164" i="77"/>
  <c r="N163" i="77"/>
  <c r="M163" i="77"/>
  <c r="N162" i="77"/>
  <c r="M162" i="77"/>
  <c r="N161" i="77"/>
  <c r="M161" i="77"/>
  <c r="N160" i="77"/>
  <c r="M160" i="77"/>
  <c r="N159" i="77"/>
  <c r="M159" i="77"/>
  <c r="N158" i="77"/>
  <c r="M158" i="77"/>
  <c r="N157" i="77"/>
  <c r="M157" i="77"/>
  <c r="N156" i="77"/>
  <c r="M156" i="77"/>
  <c r="N155" i="77"/>
  <c r="M155" i="77"/>
  <c r="N154" i="77"/>
  <c r="M154" i="77"/>
  <c r="N153" i="77"/>
  <c r="M153" i="77"/>
  <c r="N152" i="77"/>
  <c r="M152" i="77"/>
  <c r="N151" i="77"/>
  <c r="M151" i="77"/>
  <c r="N150" i="77"/>
  <c r="M150" i="77"/>
  <c r="N149" i="77"/>
  <c r="M149" i="77"/>
  <c r="N148" i="77"/>
  <c r="M148" i="77"/>
  <c r="N147" i="77"/>
  <c r="M147" i="77"/>
  <c r="N146" i="77"/>
  <c r="M146" i="77"/>
  <c r="N145" i="77"/>
  <c r="M145" i="77"/>
  <c r="N144" i="77"/>
  <c r="M144" i="77"/>
  <c r="N143" i="77"/>
  <c r="M143" i="77"/>
  <c r="N142" i="77"/>
  <c r="M142" i="77"/>
  <c r="N141" i="77"/>
  <c r="M141" i="77"/>
  <c r="N140" i="77"/>
  <c r="M140" i="77"/>
  <c r="N139" i="77"/>
  <c r="M139" i="77"/>
  <c r="N138" i="77"/>
  <c r="M138" i="77"/>
  <c r="N137" i="77"/>
  <c r="M137" i="77"/>
  <c r="N136" i="77"/>
  <c r="M136" i="77"/>
  <c r="N135" i="77"/>
  <c r="M135" i="77"/>
  <c r="N134" i="77"/>
  <c r="M134" i="77"/>
  <c r="N133" i="77"/>
  <c r="M133" i="77"/>
  <c r="N132" i="77"/>
  <c r="M132" i="77"/>
  <c r="N131" i="77"/>
  <c r="M131" i="77"/>
  <c r="N130" i="77"/>
  <c r="M130" i="77"/>
  <c r="N129" i="77"/>
  <c r="M129" i="77"/>
  <c r="N128" i="77"/>
  <c r="M128" i="77"/>
  <c r="N127" i="77"/>
  <c r="M127" i="77"/>
  <c r="N126" i="77"/>
  <c r="M126" i="77"/>
  <c r="N125" i="77"/>
  <c r="M125" i="77"/>
  <c r="N124" i="77"/>
  <c r="M124" i="77"/>
  <c r="N123" i="77"/>
  <c r="M123" i="77"/>
  <c r="N122" i="77"/>
  <c r="M122" i="77"/>
  <c r="N121" i="77"/>
  <c r="M121" i="77"/>
  <c r="N120" i="77"/>
  <c r="M120" i="77"/>
  <c r="N119" i="77"/>
  <c r="M119" i="77"/>
  <c r="N118" i="77"/>
  <c r="M118" i="77"/>
  <c r="N117" i="77"/>
  <c r="M117" i="77"/>
  <c r="N116" i="77"/>
  <c r="M116" i="77"/>
  <c r="N115" i="77"/>
  <c r="M115" i="77"/>
  <c r="N114" i="77"/>
  <c r="M114" i="77"/>
  <c r="N113" i="77"/>
  <c r="M113" i="77"/>
  <c r="N112" i="77"/>
  <c r="M112" i="77"/>
  <c r="N111" i="77"/>
  <c r="M111" i="77"/>
  <c r="N110" i="77"/>
  <c r="M110" i="77"/>
  <c r="N109" i="77"/>
  <c r="M109" i="77"/>
  <c r="N108" i="77"/>
  <c r="M108" i="77"/>
  <c r="N107" i="77"/>
  <c r="M107" i="77"/>
  <c r="N106" i="77"/>
  <c r="M106" i="77"/>
  <c r="N105" i="77"/>
  <c r="M105" i="77"/>
  <c r="N104" i="77"/>
  <c r="M104" i="77"/>
  <c r="N103" i="77"/>
  <c r="M103" i="77"/>
  <c r="N102" i="77"/>
  <c r="M102" i="77"/>
  <c r="N101" i="77"/>
  <c r="M101" i="77"/>
  <c r="Q211" i="77"/>
  <c r="P211" i="77"/>
  <c r="Q210" i="77"/>
  <c r="P210" i="77"/>
  <c r="Q209" i="77"/>
  <c r="P209" i="77"/>
  <c r="Q208" i="77"/>
  <c r="P208" i="77"/>
  <c r="Q207" i="77"/>
  <c r="P207" i="77"/>
  <c r="Q206" i="77"/>
  <c r="P206" i="77"/>
  <c r="Q205" i="77"/>
  <c r="P205" i="77"/>
  <c r="Q204" i="77"/>
  <c r="P204" i="77"/>
  <c r="Q203" i="77"/>
  <c r="P203" i="77"/>
  <c r="Q202" i="77"/>
  <c r="P202" i="77"/>
  <c r="Q201" i="77"/>
  <c r="P201" i="77"/>
  <c r="Q200" i="77"/>
  <c r="P200" i="77"/>
  <c r="Q199" i="77"/>
  <c r="P199" i="77"/>
  <c r="Q198" i="77"/>
  <c r="P198" i="77"/>
  <c r="Q197" i="77"/>
  <c r="P197" i="77"/>
  <c r="Q196" i="77"/>
  <c r="P196" i="77"/>
  <c r="Q195" i="77"/>
  <c r="P195" i="77"/>
  <c r="Q194" i="77"/>
  <c r="P194" i="77"/>
  <c r="Q193" i="77"/>
  <c r="P193" i="77"/>
  <c r="Q192" i="77"/>
  <c r="P192" i="77"/>
  <c r="Q191" i="77"/>
  <c r="P191" i="77"/>
  <c r="Q190" i="77"/>
  <c r="P190" i="77"/>
  <c r="Q189" i="77"/>
  <c r="P189" i="77"/>
  <c r="Q188" i="77"/>
  <c r="P188" i="77"/>
  <c r="Q187" i="77"/>
  <c r="P187" i="77"/>
  <c r="Q186" i="77"/>
  <c r="P186" i="77"/>
  <c r="Q185" i="77"/>
  <c r="P185" i="77"/>
  <c r="Q184" i="77"/>
  <c r="P184" i="77"/>
  <c r="Q183" i="77"/>
  <c r="P183" i="77"/>
  <c r="Q182" i="77"/>
  <c r="P182" i="77"/>
  <c r="Q181" i="77"/>
  <c r="P181" i="77"/>
  <c r="Q180" i="77"/>
  <c r="P180" i="77"/>
  <c r="Q179" i="77"/>
  <c r="P179" i="77"/>
  <c r="Q178" i="77"/>
  <c r="P178" i="77"/>
  <c r="Q177" i="77"/>
  <c r="P177" i="77"/>
  <c r="Q176" i="77"/>
  <c r="P176" i="77"/>
  <c r="Q175" i="77"/>
  <c r="P175" i="77"/>
  <c r="Q174" i="77"/>
  <c r="P174" i="77"/>
  <c r="Q173" i="77"/>
  <c r="P173" i="77"/>
  <c r="Q172" i="77"/>
  <c r="P172" i="77"/>
  <c r="Q171" i="77"/>
  <c r="P171" i="77"/>
  <c r="Q170" i="77"/>
  <c r="P170" i="77"/>
  <c r="Q169" i="77"/>
  <c r="P169" i="77"/>
  <c r="Q168" i="77"/>
  <c r="P168" i="77"/>
  <c r="Q167" i="77"/>
  <c r="P167" i="77"/>
  <c r="Q166" i="77"/>
  <c r="P166" i="77"/>
  <c r="Q165" i="77"/>
  <c r="P165" i="77"/>
  <c r="Q164" i="77"/>
  <c r="P164" i="77"/>
  <c r="Q163" i="77"/>
  <c r="P163" i="77"/>
  <c r="Q162" i="77"/>
  <c r="P162" i="77"/>
  <c r="Q161" i="77"/>
  <c r="P161" i="77"/>
  <c r="Q160" i="77"/>
  <c r="P160" i="77"/>
  <c r="Q159" i="77"/>
  <c r="P159" i="77"/>
  <c r="Q158" i="77"/>
  <c r="P158" i="77"/>
  <c r="Q157" i="77"/>
  <c r="P157" i="77"/>
  <c r="Q156" i="77"/>
  <c r="P156" i="77"/>
  <c r="Q155" i="77"/>
  <c r="P155" i="77"/>
  <c r="Q154" i="77"/>
  <c r="P154" i="77"/>
  <c r="Q153" i="77"/>
  <c r="P153" i="77"/>
  <c r="Q152" i="77"/>
  <c r="P152" i="77"/>
  <c r="Q151" i="77"/>
  <c r="P151" i="77"/>
  <c r="Q150" i="77"/>
  <c r="P150" i="77"/>
  <c r="Q149" i="77"/>
  <c r="P149" i="77"/>
  <c r="Q148" i="77"/>
  <c r="P148" i="77"/>
  <c r="Q147" i="77"/>
  <c r="P147" i="77"/>
  <c r="Q146" i="77"/>
  <c r="P146" i="77"/>
  <c r="Q145" i="77"/>
  <c r="P145" i="77"/>
  <c r="Q144" i="77"/>
  <c r="P144" i="77"/>
  <c r="Q143" i="77"/>
  <c r="P143" i="77"/>
  <c r="Q142" i="77"/>
  <c r="P142" i="77"/>
  <c r="Q141" i="77"/>
  <c r="P141" i="77"/>
  <c r="Q140" i="77"/>
  <c r="P140" i="77"/>
  <c r="Q139" i="77"/>
  <c r="P139" i="77"/>
  <c r="Q138" i="77"/>
  <c r="P138" i="77"/>
  <c r="Q137" i="77"/>
  <c r="P137" i="77"/>
  <c r="Q136" i="77"/>
  <c r="P136" i="77"/>
  <c r="Q135" i="77"/>
  <c r="P135" i="77"/>
  <c r="Q134" i="77"/>
  <c r="P134" i="77"/>
  <c r="Q133" i="77"/>
  <c r="P133" i="77"/>
  <c r="Q132" i="77"/>
  <c r="P132" i="77"/>
  <c r="Q131" i="77"/>
  <c r="P131" i="77"/>
  <c r="Q130" i="77"/>
  <c r="P130" i="77"/>
  <c r="Q129" i="77"/>
  <c r="P129" i="77"/>
  <c r="Q128" i="77"/>
  <c r="P128" i="77"/>
  <c r="Q127" i="77"/>
  <c r="P127" i="77"/>
  <c r="Q126" i="77"/>
  <c r="P126" i="77"/>
  <c r="Q125" i="77"/>
  <c r="P125" i="77"/>
  <c r="Q124" i="77"/>
  <c r="P124" i="77"/>
  <c r="Q123" i="77"/>
  <c r="P123" i="77"/>
  <c r="Q122" i="77"/>
  <c r="P122" i="77"/>
  <c r="Q121" i="77"/>
  <c r="P121" i="77"/>
  <c r="Q120" i="77"/>
  <c r="P120" i="77"/>
  <c r="Q119" i="77"/>
  <c r="P119" i="77"/>
  <c r="Q118" i="77"/>
  <c r="P118" i="77"/>
  <c r="Q117" i="77"/>
  <c r="P117" i="77"/>
  <c r="Q116" i="77"/>
  <c r="P116" i="77"/>
  <c r="Q115" i="77"/>
  <c r="P115" i="77"/>
  <c r="Q114" i="77"/>
  <c r="P114" i="77"/>
  <c r="Q113" i="77"/>
  <c r="P113" i="77"/>
  <c r="Q112" i="77"/>
  <c r="P112" i="77"/>
  <c r="Q111" i="77"/>
  <c r="P111" i="77"/>
  <c r="Q110" i="77"/>
  <c r="P110" i="77"/>
  <c r="Q109" i="77"/>
  <c r="P109" i="77"/>
  <c r="Q108" i="77"/>
  <c r="P108" i="77"/>
  <c r="Q107" i="77"/>
  <c r="P107" i="77"/>
  <c r="Q106" i="77"/>
  <c r="P106" i="77"/>
  <c r="Q105" i="77"/>
  <c r="P105" i="77"/>
  <c r="Q104" i="77"/>
  <c r="P104" i="77"/>
  <c r="Q103" i="77"/>
  <c r="P103" i="77"/>
  <c r="Q102" i="77"/>
  <c r="P102" i="77"/>
  <c r="Q101" i="77"/>
  <c r="P101" i="77"/>
  <c r="Q100" i="77"/>
  <c r="P100" i="77"/>
  <c r="Q99" i="77"/>
  <c r="P99" i="77"/>
  <c r="Q98" i="77"/>
  <c r="P98" i="77"/>
  <c r="Q97" i="77"/>
  <c r="P97" i="77"/>
  <c r="Q96" i="77"/>
  <c r="P96" i="77"/>
  <c r="Q95" i="77"/>
  <c r="P95" i="77"/>
  <c r="Q94" i="77"/>
  <c r="P94" i="77"/>
  <c r="Q93" i="77"/>
  <c r="P93" i="77"/>
  <c r="Q92" i="77"/>
  <c r="P92" i="77"/>
  <c r="Q91" i="77"/>
  <c r="P91" i="77"/>
  <c r="Q90" i="77"/>
  <c r="P90" i="77"/>
  <c r="Q89" i="77"/>
  <c r="P89" i="77"/>
  <c r="Q88" i="77"/>
  <c r="P88" i="77"/>
  <c r="Q87" i="77"/>
  <c r="P87" i="77"/>
  <c r="Q86" i="77"/>
  <c r="P86" i="77"/>
  <c r="Q85" i="77"/>
  <c r="P85" i="77"/>
  <c r="Q84" i="77"/>
  <c r="P84" i="77"/>
  <c r="Q83" i="77"/>
  <c r="P83" i="77"/>
  <c r="Q82" i="77"/>
  <c r="P82" i="77"/>
  <c r="Q81" i="77"/>
  <c r="P81" i="77"/>
  <c r="Q80" i="77"/>
  <c r="P80" i="77"/>
  <c r="Q79" i="77"/>
  <c r="P79" i="77"/>
  <c r="Q78" i="77"/>
  <c r="P78" i="77"/>
  <c r="Q77" i="77"/>
  <c r="P77" i="77"/>
  <c r="Q76" i="77"/>
  <c r="P76" i="77"/>
  <c r="Q75" i="77"/>
  <c r="P75" i="77"/>
  <c r="Q74" i="77"/>
  <c r="P74" i="77"/>
  <c r="Q73" i="77"/>
  <c r="P73" i="77"/>
  <c r="Q72" i="77"/>
  <c r="P72" i="77"/>
  <c r="Q71" i="77"/>
  <c r="P71" i="77"/>
  <c r="Q70" i="77"/>
  <c r="P70" i="77"/>
  <c r="Q69" i="77"/>
  <c r="P69" i="77"/>
  <c r="Q68" i="77"/>
  <c r="P68" i="77"/>
  <c r="Q67" i="77"/>
  <c r="P67" i="77"/>
  <c r="Q66" i="77"/>
  <c r="P66" i="77"/>
  <c r="Q65" i="77"/>
  <c r="P65" i="77"/>
  <c r="Q64" i="77"/>
  <c r="P64" i="77"/>
  <c r="AU211" i="77"/>
  <c r="AT211" i="77"/>
  <c r="AS211" i="77"/>
  <c r="AR211" i="77"/>
  <c r="AQ211" i="77"/>
  <c r="AU210" i="77"/>
  <c r="AT210" i="77"/>
  <c r="AS210" i="77"/>
  <c r="AR210" i="77"/>
  <c r="AQ210" i="77"/>
  <c r="AU209" i="77"/>
  <c r="AT209" i="77"/>
  <c r="AS209" i="77"/>
  <c r="AR209" i="77"/>
  <c r="AQ209" i="77"/>
  <c r="AU208" i="77"/>
  <c r="AT208" i="77"/>
  <c r="AS208" i="77"/>
  <c r="AR208" i="77"/>
  <c r="AQ208" i="77"/>
  <c r="AU207" i="77"/>
  <c r="AT207" i="77"/>
  <c r="AS207" i="77"/>
  <c r="AR207" i="77"/>
  <c r="AQ207" i="77"/>
  <c r="AU206" i="77"/>
  <c r="AT206" i="77"/>
  <c r="AS206" i="77"/>
  <c r="AR206" i="77"/>
  <c r="AQ206" i="77"/>
  <c r="AU205" i="77"/>
  <c r="AT205" i="77"/>
  <c r="AS205" i="77"/>
  <c r="AR205" i="77"/>
  <c r="AQ205" i="77"/>
  <c r="AU204" i="77"/>
  <c r="AT204" i="77"/>
  <c r="AS204" i="77"/>
  <c r="AR204" i="77"/>
  <c r="AQ204" i="77"/>
  <c r="AU203" i="77"/>
  <c r="AT203" i="77"/>
  <c r="AS203" i="77"/>
  <c r="AR203" i="77"/>
  <c r="AQ203" i="77"/>
  <c r="AU202" i="77"/>
  <c r="AT202" i="77"/>
  <c r="AS202" i="77"/>
  <c r="AR202" i="77"/>
  <c r="AQ202" i="77"/>
  <c r="AU201" i="77"/>
  <c r="AT201" i="77"/>
  <c r="AS201" i="77"/>
  <c r="AR201" i="77"/>
  <c r="AQ201" i="77"/>
  <c r="AU200" i="77"/>
  <c r="AT200" i="77"/>
  <c r="AS200" i="77"/>
  <c r="AR200" i="77"/>
  <c r="AQ200" i="77"/>
  <c r="AU199" i="77"/>
  <c r="AT199" i="77"/>
  <c r="AS199" i="77"/>
  <c r="AR199" i="77"/>
  <c r="AQ199" i="77"/>
  <c r="AU198" i="77"/>
  <c r="AT198" i="77"/>
  <c r="AS198" i="77"/>
  <c r="AR198" i="77"/>
  <c r="AQ198" i="77"/>
  <c r="AU197" i="77"/>
  <c r="AT197" i="77"/>
  <c r="AS197" i="77"/>
  <c r="AR197" i="77"/>
  <c r="AQ197" i="77"/>
  <c r="AU196" i="77"/>
  <c r="AT196" i="77"/>
  <c r="AS196" i="77"/>
  <c r="AR196" i="77"/>
  <c r="AQ196" i="77"/>
  <c r="AU195" i="77"/>
  <c r="AT195" i="77"/>
  <c r="AS195" i="77"/>
  <c r="AR195" i="77"/>
  <c r="AQ195" i="77"/>
  <c r="AU194" i="77"/>
  <c r="AT194" i="77"/>
  <c r="AS194" i="77"/>
  <c r="AR194" i="77"/>
  <c r="AQ194" i="77"/>
  <c r="AU193" i="77"/>
  <c r="AT193" i="77"/>
  <c r="AS193" i="77"/>
  <c r="AR193" i="77"/>
  <c r="AQ193" i="77"/>
  <c r="AU192" i="77"/>
  <c r="AT192" i="77"/>
  <c r="AS192" i="77"/>
  <c r="AR192" i="77"/>
  <c r="AQ192" i="77"/>
  <c r="AU191" i="77"/>
  <c r="AT191" i="77"/>
  <c r="AS191" i="77"/>
  <c r="AR191" i="77"/>
  <c r="AQ191" i="77"/>
  <c r="AU190" i="77"/>
  <c r="AT190" i="77"/>
  <c r="AS190" i="77"/>
  <c r="AR190" i="77"/>
  <c r="AQ190" i="77"/>
  <c r="AU189" i="77"/>
  <c r="AT189" i="77"/>
  <c r="AS189" i="77"/>
  <c r="AR189" i="77"/>
  <c r="AQ189" i="77"/>
  <c r="AU188" i="77"/>
  <c r="AT188" i="77"/>
  <c r="AS188" i="77"/>
  <c r="AR188" i="77"/>
  <c r="AQ188" i="77"/>
  <c r="AU187" i="77"/>
  <c r="AT187" i="77"/>
  <c r="AS187" i="77"/>
  <c r="AR187" i="77"/>
  <c r="AQ187" i="77"/>
  <c r="AU186" i="77"/>
  <c r="AT186" i="77"/>
  <c r="AS186" i="77"/>
  <c r="AR186" i="77"/>
  <c r="AQ186" i="77"/>
  <c r="AU185" i="77"/>
  <c r="AT185" i="77"/>
  <c r="AS185" i="77"/>
  <c r="AR185" i="77"/>
  <c r="AQ185" i="77"/>
  <c r="AU184" i="77"/>
  <c r="AT184" i="77"/>
  <c r="AS184" i="77"/>
  <c r="AR184" i="77"/>
  <c r="AQ184" i="77"/>
  <c r="AU183" i="77"/>
  <c r="AT183" i="77"/>
  <c r="AS183" i="77"/>
  <c r="AR183" i="77"/>
  <c r="AQ183" i="77"/>
  <c r="AU182" i="77"/>
  <c r="AT182" i="77"/>
  <c r="AS182" i="77"/>
  <c r="AR182" i="77"/>
  <c r="AQ182" i="77"/>
  <c r="AU181" i="77"/>
  <c r="AT181" i="77"/>
  <c r="AS181" i="77"/>
  <c r="AR181" i="77"/>
  <c r="AQ181" i="77"/>
  <c r="AU180" i="77"/>
  <c r="AT180" i="77"/>
  <c r="AS180" i="77"/>
  <c r="AR180" i="77"/>
  <c r="AQ180" i="77"/>
  <c r="AU179" i="77"/>
  <c r="AT179" i="77"/>
  <c r="AS179" i="77"/>
  <c r="AR179" i="77"/>
  <c r="AQ179" i="77"/>
  <c r="AU178" i="77"/>
  <c r="AT178" i="77"/>
  <c r="AS178" i="77"/>
  <c r="AR178" i="77"/>
  <c r="AQ178" i="77"/>
  <c r="AU177" i="77"/>
  <c r="AT177" i="77"/>
  <c r="AS177" i="77"/>
  <c r="AR177" i="77"/>
  <c r="AQ177" i="77"/>
  <c r="AU176" i="77"/>
  <c r="AT176" i="77"/>
  <c r="AS176" i="77"/>
  <c r="AR176" i="77"/>
  <c r="AQ176" i="77"/>
  <c r="AU175" i="77"/>
  <c r="AT175" i="77"/>
  <c r="AS175" i="77"/>
  <c r="AR175" i="77"/>
  <c r="AQ175" i="77"/>
  <c r="AU174" i="77"/>
  <c r="AT174" i="77"/>
  <c r="AS174" i="77"/>
  <c r="AR174" i="77"/>
  <c r="AQ174" i="77"/>
  <c r="AU173" i="77"/>
  <c r="AT173" i="77"/>
  <c r="AS173" i="77"/>
  <c r="AR173" i="77"/>
  <c r="AQ173" i="77"/>
  <c r="AU172" i="77"/>
  <c r="AT172" i="77"/>
  <c r="AS172" i="77"/>
  <c r="AR172" i="77"/>
  <c r="AQ172" i="77"/>
  <c r="AU171" i="77"/>
  <c r="AT171" i="77"/>
  <c r="AS171" i="77"/>
  <c r="AR171" i="77"/>
  <c r="AQ171" i="77"/>
  <c r="AU170" i="77"/>
  <c r="AT170" i="77"/>
  <c r="AS170" i="77"/>
  <c r="AR170" i="77"/>
  <c r="AQ170" i="77"/>
  <c r="AU169" i="77"/>
  <c r="AT169" i="77"/>
  <c r="AS169" i="77"/>
  <c r="AR169" i="77"/>
  <c r="AQ169" i="77"/>
  <c r="AU168" i="77"/>
  <c r="AT168" i="77"/>
  <c r="AS168" i="77"/>
  <c r="AR168" i="77"/>
  <c r="AQ168" i="77"/>
  <c r="AU167" i="77"/>
  <c r="AT167" i="77"/>
  <c r="AS167" i="77"/>
  <c r="AR167" i="77"/>
  <c r="AQ167" i="77"/>
  <c r="AU166" i="77"/>
  <c r="AT166" i="77"/>
  <c r="AS166" i="77"/>
  <c r="AR166" i="77"/>
  <c r="AQ166" i="77"/>
  <c r="AU165" i="77"/>
  <c r="AT165" i="77"/>
  <c r="AS165" i="77"/>
  <c r="AR165" i="77"/>
  <c r="AQ165" i="77"/>
  <c r="AU164" i="77"/>
  <c r="AT164" i="77"/>
  <c r="AS164" i="77"/>
  <c r="AR164" i="77"/>
  <c r="AQ164" i="77"/>
  <c r="AU163" i="77"/>
  <c r="AT163" i="77"/>
  <c r="AS163" i="77"/>
  <c r="AR163" i="77"/>
  <c r="AQ163" i="77"/>
  <c r="AU162" i="77"/>
  <c r="AT162" i="77"/>
  <c r="AS162" i="77"/>
  <c r="AR162" i="77"/>
  <c r="AQ162" i="77"/>
  <c r="AU161" i="77"/>
  <c r="AT161" i="77"/>
  <c r="AS161" i="77"/>
  <c r="AR161" i="77"/>
  <c r="AQ161" i="77"/>
  <c r="AU160" i="77"/>
  <c r="AT160" i="77"/>
  <c r="AS160" i="77"/>
  <c r="AR160" i="77"/>
  <c r="AQ160" i="77"/>
  <c r="AU159" i="77"/>
  <c r="AT159" i="77"/>
  <c r="AS159" i="77"/>
  <c r="AR159" i="77"/>
  <c r="AQ159" i="77"/>
  <c r="AU158" i="77"/>
  <c r="AT158" i="77"/>
  <c r="AS158" i="77"/>
  <c r="AR158" i="77"/>
  <c r="AQ158" i="77"/>
  <c r="AU157" i="77"/>
  <c r="AT157" i="77"/>
  <c r="AS157" i="77"/>
  <c r="AR157" i="77"/>
  <c r="AQ157" i="77"/>
  <c r="AU156" i="77"/>
  <c r="AT156" i="77"/>
  <c r="AS156" i="77"/>
  <c r="AR156" i="77"/>
  <c r="AQ156" i="77"/>
  <c r="AU155" i="77"/>
  <c r="AT155" i="77"/>
  <c r="AS155" i="77"/>
  <c r="AR155" i="77"/>
  <c r="AQ155" i="77"/>
  <c r="AU154" i="77"/>
  <c r="AT154" i="77"/>
  <c r="AS154" i="77"/>
  <c r="AR154" i="77"/>
  <c r="AQ154" i="77"/>
  <c r="AU153" i="77"/>
  <c r="AT153" i="77"/>
  <c r="AS153" i="77"/>
  <c r="AR153" i="77"/>
  <c r="AQ153" i="77"/>
  <c r="AU152" i="77"/>
  <c r="AT152" i="77"/>
  <c r="AS152" i="77"/>
  <c r="AR152" i="77"/>
  <c r="AQ152" i="77"/>
  <c r="AU151" i="77"/>
  <c r="AT151" i="77"/>
  <c r="AS151" i="77"/>
  <c r="AR151" i="77"/>
  <c r="AQ151" i="77"/>
  <c r="AU150" i="77"/>
  <c r="AT150" i="77"/>
  <c r="AS150" i="77"/>
  <c r="AR150" i="77"/>
  <c r="AQ150" i="77"/>
  <c r="AU149" i="77"/>
  <c r="AT149" i="77"/>
  <c r="AS149" i="77"/>
  <c r="AR149" i="77"/>
  <c r="AQ149" i="77"/>
  <c r="AU148" i="77"/>
  <c r="AT148" i="77"/>
  <c r="AS148" i="77"/>
  <c r="AR148" i="77"/>
  <c r="AQ148" i="77"/>
  <c r="AU147" i="77"/>
  <c r="AT147" i="77"/>
  <c r="AS147" i="77"/>
  <c r="AR147" i="77"/>
  <c r="AQ147" i="77"/>
  <c r="AU146" i="77"/>
  <c r="AT146" i="77"/>
  <c r="AS146" i="77"/>
  <c r="AR146" i="77"/>
  <c r="AQ146" i="77"/>
  <c r="AU145" i="77"/>
  <c r="AT145" i="77"/>
  <c r="AS145" i="77"/>
  <c r="AR145" i="77"/>
  <c r="AQ145" i="77"/>
  <c r="AU144" i="77"/>
  <c r="AT144" i="77"/>
  <c r="AS144" i="77"/>
  <c r="AR144" i="77"/>
  <c r="AQ144" i="77"/>
  <c r="AU143" i="77"/>
  <c r="AT143" i="77"/>
  <c r="AS143" i="77"/>
  <c r="AR143" i="77"/>
  <c r="AQ143" i="77"/>
  <c r="AU142" i="77"/>
  <c r="AT142" i="77"/>
  <c r="AS142" i="77"/>
  <c r="AR142" i="77"/>
  <c r="AQ142" i="77"/>
  <c r="AU141" i="77"/>
  <c r="AT141" i="77"/>
  <c r="AS141" i="77"/>
  <c r="AR141" i="77"/>
  <c r="AQ141" i="77"/>
  <c r="AU140" i="77"/>
  <c r="AT140" i="77"/>
  <c r="AS140" i="77"/>
  <c r="AR140" i="77"/>
  <c r="AQ140" i="77"/>
  <c r="AU139" i="77"/>
  <c r="AT139" i="77"/>
  <c r="AS139" i="77"/>
  <c r="AR139" i="77"/>
  <c r="AQ139" i="77"/>
  <c r="AU138" i="77"/>
  <c r="AT138" i="77"/>
  <c r="AS138" i="77"/>
  <c r="AR138" i="77"/>
  <c r="AQ138" i="77"/>
  <c r="AU137" i="77"/>
  <c r="AT137" i="77"/>
  <c r="AS137" i="77"/>
  <c r="AR137" i="77"/>
  <c r="AQ137" i="77"/>
  <c r="AU136" i="77"/>
  <c r="AT136" i="77"/>
  <c r="AS136" i="77"/>
  <c r="AR136" i="77"/>
  <c r="AQ136" i="77"/>
  <c r="AU135" i="77"/>
  <c r="AT135" i="77"/>
  <c r="AS135" i="77"/>
  <c r="AR135" i="77"/>
  <c r="AQ135" i="77"/>
  <c r="AU134" i="77"/>
  <c r="AT134" i="77"/>
  <c r="AS134" i="77"/>
  <c r="AR134" i="77"/>
  <c r="AQ134" i="77"/>
  <c r="AU133" i="77"/>
  <c r="AT133" i="77"/>
  <c r="AS133" i="77"/>
  <c r="AR133" i="77"/>
  <c r="AQ133" i="77"/>
  <c r="AU132" i="77"/>
  <c r="AT132" i="77"/>
  <c r="AS132" i="77"/>
  <c r="AR132" i="77"/>
  <c r="AQ132" i="77"/>
  <c r="AU131" i="77"/>
  <c r="AT131" i="77"/>
  <c r="AS131" i="77"/>
  <c r="AR131" i="77"/>
  <c r="AQ131" i="77"/>
  <c r="AU130" i="77"/>
  <c r="AT130" i="77"/>
  <c r="AS130" i="77"/>
  <c r="AR130" i="77"/>
  <c r="AQ130" i="77"/>
  <c r="AU129" i="77"/>
  <c r="AT129" i="77"/>
  <c r="AS129" i="77"/>
  <c r="AR129" i="77"/>
  <c r="AQ129" i="77"/>
  <c r="AU128" i="77"/>
  <c r="AT128" i="77"/>
  <c r="AS128" i="77"/>
  <c r="AR128" i="77"/>
  <c r="AQ128" i="77"/>
  <c r="AU127" i="77"/>
  <c r="AT127" i="77"/>
  <c r="AS127" i="77"/>
  <c r="AR127" i="77"/>
  <c r="AQ127" i="77"/>
  <c r="AU126" i="77"/>
  <c r="AT126" i="77"/>
  <c r="AS126" i="77"/>
  <c r="AR126" i="77"/>
  <c r="AQ126" i="77"/>
  <c r="AU125" i="77"/>
  <c r="AT125" i="77"/>
  <c r="AS125" i="77"/>
  <c r="AR125" i="77"/>
  <c r="AQ125" i="77"/>
  <c r="AU124" i="77"/>
  <c r="AT124" i="77"/>
  <c r="AS124" i="77"/>
  <c r="AR124" i="77"/>
  <c r="AQ124" i="77"/>
  <c r="AU123" i="77"/>
  <c r="AT123" i="77"/>
  <c r="AS123" i="77"/>
  <c r="AR123" i="77"/>
  <c r="AQ123" i="77"/>
  <c r="AU122" i="77"/>
  <c r="AT122" i="77"/>
  <c r="AS122" i="77"/>
  <c r="AR122" i="77"/>
  <c r="AQ122" i="77"/>
  <c r="AU121" i="77"/>
  <c r="AT121" i="77"/>
  <c r="AS121" i="77"/>
  <c r="AR121" i="77"/>
  <c r="AQ121" i="77"/>
  <c r="AU120" i="77"/>
  <c r="AT120" i="77"/>
  <c r="AS120" i="77"/>
  <c r="AR120" i="77"/>
  <c r="AQ120" i="77"/>
  <c r="AU119" i="77"/>
  <c r="AT119" i="77"/>
  <c r="AS119" i="77"/>
  <c r="AR119" i="77"/>
  <c r="AQ119" i="77"/>
  <c r="AU118" i="77"/>
  <c r="AT118" i="77"/>
  <c r="AS118" i="77"/>
  <c r="AR118" i="77"/>
  <c r="AQ118" i="77"/>
  <c r="AU117" i="77"/>
  <c r="AT117" i="77"/>
  <c r="AS117" i="77"/>
  <c r="AR117" i="77"/>
  <c r="AQ117" i="77"/>
  <c r="AU116" i="77"/>
  <c r="AT116" i="77"/>
  <c r="AS116" i="77"/>
  <c r="AR116" i="77"/>
  <c r="AQ116" i="77"/>
  <c r="AU115" i="77"/>
  <c r="AT115" i="77"/>
  <c r="AS115" i="77"/>
  <c r="AR115" i="77"/>
  <c r="AQ115" i="77"/>
  <c r="AU114" i="77"/>
  <c r="AT114" i="77"/>
  <c r="AS114" i="77"/>
  <c r="AR114" i="77"/>
  <c r="AQ114" i="77"/>
  <c r="AU113" i="77"/>
  <c r="AT113" i="77"/>
  <c r="AS113" i="77"/>
  <c r="AR113" i="77"/>
  <c r="AQ113" i="77"/>
  <c r="AU112" i="77"/>
  <c r="AT112" i="77"/>
  <c r="AS112" i="77"/>
  <c r="AR112" i="77"/>
  <c r="AQ112" i="77"/>
  <c r="AU111" i="77"/>
  <c r="AT111" i="77"/>
  <c r="AS111" i="77"/>
  <c r="AR111" i="77"/>
  <c r="AQ111" i="77"/>
  <c r="AU110" i="77"/>
  <c r="AT110" i="77"/>
  <c r="AS110" i="77"/>
  <c r="AR110" i="77"/>
  <c r="AQ110" i="77"/>
  <c r="AU109" i="77"/>
  <c r="AT109" i="77"/>
  <c r="AS109" i="77"/>
  <c r="AR109" i="77"/>
  <c r="AQ109" i="77"/>
  <c r="AU108" i="77"/>
  <c r="AT108" i="77"/>
  <c r="AS108" i="77"/>
  <c r="AR108" i="77"/>
  <c r="AQ108" i="77"/>
  <c r="AU107" i="77"/>
  <c r="AT107" i="77"/>
  <c r="AS107" i="77"/>
  <c r="AR107" i="77"/>
  <c r="AQ107" i="77"/>
  <c r="AU106" i="77"/>
  <c r="AT106" i="77"/>
  <c r="AS106" i="77"/>
  <c r="AR106" i="77"/>
  <c r="AQ106" i="77"/>
  <c r="AU105" i="77"/>
  <c r="AT105" i="77"/>
  <c r="AS105" i="77"/>
  <c r="AR105" i="77"/>
  <c r="AQ105" i="77"/>
  <c r="AU104" i="77"/>
  <c r="AT104" i="77"/>
  <c r="AS104" i="77"/>
  <c r="AR104" i="77"/>
  <c r="AQ104" i="77"/>
  <c r="AU103" i="77"/>
  <c r="AT103" i="77"/>
  <c r="AS103" i="77"/>
  <c r="AR103" i="77"/>
  <c r="AQ103" i="77"/>
  <c r="AU102" i="77"/>
  <c r="AT102" i="77"/>
  <c r="AS102" i="77"/>
  <c r="AR102" i="77"/>
  <c r="AQ102" i="77"/>
  <c r="AU101" i="77"/>
  <c r="AT101" i="77"/>
  <c r="AS101" i="77"/>
  <c r="AR101" i="77"/>
  <c r="AQ101" i="77"/>
  <c r="AU100" i="77"/>
  <c r="AT100" i="77"/>
  <c r="AS100" i="77"/>
  <c r="AR100" i="77"/>
  <c r="AQ100" i="77"/>
  <c r="AU99" i="77"/>
  <c r="AT99" i="77"/>
  <c r="AS99" i="77"/>
  <c r="AR99" i="77"/>
  <c r="AQ99" i="77"/>
  <c r="AU98" i="77"/>
  <c r="AT98" i="77"/>
  <c r="AS98" i="77"/>
  <c r="AR98" i="77"/>
  <c r="AQ98" i="77"/>
  <c r="AU97" i="77"/>
  <c r="AT97" i="77"/>
  <c r="AS97" i="77"/>
  <c r="AR97" i="77"/>
  <c r="AQ97" i="77"/>
  <c r="AU96" i="77"/>
  <c r="AT96" i="77"/>
  <c r="AS96" i="77"/>
  <c r="AR96" i="77"/>
  <c r="AQ96" i="77"/>
  <c r="AU95" i="77"/>
  <c r="AT95" i="77"/>
  <c r="AS95" i="77"/>
  <c r="AR95" i="77"/>
  <c r="AQ95" i="77"/>
  <c r="AU94" i="77"/>
  <c r="AT94" i="77"/>
  <c r="AS94" i="77"/>
  <c r="AR94" i="77"/>
  <c r="AQ94" i="77"/>
  <c r="AU93" i="77"/>
  <c r="AT93" i="77"/>
  <c r="AS93" i="77"/>
  <c r="AR93" i="77"/>
  <c r="AQ93" i="77"/>
  <c r="AU92" i="77"/>
  <c r="AT92" i="77"/>
  <c r="AS92" i="77"/>
  <c r="AR92" i="77"/>
  <c r="AQ92" i="77"/>
  <c r="AU91" i="77"/>
  <c r="AT91" i="77"/>
  <c r="AS91" i="77"/>
  <c r="AR91" i="77"/>
  <c r="AQ91" i="77"/>
  <c r="AU90" i="77"/>
  <c r="AT90" i="77"/>
  <c r="AS90" i="77"/>
  <c r="AR90" i="77"/>
  <c r="AQ90" i="77"/>
  <c r="AU89" i="77"/>
  <c r="AT89" i="77"/>
  <c r="AS89" i="77"/>
  <c r="AR89" i="77"/>
  <c r="AQ89" i="77"/>
  <c r="AU88" i="77"/>
  <c r="AT88" i="77"/>
  <c r="AS88" i="77"/>
  <c r="AR88" i="77"/>
  <c r="AQ88" i="77"/>
  <c r="AU87" i="77"/>
  <c r="AT87" i="77"/>
  <c r="AS87" i="77"/>
  <c r="AR87" i="77"/>
  <c r="AQ87" i="77"/>
  <c r="AU86" i="77"/>
  <c r="AT86" i="77"/>
  <c r="AS86" i="77"/>
  <c r="AR86" i="77"/>
  <c r="AQ86" i="77"/>
  <c r="AU85" i="77"/>
  <c r="AT85" i="77"/>
  <c r="AS85" i="77"/>
  <c r="AR85" i="77"/>
  <c r="AQ85" i="77"/>
  <c r="AU84" i="77"/>
  <c r="AT84" i="77"/>
  <c r="AS84" i="77"/>
  <c r="AR84" i="77"/>
  <c r="AQ84" i="77"/>
  <c r="AU83" i="77"/>
  <c r="AT83" i="77"/>
  <c r="AS83" i="77"/>
  <c r="AR83" i="77"/>
  <c r="AQ83" i="77"/>
  <c r="AU82" i="77"/>
  <c r="AT82" i="77"/>
  <c r="AS82" i="77"/>
  <c r="AR82" i="77"/>
  <c r="AQ82" i="77"/>
  <c r="AU81" i="77"/>
  <c r="AT81" i="77"/>
  <c r="AS81" i="77"/>
  <c r="AR81" i="77"/>
  <c r="AQ81" i="77"/>
  <c r="AU80" i="77"/>
  <c r="AT80" i="77"/>
  <c r="AS80" i="77"/>
  <c r="AR80" i="77"/>
  <c r="AQ80" i="77"/>
  <c r="AU79" i="77"/>
  <c r="AT79" i="77"/>
  <c r="AS79" i="77"/>
  <c r="AR79" i="77"/>
  <c r="AQ79" i="77"/>
  <c r="AU78" i="77"/>
  <c r="AT78" i="77"/>
  <c r="AS78" i="77"/>
  <c r="AR78" i="77"/>
  <c r="AQ78" i="77"/>
  <c r="AU77" i="77"/>
  <c r="AT77" i="77"/>
  <c r="AS77" i="77"/>
  <c r="AR77" i="77"/>
  <c r="AQ77" i="77"/>
  <c r="AU76" i="77"/>
  <c r="AT76" i="77"/>
  <c r="AS76" i="77"/>
  <c r="AR76" i="77"/>
  <c r="AQ76" i="77"/>
  <c r="AU75" i="77"/>
  <c r="AT75" i="77"/>
  <c r="AS75" i="77"/>
  <c r="AR75" i="77"/>
  <c r="AQ75" i="77"/>
  <c r="AU74" i="77"/>
  <c r="AT74" i="77"/>
  <c r="AS74" i="77"/>
  <c r="AR74" i="77"/>
  <c r="AQ74" i="77"/>
  <c r="AU73" i="77"/>
  <c r="AT73" i="77"/>
  <c r="AS73" i="77"/>
  <c r="AR73" i="77"/>
  <c r="AQ73" i="77"/>
  <c r="AU72" i="77"/>
  <c r="AT72" i="77"/>
  <c r="AS72" i="77"/>
  <c r="AR72" i="77"/>
  <c r="AQ72" i="77"/>
  <c r="AU71" i="77"/>
  <c r="AT71" i="77"/>
  <c r="AS71" i="77"/>
  <c r="AR71" i="77"/>
  <c r="AQ71" i="77"/>
  <c r="AU70" i="77"/>
  <c r="AT70" i="77"/>
  <c r="AS70" i="77"/>
  <c r="AR70" i="77"/>
  <c r="AQ70" i="77"/>
  <c r="AU69" i="77"/>
  <c r="AT69" i="77"/>
  <c r="AS69" i="77"/>
  <c r="AR69" i="77"/>
  <c r="AQ69" i="77"/>
  <c r="AU68" i="77"/>
  <c r="AT68" i="77"/>
  <c r="AS68" i="77"/>
  <c r="AR68" i="77"/>
  <c r="AQ68" i="77"/>
  <c r="AU67" i="77"/>
  <c r="AT67" i="77"/>
  <c r="AS67" i="77"/>
  <c r="AR67" i="77"/>
  <c r="AQ67" i="77"/>
  <c r="AU66" i="77"/>
  <c r="AT66" i="77"/>
  <c r="AS66" i="77"/>
  <c r="AR66" i="77"/>
  <c r="AQ66" i="77"/>
  <c r="AU65" i="77"/>
  <c r="AT65" i="77"/>
  <c r="AS65" i="77"/>
  <c r="AR65" i="77"/>
  <c r="AQ65" i="77"/>
  <c r="AU64" i="77"/>
  <c r="AT64" i="77"/>
  <c r="AS64" i="77"/>
  <c r="AR64" i="77"/>
  <c r="AQ64" i="77"/>
  <c r="AU63" i="77"/>
  <c r="AT63" i="77"/>
  <c r="AS63" i="77"/>
  <c r="AR63" i="77"/>
  <c r="AQ63" i="77"/>
  <c r="AU62" i="77"/>
  <c r="AT62" i="77"/>
  <c r="AS62" i="77"/>
  <c r="AR62" i="77"/>
  <c r="AQ62" i="77"/>
  <c r="AU61" i="77"/>
  <c r="AT61" i="77"/>
  <c r="AS61" i="77"/>
  <c r="AR61" i="77"/>
  <c r="AQ61" i="77"/>
  <c r="AU60" i="77"/>
  <c r="AT60" i="77"/>
  <c r="AS60" i="77"/>
  <c r="AR60" i="77"/>
  <c r="AQ60" i="77"/>
  <c r="AU59" i="77"/>
  <c r="AT59" i="77"/>
  <c r="AS59" i="77"/>
  <c r="AR59" i="77"/>
  <c r="AQ59" i="77"/>
  <c r="AU58" i="77"/>
  <c r="AT58" i="77"/>
  <c r="AS58" i="77"/>
  <c r="AR58" i="77"/>
  <c r="AQ58" i="77"/>
  <c r="AU57" i="77"/>
  <c r="AT57" i="77"/>
  <c r="AS57" i="77"/>
  <c r="AR57" i="77"/>
  <c r="AQ57" i="77"/>
  <c r="AU56" i="77"/>
  <c r="AT56" i="77"/>
  <c r="AS56" i="77"/>
  <c r="AR56" i="77"/>
  <c r="AQ56" i="77"/>
  <c r="AU55" i="77"/>
  <c r="AT55" i="77"/>
  <c r="AS55" i="77"/>
  <c r="AR55" i="77"/>
  <c r="AQ55" i="77"/>
  <c r="AU54" i="77"/>
  <c r="AT54" i="77"/>
  <c r="AS54" i="77"/>
  <c r="AR54" i="77"/>
  <c r="AQ54" i="77"/>
  <c r="AU53" i="77"/>
  <c r="AT53" i="77"/>
  <c r="AS53" i="77"/>
  <c r="AR53" i="77"/>
  <c r="AQ53" i="77"/>
  <c r="AD211" i="77"/>
  <c r="AC211" i="77"/>
  <c r="AB211" i="77"/>
  <c r="AA211" i="77"/>
  <c r="Z211" i="77"/>
  <c r="Y211" i="77"/>
  <c r="X211" i="77"/>
  <c r="W211" i="77"/>
  <c r="V211" i="77"/>
  <c r="AD210" i="77"/>
  <c r="AC210" i="77"/>
  <c r="AB210" i="77"/>
  <c r="AA210" i="77"/>
  <c r="Z210" i="77"/>
  <c r="Y210" i="77"/>
  <c r="X210" i="77"/>
  <c r="W210" i="77"/>
  <c r="V210" i="77"/>
  <c r="AD209" i="77"/>
  <c r="AC209" i="77"/>
  <c r="AB209" i="77"/>
  <c r="AA209" i="77"/>
  <c r="Z209" i="77"/>
  <c r="Y209" i="77"/>
  <c r="X209" i="77"/>
  <c r="W209" i="77"/>
  <c r="V209" i="77"/>
  <c r="AD208" i="77"/>
  <c r="AC208" i="77"/>
  <c r="AB208" i="77"/>
  <c r="AA208" i="77"/>
  <c r="Z208" i="77"/>
  <c r="Y208" i="77"/>
  <c r="X208" i="77"/>
  <c r="W208" i="77"/>
  <c r="V208" i="77"/>
  <c r="AD207" i="77"/>
  <c r="AC207" i="77"/>
  <c r="AB207" i="77"/>
  <c r="AA207" i="77"/>
  <c r="Z207" i="77"/>
  <c r="Y207" i="77"/>
  <c r="X207" i="77"/>
  <c r="W207" i="77"/>
  <c r="V207" i="77"/>
  <c r="T207" i="77"/>
  <c r="S207" i="77"/>
  <c r="AD206" i="77"/>
  <c r="AC206" i="77"/>
  <c r="AB206" i="77"/>
  <c r="AA206" i="77"/>
  <c r="Z206" i="77"/>
  <c r="Y206" i="77"/>
  <c r="X206" i="77"/>
  <c r="W206" i="77"/>
  <c r="V206" i="77"/>
  <c r="T206" i="77"/>
  <c r="S206" i="77"/>
  <c r="AD205" i="77"/>
  <c r="AC205" i="77"/>
  <c r="AB205" i="77"/>
  <c r="AA205" i="77"/>
  <c r="Z205" i="77"/>
  <c r="Y205" i="77"/>
  <c r="X205" i="77"/>
  <c r="W205" i="77"/>
  <c r="V205" i="77"/>
  <c r="T205" i="77"/>
  <c r="S205" i="77"/>
  <c r="AD204" i="77"/>
  <c r="AC204" i="77"/>
  <c r="AB204" i="77"/>
  <c r="AA204" i="77"/>
  <c r="Z204" i="77"/>
  <c r="Y204" i="77"/>
  <c r="X204" i="77"/>
  <c r="W204" i="77"/>
  <c r="V204" i="77"/>
  <c r="T204" i="77"/>
  <c r="S204" i="77"/>
  <c r="AD203" i="77"/>
  <c r="AC203" i="77"/>
  <c r="AB203" i="77"/>
  <c r="AA203" i="77"/>
  <c r="Z203" i="77"/>
  <c r="Y203" i="77"/>
  <c r="X203" i="77"/>
  <c r="W203" i="77"/>
  <c r="V203" i="77"/>
  <c r="T203" i="77"/>
  <c r="S203" i="77"/>
  <c r="AD202" i="77"/>
  <c r="AC202" i="77"/>
  <c r="AB202" i="77"/>
  <c r="AA202" i="77"/>
  <c r="Z202" i="77"/>
  <c r="Y202" i="77"/>
  <c r="X202" i="77"/>
  <c r="W202" i="77"/>
  <c r="V202" i="77"/>
  <c r="T202" i="77"/>
  <c r="S202" i="77"/>
  <c r="AD201" i="77"/>
  <c r="AC201" i="77"/>
  <c r="AB201" i="77"/>
  <c r="AA201" i="77"/>
  <c r="Z201" i="77"/>
  <c r="Y201" i="77"/>
  <c r="X201" i="77"/>
  <c r="W201" i="77"/>
  <c r="V201" i="77"/>
  <c r="T201" i="77"/>
  <c r="S201" i="77"/>
  <c r="AD200" i="77"/>
  <c r="AC200" i="77"/>
  <c r="AB200" i="77"/>
  <c r="AA200" i="77"/>
  <c r="Z200" i="77"/>
  <c r="Y200" i="77"/>
  <c r="X200" i="77"/>
  <c r="W200" i="77"/>
  <c r="V200" i="77"/>
  <c r="T200" i="77"/>
  <c r="S200" i="77"/>
  <c r="AD199" i="77"/>
  <c r="AC199" i="77"/>
  <c r="AB199" i="77"/>
  <c r="AA199" i="77"/>
  <c r="Z199" i="77"/>
  <c r="Y199" i="77"/>
  <c r="X199" i="77"/>
  <c r="W199" i="77"/>
  <c r="V199" i="77"/>
  <c r="T199" i="77"/>
  <c r="S199" i="77"/>
  <c r="AD198" i="77"/>
  <c r="AC198" i="77"/>
  <c r="AB198" i="77"/>
  <c r="AA198" i="77"/>
  <c r="Z198" i="77"/>
  <c r="Y198" i="77"/>
  <c r="X198" i="77"/>
  <c r="W198" i="77"/>
  <c r="V198" i="77"/>
  <c r="T198" i="77"/>
  <c r="S198" i="77"/>
  <c r="AD197" i="77"/>
  <c r="AC197" i="77"/>
  <c r="AB197" i="77"/>
  <c r="AA197" i="77"/>
  <c r="Z197" i="77"/>
  <c r="Y197" i="77"/>
  <c r="X197" i="77"/>
  <c r="W197" i="77"/>
  <c r="V197" i="77"/>
  <c r="T197" i="77"/>
  <c r="S197" i="77"/>
  <c r="AD196" i="77"/>
  <c r="AC196" i="77"/>
  <c r="AB196" i="77"/>
  <c r="AA196" i="77"/>
  <c r="Z196" i="77"/>
  <c r="Y196" i="77"/>
  <c r="X196" i="77"/>
  <c r="W196" i="77"/>
  <c r="V196" i="77"/>
  <c r="T196" i="77"/>
  <c r="S196" i="77"/>
  <c r="AD195" i="77"/>
  <c r="AC195" i="77"/>
  <c r="AB195" i="77"/>
  <c r="AA195" i="77"/>
  <c r="Z195" i="77"/>
  <c r="Y195" i="77"/>
  <c r="X195" i="77"/>
  <c r="W195" i="77"/>
  <c r="V195" i="77"/>
  <c r="T195" i="77"/>
  <c r="S195" i="77"/>
  <c r="AD194" i="77"/>
  <c r="AC194" i="77"/>
  <c r="AB194" i="77"/>
  <c r="AA194" i="77"/>
  <c r="Z194" i="77"/>
  <c r="Y194" i="77"/>
  <c r="X194" i="77"/>
  <c r="W194" i="77"/>
  <c r="V194" i="77"/>
  <c r="T194" i="77"/>
  <c r="S194" i="77"/>
  <c r="AD193" i="77"/>
  <c r="AC193" i="77"/>
  <c r="AB193" i="77"/>
  <c r="AA193" i="77"/>
  <c r="Z193" i="77"/>
  <c r="Y193" i="77"/>
  <c r="X193" i="77"/>
  <c r="W193" i="77"/>
  <c r="V193" i="77"/>
  <c r="T193" i="77"/>
  <c r="S193" i="77"/>
  <c r="AD192" i="77"/>
  <c r="AC192" i="77"/>
  <c r="AB192" i="77"/>
  <c r="AA192" i="77"/>
  <c r="Z192" i="77"/>
  <c r="Y192" i="77"/>
  <c r="X192" i="77"/>
  <c r="W192" i="77"/>
  <c r="V192" i="77"/>
  <c r="T192" i="77"/>
  <c r="S192" i="77"/>
  <c r="AD191" i="77"/>
  <c r="AC191" i="77"/>
  <c r="AB191" i="77"/>
  <c r="AA191" i="77"/>
  <c r="Z191" i="77"/>
  <c r="Y191" i="77"/>
  <c r="X191" i="77"/>
  <c r="W191" i="77"/>
  <c r="V191" i="77"/>
  <c r="T191" i="77"/>
  <c r="S191" i="77"/>
  <c r="AD190" i="77"/>
  <c r="AC190" i="77"/>
  <c r="AB190" i="77"/>
  <c r="AA190" i="77"/>
  <c r="Z190" i="77"/>
  <c r="Y190" i="77"/>
  <c r="X190" i="77"/>
  <c r="W190" i="77"/>
  <c r="V190" i="77"/>
  <c r="T190" i="77"/>
  <c r="S190" i="77"/>
  <c r="AD189" i="77"/>
  <c r="AC189" i="77"/>
  <c r="AB189" i="77"/>
  <c r="AA189" i="77"/>
  <c r="Z189" i="77"/>
  <c r="Y189" i="77"/>
  <c r="X189" i="77"/>
  <c r="W189" i="77"/>
  <c r="V189" i="77"/>
  <c r="T189" i="77"/>
  <c r="S189" i="77"/>
  <c r="AD188" i="77"/>
  <c r="AC188" i="77"/>
  <c r="AB188" i="77"/>
  <c r="AA188" i="77"/>
  <c r="Z188" i="77"/>
  <c r="Y188" i="77"/>
  <c r="X188" i="77"/>
  <c r="W188" i="77"/>
  <c r="V188" i="77"/>
  <c r="T188" i="77"/>
  <c r="S188" i="77"/>
  <c r="AD187" i="77"/>
  <c r="AC187" i="77"/>
  <c r="AB187" i="77"/>
  <c r="AA187" i="77"/>
  <c r="Z187" i="77"/>
  <c r="Y187" i="77"/>
  <c r="X187" i="77"/>
  <c r="W187" i="77"/>
  <c r="V187" i="77"/>
  <c r="T187" i="77"/>
  <c r="S187" i="77"/>
  <c r="AD186" i="77"/>
  <c r="AC186" i="77"/>
  <c r="AB186" i="77"/>
  <c r="AA186" i="77"/>
  <c r="Z186" i="77"/>
  <c r="Y186" i="77"/>
  <c r="X186" i="77"/>
  <c r="W186" i="77"/>
  <c r="V186" i="77"/>
  <c r="T186" i="77"/>
  <c r="S186" i="77"/>
  <c r="AD185" i="77"/>
  <c r="AC185" i="77"/>
  <c r="AB185" i="77"/>
  <c r="AA185" i="77"/>
  <c r="Z185" i="77"/>
  <c r="Y185" i="77"/>
  <c r="X185" i="77"/>
  <c r="W185" i="77"/>
  <c r="V185" i="77"/>
  <c r="T185" i="77"/>
  <c r="S185" i="77"/>
  <c r="AD184" i="77"/>
  <c r="AC184" i="77"/>
  <c r="AB184" i="77"/>
  <c r="AA184" i="77"/>
  <c r="Z184" i="77"/>
  <c r="Y184" i="77"/>
  <c r="X184" i="77"/>
  <c r="W184" i="77"/>
  <c r="V184" i="77"/>
  <c r="T184" i="77"/>
  <c r="S184" i="77"/>
  <c r="AD183" i="77"/>
  <c r="AC183" i="77"/>
  <c r="AB183" i="77"/>
  <c r="AA183" i="77"/>
  <c r="Z183" i="77"/>
  <c r="Y183" i="77"/>
  <c r="X183" i="77"/>
  <c r="W183" i="77"/>
  <c r="V183" i="77"/>
  <c r="T183" i="77"/>
  <c r="S183" i="77"/>
  <c r="AD182" i="77"/>
  <c r="AC182" i="77"/>
  <c r="AB182" i="77"/>
  <c r="AA182" i="77"/>
  <c r="Z182" i="77"/>
  <c r="Y182" i="77"/>
  <c r="X182" i="77"/>
  <c r="W182" i="77"/>
  <c r="V182" i="77"/>
  <c r="T182" i="77"/>
  <c r="S182" i="77"/>
  <c r="AD181" i="77"/>
  <c r="AC181" i="77"/>
  <c r="AB181" i="77"/>
  <c r="AA181" i="77"/>
  <c r="Z181" i="77"/>
  <c r="Y181" i="77"/>
  <c r="X181" i="77"/>
  <c r="W181" i="77"/>
  <c r="V181" i="77"/>
  <c r="T181" i="77"/>
  <c r="S181" i="77"/>
  <c r="AD180" i="77"/>
  <c r="AC180" i="77"/>
  <c r="AB180" i="77"/>
  <c r="AA180" i="77"/>
  <c r="Z180" i="77"/>
  <c r="Y180" i="77"/>
  <c r="X180" i="77"/>
  <c r="W180" i="77"/>
  <c r="V180" i="77"/>
  <c r="T180" i="77"/>
  <c r="S180" i="77"/>
  <c r="AD179" i="77"/>
  <c r="AC179" i="77"/>
  <c r="AB179" i="77"/>
  <c r="AA179" i="77"/>
  <c r="Z179" i="77"/>
  <c r="Y179" i="77"/>
  <c r="X179" i="77"/>
  <c r="W179" i="77"/>
  <c r="V179" i="77"/>
  <c r="T179" i="77"/>
  <c r="S179" i="77"/>
  <c r="AD178" i="77"/>
  <c r="AC178" i="77"/>
  <c r="AB178" i="77"/>
  <c r="AA178" i="77"/>
  <c r="Z178" i="77"/>
  <c r="Y178" i="77"/>
  <c r="X178" i="77"/>
  <c r="W178" i="77"/>
  <c r="V178" i="77"/>
  <c r="T178" i="77"/>
  <c r="S178" i="77"/>
  <c r="AD177" i="77"/>
  <c r="AC177" i="77"/>
  <c r="AB177" i="77"/>
  <c r="AA177" i="77"/>
  <c r="Z177" i="77"/>
  <c r="Y177" i="77"/>
  <c r="X177" i="77"/>
  <c r="W177" i="77"/>
  <c r="V177" i="77"/>
  <c r="T177" i="77"/>
  <c r="S177" i="77"/>
  <c r="AD176" i="77"/>
  <c r="AC176" i="77"/>
  <c r="AB176" i="77"/>
  <c r="AA176" i="77"/>
  <c r="Z176" i="77"/>
  <c r="Y176" i="77"/>
  <c r="X176" i="77"/>
  <c r="W176" i="77"/>
  <c r="V176" i="77"/>
  <c r="T176" i="77"/>
  <c r="S176" i="77"/>
  <c r="AD175" i="77"/>
  <c r="AC175" i="77"/>
  <c r="AB175" i="77"/>
  <c r="AA175" i="77"/>
  <c r="Z175" i="77"/>
  <c r="Y175" i="77"/>
  <c r="X175" i="77"/>
  <c r="W175" i="77"/>
  <c r="V175" i="77"/>
  <c r="T175" i="77"/>
  <c r="S175" i="77"/>
  <c r="AD174" i="77"/>
  <c r="AB174" i="77"/>
  <c r="AA174" i="77"/>
  <c r="Z174" i="77"/>
  <c r="Y174" i="77"/>
  <c r="X174" i="77"/>
  <c r="W174" i="77"/>
  <c r="V174" i="77"/>
  <c r="T174" i="77"/>
  <c r="S174" i="77"/>
  <c r="AD173" i="77"/>
  <c r="AB173" i="77"/>
  <c r="AA173" i="77"/>
  <c r="Z173" i="77"/>
  <c r="Y173" i="77"/>
  <c r="X173" i="77"/>
  <c r="W173" i="77"/>
  <c r="V173" i="77"/>
  <c r="T173" i="77"/>
  <c r="S173" i="77"/>
  <c r="AD172" i="77"/>
  <c r="AB172" i="77"/>
  <c r="AA172" i="77"/>
  <c r="Z172" i="77"/>
  <c r="Y172" i="77"/>
  <c r="X172" i="77"/>
  <c r="W172" i="77"/>
  <c r="V172" i="77"/>
  <c r="T172" i="77"/>
  <c r="S172" i="77"/>
  <c r="AD171" i="77"/>
  <c r="AB171" i="77"/>
  <c r="AA171" i="77"/>
  <c r="Z171" i="77"/>
  <c r="Y171" i="77"/>
  <c r="X171" i="77"/>
  <c r="W171" i="77"/>
  <c r="V171" i="77"/>
  <c r="T171" i="77"/>
  <c r="S171" i="77"/>
  <c r="AD170" i="77"/>
  <c r="AB170" i="77"/>
  <c r="AA170" i="77"/>
  <c r="Z170" i="77"/>
  <c r="Y170" i="77"/>
  <c r="X170" i="77"/>
  <c r="W170" i="77"/>
  <c r="V170" i="77"/>
  <c r="T170" i="77"/>
  <c r="S170" i="77"/>
  <c r="AD169" i="77"/>
  <c r="AB169" i="77"/>
  <c r="AA169" i="77"/>
  <c r="Z169" i="77"/>
  <c r="Y169" i="77"/>
  <c r="X169" i="77"/>
  <c r="W169" i="77"/>
  <c r="V169" i="77"/>
  <c r="T169" i="77"/>
  <c r="S169" i="77"/>
  <c r="AD168" i="77"/>
  <c r="AB168" i="77"/>
  <c r="AA168" i="77"/>
  <c r="Z168" i="77"/>
  <c r="Y168" i="77"/>
  <c r="X168" i="77"/>
  <c r="W168" i="77"/>
  <c r="V168" i="77"/>
  <c r="T168" i="77"/>
  <c r="S168" i="77"/>
  <c r="AD167" i="77"/>
  <c r="AB167" i="77"/>
  <c r="AA167" i="77"/>
  <c r="Z167" i="77"/>
  <c r="Y167" i="77"/>
  <c r="X167" i="77"/>
  <c r="W167" i="77"/>
  <c r="V167" i="77"/>
  <c r="T167" i="77"/>
  <c r="S167" i="77"/>
  <c r="AD166" i="77"/>
  <c r="AB166" i="77"/>
  <c r="AA166" i="77"/>
  <c r="Z166" i="77"/>
  <c r="Y166" i="77"/>
  <c r="X166" i="77"/>
  <c r="W166" i="77"/>
  <c r="V166" i="77"/>
  <c r="T166" i="77"/>
  <c r="S166" i="77"/>
  <c r="AD165" i="77"/>
  <c r="AB165" i="77"/>
  <c r="AA165" i="77"/>
  <c r="Z165" i="77"/>
  <c r="Y165" i="77"/>
  <c r="X165" i="77"/>
  <c r="W165" i="77"/>
  <c r="V165" i="77"/>
  <c r="T165" i="77"/>
  <c r="S165" i="77"/>
  <c r="AD164" i="77"/>
  <c r="AB164" i="77"/>
  <c r="AA164" i="77"/>
  <c r="Z164" i="77"/>
  <c r="Y164" i="77"/>
  <c r="X164" i="77"/>
  <c r="W164" i="77"/>
  <c r="V164" i="77"/>
  <c r="T164" i="77"/>
  <c r="S164" i="77"/>
  <c r="AD163" i="77"/>
  <c r="AB163" i="77"/>
  <c r="AA163" i="77"/>
  <c r="Z163" i="77"/>
  <c r="Y163" i="77"/>
  <c r="X163" i="77"/>
  <c r="W163" i="77"/>
  <c r="V163" i="77"/>
  <c r="T163" i="77"/>
  <c r="S163" i="77"/>
  <c r="AD162" i="77"/>
  <c r="AB162" i="77"/>
  <c r="AA162" i="77"/>
  <c r="Z162" i="77"/>
  <c r="Y162" i="77"/>
  <c r="X162" i="77"/>
  <c r="W162" i="77"/>
  <c r="V162" i="77"/>
  <c r="T162" i="77"/>
  <c r="S162" i="77"/>
  <c r="AD161" i="77"/>
  <c r="AB161" i="77"/>
  <c r="AA161" i="77"/>
  <c r="Z161" i="77"/>
  <c r="Y161" i="77"/>
  <c r="X161" i="77"/>
  <c r="W161" i="77"/>
  <c r="V161" i="77"/>
  <c r="T161" i="77"/>
  <c r="S161" i="77"/>
  <c r="AD160" i="77"/>
  <c r="AB160" i="77"/>
  <c r="AA160" i="77"/>
  <c r="Z160" i="77"/>
  <c r="Y160" i="77"/>
  <c r="X160" i="77"/>
  <c r="W160" i="77"/>
  <c r="V160" i="77"/>
  <c r="T160" i="77"/>
  <c r="S160" i="77"/>
  <c r="AD159" i="77"/>
  <c r="AB159" i="77"/>
  <c r="AA159" i="77"/>
  <c r="Z159" i="77"/>
  <c r="Y159" i="77"/>
  <c r="X159" i="77"/>
  <c r="W159" i="77"/>
  <c r="V159" i="77"/>
  <c r="T159" i="77"/>
  <c r="S159" i="77"/>
  <c r="AD158" i="77"/>
  <c r="AB158" i="77"/>
  <c r="AA158" i="77"/>
  <c r="Z158" i="77"/>
  <c r="Y158" i="77"/>
  <c r="X158" i="77"/>
  <c r="W158" i="77"/>
  <c r="V158" i="77"/>
  <c r="T158" i="77"/>
  <c r="S158" i="77"/>
  <c r="AD157" i="77"/>
  <c r="AB157" i="77"/>
  <c r="AA157" i="77"/>
  <c r="Z157" i="77"/>
  <c r="Y157" i="77"/>
  <c r="X157" i="77"/>
  <c r="W157" i="77"/>
  <c r="V157" i="77"/>
  <c r="T157" i="77"/>
  <c r="S157" i="77"/>
  <c r="AD156" i="77"/>
  <c r="AB156" i="77"/>
  <c r="AA156" i="77"/>
  <c r="Z156" i="77"/>
  <c r="Y156" i="77"/>
  <c r="X156" i="77"/>
  <c r="W156" i="77"/>
  <c r="V156" i="77"/>
  <c r="T156" i="77"/>
  <c r="S156" i="77"/>
  <c r="AD155" i="77"/>
  <c r="AB155" i="77"/>
  <c r="AA155" i="77"/>
  <c r="Z155" i="77"/>
  <c r="Y155" i="77"/>
  <c r="X155" i="77"/>
  <c r="W155" i="77"/>
  <c r="V155" i="77"/>
  <c r="T155" i="77"/>
  <c r="S155" i="77"/>
  <c r="AD154" i="77"/>
  <c r="AB154" i="77"/>
  <c r="AA154" i="77"/>
  <c r="Z154" i="77"/>
  <c r="Y154" i="77"/>
  <c r="X154" i="77"/>
  <c r="W154" i="77"/>
  <c r="V154" i="77"/>
  <c r="T154" i="77"/>
  <c r="S154" i="77"/>
  <c r="AD153" i="77"/>
  <c r="AB153" i="77"/>
  <c r="AA153" i="77"/>
  <c r="Z153" i="77"/>
  <c r="Y153" i="77"/>
  <c r="X153" i="77"/>
  <c r="W153" i="77"/>
  <c r="V153" i="77"/>
  <c r="T153" i="77"/>
  <c r="S153" i="77"/>
  <c r="AD152" i="77"/>
  <c r="AB152" i="77"/>
  <c r="AA152" i="77"/>
  <c r="Z152" i="77"/>
  <c r="Y152" i="77"/>
  <c r="X152" i="77"/>
  <c r="W152" i="77"/>
  <c r="V152" i="77"/>
  <c r="T152" i="77"/>
  <c r="S152" i="77"/>
  <c r="AD151" i="77"/>
  <c r="AB151" i="77"/>
  <c r="AA151" i="77"/>
  <c r="Z151" i="77"/>
  <c r="Y151" i="77"/>
  <c r="X151" i="77"/>
  <c r="W151" i="77"/>
  <c r="V151" i="77"/>
  <c r="T151" i="77"/>
  <c r="S151" i="77"/>
  <c r="AD150" i="77"/>
  <c r="AB150" i="77"/>
  <c r="AA150" i="77"/>
  <c r="Z150" i="77"/>
  <c r="Y150" i="77"/>
  <c r="X150" i="77"/>
  <c r="W150" i="77"/>
  <c r="V150" i="77"/>
  <c r="T150" i="77"/>
  <c r="S150" i="77"/>
  <c r="AD149" i="77"/>
  <c r="AB149" i="77"/>
  <c r="AA149" i="77"/>
  <c r="Z149" i="77"/>
  <c r="Y149" i="77"/>
  <c r="X149" i="77"/>
  <c r="W149" i="77"/>
  <c r="V149" i="77"/>
  <c r="T149" i="77"/>
  <c r="S149" i="77"/>
  <c r="AD148" i="77"/>
  <c r="AB148" i="77"/>
  <c r="AA148" i="77"/>
  <c r="Z148" i="77"/>
  <c r="Y148" i="77"/>
  <c r="X148" i="77"/>
  <c r="W148" i="77"/>
  <c r="V148" i="77"/>
  <c r="T148" i="77"/>
  <c r="S148" i="77"/>
  <c r="AD147" i="77"/>
  <c r="AB147" i="77"/>
  <c r="AA147" i="77"/>
  <c r="Z147" i="77"/>
  <c r="Y147" i="77"/>
  <c r="X147" i="77"/>
  <c r="W147" i="77"/>
  <c r="V147" i="77"/>
  <c r="T147" i="77"/>
  <c r="S147" i="77"/>
  <c r="AD146" i="77"/>
  <c r="AB146" i="77"/>
  <c r="AA146" i="77"/>
  <c r="Z146" i="77"/>
  <c r="Y146" i="77"/>
  <c r="X146" i="77"/>
  <c r="W146" i="77"/>
  <c r="V146" i="77"/>
  <c r="T146" i="77"/>
  <c r="S146" i="77"/>
  <c r="AD145" i="77"/>
  <c r="AB145" i="77"/>
  <c r="AA145" i="77"/>
  <c r="Z145" i="77"/>
  <c r="Y145" i="77"/>
  <c r="X145" i="77"/>
  <c r="W145" i="77"/>
  <c r="V145" i="77"/>
  <c r="T145" i="77"/>
  <c r="S145" i="77"/>
  <c r="AD144" i="77"/>
  <c r="AB144" i="77"/>
  <c r="AA144" i="77"/>
  <c r="Z144" i="77"/>
  <c r="Y144" i="77"/>
  <c r="X144" i="77"/>
  <c r="W144" i="77"/>
  <c r="V144" i="77"/>
  <c r="T144" i="77"/>
  <c r="S144" i="77"/>
  <c r="AD143" i="77"/>
  <c r="AB143" i="77"/>
  <c r="AA143" i="77"/>
  <c r="Z143" i="77"/>
  <c r="Y143" i="77"/>
  <c r="X143" i="77"/>
  <c r="W143" i="77"/>
  <c r="V143" i="77"/>
  <c r="T143" i="77"/>
  <c r="S143" i="77"/>
  <c r="AD142" i="77"/>
  <c r="AB142" i="77"/>
  <c r="AA142" i="77"/>
  <c r="Z142" i="77"/>
  <c r="Y142" i="77"/>
  <c r="X142" i="77"/>
  <c r="W142" i="77"/>
  <c r="V142" i="77"/>
  <c r="T142" i="77"/>
  <c r="S142" i="77"/>
  <c r="AD141" i="77"/>
  <c r="AB141" i="77"/>
  <c r="AA141" i="77"/>
  <c r="Z141" i="77"/>
  <c r="Y141" i="77"/>
  <c r="X141" i="77"/>
  <c r="W141" i="77"/>
  <c r="V141" i="77"/>
  <c r="T141" i="77"/>
  <c r="S141" i="77"/>
  <c r="AD140" i="77"/>
  <c r="AB140" i="77"/>
  <c r="AA140" i="77"/>
  <c r="Z140" i="77"/>
  <c r="Y140" i="77"/>
  <c r="X140" i="77"/>
  <c r="W140" i="77"/>
  <c r="V140" i="77"/>
  <c r="T140" i="77"/>
  <c r="S140" i="77"/>
  <c r="AD139" i="77"/>
  <c r="AB139" i="77"/>
  <c r="AA139" i="77"/>
  <c r="Z139" i="77"/>
  <c r="Y139" i="77"/>
  <c r="X139" i="77"/>
  <c r="W139" i="77"/>
  <c r="V139" i="77"/>
  <c r="T139" i="77"/>
  <c r="S139" i="77"/>
  <c r="AD138" i="77"/>
  <c r="AB138" i="77"/>
  <c r="AA138" i="77"/>
  <c r="Z138" i="77"/>
  <c r="Y138" i="77"/>
  <c r="X138" i="77"/>
  <c r="W138" i="77"/>
  <c r="V138" i="77"/>
  <c r="T138" i="77"/>
  <c r="S138" i="77"/>
  <c r="AD137" i="77"/>
  <c r="AB137" i="77"/>
  <c r="AA137" i="77"/>
  <c r="Z137" i="77"/>
  <c r="Y137" i="77"/>
  <c r="X137" i="77"/>
  <c r="W137" i="77"/>
  <c r="V137" i="77"/>
  <c r="T137" i="77"/>
  <c r="S137" i="77"/>
  <c r="AD136" i="77"/>
  <c r="AB136" i="77"/>
  <c r="AA136" i="77"/>
  <c r="Z136" i="77"/>
  <c r="Y136" i="77"/>
  <c r="X136" i="77"/>
  <c r="W136" i="77"/>
  <c r="V136" i="77"/>
  <c r="T136" i="77"/>
  <c r="S136" i="77"/>
  <c r="AD135" i="77"/>
  <c r="AB135" i="77"/>
  <c r="AA135" i="77"/>
  <c r="Z135" i="77"/>
  <c r="Y135" i="77"/>
  <c r="X135" i="77"/>
  <c r="W135" i="77"/>
  <c r="V135" i="77"/>
  <c r="T135" i="77"/>
  <c r="S135" i="77"/>
  <c r="AD134" i="77"/>
  <c r="AB134" i="77"/>
  <c r="AA134" i="77"/>
  <c r="Z134" i="77"/>
  <c r="Y134" i="77"/>
  <c r="X134" i="77"/>
  <c r="W134" i="77"/>
  <c r="V134" i="77"/>
  <c r="T134" i="77"/>
  <c r="S134" i="77"/>
  <c r="AD133" i="77"/>
  <c r="AB133" i="77"/>
  <c r="AA133" i="77"/>
  <c r="Z133" i="77"/>
  <c r="Y133" i="77"/>
  <c r="X133" i="77"/>
  <c r="W133" i="77"/>
  <c r="V133" i="77"/>
  <c r="T133" i="77"/>
  <c r="S133" i="77"/>
  <c r="AD132" i="77"/>
  <c r="AB132" i="77"/>
  <c r="AA132" i="77"/>
  <c r="Z132" i="77"/>
  <c r="Y132" i="77"/>
  <c r="X132" i="77"/>
  <c r="W132" i="77"/>
  <c r="V132" i="77"/>
  <c r="T132" i="77"/>
  <c r="S132" i="77"/>
  <c r="AD131" i="77"/>
  <c r="AB131" i="77"/>
  <c r="AA131" i="77"/>
  <c r="Z131" i="77"/>
  <c r="Y131" i="77"/>
  <c r="X131" i="77"/>
  <c r="W131" i="77"/>
  <c r="V131" i="77"/>
  <c r="T131" i="77"/>
  <c r="S131" i="77"/>
  <c r="AD130" i="77"/>
  <c r="AB130" i="77"/>
  <c r="AA130" i="77"/>
  <c r="Z130" i="77"/>
  <c r="Y130" i="77"/>
  <c r="X130" i="77"/>
  <c r="W130" i="77"/>
  <c r="V130" i="77"/>
  <c r="T130" i="77"/>
  <c r="S130" i="77"/>
  <c r="AD129" i="77"/>
  <c r="AB129" i="77"/>
  <c r="AA129" i="77"/>
  <c r="Z129" i="77"/>
  <c r="Y129" i="77"/>
  <c r="X129" i="77"/>
  <c r="W129" i="77"/>
  <c r="V129" i="77"/>
  <c r="T129" i="77"/>
  <c r="S129" i="77"/>
  <c r="AD128" i="77"/>
  <c r="AB128" i="77"/>
  <c r="AA128" i="77"/>
  <c r="Z128" i="77"/>
  <c r="Y128" i="77"/>
  <c r="X128" i="77"/>
  <c r="W128" i="77"/>
  <c r="V128" i="77"/>
  <c r="T128" i="77"/>
  <c r="S128" i="77"/>
  <c r="AD127" i="77"/>
  <c r="AB127" i="77"/>
  <c r="AA127" i="77"/>
  <c r="Z127" i="77"/>
  <c r="Y127" i="77"/>
  <c r="X127" i="77"/>
  <c r="W127" i="77"/>
  <c r="V127" i="77"/>
  <c r="T127" i="77"/>
  <c r="S127" i="77"/>
  <c r="AD126" i="77"/>
  <c r="AB126" i="77"/>
  <c r="AA126" i="77"/>
  <c r="Z126" i="77"/>
  <c r="Y126" i="77"/>
  <c r="X126" i="77"/>
  <c r="W126" i="77"/>
  <c r="V126" i="77"/>
  <c r="T126" i="77"/>
  <c r="S126" i="77"/>
  <c r="AD125" i="77"/>
  <c r="AB125" i="77"/>
  <c r="AA125" i="77"/>
  <c r="Z125" i="77"/>
  <c r="Y125" i="77"/>
  <c r="X125" i="77"/>
  <c r="W125" i="77"/>
  <c r="V125" i="77"/>
  <c r="T125" i="77"/>
  <c r="S125" i="77"/>
  <c r="AD124" i="77"/>
  <c r="AB124" i="77"/>
  <c r="AA124" i="77"/>
  <c r="Z124" i="77"/>
  <c r="Y124" i="77"/>
  <c r="X124" i="77"/>
  <c r="W124" i="77"/>
  <c r="V124" i="77"/>
  <c r="T124" i="77"/>
  <c r="S124" i="77"/>
  <c r="AD123" i="77"/>
  <c r="AB123" i="77"/>
  <c r="AA123" i="77"/>
  <c r="Z123" i="77"/>
  <c r="Y123" i="77"/>
  <c r="X123" i="77"/>
  <c r="W123" i="77"/>
  <c r="V123" i="77"/>
  <c r="T123" i="77"/>
  <c r="S123" i="77"/>
  <c r="AD122" i="77"/>
  <c r="AB122" i="77"/>
  <c r="AA122" i="77"/>
  <c r="Z122" i="77"/>
  <c r="Y122" i="77"/>
  <c r="X122" i="77"/>
  <c r="W122" i="77"/>
  <c r="V122" i="77"/>
  <c r="T122" i="77"/>
  <c r="S122" i="77"/>
  <c r="AD121" i="77"/>
  <c r="AB121" i="77"/>
  <c r="AA121" i="77"/>
  <c r="Z121" i="77"/>
  <c r="Y121" i="77"/>
  <c r="X121" i="77"/>
  <c r="W121" i="77"/>
  <c r="V121" i="77"/>
  <c r="T121" i="77"/>
  <c r="S121" i="77"/>
  <c r="AD120" i="77"/>
  <c r="AB120" i="77"/>
  <c r="AA120" i="77"/>
  <c r="Z120" i="77"/>
  <c r="Y120" i="77"/>
  <c r="X120" i="77"/>
  <c r="W120" i="77"/>
  <c r="V120" i="77"/>
  <c r="T120" i="77"/>
  <c r="S120" i="77"/>
  <c r="AD119" i="77"/>
  <c r="AB119" i="77"/>
  <c r="AA119" i="77"/>
  <c r="Z119" i="77"/>
  <c r="Y119" i="77"/>
  <c r="X119" i="77"/>
  <c r="W119" i="77"/>
  <c r="V119" i="77"/>
  <c r="T119" i="77"/>
  <c r="S119" i="77"/>
  <c r="AD118" i="77"/>
  <c r="AB118" i="77"/>
  <c r="AA118" i="77"/>
  <c r="Z118" i="77"/>
  <c r="Y118" i="77"/>
  <c r="X118" i="77"/>
  <c r="W118" i="77"/>
  <c r="V118" i="77"/>
  <c r="T118" i="77"/>
  <c r="S118" i="77"/>
  <c r="AD117" i="77"/>
  <c r="AB117" i="77"/>
  <c r="AA117" i="77"/>
  <c r="Z117" i="77"/>
  <c r="Y117" i="77"/>
  <c r="X117" i="77"/>
  <c r="W117" i="77"/>
  <c r="V117" i="77"/>
  <c r="T117" i="77"/>
  <c r="S117" i="77"/>
  <c r="AD116" i="77"/>
  <c r="AB116" i="77"/>
  <c r="AA116" i="77"/>
  <c r="Z116" i="77"/>
  <c r="Y116" i="77"/>
  <c r="X116" i="77"/>
  <c r="W116" i="77"/>
  <c r="V116" i="77"/>
  <c r="T116" i="77"/>
  <c r="S116" i="77"/>
  <c r="AD115" i="77"/>
  <c r="AB115" i="77"/>
  <c r="AA115" i="77"/>
  <c r="Z115" i="77"/>
  <c r="Y115" i="77"/>
  <c r="X115" i="77"/>
  <c r="W115" i="77"/>
  <c r="V115" i="77"/>
  <c r="T115" i="77"/>
  <c r="S115" i="77"/>
  <c r="AD114" i="77"/>
  <c r="AB114" i="77"/>
  <c r="AA114" i="77"/>
  <c r="Z114" i="77"/>
  <c r="Y114" i="77"/>
  <c r="X114" i="77"/>
  <c r="W114" i="77"/>
  <c r="V114" i="77"/>
  <c r="T114" i="77"/>
  <c r="S114" i="77"/>
  <c r="AD113" i="77"/>
  <c r="AB113" i="77"/>
  <c r="AA113" i="77"/>
  <c r="Z113" i="77"/>
  <c r="Y113" i="77"/>
  <c r="X113" i="77"/>
  <c r="W113" i="77"/>
  <c r="V113" i="77"/>
  <c r="T113" i="77"/>
  <c r="S113" i="77"/>
  <c r="AD112" i="77"/>
  <c r="AB112" i="77"/>
  <c r="AA112" i="77"/>
  <c r="Z112" i="77"/>
  <c r="Y112" i="77"/>
  <c r="X112" i="77"/>
  <c r="W112" i="77"/>
  <c r="V112" i="77"/>
  <c r="T112" i="77"/>
  <c r="S112" i="77"/>
  <c r="AD111" i="77"/>
  <c r="AB111" i="77"/>
  <c r="AA111" i="77"/>
  <c r="Z111" i="77"/>
  <c r="Y111" i="77"/>
  <c r="X111" i="77"/>
  <c r="W111" i="77"/>
  <c r="V111" i="77"/>
  <c r="T111" i="77"/>
  <c r="S111" i="77"/>
  <c r="AD110" i="77"/>
  <c r="AB110" i="77"/>
  <c r="AA110" i="77"/>
  <c r="Z110" i="77"/>
  <c r="Y110" i="77"/>
  <c r="X110" i="77"/>
  <c r="W110" i="77"/>
  <c r="V110" i="77"/>
  <c r="T110" i="77"/>
  <c r="S110" i="77"/>
  <c r="AD109" i="77"/>
  <c r="AB109" i="77"/>
  <c r="AA109" i="77"/>
  <c r="Z109" i="77"/>
  <c r="Y109" i="77"/>
  <c r="X109" i="77"/>
  <c r="W109" i="77"/>
  <c r="V109" i="77"/>
  <c r="T109" i="77"/>
  <c r="S109" i="77"/>
  <c r="AD108" i="77"/>
  <c r="AB108" i="77"/>
  <c r="AA108" i="77"/>
  <c r="Z108" i="77"/>
  <c r="Y108" i="77"/>
  <c r="X108" i="77"/>
  <c r="W108" i="77"/>
  <c r="V108" i="77"/>
  <c r="T108" i="77"/>
  <c r="S108" i="77"/>
  <c r="AD107" i="77"/>
  <c r="AB107" i="77"/>
  <c r="AA107" i="77"/>
  <c r="Z107" i="77"/>
  <c r="Y107" i="77"/>
  <c r="X107" i="77"/>
  <c r="W107" i="77"/>
  <c r="V107" i="77"/>
  <c r="T107" i="77"/>
  <c r="S107" i="77"/>
  <c r="AD106" i="77"/>
  <c r="AB106" i="77"/>
  <c r="AA106" i="77"/>
  <c r="Z106" i="77"/>
  <c r="Y106" i="77"/>
  <c r="X106" i="77"/>
  <c r="W106" i="77"/>
  <c r="V106" i="77"/>
  <c r="T106" i="77"/>
  <c r="S106" i="77"/>
  <c r="AD105" i="77"/>
  <c r="AB105" i="77"/>
  <c r="AA105" i="77"/>
  <c r="Z105" i="77"/>
  <c r="Y105" i="77"/>
  <c r="X105" i="77"/>
  <c r="W105" i="77"/>
  <c r="V105" i="77"/>
  <c r="T105" i="77"/>
  <c r="S105" i="77"/>
  <c r="AD104" i="77"/>
  <c r="AB104" i="77"/>
  <c r="AA104" i="77"/>
  <c r="Z104" i="77"/>
  <c r="Y104" i="77"/>
  <c r="X104" i="77"/>
  <c r="W104" i="77"/>
  <c r="V104" i="77"/>
  <c r="T104" i="77"/>
  <c r="S104" i="77"/>
  <c r="AD103" i="77"/>
  <c r="AB103" i="77"/>
  <c r="AA103" i="77"/>
  <c r="Z103" i="77"/>
  <c r="Y103" i="77"/>
  <c r="X103" i="77"/>
  <c r="W103" i="77"/>
  <c r="V103" i="77"/>
  <c r="T103" i="77"/>
  <c r="S103" i="77"/>
  <c r="AD102" i="77"/>
  <c r="AB102" i="77"/>
  <c r="AA102" i="77"/>
  <c r="Z102" i="77"/>
  <c r="Y102" i="77"/>
  <c r="X102" i="77"/>
  <c r="W102" i="77"/>
  <c r="V102" i="77"/>
  <c r="T102" i="77"/>
  <c r="S102" i="77"/>
  <c r="AD101" i="77"/>
  <c r="AB101" i="77"/>
  <c r="AA101" i="77"/>
  <c r="Z101" i="77"/>
  <c r="Y101" i="77"/>
  <c r="X101" i="77"/>
  <c r="W101" i="77"/>
  <c r="V101" i="77"/>
  <c r="T101" i="77"/>
  <c r="S101" i="77"/>
  <c r="AD100" i="77"/>
  <c r="AB100" i="77"/>
  <c r="AA100" i="77"/>
  <c r="Z100" i="77"/>
  <c r="Y100" i="77"/>
  <c r="X100" i="77"/>
  <c r="W100" i="77"/>
  <c r="V100" i="77"/>
  <c r="T100" i="77"/>
  <c r="S100" i="77"/>
  <c r="AD99" i="77"/>
  <c r="AB99" i="77"/>
  <c r="AA99" i="77"/>
  <c r="Z99" i="77"/>
  <c r="Y99" i="77"/>
  <c r="X99" i="77"/>
  <c r="W99" i="77"/>
  <c r="V99" i="77"/>
  <c r="T99" i="77"/>
  <c r="S99" i="77"/>
  <c r="AD98" i="77"/>
  <c r="AB98" i="77"/>
  <c r="AA98" i="77"/>
  <c r="Z98" i="77"/>
  <c r="Y98" i="77"/>
  <c r="X98" i="77"/>
  <c r="W98" i="77"/>
  <c r="V98" i="77"/>
  <c r="T98" i="77"/>
  <c r="S98" i="77"/>
  <c r="AD97" i="77"/>
  <c r="AB97" i="77"/>
  <c r="AA97" i="77"/>
  <c r="Z97" i="77"/>
  <c r="Y97" i="77"/>
  <c r="X97" i="77"/>
  <c r="W97" i="77"/>
  <c r="V97" i="77"/>
  <c r="T97" i="77"/>
  <c r="S97" i="77"/>
  <c r="AD96" i="77"/>
  <c r="AB96" i="77"/>
  <c r="AA96" i="77"/>
  <c r="Z96" i="77"/>
  <c r="Y96" i="77"/>
  <c r="X96" i="77"/>
  <c r="W96" i="77"/>
  <c r="V96" i="77"/>
  <c r="T96" i="77"/>
  <c r="S96" i="77"/>
  <c r="AD95" i="77"/>
  <c r="AB95" i="77"/>
  <c r="AA95" i="77"/>
  <c r="Z95" i="77"/>
  <c r="Y95" i="77"/>
  <c r="X95" i="77"/>
  <c r="W95" i="77"/>
  <c r="V95" i="77"/>
  <c r="T95" i="77"/>
  <c r="S95" i="77"/>
  <c r="AD94" i="77"/>
  <c r="AB94" i="77"/>
  <c r="AA94" i="77"/>
  <c r="Z94" i="77"/>
  <c r="Y94" i="77"/>
  <c r="X94" i="77"/>
  <c r="W94" i="77"/>
  <c r="V94" i="77"/>
  <c r="T94" i="77"/>
  <c r="S94" i="77"/>
  <c r="AD93" i="77"/>
  <c r="AB93" i="77"/>
  <c r="AA93" i="77"/>
  <c r="Z93" i="77"/>
  <c r="Y93" i="77"/>
  <c r="X93" i="77"/>
  <c r="W93" i="77"/>
  <c r="V93" i="77"/>
  <c r="T93" i="77"/>
  <c r="S93" i="77"/>
  <c r="AD92" i="77"/>
  <c r="AB92" i="77"/>
  <c r="AA92" i="77"/>
  <c r="Z92" i="77"/>
  <c r="Y92" i="77"/>
  <c r="X92" i="77"/>
  <c r="W92" i="77"/>
  <c r="V92" i="77"/>
  <c r="T92" i="77"/>
  <c r="S92" i="77"/>
  <c r="AD91" i="77"/>
  <c r="AB91" i="77"/>
  <c r="AA91" i="77"/>
  <c r="Z91" i="77"/>
  <c r="Y91" i="77"/>
  <c r="X91" i="77"/>
  <c r="W91" i="77"/>
  <c r="V91" i="77"/>
  <c r="T91" i="77"/>
  <c r="S91" i="77"/>
  <c r="AD90" i="77"/>
  <c r="AB90" i="77"/>
  <c r="AA90" i="77"/>
  <c r="Z90" i="77"/>
  <c r="Y90" i="77"/>
  <c r="X90" i="77"/>
  <c r="W90" i="77"/>
  <c r="V90" i="77"/>
  <c r="T90" i="77"/>
  <c r="S90" i="77"/>
  <c r="AD89" i="77"/>
  <c r="AB89" i="77"/>
  <c r="AA89" i="77"/>
  <c r="Z89" i="77"/>
  <c r="Y89" i="77"/>
  <c r="X89" i="77"/>
  <c r="W89" i="77"/>
  <c r="V89" i="77"/>
  <c r="T89" i="77"/>
  <c r="S89" i="77"/>
  <c r="AD88" i="77"/>
  <c r="AB88" i="77"/>
  <c r="AA88" i="77"/>
  <c r="Z88" i="77"/>
  <c r="Y88" i="77"/>
  <c r="X88" i="77"/>
  <c r="W88" i="77"/>
  <c r="V88" i="77"/>
  <c r="T88" i="77"/>
  <c r="S88" i="77"/>
  <c r="AD87" i="77"/>
  <c r="AB87" i="77"/>
  <c r="AA87" i="77"/>
  <c r="Z87" i="77"/>
  <c r="Y87" i="77"/>
  <c r="X87" i="77"/>
  <c r="W87" i="77"/>
  <c r="V87" i="77"/>
  <c r="T87" i="77"/>
  <c r="S87" i="77"/>
  <c r="AD86" i="77"/>
  <c r="AB86" i="77"/>
  <c r="AA86" i="77"/>
  <c r="Z86" i="77"/>
  <c r="Y86" i="77"/>
  <c r="X86" i="77"/>
  <c r="W86" i="77"/>
  <c r="V86" i="77"/>
  <c r="T86" i="77"/>
  <c r="S86" i="77"/>
  <c r="AD85" i="77"/>
  <c r="AB85" i="77"/>
  <c r="AA85" i="77"/>
  <c r="Z85" i="77"/>
  <c r="Y85" i="77"/>
  <c r="X85" i="77"/>
  <c r="W85" i="77"/>
  <c r="V85" i="77"/>
  <c r="T85" i="77"/>
  <c r="S85" i="77"/>
  <c r="AD84" i="77"/>
  <c r="AB84" i="77"/>
  <c r="AA84" i="77"/>
  <c r="Z84" i="77"/>
  <c r="Y84" i="77"/>
  <c r="X84" i="77"/>
  <c r="W84" i="77"/>
  <c r="V84" i="77"/>
  <c r="T84" i="77"/>
  <c r="S84" i="77"/>
  <c r="AD83" i="77"/>
  <c r="AB83" i="77"/>
  <c r="AA83" i="77"/>
  <c r="Z83" i="77"/>
  <c r="Y83" i="77"/>
  <c r="X83" i="77"/>
  <c r="W83" i="77"/>
  <c r="V83" i="77"/>
  <c r="T83" i="77"/>
  <c r="S83" i="77"/>
  <c r="AD82" i="77"/>
  <c r="AB82" i="77"/>
  <c r="AA82" i="77"/>
  <c r="Z82" i="77"/>
  <c r="Y82" i="77"/>
  <c r="X82" i="77"/>
  <c r="W82" i="77"/>
  <c r="V82" i="77"/>
  <c r="T82" i="77"/>
  <c r="S82" i="77"/>
  <c r="AD81" i="77"/>
  <c r="AB81" i="77"/>
  <c r="AA81" i="77"/>
  <c r="Z81" i="77"/>
  <c r="Y81" i="77"/>
  <c r="X81" i="77"/>
  <c r="W81" i="77"/>
  <c r="V81" i="77"/>
  <c r="T81" i="77"/>
  <c r="S81" i="77"/>
  <c r="AD80" i="77"/>
  <c r="AB80" i="77"/>
  <c r="AA80" i="77"/>
  <c r="Z80" i="77"/>
  <c r="Y80" i="77"/>
  <c r="X80" i="77"/>
  <c r="W80" i="77"/>
  <c r="V80" i="77"/>
  <c r="T80" i="77"/>
  <c r="S80" i="77"/>
  <c r="AD79" i="77"/>
  <c r="AB79" i="77"/>
  <c r="AA79" i="77"/>
  <c r="Z79" i="77"/>
  <c r="Y79" i="77"/>
  <c r="X79" i="77"/>
  <c r="W79" i="77"/>
  <c r="V79" i="77"/>
  <c r="T79" i="77"/>
  <c r="S79" i="77"/>
  <c r="AD78" i="77"/>
  <c r="AB78" i="77"/>
  <c r="AA78" i="77"/>
  <c r="Z78" i="77"/>
  <c r="Y78" i="77"/>
  <c r="X78" i="77"/>
  <c r="W78" i="77"/>
  <c r="V78" i="77"/>
  <c r="T78" i="77"/>
  <c r="S78" i="77"/>
  <c r="AD77" i="77"/>
  <c r="AB77" i="77"/>
  <c r="AA77" i="77"/>
  <c r="Z77" i="77"/>
  <c r="Y77" i="77"/>
  <c r="X77" i="77"/>
  <c r="W77" i="77"/>
  <c r="V77" i="77"/>
  <c r="T77" i="77"/>
  <c r="S77" i="77"/>
  <c r="AD76" i="77"/>
  <c r="AB76" i="77"/>
  <c r="AA76" i="77"/>
  <c r="Z76" i="77"/>
  <c r="Y76" i="77"/>
  <c r="X76" i="77"/>
  <c r="W76" i="77"/>
  <c r="V76" i="77"/>
  <c r="T76" i="77"/>
  <c r="S76" i="77"/>
  <c r="AD75" i="77"/>
  <c r="AB75" i="77"/>
  <c r="AA75" i="77"/>
  <c r="Z75" i="77"/>
  <c r="Y75" i="77"/>
  <c r="X75" i="77"/>
  <c r="W75" i="77"/>
  <c r="V75" i="77"/>
  <c r="T75" i="77"/>
  <c r="S75" i="77"/>
  <c r="AD74" i="77"/>
  <c r="AB74" i="77"/>
  <c r="AA74" i="77"/>
  <c r="Z74" i="77"/>
  <c r="Y74" i="77"/>
  <c r="X74" i="77"/>
  <c r="W74" i="77"/>
  <c r="V74" i="77"/>
  <c r="T74" i="77"/>
  <c r="S74" i="77"/>
  <c r="AD73" i="77"/>
  <c r="AB73" i="77"/>
  <c r="AA73" i="77"/>
  <c r="Z73" i="77"/>
  <c r="Y73" i="77"/>
  <c r="X73" i="77"/>
  <c r="W73" i="77"/>
  <c r="V73" i="77"/>
  <c r="T73" i="77"/>
  <c r="S73" i="77"/>
  <c r="AD72" i="77"/>
  <c r="AB72" i="77"/>
  <c r="AA72" i="77"/>
  <c r="Z72" i="77"/>
  <c r="Y72" i="77"/>
  <c r="X72" i="77"/>
  <c r="W72" i="77"/>
  <c r="V72" i="77"/>
  <c r="T72" i="77"/>
  <c r="S72" i="77"/>
  <c r="AD71" i="77"/>
  <c r="AB71" i="77"/>
  <c r="AA71" i="77"/>
  <c r="Z71" i="77"/>
  <c r="Y71" i="77"/>
  <c r="X71" i="77"/>
  <c r="W71" i="77"/>
  <c r="V71" i="77"/>
  <c r="T71" i="77"/>
  <c r="S71" i="77"/>
  <c r="AD70" i="77"/>
  <c r="AB70" i="77"/>
  <c r="AA70" i="77"/>
  <c r="Z70" i="77"/>
  <c r="Y70" i="77"/>
  <c r="X70" i="77"/>
  <c r="W70" i="77"/>
  <c r="V70" i="77"/>
  <c r="T70" i="77"/>
  <c r="S70" i="77"/>
  <c r="AD69" i="77"/>
  <c r="AB69" i="77"/>
  <c r="AA69" i="77"/>
  <c r="Z69" i="77"/>
  <c r="Y69" i="77"/>
  <c r="X69" i="77"/>
  <c r="W69" i="77"/>
  <c r="V69" i="77"/>
  <c r="T69" i="77"/>
  <c r="S69" i="77"/>
  <c r="AD68" i="77"/>
  <c r="AB68" i="77"/>
  <c r="AA68" i="77"/>
  <c r="Z68" i="77"/>
  <c r="Y68" i="77"/>
  <c r="X68" i="77"/>
  <c r="W68" i="77"/>
  <c r="V68" i="77"/>
  <c r="T68" i="77"/>
  <c r="S68" i="77"/>
  <c r="AD67" i="77"/>
  <c r="AB67" i="77"/>
  <c r="AA67" i="77"/>
  <c r="Z67" i="77"/>
  <c r="Y67" i="77"/>
  <c r="X67" i="77"/>
  <c r="W67" i="77"/>
  <c r="V67" i="77"/>
  <c r="T67" i="77"/>
  <c r="S67" i="77"/>
  <c r="AD66" i="77"/>
  <c r="AB66" i="77"/>
  <c r="AA66" i="77"/>
  <c r="Z66" i="77"/>
  <c r="Y66" i="77"/>
  <c r="X66" i="77"/>
  <c r="W66" i="77"/>
  <c r="V66" i="77"/>
  <c r="T66" i="77"/>
  <c r="S66" i="77"/>
  <c r="AD65" i="77"/>
  <c r="AB65" i="77"/>
  <c r="AA65" i="77"/>
  <c r="Z65" i="77"/>
  <c r="Y65" i="77"/>
  <c r="X65" i="77"/>
  <c r="W65" i="77"/>
  <c r="V65" i="77"/>
  <c r="T65" i="77"/>
  <c r="S65" i="77"/>
  <c r="AD64" i="77"/>
  <c r="AB64" i="77"/>
  <c r="AA64" i="77"/>
  <c r="Z64" i="77"/>
  <c r="Y64" i="77"/>
  <c r="X64" i="77"/>
  <c r="W64" i="77"/>
  <c r="V64" i="77"/>
  <c r="T64" i="77"/>
  <c r="S64" i="77"/>
  <c r="AD63" i="77"/>
  <c r="AB63" i="77"/>
  <c r="AA63" i="77"/>
  <c r="Z63" i="77"/>
  <c r="Y63" i="77"/>
  <c r="X63" i="77"/>
  <c r="W63" i="77"/>
  <c r="V63" i="77"/>
  <c r="T63" i="77"/>
  <c r="S63" i="77"/>
  <c r="AD62" i="77"/>
  <c r="AB62" i="77"/>
  <c r="AA62" i="77"/>
  <c r="Z62" i="77"/>
  <c r="Y62" i="77"/>
  <c r="X62" i="77"/>
  <c r="W62" i="77"/>
  <c r="V62" i="77"/>
  <c r="T62" i="77"/>
  <c r="S62" i="77"/>
  <c r="AD61" i="77"/>
  <c r="AB61" i="77"/>
  <c r="AA61" i="77"/>
  <c r="Z61" i="77"/>
  <c r="Y61" i="77"/>
  <c r="X61" i="77"/>
  <c r="W61" i="77"/>
  <c r="V61" i="77"/>
  <c r="T61" i="77"/>
  <c r="S61" i="77"/>
  <c r="AD60" i="77"/>
  <c r="AB60" i="77"/>
  <c r="AA60" i="77"/>
  <c r="Z60" i="77"/>
  <c r="Y60" i="77"/>
  <c r="X60" i="77"/>
  <c r="W60" i="77"/>
  <c r="V60" i="77"/>
  <c r="T60" i="77"/>
  <c r="S60" i="77"/>
  <c r="AD59" i="77"/>
  <c r="AB59" i="77"/>
  <c r="AA59" i="77"/>
  <c r="Z59" i="77"/>
  <c r="Y59" i="77"/>
  <c r="X59" i="77"/>
  <c r="W59" i="77"/>
  <c r="V59" i="77"/>
  <c r="T59" i="77"/>
  <c r="S59" i="77"/>
  <c r="AD58" i="77"/>
  <c r="AB58" i="77"/>
  <c r="AA58" i="77"/>
  <c r="Z58" i="77"/>
  <c r="Y58" i="77"/>
  <c r="X58" i="77"/>
  <c r="W58" i="77"/>
  <c r="V58" i="77"/>
  <c r="T58" i="77"/>
  <c r="S58" i="77"/>
  <c r="AD57" i="77"/>
  <c r="AB57" i="77"/>
  <c r="AA57" i="77"/>
  <c r="Z57" i="77"/>
  <c r="Y57" i="77"/>
  <c r="X57" i="77"/>
  <c r="W57" i="77"/>
  <c r="V57" i="77"/>
  <c r="T57" i="77"/>
  <c r="S57" i="77"/>
  <c r="AD56" i="77"/>
  <c r="AB56" i="77"/>
  <c r="AA56" i="77"/>
  <c r="Z56" i="77"/>
  <c r="Y56" i="77"/>
  <c r="X56" i="77"/>
  <c r="W56" i="77"/>
  <c r="V56" i="77"/>
  <c r="T56" i="77"/>
  <c r="S56" i="77"/>
  <c r="AD55" i="77"/>
  <c r="AB55" i="77"/>
  <c r="AA55" i="77"/>
  <c r="Z55" i="77"/>
  <c r="Y55" i="77"/>
  <c r="X55" i="77"/>
  <c r="W55" i="77"/>
  <c r="V55" i="77"/>
  <c r="T55" i="77"/>
  <c r="S55" i="77"/>
  <c r="AD54" i="77"/>
  <c r="AB54" i="77"/>
  <c r="AA54" i="77"/>
  <c r="Z54" i="77"/>
  <c r="Y54" i="77"/>
  <c r="X54" i="77"/>
  <c r="W54" i="77"/>
  <c r="V54" i="77"/>
  <c r="T54" i="77"/>
  <c r="S54" i="77"/>
  <c r="AD53" i="77"/>
  <c r="AB53" i="77"/>
  <c r="AA53" i="77"/>
  <c r="Z53" i="77"/>
  <c r="Y53" i="77"/>
  <c r="X53" i="77"/>
  <c r="W53" i="77"/>
  <c r="V53" i="77"/>
  <c r="T53" i="77"/>
  <c r="S53" i="77"/>
  <c r="T52" i="77"/>
  <c r="T51" i="77"/>
  <c r="T50" i="77"/>
  <c r="T49" i="77"/>
  <c r="T48" i="77"/>
  <c r="T47" i="77"/>
  <c r="T46" i="77"/>
  <c r="T45" i="77"/>
  <c r="T44" i="77"/>
  <c r="T43" i="77"/>
  <c r="T42" i="77"/>
  <c r="T41" i="77"/>
  <c r="T40" i="77"/>
  <c r="T39" i="77"/>
  <c r="T38" i="77"/>
  <c r="T37" i="77"/>
  <c r="T36" i="77"/>
  <c r="T35" i="77"/>
  <c r="T34" i="77"/>
  <c r="T33" i="77"/>
  <c r="T32" i="77"/>
  <c r="T31" i="77"/>
  <c r="T30" i="77"/>
  <c r="T29" i="77"/>
  <c r="T28" i="77"/>
  <c r="T27" i="77"/>
  <c r="T26" i="77"/>
  <c r="T25" i="77"/>
  <c r="T24" i="77"/>
  <c r="T23" i="77"/>
  <c r="T22" i="77"/>
  <c r="T21" i="77"/>
  <c r="T20" i="77"/>
  <c r="T19" i="77"/>
  <c r="T18" i="77"/>
  <c r="T17" i="77"/>
  <c r="T16" i="77"/>
  <c r="T15" i="77"/>
  <c r="T14" i="77"/>
  <c r="T13" i="77"/>
  <c r="T12" i="77"/>
  <c r="T11" i="77"/>
  <c r="T10" i="77"/>
  <c r="T9" i="77"/>
  <c r="T8" i="77"/>
  <c r="T7" i="77"/>
  <c r="T6" i="77"/>
  <c r="BU1" i="84"/>
  <c r="BU2" i="84"/>
  <c r="BV2" i="84" s="1"/>
  <c r="AY1" i="83"/>
  <c r="P20" i="68"/>
  <c r="F20" i="68"/>
  <c r="AT20" i="68"/>
  <c r="AS20" i="68"/>
  <c r="AR20" i="68"/>
  <c r="AQ20" i="68"/>
  <c r="AN20" i="68"/>
  <c r="AM20" i="68"/>
  <c r="AL20" i="68"/>
  <c r="AK20" i="68"/>
  <c r="AJ20" i="68"/>
  <c r="AI20" i="68"/>
  <c r="AH20" i="68"/>
  <c r="AG20" i="68"/>
  <c r="AF20" i="68"/>
  <c r="AE20" i="68"/>
  <c r="AD20" i="68"/>
  <c r="AC20" i="68"/>
  <c r="AB20" i="68"/>
  <c r="AA20" i="68"/>
  <c r="Z20" i="68"/>
  <c r="Y20" i="68"/>
  <c r="X20" i="68"/>
  <c r="W20" i="68"/>
  <c r="V20" i="68"/>
  <c r="U20" i="68"/>
  <c r="T20" i="68"/>
  <c r="S20" i="68"/>
  <c r="R20" i="68"/>
  <c r="Q20" i="68"/>
  <c r="O20" i="68"/>
  <c r="N20" i="68"/>
  <c r="M20" i="68"/>
  <c r="L20" i="68"/>
  <c r="K20" i="68"/>
  <c r="J20" i="68"/>
  <c r="I20" i="68"/>
  <c r="H20" i="68"/>
  <c r="G20" i="68"/>
  <c r="E20" i="68"/>
  <c r="BA9" i="66"/>
  <c r="AZ9" i="66"/>
  <c r="AY9" i="66"/>
  <c r="AX9" i="66"/>
  <c r="AW9" i="66"/>
  <c r="AV9" i="66"/>
  <c r="AU9" i="66"/>
  <c r="AT9" i="66"/>
  <c r="AS9" i="66"/>
  <c r="AR9" i="66"/>
  <c r="AQ9" i="66"/>
  <c r="AP9" i="66"/>
  <c r="AO9" i="66"/>
  <c r="AN9" i="66"/>
  <c r="AM9" i="66"/>
  <c r="AL9" i="66"/>
  <c r="AK9" i="66"/>
  <c r="AJ9" i="66"/>
  <c r="AI9" i="66"/>
  <c r="AH9" i="66"/>
  <c r="AG9" i="66"/>
  <c r="AF9" i="66"/>
  <c r="AE9" i="66"/>
  <c r="AD9" i="66"/>
  <c r="AC9" i="66"/>
  <c r="AB9" i="66"/>
  <c r="AA9" i="66"/>
  <c r="Z9" i="66"/>
  <c r="Y9" i="66"/>
  <c r="X9" i="66"/>
  <c r="W9" i="66"/>
  <c r="V9" i="66"/>
  <c r="U9" i="66"/>
  <c r="T9" i="66"/>
  <c r="S9" i="66"/>
  <c r="R9" i="66"/>
  <c r="Q9" i="66"/>
  <c r="P9" i="66"/>
  <c r="O9" i="66"/>
  <c r="N9" i="66"/>
  <c r="M9" i="66"/>
  <c r="L9" i="66"/>
  <c r="K9" i="66"/>
  <c r="J9" i="66"/>
  <c r="I9" i="66"/>
  <c r="H9" i="66"/>
  <c r="G9" i="66"/>
  <c r="F9" i="66"/>
  <c r="E9" i="66"/>
  <c r="BA23" i="55"/>
  <c r="AZ23" i="55"/>
  <c r="AY23" i="55"/>
  <c r="AX23" i="55"/>
  <c r="AW23" i="55"/>
  <c r="AV23" i="55"/>
  <c r="AU23" i="55"/>
  <c r="AT23" i="55"/>
  <c r="AS23" i="55"/>
  <c r="AR23" i="55"/>
  <c r="AQ23" i="55"/>
  <c r="AP23" i="55"/>
  <c r="AO23" i="55"/>
  <c r="AN23" i="55"/>
  <c r="AM23" i="55"/>
  <c r="AL23" i="55"/>
  <c r="AK23" i="55"/>
  <c r="BA32" i="71"/>
  <c r="AZ32" i="71"/>
  <c r="AY32" i="71"/>
  <c r="AX32" i="71"/>
  <c r="AW32" i="71"/>
  <c r="AV32" i="71"/>
  <c r="AU32" i="71"/>
  <c r="AT32" i="71"/>
  <c r="AS32" i="71"/>
  <c r="AR32" i="71"/>
  <c r="AQ32" i="71"/>
  <c r="AP32" i="71"/>
  <c r="AO32" i="71"/>
  <c r="AK32" i="71"/>
  <c r="AJ32" i="71"/>
  <c r="AI32" i="71"/>
  <c r="AH32" i="71"/>
  <c r="AG32" i="71"/>
  <c r="AF32" i="71"/>
  <c r="AE32" i="71"/>
  <c r="AD32" i="71"/>
  <c r="AC32" i="71"/>
  <c r="AB32" i="71"/>
  <c r="AA32" i="71"/>
  <c r="Z32" i="71"/>
  <c r="Y32" i="71"/>
  <c r="X32" i="71"/>
  <c r="W32" i="71"/>
  <c r="V32" i="71"/>
  <c r="U32" i="71"/>
  <c r="T32" i="71"/>
  <c r="S32" i="71"/>
  <c r="R32" i="71"/>
  <c r="Q32" i="71"/>
  <c r="P32" i="71"/>
  <c r="O32" i="71"/>
  <c r="N32" i="71"/>
  <c r="M32" i="71"/>
  <c r="L32" i="71"/>
  <c r="K32" i="71"/>
  <c r="J32" i="71"/>
  <c r="I32" i="71"/>
  <c r="H32" i="71"/>
  <c r="G32" i="71"/>
  <c r="F32" i="71"/>
  <c r="E32" i="71"/>
  <c r="BA61" i="71"/>
  <c r="AW61" i="71"/>
  <c r="AV61" i="71"/>
  <c r="AU61" i="71"/>
  <c r="AT61" i="71"/>
  <c r="AK61" i="71"/>
  <c r="AJ61" i="71"/>
  <c r="AI61" i="71"/>
  <c r="AE61" i="71"/>
  <c r="AD61" i="71"/>
  <c r="AC61" i="71"/>
  <c r="AB61" i="71"/>
  <c r="AA61" i="71"/>
  <c r="Z61" i="71"/>
  <c r="Y61" i="71"/>
  <c r="X61" i="71"/>
  <c r="W61" i="71"/>
  <c r="V61" i="71"/>
  <c r="U61" i="71"/>
  <c r="T61" i="71"/>
  <c r="S61" i="71"/>
  <c r="R61" i="71"/>
  <c r="Q61" i="71"/>
  <c r="P61" i="71"/>
  <c r="O61" i="71"/>
  <c r="N61" i="71"/>
  <c r="M61" i="71"/>
  <c r="L61" i="71"/>
  <c r="K61" i="71"/>
  <c r="J61" i="71"/>
  <c r="I61" i="71"/>
  <c r="H61" i="71"/>
  <c r="BA19" i="52"/>
  <c r="AZ19" i="52"/>
  <c r="BA35" i="52"/>
  <c r="AZ35" i="52"/>
  <c r="BA51" i="52"/>
  <c r="AZ51" i="52"/>
  <c r="AW51" i="52"/>
  <c r="AV51" i="52"/>
  <c r="BA45" i="52"/>
  <c r="AZ45" i="52"/>
  <c r="AY45" i="52"/>
  <c r="AX45" i="52"/>
  <c r="AW45" i="52"/>
  <c r="AV45" i="52"/>
  <c r="BA44" i="52"/>
  <c r="AZ44" i="52"/>
  <c r="AY44" i="52"/>
  <c r="AX44" i="52"/>
  <c r="AW44" i="52"/>
  <c r="AV44" i="52"/>
  <c r="BA43" i="52"/>
  <c r="AZ43" i="52"/>
  <c r="AY43" i="52"/>
  <c r="AX43" i="52"/>
  <c r="AW43" i="52"/>
  <c r="AV43" i="52"/>
  <c r="BA42" i="52"/>
  <c r="AZ42" i="52"/>
  <c r="AY42" i="52"/>
  <c r="AX42" i="52"/>
  <c r="AW42" i="52"/>
  <c r="AV42" i="52"/>
  <c r="BA41" i="52"/>
  <c r="AZ41" i="52"/>
  <c r="AY41" i="52"/>
  <c r="AX41" i="52"/>
  <c r="AW41" i="52"/>
  <c r="BA40" i="52"/>
  <c r="AZ40" i="52"/>
  <c r="AY40" i="52"/>
  <c r="AX40" i="52"/>
  <c r="AW40" i="52"/>
  <c r="AV40" i="52"/>
  <c r="BA39" i="52"/>
  <c r="AZ39" i="52"/>
  <c r="AY39" i="52"/>
  <c r="AX39" i="52"/>
  <c r="AW39" i="52"/>
  <c r="AV39" i="52"/>
  <c r="BA38" i="52"/>
  <c r="AZ38" i="52"/>
  <c r="AY38" i="52"/>
  <c r="AX38" i="52"/>
  <c r="AW38" i="52"/>
  <c r="AV38" i="52"/>
  <c r="BB29" i="48"/>
  <c r="BA29" i="48"/>
  <c r="AZ29" i="48"/>
  <c r="AY29" i="48"/>
  <c r="AX29" i="48"/>
  <c r="AW29" i="48"/>
  <c r="AV29" i="48"/>
  <c r="AU29" i="48"/>
  <c r="AT29" i="48"/>
  <c r="AS29" i="48"/>
  <c r="AR29" i="48"/>
  <c r="AQ29" i="48"/>
  <c r="AP29" i="48"/>
  <c r="AO29" i="48"/>
  <c r="AN29" i="48"/>
  <c r="AM29" i="48"/>
  <c r="AL29" i="48"/>
  <c r="AK29" i="48"/>
  <c r="AJ29" i="48"/>
  <c r="AI29" i="48"/>
  <c r="AH29" i="48"/>
  <c r="AG29" i="48"/>
  <c r="AF29" i="48"/>
  <c r="AE29" i="48"/>
  <c r="AD29" i="48"/>
  <c r="AC29" i="48"/>
  <c r="AB29" i="48"/>
  <c r="AA29" i="48"/>
  <c r="Z29" i="48"/>
  <c r="Y29" i="48"/>
  <c r="X29" i="48"/>
  <c r="W29" i="48"/>
  <c r="V29" i="48"/>
  <c r="U29" i="48"/>
  <c r="T29" i="48"/>
  <c r="S29" i="48"/>
  <c r="R29" i="48"/>
  <c r="Q29" i="48"/>
  <c r="P29" i="48"/>
  <c r="O29" i="48"/>
  <c r="N29" i="48"/>
  <c r="M29" i="48"/>
  <c r="L29" i="48"/>
  <c r="K29" i="48"/>
  <c r="O21" i="42"/>
  <c r="O20" i="42"/>
  <c r="O19" i="42"/>
  <c r="O18" i="42"/>
  <c r="O17" i="42"/>
  <c r="O16" i="42"/>
  <c r="O15" i="42"/>
  <c r="O14" i="42"/>
  <c r="O13" i="42"/>
  <c r="O12" i="42"/>
  <c r="O11" i="42"/>
  <c r="O10" i="42"/>
  <c r="O9" i="42"/>
  <c r="O8" i="42"/>
  <c r="O7" i="42"/>
  <c r="O6" i="42"/>
  <c r="AN12" i="32"/>
  <c r="AC12" i="32"/>
  <c r="AB12" i="32"/>
  <c r="X12" i="32"/>
  <c r="W12" i="32"/>
  <c r="V12" i="32"/>
  <c r="S12" i="32"/>
  <c r="R12" i="32"/>
  <c r="Q12" i="32"/>
  <c r="E12" i="32"/>
  <c r="AN30" i="32"/>
  <c r="AL30" i="32"/>
  <c r="AN21" i="32"/>
  <c r="AC21" i="32"/>
  <c r="AB21" i="32"/>
  <c r="X21" i="32"/>
  <c r="W21" i="32"/>
  <c r="V21" i="32"/>
  <c r="S21" i="32"/>
  <c r="R21" i="32"/>
  <c r="Q21" i="32"/>
  <c r="E21" i="32"/>
  <c r="Q215" i="77" l="1"/>
  <c r="P215" i="77"/>
  <c r="AW213" i="77"/>
  <c r="J13" i="38"/>
  <c r="I13" i="38"/>
  <c r="K13" i="38"/>
  <c r="EX16" i="34"/>
  <c r="EW21" i="34"/>
  <c r="EW27" i="34" s="1"/>
  <c r="AX32" i="68"/>
  <c r="AW212" i="77"/>
  <c r="BJ45" i="9"/>
  <c r="BI14" i="9"/>
  <c r="AW214" i="77"/>
  <c r="AG214" i="77"/>
  <c r="Q214" i="77"/>
  <c r="P214" i="77"/>
  <c r="DV44" i="73"/>
  <c r="DV39" i="73"/>
  <c r="DV34" i="73"/>
  <c r="DV29" i="73"/>
  <c r="DV24" i="73"/>
  <c r="DV19" i="73"/>
  <c r="AL213" i="77"/>
  <c r="BA214" i="77"/>
  <c r="AZ214" i="77"/>
  <c r="AY214" i="77"/>
  <c r="AX214" i="77"/>
  <c r="AO214" i="77"/>
  <c r="AN214" i="77"/>
  <c r="AM214" i="77"/>
  <c r="AL214" i="77"/>
  <c r="AK214" i="77"/>
  <c r="AJ214" i="77"/>
  <c r="AI214" i="77"/>
  <c r="AH214" i="77"/>
  <c r="BD214" i="77"/>
  <c r="BA213" i="77"/>
  <c r="AZ213" i="77"/>
  <c r="AY213" i="77"/>
  <c r="AX213" i="77"/>
  <c r="AO213" i="77"/>
  <c r="AN213" i="77"/>
  <c r="AM213" i="77"/>
  <c r="AK213" i="77"/>
  <c r="AJ213" i="77"/>
  <c r="AI213" i="77"/>
  <c r="AH213" i="77"/>
  <c r="BD213" i="77"/>
  <c r="BA212" i="77"/>
  <c r="AZ212" i="77"/>
  <c r="AY212" i="77"/>
  <c r="AX212" i="77"/>
  <c r="AO212" i="77"/>
  <c r="AN212" i="77"/>
  <c r="AM212" i="77"/>
  <c r="AL212" i="77"/>
  <c r="AK212" i="77"/>
  <c r="AJ212" i="77"/>
  <c r="AI212" i="77"/>
  <c r="AH212" i="77"/>
  <c r="BD212" i="77"/>
  <c r="P209" i="80"/>
  <c r="H209" i="80"/>
  <c r="Z442" i="36"/>
  <c r="AA432" i="36"/>
  <c r="AA442" i="36" s="1"/>
  <c r="Y442" i="36"/>
  <c r="K442" i="36"/>
  <c r="K454" i="36" s="1"/>
  <c r="I442" i="36"/>
  <c r="H442" i="36"/>
  <c r="G442" i="36"/>
  <c r="G454" i="36" s="1"/>
  <c r="F442" i="36"/>
  <c r="V432" i="36"/>
  <c r="E442" i="36"/>
  <c r="E454" i="36" s="1"/>
  <c r="O59" i="42"/>
  <c r="BB2" i="39"/>
  <c r="BB5" i="39"/>
  <c r="BB11" i="39" s="1"/>
  <c r="BC1" i="39"/>
  <c r="ER2" i="34"/>
  <c r="ES1" i="34"/>
  <c r="EX25" i="34"/>
  <c r="EX24" i="34" s="1"/>
  <c r="EV24" i="34"/>
  <c r="EV21" i="34"/>
  <c r="EV27" i="34" s="1"/>
  <c r="EX7" i="34"/>
  <c r="AH5" i="13"/>
  <c r="AH2" i="13"/>
  <c r="T384" i="79"/>
  <c r="BV1" i="84"/>
  <c r="BU5" i="84"/>
  <c r="AY5" i="83"/>
  <c r="AY2" i="83"/>
  <c r="AW94" i="63"/>
  <c r="AX93" i="63" s="1"/>
  <c r="BI49" i="12"/>
  <c r="BI24" i="12"/>
  <c r="BI22" i="12"/>
  <c r="BI20" i="12"/>
  <c r="BI18" i="12"/>
  <c r="BI17" i="12"/>
  <c r="BI16" i="12"/>
  <c r="BI15" i="12"/>
  <c r="BF94" i="46"/>
  <c r="BF82" i="46"/>
  <c r="BE9" i="46"/>
  <c r="BE15" i="46"/>
  <c r="BE21" i="46"/>
  <c r="BE28" i="46"/>
  <c r="BE40" i="46" s="1"/>
  <c r="BE34" i="46"/>
  <c r="BE106" i="46"/>
  <c r="BE113" i="46"/>
  <c r="AH15" i="81"/>
  <c r="AH18" i="81"/>
  <c r="BB25" i="32"/>
  <c r="BB26" i="32"/>
  <c r="BB27" i="32"/>
  <c r="BB28" i="32"/>
  <c r="BB29" i="32"/>
  <c r="BA64" i="71"/>
  <c r="BA65" i="71"/>
  <c r="BA66" i="71"/>
  <c r="BA67" i="71"/>
  <c r="BA68" i="71"/>
  <c r="BA69" i="71"/>
  <c r="BA70" i="71"/>
  <c r="BA71" i="71"/>
  <c r="BA72" i="71"/>
  <c r="BA73" i="71"/>
  <c r="BA74" i="71"/>
  <c r="BA75" i="71"/>
  <c r="BA76" i="71"/>
  <c r="BA77" i="71"/>
  <c r="BA78" i="71"/>
  <c r="BA79" i="71"/>
  <c r="BA80" i="71"/>
  <c r="BA81" i="71"/>
  <c r="BA82" i="71"/>
  <c r="BA83" i="71"/>
  <c r="BA84" i="71"/>
  <c r="BA85" i="71"/>
  <c r="BA86" i="71"/>
  <c r="AW8" i="72"/>
  <c r="AW21" i="72" s="1"/>
  <c r="AW24" i="72" s="1"/>
  <c r="BI10" i="10"/>
  <c r="BI12" i="10" s="1"/>
  <c r="BI14" i="10" s="1"/>
  <c r="BI16" i="10" s="1"/>
  <c r="BI37" i="10"/>
  <c r="BB9" i="66"/>
  <c r="BB23" i="55"/>
  <c r="BA4" i="55"/>
  <c r="BA13" i="55"/>
  <c r="BA11" i="65"/>
  <c r="BA19" i="65"/>
  <c r="BA27" i="65"/>
  <c r="BA8" i="53"/>
  <c r="BA10" i="53" s="1"/>
  <c r="BA15" i="53"/>
  <c r="BA17" i="53" s="1"/>
  <c r="BA22" i="53"/>
  <c r="BA24" i="53" s="1"/>
  <c r="BB44" i="52"/>
  <c r="AZ9" i="67"/>
  <c r="AZ13" i="67"/>
  <c r="AZ17" i="67"/>
  <c r="AZ20" i="67" s="1"/>
  <c r="AZ22" i="67"/>
  <c r="AZ29" i="67"/>
  <c r="AZ33" i="67"/>
  <c r="AW14" i="63"/>
  <c r="AW54" i="63"/>
  <c r="BI8" i="12"/>
  <c r="BI9" i="1"/>
  <c r="BI11" i="1" s="1"/>
  <c r="BI13" i="1" s="1"/>
  <c r="BI15" i="1" s="1"/>
  <c r="BI35" i="1" s="1"/>
  <c r="BI36" i="1" s="1"/>
  <c r="BI37" i="1"/>
  <c r="BN11" i="2"/>
  <c r="BI52" i="9" s="1"/>
  <c r="BN21" i="2"/>
  <c r="BB7" i="30"/>
  <c r="BB10" i="30" s="1"/>
  <c r="BB15" i="30"/>
  <c r="BB18" i="30" s="1"/>
  <c r="BB22" i="30"/>
  <c r="BB23" i="30"/>
  <c r="BB24" i="30"/>
  <c r="BA12" i="31"/>
  <c r="BA21" i="31"/>
  <c r="BA30" i="31"/>
  <c r="BA21" i="49"/>
  <c r="BA22" i="49" s="1"/>
  <c r="BA39" i="49"/>
  <c r="BA42" i="49"/>
  <c r="BA43" i="49"/>
  <c r="BA44" i="49"/>
  <c r="BA45" i="49"/>
  <c r="BA46" i="49"/>
  <c r="BA47" i="49"/>
  <c r="BA48" i="49"/>
  <c r="BA49" i="49"/>
  <c r="BA50" i="49"/>
  <c r="BA51" i="49"/>
  <c r="BA52" i="49"/>
  <c r="BA53" i="49"/>
  <c r="BA55" i="49"/>
  <c r="BA56" i="49"/>
  <c r="BB24" i="48"/>
  <c r="BB13" i="45"/>
  <c r="BB14" i="45" s="1"/>
  <c r="BB23" i="45"/>
  <c r="BB26" i="45"/>
  <c r="BB27" i="45"/>
  <c r="BB28" i="45"/>
  <c r="BB29" i="45"/>
  <c r="BB30" i="45"/>
  <c r="BB31" i="45"/>
  <c r="BB12" i="44"/>
  <c r="BB15" i="44"/>
  <c r="BB19" i="44"/>
  <c r="BB33" i="44"/>
  <c r="BB37" i="44" s="1"/>
  <c r="BB14" i="33"/>
  <c r="BB18" i="33" s="1"/>
  <c r="BB17" i="33"/>
  <c r="BB41" i="33"/>
  <c r="BB28" i="33"/>
  <c r="BB31" i="33"/>
  <c r="BB40" i="33"/>
  <c r="BB42" i="33"/>
  <c r="BB45" i="33"/>
  <c r="BB16" i="61"/>
  <c r="BB19" i="61"/>
  <c r="BB20" i="61" s="1"/>
  <c r="BB32" i="61"/>
  <c r="BB35" i="61"/>
  <c r="BB45" i="61"/>
  <c r="BB46" i="61"/>
  <c r="BB47" i="61"/>
  <c r="BB51" i="61"/>
  <c r="BB8" i="29"/>
  <c r="BB13" i="29"/>
  <c r="BB18" i="29"/>
  <c r="BB10" i="26"/>
  <c r="BB12" i="26" s="1"/>
  <c r="BB20" i="26"/>
  <c r="BB22" i="26" s="1"/>
  <c r="BA13" i="24"/>
  <c r="BQ6" i="3"/>
  <c r="BQ23" i="3"/>
  <c r="BQ33" i="3"/>
  <c r="BQ42" i="3"/>
  <c r="BI7" i="9" s="1"/>
  <c r="BQ61" i="3"/>
  <c r="BQ78" i="3"/>
  <c r="BI17" i="9" s="1"/>
  <c r="BM21" i="2"/>
  <c r="BL21" i="2"/>
  <c r="BK21" i="2"/>
  <c r="BJ21" i="2"/>
  <c r="BI21" i="2"/>
  <c r="BH21" i="2"/>
  <c r="BG21" i="2"/>
  <c r="BF21" i="2"/>
  <c r="BE21" i="2"/>
  <c r="BD21" i="2"/>
  <c r="BC21" i="2"/>
  <c r="BB21" i="2"/>
  <c r="BA21" i="2"/>
  <c r="AZ21" i="2"/>
  <c r="AY21" i="2"/>
  <c r="AX21" i="2"/>
  <c r="AW21" i="2"/>
  <c r="AV21" i="2"/>
  <c r="AU21" i="2"/>
  <c r="AT21" i="2"/>
  <c r="AS21" i="2"/>
  <c r="AR21" i="2"/>
  <c r="AQ21" i="2"/>
  <c r="AP21" i="2"/>
  <c r="AO21" i="2"/>
  <c r="AN21" i="2"/>
  <c r="AM21" i="2"/>
  <c r="AL21" i="2"/>
  <c r="AK21" i="2"/>
  <c r="AJ21" i="2"/>
  <c r="AI21" i="2"/>
  <c r="AH21" i="2"/>
  <c r="AG21" i="2"/>
  <c r="AF21"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D22" i="71"/>
  <c r="D86" i="46"/>
  <c r="D98" i="46"/>
  <c r="D89" i="46"/>
  <c r="D101" i="46"/>
  <c r="BD106" i="46"/>
  <c r="BC106" i="46"/>
  <c r="BD113" i="46"/>
  <c r="BC113" i="46"/>
  <c r="DU314" i="73"/>
  <c r="DU47" i="73"/>
  <c r="DU42" i="73"/>
  <c r="DU37" i="73"/>
  <c r="DU32" i="73"/>
  <c r="DU27" i="73"/>
  <c r="DU22" i="73"/>
  <c r="DU11" i="73"/>
  <c r="DU9" i="73"/>
  <c r="DU6" i="73"/>
  <c r="BD59" i="9"/>
  <c r="BD58" i="9"/>
  <c r="BD57" i="9"/>
  <c r="AW20" i="68"/>
  <c r="AV20" i="68"/>
  <c r="AU20" i="68"/>
  <c r="AP20" i="68"/>
  <c r="AO20" i="68"/>
  <c r="BC29" i="48"/>
  <c r="HN9" i="85"/>
  <c r="HN15" i="85"/>
  <c r="HN8" i="85"/>
  <c r="HN7" i="85"/>
  <c r="BC18" i="39"/>
  <c r="P400" i="79"/>
  <c r="EX21" i="34" l="1"/>
  <c r="EX27" i="34" s="1"/>
  <c r="BI8" i="9"/>
  <c r="BI6" i="9"/>
  <c r="HN34" i="85"/>
  <c r="BJ51" i="9"/>
  <c r="N223" i="80"/>
  <c r="Y454" i="36"/>
  <c r="Z454" i="36"/>
  <c r="I454" i="36"/>
  <c r="H454" i="36"/>
  <c r="F454" i="36"/>
  <c r="AY20" i="68"/>
  <c r="BC5" i="39"/>
  <c r="BC2" i="39"/>
  <c r="ET1" i="34"/>
  <c r="ES2" i="34"/>
  <c r="BB19" i="52"/>
  <c r="AY35" i="83"/>
  <c r="AY92" i="83"/>
  <c r="AY161" i="83"/>
  <c r="AY116" i="83"/>
  <c r="AY130" i="83"/>
  <c r="AY150" i="83"/>
  <c r="AZ39" i="67"/>
  <c r="BN7" i="2"/>
  <c r="BN8" i="2"/>
  <c r="BI10" i="12"/>
  <c r="BA24" i="55"/>
  <c r="BA25" i="55" s="1"/>
  <c r="BA90" i="71"/>
  <c r="BI35" i="10"/>
  <c r="BI36" i="10" s="1"/>
  <c r="BI40" i="10"/>
  <c r="BI43" i="10" s="1"/>
  <c r="BI45" i="10" s="1"/>
  <c r="BI48" i="10" s="1"/>
  <c r="BB48" i="61"/>
  <c r="BI40" i="1"/>
  <c r="BI43" i="1" s="1"/>
  <c r="BI45" i="1" s="1"/>
  <c r="BI48" i="1" s="1"/>
  <c r="BB18" i="44"/>
  <c r="BQ90" i="3"/>
  <c r="BB22" i="44"/>
  <c r="BB23" i="44" s="1"/>
  <c r="BB25" i="30"/>
  <c r="BB30" i="48"/>
  <c r="BA54" i="49"/>
  <c r="BA57" i="49" s="1"/>
  <c r="BB33" i="45"/>
  <c r="BB23" i="26"/>
  <c r="BQ39" i="3"/>
  <c r="BB13" i="26"/>
  <c r="DU321" i="73"/>
  <c r="DU320" i="73"/>
  <c r="DU316" i="73"/>
  <c r="DU44" i="73"/>
  <c r="DU39" i="73"/>
  <c r="DU34" i="73"/>
  <c r="DU29" i="73"/>
  <c r="DU24" i="73"/>
  <c r="DU19" i="73"/>
  <c r="DT314" i="73"/>
  <c r="DT316" i="73" s="1"/>
  <c r="DT47" i="73"/>
  <c r="DT42" i="73"/>
  <c r="DT37" i="73"/>
  <c r="DT32" i="73"/>
  <c r="DT321" i="73" s="1"/>
  <c r="DT27" i="73"/>
  <c r="DT320" i="73" s="1"/>
  <c r="DT22" i="73"/>
  <c r="DT11" i="73"/>
  <c r="DT44" i="73" s="1"/>
  <c r="DT9" i="73"/>
  <c r="DT6" i="73"/>
  <c r="EU1" i="34" l="1"/>
  <c r="EU2" i="34" s="1"/>
  <c r="ET2" i="34"/>
  <c r="AY162" i="83"/>
  <c r="AY164" i="83"/>
  <c r="BQ91" i="3"/>
  <c r="DT19" i="73"/>
  <c r="DT24" i="73"/>
  <c r="DT29" i="73"/>
  <c r="DT34" i="73"/>
  <c r="DT39" i="73"/>
  <c r="BB50" i="52" l="1"/>
  <c r="BB49" i="52"/>
  <c r="BB48" i="52"/>
  <c r="BB47" i="52"/>
  <c r="BB46" i="52"/>
  <c r="N23" i="23" l="1"/>
  <c r="P23" i="23"/>
  <c r="O23" i="23"/>
  <c r="M23" i="23"/>
  <c r="L23" i="23"/>
  <c r="BI128" i="9" l="1"/>
  <c r="AY80" i="68" l="1"/>
  <c r="BB24" i="65"/>
  <c r="BB25" i="65"/>
  <c r="BB23" i="65"/>
  <c r="AX8" i="72"/>
  <c r="HM18" i="85"/>
  <c r="HM38" i="85" s="1"/>
  <c r="HI37" i="85"/>
  <c r="L223" i="80"/>
  <c r="D223" i="80"/>
  <c r="L222" i="80"/>
  <c r="D222" i="80"/>
  <c r="L221" i="80"/>
  <c r="D221" i="80"/>
  <c r="L220" i="80"/>
  <c r="D220" i="80"/>
  <c r="L219" i="80"/>
  <c r="D219" i="80"/>
  <c r="L218" i="80"/>
  <c r="D218" i="80"/>
  <c r="L217" i="80"/>
  <c r="D217" i="80"/>
  <c r="AY63" i="68"/>
  <c r="AY28" i="68"/>
  <c r="AY26" i="68"/>
  <c r="BB11" i="65"/>
  <c r="BB84" i="71"/>
  <c r="BB21" i="53"/>
  <c r="BB15" i="53"/>
  <c r="BB17" i="53" s="1"/>
  <c r="BB23" i="53"/>
  <c r="BB20" i="53"/>
  <c r="AZ42" i="49"/>
  <c r="AZ43" i="49"/>
  <c r="AZ44" i="49"/>
  <c r="AZ45" i="49"/>
  <c r="AZ46" i="49"/>
  <c r="AZ47" i="49"/>
  <c r="AZ48" i="49"/>
  <c r="AZ49" i="49"/>
  <c r="AZ50" i="49"/>
  <c r="AZ51" i="49"/>
  <c r="AZ52" i="49"/>
  <c r="AZ53" i="49"/>
  <c r="BB56" i="49"/>
  <c r="BB55" i="49"/>
  <c r="BF109" i="46"/>
  <c r="BF108" i="46"/>
  <c r="AX26" i="45"/>
  <c r="AY26" i="45"/>
  <c r="AZ26" i="45"/>
  <c r="BA26" i="45"/>
  <c r="AX27" i="45"/>
  <c r="AY27" i="45"/>
  <c r="AZ27" i="45"/>
  <c r="BA27" i="45"/>
  <c r="AX28" i="45"/>
  <c r="AY28" i="45"/>
  <c r="AZ28" i="45"/>
  <c r="BA28" i="45"/>
  <c r="AX29" i="45"/>
  <c r="AY29" i="45"/>
  <c r="AZ29" i="45"/>
  <c r="BA29" i="45"/>
  <c r="AX30" i="45"/>
  <c r="AY30" i="45"/>
  <c r="AZ30" i="45"/>
  <c r="BA30" i="45"/>
  <c r="AX31" i="45"/>
  <c r="AY31" i="45"/>
  <c r="AZ31" i="45"/>
  <c r="BA31" i="45"/>
  <c r="HK37" i="85"/>
  <c r="HL26" i="85"/>
  <c r="HK26" i="85"/>
  <c r="HI26" i="85"/>
  <c r="HL11" i="85"/>
  <c r="HN6" i="85"/>
  <c r="HN14" i="85" s="1"/>
  <c r="HM6" i="85"/>
  <c r="HM14" i="85" s="1"/>
  <c r="HL6" i="85"/>
  <c r="HL14" i="85" s="1"/>
  <c r="HK6" i="85"/>
  <c r="HK14" i="85" s="1"/>
  <c r="HJ6" i="85"/>
  <c r="HJ14" i="85" s="1"/>
  <c r="HI6" i="85"/>
  <c r="HI14" i="85" s="1"/>
  <c r="HI5" i="85"/>
  <c r="HI13" i="85" s="1"/>
  <c r="HN4" i="85"/>
  <c r="HI3" i="85"/>
  <c r="BF58" i="46" l="1"/>
  <c r="BC28" i="45"/>
  <c r="BF9" i="46"/>
  <c r="BF75" i="46"/>
  <c r="BF39" i="46"/>
  <c r="BF56" i="46"/>
  <c r="BC23" i="45"/>
  <c r="BC30" i="45"/>
  <c r="BC27" i="45"/>
  <c r="BF53" i="46"/>
  <c r="HM11" i="85"/>
  <c r="BF34" i="46"/>
  <c r="BF72" i="46"/>
  <c r="BF38" i="46"/>
  <c r="BC29" i="45"/>
  <c r="BF57" i="46"/>
  <c r="BC31" i="45"/>
  <c r="BF15" i="46"/>
  <c r="BF76" i="46"/>
  <c r="BF19" i="46"/>
  <c r="HJ11" i="85"/>
  <c r="BF20" i="46"/>
  <c r="BC26" i="45"/>
  <c r="BF37" i="46"/>
  <c r="AY78" i="68"/>
  <c r="BF66" i="46"/>
  <c r="BF47" i="46"/>
  <c r="BB4" i="55"/>
  <c r="BB13" i="55"/>
  <c r="BB22" i="65"/>
  <c r="BB22" i="53"/>
  <c r="BB24" i="53" s="1"/>
  <c r="BB8" i="53"/>
  <c r="BB10" i="53" s="1"/>
  <c r="BF28" i="46"/>
  <c r="BF77" i="46"/>
  <c r="BF18" i="46"/>
  <c r="BC13" i="45"/>
  <c r="BC14" i="45" s="1"/>
  <c r="HJ18" i="85"/>
  <c r="HJ38" i="85" s="1"/>
  <c r="HL37" i="85"/>
  <c r="BF78" i="46" l="1"/>
  <c r="BF40" i="46"/>
  <c r="BF59" i="46"/>
  <c r="BC33" i="45"/>
  <c r="BF21" i="46"/>
  <c r="BB24" i="55"/>
  <c r="BC33" i="44" l="1"/>
  <c r="BC37" i="44" s="1"/>
  <c r="BC19" i="44"/>
  <c r="BC15" i="44"/>
  <c r="D59" i="42" l="1"/>
  <c r="BA18" i="39"/>
  <c r="BC9" i="39"/>
  <c r="D23" i="38"/>
  <c r="D22" i="38"/>
  <c r="D21" i="38"/>
  <c r="D19" i="38"/>
  <c r="D18" i="38"/>
  <c r="D17" i="38"/>
  <c r="D16" i="38"/>
  <c r="J22" i="38"/>
  <c r="D15" i="38"/>
  <c r="X454" i="36"/>
  <c r="D454" i="36"/>
  <c r="AA453" i="36"/>
  <c r="X453" i="36"/>
  <c r="V453" i="36"/>
  <c r="D453" i="36"/>
  <c r="AA452" i="36"/>
  <c r="X452" i="36"/>
  <c r="V452" i="36"/>
  <c r="D452" i="36"/>
  <c r="X451" i="36"/>
  <c r="D451" i="36"/>
  <c r="AA450" i="36"/>
  <c r="X450" i="36"/>
  <c r="V450" i="36"/>
  <c r="D450" i="36"/>
  <c r="AA449" i="36"/>
  <c r="X449" i="36"/>
  <c r="V449" i="36"/>
  <c r="D449" i="36"/>
  <c r="AA448" i="36"/>
  <c r="X448" i="36"/>
  <c r="V448" i="36"/>
  <c r="D448" i="36"/>
  <c r="AA447" i="36"/>
  <c r="X447" i="36"/>
  <c r="D447" i="36"/>
  <c r="X446" i="36"/>
  <c r="D446" i="36"/>
  <c r="AA445" i="36"/>
  <c r="X445" i="36"/>
  <c r="V445" i="36"/>
  <c r="D445" i="36"/>
  <c r="X444" i="36"/>
  <c r="D444" i="36"/>
  <c r="FA23" i="34"/>
  <c r="EZ23" i="34"/>
  <c r="EY23" i="34"/>
  <c r="FA20" i="34"/>
  <c r="FA19" i="34"/>
  <c r="FA18" i="34"/>
  <c r="FA17" i="34"/>
  <c r="FA16" i="34"/>
  <c r="FA15" i="34"/>
  <c r="FA13" i="34"/>
  <c r="BM11" i="2"/>
  <c r="BL11" i="2"/>
  <c r="BK11" i="2"/>
  <c r="BJ11" i="2"/>
  <c r="BI11" i="2"/>
  <c r="BH11" i="2"/>
  <c r="E22" i="38" l="1"/>
  <c r="F22" i="38"/>
  <c r="G22" i="38"/>
  <c r="K22" i="38"/>
  <c r="H22" i="38"/>
  <c r="I22" i="38"/>
  <c r="BJ40" i="12" l="1"/>
  <c r="BJ9" i="1"/>
  <c r="BJ49" i="12"/>
  <c r="BC14" i="33"/>
  <c r="BC44" i="33"/>
  <c r="BC40" i="33"/>
  <c r="BC38" i="33"/>
  <c r="BC41" i="33"/>
  <c r="BC39" i="33"/>
  <c r="BC35" i="33"/>
  <c r="BC34" i="33"/>
  <c r="BC40" i="61"/>
  <c r="BC47" i="61"/>
  <c r="BC46" i="61"/>
  <c r="BC45" i="61"/>
  <c r="BC44" i="61"/>
  <c r="BC43" i="61"/>
  <c r="BC42" i="61"/>
  <c r="BC32" i="61"/>
  <c r="BC19" i="61"/>
  <c r="BC49" i="61"/>
  <c r="BC39" i="61"/>
  <c r="BC16" i="61"/>
  <c r="BC29" i="32"/>
  <c r="BC28" i="32"/>
  <c r="BC27" i="32"/>
  <c r="BC15" i="30"/>
  <c r="BC18" i="30" s="1"/>
  <c r="BC24" i="30"/>
  <c r="BC23" i="30"/>
  <c r="BC17" i="29"/>
  <c r="BC16" i="29"/>
  <c r="BC13" i="29"/>
  <c r="BC8" i="29"/>
  <c r="D11" i="23"/>
  <c r="K11" i="23" s="1"/>
  <c r="D10" i="23"/>
  <c r="K10" i="23" s="1"/>
  <c r="D9" i="23"/>
  <c r="K9" i="23" s="1"/>
  <c r="D8" i="23"/>
  <c r="K8" i="23" s="1"/>
  <c r="D7" i="23"/>
  <c r="K7" i="23" s="1"/>
  <c r="D6" i="23"/>
  <c r="K6" i="23" s="1"/>
  <c r="D128" i="9"/>
  <c r="BI45" i="9"/>
  <c r="D400" i="79"/>
  <c r="R399" i="79"/>
  <c r="D399" i="79"/>
  <c r="D398" i="79"/>
  <c r="R397" i="79"/>
  <c r="T397" i="79" s="1"/>
  <c r="D397" i="79"/>
  <c r="R396" i="79"/>
  <c r="T396" i="79" s="1"/>
  <c r="D396" i="79"/>
  <c r="D395" i="79"/>
  <c r="D393" i="79"/>
  <c r="BJ24" i="12"/>
  <c r="BJ22" i="12"/>
  <c r="BJ18" i="12"/>
  <c r="BJ17" i="12"/>
  <c r="BJ16" i="12"/>
  <c r="BJ15" i="12"/>
  <c r="BJ37" i="1" l="1"/>
  <c r="BJ38" i="12"/>
  <c r="BJ43" i="12"/>
  <c r="BJ37" i="12"/>
  <c r="BO21" i="2"/>
  <c r="BB25" i="55" s="1"/>
  <c r="BJ13" i="12"/>
  <c r="BJ9" i="12"/>
  <c r="BJ10" i="10"/>
  <c r="BJ37" i="10"/>
  <c r="BJ11" i="12"/>
  <c r="BC18" i="29"/>
  <c r="BJ41" i="12"/>
  <c r="BC17" i="33"/>
  <c r="BC21" i="30"/>
  <c r="BC22" i="30" s="1"/>
  <c r="BC25" i="30" s="1"/>
  <c r="BC31" i="33"/>
  <c r="BJ11" i="1"/>
  <c r="BO7" i="2"/>
  <c r="BC35" i="61"/>
  <c r="BC36" i="33"/>
  <c r="BJ6" i="12"/>
  <c r="BC37" i="33"/>
  <c r="BC28" i="33"/>
  <c r="BC43" i="33"/>
  <c r="BC45" i="33" s="1"/>
  <c r="BC50" i="61"/>
  <c r="BC51" i="61" s="1"/>
  <c r="BC38" i="61"/>
  <c r="BC48" i="61" s="1"/>
  <c r="BC7" i="30"/>
  <c r="BC10" i="30" s="1"/>
  <c r="BU10" i="84"/>
  <c r="BN6" i="2" l="1"/>
  <c r="BB11" i="30" s="1"/>
  <c r="BJ36" i="12"/>
  <c r="BJ12" i="10"/>
  <c r="BJ7" i="12"/>
  <c r="BJ8" i="12" s="1"/>
  <c r="BO8" i="2"/>
  <c r="BO11" i="2"/>
  <c r="BJ13" i="1"/>
  <c r="BC42" i="33"/>
  <c r="BI50" i="9" l="1"/>
  <c r="BI53" i="9" s="1"/>
  <c r="BN10" i="2"/>
  <c r="BN16" i="2" s="1"/>
  <c r="BJ15" i="1"/>
  <c r="BJ52" i="9"/>
  <c r="BI12" i="12"/>
  <c r="BI14" i="12" s="1"/>
  <c r="BJ10" i="12"/>
  <c r="BJ14" i="10"/>
  <c r="BJ16" i="10" s="1"/>
  <c r="BO6" i="2"/>
  <c r="BJ40" i="1" l="1"/>
  <c r="BA11" i="53"/>
  <c r="BN19" i="2"/>
  <c r="BN24" i="2" s="1"/>
  <c r="BN26" i="2" s="1"/>
  <c r="BN28" i="2" s="1"/>
  <c r="BU7" i="84"/>
  <c r="BU8" i="84"/>
  <c r="BU11" i="84"/>
  <c r="BJ12" i="12"/>
  <c r="BJ14" i="12" s="1"/>
  <c r="BI34" i="12"/>
  <c r="BI39" i="12"/>
  <c r="BI42" i="12" s="1"/>
  <c r="BI44" i="12" s="1"/>
  <c r="BI48" i="12" s="1"/>
  <c r="BI50" i="12" s="1"/>
  <c r="BN30" i="2"/>
  <c r="AW18" i="63"/>
  <c r="G8" i="76"/>
  <c r="L8" i="76" s="1"/>
  <c r="BJ35" i="1"/>
  <c r="BC11" i="30"/>
  <c r="BJ43" i="1"/>
  <c r="BJ45" i="1" s="1"/>
  <c r="BJ48" i="1" s="1"/>
  <c r="BO10" i="2"/>
  <c r="BJ40" i="10"/>
  <c r="BJ35" i="10"/>
  <c r="D291" i="77"/>
  <c r="AF291" i="77"/>
  <c r="AF211" i="77"/>
  <c r="BJ36" i="1" l="1"/>
  <c r="BI35" i="12"/>
  <c r="BJ34" i="12"/>
  <c r="BJ39" i="12"/>
  <c r="BJ42" i="12" s="1"/>
  <c r="BJ44" i="12" s="1"/>
  <c r="BJ48" i="12" s="1"/>
  <c r="BU6" i="84"/>
  <c r="G7" i="76"/>
  <c r="BO16" i="2"/>
  <c r="BB11" i="53"/>
  <c r="BJ36" i="10"/>
  <c r="BJ43" i="10"/>
  <c r="BJ45" i="10" s="1"/>
  <c r="BJ48" i="10" s="1"/>
  <c r="AX211" i="77"/>
  <c r="BD211" i="77"/>
  <c r="BC211" i="77"/>
  <c r="AY211" i="77"/>
  <c r="BA211" i="77"/>
  <c r="AW211" i="77"/>
  <c r="AZ211" i="77"/>
  <c r="BU14" i="84"/>
  <c r="BU13" i="84"/>
  <c r="L7" i="76" l="1"/>
  <c r="L6" i="76" s="1"/>
  <c r="G6" i="76"/>
  <c r="BJ35" i="12"/>
  <c r="BO19" i="2"/>
  <c r="BO24" i="2" s="1"/>
  <c r="BO26" i="2" s="1"/>
  <c r="BO28" i="2" s="1"/>
  <c r="AO211" i="77"/>
  <c r="BJ50" i="12"/>
  <c r="DS314" i="73"/>
  <c r="DS316" i="73" s="1"/>
  <c r="DS47" i="73"/>
  <c r="DS42" i="73"/>
  <c r="DS37" i="73"/>
  <c r="DS32" i="73"/>
  <c r="DS321" i="73" s="1"/>
  <c r="DS27" i="73"/>
  <c r="DS320" i="73" s="1"/>
  <c r="DS22" i="73"/>
  <c r="DS11" i="73"/>
  <c r="DS44" i="73" s="1"/>
  <c r="DS9" i="73"/>
  <c r="DS6" i="73"/>
  <c r="J8" i="76" l="1"/>
  <c r="J7" i="76"/>
  <c r="BO30" i="2"/>
  <c r="AX18" i="63"/>
  <c r="AM211" i="77"/>
  <c r="AL211" i="77"/>
  <c r="AN211" i="77"/>
  <c r="AH211" i="77"/>
  <c r="AI211" i="77"/>
  <c r="AJ211" i="77"/>
  <c r="AG211" i="77"/>
  <c r="AK211" i="77"/>
  <c r="DS29" i="73"/>
  <c r="DS34" i="73"/>
  <c r="DS39" i="73"/>
  <c r="DS19" i="73"/>
  <c r="DS24" i="73"/>
  <c r="J6" i="76" l="1"/>
  <c r="M6" i="76" s="1"/>
  <c r="M7" i="76"/>
  <c r="DA9" i="73"/>
  <c r="DB9" i="73"/>
  <c r="DC9" i="73"/>
  <c r="DD9" i="73"/>
  <c r="DE9" i="73"/>
  <c r="DF9" i="73"/>
  <c r="DG9" i="73"/>
  <c r="DH9" i="73"/>
  <c r="DI9" i="73"/>
  <c r="DJ9" i="73"/>
  <c r="DK9" i="73"/>
  <c r="DL9" i="73"/>
  <c r="DM9" i="73"/>
  <c r="D6" i="73"/>
  <c r="DO227" i="73" l="1"/>
  <c r="DN227" i="73"/>
  <c r="DM227" i="73"/>
  <c r="DL227" i="73"/>
  <c r="DK227" i="73"/>
  <c r="DI227" i="73"/>
  <c r="DH227" i="73"/>
  <c r="DG227" i="73"/>
  <c r="DF227" i="73"/>
  <c r="DE227" i="73"/>
  <c r="DD227" i="73"/>
  <c r="DC227" i="73"/>
  <c r="DB227" i="73"/>
  <c r="DA227" i="73"/>
  <c r="CZ227" i="73"/>
  <c r="CY227" i="73"/>
  <c r="CX227" i="73"/>
  <c r="CW227" i="73"/>
  <c r="CV227" i="73"/>
  <c r="CU227" i="73"/>
  <c r="CT227" i="73"/>
  <c r="CS227" i="73"/>
  <c r="CR227" i="73"/>
  <c r="CQ227" i="73"/>
  <c r="CP227" i="73"/>
  <c r="CO227" i="73"/>
  <c r="CN227" i="73"/>
  <c r="CM227" i="73"/>
  <c r="CL227" i="73"/>
  <c r="CK227" i="73"/>
  <c r="CJ227" i="73"/>
  <c r="CI227" i="73"/>
  <c r="CH227" i="73"/>
  <c r="CG227" i="73"/>
  <c r="CF227" i="73"/>
  <c r="CE227" i="73"/>
  <c r="CD227" i="73"/>
  <c r="CC227" i="73"/>
  <c r="CB227" i="73"/>
  <c r="CA227" i="73"/>
  <c r="BZ227" i="73"/>
  <c r="BY227" i="73"/>
  <c r="BX227" i="73"/>
  <c r="BW227" i="73"/>
  <c r="BV227" i="73"/>
  <c r="BU227" i="73"/>
  <c r="BT227" i="73"/>
  <c r="BS227" i="73"/>
  <c r="BR227" i="73"/>
  <c r="BQ227" i="73"/>
  <c r="BP227" i="73"/>
  <c r="BO227" i="73"/>
  <c r="BN227" i="73"/>
  <c r="BM227" i="73"/>
  <c r="BL227" i="73"/>
  <c r="BK227" i="73"/>
  <c r="BJ227" i="73"/>
  <c r="BI227" i="73"/>
  <c r="BH227" i="73"/>
  <c r="BG227" i="73"/>
  <c r="BF227" i="73"/>
  <c r="BE227" i="73"/>
  <c r="BD227" i="73"/>
  <c r="BC227" i="73"/>
  <c r="BB227" i="73"/>
  <c r="BA227" i="73"/>
  <c r="AZ227" i="73"/>
  <c r="AY227" i="73"/>
  <c r="AX227" i="73"/>
  <c r="AW227" i="73"/>
  <c r="AV227" i="73"/>
  <c r="AU227" i="73"/>
  <c r="AT227" i="73"/>
  <c r="AS227" i="73"/>
  <c r="AR227" i="73"/>
  <c r="AQ227" i="73"/>
  <c r="AP227" i="73"/>
  <c r="AO227" i="73"/>
  <c r="AN227" i="73"/>
  <c r="AM227" i="73"/>
  <c r="AL227" i="73"/>
  <c r="AK227" i="73"/>
  <c r="AJ227" i="73"/>
  <c r="AI227" i="73"/>
  <c r="AH227" i="73"/>
  <c r="AG227" i="73"/>
  <c r="AF227" i="73"/>
  <c r="AE227" i="73"/>
  <c r="AD227" i="73"/>
  <c r="AC227" i="73"/>
  <c r="AB227" i="73"/>
  <c r="AA227" i="73"/>
  <c r="Z227" i="73"/>
  <c r="Y227" i="73"/>
  <c r="X227" i="73"/>
  <c r="W227" i="73"/>
  <c r="V227" i="73"/>
  <c r="U227" i="73"/>
  <c r="T227" i="73"/>
  <c r="S227" i="73"/>
  <c r="R227" i="73"/>
  <c r="Q227" i="73"/>
  <c r="P227" i="73"/>
  <c r="O227" i="73"/>
  <c r="N227" i="73"/>
  <c r="M227" i="73"/>
  <c r="L227" i="73"/>
  <c r="K227" i="73"/>
  <c r="J227" i="73"/>
  <c r="I227" i="73"/>
  <c r="H227" i="73"/>
  <c r="G227" i="73"/>
  <c r="F227" i="73"/>
  <c r="E227" i="73"/>
  <c r="D227" i="73"/>
  <c r="D226" i="73"/>
  <c r="D225" i="73"/>
  <c r="D224" i="73"/>
  <c r="DO223" i="73"/>
  <c r="DN223" i="73"/>
  <c r="DM223" i="73"/>
  <c r="DL223" i="73"/>
  <c r="DK223" i="73"/>
  <c r="DI223" i="73"/>
  <c r="DH223" i="73"/>
  <c r="DG223" i="73"/>
  <c r="DF223" i="73"/>
  <c r="DE223" i="73"/>
  <c r="DD223" i="73"/>
  <c r="DC223" i="73"/>
  <c r="DB223" i="73"/>
  <c r="DA223" i="73"/>
  <c r="CZ223" i="73"/>
  <c r="CY223" i="73"/>
  <c r="CX223" i="73"/>
  <c r="CW223" i="73"/>
  <c r="CV223" i="73"/>
  <c r="CU223" i="73"/>
  <c r="CT223" i="73"/>
  <c r="CS223" i="73"/>
  <c r="CR223" i="73"/>
  <c r="CQ223" i="73"/>
  <c r="CP223" i="73"/>
  <c r="CO223" i="73"/>
  <c r="CN223" i="73"/>
  <c r="CM223" i="73"/>
  <c r="CL223" i="73"/>
  <c r="CK223" i="73"/>
  <c r="CJ223" i="73"/>
  <c r="CI223" i="73"/>
  <c r="CH223" i="73"/>
  <c r="CG223" i="73"/>
  <c r="CF223" i="73"/>
  <c r="CE223" i="73"/>
  <c r="CD223" i="73"/>
  <c r="CC223" i="73"/>
  <c r="CB223" i="73"/>
  <c r="CA223" i="73"/>
  <c r="BZ223" i="73"/>
  <c r="BY223" i="73"/>
  <c r="BX223" i="73"/>
  <c r="BW223" i="73"/>
  <c r="BV223" i="73"/>
  <c r="BU223" i="73"/>
  <c r="BT223" i="73"/>
  <c r="BS223" i="73"/>
  <c r="BR223" i="73"/>
  <c r="BQ223" i="73"/>
  <c r="BP223" i="73"/>
  <c r="BO223" i="73"/>
  <c r="BN223" i="73"/>
  <c r="BM223" i="73"/>
  <c r="BL223" i="73"/>
  <c r="BK223" i="73"/>
  <c r="BJ223" i="73"/>
  <c r="BI223" i="73"/>
  <c r="BH223" i="73"/>
  <c r="BG223" i="73"/>
  <c r="BF223" i="73"/>
  <c r="BE223" i="73"/>
  <c r="BD223" i="73"/>
  <c r="BC223" i="73"/>
  <c r="BB223" i="73"/>
  <c r="BA223" i="73"/>
  <c r="AZ223" i="73"/>
  <c r="AY223" i="73"/>
  <c r="AX223" i="73"/>
  <c r="AW223" i="73"/>
  <c r="AV223" i="73"/>
  <c r="AU223" i="73"/>
  <c r="AT223" i="73"/>
  <c r="AS223" i="73"/>
  <c r="AR223" i="73"/>
  <c r="AQ223" i="73"/>
  <c r="AP223" i="73"/>
  <c r="AO223" i="73"/>
  <c r="AN223" i="73"/>
  <c r="AM223" i="73"/>
  <c r="AL223" i="73"/>
  <c r="AK223" i="73"/>
  <c r="AJ223" i="73"/>
  <c r="AI223" i="73"/>
  <c r="AH223" i="73"/>
  <c r="AG223" i="73"/>
  <c r="AF223" i="73"/>
  <c r="AE223" i="73"/>
  <c r="AD223" i="73"/>
  <c r="AC223" i="73"/>
  <c r="AB223" i="73"/>
  <c r="AA223" i="73"/>
  <c r="Z223" i="73"/>
  <c r="Y223" i="73"/>
  <c r="X223" i="73"/>
  <c r="W223" i="73"/>
  <c r="V223" i="73"/>
  <c r="U223" i="73"/>
  <c r="T223" i="73"/>
  <c r="S223" i="73"/>
  <c r="R223" i="73"/>
  <c r="Q223" i="73"/>
  <c r="P223" i="73"/>
  <c r="O223" i="73"/>
  <c r="N223" i="73"/>
  <c r="M223" i="73"/>
  <c r="L223" i="73"/>
  <c r="K223" i="73"/>
  <c r="J223" i="73"/>
  <c r="I223" i="73"/>
  <c r="H223" i="73"/>
  <c r="G223" i="73"/>
  <c r="F223" i="73"/>
  <c r="E223" i="73"/>
  <c r="D223" i="73"/>
  <c r="D85" i="9" l="1"/>
  <c r="D75" i="9"/>
  <c r="AF210" i="77" l="1"/>
  <c r="BA210" i="77" l="1"/>
  <c r="AX210" i="77"/>
  <c r="AZ210" i="77"/>
  <c r="AY210" i="77"/>
  <c r="AW210" i="77"/>
  <c r="BC210" i="77"/>
  <c r="BD210" i="77"/>
  <c r="C208" i="77"/>
  <c r="C220" i="77"/>
  <c r="B220" i="77"/>
  <c r="C219" i="77"/>
  <c r="B219" i="77"/>
  <c r="C218" i="77"/>
  <c r="B218" i="77"/>
  <c r="C217" i="77"/>
  <c r="B217" i="77"/>
  <c r="C216" i="77"/>
  <c r="B216" i="77"/>
  <c r="C214" i="77"/>
  <c r="B214" i="77"/>
  <c r="C213" i="77"/>
  <c r="B213" i="77"/>
  <c r="C212" i="77"/>
  <c r="B212" i="77"/>
  <c r="C211" i="77"/>
  <c r="B211" i="77"/>
  <c r="C210" i="77"/>
  <c r="B210" i="77"/>
  <c r="C209" i="77"/>
  <c r="B209" i="77"/>
  <c r="R395" i="79" l="1"/>
  <c r="T395" i="79" s="1"/>
  <c r="L382" i="79"/>
  <c r="DR314" i="73"/>
  <c r="DR316" i="73" s="1"/>
  <c r="DR47" i="73"/>
  <c r="DR42" i="73"/>
  <c r="DR37" i="73"/>
  <c r="DR32" i="73"/>
  <c r="DR321" i="73" s="1"/>
  <c r="DR27" i="73"/>
  <c r="DR320" i="73" s="1"/>
  <c r="DR22" i="73"/>
  <c r="DR11" i="73"/>
  <c r="DR19" i="73" s="1"/>
  <c r="DR9" i="73"/>
  <c r="DR6" i="73"/>
  <c r="AY83" i="68" l="1"/>
  <c r="AY86" i="68"/>
  <c r="AY84" i="68"/>
  <c r="AY81" i="68"/>
  <c r="AS83" i="68"/>
  <c r="AS84" i="68"/>
  <c r="AY64" i="68"/>
  <c r="AY69" i="68" s="1"/>
  <c r="DR39" i="73"/>
  <c r="DR24" i="73"/>
  <c r="DR29" i="73"/>
  <c r="DR34" i="73"/>
  <c r="DR44" i="73"/>
  <c r="AZ71" i="83"/>
  <c r="AZ68" i="83"/>
  <c r="AS81" i="68" l="1"/>
  <c r="AY82" i="68"/>
  <c r="AM210" i="77"/>
  <c r="AH210" i="77"/>
  <c r="AN210" i="77"/>
  <c r="AO210" i="77"/>
  <c r="AG210" i="77"/>
  <c r="AK210" i="77"/>
  <c r="AJ210" i="77"/>
  <c r="AL210" i="77"/>
  <c r="AI210" i="77"/>
  <c r="G14" i="76"/>
  <c r="G13" i="76"/>
  <c r="G12" i="76"/>
  <c r="G11" i="76"/>
  <c r="G10" i="76"/>
  <c r="AF209" i="77" l="1"/>
  <c r="BC207" i="77" l="1"/>
  <c r="BC209" i="77"/>
  <c r="BD205" i="77"/>
  <c r="BD207" i="77"/>
  <c r="BD206" i="77"/>
  <c r="BD209" i="77"/>
  <c r="BC208" i="77"/>
  <c r="BC205" i="77"/>
  <c r="BD208" i="77"/>
  <c r="BC206" i="77"/>
  <c r="DQ314" i="73" l="1"/>
  <c r="DQ316" i="73" s="1"/>
  <c r="DQ47" i="73"/>
  <c r="DQ42" i="73"/>
  <c r="DQ37" i="73"/>
  <c r="DQ32" i="73"/>
  <c r="DQ321" i="73" s="1"/>
  <c r="DQ27" i="73"/>
  <c r="DQ320" i="73" s="1"/>
  <c r="DQ22" i="73"/>
  <c r="DQ11" i="73"/>
  <c r="DQ34" i="73" s="1"/>
  <c r="DQ9" i="73"/>
  <c r="DQ6" i="73"/>
  <c r="DQ24" i="73" l="1"/>
  <c r="DQ29" i="73"/>
  <c r="DQ19" i="73"/>
  <c r="DQ39" i="73"/>
  <c r="DQ44" i="73"/>
  <c r="D82" i="3" l="1"/>
  <c r="BR82" i="3" s="1"/>
  <c r="BH45" i="9" l="1"/>
  <c r="O54" i="42"/>
  <c r="D6" i="44" l="1"/>
  <c r="GJ7" i="85" l="1"/>
  <c r="GP7" i="85" s="1"/>
  <c r="GV7" i="85" s="1"/>
  <c r="AZ18" i="39"/>
  <c r="K5" i="38"/>
  <c r="EH27" i="34" l="1"/>
  <c r="AX23" i="30"/>
  <c r="AW23" i="30"/>
  <c r="AY23" i="30"/>
  <c r="AZ23" i="30"/>
  <c r="AV13" i="24"/>
  <c r="BI127" i="9" l="1"/>
  <c r="BA9" i="39" l="1"/>
  <c r="AF18" i="81"/>
  <c r="AF15" i="81"/>
  <c r="L207" i="80"/>
  <c r="D207" i="80"/>
  <c r="L206" i="80"/>
  <c r="D206" i="80"/>
  <c r="L205" i="80"/>
  <c r="D205" i="80"/>
  <c r="L204" i="80"/>
  <c r="D204" i="80"/>
  <c r="L203" i="80"/>
  <c r="D203" i="80"/>
  <c r="L202" i="80"/>
  <c r="D202" i="80"/>
  <c r="L201" i="80"/>
  <c r="D201" i="80"/>
  <c r="AV92" i="68"/>
  <c r="AV80" i="68"/>
  <c r="AV78" i="68"/>
  <c r="AV69" i="68"/>
  <c r="AG15" i="81" l="1"/>
  <c r="AG18" i="81"/>
  <c r="AW80" i="68" l="1"/>
  <c r="AW69" i="68"/>
  <c r="AV59" i="68"/>
  <c r="AV54" i="68"/>
  <c r="AV50" i="68"/>
  <c r="AV45" i="68"/>
  <c r="AV31" i="68"/>
  <c r="AW63" i="68"/>
  <c r="AW28" i="68"/>
  <c r="AW26" i="68"/>
  <c r="AW23" i="68"/>
  <c r="AZ4" i="55"/>
  <c r="AY13" i="55"/>
  <c r="AY26" i="65"/>
  <c r="AY25" i="65"/>
  <c r="AY24" i="65"/>
  <c r="AY23" i="65"/>
  <c r="AY22" i="65"/>
  <c r="AY19" i="65"/>
  <c r="AY11" i="65"/>
  <c r="AZ84" i="71"/>
  <c r="AY23" i="53"/>
  <c r="AY21" i="53"/>
  <c r="AY20" i="53"/>
  <c r="AY15" i="53"/>
  <c r="AY17" i="53" s="1"/>
  <c r="AY8" i="53"/>
  <c r="AY10" i="53" s="1"/>
  <c r="AV51" i="68" l="1"/>
  <c r="AY22" i="53"/>
  <c r="AY24" i="53" s="1"/>
  <c r="AV60" i="68"/>
  <c r="AW45" i="68"/>
  <c r="AW54" i="68"/>
  <c r="AW59" i="68"/>
  <c r="AW50" i="68"/>
  <c r="AW31" i="68"/>
  <c r="AY27" i="65"/>
  <c r="AY24" i="55"/>
  <c r="AW78" i="68"/>
  <c r="AZ13" i="55"/>
  <c r="AZ19" i="65"/>
  <c r="AZ11" i="65"/>
  <c r="AZ86" i="71"/>
  <c r="AZ15" i="53"/>
  <c r="AZ17" i="53" s="1"/>
  <c r="AZ8" i="53"/>
  <c r="AZ10" i="53" s="1"/>
  <c r="AV61" i="68" l="1"/>
  <c r="AW60" i="68"/>
  <c r="AW51" i="68"/>
  <c r="AW32" i="68"/>
  <c r="AZ24" i="55"/>
  <c r="AZ27" i="65"/>
  <c r="AZ22" i="53"/>
  <c r="AZ24" i="53" s="1"/>
  <c r="AW61" i="68" l="1"/>
  <c r="AY53" i="49"/>
  <c r="AY52" i="49"/>
  <c r="AY51" i="49"/>
  <c r="AY50" i="49"/>
  <c r="AY49" i="49"/>
  <c r="AY48" i="49"/>
  <c r="AY47" i="49"/>
  <c r="AY46" i="49"/>
  <c r="AY45" i="49"/>
  <c r="AY44" i="49"/>
  <c r="AY43" i="49"/>
  <c r="AY42" i="49"/>
  <c r="AZ56" i="49"/>
  <c r="AZ55" i="49"/>
  <c r="AZ24" i="48"/>
  <c r="AU8" i="72"/>
  <c r="AU21" i="72" s="1"/>
  <c r="AU24" i="72" s="1"/>
  <c r="AV8" i="72"/>
  <c r="GY18" i="85"/>
  <c r="HB7" i="85"/>
  <c r="GY37" i="85"/>
  <c r="GZ26" i="85"/>
  <c r="GY26" i="85"/>
  <c r="GW26" i="85"/>
  <c r="GZ18" i="85"/>
  <c r="HA18" i="85"/>
  <c r="HA38" i="85" s="1"/>
  <c r="GZ11" i="85"/>
  <c r="HA11" i="85"/>
  <c r="HB6" i="85"/>
  <c r="HB14" i="85" s="1"/>
  <c r="HA6" i="85"/>
  <c r="HA14" i="85" s="1"/>
  <c r="GZ6" i="85"/>
  <c r="GZ14" i="85" s="1"/>
  <c r="GY6" i="85"/>
  <c r="GY14" i="85" s="1"/>
  <c r="GX6" i="85"/>
  <c r="GX14" i="85" s="1"/>
  <c r="GW6" i="85"/>
  <c r="GW14" i="85" s="1"/>
  <c r="GW5" i="85"/>
  <c r="GW13" i="85" s="1"/>
  <c r="HB4" i="85"/>
  <c r="GW3" i="85"/>
  <c r="BA33" i="44"/>
  <c r="BA37" i="44" s="1"/>
  <c r="AA56" i="42"/>
  <c r="AA55" i="42"/>
  <c r="Q57" i="42"/>
  <c r="D57" i="42"/>
  <c r="GZ37" i="85" l="1"/>
  <c r="GZ38" i="85" s="1"/>
  <c r="GX18" i="85"/>
  <c r="GX38" i="85" s="1"/>
  <c r="HB10" i="85"/>
  <c r="AV21" i="72"/>
  <c r="GY38" i="85"/>
  <c r="BD28" i="46"/>
  <c r="BD15" i="46"/>
  <c r="GY11" i="85"/>
  <c r="O57" i="42"/>
  <c r="GX11" i="85"/>
  <c r="BA15" i="44"/>
  <c r="GW11" i="85"/>
  <c r="AA57" i="42"/>
  <c r="BA24" i="48"/>
  <c r="BD34" i="46"/>
  <c r="BA19" i="44"/>
  <c r="AZ30" i="48"/>
  <c r="BA12" i="44"/>
  <c r="BD9" i="46"/>
  <c r="BA23" i="45"/>
  <c r="BA13" i="45"/>
  <c r="BA14" i="45" s="1"/>
  <c r="HB9" i="85"/>
  <c r="HB8" i="85"/>
  <c r="GW18" i="85"/>
  <c r="GW37" i="85"/>
  <c r="BF106" i="46" l="1"/>
  <c r="AV24" i="72"/>
  <c r="BA30" i="48"/>
  <c r="BD40" i="46"/>
  <c r="BA33" i="45"/>
  <c r="BA18" i="44"/>
  <c r="BD21" i="46"/>
  <c r="BA22" i="44"/>
  <c r="BA23" i="44" s="1"/>
  <c r="GW38" i="85"/>
  <c r="D32" i="38" l="1"/>
  <c r="D31" i="38"/>
  <c r="D30" i="38"/>
  <c r="D28" i="38"/>
  <c r="D27" i="38"/>
  <c r="D26" i="38"/>
  <c r="D25" i="38"/>
  <c r="D24" i="38"/>
  <c r="X430" i="36"/>
  <c r="D430" i="36"/>
  <c r="X429" i="36"/>
  <c r="D429" i="36"/>
  <c r="X428" i="36"/>
  <c r="D428" i="36"/>
  <c r="X427" i="36"/>
  <c r="D427" i="36"/>
  <c r="X426" i="36"/>
  <c r="D426" i="36"/>
  <c r="X425" i="36"/>
  <c r="D425" i="36"/>
  <c r="X424" i="36"/>
  <c r="D424" i="36"/>
  <c r="X423" i="36"/>
  <c r="D423" i="36"/>
  <c r="X422" i="36"/>
  <c r="D422" i="36"/>
  <c r="X421" i="36"/>
  <c r="D421" i="36"/>
  <c r="X420" i="36"/>
  <c r="D420" i="36"/>
  <c r="ES24" i="34"/>
  <c r="EU23" i="34"/>
  <c r="ET23" i="34"/>
  <c r="ES23" i="34"/>
  <c r="EU20" i="34"/>
  <c r="EU19" i="34"/>
  <c r="EU18" i="34"/>
  <c r="EU17" i="34"/>
  <c r="EU16" i="34"/>
  <c r="EU15" i="34"/>
  <c r="ET21" i="34" l="1"/>
  <c r="ET27" i="34" s="1"/>
  <c r="J31" i="38"/>
  <c r="E31" i="38"/>
  <c r="G31" i="38"/>
  <c r="ET24" i="34"/>
  <c r="H31" i="38"/>
  <c r="ES21" i="34"/>
  <c r="ES27" i="34" s="1"/>
  <c r="I31" i="38"/>
  <c r="F31" i="38"/>
  <c r="EU24" i="34"/>
  <c r="K31" i="38"/>
  <c r="EU21" i="34" l="1"/>
  <c r="EU27" i="34" s="1"/>
  <c r="AY14" i="33"/>
  <c r="AZ14" i="33"/>
  <c r="BA40" i="33"/>
  <c r="BA41" i="33"/>
  <c r="BA47" i="61"/>
  <c r="BA46" i="61"/>
  <c r="BA45" i="61"/>
  <c r="BA35" i="61" l="1"/>
  <c r="BA16" i="61"/>
  <c r="BA31" i="33"/>
  <c r="BA28" i="33"/>
  <c r="BA14" i="33"/>
  <c r="BA32" i="61"/>
  <c r="BA19" i="61"/>
  <c r="BA17" i="33"/>
  <c r="BA51" i="61" l="1"/>
  <c r="BA48" i="61"/>
  <c r="BA42" i="33"/>
  <c r="BA45" i="33"/>
  <c r="J9" i="76"/>
  <c r="G9" i="76"/>
  <c r="DJ42" i="73" l="1"/>
  <c r="DP42" i="73"/>
  <c r="DJ37" i="73"/>
  <c r="DP47" i="73"/>
  <c r="DO47" i="73"/>
  <c r="DN47" i="73"/>
  <c r="DM47" i="73"/>
  <c r="DL47" i="73"/>
  <c r="DK47" i="73"/>
  <c r="DI47" i="73"/>
  <c r="DH47" i="73"/>
  <c r="DG47" i="73"/>
  <c r="DF47" i="73"/>
  <c r="DE47" i="73"/>
  <c r="DD47" i="73"/>
  <c r="DC47" i="73"/>
  <c r="DB47" i="73"/>
  <c r="DA47" i="73"/>
  <c r="CZ47" i="73"/>
  <c r="CY47" i="73"/>
  <c r="CX47" i="73"/>
  <c r="CW47" i="73"/>
  <c r="CV47" i="73"/>
  <c r="CU47" i="73"/>
  <c r="CT47" i="73"/>
  <c r="CS47" i="73"/>
  <c r="CR47" i="73"/>
  <c r="CQ47" i="73"/>
  <c r="CP47" i="73"/>
  <c r="CO47" i="73"/>
  <c r="CN47" i="73"/>
  <c r="CM47" i="73"/>
  <c r="CL47" i="73"/>
  <c r="CK47" i="73"/>
  <c r="CJ47" i="73"/>
  <c r="CI47" i="73"/>
  <c r="CH47" i="73"/>
  <c r="CG47" i="73"/>
  <c r="CF47" i="73"/>
  <c r="CE47" i="73"/>
  <c r="CD47" i="73"/>
  <c r="CC47" i="73"/>
  <c r="CB47" i="73"/>
  <c r="CA47" i="73"/>
  <c r="BZ47" i="73"/>
  <c r="BY47" i="73"/>
  <c r="BX47" i="73"/>
  <c r="BW47" i="73"/>
  <c r="BV47" i="73"/>
  <c r="BU47" i="73"/>
  <c r="BT47" i="73"/>
  <c r="BS47" i="73"/>
  <c r="BR47" i="73"/>
  <c r="BQ47" i="73"/>
  <c r="BP47" i="73"/>
  <c r="BO47" i="73"/>
  <c r="BN47" i="73"/>
  <c r="BM47" i="73"/>
  <c r="BL47" i="73"/>
  <c r="BK47" i="73"/>
  <c r="BJ47" i="73"/>
  <c r="BI47" i="73"/>
  <c r="BH47" i="73"/>
  <c r="BG47" i="73"/>
  <c r="BF47" i="73"/>
  <c r="BE47" i="73"/>
  <c r="BD47" i="73"/>
  <c r="BC47" i="73"/>
  <c r="BB47" i="73"/>
  <c r="BA47" i="73"/>
  <c r="AZ47" i="73"/>
  <c r="AY47" i="73"/>
  <c r="AX47" i="73"/>
  <c r="AW47" i="73"/>
  <c r="AV47" i="73"/>
  <c r="AU47" i="73"/>
  <c r="AT47" i="73"/>
  <c r="AS47" i="73"/>
  <c r="AR47" i="73"/>
  <c r="AQ47" i="73"/>
  <c r="AP47" i="73"/>
  <c r="AO47" i="73"/>
  <c r="AN47" i="73"/>
  <c r="AM47" i="73"/>
  <c r="AL47" i="73"/>
  <c r="AK47" i="73"/>
  <c r="AJ47" i="73"/>
  <c r="AI47" i="73"/>
  <c r="AH47" i="73"/>
  <c r="AG47" i="73"/>
  <c r="AF47" i="73"/>
  <c r="AE47" i="73"/>
  <c r="AD47" i="73"/>
  <c r="AC47" i="73"/>
  <c r="AB47" i="73"/>
  <c r="AA47" i="73"/>
  <c r="Z47" i="73"/>
  <c r="Y47" i="73"/>
  <c r="X47" i="73"/>
  <c r="W47" i="73"/>
  <c r="V47" i="73"/>
  <c r="U47" i="73"/>
  <c r="T47" i="73"/>
  <c r="S47" i="73"/>
  <c r="R47" i="73"/>
  <c r="Q47" i="73"/>
  <c r="P47" i="73"/>
  <c r="O47" i="73"/>
  <c r="N47" i="73"/>
  <c r="M47" i="73"/>
  <c r="L47" i="73"/>
  <c r="K47" i="73"/>
  <c r="J47" i="73"/>
  <c r="I47" i="73"/>
  <c r="H47" i="73"/>
  <c r="G47" i="73"/>
  <c r="F47" i="73"/>
  <c r="E47" i="73"/>
  <c r="D47" i="73"/>
  <c r="D46" i="73"/>
  <c r="D45" i="73"/>
  <c r="D44" i="73"/>
  <c r="DO42" i="73"/>
  <c r="DN42" i="73"/>
  <c r="DM42" i="73"/>
  <c r="DL42" i="73"/>
  <c r="DK42" i="73"/>
  <c r="DI42" i="73"/>
  <c r="DH42" i="73"/>
  <c r="DG42" i="73"/>
  <c r="DF42" i="73"/>
  <c r="DE42" i="73"/>
  <c r="DD42" i="73"/>
  <c r="DC42" i="73"/>
  <c r="DB42" i="73"/>
  <c r="DA42" i="73"/>
  <c r="CZ42" i="73"/>
  <c r="CY42" i="73"/>
  <c r="CX42" i="73"/>
  <c r="CW42" i="73"/>
  <c r="CV42" i="73"/>
  <c r="CU42" i="73"/>
  <c r="CT42" i="73"/>
  <c r="CS42" i="73"/>
  <c r="CR42" i="73"/>
  <c r="CQ42" i="73"/>
  <c r="CP42" i="73"/>
  <c r="CO42" i="73"/>
  <c r="CN42" i="73"/>
  <c r="CM42" i="73"/>
  <c r="CL42" i="73"/>
  <c r="CK42" i="73"/>
  <c r="CJ42" i="73"/>
  <c r="CI42" i="73"/>
  <c r="CH42" i="73"/>
  <c r="CG42" i="73"/>
  <c r="CF42" i="73"/>
  <c r="CE42" i="73"/>
  <c r="CD42" i="73"/>
  <c r="CC42" i="73"/>
  <c r="CB42" i="73"/>
  <c r="CA42" i="73"/>
  <c r="BZ42" i="73"/>
  <c r="BY42" i="73"/>
  <c r="BX42" i="73"/>
  <c r="BW42" i="73"/>
  <c r="BV42" i="73"/>
  <c r="BU42" i="73"/>
  <c r="BT42" i="73"/>
  <c r="BS42" i="73"/>
  <c r="BR42" i="73"/>
  <c r="BQ42" i="73"/>
  <c r="BP42" i="73"/>
  <c r="BO42" i="73"/>
  <c r="BN42" i="73"/>
  <c r="BM42" i="73"/>
  <c r="BL42" i="73"/>
  <c r="BK42" i="73"/>
  <c r="BJ42" i="73"/>
  <c r="BI42" i="73"/>
  <c r="BH42" i="73"/>
  <c r="BG42" i="73"/>
  <c r="BF42" i="73"/>
  <c r="BE42" i="73"/>
  <c r="BD42" i="73"/>
  <c r="BC42" i="73"/>
  <c r="BB42" i="73"/>
  <c r="BA42" i="73"/>
  <c r="AZ42" i="73"/>
  <c r="AY42" i="73"/>
  <c r="AX42" i="73"/>
  <c r="AW42" i="73"/>
  <c r="AV42" i="73"/>
  <c r="AU42" i="73"/>
  <c r="AT42" i="73"/>
  <c r="AS42" i="73"/>
  <c r="AR42" i="73"/>
  <c r="AQ42" i="73"/>
  <c r="AP42" i="73"/>
  <c r="AO42" i="73"/>
  <c r="AN42" i="73"/>
  <c r="AM42" i="73"/>
  <c r="AL42" i="73"/>
  <c r="AK42" i="73"/>
  <c r="AJ42" i="73"/>
  <c r="AI42" i="73"/>
  <c r="AH42" i="73"/>
  <c r="AG42" i="73"/>
  <c r="AF42" i="73"/>
  <c r="AE42" i="73"/>
  <c r="AD42" i="73"/>
  <c r="AC42" i="73"/>
  <c r="AB42" i="73"/>
  <c r="AA42" i="73"/>
  <c r="Z42" i="73"/>
  <c r="Y42" i="73"/>
  <c r="X42" i="73"/>
  <c r="M42" i="73"/>
  <c r="L42" i="73"/>
  <c r="K42" i="73"/>
  <c r="J42" i="73"/>
  <c r="I42" i="73"/>
  <c r="H42" i="73"/>
  <c r="G42" i="73"/>
  <c r="F42" i="73"/>
  <c r="E42" i="73"/>
  <c r="D42" i="73"/>
  <c r="D41" i="73"/>
  <c r="D40" i="73"/>
  <c r="D39" i="73"/>
  <c r="DP37" i="73"/>
  <c r="DO37" i="73"/>
  <c r="DN37" i="73"/>
  <c r="DM37" i="73"/>
  <c r="DL37" i="73"/>
  <c r="DK37" i="73"/>
  <c r="DI37" i="73"/>
  <c r="DH37" i="73"/>
  <c r="DG37" i="73"/>
  <c r="DF37" i="73"/>
  <c r="DE37" i="73"/>
  <c r="DD37" i="73"/>
  <c r="DC37" i="73"/>
  <c r="DB37" i="73"/>
  <c r="DA37" i="73"/>
  <c r="CZ37" i="73"/>
  <c r="CY37" i="73"/>
  <c r="CX37" i="73"/>
  <c r="CW37" i="73"/>
  <c r="CV37" i="73"/>
  <c r="CU37" i="73"/>
  <c r="CT37" i="73"/>
  <c r="CS37" i="73"/>
  <c r="CR37" i="73"/>
  <c r="CQ37" i="73"/>
  <c r="CP37" i="73"/>
  <c r="CO37" i="73"/>
  <c r="CN37" i="73"/>
  <c r="CM37" i="73"/>
  <c r="CL37" i="73"/>
  <c r="CK37" i="73"/>
  <c r="CJ37" i="73"/>
  <c r="CI37" i="73"/>
  <c r="CH37" i="73"/>
  <c r="CG37" i="73"/>
  <c r="CF37" i="73"/>
  <c r="CE37" i="73"/>
  <c r="CD37" i="73"/>
  <c r="CC37" i="73"/>
  <c r="CB37" i="73"/>
  <c r="CA37" i="73"/>
  <c r="BZ37" i="73"/>
  <c r="BY37" i="73"/>
  <c r="BX37" i="73"/>
  <c r="BW37" i="73"/>
  <c r="BV37" i="73"/>
  <c r="BU37" i="73"/>
  <c r="BT37" i="73"/>
  <c r="BS37" i="73"/>
  <c r="BR37" i="73"/>
  <c r="BQ37" i="73"/>
  <c r="BP37" i="73"/>
  <c r="BO37" i="73"/>
  <c r="BN37" i="73"/>
  <c r="BM37" i="73"/>
  <c r="BL37" i="73"/>
  <c r="BK37" i="73"/>
  <c r="BJ37" i="73"/>
  <c r="BI37" i="73"/>
  <c r="BH37" i="73"/>
  <c r="BG37" i="73"/>
  <c r="BF37" i="73"/>
  <c r="BE37" i="73"/>
  <c r="BD37" i="73"/>
  <c r="BC37" i="73"/>
  <c r="BB37" i="73"/>
  <c r="BA37" i="73"/>
  <c r="AZ37" i="73"/>
  <c r="AY37" i="73"/>
  <c r="AX37" i="73"/>
  <c r="AW37" i="73"/>
  <c r="AV37" i="73"/>
  <c r="AU37" i="73"/>
  <c r="AT37" i="73"/>
  <c r="AS37" i="73"/>
  <c r="AR37" i="73"/>
  <c r="AQ37" i="73"/>
  <c r="AP37" i="73"/>
  <c r="AO37" i="73"/>
  <c r="AN37" i="73"/>
  <c r="AM37" i="73"/>
  <c r="AL37" i="73"/>
  <c r="AK37" i="73"/>
  <c r="AJ37" i="73"/>
  <c r="AI37" i="73"/>
  <c r="AH37" i="73"/>
  <c r="AG37" i="73"/>
  <c r="AF37" i="73"/>
  <c r="AE37" i="73"/>
  <c r="AD37" i="73"/>
  <c r="AC37" i="73"/>
  <c r="AB37" i="73"/>
  <c r="AA37" i="73"/>
  <c r="Z37" i="73"/>
  <c r="Y37" i="73"/>
  <c r="X37" i="73"/>
  <c r="W37" i="73"/>
  <c r="V37" i="73"/>
  <c r="U37" i="73"/>
  <c r="T37" i="73"/>
  <c r="S37" i="73"/>
  <c r="R37" i="73"/>
  <c r="Q37" i="73"/>
  <c r="P37" i="73"/>
  <c r="O37" i="73"/>
  <c r="N37" i="73"/>
  <c r="M37" i="73"/>
  <c r="L37" i="73"/>
  <c r="K37" i="73"/>
  <c r="J37" i="73"/>
  <c r="I37" i="73"/>
  <c r="H37" i="73"/>
  <c r="G37" i="73"/>
  <c r="F37" i="73"/>
  <c r="E37" i="73"/>
  <c r="D37" i="73"/>
  <c r="D36" i="73"/>
  <c r="D35" i="73"/>
  <c r="D34" i="73"/>
  <c r="AW110" i="83" l="1"/>
  <c r="AO50" i="68"/>
  <c r="AO45" i="68"/>
  <c r="AO31" i="68"/>
  <c r="AO28" i="68"/>
  <c r="AO26" i="68"/>
  <c r="AO23" i="68"/>
  <c r="AP5" i="68"/>
  <c r="AP63" i="68" s="1"/>
  <c r="AO22" i="65"/>
  <c r="AO19" i="65"/>
  <c r="AO11" i="65"/>
  <c r="AO81" i="71"/>
  <c r="AO80" i="71"/>
  <c r="AO79" i="71"/>
  <c r="AO78" i="71"/>
  <c r="AO77" i="71"/>
  <c r="AO76" i="71"/>
  <c r="AO75" i="71"/>
  <c r="AO74" i="71"/>
  <c r="AO73" i="71"/>
  <c r="AO72" i="71"/>
  <c r="AO71" i="71"/>
  <c r="AO70" i="71"/>
  <c r="AO69" i="71"/>
  <c r="AO68" i="71"/>
  <c r="AO67" i="71"/>
  <c r="AO66" i="71"/>
  <c r="AO65" i="71"/>
  <c r="AO64" i="71"/>
  <c r="AO15" i="53"/>
  <c r="AO17" i="53" s="1"/>
  <c r="AO8" i="53"/>
  <c r="AO10" i="53" s="1"/>
  <c r="AO49" i="52"/>
  <c r="AO48" i="52"/>
  <c r="AO46" i="52"/>
  <c r="AO45" i="52"/>
  <c r="AO44" i="52"/>
  <c r="AO43" i="52"/>
  <c r="AO42" i="52"/>
  <c r="AO41" i="52"/>
  <c r="AO40" i="52"/>
  <c r="AO39" i="52"/>
  <c r="AO38" i="52"/>
  <c r="AO19" i="52"/>
  <c r="AO52" i="49"/>
  <c r="AO51" i="49"/>
  <c r="AO50" i="49"/>
  <c r="AO49" i="49"/>
  <c r="AO48" i="49"/>
  <c r="AO47" i="49"/>
  <c r="AO46" i="49"/>
  <c r="AO45" i="49"/>
  <c r="AO44" i="49"/>
  <c r="AO43" i="49"/>
  <c r="AO42" i="49"/>
  <c r="AO77" i="46"/>
  <c r="AO76" i="46"/>
  <c r="AO75" i="46"/>
  <c r="AO72" i="46"/>
  <c r="AO66" i="46"/>
  <c r="AO53" i="46"/>
  <c r="AO47" i="46"/>
  <c r="AO34" i="46"/>
  <c r="AO28" i="46"/>
  <c r="AO20" i="46"/>
  <c r="AO19" i="46"/>
  <c r="AO18" i="46"/>
  <c r="AO15" i="46"/>
  <c r="AO9" i="46"/>
  <c r="AO26" i="45"/>
  <c r="AO23" i="45"/>
  <c r="AO13" i="45"/>
  <c r="AO14" i="45" s="1"/>
  <c r="AO19" i="44"/>
  <c r="AO15" i="44"/>
  <c r="AO12" i="44"/>
  <c r="AO43" i="33"/>
  <c r="AO40" i="33"/>
  <c r="AO39" i="33"/>
  <c r="AO37" i="33"/>
  <c r="AO35" i="33"/>
  <c r="AO34" i="33"/>
  <c r="AO31" i="33"/>
  <c r="AO17" i="33"/>
  <c r="AO46" i="61"/>
  <c r="AO45" i="61"/>
  <c r="AO44" i="61"/>
  <c r="AO43" i="61"/>
  <c r="AO42" i="61"/>
  <c r="AO41" i="61"/>
  <c r="AO40" i="61"/>
  <c r="AO39" i="61"/>
  <c r="AO38" i="61"/>
  <c r="AO35" i="61"/>
  <c r="AO32" i="61"/>
  <c r="AO19" i="61"/>
  <c r="AO20" i="61" s="1"/>
  <c r="AO16" i="61"/>
  <c r="AO12" i="31"/>
  <c r="AO11" i="31" s="1"/>
  <c r="AO15" i="30"/>
  <c r="AO18" i="30" s="1"/>
  <c r="AO7" i="30"/>
  <c r="AO10" i="30" s="1"/>
  <c r="AO259" i="73"/>
  <c r="AO253" i="73"/>
  <c r="AO251" i="73"/>
  <c r="AO245" i="73"/>
  <c r="AO243" i="73"/>
  <c r="AO237" i="73"/>
  <c r="AO235" i="73"/>
  <c r="AO229" i="73"/>
  <c r="AO221" i="73"/>
  <c r="AO217" i="73"/>
  <c r="AO215" i="73"/>
  <c r="AO208" i="73"/>
  <c r="AO133" i="73" s="1"/>
  <c r="AO206" i="73"/>
  <c r="AO197" i="73"/>
  <c r="AO188" i="73"/>
  <c r="AO179" i="73"/>
  <c r="AO173" i="73"/>
  <c r="AO165" i="73" s="1"/>
  <c r="AO171" i="73"/>
  <c r="AO163" i="73"/>
  <c r="AO155" i="73"/>
  <c r="AO147" i="73"/>
  <c r="AO139" i="73"/>
  <c r="AO131" i="73"/>
  <c r="AO123" i="73"/>
  <c r="AO117" i="73"/>
  <c r="AO101" i="73" s="1"/>
  <c r="AO115" i="73"/>
  <c r="AO107" i="73"/>
  <c r="AO320" i="73" s="1"/>
  <c r="AO99" i="73"/>
  <c r="AO91" i="73"/>
  <c r="AO83" i="73"/>
  <c r="AO73" i="73"/>
  <c r="AO63" i="73"/>
  <c r="AO55" i="73"/>
  <c r="AO32" i="73"/>
  <c r="AO27" i="73"/>
  <c r="AO22" i="73"/>
  <c r="AO301" i="73"/>
  <c r="AO295" i="73"/>
  <c r="AO289" i="73"/>
  <c r="AO11" i="73"/>
  <c r="AO9" i="73"/>
  <c r="AO6" i="73"/>
  <c r="AR110" i="9"/>
  <c r="AR109" i="9"/>
  <c r="AR111" i="9" s="1"/>
  <c r="AR112" i="9" s="1"/>
  <c r="AR113" i="9" s="1"/>
  <c r="AG51" i="9"/>
  <c r="AG49" i="9"/>
  <c r="AO45" i="9"/>
  <c r="AO18" i="9"/>
  <c r="AG18" i="9"/>
  <c r="AG13" i="9"/>
  <c r="AG12" i="9"/>
  <c r="AO22" i="67"/>
  <c r="AO17" i="67"/>
  <c r="AO20" i="67" s="1"/>
  <c r="AO13" i="67"/>
  <c r="AO9" i="67"/>
  <c r="U94" i="63"/>
  <c r="AO79" i="63"/>
  <c r="AO54" i="63"/>
  <c r="X29" i="63"/>
  <c r="AO13" i="63"/>
  <c r="AO12" i="63"/>
  <c r="AO41" i="12"/>
  <c r="AO40" i="12"/>
  <c r="AO38" i="12"/>
  <c r="AO37" i="12"/>
  <c r="AO13" i="12"/>
  <c r="AO11" i="12"/>
  <c r="AO9" i="12"/>
  <c r="AO37" i="10"/>
  <c r="AO10" i="10"/>
  <c r="AO7" i="12" s="1"/>
  <c r="AO37" i="1"/>
  <c r="AO9" i="1"/>
  <c r="AO6" i="12" s="1"/>
  <c r="AO11" i="2"/>
  <c r="AO5" i="2"/>
  <c r="AP1" i="2"/>
  <c r="AO61" i="3"/>
  <c r="AO42" i="3"/>
  <c r="AG7" i="9" s="1"/>
  <c r="AO33" i="3"/>
  <c r="AO23" i="3"/>
  <c r="AO6" i="3"/>
  <c r="AO59" i="46" l="1"/>
  <c r="AT7" i="2"/>
  <c r="AO51" i="68"/>
  <c r="AO40" i="46"/>
  <c r="AO11" i="1"/>
  <c r="AO13" i="1" s="1"/>
  <c r="AO15" i="1" s="1"/>
  <c r="AO35" i="1" s="1"/>
  <c r="AO36" i="1" s="1"/>
  <c r="AO78" i="46"/>
  <c r="AO18" i="44"/>
  <c r="AT8" i="2"/>
  <c r="AO39" i="3"/>
  <c r="AO21" i="46"/>
  <c r="AO36" i="12"/>
  <c r="AO22" i="44"/>
  <c r="AO32" i="68"/>
  <c r="AO8" i="12"/>
  <c r="AO297" i="73"/>
  <c r="AO39" i="73"/>
  <c r="AO44" i="73"/>
  <c r="AO34" i="73"/>
  <c r="AO190" i="73"/>
  <c r="AO29" i="73"/>
  <c r="AO109" i="73"/>
  <c r="AO65" i="73"/>
  <c r="AO75" i="73"/>
  <c r="AO85" i="73"/>
  <c r="AO141" i="73"/>
  <c r="AO93" i="73"/>
  <c r="AO149" i="73"/>
  <c r="AO57" i="73"/>
  <c r="AO49" i="73"/>
  <c r="AO157" i="73"/>
  <c r="AR115" i="9"/>
  <c r="AR114" i="9"/>
  <c r="AO12" i="10"/>
  <c r="AO14" i="10" s="1"/>
  <c r="AO16" i="10" s="1"/>
  <c r="AO35" i="10" s="1"/>
  <c r="AO36" i="10" s="1"/>
  <c r="AO19" i="73"/>
  <c r="AO125" i="73"/>
  <c r="AG8" i="9"/>
  <c r="AO24" i="73"/>
  <c r="AO181" i="73"/>
  <c r="AO285" i="73"/>
  <c r="AO199" i="73"/>
  <c r="AO291" i="73"/>
  <c r="AG6" i="9"/>
  <c r="AR116" i="9" l="1"/>
  <c r="AR117" i="9"/>
  <c r="AO10" i="12"/>
  <c r="AO12" i="12" s="1"/>
  <c r="AO14" i="12" s="1"/>
  <c r="AO34" i="12" l="1"/>
  <c r="AO39" i="12"/>
  <c r="AO35" i="12" l="1"/>
  <c r="AO78" i="3"/>
  <c r="AO90" i="3" s="1"/>
  <c r="AO91" i="3" s="1"/>
  <c r="AO28" i="2"/>
  <c r="X18" i="63" s="1"/>
  <c r="AO40" i="1"/>
  <c r="AO43" i="1" s="1"/>
  <c r="AO45" i="1" s="1"/>
  <c r="AO48" i="1" s="1"/>
  <c r="AO40" i="10"/>
  <c r="AO43" i="10" s="1"/>
  <c r="AO45" i="10" s="1"/>
  <c r="AO48" i="10" s="1"/>
  <c r="AO43" i="12"/>
  <c r="AO42" i="12"/>
  <c r="AO33" i="67"/>
  <c r="AO29" i="67"/>
  <c r="AO2" i="76"/>
  <c r="AO323" i="73"/>
  <c r="AO322" i="73"/>
  <c r="AO321" i="73"/>
  <c r="AO4" i="77"/>
  <c r="Y25" i="13"/>
  <c r="Y24" i="13"/>
  <c r="AO13" i="24"/>
  <c r="AO20" i="26"/>
  <c r="AO10" i="26"/>
  <c r="AO12" i="26" s="1"/>
  <c r="AO17" i="29"/>
  <c r="AO16" i="29"/>
  <c r="AO13" i="29"/>
  <c r="AO8" i="29"/>
  <c r="AO24" i="30"/>
  <c r="AO21" i="30"/>
  <c r="AO22" i="30" s="1"/>
  <c r="AO28" i="31"/>
  <c r="AO27" i="31"/>
  <c r="AO26" i="31"/>
  <c r="AO25" i="31"/>
  <c r="AO24" i="31"/>
  <c r="AO21" i="31"/>
  <c r="AO20" i="31" s="1"/>
  <c r="AO29" i="32"/>
  <c r="AO28" i="32"/>
  <c r="AO27" i="32"/>
  <c r="AO26" i="32"/>
  <c r="AO25" i="32"/>
  <c r="AO50" i="61"/>
  <c r="AO49" i="61"/>
  <c r="AO47" i="61"/>
  <c r="AO48" i="61" s="1"/>
  <c r="AO44" i="33"/>
  <c r="AO45" i="33" s="1"/>
  <c r="AO24" i="34"/>
  <c r="AO23" i="34"/>
  <c r="AO21" i="34"/>
  <c r="AO18" i="39"/>
  <c r="AO9" i="39"/>
  <c r="AO37" i="85"/>
  <c r="AO26" i="85"/>
  <c r="AO18" i="85"/>
  <c r="AO11" i="85"/>
  <c r="AO6" i="85"/>
  <c r="AO14" i="85" s="1"/>
  <c r="AO5" i="85"/>
  <c r="AO13" i="85" s="1"/>
  <c r="AO31" i="45"/>
  <c r="AO30" i="45"/>
  <c r="AO29" i="45"/>
  <c r="AO28" i="45"/>
  <c r="AO27" i="45"/>
  <c r="AO112" i="46"/>
  <c r="AO111" i="46"/>
  <c r="AO110" i="46"/>
  <c r="AO109" i="46"/>
  <c r="AO108" i="46"/>
  <c r="AO107" i="46"/>
  <c r="AO8" i="72"/>
  <c r="AO24" i="48"/>
  <c r="AO56" i="49"/>
  <c r="AO55" i="49"/>
  <c r="AO53" i="49"/>
  <c r="AO50" i="52"/>
  <c r="AO23" i="53"/>
  <c r="AO21" i="53"/>
  <c r="AO20" i="53"/>
  <c r="AO88" i="71"/>
  <c r="AO87" i="71"/>
  <c r="AO86" i="71"/>
  <c r="AO85" i="71"/>
  <c r="AO84" i="71"/>
  <c r="AO83" i="71"/>
  <c r="AO82" i="71"/>
  <c r="AO26" i="65"/>
  <c r="AO25" i="65"/>
  <c r="AO24" i="65"/>
  <c r="AO23" i="65"/>
  <c r="AO13" i="55"/>
  <c r="AO4" i="55"/>
  <c r="AO92" i="68"/>
  <c r="AO80" i="68"/>
  <c r="AO69" i="68"/>
  <c r="AO54" i="68"/>
  <c r="AW85" i="83"/>
  <c r="AW72" i="83"/>
  <c r="D290" i="77"/>
  <c r="AF290" i="77"/>
  <c r="B208" i="77"/>
  <c r="AO39" i="67" l="1"/>
  <c r="AO44" i="12"/>
  <c r="AO48" i="12" s="1"/>
  <c r="AO50" i="12" s="1"/>
  <c r="AO38" i="85"/>
  <c r="AO33" i="45"/>
  <c r="AO22" i="53"/>
  <c r="AO24" i="53" s="1"/>
  <c r="AO25" i="30"/>
  <c r="AO27" i="65"/>
  <c r="AO30" i="48"/>
  <c r="AO18" i="29"/>
  <c r="AO27" i="34"/>
  <c r="AO51" i="61"/>
  <c r="AO30" i="31"/>
  <c r="AO29" i="31" s="1"/>
  <c r="AO24" i="55"/>
  <c r="AO13" i="26"/>
  <c r="AG17" i="9"/>
  <c r="AO22" i="26"/>
  <c r="AO23" i="26" s="1"/>
  <c r="AO30" i="2"/>
  <c r="AW23" i="83" l="1"/>
  <c r="BG9" i="1" l="1"/>
  <c r="BG37" i="1"/>
  <c r="BG11" i="1" l="1"/>
  <c r="BG13" i="1" s="1"/>
  <c r="BG15" i="1" s="1"/>
  <c r="BG35" i="1" s="1"/>
  <c r="BG36" i="1" s="1"/>
  <c r="BL7" i="2"/>
  <c r="BA27" i="32"/>
  <c r="BA28" i="32"/>
  <c r="BA29" i="32"/>
  <c r="BA15" i="30"/>
  <c r="D23" i="23"/>
  <c r="K23" i="23" s="1"/>
  <c r="D22" i="23"/>
  <c r="K22" i="23" s="1"/>
  <c r="D21" i="23"/>
  <c r="K21" i="23" s="1"/>
  <c r="D20" i="23"/>
  <c r="K20" i="23" s="1"/>
  <c r="D19" i="23"/>
  <c r="K19" i="23" s="1"/>
  <c r="D18" i="23"/>
  <c r="K18" i="23" s="1"/>
  <c r="D127" i="9"/>
  <c r="D373" i="79"/>
  <c r="D372" i="79"/>
  <c r="D371" i="79"/>
  <c r="D370" i="79"/>
  <c r="D369" i="79"/>
  <c r="D368" i="79"/>
  <c r="D367" i="79"/>
  <c r="BH49" i="12"/>
  <c r="BH24" i="12"/>
  <c r="BH22" i="12"/>
  <c r="BH20" i="12"/>
  <c r="BH18" i="12"/>
  <c r="BH17" i="12"/>
  <c r="BH16" i="12"/>
  <c r="BH15" i="12"/>
  <c r="BG37" i="10"/>
  <c r="BH37" i="10"/>
  <c r="BH10" i="10"/>
  <c r="BM8" i="2" s="1"/>
  <c r="BH37" i="1"/>
  <c r="BH9" i="1"/>
  <c r="BM7" i="2" s="1"/>
  <c r="AO59" i="68"/>
  <c r="AO60" i="68" s="1"/>
  <c r="AO61" i="68" s="1"/>
  <c r="AO41" i="33"/>
  <c r="BA23" i="30" l="1"/>
  <c r="BA22" i="30"/>
  <c r="BA24" i="30"/>
  <c r="AZ12" i="31"/>
  <c r="BH51" i="9"/>
  <c r="BA18" i="30"/>
  <c r="AO78" i="68"/>
  <c r="AZ25" i="55"/>
  <c r="BA13" i="29"/>
  <c r="I23" i="23"/>
  <c r="E23" i="23"/>
  <c r="H23" i="23"/>
  <c r="AO36" i="33"/>
  <c r="AO42" i="33" s="1"/>
  <c r="AO28" i="33"/>
  <c r="AO21" i="72"/>
  <c r="AO38" i="33"/>
  <c r="AO14" i="33"/>
  <c r="AO18" i="33" s="1"/>
  <c r="AZ13" i="24"/>
  <c r="BH11" i="1"/>
  <c r="BH12" i="10"/>
  <c r="AZ21" i="31"/>
  <c r="F23" i="23"/>
  <c r="BA10" i="26"/>
  <c r="G23" i="23"/>
  <c r="BA20" i="26"/>
  <c r="BA22" i="26" s="1"/>
  <c r="BA23" i="26" s="1"/>
  <c r="BA25" i="32"/>
  <c r="BA26" i="32"/>
  <c r="BA7" i="30"/>
  <c r="BA10" i="30" s="1"/>
  <c r="BA8" i="29"/>
  <c r="BH52" i="9" l="1"/>
  <c r="BA25" i="30"/>
  <c r="BA18" i="29"/>
  <c r="BA12" i="26"/>
  <c r="BA13" i="26" s="1"/>
  <c r="AO24" i="72"/>
  <c r="BH8" i="12"/>
  <c r="BH10" i="12"/>
  <c r="BH13" i="1"/>
  <c r="BH15" i="1" s="1"/>
  <c r="BH14" i="10"/>
  <c r="BH16" i="10" s="1"/>
  <c r="BM6" i="2"/>
  <c r="AZ30" i="31"/>
  <c r="BA11" i="30" l="1"/>
  <c r="BH12" i="12"/>
  <c r="BH14" i="12" s="1"/>
  <c r="BH40" i="10"/>
  <c r="BH35" i="10"/>
  <c r="BH35" i="1"/>
  <c r="BH40" i="1"/>
  <c r="BM10" i="2"/>
  <c r="DP314" i="73"/>
  <c r="DP316" i="73" s="1"/>
  <c r="DP32" i="73"/>
  <c r="DP321" i="73" s="1"/>
  <c r="DP27" i="73"/>
  <c r="DP320" i="73" s="1"/>
  <c r="DP22" i="73"/>
  <c r="DP11" i="73"/>
  <c r="DP19" i="73" s="1"/>
  <c r="DP9" i="73"/>
  <c r="DP6" i="73"/>
  <c r="BH43" i="10" l="1"/>
  <c r="BH45" i="10" s="1"/>
  <c r="BH48" i="10" s="1"/>
  <c r="BH43" i="1"/>
  <c r="BH45" i="1" s="1"/>
  <c r="BH48" i="1" s="1"/>
  <c r="DP29" i="73"/>
  <c r="AZ11" i="53"/>
  <c r="BH34" i="12"/>
  <c r="BH39" i="12"/>
  <c r="BM16" i="2"/>
  <c r="BH36" i="1"/>
  <c r="BH36" i="10"/>
  <c r="DP39" i="73"/>
  <c r="DP44" i="73"/>
  <c r="DP34" i="73"/>
  <c r="DP24" i="73"/>
  <c r="BH35" i="12" l="1"/>
  <c r="BM19" i="2"/>
  <c r="BH42" i="12"/>
  <c r="BH44" i="12" s="1"/>
  <c r="BH48" i="12" s="1"/>
  <c r="DO32" i="73"/>
  <c r="DO27" i="73"/>
  <c r="DO22" i="73"/>
  <c r="DO301" i="73"/>
  <c r="DO321" i="73" s="1"/>
  <c r="DO295" i="73"/>
  <c r="DO320" i="73" s="1"/>
  <c r="DO289" i="73"/>
  <c r="DO11" i="73"/>
  <c r="DO9" i="73"/>
  <c r="DO6" i="73"/>
  <c r="BM24" i="2" l="1"/>
  <c r="BM26" i="2" s="1"/>
  <c r="BM28" i="2" s="1"/>
  <c r="AV18" i="63" s="1"/>
  <c r="BH50" i="12"/>
  <c r="DO285" i="73"/>
  <c r="DO44" i="73"/>
  <c r="DO39" i="73"/>
  <c r="DO34" i="73"/>
  <c r="DO291" i="73"/>
  <c r="DO297" i="73"/>
  <c r="DO19" i="73"/>
  <c r="DO24" i="73"/>
  <c r="DO29" i="73"/>
  <c r="BM30" i="2" l="1"/>
  <c r="L10" i="76" l="1"/>
  <c r="D10" i="76"/>
  <c r="DN32" i="73" l="1"/>
  <c r="DN27" i="73"/>
  <c r="DN22" i="73"/>
  <c r="DN301" i="73"/>
  <c r="DN321" i="73" s="1"/>
  <c r="DN295" i="73"/>
  <c r="DN320" i="73" s="1"/>
  <c r="DN289" i="73"/>
  <c r="DN11" i="73"/>
  <c r="DN9" i="73"/>
  <c r="DN6" i="73"/>
  <c r="DN24" i="73" l="1"/>
  <c r="DN44" i="73"/>
  <c r="DN34" i="73"/>
  <c r="DN39" i="73"/>
  <c r="DN29" i="73"/>
  <c r="DN297" i="73"/>
  <c r="DN285" i="73"/>
  <c r="DN291" i="73"/>
  <c r="DN19" i="73"/>
  <c r="X31" i="9" l="1"/>
  <c r="W31" i="9"/>
  <c r="V31" i="9"/>
  <c r="U31" i="9"/>
  <c r="T31" i="9"/>
  <c r="S31" i="9"/>
  <c r="R31" i="9"/>
  <c r="Q31" i="9"/>
  <c r="P31" i="9"/>
  <c r="O31" i="9"/>
  <c r="N31" i="9"/>
  <c r="M31" i="9"/>
  <c r="L31" i="9"/>
  <c r="K31" i="9"/>
  <c r="J31" i="9"/>
  <c r="I31" i="9"/>
  <c r="AZ9" i="39" l="1"/>
  <c r="K40" i="38" l="1"/>
  <c r="DB41" i="85"/>
  <c r="DA41" i="85"/>
  <c r="CZ41" i="85"/>
  <c r="GD39" i="85"/>
  <c r="H38" i="85"/>
  <c r="GS37" i="85"/>
  <c r="GN37" i="85"/>
  <c r="GM37" i="85"/>
  <c r="GK37" i="85"/>
  <c r="GG37" i="85"/>
  <c r="GE37" i="85"/>
  <c r="GA37" i="85"/>
  <c r="FY37" i="85"/>
  <c r="FW37" i="85"/>
  <c r="FV37" i="85"/>
  <c r="FU37" i="85"/>
  <c r="FS37" i="85"/>
  <c r="FR37" i="85"/>
  <c r="FQ37" i="85"/>
  <c r="FN37" i="85"/>
  <c r="FM37" i="85"/>
  <c r="FJ37" i="85"/>
  <c r="FI37" i="85"/>
  <c r="FG37" i="85"/>
  <c r="FF37" i="85"/>
  <c r="FE37" i="85"/>
  <c r="FB37" i="85"/>
  <c r="FA37" i="85"/>
  <c r="EY37" i="85"/>
  <c r="EX37" i="85"/>
  <c r="EW37" i="85"/>
  <c r="EU37" i="85"/>
  <c r="ET37" i="85"/>
  <c r="ES37" i="85"/>
  <c r="EQ37" i="85"/>
  <c r="EP37" i="85"/>
  <c r="EO37" i="85"/>
  <c r="EM37" i="85"/>
  <c r="EL37" i="85"/>
  <c r="EK37" i="85"/>
  <c r="EI37" i="85"/>
  <c r="EH37" i="85"/>
  <c r="EG37" i="85"/>
  <c r="EE37" i="85"/>
  <c r="ED37" i="85"/>
  <c r="EC37" i="85"/>
  <c r="EB37" i="85"/>
  <c r="DY41" i="85" s="1"/>
  <c r="EA37" i="85"/>
  <c r="DZ37" i="85"/>
  <c r="DY37" i="85"/>
  <c r="DW37" i="85"/>
  <c r="DV37" i="85"/>
  <c r="DU37" i="85"/>
  <c r="DS37" i="85"/>
  <c r="DR37" i="85"/>
  <c r="DQ37" i="85"/>
  <c r="DO37" i="85"/>
  <c r="DN37" i="85"/>
  <c r="DM37" i="85"/>
  <c r="DK37" i="85"/>
  <c r="DJ37" i="85"/>
  <c r="DI37" i="85"/>
  <c r="DG37" i="85"/>
  <c r="DF37" i="85"/>
  <c r="DE37" i="85"/>
  <c r="DD37" i="85"/>
  <c r="DM41" i="85" s="1"/>
  <c r="DC37" i="85"/>
  <c r="DB37" i="85"/>
  <c r="DA37" i="85"/>
  <c r="CY37" i="85"/>
  <c r="CX37" i="85"/>
  <c r="CW37" i="85"/>
  <c r="CO37" i="85"/>
  <c r="CN37" i="85"/>
  <c r="CL37" i="85"/>
  <c r="CK37" i="85"/>
  <c r="CJ37" i="85"/>
  <c r="CH37" i="85"/>
  <c r="CG37" i="85"/>
  <c r="CF37" i="85"/>
  <c r="CD37" i="85"/>
  <c r="CC37" i="85"/>
  <c r="CB37" i="85"/>
  <c r="BZ37" i="85"/>
  <c r="BY37" i="85"/>
  <c r="BX37" i="85"/>
  <c r="BV37" i="85"/>
  <c r="BU37" i="85"/>
  <c r="BT37" i="85"/>
  <c r="BR37" i="85"/>
  <c r="BQ37" i="85"/>
  <c r="BP37" i="85"/>
  <c r="BC37" i="85"/>
  <c r="BB37" i="85"/>
  <c r="BA37" i="85"/>
  <c r="AY37" i="85"/>
  <c r="AX37" i="85"/>
  <c r="AW37" i="85"/>
  <c r="AU37" i="85"/>
  <c r="AT37" i="85"/>
  <c r="AS37" i="85"/>
  <c r="AR37" i="85"/>
  <c r="AQ37" i="85"/>
  <c r="AP37" i="85"/>
  <c r="AN37" i="85"/>
  <c r="AM37" i="85"/>
  <c r="AL37" i="85"/>
  <c r="AK37" i="85"/>
  <c r="AJ37" i="85"/>
  <c r="AI37" i="85"/>
  <c r="AH37" i="85"/>
  <c r="AG37" i="85"/>
  <c r="AF37" i="85"/>
  <c r="AE37" i="85"/>
  <c r="AD37" i="85"/>
  <c r="AC37" i="85"/>
  <c r="AB37" i="85"/>
  <c r="AA37" i="85"/>
  <c r="Z37" i="85"/>
  <c r="Y37" i="85"/>
  <c r="X37" i="85"/>
  <c r="W37" i="85"/>
  <c r="V37" i="85"/>
  <c r="U37" i="85"/>
  <c r="T37" i="85"/>
  <c r="S37" i="85"/>
  <c r="R37" i="85"/>
  <c r="Q37" i="85"/>
  <c r="P37" i="85"/>
  <c r="O37" i="85"/>
  <c r="N37" i="85"/>
  <c r="M37" i="85"/>
  <c r="L37" i="85"/>
  <c r="K37" i="85"/>
  <c r="J37" i="85"/>
  <c r="I37" i="85"/>
  <c r="H37" i="85"/>
  <c r="GV36" i="85"/>
  <c r="HB36" i="85" s="1"/>
  <c r="GD36" i="85"/>
  <c r="GJ36" i="85" s="1"/>
  <c r="CP36" i="85"/>
  <c r="CS36" i="85" s="1"/>
  <c r="CV36" i="85" s="1"/>
  <c r="CV37" i="85" s="1"/>
  <c r="DK41" i="85" s="1"/>
  <c r="CA36" i="85"/>
  <c r="CE36" i="85" s="1"/>
  <c r="CI36" i="85" s="1"/>
  <c r="GV35" i="85"/>
  <c r="HB35" i="85" s="1"/>
  <c r="GD35" i="85"/>
  <c r="GJ35" i="85" s="1"/>
  <c r="BS35" i="85"/>
  <c r="BW35" i="85" s="1"/>
  <c r="CA35" i="85" s="1"/>
  <c r="CE35" i="85" s="1"/>
  <c r="CI35" i="85" s="1"/>
  <c r="AV35" i="85"/>
  <c r="AZ35" i="85" s="1"/>
  <c r="BD35" i="85" s="1"/>
  <c r="H35" i="85"/>
  <c r="GQ37" i="85"/>
  <c r="H34" i="85"/>
  <c r="GH37" i="85"/>
  <c r="GB37" i="85"/>
  <c r="FO37" i="85"/>
  <c r="FK37" i="85"/>
  <c r="FC37" i="85"/>
  <c r="EF33" i="85"/>
  <c r="EJ33" i="85" s="1"/>
  <c r="EN33" i="85" s="1"/>
  <c r="ER33" i="85" s="1"/>
  <c r="EV33" i="85" s="1"/>
  <c r="EZ33" i="85" s="1"/>
  <c r="DH33" i="85"/>
  <c r="DL33" i="85" s="1"/>
  <c r="DP33" i="85" s="1"/>
  <c r="DT33" i="85" s="1"/>
  <c r="DX33" i="85" s="1"/>
  <c r="BS33" i="85"/>
  <c r="BW33" i="85" s="1"/>
  <c r="CA33" i="85" s="1"/>
  <c r="CE33" i="85" s="1"/>
  <c r="CI33" i="85" s="1"/>
  <c r="CM33" i="85" s="1"/>
  <c r="CP33" i="85" s="1"/>
  <c r="CS33" i="85" s="1"/>
  <c r="AV33" i="85"/>
  <c r="AZ33" i="85" s="1"/>
  <c r="BD33" i="85" s="1"/>
  <c r="H33" i="85"/>
  <c r="GV32" i="85"/>
  <c r="HB32" i="85" s="1"/>
  <c r="GD32" i="85"/>
  <c r="GJ32" i="85" s="1"/>
  <c r="BS32" i="85"/>
  <c r="BW32" i="85" s="1"/>
  <c r="CA32" i="85" s="1"/>
  <c r="CE32" i="85" s="1"/>
  <c r="CI32" i="85" s="1"/>
  <c r="AV32" i="85"/>
  <c r="AZ32" i="85" s="1"/>
  <c r="BD32" i="85" s="1"/>
  <c r="H32" i="85"/>
  <c r="GV31" i="85"/>
  <c r="HB31" i="85" s="1"/>
  <c r="EF31" i="85"/>
  <c r="EJ31" i="85" s="1"/>
  <c r="EN31" i="85" s="1"/>
  <c r="DH31" i="85"/>
  <c r="DL31" i="85" s="1"/>
  <c r="DP31" i="85" s="1"/>
  <c r="DT31" i="85" s="1"/>
  <c r="DX31" i="85" s="1"/>
  <c r="BS31" i="85"/>
  <c r="BW31" i="85" s="1"/>
  <c r="CA31" i="85" s="1"/>
  <c r="CE31" i="85" s="1"/>
  <c r="CI31" i="85" s="1"/>
  <c r="CM31" i="85" s="1"/>
  <c r="CP31" i="85" s="1"/>
  <c r="CS31" i="85" s="1"/>
  <c r="AV31" i="85"/>
  <c r="AZ31" i="85" s="1"/>
  <c r="BD31" i="85" s="1"/>
  <c r="H31" i="85"/>
  <c r="GV30" i="85"/>
  <c r="HB30" i="85" s="1"/>
  <c r="EF30" i="85"/>
  <c r="DH30" i="85"/>
  <c r="DL30" i="85" s="1"/>
  <c r="DP30" i="85" s="1"/>
  <c r="DT30" i="85" s="1"/>
  <c r="DX30" i="85" s="1"/>
  <c r="BS30" i="85"/>
  <c r="BW30" i="85" s="1"/>
  <c r="CA30" i="85" s="1"/>
  <c r="CE30" i="85" s="1"/>
  <c r="CI30" i="85" s="1"/>
  <c r="CM30" i="85" s="1"/>
  <c r="CP30" i="85" s="1"/>
  <c r="CS30" i="85" s="1"/>
  <c r="AV30" i="85"/>
  <c r="AZ30" i="85" s="1"/>
  <c r="BD30" i="85" s="1"/>
  <c r="H30" i="85"/>
  <c r="GV29" i="85"/>
  <c r="HB29" i="85" s="1"/>
  <c r="EF29" i="85"/>
  <c r="EJ29" i="85" s="1"/>
  <c r="DH29" i="85"/>
  <c r="DL29" i="85" s="1"/>
  <c r="DP29" i="85" s="1"/>
  <c r="DT29" i="85" s="1"/>
  <c r="DX29" i="85" s="1"/>
  <c r="BS29" i="85"/>
  <c r="BW29" i="85" s="1"/>
  <c r="CA29" i="85" s="1"/>
  <c r="CE29" i="85" s="1"/>
  <c r="CI29" i="85" s="1"/>
  <c r="CM29" i="85" s="1"/>
  <c r="CP29" i="85" s="1"/>
  <c r="CS29" i="85" s="1"/>
  <c r="AV29" i="85"/>
  <c r="AZ29" i="85" s="1"/>
  <c r="BD29" i="85" s="1"/>
  <c r="H29" i="85"/>
  <c r="GV28" i="85"/>
  <c r="HB28" i="85" s="1"/>
  <c r="EF28" i="85"/>
  <c r="EJ28" i="85" s="1"/>
  <c r="EN28" i="85" s="1"/>
  <c r="ER28" i="85" s="1"/>
  <c r="EV28" i="85" s="1"/>
  <c r="EZ28" i="85" s="1"/>
  <c r="FD28" i="85" s="1"/>
  <c r="FH28" i="85" s="1"/>
  <c r="FL28" i="85" s="1"/>
  <c r="FP28" i="85" s="1"/>
  <c r="FT28" i="85" s="1"/>
  <c r="FX28" i="85" s="1"/>
  <c r="GD28" i="85" s="1"/>
  <c r="GJ28" i="85" s="1"/>
  <c r="DH28" i="85"/>
  <c r="DL28" i="85" s="1"/>
  <c r="DP28" i="85" s="1"/>
  <c r="DT28" i="85" s="1"/>
  <c r="DX28" i="85" s="1"/>
  <c r="BS28" i="85"/>
  <c r="BW28" i="85" s="1"/>
  <c r="CA28" i="85" s="1"/>
  <c r="CE28" i="85" s="1"/>
  <c r="CI28" i="85" s="1"/>
  <c r="CM28" i="85" s="1"/>
  <c r="CP28" i="85" s="1"/>
  <c r="CS28" i="85" s="1"/>
  <c r="AV28" i="85"/>
  <c r="AZ28" i="85" s="1"/>
  <c r="BD28" i="85" s="1"/>
  <c r="H28" i="85"/>
  <c r="GV27" i="85"/>
  <c r="HB27" i="85" s="1"/>
  <c r="EF27" i="85"/>
  <c r="DH27" i="85"/>
  <c r="BS27" i="85"/>
  <c r="BW27" i="85" s="1"/>
  <c r="AV27" i="85"/>
  <c r="H27" i="85"/>
  <c r="GT26" i="85"/>
  <c r="GS26" i="85"/>
  <c r="GQ26" i="85"/>
  <c r="GN26" i="85"/>
  <c r="GM26" i="85"/>
  <c r="GK26" i="85"/>
  <c r="GH26" i="85"/>
  <c r="GG26" i="85"/>
  <c r="GE26" i="85"/>
  <c r="GB26" i="85"/>
  <c r="GA26" i="85"/>
  <c r="FY26" i="85"/>
  <c r="FO26" i="85"/>
  <c r="FN26" i="85"/>
  <c r="FM26" i="85"/>
  <c r="FK26" i="85"/>
  <c r="FJ26" i="85"/>
  <c r="FI26" i="85"/>
  <c r="FG26" i="85"/>
  <c r="FF26" i="85"/>
  <c r="FE26" i="85"/>
  <c r="FC26" i="85"/>
  <c r="FB26" i="85"/>
  <c r="FA26" i="85"/>
  <c r="EY26" i="85"/>
  <c r="EX26" i="85"/>
  <c r="EW26" i="85"/>
  <c r="EU26" i="85"/>
  <c r="ET26" i="85"/>
  <c r="ES26" i="85"/>
  <c r="EQ26" i="85"/>
  <c r="EP26" i="85"/>
  <c r="EO26" i="85"/>
  <c r="EM26" i="85"/>
  <c r="EL26" i="85"/>
  <c r="EK26" i="85"/>
  <c r="EI26" i="85"/>
  <c r="EH26" i="85"/>
  <c r="EG26" i="85"/>
  <c r="EE26" i="85"/>
  <c r="ED26" i="85"/>
  <c r="EC26" i="85"/>
  <c r="EA26" i="85"/>
  <c r="DZ26" i="85"/>
  <c r="DY26" i="85"/>
  <c r="DW26" i="85"/>
  <c r="DV26" i="85"/>
  <c r="DU26" i="85"/>
  <c r="DS26" i="85"/>
  <c r="DR26" i="85"/>
  <c r="DQ26" i="85"/>
  <c r="DO26" i="85"/>
  <c r="DN26" i="85"/>
  <c r="DM26" i="85"/>
  <c r="DK26" i="85"/>
  <c r="DJ26" i="85"/>
  <c r="DI26" i="85"/>
  <c r="DG26" i="85"/>
  <c r="DF26" i="85"/>
  <c r="DE26" i="85"/>
  <c r="DC26" i="85"/>
  <c r="DB26" i="85"/>
  <c r="DA26" i="85"/>
  <c r="CY26" i="85"/>
  <c r="CX26" i="85"/>
  <c r="CW26" i="85"/>
  <c r="CR26" i="85"/>
  <c r="CQ26" i="85"/>
  <c r="CO26" i="85"/>
  <c r="CN26" i="85"/>
  <c r="CL26" i="85"/>
  <c r="CK26" i="85"/>
  <c r="CJ26" i="85"/>
  <c r="CH26" i="85"/>
  <c r="CG26" i="85"/>
  <c r="CF26" i="85"/>
  <c r="CD26" i="85"/>
  <c r="CC26" i="85"/>
  <c r="CB26" i="85"/>
  <c r="BZ26" i="85"/>
  <c r="BY26" i="85"/>
  <c r="BX26" i="85"/>
  <c r="BR26" i="85"/>
  <c r="BQ26" i="85"/>
  <c r="BP26" i="85"/>
  <c r="BC26" i="85"/>
  <c r="BB26" i="85"/>
  <c r="BA26" i="85"/>
  <c r="AY26" i="85"/>
  <c r="AX26" i="85"/>
  <c r="AW26" i="85"/>
  <c r="AU26" i="85"/>
  <c r="AT26" i="85"/>
  <c r="AS26" i="85"/>
  <c r="AR26" i="85"/>
  <c r="AQ26" i="85"/>
  <c r="AP26" i="85"/>
  <c r="AN26" i="85"/>
  <c r="AM26" i="85"/>
  <c r="AL26" i="85"/>
  <c r="AK26" i="85"/>
  <c r="AJ26" i="85"/>
  <c r="AI26" i="85"/>
  <c r="AH26" i="85"/>
  <c r="AG26" i="85"/>
  <c r="AF26" i="85"/>
  <c r="AE26" i="85"/>
  <c r="AD26" i="85"/>
  <c r="AC26" i="85"/>
  <c r="AB26" i="85"/>
  <c r="AA26" i="85"/>
  <c r="Z26" i="85"/>
  <c r="Y26" i="85"/>
  <c r="X26" i="85"/>
  <c r="W26" i="85"/>
  <c r="V26" i="85"/>
  <c r="U26" i="85"/>
  <c r="T26" i="85"/>
  <c r="S26" i="85"/>
  <c r="R26" i="85"/>
  <c r="Q26" i="85"/>
  <c r="P26" i="85"/>
  <c r="O26" i="85"/>
  <c r="N26" i="85"/>
  <c r="M26" i="85"/>
  <c r="L26" i="85"/>
  <c r="K26" i="85"/>
  <c r="J26" i="85"/>
  <c r="I26" i="85"/>
  <c r="H26" i="85"/>
  <c r="BS25" i="85"/>
  <c r="AV25" i="85"/>
  <c r="AZ25" i="85" s="1"/>
  <c r="BD25" i="85" s="1"/>
  <c r="H25" i="85"/>
  <c r="BS24" i="85"/>
  <c r="BW24" i="85" s="1"/>
  <c r="AV24" i="85"/>
  <c r="AZ24" i="85" s="1"/>
  <c r="BD24" i="85" s="1"/>
  <c r="H24" i="85"/>
  <c r="BS23" i="85"/>
  <c r="BW23" i="85" s="1"/>
  <c r="AV23" i="85"/>
  <c r="AZ23" i="85" s="1"/>
  <c r="BD23" i="85" s="1"/>
  <c r="H23" i="85"/>
  <c r="BS22" i="85"/>
  <c r="BW22" i="85" s="1"/>
  <c r="AV22" i="85"/>
  <c r="AZ22" i="85" s="1"/>
  <c r="BD22" i="85" s="1"/>
  <c r="H22" i="85"/>
  <c r="BS21" i="85"/>
  <c r="BW21" i="85" s="1"/>
  <c r="AV21" i="85"/>
  <c r="AZ21" i="85" s="1"/>
  <c r="BD21" i="85" s="1"/>
  <c r="H21" i="85"/>
  <c r="BS20" i="85"/>
  <c r="BW20" i="85" s="1"/>
  <c r="CA20" i="85" s="1"/>
  <c r="AV20" i="85"/>
  <c r="AZ20" i="85" s="1"/>
  <c r="BD20" i="85" s="1"/>
  <c r="H20" i="85"/>
  <c r="BS19" i="85"/>
  <c r="BW19" i="85" s="1"/>
  <c r="CA19" i="85" s="1"/>
  <c r="AV19" i="85"/>
  <c r="AZ19" i="85" s="1"/>
  <c r="BD19" i="85" s="1"/>
  <c r="H19" i="85"/>
  <c r="GO18" i="85"/>
  <c r="GO38" i="85" s="1"/>
  <c r="GN18" i="85"/>
  <c r="GM18" i="85"/>
  <c r="GL18" i="85"/>
  <c r="GL38" i="85" s="1"/>
  <c r="GK18" i="85"/>
  <c r="GJ18" i="85"/>
  <c r="GI18" i="85"/>
  <c r="GI38" i="85" s="1"/>
  <c r="GH18" i="85"/>
  <c r="GG18" i="85"/>
  <c r="GE18" i="85"/>
  <c r="GC18" i="85"/>
  <c r="GC38" i="85" s="1"/>
  <c r="GB18" i="85"/>
  <c r="GA18" i="85"/>
  <c r="FZ18" i="85"/>
  <c r="FY18" i="85"/>
  <c r="FW18" i="85"/>
  <c r="FV18" i="85"/>
  <c r="FU18" i="85"/>
  <c r="FS18" i="85"/>
  <c r="FR18" i="85"/>
  <c r="FQ18" i="85"/>
  <c r="FO18" i="85"/>
  <c r="FN18" i="85"/>
  <c r="FM18" i="85"/>
  <c r="FK18" i="85"/>
  <c r="FJ18" i="85"/>
  <c r="FI18" i="85"/>
  <c r="FG18" i="85"/>
  <c r="FF18" i="85"/>
  <c r="FE18" i="85"/>
  <c r="FC18" i="85"/>
  <c r="FB18" i="85"/>
  <c r="FA18" i="85"/>
  <c r="EY18" i="85"/>
  <c r="EX18" i="85"/>
  <c r="EW18" i="85"/>
  <c r="EU18" i="85"/>
  <c r="ET18" i="85"/>
  <c r="ES18" i="85"/>
  <c r="EQ18" i="85"/>
  <c r="EP18" i="85"/>
  <c r="EO18" i="85"/>
  <c r="EM18" i="85"/>
  <c r="EL18" i="85"/>
  <c r="EK18" i="85"/>
  <c r="EI18" i="85"/>
  <c r="EH18" i="85"/>
  <c r="EG18" i="85"/>
  <c r="EE18" i="85"/>
  <c r="ED18" i="85"/>
  <c r="EC18" i="85"/>
  <c r="EB18" i="85"/>
  <c r="EA18" i="85"/>
  <c r="DZ18" i="85"/>
  <c r="DY18" i="85"/>
  <c r="DW18" i="85"/>
  <c r="DV18" i="85"/>
  <c r="DU18" i="85"/>
  <c r="DS18" i="85"/>
  <c r="DR18" i="85"/>
  <c r="DQ18" i="85"/>
  <c r="DO18" i="85"/>
  <c r="DN18" i="85"/>
  <c r="DM18" i="85"/>
  <c r="DK18" i="85"/>
  <c r="DJ18" i="85"/>
  <c r="DI18" i="85"/>
  <c r="DG18" i="85"/>
  <c r="DF18" i="85"/>
  <c r="DE18" i="85"/>
  <c r="DD18" i="85"/>
  <c r="DC18" i="85"/>
  <c r="DB18" i="85"/>
  <c r="DA18" i="85"/>
  <c r="CZ18" i="85"/>
  <c r="CY18" i="85"/>
  <c r="CX18" i="85"/>
  <c r="CW18" i="85"/>
  <c r="CR18" i="85"/>
  <c r="CQ18" i="85"/>
  <c r="CO18" i="85"/>
  <c r="CN18" i="85"/>
  <c r="CL18" i="85"/>
  <c r="CK18" i="85"/>
  <c r="CJ18" i="85"/>
  <c r="CH18" i="85"/>
  <c r="CG18" i="85"/>
  <c r="CF18" i="85"/>
  <c r="CD18" i="85"/>
  <c r="CC18" i="85"/>
  <c r="CB18" i="85"/>
  <c r="BZ18" i="85"/>
  <c r="BY18" i="85"/>
  <c r="BX18" i="85"/>
  <c r="BV18" i="85"/>
  <c r="BU18" i="85"/>
  <c r="BT18" i="85"/>
  <c r="BS18" i="85"/>
  <c r="BR18" i="85"/>
  <c r="BQ18" i="85"/>
  <c r="BP18" i="85"/>
  <c r="BK18" i="85"/>
  <c r="BO18" i="85" s="1"/>
  <c r="BC18" i="85"/>
  <c r="BB18" i="85"/>
  <c r="BA18" i="85"/>
  <c r="AY18" i="85"/>
  <c r="AX18" i="85"/>
  <c r="AW18" i="85"/>
  <c r="AU18" i="85"/>
  <c r="AT18" i="85"/>
  <c r="AS18" i="85"/>
  <c r="AQ18" i="85"/>
  <c r="AP18" i="85"/>
  <c r="AM18" i="85"/>
  <c r="AL18" i="85"/>
  <c r="AK18" i="85"/>
  <c r="AJ18" i="85"/>
  <c r="AI18" i="85"/>
  <c r="AH18" i="85"/>
  <c r="AG18" i="85"/>
  <c r="AF18" i="85"/>
  <c r="AE18" i="85"/>
  <c r="AD18" i="85"/>
  <c r="AC18" i="85"/>
  <c r="AB18" i="85"/>
  <c r="AA18" i="85"/>
  <c r="Z18" i="85"/>
  <c r="Y18" i="85"/>
  <c r="X18" i="85"/>
  <c r="W18" i="85"/>
  <c r="V18" i="85"/>
  <c r="U18" i="85"/>
  <c r="T18" i="85"/>
  <c r="S18" i="85"/>
  <c r="R18" i="85"/>
  <c r="Q18" i="85"/>
  <c r="P18" i="85"/>
  <c r="O18" i="85"/>
  <c r="N18" i="85"/>
  <c r="M18" i="85"/>
  <c r="L18" i="85"/>
  <c r="K18" i="85"/>
  <c r="J18" i="85"/>
  <c r="I18" i="85"/>
  <c r="H18" i="85"/>
  <c r="DH17" i="85"/>
  <c r="BW17" i="85"/>
  <c r="H17" i="85"/>
  <c r="GV16" i="85"/>
  <c r="HB16" i="85" s="1"/>
  <c r="DH16" i="85"/>
  <c r="DL16" i="85" s="1"/>
  <c r="BW16" i="85"/>
  <c r="CA16" i="85" s="1"/>
  <c r="CE16" i="85" s="1"/>
  <c r="H16" i="85"/>
  <c r="GU18" i="85"/>
  <c r="GU38" i="85" s="1"/>
  <c r="GS18" i="85"/>
  <c r="EF15" i="85"/>
  <c r="EJ15" i="85" s="1"/>
  <c r="DH15" i="85"/>
  <c r="BW15" i="85"/>
  <c r="CA15" i="85" s="1"/>
  <c r="BK15" i="85"/>
  <c r="BO15" i="85" s="1"/>
  <c r="AN15" i="85"/>
  <c r="AR15" i="85" s="1"/>
  <c r="AR18" i="85" s="1"/>
  <c r="H15" i="85"/>
  <c r="FX14" i="85"/>
  <c r="FW14" i="85"/>
  <c r="FV14" i="85"/>
  <c r="FU14" i="85"/>
  <c r="FU13" i="85"/>
  <c r="H13" i="85"/>
  <c r="GT11" i="85"/>
  <c r="GO11" i="85"/>
  <c r="GN11" i="85"/>
  <c r="GM11" i="85"/>
  <c r="GL11" i="85"/>
  <c r="GK11" i="85"/>
  <c r="GI11" i="85"/>
  <c r="GH11" i="85"/>
  <c r="GG11" i="85"/>
  <c r="GF11" i="85"/>
  <c r="GE11" i="85"/>
  <c r="GC11" i="85"/>
  <c r="GB11" i="85"/>
  <c r="GA11" i="85"/>
  <c r="FZ11" i="85"/>
  <c r="FY11" i="85"/>
  <c r="FW11" i="85"/>
  <c r="FV11" i="85"/>
  <c r="FU11" i="85"/>
  <c r="FS11" i="85"/>
  <c r="FR11" i="85"/>
  <c r="FQ11" i="85"/>
  <c r="FO11" i="85"/>
  <c r="FN11" i="85"/>
  <c r="FM11" i="85"/>
  <c r="FK11" i="85"/>
  <c r="FJ11" i="85"/>
  <c r="FI11" i="85"/>
  <c r="FG11" i="85"/>
  <c r="FF11" i="85"/>
  <c r="FE11" i="85"/>
  <c r="FC11" i="85"/>
  <c r="EY11" i="85"/>
  <c r="EX11" i="85"/>
  <c r="EW11" i="85"/>
  <c r="EU11" i="85"/>
  <c r="ET11" i="85"/>
  <c r="ES11" i="85"/>
  <c r="EQ11" i="85"/>
  <c r="EP11" i="85"/>
  <c r="EO11" i="85"/>
  <c r="EM11" i="85"/>
  <c r="EL11" i="85"/>
  <c r="EK11" i="85"/>
  <c r="EI11" i="85"/>
  <c r="EE11" i="85"/>
  <c r="EA11" i="85"/>
  <c r="DZ11" i="85"/>
  <c r="DY11" i="85"/>
  <c r="DW11" i="85"/>
  <c r="DV11" i="85"/>
  <c r="DU11" i="85"/>
  <c r="DS11" i="85"/>
  <c r="DR11" i="85"/>
  <c r="DQ11" i="85"/>
  <c r="DO11" i="85"/>
  <c r="DN11" i="85"/>
  <c r="DM11" i="85"/>
  <c r="DJ11" i="85"/>
  <c r="DI11" i="85"/>
  <c r="DF11" i="85"/>
  <c r="DE11" i="85"/>
  <c r="DB11" i="85"/>
  <c r="DA11" i="85"/>
  <c r="CX11" i="85"/>
  <c r="CW11" i="85"/>
  <c r="CR11" i="85"/>
  <c r="CQ11" i="85"/>
  <c r="CO11" i="85"/>
  <c r="CN11" i="85"/>
  <c r="BY11" i="85"/>
  <c r="BX11" i="85"/>
  <c r="BU11" i="85"/>
  <c r="BT11" i="85"/>
  <c r="BQ11" i="85"/>
  <c r="BP11" i="85"/>
  <c r="BJ11" i="85"/>
  <c r="BI11" i="85"/>
  <c r="BC11" i="85"/>
  <c r="BB11" i="85"/>
  <c r="BA11" i="85"/>
  <c r="AY11" i="85"/>
  <c r="AX11" i="85"/>
  <c r="AW11" i="85"/>
  <c r="AU11" i="85"/>
  <c r="AT11" i="85"/>
  <c r="AS11" i="85"/>
  <c r="AQ11" i="85"/>
  <c r="AP11" i="85"/>
  <c r="AM11" i="85"/>
  <c r="AL11" i="85"/>
  <c r="AK11" i="85"/>
  <c r="AJ11" i="85"/>
  <c r="AI11" i="85"/>
  <c r="AH11" i="85"/>
  <c r="AG11" i="85"/>
  <c r="AF11" i="85"/>
  <c r="AE11" i="85"/>
  <c r="AD11" i="85"/>
  <c r="AC11" i="85"/>
  <c r="AB11" i="85"/>
  <c r="AA11" i="85"/>
  <c r="Z11" i="85"/>
  <c r="Y11" i="85"/>
  <c r="X11" i="85"/>
  <c r="W11" i="85"/>
  <c r="V11" i="85"/>
  <c r="U11" i="85"/>
  <c r="T11" i="85"/>
  <c r="S11" i="85"/>
  <c r="R11" i="85"/>
  <c r="Q11" i="85"/>
  <c r="P11" i="85"/>
  <c r="O11" i="85"/>
  <c r="N11" i="85"/>
  <c r="M11" i="85"/>
  <c r="L11" i="85"/>
  <c r="K11" i="85"/>
  <c r="J11" i="85"/>
  <c r="I11" i="85"/>
  <c r="H11" i="85"/>
  <c r="DH10" i="85"/>
  <c r="DL10" i="85" s="1"/>
  <c r="DP10" i="85" s="1"/>
  <c r="DT10" i="85" s="1"/>
  <c r="DX10" i="85" s="1"/>
  <c r="EB10" i="85" s="1"/>
  <c r="BW10" i="85"/>
  <c r="CA10" i="85" s="1"/>
  <c r="CE10" i="85" s="1"/>
  <c r="CI10" i="85" s="1"/>
  <c r="CM10" i="85" s="1"/>
  <c r="CP10" i="85" s="1"/>
  <c r="CS10" i="85" s="1"/>
  <c r="BK10" i="85"/>
  <c r="AN10" i="85"/>
  <c r="AR10" i="85" s="1"/>
  <c r="AV10" i="85" s="1"/>
  <c r="AZ10" i="85" s="1"/>
  <c r="BD10" i="85" s="1"/>
  <c r="H10" i="85"/>
  <c r="DH9" i="85"/>
  <c r="DL9" i="85" s="1"/>
  <c r="DP9" i="85" s="1"/>
  <c r="DT9" i="85" s="1"/>
  <c r="DX9" i="85" s="1"/>
  <c r="EB9" i="85" s="1"/>
  <c r="BW9" i="85"/>
  <c r="CA9" i="85" s="1"/>
  <c r="CE9" i="85" s="1"/>
  <c r="CI9" i="85" s="1"/>
  <c r="CM9" i="85" s="1"/>
  <c r="CP9" i="85" s="1"/>
  <c r="CS9" i="85" s="1"/>
  <c r="BK9" i="85"/>
  <c r="AN9" i="85"/>
  <c r="AR9" i="85" s="1"/>
  <c r="AV9" i="85" s="1"/>
  <c r="AZ9" i="85" s="1"/>
  <c r="BD9" i="85" s="1"/>
  <c r="H9" i="85"/>
  <c r="FP8" i="85"/>
  <c r="FT8" i="85" s="1"/>
  <c r="FX8" i="85" s="1"/>
  <c r="GD8" i="85" s="1"/>
  <c r="H8" i="85"/>
  <c r="GU11" i="85"/>
  <c r="DH7" i="85"/>
  <c r="DL7" i="85" s="1"/>
  <c r="DP7" i="85" s="1"/>
  <c r="DT7" i="85" s="1"/>
  <c r="DX7" i="85" s="1"/>
  <c r="EB7" i="85" s="1"/>
  <c r="EF7" i="85" s="1"/>
  <c r="EJ7" i="85" s="1"/>
  <c r="EN7" i="85" s="1"/>
  <c r="ER7" i="85" s="1"/>
  <c r="EV7" i="85" s="1"/>
  <c r="EZ7" i="85" s="1"/>
  <c r="FD7" i="85" s="1"/>
  <c r="FH7" i="85" s="1"/>
  <c r="FL7" i="85" s="1"/>
  <c r="FP7" i="85" s="1"/>
  <c r="FT7" i="85" s="1"/>
  <c r="FX7" i="85" s="1"/>
  <c r="CC7" i="85"/>
  <c r="CC11" i="85" s="1"/>
  <c r="CB7" i="85"/>
  <c r="CB11" i="85" s="1"/>
  <c r="BW7" i="85"/>
  <c r="CA7" i="85" s="1"/>
  <c r="BK7" i="85"/>
  <c r="AN7" i="85"/>
  <c r="AR7" i="85" s="1"/>
  <c r="AV7" i="85" s="1"/>
  <c r="AZ7" i="85" s="1"/>
  <c r="BD7" i="85" s="1"/>
  <c r="H7" i="85"/>
  <c r="GV6" i="85"/>
  <c r="GV14" i="85" s="1"/>
  <c r="GU6" i="85"/>
  <c r="GU14" i="85" s="1"/>
  <c r="GT6" i="85"/>
  <c r="GT14" i="85" s="1"/>
  <c r="GS6" i="85"/>
  <c r="GS14" i="85" s="1"/>
  <c r="GR6" i="85"/>
  <c r="GR14" i="85" s="1"/>
  <c r="GQ6" i="85"/>
  <c r="GQ14" i="85" s="1"/>
  <c r="GP6" i="85"/>
  <c r="GP14" i="85" s="1"/>
  <c r="GO6" i="85"/>
  <c r="GO14" i="85" s="1"/>
  <c r="GN6" i="85"/>
  <c r="GN14" i="85" s="1"/>
  <c r="GM6" i="85"/>
  <c r="GM14" i="85" s="1"/>
  <c r="GL6" i="85"/>
  <c r="GL14" i="85" s="1"/>
  <c r="GK6" i="85"/>
  <c r="GK14" i="85" s="1"/>
  <c r="GJ6" i="85"/>
  <c r="GJ14" i="85" s="1"/>
  <c r="GI6" i="85"/>
  <c r="GI14" i="85" s="1"/>
  <c r="GH6" i="85"/>
  <c r="GH14" i="85" s="1"/>
  <c r="GG6" i="85"/>
  <c r="GG14" i="85" s="1"/>
  <c r="GF6" i="85"/>
  <c r="GF14" i="85" s="1"/>
  <c r="GE6" i="85"/>
  <c r="GE14" i="85" s="1"/>
  <c r="GD6" i="85"/>
  <c r="GD14" i="85" s="1"/>
  <c r="GC6" i="85"/>
  <c r="GC14" i="85" s="1"/>
  <c r="GB6" i="85"/>
  <c r="GB14" i="85" s="1"/>
  <c r="GA6" i="85"/>
  <c r="GA14" i="85" s="1"/>
  <c r="FZ6" i="85"/>
  <c r="FZ14" i="85" s="1"/>
  <c r="FY6" i="85"/>
  <c r="FY14" i="85" s="1"/>
  <c r="FX6" i="85"/>
  <c r="FW6" i="85"/>
  <c r="FV6" i="85"/>
  <c r="FU6" i="85"/>
  <c r="FT6" i="85"/>
  <c r="FT14" i="85" s="1"/>
  <c r="FS6" i="85"/>
  <c r="FS14" i="85" s="1"/>
  <c r="FR6" i="85"/>
  <c r="FR14" i="85" s="1"/>
  <c r="FQ6" i="85"/>
  <c r="FQ14" i="85" s="1"/>
  <c r="FP6" i="85"/>
  <c r="FP14" i="85" s="1"/>
  <c r="FO6" i="85"/>
  <c r="FO14" i="85" s="1"/>
  <c r="FN6" i="85"/>
  <c r="FN14" i="85" s="1"/>
  <c r="FM6" i="85"/>
  <c r="FM14" i="85" s="1"/>
  <c r="FL6" i="85"/>
  <c r="FL14" i="85" s="1"/>
  <c r="FK6" i="85"/>
  <c r="FK14" i="85" s="1"/>
  <c r="FJ6" i="85"/>
  <c r="FJ14" i="85" s="1"/>
  <c r="FI6" i="85"/>
  <c r="FI14" i="85" s="1"/>
  <c r="FH6" i="85"/>
  <c r="FH14" i="85" s="1"/>
  <c r="FG6" i="85"/>
  <c r="FG14" i="85" s="1"/>
  <c r="FF6" i="85"/>
  <c r="FF14" i="85" s="1"/>
  <c r="FE6" i="85"/>
  <c r="FE14" i="85" s="1"/>
  <c r="FD6" i="85"/>
  <c r="FD14" i="85" s="1"/>
  <c r="FC6" i="85"/>
  <c r="FC14" i="85" s="1"/>
  <c r="FB6" i="85"/>
  <c r="FB14" i="85" s="1"/>
  <c r="FA6" i="85"/>
  <c r="FA14" i="85" s="1"/>
  <c r="EZ6" i="85"/>
  <c r="EZ14" i="85" s="1"/>
  <c r="EY6" i="85"/>
  <c r="EY14" i="85" s="1"/>
  <c r="EX6" i="85"/>
  <c r="EX14" i="85" s="1"/>
  <c r="EW6" i="85"/>
  <c r="EW14" i="85" s="1"/>
  <c r="EV6" i="85"/>
  <c r="EV14" i="85" s="1"/>
  <c r="EU6" i="85"/>
  <c r="EU14" i="85" s="1"/>
  <c r="ET6" i="85"/>
  <c r="ET14" i="85" s="1"/>
  <c r="ES6" i="85"/>
  <c r="ES14" i="85" s="1"/>
  <c r="ER6" i="85"/>
  <c r="ER14" i="85" s="1"/>
  <c r="EQ6" i="85"/>
  <c r="EQ14" i="85" s="1"/>
  <c r="EP6" i="85"/>
  <c r="EP14" i="85" s="1"/>
  <c r="EO6" i="85"/>
  <c r="EO14" i="85" s="1"/>
  <c r="EN6" i="85"/>
  <c r="EN14" i="85" s="1"/>
  <c r="EM6" i="85"/>
  <c r="EM14" i="85" s="1"/>
  <c r="EL6" i="85"/>
  <c r="EL14" i="85" s="1"/>
  <c r="EK6" i="85"/>
  <c r="EK14" i="85" s="1"/>
  <c r="EJ6" i="85"/>
  <c r="EJ14" i="85" s="1"/>
  <c r="EI6" i="85"/>
  <c r="EI14" i="85" s="1"/>
  <c r="EH6" i="85"/>
  <c r="EH14" i="85" s="1"/>
  <c r="EG6" i="85"/>
  <c r="EG14" i="85" s="1"/>
  <c r="EF6" i="85"/>
  <c r="EF14" i="85" s="1"/>
  <c r="EE6" i="85"/>
  <c r="EE14" i="85" s="1"/>
  <c r="ED6" i="85"/>
  <c r="ED14" i="85" s="1"/>
  <c r="EC6" i="85"/>
  <c r="EC14" i="85" s="1"/>
  <c r="EB6" i="85"/>
  <c r="EB14" i="85" s="1"/>
  <c r="EA6" i="85"/>
  <c r="EA14" i="85" s="1"/>
  <c r="DZ6" i="85"/>
  <c r="DZ14" i="85" s="1"/>
  <c r="DY6" i="85"/>
  <c r="DY14" i="85" s="1"/>
  <c r="DX6" i="85"/>
  <c r="DX14" i="85" s="1"/>
  <c r="DW6" i="85"/>
  <c r="DW14" i="85" s="1"/>
  <c r="DV6" i="85"/>
  <c r="DV14" i="85" s="1"/>
  <c r="DU6" i="85"/>
  <c r="DU14" i="85" s="1"/>
  <c r="DT6" i="85"/>
  <c r="DT14" i="85" s="1"/>
  <c r="DS6" i="85"/>
  <c r="DS14" i="85" s="1"/>
  <c r="DR6" i="85"/>
  <c r="DR14" i="85" s="1"/>
  <c r="DQ6" i="85"/>
  <c r="DQ14" i="85" s="1"/>
  <c r="DP6" i="85"/>
  <c r="DP14" i="85" s="1"/>
  <c r="DO6" i="85"/>
  <c r="DO14" i="85" s="1"/>
  <c r="DN6" i="85"/>
  <c r="DN14" i="85" s="1"/>
  <c r="DM6" i="85"/>
  <c r="DM14" i="85" s="1"/>
  <c r="DL6" i="85"/>
  <c r="DL14" i="85" s="1"/>
  <c r="DK6" i="85"/>
  <c r="DK14" i="85" s="1"/>
  <c r="DJ6" i="85"/>
  <c r="DJ14" i="85" s="1"/>
  <c r="DI6" i="85"/>
  <c r="DI14" i="85" s="1"/>
  <c r="DH6" i="85"/>
  <c r="DH14" i="85" s="1"/>
  <c r="DG6" i="85"/>
  <c r="DG14" i="85" s="1"/>
  <c r="DF6" i="85"/>
  <c r="DF14" i="85" s="1"/>
  <c r="DE6" i="85"/>
  <c r="DE14" i="85" s="1"/>
  <c r="DD6" i="85"/>
  <c r="DD14" i="85" s="1"/>
  <c r="DC6" i="85"/>
  <c r="DC14" i="85" s="1"/>
  <c r="DB6" i="85"/>
  <c r="DB14" i="85" s="1"/>
  <c r="DA6" i="85"/>
  <c r="DA14" i="85" s="1"/>
  <c r="CZ6" i="85"/>
  <c r="CZ14" i="85" s="1"/>
  <c r="CY6" i="85"/>
  <c r="CY14" i="85" s="1"/>
  <c r="CX6" i="85"/>
  <c r="CX14" i="85" s="1"/>
  <c r="CW6" i="85"/>
  <c r="CW14" i="85" s="1"/>
  <c r="CV6" i="85"/>
  <c r="CV14" i="85" s="1"/>
  <c r="CU6" i="85"/>
  <c r="CU14" i="85" s="1"/>
  <c r="CT6" i="85"/>
  <c r="CT14" i="85" s="1"/>
  <c r="CS6" i="85"/>
  <c r="CS14" i="85" s="1"/>
  <c r="CR6" i="85"/>
  <c r="CR14" i="85" s="1"/>
  <c r="CQ6" i="85"/>
  <c r="CQ14" i="85" s="1"/>
  <c r="CM6" i="85"/>
  <c r="CM14" i="85" s="1"/>
  <c r="CL6" i="85"/>
  <c r="CL14" i="85" s="1"/>
  <c r="CK6" i="85"/>
  <c r="CK14" i="85" s="1"/>
  <c r="CJ6" i="85"/>
  <c r="CJ14" i="85" s="1"/>
  <c r="CI6" i="85"/>
  <c r="CI14" i="85" s="1"/>
  <c r="CH6" i="85"/>
  <c r="CH14" i="85" s="1"/>
  <c r="CG6" i="85"/>
  <c r="CG14" i="85" s="1"/>
  <c r="CF6" i="85"/>
  <c r="CF14" i="85" s="1"/>
  <c r="CE6" i="85"/>
  <c r="CE14" i="85" s="1"/>
  <c r="CD6" i="85"/>
  <c r="CD14" i="85" s="1"/>
  <c r="CC6" i="85"/>
  <c r="CC14" i="85" s="1"/>
  <c r="CB6" i="85"/>
  <c r="CB14" i="85" s="1"/>
  <c r="CA6" i="85"/>
  <c r="CA14" i="85" s="1"/>
  <c r="BZ6" i="85"/>
  <c r="BZ14" i="85" s="1"/>
  <c r="BY6" i="85"/>
  <c r="BY14" i="85" s="1"/>
  <c r="BX6" i="85"/>
  <c r="BX14" i="85" s="1"/>
  <c r="BW6" i="85"/>
  <c r="BW14" i="85" s="1"/>
  <c r="BV6" i="85"/>
  <c r="BV14" i="85" s="1"/>
  <c r="BU6" i="85"/>
  <c r="BU14" i="85" s="1"/>
  <c r="BT6" i="85"/>
  <c r="BT14" i="85" s="1"/>
  <c r="BS6" i="85"/>
  <c r="BS14" i="85" s="1"/>
  <c r="BR6" i="85"/>
  <c r="BR14" i="85" s="1"/>
  <c r="BQ6" i="85"/>
  <c r="BQ14" i="85" s="1"/>
  <c r="BP6" i="85"/>
  <c r="BP14" i="85" s="1"/>
  <c r="BO6" i="85"/>
  <c r="BO14" i="85" s="1"/>
  <c r="BN6" i="85"/>
  <c r="BN14" i="85" s="1"/>
  <c r="BM6" i="85"/>
  <c r="BM14" i="85" s="1"/>
  <c r="BL6" i="85"/>
  <c r="BL14" i="85" s="1"/>
  <c r="BK6" i="85"/>
  <c r="BK14" i="85" s="1"/>
  <c r="BJ6" i="85"/>
  <c r="BJ14" i="85" s="1"/>
  <c r="BI6" i="85"/>
  <c r="BI14" i="85" s="1"/>
  <c r="BH6" i="85"/>
  <c r="BH14" i="85" s="1"/>
  <c r="BG6" i="85"/>
  <c r="BG14" i="85" s="1"/>
  <c r="BF6" i="85"/>
  <c r="BF14" i="85" s="1"/>
  <c r="BE6" i="85"/>
  <c r="BE14" i="85" s="1"/>
  <c r="BD6" i="85"/>
  <c r="BD14" i="85" s="1"/>
  <c r="BC6" i="85"/>
  <c r="BC14" i="85" s="1"/>
  <c r="BB6" i="85"/>
  <c r="BB14" i="85" s="1"/>
  <c r="BA6" i="85"/>
  <c r="BA14" i="85" s="1"/>
  <c r="AZ6" i="85"/>
  <c r="AZ14" i="85" s="1"/>
  <c r="AY6" i="85"/>
  <c r="AY14" i="85" s="1"/>
  <c r="AX6" i="85"/>
  <c r="AX14" i="85" s="1"/>
  <c r="AW6" i="85"/>
  <c r="AW14" i="85" s="1"/>
  <c r="AV6" i="85"/>
  <c r="AV14" i="85" s="1"/>
  <c r="AU6" i="85"/>
  <c r="AU14" i="85" s="1"/>
  <c r="AT6" i="85"/>
  <c r="AT14" i="85" s="1"/>
  <c r="AS6" i="85"/>
  <c r="AS14" i="85" s="1"/>
  <c r="AR6" i="85"/>
  <c r="AR14" i="85" s="1"/>
  <c r="AQ6" i="85"/>
  <c r="AQ14" i="85" s="1"/>
  <c r="AP6" i="85"/>
  <c r="AP14" i="85" s="1"/>
  <c r="AN6" i="85"/>
  <c r="AN14" i="85" s="1"/>
  <c r="AM6" i="85"/>
  <c r="AM14" i="85" s="1"/>
  <c r="AL6" i="85"/>
  <c r="AL14" i="85" s="1"/>
  <c r="AK6" i="85"/>
  <c r="AK14" i="85" s="1"/>
  <c r="AJ6" i="85"/>
  <c r="AJ14" i="85" s="1"/>
  <c r="AI6" i="85"/>
  <c r="AI14" i="85" s="1"/>
  <c r="AH6" i="85"/>
  <c r="AH14" i="85" s="1"/>
  <c r="AG6" i="85"/>
  <c r="AG14" i="85" s="1"/>
  <c r="AF6" i="85"/>
  <c r="AF14" i="85" s="1"/>
  <c r="AE6" i="85"/>
  <c r="AE14" i="85" s="1"/>
  <c r="AD6" i="85"/>
  <c r="AD14" i="85" s="1"/>
  <c r="AC6" i="85"/>
  <c r="AC14" i="85" s="1"/>
  <c r="AB6" i="85"/>
  <c r="AB14" i="85" s="1"/>
  <c r="AA6" i="85"/>
  <c r="AA14" i="85" s="1"/>
  <c r="Z6" i="85"/>
  <c r="Z14" i="85" s="1"/>
  <c r="Y6" i="85"/>
  <c r="Y14" i="85" s="1"/>
  <c r="X6" i="85"/>
  <c r="X14" i="85" s="1"/>
  <c r="W6" i="85"/>
  <c r="W14" i="85" s="1"/>
  <c r="V6" i="85"/>
  <c r="V14" i="85" s="1"/>
  <c r="U6" i="85"/>
  <c r="U14" i="85" s="1"/>
  <c r="T6" i="85"/>
  <c r="T14" i="85" s="1"/>
  <c r="S6" i="85"/>
  <c r="S14" i="85" s="1"/>
  <c r="R6" i="85"/>
  <c r="R14" i="85" s="1"/>
  <c r="Q6" i="85"/>
  <c r="Q14" i="85" s="1"/>
  <c r="P6" i="85"/>
  <c r="P14" i="85" s="1"/>
  <c r="O6" i="85"/>
  <c r="O14" i="85" s="1"/>
  <c r="N6" i="85"/>
  <c r="N14" i="85" s="1"/>
  <c r="M6" i="85"/>
  <c r="M14" i="85" s="1"/>
  <c r="L6" i="85"/>
  <c r="L14" i="85" s="1"/>
  <c r="K6" i="85"/>
  <c r="K14" i="85" s="1"/>
  <c r="J6" i="85"/>
  <c r="J14" i="85" s="1"/>
  <c r="I6" i="85"/>
  <c r="I14" i="85" s="1"/>
  <c r="GQ5" i="85"/>
  <c r="GQ13" i="85" s="1"/>
  <c r="GK5" i="85"/>
  <c r="GK13" i="85" s="1"/>
  <c r="GE5" i="85"/>
  <c r="GE13" i="85" s="1"/>
  <c r="FY5" i="85"/>
  <c r="FY13" i="85" s="1"/>
  <c r="FU5" i="85"/>
  <c r="FQ5" i="85"/>
  <c r="FQ13" i="85" s="1"/>
  <c r="FM5" i="85"/>
  <c r="FM13" i="85" s="1"/>
  <c r="FI5" i="85"/>
  <c r="FI13" i="85" s="1"/>
  <c r="FE5" i="85"/>
  <c r="FE13" i="85" s="1"/>
  <c r="FA5" i="85"/>
  <c r="FA13" i="85" s="1"/>
  <c r="EW5" i="85"/>
  <c r="EW13" i="85" s="1"/>
  <c r="ES5" i="85"/>
  <c r="ES13" i="85" s="1"/>
  <c r="EO5" i="85"/>
  <c r="EO13" i="85" s="1"/>
  <c r="EK5" i="85"/>
  <c r="EK13" i="85" s="1"/>
  <c r="EG5" i="85"/>
  <c r="EG13" i="85" s="1"/>
  <c r="EC5" i="85"/>
  <c r="EC13" i="85" s="1"/>
  <c r="DY5" i="85"/>
  <c r="DY13" i="85" s="1"/>
  <c r="DU5" i="85"/>
  <c r="DU13" i="85" s="1"/>
  <c r="DQ5" i="85"/>
  <c r="DQ13" i="85" s="1"/>
  <c r="DM5" i="85"/>
  <c r="DM13" i="85" s="1"/>
  <c r="DI5" i="85"/>
  <c r="DI13" i="85" s="1"/>
  <c r="DE5" i="85"/>
  <c r="DE13" i="85" s="1"/>
  <c r="DA5" i="85"/>
  <c r="DA13" i="85" s="1"/>
  <c r="CW5" i="85"/>
  <c r="CW13" i="85" s="1"/>
  <c r="CT5" i="85"/>
  <c r="CT13" i="85" s="1"/>
  <c r="CQ5" i="85"/>
  <c r="CQ13" i="85" s="1"/>
  <c r="CN5" i="85"/>
  <c r="CJ5" i="85"/>
  <c r="CJ13" i="85" s="1"/>
  <c r="CF5" i="85"/>
  <c r="CF13" i="85" s="1"/>
  <c r="CB5" i="85"/>
  <c r="CB13" i="85" s="1"/>
  <c r="BX5" i="85"/>
  <c r="BX13" i="85" s="1"/>
  <c r="BT5" i="85"/>
  <c r="BT13" i="85" s="1"/>
  <c r="BP5" i="85"/>
  <c r="BP13" i="85" s="1"/>
  <c r="BL5" i="85"/>
  <c r="BL13" i="85" s="1"/>
  <c r="BI5" i="85"/>
  <c r="BI13" i="85" s="1"/>
  <c r="BE5" i="85"/>
  <c r="BE13" i="85" s="1"/>
  <c r="BA5" i="85"/>
  <c r="BA13" i="85" s="1"/>
  <c r="AW5" i="85"/>
  <c r="AW13" i="85" s="1"/>
  <c r="AS5" i="85"/>
  <c r="AS13" i="85" s="1"/>
  <c r="AK5" i="85"/>
  <c r="AK13" i="85" s="1"/>
  <c r="AG5" i="85"/>
  <c r="AG13" i="85" s="1"/>
  <c r="AC5" i="85"/>
  <c r="AC13" i="85" s="1"/>
  <c r="W5" i="85"/>
  <c r="W13" i="85" s="1"/>
  <c r="Q5" i="85"/>
  <c r="Q13" i="85" s="1"/>
  <c r="L5" i="85"/>
  <c r="L13" i="85" s="1"/>
  <c r="I5" i="85"/>
  <c r="I13" i="85" s="1"/>
  <c r="H5" i="85"/>
  <c r="GV4" i="85"/>
  <c r="GP4" i="85"/>
  <c r="GJ4" i="85"/>
  <c r="GD4" i="85"/>
  <c r="FX4" i="85"/>
  <c r="FT4" i="85"/>
  <c r="FP4" i="85"/>
  <c r="FL4" i="85"/>
  <c r="FH4" i="85"/>
  <c r="FD4" i="85"/>
  <c r="EZ4" i="85"/>
  <c r="EV4" i="85"/>
  <c r="ER4" i="85"/>
  <c r="EN4" i="85"/>
  <c r="EJ4" i="85"/>
  <c r="EF4" i="85"/>
  <c r="DX4" i="85"/>
  <c r="DT4" i="85"/>
  <c r="DP4" i="85"/>
  <c r="DL4" i="85"/>
  <c r="DH4" i="85"/>
  <c r="DD4" i="85"/>
  <c r="CZ4" i="85"/>
  <c r="CV4" i="85"/>
  <c r="CS4" i="85"/>
  <c r="CM4" i="85"/>
  <c r="CI4" i="85"/>
  <c r="CE4" i="85"/>
  <c r="CA4" i="85"/>
  <c r="BW4" i="85"/>
  <c r="BS4" i="85"/>
  <c r="BO4" i="85"/>
  <c r="BK4" i="85"/>
  <c r="BH4" i="85"/>
  <c r="BD4" i="85"/>
  <c r="AZ4" i="85"/>
  <c r="AV4" i="85"/>
  <c r="AR4" i="85"/>
  <c r="AN4" i="85"/>
  <c r="AJ4" i="85"/>
  <c r="AF4" i="85"/>
  <c r="AB4" i="85"/>
  <c r="V4" i="85"/>
  <c r="P4" i="85"/>
  <c r="K4" i="85"/>
  <c r="GQ3" i="85"/>
  <c r="GK3" i="85"/>
  <c r="GE3" i="85"/>
  <c r="FY3" i="85"/>
  <c r="FU3" i="85"/>
  <c r="FQ3" i="85"/>
  <c r="FM3" i="85"/>
  <c r="FI3" i="85"/>
  <c r="FE3" i="85"/>
  <c r="FA3" i="85"/>
  <c r="EW3" i="85"/>
  <c r="ES3" i="85"/>
  <c r="EO3" i="85"/>
  <c r="EK3" i="85"/>
  <c r="EG3" i="85"/>
  <c r="BK11" i="85" l="1"/>
  <c r="FW38" i="85"/>
  <c r="EW38" i="85"/>
  <c r="BS11" i="85"/>
  <c r="DH18" i="85"/>
  <c r="K38" i="85"/>
  <c r="K39" i="85" s="1"/>
  <c r="AU38" i="85"/>
  <c r="FD33" i="85"/>
  <c r="FH33" i="85" s="1"/>
  <c r="FL33" i="85" s="1"/>
  <c r="FP33" i="85" s="1"/>
  <c r="FT33" i="85" s="1"/>
  <c r="FX33" i="85" s="1"/>
  <c r="GD33" i="85" s="1"/>
  <c r="GJ33" i="85" s="1"/>
  <c r="EM38" i="85"/>
  <c r="N38" i="85"/>
  <c r="V38" i="85"/>
  <c r="V39" i="85" s="1"/>
  <c r="AL38" i="85"/>
  <c r="DB38" i="85"/>
  <c r="FA38" i="85"/>
  <c r="W38" i="85"/>
  <c r="CB38" i="85"/>
  <c r="DC38" i="85"/>
  <c r="DM38" i="85"/>
  <c r="AS38" i="85"/>
  <c r="BC38" i="85"/>
  <c r="AF38" i="85"/>
  <c r="AF39" i="85" s="1"/>
  <c r="CC38" i="85"/>
  <c r="CN38" i="85"/>
  <c r="DN38" i="85"/>
  <c r="DY38" i="85"/>
  <c r="CE7" i="85"/>
  <c r="CA22" i="85"/>
  <c r="CE22" i="85" s="1"/>
  <c r="DO38" i="85"/>
  <c r="DZ38" i="85"/>
  <c r="U38" i="85"/>
  <c r="GK38" i="85"/>
  <c r="AH38" i="85"/>
  <c r="EA38" i="85"/>
  <c r="EK38" i="85"/>
  <c r="FU38" i="85"/>
  <c r="GM38" i="85"/>
  <c r="DP16" i="85"/>
  <c r="DT16" i="85" s="1"/>
  <c r="DX16" i="85" s="1"/>
  <c r="BR38" i="85"/>
  <c r="T38" i="85"/>
  <c r="AV37" i="85"/>
  <c r="AG38" i="85"/>
  <c r="AN11" i="85"/>
  <c r="AR11" i="85" s="1"/>
  <c r="AV11" i="85" s="1"/>
  <c r="AZ11" i="85" s="1"/>
  <c r="BD11" i="85" s="1"/>
  <c r="AI38" i="85"/>
  <c r="EL38" i="85"/>
  <c r="FI38" i="85"/>
  <c r="FV38" i="85"/>
  <c r="EX38" i="85"/>
  <c r="FJ38" i="85"/>
  <c r="FO38" i="85"/>
  <c r="DA38" i="85"/>
  <c r="EY38" i="85"/>
  <c r="FY38" i="85"/>
  <c r="GT37" i="85"/>
  <c r="DK38" i="85"/>
  <c r="FB38" i="85"/>
  <c r="CF7" i="85"/>
  <c r="CZ11" i="85"/>
  <c r="DD11" i="85" s="1"/>
  <c r="DH11" i="85" s="1"/>
  <c r="DL11" i="85" s="1"/>
  <c r="DP11" i="85" s="1"/>
  <c r="DT11" i="85" s="1"/>
  <c r="DX11" i="85" s="1"/>
  <c r="EB11" i="85" s="1"/>
  <c r="CA17" i="85"/>
  <c r="CE17" i="85" s="1"/>
  <c r="CI17" i="85" s="1"/>
  <c r="CE19" i="85"/>
  <c r="CI19" i="85" s="1"/>
  <c r="AT38" i="85"/>
  <c r="BP38" i="85"/>
  <c r="CD38" i="85"/>
  <c r="CO38" i="85"/>
  <c r="P38" i="85"/>
  <c r="P39" i="85" s="1"/>
  <c r="X38" i="85"/>
  <c r="FE38" i="85"/>
  <c r="FQ38" i="85"/>
  <c r="GE38" i="85"/>
  <c r="DW38" i="85"/>
  <c r="CG7" i="85"/>
  <c r="CA21" i="85"/>
  <c r="CE21" i="85" s="1"/>
  <c r="AE38" i="85"/>
  <c r="BQ38" i="85"/>
  <c r="CQ38" i="85"/>
  <c r="AX38" i="85"/>
  <c r="EI38" i="85"/>
  <c r="FR38" i="85"/>
  <c r="AZ27" i="85"/>
  <c r="AZ37" i="85" s="1"/>
  <c r="BD26" i="85"/>
  <c r="EN29" i="85"/>
  <c r="CL38" i="85"/>
  <c r="Z38" i="85"/>
  <c r="CF38" i="85"/>
  <c r="CW38" i="85"/>
  <c r="EU38" i="85"/>
  <c r="FG38" i="85"/>
  <c r="FS38" i="85"/>
  <c r="I38" i="85"/>
  <c r="FK38" i="85"/>
  <c r="BA38" i="85"/>
  <c r="CX38" i="85"/>
  <c r="AN18" i="85"/>
  <c r="AN38" i="85" s="1"/>
  <c r="AN39" i="85" s="1"/>
  <c r="AR38" i="85"/>
  <c r="AR39" i="85" s="1"/>
  <c r="GR18" i="85"/>
  <c r="GR38" i="85" s="1"/>
  <c r="J38" i="85"/>
  <c r="BY38" i="85"/>
  <c r="L38" i="85"/>
  <c r="AB38" i="85"/>
  <c r="AB39" i="85" s="1"/>
  <c r="AJ38" i="85"/>
  <c r="AJ39" i="85" s="1"/>
  <c r="BX38" i="85"/>
  <c r="CY38" i="85"/>
  <c r="DI38" i="85"/>
  <c r="GH38" i="85"/>
  <c r="BW11" i="85"/>
  <c r="CA11" i="85" s="1"/>
  <c r="CE11" i="85" s="1"/>
  <c r="BS26" i="85"/>
  <c r="CA24" i="85"/>
  <c r="CE24" i="85" s="1"/>
  <c r="S38" i="85"/>
  <c r="AQ38" i="85"/>
  <c r="BZ38" i="85"/>
  <c r="CK38" i="85"/>
  <c r="GB38" i="85"/>
  <c r="CJ38" i="85"/>
  <c r="DJ38" i="85"/>
  <c r="EO38" i="85"/>
  <c r="GR11" i="85"/>
  <c r="GV15" i="85"/>
  <c r="HB15" i="85" s="1"/>
  <c r="EF9" i="85"/>
  <c r="EJ9" i="85" s="1"/>
  <c r="EN9" i="85" s="1"/>
  <c r="ER9" i="85" s="1"/>
  <c r="EV9" i="85" s="1"/>
  <c r="EZ9" i="85" s="1"/>
  <c r="FD9" i="85" s="1"/>
  <c r="FH9" i="85" s="1"/>
  <c r="FL9" i="85" s="1"/>
  <c r="FP9" i="85" s="1"/>
  <c r="FT9" i="85" s="1"/>
  <c r="FX9" i="85" s="1"/>
  <c r="GD9" i="85" s="1"/>
  <c r="ER31" i="85"/>
  <c r="CA27" i="85"/>
  <c r="BW37" i="85"/>
  <c r="DD41" i="85" s="1"/>
  <c r="EN15" i="85"/>
  <c r="ER15" i="85" s="1"/>
  <c r="EV15" i="85" s="1"/>
  <c r="EZ15" i="85" s="1"/>
  <c r="FD15" i="85" s="1"/>
  <c r="FH15" i="85" s="1"/>
  <c r="FL15" i="85" s="1"/>
  <c r="FP15" i="85" s="1"/>
  <c r="CE20" i="85"/>
  <c r="CI20" i="85" s="1"/>
  <c r="CM20" i="85" s="1"/>
  <c r="DL15" i="85"/>
  <c r="CG38" i="85"/>
  <c r="EP38" i="85"/>
  <c r="FF38" i="85"/>
  <c r="GS38" i="85"/>
  <c r="GQ18" i="85"/>
  <c r="GQ38" i="85" s="1"/>
  <c r="DH37" i="85"/>
  <c r="BT38" i="85"/>
  <c r="CH38" i="85"/>
  <c r="EC38" i="85"/>
  <c r="EQ38" i="85"/>
  <c r="BS37" i="85"/>
  <c r="DC41" i="85" s="1"/>
  <c r="AA31" i="9" s="1"/>
  <c r="GN38" i="85"/>
  <c r="GV33" i="85"/>
  <c r="HB33" i="85" s="1"/>
  <c r="HH33" i="85" s="1"/>
  <c r="HN33" i="85" s="1"/>
  <c r="BU38" i="85"/>
  <c r="DQ38" i="85"/>
  <c r="ED38" i="85"/>
  <c r="ES38" i="85"/>
  <c r="CA18" i="85"/>
  <c r="CE15" i="85"/>
  <c r="EJ30" i="85"/>
  <c r="AW38" i="85"/>
  <c r="BV38" i="85"/>
  <c r="DR38" i="85"/>
  <c r="EE38" i="85"/>
  <c r="ET38" i="85"/>
  <c r="AV15" i="85"/>
  <c r="AV26" i="85"/>
  <c r="M38" i="85"/>
  <c r="Y38" i="85"/>
  <c r="AK38" i="85"/>
  <c r="DE38" i="85"/>
  <c r="DS38" i="85"/>
  <c r="EG38" i="85"/>
  <c r="GA38" i="85"/>
  <c r="BW18" i="85"/>
  <c r="CR38" i="85"/>
  <c r="EF37" i="85"/>
  <c r="EJ27" i="85"/>
  <c r="EN27" i="85" s="1"/>
  <c r="ER27" i="85" s="1"/>
  <c r="EV27" i="85" s="1"/>
  <c r="EZ27" i="85" s="1"/>
  <c r="FD27" i="85" s="1"/>
  <c r="FH27" i="85" s="1"/>
  <c r="FL27" i="85" s="1"/>
  <c r="FP27" i="85" s="1"/>
  <c r="FT27" i="85" s="1"/>
  <c r="FX27" i="85" s="1"/>
  <c r="GD27" i="85" s="1"/>
  <c r="GJ27" i="85" s="1"/>
  <c r="FC38" i="85"/>
  <c r="AY38" i="85"/>
  <c r="DF38" i="85"/>
  <c r="DU38" i="85"/>
  <c r="EH38" i="85"/>
  <c r="FM38" i="85"/>
  <c r="CI16" i="85"/>
  <c r="BB38" i="85"/>
  <c r="O38" i="85"/>
  <c r="AA38" i="85"/>
  <c r="AM38" i="85"/>
  <c r="DG38" i="85"/>
  <c r="DV38" i="85"/>
  <c r="FN38" i="85"/>
  <c r="GG38" i="85"/>
  <c r="CA23" i="85"/>
  <c r="R38" i="85"/>
  <c r="AD38" i="85"/>
  <c r="AP38" i="85"/>
  <c r="CZ36" i="85"/>
  <c r="CZ37" i="85" s="1"/>
  <c r="DL41" i="85" s="1"/>
  <c r="Q38" i="85"/>
  <c r="AC38" i="85"/>
  <c r="BW25" i="85"/>
  <c r="CA25" i="85" s="1"/>
  <c r="GV34" i="85"/>
  <c r="HB34" i="85" s="1"/>
  <c r="DL17" i="85"/>
  <c r="DP17" i="85" s="1"/>
  <c r="AZ26" i="85"/>
  <c r="DL27" i="85"/>
  <c r="AB31" i="9" l="1"/>
  <c r="CI22" i="85"/>
  <c r="CM22" i="85" s="1"/>
  <c r="CI24" i="85"/>
  <c r="CM24" i="85" s="1"/>
  <c r="GJ38" i="85"/>
  <c r="GP38" i="85" s="1"/>
  <c r="BD27" i="85"/>
  <c r="BD37" i="85" s="1"/>
  <c r="CY41" i="85" s="1"/>
  <c r="BW26" i="85"/>
  <c r="ER29" i="85"/>
  <c r="EV29" i="85" s="1"/>
  <c r="CF11" i="85"/>
  <c r="CJ7" i="85"/>
  <c r="CJ11" i="85" s="1"/>
  <c r="CG11" i="85"/>
  <c r="CK7" i="85"/>
  <c r="CK11" i="85" s="1"/>
  <c r="BS38" i="85"/>
  <c r="BS39" i="85" s="1"/>
  <c r="CM17" i="85"/>
  <c r="CP17" i="85" s="1"/>
  <c r="CI21" i="85"/>
  <c r="CM21" i="85" s="1"/>
  <c r="CI7" i="85"/>
  <c r="EF16" i="85"/>
  <c r="EJ16" i="85" s="1"/>
  <c r="DX18" i="85"/>
  <c r="CP20" i="85"/>
  <c r="CS20" i="85" s="1"/>
  <c r="EN30" i="85"/>
  <c r="DN41" i="85"/>
  <c r="AI31" i="9" s="1"/>
  <c r="DT41" i="85"/>
  <c r="DQ41" i="85"/>
  <c r="EV31" i="85"/>
  <c r="CM16" i="85"/>
  <c r="CA37" i="85"/>
  <c r="DE41" i="85" s="1"/>
  <c r="CE27" i="85"/>
  <c r="DP27" i="85"/>
  <c r="DL37" i="85"/>
  <c r="FT15" i="85"/>
  <c r="DL18" i="85"/>
  <c r="DP15" i="85"/>
  <c r="DT17" i="85"/>
  <c r="DX17" i="85" s="1"/>
  <c r="CE23" i="85"/>
  <c r="CI23" i="85" s="1"/>
  <c r="CM19" i="85"/>
  <c r="DZ41" i="85"/>
  <c r="EJ37" i="85"/>
  <c r="CE25" i="85"/>
  <c r="CA26" i="85"/>
  <c r="AV18" i="85"/>
  <c r="AV38" i="85" s="1"/>
  <c r="AV39" i="85" s="1"/>
  <c r="AZ15" i="85"/>
  <c r="CE18" i="85"/>
  <c r="CI15" i="85"/>
  <c r="CS17" i="85" l="1"/>
  <c r="AC31" i="9"/>
  <c r="AX31" i="9"/>
  <c r="AW31" i="9"/>
  <c r="Z31" i="9"/>
  <c r="Y31" i="9"/>
  <c r="CP24" i="85"/>
  <c r="CS24" i="85" s="1"/>
  <c r="CZ24" i="85" s="1"/>
  <c r="CP22" i="85"/>
  <c r="CS22" i="85" s="1"/>
  <c r="CI11" i="85"/>
  <c r="CM11" i="85" s="1"/>
  <c r="CP11" i="85" s="1"/>
  <c r="CS11" i="85" s="1"/>
  <c r="EZ29" i="85"/>
  <c r="FD29" i="85" s="1"/>
  <c r="CM7" i="85"/>
  <c r="CP7" i="85" s="1"/>
  <c r="CS7" i="85" s="1"/>
  <c r="CP21" i="85"/>
  <c r="CS21" i="85" s="1"/>
  <c r="CZ21" i="85" s="1"/>
  <c r="BW38" i="85"/>
  <c r="BW39" i="85" s="1"/>
  <c r="EF17" i="85"/>
  <c r="EJ18" i="85"/>
  <c r="EN18" i="85" s="1"/>
  <c r="ER18" i="85" s="1"/>
  <c r="EV18" i="85" s="1"/>
  <c r="EZ18" i="85" s="1"/>
  <c r="FD18" i="85" s="1"/>
  <c r="FH18" i="85" s="1"/>
  <c r="FL18" i="85" s="1"/>
  <c r="CM23" i="85"/>
  <c r="BD15" i="85"/>
  <c r="BD18" i="85" s="1"/>
  <c r="BD38" i="85" s="1"/>
  <c r="BD39" i="85" s="1"/>
  <c r="AZ18" i="85"/>
  <c r="AZ38" i="85" s="1"/>
  <c r="AZ39" i="85" s="1"/>
  <c r="DP37" i="85"/>
  <c r="DT27" i="85"/>
  <c r="EZ31" i="85"/>
  <c r="FD31" i="85" s="1"/>
  <c r="CP16" i="85"/>
  <c r="CS16" i="85" s="1"/>
  <c r="CE26" i="85"/>
  <c r="ED41" i="85"/>
  <c r="EN37" i="85"/>
  <c r="ER37" i="85" s="1"/>
  <c r="EV37" i="85" s="1"/>
  <c r="EZ37" i="85" s="1"/>
  <c r="FD37" i="85" s="1"/>
  <c r="FH37" i="85" s="1"/>
  <c r="FL37" i="85" s="1"/>
  <c r="FP37" i="85" s="1"/>
  <c r="FT37" i="85" s="1"/>
  <c r="FX37" i="85" s="1"/>
  <c r="GD37" i="85" s="1"/>
  <c r="GJ37" i="85" s="1"/>
  <c r="GP37" i="85" s="1"/>
  <c r="GV37" i="85" s="1"/>
  <c r="HB37" i="85" s="1"/>
  <c r="HH37" i="85" s="1"/>
  <c r="CE37" i="85"/>
  <c r="DF41" i="85" s="1"/>
  <c r="AD31" i="9" s="1"/>
  <c r="CI27" i="85"/>
  <c r="CZ20" i="85"/>
  <c r="EN16" i="85"/>
  <c r="ER16" i="85" s="1"/>
  <c r="EF18" i="85"/>
  <c r="DP18" i="85"/>
  <c r="DT15" i="85"/>
  <c r="DT18" i="85" s="1"/>
  <c r="DO41" i="85"/>
  <c r="DU41" i="85"/>
  <c r="DR41" i="85"/>
  <c r="CI25" i="85"/>
  <c r="FX15" i="85"/>
  <c r="ER30" i="85"/>
  <c r="CM15" i="85"/>
  <c r="CI18" i="85"/>
  <c r="CP19" i="85"/>
  <c r="BF49" i="9"/>
  <c r="BF51" i="9"/>
  <c r="BF52" i="9" s="1"/>
  <c r="BG45" i="9"/>
  <c r="HN37" i="85" l="1"/>
  <c r="BI31" i="9"/>
  <c r="BJ31" i="9"/>
  <c r="BH31" i="9"/>
  <c r="BG31" i="9"/>
  <c r="BB31" i="9"/>
  <c r="BA31" i="9"/>
  <c r="AZ31" i="9"/>
  <c r="AY31" i="9"/>
  <c r="AJ31" i="9"/>
  <c r="FH29" i="85"/>
  <c r="FL29" i="85" s="1"/>
  <c r="FP29" i="85" s="1"/>
  <c r="CZ22" i="85"/>
  <c r="DD22" i="85" s="1"/>
  <c r="DH22" i="85" s="1"/>
  <c r="CA38" i="85"/>
  <c r="CA39" i="85" s="1"/>
  <c r="CP23" i="85"/>
  <c r="CS23" i="85" s="1"/>
  <c r="CZ23" i="85" s="1"/>
  <c r="CS19" i="85"/>
  <c r="DT37" i="85"/>
  <c r="DW41" i="85" s="1"/>
  <c r="DX27" i="85"/>
  <c r="DX37" i="85" s="1"/>
  <c r="DX41" i="85" s="1"/>
  <c r="AV31" i="9" s="1"/>
  <c r="DV41" i="85"/>
  <c r="DS41" i="85"/>
  <c r="DP41" i="85"/>
  <c r="GD15" i="85"/>
  <c r="DD20" i="85"/>
  <c r="EJ17" i="85"/>
  <c r="EN17" i="85" s="1"/>
  <c r="DD24" i="85"/>
  <c r="DH24" i="85" s="1"/>
  <c r="CP15" i="85"/>
  <c r="CM18" i="85"/>
  <c r="CI26" i="85"/>
  <c r="CM27" i="85"/>
  <c r="CI37" i="85"/>
  <c r="DG41" i="85" s="1"/>
  <c r="AE31" i="9" s="1"/>
  <c r="FH31" i="85"/>
  <c r="CM25" i="85"/>
  <c r="CM26" i="85" s="1"/>
  <c r="DD21" i="85"/>
  <c r="DH21" i="85" s="1"/>
  <c r="EV30" i="85"/>
  <c r="EZ30" i="85" s="1"/>
  <c r="EV16" i="85"/>
  <c r="EZ16" i="85" s="1"/>
  <c r="BF13" i="9"/>
  <c r="BF18" i="9"/>
  <c r="AT94" i="63"/>
  <c r="D67" i="63"/>
  <c r="AX67" i="63" s="1"/>
  <c r="D70" i="3"/>
  <c r="BR70" i="3" s="1"/>
  <c r="D48" i="3"/>
  <c r="BR48" i="3" s="1"/>
  <c r="BI139" i="9" l="1"/>
  <c r="BJ139" i="9"/>
  <c r="BC31" i="9"/>
  <c r="BH139" i="9"/>
  <c r="AQ31" i="9"/>
  <c r="AO31" i="9"/>
  <c r="AU31" i="9"/>
  <c r="AP31" i="9"/>
  <c r="AT31" i="9"/>
  <c r="AN31" i="9"/>
  <c r="AL31" i="9"/>
  <c r="AK31" i="9"/>
  <c r="AM31" i="9"/>
  <c r="AS31" i="9"/>
  <c r="DL22" i="85"/>
  <c r="DP22" i="85" s="1"/>
  <c r="DT22" i="85" s="1"/>
  <c r="AR31" i="9"/>
  <c r="CE38" i="85"/>
  <c r="CE39" i="85" s="1"/>
  <c r="DH20" i="85"/>
  <c r="FD16" i="85"/>
  <c r="FH16" i="85" s="1"/>
  <c r="FL16" i="85" s="1"/>
  <c r="FP16" i="85" s="1"/>
  <c r="CP27" i="85"/>
  <c r="CM37" i="85"/>
  <c r="DH41" i="85" s="1"/>
  <c r="AF31" i="9" s="1"/>
  <c r="FT29" i="85"/>
  <c r="FD30" i="85"/>
  <c r="FH30" i="85" s="1"/>
  <c r="DL24" i="85"/>
  <c r="DD23" i="85"/>
  <c r="FL31" i="85"/>
  <c r="FP31" i="85" s="1"/>
  <c r="ER17" i="85"/>
  <c r="EV17" i="85" s="1"/>
  <c r="CZ19" i="85"/>
  <c r="DL21" i="85"/>
  <c r="DP21" i="85" s="1"/>
  <c r="CP18" i="85"/>
  <c r="CS15" i="85"/>
  <c r="CS18" i="85" s="1"/>
  <c r="CP25" i="85"/>
  <c r="CS25" i="85" s="1"/>
  <c r="CS26" i="85" s="1"/>
  <c r="BD31" i="9" l="1"/>
  <c r="AO139" i="9"/>
  <c r="CI38" i="85"/>
  <c r="CM38" i="85" s="1"/>
  <c r="CM39" i="85" s="1"/>
  <c r="FT16" i="85"/>
  <c r="DH23" i="85"/>
  <c r="DL23" i="85" s="1"/>
  <c r="DD19" i="85"/>
  <c r="DH19" i="85" s="1"/>
  <c r="DL20" i="85"/>
  <c r="DP20" i="85" s="1"/>
  <c r="CZ25" i="85"/>
  <c r="CP26" i="85"/>
  <c r="CP37" i="85"/>
  <c r="DI41" i="85" s="1"/>
  <c r="AG31" i="9" s="1"/>
  <c r="CS27" i="85"/>
  <c r="CS37" i="85" s="1"/>
  <c r="DJ41" i="85" s="1"/>
  <c r="DT21" i="85"/>
  <c r="FX29" i="85"/>
  <c r="GD29" i="85" s="1"/>
  <c r="DX22" i="85"/>
  <c r="EB22" i="85" s="1"/>
  <c r="DP24" i="85"/>
  <c r="DT24" i="85" s="1"/>
  <c r="FL30" i="85"/>
  <c r="FP30" i="85" s="1"/>
  <c r="FT31" i="85"/>
  <c r="FX31" i="85" s="1"/>
  <c r="EZ17" i="85"/>
  <c r="BE31" i="9" l="1"/>
  <c r="AH31" i="9"/>
  <c r="CP38" i="85"/>
  <c r="CS38" i="85" s="1"/>
  <c r="CV38" i="85" s="1"/>
  <c r="CZ38" i="85" s="1"/>
  <c r="DD38" i="85" s="1"/>
  <c r="DD39" i="85" s="1"/>
  <c r="FT30" i="85"/>
  <c r="GJ29" i="85"/>
  <c r="DX24" i="85"/>
  <c r="DD25" i="85"/>
  <c r="DD26" i="85" s="1"/>
  <c r="FD17" i="85"/>
  <c r="FH17" i="85" s="1"/>
  <c r="DT20" i="85"/>
  <c r="FX16" i="85"/>
  <c r="GD16" i="85" s="1"/>
  <c r="DP23" i="85"/>
  <c r="CZ26" i="85"/>
  <c r="GD31" i="85"/>
  <c r="GJ31" i="85" s="1"/>
  <c r="EF22" i="85"/>
  <c r="EJ22" i="85" s="1"/>
  <c r="EN22" i="85" s="1"/>
  <c r="DL19" i="85"/>
  <c r="DP19" i="85" s="1"/>
  <c r="DX21" i="85"/>
  <c r="EB21" i="85" s="1"/>
  <c r="BI126" i="9"/>
  <c r="BF31" i="9" l="1"/>
  <c r="DH25" i="85"/>
  <c r="DL25" i="85" s="1"/>
  <c r="DL26" i="85" s="1"/>
  <c r="FL17" i="85"/>
  <c r="FP17" i="85" s="1"/>
  <c r="FT17" i="85" s="1"/>
  <c r="DH38" i="85"/>
  <c r="DL38" i="85" s="1"/>
  <c r="DP38" i="85" s="1"/>
  <c r="DT38" i="85" s="1"/>
  <c r="DX38" i="85" s="1"/>
  <c r="EB38" i="85" s="1"/>
  <c r="EF38" i="85" s="1"/>
  <c r="EJ38" i="85" s="1"/>
  <c r="EN38" i="85" s="1"/>
  <c r="ER38" i="85" s="1"/>
  <c r="EV38" i="85" s="1"/>
  <c r="EZ38" i="85" s="1"/>
  <c r="FD38" i="85" s="1"/>
  <c r="FH38" i="85" s="1"/>
  <c r="FL38" i="85" s="1"/>
  <c r="FP38" i="85" s="1"/>
  <c r="FT38" i="85" s="1"/>
  <c r="FX38" i="85" s="1"/>
  <c r="EB24" i="85"/>
  <c r="EF24" i="85" s="1"/>
  <c r="EJ24" i="85" s="1"/>
  <c r="DT19" i="85"/>
  <c r="DX19" i="85" s="1"/>
  <c r="DX20" i="85"/>
  <c r="FX30" i="85"/>
  <c r="EF21" i="85"/>
  <c r="ER22" i="85"/>
  <c r="DT23" i="85"/>
  <c r="D289" i="77"/>
  <c r="AF289" i="77"/>
  <c r="FP18" i="85" l="1"/>
  <c r="DH26" i="85"/>
  <c r="DP25" i="85"/>
  <c r="DP26" i="85" s="1"/>
  <c r="EV22" i="85"/>
  <c r="EN24" i="85"/>
  <c r="ER24" i="85" s="1"/>
  <c r="EJ21" i="85"/>
  <c r="FX17" i="85"/>
  <c r="FT18" i="85"/>
  <c r="EB19" i="85"/>
  <c r="EF19" i="85" s="1"/>
  <c r="GD30" i="85"/>
  <c r="GJ30" i="85" s="1"/>
  <c r="EB20" i="85"/>
  <c r="DX23" i="85"/>
  <c r="AY24" i="48"/>
  <c r="DT25" i="85" l="1"/>
  <c r="DT26" i="85" s="1"/>
  <c r="EB23" i="85"/>
  <c r="EJ19" i="85"/>
  <c r="EN19" i="85" s="1"/>
  <c r="EF20" i="85"/>
  <c r="GD17" i="85"/>
  <c r="GD18" i="85" s="1"/>
  <c r="FX18" i="85"/>
  <c r="EJ20" i="85"/>
  <c r="EV24" i="85"/>
  <c r="EZ24" i="85" s="1"/>
  <c r="EN21" i="85"/>
  <c r="EZ22" i="85"/>
  <c r="FD22" i="85" s="1"/>
  <c r="FH22" i="85" s="1"/>
  <c r="BG51" i="9"/>
  <c r="DX25" i="85" l="1"/>
  <c r="EB25" i="85" s="1"/>
  <c r="EB26" i="85" s="1"/>
  <c r="ER21" i="85"/>
  <c r="ER19" i="85"/>
  <c r="EV19" i="85" s="1"/>
  <c r="FD24" i="85"/>
  <c r="EN20" i="85"/>
  <c r="ER20" i="85" s="1"/>
  <c r="FL22" i="85"/>
  <c r="EF23" i="85"/>
  <c r="FP22" i="85" l="1"/>
  <c r="FT22" i="85" s="1"/>
  <c r="EF25" i="85"/>
  <c r="EJ25" i="85" s="1"/>
  <c r="DX26" i="85"/>
  <c r="EJ23" i="85"/>
  <c r="EN23" i="85" s="1"/>
  <c r="FH24" i="85"/>
  <c r="EZ19" i="85"/>
  <c r="EV20" i="85"/>
  <c r="EZ20" i="85" s="1"/>
  <c r="FD20" i="85" s="1"/>
  <c r="EV21" i="85"/>
  <c r="EZ21" i="85" s="1"/>
  <c r="FD21" i="85" s="1"/>
  <c r="BI125" i="9"/>
  <c r="BI124" i="9"/>
  <c r="EF26" i="85" l="1"/>
  <c r="FX22" i="85"/>
  <c r="GD22" i="85" s="1"/>
  <c r="GJ22" i="85" s="1"/>
  <c r="ER23" i="85"/>
  <c r="EV23" i="85" s="1"/>
  <c r="EZ23" i="85" s="1"/>
  <c r="EN25" i="85"/>
  <c r="EN26" i="85" s="1"/>
  <c r="FD19" i="85"/>
  <c r="FH19" i="85" s="1"/>
  <c r="FL24" i="85"/>
  <c r="FH21" i="85"/>
  <c r="FL21" i="85" s="1"/>
  <c r="FH20" i="85"/>
  <c r="EJ26" i="85"/>
  <c r="FP24" i="85" l="1"/>
  <c r="FT24" i="85" s="1"/>
  <c r="GV22" i="85"/>
  <c r="HB22" i="85" s="1"/>
  <c r="FD23" i="85"/>
  <c r="FL19" i="85"/>
  <c r="ER25" i="85"/>
  <c r="FL20" i="85"/>
  <c r="FP21" i="85"/>
  <c r="FT21" i="85" s="1"/>
  <c r="FX24" i="85" l="1"/>
  <c r="GD24" i="85" s="1"/>
  <c r="GJ24" i="85" s="1"/>
  <c r="GV24" i="85" s="1"/>
  <c r="FP19" i="85"/>
  <c r="FT19" i="85" s="1"/>
  <c r="FX21" i="85"/>
  <c r="GD21" i="85" s="1"/>
  <c r="GJ21" i="85" s="1"/>
  <c r="GV21" i="85" s="1"/>
  <c r="HB21" i="85" s="1"/>
  <c r="FP20" i="85"/>
  <c r="FH23" i="85"/>
  <c r="FL23" i="85" s="1"/>
  <c r="ER26" i="85"/>
  <c r="EV25" i="85"/>
  <c r="L11" i="76"/>
  <c r="L12" i="76"/>
  <c r="D12" i="76"/>
  <c r="D11" i="76"/>
  <c r="FX19" i="85" l="1"/>
  <c r="GD19" i="85" s="1"/>
  <c r="HB24" i="85"/>
  <c r="FP23" i="85"/>
  <c r="FT23" i="85" s="1"/>
  <c r="EV26" i="85"/>
  <c r="EZ25" i="85"/>
  <c r="FT20" i="85"/>
  <c r="GJ19" i="85" l="1"/>
  <c r="GV19" i="85" s="1"/>
  <c r="FX20" i="85"/>
  <c r="GD20" i="85" s="1"/>
  <c r="FX23" i="85"/>
  <c r="FD25" i="85"/>
  <c r="EZ26" i="85"/>
  <c r="HB19" i="85" l="1"/>
  <c r="FD26" i="85"/>
  <c r="GD23" i="85"/>
  <c r="GJ23" i="85" s="1"/>
  <c r="FH25" i="85"/>
  <c r="GJ20" i="85"/>
  <c r="GV20" i="85" l="1"/>
  <c r="HB20" i="85" s="1"/>
  <c r="GV23" i="85"/>
  <c r="HB23" i="85" s="1"/>
  <c r="FH26" i="85"/>
  <c r="FL25" i="85"/>
  <c r="FP25" i="85" l="1"/>
  <c r="FP26" i="85" s="1"/>
  <c r="FL26" i="85"/>
  <c r="FT25" i="85" l="1"/>
  <c r="FT26" i="85" l="1"/>
  <c r="FX25" i="85"/>
  <c r="GD25" i="85" s="1"/>
  <c r="GD26" i="85" s="1"/>
  <c r="FX26" i="85" l="1"/>
  <c r="GJ25" i="85"/>
  <c r="GJ26" i="85" s="1"/>
  <c r="L191" i="80"/>
  <c r="D191" i="80"/>
  <c r="L190" i="80"/>
  <c r="D190" i="80"/>
  <c r="L189" i="80"/>
  <c r="D189" i="80"/>
  <c r="L188" i="80"/>
  <c r="D188" i="80"/>
  <c r="L187" i="80"/>
  <c r="D187" i="80"/>
  <c r="L186" i="80"/>
  <c r="D186" i="80"/>
  <c r="L185" i="80"/>
  <c r="D185" i="80"/>
  <c r="AV5" i="68"/>
  <c r="AV63" i="68" s="1"/>
  <c r="AV28" i="68"/>
  <c r="AV26" i="68"/>
  <c r="AV23" i="68"/>
  <c r="AY4" i="55"/>
  <c r="AX26" i="65"/>
  <c r="AW26" i="65"/>
  <c r="AX25" i="65"/>
  <c r="AW25" i="65"/>
  <c r="AX24" i="65"/>
  <c r="AW24" i="65"/>
  <c r="AX23" i="65"/>
  <c r="AW23" i="65"/>
  <c r="AX22" i="65"/>
  <c r="AW22" i="65"/>
  <c r="FB10" i="85" l="1"/>
  <c r="EH10" i="85"/>
  <c r="ED10" i="85"/>
  <c r="HK10" i="85"/>
  <c r="HI10" i="85"/>
  <c r="EG10" i="85"/>
  <c r="FA10" i="85"/>
  <c r="EC10" i="85"/>
  <c r="GV25" i="85"/>
  <c r="GV26" i="85" s="1"/>
  <c r="AX27" i="65"/>
  <c r="AV32" i="68"/>
  <c r="HN10" i="85" l="1"/>
  <c r="HB25" i="85"/>
  <c r="HB26" i="85" s="1"/>
  <c r="AY50" i="52"/>
  <c r="AY49" i="52"/>
  <c r="AY48" i="52"/>
  <c r="AY47" i="52"/>
  <c r="AY46" i="52"/>
  <c r="AY56" i="49"/>
  <c r="AY55" i="49"/>
  <c r="AZ33" i="44"/>
  <c r="AZ37" i="44" s="1"/>
  <c r="AZ12" i="44"/>
  <c r="Q56" i="42"/>
  <c r="Q55" i="42"/>
  <c r="D55" i="42"/>
  <c r="D37" i="38"/>
  <c r="D41" i="38"/>
  <c r="D40" i="38"/>
  <c r="D39" i="38"/>
  <c r="D36" i="38"/>
  <c r="D35" i="38"/>
  <c r="D34" i="38"/>
  <c r="D33" i="38"/>
  <c r="H40" i="38" l="1"/>
  <c r="AZ23" i="45"/>
  <c r="AZ19" i="44"/>
  <c r="I40" i="38"/>
  <c r="J40" i="38"/>
  <c r="BC15" i="46"/>
  <c r="E40" i="38"/>
  <c r="AZ15" i="44"/>
  <c r="AZ18" i="44" s="1"/>
  <c r="F40" i="38"/>
  <c r="G40" i="38"/>
  <c r="BC34" i="46"/>
  <c r="AY19" i="52"/>
  <c r="BC9" i="46"/>
  <c r="BC28" i="46"/>
  <c r="AZ13" i="45"/>
  <c r="AZ14" i="45" s="1"/>
  <c r="BC21" i="46" l="1"/>
  <c r="AZ22" i="44"/>
  <c r="AZ23" i="44" s="1"/>
  <c r="AZ33" i="45"/>
  <c r="BC40" i="46"/>
  <c r="X406" i="36" l="1"/>
  <c r="D406" i="36"/>
  <c r="X405" i="36"/>
  <c r="D405" i="36"/>
  <c r="X404" i="36"/>
  <c r="D404" i="36"/>
  <c r="X403" i="36"/>
  <c r="D403" i="36"/>
  <c r="X402" i="36"/>
  <c r="D402" i="36"/>
  <c r="X401" i="36"/>
  <c r="D401" i="36"/>
  <c r="X400" i="36"/>
  <c r="D400" i="36"/>
  <c r="X399" i="36"/>
  <c r="D399" i="36"/>
  <c r="X398" i="36"/>
  <c r="D398" i="36"/>
  <c r="X397" i="36"/>
  <c r="D397" i="36"/>
  <c r="X396" i="36"/>
  <c r="D396" i="36"/>
  <c r="D408" i="36"/>
  <c r="X408" i="36"/>
  <c r="ER24" i="34"/>
  <c r="ER23" i="34"/>
  <c r="EQ23" i="34"/>
  <c r="EP23" i="34"/>
  <c r="ER20" i="34"/>
  <c r="ER19" i="34"/>
  <c r="ER18" i="34"/>
  <c r="ER17" i="34"/>
  <c r="ER16" i="34"/>
  <c r="ER15" i="34"/>
  <c r="AZ40" i="33"/>
  <c r="AZ47" i="61"/>
  <c r="AZ46" i="61"/>
  <c r="AZ45" i="61"/>
  <c r="AZ29" i="32"/>
  <c r="AZ15" i="30"/>
  <c r="AZ18" i="30" s="1"/>
  <c r="AZ7" i="30"/>
  <c r="AZ20" i="26"/>
  <c r="AX13" i="24"/>
  <c r="O331" i="36" l="1"/>
  <c r="O341" i="36" s="1"/>
  <c r="AY21" i="31"/>
  <c r="AZ13" i="29"/>
  <c r="AZ22" i="30"/>
  <c r="AZ25" i="30" s="1"/>
  <c r="EP24" i="34"/>
  <c r="EQ21" i="34"/>
  <c r="EQ27" i="34" s="1"/>
  <c r="AZ17" i="33"/>
  <c r="AZ32" i="61"/>
  <c r="EQ24" i="34"/>
  <c r="AY13" i="24"/>
  <c r="AZ10" i="30"/>
  <c r="EP21" i="34"/>
  <c r="AZ35" i="61"/>
  <c r="AY12" i="31"/>
  <c r="AZ10" i="26"/>
  <c r="AZ19" i="61"/>
  <c r="AZ8" i="29"/>
  <c r="AZ28" i="33"/>
  <c r="AZ41" i="33"/>
  <c r="AZ31" i="33"/>
  <c r="AZ16" i="61"/>
  <c r="AZ51" i="61"/>
  <c r="D126" i="9"/>
  <c r="D382" i="79"/>
  <c r="J446" i="36" l="1"/>
  <c r="V446" i="36" s="1"/>
  <c r="J434" i="36"/>
  <c r="AZ18" i="29"/>
  <c r="AZ48" i="61"/>
  <c r="EP27" i="34"/>
  <c r="ER21" i="34"/>
  <c r="ER27" i="34" s="1"/>
  <c r="AZ42" i="33"/>
  <c r="AZ45" i="33"/>
  <c r="AY30" i="31"/>
  <c r="J442" i="36" l="1"/>
  <c r="J454" i="36" s="1"/>
  <c r="V434" i="36"/>
  <c r="G349" i="79"/>
  <c r="D365" i="79"/>
  <c r="D364" i="79"/>
  <c r="D363" i="79"/>
  <c r="D362" i="79"/>
  <c r="D361" i="79"/>
  <c r="D360" i="79"/>
  <c r="D359" i="79"/>
  <c r="AW17" i="67" l="1"/>
  <c r="AT54" i="63"/>
  <c r="AS54" i="63" l="1"/>
  <c r="BG49" i="12"/>
  <c r="BG24" i="12"/>
  <c r="BG22" i="12"/>
  <c r="BG20" i="12"/>
  <c r="BG18" i="12"/>
  <c r="BG17" i="12"/>
  <c r="BG16" i="12"/>
  <c r="BG15" i="12"/>
  <c r="BG10" i="10"/>
  <c r="BL8" i="2" s="1"/>
  <c r="BN33" i="3"/>
  <c r="BN78" i="3"/>
  <c r="BF17" i="9" s="1"/>
  <c r="BN61" i="3"/>
  <c r="BN42" i="3"/>
  <c r="BF7" i="9" s="1"/>
  <c r="BN40" i="3"/>
  <c r="BF12" i="9" s="1"/>
  <c r="BN23" i="3"/>
  <c r="BN6" i="3"/>
  <c r="BJ134" i="9" l="1"/>
  <c r="BF14" i="9"/>
  <c r="BG52" i="9"/>
  <c r="BF6" i="9"/>
  <c r="BF8" i="9"/>
  <c r="BG36" i="12"/>
  <c r="BG12" i="10"/>
  <c r="AY25" i="55"/>
  <c r="BN90" i="3"/>
  <c r="BN39" i="3"/>
  <c r="BG8" i="12" l="1"/>
  <c r="BL6" i="2"/>
  <c r="BG14" i="10"/>
  <c r="BG16" i="10" s="1"/>
  <c r="BG10" i="12"/>
  <c r="BN91" i="3"/>
  <c r="DL32" i="73"/>
  <c r="DL27" i="73"/>
  <c r="DL22" i="73"/>
  <c r="DL301" i="73"/>
  <c r="DL321" i="73" s="1"/>
  <c r="DL295" i="73"/>
  <c r="DL320" i="73" s="1"/>
  <c r="DL289" i="73"/>
  <c r="DL11" i="73"/>
  <c r="DL6" i="73"/>
  <c r="BL10" i="2" l="1"/>
  <c r="DL297" i="73"/>
  <c r="DL39" i="73"/>
  <c r="DL34" i="73"/>
  <c r="DL44" i="73"/>
  <c r="DL19" i="73"/>
  <c r="DL24" i="73"/>
  <c r="BG12" i="12"/>
  <c r="BG14" i="12" s="1"/>
  <c r="BG35" i="10"/>
  <c r="BG40" i="10"/>
  <c r="AZ11" i="30"/>
  <c r="BG40" i="1"/>
  <c r="DL29" i="73"/>
  <c r="DL285" i="73"/>
  <c r="DL291" i="73"/>
  <c r="BG43" i="10" l="1"/>
  <c r="BG45" i="10" s="1"/>
  <c r="BG48" i="10" s="1"/>
  <c r="BG43" i="1"/>
  <c r="BG45" i="1" s="1"/>
  <c r="BG48" i="1" s="1"/>
  <c r="BG39" i="12"/>
  <c r="BG34" i="12"/>
  <c r="AY11" i="53"/>
  <c r="BL16" i="2"/>
  <c r="BJ15" i="9" l="1"/>
  <c r="BG42" i="12"/>
  <c r="BG44" i="12" s="1"/>
  <c r="BG48" i="12" s="1"/>
  <c r="BG35" i="12"/>
  <c r="BL19" i="2"/>
  <c r="BD204" i="77"/>
  <c r="BC204" i="77"/>
  <c r="DM32" i="73"/>
  <c r="DM27" i="73"/>
  <c r="DM22" i="73"/>
  <c r="DM301" i="73"/>
  <c r="DM321" i="73" s="1"/>
  <c r="DM295" i="73"/>
  <c r="DM320" i="73" s="1"/>
  <c r="DM289" i="73"/>
  <c r="DM11" i="73"/>
  <c r="DM6" i="73"/>
  <c r="AZ30" i="83"/>
  <c r="BJ27" i="9" l="1"/>
  <c r="BJ133" i="9" s="1"/>
  <c r="BJ135" i="9" s="1"/>
  <c r="DM29" i="73"/>
  <c r="DM44" i="73"/>
  <c r="DM34" i="73"/>
  <c r="DM39" i="73"/>
  <c r="BG50" i="12"/>
  <c r="M11" i="76"/>
  <c r="BL24" i="2"/>
  <c r="BL26" i="2" s="1"/>
  <c r="BL28" i="2" s="1"/>
  <c r="AU18" i="63" s="1"/>
  <c r="DM19" i="73"/>
  <c r="DM24" i="73"/>
  <c r="DM285" i="73"/>
  <c r="DM297" i="73"/>
  <c r="DM291" i="73"/>
  <c r="BL30" i="2" l="1"/>
  <c r="BD203" i="77"/>
  <c r="BC203" i="77"/>
  <c r="CO321" i="73"/>
  <c r="CP321" i="73"/>
  <c r="CQ321" i="73"/>
  <c r="CR321" i="73"/>
  <c r="CS321" i="73"/>
  <c r="CT321" i="73"/>
  <c r="CU321" i="73"/>
  <c r="CV321" i="73"/>
  <c r="CW321" i="73"/>
  <c r="CX321" i="73"/>
  <c r="CY321" i="73"/>
  <c r="CZ321" i="73"/>
  <c r="CN321" i="73"/>
  <c r="CN320" i="73"/>
  <c r="CO320" i="73"/>
  <c r="CP320" i="73"/>
  <c r="CQ320" i="73"/>
  <c r="CR320" i="73"/>
  <c r="CS320" i="73"/>
  <c r="CT320" i="73"/>
  <c r="CU320" i="73"/>
  <c r="CV320" i="73"/>
  <c r="CW320" i="73"/>
  <c r="CX320" i="73"/>
  <c r="CY320" i="73"/>
  <c r="CZ320" i="73"/>
  <c r="CM320" i="73"/>
  <c r="L13" i="76" l="1"/>
  <c r="D84" i="9" l="1"/>
  <c r="D74" i="9"/>
  <c r="D49" i="38" l="1"/>
  <c r="AU4" i="55"/>
  <c r="AT4" i="55"/>
  <c r="AV4" i="55"/>
  <c r="AW4" i="55"/>
  <c r="J394" i="36" l="1"/>
  <c r="J406" i="36" s="1"/>
  <c r="AX4" i="55"/>
  <c r="AX8" i="53" l="1"/>
  <c r="AU92" i="68"/>
  <c r="AA391" i="36" l="1"/>
  <c r="AA384" i="36"/>
  <c r="J418" i="36" l="1"/>
  <c r="J430" i="36" l="1"/>
  <c r="BE49" i="9"/>
  <c r="BE51" i="9"/>
  <c r="BE52" i="9" s="1"/>
  <c r="BK40" i="3"/>
  <c r="BL40" i="3"/>
  <c r="BM40" i="3"/>
  <c r="BE12" i="9" s="1"/>
  <c r="BE13" i="9"/>
  <c r="BE18" i="9"/>
  <c r="AW21" i="49"/>
  <c r="AW22" i="49" s="1"/>
  <c r="EL25" i="34"/>
  <c r="BE14" i="9" l="1"/>
  <c r="J22" i="76" l="1"/>
  <c r="AX13" i="55" l="1"/>
  <c r="AX19" i="52"/>
  <c r="AX51" i="52" s="1"/>
  <c r="AD18" i="81" l="1"/>
  <c r="AD15" i="81"/>
  <c r="L183" i="80"/>
  <c r="D183" i="80"/>
  <c r="L182" i="80"/>
  <c r="D182" i="80"/>
  <c r="L181" i="80"/>
  <c r="D181" i="80"/>
  <c r="L180" i="80"/>
  <c r="D180" i="80"/>
  <c r="L179" i="80"/>
  <c r="D179" i="80"/>
  <c r="L178" i="80"/>
  <c r="D178" i="80"/>
  <c r="L177" i="80"/>
  <c r="D177" i="80"/>
  <c r="AT92" i="68"/>
  <c r="AT78" i="68"/>
  <c r="AT69" i="68"/>
  <c r="AT59" i="68" l="1"/>
  <c r="AT54" i="68"/>
  <c r="AT50" i="68"/>
  <c r="AT45" i="68"/>
  <c r="AT31" i="68"/>
  <c r="AT28" i="68"/>
  <c r="AT26" i="68"/>
  <c r="AT23" i="68"/>
  <c r="AU5" i="68"/>
  <c r="AU63" i="68" s="1"/>
  <c r="AQ5" i="68"/>
  <c r="AQ63" i="68" s="1"/>
  <c r="AT5" i="68"/>
  <c r="AT63" i="68" s="1"/>
  <c r="AW13" i="55"/>
  <c r="AW27" i="65"/>
  <c r="AW19" i="65"/>
  <c r="AW11" i="65"/>
  <c r="AV11" i="65"/>
  <c r="AW22" i="53"/>
  <c r="AW15" i="53"/>
  <c r="AW17" i="53" s="1"/>
  <c r="AW8" i="53"/>
  <c r="AW10" i="53" s="1"/>
  <c r="AW35" i="52"/>
  <c r="AW19" i="52"/>
  <c r="AW53" i="49"/>
  <c r="AW52" i="49"/>
  <c r="AW51" i="49"/>
  <c r="AW50" i="49"/>
  <c r="AW49" i="49"/>
  <c r="AW48" i="49"/>
  <c r="AW47" i="49"/>
  <c r="AW46" i="49"/>
  <c r="AW45" i="49"/>
  <c r="AW44" i="49"/>
  <c r="AW43" i="49"/>
  <c r="AW42" i="49"/>
  <c r="AW39" i="49"/>
  <c r="AX24" i="48"/>
  <c r="AS8" i="72"/>
  <c r="AS21" i="72" s="1"/>
  <c r="BA72" i="46"/>
  <c r="BA66" i="46"/>
  <c r="BA53" i="46"/>
  <c r="BA47" i="46"/>
  <c r="BA34" i="46"/>
  <c r="BA28" i="46"/>
  <c r="BA21" i="46"/>
  <c r="BA15" i="46"/>
  <c r="BA9" i="46"/>
  <c r="AX33" i="45"/>
  <c r="AX23" i="45"/>
  <c r="AX13" i="45"/>
  <c r="AX14" i="45" s="1"/>
  <c r="AX25" i="44"/>
  <c r="AX19" i="44"/>
  <c r="AX15" i="44"/>
  <c r="AX12" i="44"/>
  <c r="AS24" i="72" l="1"/>
  <c r="AT51" i="68"/>
  <c r="AW90" i="71"/>
  <c r="BA59" i="46"/>
  <c r="AT60" i="68"/>
  <c r="BA40" i="46"/>
  <c r="AW57" i="49"/>
  <c r="BA78" i="46"/>
  <c r="AX32" i="44"/>
  <c r="AY25" i="44" s="1"/>
  <c r="AX22" i="44"/>
  <c r="AT32" i="68"/>
  <c r="AX18" i="44"/>
  <c r="AW24" i="55"/>
  <c r="AW25" i="55" l="1"/>
  <c r="AT61" i="68"/>
  <c r="AX38" i="44"/>
  <c r="AA54" i="42"/>
  <c r="D54" i="42"/>
  <c r="Q54" i="42"/>
  <c r="AX18" i="39"/>
  <c r="AX9" i="39"/>
  <c r="AW9" i="39"/>
  <c r="D48" i="38"/>
  <c r="D47" i="38"/>
  <c r="D45" i="38"/>
  <c r="D44" i="38"/>
  <c r="D43" i="38"/>
  <c r="D42" i="38"/>
  <c r="J5" i="38"/>
  <c r="I5" i="38"/>
  <c r="H5" i="38"/>
  <c r="G5" i="38"/>
  <c r="F5" i="38"/>
  <c r="E5" i="38"/>
  <c r="D5" i="38"/>
  <c r="Q394" i="36"/>
  <c r="Q406" i="36" s="1"/>
  <c r="Q418" i="36" s="1"/>
  <c r="P394" i="36"/>
  <c r="P406" i="36" s="1"/>
  <c r="P418" i="36" s="1"/>
  <c r="L394" i="36"/>
  <c r="L406" i="36" s="1"/>
  <c r="L418" i="36" s="1"/>
  <c r="K394" i="36"/>
  <c r="K406" i="36" s="1"/>
  <c r="K418" i="36" s="1"/>
  <c r="EM5" i="34"/>
  <c r="EK24" i="34"/>
  <c r="EJ24" i="34"/>
  <c r="EL23" i="34"/>
  <c r="EK23" i="34"/>
  <c r="EJ23" i="34"/>
  <c r="EL20" i="34"/>
  <c r="EJ21" i="34"/>
  <c r="EL18" i="34"/>
  <c r="EL17" i="34"/>
  <c r="EL16" i="34"/>
  <c r="EL15" i="34"/>
  <c r="AX45" i="33"/>
  <c r="AX42" i="33"/>
  <c r="AX31" i="33"/>
  <c r="AX28" i="33"/>
  <c r="AX17" i="33"/>
  <c r="AX14" i="33"/>
  <c r="AX50" i="61"/>
  <c r="AX49" i="61"/>
  <c r="AX44" i="61"/>
  <c r="AX43" i="61"/>
  <c r="AX42" i="61"/>
  <c r="AX41" i="61"/>
  <c r="AX40" i="61"/>
  <c r="AX39" i="61"/>
  <c r="AX38" i="61"/>
  <c r="AX35" i="61"/>
  <c r="AX32" i="61"/>
  <c r="AX19" i="61"/>
  <c r="AX16" i="61"/>
  <c r="AV30" i="31"/>
  <c r="Q430" i="36" l="1"/>
  <c r="Q442" i="36"/>
  <c r="Q454" i="36" s="1"/>
  <c r="P430" i="36"/>
  <c r="P442" i="36"/>
  <c r="P454" i="36" s="1"/>
  <c r="L430" i="36"/>
  <c r="L442" i="36"/>
  <c r="L454" i="36" s="1"/>
  <c r="K430" i="36"/>
  <c r="EL24" i="34"/>
  <c r="EJ27" i="34"/>
  <c r="AX48" i="61"/>
  <c r="EK21" i="34"/>
  <c r="EK27" i="34" s="1"/>
  <c r="EL19" i="34"/>
  <c r="EL21" i="34" s="1"/>
  <c r="EL27" i="34" s="1"/>
  <c r="I48" i="38"/>
  <c r="E48" i="38"/>
  <c r="J48" i="38"/>
  <c r="F48" i="38"/>
  <c r="H48" i="38"/>
  <c r="G48" i="38"/>
  <c r="K48" i="38"/>
  <c r="AW30" i="31"/>
  <c r="AW21" i="31"/>
  <c r="AW12" i="31"/>
  <c r="X394" i="36"/>
  <c r="D394" i="36"/>
  <c r="X393" i="36"/>
  <c r="V393" i="36"/>
  <c r="D393" i="36"/>
  <c r="X392" i="36"/>
  <c r="V392" i="36"/>
  <c r="D392" i="36"/>
  <c r="X391" i="36"/>
  <c r="V391" i="36"/>
  <c r="D391" i="36"/>
  <c r="X390" i="36"/>
  <c r="V390" i="36"/>
  <c r="D390" i="36"/>
  <c r="X389" i="36"/>
  <c r="V389" i="36"/>
  <c r="D389" i="36"/>
  <c r="X388" i="36"/>
  <c r="V388" i="36"/>
  <c r="D388" i="36"/>
  <c r="X387" i="36"/>
  <c r="V387" i="36"/>
  <c r="D387" i="36"/>
  <c r="X386" i="36"/>
  <c r="V386" i="36"/>
  <c r="D386" i="36"/>
  <c r="X385" i="36"/>
  <c r="V385" i="36"/>
  <c r="D385" i="36"/>
  <c r="X384" i="36"/>
  <c r="V384" i="36"/>
  <c r="D384" i="36"/>
  <c r="AX22" i="30" l="1"/>
  <c r="AX25" i="30" s="1"/>
  <c r="AX15" i="30"/>
  <c r="AX18" i="30" s="1"/>
  <c r="AX7" i="30"/>
  <c r="AX10" i="30" s="1"/>
  <c r="AX18" i="29"/>
  <c r="AX13" i="29"/>
  <c r="AX8" i="29"/>
  <c r="AX20" i="26"/>
  <c r="AX22" i="26" s="1"/>
  <c r="AX10" i="26"/>
  <c r="AX12" i="26" s="1"/>
  <c r="AX13" i="26" s="1"/>
  <c r="D41" i="23"/>
  <c r="K41" i="23" s="1"/>
  <c r="D40" i="23"/>
  <c r="K40" i="23" s="1"/>
  <c r="D39" i="23"/>
  <c r="K39" i="23" s="1"/>
  <c r="D38" i="23"/>
  <c r="K38" i="23" s="1"/>
  <c r="P41" i="23"/>
  <c r="I41" i="23"/>
  <c r="H41" i="23"/>
  <c r="G41" i="23"/>
  <c r="D37" i="23"/>
  <c r="K37" i="23" s="1"/>
  <c r="O41" i="23"/>
  <c r="N41" i="23"/>
  <c r="M41" i="23"/>
  <c r="L41" i="23"/>
  <c r="F41" i="23"/>
  <c r="E41" i="23"/>
  <c r="D36" i="23"/>
  <c r="K36" i="23" s="1"/>
  <c r="D47" i="23"/>
  <c r="K47" i="23" s="1"/>
  <c r="E47" i="23"/>
  <c r="F47" i="23"/>
  <c r="G47" i="23"/>
  <c r="H47" i="23"/>
  <c r="I47" i="23"/>
  <c r="L47" i="23"/>
  <c r="M47" i="23"/>
  <c r="N47" i="23"/>
  <c r="O47" i="23"/>
  <c r="P47" i="23"/>
  <c r="D48" i="23"/>
  <c r="K48" i="23" s="1"/>
  <c r="D49" i="23"/>
  <c r="K49" i="23" s="1"/>
  <c r="D50" i="23"/>
  <c r="K50" i="23" s="1"/>
  <c r="D51" i="23"/>
  <c r="K51" i="23" s="1"/>
  <c r="D52" i="23"/>
  <c r="K52" i="23" s="1"/>
  <c r="AW13" i="24"/>
  <c r="AC24" i="13"/>
  <c r="AC25" i="13"/>
  <c r="AC23" i="13" l="1"/>
  <c r="AX23" i="26"/>
  <c r="AS82" i="68" l="1"/>
  <c r="E9" i="76"/>
  <c r="L14" i="76"/>
  <c r="L9" i="76" s="1"/>
  <c r="D14" i="76"/>
  <c r="D13" i="76"/>
  <c r="D125" i="9"/>
  <c r="BF45" i="9"/>
  <c r="D357" i="79"/>
  <c r="D356" i="79"/>
  <c r="D355" i="79"/>
  <c r="D354" i="79"/>
  <c r="D353" i="79"/>
  <c r="D352" i="79"/>
  <c r="D351" i="79"/>
  <c r="AF288" i="77"/>
  <c r="D288" i="77"/>
  <c r="AV33" i="67" l="1"/>
  <c r="AV29" i="67"/>
  <c r="AV22" i="67"/>
  <c r="AV20" i="67"/>
  <c r="AS94" i="63"/>
  <c r="AS87" i="63"/>
  <c r="AS79" i="63"/>
  <c r="AS45" i="63"/>
  <c r="AS14" i="63"/>
  <c r="AV39" i="67" l="1"/>
  <c r="AT93" i="63"/>
  <c r="BE24" i="12"/>
  <c r="BE22" i="12"/>
  <c r="BE20" i="12"/>
  <c r="BE18" i="12"/>
  <c r="BE17" i="12"/>
  <c r="BE16" i="12"/>
  <c r="BE15" i="12"/>
  <c r="BE8" i="12"/>
  <c r="BE37" i="10"/>
  <c r="BE10" i="10"/>
  <c r="BE37" i="1"/>
  <c r="BD9" i="1"/>
  <c r="BI7" i="2" s="1"/>
  <c r="BE9" i="1"/>
  <c r="BJ7" i="2" s="1"/>
  <c r="BM78" i="3"/>
  <c r="BE17" i="9" s="1"/>
  <c r="BM61" i="3"/>
  <c r="BM42" i="3"/>
  <c r="BE7" i="9" s="1"/>
  <c r="BM33" i="3"/>
  <c r="BM23" i="3"/>
  <c r="BM6" i="3"/>
  <c r="BE12" i="10" l="1"/>
  <c r="BE14" i="10" s="1"/>
  <c r="BE16" i="10" s="1"/>
  <c r="BE35" i="10" s="1"/>
  <c r="BE36" i="10" s="1"/>
  <c r="BJ8" i="2"/>
  <c r="BJ6" i="2" s="1"/>
  <c r="BE11" i="1"/>
  <c r="BE13" i="1" s="1"/>
  <c r="BE15" i="1" s="1"/>
  <c r="BE6" i="9"/>
  <c r="BE8" i="9"/>
  <c r="BM90" i="3"/>
  <c r="BC202" i="77"/>
  <c r="BM39" i="3"/>
  <c r="BD202" i="77"/>
  <c r="BE40" i="10" l="1"/>
  <c r="BE43" i="10" s="1"/>
  <c r="BE45" i="10" s="1"/>
  <c r="BE48" i="10" s="1"/>
  <c r="BE10" i="12"/>
  <c r="BE12" i="12" s="1"/>
  <c r="BE14" i="12" s="1"/>
  <c r="AX11" i="30"/>
  <c r="BE50" i="9"/>
  <c r="BE53" i="9" s="1"/>
  <c r="BJ10" i="2"/>
  <c r="BM91" i="3"/>
  <c r="BE35" i="1"/>
  <c r="BE40" i="1"/>
  <c r="BE43" i="1" s="1"/>
  <c r="BE45" i="1" s="1"/>
  <c r="BE48" i="1" s="1"/>
  <c r="DK32" i="73"/>
  <c r="DK27" i="73"/>
  <c r="DK22" i="73"/>
  <c r="DK301" i="73"/>
  <c r="DK321" i="73" s="1"/>
  <c r="DK295" i="73"/>
  <c r="DK320" i="73" s="1"/>
  <c r="DK289" i="73"/>
  <c r="DK11" i="73"/>
  <c r="DK6" i="73"/>
  <c r="BJ16" i="2" l="1"/>
  <c r="AW11" i="53"/>
  <c r="DK285" i="73"/>
  <c r="DK39" i="73"/>
  <c r="DK34" i="73"/>
  <c r="DK44" i="73"/>
  <c r="BE36" i="1"/>
  <c r="BE34" i="12"/>
  <c r="BE39" i="12"/>
  <c r="BJ19" i="2"/>
  <c r="DK297" i="73"/>
  <c r="DK291" i="73"/>
  <c r="DK24" i="73"/>
  <c r="DK19" i="73"/>
  <c r="DK29" i="73"/>
  <c r="BE35" i="12" l="1"/>
  <c r="BJ24" i="2"/>
  <c r="BJ26" i="2" s="1"/>
  <c r="BJ28" i="2" s="1"/>
  <c r="BE42" i="12"/>
  <c r="BE44" i="12" s="1"/>
  <c r="AF201" i="77"/>
  <c r="BJ30" i="2" l="1"/>
  <c r="BE48" i="12"/>
  <c r="BE50" i="12" s="1"/>
  <c r="AS18" i="63"/>
  <c r="BC201" i="77"/>
  <c r="BD201" i="77"/>
  <c r="AS63" i="63" l="1"/>
  <c r="AS92" i="63" s="1"/>
  <c r="DI323" i="73"/>
  <c r="DI32" i="73"/>
  <c r="DI27" i="73"/>
  <c r="DI22" i="73"/>
  <c r="DI301" i="73"/>
  <c r="DI321" i="73" s="1"/>
  <c r="DI295" i="73"/>
  <c r="DI320" i="73" s="1"/>
  <c r="DI289" i="73"/>
  <c r="DI11" i="73"/>
  <c r="DI6" i="73"/>
  <c r="AS6" i="63" l="1"/>
  <c r="DI24" i="73"/>
  <c r="DI39" i="73"/>
  <c r="DI44" i="73"/>
  <c r="DI34" i="73"/>
  <c r="DI285" i="73"/>
  <c r="DI29" i="73"/>
  <c r="DI291" i="73"/>
  <c r="DI297" i="73"/>
  <c r="DI19" i="73"/>
  <c r="BD200" i="77" l="1"/>
  <c r="BC200" i="77"/>
  <c r="AB24" i="13"/>
  <c r="AB25" i="13"/>
  <c r="K89" i="38" l="1"/>
  <c r="I85" i="38" l="1"/>
  <c r="I84" i="38"/>
  <c r="G56" i="38" l="1"/>
  <c r="D56" i="38" l="1"/>
  <c r="DF323" i="73" l="1"/>
  <c r="DH32" i="73"/>
  <c r="DH27" i="73"/>
  <c r="DH22" i="73"/>
  <c r="DH301" i="73"/>
  <c r="DH295" i="73"/>
  <c r="DH320" i="73" s="1"/>
  <c r="DH289" i="73"/>
  <c r="DH11" i="73"/>
  <c r="DH6" i="73"/>
  <c r="DH24" i="73" l="1"/>
  <c r="DH44" i="73"/>
  <c r="DH34" i="73"/>
  <c r="DH39" i="73"/>
  <c r="DH321" i="73"/>
  <c r="DH285" i="73"/>
  <c r="DH297" i="73"/>
  <c r="DH29" i="73"/>
  <c r="DH291" i="73"/>
  <c r="DH19" i="73"/>
  <c r="AY13" i="45" l="1"/>
  <c r="AU23" i="68"/>
  <c r="AS70" i="68" l="1"/>
  <c r="D15" i="48" l="1"/>
  <c r="D14" i="48"/>
  <c r="D13" i="48"/>
  <c r="BD49" i="9" l="1"/>
  <c r="BD51" i="9"/>
  <c r="BD12" i="9"/>
  <c r="BD13" i="9"/>
  <c r="AR94" i="63"/>
  <c r="BL78" i="3"/>
  <c r="BL61" i="3"/>
  <c r="BL42" i="3"/>
  <c r="BD7" i="9" s="1"/>
  <c r="BL33" i="3"/>
  <c r="BL23" i="3"/>
  <c r="BL6" i="3"/>
  <c r="AS93" i="63" l="1"/>
  <c r="BD17" i="9"/>
  <c r="BL90" i="3"/>
  <c r="BD8" i="9"/>
  <c r="BL39" i="3"/>
  <c r="BD14" i="9"/>
  <c r="BD6" i="9"/>
  <c r="AS96" i="63" l="1"/>
  <c r="BL91" i="3"/>
  <c r="AY12" i="44" l="1"/>
  <c r="AC18" i="81" l="1"/>
  <c r="AC15" i="81"/>
  <c r="L175" i="80"/>
  <c r="D175" i="80"/>
  <c r="L174" i="80"/>
  <c r="D174" i="80"/>
  <c r="L173" i="80"/>
  <c r="D173" i="80"/>
  <c r="L172" i="80"/>
  <c r="D172" i="80"/>
  <c r="L171" i="80"/>
  <c r="D171" i="80"/>
  <c r="L170" i="80"/>
  <c r="D170" i="80"/>
  <c r="L169" i="80"/>
  <c r="D169" i="80"/>
  <c r="AS80" i="68"/>
  <c r="AS69" i="68"/>
  <c r="AS59" i="68" l="1"/>
  <c r="AS54" i="68"/>
  <c r="AS50" i="68"/>
  <c r="AS45" i="68"/>
  <c r="AS31" i="68"/>
  <c r="AS23" i="68"/>
  <c r="AS5" i="68"/>
  <c r="AS63" i="68" s="1"/>
  <c r="AV13" i="55"/>
  <c r="AV22" i="65"/>
  <c r="AV23" i="65"/>
  <c r="AV24" i="65"/>
  <c r="AV25" i="65"/>
  <c r="AV26" i="65"/>
  <c r="AV19" i="65"/>
  <c r="AV86" i="71"/>
  <c r="AV85" i="71"/>
  <c r="AV84" i="71"/>
  <c r="AV83" i="71"/>
  <c r="AV82" i="71"/>
  <c r="AV81" i="71"/>
  <c r="AV80" i="71"/>
  <c r="AV79" i="71"/>
  <c r="AV78" i="71"/>
  <c r="AV77" i="71"/>
  <c r="AV76" i="71"/>
  <c r="AV75" i="71"/>
  <c r="AV74" i="71"/>
  <c r="AV73" i="71"/>
  <c r="AV72" i="71"/>
  <c r="AV71" i="71"/>
  <c r="AV70" i="71"/>
  <c r="AV69" i="71"/>
  <c r="AV68" i="71"/>
  <c r="AV67" i="71"/>
  <c r="AV66" i="71"/>
  <c r="AV65" i="71"/>
  <c r="AV64" i="71"/>
  <c r="AV23" i="53"/>
  <c r="AV21" i="53"/>
  <c r="AV20" i="53"/>
  <c r="AV15" i="53"/>
  <c r="AV17" i="53" s="1"/>
  <c r="AV8" i="53"/>
  <c r="AV10" i="53" s="1"/>
  <c r="AV41" i="52"/>
  <c r="AV35" i="52"/>
  <c r="AV19" i="52"/>
  <c r="AV57" i="49"/>
  <c r="AV39" i="49"/>
  <c r="AV21" i="49"/>
  <c r="AV22" i="49" s="1"/>
  <c r="AW24" i="48"/>
  <c r="AZ107" i="46"/>
  <c r="AZ108" i="46"/>
  <c r="AZ109" i="46"/>
  <c r="AZ110" i="46"/>
  <c r="AZ111" i="46"/>
  <c r="AZ112" i="46"/>
  <c r="AZ77" i="46"/>
  <c r="AZ76" i="46"/>
  <c r="AZ75" i="46"/>
  <c r="AZ72" i="46"/>
  <c r="AZ66" i="46"/>
  <c r="AZ58" i="46"/>
  <c r="AZ57" i="46"/>
  <c r="AZ56" i="46"/>
  <c r="AZ53" i="46"/>
  <c r="AZ47" i="46"/>
  <c r="AZ34" i="46"/>
  <c r="AZ28" i="46"/>
  <c r="AZ21" i="46"/>
  <c r="AZ15" i="46"/>
  <c r="AZ9" i="46"/>
  <c r="AW13" i="45"/>
  <c r="AW23" i="45"/>
  <c r="AW31" i="45"/>
  <c r="AW30" i="45"/>
  <c r="AW29" i="45"/>
  <c r="AW28" i="45"/>
  <c r="AW27" i="45"/>
  <c r="AW26" i="45"/>
  <c r="AA53" i="42"/>
  <c r="Q53" i="42"/>
  <c r="O53" i="42"/>
  <c r="D53" i="42"/>
  <c r="AW18" i="39"/>
  <c r="D65" i="38"/>
  <c r="D64" i="38"/>
  <c r="D63" i="38"/>
  <c r="K64" i="38"/>
  <c r="D61" i="38"/>
  <c r="D60" i="38"/>
  <c r="D59" i="38"/>
  <c r="J64" i="38"/>
  <c r="I64" i="38"/>
  <c r="H64" i="38"/>
  <c r="G64" i="38"/>
  <c r="F64" i="38"/>
  <c r="E64" i="38"/>
  <c r="D58" i="38"/>
  <c r="X382" i="36"/>
  <c r="D382" i="36"/>
  <c r="X381" i="36"/>
  <c r="D381" i="36"/>
  <c r="X380" i="36"/>
  <c r="D380" i="36"/>
  <c r="X379" i="36"/>
  <c r="D379" i="36"/>
  <c r="X378" i="36"/>
  <c r="D378" i="36"/>
  <c r="X377" i="36"/>
  <c r="D377" i="36"/>
  <c r="X376" i="36"/>
  <c r="D376" i="36"/>
  <c r="X375" i="36"/>
  <c r="D375" i="36"/>
  <c r="X374" i="36"/>
  <c r="D374" i="36"/>
  <c r="X373" i="36"/>
  <c r="D373" i="36"/>
  <c r="X372" i="36"/>
  <c r="D372" i="36"/>
  <c r="AW45" i="33"/>
  <c r="AW42" i="33"/>
  <c r="AW31" i="33"/>
  <c r="AW28" i="33"/>
  <c r="AW17" i="33"/>
  <c r="AW14" i="33"/>
  <c r="AW51" i="61"/>
  <c r="AW48" i="61"/>
  <c r="AW35" i="61"/>
  <c r="AW32" i="61"/>
  <c r="AW19" i="61"/>
  <c r="AW16" i="61"/>
  <c r="AY29" i="32"/>
  <c r="AW29" i="32"/>
  <c r="AW28" i="32"/>
  <c r="AW27" i="32"/>
  <c r="AW26" i="32"/>
  <c r="AW25" i="32"/>
  <c r="AV12" i="31"/>
  <c r="AV11" i="31" s="1"/>
  <c r="AV21" i="31"/>
  <c r="AV20" i="31" s="1"/>
  <c r="AW22" i="30"/>
  <c r="AW25" i="30" s="1"/>
  <c r="AW15" i="30"/>
  <c r="AW18" i="30" s="1"/>
  <c r="AW7" i="30"/>
  <c r="AW10" i="30" s="1"/>
  <c r="AW18" i="29"/>
  <c r="AW13" i="29"/>
  <c r="AW8" i="29"/>
  <c r="AW20" i="26"/>
  <c r="AW22" i="26" s="1"/>
  <c r="AW23" i="26" s="1"/>
  <c r="AW10" i="26"/>
  <c r="D46" i="23"/>
  <c r="K46" i="23" s="1"/>
  <c r="D45" i="23"/>
  <c r="K45" i="23" s="1"/>
  <c r="D44" i="23"/>
  <c r="K44" i="23" s="1"/>
  <c r="D43" i="23"/>
  <c r="K43" i="23" s="1"/>
  <c r="D42" i="23"/>
  <c r="K42" i="23" s="1"/>
  <c r="AV27" i="65" l="1"/>
  <c r="AS32" i="68"/>
  <c r="AZ59" i="46"/>
  <c r="AV90" i="71"/>
  <c r="AV24" i="55"/>
  <c r="AV22" i="53"/>
  <c r="AV24" i="53" s="1"/>
  <c r="AS60" i="68"/>
  <c r="AW30" i="48"/>
  <c r="AW33" i="45"/>
  <c r="AW12" i="26"/>
  <c r="AW13" i="26" s="1"/>
  <c r="AS51" i="68"/>
  <c r="AZ78" i="46"/>
  <c r="AX22" i="53"/>
  <c r="AX24" i="53" s="1"/>
  <c r="AS61" i="68" l="1"/>
  <c r="D124" i="9"/>
  <c r="BE45" i="9"/>
  <c r="G357" i="79"/>
  <c r="D349" i="79"/>
  <c r="D348" i="79"/>
  <c r="D347" i="79"/>
  <c r="D346" i="79"/>
  <c r="D345" i="79"/>
  <c r="D344" i="79"/>
  <c r="D343" i="79"/>
  <c r="AU33" i="67"/>
  <c r="AU29" i="67"/>
  <c r="AU22" i="67"/>
  <c r="AU17" i="67"/>
  <c r="AU20" i="67" s="1"/>
  <c r="AU13" i="67"/>
  <c r="AU9" i="67"/>
  <c r="G365" i="79" l="1"/>
  <c r="G373" i="79" s="1"/>
  <c r="AU39" i="67"/>
  <c r="G382" i="79" l="1"/>
  <c r="AR87" i="63"/>
  <c r="AR79" i="63"/>
  <c r="AR54" i="63"/>
  <c r="AR45" i="63"/>
  <c r="AR13" i="63"/>
  <c r="AR12" i="63"/>
  <c r="G391" i="79" l="1"/>
  <c r="AR8" i="72"/>
  <c r="AR21" i="72" s="1"/>
  <c r="AR24" i="72" s="1"/>
  <c r="AQ8" i="72"/>
  <c r="AP8" i="72"/>
  <c r="G400" i="79" l="1"/>
  <c r="BC199" i="77"/>
  <c r="BD199" i="77"/>
  <c r="AF287" i="77" l="1"/>
  <c r="D287" i="77"/>
  <c r="BD36" i="12" l="1"/>
  <c r="BC36" i="12"/>
  <c r="BD8" i="12"/>
  <c r="BD48" i="10"/>
  <c r="BD37" i="10"/>
  <c r="BD10" i="10"/>
  <c r="BD48" i="1"/>
  <c r="BD37" i="1"/>
  <c r="BD11" i="1"/>
  <c r="BI28" i="2"/>
  <c r="DG323" i="73"/>
  <c r="DG32" i="73"/>
  <c r="DG27" i="73"/>
  <c r="DG22" i="73"/>
  <c r="DG301" i="73"/>
  <c r="DG321" i="73" s="1"/>
  <c r="DG295" i="73"/>
  <c r="DG320" i="73" s="1"/>
  <c r="DG289" i="73"/>
  <c r="DG11" i="73"/>
  <c r="DG6" i="73"/>
  <c r="BD198" i="77"/>
  <c r="BD12" i="10" l="1"/>
  <c r="BD14" i="10" s="1"/>
  <c r="BD16" i="10" s="1"/>
  <c r="BD40" i="10" s="1"/>
  <c r="BD43" i="10" s="1"/>
  <c r="BI8" i="2"/>
  <c r="BI6" i="2" s="1"/>
  <c r="DG297" i="73"/>
  <c r="DG44" i="73"/>
  <c r="DG34" i="73"/>
  <c r="DG39" i="73"/>
  <c r="BD52" i="9"/>
  <c r="BD13" i="1"/>
  <c r="BD15" i="1" s="1"/>
  <c r="AV25" i="55"/>
  <c r="BI30" i="2"/>
  <c r="AR18" i="63"/>
  <c r="DG19" i="73"/>
  <c r="DG285" i="73"/>
  <c r="DG24" i="73"/>
  <c r="DG291" i="73"/>
  <c r="DG29" i="73"/>
  <c r="BC198" i="77"/>
  <c r="D197" i="80"/>
  <c r="BD50" i="9" l="1"/>
  <c r="BI10" i="2"/>
  <c r="AW11" i="30"/>
  <c r="BD10" i="12"/>
  <c r="BD12" i="12" s="1"/>
  <c r="BD14" i="12" s="1"/>
  <c r="BD35" i="10"/>
  <c r="BD36" i="10" s="1"/>
  <c r="AR63" i="63"/>
  <c r="AR6" i="63" s="1"/>
  <c r="AR11" i="63" s="1"/>
  <c r="AR14" i="63" s="1"/>
  <c r="BD53" i="9"/>
  <c r="M18" i="76"/>
  <c r="BD40" i="1"/>
  <c r="BD35" i="1"/>
  <c r="AV11" i="53" l="1"/>
  <c r="BD39" i="12"/>
  <c r="BD34" i="12"/>
  <c r="BI16" i="2"/>
  <c r="AR92" i="63"/>
  <c r="BD43" i="1"/>
  <c r="BD42" i="12"/>
  <c r="BD44" i="12" s="1"/>
  <c r="BD36" i="1"/>
  <c r="DH323" i="73"/>
  <c r="DF32" i="73"/>
  <c r="DF27" i="73"/>
  <c r="DF22" i="73"/>
  <c r="DF301" i="73"/>
  <c r="DF295" i="73"/>
  <c r="DF320" i="73" s="1"/>
  <c r="DF289" i="73"/>
  <c r="DF11" i="73"/>
  <c r="DF6" i="73"/>
  <c r="D379" i="79"/>
  <c r="D378" i="79"/>
  <c r="BD35" i="12" l="1"/>
  <c r="BI19" i="2"/>
  <c r="DF297" i="73"/>
  <c r="DF39" i="73"/>
  <c r="DF34" i="73"/>
  <c r="DF44" i="73"/>
  <c r="BI24" i="2"/>
  <c r="DF321" i="73"/>
  <c r="DF24" i="73"/>
  <c r="DF285" i="73"/>
  <c r="DF19" i="73"/>
  <c r="DF291" i="73"/>
  <c r="DF29" i="73"/>
  <c r="BB26" i="52" l="1"/>
  <c r="BB42" i="52" s="1"/>
  <c r="HL17" i="85"/>
  <c r="HN17" i="85" s="1"/>
  <c r="HN18" i="85" s="1"/>
  <c r="AS71" i="68"/>
  <c r="D23" i="30"/>
  <c r="D16" i="30"/>
  <c r="D8" i="30"/>
  <c r="AR92" i="68"/>
  <c r="AR80" i="68"/>
  <c r="AR78" i="68"/>
  <c r="AR69" i="68"/>
  <c r="AO5" i="68"/>
  <c r="AO63" i="68" s="1"/>
  <c r="AR5" i="68"/>
  <c r="AR63" i="68" s="1"/>
  <c r="AR59" i="68"/>
  <c r="AR54" i="68"/>
  <c r="AR50" i="68"/>
  <c r="AR45" i="68"/>
  <c r="AR23" i="68"/>
  <c r="AR31" i="68"/>
  <c r="AY38" i="68" l="1"/>
  <c r="AI38" i="68"/>
  <c r="BB27" i="52"/>
  <c r="BB43" i="52" s="1"/>
  <c r="BB23" i="52"/>
  <c r="BB39" i="52" s="1"/>
  <c r="AN31" i="52"/>
  <c r="AO31" i="52" s="1"/>
  <c r="AP31" i="52" s="1"/>
  <c r="AR60" i="68"/>
  <c r="AR51" i="68"/>
  <c r="AR32" i="68"/>
  <c r="BB22" i="52" l="1"/>
  <c r="BB25" i="52"/>
  <c r="BB41" i="52" s="1"/>
  <c r="AR61" i="68"/>
  <c r="D380" i="79"/>
  <c r="G5" i="79"/>
  <c r="BB38" i="52" l="1"/>
  <c r="BB24" i="52"/>
  <c r="BB29" i="52"/>
  <c r="BB45" i="52" s="1"/>
  <c r="BB22" i="71"/>
  <c r="AF197" i="77"/>
  <c r="AF198" i="77"/>
  <c r="AF199" i="77"/>
  <c r="AF200" i="77"/>
  <c r="AF202" i="77"/>
  <c r="AF203" i="77"/>
  <c r="AF204" i="77"/>
  <c r="AF205" i="77"/>
  <c r="AF206" i="77"/>
  <c r="AF207" i="77"/>
  <c r="C207" i="77"/>
  <c r="C206" i="77"/>
  <c r="C205" i="77"/>
  <c r="C204" i="77"/>
  <c r="C203" i="77"/>
  <c r="C202" i="77"/>
  <c r="C201" i="77"/>
  <c r="C200" i="77"/>
  <c r="C199" i="77"/>
  <c r="C198" i="77"/>
  <c r="C197" i="77"/>
  <c r="B207" i="77"/>
  <c r="B206" i="77"/>
  <c r="B205" i="77"/>
  <c r="B204" i="77"/>
  <c r="B203" i="77"/>
  <c r="B202" i="77"/>
  <c r="B201" i="77"/>
  <c r="B200" i="77"/>
  <c r="B199" i="77"/>
  <c r="B198" i="77"/>
  <c r="B197" i="77"/>
  <c r="BB40" i="52" l="1"/>
  <c r="BB35" i="52"/>
  <c r="BB51" i="52" s="1"/>
  <c r="BB18" i="65"/>
  <c r="BC197" i="77"/>
  <c r="BD197" i="77"/>
  <c r="AR161" i="83" l="1"/>
  <c r="AR150" i="83"/>
  <c r="AR130" i="83"/>
  <c r="AR116" i="83"/>
  <c r="AR110" i="83"/>
  <c r="AR92" i="83"/>
  <c r="AR85" i="83"/>
  <c r="AR72" i="83"/>
  <c r="AR35" i="83"/>
  <c r="AR23" i="83"/>
  <c r="L167" i="80"/>
  <c r="D167" i="80"/>
  <c r="P166" i="80"/>
  <c r="L166" i="80"/>
  <c r="D166" i="80"/>
  <c r="P165" i="80"/>
  <c r="L165" i="80"/>
  <c r="D165" i="80"/>
  <c r="P164" i="80"/>
  <c r="L164" i="80"/>
  <c r="D164" i="80"/>
  <c r="L163" i="80"/>
  <c r="D163" i="80"/>
  <c r="L162" i="80"/>
  <c r="D162" i="80"/>
  <c r="AA52" i="42" l="1"/>
  <c r="Q51" i="42"/>
  <c r="Q52" i="42"/>
  <c r="O52" i="42"/>
  <c r="D52" i="42"/>
  <c r="D56" i="42"/>
  <c r="D73" i="38"/>
  <c r="G72" i="38"/>
  <c r="D72" i="38"/>
  <c r="E72" i="38"/>
  <c r="D71" i="38"/>
  <c r="D69" i="38"/>
  <c r="D68" i="38"/>
  <c r="D67" i="38"/>
  <c r="K72" i="38"/>
  <c r="J72" i="38"/>
  <c r="I72" i="38"/>
  <c r="H72" i="38"/>
  <c r="F72" i="38"/>
  <c r="D66" i="38"/>
  <c r="AA369" i="36"/>
  <c r="AA368" i="36"/>
  <c r="AA367" i="36"/>
  <c r="AA366" i="36"/>
  <c r="AA365" i="36"/>
  <c r="AA364" i="36"/>
  <c r="AA363" i="36"/>
  <c r="AA361" i="36"/>
  <c r="AA360" i="36"/>
  <c r="V369" i="36"/>
  <c r="V368" i="36"/>
  <c r="V367" i="36"/>
  <c r="V366" i="36"/>
  <c r="V365" i="36"/>
  <c r="V364" i="36"/>
  <c r="V363" i="36"/>
  <c r="V362" i="36"/>
  <c r="V361" i="36"/>
  <c r="V360" i="36"/>
  <c r="X370" i="36"/>
  <c r="X369" i="36"/>
  <c r="X368" i="36"/>
  <c r="X367" i="36"/>
  <c r="X366" i="36"/>
  <c r="X365" i="36"/>
  <c r="X364" i="36"/>
  <c r="X363" i="36"/>
  <c r="X362" i="36"/>
  <c r="X361" i="36"/>
  <c r="X360" i="36"/>
  <c r="D370" i="36"/>
  <c r="D369" i="36"/>
  <c r="D368" i="36"/>
  <c r="D367" i="36"/>
  <c r="D366" i="36"/>
  <c r="D365" i="36"/>
  <c r="D364" i="36"/>
  <c r="D363" i="36"/>
  <c r="D362" i="36"/>
  <c r="D361" i="36"/>
  <c r="D360" i="36"/>
  <c r="Q393" i="79" l="1"/>
  <c r="EE24" i="34"/>
  <c r="ED24" i="34"/>
  <c r="EE23" i="34"/>
  <c r="ED23" i="34"/>
  <c r="EE21" i="34"/>
  <c r="ED21" i="34"/>
  <c r="EF25" i="34"/>
  <c r="EF24" i="34" s="1"/>
  <c r="EF23" i="34"/>
  <c r="EF20" i="34"/>
  <c r="EF19" i="34"/>
  <c r="EF18" i="34"/>
  <c r="EF17" i="34"/>
  <c r="EF16" i="34"/>
  <c r="EF15" i="34"/>
  <c r="EF14" i="34"/>
  <c r="EF13" i="34"/>
  <c r="EF12" i="34"/>
  <c r="EF11" i="34"/>
  <c r="EF10" i="34"/>
  <c r="EF9" i="34"/>
  <c r="EF8" i="34"/>
  <c r="EF7" i="34"/>
  <c r="I53" i="23"/>
  <c r="H53" i="23"/>
  <c r="G53" i="23"/>
  <c r="F53" i="23"/>
  <c r="E53" i="23"/>
  <c r="D53" i="23"/>
  <c r="K53" i="23" s="1"/>
  <c r="BC49" i="9"/>
  <c r="BC51" i="9"/>
  <c r="BC37" i="10"/>
  <c r="BC37" i="1"/>
  <c r="K398" i="79" l="1"/>
  <c r="EE27" i="34"/>
  <c r="ED27" i="34"/>
  <c r="EF21" i="34"/>
  <c r="EF27" i="34" s="1"/>
  <c r="BF37" i="10"/>
  <c r="BF37" i="1"/>
  <c r="DE322" i="73" l="1"/>
  <c r="L398" i="79" l="1"/>
  <c r="L400" i="79" s="1"/>
  <c r="Q398" i="79"/>
  <c r="Q389" i="79"/>
  <c r="R389" i="79" s="1"/>
  <c r="T389" i="79" s="1"/>
  <c r="DF322" i="73"/>
  <c r="DG322" i="73" s="1"/>
  <c r="DH322" i="73" s="1"/>
  <c r="DI322" i="73" s="1"/>
  <c r="DE323" i="73"/>
  <c r="DE32" i="73"/>
  <c r="DE27" i="73"/>
  <c r="DE22" i="73"/>
  <c r="DE301" i="73"/>
  <c r="DE295" i="73"/>
  <c r="DE289" i="73"/>
  <c r="DE11" i="73"/>
  <c r="DE6" i="73"/>
  <c r="DE291" i="73" l="1"/>
  <c r="DE34" i="73"/>
  <c r="DE39" i="73"/>
  <c r="DE44" i="73"/>
  <c r="DE321" i="73"/>
  <c r="DE320" i="73"/>
  <c r="DE297" i="73"/>
  <c r="DE19" i="73"/>
  <c r="DE24" i="73"/>
  <c r="DE29" i="73"/>
  <c r="DE285" i="73"/>
  <c r="AV10" i="26"/>
  <c r="AV12" i="26" s="1"/>
  <c r="D17" i="76"/>
  <c r="D16" i="76"/>
  <c r="S399" i="79" l="1"/>
  <c r="S390" i="79"/>
  <c r="AV13" i="26"/>
  <c r="AB18" i="81"/>
  <c r="AB15" i="81"/>
  <c r="AU13" i="55"/>
  <c r="AU26" i="65"/>
  <c r="AU25" i="65"/>
  <c r="AU24" i="65"/>
  <c r="AU23" i="65"/>
  <c r="AU22" i="65"/>
  <c r="AU19" i="65"/>
  <c r="AU11" i="65"/>
  <c r="AU86" i="71"/>
  <c r="AU85" i="71"/>
  <c r="AU84" i="71"/>
  <c r="AU83" i="71"/>
  <c r="AU82" i="71"/>
  <c r="AU81" i="71"/>
  <c r="AU80" i="71"/>
  <c r="AU79" i="71"/>
  <c r="AU78" i="71"/>
  <c r="AU77" i="71"/>
  <c r="AU76" i="71"/>
  <c r="AU75" i="71"/>
  <c r="AU74" i="71"/>
  <c r="AU73" i="71"/>
  <c r="AU72" i="71"/>
  <c r="AU71" i="71"/>
  <c r="AU70" i="71"/>
  <c r="AU69" i="71"/>
  <c r="AU68" i="71"/>
  <c r="AU67" i="71"/>
  <c r="AU66" i="71"/>
  <c r="AU65" i="71"/>
  <c r="AU64" i="71"/>
  <c r="AU23" i="53"/>
  <c r="AU21" i="53"/>
  <c r="AU20" i="53"/>
  <c r="AU15" i="53"/>
  <c r="AU17" i="53" s="1"/>
  <c r="AU8" i="53"/>
  <c r="AU10" i="53" s="1"/>
  <c r="AU45" i="52"/>
  <c r="AU44" i="52"/>
  <c r="AU43" i="52"/>
  <c r="AU42" i="52"/>
  <c r="AU41" i="52"/>
  <c r="AU40" i="52"/>
  <c r="AU39" i="52"/>
  <c r="AU38" i="52"/>
  <c r="AU35" i="52"/>
  <c r="AU19" i="52"/>
  <c r="AU53" i="49"/>
  <c r="AU52" i="49"/>
  <c r="AU51" i="49"/>
  <c r="AU50" i="49"/>
  <c r="AU49" i="49"/>
  <c r="AU48" i="49"/>
  <c r="AU47" i="49"/>
  <c r="AU46" i="49"/>
  <c r="AU45" i="49"/>
  <c r="AU44" i="49"/>
  <c r="AU43" i="49"/>
  <c r="AU42" i="49"/>
  <c r="AU39" i="49"/>
  <c r="AU21" i="49"/>
  <c r="AU22" i="49" s="1"/>
  <c r="AV24" i="48"/>
  <c r="AQ21" i="72"/>
  <c r="AY112" i="46"/>
  <c r="AY111" i="46"/>
  <c r="AY110" i="46"/>
  <c r="AY109" i="46"/>
  <c r="AY108" i="46"/>
  <c r="AY107" i="46"/>
  <c r="AY77" i="46"/>
  <c r="AY76" i="46"/>
  <c r="AY75" i="46"/>
  <c r="AY72" i="46"/>
  <c r="AY66" i="46"/>
  <c r="AY58" i="46"/>
  <c r="AY57" i="46"/>
  <c r="AY56" i="46"/>
  <c r="AY53" i="46"/>
  <c r="AY47" i="46"/>
  <c r="AY34" i="46"/>
  <c r="AY28" i="46"/>
  <c r="AY20" i="46"/>
  <c r="AY19" i="46"/>
  <c r="AY18" i="46"/>
  <c r="AY15" i="46"/>
  <c r="AY9" i="46"/>
  <c r="AV31" i="45"/>
  <c r="AV30" i="45"/>
  <c r="AV29" i="45"/>
  <c r="AV28" i="45"/>
  <c r="AV27" i="45"/>
  <c r="AV26" i="45"/>
  <c r="AV23" i="45"/>
  <c r="AV13" i="45"/>
  <c r="AV18" i="39"/>
  <c r="AV9" i="39"/>
  <c r="AV47" i="61"/>
  <c r="AV46" i="61"/>
  <c r="AV45" i="61"/>
  <c r="AV50" i="61"/>
  <c r="AV49" i="61"/>
  <c r="AV44" i="61"/>
  <c r="AV43" i="61"/>
  <c r="AV42" i="61"/>
  <c r="AV41" i="61"/>
  <c r="AV40" i="61"/>
  <c r="AV39" i="61"/>
  <c r="AV38" i="61"/>
  <c r="AV35" i="61"/>
  <c r="AV32" i="61"/>
  <c r="AV19" i="61"/>
  <c r="AV16" i="61"/>
  <c r="AV29" i="32"/>
  <c r="AV28" i="32"/>
  <c r="AV27" i="32"/>
  <c r="AV26" i="32"/>
  <c r="AV25" i="32"/>
  <c r="AU28" i="31"/>
  <c r="AU27" i="31"/>
  <c r="AU26" i="31"/>
  <c r="AU25" i="31"/>
  <c r="AU24" i="31"/>
  <c r="AU21" i="31"/>
  <c r="AU20" i="31" s="1"/>
  <c r="AU12" i="31"/>
  <c r="AV24" i="30"/>
  <c r="AV21" i="30"/>
  <c r="AV22" i="30" s="1"/>
  <c r="AV15" i="30"/>
  <c r="AV18" i="30" s="1"/>
  <c r="AV7" i="30"/>
  <c r="AV10" i="30" s="1"/>
  <c r="AV17" i="29"/>
  <c r="AV16" i="29"/>
  <c r="AV8" i="29"/>
  <c r="AV13" i="29"/>
  <c r="AV20" i="26"/>
  <c r="AV22" i="26" s="1"/>
  <c r="AV23" i="26" s="1"/>
  <c r="AU13" i="24"/>
  <c r="AY40" i="33"/>
  <c r="AY31" i="33"/>
  <c r="AY28" i="33"/>
  <c r="T390" i="79" l="1"/>
  <c r="AQ24" i="72"/>
  <c r="AU24" i="55"/>
  <c r="AU22" i="53"/>
  <c r="AU24" i="53" s="1"/>
  <c r="AY59" i="46"/>
  <c r="AY78" i="46"/>
  <c r="AV18" i="29"/>
  <c r="AU51" i="52"/>
  <c r="AV25" i="30"/>
  <c r="AY45" i="33"/>
  <c r="AU90" i="71"/>
  <c r="AU27" i="65"/>
  <c r="AY41" i="33"/>
  <c r="AV51" i="61"/>
  <c r="AU30" i="31"/>
  <c r="AU29" i="31" s="1"/>
  <c r="AY21" i="46"/>
  <c r="AU57" i="49"/>
  <c r="AV30" i="48"/>
  <c r="AV33" i="45"/>
  <c r="AV48" i="61"/>
  <c r="AU11" i="31"/>
  <c r="AY17" i="33"/>
  <c r="Z24" i="13"/>
  <c r="AA24" i="13"/>
  <c r="Z25" i="13"/>
  <c r="AA25" i="13"/>
  <c r="AA22" i="13"/>
  <c r="AA21" i="13"/>
  <c r="AA20" i="13"/>
  <c r="AA19" i="13"/>
  <c r="AA18" i="13"/>
  <c r="BC11" i="26" l="1"/>
  <c r="AY42" i="33"/>
  <c r="AA23" i="13"/>
  <c r="Z23" i="13"/>
  <c r="BC8" i="12"/>
  <c r="BC10" i="10"/>
  <c r="BC9" i="1"/>
  <c r="BH7" i="2" s="1"/>
  <c r="AU25" i="55"/>
  <c r="D123" i="9"/>
  <c r="BI123" i="9"/>
  <c r="BC21" i="26" l="1"/>
  <c r="BC12" i="10"/>
  <c r="BC14" i="10" s="1"/>
  <c r="BC16" i="10" s="1"/>
  <c r="BH8" i="2"/>
  <c r="BH6" i="2" s="1"/>
  <c r="BC11" i="1"/>
  <c r="BC10" i="12" s="1"/>
  <c r="BD18" i="9"/>
  <c r="BC52" i="9"/>
  <c r="BC13" i="1"/>
  <c r="BC15" i="1" s="1"/>
  <c r="BC35" i="10" l="1"/>
  <c r="BC40" i="10"/>
  <c r="BC43" i="10" s="1"/>
  <c r="BC45" i="10" s="1"/>
  <c r="BC48" i="10" s="1"/>
  <c r="BH10" i="2"/>
  <c r="BC50" i="9"/>
  <c r="BC53" i="9" s="1"/>
  <c r="AV11" i="30"/>
  <c r="BC12" i="12"/>
  <c r="BC14" i="12" s="1"/>
  <c r="BC36" i="10"/>
  <c r="BC35" i="1"/>
  <c r="BC40" i="1"/>
  <c r="BC43" i="1" s="1"/>
  <c r="BC45" i="1" s="1"/>
  <c r="BC48" i="1" s="1"/>
  <c r="D83" i="9"/>
  <c r="D73" i="9"/>
  <c r="BD45" i="9"/>
  <c r="BC12" i="9"/>
  <c r="BC13" i="9"/>
  <c r="BC18" i="9"/>
  <c r="D381" i="79"/>
  <c r="D377" i="79"/>
  <c r="D375" i="79"/>
  <c r="AT33" i="67"/>
  <c r="AT29" i="67"/>
  <c r="AT22" i="67"/>
  <c r="AT17" i="67"/>
  <c r="AT20" i="67" s="1"/>
  <c r="AT13" i="67"/>
  <c r="AT9" i="67"/>
  <c r="AQ94" i="63"/>
  <c r="BK78" i="3"/>
  <c r="BC17" i="9" s="1"/>
  <c r="BK61" i="3"/>
  <c r="BK42" i="3"/>
  <c r="BK33" i="3"/>
  <c r="BK23" i="3"/>
  <c r="BK6" i="3"/>
  <c r="AU11" i="53" l="1"/>
  <c r="BH16" i="2"/>
  <c r="BC34" i="12"/>
  <c r="BC39" i="12"/>
  <c r="AR93" i="63"/>
  <c r="BK90" i="3"/>
  <c r="BC36" i="1"/>
  <c r="AT39" i="67"/>
  <c r="BC6" i="9"/>
  <c r="BC8" i="9"/>
  <c r="BC7" i="9"/>
  <c r="BK39" i="3"/>
  <c r="BC14" i="9"/>
  <c r="BH19" i="2" l="1"/>
  <c r="BC35" i="12"/>
  <c r="BC42" i="12"/>
  <c r="BC44" i="12" s="1"/>
  <c r="BC48" i="12" s="1"/>
  <c r="BC50" i="12" s="1"/>
  <c r="BK91" i="3"/>
  <c r="AQ87" i="63"/>
  <c r="AQ79" i="63"/>
  <c r="AQ54" i="63"/>
  <c r="AQ45" i="63"/>
  <c r="AQ12" i="63"/>
  <c r="AQ13" i="63"/>
  <c r="BH24" i="2" l="1"/>
  <c r="BH26" i="2" s="1"/>
  <c r="BH28" i="2" s="1"/>
  <c r="BC196" i="77"/>
  <c r="BD196" i="77"/>
  <c r="BH30" i="2" l="1"/>
  <c r="AQ18" i="63"/>
  <c r="DD323" i="73"/>
  <c r="DD32" i="73"/>
  <c r="DD27" i="73"/>
  <c r="DD22" i="73"/>
  <c r="DD301" i="73"/>
  <c r="DD295" i="73"/>
  <c r="DD289" i="73"/>
  <c r="DD11" i="73"/>
  <c r="DD6" i="73"/>
  <c r="DD285" i="73" l="1"/>
  <c r="DD39" i="73"/>
  <c r="DD44" i="73"/>
  <c r="DD34" i="73"/>
  <c r="DD320" i="73"/>
  <c r="DD321" i="73"/>
  <c r="DD291" i="73"/>
  <c r="DD297" i="73"/>
  <c r="DD19" i="73"/>
  <c r="DD24" i="73"/>
  <c r="DD29" i="73"/>
  <c r="DC323" i="73"/>
  <c r="DC32" i="73"/>
  <c r="DC27" i="73"/>
  <c r="DC22" i="73"/>
  <c r="DC301" i="73"/>
  <c r="DC295" i="73"/>
  <c r="DC289" i="73"/>
  <c r="DC11" i="73"/>
  <c r="DC6" i="73"/>
  <c r="DC221" i="73"/>
  <c r="DC217" i="73"/>
  <c r="DC24" i="73" l="1"/>
  <c r="DC39" i="73"/>
  <c r="DC44" i="73"/>
  <c r="DC34" i="73"/>
  <c r="DC320" i="73"/>
  <c r="DC321" i="73"/>
  <c r="BD195" i="77"/>
  <c r="DC29" i="73"/>
  <c r="DC291" i="73"/>
  <c r="BC195" i="77"/>
  <c r="DC297" i="73"/>
  <c r="BD194" i="77"/>
  <c r="DC19" i="73"/>
  <c r="DC285" i="73"/>
  <c r="BC194" i="77"/>
  <c r="DB323" i="73" l="1"/>
  <c r="DB32" i="73"/>
  <c r="DB27" i="73"/>
  <c r="DB22" i="73"/>
  <c r="DB301" i="73"/>
  <c r="DB295" i="73"/>
  <c r="DB289" i="73"/>
  <c r="DB11" i="73"/>
  <c r="DB6" i="73"/>
  <c r="DB221" i="73"/>
  <c r="DB217" i="73"/>
  <c r="DB29" i="73" l="1"/>
  <c r="DB44" i="73"/>
  <c r="DB39" i="73"/>
  <c r="DB34" i="73"/>
  <c r="DB321" i="73"/>
  <c r="DB320" i="73"/>
  <c r="DB24" i="73"/>
  <c r="DB285" i="73"/>
  <c r="DB297" i="73"/>
  <c r="DB19" i="73"/>
  <c r="DB291" i="73"/>
  <c r="L19" i="76"/>
  <c r="D19" i="76"/>
  <c r="DA32" i="73" l="1"/>
  <c r="CZ32" i="73"/>
  <c r="CY32" i="73"/>
  <c r="CX32" i="73"/>
  <c r="CW32" i="73"/>
  <c r="CV32" i="73"/>
  <c r="CU32" i="73"/>
  <c r="CT32" i="73"/>
  <c r="CS32" i="73"/>
  <c r="CR32" i="73"/>
  <c r="CQ32" i="73"/>
  <c r="CP32" i="73"/>
  <c r="CO32" i="73"/>
  <c r="CN32" i="73"/>
  <c r="CM32" i="73"/>
  <c r="CL32" i="73"/>
  <c r="CK32" i="73"/>
  <c r="CJ32" i="73"/>
  <c r="CI32" i="73"/>
  <c r="CH32" i="73"/>
  <c r="CG32" i="73"/>
  <c r="CF32" i="73"/>
  <c r="CE32" i="73"/>
  <c r="CD32" i="73"/>
  <c r="CC32" i="73"/>
  <c r="CB32" i="73"/>
  <c r="CA32" i="73"/>
  <c r="BZ32" i="73"/>
  <c r="BY32" i="73"/>
  <c r="BX32" i="73"/>
  <c r="BW32" i="73"/>
  <c r="BV32" i="73"/>
  <c r="BU32" i="73"/>
  <c r="BT32" i="73"/>
  <c r="BS32" i="73"/>
  <c r="BR32" i="73"/>
  <c r="BQ32" i="73"/>
  <c r="BP32" i="73"/>
  <c r="BO32" i="73"/>
  <c r="BN32" i="73"/>
  <c r="BM32" i="73"/>
  <c r="BL32" i="73"/>
  <c r="BK32" i="73"/>
  <c r="BJ32" i="73"/>
  <c r="BI32" i="73"/>
  <c r="BH32" i="73"/>
  <c r="BG32" i="73"/>
  <c r="BF32" i="73"/>
  <c r="BE32" i="73"/>
  <c r="BD32" i="73"/>
  <c r="BC32" i="73"/>
  <c r="BB32" i="73"/>
  <c r="BA32" i="73"/>
  <c r="AZ32" i="73"/>
  <c r="AY32" i="73"/>
  <c r="AX32" i="73"/>
  <c r="AW32" i="73"/>
  <c r="AV32" i="73"/>
  <c r="AU32" i="73"/>
  <c r="AT32" i="73"/>
  <c r="AS32" i="73"/>
  <c r="AR32" i="73"/>
  <c r="AQ32" i="73"/>
  <c r="AP32" i="73"/>
  <c r="AN32" i="73"/>
  <c r="AM32" i="73"/>
  <c r="AL32" i="73"/>
  <c r="AK32" i="73"/>
  <c r="AJ32" i="73"/>
  <c r="AI32" i="73"/>
  <c r="AH32" i="73"/>
  <c r="AG32" i="73"/>
  <c r="AF32" i="73"/>
  <c r="AE32" i="73"/>
  <c r="AD32" i="73"/>
  <c r="AC32" i="73"/>
  <c r="AB32" i="73"/>
  <c r="AA32" i="73"/>
  <c r="Z32" i="73"/>
  <c r="Y32" i="73"/>
  <c r="X32" i="73"/>
  <c r="W32" i="73"/>
  <c r="V32" i="73"/>
  <c r="U32" i="73"/>
  <c r="T32" i="73"/>
  <c r="S32" i="73"/>
  <c r="R32" i="73"/>
  <c r="Q32" i="73"/>
  <c r="P32" i="73"/>
  <c r="O32" i="73"/>
  <c r="N32" i="73"/>
  <c r="M32" i="73"/>
  <c r="L32" i="73"/>
  <c r="K32" i="73"/>
  <c r="J32" i="73"/>
  <c r="I32" i="73"/>
  <c r="H32" i="73"/>
  <c r="G32" i="73"/>
  <c r="F32" i="73"/>
  <c r="E32" i="73"/>
  <c r="D32" i="73"/>
  <c r="D31" i="73"/>
  <c r="D30" i="73"/>
  <c r="D29" i="73"/>
  <c r="DA27" i="73"/>
  <c r="CZ27" i="73"/>
  <c r="CY27" i="73"/>
  <c r="CX27" i="73"/>
  <c r="CW27" i="73"/>
  <c r="CV27" i="73"/>
  <c r="CU27" i="73"/>
  <c r="CT27" i="73"/>
  <c r="CS27" i="73"/>
  <c r="CR27" i="73"/>
  <c r="CQ27" i="73"/>
  <c r="CP27" i="73"/>
  <c r="CO27" i="73"/>
  <c r="CN27" i="73"/>
  <c r="CM27" i="73"/>
  <c r="CL27" i="73"/>
  <c r="CK27" i="73"/>
  <c r="CJ27" i="73"/>
  <c r="CI27" i="73"/>
  <c r="CH27" i="73"/>
  <c r="CG27" i="73"/>
  <c r="CF27" i="73"/>
  <c r="CE27" i="73"/>
  <c r="CD27" i="73"/>
  <c r="CC27" i="73"/>
  <c r="CB27" i="73"/>
  <c r="CA27" i="73"/>
  <c r="BZ27" i="73"/>
  <c r="BY27" i="73"/>
  <c r="BX27" i="73"/>
  <c r="BW27" i="73"/>
  <c r="BV27" i="73"/>
  <c r="BU27" i="73"/>
  <c r="BT27" i="73"/>
  <c r="BS27" i="73"/>
  <c r="BR27" i="73"/>
  <c r="BQ27" i="73"/>
  <c r="BP27" i="73"/>
  <c r="BO27" i="73"/>
  <c r="BN27" i="73"/>
  <c r="BM27" i="73"/>
  <c r="BL27" i="73"/>
  <c r="BK27" i="73"/>
  <c r="BJ27" i="73"/>
  <c r="BI27" i="73"/>
  <c r="BH27" i="73"/>
  <c r="BG27" i="73"/>
  <c r="BF27" i="73"/>
  <c r="BE27" i="73"/>
  <c r="BD27" i="73"/>
  <c r="BC27" i="73"/>
  <c r="BB27" i="73"/>
  <c r="BA27" i="73"/>
  <c r="AZ27" i="73"/>
  <c r="AY27" i="73"/>
  <c r="AX27" i="73"/>
  <c r="AW27" i="73"/>
  <c r="AV27" i="73"/>
  <c r="AU27" i="73"/>
  <c r="AT27" i="73"/>
  <c r="AS27" i="73"/>
  <c r="AR27" i="73"/>
  <c r="AQ27" i="73"/>
  <c r="AP27" i="73"/>
  <c r="AN27" i="73"/>
  <c r="AM27" i="73"/>
  <c r="AL27" i="73"/>
  <c r="AK27" i="73"/>
  <c r="AJ27" i="73"/>
  <c r="AI27" i="73"/>
  <c r="AH27" i="73"/>
  <c r="AG27" i="73"/>
  <c r="AF27" i="73"/>
  <c r="AE27" i="73"/>
  <c r="AD27" i="73"/>
  <c r="AC27" i="73"/>
  <c r="AB27" i="73"/>
  <c r="AA27" i="73"/>
  <c r="Z27" i="73"/>
  <c r="Y27" i="73"/>
  <c r="X27" i="73"/>
  <c r="M27" i="73"/>
  <c r="L27" i="73"/>
  <c r="K27" i="73"/>
  <c r="J27" i="73"/>
  <c r="I27" i="73"/>
  <c r="H27" i="73"/>
  <c r="G27" i="73"/>
  <c r="F27" i="73"/>
  <c r="E27" i="73"/>
  <c r="D27" i="73"/>
  <c r="D26" i="73"/>
  <c r="D25" i="73"/>
  <c r="D24" i="73"/>
  <c r="DA22" i="73"/>
  <c r="CZ22" i="73"/>
  <c r="CY22" i="73"/>
  <c r="CX22" i="73"/>
  <c r="CW22" i="73"/>
  <c r="CV22" i="73"/>
  <c r="CU22" i="73"/>
  <c r="CT22" i="73"/>
  <c r="CS22" i="73"/>
  <c r="CR22" i="73"/>
  <c r="CQ22" i="73"/>
  <c r="CP22" i="73"/>
  <c r="CO22" i="73"/>
  <c r="CN22" i="73"/>
  <c r="CM22" i="73"/>
  <c r="CL22" i="73"/>
  <c r="CK22" i="73"/>
  <c r="CJ22" i="73"/>
  <c r="CI22" i="73"/>
  <c r="CH22" i="73"/>
  <c r="CG22" i="73"/>
  <c r="CF22" i="73"/>
  <c r="CE22" i="73"/>
  <c r="CD22" i="73"/>
  <c r="CC22" i="73"/>
  <c r="CB22" i="73"/>
  <c r="CA22" i="73"/>
  <c r="BZ22" i="73"/>
  <c r="BY22" i="73"/>
  <c r="BX22" i="73"/>
  <c r="BW22" i="73"/>
  <c r="BV22" i="73"/>
  <c r="BU22" i="73"/>
  <c r="BT22" i="73"/>
  <c r="BS22" i="73"/>
  <c r="BR22" i="73"/>
  <c r="BQ22" i="73"/>
  <c r="BP22" i="73"/>
  <c r="BO22" i="73"/>
  <c r="BN22" i="73"/>
  <c r="BM22" i="73"/>
  <c r="BL22" i="73"/>
  <c r="BK22" i="73"/>
  <c r="BJ22" i="73"/>
  <c r="BI22" i="73"/>
  <c r="BH22" i="73"/>
  <c r="BG22" i="73"/>
  <c r="BF22" i="73"/>
  <c r="BE22" i="73"/>
  <c r="BD22" i="73"/>
  <c r="BC22" i="73"/>
  <c r="BB22" i="73"/>
  <c r="BA22" i="73"/>
  <c r="AZ22" i="73"/>
  <c r="AY22" i="73"/>
  <c r="AX22" i="73"/>
  <c r="AW22" i="73"/>
  <c r="AV22" i="73"/>
  <c r="AU22" i="73"/>
  <c r="AT22" i="73"/>
  <c r="AS22" i="73"/>
  <c r="AR22" i="73"/>
  <c r="AQ22" i="73"/>
  <c r="AP22" i="73"/>
  <c r="AN22" i="73"/>
  <c r="AM22" i="73"/>
  <c r="AL22" i="73"/>
  <c r="AK22" i="73"/>
  <c r="AJ22" i="73"/>
  <c r="AI22" i="73"/>
  <c r="AH22" i="73"/>
  <c r="AG22" i="73"/>
  <c r="AF22" i="73"/>
  <c r="AE22" i="73"/>
  <c r="AD22" i="73"/>
  <c r="AC22" i="73"/>
  <c r="AB22" i="73"/>
  <c r="AA22" i="73"/>
  <c r="Z22" i="73"/>
  <c r="Y22" i="73"/>
  <c r="X22" i="73"/>
  <c r="W22" i="73"/>
  <c r="V22" i="73"/>
  <c r="U22" i="73"/>
  <c r="T22" i="73"/>
  <c r="S22" i="73"/>
  <c r="R22" i="73"/>
  <c r="Q22" i="73"/>
  <c r="P22" i="73"/>
  <c r="O22" i="73"/>
  <c r="N22" i="73"/>
  <c r="M22" i="73"/>
  <c r="L22" i="73"/>
  <c r="K22" i="73"/>
  <c r="J22" i="73"/>
  <c r="I22" i="73"/>
  <c r="H22" i="73"/>
  <c r="G22" i="73"/>
  <c r="F22" i="73"/>
  <c r="E22" i="73"/>
  <c r="D22" i="73"/>
  <c r="D21" i="73"/>
  <c r="D20" i="73"/>
  <c r="D19" i="73"/>
  <c r="CZ9" i="73" l="1"/>
  <c r="CY9" i="73"/>
  <c r="CX9" i="73"/>
  <c r="CW9" i="73"/>
  <c r="CV9" i="73"/>
  <c r="CU9" i="73"/>
  <c r="CT9" i="73"/>
  <c r="CS9" i="73"/>
  <c r="CR9" i="73"/>
  <c r="CQ9" i="73"/>
  <c r="CP9" i="73"/>
  <c r="CO9" i="73"/>
  <c r="CN9" i="73"/>
  <c r="CM9" i="73"/>
  <c r="CL9" i="73"/>
  <c r="CK9" i="73"/>
  <c r="CJ9" i="73"/>
  <c r="CI9" i="73"/>
  <c r="CH9" i="73"/>
  <c r="CG9" i="73"/>
  <c r="CF9" i="73"/>
  <c r="CE9" i="73"/>
  <c r="CD9" i="73"/>
  <c r="CC9" i="73"/>
  <c r="CB9" i="73"/>
  <c r="CA9" i="73"/>
  <c r="BZ9" i="73"/>
  <c r="BY9" i="73"/>
  <c r="BX9" i="73"/>
  <c r="BW9" i="73"/>
  <c r="BV9" i="73"/>
  <c r="BU9" i="73"/>
  <c r="BT9" i="73"/>
  <c r="BS9" i="73"/>
  <c r="BR9" i="73"/>
  <c r="BQ9" i="73"/>
  <c r="BP9" i="73"/>
  <c r="BO9" i="73"/>
  <c r="BN9" i="73"/>
  <c r="BM9" i="73"/>
  <c r="BL9" i="73"/>
  <c r="BK9" i="73"/>
  <c r="BJ9" i="73"/>
  <c r="BI9" i="73"/>
  <c r="BH9" i="73"/>
  <c r="BG9" i="73"/>
  <c r="BF9" i="73"/>
  <c r="BE9" i="73"/>
  <c r="BD9" i="73"/>
  <c r="BC9" i="73"/>
  <c r="BB9" i="73"/>
  <c r="BA9" i="73"/>
  <c r="AZ9" i="73"/>
  <c r="AY9" i="73"/>
  <c r="AX9" i="73"/>
  <c r="AW9" i="73"/>
  <c r="AV9" i="73"/>
  <c r="AU9" i="73"/>
  <c r="AT9" i="73"/>
  <c r="AS9" i="73"/>
  <c r="AR9" i="73"/>
  <c r="AQ9" i="73"/>
  <c r="AP9" i="73"/>
  <c r="AN9" i="73"/>
  <c r="AM9" i="73"/>
  <c r="AL9" i="73"/>
  <c r="AK9" i="73"/>
  <c r="AJ9" i="73"/>
  <c r="AI9" i="73"/>
  <c r="AH9" i="73"/>
  <c r="AG9" i="73"/>
  <c r="AF9" i="73"/>
  <c r="AE9" i="73"/>
  <c r="AD9" i="73"/>
  <c r="AC9" i="73"/>
  <c r="AB9" i="73"/>
  <c r="AA9" i="73"/>
  <c r="Z9" i="73"/>
  <c r="Y9" i="73"/>
  <c r="X9" i="73"/>
  <c r="W9" i="73"/>
  <c r="V9" i="73"/>
  <c r="U9" i="73"/>
  <c r="T9" i="73"/>
  <c r="S9" i="73"/>
  <c r="R9" i="73"/>
  <c r="Q9" i="73"/>
  <c r="P9" i="73"/>
  <c r="O9" i="73"/>
  <c r="N9" i="73"/>
  <c r="M9" i="73"/>
  <c r="L9" i="73"/>
  <c r="K9" i="73"/>
  <c r="J9" i="73"/>
  <c r="I9" i="73"/>
  <c r="H9" i="73"/>
  <c r="G9" i="73"/>
  <c r="F9" i="73"/>
  <c r="E9" i="73"/>
  <c r="D9" i="73"/>
  <c r="D8" i="73"/>
  <c r="D7" i="73"/>
  <c r="DA6" i="73"/>
  <c r="CZ6" i="73"/>
  <c r="CY6" i="73"/>
  <c r="CX6" i="73"/>
  <c r="CW6" i="73"/>
  <c r="CV6" i="73"/>
  <c r="CU6" i="73"/>
  <c r="CT6" i="73"/>
  <c r="CS6" i="73"/>
  <c r="CR6" i="73"/>
  <c r="CQ6" i="73"/>
  <c r="CP6" i="73"/>
  <c r="CO6" i="73"/>
  <c r="CN6" i="73"/>
  <c r="CM6" i="73"/>
  <c r="CL6" i="73"/>
  <c r="CK6" i="73"/>
  <c r="CJ6" i="73"/>
  <c r="CI6" i="73"/>
  <c r="CH6" i="73"/>
  <c r="CG6" i="73"/>
  <c r="CF6" i="73"/>
  <c r="CE6" i="73"/>
  <c r="CD6" i="73"/>
  <c r="CC6" i="73"/>
  <c r="CB6" i="73"/>
  <c r="CA6" i="73"/>
  <c r="BZ6" i="73"/>
  <c r="BY6" i="73"/>
  <c r="BX6" i="73"/>
  <c r="BW6" i="73"/>
  <c r="BV6" i="73"/>
  <c r="BU6" i="73"/>
  <c r="BT6" i="73"/>
  <c r="BS6" i="73"/>
  <c r="BR6" i="73"/>
  <c r="BQ6" i="73"/>
  <c r="BP6" i="73"/>
  <c r="BO6" i="73"/>
  <c r="BN6" i="73"/>
  <c r="BM6" i="73"/>
  <c r="BL6" i="73"/>
  <c r="BK6" i="73"/>
  <c r="BJ6" i="73"/>
  <c r="BI6" i="73"/>
  <c r="BH6" i="73"/>
  <c r="BG6" i="73"/>
  <c r="BF6" i="73"/>
  <c r="BE6" i="73"/>
  <c r="BD6" i="73"/>
  <c r="BC6" i="73"/>
  <c r="BB6" i="73"/>
  <c r="BA6" i="73"/>
  <c r="AZ6" i="73"/>
  <c r="AY6" i="73"/>
  <c r="AX6" i="73"/>
  <c r="AW6" i="73"/>
  <c r="AV6" i="73"/>
  <c r="AU6" i="73"/>
  <c r="AT6" i="73"/>
  <c r="AS6" i="73"/>
  <c r="AR6" i="73"/>
  <c r="AQ6" i="73"/>
  <c r="AP6" i="73"/>
  <c r="AN6" i="73"/>
  <c r="AM6" i="73"/>
  <c r="AL6" i="73"/>
  <c r="AK6" i="73"/>
  <c r="AJ6" i="73"/>
  <c r="AI6" i="73"/>
  <c r="AH6" i="73"/>
  <c r="AG6" i="73"/>
  <c r="AF6" i="73"/>
  <c r="AE6" i="73"/>
  <c r="AD6" i="73"/>
  <c r="AC6" i="73"/>
  <c r="AB6" i="73"/>
  <c r="AA6" i="73"/>
  <c r="Z6" i="73"/>
  <c r="Y6" i="73"/>
  <c r="X6" i="73"/>
  <c r="W6" i="73"/>
  <c r="V6" i="73"/>
  <c r="U6" i="73"/>
  <c r="T6" i="73"/>
  <c r="S6" i="73"/>
  <c r="R6" i="73"/>
  <c r="Q6" i="73"/>
  <c r="P6" i="73"/>
  <c r="O6" i="73"/>
  <c r="N6" i="73"/>
  <c r="M6" i="73"/>
  <c r="L6" i="73"/>
  <c r="K6" i="73"/>
  <c r="J6" i="73"/>
  <c r="I6" i="73"/>
  <c r="H6" i="73"/>
  <c r="G6" i="73"/>
  <c r="F6" i="73"/>
  <c r="E6" i="73"/>
  <c r="DA301" i="73" l="1"/>
  <c r="CZ301" i="73"/>
  <c r="CY301" i="73"/>
  <c r="CX301" i="73"/>
  <c r="CW301" i="73"/>
  <c r="CV301" i="73"/>
  <c r="CU301" i="73"/>
  <c r="CT301" i="73"/>
  <c r="CS301" i="73"/>
  <c r="CR301" i="73"/>
  <c r="CQ301" i="73"/>
  <c r="CP301" i="73"/>
  <c r="CO301" i="73"/>
  <c r="CN301" i="73"/>
  <c r="CM301" i="73"/>
  <c r="CL301" i="73"/>
  <c r="CK301" i="73"/>
  <c r="CJ301" i="73"/>
  <c r="CI301" i="73"/>
  <c r="CH301" i="73"/>
  <c r="CG301" i="73"/>
  <c r="CF301" i="73"/>
  <c r="CE301" i="73"/>
  <c r="CD301" i="73"/>
  <c r="CC301" i="73"/>
  <c r="CB301" i="73"/>
  <c r="CA301" i="73"/>
  <c r="BZ301" i="73"/>
  <c r="BY301" i="73"/>
  <c r="BX301" i="73"/>
  <c r="BW301" i="73"/>
  <c r="BV301" i="73"/>
  <c r="BU301" i="73"/>
  <c r="BT301" i="73"/>
  <c r="BS301" i="73"/>
  <c r="BR301" i="73"/>
  <c r="BQ301" i="73"/>
  <c r="BP301" i="73"/>
  <c r="BO301" i="73"/>
  <c r="BN301" i="73"/>
  <c r="BM301" i="73"/>
  <c r="BL301" i="73"/>
  <c r="BK301" i="73"/>
  <c r="BJ301" i="73"/>
  <c r="BI301" i="73"/>
  <c r="BH301" i="73"/>
  <c r="BG301" i="73"/>
  <c r="BF301" i="73"/>
  <c r="BE301" i="73"/>
  <c r="BD301" i="73"/>
  <c r="BC301" i="73"/>
  <c r="BB301" i="73"/>
  <c r="BA301" i="73"/>
  <c r="AZ301" i="73"/>
  <c r="AY301" i="73"/>
  <c r="AX301" i="73"/>
  <c r="AW301" i="73"/>
  <c r="AV301" i="73"/>
  <c r="AU301" i="73"/>
  <c r="AT301" i="73"/>
  <c r="AS301" i="73"/>
  <c r="AR301" i="73"/>
  <c r="AQ301" i="73"/>
  <c r="AP301" i="73"/>
  <c r="AN301" i="73"/>
  <c r="AM301" i="73"/>
  <c r="AL301" i="73"/>
  <c r="AK301" i="73"/>
  <c r="AJ301" i="73"/>
  <c r="AI301" i="73"/>
  <c r="AH301" i="73"/>
  <c r="AG301" i="73"/>
  <c r="AF301" i="73"/>
  <c r="AE301" i="73"/>
  <c r="AD301" i="73"/>
  <c r="AC301" i="73"/>
  <c r="AB301" i="73"/>
  <c r="AA301" i="73"/>
  <c r="Z301" i="73"/>
  <c r="Y301" i="73"/>
  <c r="X301" i="73"/>
  <c r="W301" i="73"/>
  <c r="V301" i="73"/>
  <c r="U301" i="73"/>
  <c r="T301" i="73"/>
  <c r="S301" i="73"/>
  <c r="R301" i="73"/>
  <c r="Q301" i="73"/>
  <c r="P301" i="73"/>
  <c r="O301" i="73"/>
  <c r="N301" i="73"/>
  <c r="M301" i="73"/>
  <c r="L301" i="73"/>
  <c r="K301" i="73"/>
  <c r="J301" i="73"/>
  <c r="I301" i="73"/>
  <c r="H301" i="73"/>
  <c r="G301" i="73"/>
  <c r="F301" i="73"/>
  <c r="E301" i="73"/>
  <c r="D301" i="73"/>
  <c r="D300" i="73"/>
  <c r="D299" i="73"/>
  <c r="D298" i="73"/>
  <c r="D297" i="73"/>
  <c r="DA295" i="73"/>
  <c r="DA320" i="73" s="1"/>
  <c r="CZ295" i="73"/>
  <c r="CY295" i="73"/>
  <c r="CX295" i="73"/>
  <c r="CW295" i="73"/>
  <c r="CV295" i="73"/>
  <c r="CU295" i="73"/>
  <c r="CT295" i="73"/>
  <c r="CS295" i="73"/>
  <c r="CR295" i="73"/>
  <c r="CQ295" i="73"/>
  <c r="CP295" i="73"/>
  <c r="CO295" i="73"/>
  <c r="CN295" i="73"/>
  <c r="CM295" i="73"/>
  <c r="CL295" i="73"/>
  <c r="CK295" i="73"/>
  <c r="CJ295" i="73"/>
  <c r="CI295" i="73"/>
  <c r="CH295" i="73"/>
  <c r="CG295" i="73"/>
  <c r="CF295" i="73"/>
  <c r="CE295" i="73"/>
  <c r="CD295" i="73"/>
  <c r="CC295" i="73"/>
  <c r="CB295" i="73"/>
  <c r="CA295" i="73"/>
  <c r="BZ295" i="73"/>
  <c r="BY295" i="73"/>
  <c r="BX295" i="73"/>
  <c r="BW295" i="73"/>
  <c r="BV295" i="73"/>
  <c r="BU295" i="73"/>
  <c r="BT295" i="73"/>
  <c r="BS295" i="73"/>
  <c r="BR295" i="73"/>
  <c r="BQ295" i="73"/>
  <c r="BP295" i="73"/>
  <c r="BO295" i="73"/>
  <c r="BN295" i="73"/>
  <c r="BM295" i="73"/>
  <c r="BL295" i="73"/>
  <c r="BK295" i="73"/>
  <c r="BJ295" i="73"/>
  <c r="BI295" i="73"/>
  <c r="BH295" i="73"/>
  <c r="BG295" i="73"/>
  <c r="BF295" i="73"/>
  <c r="BE295" i="73"/>
  <c r="BD295" i="73"/>
  <c r="BC295" i="73"/>
  <c r="BB295" i="73"/>
  <c r="BA295" i="73"/>
  <c r="AZ295" i="73"/>
  <c r="AY295" i="73"/>
  <c r="AX295" i="73"/>
  <c r="AW295" i="73"/>
  <c r="AV295" i="73"/>
  <c r="AU295" i="73"/>
  <c r="AT295" i="73"/>
  <c r="AS295" i="73"/>
  <c r="AR295" i="73"/>
  <c r="AQ295" i="73"/>
  <c r="AP295" i="73"/>
  <c r="AN295" i="73"/>
  <c r="AM295" i="73"/>
  <c r="AL295" i="73"/>
  <c r="AK295" i="73"/>
  <c r="AJ295" i="73"/>
  <c r="AI295" i="73"/>
  <c r="AH295" i="73"/>
  <c r="AG295" i="73"/>
  <c r="AF295" i="73"/>
  <c r="AE295" i="73"/>
  <c r="AD295" i="73"/>
  <c r="AC295" i="73"/>
  <c r="AB295" i="73"/>
  <c r="AA295" i="73"/>
  <c r="Z295" i="73"/>
  <c r="Y295" i="73"/>
  <c r="X295" i="73"/>
  <c r="M295" i="73"/>
  <c r="L295" i="73"/>
  <c r="K295" i="73"/>
  <c r="J295" i="73"/>
  <c r="I295" i="73"/>
  <c r="H295" i="73"/>
  <c r="G295" i="73"/>
  <c r="F295" i="73"/>
  <c r="E295" i="73"/>
  <c r="D295" i="73"/>
  <c r="D294" i="73"/>
  <c r="D293" i="73"/>
  <c r="D292" i="73"/>
  <c r="D291" i="73"/>
  <c r="DA289" i="73"/>
  <c r="CZ289" i="73"/>
  <c r="CY289" i="73"/>
  <c r="CX289" i="73"/>
  <c r="CW289" i="73"/>
  <c r="CV289" i="73"/>
  <c r="CU289" i="73"/>
  <c r="CT289" i="73"/>
  <c r="CS289" i="73"/>
  <c r="CR289" i="73"/>
  <c r="CQ289" i="73"/>
  <c r="CP289" i="73"/>
  <c r="CO289" i="73"/>
  <c r="CN289" i="73"/>
  <c r="CM289" i="73"/>
  <c r="CL289" i="73"/>
  <c r="CK289" i="73"/>
  <c r="CJ289" i="73"/>
  <c r="CI289" i="73"/>
  <c r="CH289" i="73"/>
  <c r="CG289" i="73"/>
  <c r="CF289" i="73"/>
  <c r="CE289" i="73"/>
  <c r="CD289" i="73"/>
  <c r="CC289" i="73"/>
  <c r="CB289" i="73"/>
  <c r="CA289" i="73"/>
  <c r="BZ289" i="73"/>
  <c r="BY289" i="73"/>
  <c r="BX289" i="73"/>
  <c r="BW289" i="73"/>
  <c r="BV289" i="73"/>
  <c r="BU289" i="73"/>
  <c r="BT289" i="73"/>
  <c r="BS289" i="73"/>
  <c r="BR289" i="73"/>
  <c r="BQ289" i="73"/>
  <c r="BP289" i="73"/>
  <c r="BO289" i="73"/>
  <c r="BN289" i="73"/>
  <c r="BM289" i="73"/>
  <c r="BL289" i="73"/>
  <c r="BK289" i="73"/>
  <c r="BJ289" i="73"/>
  <c r="BI289" i="73"/>
  <c r="BH289" i="73"/>
  <c r="BG289" i="73"/>
  <c r="BF289" i="73"/>
  <c r="BE289" i="73"/>
  <c r="BD289" i="73"/>
  <c r="BC289" i="73"/>
  <c r="BB289" i="73"/>
  <c r="BA289" i="73"/>
  <c r="AZ289" i="73"/>
  <c r="AY289" i="73"/>
  <c r="AX289" i="73"/>
  <c r="AW289" i="73"/>
  <c r="AV289" i="73"/>
  <c r="AU289" i="73"/>
  <c r="AT289" i="73"/>
  <c r="AS289" i="73"/>
  <c r="AR289" i="73"/>
  <c r="AQ289" i="73"/>
  <c r="AP289" i="73"/>
  <c r="AN289" i="73"/>
  <c r="AM289" i="73"/>
  <c r="AL289" i="73"/>
  <c r="AK289" i="73"/>
  <c r="AJ289" i="73"/>
  <c r="AI289" i="73"/>
  <c r="AH289" i="73"/>
  <c r="AG289" i="73"/>
  <c r="AF289" i="73"/>
  <c r="AE289" i="73"/>
  <c r="AD289" i="73"/>
  <c r="AC289" i="73"/>
  <c r="AB289" i="73"/>
  <c r="AA289" i="73"/>
  <c r="Z289" i="73"/>
  <c r="Y289" i="73"/>
  <c r="X289" i="73"/>
  <c r="W289" i="73"/>
  <c r="V289" i="73"/>
  <c r="U289" i="73"/>
  <c r="T289" i="73"/>
  <c r="S289" i="73"/>
  <c r="R289" i="73"/>
  <c r="Q289" i="73"/>
  <c r="P289" i="73"/>
  <c r="O289" i="73"/>
  <c r="N289" i="73"/>
  <c r="M289" i="73"/>
  <c r="L289" i="73"/>
  <c r="K289" i="73"/>
  <c r="J289" i="73"/>
  <c r="I289" i="73"/>
  <c r="H289" i="73"/>
  <c r="G289" i="73"/>
  <c r="F289" i="73"/>
  <c r="E289" i="73"/>
  <c r="D289" i="73"/>
  <c r="D288" i="73"/>
  <c r="D287" i="73"/>
  <c r="D286" i="73"/>
  <c r="D285" i="73"/>
  <c r="D69" i="63"/>
  <c r="AX69" i="63" s="1"/>
  <c r="DA321" i="73" l="1"/>
  <c r="AP13" i="63"/>
  <c r="AP12" i="63"/>
  <c r="E51" i="9" l="1"/>
  <c r="F51" i="9"/>
  <c r="G51" i="9"/>
  <c r="H51" i="9"/>
  <c r="I51" i="9"/>
  <c r="J51" i="9"/>
  <c r="K51" i="9"/>
  <c r="L51" i="9"/>
  <c r="M51" i="9"/>
  <c r="N51" i="9"/>
  <c r="O51" i="9"/>
  <c r="P51" i="9"/>
  <c r="Q51" i="9"/>
  <c r="R51" i="9"/>
  <c r="T51" i="9"/>
  <c r="U51" i="9"/>
  <c r="V51" i="9"/>
  <c r="W51" i="9"/>
  <c r="X51" i="9"/>
  <c r="Y51" i="9"/>
  <c r="Z51" i="9"/>
  <c r="AA51" i="9"/>
  <c r="AB51" i="9"/>
  <c r="AC51" i="9"/>
  <c r="AD51" i="9"/>
  <c r="AE51" i="9"/>
  <c r="AF51" i="9"/>
  <c r="AH51" i="9"/>
  <c r="AI51" i="9"/>
  <c r="AJ51" i="9"/>
  <c r="AJ52" i="9" s="1"/>
  <c r="AK51" i="9"/>
  <c r="AL51" i="9"/>
  <c r="AM51" i="9"/>
  <c r="AN51" i="9"/>
  <c r="AO51" i="9"/>
  <c r="AP51" i="9"/>
  <c r="AQ51" i="9"/>
  <c r="AR51" i="9"/>
  <c r="AS51" i="9"/>
  <c r="AT51" i="9"/>
  <c r="AU51" i="9"/>
  <c r="AV51" i="9"/>
  <c r="AW51" i="9"/>
  <c r="AX51" i="9"/>
  <c r="AY51" i="9"/>
  <c r="AZ51" i="9"/>
  <c r="BA51" i="9"/>
  <c r="BB51" i="9"/>
  <c r="X412" i="36" l="1"/>
  <c r="D412" i="36"/>
  <c r="BB18" i="9" l="1"/>
  <c r="AA18" i="81" l="1"/>
  <c r="AA15" i="81"/>
  <c r="L160" i="80"/>
  <c r="L159" i="80"/>
  <c r="L158" i="80"/>
  <c r="L157" i="80"/>
  <c r="L156" i="80"/>
  <c r="L155" i="80"/>
  <c r="D160" i="80"/>
  <c r="D159" i="80"/>
  <c r="D158" i="80"/>
  <c r="D157" i="80"/>
  <c r="D156" i="80"/>
  <c r="D155" i="80"/>
  <c r="AQ92" i="68"/>
  <c r="AQ80" i="68"/>
  <c r="AQ78" i="68"/>
  <c r="AQ69" i="68"/>
  <c r="AQ59" i="68"/>
  <c r="AQ54" i="68"/>
  <c r="AQ50" i="68"/>
  <c r="AQ45" i="68"/>
  <c r="AQ31" i="68"/>
  <c r="AQ28" i="68"/>
  <c r="AQ26" i="68"/>
  <c r="AQ23" i="68"/>
  <c r="AT13" i="55"/>
  <c r="AT22" i="65"/>
  <c r="AT23" i="65"/>
  <c r="AT24" i="65"/>
  <c r="AT25" i="65"/>
  <c r="AT26" i="65"/>
  <c r="AT19" i="65"/>
  <c r="AT11" i="65"/>
  <c r="AT64" i="71"/>
  <c r="AT65" i="71"/>
  <c r="AT66" i="71"/>
  <c r="AT67" i="71"/>
  <c r="AT68" i="71"/>
  <c r="AT69" i="71"/>
  <c r="AT70" i="71"/>
  <c r="AT71" i="71"/>
  <c r="AT72" i="71"/>
  <c r="AT73" i="71"/>
  <c r="AT74" i="71"/>
  <c r="AT75" i="71"/>
  <c r="AT76" i="71"/>
  <c r="AT77" i="71"/>
  <c r="AT78" i="71"/>
  <c r="AT79" i="71"/>
  <c r="AT80" i="71"/>
  <c r="AT81" i="71"/>
  <c r="AT82" i="71"/>
  <c r="AT83" i="71"/>
  <c r="AT84" i="71"/>
  <c r="AT85" i="71"/>
  <c r="AT86" i="71"/>
  <c r="AT87" i="71"/>
  <c r="AT88" i="71"/>
  <c r="AT20" i="53"/>
  <c r="AT21" i="53"/>
  <c r="AT23" i="53"/>
  <c r="AT15" i="53"/>
  <c r="AT17" i="53" s="1"/>
  <c r="AT8" i="53"/>
  <c r="AT10" i="53" s="1"/>
  <c r="AT38" i="52"/>
  <c r="AT39" i="52"/>
  <c r="AT40" i="52"/>
  <c r="AT41" i="52"/>
  <c r="AT42" i="52"/>
  <c r="AT43" i="52"/>
  <c r="AT44" i="52"/>
  <c r="AT45" i="52"/>
  <c r="AT46" i="52"/>
  <c r="AT47" i="52"/>
  <c r="AT48" i="52"/>
  <c r="AT49" i="52"/>
  <c r="AT50" i="52"/>
  <c r="AT35" i="52"/>
  <c r="AT19" i="52"/>
  <c r="AT42" i="49"/>
  <c r="AT43" i="49"/>
  <c r="AT44" i="49"/>
  <c r="AT45" i="49"/>
  <c r="AT46" i="49"/>
  <c r="AT47" i="49"/>
  <c r="AT48" i="49"/>
  <c r="AT49" i="49"/>
  <c r="AT50" i="49"/>
  <c r="AT51" i="49"/>
  <c r="AT52" i="49"/>
  <c r="AT53" i="49"/>
  <c r="AT54" i="49"/>
  <c r="AT55" i="49"/>
  <c r="AT56" i="49"/>
  <c r="AT39" i="49"/>
  <c r="AT21" i="49"/>
  <c r="AT22" i="49" s="1"/>
  <c r="AU24" i="48"/>
  <c r="AP21" i="72"/>
  <c r="AX18" i="46"/>
  <c r="AX19" i="46"/>
  <c r="AX20" i="46"/>
  <c r="AX107" i="46"/>
  <c r="AX108" i="46"/>
  <c r="AX109" i="46"/>
  <c r="AX110" i="46"/>
  <c r="AX111" i="46"/>
  <c r="AX112" i="46"/>
  <c r="AX75" i="46"/>
  <c r="AX76" i="46"/>
  <c r="AX77" i="46"/>
  <c r="AX72" i="46"/>
  <c r="AX66" i="46"/>
  <c r="AX56" i="46"/>
  <c r="AX57" i="46"/>
  <c r="AX58" i="46"/>
  <c r="AX53" i="46"/>
  <c r="AX47" i="46"/>
  <c r="AX37" i="46"/>
  <c r="AX38" i="46"/>
  <c r="AX39" i="46"/>
  <c r="AX34" i="46"/>
  <c r="AX28" i="46"/>
  <c r="AX15" i="46"/>
  <c r="AX9" i="46"/>
  <c r="AU26" i="45"/>
  <c r="AU27" i="45"/>
  <c r="AU28" i="45"/>
  <c r="AU29" i="45"/>
  <c r="AU30" i="45"/>
  <c r="AU31" i="45"/>
  <c r="AU23" i="45"/>
  <c r="AU13" i="45"/>
  <c r="AA51" i="42"/>
  <c r="O51" i="42"/>
  <c r="D51" i="42"/>
  <c r="AP24" i="72" l="1"/>
  <c r="AT24" i="55"/>
  <c r="AT22" i="53"/>
  <c r="AT24" i="53" s="1"/>
  <c r="AX78" i="46"/>
  <c r="AT90" i="71"/>
  <c r="AQ32" i="68"/>
  <c r="AQ60" i="68"/>
  <c r="AX21" i="46"/>
  <c r="AT51" i="52"/>
  <c r="AQ51" i="68"/>
  <c r="AX59" i="46"/>
  <c r="AU33" i="45"/>
  <c r="AY33" i="45"/>
  <c r="AT27" i="65"/>
  <c r="AT57" i="49"/>
  <c r="AU30" i="48"/>
  <c r="AX40" i="46"/>
  <c r="AQ61" i="68" l="1"/>
  <c r="AU18" i="39"/>
  <c r="AU9" i="39"/>
  <c r="K80" i="38"/>
  <c r="J80" i="38"/>
  <c r="I80" i="38"/>
  <c r="H80" i="38"/>
  <c r="G80" i="38"/>
  <c r="F80" i="38"/>
  <c r="E80" i="38"/>
  <c r="D81" i="38"/>
  <c r="D80" i="38"/>
  <c r="D79" i="38"/>
  <c r="D77" i="38"/>
  <c r="D76" i="38"/>
  <c r="D75" i="38"/>
  <c r="D74" i="38"/>
  <c r="AA357" i="36"/>
  <c r="AA356" i="36"/>
  <c r="AA355" i="36"/>
  <c r="AA354" i="36"/>
  <c r="AA353" i="36"/>
  <c r="AA352" i="36"/>
  <c r="AA351" i="36"/>
  <c r="AA350" i="36"/>
  <c r="AA349" i="36"/>
  <c r="X358" i="36"/>
  <c r="X357" i="36"/>
  <c r="X356" i="36"/>
  <c r="X355" i="36"/>
  <c r="X354" i="36"/>
  <c r="X353" i="36"/>
  <c r="X352" i="36"/>
  <c r="X351" i="36"/>
  <c r="X350" i="36"/>
  <c r="X349" i="36"/>
  <c r="V357" i="36"/>
  <c r="V356" i="36"/>
  <c r="V355" i="36"/>
  <c r="V354" i="36"/>
  <c r="V353" i="36"/>
  <c r="V352" i="36"/>
  <c r="V351" i="36"/>
  <c r="V350" i="36"/>
  <c r="V349" i="36"/>
  <c r="P358" i="36"/>
  <c r="Q358" i="36"/>
  <c r="D358" i="36"/>
  <c r="D357" i="36"/>
  <c r="D356" i="36"/>
  <c r="D355" i="36"/>
  <c r="D354" i="36"/>
  <c r="D353" i="36"/>
  <c r="D352" i="36"/>
  <c r="D351" i="36"/>
  <c r="D350" i="36"/>
  <c r="D349" i="36"/>
  <c r="EC25" i="34"/>
  <c r="EC24" i="34" s="1"/>
  <c r="EB24" i="34"/>
  <c r="EA24" i="34"/>
  <c r="EC23" i="34"/>
  <c r="EB23" i="34"/>
  <c r="EA23" i="34"/>
  <c r="EB21" i="34"/>
  <c r="EA21" i="34"/>
  <c r="EC14" i="34"/>
  <c r="EC13" i="34"/>
  <c r="EC12" i="34"/>
  <c r="EC11" i="34"/>
  <c r="EC10" i="34"/>
  <c r="EC9" i="34"/>
  <c r="EC8" i="34"/>
  <c r="EC7" i="34"/>
  <c r="AU34" i="33"/>
  <c r="AU35" i="33"/>
  <c r="AU36" i="33"/>
  <c r="AU37" i="33"/>
  <c r="AU38" i="33"/>
  <c r="AU39" i="33"/>
  <c r="AU40" i="33"/>
  <c r="AV40" i="33"/>
  <c r="AU41" i="33"/>
  <c r="AU43" i="33"/>
  <c r="AU44" i="33"/>
  <c r="AU31" i="33"/>
  <c r="AU28" i="33"/>
  <c r="AU17" i="33"/>
  <c r="AU14" i="33"/>
  <c r="AU18" i="33" s="1"/>
  <c r="AU51" i="61"/>
  <c r="AU48" i="61"/>
  <c r="AU35" i="61"/>
  <c r="AU32" i="61"/>
  <c r="AU19" i="61"/>
  <c r="AU16" i="61"/>
  <c r="AU25" i="32"/>
  <c r="AU26" i="32"/>
  <c r="AU27" i="32"/>
  <c r="AU28" i="32"/>
  <c r="AU29" i="32"/>
  <c r="AT30" i="31"/>
  <c r="AT29" i="31" s="1"/>
  <c r="AT21" i="31"/>
  <c r="AT20" i="31" s="1"/>
  <c r="AT12" i="31"/>
  <c r="AT11" i="31" s="1"/>
  <c r="AU22" i="30"/>
  <c r="AU25" i="30" s="1"/>
  <c r="AU15" i="30"/>
  <c r="AU18" i="30" s="1"/>
  <c r="AU7" i="30"/>
  <c r="AU10" i="30" s="1"/>
  <c r="AU18" i="29"/>
  <c r="AU8" i="29"/>
  <c r="AU13" i="29"/>
  <c r="AU20" i="26"/>
  <c r="AU22" i="26" s="1"/>
  <c r="AU10" i="26"/>
  <c r="AU12" i="26" s="1"/>
  <c r="AU13" i="26" s="1"/>
  <c r="P59" i="23"/>
  <c r="O59" i="23"/>
  <c r="N59" i="23"/>
  <c r="M59" i="23"/>
  <c r="L59" i="23"/>
  <c r="I59" i="23"/>
  <c r="H59" i="23"/>
  <c r="G59" i="23"/>
  <c r="F59" i="23"/>
  <c r="E59" i="23"/>
  <c r="D59" i="23"/>
  <c r="K59" i="23" s="1"/>
  <c r="D58" i="23"/>
  <c r="K58" i="23" s="1"/>
  <c r="D57" i="23"/>
  <c r="K57" i="23" s="1"/>
  <c r="D56" i="23"/>
  <c r="K56" i="23" s="1"/>
  <c r="D55" i="23"/>
  <c r="K55" i="23" s="1"/>
  <c r="D54" i="23"/>
  <c r="K54" i="23" s="1"/>
  <c r="AT13" i="24"/>
  <c r="EB27" i="34" l="1"/>
  <c r="EC21" i="34"/>
  <c r="EC27" i="34" s="1"/>
  <c r="EA27" i="34"/>
  <c r="AU45" i="33"/>
  <c r="AU42" i="33"/>
  <c r="AU23" i="26"/>
  <c r="AB22" i="13" l="1"/>
  <c r="AB21" i="13"/>
  <c r="AB20" i="13"/>
  <c r="AB19" i="13"/>
  <c r="AB18" i="13"/>
  <c r="BB49" i="9"/>
  <c r="BI40" i="3"/>
  <c r="BJ40" i="3"/>
  <c r="BB12" i="9" s="1"/>
  <c r="BB13" i="9"/>
  <c r="R340" i="79"/>
  <c r="T340" i="79" s="1"/>
  <c r="R339" i="79"/>
  <c r="T339" i="79" s="1"/>
  <c r="R338" i="79"/>
  <c r="T338" i="79" s="1"/>
  <c r="R337" i="79"/>
  <c r="T337" i="79" s="1"/>
  <c r="R336" i="79"/>
  <c r="T336" i="79" s="1"/>
  <c r="R335" i="79"/>
  <c r="T335" i="79" s="1"/>
  <c r="R334" i="79"/>
  <c r="T334" i="79" s="1"/>
  <c r="R333" i="79"/>
  <c r="R332" i="79"/>
  <c r="D341" i="79"/>
  <c r="D340" i="79"/>
  <c r="D339" i="79"/>
  <c r="D338" i="79"/>
  <c r="D337" i="79"/>
  <c r="D336" i="79"/>
  <c r="D335" i="79"/>
  <c r="D334" i="79"/>
  <c r="D333" i="79"/>
  <c r="D332" i="79"/>
  <c r="R329" i="79"/>
  <c r="T329" i="79" s="1"/>
  <c r="R328" i="79"/>
  <c r="T328" i="79" s="1"/>
  <c r="R327" i="79"/>
  <c r="T327" i="79" s="1"/>
  <c r="R326" i="79"/>
  <c r="T326" i="79" s="1"/>
  <c r="R325" i="79"/>
  <c r="T325" i="79" s="1"/>
  <c r="R324" i="79"/>
  <c r="T324" i="79" s="1"/>
  <c r="R323" i="79"/>
  <c r="T323" i="79" s="1"/>
  <c r="R322" i="79"/>
  <c r="T322" i="79" s="1"/>
  <c r="R321" i="79"/>
  <c r="D330" i="79"/>
  <c r="D329" i="79"/>
  <c r="D328" i="79"/>
  <c r="D327" i="79"/>
  <c r="D326" i="79"/>
  <c r="D325" i="79"/>
  <c r="D324" i="79"/>
  <c r="D323" i="79"/>
  <c r="D322" i="79"/>
  <c r="D321" i="79"/>
  <c r="AS33" i="67"/>
  <c r="AS29" i="67"/>
  <c r="AS22" i="67"/>
  <c r="AS17" i="67"/>
  <c r="AS20" i="67" s="1"/>
  <c r="AS13" i="67"/>
  <c r="AS9" i="67"/>
  <c r="AP87" i="63"/>
  <c r="AP94" i="63"/>
  <c r="AP79" i="63"/>
  <c r="AP54" i="63"/>
  <c r="AP45" i="63"/>
  <c r="AQ93" i="63" l="1"/>
  <c r="T333" i="79"/>
  <c r="T321" i="79"/>
  <c r="AS39" i="67"/>
  <c r="BB14" i="9"/>
  <c r="T332" i="79"/>
  <c r="BE29" i="9" l="1"/>
  <c r="BI122" i="9"/>
  <c r="D122" i="9"/>
  <c r="BE137" i="9" l="1"/>
  <c r="AZ28" i="83"/>
  <c r="AZ29" i="83"/>
  <c r="AZ31" i="83"/>
  <c r="AZ65" i="83"/>
  <c r="AZ78" i="83"/>
  <c r="AZ82" i="83"/>
  <c r="AZ86" i="83"/>
  <c r="AZ87" i="83"/>
  <c r="AZ90" i="83"/>
  <c r="AZ93" i="83"/>
  <c r="AZ95" i="83"/>
  <c r="AZ98" i="83"/>
  <c r="AZ101" i="83"/>
  <c r="AZ103" i="83"/>
  <c r="AZ107" i="83"/>
  <c r="AZ111" i="83"/>
  <c r="AZ112" i="83"/>
  <c r="AZ115" i="83"/>
  <c r="AZ117" i="83"/>
  <c r="AZ118" i="83"/>
  <c r="AZ121" i="83"/>
  <c r="AZ122" i="83"/>
  <c r="AZ123" i="83"/>
  <c r="AZ124" i="83"/>
  <c r="AZ127" i="83"/>
  <c r="AZ128" i="83"/>
  <c r="AZ138" i="83"/>
  <c r="AZ139" i="83"/>
  <c r="AZ140" i="83"/>
  <c r="AZ143" i="83"/>
  <c r="AZ151" i="83"/>
  <c r="AZ153" i="83"/>
  <c r="AZ155" i="83"/>
  <c r="AZ157" i="83"/>
  <c r="D18" i="76" l="1"/>
  <c r="BC45" i="9"/>
  <c r="BD193" i="77" l="1"/>
  <c r="BC193" i="77"/>
  <c r="BB8" i="12" l="1"/>
  <c r="BB36" i="12"/>
  <c r="BB37" i="10"/>
  <c r="BB10" i="10"/>
  <c r="BB37" i="1"/>
  <c r="BB9" i="1"/>
  <c r="AT25" i="55"/>
  <c r="BG11" i="2"/>
  <c r="BF11" i="2"/>
  <c r="BJ78" i="3"/>
  <c r="BE30" i="9" s="1"/>
  <c r="BJ61" i="3"/>
  <c r="BJ42" i="3"/>
  <c r="BB7" i="9" s="1"/>
  <c r="BJ33" i="3"/>
  <c r="BJ23" i="3"/>
  <c r="BJ6" i="3"/>
  <c r="E316" i="73"/>
  <c r="F314" i="73"/>
  <c r="F316" i="73" s="1"/>
  <c r="DA323" i="73"/>
  <c r="DA11" i="73"/>
  <c r="DA221" i="73"/>
  <c r="DA217" i="73"/>
  <c r="AF192" i="77"/>
  <c r="AF193" i="77"/>
  <c r="AF194" i="77"/>
  <c r="AF195" i="77"/>
  <c r="AF196" i="77"/>
  <c r="BB11" i="1" l="1"/>
  <c r="BB13" i="1" s="1"/>
  <c r="BB15" i="1" s="1"/>
  <c r="BG7" i="2"/>
  <c r="BB12" i="10"/>
  <c r="BB14" i="10" s="1"/>
  <c r="BB16" i="10" s="1"/>
  <c r="BG8" i="2"/>
  <c r="DA44" i="73"/>
  <c r="DA34" i="73"/>
  <c r="DA39" i="73"/>
  <c r="BE138" i="9"/>
  <c r="BB52" i="9"/>
  <c r="BB17" i="9"/>
  <c r="BJ39" i="3"/>
  <c r="BB8" i="9"/>
  <c r="BB6" i="9"/>
  <c r="DA24" i="73"/>
  <c r="DA19" i="73"/>
  <c r="DA29" i="73"/>
  <c r="DA291" i="73"/>
  <c r="DA297" i="73"/>
  <c r="DA285" i="73"/>
  <c r="BC192" i="77"/>
  <c r="BJ90" i="3"/>
  <c r="BD192" i="77"/>
  <c r="BB10" i="12" l="1"/>
  <c r="BB12" i="12" s="1"/>
  <c r="BB14" i="12" s="1"/>
  <c r="BG6" i="2"/>
  <c r="BB35" i="10"/>
  <c r="BB40" i="1"/>
  <c r="BB43" i="1" s="1"/>
  <c r="BB45" i="1" s="1"/>
  <c r="BB48" i="1" s="1"/>
  <c r="BJ91" i="3"/>
  <c r="BB40" i="10"/>
  <c r="BB43" i="10" s="1"/>
  <c r="BB45" i="10" s="1"/>
  <c r="BB48" i="10" s="1"/>
  <c r="BB35" i="1"/>
  <c r="CZ323" i="73"/>
  <c r="CZ322" i="73"/>
  <c r="CZ11" i="73"/>
  <c r="CZ221" i="73"/>
  <c r="CZ217" i="73"/>
  <c r="AF191" i="77"/>
  <c r="BB39" i="12" l="1"/>
  <c r="BB42" i="12" s="1"/>
  <c r="BB44" i="12" s="1"/>
  <c r="BB48" i="12" s="1"/>
  <c r="BB34" i="12"/>
  <c r="BB35" i="12" s="1"/>
  <c r="BB50" i="9"/>
  <c r="BB53" i="9" s="1"/>
  <c r="AU11" i="30"/>
  <c r="BG10" i="2"/>
  <c r="CZ44" i="73"/>
  <c r="CZ34" i="73"/>
  <c r="CZ39" i="73"/>
  <c r="BE24" i="9"/>
  <c r="BB36" i="1"/>
  <c r="BB36" i="10"/>
  <c r="CZ29" i="73"/>
  <c r="CZ19" i="73"/>
  <c r="CZ24" i="73"/>
  <c r="CZ291" i="73"/>
  <c r="CZ297" i="73"/>
  <c r="CZ285" i="73"/>
  <c r="BD191" i="77"/>
  <c r="BC191" i="77"/>
  <c r="BE15" i="9" l="1"/>
  <c r="AT11" i="53"/>
  <c r="BG16" i="2"/>
  <c r="BB50" i="12"/>
  <c r="BE25" i="9"/>
  <c r="BG19" i="2" l="1"/>
  <c r="BE27" i="9"/>
  <c r="BE133" i="9" s="1"/>
  <c r="X410" i="36"/>
  <c r="DY24" i="34"/>
  <c r="DX24" i="34"/>
  <c r="DW24" i="34"/>
  <c r="DV24" i="34"/>
  <c r="DT24" i="34"/>
  <c r="DS24" i="34"/>
  <c r="DR24" i="34"/>
  <c r="DQ24" i="34"/>
  <c r="DP24" i="34"/>
  <c r="DO24" i="34"/>
  <c r="DJ24" i="34"/>
  <c r="DI24" i="34"/>
  <c r="DG24" i="34"/>
  <c r="DF24" i="34"/>
  <c r="DE24" i="34"/>
  <c r="DD24" i="34"/>
  <c r="DC24" i="34"/>
  <c r="DA24" i="34"/>
  <c r="CZ24" i="34"/>
  <c r="CW24" i="34"/>
  <c r="CV24" i="34"/>
  <c r="CU24" i="34"/>
  <c r="CT24" i="34"/>
  <c r="CR24" i="34"/>
  <c r="CQ24" i="34"/>
  <c r="CO24" i="34"/>
  <c r="CN24" i="34"/>
  <c r="CM24" i="34"/>
  <c r="CL24" i="34"/>
  <c r="CK24" i="34"/>
  <c r="CI24" i="34"/>
  <c r="CH24" i="34"/>
  <c r="CG24" i="34"/>
  <c r="CF24" i="34"/>
  <c r="CE24" i="34"/>
  <c r="CD24" i="34"/>
  <c r="CC24" i="34"/>
  <c r="CB24" i="34"/>
  <c r="CA24" i="34"/>
  <c r="BZ24" i="34"/>
  <c r="BY24" i="34"/>
  <c r="BX24" i="34"/>
  <c r="BW24" i="34"/>
  <c r="BV24" i="34"/>
  <c r="BT24" i="34"/>
  <c r="BS24" i="34"/>
  <c r="BR24" i="34"/>
  <c r="BQ24" i="34"/>
  <c r="BP24" i="34"/>
  <c r="BN24" i="34"/>
  <c r="BM24" i="34"/>
  <c r="BK24" i="34"/>
  <c r="BJ24" i="34"/>
  <c r="BH24" i="34"/>
  <c r="BG24" i="34"/>
  <c r="BE24" i="34"/>
  <c r="BD24" i="34"/>
  <c r="BC24" i="34"/>
  <c r="BB24" i="34"/>
  <c r="BA24" i="34"/>
  <c r="AZ24" i="34"/>
  <c r="AY24" i="34"/>
  <c r="AX24" i="34"/>
  <c r="AW24" i="34"/>
  <c r="AV24" i="34"/>
  <c r="AU24" i="34"/>
  <c r="AT24" i="34"/>
  <c r="AS24" i="34"/>
  <c r="AR24" i="34"/>
  <c r="AQ24" i="34"/>
  <c r="AP24" i="34"/>
  <c r="AN24" i="34"/>
  <c r="AM24" i="34"/>
  <c r="AL24" i="34"/>
  <c r="AJ24" i="34"/>
  <c r="AI24" i="34"/>
  <c r="AG24" i="34"/>
  <c r="AF24" i="34"/>
  <c r="DU24" i="34"/>
  <c r="BG24" i="2" l="1"/>
  <c r="BG26" i="2" s="1"/>
  <c r="BG28" i="2" s="1"/>
  <c r="CY323" i="73"/>
  <c r="CY322" i="73"/>
  <c r="CY11" i="73"/>
  <c r="CY221" i="73"/>
  <c r="CY217" i="73"/>
  <c r="BG30" i="2" l="1"/>
  <c r="AP18" i="63"/>
  <c r="AP63" i="63" s="1"/>
  <c r="CY39" i="73"/>
  <c r="CY34" i="73"/>
  <c r="CY44" i="73"/>
  <c r="CY19" i="73"/>
  <c r="CY29" i="73"/>
  <c r="CY24" i="73"/>
  <c r="CY285" i="73"/>
  <c r="CY291" i="73"/>
  <c r="CY297" i="73"/>
  <c r="D57" i="38"/>
  <c r="D55" i="38"/>
  <c r="AP92" i="63" l="1"/>
  <c r="AP6" i="63"/>
  <c r="AP11" i="63" s="1"/>
  <c r="AP14" i="63" s="1"/>
  <c r="L347" i="36"/>
  <c r="L358" i="36" s="1"/>
  <c r="L370" i="36" l="1"/>
  <c r="H65" i="23"/>
  <c r="O65" i="23"/>
  <c r="I65" i="23"/>
  <c r="N65" i="23"/>
  <c r="P65" i="23"/>
  <c r="G65" i="23"/>
  <c r="E65" i="23"/>
  <c r="M65" i="23"/>
  <c r="F65" i="23"/>
  <c r="L65" i="23"/>
  <c r="M5" i="23" l="1"/>
  <c r="L5" i="23"/>
  <c r="F5" i="23" l="1"/>
  <c r="E5" i="23"/>
  <c r="DM24" i="34" l="1"/>
  <c r="DL24" i="34"/>
  <c r="CX24" i="34"/>
  <c r="EN24" i="34"/>
  <c r="EM24" i="34"/>
  <c r="AV41" i="33"/>
  <c r="AX12" i="31" l="1"/>
  <c r="AV45" i="33"/>
  <c r="AV42" i="33" l="1"/>
  <c r="AO94" i="63"/>
  <c r="AP93" i="63" s="1"/>
  <c r="D410" i="36" l="1"/>
  <c r="AP96" i="63" l="1"/>
  <c r="H56" i="38"/>
  <c r="F56" i="38"/>
  <c r="K56" i="38"/>
  <c r="E56" i="38"/>
  <c r="D7" i="30"/>
  <c r="E7" i="30"/>
  <c r="F7" i="30"/>
  <c r="G7" i="30"/>
  <c r="H7" i="30"/>
  <c r="I7" i="30"/>
  <c r="J7" i="30"/>
  <c r="K7" i="30"/>
  <c r="L7" i="30"/>
  <c r="M7" i="30"/>
  <c r="N7" i="30"/>
  <c r="O7" i="30"/>
  <c r="P7" i="30"/>
  <c r="Q7" i="30"/>
  <c r="R7" i="30"/>
  <c r="S7" i="30"/>
  <c r="T7" i="30"/>
  <c r="U7" i="30"/>
  <c r="V7" i="30"/>
  <c r="W7" i="30"/>
  <c r="X7" i="30"/>
  <c r="Y7" i="30"/>
  <c r="Z7" i="30"/>
  <c r="AA7" i="30"/>
  <c r="AB7" i="30"/>
  <c r="AC7" i="30"/>
  <c r="AD7" i="30"/>
  <c r="AE7" i="30"/>
  <c r="AF7" i="30"/>
  <c r="AG7" i="30"/>
  <c r="AH7" i="30"/>
  <c r="AI7" i="30"/>
  <c r="AJ7" i="30"/>
  <c r="AK7" i="30"/>
  <c r="AL7" i="30"/>
  <c r="AM7" i="30"/>
  <c r="AN7" i="30"/>
  <c r="AP7" i="30"/>
  <c r="AQ7" i="30"/>
  <c r="AR7" i="30"/>
  <c r="AS7" i="30"/>
  <c r="AT7" i="30"/>
  <c r="AY7" i="30"/>
  <c r="BA10" i="10"/>
  <c r="BF8" i="2" s="1"/>
  <c r="EO25" i="34" l="1"/>
  <c r="EO24" i="34" s="1"/>
  <c r="AU54" i="68" l="1"/>
  <c r="AU50" i="68"/>
  <c r="AU28" i="68"/>
  <c r="AU26" i="68"/>
  <c r="L199" i="80"/>
  <c r="D199" i="80"/>
  <c r="D198" i="80"/>
  <c r="D196" i="80"/>
  <c r="D195" i="80"/>
  <c r="D194" i="80"/>
  <c r="D193" i="80"/>
  <c r="AE15" i="81"/>
  <c r="AX50" i="52"/>
  <c r="AX49" i="52"/>
  <c r="AX48" i="52"/>
  <c r="AX47" i="52"/>
  <c r="AX46" i="52"/>
  <c r="AX56" i="49"/>
  <c r="AX55" i="49"/>
  <c r="AT8" i="72"/>
  <c r="AT21" i="72" s="1"/>
  <c r="AY19" i="44"/>
  <c r="AT24" i="72" l="1"/>
  <c r="AY15" i="44"/>
  <c r="AU59" i="68"/>
  <c r="AU60" i="68" s="1"/>
  <c r="BB53" i="46"/>
  <c r="BB47" i="46"/>
  <c r="BB72" i="46"/>
  <c r="AY30" i="48"/>
  <c r="AY23" i="45"/>
  <c r="BB15" i="46"/>
  <c r="BB34" i="46"/>
  <c r="BB66" i="46"/>
  <c r="AE18" i="81"/>
  <c r="AU31" i="68"/>
  <c r="AX11" i="65"/>
  <c r="AX15" i="53"/>
  <c r="AX17" i="53" s="1"/>
  <c r="AX10" i="53"/>
  <c r="BB9" i="46"/>
  <c r="BB28" i="46"/>
  <c r="AY14" i="45"/>
  <c r="BB21" i="46" l="1"/>
  <c r="AY22" i="44"/>
  <c r="AY23" i="44" s="1"/>
  <c r="AY18" i="44"/>
  <c r="BB40" i="46"/>
  <c r="BB78" i="46"/>
  <c r="BB59" i="46"/>
  <c r="AU32" i="68"/>
  <c r="D53" i="38" l="1"/>
  <c r="I56" i="38"/>
  <c r="D52" i="38"/>
  <c r="D51" i="38"/>
  <c r="D50" i="38"/>
  <c r="X418" i="36"/>
  <c r="D418" i="36"/>
  <c r="X417" i="36"/>
  <c r="D417" i="36"/>
  <c r="X416" i="36"/>
  <c r="D416" i="36"/>
  <c r="X415" i="36"/>
  <c r="D415" i="36"/>
  <c r="X414" i="36"/>
  <c r="D414" i="36"/>
  <c r="X413" i="36"/>
  <c r="D413" i="36"/>
  <c r="X411" i="36"/>
  <c r="D411" i="36"/>
  <c r="X409" i="36"/>
  <c r="D409" i="36"/>
  <c r="EO23" i="34"/>
  <c r="EN23" i="34"/>
  <c r="EM23" i="34"/>
  <c r="EO20" i="34"/>
  <c r="EO19" i="34"/>
  <c r="EO18" i="34"/>
  <c r="EO17" i="34"/>
  <c r="EO15" i="34"/>
  <c r="AV17" i="33"/>
  <c r="AY47" i="61"/>
  <c r="AY46" i="61"/>
  <c r="AY45" i="61"/>
  <c r="AY43" i="61"/>
  <c r="AY42" i="61"/>
  <c r="AY41" i="61"/>
  <c r="AY15" i="30"/>
  <c r="AY16" i="29"/>
  <c r="D29" i="23"/>
  <c r="K29" i="23" s="1"/>
  <c r="D28" i="23"/>
  <c r="K28" i="23" s="1"/>
  <c r="D25" i="23"/>
  <c r="K25" i="23" s="1"/>
  <c r="D27" i="23"/>
  <c r="K27" i="23" s="1"/>
  <c r="D26" i="23"/>
  <c r="K26" i="23" s="1"/>
  <c r="D24" i="23"/>
  <c r="K24" i="23" s="1"/>
  <c r="L21" i="76"/>
  <c r="D21" i="76"/>
  <c r="D20" i="76"/>
  <c r="E15" i="76"/>
  <c r="BI121" i="9"/>
  <c r="D121" i="9"/>
  <c r="BA52" i="9"/>
  <c r="BA49" i="9"/>
  <c r="BA12" i="9"/>
  <c r="BA18" i="9"/>
  <c r="BA13" i="9"/>
  <c r="BB45" i="9"/>
  <c r="AX26" i="31" l="1"/>
  <c r="AX27" i="31"/>
  <c r="AY22" i="30"/>
  <c r="AY39" i="61"/>
  <c r="AV28" i="33"/>
  <c r="AX21" i="31"/>
  <c r="AY17" i="29"/>
  <c r="AY18" i="29" s="1"/>
  <c r="AY10" i="26"/>
  <c r="AY38" i="61"/>
  <c r="AY40" i="61"/>
  <c r="O29" i="23"/>
  <c r="AY44" i="61"/>
  <c r="P29" i="23"/>
  <c r="AX25" i="31"/>
  <c r="AY19" i="61"/>
  <c r="AY8" i="29"/>
  <c r="AY13" i="29"/>
  <c r="AX28" i="31"/>
  <c r="AY50" i="61"/>
  <c r="AY32" i="61"/>
  <c r="AY18" i="30"/>
  <c r="EM21" i="34"/>
  <c r="AX24" i="31"/>
  <c r="AY20" i="26"/>
  <c r="AY35" i="61"/>
  <c r="AV14" i="33"/>
  <c r="AV18" i="33" s="1"/>
  <c r="AV31" i="33"/>
  <c r="EN21" i="34"/>
  <c r="EN27" i="34" s="1"/>
  <c r="EO16" i="34"/>
  <c r="AY49" i="61"/>
  <c r="AY16" i="61"/>
  <c r="AY10" i="30"/>
  <c r="H29" i="23"/>
  <c r="I29" i="23"/>
  <c r="BA14" i="9"/>
  <c r="BD29" i="9" l="1"/>
  <c r="AX30" i="31"/>
  <c r="AX29" i="31" s="1"/>
  <c r="AY48" i="61"/>
  <c r="J56" i="38"/>
  <c r="AY25" i="30"/>
  <c r="EM27" i="34"/>
  <c r="EO21" i="34"/>
  <c r="EO27" i="34" s="1"/>
  <c r="AY51" i="61"/>
  <c r="BD137" i="9" l="1"/>
  <c r="AR33" i="67"/>
  <c r="AR29" i="67"/>
  <c r="AR22" i="67"/>
  <c r="AR17" i="67"/>
  <c r="AR20" i="67" s="1"/>
  <c r="AR13" i="67"/>
  <c r="AR9" i="67"/>
  <c r="AR39" i="67" l="1"/>
  <c r="Z22" i="13" l="1"/>
  <c r="Z21" i="13"/>
  <c r="Z20" i="13"/>
  <c r="Z19" i="13"/>
  <c r="Z18" i="13"/>
  <c r="BA36" i="12"/>
  <c r="BA8" i="12"/>
  <c r="BA12" i="10"/>
  <c r="BA37" i="10"/>
  <c r="BA9" i="1"/>
  <c r="BF7" i="2" s="1"/>
  <c r="BA37" i="1"/>
  <c r="BI78" i="3"/>
  <c r="BI61" i="3"/>
  <c r="BI42" i="3"/>
  <c r="BA7" i="9" s="1"/>
  <c r="BI33" i="3"/>
  <c r="BI23" i="3"/>
  <c r="BI6" i="3"/>
  <c r="F2" i="84"/>
  <c r="G2" i="84" s="1"/>
  <c r="H2" i="84" s="1"/>
  <c r="I2" i="84" s="1"/>
  <c r="J2" i="84" s="1"/>
  <c r="K2" i="84" s="1"/>
  <c r="L2" i="84" s="1"/>
  <c r="M2" i="84" s="1"/>
  <c r="N2" i="84" s="1"/>
  <c r="O2" i="84" s="1"/>
  <c r="P2" i="84" s="1"/>
  <c r="Q2" i="84" s="1"/>
  <c r="R2" i="84" s="1"/>
  <c r="S2" i="84" s="1"/>
  <c r="T2" i="84" s="1"/>
  <c r="U2" i="84" s="1"/>
  <c r="V2" i="84" s="1"/>
  <c r="W2" i="84" s="1"/>
  <c r="X2" i="84" s="1"/>
  <c r="Y2" i="84" s="1"/>
  <c r="Z2" i="84" s="1"/>
  <c r="AA2" i="84" s="1"/>
  <c r="AB2" i="84" s="1"/>
  <c r="AC2" i="84" s="1"/>
  <c r="AD2" i="84" s="1"/>
  <c r="AE2" i="84" s="1"/>
  <c r="AF2" i="84" s="1"/>
  <c r="AG2" i="84" s="1"/>
  <c r="AH2" i="84" s="1"/>
  <c r="AI2" i="84" s="1"/>
  <c r="AJ2" i="84" s="1"/>
  <c r="AK2" i="84" s="1"/>
  <c r="AL2" i="84" s="1"/>
  <c r="AM2" i="84" s="1"/>
  <c r="AN2" i="84" s="1"/>
  <c r="AO2" i="84" s="1"/>
  <c r="AP2" i="84" s="1"/>
  <c r="BF6" i="2" l="1"/>
  <c r="BA50" i="9" s="1"/>
  <c r="BA11" i="1"/>
  <c r="BA17" i="9"/>
  <c r="BD30" i="9"/>
  <c r="BF10" i="2"/>
  <c r="BA14" i="10"/>
  <c r="BA16" i="10" s="1"/>
  <c r="BI90" i="3"/>
  <c r="BI39" i="3"/>
  <c r="BA8" i="9"/>
  <c r="BA6" i="9"/>
  <c r="BA13" i="1" l="1"/>
  <c r="BA15" i="1" s="1"/>
  <c r="BA35" i="1" s="1"/>
  <c r="BA10" i="12"/>
  <c r="BF16" i="2"/>
  <c r="BD138" i="9"/>
  <c r="BI91" i="3"/>
  <c r="BA35" i="10"/>
  <c r="BA40" i="10"/>
  <c r="CX323" i="73"/>
  <c r="CX322" i="73"/>
  <c r="CX11" i="73"/>
  <c r="CX221" i="73"/>
  <c r="CX217" i="73"/>
  <c r="BA40" i="1" l="1"/>
  <c r="BA43" i="1" s="1"/>
  <c r="BA45" i="1" s="1"/>
  <c r="BA48" i="1" s="1"/>
  <c r="CX39" i="73"/>
  <c r="CX34" i="73"/>
  <c r="CX44" i="73"/>
  <c r="BA12" i="12"/>
  <c r="BA14" i="12" s="1"/>
  <c r="BF19" i="2"/>
  <c r="BA36" i="1"/>
  <c r="BA36" i="10"/>
  <c r="BA43" i="10"/>
  <c r="BA45" i="10" s="1"/>
  <c r="BA48" i="10" s="1"/>
  <c r="CX29" i="73"/>
  <c r="CX24" i="73"/>
  <c r="CX19" i="73"/>
  <c r="CX291" i="73"/>
  <c r="CX285" i="73"/>
  <c r="CX297" i="73"/>
  <c r="BD190" i="77"/>
  <c r="BC190" i="77"/>
  <c r="BD189" i="77"/>
  <c r="BC189" i="77"/>
  <c r="CW323" i="73"/>
  <c r="CW322" i="73"/>
  <c r="CW11" i="73"/>
  <c r="CW221" i="73"/>
  <c r="CW217" i="73"/>
  <c r="CW39" i="73" l="1"/>
  <c r="CW44" i="73"/>
  <c r="CW34" i="73"/>
  <c r="BA39" i="12"/>
  <c r="BD24" i="9" s="1"/>
  <c r="BA34" i="12"/>
  <c r="BD27" i="9"/>
  <c r="BD133" i="9" s="1"/>
  <c r="BF24" i="2"/>
  <c r="BF26" i="2" s="1"/>
  <c r="BF28" i="2" s="1"/>
  <c r="CW24" i="73"/>
  <c r="CW29" i="73"/>
  <c r="CW19" i="73"/>
  <c r="CW291" i="73"/>
  <c r="CW297" i="73"/>
  <c r="CW285" i="73"/>
  <c r="BE16" i="9" l="1"/>
  <c r="BA42" i="12"/>
  <c r="BA44" i="12" s="1"/>
  <c r="BA48" i="12" s="1"/>
  <c r="BA35" i="12"/>
  <c r="BF30" i="2"/>
  <c r="AO18" i="63"/>
  <c r="BD188" i="77"/>
  <c r="BC188" i="77"/>
  <c r="M20" i="76" l="1"/>
  <c r="BD25" i="9"/>
  <c r="BA50" i="12"/>
  <c r="R311" i="79"/>
  <c r="T311" i="79" s="1"/>
  <c r="CV323" i="73" l="1"/>
  <c r="CV322" i="73"/>
  <c r="CV11" i="73"/>
  <c r="CV221" i="73"/>
  <c r="CV217" i="73"/>
  <c r="CV44" i="73" l="1"/>
  <c r="CV34" i="73"/>
  <c r="CV39" i="73"/>
  <c r="CV19" i="73"/>
  <c r="CV24" i="73"/>
  <c r="CV29" i="73"/>
  <c r="CV297" i="73"/>
  <c r="CV285" i="73"/>
  <c r="CV291" i="73"/>
  <c r="R317" i="79" l="1"/>
  <c r="T317" i="79" s="1"/>
  <c r="R315" i="79"/>
  <c r="T315" i="79" s="1"/>
  <c r="R312" i="79"/>
  <c r="T312" i="79" s="1"/>
  <c r="R314" i="79" l="1"/>
  <c r="T314" i="79" s="1"/>
  <c r="R310" i="79"/>
  <c r="R313" i="79"/>
  <c r="T313" i="79" s="1"/>
  <c r="R318" i="79"/>
  <c r="T318" i="79" s="1"/>
  <c r="R316" i="79"/>
  <c r="T316" i="79" s="1"/>
  <c r="T310" i="79" l="1"/>
  <c r="AX24" i="55" l="1"/>
  <c r="BA45" i="9"/>
  <c r="AP80" i="68" l="1"/>
  <c r="AP54" i="68"/>
  <c r="AP31" i="68"/>
  <c r="AP28" i="68"/>
  <c r="AP26" i="68"/>
  <c r="AP23" i="68"/>
  <c r="AX25" i="55" l="1"/>
  <c r="AP50" i="68"/>
  <c r="AP69" i="68"/>
  <c r="AP32" i="68"/>
  <c r="AP45" i="68"/>
  <c r="AP59" i="68"/>
  <c r="AP60" i="68" s="1"/>
  <c r="AP92" i="68"/>
  <c r="AP78" i="68"/>
  <c r="AP51" i="68" l="1"/>
  <c r="AP61" i="68" s="1"/>
  <c r="P152" i="80"/>
  <c r="AS84" i="71"/>
  <c r="AS88" i="71"/>
  <c r="AS8" i="53"/>
  <c r="AS10" i="53" s="1"/>
  <c r="AS11" i="53" s="1"/>
  <c r="AS44" i="52"/>
  <c r="AS42" i="52"/>
  <c r="AS50" i="52"/>
  <c r="AS49" i="52"/>
  <c r="AS48" i="52"/>
  <c r="AS47" i="52"/>
  <c r="AS46" i="52"/>
  <c r="AS56" i="49"/>
  <c r="AS55" i="49"/>
  <c r="AS52" i="49"/>
  <c r="AS51" i="49"/>
  <c r="AS50" i="49"/>
  <c r="AS46" i="49"/>
  <c r="AS42" i="49"/>
  <c r="AW109" i="46"/>
  <c r="AW108" i="46"/>
  <c r="AW107" i="46"/>
  <c r="AW76" i="46"/>
  <c r="AW66" i="46"/>
  <c r="AW58" i="46"/>
  <c r="AW19" i="46"/>
  <c r="AW18" i="46"/>
  <c r="AT29" i="45"/>
  <c r="AT31" i="45"/>
  <c r="AT30" i="45"/>
  <c r="AS86" i="71" l="1"/>
  <c r="AS15" i="53"/>
  <c r="AS17" i="53" s="1"/>
  <c r="AS21" i="53"/>
  <c r="AS43" i="49"/>
  <c r="AT28" i="45"/>
  <c r="AS23" i="53"/>
  <c r="AW38" i="46"/>
  <c r="AT26" i="45"/>
  <c r="AT27" i="45"/>
  <c r="AW47" i="46"/>
  <c r="AS48" i="49"/>
  <c r="AW57" i="46"/>
  <c r="AW110" i="46"/>
  <c r="AS26" i="65"/>
  <c r="AS4" i="55"/>
  <c r="BD15" i="9" s="1"/>
  <c r="AW20" i="46"/>
  <c r="AW21" i="46" s="1"/>
  <c r="AS44" i="49"/>
  <c r="Z18" i="81"/>
  <c r="AW53" i="46"/>
  <c r="AS45" i="49"/>
  <c r="AS53" i="49"/>
  <c r="AS49" i="49"/>
  <c r="AS43" i="52"/>
  <c r="H151" i="80"/>
  <c r="H152" i="80"/>
  <c r="AW9" i="46"/>
  <c r="AW39" i="46"/>
  <c r="AW37" i="46"/>
  <c r="AW56" i="46"/>
  <c r="AW77" i="46"/>
  <c r="AT24" i="48"/>
  <c r="AT23" i="45"/>
  <c r="AW75" i="46"/>
  <c r="AS24" i="65"/>
  <c r="Z15" i="81"/>
  <c r="P150" i="80"/>
  <c r="H150" i="80"/>
  <c r="P151" i="80"/>
  <c r="AS25" i="65"/>
  <c r="AS19" i="65"/>
  <c r="AS22" i="65"/>
  <c r="AS11" i="65"/>
  <c r="AS23" i="65"/>
  <c r="AS20" i="53"/>
  <c r="AS38" i="52"/>
  <c r="AS35" i="52"/>
  <c r="AS39" i="52"/>
  <c r="AS41" i="52"/>
  <c r="AS45" i="52"/>
  <c r="AS19" i="52"/>
  <c r="AS40" i="52"/>
  <c r="AS47" i="49"/>
  <c r="AW112" i="46"/>
  <c r="AW111" i="46"/>
  <c r="AW72" i="46"/>
  <c r="AW78" i="46" s="1"/>
  <c r="AW28" i="46"/>
  <c r="AW15" i="46"/>
  <c r="AW34" i="46"/>
  <c r="AT13" i="45"/>
  <c r="AT14" i="45" s="1"/>
  <c r="I87" i="38"/>
  <c r="AA345" i="36"/>
  <c r="V345" i="36"/>
  <c r="AA343" i="36"/>
  <c r="V343" i="36"/>
  <c r="AA340" i="36"/>
  <c r="DZ23" i="34"/>
  <c r="DY23" i="34"/>
  <c r="DX23" i="34"/>
  <c r="DZ20" i="34"/>
  <c r="DZ19" i="34"/>
  <c r="DZ18" i="34"/>
  <c r="DZ17" i="34"/>
  <c r="DZ15" i="34"/>
  <c r="DZ13" i="34"/>
  <c r="AT40" i="33"/>
  <c r="AT47" i="61"/>
  <c r="AT46" i="61"/>
  <c r="AT45" i="61"/>
  <c r="AT43" i="61"/>
  <c r="AT42" i="61"/>
  <c r="AT50" i="61"/>
  <c r="AT49" i="61"/>
  <c r="AT29" i="32"/>
  <c r="AT28" i="32"/>
  <c r="AT27" i="32"/>
  <c r="AT25" i="32"/>
  <c r="AS26" i="31"/>
  <c r="AS24" i="31"/>
  <c r="AT15" i="30"/>
  <c r="AT13" i="29"/>
  <c r="AT17" i="29"/>
  <c r="AT16" i="29"/>
  <c r="Y22" i="13"/>
  <c r="Y21" i="13"/>
  <c r="Y20" i="13"/>
  <c r="Y19" i="13"/>
  <c r="Y18" i="13"/>
  <c r="AS22" i="53" l="1"/>
  <c r="AS24" i="53" s="1"/>
  <c r="AT33" i="45"/>
  <c r="AW59" i="46"/>
  <c r="DZ7" i="34"/>
  <c r="DZ16" i="34"/>
  <c r="AT39" i="61"/>
  <c r="AT10" i="26"/>
  <c r="AT12" i="26" s="1"/>
  <c r="AT13" i="26" s="1"/>
  <c r="AT10" i="30"/>
  <c r="AT11" i="30" s="1"/>
  <c r="DY21" i="34"/>
  <c r="DY27" i="34" s="1"/>
  <c r="AA342" i="36"/>
  <c r="AT44" i="33"/>
  <c r="AT20" i="26"/>
  <c r="AT22" i="26" s="1"/>
  <c r="AT23" i="26" s="1"/>
  <c r="AT32" i="61"/>
  <c r="AS27" i="31"/>
  <c r="AT36" i="33"/>
  <c r="AT18" i="29"/>
  <c r="AT37" i="33"/>
  <c r="AT31" i="33"/>
  <c r="AA341" i="36"/>
  <c r="AT18" i="30"/>
  <c r="AS21" i="31"/>
  <c r="AS20" i="31" s="1"/>
  <c r="AT40" i="61"/>
  <c r="AT38" i="33"/>
  <c r="DX21" i="34"/>
  <c r="DZ11" i="34"/>
  <c r="V342" i="36"/>
  <c r="F89" i="38"/>
  <c r="AT16" i="61"/>
  <c r="AT35" i="61"/>
  <c r="AT43" i="33"/>
  <c r="DZ9" i="34"/>
  <c r="DZ12" i="34"/>
  <c r="H89" i="38"/>
  <c r="G89" i="38"/>
  <c r="O50" i="42"/>
  <c r="AS25" i="31"/>
  <c r="AS28" i="31"/>
  <c r="AT28" i="33"/>
  <c r="DZ10" i="34"/>
  <c r="DZ25" i="34"/>
  <c r="DZ24" i="34" s="1"/>
  <c r="I86" i="38"/>
  <c r="AT38" i="61"/>
  <c r="AT39" i="33"/>
  <c r="E89" i="38"/>
  <c r="AT30" i="48"/>
  <c r="AS27" i="65"/>
  <c r="AS51" i="52"/>
  <c r="AW40" i="46"/>
  <c r="AT14" i="33"/>
  <c r="AT18" i="33" s="1"/>
  <c r="AS12" i="31"/>
  <c r="AS11" i="31" s="1"/>
  <c r="AT44" i="61"/>
  <c r="AS13" i="24"/>
  <c r="AT26" i="32"/>
  <c r="AT51" i="61"/>
  <c r="AT24" i="30"/>
  <c r="AT41" i="33"/>
  <c r="AT21" i="30"/>
  <c r="AT22" i="30" s="1"/>
  <c r="AT9" i="39"/>
  <c r="AT18" i="39"/>
  <c r="V344" i="36"/>
  <c r="V340" i="36"/>
  <c r="V339" i="36"/>
  <c r="V341" i="36"/>
  <c r="V346" i="36"/>
  <c r="AA339" i="36"/>
  <c r="DZ8" i="34"/>
  <c r="AT34" i="33"/>
  <c r="AT35" i="33"/>
  <c r="AT17" i="33"/>
  <c r="AT19" i="61"/>
  <c r="AT20" i="61" s="1"/>
  <c r="AT41" i="61"/>
  <c r="AT8" i="29"/>
  <c r="DZ21" i="34" l="1"/>
  <c r="DZ27" i="34" s="1"/>
  <c r="AS30" i="31"/>
  <c r="AS29" i="31" s="1"/>
  <c r="DX27" i="34"/>
  <c r="AT25" i="30"/>
  <c r="AT45" i="33"/>
  <c r="I89" i="38"/>
  <c r="AT48" i="61"/>
  <c r="J89" i="38"/>
  <c r="AT42" i="33"/>
  <c r="BF24" i="12" l="1"/>
  <c r="BF22" i="12"/>
  <c r="BF20" i="12"/>
  <c r="BF18" i="12"/>
  <c r="BF17" i="12"/>
  <c r="BF16" i="12"/>
  <c r="BF15" i="12"/>
  <c r="BF9" i="1"/>
  <c r="BK7" i="2" s="1"/>
  <c r="BI134" i="9" l="1"/>
  <c r="BH134" i="9"/>
  <c r="BG134" i="9"/>
  <c r="BF134" i="9"/>
  <c r="BE134" i="9"/>
  <c r="BE135" i="9" s="1"/>
  <c r="BD134" i="9"/>
  <c r="BD135" i="9" s="1"/>
  <c r="BC187" i="77"/>
  <c r="BD187" i="77"/>
  <c r="BF11" i="1"/>
  <c r="BF13" i="1" l="1"/>
  <c r="BF15" i="1" s="1"/>
  <c r="BF40" i="1" l="1"/>
  <c r="BF35" i="1"/>
  <c r="CU323" i="73"/>
  <c r="CU322" i="73"/>
  <c r="CU11" i="73"/>
  <c r="CU221" i="73"/>
  <c r="CU217" i="73"/>
  <c r="CU44" i="73" l="1"/>
  <c r="CU34" i="73"/>
  <c r="CU39" i="73"/>
  <c r="CU19" i="73"/>
  <c r="CU24" i="73"/>
  <c r="CU29" i="73"/>
  <c r="CU291" i="73"/>
  <c r="CU297" i="73"/>
  <c r="CU285" i="73"/>
  <c r="BF43" i="1"/>
  <c r="BF45" i="1" s="1"/>
  <c r="BF48" i="1" s="1"/>
  <c r="BF36" i="1"/>
  <c r="AP33" i="45"/>
  <c r="AR23" i="45"/>
  <c r="AQ23" i="45"/>
  <c r="AP23" i="45"/>
  <c r="AN23" i="45"/>
  <c r="AM23" i="45"/>
  <c r="BC186" i="77" l="1"/>
  <c r="BD186" i="77"/>
  <c r="CT323" i="73" l="1"/>
  <c r="CT322" i="73"/>
  <c r="CT11" i="73"/>
  <c r="CT221" i="73"/>
  <c r="CT217" i="73"/>
  <c r="CT39" i="73" l="1"/>
  <c r="CT34" i="73"/>
  <c r="CT44" i="73"/>
  <c r="CT24" i="73"/>
  <c r="CT29" i="73"/>
  <c r="CT19" i="73"/>
  <c r="CT291" i="73"/>
  <c r="CT297" i="73"/>
  <c r="CT285" i="73"/>
  <c r="V335" i="36"/>
  <c r="Y324" i="36" l="1"/>
  <c r="Y319" i="36"/>
  <c r="V325" i="36"/>
  <c r="V323" i="36"/>
  <c r="V322" i="36"/>
  <c r="V320" i="36"/>
  <c r="V326" i="36"/>
  <c r="I319" i="36"/>
  <c r="V319" i="36" s="1"/>
  <c r="N324" i="36"/>
  <c r="I314" i="36" l="1"/>
  <c r="I324" i="36" s="1"/>
  <c r="V324" i="36" s="1"/>
  <c r="F311" i="36"/>
  <c r="F321" i="36" s="1"/>
  <c r="V321" i="36" l="1"/>
  <c r="V304" i="36"/>
  <c r="V301" i="36"/>
  <c r="Z309" i="36" l="1"/>
  <c r="Z319" i="36" l="1"/>
  <c r="AA306" i="36" l="1"/>
  <c r="AA305" i="36"/>
  <c r="AA304" i="36"/>
  <c r="AA303" i="36"/>
  <c r="AA302" i="36"/>
  <c r="AA301" i="36"/>
  <c r="AA300" i="36"/>
  <c r="AA299" i="36"/>
  <c r="AA316" i="36"/>
  <c r="AA315" i="36"/>
  <c r="AA314" i="36"/>
  <c r="AA313" i="36"/>
  <c r="AA312" i="36"/>
  <c r="AA311" i="36"/>
  <c r="AA310" i="36"/>
  <c r="AA309" i="36"/>
  <c r="AA326" i="36"/>
  <c r="AA325" i="36"/>
  <c r="AA324" i="36"/>
  <c r="AA323" i="36"/>
  <c r="AA322" i="36"/>
  <c r="AA321" i="36"/>
  <c r="AA320" i="36"/>
  <c r="AA319" i="36"/>
  <c r="Z307" i="36"/>
  <c r="Z317" i="36" s="1"/>
  <c r="Z327" i="36" s="1"/>
  <c r="AA335" i="36"/>
  <c r="AA333" i="36"/>
  <c r="Y307" i="36"/>
  <c r="Y317" i="36" s="1"/>
  <c r="Y327" i="36" s="1"/>
  <c r="AA307" i="36" l="1"/>
  <c r="AA317" i="36" s="1"/>
  <c r="AA327" i="36" s="1"/>
  <c r="AA331" i="36"/>
  <c r="AA336" i="36"/>
  <c r="AA329" i="36"/>
  <c r="AA332" i="36"/>
  <c r="AA334" i="36"/>
  <c r="AA330" i="36"/>
  <c r="Z337" i="36"/>
  <c r="Z347" i="36" s="1"/>
  <c r="Y337" i="36"/>
  <c r="Z358" i="36" l="1"/>
  <c r="AA337" i="36"/>
  <c r="Z370" i="36" l="1"/>
  <c r="Z382" i="36" s="1"/>
  <c r="Z394" i="36" s="1"/>
  <c r="Z406" i="36" s="1"/>
  <c r="Z418" i="36" s="1"/>
  <c r="BC185" i="77"/>
  <c r="BD185" i="77"/>
  <c r="AN59" i="68"/>
  <c r="AL59" i="68"/>
  <c r="AK59" i="68"/>
  <c r="AJ59" i="68"/>
  <c r="AI59" i="68"/>
  <c r="AH59" i="68"/>
  <c r="AG59" i="68"/>
  <c r="AF59" i="68"/>
  <c r="AE59" i="68"/>
  <c r="AD59" i="68"/>
  <c r="AC59" i="68"/>
  <c r="AB59" i="68"/>
  <c r="AA59" i="68"/>
  <c r="Z59" i="68"/>
  <c r="Y59" i="68"/>
  <c r="X59" i="68"/>
  <c r="W59" i="68"/>
  <c r="V59" i="68"/>
  <c r="U59" i="68"/>
  <c r="T59" i="68"/>
  <c r="S59" i="68"/>
  <c r="R59" i="68"/>
  <c r="Q59" i="68"/>
  <c r="P59" i="68"/>
  <c r="O59" i="68"/>
  <c r="N59" i="68"/>
  <c r="M59" i="68"/>
  <c r="L59" i="68"/>
  <c r="K59" i="68"/>
  <c r="J59" i="68"/>
  <c r="I59" i="68"/>
  <c r="H59" i="68"/>
  <c r="G59" i="68"/>
  <c r="E59" i="68"/>
  <c r="Z430" i="36" l="1"/>
  <c r="AM59" i="68"/>
  <c r="V333" i="36"/>
  <c r="AS23" i="45" l="1"/>
  <c r="V334" i="36"/>
  <c r="V332" i="36"/>
  <c r="V336" i="36"/>
  <c r="V329" i="36"/>
  <c r="V330" i="36"/>
  <c r="V331" i="36"/>
  <c r="AS13" i="55" l="1"/>
  <c r="AS24" i="55" s="1"/>
  <c r="AS25" i="55" l="1"/>
  <c r="G22" i="76"/>
  <c r="L24" i="76"/>
  <c r="L23" i="76"/>
  <c r="CS323" i="73" l="1"/>
  <c r="CS322" i="73"/>
  <c r="CS11" i="73"/>
  <c r="CS221" i="73"/>
  <c r="CS217" i="73"/>
  <c r="CS39" i="73" l="1"/>
  <c r="CS34" i="73"/>
  <c r="CS44" i="73"/>
  <c r="CS24" i="73"/>
  <c r="CS19" i="73"/>
  <c r="CS29" i="73"/>
  <c r="CS297" i="73"/>
  <c r="CS291" i="73"/>
  <c r="CS285" i="73"/>
  <c r="O80" i="36"/>
  <c r="O86" i="36" s="1"/>
  <c r="O90" i="36" s="1"/>
  <c r="O97" i="36" s="1"/>
  <c r="O103" i="36" s="1"/>
  <c r="O110" i="36" s="1"/>
  <c r="O118" i="36" s="1"/>
  <c r="O127" i="36" s="1"/>
  <c r="O133" i="36" s="1"/>
  <c r="O139" i="36" s="1"/>
  <c r="O147" i="36" s="1"/>
  <c r="O156" i="36" s="1"/>
  <c r="O165" i="36" s="1"/>
  <c r="O174" i="36" s="1"/>
  <c r="O183" i="36" s="1"/>
  <c r="O192" i="36" s="1"/>
  <c r="O201" i="36" s="1"/>
  <c r="O210" i="36" s="1"/>
  <c r="O219" i="36" s="1"/>
  <c r="O227" i="36" s="1"/>
  <c r="O235" i="36" s="1"/>
  <c r="O243" i="36" s="1"/>
  <c r="O251" i="36" s="1"/>
  <c r="O259" i="36" s="1"/>
  <c r="O267" i="36" s="1"/>
  <c r="O277" i="36" s="1"/>
  <c r="O287" i="36" s="1"/>
  <c r="O297" i="36" s="1"/>
  <c r="O307" i="36" s="1"/>
  <c r="O317" i="36" s="1"/>
  <c r="O327" i="36" s="1"/>
  <c r="O337" i="36" l="1"/>
  <c r="O347" i="36" s="1"/>
  <c r="O358" i="36" l="1"/>
  <c r="AR13" i="45"/>
  <c r="AQ13" i="45"/>
  <c r="AP13" i="45"/>
  <c r="AL36" i="33"/>
  <c r="AK36" i="33"/>
  <c r="AG36" i="33"/>
  <c r="AF36" i="33"/>
  <c r="AE36" i="33"/>
  <c r="AD36" i="33"/>
  <c r="AC36" i="33"/>
  <c r="AB36" i="33"/>
  <c r="AA36" i="33"/>
  <c r="Z36" i="33"/>
  <c r="Y36" i="33"/>
  <c r="X36" i="33"/>
  <c r="W36" i="33"/>
  <c r="V36" i="33"/>
  <c r="U36" i="33"/>
  <c r="T36" i="33"/>
  <c r="S36" i="33"/>
  <c r="R36" i="33"/>
  <c r="Q36" i="33"/>
  <c r="P36" i="33"/>
  <c r="O36" i="33"/>
  <c r="N36" i="33"/>
  <c r="M36" i="33"/>
  <c r="L36" i="33"/>
  <c r="K36" i="33"/>
  <c r="J36" i="33"/>
  <c r="I36" i="33"/>
  <c r="H36" i="33"/>
  <c r="G36" i="33"/>
  <c r="F36" i="33"/>
  <c r="E36" i="33"/>
  <c r="AR36" i="33"/>
  <c r="AQ36" i="33"/>
  <c r="AP36" i="33"/>
  <c r="AN36" i="33"/>
  <c r="AM36" i="33"/>
  <c r="AJ36" i="33"/>
  <c r="AI36" i="33"/>
  <c r="AH36" i="33"/>
  <c r="O370" i="36" l="1"/>
  <c r="AS36" i="33"/>
  <c r="AS13" i="45"/>
  <c r="O382" i="36" l="1"/>
  <c r="O394" i="36" s="1"/>
  <c r="O406" i="36" s="1"/>
  <c r="O418" i="36" s="1"/>
  <c r="AZ7" i="10"/>
  <c r="AZ10" i="10" s="1"/>
  <c r="BE8" i="2" s="1"/>
  <c r="O430" i="36" l="1"/>
  <c r="O442" i="36" s="1"/>
  <c r="O454" i="36" s="1"/>
  <c r="AM161" i="83"/>
  <c r="AM150" i="83"/>
  <c r="AM130" i="83"/>
  <c r="AM116" i="83"/>
  <c r="AM110" i="83"/>
  <c r="AM92" i="83"/>
  <c r="AM85" i="83"/>
  <c r="AM72" i="83"/>
  <c r="AM35" i="83"/>
  <c r="AM23" i="83"/>
  <c r="Y18" i="81"/>
  <c r="Y15" i="81"/>
  <c r="P143" i="80"/>
  <c r="P144" i="80"/>
  <c r="H144" i="80"/>
  <c r="AR4" i="55"/>
  <c r="AR24" i="65"/>
  <c r="AR86" i="71"/>
  <c r="AR88" i="71"/>
  <c r="AR87" i="71"/>
  <c r="AR84" i="71"/>
  <c r="AR15" i="53"/>
  <c r="AR40" i="52"/>
  <c r="AR50" i="52"/>
  <c r="AR49" i="52"/>
  <c r="AR48" i="52"/>
  <c r="AR47" i="52"/>
  <c r="AR46" i="52"/>
  <c r="AR44" i="52"/>
  <c r="AR43" i="52"/>
  <c r="AR42" i="52"/>
  <c r="AR56" i="49"/>
  <c r="AR55" i="49"/>
  <c r="AR50" i="49"/>
  <c r="AR49" i="49"/>
  <c r="AR48" i="49"/>
  <c r="AR42" i="49"/>
  <c r="AR53" i="49"/>
  <c r="AR52" i="49"/>
  <c r="AR51" i="49"/>
  <c r="AR47" i="49"/>
  <c r="AR46" i="49"/>
  <c r="AR45" i="49"/>
  <c r="AR44" i="49"/>
  <c r="AR43" i="49"/>
  <c r="AQ42" i="49"/>
  <c r="AQ43" i="49"/>
  <c r="AQ44" i="49"/>
  <c r="AQ45" i="49"/>
  <c r="AQ46" i="49"/>
  <c r="AQ47" i="49"/>
  <c r="AQ48" i="49"/>
  <c r="AQ49" i="49"/>
  <c r="AQ50" i="49"/>
  <c r="AQ51" i="49"/>
  <c r="AQ52" i="49"/>
  <c r="AQ53" i="49"/>
  <c r="AQ55" i="49"/>
  <c r="AQ56" i="49"/>
  <c r="AS24" i="48"/>
  <c r="AN8" i="72"/>
  <c r="AV111" i="46"/>
  <c r="AV109" i="46"/>
  <c r="AV108" i="46"/>
  <c r="AV77" i="46"/>
  <c r="AV76" i="46"/>
  <c r="AV75" i="46"/>
  <c r="AV72" i="46"/>
  <c r="AV66" i="46"/>
  <c r="AV56" i="46"/>
  <c r="AV53" i="46"/>
  <c r="AV47" i="46"/>
  <c r="AV57" i="46"/>
  <c r="AV34" i="46"/>
  <c r="AV39" i="46"/>
  <c r="AV38" i="46"/>
  <c r="AV28" i="46"/>
  <c r="AV15" i="46"/>
  <c r="AV20" i="46"/>
  <c r="AV19" i="46"/>
  <c r="AV18" i="46"/>
  <c r="AS26" i="45"/>
  <c r="AS28" i="45"/>
  <c r="AS27" i="45"/>
  <c r="AS31" i="45"/>
  <c r="AS30" i="45"/>
  <c r="AS29" i="45"/>
  <c r="AS14" i="45"/>
  <c r="AS33" i="45" l="1"/>
  <c r="AV40" i="46"/>
  <c r="P145" i="80"/>
  <c r="H145" i="80"/>
  <c r="H143" i="80"/>
  <c r="AR13" i="55"/>
  <c r="AR26" i="65"/>
  <c r="AR25" i="65"/>
  <c r="AR23" i="65"/>
  <c r="AR19" i="65"/>
  <c r="AR22" i="65"/>
  <c r="AR11" i="65"/>
  <c r="AR23" i="53"/>
  <c r="AR17" i="53"/>
  <c r="AR21" i="53"/>
  <c r="AR20" i="53"/>
  <c r="AR8" i="53"/>
  <c r="AR10" i="53" s="1"/>
  <c r="AR45" i="52"/>
  <c r="AR38" i="52"/>
  <c r="AR41" i="52"/>
  <c r="AR39" i="52"/>
  <c r="AR35" i="52"/>
  <c r="AR19" i="52"/>
  <c r="AS30" i="48"/>
  <c r="AV112" i="46"/>
  <c r="AV110" i="46"/>
  <c r="AV107" i="46"/>
  <c r="AV21" i="46"/>
  <c r="AV59" i="46"/>
  <c r="AV78" i="46"/>
  <c r="AV37" i="46"/>
  <c r="AV58" i="46"/>
  <c r="AV9" i="46"/>
  <c r="AS15" i="44"/>
  <c r="AS12" i="44"/>
  <c r="AA49" i="42"/>
  <c r="H99" i="38"/>
  <c r="G99" i="38"/>
  <c r="F99" i="38"/>
  <c r="E99" i="38"/>
  <c r="AR24" i="55" l="1"/>
  <c r="AR27" i="65"/>
  <c r="AR22" i="53"/>
  <c r="AR24" i="53" s="1"/>
  <c r="AR51" i="52"/>
  <c r="I99" i="38"/>
  <c r="AS9" i="39"/>
  <c r="AS18" i="44"/>
  <c r="AS19" i="44"/>
  <c r="AS22" i="44" s="1"/>
  <c r="O49" i="42"/>
  <c r="AS18" i="39"/>
  <c r="J99" i="38" l="1"/>
  <c r="K99" i="38" l="1"/>
  <c r="DW23" i="34" l="1"/>
  <c r="DV23" i="34"/>
  <c r="DU23" i="34"/>
  <c r="DW20" i="34"/>
  <c r="DW19" i="34"/>
  <c r="DW18" i="34"/>
  <c r="DW17" i="34"/>
  <c r="DW15" i="34"/>
  <c r="DU21" i="34"/>
  <c r="AS40" i="33"/>
  <c r="AS43" i="33"/>
  <c r="AS44" i="33"/>
  <c r="AS41" i="33"/>
  <c r="AS38" i="33"/>
  <c r="AS39" i="33"/>
  <c r="AS37" i="33"/>
  <c r="AS34" i="33"/>
  <c r="AS47" i="61"/>
  <c r="AS46" i="61"/>
  <c r="AS45" i="61"/>
  <c r="AS43" i="61"/>
  <c r="AS42" i="61"/>
  <c r="AS50" i="61"/>
  <c r="AS49" i="61"/>
  <c r="AS41" i="61"/>
  <c r="AS40" i="61"/>
  <c r="AS39" i="61"/>
  <c r="AS29" i="32"/>
  <c r="AS28" i="32"/>
  <c r="AS27" i="32"/>
  <c r="AQ24" i="31"/>
  <c r="AQ25" i="31"/>
  <c r="AQ26" i="31"/>
  <c r="AQ27" i="31"/>
  <c r="AQ28" i="31"/>
  <c r="AR21" i="31"/>
  <c r="AR28" i="31"/>
  <c r="AR27" i="31"/>
  <c r="AR25" i="31"/>
  <c r="AS15" i="30"/>
  <c r="AS18" i="30" s="1"/>
  <c r="AS24" i="30"/>
  <c r="AS21" i="30"/>
  <c r="AS22" i="30" s="1"/>
  <c r="AS13" i="29"/>
  <c r="AS17" i="29"/>
  <c r="AS16" i="29"/>
  <c r="P71" i="23"/>
  <c r="G71" i="23"/>
  <c r="X22" i="13"/>
  <c r="X21" i="13"/>
  <c r="X20" i="13"/>
  <c r="X19" i="13"/>
  <c r="X18" i="13"/>
  <c r="AZ45" i="9"/>
  <c r="R306" i="79"/>
  <c r="T306" i="79" s="1"/>
  <c r="R305" i="79"/>
  <c r="T305" i="79" s="1"/>
  <c r="R304" i="79"/>
  <c r="T304" i="79" s="1"/>
  <c r="R300" i="79"/>
  <c r="AS18" i="29" l="1"/>
  <c r="AS8" i="29"/>
  <c r="N71" i="23"/>
  <c r="AS44" i="61"/>
  <c r="AS28" i="33"/>
  <c r="AS25" i="30"/>
  <c r="AS20" i="26"/>
  <c r="AS22" i="26" s="1"/>
  <c r="AS23" i="26" s="1"/>
  <c r="AS17" i="33"/>
  <c r="AS45" i="33"/>
  <c r="AS51" i="61"/>
  <c r="AR13" i="24"/>
  <c r="AS19" i="61"/>
  <c r="AS16" i="61"/>
  <c r="AS32" i="61"/>
  <c r="AS35" i="33"/>
  <c r="AS14" i="33"/>
  <c r="O71" i="23"/>
  <c r="AS10" i="26"/>
  <c r="AR26" i="31"/>
  <c r="AR12" i="31"/>
  <c r="AR11" i="31" s="1"/>
  <c r="AR20" i="31"/>
  <c r="AS35" i="61"/>
  <c r="DU27" i="34"/>
  <c r="DV21" i="34"/>
  <c r="DV27" i="34" s="1"/>
  <c r="AS31" i="33"/>
  <c r="AS38" i="61"/>
  <c r="AS26" i="32"/>
  <c r="AS25" i="32"/>
  <c r="AR24" i="31"/>
  <c r="AS10" i="30"/>
  <c r="H71" i="23"/>
  <c r="I71" i="23"/>
  <c r="R302" i="79"/>
  <c r="T302" i="79" s="1"/>
  <c r="R303" i="79"/>
  <c r="T303" i="79" s="1"/>
  <c r="T300" i="79"/>
  <c r="R301" i="79"/>
  <c r="T301" i="79" s="1"/>
  <c r="AS48" i="61" l="1"/>
  <c r="DW21" i="34"/>
  <c r="DW27" i="34" s="1"/>
  <c r="AR30" i="31"/>
  <c r="AR29" i="31" s="1"/>
  <c r="AS42" i="33"/>
  <c r="AS12" i="26"/>
  <c r="AS13" i="26" s="1"/>
  <c r="AZ49" i="12" l="1"/>
  <c r="AZ24" i="12"/>
  <c r="AZ22" i="12"/>
  <c r="AZ20" i="12"/>
  <c r="AZ18" i="12"/>
  <c r="AZ17" i="12"/>
  <c r="AZ16" i="12"/>
  <c r="AZ15" i="12"/>
  <c r="AZ7" i="12"/>
  <c r="AZ43" i="12"/>
  <c r="AZ41" i="12"/>
  <c r="AZ40" i="12"/>
  <c r="AZ37" i="10"/>
  <c r="AZ13" i="12"/>
  <c r="AZ11" i="12"/>
  <c r="AZ12" i="10"/>
  <c r="AZ38" i="12"/>
  <c r="AZ37" i="12"/>
  <c r="AZ37" i="1"/>
  <c r="AZ9" i="12"/>
  <c r="AZ9" i="1"/>
  <c r="BE11" i="2"/>
  <c r="AZ6" i="12" l="1"/>
  <c r="AZ8" i="12" s="1"/>
  <c r="BE7" i="2"/>
  <c r="BC134" i="9"/>
  <c r="AR25" i="55"/>
  <c r="AZ14" i="10"/>
  <c r="AZ16" i="10" s="1"/>
  <c r="AZ36" i="12"/>
  <c r="AZ52" i="9"/>
  <c r="AZ11" i="1"/>
  <c r="BE6" i="2" l="1"/>
  <c r="AZ35" i="10"/>
  <c r="AZ40" i="10"/>
  <c r="AZ43" i="10" s="1"/>
  <c r="AZ45" i="10" s="1"/>
  <c r="AZ48" i="10" s="1"/>
  <c r="AZ13" i="1"/>
  <c r="AZ15" i="1" s="1"/>
  <c r="AZ10" i="12"/>
  <c r="BE10" i="2" l="1"/>
  <c r="AS11" i="30"/>
  <c r="AZ35" i="1"/>
  <c r="AZ12" i="12"/>
  <c r="AZ14" i="12" s="1"/>
  <c r="AZ36" i="10"/>
  <c r="AZ40" i="1"/>
  <c r="AZ43" i="1" s="1"/>
  <c r="AZ45" i="1" s="1"/>
  <c r="AZ48" i="1" s="1"/>
  <c r="CR323" i="73"/>
  <c r="CR322" i="73"/>
  <c r="CR11" i="73"/>
  <c r="CR221" i="73"/>
  <c r="CR217" i="73"/>
  <c r="CR39" i="73" l="1"/>
  <c r="CR44" i="73"/>
  <c r="CR34" i="73"/>
  <c r="BE16" i="2"/>
  <c r="AR11" i="53"/>
  <c r="CR29" i="73"/>
  <c r="CR19" i="73"/>
  <c r="CR24" i="73"/>
  <c r="CR297" i="73"/>
  <c r="CR291" i="73"/>
  <c r="CR285" i="73"/>
  <c r="AZ39" i="12"/>
  <c r="AZ34" i="12"/>
  <c r="AZ36" i="1"/>
  <c r="BD184" i="77"/>
  <c r="BC184" i="77"/>
  <c r="BE19" i="2" l="1"/>
  <c r="BD16" i="9"/>
  <c r="BC15" i="9"/>
  <c r="AZ42" i="12"/>
  <c r="AZ44" i="12" s="1"/>
  <c r="AZ48" i="12" s="1"/>
  <c r="AZ35" i="12"/>
  <c r="BC183" i="77"/>
  <c r="BD183" i="77"/>
  <c r="BC27" i="9" l="1"/>
  <c r="BC133" i="9" s="1"/>
  <c r="BC135" i="9" s="1"/>
  <c r="BE24" i="2"/>
  <c r="BE26" i="2" s="1"/>
  <c r="BE28" i="2" s="1"/>
  <c r="AN18" i="63" s="1"/>
  <c r="AZ50" i="12"/>
  <c r="CQ221" i="73"/>
  <c r="CP221" i="73"/>
  <c r="CO221" i="73"/>
  <c r="CN221" i="73"/>
  <c r="CM221" i="73"/>
  <c r="CL221" i="73"/>
  <c r="CK221" i="73"/>
  <c r="CJ221" i="73"/>
  <c r="CI221" i="73"/>
  <c r="CH221" i="73"/>
  <c r="CG221" i="73"/>
  <c r="CF221" i="73"/>
  <c r="CE221" i="73"/>
  <c r="CD221" i="73"/>
  <c r="CC221" i="73"/>
  <c r="CB221" i="73"/>
  <c r="CA221" i="73"/>
  <c r="BZ221" i="73"/>
  <c r="BY221" i="73"/>
  <c r="BX221" i="73"/>
  <c r="BW221" i="73"/>
  <c r="BV221" i="73"/>
  <c r="BU221" i="73"/>
  <c r="BT221" i="73"/>
  <c r="BS221" i="73"/>
  <c r="BR221" i="73"/>
  <c r="BQ221" i="73"/>
  <c r="BP221" i="73"/>
  <c r="BO221" i="73"/>
  <c r="BN221" i="73"/>
  <c r="BM221" i="73"/>
  <c r="BL221" i="73"/>
  <c r="BK221" i="73"/>
  <c r="BJ221" i="73"/>
  <c r="BI221" i="73"/>
  <c r="BH221" i="73"/>
  <c r="BG221" i="73"/>
  <c r="BF221" i="73"/>
  <c r="BE221" i="73"/>
  <c r="BD221" i="73"/>
  <c r="BC221" i="73"/>
  <c r="BB221" i="73"/>
  <c r="BA221" i="73"/>
  <c r="AZ221" i="73"/>
  <c r="AY221" i="73"/>
  <c r="AX221" i="73"/>
  <c r="AW221" i="73"/>
  <c r="AV221" i="73"/>
  <c r="AU221" i="73"/>
  <c r="AT221" i="73"/>
  <c r="AS221" i="73"/>
  <c r="AR221" i="73"/>
  <c r="AQ221" i="73"/>
  <c r="AP221" i="73"/>
  <c r="AN221" i="73"/>
  <c r="AM221" i="73"/>
  <c r="AL221" i="73"/>
  <c r="AK221" i="73"/>
  <c r="AJ221" i="73"/>
  <c r="AI221" i="73"/>
  <c r="AH221" i="73"/>
  <c r="AG221" i="73"/>
  <c r="AF221" i="73"/>
  <c r="AE221" i="73"/>
  <c r="AD221" i="73"/>
  <c r="AC221" i="73"/>
  <c r="AB221" i="73"/>
  <c r="AA221" i="73"/>
  <c r="Z221" i="73"/>
  <c r="Y221" i="73"/>
  <c r="X221" i="73"/>
  <c r="W221" i="73"/>
  <c r="V221" i="73"/>
  <c r="U221" i="73"/>
  <c r="T221" i="73"/>
  <c r="S221" i="73"/>
  <c r="R221" i="73"/>
  <c r="Q221" i="73"/>
  <c r="P221" i="73"/>
  <c r="O221" i="73"/>
  <c r="N221" i="73"/>
  <c r="M221" i="73"/>
  <c r="L221" i="73"/>
  <c r="K221" i="73"/>
  <c r="J221" i="73"/>
  <c r="I221" i="73"/>
  <c r="H221" i="73"/>
  <c r="G221" i="73"/>
  <c r="F221" i="73"/>
  <c r="E221" i="73"/>
  <c r="CQ217" i="73"/>
  <c r="CP217" i="73"/>
  <c r="CO217" i="73"/>
  <c r="CN217" i="73"/>
  <c r="CM217" i="73"/>
  <c r="CL217" i="73"/>
  <c r="CK217" i="73"/>
  <c r="CJ217" i="73"/>
  <c r="CI217" i="73"/>
  <c r="CH217" i="73"/>
  <c r="CG217" i="73"/>
  <c r="CF217" i="73"/>
  <c r="CE217" i="73"/>
  <c r="CD217" i="73"/>
  <c r="CC217" i="73"/>
  <c r="CB217" i="73"/>
  <c r="CA217" i="73"/>
  <c r="BZ217" i="73"/>
  <c r="BY217" i="73"/>
  <c r="BX217" i="73"/>
  <c r="BW217" i="73"/>
  <c r="BV217" i="73"/>
  <c r="BU217" i="73"/>
  <c r="BT217" i="73"/>
  <c r="BS217" i="73"/>
  <c r="BR217" i="73"/>
  <c r="BQ217" i="73"/>
  <c r="BP217" i="73"/>
  <c r="BO217" i="73"/>
  <c r="BN217" i="73"/>
  <c r="BM217" i="73"/>
  <c r="BL217" i="73"/>
  <c r="BK217" i="73"/>
  <c r="BJ217" i="73"/>
  <c r="BI217" i="73"/>
  <c r="BH217" i="73"/>
  <c r="BG217" i="73"/>
  <c r="BF217" i="73"/>
  <c r="BE217" i="73"/>
  <c r="BD217" i="73"/>
  <c r="BC217" i="73"/>
  <c r="BB217" i="73"/>
  <c r="BA217" i="73"/>
  <c r="AZ217" i="73"/>
  <c r="AY217" i="73"/>
  <c r="AX217" i="73"/>
  <c r="AW217" i="73"/>
  <c r="AV217" i="73"/>
  <c r="AU217" i="73"/>
  <c r="AT217" i="73"/>
  <c r="AS217" i="73"/>
  <c r="AR217" i="73"/>
  <c r="AQ217" i="73"/>
  <c r="AP217" i="73"/>
  <c r="AN217" i="73"/>
  <c r="AM217" i="73"/>
  <c r="AL217" i="73"/>
  <c r="AK217" i="73"/>
  <c r="AJ217" i="73"/>
  <c r="AI217" i="73"/>
  <c r="AH217" i="73"/>
  <c r="AG217" i="73"/>
  <c r="AF217" i="73"/>
  <c r="AE217" i="73"/>
  <c r="AD217" i="73"/>
  <c r="AC217" i="73"/>
  <c r="AB217" i="73"/>
  <c r="AA217" i="73"/>
  <c r="Z217" i="73"/>
  <c r="Y217" i="73"/>
  <c r="X217" i="73"/>
  <c r="W217" i="73"/>
  <c r="V217" i="73"/>
  <c r="U217" i="73"/>
  <c r="T217" i="73"/>
  <c r="S217" i="73"/>
  <c r="R217" i="73"/>
  <c r="Q217" i="73"/>
  <c r="P217" i="73"/>
  <c r="O217" i="73"/>
  <c r="N217" i="73"/>
  <c r="M217" i="73"/>
  <c r="L217" i="73"/>
  <c r="K217" i="73"/>
  <c r="J217" i="73"/>
  <c r="I217" i="73"/>
  <c r="H217" i="73"/>
  <c r="G217" i="73"/>
  <c r="F217" i="73"/>
  <c r="E217" i="73"/>
  <c r="CQ323" i="73"/>
  <c r="CQ322" i="73"/>
  <c r="CQ11" i="73"/>
  <c r="CQ39" i="73" l="1"/>
  <c r="CQ44" i="73"/>
  <c r="CQ34" i="73"/>
  <c r="BE30" i="2"/>
  <c r="CQ19" i="73"/>
  <c r="CQ29" i="73"/>
  <c r="CQ24" i="73"/>
  <c r="CQ297" i="73"/>
  <c r="CQ291" i="73"/>
  <c r="CQ285" i="73"/>
  <c r="BD182" i="77" l="1"/>
  <c r="BC182" i="77"/>
  <c r="CP323" i="73"/>
  <c r="CP322" i="73"/>
  <c r="CP259" i="73"/>
  <c r="CP253" i="73"/>
  <c r="CP251" i="73"/>
  <c r="CP245" i="73"/>
  <c r="CP243" i="73"/>
  <c r="CP237" i="73"/>
  <c r="CP11" i="73"/>
  <c r="CP235" i="73"/>
  <c r="CP229" i="73"/>
  <c r="CP44" i="73" l="1"/>
  <c r="CP39" i="73"/>
  <c r="CP34" i="73"/>
  <c r="CP29" i="73"/>
  <c r="CP19" i="73"/>
  <c r="CP24" i="73"/>
  <c r="CP297" i="73"/>
  <c r="CP291" i="73"/>
  <c r="CP285" i="73"/>
  <c r="F117" i="80" l="1"/>
  <c r="R307" i="79" l="1"/>
  <c r="T307" i="79" s="1"/>
  <c r="AN21" i="72" l="1"/>
  <c r="AN24" i="72" l="1"/>
  <c r="AL18" i="65"/>
  <c r="AM18" i="65" s="1"/>
  <c r="AN18" i="65" s="1"/>
  <c r="AN19" i="65" s="1"/>
  <c r="AL10" i="65"/>
  <c r="AM10" i="65" s="1"/>
  <c r="AP11" i="65"/>
  <c r="AK26" i="65"/>
  <c r="AJ26" i="65"/>
  <c r="AI26" i="65"/>
  <c r="AH26" i="65"/>
  <c r="AG26" i="65"/>
  <c r="AF26" i="65"/>
  <c r="AE26" i="65"/>
  <c r="AD26" i="65"/>
  <c r="AC26" i="65"/>
  <c r="AB26" i="65"/>
  <c r="AA26" i="65"/>
  <c r="Z26" i="65"/>
  <c r="Y26" i="65"/>
  <c r="X26" i="65"/>
  <c r="W26" i="65"/>
  <c r="V26" i="65"/>
  <c r="U26" i="65"/>
  <c r="U27" i="65" s="1"/>
  <c r="T26" i="65"/>
  <c r="S26" i="65"/>
  <c r="R26" i="65"/>
  <c r="Q26" i="65"/>
  <c r="P26" i="65"/>
  <c r="O26" i="65"/>
  <c r="N26" i="65"/>
  <c r="M26" i="65"/>
  <c r="L26" i="65"/>
  <c r="K26" i="65"/>
  <c r="J26" i="65"/>
  <c r="I26" i="65"/>
  <c r="H26" i="65"/>
  <c r="G26" i="65"/>
  <c r="F26" i="65"/>
  <c r="E26" i="65"/>
  <c r="AP19" i="65"/>
  <c r="AK19" i="65"/>
  <c r="AJ19" i="65"/>
  <c r="AI19" i="65"/>
  <c r="AH19" i="65"/>
  <c r="AG19" i="65"/>
  <c r="AF19" i="65"/>
  <c r="AE19" i="65"/>
  <c r="AD19" i="65"/>
  <c r="AC19" i="65"/>
  <c r="AB19" i="65"/>
  <c r="AA19" i="65"/>
  <c r="Z19" i="65"/>
  <c r="Y19" i="65"/>
  <c r="X19" i="65"/>
  <c r="W19" i="65"/>
  <c r="V19" i="65"/>
  <c r="U19" i="65"/>
  <c r="T19" i="65"/>
  <c r="S19" i="65"/>
  <c r="R19" i="65"/>
  <c r="Q19" i="65"/>
  <c r="P19" i="65"/>
  <c r="O19" i="65"/>
  <c r="N19" i="65"/>
  <c r="M19" i="65"/>
  <c r="L19" i="65"/>
  <c r="K19" i="65"/>
  <c r="J19" i="65"/>
  <c r="I19" i="65"/>
  <c r="H19" i="65"/>
  <c r="G19" i="65"/>
  <c r="F19" i="65"/>
  <c r="E19" i="65"/>
  <c r="AK11" i="65"/>
  <c r="AJ11" i="65"/>
  <c r="AI11" i="65"/>
  <c r="AH11" i="65"/>
  <c r="AG11" i="65"/>
  <c r="AF11" i="65"/>
  <c r="AE11" i="65"/>
  <c r="AD11" i="65"/>
  <c r="AC11" i="65"/>
  <c r="AB11" i="65"/>
  <c r="AA11" i="65"/>
  <c r="Z11" i="65"/>
  <c r="Y11" i="65"/>
  <c r="X11" i="65"/>
  <c r="W11" i="65"/>
  <c r="V11" i="65"/>
  <c r="U11" i="65"/>
  <c r="T11" i="65"/>
  <c r="S11" i="65"/>
  <c r="R11" i="65"/>
  <c r="Q11" i="65"/>
  <c r="P11" i="65"/>
  <c r="O11" i="65"/>
  <c r="N11" i="65"/>
  <c r="M11" i="65"/>
  <c r="L11" i="65"/>
  <c r="K11" i="65"/>
  <c r="J11" i="65"/>
  <c r="I11" i="65"/>
  <c r="H11" i="65"/>
  <c r="G11" i="65"/>
  <c r="F11" i="65"/>
  <c r="E11" i="65"/>
  <c r="AL56" i="71"/>
  <c r="AM56" i="71" s="1"/>
  <c r="AN56" i="71" s="1"/>
  <c r="AL19" i="65" l="1"/>
  <c r="AM19" i="65"/>
  <c r="AL26" i="65"/>
  <c r="AL11" i="65"/>
  <c r="AM26" i="65"/>
  <c r="AN10" i="65"/>
  <c r="AN26" i="65" s="1"/>
  <c r="AM11" i="65"/>
  <c r="AP26" i="65"/>
  <c r="AQ26" i="65"/>
  <c r="AN11" i="65" l="1"/>
  <c r="AL28" i="71"/>
  <c r="AM28" i="71" l="1"/>
  <c r="AM32" i="71" s="1"/>
  <c r="AL32" i="71"/>
  <c r="AN28" i="71"/>
  <c r="AP85" i="71"/>
  <c r="AM85" i="71"/>
  <c r="AL85" i="71"/>
  <c r="AK85" i="71"/>
  <c r="AJ85" i="71"/>
  <c r="AI85" i="71"/>
  <c r="AH85" i="71"/>
  <c r="AG85" i="71"/>
  <c r="AF85" i="71"/>
  <c r="AE85" i="71"/>
  <c r="AD85" i="71"/>
  <c r="AC85" i="71"/>
  <c r="AB85" i="71"/>
  <c r="AA85" i="71"/>
  <c r="Z85" i="71"/>
  <c r="Y85" i="71"/>
  <c r="X85" i="71"/>
  <c r="W85" i="71"/>
  <c r="V85" i="71"/>
  <c r="U85" i="71"/>
  <c r="T85" i="71"/>
  <c r="S85" i="71"/>
  <c r="R85" i="71"/>
  <c r="Q85" i="71"/>
  <c r="P85" i="71"/>
  <c r="O85" i="71"/>
  <c r="N85" i="71"/>
  <c r="M85" i="71"/>
  <c r="L85" i="71"/>
  <c r="K85" i="71"/>
  <c r="J85" i="71"/>
  <c r="I85" i="71"/>
  <c r="H85" i="71"/>
  <c r="G85" i="71"/>
  <c r="F85" i="71"/>
  <c r="E85" i="71"/>
  <c r="AN85" i="71" l="1"/>
  <c r="AN32" i="71"/>
  <c r="AR85" i="71"/>
  <c r="K119" i="38"/>
  <c r="J119" i="38"/>
  <c r="I119" i="38"/>
  <c r="H119" i="38"/>
  <c r="AQ85" i="71" l="1"/>
  <c r="AP56" i="49" l="1"/>
  <c r="AN56" i="49"/>
  <c r="AM56" i="49"/>
  <c r="AL56" i="49"/>
  <c r="AK56" i="49"/>
  <c r="AJ56" i="49"/>
  <c r="AI56" i="49"/>
  <c r="AH56" i="49"/>
  <c r="AG56" i="49"/>
  <c r="AF56" i="49"/>
  <c r="AE56" i="49"/>
  <c r="AD56" i="49"/>
  <c r="AC56" i="49"/>
  <c r="AB56" i="49"/>
  <c r="AA56" i="49"/>
  <c r="Z56" i="49"/>
  <c r="Y56" i="49"/>
  <c r="X56" i="49"/>
  <c r="W56" i="49"/>
  <c r="V56" i="49"/>
  <c r="U56" i="49"/>
  <c r="T56" i="49"/>
  <c r="S56" i="49"/>
  <c r="R56" i="49"/>
  <c r="Q56" i="49"/>
  <c r="P56" i="49"/>
  <c r="O56" i="49"/>
  <c r="N56" i="49"/>
  <c r="M56" i="49"/>
  <c r="L56" i="49"/>
  <c r="K56" i="49"/>
  <c r="J56" i="49"/>
  <c r="I56" i="49"/>
  <c r="H56" i="49"/>
  <c r="G56" i="49"/>
  <c r="F56" i="49"/>
  <c r="AP55" i="49"/>
  <c r="AN55" i="49"/>
  <c r="AM55" i="49"/>
  <c r="AL55" i="49"/>
  <c r="AK55" i="49"/>
  <c r="AJ55" i="49"/>
  <c r="AI55" i="49"/>
  <c r="AH55" i="49"/>
  <c r="AG55" i="49"/>
  <c r="AF55" i="49"/>
  <c r="AE55" i="49"/>
  <c r="AD55" i="49"/>
  <c r="AC55" i="49"/>
  <c r="AB55" i="49"/>
  <c r="AA55" i="49"/>
  <c r="Z55" i="49"/>
  <c r="Y55" i="49"/>
  <c r="X55" i="49"/>
  <c r="W55" i="49"/>
  <c r="V55" i="49"/>
  <c r="U55" i="49"/>
  <c r="T55" i="49"/>
  <c r="S55" i="49"/>
  <c r="R55" i="49"/>
  <c r="Q55" i="49"/>
  <c r="P55" i="49"/>
  <c r="O55" i="49"/>
  <c r="N55" i="49"/>
  <c r="M55" i="49"/>
  <c r="L55" i="49"/>
  <c r="K55" i="49"/>
  <c r="J55" i="49"/>
  <c r="I55" i="49"/>
  <c r="H55" i="49"/>
  <c r="G55" i="49"/>
  <c r="F55" i="49"/>
  <c r="AM54" i="49"/>
  <c r="AK54" i="49"/>
  <c r="AJ54" i="49"/>
  <c r="AI54" i="49"/>
  <c r="AF54" i="49"/>
  <c r="AE54" i="49"/>
  <c r="AD54" i="49"/>
  <c r="AC54" i="49"/>
  <c r="AB54" i="49"/>
  <c r="AA54" i="49"/>
  <c r="Z54" i="49"/>
  <c r="Y54" i="49"/>
  <c r="X54" i="49"/>
  <c r="W54" i="49"/>
  <c r="V54" i="49"/>
  <c r="U54" i="49"/>
  <c r="T54" i="49"/>
  <c r="S54" i="49"/>
  <c r="R54" i="49"/>
  <c r="Q54" i="49"/>
  <c r="P54" i="49"/>
  <c r="O54" i="49"/>
  <c r="N54" i="49"/>
  <c r="M54" i="49"/>
  <c r="L54" i="49"/>
  <c r="K54" i="49"/>
  <c r="J54" i="49"/>
  <c r="I54" i="49"/>
  <c r="H54" i="49"/>
  <c r="G54" i="49"/>
  <c r="F54" i="49"/>
  <c r="AP53" i="49"/>
  <c r="AN53" i="49"/>
  <c r="AM53" i="49"/>
  <c r="AL53" i="49"/>
  <c r="AK53" i="49"/>
  <c r="AJ53" i="49"/>
  <c r="AI53" i="49"/>
  <c r="AH53" i="49"/>
  <c r="AG53" i="49"/>
  <c r="AF53" i="49"/>
  <c r="AE53" i="49"/>
  <c r="AD53" i="49"/>
  <c r="AC53" i="49"/>
  <c r="AB53" i="49"/>
  <c r="AA53" i="49"/>
  <c r="Z53" i="49"/>
  <c r="Y53" i="49"/>
  <c r="X53" i="49"/>
  <c r="W53" i="49"/>
  <c r="V53" i="49"/>
  <c r="U53" i="49"/>
  <c r="T53" i="49"/>
  <c r="S53" i="49"/>
  <c r="R53" i="49"/>
  <c r="Q53" i="49"/>
  <c r="P53" i="49"/>
  <c r="O53" i="49"/>
  <c r="N53" i="49"/>
  <c r="M53" i="49"/>
  <c r="L53" i="49"/>
  <c r="K53" i="49"/>
  <c r="J53" i="49"/>
  <c r="I53" i="49"/>
  <c r="H53" i="49"/>
  <c r="G53" i="49"/>
  <c r="F53" i="49"/>
  <c r="AP52" i="49"/>
  <c r="AN52" i="49"/>
  <c r="AM52" i="49"/>
  <c r="AL52" i="49"/>
  <c r="AK52" i="49"/>
  <c r="AJ52" i="49"/>
  <c r="AI52" i="49"/>
  <c r="AH52" i="49"/>
  <c r="AG52" i="49"/>
  <c r="AF52" i="49"/>
  <c r="AE52" i="49"/>
  <c r="AD52" i="49"/>
  <c r="AC52" i="49"/>
  <c r="AB52" i="49"/>
  <c r="AA52" i="49"/>
  <c r="Z52" i="49"/>
  <c r="Y52" i="49"/>
  <c r="X52" i="49"/>
  <c r="W52" i="49"/>
  <c r="V52" i="49"/>
  <c r="U52" i="49"/>
  <c r="T52" i="49"/>
  <c r="S52" i="49"/>
  <c r="R52" i="49"/>
  <c r="Q52" i="49"/>
  <c r="P52" i="49"/>
  <c r="O52" i="49"/>
  <c r="N52" i="49"/>
  <c r="M52" i="49"/>
  <c r="L52" i="49"/>
  <c r="K52" i="49"/>
  <c r="J52" i="49"/>
  <c r="I52" i="49"/>
  <c r="H52" i="49"/>
  <c r="G52" i="49"/>
  <c r="F52" i="49"/>
  <c r="AP51" i="49"/>
  <c r="AN51" i="49"/>
  <c r="AM51" i="49"/>
  <c r="AL51" i="49"/>
  <c r="AK51" i="49"/>
  <c r="AJ51" i="49"/>
  <c r="AI51" i="49"/>
  <c r="AH51" i="49"/>
  <c r="AG51" i="49"/>
  <c r="AF51" i="49"/>
  <c r="AE51" i="49"/>
  <c r="AD51" i="49"/>
  <c r="AC51" i="49"/>
  <c r="AB51" i="49"/>
  <c r="AA51" i="49"/>
  <c r="Z51" i="49"/>
  <c r="Y51" i="49"/>
  <c r="X51" i="49"/>
  <c r="W51" i="49"/>
  <c r="V51" i="49"/>
  <c r="U51" i="49"/>
  <c r="T51" i="49"/>
  <c r="S51" i="49"/>
  <c r="R51" i="49"/>
  <c r="Q51" i="49"/>
  <c r="P51" i="49"/>
  <c r="O51" i="49"/>
  <c r="N51" i="49"/>
  <c r="M51" i="49"/>
  <c r="L51" i="49"/>
  <c r="K51" i="49"/>
  <c r="J51" i="49"/>
  <c r="I51" i="49"/>
  <c r="H51" i="49"/>
  <c r="G51" i="49"/>
  <c r="F51" i="49"/>
  <c r="AP50" i="49"/>
  <c r="AN50" i="49"/>
  <c r="AM50" i="49"/>
  <c r="AL50" i="49"/>
  <c r="AK50" i="49"/>
  <c r="AJ50" i="49"/>
  <c r="AI50" i="49"/>
  <c r="AH50" i="49"/>
  <c r="AG50" i="49"/>
  <c r="AF50" i="49"/>
  <c r="AE50" i="49"/>
  <c r="AD50" i="49"/>
  <c r="AC50" i="49"/>
  <c r="AB50" i="49"/>
  <c r="AA50" i="49"/>
  <c r="Z50" i="49"/>
  <c r="Y50" i="49"/>
  <c r="X50" i="49"/>
  <c r="W50" i="49"/>
  <c r="V50" i="49"/>
  <c r="U50" i="49"/>
  <c r="T50" i="49"/>
  <c r="S50" i="49"/>
  <c r="R50" i="49"/>
  <c r="Q50" i="49"/>
  <c r="P50" i="49"/>
  <c r="O50" i="49"/>
  <c r="N50" i="49"/>
  <c r="M50" i="49"/>
  <c r="L50" i="49"/>
  <c r="K50" i="49"/>
  <c r="J50" i="49"/>
  <c r="I50" i="49"/>
  <c r="H50" i="49"/>
  <c r="G50" i="49"/>
  <c r="F50" i="49"/>
  <c r="AP49" i="49"/>
  <c r="AN49" i="49"/>
  <c r="AM49" i="49"/>
  <c r="AL49" i="49"/>
  <c r="AK49" i="49"/>
  <c r="AJ49" i="49"/>
  <c r="AI49" i="49"/>
  <c r="AH49" i="49"/>
  <c r="AG49" i="49"/>
  <c r="AF49" i="49"/>
  <c r="AE49" i="49"/>
  <c r="AD49" i="49"/>
  <c r="AC49" i="49"/>
  <c r="AB49" i="49"/>
  <c r="AA49" i="49"/>
  <c r="Z49" i="49"/>
  <c r="Y49" i="49"/>
  <c r="X49" i="49"/>
  <c r="W49" i="49"/>
  <c r="V49" i="49"/>
  <c r="U49" i="49"/>
  <c r="T49" i="49"/>
  <c r="S49" i="49"/>
  <c r="R49" i="49"/>
  <c r="Q49" i="49"/>
  <c r="P49" i="49"/>
  <c r="O49" i="49"/>
  <c r="N49" i="49"/>
  <c r="M49" i="49"/>
  <c r="L49" i="49"/>
  <c r="K49" i="49"/>
  <c r="J49" i="49"/>
  <c r="I49" i="49"/>
  <c r="H49" i="49"/>
  <c r="G49" i="49"/>
  <c r="F49" i="49"/>
  <c r="AP48" i="49"/>
  <c r="AN48" i="49"/>
  <c r="AM48" i="49"/>
  <c r="AL48" i="49"/>
  <c r="AK48" i="49"/>
  <c r="AJ48" i="49"/>
  <c r="AI48" i="49"/>
  <c r="AH48" i="49"/>
  <c r="AG48" i="49"/>
  <c r="AF48" i="49"/>
  <c r="AE48" i="49"/>
  <c r="AD48" i="49"/>
  <c r="AC48" i="49"/>
  <c r="AB48" i="49"/>
  <c r="AA48" i="49"/>
  <c r="Z48" i="49"/>
  <c r="Y48" i="49"/>
  <c r="X48" i="49"/>
  <c r="W48" i="49"/>
  <c r="V48" i="49"/>
  <c r="U48" i="49"/>
  <c r="T48" i="49"/>
  <c r="S48" i="49"/>
  <c r="R48" i="49"/>
  <c r="Q48" i="49"/>
  <c r="P48" i="49"/>
  <c r="O48" i="49"/>
  <c r="N48" i="49"/>
  <c r="M48" i="49"/>
  <c r="L48" i="49"/>
  <c r="K48" i="49"/>
  <c r="J48" i="49"/>
  <c r="I48" i="49"/>
  <c r="H48" i="49"/>
  <c r="G48" i="49"/>
  <c r="F48" i="49"/>
  <c r="AP47" i="49"/>
  <c r="AN47" i="49"/>
  <c r="AM47" i="49"/>
  <c r="AL47" i="49"/>
  <c r="AK47" i="49"/>
  <c r="AJ47" i="49"/>
  <c r="AI47" i="49"/>
  <c r="AH47" i="49"/>
  <c r="AG47" i="49"/>
  <c r="AF47" i="49"/>
  <c r="AE47" i="49"/>
  <c r="AD47" i="49"/>
  <c r="AC47" i="49"/>
  <c r="AB47" i="49"/>
  <c r="AA47" i="49"/>
  <c r="Z47" i="49"/>
  <c r="Y47" i="49"/>
  <c r="X47" i="49"/>
  <c r="W47" i="49"/>
  <c r="V47" i="49"/>
  <c r="U47" i="49"/>
  <c r="T47" i="49"/>
  <c r="S47" i="49"/>
  <c r="R47" i="49"/>
  <c r="Q47" i="49"/>
  <c r="P47" i="49"/>
  <c r="O47" i="49"/>
  <c r="N47" i="49"/>
  <c r="M47" i="49"/>
  <c r="L47" i="49"/>
  <c r="K47" i="49"/>
  <c r="J47" i="49"/>
  <c r="I47" i="49"/>
  <c r="H47" i="49"/>
  <c r="G47" i="49"/>
  <c r="F47" i="49"/>
  <c r="AP46" i="49"/>
  <c r="AN46" i="49"/>
  <c r="AM46" i="49"/>
  <c r="AL46" i="49"/>
  <c r="AK46" i="49"/>
  <c r="AJ46" i="49"/>
  <c r="AI46" i="49"/>
  <c r="AH46" i="49"/>
  <c r="AG46" i="49"/>
  <c r="AF46" i="49"/>
  <c r="AE46" i="49"/>
  <c r="AD46" i="49"/>
  <c r="AC46" i="49"/>
  <c r="AB46" i="49"/>
  <c r="AA46" i="49"/>
  <c r="Z46" i="49"/>
  <c r="Y46" i="49"/>
  <c r="X46" i="49"/>
  <c r="W46" i="49"/>
  <c r="V46" i="49"/>
  <c r="U46" i="49"/>
  <c r="T46" i="49"/>
  <c r="S46" i="49"/>
  <c r="R46" i="49"/>
  <c r="Q46" i="49"/>
  <c r="P46" i="49"/>
  <c r="O46" i="49"/>
  <c r="N46" i="49"/>
  <c r="M46" i="49"/>
  <c r="L46" i="49"/>
  <c r="K46" i="49"/>
  <c r="J46" i="49"/>
  <c r="I46" i="49"/>
  <c r="H46" i="49"/>
  <c r="G46" i="49"/>
  <c r="F46" i="49"/>
  <c r="AP45" i="49"/>
  <c r="AN45" i="49"/>
  <c r="AM45" i="49"/>
  <c r="AL45" i="49"/>
  <c r="AK45" i="49"/>
  <c r="AJ45" i="49"/>
  <c r="AI45" i="49"/>
  <c r="AH45" i="49"/>
  <c r="AG45" i="49"/>
  <c r="AF45" i="49"/>
  <c r="AE45" i="49"/>
  <c r="AD45" i="49"/>
  <c r="AC45" i="49"/>
  <c r="AB45" i="49"/>
  <c r="AA45" i="49"/>
  <c r="Z45" i="49"/>
  <c r="Y45" i="49"/>
  <c r="X45" i="49"/>
  <c r="W45" i="49"/>
  <c r="V45" i="49"/>
  <c r="U45" i="49"/>
  <c r="T45" i="49"/>
  <c r="S45" i="49"/>
  <c r="R45" i="49"/>
  <c r="Q45" i="49"/>
  <c r="P45" i="49"/>
  <c r="O45" i="49"/>
  <c r="N45" i="49"/>
  <c r="M45" i="49"/>
  <c r="L45" i="49"/>
  <c r="K45" i="49"/>
  <c r="J45" i="49"/>
  <c r="I45" i="49"/>
  <c r="H45" i="49"/>
  <c r="G45" i="49"/>
  <c r="F45" i="49"/>
  <c r="AP44" i="49"/>
  <c r="AN44" i="49"/>
  <c r="AM44" i="49"/>
  <c r="AL44" i="49"/>
  <c r="AK44" i="49"/>
  <c r="AJ44" i="49"/>
  <c r="AI44" i="49"/>
  <c r="AH44" i="49"/>
  <c r="AG44" i="49"/>
  <c r="AF44" i="49"/>
  <c r="AE44" i="49"/>
  <c r="AD44" i="49"/>
  <c r="AC44" i="49"/>
  <c r="AB44" i="49"/>
  <c r="AA44" i="49"/>
  <c r="Z44" i="49"/>
  <c r="Y44" i="49"/>
  <c r="X44" i="49"/>
  <c r="W44" i="49"/>
  <c r="V44" i="49"/>
  <c r="U44" i="49"/>
  <c r="T44" i="49"/>
  <c r="S44" i="49"/>
  <c r="R44" i="49"/>
  <c r="Q44" i="49"/>
  <c r="P44" i="49"/>
  <c r="O44" i="49"/>
  <c r="N44" i="49"/>
  <c r="M44" i="49"/>
  <c r="L44" i="49"/>
  <c r="K44" i="49"/>
  <c r="J44" i="49"/>
  <c r="I44" i="49"/>
  <c r="H44" i="49"/>
  <c r="G44" i="49"/>
  <c r="F44" i="49"/>
  <c r="AP43" i="49"/>
  <c r="AN43" i="49"/>
  <c r="AM43" i="49"/>
  <c r="AL43" i="49"/>
  <c r="AK43" i="49"/>
  <c r="AJ43" i="49"/>
  <c r="AI43" i="49"/>
  <c r="AH43" i="49"/>
  <c r="AG43" i="49"/>
  <c r="AF43" i="49"/>
  <c r="AE43" i="49"/>
  <c r="AD43" i="49"/>
  <c r="AC43" i="49"/>
  <c r="AB43" i="49"/>
  <c r="AA43" i="49"/>
  <c r="Z43" i="49"/>
  <c r="Y43" i="49"/>
  <c r="X43" i="49"/>
  <c r="W43" i="49"/>
  <c r="V43" i="49"/>
  <c r="U43" i="49"/>
  <c r="T43" i="49"/>
  <c r="S43" i="49"/>
  <c r="R43" i="49"/>
  <c r="Q43" i="49"/>
  <c r="P43" i="49"/>
  <c r="O43" i="49"/>
  <c r="N43" i="49"/>
  <c r="M43" i="49"/>
  <c r="L43" i="49"/>
  <c r="K43" i="49"/>
  <c r="J43" i="49"/>
  <c r="I43" i="49"/>
  <c r="H43" i="49"/>
  <c r="G43" i="49"/>
  <c r="F43" i="49"/>
  <c r="AP42" i="49"/>
  <c r="AN42" i="49"/>
  <c r="AM42" i="49"/>
  <c r="AL42" i="49"/>
  <c r="AK42" i="49"/>
  <c r="AJ42" i="49"/>
  <c r="AI42" i="49"/>
  <c r="AH42" i="49"/>
  <c r="AG42" i="49"/>
  <c r="AF42" i="49"/>
  <c r="AE42" i="49"/>
  <c r="AD42" i="49"/>
  <c r="AC42" i="49"/>
  <c r="AB42" i="49"/>
  <c r="AA42" i="49"/>
  <c r="Z42" i="49"/>
  <c r="Y42" i="49"/>
  <c r="X42" i="49"/>
  <c r="W42" i="49"/>
  <c r="V42" i="49"/>
  <c r="U42" i="49"/>
  <c r="T42" i="49"/>
  <c r="S42" i="49"/>
  <c r="R42" i="49"/>
  <c r="Q42" i="49"/>
  <c r="P42" i="49"/>
  <c r="O42" i="49"/>
  <c r="N42" i="49"/>
  <c r="M42" i="49"/>
  <c r="L42" i="49"/>
  <c r="K42" i="49"/>
  <c r="J42" i="49"/>
  <c r="I42" i="49"/>
  <c r="H42" i="49"/>
  <c r="G42" i="49"/>
  <c r="F42" i="49"/>
  <c r="E56" i="49"/>
  <c r="E55" i="49"/>
  <c r="E54" i="49"/>
  <c r="E53" i="49"/>
  <c r="E52" i="49"/>
  <c r="E51" i="49"/>
  <c r="E50" i="49"/>
  <c r="E49" i="49"/>
  <c r="E48" i="49"/>
  <c r="E47" i="49"/>
  <c r="E46" i="49"/>
  <c r="E45" i="49"/>
  <c r="E44" i="49"/>
  <c r="E43" i="49"/>
  <c r="I109" i="38" l="1"/>
  <c r="J109" i="38"/>
  <c r="L26" i="76" l="1"/>
  <c r="L25" i="76"/>
  <c r="AQ19" i="65" l="1"/>
  <c r="AQ11" i="65"/>
  <c r="AN78" i="68" l="1"/>
  <c r="AN54" i="68"/>
  <c r="AN50" i="68"/>
  <c r="AN45" i="68"/>
  <c r="AN31" i="68"/>
  <c r="AN28" i="68"/>
  <c r="AN26" i="68"/>
  <c r="AN23" i="68"/>
  <c r="H136" i="80"/>
  <c r="H138" i="80"/>
  <c r="P137" i="80"/>
  <c r="H137" i="80"/>
  <c r="P136" i="80"/>
  <c r="X18" i="81"/>
  <c r="X15" i="81"/>
  <c r="AQ13" i="55"/>
  <c r="AQ23" i="65"/>
  <c r="AQ25" i="65"/>
  <c r="AQ24" i="65"/>
  <c r="AQ86" i="71"/>
  <c r="AQ21" i="53"/>
  <c r="AQ23" i="53"/>
  <c r="AQ41" i="52"/>
  <c r="AQ40" i="52"/>
  <c r="AQ50" i="52"/>
  <c r="AQ49" i="52"/>
  <c r="AQ48" i="52"/>
  <c r="AQ46" i="52"/>
  <c r="AQ44" i="52"/>
  <c r="AQ43" i="52"/>
  <c r="AQ47" i="52"/>
  <c r="AQ45" i="52"/>
  <c r="AQ42" i="52"/>
  <c r="AR24" i="48"/>
  <c r="AM8" i="72"/>
  <c r="AU112" i="46"/>
  <c r="AU107" i="46"/>
  <c r="AU109" i="46"/>
  <c r="AU108" i="46"/>
  <c r="AU77" i="46"/>
  <c r="AU76" i="46"/>
  <c r="AU75" i="46"/>
  <c r="AU72" i="46"/>
  <c r="AU66" i="46"/>
  <c r="AU57" i="46"/>
  <c r="AU56" i="46"/>
  <c r="AU53" i="46"/>
  <c r="AU47" i="46"/>
  <c r="AU37" i="46"/>
  <c r="AU34" i="46"/>
  <c r="AU39" i="46"/>
  <c r="AU38" i="46"/>
  <c r="AU28" i="46"/>
  <c r="AU20" i="46"/>
  <c r="AU15" i="46"/>
  <c r="AU19" i="46"/>
  <c r="AU9" i="46"/>
  <c r="AR29" i="45"/>
  <c r="AR27" i="45"/>
  <c r="AR31" i="45"/>
  <c r="AR30" i="45"/>
  <c r="AR28" i="45"/>
  <c r="AR19" i="44"/>
  <c r="AR15" i="44"/>
  <c r="AR12" i="44"/>
  <c r="AR9" i="39"/>
  <c r="H109" i="38"/>
  <c r="K109" i="38"/>
  <c r="G109" i="38"/>
  <c r="DT23" i="34"/>
  <c r="DS23" i="34"/>
  <c r="DR23" i="34"/>
  <c r="DT20" i="34"/>
  <c r="DT19" i="34"/>
  <c r="DT18" i="34"/>
  <c r="DT17" i="34"/>
  <c r="DT15" i="34"/>
  <c r="DS21" i="34"/>
  <c r="DR21" i="34"/>
  <c r="AR40" i="33"/>
  <c r="AR39" i="33"/>
  <c r="AR31" i="33"/>
  <c r="AR37" i="33"/>
  <c r="AR28" i="33"/>
  <c r="AR44" i="33"/>
  <c r="AR43" i="33"/>
  <c r="AR14" i="33"/>
  <c r="AR38" i="33"/>
  <c r="AR35" i="33"/>
  <c r="AR34" i="33"/>
  <c r="AR47" i="61"/>
  <c r="AR46" i="61"/>
  <c r="AR45" i="61"/>
  <c r="AR35" i="61"/>
  <c r="AR32" i="61"/>
  <c r="AR50" i="61"/>
  <c r="AR49" i="61"/>
  <c r="AR44" i="61"/>
  <c r="AR43" i="61"/>
  <c r="AR42" i="61"/>
  <c r="AR41" i="61"/>
  <c r="AR40" i="61"/>
  <c r="AR39" i="61"/>
  <c r="AR38" i="61"/>
  <c r="AR28" i="32"/>
  <c r="AR27" i="32"/>
  <c r="AR25" i="32"/>
  <c r="AQ21" i="31"/>
  <c r="AQ20" i="31" s="1"/>
  <c r="AQ12" i="31"/>
  <c r="AQ11" i="31" s="1"/>
  <c r="AR15" i="30"/>
  <c r="AR18" i="30" s="1"/>
  <c r="AR24" i="30"/>
  <c r="AR21" i="30"/>
  <c r="AR22" i="30" s="1"/>
  <c r="AR13" i="29"/>
  <c r="AR17" i="29"/>
  <c r="AR16" i="29"/>
  <c r="AR20" i="26"/>
  <c r="AR10" i="26"/>
  <c r="AR12" i="26" s="1"/>
  <c r="AR13" i="26" s="1"/>
  <c r="O77" i="23"/>
  <c r="I77" i="23"/>
  <c r="H77" i="23"/>
  <c r="G77" i="23"/>
  <c r="AQ13" i="24"/>
  <c r="W22" i="13"/>
  <c r="W21" i="13"/>
  <c r="W20" i="13"/>
  <c r="W19" i="13"/>
  <c r="W18" i="13"/>
  <c r="CO323" i="73"/>
  <c r="CO322" i="73"/>
  <c r="CO259" i="73"/>
  <c r="CO253" i="73"/>
  <c r="CO251" i="73"/>
  <c r="CO245" i="73"/>
  <c r="CO243" i="73"/>
  <c r="CO237" i="73"/>
  <c r="CO11" i="73"/>
  <c r="CO235" i="73"/>
  <c r="CO229" i="73"/>
  <c r="AY45" i="9"/>
  <c r="R290" i="79"/>
  <c r="R297" i="79"/>
  <c r="T297" i="79" s="1"/>
  <c r="R296" i="79"/>
  <c r="T296" i="79" s="1"/>
  <c r="R295" i="79"/>
  <c r="T295" i="79" s="1"/>
  <c r="R293" i="79"/>
  <c r="T293" i="79" s="1"/>
  <c r="AY49" i="12"/>
  <c r="AY43" i="12"/>
  <c r="AY41" i="12"/>
  <c r="AY40" i="12"/>
  <c r="AY38" i="12"/>
  <c r="AY37" i="12"/>
  <c r="AY24" i="12"/>
  <c r="AY22" i="12"/>
  <c r="AY20" i="12"/>
  <c r="AY18" i="12"/>
  <c r="AY17" i="12"/>
  <c r="AY16" i="12"/>
  <c r="AY15" i="12"/>
  <c r="AY13" i="12"/>
  <c r="AY11" i="12"/>
  <c r="AY9" i="12"/>
  <c r="AY1" i="12"/>
  <c r="AY37" i="10"/>
  <c r="AY37" i="1"/>
  <c r="AY9" i="1"/>
  <c r="CO44" i="73" l="1"/>
  <c r="CO34" i="73"/>
  <c r="CO39" i="73"/>
  <c r="BB134" i="9"/>
  <c r="CO24" i="73"/>
  <c r="CO29" i="73"/>
  <c r="CO19" i="73"/>
  <c r="CO285" i="73"/>
  <c r="CO297" i="73"/>
  <c r="CO291" i="73"/>
  <c r="BA134" i="9"/>
  <c r="AY2" i="12"/>
  <c r="AZ1" i="12"/>
  <c r="BA1" i="12" s="1"/>
  <c r="BB1" i="12" s="1"/>
  <c r="AY6" i="12"/>
  <c r="BC181" i="77"/>
  <c r="AY55" i="12"/>
  <c r="AR51" i="61"/>
  <c r="BD181" i="77"/>
  <c r="AR25" i="30"/>
  <c r="AY52" i="9"/>
  <c r="AU40" i="46"/>
  <c r="AN60" i="68"/>
  <c r="DS27" i="34"/>
  <c r="AR45" i="33"/>
  <c r="DR27" i="34"/>
  <c r="AR30" i="48"/>
  <c r="AR18" i="29"/>
  <c r="AY36" i="12"/>
  <c r="AN51" i="68"/>
  <c r="AN32" i="68"/>
  <c r="P138" i="80"/>
  <c r="AQ4" i="55"/>
  <c r="AQ24" i="55"/>
  <c r="AQ22" i="65"/>
  <c r="AQ27" i="65" s="1"/>
  <c r="AQ15" i="53"/>
  <c r="AQ17" i="53" s="1"/>
  <c r="AQ20" i="53"/>
  <c r="AQ22" i="53" s="1"/>
  <c r="AQ24" i="53" s="1"/>
  <c r="AQ8" i="53"/>
  <c r="AQ10" i="53" s="1"/>
  <c r="AQ35" i="52"/>
  <c r="AQ39" i="52"/>
  <c r="AQ19" i="52"/>
  <c r="AQ38" i="52"/>
  <c r="AM21" i="72"/>
  <c r="AU111" i="46"/>
  <c r="AU110" i="46"/>
  <c r="AU59" i="46"/>
  <c r="AU78" i="46"/>
  <c r="AU18" i="46"/>
  <c r="AU21" i="46" s="1"/>
  <c r="AU58" i="46"/>
  <c r="AR26" i="45"/>
  <c r="AR33" i="45" s="1"/>
  <c r="AR18" i="44"/>
  <c r="AR22" i="44"/>
  <c r="O48" i="42"/>
  <c r="AR18" i="39"/>
  <c r="E109" i="38"/>
  <c r="F109" i="38"/>
  <c r="DT21" i="34"/>
  <c r="DT27" i="34" s="1"/>
  <c r="AR42" i="33"/>
  <c r="AR41" i="33"/>
  <c r="AR17" i="33"/>
  <c r="AR48" i="61"/>
  <c r="AR16" i="61"/>
  <c r="AR19" i="61"/>
  <c r="AR26" i="32"/>
  <c r="AR29" i="32"/>
  <c r="AR10" i="30"/>
  <c r="AR8" i="29"/>
  <c r="AR22" i="26"/>
  <c r="AR23" i="26" s="1"/>
  <c r="N77" i="23"/>
  <c r="P77" i="23"/>
  <c r="T290" i="79"/>
  <c r="R292" i="79"/>
  <c r="T292" i="79" s="1"/>
  <c r="R291" i="79"/>
  <c r="T291" i="79" s="1"/>
  <c r="R294" i="79"/>
  <c r="T294" i="79" s="1"/>
  <c r="AY11" i="1"/>
  <c r="BD7" i="2"/>
  <c r="BC1" i="12" l="1"/>
  <c r="BD1" i="12" s="1"/>
  <c r="BE1" i="12" s="1"/>
  <c r="BB2" i="12"/>
  <c r="BB5" i="12"/>
  <c r="BA5" i="12"/>
  <c r="BA2" i="12"/>
  <c r="AZ2" i="12"/>
  <c r="AQ25" i="55"/>
  <c r="AM24" i="72"/>
  <c r="AN61" i="68"/>
  <c r="AQ30" i="31"/>
  <c r="AQ29" i="31" s="1"/>
  <c r="AY13" i="1"/>
  <c r="AY15" i="1" s="1"/>
  <c r="AQ51" i="52"/>
  <c r="BE2" i="12" l="1"/>
  <c r="BE5" i="12"/>
  <c r="BF1" i="12"/>
  <c r="BD2" i="12"/>
  <c r="BD5" i="12"/>
  <c r="BC5" i="12"/>
  <c r="BC2" i="12"/>
  <c r="AY35" i="1"/>
  <c r="AY40" i="1"/>
  <c r="AY43" i="1" s="1"/>
  <c r="AY45" i="1" s="1"/>
  <c r="AY48" i="1" s="1"/>
  <c r="BF2" i="12" l="1"/>
  <c r="BG1" i="12"/>
  <c r="BH1" i="12" s="1"/>
  <c r="BI1" i="12" s="1"/>
  <c r="BF5" i="12"/>
  <c r="AY36" i="1"/>
  <c r="BI5" i="12" l="1"/>
  <c r="BJ1" i="12"/>
  <c r="BJ2" i="12" s="1"/>
  <c r="BI2" i="12"/>
  <c r="BH2" i="12"/>
  <c r="BH5" i="12"/>
  <c r="BG5" i="12"/>
  <c r="BG2" i="12"/>
  <c r="BJ5" i="12" l="1"/>
  <c r="BD180" i="77"/>
  <c r="BC180" i="77"/>
  <c r="CN323" i="73" l="1"/>
  <c r="CN322" i="73"/>
  <c r="CN259" i="73"/>
  <c r="CN253" i="73"/>
  <c r="CN251" i="73"/>
  <c r="CN245" i="73"/>
  <c r="CN243" i="73"/>
  <c r="CN237" i="73"/>
  <c r="CN11" i="73"/>
  <c r="CN235" i="73"/>
  <c r="CN229" i="73"/>
  <c r="CN44" i="73" l="1"/>
  <c r="CN34" i="73"/>
  <c r="CN39" i="73"/>
  <c r="CN19" i="73"/>
  <c r="CN29" i="73"/>
  <c r="CN24" i="73"/>
  <c r="CN297" i="73"/>
  <c r="CN285" i="73"/>
  <c r="CN291" i="73"/>
  <c r="CM323" i="73"/>
  <c r="BD179" i="77" l="1"/>
  <c r="BC179" i="77"/>
  <c r="CM322" i="73" l="1"/>
  <c r="CM259" i="73"/>
  <c r="CM321" i="73" s="1"/>
  <c r="CM253" i="73"/>
  <c r="CM251" i="73"/>
  <c r="CM245" i="73"/>
  <c r="CM243" i="73"/>
  <c r="CM237" i="73"/>
  <c r="CM11" i="73"/>
  <c r="CM235" i="73"/>
  <c r="CM229" i="73"/>
  <c r="CM39" i="73" l="1"/>
  <c r="CM34" i="73"/>
  <c r="CM44" i="73"/>
  <c r="CM19" i="73"/>
  <c r="CM24" i="73"/>
  <c r="CM29" i="73"/>
  <c r="CM291" i="73"/>
  <c r="CM297" i="73"/>
  <c r="CM285" i="73"/>
  <c r="BA140" i="83" l="1"/>
  <c r="BB140" i="83"/>
  <c r="CL253" i="73"/>
  <c r="CK253" i="73"/>
  <c r="CJ253" i="73"/>
  <c r="CI253" i="73"/>
  <c r="CH253" i="73"/>
  <c r="CG253" i="73"/>
  <c r="CF253" i="73"/>
  <c r="CE253" i="73"/>
  <c r="CD253" i="73"/>
  <c r="CC253" i="73"/>
  <c r="CB253" i="73"/>
  <c r="CA253" i="73"/>
  <c r="BZ253" i="73"/>
  <c r="BY253" i="73"/>
  <c r="BX253" i="73"/>
  <c r="BW253" i="73"/>
  <c r="BV253" i="73"/>
  <c r="BU253" i="73"/>
  <c r="BT253" i="73"/>
  <c r="BS253" i="73"/>
  <c r="BR253" i="73"/>
  <c r="BQ253" i="73"/>
  <c r="BP253" i="73"/>
  <c r="BO253" i="73"/>
  <c r="BN253" i="73"/>
  <c r="BM253" i="73"/>
  <c r="BL253" i="73"/>
  <c r="BK253" i="73"/>
  <c r="BJ253" i="73"/>
  <c r="BI253" i="73"/>
  <c r="BH253" i="73"/>
  <c r="BG253" i="73"/>
  <c r="BF253" i="73"/>
  <c r="BE253" i="73"/>
  <c r="BD253" i="73"/>
  <c r="BC253" i="73"/>
  <c r="BB253" i="73"/>
  <c r="BA253" i="73"/>
  <c r="AZ253" i="73"/>
  <c r="AY253" i="73"/>
  <c r="AX253" i="73"/>
  <c r="AW253" i="73"/>
  <c r="AV253" i="73"/>
  <c r="AU253" i="73"/>
  <c r="AT253" i="73"/>
  <c r="AS253" i="73"/>
  <c r="AR253" i="73"/>
  <c r="AQ253" i="73"/>
  <c r="AP253" i="73"/>
  <c r="AN253" i="73"/>
  <c r="AM253" i="73"/>
  <c r="AL253" i="73"/>
  <c r="AK253" i="73"/>
  <c r="AJ253" i="73"/>
  <c r="AI253" i="73"/>
  <c r="AH253" i="73"/>
  <c r="AG253" i="73"/>
  <c r="AF253" i="73"/>
  <c r="AE253" i="73"/>
  <c r="AD253" i="73"/>
  <c r="AC253" i="73"/>
  <c r="AB253" i="73"/>
  <c r="AA253" i="73"/>
  <c r="Z253" i="73"/>
  <c r="Y253" i="73"/>
  <c r="X253" i="73"/>
  <c r="W253" i="73"/>
  <c r="V253" i="73"/>
  <c r="U253" i="73"/>
  <c r="T253" i="73"/>
  <c r="S253" i="73"/>
  <c r="R253" i="73"/>
  <c r="Q253" i="73"/>
  <c r="P253" i="73"/>
  <c r="O253" i="73"/>
  <c r="N253" i="73"/>
  <c r="M253" i="73"/>
  <c r="L253" i="73"/>
  <c r="K253" i="73"/>
  <c r="J253" i="73"/>
  <c r="I253" i="73"/>
  <c r="H253" i="73"/>
  <c r="G253" i="73"/>
  <c r="F253" i="73"/>
  <c r="E253" i="73"/>
  <c r="CL245" i="73"/>
  <c r="CK245" i="73"/>
  <c r="CJ245" i="73"/>
  <c r="CI245" i="73"/>
  <c r="CH245" i="73"/>
  <c r="CG245" i="73"/>
  <c r="CF245" i="73"/>
  <c r="CE245" i="73"/>
  <c r="CD245" i="73"/>
  <c r="CC245" i="73"/>
  <c r="CB245" i="73"/>
  <c r="CA245" i="73"/>
  <c r="BZ245" i="73"/>
  <c r="BY245" i="73"/>
  <c r="BX245" i="73"/>
  <c r="BW245" i="73"/>
  <c r="BV245" i="73"/>
  <c r="BU245" i="73"/>
  <c r="BT245" i="73"/>
  <c r="BS245" i="73"/>
  <c r="BR245" i="73"/>
  <c r="BQ245" i="73"/>
  <c r="BP245" i="73"/>
  <c r="BO245" i="73"/>
  <c r="BN245" i="73"/>
  <c r="BM245" i="73"/>
  <c r="BL245" i="73"/>
  <c r="BK245" i="73"/>
  <c r="BJ245" i="73"/>
  <c r="BI245" i="73"/>
  <c r="BH245" i="73"/>
  <c r="BG245" i="73"/>
  <c r="BF245" i="73"/>
  <c r="BE245" i="73"/>
  <c r="BD245" i="73"/>
  <c r="BC245" i="73"/>
  <c r="BB245" i="73"/>
  <c r="BA245" i="73"/>
  <c r="AZ245" i="73"/>
  <c r="AY245" i="73"/>
  <c r="AX245" i="73"/>
  <c r="AW245" i="73"/>
  <c r="AV245" i="73"/>
  <c r="AU245" i="73"/>
  <c r="AT245" i="73"/>
  <c r="AS245" i="73"/>
  <c r="AR245" i="73"/>
  <c r="AQ245" i="73"/>
  <c r="AP245" i="73"/>
  <c r="AN245" i="73"/>
  <c r="AM245" i="73"/>
  <c r="AL245" i="73"/>
  <c r="AK245" i="73"/>
  <c r="AJ245" i="73"/>
  <c r="AI245" i="73"/>
  <c r="AH245" i="73"/>
  <c r="AG245" i="73"/>
  <c r="AF245" i="73"/>
  <c r="AE245" i="73"/>
  <c r="AD245" i="73"/>
  <c r="AC245" i="73"/>
  <c r="AB245" i="73"/>
  <c r="AA245" i="73"/>
  <c r="Z245" i="73"/>
  <c r="Y245" i="73"/>
  <c r="X245" i="73"/>
  <c r="W245" i="73"/>
  <c r="V245" i="73"/>
  <c r="U245" i="73"/>
  <c r="T245" i="73"/>
  <c r="S245" i="73"/>
  <c r="R245" i="73"/>
  <c r="Q245" i="73"/>
  <c r="P245" i="73"/>
  <c r="O245" i="73"/>
  <c r="N245" i="73"/>
  <c r="M245" i="73"/>
  <c r="L245" i="73"/>
  <c r="K245" i="73"/>
  <c r="J245" i="73"/>
  <c r="I245" i="73"/>
  <c r="H245" i="73"/>
  <c r="G245" i="73"/>
  <c r="F245" i="73"/>
  <c r="E245" i="73"/>
  <c r="CL237" i="73"/>
  <c r="CK237" i="73"/>
  <c r="CJ237" i="73"/>
  <c r="CI237" i="73"/>
  <c r="CH237" i="73"/>
  <c r="CG237" i="73"/>
  <c r="CF237" i="73"/>
  <c r="CE237" i="73"/>
  <c r="CD237" i="73"/>
  <c r="CC237" i="73"/>
  <c r="CB237" i="73"/>
  <c r="CA237" i="73"/>
  <c r="BZ237" i="73"/>
  <c r="BY237" i="73"/>
  <c r="BX237" i="73"/>
  <c r="BW237" i="73"/>
  <c r="BV237" i="73"/>
  <c r="BU237" i="73"/>
  <c r="BT237" i="73"/>
  <c r="BS237" i="73"/>
  <c r="BR237" i="73"/>
  <c r="BQ237" i="73"/>
  <c r="BP237" i="73"/>
  <c r="BO237" i="73"/>
  <c r="BN237" i="73"/>
  <c r="BM237" i="73"/>
  <c r="BL237" i="73"/>
  <c r="BK237" i="73"/>
  <c r="BJ237" i="73"/>
  <c r="BI237" i="73"/>
  <c r="BH237" i="73"/>
  <c r="BG237" i="73"/>
  <c r="BF237" i="73"/>
  <c r="BE237" i="73"/>
  <c r="BD237" i="73"/>
  <c r="BC237" i="73"/>
  <c r="BB237" i="73"/>
  <c r="BA237" i="73"/>
  <c r="AZ237" i="73"/>
  <c r="AY237" i="73"/>
  <c r="AX237" i="73"/>
  <c r="AW237" i="73"/>
  <c r="AV237" i="73"/>
  <c r="AU237" i="73"/>
  <c r="AT237" i="73"/>
  <c r="AS237" i="73"/>
  <c r="AR237" i="73"/>
  <c r="AQ237" i="73"/>
  <c r="AP237" i="73"/>
  <c r="AN237" i="73"/>
  <c r="AM237" i="73"/>
  <c r="AL237" i="73"/>
  <c r="AK237" i="73"/>
  <c r="AJ237" i="73"/>
  <c r="AI237" i="73"/>
  <c r="AH237" i="73"/>
  <c r="AG237" i="73"/>
  <c r="AF237" i="73"/>
  <c r="AE237" i="73"/>
  <c r="AD237" i="73"/>
  <c r="AC237" i="73"/>
  <c r="AB237" i="73"/>
  <c r="AA237" i="73"/>
  <c r="Z237" i="73"/>
  <c r="Y237" i="73"/>
  <c r="X237" i="73"/>
  <c r="W237" i="73"/>
  <c r="V237" i="73"/>
  <c r="U237" i="73"/>
  <c r="T237" i="73"/>
  <c r="S237" i="73"/>
  <c r="R237" i="73"/>
  <c r="Q237" i="73"/>
  <c r="P237" i="73"/>
  <c r="O237" i="73"/>
  <c r="N237" i="73"/>
  <c r="M237" i="73"/>
  <c r="L237" i="73"/>
  <c r="K237" i="73"/>
  <c r="J237" i="73"/>
  <c r="I237" i="73"/>
  <c r="H237" i="73"/>
  <c r="G237" i="73"/>
  <c r="F237" i="73"/>
  <c r="E237" i="73"/>
  <c r="CL11" i="73"/>
  <c r="CK11" i="73"/>
  <c r="CJ11" i="73"/>
  <c r="CI11" i="73"/>
  <c r="CH11" i="73"/>
  <c r="CG11" i="73"/>
  <c r="CF11" i="73"/>
  <c r="CE11" i="73"/>
  <c r="CD11" i="73"/>
  <c r="CC11" i="73"/>
  <c r="CB11" i="73"/>
  <c r="CA11" i="73"/>
  <c r="BZ11" i="73"/>
  <c r="BY11" i="73"/>
  <c r="BX11" i="73"/>
  <c r="BW11" i="73"/>
  <c r="BV11" i="73"/>
  <c r="BU11" i="73"/>
  <c r="BT11" i="73"/>
  <c r="BS11" i="73"/>
  <c r="BR11" i="73"/>
  <c r="BQ11" i="73"/>
  <c r="BP11" i="73"/>
  <c r="BO11" i="73"/>
  <c r="BN11" i="73"/>
  <c r="BM11" i="73"/>
  <c r="BL11" i="73"/>
  <c r="BK11" i="73"/>
  <c r="BJ11" i="73"/>
  <c r="BI11" i="73"/>
  <c r="BH11" i="73"/>
  <c r="BG11" i="73"/>
  <c r="BF11" i="73"/>
  <c r="BE11" i="73"/>
  <c r="BD11" i="73"/>
  <c r="BC11" i="73"/>
  <c r="BB11" i="73"/>
  <c r="BA11" i="73"/>
  <c r="AZ11" i="73"/>
  <c r="AY11" i="73"/>
  <c r="AX11" i="73"/>
  <c r="AW11" i="73"/>
  <c r="AV11" i="73"/>
  <c r="AU11" i="73"/>
  <c r="AT11" i="73"/>
  <c r="AS11" i="73"/>
  <c r="AR11" i="73"/>
  <c r="AQ11" i="73"/>
  <c r="AP11" i="73"/>
  <c r="AN11" i="73"/>
  <c r="AM11" i="73"/>
  <c r="AL11" i="73"/>
  <c r="AK11" i="73"/>
  <c r="AJ11" i="73"/>
  <c r="AI11" i="73"/>
  <c r="AH11" i="73"/>
  <c r="AG11" i="73"/>
  <c r="AF11" i="73"/>
  <c r="AE11" i="73"/>
  <c r="AD11" i="73"/>
  <c r="AC11" i="73"/>
  <c r="AB11" i="73"/>
  <c r="AA11" i="73"/>
  <c r="Z11" i="73"/>
  <c r="Y11" i="73"/>
  <c r="X11" i="73"/>
  <c r="W11" i="73"/>
  <c r="V11" i="73"/>
  <c r="U11" i="73"/>
  <c r="T11" i="73"/>
  <c r="S11" i="73"/>
  <c r="R11" i="73"/>
  <c r="Q11" i="73"/>
  <c r="P11" i="73"/>
  <c r="O11" i="73"/>
  <c r="N11" i="73"/>
  <c r="M11" i="73"/>
  <c r="L11" i="73"/>
  <c r="K11" i="73"/>
  <c r="J11" i="73"/>
  <c r="I11" i="73"/>
  <c r="H11" i="73"/>
  <c r="G11" i="73"/>
  <c r="F11" i="73"/>
  <c r="E11" i="73"/>
  <c r="CL229" i="73"/>
  <c r="CK229" i="73"/>
  <c r="CJ229" i="73"/>
  <c r="CI229" i="73"/>
  <c r="CH229" i="73"/>
  <c r="CG229" i="73"/>
  <c r="CF229" i="73"/>
  <c r="CE229" i="73"/>
  <c r="CD229" i="73"/>
  <c r="CC229" i="73"/>
  <c r="CB229" i="73"/>
  <c r="CA229" i="73"/>
  <c r="BZ229" i="73"/>
  <c r="BY229" i="73"/>
  <c r="BX229" i="73"/>
  <c r="BW229" i="73"/>
  <c r="BV229" i="73"/>
  <c r="BU229" i="73"/>
  <c r="BT229" i="73"/>
  <c r="BS229" i="73"/>
  <c r="BR229" i="73"/>
  <c r="BQ229" i="73"/>
  <c r="BP229" i="73"/>
  <c r="BO229" i="73"/>
  <c r="BN229" i="73"/>
  <c r="BM229" i="73"/>
  <c r="BL229" i="73"/>
  <c r="BK229" i="73"/>
  <c r="BJ229" i="73"/>
  <c r="BI229" i="73"/>
  <c r="BH229" i="73"/>
  <c r="BG229" i="73"/>
  <c r="BF229" i="73"/>
  <c r="BE229" i="73"/>
  <c r="BD229" i="73"/>
  <c r="BC229" i="73"/>
  <c r="BB229" i="73"/>
  <c r="BA229" i="73"/>
  <c r="AZ229" i="73"/>
  <c r="AY229" i="73"/>
  <c r="AX229" i="73"/>
  <c r="AW229" i="73"/>
  <c r="AV229" i="73"/>
  <c r="AU229" i="73"/>
  <c r="AT229" i="73"/>
  <c r="AS229" i="73"/>
  <c r="AR229" i="73"/>
  <c r="AQ229" i="73"/>
  <c r="AP229" i="73"/>
  <c r="AN229" i="73"/>
  <c r="AM229" i="73"/>
  <c r="AL229" i="73"/>
  <c r="AK229" i="73"/>
  <c r="AJ229" i="73"/>
  <c r="AI229" i="73"/>
  <c r="AH229" i="73"/>
  <c r="AG229" i="73"/>
  <c r="AF229" i="73"/>
  <c r="AE229" i="73"/>
  <c r="AD229" i="73"/>
  <c r="AC229" i="73"/>
  <c r="AB229" i="73"/>
  <c r="AA229" i="73"/>
  <c r="Z229" i="73"/>
  <c r="Y229" i="73"/>
  <c r="X229" i="73"/>
  <c r="W229" i="73"/>
  <c r="V229" i="73"/>
  <c r="U229" i="73"/>
  <c r="T229" i="73"/>
  <c r="S229" i="73"/>
  <c r="R229" i="73"/>
  <c r="Q229" i="73"/>
  <c r="P229" i="73"/>
  <c r="O229" i="73"/>
  <c r="N229" i="73"/>
  <c r="M229" i="73"/>
  <c r="L229" i="73"/>
  <c r="K229" i="73"/>
  <c r="J229" i="73"/>
  <c r="I229" i="73"/>
  <c r="H229" i="73"/>
  <c r="G229" i="73"/>
  <c r="F229" i="73"/>
  <c r="E229" i="73"/>
  <c r="K39" i="73" l="1"/>
  <c r="K44" i="73"/>
  <c r="K34" i="73"/>
  <c r="W39" i="73"/>
  <c r="W44" i="73"/>
  <c r="W34" i="73"/>
  <c r="AI39" i="73"/>
  <c r="AI44" i="73"/>
  <c r="AI34" i="73"/>
  <c r="AV39" i="73"/>
  <c r="AV44" i="73"/>
  <c r="AV34" i="73"/>
  <c r="BH39" i="73"/>
  <c r="BH44" i="73"/>
  <c r="BH34" i="73"/>
  <c r="BT39" i="73"/>
  <c r="BT44" i="73"/>
  <c r="BT34" i="73"/>
  <c r="CF39" i="73"/>
  <c r="CF44" i="73"/>
  <c r="CF34" i="73"/>
  <c r="L39" i="73"/>
  <c r="L44" i="73"/>
  <c r="L34" i="73"/>
  <c r="X39" i="73"/>
  <c r="X44" i="73"/>
  <c r="X34" i="73"/>
  <c r="AJ39" i="73"/>
  <c r="AJ44" i="73"/>
  <c r="AJ34" i="73"/>
  <c r="AW39" i="73"/>
  <c r="AW34" i="73"/>
  <c r="AW44" i="73"/>
  <c r="BI39" i="73"/>
  <c r="BI44" i="73"/>
  <c r="BI34" i="73"/>
  <c r="BU39" i="73"/>
  <c r="BU34" i="73"/>
  <c r="BU44" i="73"/>
  <c r="CG39" i="73"/>
  <c r="CG44" i="73"/>
  <c r="CG34" i="73"/>
  <c r="M39" i="73"/>
  <c r="M44" i="73"/>
  <c r="M34" i="73"/>
  <c r="Y34" i="73"/>
  <c r="Y39" i="73"/>
  <c r="Y44" i="73"/>
  <c r="AK39" i="73"/>
  <c r="AK34" i="73"/>
  <c r="AK44" i="73"/>
  <c r="AX39" i="73"/>
  <c r="AX34" i="73"/>
  <c r="AX44" i="73"/>
  <c r="BJ39" i="73"/>
  <c r="BJ44" i="73"/>
  <c r="BJ34" i="73"/>
  <c r="BV39" i="73"/>
  <c r="BV34" i="73"/>
  <c r="BV44" i="73"/>
  <c r="CH34" i="73"/>
  <c r="CH39" i="73"/>
  <c r="CH44" i="73"/>
  <c r="N39" i="73"/>
  <c r="N44" i="73"/>
  <c r="N34" i="73"/>
  <c r="Z39" i="73"/>
  <c r="Z34" i="73"/>
  <c r="Z44" i="73"/>
  <c r="AL39" i="73"/>
  <c r="AL44" i="73"/>
  <c r="AL34" i="73"/>
  <c r="AY44" i="73"/>
  <c r="AY34" i="73"/>
  <c r="AY39" i="73"/>
  <c r="BK44" i="73"/>
  <c r="BK34" i="73"/>
  <c r="BK39" i="73"/>
  <c r="BW44" i="73"/>
  <c r="BW34" i="73"/>
  <c r="BW39" i="73"/>
  <c r="CI44" i="73"/>
  <c r="CI34" i="73"/>
  <c r="CI39" i="73"/>
  <c r="AM44" i="73"/>
  <c r="AM34" i="73"/>
  <c r="AM39" i="73"/>
  <c r="BL44" i="73"/>
  <c r="BL34" i="73"/>
  <c r="BL39" i="73"/>
  <c r="BX44" i="73"/>
  <c r="BX34" i="73"/>
  <c r="BX39" i="73"/>
  <c r="CJ44" i="73"/>
  <c r="CJ34" i="73"/>
  <c r="CJ39" i="73"/>
  <c r="P44" i="73"/>
  <c r="P34" i="73"/>
  <c r="P39" i="73"/>
  <c r="AB44" i="73"/>
  <c r="AB34" i="73"/>
  <c r="AB39" i="73"/>
  <c r="AN44" i="73"/>
  <c r="AN34" i="73"/>
  <c r="AN39" i="73"/>
  <c r="BA39" i="73"/>
  <c r="BA44" i="73"/>
  <c r="BA34" i="73"/>
  <c r="BM39" i="73"/>
  <c r="BM44" i="73"/>
  <c r="BM34" i="73"/>
  <c r="BY39" i="73"/>
  <c r="BY44" i="73"/>
  <c r="BY34" i="73"/>
  <c r="CK39" i="73"/>
  <c r="CK44" i="73"/>
  <c r="CK34" i="73"/>
  <c r="O34" i="73"/>
  <c r="O44" i="73"/>
  <c r="O39" i="73"/>
  <c r="E39" i="73"/>
  <c r="E44" i="73"/>
  <c r="E34" i="73"/>
  <c r="Q39" i="73"/>
  <c r="Q44" i="73"/>
  <c r="Q34" i="73"/>
  <c r="AC39" i="73"/>
  <c r="AC44" i="73"/>
  <c r="AC34" i="73"/>
  <c r="AP39" i="73"/>
  <c r="AP34" i="73"/>
  <c r="AP44" i="73"/>
  <c r="BB39" i="73"/>
  <c r="BB34" i="73"/>
  <c r="BB44" i="73"/>
  <c r="BN39" i="73"/>
  <c r="BN34" i="73"/>
  <c r="BN44" i="73"/>
  <c r="BZ39" i="73"/>
  <c r="BZ34" i="73"/>
  <c r="BZ44" i="73"/>
  <c r="CL39" i="73"/>
  <c r="CL34" i="73"/>
  <c r="CL44" i="73"/>
  <c r="F39" i="73"/>
  <c r="F34" i="73"/>
  <c r="F44" i="73"/>
  <c r="R39" i="73"/>
  <c r="R34" i="73"/>
  <c r="R44" i="73"/>
  <c r="AD39" i="73"/>
  <c r="AD34" i="73"/>
  <c r="AD44" i="73"/>
  <c r="AQ34" i="73"/>
  <c r="AQ39" i="73"/>
  <c r="AQ44" i="73"/>
  <c r="BC39" i="73"/>
  <c r="BC34" i="73"/>
  <c r="BC44" i="73"/>
  <c r="BO34" i="73"/>
  <c r="BO39" i="73"/>
  <c r="BO44" i="73"/>
  <c r="CA34" i="73"/>
  <c r="CA39" i="73"/>
  <c r="CA44" i="73"/>
  <c r="AZ44" i="73"/>
  <c r="AZ34" i="73"/>
  <c r="AZ39" i="73"/>
  <c r="G39" i="73"/>
  <c r="G34" i="73"/>
  <c r="G44" i="73"/>
  <c r="S34" i="73"/>
  <c r="S39" i="73"/>
  <c r="S44" i="73"/>
  <c r="AE39" i="73"/>
  <c r="AE34" i="73"/>
  <c r="AE44" i="73"/>
  <c r="AR44" i="73"/>
  <c r="AR34" i="73"/>
  <c r="AR39" i="73"/>
  <c r="BD44" i="73"/>
  <c r="BD34" i="73"/>
  <c r="BD39" i="73"/>
  <c r="BP44" i="73"/>
  <c r="BP34" i="73"/>
  <c r="BP39" i="73"/>
  <c r="CB44" i="73"/>
  <c r="CB34" i="73"/>
  <c r="CB39" i="73"/>
  <c r="H44" i="73"/>
  <c r="H34" i="73"/>
  <c r="H39" i="73"/>
  <c r="AF44" i="73"/>
  <c r="AF34" i="73"/>
  <c r="AF39" i="73"/>
  <c r="AS44" i="73"/>
  <c r="AS34" i="73"/>
  <c r="AS39" i="73"/>
  <c r="BE44" i="73"/>
  <c r="BE34" i="73"/>
  <c r="BE39" i="73"/>
  <c r="BQ44" i="73"/>
  <c r="BQ34" i="73"/>
  <c r="BQ39" i="73"/>
  <c r="CC44" i="73"/>
  <c r="CC34" i="73"/>
  <c r="CC39" i="73"/>
  <c r="U44" i="73"/>
  <c r="U34" i="73"/>
  <c r="U39" i="73"/>
  <c r="BR44" i="73"/>
  <c r="BR39" i="73"/>
  <c r="BR34" i="73"/>
  <c r="AA44" i="73"/>
  <c r="AA34" i="73"/>
  <c r="AA39" i="73"/>
  <c r="T44" i="73"/>
  <c r="T34" i="73"/>
  <c r="T39" i="73"/>
  <c r="I44" i="73"/>
  <c r="I34" i="73"/>
  <c r="I39" i="73"/>
  <c r="AG44" i="73"/>
  <c r="AG34" i="73"/>
  <c r="AG39" i="73"/>
  <c r="AT44" i="73"/>
  <c r="AT39" i="73"/>
  <c r="AT34" i="73"/>
  <c r="BF44" i="73"/>
  <c r="BF39" i="73"/>
  <c r="BF34" i="73"/>
  <c r="CD44" i="73"/>
  <c r="CD39" i="73"/>
  <c r="CD34" i="73"/>
  <c r="J44" i="73"/>
  <c r="J39" i="73"/>
  <c r="J34" i="73"/>
  <c r="V44" i="73"/>
  <c r="V39" i="73"/>
  <c r="V34" i="73"/>
  <c r="AH44" i="73"/>
  <c r="AH39" i="73"/>
  <c r="AH34" i="73"/>
  <c r="AU39" i="73"/>
  <c r="AU44" i="73"/>
  <c r="AU34" i="73"/>
  <c r="BG39" i="73"/>
  <c r="BG44" i="73"/>
  <c r="BG34" i="73"/>
  <c r="BS39" i="73"/>
  <c r="BS44" i="73"/>
  <c r="BS34" i="73"/>
  <c r="CE39" i="73"/>
  <c r="CE44" i="73"/>
  <c r="CE34" i="73"/>
  <c r="O19" i="73"/>
  <c r="O29" i="73"/>
  <c r="O24" i="73"/>
  <c r="AE19" i="73"/>
  <c r="AE29" i="73"/>
  <c r="AE24" i="73"/>
  <c r="AU29" i="73"/>
  <c r="AU19" i="73"/>
  <c r="AU24" i="73"/>
  <c r="BK29" i="73"/>
  <c r="BK19" i="73"/>
  <c r="BK24" i="73"/>
  <c r="CA29" i="73"/>
  <c r="CA19" i="73"/>
  <c r="CA24" i="73"/>
  <c r="P29" i="73"/>
  <c r="P19" i="73"/>
  <c r="P24" i="73"/>
  <c r="AN29" i="73"/>
  <c r="AN19" i="73"/>
  <c r="AN24" i="73"/>
  <c r="AV29" i="73"/>
  <c r="AV19" i="73"/>
  <c r="AV24" i="73"/>
  <c r="CB29" i="73"/>
  <c r="CB19" i="73"/>
  <c r="CB24" i="73"/>
  <c r="Q24" i="73"/>
  <c r="Q19" i="73"/>
  <c r="Q29" i="73"/>
  <c r="AW19" i="73"/>
  <c r="AW24" i="73"/>
  <c r="AW29" i="73"/>
  <c r="BU19" i="73"/>
  <c r="BU24" i="73"/>
  <c r="BU29" i="73"/>
  <c r="R19" i="73"/>
  <c r="R24" i="73"/>
  <c r="R29" i="73"/>
  <c r="K19" i="73"/>
  <c r="K24" i="73"/>
  <c r="K29" i="73"/>
  <c r="AI19" i="73"/>
  <c r="AI24" i="73"/>
  <c r="AI29" i="73"/>
  <c r="AY19" i="73"/>
  <c r="AY24" i="73"/>
  <c r="AY29" i="73"/>
  <c r="BW19" i="73"/>
  <c r="BW24" i="73"/>
  <c r="BW29" i="73"/>
  <c r="L19" i="73"/>
  <c r="L29" i="73"/>
  <c r="L24" i="73"/>
  <c r="T19" i="73"/>
  <c r="T24" i="73"/>
  <c r="T29" i="73"/>
  <c r="AB19" i="73"/>
  <c r="AB24" i="73"/>
  <c r="AB29" i="73"/>
  <c r="AJ19" i="73"/>
  <c r="AJ29" i="73"/>
  <c r="AJ24" i="73"/>
  <c r="AR19" i="73"/>
  <c r="AR24" i="73"/>
  <c r="AR29" i="73"/>
  <c r="AZ19" i="73"/>
  <c r="AZ24" i="73"/>
  <c r="AZ29" i="73"/>
  <c r="BH19" i="73"/>
  <c r="BH29" i="73"/>
  <c r="BH24" i="73"/>
  <c r="BP19" i="73"/>
  <c r="BP24" i="73"/>
  <c r="BP29" i="73"/>
  <c r="BX19" i="73"/>
  <c r="BX24" i="73"/>
  <c r="BX29" i="73"/>
  <c r="CF19" i="73"/>
  <c r="CF29" i="73"/>
  <c r="CF24" i="73"/>
  <c r="H29" i="73"/>
  <c r="H24" i="73"/>
  <c r="H19" i="73"/>
  <c r="X29" i="73"/>
  <c r="X19" i="73"/>
  <c r="X24" i="73"/>
  <c r="BD29" i="73"/>
  <c r="BD24" i="73"/>
  <c r="BD19" i="73"/>
  <c r="BT29" i="73"/>
  <c r="BT19" i="73"/>
  <c r="BT24" i="73"/>
  <c r="Y19" i="73"/>
  <c r="Y24" i="73"/>
  <c r="Y29" i="73"/>
  <c r="BE19" i="73"/>
  <c r="BE24" i="73"/>
  <c r="BE29" i="73"/>
  <c r="CC19" i="73"/>
  <c r="CC24" i="73"/>
  <c r="CC29" i="73"/>
  <c r="J24" i="73"/>
  <c r="J19" i="73"/>
  <c r="J29" i="73"/>
  <c r="AH24" i="73"/>
  <c r="AH29" i="73"/>
  <c r="AH19" i="73"/>
  <c r="AX24" i="73"/>
  <c r="AX29" i="73"/>
  <c r="AX19" i="73"/>
  <c r="BN24" i="73"/>
  <c r="BN29" i="73"/>
  <c r="BN19" i="73"/>
  <c r="CD24" i="73"/>
  <c r="CD19" i="73"/>
  <c r="CD29" i="73"/>
  <c r="AA19" i="73"/>
  <c r="AA29" i="73"/>
  <c r="AA24" i="73"/>
  <c r="BG19" i="73"/>
  <c r="BG29" i="73"/>
  <c r="BG24" i="73"/>
  <c r="CE19" i="73"/>
  <c r="CE29" i="73"/>
  <c r="CE24" i="73"/>
  <c r="E24" i="73"/>
  <c r="E29" i="73"/>
  <c r="E19" i="73"/>
  <c r="M24" i="73"/>
  <c r="M29" i="73"/>
  <c r="M19" i="73"/>
  <c r="U24" i="73"/>
  <c r="U29" i="73"/>
  <c r="U19" i="73"/>
  <c r="AC24" i="73"/>
  <c r="AC29" i="73"/>
  <c r="AC19" i="73"/>
  <c r="AK24" i="73"/>
  <c r="AK29" i="73"/>
  <c r="AK19" i="73"/>
  <c r="AS24" i="73"/>
  <c r="AS29" i="73"/>
  <c r="AS19" i="73"/>
  <c r="BA24" i="73"/>
  <c r="BA29" i="73"/>
  <c r="BA19" i="73"/>
  <c r="BI24" i="73"/>
  <c r="BI29" i="73"/>
  <c r="BI19" i="73"/>
  <c r="BQ24" i="73"/>
  <c r="BQ29" i="73"/>
  <c r="BQ19" i="73"/>
  <c r="BY24" i="73"/>
  <c r="BY29" i="73"/>
  <c r="BY19" i="73"/>
  <c r="CG24" i="73"/>
  <c r="CG29" i="73"/>
  <c r="CG19" i="73"/>
  <c r="G29" i="73"/>
  <c r="G19" i="73"/>
  <c r="G24" i="73"/>
  <c r="W29" i="73"/>
  <c r="W19" i="73"/>
  <c r="W24" i="73"/>
  <c r="AM29" i="73"/>
  <c r="AM19" i="73"/>
  <c r="AM24" i="73"/>
  <c r="BC19" i="73"/>
  <c r="BC29" i="73"/>
  <c r="BC24" i="73"/>
  <c r="BS19" i="73"/>
  <c r="BS29" i="73"/>
  <c r="BS24" i="73"/>
  <c r="CI29" i="73"/>
  <c r="CI19" i="73"/>
  <c r="CI24" i="73"/>
  <c r="AF29" i="73"/>
  <c r="AF24" i="73"/>
  <c r="AF19" i="73"/>
  <c r="BL29" i="73"/>
  <c r="BL19" i="73"/>
  <c r="BL24" i="73"/>
  <c r="CJ29" i="73"/>
  <c r="CJ19" i="73"/>
  <c r="CJ24" i="73"/>
  <c r="I19" i="73"/>
  <c r="I24" i="73"/>
  <c r="I29" i="73"/>
  <c r="AG24" i="73"/>
  <c r="AG19" i="73"/>
  <c r="AG29" i="73"/>
  <c r="BM19" i="73"/>
  <c r="BM24" i="73"/>
  <c r="BM29" i="73"/>
  <c r="CK24" i="73"/>
  <c r="CK19" i="73"/>
  <c r="CK29" i="73"/>
  <c r="Z24" i="73"/>
  <c r="Z19" i="73"/>
  <c r="Z29" i="73"/>
  <c r="AP19" i="73"/>
  <c r="AP24" i="73"/>
  <c r="AP29" i="73"/>
  <c r="BF24" i="73"/>
  <c r="BF19" i="73"/>
  <c r="BF29" i="73"/>
  <c r="BV29" i="73"/>
  <c r="BV19" i="73"/>
  <c r="BV24" i="73"/>
  <c r="CL29" i="73"/>
  <c r="CL24" i="73"/>
  <c r="CL19" i="73"/>
  <c r="S29" i="73"/>
  <c r="S19" i="73"/>
  <c r="S24" i="73"/>
  <c r="AQ19" i="73"/>
  <c r="AQ29" i="73"/>
  <c r="AQ24" i="73"/>
  <c r="BO19" i="73"/>
  <c r="BO24" i="73"/>
  <c r="BO29" i="73"/>
  <c r="F29" i="73"/>
  <c r="F24" i="73"/>
  <c r="F19" i="73"/>
  <c r="N29" i="73"/>
  <c r="N24" i="73"/>
  <c r="N19" i="73"/>
  <c r="V29" i="73"/>
  <c r="V19" i="73"/>
  <c r="V24" i="73"/>
  <c r="AD29" i="73"/>
  <c r="AD24" i="73"/>
  <c r="AD19" i="73"/>
  <c r="AL29" i="73"/>
  <c r="AL24" i="73"/>
  <c r="AL19" i="73"/>
  <c r="AT29" i="73"/>
  <c r="AT24" i="73"/>
  <c r="AT19" i="73"/>
  <c r="BB29" i="73"/>
  <c r="BB19" i="73"/>
  <c r="BB24" i="73"/>
  <c r="BJ29" i="73"/>
  <c r="BJ24" i="73"/>
  <c r="BJ19" i="73"/>
  <c r="BR29" i="73"/>
  <c r="BR24" i="73"/>
  <c r="BR19" i="73"/>
  <c r="BZ29" i="73"/>
  <c r="BZ24" i="73"/>
  <c r="BZ19" i="73"/>
  <c r="CH29" i="73"/>
  <c r="CH19" i="73"/>
  <c r="CH24" i="73"/>
  <c r="G285" i="73"/>
  <c r="G297" i="73"/>
  <c r="G291" i="73"/>
  <c r="W291" i="73"/>
  <c r="W297" i="73"/>
  <c r="W285" i="73"/>
  <c r="AM285" i="73"/>
  <c r="AM291" i="73"/>
  <c r="AM297" i="73"/>
  <c r="BC297" i="73"/>
  <c r="BC291" i="73"/>
  <c r="BC285" i="73"/>
  <c r="BK291" i="73"/>
  <c r="BK297" i="73"/>
  <c r="BK285" i="73"/>
  <c r="CA291" i="73"/>
  <c r="CA285" i="73"/>
  <c r="CA297" i="73"/>
  <c r="P291" i="73"/>
  <c r="P285" i="73"/>
  <c r="P297" i="73"/>
  <c r="AF297" i="73"/>
  <c r="AF285" i="73"/>
  <c r="AF291" i="73"/>
  <c r="BD291" i="73"/>
  <c r="BD297" i="73"/>
  <c r="BD285" i="73"/>
  <c r="BL291" i="73"/>
  <c r="BL285" i="73"/>
  <c r="BL297" i="73"/>
  <c r="CB291" i="73"/>
  <c r="CB285" i="73"/>
  <c r="CB297" i="73"/>
  <c r="I285" i="73"/>
  <c r="I291" i="73"/>
  <c r="I297" i="73"/>
  <c r="Y291" i="73"/>
  <c r="Y285" i="73"/>
  <c r="Y297" i="73"/>
  <c r="BE297" i="73"/>
  <c r="BE291" i="73"/>
  <c r="BE285" i="73"/>
  <c r="BU297" i="73"/>
  <c r="BU291" i="73"/>
  <c r="BU285" i="73"/>
  <c r="CK291" i="73"/>
  <c r="CK285" i="73"/>
  <c r="CK297" i="73"/>
  <c r="J291" i="73"/>
  <c r="J297" i="73"/>
  <c r="J285" i="73"/>
  <c r="Z291" i="73"/>
  <c r="Z297" i="73"/>
  <c r="Z285" i="73"/>
  <c r="AP291" i="73"/>
  <c r="AP297" i="73"/>
  <c r="AP285" i="73"/>
  <c r="BF291" i="73"/>
  <c r="BF297" i="73"/>
  <c r="BF285" i="73"/>
  <c r="BV291" i="73"/>
  <c r="BV297" i="73"/>
  <c r="BV285" i="73"/>
  <c r="CL291" i="73"/>
  <c r="CL297" i="73"/>
  <c r="CL285" i="73"/>
  <c r="K291" i="73"/>
  <c r="K297" i="73"/>
  <c r="K285" i="73"/>
  <c r="S291" i="73"/>
  <c r="S297" i="73"/>
  <c r="S285" i="73"/>
  <c r="AI291" i="73"/>
  <c r="AI297" i="73"/>
  <c r="AI285" i="73"/>
  <c r="AY291" i="73"/>
  <c r="AY297" i="73"/>
  <c r="AY285" i="73"/>
  <c r="BO291" i="73"/>
  <c r="BO297" i="73"/>
  <c r="BO285" i="73"/>
  <c r="CE291" i="73"/>
  <c r="CE297" i="73"/>
  <c r="CE285" i="73"/>
  <c r="T297" i="73"/>
  <c r="T285" i="73"/>
  <c r="T291" i="73"/>
  <c r="AJ297" i="73"/>
  <c r="AJ285" i="73"/>
  <c r="AJ291" i="73"/>
  <c r="AR297" i="73"/>
  <c r="AR285" i="73"/>
  <c r="AR291" i="73"/>
  <c r="BP297" i="73"/>
  <c r="BP285" i="73"/>
  <c r="BP291" i="73"/>
  <c r="CF297" i="73"/>
  <c r="CF285" i="73"/>
  <c r="CF291" i="73"/>
  <c r="E291" i="73"/>
  <c r="E285" i="73"/>
  <c r="E297" i="73"/>
  <c r="M285" i="73"/>
  <c r="M291" i="73"/>
  <c r="M297" i="73"/>
  <c r="U297" i="73"/>
  <c r="U291" i="73"/>
  <c r="U285" i="73"/>
  <c r="AC285" i="73"/>
  <c r="AC297" i="73"/>
  <c r="AC291" i="73"/>
  <c r="AK291" i="73"/>
  <c r="AK285" i="73"/>
  <c r="AK297" i="73"/>
  <c r="AS297" i="73"/>
  <c r="AS285" i="73"/>
  <c r="AS291" i="73"/>
  <c r="BA291" i="73"/>
  <c r="BA297" i="73"/>
  <c r="BA285" i="73"/>
  <c r="BI297" i="73"/>
  <c r="BI285" i="73"/>
  <c r="BI291" i="73"/>
  <c r="BQ291" i="73"/>
  <c r="BQ285" i="73"/>
  <c r="BQ297" i="73"/>
  <c r="BY291" i="73"/>
  <c r="BY285" i="73"/>
  <c r="BY297" i="73"/>
  <c r="CG297" i="73"/>
  <c r="CG291" i="73"/>
  <c r="CG285" i="73"/>
  <c r="O291" i="73"/>
  <c r="O297" i="73"/>
  <c r="O285" i="73"/>
  <c r="AE297" i="73"/>
  <c r="AE291" i="73"/>
  <c r="AE285" i="73"/>
  <c r="AU297" i="73"/>
  <c r="AU291" i="73"/>
  <c r="AU285" i="73"/>
  <c r="BS285" i="73"/>
  <c r="BS297" i="73"/>
  <c r="BS291" i="73"/>
  <c r="CI285" i="73"/>
  <c r="CI297" i="73"/>
  <c r="CI291" i="73"/>
  <c r="H297" i="73"/>
  <c r="H291" i="73"/>
  <c r="H285" i="73"/>
  <c r="X291" i="73"/>
  <c r="X285" i="73"/>
  <c r="X297" i="73"/>
  <c r="AN297" i="73"/>
  <c r="AN291" i="73"/>
  <c r="AN285" i="73"/>
  <c r="AV291" i="73"/>
  <c r="AV285" i="73"/>
  <c r="AV297" i="73"/>
  <c r="BT297" i="73"/>
  <c r="BT291" i="73"/>
  <c r="BT285" i="73"/>
  <c r="CJ291" i="73"/>
  <c r="CJ285" i="73"/>
  <c r="CJ297" i="73"/>
  <c r="Q285" i="73"/>
  <c r="Q297" i="73"/>
  <c r="Q291" i="73"/>
  <c r="AG297" i="73"/>
  <c r="AG291" i="73"/>
  <c r="AG285" i="73"/>
  <c r="AW285" i="73"/>
  <c r="AW297" i="73"/>
  <c r="AW291" i="73"/>
  <c r="BM285" i="73"/>
  <c r="BM291" i="73"/>
  <c r="BM297" i="73"/>
  <c r="CC285" i="73"/>
  <c r="CC297" i="73"/>
  <c r="CC291" i="73"/>
  <c r="R291" i="73"/>
  <c r="R297" i="73"/>
  <c r="R285" i="73"/>
  <c r="AH291" i="73"/>
  <c r="AH297" i="73"/>
  <c r="AH285" i="73"/>
  <c r="AX291" i="73"/>
  <c r="AX297" i="73"/>
  <c r="AX285" i="73"/>
  <c r="BN291" i="73"/>
  <c r="BN297" i="73"/>
  <c r="BN285" i="73"/>
  <c r="CD291" i="73"/>
  <c r="CD297" i="73"/>
  <c r="CD285" i="73"/>
  <c r="AA291" i="73"/>
  <c r="AA297" i="73"/>
  <c r="AA285" i="73"/>
  <c r="AQ291" i="73"/>
  <c r="AQ297" i="73"/>
  <c r="AQ285" i="73"/>
  <c r="BG291" i="73"/>
  <c r="BG297" i="73"/>
  <c r="BG285" i="73"/>
  <c r="BW291" i="73"/>
  <c r="BW297" i="73"/>
  <c r="BW285" i="73"/>
  <c r="L297" i="73"/>
  <c r="L285" i="73"/>
  <c r="L291" i="73"/>
  <c r="AB297" i="73"/>
  <c r="AB285" i="73"/>
  <c r="AB291" i="73"/>
  <c r="AZ297" i="73"/>
  <c r="AZ285" i="73"/>
  <c r="AZ291" i="73"/>
  <c r="BH297" i="73"/>
  <c r="BH285" i="73"/>
  <c r="BH291" i="73"/>
  <c r="BX297" i="73"/>
  <c r="BX285" i="73"/>
  <c r="BX291" i="73"/>
  <c r="F291" i="73"/>
  <c r="F285" i="73"/>
  <c r="F297" i="73"/>
  <c r="N285" i="73"/>
  <c r="N291" i="73"/>
  <c r="N297" i="73"/>
  <c r="V297" i="73"/>
  <c r="V291" i="73"/>
  <c r="V285" i="73"/>
  <c r="AD297" i="73"/>
  <c r="AD291" i="73"/>
  <c r="AD285" i="73"/>
  <c r="AL291" i="73"/>
  <c r="AL285" i="73"/>
  <c r="AL297" i="73"/>
  <c r="AT297" i="73"/>
  <c r="AT285" i="73"/>
  <c r="AT291" i="73"/>
  <c r="BB297" i="73"/>
  <c r="BB285" i="73"/>
  <c r="BB291" i="73"/>
  <c r="BJ291" i="73"/>
  <c r="BJ297" i="73"/>
  <c r="BJ285" i="73"/>
  <c r="BR291" i="73"/>
  <c r="BR285" i="73"/>
  <c r="BR297" i="73"/>
  <c r="BZ291" i="73"/>
  <c r="BZ285" i="73"/>
  <c r="BZ297" i="73"/>
  <c r="CH297" i="73"/>
  <c r="CH285" i="73"/>
  <c r="CH291" i="73"/>
  <c r="CF188" i="73"/>
  <c r="CF197" i="73"/>
  <c r="CF206" i="73"/>
  <c r="CF215" i="73"/>
  <c r="AN80" i="68" l="1"/>
  <c r="AN69" i="68"/>
  <c r="AN92" i="68" l="1"/>
  <c r="L28" i="76" l="1"/>
  <c r="L27" i="76"/>
  <c r="E22" i="76"/>
  <c r="L22" i="76" l="1"/>
  <c r="AX7" i="10"/>
  <c r="W18" i="81" l="1"/>
  <c r="W15" i="81"/>
  <c r="H131" i="80"/>
  <c r="P130" i="80"/>
  <c r="H130" i="80"/>
  <c r="P129" i="80"/>
  <c r="AM54" i="68"/>
  <c r="AM50" i="68"/>
  <c r="AM45" i="68"/>
  <c r="AM31" i="68"/>
  <c r="AM28" i="68"/>
  <c r="AM26" i="68"/>
  <c r="AM23" i="68"/>
  <c r="AM92" i="68"/>
  <c r="AM80" i="68"/>
  <c r="AM78" i="68"/>
  <c r="AM69" i="68"/>
  <c r="AP4" i="55"/>
  <c r="AP13" i="55"/>
  <c r="AP25" i="65"/>
  <c r="AP24" i="65"/>
  <c r="AP23" i="65"/>
  <c r="AP22" i="65"/>
  <c r="AP86" i="71"/>
  <c r="AP21" i="53"/>
  <c r="AP20" i="53"/>
  <c r="AP15" i="53"/>
  <c r="AP17" i="53" s="1"/>
  <c r="AP23" i="53"/>
  <c r="AP8" i="53"/>
  <c r="AP10" i="53" s="1"/>
  <c r="AP43" i="52"/>
  <c r="AP42" i="52"/>
  <c r="AP45" i="52"/>
  <c r="AP44" i="52"/>
  <c r="AP40" i="52"/>
  <c r="AP39" i="52"/>
  <c r="AP50" i="52"/>
  <c r="AP49" i="52"/>
  <c r="AP48" i="52"/>
  <c r="AP46" i="52"/>
  <c r="AP41" i="52"/>
  <c r="AQ24" i="48"/>
  <c r="AL8" i="72"/>
  <c r="AL21" i="72" s="1"/>
  <c r="AP27" i="65" l="1"/>
  <c r="AM51" i="68"/>
  <c r="AP22" i="53"/>
  <c r="AP24" i="53" s="1"/>
  <c r="AL24" i="72"/>
  <c r="AP24" i="55"/>
  <c r="AM32" i="68"/>
  <c r="P131" i="80"/>
  <c r="H129" i="80"/>
  <c r="AM60" i="68"/>
  <c r="AP19" i="52"/>
  <c r="AP38" i="52"/>
  <c r="AQ30" i="48"/>
  <c r="AT109" i="46"/>
  <c r="AT108" i="46"/>
  <c r="AT107" i="46"/>
  <c r="AT112" i="46"/>
  <c r="AT111" i="46"/>
  <c r="AT110" i="46"/>
  <c r="AT77" i="46"/>
  <c r="AT76" i="46"/>
  <c r="AT75" i="46"/>
  <c r="AT72" i="46"/>
  <c r="AT66" i="46"/>
  <c r="AT57" i="46"/>
  <c r="AT56" i="46"/>
  <c r="AT53" i="46"/>
  <c r="AT47" i="46"/>
  <c r="AT37" i="46"/>
  <c r="AT34" i="46"/>
  <c r="AT39" i="46"/>
  <c r="AT38" i="46"/>
  <c r="AT28" i="46"/>
  <c r="AT15" i="46"/>
  <c r="AT20" i="46"/>
  <c r="AT19" i="46"/>
  <c r="AT9" i="46"/>
  <c r="AQ26" i="45"/>
  <c r="AQ31" i="45"/>
  <c r="AQ30" i="45"/>
  <c r="AQ29" i="45"/>
  <c r="AQ28" i="45"/>
  <c r="AQ27" i="45"/>
  <c r="AQ19" i="44"/>
  <c r="AQ15" i="44"/>
  <c r="AQ12" i="44"/>
  <c r="AA47" i="42"/>
  <c r="O47" i="42"/>
  <c r="AQ18" i="39"/>
  <c r="AQ9" i="39"/>
  <c r="F119" i="38"/>
  <c r="V314" i="36"/>
  <c r="V313" i="36"/>
  <c r="V316" i="36"/>
  <c r="V312" i="36"/>
  <c r="V315" i="36"/>
  <c r="DQ23" i="34"/>
  <c r="DP23" i="34"/>
  <c r="DO23" i="34"/>
  <c r="DQ20" i="34"/>
  <c r="DQ19" i="34"/>
  <c r="DQ18" i="34"/>
  <c r="DQ17" i="34"/>
  <c r="DQ15" i="34"/>
  <c r="DO21" i="34"/>
  <c r="DP21" i="34"/>
  <c r="DP6" i="34"/>
  <c r="EZ6" i="34" s="1"/>
  <c r="DO6" i="34"/>
  <c r="EY6" i="34" s="1"/>
  <c r="AQ40" i="33"/>
  <c r="AQ37" i="33"/>
  <c r="AQ35" i="33"/>
  <c r="AQ43" i="33"/>
  <c r="AQ28" i="33"/>
  <c r="AQ17" i="33"/>
  <c r="AQ44" i="33"/>
  <c r="AQ41" i="33"/>
  <c r="AQ38" i="33"/>
  <c r="AQ39" i="33"/>
  <c r="AQ34" i="33"/>
  <c r="AQ47" i="61"/>
  <c r="AQ46" i="61"/>
  <c r="AQ45" i="61"/>
  <c r="AQ50" i="61"/>
  <c r="AQ35" i="61"/>
  <c r="AQ32" i="61"/>
  <c r="AQ19" i="61"/>
  <c r="AQ49" i="61"/>
  <c r="AQ44" i="61"/>
  <c r="AQ43" i="61"/>
  <c r="AQ42" i="61"/>
  <c r="AQ41" i="61"/>
  <c r="AQ40" i="61"/>
  <c r="AQ39" i="61"/>
  <c r="AQ38" i="61"/>
  <c r="AQ28" i="32"/>
  <c r="AQ26" i="32"/>
  <c r="AQ25" i="32"/>
  <c r="AQ29" i="32"/>
  <c r="AQ27" i="32"/>
  <c r="AP21" i="31"/>
  <c r="AP27" i="31"/>
  <c r="AP26" i="31"/>
  <c r="AP25" i="31"/>
  <c r="AP12" i="31"/>
  <c r="AP11" i="31" s="1"/>
  <c r="AQ24" i="30"/>
  <c r="AQ21" i="30"/>
  <c r="AQ22" i="30" s="1"/>
  <c r="AQ15" i="30"/>
  <c r="AQ18" i="30" s="1"/>
  <c r="AQ10" i="30"/>
  <c r="AQ13" i="29"/>
  <c r="AQ17" i="29"/>
  <c r="AQ8" i="29"/>
  <c r="AQ20" i="26"/>
  <c r="AQ10" i="26"/>
  <c r="I85" i="23"/>
  <c r="H85" i="23"/>
  <c r="G85" i="23"/>
  <c r="O85" i="23"/>
  <c r="N85" i="23"/>
  <c r="AP13" i="24"/>
  <c r="V22" i="13"/>
  <c r="V21" i="13"/>
  <c r="V20" i="13"/>
  <c r="V19" i="13"/>
  <c r="V18" i="13"/>
  <c r="AT110" i="9"/>
  <c r="AS110" i="9"/>
  <c r="AQ110" i="9"/>
  <c r="AP110" i="9"/>
  <c r="AO110" i="9"/>
  <c r="AT109" i="9"/>
  <c r="AT111" i="9" s="1"/>
  <c r="AT112" i="9" s="1"/>
  <c r="AT113" i="9" s="1"/>
  <c r="AS109" i="9"/>
  <c r="AS111" i="9" s="1"/>
  <c r="AS112" i="9" s="1"/>
  <c r="AS113" i="9" s="1"/>
  <c r="AQ109" i="9"/>
  <c r="AQ111" i="9" s="1"/>
  <c r="AQ112" i="9" s="1"/>
  <c r="AQ113" i="9" s="1"/>
  <c r="AP109" i="9"/>
  <c r="AP111" i="9" s="1"/>
  <c r="AP112" i="9" s="1"/>
  <c r="AO109" i="9"/>
  <c r="AO111" i="9" s="1"/>
  <c r="BI108" i="9"/>
  <c r="BI107" i="9"/>
  <c r="BI105" i="9"/>
  <c r="BI104" i="9"/>
  <c r="BI103" i="9"/>
  <c r="AN101" i="9"/>
  <c r="AL101" i="9"/>
  <c r="AK101" i="9"/>
  <c r="AL100" i="9"/>
  <c r="AL102" i="9" s="1"/>
  <c r="BI99" i="9"/>
  <c r="AK98" i="9"/>
  <c r="AK100" i="9" s="1"/>
  <c r="AK102" i="9" s="1"/>
  <c r="AH96" i="9"/>
  <c r="AH97" i="9" s="1"/>
  <c r="AG96" i="9"/>
  <c r="AG97" i="9" s="1"/>
  <c r="AG98" i="9" s="1"/>
  <c r="AF96" i="9"/>
  <c r="AN95" i="9"/>
  <c r="AN96" i="9" s="1"/>
  <c r="AN97" i="9" s="1"/>
  <c r="AN98" i="9" s="1"/>
  <c r="AN100" i="9" s="1"/>
  <c r="AN102" i="9" s="1"/>
  <c r="BI94" i="9"/>
  <c r="BI93" i="9"/>
  <c r="AF92" i="9"/>
  <c r="BI92" i="9" s="1"/>
  <c r="AF91" i="9"/>
  <c r="AE91" i="9"/>
  <c r="AE95" i="9" s="1"/>
  <c r="AF90" i="9"/>
  <c r="AE90" i="9"/>
  <c r="AF89" i="9"/>
  <c r="AE89" i="9"/>
  <c r="BJ104" i="9"/>
  <c r="AX45" i="9"/>
  <c r="AQ33" i="45" l="1"/>
  <c r="DP27" i="34"/>
  <c r="BI102" i="9"/>
  <c r="AQ45" i="33"/>
  <c r="AQ18" i="44"/>
  <c r="AQ25" i="30"/>
  <c r="AQ51" i="61"/>
  <c r="AQ42" i="33"/>
  <c r="AM61" i="68"/>
  <c r="AT59" i="46"/>
  <c r="AT40" i="46"/>
  <c r="AT78" i="46"/>
  <c r="AT18" i="46"/>
  <c r="AT21" i="46" s="1"/>
  <c r="AT58" i="46"/>
  <c r="AQ22" i="44"/>
  <c r="E119" i="38"/>
  <c r="G119" i="38"/>
  <c r="V311" i="36"/>
  <c r="V310" i="36"/>
  <c r="V309" i="36"/>
  <c r="DO27" i="34"/>
  <c r="DQ21" i="34"/>
  <c r="DQ27" i="34" s="1"/>
  <c r="AQ14" i="33"/>
  <c r="AQ31" i="33"/>
  <c r="AQ48" i="61"/>
  <c r="AQ16" i="61"/>
  <c r="AP20" i="31"/>
  <c r="AP24" i="31"/>
  <c r="AP28" i="31"/>
  <c r="AQ16" i="29"/>
  <c r="AQ18" i="29" s="1"/>
  <c r="AQ12" i="26"/>
  <c r="AQ13" i="26" s="1"/>
  <c r="AQ22" i="26"/>
  <c r="AQ23" i="26" s="1"/>
  <c r="P85" i="23"/>
  <c r="BI101" i="9"/>
  <c r="BI89" i="9"/>
  <c r="BI90" i="9"/>
  <c r="BI95" i="9"/>
  <c r="BI109" i="9"/>
  <c r="BI110" i="9"/>
  <c r="BI96" i="9"/>
  <c r="BI100" i="9"/>
  <c r="AT114" i="9"/>
  <c r="AT115" i="9"/>
  <c r="AT118" i="9" s="1"/>
  <c r="BI111" i="9"/>
  <c r="BI112" i="9"/>
  <c r="BI98" i="9"/>
  <c r="AS114" i="9"/>
  <c r="AS115" i="9"/>
  <c r="AQ115" i="9"/>
  <c r="AQ114" i="9"/>
  <c r="BI113" i="9"/>
  <c r="BI91" i="9"/>
  <c r="BI97" i="9"/>
  <c r="BI115" i="9" l="1"/>
  <c r="AT116" i="9"/>
  <c r="AT119" i="9" s="1"/>
  <c r="AT117" i="9"/>
  <c r="AS116" i="9"/>
  <c r="AS117" i="9"/>
  <c r="BI118" i="9"/>
  <c r="AP30" i="31"/>
  <c r="AP29" i="31" s="1"/>
  <c r="BI114" i="9"/>
  <c r="BI119" i="9" l="1"/>
  <c r="AT120" i="9"/>
  <c r="BI120" i="9" s="1"/>
  <c r="BI117" i="9"/>
  <c r="BI116" i="9"/>
  <c r="R287" i="79"/>
  <c r="T287" i="79" s="1"/>
  <c r="R286" i="79"/>
  <c r="T286" i="79" s="1"/>
  <c r="R284" i="79"/>
  <c r="T284" i="79" s="1"/>
  <c r="R282" i="79"/>
  <c r="T282" i="79" s="1"/>
  <c r="R281" i="79"/>
  <c r="T281" i="79" s="1"/>
  <c r="R280" i="79"/>
  <c r="T280" i="79" s="1"/>
  <c r="AX37" i="10"/>
  <c r="AX10" i="10"/>
  <c r="AX37" i="1"/>
  <c r="AX9" i="1"/>
  <c r="BC7" i="2" s="1"/>
  <c r="BC11" i="2"/>
  <c r="AX52" i="9" l="1"/>
  <c r="AX11" i="1"/>
  <c r="AP25" i="55"/>
  <c r="R285" i="79"/>
  <c r="T285" i="79" s="1"/>
  <c r="R283" i="79"/>
  <c r="T283" i="79" s="1"/>
  <c r="AX12" i="10"/>
  <c r="BC8" i="2"/>
  <c r="BC6" i="2" l="1"/>
  <c r="AX13" i="1"/>
  <c r="AX15" i="1" s="1"/>
  <c r="AX14" i="10"/>
  <c r="AX16" i="10" s="1"/>
  <c r="BD178" i="77"/>
  <c r="BC178" i="77"/>
  <c r="BC10" i="2" l="1"/>
  <c r="AQ11" i="30"/>
  <c r="AX40" i="10"/>
  <c r="AX43" i="10" s="1"/>
  <c r="AX45" i="10" s="1"/>
  <c r="AX48" i="10" s="1"/>
  <c r="AX35" i="1"/>
  <c r="AX40" i="1"/>
  <c r="AX35" i="10"/>
  <c r="CL323" i="73"/>
  <c r="CL322" i="73"/>
  <c r="CL259" i="73"/>
  <c r="CL251" i="73"/>
  <c r="CL243" i="73"/>
  <c r="CL235" i="73"/>
  <c r="AP11" i="53" l="1"/>
  <c r="BC16" i="2"/>
  <c r="AX36" i="10"/>
  <c r="AX36" i="1"/>
  <c r="CL320" i="73"/>
  <c r="CL321" i="73"/>
  <c r="AX43" i="1"/>
  <c r="AX45" i="1" s="1"/>
  <c r="AX48" i="1" s="1"/>
  <c r="BC19" i="2" l="1"/>
  <c r="BC24" i="2" l="1"/>
  <c r="BC26" i="2" s="1"/>
  <c r="BC28" i="2" s="1"/>
  <c r="BD177" i="77"/>
  <c r="BC177" i="77"/>
  <c r="AL18" i="63" l="1"/>
  <c r="BC30" i="2"/>
  <c r="CK323" i="73"/>
  <c r="CK322" i="73"/>
  <c r="CK259" i="73"/>
  <c r="CK321" i="73" s="1"/>
  <c r="CK251" i="73"/>
  <c r="CK320" i="73" s="1"/>
  <c r="CK243" i="73"/>
  <c r="CK235" i="73"/>
  <c r="BD176" i="77" l="1"/>
  <c r="BC176" i="77"/>
  <c r="CJ323" i="73" l="1"/>
  <c r="CJ322" i="73"/>
  <c r="CJ259" i="73"/>
  <c r="CJ321" i="73" s="1"/>
  <c r="CJ251" i="73"/>
  <c r="CJ320" i="73" s="1"/>
  <c r="CJ243" i="73"/>
  <c r="CJ235" i="73"/>
  <c r="AK80" i="68" l="1"/>
  <c r="AJ80" i="68"/>
  <c r="AI80" i="68"/>
  <c r="AH80" i="68"/>
  <c r="AG80" i="68"/>
  <c r="AF80" i="68"/>
  <c r="AE80" i="68"/>
  <c r="AD80" i="68"/>
  <c r="AC80" i="68"/>
  <c r="AB80" i="68"/>
  <c r="AA80" i="68"/>
  <c r="Z80" i="68"/>
  <c r="Y80" i="68"/>
  <c r="X80" i="68"/>
  <c r="W80" i="68"/>
  <c r="V80" i="68"/>
  <c r="U80" i="68"/>
  <c r="T80" i="68"/>
  <c r="S80" i="68"/>
  <c r="R80" i="68"/>
  <c r="Q80" i="68"/>
  <c r="P80" i="68"/>
  <c r="O80" i="68"/>
  <c r="N80" i="68"/>
  <c r="M80" i="68"/>
  <c r="L80" i="68"/>
  <c r="K80" i="68"/>
  <c r="J80" i="68"/>
  <c r="I80" i="68"/>
  <c r="H80" i="68"/>
  <c r="G80" i="68"/>
  <c r="F80" i="68"/>
  <c r="E80" i="68"/>
  <c r="AL80" i="68"/>
  <c r="AK78" i="68"/>
  <c r="AJ78" i="68"/>
  <c r="AI78" i="68"/>
  <c r="AH78" i="68"/>
  <c r="AG78" i="68"/>
  <c r="AF78" i="68"/>
  <c r="AE78" i="68"/>
  <c r="AD78" i="68"/>
  <c r="AC78" i="68"/>
  <c r="AB78" i="68"/>
  <c r="AA78" i="68"/>
  <c r="Z78" i="68"/>
  <c r="Y78" i="68"/>
  <c r="X78" i="68"/>
  <c r="W78" i="68"/>
  <c r="V78" i="68"/>
  <c r="U78" i="68"/>
  <c r="T78" i="68"/>
  <c r="S78" i="68"/>
  <c r="R78" i="68"/>
  <c r="Q78" i="68"/>
  <c r="P78" i="68"/>
  <c r="O78" i="68"/>
  <c r="N78" i="68"/>
  <c r="M78" i="68"/>
  <c r="L78" i="68"/>
  <c r="K78" i="68"/>
  <c r="J78" i="68"/>
  <c r="I78" i="68"/>
  <c r="H78" i="68"/>
  <c r="G78" i="68"/>
  <c r="F78" i="68"/>
  <c r="E78" i="68"/>
  <c r="AM33" i="67" l="1"/>
  <c r="AM29" i="67"/>
  <c r="AM22" i="67"/>
  <c r="AM17" i="67"/>
  <c r="AM20" i="67" s="1"/>
  <c r="AM13" i="67"/>
  <c r="AM9" i="67"/>
  <c r="AM39" i="67" l="1"/>
  <c r="F1" i="84"/>
  <c r="G1" i="84" l="1"/>
  <c r="H1" i="84" l="1"/>
  <c r="R267" i="79"/>
  <c r="T267" i="79" s="1"/>
  <c r="R266" i="79"/>
  <c r="T266" i="79" s="1"/>
  <c r="R265" i="79"/>
  <c r="T265" i="79" s="1"/>
  <c r="R264" i="79"/>
  <c r="T264" i="79" s="1"/>
  <c r="R263" i="79"/>
  <c r="T263" i="79" s="1"/>
  <c r="R262" i="79"/>
  <c r="T262" i="79" s="1"/>
  <c r="R261" i="79"/>
  <c r="T261" i="79" s="1"/>
  <c r="R260" i="79"/>
  <c r="T260" i="79" s="1"/>
  <c r="I1" i="84" l="1"/>
  <c r="J1" i="84" l="1"/>
  <c r="K1" i="84" l="1"/>
  <c r="L1" i="84" l="1"/>
  <c r="AL78" i="68" l="1"/>
  <c r="M1" i="84"/>
  <c r="N1" i="84" l="1"/>
  <c r="O1" i="84" l="1"/>
  <c r="P1" i="84" l="1"/>
  <c r="Q1" i="84" l="1"/>
  <c r="R1" i="84" l="1"/>
  <c r="S1" i="84" l="1"/>
  <c r="AW7" i="10"/>
  <c r="AV6" i="10"/>
  <c r="T1" i="84" l="1"/>
  <c r="AP13" i="29"/>
  <c r="U1" i="84" l="1"/>
  <c r="AP8" i="29"/>
  <c r="AP17" i="29"/>
  <c r="AP16" i="29"/>
  <c r="V15" i="81"/>
  <c r="AL26" i="68"/>
  <c r="AL28" i="68"/>
  <c r="AP18" i="29" l="1"/>
  <c r="V1" i="84"/>
  <c r="V18" i="81"/>
  <c r="H124" i="80"/>
  <c r="H123" i="80"/>
  <c r="H122" i="80"/>
  <c r="AL92" i="68"/>
  <c r="AL69" i="68"/>
  <c r="AK8" i="72"/>
  <c r="AS110" i="46"/>
  <c r="AS109" i="46"/>
  <c r="AS108" i="46"/>
  <c r="AS112" i="46"/>
  <c r="AS77" i="46"/>
  <c r="AS75" i="46"/>
  <c r="AS57" i="46"/>
  <c r="AS56" i="46"/>
  <c r="AS39" i="46"/>
  <c r="AS34" i="46"/>
  <c r="AS38" i="46"/>
  <c r="AS28" i="46"/>
  <c r="AS19" i="46"/>
  <c r="AS15" i="46"/>
  <c r="AS9" i="46"/>
  <c r="AP19" i="44"/>
  <c r="AA46" i="42"/>
  <c r="H129" i="38"/>
  <c r="E129" i="38"/>
  <c r="V305" i="36"/>
  <c r="V303" i="36"/>
  <c r="AS40" i="46" l="1"/>
  <c r="W1" i="84"/>
  <c r="AP15" i="44"/>
  <c r="AS58" i="46"/>
  <c r="AS72" i="46"/>
  <c r="O46" i="42"/>
  <c r="AS20" i="46"/>
  <c r="AS53" i="46"/>
  <c r="AS76" i="46"/>
  <c r="F129" i="38"/>
  <c r="AP12" i="44"/>
  <c r="V306" i="36"/>
  <c r="V300" i="36"/>
  <c r="V302" i="36"/>
  <c r="G129" i="38"/>
  <c r="AP9" i="39"/>
  <c r="V299" i="36"/>
  <c r="K129" i="38"/>
  <c r="AP24" i="48"/>
  <c r="AK21" i="72"/>
  <c r="AS111" i="46"/>
  <c r="AS66" i="46"/>
  <c r="AS37" i="46"/>
  <c r="AS47" i="46"/>
  <c r="AS107" i="46"/>
  <c r="AS18" i="46"/>
  <c r="DN25" i="34"/>
  <c r="DN26" i="34"/>
  <c r="DN23" i="34"/>
  <c r="DM23" i="34"/>
  <c r="DL23" i="34"/>
  <c r="DN20" i="34"/>
  <c r="DN19" i="34"/>
  <c r="DN18" i="34"/>
  <c r="DN17" i="34"/>
  <c r="DN15" i="34"/>
  <c r="DN13" i="34"/>
  <c r="DN12" i="34"/>
  <c r="DN11" i="34"/>
  <c r="DN16" i="34"/>
  <c r="DN10" i="34"/>
  <c r="DN9" i="34"/>
  <c r="DN8" i="34"/>
  <c r="DM21" i="34"/>
  <c r="AP40" i="33"/>
  <c r="AP31" i="33"/>
  <c r="AP28" i="33"/>
  <c r="AP44" i="33"/>
  <c r="AP41" i="33"/>
  <c r="AP39" i="33"/>
  <c r="AP37" i="33"/>
  <c r="AP35" i="33"/>
  <c r="AP34" i="33"/>
  <c r="AP47" i="61"/>
  <c r="AP46" i="61"/>
  <c r="AP45" i="61"/>
  <c r="AP35" i="61"/>
  <c r="AP49" i="61"/>
  <c r="AP44" i="61"/>
  <c r="AP42" i="61"/>
  <c r="AP41" i="61"/>
  <c r="AP40" i="61"/>
  <c r="AP39" i="61"/>
  <c r="AP38" i="61"/>
  <c r="AP27" i="32"/>
  <c r="AP28" i="32"/>
  <c r="AP29" i="32"/>
  <c r="AP25" i="32"/>
  <c r="AP15" i="30"/>
  <c r="AP18" i="30" s="1"/>
  <c r="AP24" i="30"/>
  <c r="AP20" i="26"/>
  <c r="AP10" i="26"/>
  <c r="I93" i="23"/>
  <c r="H93" i="23"/>
  <c r="U22" i="13"/>
  <c r="U21" i="13"/>
  <c r="U20" i="13"/>
  <c r="U19" i="13"/>
  <c r="U18" i="13"/>
  <c r="DN24" i="34" l="1"/>
  <c r="AK24" i="72"/>
  <c r="AS78" i="46"/>
  <c r="DM27" i="34"/>
  <c r="AS59" i="46"/>
  <c r="X1" i="84"/>
  <c r="AP30" i="48"/>
  <c r="AS21" i="46"/>
  <c r="AP22" i="44"/>
  <c r="AP16" i="61"/>
  <c r="DN7" i="34"/>
  <c r="DN21" i="34" s="1"/>
  <c r="DN27" i="34" s="1"/>
  <c r="AP32" i="61"/>
  <c r="DL21" i="34"/>
  <c r="DL27" i="34" s="1"/>
  <c r="AP18" i="44"/>
  <c r="AP21" i="30"/>
  <c r="AP22" i="30" s="1"/>
  <c r="AP25" i="30" s="1"/>
  <c r="AP43" i="61"/>
  <c r="AP48" i="61" s="1"/>
  <c r="AP43" i="33"/>
  <c r="AP45" i="33" s="1"/>
  <c r="AP50" i="61"/>
  <c r="AP51" i="61" s="1"/>
  <c r="AP38" i="33"/>
  <c r="AP42" i="33" s="1"/>
  <c r="AP14" i="33"/>
  <c r="AP17" i="33"/>
  <c r="AP19" i="61"/>
  <c r="AP26" i="32"/>
  <c r="AP10" i="30"/>
  <c r="P93" i="23"/>
  <c r="O93" i="23"/>
  <c r="Y1" i="84" l="1"/>
  <c r="Z1" i="84" l="1"/>
  <c r="AW45" i="9"/>
  <c r="R273" i="79"/>
  <c r="T273" i="79" s="1"/>
  <c r="R276" i="79"/>
  <c r="T276" i="79" s="1"/>
  <c r="R275" i="79"/>
  <c r="T275" i="79" s="1"/>
  <c r="R274" i="79"/>
  <c r="T274" i="79" s="1"/>
  <c r="AW9" i="12"/>
  <c r="AW13" i="12"/>
  <c r="AW15" i="12"/>
  <c r="AW16" i="12"/>
  <c r="AW17" i="12"/>
  <c r="AW18" i="12"/>
  <c r="AW20" i="12"/>
  <c r="AW22" i="12"/>
  <c r="AW24" i="12"/>
  <c r="AW37" i="12"/>
  <c r="AW38" i="12"/>
  <c r="AW40" i="12"/>
  <c r="AW41" i="12"/>
  <c r="AW43" i="12"/>
  <c r="AW37" i="10"/>
  <c r="AZ134" i="9" l="1"/>
  <c r="AW55" i="12"/>
  <c r="AA1" i="84"/>
  <c r="AW36" i="12"/>
  <c r="R277" i="79"/>
  <c r="T277" i="79" s="1"/>
  <c r="R272" i="79"/>
  <c r="T272" i="79" s="1"/>
  <c r="R271" i="79"/>
  <c r="T271" i="79" s="1"/>
  <c r="AW10" i="10"/>
  <c r="AB1" i="84" l="1"/>
  <c r="AW12" i="10"/>
  <c r="AW7" i="12"/>
  <c r="AC1" i="84" l="1"/>
  <c r="AW14" i="10"/>
  <c r="AW16" i="10" s="1"/>
  <c r="AD1" i="84" l="1"/>
  <c r="AW35" i="10"/>
  <c r="AW40" i="10"/>
  <c r="AW37" i="1"/>
  <c r="AW9" i="1"/>
  <c r="AO25" i="55"/>
  <c r="BB11" i="2"/>
  <c r="BB8" i="2"/>
  <c r="AW43" i="10" l="1"/>
  <c r="AW45" i="10" s="1"/>
  <c r="AW48" i="10" s="1"/>
  <c r="AE1" i="84"/>
  <c r="BB7" i="2"/>
  <c r="AW52" i="9"/>
  <c r="AW36" i="10"/>
  <c r="AW11" i="1"/>
  <c r="AW6" i="12"/>
  <c r="AW8" i="12" s="1"/>
  <c r="BB6" i="2" l="1"/>
  <c r="AF1" i="84"/>
  <c r="AW10" i="12"/>
  <c r="BB10" i="2" l="1"/>
  <c r="AP11" i="30"/>
  <c r="AG1" i="84"/>
  <c r="AO11" i="53" l="1"/>
  <c r="BB16" i="2"/>
  <c r="AH1" i="84"/>
  <c r="BB19" i="2" l="1"/>
  <c r="AI1" i="84"/>
  <c r="BD175" i="77"/>
  <c r="BC175" i="77"/>
  <c r="CI323" i="73"/>
  <c r="CI322" i="73"/>
  <c r="CI259" i="73"/>
  <c r="CI321" i="73" s="1"/>
  <c r="CI251" i="73"/>
  <c r="CI320" i="73" s="1"/>
  <c r="CI243" i="73"/>
  <c r="CI235" i="73"/>
  <c r="BB24" i="2" l="1"/>
  <c r="BB26" i="2" s="1"/>
  <c r="BB28" i="2" s="1"/>
  <c r="AJ1" i="84"/>
  <c r="BB30" i="2" l="1"/>
  <c r="AK18" i="63"/>
  <c r="AK1" i="84"/>
  <c r="M27" i="76" l="1"/>
  <c r="AL1" i="84"/>
  <c r="AM1" i="84" l="1"/>
  <c r="AN1" i="84" l="1"/>
  <c r="AO1" i="84" l="1"/>
  <c r="AP1" i="84" l="1"/>
  <c r="AO5" i="84"/>
  <c r="BD173" i="77"/>
  <c r="BC174" i="77"/>
  <c r="BC173" i="77"/>
  <c r="BD174" i="77"/>
  <c r="AO10" i="84" l="1"/>
  <c r="AO11" i="84"/>
  <c r="AO8" i="84"/>
  <c r="AO7" i="84"/>
  <c r="AO14" i="84"/>
  <c r="AO13" i="84"/>
  <c r="CH323" i="73"/>
  <c r="CH322" i="73"/>
  <c r="CH259" i="73"/>
  <c r="CH321" i="73" s="1"/>
  <c r="CH251" i="73"/>
  <c r="CH320" i="73" s="1"/>
  <c r="CH243" i="73"/>
  <c r="CH235" i="73"/>
  <c r="H139" i="9" l="1"/>
  <c r="G139" i="9"/>
  <c r="F139" i="9"/>
  <c r="E139" i="9"/>
  <c r="H138" i="9"/>
  <c r="G138" i="9"/>
  <c r="F138" i="9"/>
  <c r="E138" i="9"/>
  <c r="H137" i="9"/>
  <c r="G137" i="9"/>
  <c r="F137" i="9"/>
  <c r="E137" i="9"/>
  <c r="AL134" i="9"/>
  <c r="AK134" i="9"/>
  <c r="AJ134" i="9"/>
  <c r="H133" i="9"/>
  <c r="G133" i="9"/>
  <c r="F133" i="9"/>
  <c r="E133" i="9"/>
  <c r="E136" i="9" l="1"/>
  <c r="H136" i="9"/>
  <c r="F136" i="9"/>
  <c r="G136" i="9"/>
  <c r="AJ28" i="68" l="1"/>
  <c r="AI28" i="68"/>
  <c r="AH28" i="68"/>
  <c r="AG28" i="68"/>
  <c r="AF28" i="68"/>
  <c r="AE28" i="68"/>
  <c r="AD28" i="68"/>
  <c r="AC28" i="68"/>
  <c r="AB28" i="68"/>
  <c r="AA28" i="68"/>
  <c r="Z28" i="68"/>
  <c r="Y28" i="68"/>
  <c r="X28" i="68"/>
  <c r="W28" i="68"/>
  <c r="V28" i="68"/>
  <c r="U28" i="68"/>
  <c r="T28" i="68"/>
  <c r="S28" i="68"/>
  <c r="R28" i="68"/>
  <c r="Q28" i="68"/>
  <c r="P28" i="68"/>
  <c r="O28" i="68"/>
  <c r="N28" i="68"/>
  <c r="M28" i="68"/>
  <c r="L28" i="68"/>
  <c r="K28" i="68"/>
  <c r="J28" i="68"/>
  <c r="I28" i="68"/>
  <c r="H28" i="68"/>
  <c r="G28" i="68"/>
  <c r="E28" i="68"/>
  <c r="AK28" i="68"/>
  <c r="AK31" i="68"/>
  <c r="AJ31" i="68"/>
  <c r="AI31" i="68"/>
  <c r="AH31" i="68"/>
  <c r="AG31" i="68"/>
  <c r="AF31" i="68"/>
  <c r="AE31" i="68"/>
  <c r="AD31" i="68"/>
  <c r="AC31" i="68"/>
  <c r="AB31" i="68"/>
  <c r="AA31" i="68"/>
  <c r="Z31" i="68"/>
  <c r="Y31" i="68"/>
  <c r="X31" i="68"/>
  <c r="W31" i="68"/>
  <c r="V31" i="68"/>
  <c r="U31" i="68"/>
  <c r="T31" i="68"/>
  <c r="S31" i="68"/>
  <c r="R31" i="68"/>
  <c r="Q31" i="68"/>
  <c r="P31" i="68"/>
  <c r="O31" i="68"/>
  <c r="N31" i="68"/>
  <c r="M31" i="68"/>
  <c r="L31" i="68"/>
  <c r="K31" i="68"/>
  <c r="J31" i="68"/>
  <c r="I31" i="68"/>
  <c r="H31" i="68"/>
  <c r="G31" i="68"/>
  <c r="E31" i="68"/>
  <c r="AK54" i="68" l="1"/>
  <c r="AJ54" i="68"/>
  <c r="AK26" i="68"/>
  <c r="AJ26" i="68"/>
  <c r="AK23" i="68"/>
  <c r="AJ23" i="68"/>
  <c r="AK50" i="68" l="1"/>
  <c r="AJ60" i="68"/>
  <c r="AK60" i="68"/>
  <c r="AJ50" i="68"/>
  <c r="AJ45" i="68"/>
  <c r="AJ32" i="68"/>
  <c r="AK45" i="68"/>
  <c r="AK32" i="68"/>
  <c r="AJ51" i="68" l="1"/>
  <c r="AJ61" i="68" s="1"/>
  <c r="AK51" i="68"/>
  <c r="AK61" i="68" s="1"/>
  <c r="CG259" i="73" l="1"/>
  <c r="CG321" i="73" s="1"/>
  <c r="CG251" i="73"/>
  <c r="CG320" i="73" s="1"/>
  <c r="CG243" i="73"/>
  <c r="CG235" i="73"/>
  <c r="CG323" i="73"/>
  <c r="CG322" i="73"/>
  <c r="BB41" i="3" l="1"/>
  <c r="J29" i="76" l="1"/>
  <c r="L31" i="76"/>
  <c r="AP18" i="39" l="1"/>
  <c r="L30" i="76"/>
  <c r="G29" i="76"/>
  <c r="AV7" i="10" l="1"/>
  <c r="S18" i="81"/>
  <c r="S15" i="81"/>
  <c r="U18" i="81"/>
  <c r="AN24" i="65"/>
  <c r="AM20" i="53"/>
  <c r="AM21" i="53"/>
  <c r="AN8" i="53"/>
  <c r="AL50" i="52"/>
  <c r="AL49" i="52"/>
  <c r="AL48" i="52"/>
  <c r="AL46" i="52"/>
  <c r="AL45" i="52"/>
  <c r="AL43" i="52"/>
  <c r="AL42" i="52"/>
  <c r="AL41" i="52"/>
  <c r="AL47" i="52"/>
  <c r="AL40" i="52"/>
  <c r="AL39" i="52"/>
  <c r="AL38" i="52"/>
  <c r="AL35" i="52"/>
  <c r="AL19" i="52"/>
  <c r="AN50" i="52"/>
  <c r="AN49" i="52"/>
  <c r="AN48" i="52"/>
  <c r="AN46" i="52"/>
  <c r="AM39" i="49"/>
  <c r="AM21" i="49"/>
  <c r="AJ8" i="72"/>
  <c r="AR112" i="46"/>
  <c r="AR111" i="46"/>
  <c r="AR109" i="46"/>
  <c r="AR108" i="46"/>
  <c r="AR77" i="46"/>
  <c r="AR76" i="46"/>
  <c r="AR57" i="46"/>
  <c r="AR37" i="46"/>
  <c r="AR18" i="46"/>
  <c r="AM57" i="49" l="1"/>
  <c r="AL51" i="52"/>
  <c r="AR15" i="46"/>
  <c r="AR75" i="46"/>
  <c r="AR53" i="46"/>
  <c r="AR56" i="46"/>
  <c r="AN23" i="53"/>
  <c r="AR28" i="46"/>
  <c r="AR47" i="46"/>
  <c r="AR19" i="46"/>
  <c r="AR34" i="46"/>
  <c r="AR39" i="46"/>
  <c r="AR66" i="46"/>
  <c r="AR20" i="46"/>
  <c r="AR72" i="46"/>
  <c r="AK69" i="68"/>
  <c r="U15" i="81"/>
  <c r="P117" i="80"/>
  <c r="P116" i="80"/>
  <c r="H116" i="80"/>
  <c r="H117" i="80"/>
  <c r="H115" i="80"/>
  <c r="P115" i="80"/>
  <c r="AK92" i="68"/>
  <c r="AN4" i="55"/>
  <c r="AN25" i="65"/>
  <c r="AN23" i="65"/>
  <c r="AN22" i="65"/>
  <c r="AN86" i="71"/>
  <c r="AN21" i="53"/>
  <c r="AN15" i="53"/>
  <c r="AN17" i="53" s="1"/>
  <c r="AN10" i="53"/>
  <c r="AN20" i="53"/>
  <c r="AN42" i="52"/>
  <c r="AN45" i="52"/>
  <c r="AN44" i="52"/>
  <c r="AN39" i="52"/>
  <c r="AN40" i="52"/>
  <c r="AN19" i="52"/>
  <c r="AN43" i="52"/>
  <c r="AN41" i="52"/>
  <c r="AN38" i="52"/>
  <c r="AJ21" i="72"/>
  <c r="AR107" i="46"/>
  <c r="AR110" i="46"/>
  <c r="AR9" i="46"/>
  <c r="AR38" i="46"/>
  <c r="AR58" i="46"/>
  <c r="AR59" i="46" l="1"/>
  <c r="AJ24" i="72"/>
  <c r="AN27" i="65"/>
  <c r="AR21" i="46"/>
  <c r="AR78" i="46"/>
  <c r="AN22" i="53"/>
  <c r="AN24" i="53" s="1"/>
  <c r="AR40" i="46"/>
  <c r="V292" i="36" l="1"/>
  <c r="DH12" i="34"/>
  <c r="DH11" i="34"/>
  <c r="DH16" i="34"/>
  <c r="DH10" i="34"/>
  <c r="DH9" i="34"/>
  <c r="DH8" i="34"/>
  <c r="DH7" i="34"/>
  <c r="DK23" i="34"/>
  <c r="DJ23" i="34"/>
  <c r="DI23" i="34"/>
  <c r="DK20" i="34"/>
  <c r="DK19" i="34"/>
  <c r="DK18" i="34"/>
  <c r="DK17" i="34"/>
  <c r="DK15" i="34"/>
  <c r="V290" i="36" l="1"/>
  <c r="V293" i="36"/>
  <c r="DK25" i="34"/>
  <c r="DK24" i="34" s="1"/>
  <c r="V295" i="36"/>
  <c r="DJ21" i="34"/>
  <c r="DJ27" i="34" s="1"/>
  <c r="F139" i="38"/>
  <c r="K139" i="38"/>
  <c r="H139" i="38"/>
  <c r="G139" i="38"/>
  <c r="E139" i="38"/>
  <c r="V294" i="36"/>
  <c r="V296" i="36"/>
  <c r="V291" i="36"/>
  <c r="DI21" i="34"/>
  <c r="DI27" i="34" s="1"/>
  <c r="DK21" i="34" l="1"/>
  <c r="DK27" i="34" s="1"/>
  <c r="AV24" i="12" l="1"/>
  <c r="AF24" i="12"/>
  <c r="AB24" i="12"/>
  <c r="AA24" i="12"/>
  <c r="Z24" i="12"/>
  <c r="Y24" i="12"/>
  <c r="X24" i="12"/>
  <c r="W24" i="12"/>
  <c r="V24" i="12"/>
  <c r="U24" i="12"/>
  <c r="T24" i="12"/>
  <c r="S24" i="12"/>
  <c r="R24" i="12"/>
  <c r="Q24" i="12"/>
  <c r="P24" i="12"/>
  <c r="O24" i="12"/>
  <c r="N24" i="12"/>
  <c r="M24" i="12"/>
  <c r="L24" i="12"/>
  <c r="K24" i="12"/>
  <c r="J24" i="12"/>
  <c r="I24" i="12"/>
  <c r="G24" i="12"/>
  <c r="F24" i="12"/>
  <c r="E24" i="12"/>
  <c r="AO15" i="32" l="1"/>
  <c r="AO6" i="32"/>
  <c r="AO12" i="32" s="1"/>
  <c r="AO1" i="32"/>
  <c r="AO21" i="32" l="1"/>
  <c r="AP15" i="32" s="1"/>
  <c r="AP21" i="32" s="1"/>
  <c r="AO5" i="32"/>
  <c r="AO2" i="32"/>
  <c r="AP1" i="32"/>
  <c r="AO24" i="32"/>
  <c r="AO30" i="32" s="1"/>
  <c r="AN26" i="31"/>
  <c r="AN27" i="31"/>
  <c r="AN28" i="31"/>
  <c r="AN21" i="31"/>
  <c r="AN20" i="31" s="1"/>
  <c r="AN12" i="31"/>
  <c r="AN11" i="31" s="1"/>
  <c r="AN25" i="31"/>
  <c r="AN24" i="31"/>
  <c r="AN13" i="31" l="1"/>
  <c r="AO13" i="32"/>
  <c r="AP6" i="32"/>
  <c r="AP12" i="32" s="1"/>
  <c r="AO23" i="32"/>
  <c r="AO14" i="32"/>
  <c r="AN30" i="31"/>
  <c r="AN29" i="31" s="1"/>
  <c r="N101" i="23"/>
  <c r="P101" i="23"/>
  <c r="O101" i="23"/>
  <c r="G101" i="23"/>
  <c r="T22" i="13"/>
  <c r="T21" i="13"/>
  <c r="T20" i="13"/>
  <c r="T19" i="13"/>
  <c r="T18" i="13"/>
  <c r="AN13" i="24" l="1"/>
  <c r="I101" i="23"/>
  <c r="H101" i="23"/>
  <c r="AV45" i="9" l="1"/>
  <c r="AI13" i="63" l="1"/>
  <c r="AI12" i="63"/>
  <c r="AV43" i="12"/>
  <c r="AV41" i="12"/>
  <c r="AV40" i="12"/>
  <c r="AV22" i="12"/>
  <c r="AV20" i="12"/>
  <c r="AV18" i="12"/>
  <c r="AV17" i="12"/>
  <c r="AV16" i="12"/>
  <c r="AV15" i="12"/>
  <c r="AV37" i="10"/>
  <c r="AV13" i="12"/>
  <c r="AV11" i="12"/>
  <c r="AV10" i="10"/>
  <c r="AV38" i="12"/>
  <c r="AV37" i="1"/>
  <c r="AV9" i="12"/>
  <c r="AV9" i="1"/>
  <c r="AY134" i="9" l="1"/>
  <c r="AV7" i="12"/>
  <c r="AV11" i="1"/>
  <c r="AV55" i="12"/>
  <c r="AV12" i="10"/>
  <c r="AV6" i="12"/>
  <c r="AV37" i="12"/>
  <c r="AV36" i="12" s="1"/>
  <c r="AV8" i="12" l="1"/>
  <c r="AV10" i="12"/>
  <c r="AV13" i="1"/>
  <c r="AV15" i="1" s="1"/>
  <c r="AV14" i="10"/>
  <c r="AV16" i="10" s="1"/>
  <c r="AV35" i="10" l="1"/>
  <c r="AV12" i="12"/>
  <c r="AV14" i="12" s="1"/>
  <c r="AV40" i="1"/>
  <c r="AV43" i="1" s="1"/>
  <c r="AV45" i="1" s="1"/>
  <c r="AV48" i="1" s="1"/>
  <c r="AV35" i="1"/>
  <c r="AV40" i="10"/>
  <c r="AV43" i="10" s="1"/>
  <c r="AV45" i="10" s="1"/>
  <c r="AV48" i="10" s="1"/>
  <c r="BA11" i="2"/>
  <c r="BA8" i="2"/>
  <c r="BA7" i="2"/>
  <c r="AV39" i="12" l="1"/>
  <c r="AV34" i="12"/>
  <c r="AV36" i="10"/>
  <c r="AV36" i="1"/>
  <c r="AV52" i="9"/>
  <c r="BA6" i="2"/>
  <c r="AH161" i="83"/>
  <c r="AH150" i="83"/>
  <c r="AH130" i="83"/>
  <c r="AH116" i="83"/>
  <c r="AH110" i="83"/>
  <c r="AH92" i="83"/>
  <c r="AH85" i="83"/>
  <c r="AH72" i="83"/>
  <c r="AH35" i="83"/>
  <c r="AH23" i="83"/>
  <c r="AO11" i="30" l="1"/>
  <c r="AV35" i="12"/>
  <c r="AV42" i="12"/>
  <c r="AV44" i="12" s="1"/>
  <c r="AV48" i="12" s="1"/>
  <c r="BA10" i="2"/>
  <c r="AV50" i="12" l="1"/>
  <c r="AN11" i="53"/>
  <c r="BA16" i="2"/>
  <c r="S322" i="73"/>
  <c r="T322" i="73"/>
  <c r="U322" i="73"/>
  <c r="V322" i="73"/>
  <c r="W322" i="73"/>
  <c r="S323" i="73"/>
  <c r="T323" i="73"/>
  <c r="U323" i="73"/>
  <c r="V323" i="73"/>
  <c r="W323" i="73"/>
  <c r="BA19" i="2" l="1"/>
  <c r="BA24" i="2" l="1"/>
  <c r="BA26" i="2" s="1"/>
  <c r="BA28" i="2" s="1"/>
  <c r="BD172" i="77" l="1"/>
  <c r="BA30" i="2"/>
  <c r="AJ18" i="63"/>
  <c r="BC172" i="77"/>
  <c r="CF235" i="73" l="1"/>
  <c r="CF243" i="73"/>
  <c r="CF251" i="73"/>
  <c r="CF320" i="73" s="1"/>
  <c r="CF259" i="73"/>
  <c r="CF321" i="73" s="1"/>
  <c r="CF322" i="73"/>
  <c r="CF323" i="73"/>
  <c r="CF181" i="73" l="1"/>
  <c r="CF199" i="73"/>
  <c r="CF190" i="73"/>
  <c r="CE235" i="73"/>
  <c r="CD235" i="73"/>
  <c r="CC235" i="73"/>
  <c r="CB235" i="73"/>
  <c r="CA235" i="73"/>
  <c r="CE215" i="73"/>
  <c r="CD215" i="73"/>
  <c r="CC215" i="73"/>
  <c r="CB215" i="73"/>
  <c r="CA215" i="73"/>
  <c r="BZ215" i="73"/>
  <c r="BY215" i="73"/>
  <c r="BX215" i="73"/>
  <c r="BW215" i="73"/>
  <c r="BV215" i="73"/>
  <c r="BU215" i="73"/>
  <c r="BT215" i="73"/>
  <c r="BR215" i="73"/>
  <c r="BQ215" i="73"/>
  <c r="BP215" i="73"/>
  <c r="BS215" i="73"/>
  <c r="CB323" i="73" l="1"/>
  <c r="CB322" i="73"/>
  <c r="CB259" i="73"/>
  <c r="CB321" i="73" s="1"/>
  <c r="CB251" i="73"/>
  <c r="CB320" i="73" s="1"/>
  <c r="CB243" i="73"/>
  <c r="CB206" i="73"/>
  <c r="CB197" i="73"/>
  <c r="CB188" i="73"/>
  <c r="BC171" i="77" l="1"/>
  <c r="BD171" i="77"/>
  <c r="CE323" i="73"/>
  <c r="CE322" i="73"/>
  <c r="CE259" i="73"/>
  <c r="CE321" i="73" s="1"/>
  <c r="CE251" i="73"/>
  <c r="CE320" i="73" s="1"/>
  <c r="CE243" i="73"/>
  <c r="CE206" i="73"/>
  <c r="CE197" i="73"/>
  <c r="CE188" i="73"/>
  <c r="AK39" i="49" l="1"/>
  <c r="AJ39" i="49"/>
  <c r="AI39" i="49"/>
  <c r="BC170" i="77" l="1"/>
  <c r="BD170" i="77"/>
  <c r="AD47" i="63" l="1"/>
  <c r="AF47" i="63" s="1"/>
  <c r="CD323" i="73" l="1"/>
  <c r="CD322" i="73"/>
  <c r="CD259" i="73"/>
  <c r="CD321" i="73" s="1"/>
  <c r="CD251" i="73"/>
  <c r="CD320" i="73" s="1"/>
  <c r="CD243" i="73"/>
  <c r="CD206" i="73"/>
  <c r="CD197" i="73"/>
  <c r="CD188" i="73"/>
  <c r="AJ44" i="52" l="1"/>
  <c r="L33" i="76" l="1"/>
  <c r="L32" i="76"/>
  <c r="V276" i="36" l="1"/>
  <c r="V275" i="36"/>
  <c r="V274" i="36"/>
  <c r="V273" i="36"/>
  <c r="V272" i="36"/>
  <c r="V271" i="36"/>
  <c r="V270" i="36"/>
  <c r="V269" i="36"/>
  <c r="AN13" i="55" l="1"/>
  <c r="AN24" i="55" s="1"/>
  <c r="AM44" i="52"/>
  <c r="AN25" i="55" l="1"/>
  <c r="V289" i="36"/>
  <c r="O45" i="42"/>
  <c r="T15" i="81" l="1"/>
  <c r="H110" i="80"/>
  <c r="H108" i="80"/>
  <c r="AM24" i="65"/>
  <c r="AM50" i="52"/>
  <c r="AM49" i="52"/>
  <c r="AM48" i="52"/>
  <c r="AM46" i="52"/>
  <c r="AI8" i="72"/>
  <c r="AP20" i="46"/>
  <c r="AN20" i="46"/>
  <c r="AM20" i="46"/>
  <c r="AL20" i="46"/>
  <c r="AK20" i="46"/>
  <c r="AJ20" i="46"/>
  <c r="AP19" i="46"/>
  <c r="AN19" i="46"/>
  <c r="AM19" i="46"/>
  <c r="AL19" i="46"/>
  <c r="AK19" i="46"/>
  <c r="AJ19" i="46"/>
  <c r="AP18" i="46"/>
  <c r="AN18" i="46"/>
  <c r="AM18" i="46"/>
  <c r="AL18" i="46"/>
  <c r="AK18" i="46"/>
  <c r="AJ18" i="46"/>
  <c r="AQ109" i="46"/>
  <c r="AQ108" i="46"/>
  <c r="AQ72" i="46"/>
  <c r="AQ77" i="46"/>
  <c r="AQ76" i="46"/>
  <c r="AQ66" i="46"/>
  <c r="AQ53" i="46"/>
  <c r="AQ47" i="46"/>
  <c r="AQ58" i="46"/>
  <c r="AQ57" i="46"/>
  <c r="AQ56" i="46"/>
  <c r="AQ34" i="46"/>
  <c r="AQ28" i="46"/>
  <c r="AQ15" i="46"/>
  <c r="AQ20" i="46"/>
  <c r="AQ19" i="46"/>
  <c r="AQ18" i="46"/>
  <c r="AL31" i="45"/>
  <c r="AL30" i="45"/>
  <c r="AL29" i="45"/>
  <c r="AL28" i="45"/>
  <c r="AL27" i="45"/>
  <c r="AL26" i="45"/>
  <c r="AN30" i="45"/>
  <c r="AN29" i="45"/>
  <c r="AN28" i="45"/>
  <c r="AN27" i="45"/>
  <c r="AN26" i="45"/>
  <c r="AN15" i="44"/>
  <c r="AN12" i="44"/>
  <c r="AA43" i="42"/>
  <c r="AA44" i="42"/>
  <c r="AN9" i="39"/>
  <c r="V285" i="36"/>
  <c r="V283" i="36"/>
  <c r="V282" i="36"/>
  <c r="V280" i="36"/>
  <c r="DH25" i="34"/>
  <c r="DH24" i="34" s="1"/>
  <c r="DH23" i="34"/>
  <c r="DG23" i="34"/>
  <c r="DF23" i="34"/>
  <c r="DH20" i="34"/>
  <c r="DH19" i="34"/>
  <c r="DH18" i="34"/>
  <c r="DH17" i="34"/>
  <c r="DH15" i="34"/>
  <c r="DG21" i="34"/>
  <c r="AN40" i="33"/>
  <c r="AN31" i="33"/>
  <c r="AN44" i="33"/>
  <c r="AN17" i="33"/>
  <c r="AN41" i="33"/>
  <c r="AN39" i="33"/>
  <c r="AN37" i="33"/>
  <c r="AN35" i="33"/>
  <c r="AN34" i="33"/>
  <c r="AN47" i="61"/>
  <c r="AN46" i="61"/>
  <c r="AN45" i="61"/>
  <c r="AN35" i="61"/>
  <c r="AN50" i="61"/>
  <c r="AN49" i="61"/>
  <c r="AN44" i="61"/>
  <c r="AN43" i="61"/>
  <c r="AN42" i="61"/>
  <c r="AN41" i="61"/>
  <c r="AN40" i="61"/>
  <c r="AN39" i="61"/>
  <c r="AN38" i="61"/>
  <c r="AM21" i="31"/>
  <c r="AM28" i="31"/>
  <c r="AM27" i="31"/>
  <c r="AM26" i="31"/>
  <c r="AM12" i="31"/>
  <c r="AM13" i="31" s="1"/>
  <c r="AN15" i="30"/>
  <c r="AN18" i="30" s="1"/>
  <c r="AN24" i="30"/>
  <c r="AN10" i="30"/>
  <c r="AN13" i="29"/>
  <c r="AN17" i="29"/>
  <c r="AN16" i="29"/>
  <c r="AN20" i="26"/>
  <c r="AN10" i="26"/>
  <c r="O109" i="23"/>
  <c r="AM13" i="24"/>
  <c r="S22" i="13"/>
  <c r="R22" i="13"/>
  <c r="Q22" i="13"/>
  <c r="S21" i="13"/>
  <c r="R21" i="13"/>
  <c r="Q21" i="13"/>
  <c r="S20" i="13"/>
  <c r="R20" i="13"/>
  <c r="Q20" i="13"/>
  <c r="S19" i="13"/>
  <c r="R19" i="13"/>
  <c r="Q19" i="13"/>
  <c r="S18" i="13"/>
  <c r="AU45" i="9"/>
  <c r="DG27" i="34" l="1"/>
  <c r="AQ78" i="46"/>
  <c r="AN51" i="61"/>
  <c r="AQ21" i="46"/>
  <c r="AN18" i="29"/>
  <c r="AN18" i="44"/>
  <c r="AN8" i="29"/>
  <c r="AM24" i="31"/>
  <c r="AN43" i="33"/>
  <c r="AN45" i="33" s="1"/>
  <c r="AQ75" i="46"/>
  <c r="AQ59" i="46"/>
  <c r="AN21" i="30"/>
  <c r="AN22" i="30" s="1"/>
  <c r="AN25" i="30" s="1"/>
  <c r="AM25" i="31"/>
  <c r="AQ9" i="46"/>
  <c r="DF21" i="34"/>
  <c r="DF27" i="34" s="1"/>
  <c r="AN32" i="61"/>
  <c r="AN13" i="45"/>
  <c r="AN38" i="33"/>
  <c r="AN42" i="33" s="1"/>
  <c r="AN28" i="33"/>
  <c r="AQ40" i="46"/>
  <c r="AN19" i="44"/>
  <c r="AN22" i="44" s="1"/>
  <c r="T18" i="81"/>
  <c r="P110" i="80"/>
  <c r="P109" i="80"/>
  <c r="P108" i="80"/>
  <c r="H109" i="80"/>
  <c r="AJ92" i="68"/>
  <c r="AJ69" i="68"/>
  <c r="AM4" i="55"/>
  <c r="AM23" i="65"/>
  <c r="AM25" i="65"/>
  <c r="AM22" i="65"/>
  <c r="AM86" i="71"/>
  <c r="AM23" i="53"/>
  <c r="AM15" i="53"/>
  <c r="AM17" i="53" s="1"/>
  <c r="AM22" i="53"/>
  <c r="AM8" i="53"/>
  <c r="AM10" i="53" s="1"/>
  <c r="AM42" i="52"/>
  <c r="AM47" i="52"/>
  <c r="AM39" i="52"/>
  <c r="AM41" i="52"/>
  <c r="AM40" i="52"/>
  <c r="AM43" i="52"/>
  <c r="AM35" i="52"/>
  <c r="AM45" i="52"/>
  <c r="AM19" i="52"/>
  <c r="AM38" i="52"/>
  <c r="AN24" i="48"/>
  <c r="AI21" i="72"/>
  <c r="AN31" i="45"/>
  <c r="AN33" i="45" s="1"/>
  <c r="O44" i="42"/>
  <c r="AN18" i="39"/>
  <c r="F148" i="38"/>
  <c r="G148" i="38"/>
  <c r="H148" i="38"/>
  <c r="E148" i="38"/>
  <c r="K148" i="38"/>
  <c r="AN14" i="33"/>
  <c r="AN48" i="61"/>
  <c r="AN16" i="61"/>
  <c r="AN19" i="61"/>
  <c r="AN12" i="26"/>
  <c r="AN13" i="26" s="1"/>
  <c r="AN22" i="26"/>
  <c r="AN23" i="26" s="1"/>
  <c r="P109" i="23"/>
  <c r="N109" i="23"/>
  <c r="AM27" i="65" l="1"/>
  <c r="AI24" i="72"/>
  <c r="DH21" i="34"/>
  <c r="DH27" i="34" s="1"/>
  <c r="AM24" i="53"/>
  <c r="AM30" i="31"/>
  <c r="AM29" i="31" s="1"/>
  <c r="AN30" i="48"/>
  <c r="AM51" i="52"/>
  <c r="I109" i="23" l="1"/>
  <c r="G109" i="23" l="1"/>
  <c r="H109" i="23" l="1"/>
  <c r="AU22" i="12" l="1"/>
  <c r="AU20" i="12"/>
  <c r="AU18" i="12"/>
  <c r="AU17" i="12"/>
  <c r="AU16" i="12"/>
  <c r="AU15" i="12"/>
  <c r="AU9" i="12"/>
  <c r="AT10" i="10"/>
  <c r="AT12" i="10" s="1"/>
  <c r="AT37" i="10"/>
  <c r="AU43" i="12"/>
  <c r="AU37" i="10"/>
  <c r="AU11" i="12"/>
  <c r="AU10" i="10"/>
  <c r="AT48" i="1"/>
  <c r="AT37" i="1"/>
  <c r="AT9" i="1"/>
  <c r="AT11" i="1" s="1"/>
  <c r="AU40" i="12"/>
  <c r="AU38" i="12"/>
  <c r="AU37" i="12"/>
  <c r="AU7" i="12" l="1"/>
  <c r="AX134" i="9"/>
  <c r="AT13" i="1"/>
  <c r="AT15" i="1" s="1"/>
  <c r="AT14" i="10"/>
  <c r="AT16" i="10" s="1"/>
  <c r="AT40" i="10" s="1"/>
  <c r="AU36" i="12"/>
  <c r="AU55" i="12"/>
  <c r="AU12" i="10"/>
  <c r="AU9" i="1"/>
  <c r="AU37" i="1"/>
  <c r="AU13" i="12"/>
  <c r="AY6" i="2"/>
  <c r="AZ11" i="2"/>
  <c r="AZ8" i="2"/>
  <c r="AT40" i="1" l="1"/>
  <c r="AT43" i="1" s="1"/>
  <c r="AT35" i="10"/>
  <c r="AT36" i="10" s="1"/>
  <c r="AY10" i="2"/>
  <c r="AT35" i="1"/>
  <c r="AT43" i="10"/>
  <c r="AT45" i="10" s="1"/>
  <c r="AT48" i="10" s="1"/>
  <c r="AU14" i="10"/>
  <c r="AU16" i="10" s="1"/>
  <c r="AZ7" i="2"/>
  <c r="AU11" i="1"/>
  <c r="AU6" i="12"/>
  <c r="AU8" i="12" s="1"/>
  <c r="BB6" i="3"/>
  <c r="BB23" i="3"/>
  <c r="BB33" i="3"/>
  <c r="BB42" i="3"/>
  <c r="BB61" i="3"/>
  <c r="BB78" i="3"/>
  <c r="AT36" i="1" l="1"/>
  <c r="AY16" i="2"/>
  <c r="AU40" i="10"/>
  <c r="AZ6" i="2"/>
  <c r="AU35" i="10"/>
  <c r="AU52" i="9"/>
  <c r="AU13" i="1"/>
  <c r="AU15" i="1" s="1"/>
  <c r="AU10" i="12"/>
  <c r="BB39" i="3"/>
  <c r="BB90" i="3"/>
  <c r="AY19" i="2" l="1"/>
  <c r="AU43" i="10"/>
  <c r="AU45" i="10" s="1"/>
  <c r="AU48" i="10" s="1"/>
  <c r="BB91" i="3"/>
  <c r="AZ10" i="2"/>
  <c r="AN11" i="30"/>
  <c r="AU36" i="10"/>
  <c r="BD169" i="77"/>
  <c r="BC169" i="77"/>
  <c r="AU12" i="12"/>
  <c r="AU14" i="12" s="1"/>
  <c r="AU40" i="1"/>
  <c r="AU35" i="1"/>
  <c r="CC323" i="73"/>
  <c r="CC322" i="73"/>
  <c r="CC259" i="73"/>
  <c r="CC321" i="73" s="1"/>
  <c r="CC251" i="73"/>
  <c r="CC320" i="73" s="1"/>
  <c r="CC243" i="73"/>
  <c r="CC206" i="73"/>
  <c r="CC197" i="73"/>
  <c r="CC188" i="73"/>
  <c r="AY24" i="2" l="1"/>
  <c r="AM11" i="53"/>
  <c r="AZ16" i="2"/>
  <c r="AU39" i="12"/>
  <c r="AU34" i="12"/>
  <c r="AU36" i="1"/>
  <c r="AZ19" i="2" l="1"/>
  <c r="AU35" i="12"/>
  <c r="BD100" i="77"/>
  <c r="BC100" i="77"/>
  <c r="BD99" i="77"/>
  <c r="BC99" i="77"/>
  <c r="BD98" i="77"/>
  <c r="BC98" i="77"/>
  <c r="BD97" i="77"/>
  <c r="BC97" i="77"/>
  <c r="BD96" i="77"/>
  <c r="BC96" i="77"/>
  <c r="BD95" i="77"/>
  <c r="BC95" i="77"/>
  <c r="BD94" i="77"/>
  <c r="BC94" i="77"/>
  <c r="BD93" i="77"/>
  <c r="BC93" i="77"/>
  <c r="BD92" i="77"/>
  <c r="BC92" i="77"/>
  <c r="BD91" i="77"/>
  <c r="BC91" i="77"/>
  <c r="BD90" i="77"/>
  <c r="BC90" i="77"/>
  <c r="BD89" i="77"/>
  <c r="BC89" i="77"/>
  <c r="BD88" i="77"/>
  <c r="BC88" i="77"/>
  <c r="BD87" i="77"/>
  <c r="BC87" i="77"/>
  <c r="BD86" i="77"/>
  <c r="BC86" i="77"/>
  <c r="BD85" i="77"/>
  <c r="BC85" i="77"/>
  <c r="BD84" i="77"/>
  <c r="BC84" i="77"/>
  <c r="BD83" i="77"/>
  <c r="BC83" i="77"/>
  <c r="BD82" i="77"/>
  <c r="BC82" i="77"/>
  <c r="BD81" i="77"/>
  <c r="BC81" i="77"/>
  <c r="BD80" i="77"/>
  <c r="BC80" i="77"/>
  <c r="BD79" i="77"/>
  <c r="BC79" i="77"/>
  <c r="BD78" i="77"/>
  <c r="BC78" i="77"/>
  <c r="BD77" i="77"/>
  <c r="BC77" i="77"/>
  <c r="BD76" i="77"/>
  <c r="BC76" i="77"/>
  <c r="BD75" i="77"/>
  <c r="BC75" i="77"/>
  <c r="BD74" i="77"/>
  <c r="BC74" i="77"/>
  <c r="BD73" i="77"/>
  <c r="BC73" i="77"/>
  <c r="BD72" i="77"/>
  <c r="BC72" i="77"/>
  <c r="BD71" i="77"/>
  <c r="BC71" i="77"/>
  <c r="BD70" i="77"/>
  <c r="BC70" i="77"/>
  <c r="BD69" i="77"/>
  <c r="BC69" i="77"/>
  <c r="BD68" i="77"/>
  <c r="BC68" i="77"/>
  <c r="BD67" i="77"/>
  <c r="BC67" i="77"/>
  <c r="BD66" i="77"/>
  <c r="BC66" i="77"/>
  <c r="BD65" i="77"/>
  <c r="BC65" i="77"/>
  <c r="BD64" i="77"/>
  <c r="BC64" i="77"/>
  <c r="BD63" i="77"/>
  <c r="BC63" i="77"/>
  <c r="BD62" i="77"/>
  <c r="BC62" i="77"/>
  <c r="BD61" i="77"/>
  <c r="BC61" i="77"/>
  <c r="BD60" i="77"/>
  <c r="BC60" i="77"/>
  <c r="BD59" i="77"/>
  <c r="BC59" i="77"/>
  <c r="BD58" i="77"/>
  <c r="BC58" i="77"/>
  <c r="BD57" i="77"/>
  <c r="BC57" i="77"/>
  <c r="BD56" i="77"/>
  <c r="BC56" i="77"/>
  <c r="BD55" i="77"/>
  <c r="BC55" i="77"/>
  <c r="BD54" i="77"/>
  <c r="BC54" i="77"/>
  <c r="BD53" i="77"/>
  <c r="BC53" i="77"/>
  <c r="AW27" i="9" l="1"/>
  <c r="AW133" i="9" s="1"/>
  <c r="AX27" i="9"/>
  <c r="AX133" i="9" s="1"/>
  <c r="AX135" i="9" s="1"/>
  <c r="BC168" i="77"/>
  <c r="BD168" i="77"/>
  <c r="CA259" i="73" l="1"/>
  <c r="CA321" i="73" s="1"/>
  <c r="BZ259" i="73"/>
  <c r="BY259" i="73"/>
  <c r="BX259" i="73"/>
  <c r="BW259" i="73"/>
  <c r="BV259" i="73"/>
  <c r="BU259" i="73"/>
  <c r="BT259" i="73"/>
  <c r="BS259" i="73"/>
  <c r="BR259" i="73"/>
  <c r="BQ259" i="73"/>
  <c r="BO259" i="73"/>
  <c r="BN259" i="73"/>
  <c r="BM259" i="73"/>
  <c r="BL259" i="73"/>
  <c r="BK259" i="73"/>
  <c r="BJ259" i="73"/>
  <c r="BI259" i="73"/>
  <c r="BH259" i="73"/>
  <c r="BG259" i="73"/>
  <c r="BF259" i="73"/>
  <c r="BE259" i="73"/>
  <c r="BD259" i="73"/>
  <c r="BC259" i="73"/>
  <c r="BB259" i="73"/>
  <c r="BA259" i="73"/>
  <c r="AZ259" i="73"/>
  <c r="AY259" i="73"/>
  <c r="AX259" i="73"/>
  <c r="AW259" i="73"/>
  <c r="AV259" i="73"/>
  <c r="AU259" i="73"/>
  <c r="AT259" i="73"/>
  <c r="AS259" i="73"/>
  <c r="AR259" i="73"/>
  <c r="AQ259" i="73"/>
  <c r="AP259" i="73"/>
  <c r="AN259" i="73"/>
  <c r="AM259" i="73"/>
  <c r="AL259" i="73"/>
  <c r="AK259" i="73"/>
  <c r="AJ259" i="73"/>
  <c r="AI259" i="73"/>
  <c r="AH259" i="73"/>
  <c r="AG259" i="73"/>
  <c r="AF259" i="73"/>
  <c r="AE259" i="73"/>
  <c r="AD259" i="73"/>
  <c r="AC259" i="73"/>
  <c r="AB259" i="73"/>
  <c r="AA259" i="73"/>
  <c r="Z259" i="73"/>
  <c r="Y259" i="73"/>
  <c r="X259" i="73"/>
  <c r="W259" i="73"/>
  <c r="V259" i="73"/>
  <c r="U259" i="73"/>
  <c r="T259" i="73"/>
  <c r="S259" i="73"/>
  <c r="R259" i="73"/>
  <c r="Q259" i="73"/>
  <c r="P259" i="73"/>
  <c r="O259" i="73"/>
  <c r="N259" i="73"/>
  <c r="M259" i="73"/>
  <c r="L259" i="73"/>
  <c r="K259" i="73"/>
  <c r="J259" i="73"/>
  <c r="I259" i="73"/>
  <c r="H259" i="73"/>
  <c r="G259" i="73"/>
  <c r="F259" i="73"/>
  <c r="E259" i="73"/>
  <c r="BP259" i="73"/>
  <c r="CA251" i="73"/>
  <c r="CA320" i="73" s="1"/>
  <c r="BZ251" i="73"/>
  <c r="BY251" i="73"/>
  <c r="BX251" i="73"/>
  <c r="BW251" i="73"/>
  <c r="BV251" i="73"/>
  <c r="BU251" i="73"/>
  <c r="BT251" i="73"/>
  <c r="BS251" i="73"/>
  <c r="BR251" i="73"/>
  <c r="BQ251" i="73"/>
  <c r="BO251" i="73"/>
  <c r="BN251" i="73"/>
  <c r="BM251" i="73"/>
  <c r="BL251" i="73"/>
  <c r="BK251" i="73"/>
  <c r="BJ251" i="73"/>
  <c r="BI251" i="73"/>
  <c r="BH251" i="73"/>
  <c r="BG251" i="73"/>
  <c r="BF251" i="73"/>
  <c r="BE251" i="73"/>
  <c r="BD251" i="73"/>
  <c r="BC251" i="73"/>
  <c r="BB251" i="73"/>
  <c r="BA251" i="73"/>
  <c r="AZ251" i="73"/>
  <c r="AY251" i="73"/>
  <c r="AX251" i="73"/>
  <c r="AW251" i="73"/>
  <c r="AV251" i="73"/>
  <c r="AU251" i="73"/>
  <c r="AT251" i="73"/>
  <c r="AS251" i="73"/>
  <c r="AR251" i="73"/>
  <c r="AQ251" i="73"/>
  <c r="AP251" i="73"/>
  <c r="AN251" i="73"/>
  <c r="AM251" i="73"/>
  <c r="AL251" i="73"/>
  <c r="AK251" i="73"/>
  <c r="AJ251" i="73"/>
  <c r="AI251" i="73"/>
  <c r="AH251" i="73"/>
  <c r="AG251" i="73"/>
  <c r="AF251" i="73"/>
  <c r="AE251" i="73"/>
  <c r="AD251" i="73"/>
  <c r="AC251" i="73"/>
  <c r="AB251" i="73"/>
  <c r="AA251" i="73"/>
  <c r="Z251" i="73"/>
  <c r="Y251" i="73"/>
  <c r="X251" i="73"/>
  <c r="W251" i="73"/>
  <c r="V251" i="73"/>
  <c r="U251" i="73"/>
  <c r="T251" i="73"/>
  <c r="S251" i="73"/>
  <c r="R251" i="73"/>
  <c r="Q251" i="73"/>
  <c r="P251" i="73"/>
  <c r="O251" i="73"/>
  <c r="N251" i="73"/>
  <c r="M251" i="73"/>
  <c r="L251" i="73"/>
  <c r="K251" i="73"/>
  <c r="J251" i="73"/>
  <c r="I251" i="73"/>
  <c r="H251" i="73"/>
  <c r="G251" i="73"/>
  <c r="F251" i="73"/>
  <c r="E251" i="73"/>
  <c r="BP251" i="73"/>
  <c r="CA206" i="73"/>
  <c r="BZ206" i="73"/>
  <c r="BZ321" i="73" s="1"/>
  <c r="BY206" i="73"/>
  <c r="BY321" i="73" s="1"/>
  <c r="BX206" i="73"/>
  <c r="BX321" i="73" s="1"/>
  <c r="BW206" i="73"/>
  <c r="BW321" i="73" s="1"/>
  <c r="BV206" i="73"/>
  <c r="BV321" i="73" s="1"/>
  <c r="BU206" i="73"/>
  <c r="BU321" i="73" s="1"/>
  <c r="BT206" i="73"/>
  <c r="BT321" i="73" s="1"/>
  <c r="BS206" i="73"/>
  <c r="BS321" i="73" s="1"/>
  <c r="BR206" i="73"/>
  <c r="BR321" i="73" s="1"/>
  <c r="BP206" i="73"/>
  <c r="BP321" i="73" s="1"/>
  <c r="BO206" i="73"/>
  <c r="BO321" i="73" s="1"/>
  <c r="BN206" i="73"/>
  <c r="BM206" i="73"/>
  <c r="BL206" i="73"/>
  <c r="BK206" i="73"/>
  <c r="BJ206" i="73"/>
  <c r="BI206" i="73"/>
  <c r="BH206" i="73"/>
  <c r="BG206" i="73"/>
  <c r="BF206" i="73"/>
  <c r="BE206" i="73"/>
  <c r="BD206" i="73"/>
  <c r="BC206" i="73"/>
  <c r="BB206" i="73"/>
  <c r="BA206" i="73"/>
  <c r="AZ206" i="73"/>
  <c r="AY206" i="73"/>
  <c r="AX206" i="73"/>
  <c r="AW206" i="73"/>
  <c r="AV206" i="73"/>
  <c r="AU206" i="73"/>
  <c r="AT206" i="73"/>
  <c r="AS206" i="73"/>
  <c r="AR206" i="73"/>
  <c r="AQ206" i="73"/>
  <c r="AP206" i="73"/>
  <c r="AN206" i="73"/>
  <c r="AM206" i="73"/>
  <c r="AL206" i="73"/>
  <c r="AK206" i="73"/>
  <c r="AJ206" i="73"/>
  <c r="AI206" i="73"/>
  <c r="AH206" i="73"/>
  <c r="AG206" i="73"/>
  <c r="AF206" i="73"/>
  <c r="AE206" i="73"/>
  <c r="AD206" i="73"/>
  <c r="AC206" i="73"/>
  <c r="AB206" i="73"/>
  <c r="AA206" i="73"/>
  <c r="Z206" i="73"/>
  <c r="Y206" i="73"/>
  <c r="X206" i="73"/>
  <c r="W206" i="73"/>
  <c r="V206" i="73"/>
  <c r="U206" i="73"/>
  <c r="T206" i="73"/>
  <c r="S206" i="73"/>
  <c r="R206" i="73"/>
  <c r="Q206" i="73"/>
  <c r="P206" i="73"/>
  <c r="O206" i="73"/>
  <c r="N206" i="73"/>
  <c r="M206" i="73"/>
  <c r="L206" i="73"/>
  <c r="K206" i="73"/>
  <c r="J206" i="73"/>
  <c r="I206" i="73"/>
  <c r="H206" i="73"/>
  <c r="G206" i="73"/>
  <c r="F206" i="73"/>
  <c r="E206" i="73"/>
  <c r="BQ206" i="73"/>
  <c r="BQ321" i="73" s="1"/>
  <c r="CA197" i="73"/>
  <c r="BZ197" i="73"/>
  <c r="BZ320" i="73" s="1"/>
  <c r="BY197" i="73"/>
  <c r="BY320" i="73" s="1"/>
  <c r="BX197" i="73"/>
  <c r="BX320" i="73" s="1"/>
  <c r="BW197" i="73"/>
  <c r="BW320" i="73" s="1"/>
  <c r="BV197" i="73"/>
  <c r="BV320" i="73" s="1"/>
  <c r="BU197" i="73"/>
  <c r="BU320" i="73" s="1"/>
  <c r="BT197" i="73"/>
  <c r="BT320" i="73" s="1"/>
  <c r="BS197" i="73"/>
  <c r="BS320" i="73" s="1"/>
  <c r="BR197" i="73"/>
  <c r="BR320" i="73" s="1"/>
  <c r="BQ197" i="73"/>
  <c r="BQ320" i="73" s="1"/>
  <c r="BP197" i="73"/>
  <c r="BP320" i="73" s="1"/>
  <c r="BO197" i="73"/>
  <c r="BO320" i="73" s="1"/>
  <c r="BN197" i="73"/>
  <c r="BM197" i="73"/>
  <c r="BK197" i="73"/>
  <c r="BJ197" i="73"/>
  <c r="BI197" i="73"/>
  <c r="BH197" i="73"/>
  <c r="BG197" i="73"/>
  <c r="BF197" i="73"/>
  <c r="BE197" i="73"/>
  <c r="BD197" i="73"/>
  <c r="BC197" i="73"/>
  <c r="BB197" i="73"/>
  <c r="BA197" i="73"/>
  <c r="AZ197" i="73"/>
  <c r="AY197" i="73"/>
  <c r="AX197" i="73"/>
  <c r="AW197" i="73"/>
  <c r="AV197" i="73"/>
  <c r="AU197" i="73"/>
  <c r="AT197" i="73"/>
  <c r="AS197" i="73"/>
  <c r="AR197" i="73"/>
  <c r="AQ197" i="73"/>
  <c r="AP197" i="73"/>
  <c r="AN197" i="73"/>
  <c r="AM197" i="73"/>
  <c r="AL197" i="73"/>
  <c r="AK197" i="73"/>
  <c r="AJ197" i="73"/>
  <c r="AI197" i="73"/>
  <c r="AH197" i="73"/>
  <c r="AG197" i="73"/>
  <c r="AF197" i="73"/>
  <c r="AE197" i="73"/>
  <c r="AD197" i="73"/>
  <c r="AC197" i="73"/>
  <c r="AB197" i="73"/>
  <c r="AA197" i="73"/>
  <c r="Z197" i="73"/>
  <c r="Y197" i="73"/>
  <c r="X197" i="73"/>
  <c r="W197" i="73"/>
  <c r="V197" i="73"/>
  <c r="U197" i="73"/>
  <c r="T197" i="73"/>
  <c r="S197" i="73"/>
  <c r="R197" i="73"/>
  <c r="Q197" i="73"/>
  <c r="P197" i="73"/>
  <c r="O197" i="73"/>
  <c r="N197" i="73"/>
  <c r="M197" i="73"/>
  <c r="L197" i="73"/>
  <c r="K197" i="73"/>
  <c r="J197" i="73"/>
  <c r="I197" i="73"/>
  <c r="H197" i="73"/>
  <c r="G197" i="73"/>
  <c r="F197" i="73"/>
  <c r="E197" i="73"/>
  <c r="BL197" i="73"/>
  <c r="CA188" i="73"/>
  <c r="BZ188" i="73"/>
  <c r="BY188" i="73"/>
  <c r="BX188" i="73"/>
  <c r="BW188" i="73"/>
  <c r="BV188" i="73"/>
  <c r="BU188" i="73"/>
  <c r="BT188" i="73"/>
  <c r="BS188" i="73"/>
  <c r="BR188" i="73"/>
  <c r="BQ188" i="73"/>
  <c r="BP188" i="73"/>
  <c r="BO188" i="73"/>
  <c r="BM188" i="73"/>
  <c r="BL188" i="73"/>
  <c r="BK188" i="73"/>
  <c r="BJ188" i="73"/>
  <c r="BI188" i="73"/>
  <c r="BH188" i="73"/>
  <c r="BG188" i="73"/>
  <c r="BF188" i="73"/>
  <c r="BE188" i="73"/>
  <c r="BD188" i="73"/>
  <c r="BC188" i="73"/>
  <c r="BB188" i="73"/>
  <c r="BA188" i="73"/>
  <c r="AZ188" i="73"/>
  <c r="AY188" i="73"/>
  <c r="AX188" i="73"/>
  <c r="AW188" i="73"/>
  <c r="AV188" i="73"/>
  <c r="AU188" i="73"/>
  <c r="AT188" i="73"/>
  <c r="AS188" i="73"/>
  <c r="AR188" i="73"/>
  <c r="AQ188" i="73"/>
  <c r="AP188" i="73"/>
  <c r="AN188" i="73"/>
  <c r="AM188" i="73"/>
  <c r="AL188" i="73"/>
  <c r="AK188" i="73"/>
  <c r="AJ188" i="73"/>
  <c r="AI188" i="73"/>
  <c r="AH188" i="73"/>
  <c r="AG188" i="73"/>
  <c r="AF188" i="73"/>
  <c r="AE188" i="73"/>
  <c r="AD188" i="73"/>
  <c r="AC188" i="73"/>
  <c r="AB188" i="73"/>
  <c r="AA188" i="73"/>
  <c r="Z188" i="73"/>
  <c r="Y188" i="73"/>
  <c r="X188" i="73"/>
  <c r="W188" i="73"/>
  <c r="V188" i="73"/>
  <c r="U188" i="73"/>
  <c r="T188" i="73"/>
  <c r="S188" i="73"/>
  <c r="R188" i="73"/>
  <c r="Q188" i="73"/>
  <c r="P188" i="73"/>
  <c r="O188" i="73"/>
  <c r="N188" i="73"/>
  <c r="M188" i="73"/>
  <c r="L188" i="73"/>
  <c r="K188" i="73"/>
  <c r="J188" i="73"/>
  <c r="I188" i="73"/>
  <c r="H188" i="73"/>
  <c r="G188" i="73"/>
  <c r="F188" i="73"/>
  <c r="E188" i="73"/>
  <c r="BN188" i="73"/>
  <c r="BA6" i="3" l="1"/>
  <c r="BA23" i="3"/>
  <c r="BA33" i="3"/>
  <c r="BA39" i="3" l="1"/>
  <c r="CA323" i="73"/>
  <c r="BZ323" i="73"/>
  <c r="BY323" i="73"/>
  <c r="BX323" i="73"/>
  <c r="BW323" i="73"/>
  <c r="BV323" i="73"/>
  <c r="BU323" i="73"/>
  <c r="BT323" i="73"/>
  <c r="BS323" i="73"/>
  <c r="BR323" i="73"/>
  <c r="BQ323" i="73"/>
  <c r="BP323" i="73"/>
  <c r="BO323" i="73"/>
  <c r="BN323" i="73"/>
  <c r="BM323" i="73"/>
  <c r="BL323" i="73"/>
  <c r="BK323" i="73"/>
  <c r="BJ323" i="73"/>
  <c r="BI323" i="73"/>
  <c r="BH323" i="73"/>
  <c r="BG323" i="73"/>
  <c r="BF323" i="73"/>
  <c r="BE323" i="73"/>
  <c r="BD323" i="73"/>
  <c r="BC323" i="73"/>
  <c r="BB323" i="73"/>
  <c r="BA323" i="73"/>
  <c r="AZ323" i="73"/>
  <c r="AY323" i="73"/>
  <c r="AX323" i="73"/>
  <c r="AW323" i="73"/>
  <c r="AV323" i="73"/>
  <c r="AU323" i="73"/>
  <c r="AT323" i="73"/>
  <c r="AS323" i="73"/>
  <c r="AR323" i="73"/>
  <c r="AQ323" i="73"/>
  <c r="AP323" i="73"/>
  <c r="AN323" i="73"/>
  <c r="AM323" i="73"/>
  <c r="AL323" i="73"/>
  <c r="AK323" i="73"/>
  <c r="AJ323" i="73"/>
  <c r="AI323" i="73"/>
  <c r="AH323" i="73"/>
  <c r="AG323" i="73"/>
  <c r="AF323" i="73"/>
  <c r="AE323" i="73"/>
  <c r="AD323" i="73"/>
  <c r="AC323" i="73"/>
  <c r="AB323" i="73"/>
  <c r="AA323" i="73"/>
  <c r="Z323" i="73"/>
  <c r="Y323" i="73"/>
  <c r="X323" i="73"/>
  <c r="CA322" i="73"/>
  <c r="BZ322" i="73"/>
  <c r="BY322" i="73"/>
  <c r="BX322" i="73"/>
  <c r="BW322" i="73"/>
  <c r="BV322" i="73"/>
  <c r="BU322" i="73"/>
  <c r="BT322" i="73"/>
  <c r="BS322" i="73"/>
  <c r="BR322" i="73"/>
  <c r="BQ322" i="73"/>
  <c r="BP322" i="73"/>
  <c r="BO322" i="73"/>
  <c r="BN322" i="73"/>
  <c r="BM322" i="73"/>
  <c r="BL322" i="73"/>
  <c r="BK322" i="73"/>
  <c r="BJ322" i="73"/>
  <c r="BI322" i="73"/>
  <c r="BH322" i="73"/>
  <c r="BG322" i="73"/>
  <c r="BF322" i="73"/>
  <c r="BE322" i="73"/>
  <c r="BD322" i="73"/>
  <c r="BC322" i="73"/>
  <c r="BB322" i="73"/>
  <c r="BA322" i="73"/>
  <c r="AZ322" i="73"/>
  <c r="AY322" i="73"/>
  <c r="AX322" i="73"/>
  <c r="AW322" i="73"/>
  <c r="AV322" i="73"/>
  <c r="AU322" i="73"/>
  <c r="AT322" i="73"/>
  <c r="AS322" i="73"/>
  <c r="AR322" i="73"/>
  <c r="AQ322" i="73"/>
  <c r="AP322" i="73"/>
  <c r="AN322" i="73"/>
  <c r="AM322" i="73"/>
  <c r="AL322" i="73"/>
  <c r="AK322" i="73"/>
  <c r="AJ322" i="73"/>
  <c r="AI322" i="73"/>
  <c r="AH322" i="73"/>
  <c r="AG322" i="73"/>
  <c r="AF322" i="73"/>
  <c r="AE322" i="73"/>
  <c r="AD322" i="73"/>
  <c r="AC322" i="73"/>
  <c r="AB322" i="73"/>
  <c r="AA322" i="73"/>
  <c r="Z322" i="73"/>
  <c r="Y322" i="73"/>
  <c r="X322" i="73"/>
  <c r="BZ235" i="73" l="1"/>
  <c r="BY235" i="73"/>
  <c r="BX235" i="73"/>
  <c r="BW235" i="73"/>
  <c r="BV235" i="73"/>
  <c r="BU235" i="73"/>
  <c r="BT235" i="73"/>
  <c r="BS235" i="73"/>
  <c r="BR235" i="73"/>
  <c r="BQ235" i="73"/>
  <c r="BP235" i="73"/>
  <c r="BO235" i="73"/>
  <c r="BN235" i="73"/>
  <c r="BM235" i="73"/>
  <c r="BL235" i="73"/>
  <c r="BK235" i="73"/>
  <c r="BJ235" i="73"/>
  <c r="BI235" i="73"/>
  <c r="BH235" i="73"/>
  <c r="BG235" i="73"/>
  <c r="BF235" i="73"/>
  <c r="BE235" i="73"/>
  <c r="BD235" i="73"/>
  <c r="BC235" i="73"/>
  <c r="BB235" i="73"/>
  <c r="BA235" i="73"/>
  <c r="AZ235" i="73"/>
  <c r="AY235" i="73"/>
  <c r="AX235" i="73"/>
  <c r="AW235" i="73"/>
  <c r="AV235" i="73"/>
  <c r="AU235" i="73"/>
  <c r="AT235" i="73"/>
  <c r="AS235" i="73"/>
  <c r="AR235" i="73"/>
  <c r="AQ235" i="73"/>
  <c r="AP235" i="73"/>
  <c r="AN235" i="73"/>
  <c r="AM235" i="73"/>
  <c r="AL235" i="73"/>
  <c r="AK235" i="73"/>
  <c r="AJ235" i="73"/>
  <c r="AI235" i="73"/>
  <c r="AH235" i="73"/>
  <c r="AG235" i="73"/>
  <c r="AF235" i="73"/>
  <c r="AE235" i="73"/>
  <c r="AD235" i="73"/>
  <c r="AC235" i="73"/>
  <c r="AB235" i="73"/>
  <c r="AA235" i="73"/>
  <c r="Z235" i="73"/>
  <c r="Y235" i="73"/>
  <c r="X235" i="73"/>
  <c r="W235" i="73"/>
  <c r="V235" i="73"/>
  <c r="U235" i="73"/>
  <c r="T235" i="73"/>
  <c r="S235" i="73"/>
  <c r="R235" i="73"/>
  <c r="Q235" i="73"/>
  <c r="P235" i="73"/>
  <c r="O235" i="73"/>
  <c r="N235" i="73"/>
  <c r="M235" i="73"/>
  <c r="L235" i="73"/>
  <c r="K235" i="73"/>
  <c r="J235" i="73"/>
  <c r="I235" i="73"/>
  <c r="H235" i="73"/>
  <c r="G235" i="73"/>
  <c r="F235" i="73"/>
  <c r="E235" i="73"/>
  <c r="CA243" i="73"/>
  <c r="BC167" i="77" l="1"/>
  <c r="BD167" i="77"/>
  <c r="BZ243" i="73"/>
  <c r="L37" i="76" l="1"/>
  <c r="AD33" i="44" l="1"/>
  <c r="AD37" i="44" s="1"/>
  <c r="AE33" i="44" l="1"/>
  <c r="AE37" i="44" s="1"/>
  <c r="AF33" i="44" l="1"/>
  <c r="AF37" i="44" s="1"/>
  <c r="AG33" i="44" l="1"/>
  <c r="AG37" i="44" s="1"/>
  <c r="AH33" i="44" l="1"/>
  <c r="AH37" i="44" s="1"/>
  <c r="AI33" i="44" l="1"/>
  <c r="AI37" i="44" s="1"/>
  <c r="AJ33" i="44" l="1"/>
  <c r="AJ37" i="44" s="1"/>
  <c r="AK33" i="44" l="1"/>
  <c r="AK37" i="44" s="1"/>
  <c r="AM33" i="44" l="1"/>
  <c r="AM37" i="44" s="1"/>
  <c r="AO33" i="44" s="1"/>
  <c r="AO37" i="44" s="1"/>
  <c r="AL33" i="44"/>
  <c r="AL37" i="44" s="1"/>
  <c r="AN33" i="44" s="1"/>
  <c r="AN37" i="44" s="1"/>
  <c r="AP33" i="44" s="1"/>
  <c r="AP37" i="44" s="1"/>
  <c r="AR33" i="44" s="1"/>
  <c r="AR37" i="44" s="1"/>
  <c r="AQ33" i="44" l="1"/>
  <c r="AH92" i="68"/>
  <c r="AH69" i="68"/>
  <c r="AH54" i="68"/>
  <c r="AH50" i="68"/>
  <c r="AH45" i="68"/>
  <c r="AH26" i="68"/>
  <c r="AH23" i="68"/>
  <c r="AK50" i="52"/>
  <c r="AK49" i="52"/>
  <c r="AK48" i="52"/>
  <c r="AK46" i="52"/>
  <c r="AK45" i="52"/>
  <c r="AK43" i="52"/>
  <c r="AK42" i="52"/>
  <c r="AK41" i="52"/>
  <c r="AK47" i="52"/>
  <c r="AK40" i="52"/>
  <c r="AK39" i="52"/>
  <c r="AK38" i="52"/>
  <c r="AH32" i="68" l="1"/>
  <c r="AH60" i="68"/>
  <c r="AH51" i="68"/>
  <c r="AI69" i="68"/>
  <c r="AI92" i="68"/>
  <c r="AH61" i="68" l="1"/>
  <c r="V286" i="36" l="1"/>
  <c r="Q25" i="13"/>
  <c r="Q24" i="13"/>
  <c r="R18" i="13"/>
  <c r="Q23" i="13" l="1"/>
  <c r="R245" i="79"/>
  <c r="T245" i="79" s="1"/>
  <c r="R244" i="79" l="1"/>
  <c r="T244" i="79" l="1"/>
  <c r="AX30" i="2" l="1"/>
  <c r="AM13" i="55" l="1"/>
  <c r="AM24" i="55" s="1"/>
  <c r="AQ111" i="46"/>
  <c r="AQ107" i="46"/>
  <c r="V284" i="36"/>
  <c r="V281" i="36"/>
  <c r="AM25" i="55" l="1"/>
  <c r="AQ110" i="46"/>
  <c r="V279" i="36"/>
  <c r="AQ112" i="46"/>
  <c r="X19" i="2" l="1"/>
  <c r="W19" i="2"/>
  <c r="V19" i="2"/>
  <c r="U19" i="2"/>
  <c r="T19" i="2"/>
  <c r="S19" i="2"/>
  <c r="R19" i="2"/>
  <c r="Q19" i="2"/>
  <c r="P19" i="2"/>
  <c r="O19" i="2"/>
  <c r="N19" i="2"/>
  <c r="M19" i="2"/>
  <c r="L19" i="2"/>
  <c r="K19" i="2"/>
  <c r="J19" i="2"/>
  <c r="J24" i="2" s="1"/>
  <c r="O24" i="2" l="1"/>
  <c r="U24" i="2"/>
  <c r="N24" i="2"/>
  <c r="Q24" i="2"/>
  <c r="T24" i="2"/>
  <c r="M24" i="2"/>
  <c r="P24" i="2"/>
  <c r="R24" i="2"/>
  <c r="S24" i="2"/>
  <c r="K24" i="2"/>
  <c r="L24" i="2"/>
  <c r="AE22" i="60"/>
  <c r="AD22" i="60"/>
  <c r="AE20" i="60"/>
  <c r="AD20" i="60"/>
  <c r="F20" i="60"/>
  <c r="E20" i="60"/>
  <c r="I19" i="60"/>
  <c r="F16" i="60"/>
  <c r="E16" i="60"/>
  <c r="J15" i="60"/>
  <c r="J20" i="60" s="1"/>
  <c r="I15" i="60"/>
  <c r="S14" i="60"/>
  <c r="R14" i="60"/>
  <c r="Q14" i="60"/>
  <c r="P14" i="60"/>
  <c r="O14" i="60"/>
  <c r="N14" i="60"/>
  <c r="M14" i="60"/>
  <c r="AE13" i="60"/>
  <c r="AD13" i="60"/>
  <c r="AE12" i="60"/>
  <c r="AD12" i="60"/>
  <c r="F12" i="60"/>
  <c r="E12" i="60"/>
  <c r="AE10" i="60"/>
  <c r="AD10" i="60"/>
  <c r="AA9" i="60"/>
  <c r="Z9" i="60"/>
  <c r="Y9" i="60"/>
  <c r="X9" i="60"/>
  <c r="W9" i="60"/>
  <c r="V9" i="60"/>
  <c r="S8" i="60"/>
  <c r="S11" i="60" s="1"/>
  <c r="S15" i="60" s="1"/>
  <c r="S17" i="60" s="1"/>
  <c r="S19" i="60" s="1"/>
  <c r="R8" i="60"/>
  <c r="R11" i="60" s="1"/>
  <c r="R15" i="60" s="1"/>
  <c r="R17" i="60" s="1"/>
  <c r="R19" i="60" s="1"/>
  <c r="Q8" i="60"/>
  <c r="Q11" i="60" s="1"/>
  <c r="Q15" i="60" s="1"/>
  <c r="Q17" i="60" s="1"/>
  <c r="P8" i="60"/>
  <c r="P11" i="60" s="1"/>
  <c r="P15" i="60" s="1"/>
  <c r="P17" i="60" s="1"/>
  <c r="O8" i="60"/>
  <c r="O11" i="60" s="1"/>
  <c r="O15" i="60" s="1"/>
  <c r="O17" i="60" s="1"/>
  <c r="N8" i="60"/>
  <c r="N11" i="60" s="1"/>
  <c r="N15" i="60" s="1"/>
  <c r="N17" i="60" s="1"/>
  <c r="M8" i="60"/>
  <c r="M11" i="60" s="1"/>
  <c r="M15" i="60" s="1"/>
  <c r="M17" i="60" s="1"/>
  <c r="M19" i="60" s="1"/>
  <c r="R18" i="81"/>
  <c r="Q18" i="81"/>
  <c r="P18" i="81"/>
  <c r="O18" i="81"/>
  <c r="N18" i="81"/>
  <c r="M18" i="81"/>
  <c r="L18" i="81"/>
  <c r="K18" i="81"/>
  <c r="J18" i="81"/>
  <c r="I18" i="81"/>
  <c r="H18" i="81"/>
  <c r="G18" i="81"/>
  <c r="F18" i="81"/>
  <c r="E18" i="81"/>
  <c r="R15" i="81"/>
  <c r="Q15" i="81"/>
  <c r="P15" i="81"/>
  <c r="O15" i="81"/>
  <c r="N15" i="81"/>
  <c r="M15" i="81"/>
  <c r="L15" i="81"/>
  <c r="K15" i="81"/>
  <c r="J15" i="81"/>
  <c r="I15" i="81"/>
  <c r="H15" i="81"/>
  <c r="G15" i="81"/>
  <c r="F15" i="81"/>
  <c r="E15" i="81"/>
  <c r="F12" i="81"/>
  <c r="G12" i="81" s="1"/>
  <c r="H12" i="81" s="1"/>
  <c r="I12" i="81" s="1"/>
  <c r="J12" i="81" s="1"/>
  <c r="K12" i="81" s="1"/>
  <c r="L12" i="81" s="1"/>
  <c r="M12" i="81" s="1"/>
  <c r="N12" i="81" s="1"/>
  <c r="O12" i="81" s="1"/>
  <c r="P12" i="81" s="1"/>
  <c r="Q12" i="81" s="1"/>
  <c r="R12" i="81" s="1"/>
  <c r="S12" i="81" s="1"/>
  <c r="E12" i="81"/>
  <c r="E1" i="81"/>
  <c r="P103" i="80"/>
  <c r="H103" i="80"/>
  <c r="P75" i="80"/>
  <c r="P74" i="80"/>
  <c r="P73" i="80"/>
  <c r="P68" i="80"/>
  <c r="H68" i="80"/>
  <c r="P67" i="80"/>
  <c r="H67" i="80"/>
  <c r="P66" i="80"/>
  <c r="H66" i="80"/>
  <c r="P61" i="80"/>
  <c r="P60" i="80"/>
  <c r="P59" i="80"/>
  <c r="P54" i="80"/>
  <c r="H54" i="80"/>
  <c r="P53" i="80"/>
  <c r="H53" i="80"/>
  <c r="P52" i="80"/>
  <c r="H52" i="80"/>
  <c r="P47" i="80"/>
  <c r="P46" i="80"/>
  <c r="P45" i="80"/>
  <c r="P40" i="80"/>
  <c r="H40" i="80"/>
  <c r="P39" i="80"/>
  <c r="H39" i="80"/>
  <c r="P38" i="80"/>
  <c r="H38" i="80"/>
  <c r="P33" i="80"/>
  <c r="H33" i="80"/>
  <c r="P32" i="80"/>
  <c r="H32" i="80"/>
  <c r="P31" i="80"/>
  <c r="H31" i="80"/>
  <c r="P30" i="80"/>
  <c r="H30" i="80"/>
  <c r="P19" i="80"/>
  <c r="H19" i="80"/>
  <c r="P18" i="80"/>
  <c r="H18" i="80"/>
  <c r="P17" i="80"/>
  <c r="H17" i="80"/>
  <c r="P16" i="80"/>
  <c r="H16" i="80"/>
  <c r="O13" i="80"/>
  <c r="O20" i="80" s="1"/>
  <c r="O27" i="80" s="1"/>
  <c r="O34" i="80" s="1"/>
  <c r="O41" i="80" s="1"/>
  <c r="O48" i="80" s="1"/>
  <c r="O55" i="80" s="1"/>
  <c r="O62" i="80" s="1"/>
  <c r="O69" i="80" s="1"/>
  <c r="O76" i="80" s="1"/>
  <c r="O83" i="80" s="1"/>
  <c r="O90" i="80" s="1"/>
  <c r="O97" i="80" s="1"/>
  <c r="O104" i="80" s="1"/>
  <c r="O111" i="80" s="1"/>
  <c r="O118" i="80" s="1"/>
  <c r="O125" i="80" s="1"/>
  <c r="O132" i="80" s="1"/>
  <c r="O139" i="80" s="1"/>
  <c r="O146" i="80" s="1"/>
  <c r="N13" i="80"/>
  <c r="N20" i="80" s="1"/>
  <c r="N27" i="80" s="1"/>
  <c r="N34" i="80" s="1"/>
  <c r="N41" i="80" s="1"/>
  <c r="N48" i="80" s="1"/>
  <c r="N55" i="80" s="1"/>
  <c r="N62" i="80" s="1"/>
  <c r="N69" i="80" s="1"/>
  <c r="N76" i="80" s="1"/>
  <c r="N83" i="80" s="1"/>
  <c r="N90" i="80" s="1"/>
  <c r="N97" i="80" s="1"/>
  <c r="N104" i="80" s="1"/>
  <c r="N111" i="80" s="1"/>
  <c r="N118" i="80" s="1"/>
  <c r="N125" i="80" s="1"/>
  <c r="N132" i="80" s="1"/>
  <c r="N139" i="80" s="1"/>
  <c r="N146" i="80" s="1"/>
  <c r="M13" i="80"/>
  <c r="M20" i="80" s="1"/>
  <c r="M27" i="80" s="1"/>
  <c r="M34" i="80" s="1"/>
  <c r="M41" i="80" s="1"/>
  <c r="M48" i="80" s="1"/>
  <c r="M55" i="80" s="1"/>
  <c r="M62" i="80" s="1"/>
  <c r="M69" i="80" s="1"/>
  <c r="M76" i="80" s="1"/>
  <c r="M83" i="80" s="1"/>
  <c r="M90" i="80" s="1"/>
  <c r="M97" i="80" s="1"/>
  <c r="M104" i="80" s="1"/>
  <c r="M111" i="80" s="1"/>
  <c r="M118" i="80" s="1"/>
  <c r="M125" i="80" s="1"/>
  <c r="M132" i="80" s="1"/>
  <c r="M139" i="80" s="1"/>
  <c r="M146" i="80" s="1"/>
  <c r="G13" i="80"/>
  <c r="G20" i="80" s="1"/>
  <c r="G27" i="80" s="1"/>
  <c r="G34" i="80" s="1"/>
  <c r="G41" i="80" s="1"/>
  <c r="G48" i="80" s="1"/>
  <c r="G55" i="80" s="1"/>
  <c r="G62" i="80" s="1"/>
  <c r="G69" i="80" s="1"/>
  <c r="G76" i="80" s="1"/>
  <c r="G83" i="80" s="1"/>
  <c r="G90" i="80" s="1"/>
  <c r="G97" i="80" s="1"/>
  <c r="G104" i="80" s="1"/>
  <c r="G111" i="80" s="1"/>
  <c r="G118" i="80" s="1"/>
  <c r="G125" i="80" s="1"/>
  <c r="G132" i="80" s="1"/>
  <c r="G139" i="80" s="1"/>
  <c r="G146" i="80" s="1"/>
  <c r="F13" i="80"/>
  <c r="F20" i="80" s="1"/>
  <c r="F27" i="80" s="1"/>
  <c r="F34" i="80" s="1"/>
  <c r="F41" i="80" s="1"/>
  <c r="F48" i="80" s="1"/>
  <c r="F55" i="80" s="1"/>
  <c r="F62" i="80" s="1"/>
  <c r="F69" i="80" s="1"/>
  <c r="F76" i="80" s="1"/>
  <c r="F83" i="80" s="1"/>
  <c r="F90" i="80" s="1"/>
  <c r="F97" i="80" s="1"/>
  <c r="E13" i="80"/>
  <c r="E20" i="80" s="1"/>
  <c r="E27" i="80" s="1"/>
  <c r="E34" i="80" s="1"/>
  <c r="E41" i="80" s="1"/>
  <c r="E48" i="80" s="1"/>
  <c r="E55" i="80" s="1"/>
  <c r="E62" i="80" s="1"/>
  <c r="E69" i="80" s="1"/>
  <c r="E76" i="80" s="1"/>
  <c r="E83" i="80" s="1"/>
  <c r="E90" i="80" s="1"/>
  <c r="E97" i="80" s="1"/>
  <c r="P12" i="80"/>
  <c r="H12" i="80"/>
  <c r="P11" i="80"/>
  <c r="H11" i="80"/>
  <c r="P10" i="80"/>
  <c r="H10" i="80"/>
  <c r="P9" i="80"/>
  <c r="H9" i="80"/>
  <c r="H6" i="80"/>
  <c r="AG54" i="68"/>
  <c r="AF54" i="68"/>
  <c r="AE54" i="68"/>
  <c r="AD54" i="68"/>
  <c r="AC54" i="68"/>
  <c r="AB54" i="68"/>
  <c r="AA54" i="68"/>
  <c r="Z54" i="68"/>
  <c r="Y54" i="68"/>
  <c r="X54" i="68"/>
  <c r="W54" i="68"/>
  <c r="V54" i="68"/>
  <c r="U54" i="68"/>
  <c r="T54" i="68"/>
  <c r="S54" i="68"/>
  <c r="R54" i="68"/>
  <c r="Q54" i="68"/>
  <c r="P54" i="68"/>
  <c r="O54" i="68"/>
  <c r="N54" i="68"/>
  <c r="M54" i="68"/>
  <c r="L54" i="68"/>
  <c r="K54" i="68"/>
  <c r="J54" i="68"/>
  <c r="I54" i="68"/>
  <c r="H54" i="68"/>
  <c r="G54" i="68"/>
  <c r="E54" i="68"/>
  <c r="AI54" i="68"/>
  <c r="AG50" i="68"/>
  <c r="AF50" i="68"/>
  <c r="AE50" i="68"/>
  <c r="AD50" i="68"/>
  <c r="AC50" i="68"/>
  <c r="AB50" i="68"/>
  <c r="AA50" i="68"/>
  <c r="Z50" i="68"/>
  <c r="Y50" i="68"/>
  <c r="X50" i="68"/>
  <c r="W50" i="68"/>
  <c r="V50" i="68"/>
  <c r="U50" i="68"/>
  <c r="T50" i="68"/>
  <c r="S50" i="68"/>
  <c r="R50" i="68"/>
  <c r="Q50" i="68"/>
  <c r="P50" i="68"/>
  <c r="O50" i="68"/>
  <c r="N50" i="68"/>
  <c r="M50" i="68"/>
  <c r="L50" i="68"/>
  <c r="K50" i="68"/>
  <c r="J50" i="68"/>
  <c r="I50" i="68"/>
  <c r="H50" i="68"/>
  <c r="G50" i="68"/>
  <c r="E50" i="68"/>
  <c r="AI50" i="68"/>
  <c r="AG45" i="68"/>
  <c r="AF45" i="68"/>
  <c r="AE45" i="68"/>
  <c r="AD45" i="68"/>
  <c r="AC45" i="68"/>
  <c r="AB45" i="68"/>
  <c r="AA45" i="68"/>
  <c r="Z45" i="68"/>
  <c r="Y45" i="68"/>
  <c r="X45" i="68"/>
  <c r="W45" i="68"/>
  <c r="V45" i="68"/>
  <c r="U45" i="68"/>
  <c r="T45" i="68"/>
  <c r="S45" i="68"/>
  <c r="R45" i="68"/>
  <c r="Q45" i="68"/>
  <c r="P45" i="68"/>
  <c r="O45" i="68"/>
  <c r="N45" i="68"/>
  <c r="M45" i="68"/>
  <c r="L45" i="68"/>
  <c r="K45" i="68"/>
  <c r="J45" i="68"/>
  <c r="I45" i="68"/>
  <c r="H45" i="68"/>
  <c r="G45" i="68"/>
  <c r="E45" i="68"/>
  <c r="AG92" i="68"/>
  <c r="AF92" i="68"/>
  <c r="AE92" i="68"/>
  <c r="AD92" i="68"/>
  <c r="AC92" i="68"/>
  <c r="AB92" i="68"/>
  <c r="AA92" i="68"/>
  <c r="Z92" i="68"/>
  <c r="Y92" i="68"/>
  <c r="W92" i="68"/>
  <c r="V92" i="68"/>
  <c r="U92" i="68"/>
  <c r="T92" i="68"/>
  <c r="S92" i="68"/>
  <c r="R92" i="68"/>
  <c r="Q92" i="68"/>
  <c r="P92" i="68"/>
  <c r="O92" i="68"/>
  <c r="N92" i="68"/>
  <c r="M92" i="68"/>
  <c r="L92" i="68"/>
  <c r="K92" i="68"/>
  <c r="J92" i="68"/>
  <c r="I92" i="68"/>
  <c r="H92" i="68"/>
  <c r="G92" i="68"/>
  <c r="F92" i="68"/>
  <c r="E92" i="68"/>
  <c r="AG26" i="68"/>
  <c r="AF26" i="68"/>
  <c r="AE26" i="68"/>
  <c r="AD26" i="68"/>
  <c r="AC26" i="68"/>
  <c r="AB26" i="68"/>
  <c r="AA26" i="68"/>
  <c r="Z26" i="68"/>
  <c r="Y26" i="68"/>
  <c r="X26" i="68"/>
  <c r="W26" i="68"/>
  <c r="V26" i="68"/>
  <c r="U26" i="68"/>
  <c r="T26" i="68"/>
  <c r="S26" i="68"/>
  <c r="R26" i="68"/>
  <c r="Q26" i="68"/>
  <c r="P26" i="68"/>
  <c r="O26" i="68"/>
  <c r="N26" i="68"/>
  <c r="M26" i="68"/>
  <c r="L26" i="68"/>
  <c r="K26" i="68"/>
  <c r="J26" i="68"/>
  <c r="I26" i="68"/>
  <c r="H26" i="68"/>
  <c r="G26" i="68"/>
  <c r="E26" i="68"/>
  <c r="AI26" i="68"/>
  <c r="AD23" i="68"/>
  <c r="AC23" i="68"/>
  <c r="AB23" i="68"/>
  <c r="AA23" i="68"/>
  <c r="Z23" i="68"/>
  <c r="Y23" i="68"/>
  <c r="X23" i="68"/>
  <c r="W23" i="68"/>
  <c r="V23" i="68"/>
  <c r="U23" i="68"/>
  <c r="T23" i="68"/>
  <c r="S23" i="68"/>
  <c r="R23" i="68"/>
  <c r="Q23" i="68"/>
  <c r="P23" i="68"/>
  <c r="O23" i="68"/>
  <c r="N23" i="68"/>
  <c r="M23" i="68"/>
  <c r="L23" i="68"/>
  <c r="K23" i="68"/>
  <c r="J23" i="68"/>
  <c r="I23" i="68"/>
  <c r="H23" i="68"/>
  <c r="G23" i="68"/>
  <c r="E23" i="68"/>
  <c r="AI23" i="68"/>
  <c r="AE22" i="68"/>
  <c r="AE23" i="68" s="1"/>
  <c r="AG69" i="68"/>
  <c r="AF69" i="68"/>
  <c r="AE69" i="68"/>
  <c r="AD69" i="68"/>
  <c r="AC69" i="68"/>
  <c r="AB69" i="68"/>
  <c r="AA69" i="68"/>
  <c r="Z69" i="68"/>
  <c r="Y69" i="68"/>
  <c r="X69" i="68"/>
  <c r="W69" i="68"/>
  <c r="V69" i="68"/>
  <c r="U69" i="68"/>
  <c r="T69" i="68"/>
  <c r="S69" i="68"/>
  <c r="R69" i="68"/>
  <c r="Q69" i="68"/>
  <c r="P69" i="68"/>
  <c r="O69" i="68"/>
  <c r="N69" i="68"/>
  <c r="M69" i="68"/>
  <c r="L69" i="68"/>
  <c r="K69" i="68"/>
  <c r="J69" i="68"/>
  <c r="I69" i="68"/>
  <c r="H69" i="68"/>
  <c r="G69" i="68"/>
  <c r="F69" i="68"/>
  <c r="E69" i="68"/>
  <c r="AZ1" i="68"/>
  <c r="U21" i="59"/>
  <c r="X20" i="59"/>
  <c r="W20" i="59"/>
  <c r="V20" i="59"/>
  <c r="T20" i="59"/>
  <c r="S20" i="59"/>
  <c r="R20" i="59"/>
  <c r="Q20" i="59"/>
  <c r="P20" i="59"/>
  <c r="O20" i="59"/>
  <c r="N20" i="59"/>
  <c r="M20" i="59"/>
  <c r="L20" i="59"/>
  <c r="K20" i="59"/>
  <c r="J20" i="59"/>
  <c r="I20" i="59"/>
  <c r="H20" i="59"/>
  <c r="G20" i="59"/>
  <c r="F20" i="59"/>
  <c r="E20" i="59"/>
  <c r="X19" i="59"/>
  <c r="W19" i="59"/>
  <c r="V19" i="59"/>
  <c r="T19" i="59"/>
  <c r="S19" i="59"/>
  <c r="R19" i="59"/>
  <c r="Q19" i="59"/>
  <c r="P19" i="59"/>
  <c r="O19" i="59"/>
  <c r="N19" i="59"/>
  <c r="M19" i="59"/>
  <c r="L19" i="59"/>
  <c r="K19" i="59"/>
  <c r="J19" i="59"/>
  <c r="I19" i="59"/>
  <c r="H19" i="59"/>
  <c r="G19" i="59"/>
  <c r="F19" i="59"/>
  <c r="E19" i="59"/>
  <c r="X18" i="59"/>
  <c r="W18" i="59"/>
  <c r="V18" i="59"/>
  <c r="T18" i="59"/>
  <c r="S18" i="59"/>
  <c r="R18" i="59"/>
  <c r="Q18" i="59"/>
  <c r="P18" i="59"/>
  <c r="O18" i="59"/>
  <c r="N18" i="59"/>
  <c r="M18" i="59"/>
  <c r="L18" i="59"/>
  <c r="K18" i="59"/>
  <c r="J18" i="59"/>
  <c r="I18" i="59"/>
  <c r="H18" i="59"/>
  <c r="G18" i="59"/>
  <c r="F18" i="59"/>
  <c r="E18" i="59"/>
  <c r="X15" i="59"/>
  <c r="W15" i="59"/>
  <c r="V15" i="59"/>
  <c r="U15" i="59"/>
  <c r="T15" i="59"/>
  <c r="S15" i="59"/>
  <c r="R15" i="59"/>
  <c r="Q15" i="59"/>
  <c r="P15" i="59"/>
  <c r="O15" i="59"/>
  <c r="N15" i="59"/>
  <c r="M15" i="59"/>
  <c r="L15" i="59"/>
  <c r="K15" i="59"/>
  <c r="J15" i="59"/>
  <c r="I15" i="59"/>
  <c r="H15" i="59"/>
  <c r="G15" i="59"/>
  <c r="F15" i="59"/>
  <c r="E15" i="59"/>
  <c r="X9" i="59"/>
  <c r="W9" i="59"/>
  <c r="V9" i="59"/>
  <c r="U9" i="59"/>
  <c r="T9" i="59"/>
  <c r="S9" i="59"/>
  <c r="R9" i="59"/>
  <c r="Q9" i="59"/>
  <c r="P9" i="59"/>
  <c r="O9" i="59"/>
  <c r="N9" i="59"/>
  <c r="M9" i="59"/>
  <c r="L9" i="59"/>
  <c r="K9" i="59"/>
  <c r="J9" i="59"/>
  <c r="I9" i="59"/>
  <c r="H9" i="59"/>
  <c r="G9" i="59"/>
  <c r="F9" i="59"/>
  <c r="E9" i="59"/>
  <c r="F1" i="59"/>
  <c r="G1" i="59" s="1"/>
  <c r="E2" i="66"/>
  <c r="F1" i="66"/>
  <c r="G1" i="66" s="1"/>
  <c r="AJ23" i="55"/>
  <c r="AI23" i="55"/>
  <c r="AH23" i="55"/>
  <c r="AG23" i="55"/>
  <c r="AF23" i="55"/>
  <c r="AE23" i="55"/>
  <c r="AD23" i="55"/>
  <c r="AC23" i="55"/>
  <c r="AB23" i="55"/>
  <c r="AA23" i="55"/>
  <c r="Z23" i="55"/>
  <c r="Y23" i="55"/>
  <c r="X23" i="55"/>
  <c r="W23" i="55"/>
  <c r="V23" i="55"/>
  <c r="U23" i="55"/>
  <c r="T23" i="55"/>
  <c r="S23" i="55"/>
  <c r="R23" i="55"/>
  <c r="Q23" i="55"/>
  <c r="P23" i="55"/>
  <c r="O23" i="55"/>
  <c r="N23" i="55"/>
  <c r="M23" i="55"/>
  <c r="L23" i="55"/>
  <c r="K23" i="55"/>
  <c r="J23" i="55"/>
  <c r="I23" i="55"/>
  <c r="H23" i="55"/>
  <c r="G23" i="55"/>
  <c r="F23" i="55"/>
  <c r="E23" i="55"/>
  <c r="AK13" i="55"/>
  <c r="AJ13" i="55"/>
  <c r="AG13" i="55"/>
  <c r="AF13" i="55"/>
  <c r="AE13" i="55"/>
  <c r="AD13" i="55"/>
  <c r="AC13" i="55"/>
  <c r="AB13" i="55"/>
  <c r="AA13" i="55"/>
  <c r="Z13" i="55"/>
  <c r="Y13" i="55"/>
  <c r="X13" i="55"/>
  <c r="W13" i="55"/>
  <c r="V13" i="55"/>
  <c r="U13" i="55"/>
  <c r="T13" i="55"/>
  <c r="S13" i="55"/>
  <c r="R13" i="55"/>
  <c r="Q13" i="55"/>
  <c r="P13" i="55"/>
  <c r="O13" i="55"/>
  <c r="N13" i="55"/>
  <c r="M13" i="55"/>
  <c r="L13" i="55"/>
  <c r="K13" i="55"/>
  <c r="J13" i="55"/>
  <c r="I13" i="55"/>
  <c r="H13" i="55"/>
  <c r="G13" i="55"/>
  <c r="F13" i="55"/>
  <c r="E13" i="55"/>
  <c r="AI13" i="55"/>
  <c r="AH13" i="55"/>
  <c r="AI4" i="55"/>
  <c r="AH4" i="55"/>
  <c r="AG4" i="55"/>
  <c r="AF4" i="55"/>
  <c r="AE4" i="55"/>
  <c r="AD4" i="55"/>
  <c r="AC4" i="55"/>
  <c r="AB4" i="55"/>
  <c r="Z4" i="55"/>
  <c r="Y4" i="55"/>
  <c r="X4" i="55"/>
  <c r="W4" i="55"/>
  <c r="V4" i="55"/>
  <c r="U4" i="55"/>
  <c r="T4" i="55"/>
  <c r="S4" i="55"/>
  <c r="O4" i="55"/>
  <c r="N4" i="55"/>
  <c r="M4" i="55"/>
  <c r="L4" i="55"/>
  <c r="K4" i="55"/>
  <c r="J4" i="55"/>
  <c r="I4" i="55"/>
  <c r="H4" i="55"/>
  <c r="G4" i="55"/>
  <c r="F4" i="55"/>
  <c r="E4" i="55"/>
  <c r="E2" i="55"/>
  <c r="F1" i="55"/>
  <c r="AK25" i="65"/>
  <c r="AJ25" i="65"/>
  <c r="AI25" i="65"/>
  <c r="AH25" i="65"/>
  <c r="AG25" i="65"/>
  <c r="AF25" i="65"/>
  <c r="AE25" i="65"/>
  <c r="AD25" i="65"/>
  <c r="AC25" i="65"/>
  <c r="AB25" i="65"/>
  <c r="AA25" i="65"/>
  <c r="Z25" i="65"/>
  <c r="Y25" i="65"/>
  <c r="X25" i="65"/>
  <c r="W25" i="65"/>
  <c r="V25" i="65"/>
  <c r="T25" i="65"/>
  <c r="S25" i="65"/>
  <c r="R25" i="65"/>
  <c r="Q25" i="65"/>
  <c r="P25" i="65"/>
  <c r="O25" i="65"/>
  <c r="N25" i="65"/>
  <c r="M25" i="65"/>
  <c r="L25" i="65"/>
  <c r="K25" i="65"/>
  <c r="J25" i="65"/>
  <c r="I25" i="65"/>
  <c r="H25" i="65"/>
  <c r="G25" i="65"/>
  <c r="F25" i="65"/>
  <c r="E25" i="65"/>
  <c r="AK24" i="65"/>
  <c r="AJ24" i="65"/>
  <c r="AI24" i="65"/>
  <c r="AH24" i="65"/>
  <c r="AG24" i="65"/>
  <c r="AF24" i="65"/>
  <c r="AE24" i="65"/>
  <c r="AD24" i="65"/>
  <c r="AC24" i="65"/>
  <c r="AB24" i="65"/>
  <c r="AA24" i="65"/>
  <c r="Z24" i="65"/>
  <c r="Y24" i="65"/>
  <c r="X24" i="65"/>
  <c r="W24" i="65"/>
  <c r="V24" i="65"/>
  <c r="T24" i="65"/>
  <c r="S24" i="65"/>
  <c r="R24" i="65"/>
  <c r="Q24" i="65"/>
  <c r="P24" i="65"/>
  <c r="O24" i="65"/>
  <c r="N24" i="65"/>
  <c r="M24" i="65"/>
  <c r="L24" i="65"/>
  <c r="K24" i="65"/>
  <c r="J24" i="65"/>
  <c r="I24" i="65"/>
  <c r="H24" i="65"/>
  <c r="G24" i="65"/>
  <c r="F24" i="65"/>
  <c r="E24" i="65"/>
  <c r="AK23" i="65"/>
  <c r="AJ23" i="65"/>
  <c r="AI23" i="65"/>
  <c r="AH23" i="65"/>
  <c r="AG23" i="65"/>
  <c r="AF23" i="65"/>
  <c r="AE23" i="65"/>
  <c r="AD23" i="65"/>
  <c r="AC23" i="65"/>
  <c r="AB23" i="65"/>
  <c r="AA23" i="65"/>
  <c r="Z23" i="65"/>
  <c r="Y23" i="65"/>
  <c r="X23" i="65"/>
  <c r="W23" i="65"/>
  <c r="V23" i="65"/>
  <c r="T23" i="65"/>
  <c r="S23" i="65"/>
  <c r="R23" i="65"/>
  <c r="Q23" i="65"/>
  <c r="P23" i="65"/>
  <c r="O23" i="65"/>
  <c r="N23" i="65"/>
  <c r="M23" i="65"/>
  <c r="L23" i="65"/>
  <c r="K23" i="65"/>
  <c r="J23" i="65"/>
  <c r="I23" i="65"/>
  <c r="H23" i="65"/>
  <c r="G23" i="65"/>
  <c r="F23" i="65"/>
  <c r="E23" i="65"/>
  <c r="AK22" i="65"/>
  <c r="AJ22" i="65"/>
  <c r="AI22" i="65"/>
  <c r="AH22" i="65"/>
  <c r="AG22" i="65"/>
  <c r="AF22" i="65"/>
  <c r="AE22" i="65"/>
  <c r="AD22" i="65"/>
  <c r="AC22" i="65"/>
  <c r="AB22" i="65"/>
  <c r="AA22" i="65"/>
  <c r="Z22" i="65"/>
  <c r="Y22" i="65"/>
  <c r="X22" i="65"/>
  <c r="W22" i="65"/>
  <c r="V22" i="65"/>
  <c r="T22" i="65"/>
  <c r="S22" i="65"/>
  <c r="R22" i="65"/>
  <c r="Q22" i="65"/>
  <c r="P22" i="65"/>
  <c r="O22" i="65"/>
  <c r="N22" i="65"/>
  <c r="M22" i="65"/>
  <c r="L22" i="65"/>
  <c r="K22" i="65"/>
  <c r="J22" i="65"/>
  <c r="I22" i="65"/>
  <c r="H22" i="65"/>
  <c r="G22" i="65"/>
  <c r="F22" i="65"/>
  <c r="E22" i="65"/>
  <c r="AL24" i="65"/>
  <c r="AL23" i="65"/>
  <c r="F1" i="65"/>
  <c r="U89" i="71"/>
  <c r="T89" i="71"/>
  <c r="S89" i="71"/>
  <c r="O89" i="71"/>
  <c r="N89" i="71"/>
  <c r="M89" i="71"/>
  <c r="L89" i="71"/>
  <c r="K89" i="71"/>
  <c r="J89" i="71"/>
  <c r="I89" i="71"/>
  <c r="H89" i="71"/>
  <c r="G89" i="71"/>
  <c r="F89" i="71"/>
  <c r="E89" i="71"/>
  <c r="AK88" i="71"/>
  <c r="AJ88" i="71"/>
  <c r="AI88" i="71"/>
  <c r="AH88" i="71"/>
  <c r="AG88" i="71"/>
  <c r="AF88" i="71"/>
  <c r="AE88" i="71"/>
  <c r="AD88" i="71"/>
  <c r="AC88" i="71"/>
  <c r="AB88" i="71"/>
  <c r="AA88" i="71"/>
  <c r="Z88" i="71"/>
  <c r="Y88" i="71"/>
  <c r="X88" i="71"/>
  <c r="W88" i="71"/>
  <c r="V88" i="71"/>
  <c r="U88" i="71"/>
  <c r="T88" i="71"/>
  <c r="S88" i="71"/>
  <c r="O88" i="71"/>
  <c r="N88" i="71"/>
  <c r="M88" i="71"/>
  <c r="L88" i="71"/>
  <c r="K88" i="71"/>
  <c r="J88" i="71"/>
  <c r="I88" i="71"/>
  <c r="H88" i="71"/>
  <c r="G88" i="71"/>
  <c r="F88" i="71"/>
  <c r="E88" i="71"/>
  <c r="AK87" i="71"/>
  <c r="AJ87" i="71"/>
  <c r="AI87" i="71"/>
  <c r="AH87" i="71"/>
  <c r="AG87" i="71"/>
  <c r="AF87" i="71"/>
  <c r="AE87" i="71"/>
  <c r="AD87" i="71"/>
  <c r="AC87" i="71"/>
  <c r="AB87" i="71"/>
  <c r="AA87" i="71"/>
  <c r="Z87" i="71"/>
  <c r="Y87" i="71"/>
  <c r="X87" i="71"/>
  <c r="W87" i="71"/>
  <c r="V87" i="71"/>
  <c r="U87" i="71"/>
  <c r="T87" i="71"/>
  <c r="S87" i="71"/>
  <c r="O87" i="71"/>
  <c r="N87" i="71"/>
  <c r="M87" i="71"/>
  <c r="L87" i="71"/>
  <c r="K87" i="71"/>
  <c r="J87" i="71"/>
  <c r="I87" i="71"/>
  <c r="H87" i="71"/>
  <c r="G87" i="71"/>
  <c r="F87" i="71"/>
  <c r="E87" i="71"/>
  <c r="AK86" i="71"/>
  <c r="AJ86" i="71"/>
  <c r="AI86" i="71"/>
  <c r="AH86" i="71"/>
  <c r="AG86" i="71"/>
  <c r="AF86" i="71"/>
  <c r="AE86" i="71"/>
  <c r="AD86" i="71"/>
  <c r="AC86" i="71"/>
  <c r="AB86" i="71"/>
  <c r="AA86" i="71"/>
  <c r="Z86" i="71"/>
  <c r="Y86" i="71"/>
  <c r="X86" i="71"/>
  <c r="W86" i="71"/>
  <c r="V86" i="71"/>
  <c r="U86" i="71"/>
  <c r="T86" i="71"/>
  <c r="S86" i="71"/>
  <c r="O86" i="71"/>
  <c r="N86" i="71"/>
  <c r="M86" i="71"/>
  <c r="L86" i="71"/>
  <c r="K86" i="71"/>
  <c r="J86" i="71"/>
  <c r="I86" i="71"/>
  <c r="H86" i="71"/>
  <c r="G86" i="71"/>
  <c r="F86" i="71"/>
  <c r="E86" i="71"/>
  <c r="AK84" i="71"/>
  <c r="AJ84" i="71"/>
  <c r="AI84" i="71"/>
  <c r="AH84" i="71"/>
  <c r="AG84" i="71"/>
  <c r="AF84" i="71"/>
  <c r="AE84" i="71"/>
  <c r="AD84" i="71"/>
  <c r="AC84" i="71"/>
  <c r="AB84" i="71"/>
  <c r="AA84" i="71"/>
  <c r="Z84" i="71"/>
  <c r="Y84" i="71"/>
  <c r="X84" i="71"/>
  <c r="W84" i="71"/>
  <c r="V84" i="71"/>
  <c r="U84" i="71"/>
  <c r="T84" i="71"/>
  <c r="S84" i="71"/>
  <c r="AK83" i="71"/>
  <c r="AJ83" i="71"/>
  <c r="AI83" i="71"/>
  <c r="AH83" i="71"/>
  <c r="AG83" i="71"/>
  <c r="AF83" i="71"/>
  <c r="AE83" i="71"/>
  <c r="AD83" i="71"/>
  <c r="AC83" i="71"/>
  <c r="AB83" i="71"/>
  <c r="AA83" i="71"/>
  <c r="Z83" i="71"/>
  <c r="Y83" i="71"/>
  <c r="X83" i="71"/>
  <c r="W83" i="71"/>
  <c r="V83" i="71"/>
  <c r="U83" i="71"/>
  <c r="T83" i="71"/>
  <c r="S83" i="71"/>
  <c r="O83" i="71"/>
  <c r="N83" i="71"/>
  <c r="M83" i="71"/>
  <c r="L83" i="71"/>
  <c r="K83" i="71"/>
  <c r="J83" i="71"/>
  <c r="I83" i="71"/>
  <c r="H83" i="71"/>
  <c r="G83" i="71"/>
  <c r="F83" i="71"/>
  <c r="E83" i="71"/>
  <c r="AK82" i="71"/>
  <c r="AJ82" i="71"/>
  <c r="AI82" i="71"/>
  <c r="AH82" i="71"/>
  <c r="AG82" i="71"/>
  <c r="AF82" i="71"/>
  <c r="AE82" i="71"/>
  <c r="AD82" i="71"/>
  <c r="AC82" i="71"/>
  <c r="AB82" i="71"/>
  <c r="AA82" i="71"/>
  <c r="Z82" i="71"/>
  <c r="Y82" i="71"/>
  <c r="X82" i="71"/>
  <c r="W82" i="71"/>
  <c r="V82" i="71"/>
  <c r="U82" i="71"/>
  <c r="T82" i="71"/>
  <c r="S82" i="71"/>
  <c r="O82" i="71"/>
  <c r="N82" i="71"/>
  <c r="M82" i="71"/>
  <c r="L82" i="71"/>
  <c r="K82" i="71"/>
  <c r="J82" i="71"/>
  <c r="I82" i="71"/>
  <c r="H82" i="71"/>
  <c r="G82" i="71"/>
  <c r="F82" i="71"/>
  <c r="E82" i="71"/>
  <c r="AK81" i="71"/>
  <c r="AJ81" i="71"/>
  <c r="AI81" i="71"/>
  <c r="AH81" i="71"/>
  <c r="AG81" i="71"/>
  <c r="AF81" i="71"/>
  <c r="AE81" i="71"/>
  <c r="AD81" i="71"/>
  <c r="AC81" i="71"/>
  <c r="AB81" i="71"/>
  <c r="AA81" i="71"/>
  <c r="Z81" i="71"/>
  <c r="Y81" i="71"/>
  <c r="X81" i="71"/>
  <c r="W81" i="71"/>
  <c r="V81" i="71"/>
  <c r="U81" i="71"/>
  <c r="T81" i="71"/>
  <c r="S81" i="71"/>
  <c r="O81" i="71"/>
  <c r="N81" i="71"/>
  <c r="M81" i="71"/>
  <c r="L81" i="71"/>
  <c r="K81" i="71"/>
  <c r="J81" i="71"/>
  <c r="I81" i="71"/>
  <c r="H81" i="71"/>
  <c r="G81" i="71"/>
  <c r="F81" i="71"/>
  <c r="E81" i="71"/>
  <c r="AK80" i="71"/>
  <c r="AJ80" i="71"/>
  <c r="AI80" i="71"/>
  <c r="AH80" i="71"/>
  <c r="AG80" i="71"/>
  <c r="AF80" i="71"/>
  <c r="AE80" i="71"/>
  <c r="AD80" i="71"/>
  <c r="AC80" i="71"/>
  <c r="AB80" i="71"/>
  <c r="AA80" i="71"/>
  <c r="Z80" i="71"/>
  <c r="Y80" i="71"/>
  <c r="X80" i="71"/>
  <c r="W80" i="71"/>
  <c r="V80" i="71"/>
  <c r="U80" i="71"/>
  <c r="T80" i="71"/>
  <c r="S80" i="71"/>
  <c r="O80" i="71"/>
  <c r="N80" i="71"/>
  <c r="M80" i="71"/>
  <c r="L80" i="71"/>
  <c r="K80" i="71"/>
  <c r="J80" i="71"/>
  <c r="I80" i="71"/>
  <c r="H80" i="71"/>
  <c r="G80" i="71"/>
  <c r="F80" i="71"/>
  <c r="E80" i="71"/>
  <c r="AK79" i="71"/>
  <c r="AJ79" i="71"/>
  <c r="AI79" i="71"/>
  <c r="AH79" i="71"/>
  <c r="AG79" i="71"/>
  <c r="AF79" i="71"/>
  <c r="AE79" i="71"/>
  <c r="AD79" i="71"/>
  <c r="AC79" i="71"/>
  <c r="AB79" i="71"/>
  <c r="AA79" i="71"/>
  <c r="Z79" i="71"/>
  <c r="Y79" i="71"/>
  <c r="X79" i="71"/>
  <c r="W79" i="71"/>
  <c r="V79" i="71"/>
  <c r="U79" i="71"/>
  <c r="T79" i="71"/>
  <c r="S79" i="71"/>
  <c r="O79" i="71"/>
  <c r="N79" i="71"/>
  <c r="M79" i="71"/>
  <c r="L79" i="71"/>
  <c r="K79" i="71"/>
  <c r="J79" i="71"/>
  <c r="I79" i="71"/>
  <c r="H79" i="71"/>
  <c r="G79" i="71"/>
  <c r="F79" i="71"/>
  <c r="E79" i="71"/>
  <c r="AK78" i="71"/>
  <c r="AJ78" i="71"/>
  <c r="AI78" i="71"/>
  <c r="AH78" i="71"/>
  <c r="AG78" i="71"/>
  <c r="AF78" i="71"/>
  <c r="AE78" i="71"/>
  <c r="AD78" i="71"/>
  <c r="AC78" i="71"/>
  <c r="AB78" i="71"/>
  <c r="AA78" i="71"/>
  <c r="Z78" i="71"/>
  <c r="Y78" i="71"/>
  <c r="X78" i="71"/>
  <c r="W78" i="71"/>
  <c r="V78" i="71"/>
  <c r="U78" i="71"/>
  <c r="T78" i="71"/>
  <c r="S78" i="71"/>
  <c r="O78" i="71"/>
  <c r="N78" i="71"/>
  <c r="M78" i="71"/>
  <c r="L78" i="71"/>
  <c r="K78" i="71"/>
  <c r="J78" i="71"/>
  <c r="I78" i="71"/>
  <c r="H78" i="71"/>
  <c r="G78" i="71"/>
  <c r="F78" i="71"/>
  <c r="E78" i="71"/>
  <c r="AK77" i="71"/>
  <c r="AJ77" i="71"/>
  <c r="AI77" i="71"/>
  <c r="AH77" i="71"/>
  <c r="AG77" i="71"/>
  <c r="AF77" i="71"/>
  <c r="AE77" i="71"/>
  <c r="AD77" i="71"/>
  <c r="AC77" i="71"/>
  <c r="AB77" i="71"/>
  <c r="AA77" i="71"/>
  <c r="Z77" i="71"/>
  <c r="Y77" i="71"/>
  <c r="X77" i="71"/>
  <c r="W77" i="71"/>
  <c r="V77" i="71"/>
  <c r="U77" i="71"/>
  <c r="T77" i="71"/>
  <c r="S77" i="71"/>
  <c r="O77" i="71"/>
  <c r="N77" i="71"/>
  <c r="M77" i="71"/>
  <c r="L77" i="71"/>
  <c r="K77" i="71"/>
  <c r="J77" i="71"/>
  <c r="I77" i="71"/>
  <c r="H77" i="71"/>
  <c r="G77" i="71"/>
  <c r="F77" i="71"/>
  <c r="E77" i="71"/>
  <c r="AK76" i="71"/>
  <c r="AJ76" i="71"/>
  <c r="AI76" i="71"/>
  <c r="AH76" i="71"/>
  <c r="AG76" i="71"/>
  <c r="AF76" i="71"/>
  <c r="AE76" i="71"/>
  <c r="AD76" i="71"/>
  <c r="AC76" i="71"/>
  <c r="AB76" i="71"/>
  <c r="AA76" i="71"/>
  <c r="Z76" i="71"/>
  <c r="Y76" i="71"/>
  <c r="X76" i="71"/>
  <c r="W76" i="71"/>
  <c r="V76" i="71"/>
  <c r="U76" i="71"/>
  <c r="T76" i="71"/>
  <c r="S76" i="71"/>
  <c r="O76" i="71"/>
  <c r="N76" i="71"/>
  <c r="M76" i="71"/>
  <c r="L76" i="71"/>
  <c r="K76" i="71"/>
  <c r="J76" i="71"/>
  <c r="I76" i="71"/>
  <c r="H76" i="71"/>
  <c r="G76" i="71"/>
  <c r="F76" i="71"/>
  <c r="E76" i="71"/>
  <c r="AK75" i="71"/>
  <c r="AJ75" i="71"/>
  <c r="AI75" i="71"/>
  <c r="AH75" i="71"/>
  <c r="AG75" i="71"/>
  <c r="AF75" i="71"/>
  <c r="AE75" i="71"/>
  <c r="AD75" i="71"/>
  <c r="AC75" i="71"/>
  <c r="AB75" i="71"/>
  <c r="AA75" i="71"/>
  <c r="Z75" i="71"/>
  <c r="Y75" i="71"/>
  <c r="X75" i="71"/>
  <c r="W75" i="71"/>
  <c r="V75" i="71"/>
  <c r="U75" i="71"/>
  <c r="T75" i="71"/>
  <c r="S75" i="71"/>
  <c r="O75" i="71"/>
  <c r="N75" i="71"/>
  <c r="M75" i="71"/>
  <c r="L75" i="71"/>
  <c r="K75" i="71"/>
  <c r="J75" i="71"/>
  <c r="I75" i="71"/>
  <c r="H75" i="71"/>
  <c r="G75" i="71"/>
  <c r="F75" i="71"/>
  <c r="E75" i="71"/>
  <c r="AK74" i="71"/>
  <c r="AJ74" i="71"/>
  <c r="AI74" i="71"/>
  <c r="AH74" i="71"/>
  <c r="AG74" i="71"/>
  <c r="AF74" i="71"/>
  <c r="AE74" i="71"/>
  <c r="AD74" i="71"/>
  <c r="AC74" i="71"/>
  <c r="AB74" i="71"/>
  <c r="AA74" i="71"/>
  <c r="Z74" i="71"/>
  <c r="Y74" i="71"/>
  <c r="X74" i="71"/>
  <c r="W74" i="71"/>
  <c r="V74" i="71"/>
  <c r="U74" i="71"/>
  <c r="T74" i="71"/>
  <c r="S74" i="71"/>
  <c r="O74" i="71"/>
  <c r="N74" i="71"/>
  <c r="M74" i="71"/>
  <c r="L74" i="71"/>
  <c r="K74" i="71"/>
  <c r="J74" i="71"/>
  <c r="I74" i="71"/>
  <c r="H74" i="71"/>
  <c r="G74" i="71"/>
  <c r="F74" i="71"/>
  <c r="E74" i="71"/>
  <c r="AK73" i="71"/>
  <c r="AJ73" i="71"/>
  <c r="AI73" i="71"/>
  <c r="AH73" i="71"/>
  <c r="AG73" i="71"/>
  <c r="AF73" i="71"/>
  <c r="AE73" i="71"/>
  <c r="AD73" i="71"/>
  <c r="AC73" i="71"/>
  <c r="AB73" i="71"/>
  <c r="AA73" i="71"/>
  <c r="Z73" i="71"/>
  <c r="Y73" i="71"/>
  <c r="X73" i="71"/>
  <c r="W73" i="71"/>
  <c r="V73" i="71"/>
  <c r="U73" i="71"/>
  <c r="T73" i="71"/>
  <c r="S73" i="71"/>
  <c r="O73" i="71"/>
  <c r="N73" i="71"/>
  <c r="M73" i="71"/>
  <c r="L73" i="71"/>
  <c r="K73" i="71"/>
  <c r="J73" i="71"/>
  <c r="I73" i="71"/>
  <c r="H73" i="71"/>
  <c r="G73" i="71"/>
  <c r="F73" i="71"/>
  <c r="E73" i="71"/>
  <c r="AK72" i="71"/>
  <c r="AJ72" i="71"/>
  <c r="AI72" i="71"/>
  <c r="AH72" i="71"/>
  <c r="AG72" i="71"/>
  <c r="AF72" i="71"/>
  <c r="AE72" i="71"/>
  <c r="AD72" i="71"/>
  <c r="AC72" i="71"/>
  <c r="AB72" i="71"/>
  <c r="AA72" i="71"/>
  <c r="Z72" i="71"/>
  <c r="Y72" i="71"/>
  <c r="X72" i="71"/>
  <c r="W72" i="71"/>
  <c r="V72" i="71"/>
  <c r="U72" i="71"/>
  <c r="T72" i="71"/>
  <c r="S72" i="71"/>
  <c r="O72" i="71"/>
  <c r="N72" i="71"/>
  <c r="M72" i="71"/>
  <c r="L72" i="71"/>
  <c r="K72" i="71"/>
  <c r="J72" i="71"/>
  <c r="I72" i="71"/>
  <c r="H72" i="71"/>
  <c r="G72" i="71"/>
  <c r="F72" i="71"/>
  <c r="E72" i="71"/>
  <c r="AK71" i="71"/>
  <c r="AJ71" i="71"/>
  <c r="AI71" i="71"/>
  <c r="AH71" i="71"/>
  <c r="AG71" i="71"/>
  <c r="AF71" i="71"/>
  <c r="AE71" i="71"/>
  <c r="AD71" i="71"/>
  <c r="AC71" i="71"/>
  <c r="AB71" i="71"/>
  <c r="AA71" i="71"/>
  <c r="Z71" i="71"/>
  <c r="Y71" i="71"/>
  <c r="X71" i="71"/>
  <c r="W71" i="71"/>
  <c r="V71" i="71"/>
  <c r="U71" i="71"/>
  <c r="T71" i="71"/>
  <c r="S71" i="71"/>
  <c r="O71" i="71"/>
  <c r="N71" i="71"/>
  <c r="M71" i="71"/>
  <c r="L71" i="71"/>
  <c r="K71" i="71"/>
  <c r="J71" i="71"/>
  <c r="I71" i="71"/>
  <c r="H71" i="71"/>
  <c r="G71" i="71"/>
  <c r="F71" i="71"/>
  <c r="E71" i="71"/>
  <c r="AK70" i="71"/>
  <c r="AJ70" i="71"/>
  <c r="AI70" i="71"/>
  <c r="AH70" i="71"/>
  <c r="AG70" i="71"/>
  <c r="AF70" i="71"/>
  <c r="AE70" i="71"/>
  <c r="AD70" i="71"/>
  <c r="AC70" i="71"/>
  <c r="AB70" i="71"/>
  <c r="AA70" i="71"/>
  <c r="Z70" i="71"/>
  <c r="Y70" i="71"/>
  <c r="X70" i="71"/>
  <c r="W70" i="71"/>
  <c r="V70" i="71"/>
  <c r="U70" i="71"/>
  <c r="T70" i="71"/>
  <c r="S70" i="71"/>
  <c r="O70" i="71"/>
  <c r="N70" i="71"/>
  <c r="M70" i="71"/>
  <c r="L70" i="71"/>
  <c r="K70" i="71"/>
  <c r="J70" i="71"/>
  <c r="I70" i="71"/>
  <c r="H70" i="71"/>
  <c r="G70" i="71"/>
  <c r="F70" i="71"/>
  <c r="E70" i="71"/>
  <c r="AK69" i="71"/>
  <c r="AJ69" i="71"/>
  <c r="AI69" i="71"/>
  <c r="AH69" i="71"/>
  <c r="AG69" i="71"/>
  <c r="AF69" i="71"/>
  <c r="AE69" i="71"/>
  <c r="AD69" i="71"/>
  <c r="AC69" i="71"/>
  <c r="AB69" i="71"/>
  <c r="AA69" i="71"/>
  <c r="Z69" i="71"/>
  <c r="Y69" i="71"/>
  <c r="AK68" i="71"/>
  <c r="AJ68" i="71"/>
  <c r="AI68" i="71"/>
  <c r="AH68" i="71"/>
  <c r="AG68" i="71"/>
  <c r="AF68" i="71"/>
  <c r="AE68" i="71"/>
  <c r="AD68" i="71"/>
  <c r="AC68" i="71"/>
  <c r="AB68" i="71"/>
  <c r="AA68" i="71"/>
  <c r="Z68" i="71"/>
  <c r="Y68" i="71"/>
  <c r="X68" i="71"/>
  <c r="W68" i="71"/>
  <c r="V68" i="71"/>
  <c r="U68" i="71"/>
  <c r="T68" i="71"/>
  <c r="S68" i="71"/>
  <c r="O68" i="71"/>
  <c r="N68" i="71"/>
  <c r="M68" i="71"/>
  <c r="L68" i="71"/>
  <c r="K68" i="71"/>
  <c r="J68" i="71"/>
  <c r="I68" i="71"/>
  <c r="H68" i="71"/>
  <c r="G68" i="71"/>
  <c r="F68" i="71"/>
  <c r="E68" i="71"/>
  <c r="AK67" i="71"/>
  <c r="AJ67" i="71"/>
  <c r="AI67" i="71"/>
  <c r="AH67" i="71"/>
  <c r="AG67" i="71"/>
  <c r="AF67" i="71"/>
  <c r="AE67" i="71"/>
  <c r="AD67" i="71"/>
  <c r="AC67" i="71"/>
  <c r="AB67" i="71"/>
  <c r="AA67" i="71"/>
  <c r="Z67" i="71"/>
  <c r="Y67" i="71"/>
  <c r="X67" i="71"/>
  <c r="W67" i="71"/>
  <c r="V67" i="71"/>
  <c r="U67" i="71"/>
  <c r="T67" i="71"/>
  <c r="S67" i="71"/>
  <c r="O67" i="71"/>
  <c r="N67" i="71"/>
  <c r="M67" i="71"/>
  <c r="L67" i="71"/>
  <c r="K67" i="71"/>
  <c r="J67" i="71"/>
  <c r="I67" i="71"/>
  <c r="H67" i="71"/>
  <c r="G67" i="71"/>
  <c r="F67" i="71"/>
  <c r="E67" i="71"/>
  <c r="AK66" i="71"/>
  <c r="AJ66" i="71"/>
  <c r="AI66" i="71"/>
  <c r="AH66" i="71"/>
  <c r="AG66" i="71"/>
  <c r="AF66" i="71"/>
  <c r="AE66" i="71"/>
  <c r="AD66" i="71"/>
  <c r="AC66" i="71"/>
  <c r="AB66" i="71"/>
  <c r="AA66" i="71"/>
  <c r="Z66" i="71"/>
  <c r="Y66" i="71"/>
  <c r="X66" i="71"/>
  <c r="W66" i="71"/>
  <c r="V66" i="71"/>
  <c r="U66" i="71"/>
  <c r="T66" i="71"/>
  <c r="S66" i="71"/>
  <c r="O66" i="71"/>
  <c r="N66" i="71"/>
  <c r="M66" i="71"/>
  <c r="L66" i="71"/>
  <c r="K66" i="71"/>
  <c r="J66" i="71"/>
  <c r="I66" i="71"/>
  <c r="H66" i="71"/>
  <c r="G66" i="71"/>
  <c r="F66" i="71"/>
  <c r="E66" i="71"/>
  <c r="AK65" i="71"/>
  <c r="AJ65" i="71"/>
  <c r="AI65" i="71"/>
  <c r="AH65" i="71"/>
  <c r="AG65" i="71"/>
  <c r="AF65" i="71"/>
  <c r="AE65" i="71"/>
  <c r="AD65" i="71"/>
  <c r="AC65" i="71"/>
  <c r="AB65" i="71"/>
  <c r="AA65" i="71"/>
  <c r="Z65" i="71"/>
  <c r="Y65" i="71"/>
  <c r="X65" i="71"/>
  <c r="W65" i="71"/>
  <c r="V65" i="71"/>
  <c r="U65" i="71"/>
  <c r="T65" i="71"/>
  <c r="S65" i="71"/>
  <c r="O65" i="71"/>
  <c r="N65" i="71"/>
  <c r="M65" i="71"/>
  <c r="L65" i="71"/>
  <c r="K65" i="71"/>
  <c r="J65" i="71"/>
  <c r="I65" i="71"/>
  <c r="H65" i="71"/>
  <c r="G65" i="71"/>
  <c r="F65" i="71"/>
  <c r="E65" i="71"/>
  <c r="AK64" i="71"/>
  <c r="AJ64" i="71"/>
  <c r="AI64" i="71"/>
  <c r="AH64" i="71"/>
  <c r="AG64" i="71"/>
  <c r="AF64" i="71"/>
  <c r="AE64" i="71"/>
  <c r="AD64" i="71"/>
  <c r="AC64" i="71"/>
  <c r="AB64" i="71"/>
  <c r="AA64" i="71"/>
  <c r="Z64" i="71"/>
  <c r="Y64" i="71"/>
  <c r="X64" i="71"/>
  <c r="W64" i="71"/>
  <c r="V64" i="71"/>
  <c r="U64" i="71"/>
  <c r="T64" i="71"/>
  <c r="S64" i="71"/>
  <c r="O64" i="71"/>
  <c r="N64" i="71"/>
  <c r="M64" i="71"/>
  <c r="L64" i="71"/>
  <c r="K64" i="71"/>
  <c r="J64" i="71"/>
  <c r="I64" i="71"/>
  <c r="H64" i="71"/>
  <c r="G64" i="71"/>
  <c r="F64" i="71"/>
  <c r="E64" i="71"/>
  <c r="G61" i="71"/>
  <c r="F61" i="71"/>
  <c r="E61" i="71"/>
  <c r="E2" i="71"/>
  <c r="F1" i="71"/>
  <c r="AJ23" i="53"/>
  <c r="AI23" i="53"/>
  <c r="AH23" i="53"/>
  <c r="AG23" i="53"/>
  <c r="AE23" i="53"/>
  <c r="AD23" i="53"/>
  <c r="AC23" i="53"/>
  <c r="Z23" i="53"/>
  <c r="Y23" i="53"/>
  <c r="X23" i="53"/>
  <c r="W23" i="53"/>
  <c r="V23" i="53"/>
  <c r="U23" i="53"/>
  <c r="T23" i="53"/>
  <c r="S23" i="53"/>
  <c r="R23" i="53"/>
  <c r="Q23" i="53"/>
  <c r="P23" i="53"/>
  <c r="O23" i="53"/>
  <c r="N23" i="53"/>
  <c r="M23" i="53"/>
  <c r="L23" i="53"/>
  <c r="K23" i="53"/>
  <c r="J23" i="53"/>
  <c r="I23" i="53"/>
  <c r="H23" i="53"/>
  <c r="G23" i="53"/>
  <c r="F23" i="53"/>
  <c r="E23" i="53"/>
  <c r="AF22" i="53"/>
  <c r="AF24" i="53" s="1"/>
  <c r="AB22" i="53"/>
  <c r="AB24" i="53" s="1"/>
  <c r="AA22" i="53"/>
  <c r="AA24" i="53" s="1"/>
  <c r="AJ21" i="53"/>
  <c r="AI21" i="53"/>
  <c r="AH21" i="53"/>
  <c r="AG21" i="53"/>
  <c r="AE21" i="53"/>
  <c r="AD21" i="53"/>
  <c r="AC21" i="53"/>
  <c r="Z21" i="53"/>
  <c r="Y21" i="53"/>
  <c r="X21" i="53"/>
  <c r="W21" i="53"/>
  <c r="V21" i="53"/>
  <c r="U21" i="53"/>
  <c r="T21" i="53"/>
  <c r="S21" i="53"/>
  <c r="R21" i="53"/>
  <c r="Q21" i="53"/>
  <c r="P21" i="53"/>
  <c r="O21" i="53"/>
  <c r="N21" i="53"/>
  <c r="M21" i="53"/>
  <c r="L21" i="53"/>
  <c r="K21" i="53"/>
  <c r="J21" i="53"/>
  <c r="I21" i="53"/>
  <c r="H21" i="53"/>
  <c r="G21" i="53"/>
  <c r="F21" i="53"/>
  <c r="E21" i="53"/>
  <c r="AJ20" i="53"/>
  <c r="AI20" i="53"/>
  <c r="AH20" i="53"/>
  <c r="AG20" i="53"/>
  <c r="AE20" i="53"/>
  <c r="AD20" i="53"/>
  <c r="AC20" i="53"/>
  <c r="Z20" i="53"/>
  <c r="Y20" i="53"/>
  <c r="X20" i="53"/>
  <c r="W20" i="53"/>
  <c r="V20" i="53"/>
  <c r="U20" i="53"/>
  <c r="T20" i="53"/>
  <c r="S20" i="53"/>
  <c r="R20" i="53"/>
  <c r="Q20" i="53"/>
  <c r="P20" i="53"/>
  <c r="O20" i="53"/>
  <c r="N20" i="53"/>
  <c r="M20" i="53"/>
  <c r="L20" i="53"/>
  <c r="K20" i="53"/>
  <c r="J20" i="53"/>
  <c r="I20" i="53"/>
  <c r="H20" i="53"/>
  <c r="G20" i="53"/>
  <c r="F20" i="53"/>
  <c r="E20" i="53"/>
  <c r="AJ15" i="53"/>
  <c r="AJ17" i="53" s="1"/>
  <c r="AI15" i="53"/>
  <c r="AI17" i="53" s="1"/>
  <c r="AH15" i="53"/>
  <c r="AH17" i="53" s="1"/>
  <c r="AG15" i="53"/>
  <c r="AG17" i="53" s="1"/>
  <c r="AF15" i="53"/>
  <c r="AF17" i="53" s="1"/>
  <c r="AE15" i="53"/>
  <c r="AE17" i="53" s="1"/>
  <c r="AD15" i="53"/>
  <c r="AD17" i="53" s="1"/>
  <c r="AC15" i="53"/>
  <c r="AC17" i="53" s="1"/>
  <c r="AB15" i="53"/>
  <c r="AB17" i="53" s="1"/>
  <c r="AA15" i="53"/>
  <c r="AA17" i="53" s="1"/>
  <c r="Z15" i="53"/>
  <c r="Z17" i="53" s="1"/>
  <c r="Y15" i="53"/>
  <c r="Y17" i="53" s="1"/>
  <c r="X15" i="53"/>
  <c r="X17" i="53" s="1"/>
  <c r="W15" i="53"/>
  <c r="W17" i="53" s="1"/>
  <c r="V15" i="53"/>
  <c r="V17" i="53" s="1"/>
  <c r="U15" i="53"/>
  <c r="U17" i="53" s="1"/>
  <c r="T15" i="53"/>
  <c r="T17" i="53" s="1"/>
  <c r="S15" i="53"/>
  <c r="S17" i="53" s="1"/>
  <c r="R15" i="53"/>
  <c r="R17" i="53" s="1"/>
  <c r="Q15" i="53"/>
  <c r="Q17" i="53" s="1"/>
  <c r="P15" i="53"/>
  <c r="P17" i="53" s="1"/>
  <c r="O15" i="53"/>
  <c r="O17" i="53" s="1"/>
  <c r="N15" i="53"/>
  <c r="N17" i="53" s="1"/>
  <c r="M15" i="53"/>
  <c r="M17" i="53" s="1"/>
  <c r="L15" i="53"/>
  <c r="L17" i="53" s="1"/>
  <c r="K15" i="53"/>
  <c r="K17" i="53" s="1"/>
  <c r="J15" i="53"/>
  <c r="J17" i="53" s="1"/>
  <c r="I15" i="53"/>
  <c r="I17" i="53" s="1"/>
  <c r="H15" i="53"/>
  <c r="H17" i="53" s="1"/>
  <c r="G15" i="53"/>
  <c r="G17" i="53" s="1"/>
  <c r="F15" i="53"/>
  <c r="F17" i="53" s="1"/>
  <c r="E15" i="53"/>
  <c r="E17" i="53" s="1"/>
  <c r="AL23" i="53"/>
  <c r="AK8" i="53"/>
  <c r="AJ8" i="53"/>
  <c r="AJ10" i="53" s="1"/>
  <c r="AI8" i="53"/>
  <c r="AI10" i="53" s="1"/>
  <c r="AH8" i="53"/>
  <c r="AH10" i="53" s="1"/>
  <c r="AG8" i="53"/>
  <c r="AG10" i="53" s="1"/>
  <c r="AF8" i="53"/>
  <c r="AF10" i="53" s="1"/>
  <c r="AE8" i="53"/>
  <c r="AE10" i="53" s="1"/>
  <c r="AD8" i="53"/>
  <c r="AD10" i="53" s="1"/>
  <c r="AC8" i="53"/>
  <c r="AC10" i="53" s="1"/>
  <c r="AB8" i="53"/>
  <c r="AB10" i="53" s="1"/>
  <c r="AA8" i="53"/>
  <c r="AA10" i="53" s="1"/>
  <c r="Z8" i="53"/>
  <c r="Z10" i="53" s="1"/>
  <c r="Y8" i="53"/>
  <c r="Y10" i="53" s="1"/>
  <c r="X8" i="53"/>
  <c r="X10" i="53" s="1"/>
  <c r="W8" i="53"/>
  <c r="W10" i="53" s="1"/>
  <c r="V8" i="53"/>
  <c r="V10" i="53" s="1"/>
  <c r="U8" i="53"/>
  <c r="U10" i="53" s="1"/>
  <c r="T8" i="53"/>
  <c r="T10" i="53" s="1"/>
  <c r="S8" i="53"/>
  <c r="S10" i="53" s="1"/>
  <c r="R8" i="53"/>
  <c r="R10" i="53" s="1"/>
  <c r="Q8" i="53"/>
  <c r="Q10" i="53" s="1"/>
  <c r="P8" i="53"/>
  <c r="P10" i="53" s="1"/>
  <c r="O8" i="53"/>
  <c r="O10" i="53" s="1"/>
  <c r="N8" i="53"/>
  <c r="N10" i="53" s="1"/>
  <c r="M8" i="53"/>
  <c r="M10" i="53" s="1"/>
  <c r="L8" i="53"/>
  <c r="L10" i="53" s="1"/>
  <c r="K8" i="53"/>
  <c r="K10" i="53" s="1"/>
  <c r="J8" i="53"/>
  <c r="J10" i="53" s="1"/>
  <c r="I8" i="53"/>
  <c r="I10" i="53" s="1"/>
  <c r="H8" i="53"/>
  <c r="H10" i="53" s="1"/>
  <c r="G8" i="53"/>
  <c r="G10" i="53" s="1"/>
  <c r="F8" i="53"/>
  <c r="F10" i="53" s="1"/>
  <c r="E8" i="53"/>
  <c r="E10" i="53" s="1"/>
  <c r="AL21" i="53"/>
  <c r="F1" i="53"/>
  <c r="G1" i="53" s="1"/>
  <c r="G2" i="53" s="1"/>
  <c r="AJ50" i="52"/>
  <c r="AI50" i="52"/>
  <c r="AH50" i="52"/>
  <c r="AG50" i="52"/>
  <c r="AF50" i="52"/>
  <c r="AE50" i="52"/>
  <c r="AD50" i="52"/>
  <c r="AC50" i="52"/>
  <c r="AB50" i="52"/>
  <c r="Z50" i="52"/>
  <c r="Y50" i="52"/>
  <c r="X50" i="52"/>
  <c r="W50" i="52"/>
  <c r="V50" i="52"/>
  <c r="U50" i="52"/>
  <c r="T50" i="52"/>
  <c r="S50" i="52"/>
  <c r="R50" i="52"/>
  <c r="Q50" i="52"/>
  <c r="P50" i="52"/>
  <c r="O50" i="52"/>
  <c r="N50" i="52"/>
  <c r="M50" i="52"/>
  <c r="L50" i="52"/>
  <c r="K50" i="52"/>
  <c r="J50" i="52"/>
  <c r="I50" i="52"/>
  <c r="H50" i="52"/>
  <c r="G50" i="52"/>
  <c r="F50" i="52"/>
  <c r="E50" i="52"/>
  <c r="AJ49" i="52"/>
  <c r="AI49" i="52"/>
  <c r="AH49" i="52"/>
  <c r="AG49" i="52"/>
  <c r="AF49" i="52"/>
  <c r="AD49" i="52"/>
  <c r="AC49" i="52"/>
  <c r="AB49" i="52"/>
  <c r="AA49" i="52"/>
  <c r="Z49" i="52"/>
  <c r="Y49" i="52"/>
  <c r="X49" i="52"/>
  <c r="W49" i="52"/>
  <c r="V49" i="52"/>
  <c r="U49" i="52"/>
  <c r="T49" i="52"/>
  <c r="S49" i="52"/>
  <c r="R49" i="52"/>
  <c r="Q49" i="52"/>
  <c r="P49" i="52"/>
  <c r="O49" i="52"/>
  <c r="N49" i="52"/>
  <c r="M49" i="52"/>
  <c r="L49" i="52"/>
  <c r="K49" i="52"/>
  <c r="J49" i="52"/>
  <c r="I49" i="52"/>
  <c r="H49" i="52"/>
  <c r="G49" i="52"/>
  <c r="F49" i="52"/>
  <c r="E49" i="52"/>
  <c r="AJ48" i="52"/>
  <c r="AI48" i="52"/>
  <c r="AH48" i="52"/>
  <c r="AG48" i="52"/>
  <c r="AF48" i="52"/>
  <c r="AD48" i="52"/>
  <c r="AC48" i="52"/>
  <c r="AB48" i="52"/>
  <c r="AA48" i="52"/>
  <c r="Z48" i="52"/>
  <c r="Y48" i="52"/>
  <c r="X48" i="52"/>
  <c r="W48" i="52"/>
  <c r="V48" i="52"/>
  <c r="U48" i="52"/>
  <c r="T48" i="52"/>
  <c r="S48" i="52"/>
  <c r="R48" i="52"/>
  <c r="Q48" i="52"/>
  <c r="P48" i="52"/>
  <c r="O48" i="52"/>
  <c r="N48" i="52"/>
  <c r="M48" i="52"/>
  <c r="L48" i="52"/>
  <c r="K48" i="52"/>
  <c r="J48" i="52"/>
  <c r="I48" i="52"/>
  <c r="H48" i="52"/>
  <c r="G48" i="52"/>
  <c r="F48" i="52"/>
  <c r="E48" i="52"/>
  <c r="AJ46" i="52"/>
  <c r="AI46" i="52"/>
  <c r="AH46" i="52"/>
  <c r="AG46" i="52"/>
  <c r="AF46" i="52"/>
  <c r="AE46" i="52"/>
  <c r="AD46" i="52"/>
  <c r="AC46" i="52"/>
  <c r="AB46" i="52"/>
  <c r="Z46" i="52"/>
  <c r="Y46" i="52"/>
  <c r="X46" i="52"/>
  <c r="W46" i="52"/>
  <c r="V46" i="52"/>
  <c r="U46" i="52"/>
  <c r="T46" i="52"/>
  <c r="S46" i="52"/>
  <c r="R46" i="52"/>
  <c r="Q46" i="52"/>
  <c r="P46" i="52"/>
  <c r="O46" i="52"/>
  <c r="N46" i="52"/>
  <c r="M46" i="52"/>
  <c r="L46" i="52"/>
  <c r="K46" i="52"/>
  <c r="J46" i="52"/>
  <c r="I46" i="52"/>
  <c r="H46" i="52"/>
  <c r="G46" i="52"/>
  <c r="F46" i="52"/>
  <c r="E46" i="52"/>
  <c r="AJ45" i="52"/>
  <c r="AI45" i="52"/>
  <c r="AH45" i="52"/>
  <c r="AG45" i="52"/>
  <c r="AF45" i="52"/>
  <c r="AD45" i="52"/>
  <c r="AC45" i="52"/>
  <c r="AB45" i="52"/>
  <c r="AA45" i="52"/>
  <c r="Z45" i="52"/>
  <c r="Y45" i="52"/>
  <c r="X45" i="52"/>
  <c r="W45" i="52"/>
  <c r="V45" i="52"/>
  <c r="U45" i="52"/>
  <c r="T45" i="52"/>
  <c r="S45" i="52"/>
  <c r="R45" i="52"/>
  <c r="Q45" i="52"/>
  <c r="P45" i="52"/>
  <c r="O45" i="52"/>
  <c r="N45" i="52"/>
  <c r="M45" i="52"/>
  <c r="L45" i="52"/>
  <c r="K45" i="52"/>
  <c r="J45" i="52"/>
  <c r="I45" i="52"/>
  <c r="H45" i="52"/>
  <c r="G45" i="52"/>
  <c r="F45" i="52"/>
  <c r="E45" i="52"/>
  <c r="AJ43" i="52"/>
  <c r="AI43" i="52"/>
  <c r="AH43" i="52"/>
  <c r="AG43" i="52"/>
  <c r="AF43" i="52"/>
  <c r="AD43" i="52"/>
  <c r="AC43" i="52"/>
  <c r="AB43" i="52"/>
  <c r="AJ42" i="52"/>
  <c r="AI42" i="52"/>
  <c r="AH42" i="52"/>
  <c r="AG42" i="52"/>
  <c r="AF42" i="52"/>
  <c r="AD42" i="52"/>
  <c r="AC42" i="52"/>
  <c r="AB42" i="52"/>
  <c r="AA42" i="52"/>
  <c r="Z42" i="52"/>
  <c r="Y42" i="52"/>
  <c r="X42" i="52"/>
  <c r="W42" i="52"/>
  <c r="V42" i="52"/>
  <c r="U42" i="52"/>
  <c r="T42" i="52"/>
  <c r="S42" i="52"/>
  <c r="R42" i="52"/>
  <c r="Q42" i="52"/>
  <c r="P42" i="52"/>
  <c r="O42" i="52"/>
  <c r="N42" i="52"/>
  <c r="M42" i="52"/>
  <c r="L42" i="52"/>
  <c r="K42" i="52"/>
  <c r="J42" i="52"/>
  <c r="I42" i="52"/>
  <c r="H42" i="52"/>
  <c r="G42" i="52"/>
  <c r="F42" i="52"/>
  <c r="E42" i="52"/>
  <c r="AJ41" i="52"/>
  <c r="AI41" i="52"/>
  <c r="AH41" i="52"/>
  <c r="AG41" i="52"/>
  <c r="AF41" i="52"/>
  <c r="AD41" i="52"/>
  <c r="AC41" i="52"/>
  <c r="AB41" i="52"/>
  <c r="AA41" i="52"/>
  <c r="Z41" i="52"/>
  <c r="Y41" i="52"/>
  <c r="X41" i="52"/>
  <c r="W41" i="52"/>
  <c r="V41" i="52"/>
  <c r="U41" i="52"/>
  <c r="T41" i="52"/>
  <c r="S41" i="52"/>
  <c r="R41" i="52"/>
  <c r="Q41" i="52"/>
  <c r="P41" i="52"/>
  <c r="O41" i="52"/>
  <c r="N41" i="52"/>
  <c r="M41" i="52"/>
  <c r="L41" i="52"/>
  <c r="K41" i="52"/>
  <c r="J41" i="52"/>
  <c r="I41" i="52"/>
  <c r="H41" i="52"/>
  <c r="G41" i="52"/>
  <c r="F41" i="52"/>
  <c r="E41" i="52"/>
  <c r="AJ47" i="52"/>
  <c r="AI47" i="52"/>
  <c r="AH47" i="52"/>
  <c r="AG47" i="52"/>
  <c r="AF47" i="52"/>
  <c r="AD47" i="52"/>
  <c r="AC47" i="52"/>
  <c r="AB47" i="52"/>
  <c r="AA47" i="52"/>
  <c r="Z47" i="52"/>
  <c r="Y47" i="52"/>
  <c r="X47" i="52"/>
  <c r="W47" i="52"/>
  <c r="V47" i="52"/>
  <c r="U47" i="52"/>
  <c r="T47" i="52"/>
  <c r="S47" i="52"/>
  <c r="R47" i="52"/>
  <c r="Q47" i="52"/>
  <c r="P47" i="52"/>
  <c r="O47" i="52"/>
  <c r="N47" i="52"/>
  <c r="M47" i="52"/>
  <c r="L47" i="52"/>
  <c r="K47" i="52"/>
  <c r="J47" i="52"/>
  <c r="I47" i="52"/>
  <c r="H47" i="52"/>
  <c r="G47" i="52"/>
  <c r="F47" i="52"/>
  <c r="E47" i="52"/>
  <c r="AJ40" i="52"/>
  <c r="AI40" i="52"/>
  <c r="AH40" i="52"/>
  <c r="AG40" i="52"/>
  <c r="AF40" i="52"/>
  <c r="AD40" i="52"/>
  <c r="AC40" i="52"/>
  <c r="AB40" i="52"/>
  <c r="AA40" i="52"/>
  <c r="Z40" i="52"/>
  <c r="Y40" i="52"/>
  <c r="X40" i="52"/>
  <c r="W40" i="52"/>
  <c r="V40" i="52"/>
  <c r="U40" i="52"/>
  <c r="T40" i="52"/>
  <c r="S40" i="52"/>
  <c r="R40" i="52"/>
  <c r="Q40" i="52"/>
  <c r="P40" i="52"/>
  <c r="O40" i="52"/>
  <c r="N40" i="52"/>
  <c r="M40" i="52"/>
  <c r="L40" i="52"/>
  <c r="K40" i="52"/>
  <c r="J40" i="52"/>
  <c r="I40" i="52"/>
  <c r="H40" i="52"/>
  <c r="G40" i="52"/>
  <c r="F40" i="52"/>
  <c r="E40" i="52"/>
  <c r="AJ39" i="52"/>
  <c r="AI39" i="52"/>
  <c r="AH39" i="52"/>
  <c r="AG39" i="52"/>
  <c r="AF39" i="52"/>
  <c r="AD39" i="52"/>
  <c r="AC39" i="52"/>
  <c r="AB39" i="52"/>
  <c r="AA39" i="52"/>
  <c r="Z39" i="52"/>
  <c r="Y39" i="52"/>
  <c r="X39" i="52"/>
  <c r="W39" i="52"/>
  <c r="V39" i="52"/>
  <c r="U39" i="52"/>
  <c r="T39" i="52"/>
  <c r="S39" i="52"/>
  <c r="R39" i="52"/>
  <c r="Q39" i="52"/>
  <c r="P39" i="52"/>
  <c r="O39" i="52"/>
  <c r="N39" i="52"/>
  <c r="M39" i="52"/>
  <c r="L39" i="52"/>
  <c r="K39" i="52"/>
  <c r="J39" i="52"/>
  <c r="I39" i="52"/>
  <c r="H39" i="52"/>
  <c r="G39" i="52"/>
  <c r="F39" i="52"/>
  <c r="E39" i="52"/>
  <c r="AJ38" i="52"/>
  <c r="AI38" i="52"/>
  <c r="AH38" i="52"/>
  <c r="AG38" i="52"/>
  <c r="AF38" i="52"/>
  <c r="AD38" i="52"/>
  <c r="AC38" i="52"/>
  <c r="AB38" i="52"/>
  <c r="AA38" i="52"/>
  <c r="Z38" i="52"/>
  <c r="Y38" i="52"/>
  <c r="X38" i="52"/>
  <c r="W38" i="52"/>
  <c r="V38" i="52"/>
  <c r="U38" i="52"/>
  <c r="T38" i="52"/>
  <c r="S38" i="52"/>
  <c r="R38" i="52"/>
  <c r="Q38" i="52"/>
  <c r="P38" i="52"/>
  <c r="O38" i="52"/>
  <c r="N38" i="52"/>
  <c r="M38" i="52"/>
  <c r="L38" i="52"/>
  <c r="K38" i="52"/>
  <c r="J38" i="52"/>
  <c r="I38" i="52"/>
  <c r="H38" i="52"/>
  <c r="G38" i="52"/>
  <c r="F38" i="52"/>
  <c r="E38" i="52"/>
  <c r="AK35" i="52"/>
  <c r="AJ35" i="52"/>
  <c r="AI35" i="52"/>
  <c r="AH35" i="52"/>
  <c r="AG35" i="52"/>
  <c r="AF35" i="52"/>
  <c r="AE35" i="52"/>
  <c r="AD35" i="52"/>
  <c r="AC35" i="52"/>
  <c r="AB35" i="52"/>
  <c r="AA35" i="52"/>
  <c r="Z35" i="52"/>
  <c r="Y35" i="52"/>
  <c r="X35" i="52"/>
  <c r="W35" i="52"/>
  <c r="V35" i="52"/>
  <c r="U35" i="52"/>
  <c r="T35" i="52"/>
  <c r="S35" i="52"/>
  <c r="R35" i="52"/>
  <c r="Q35" i="52"/>
  <c r="P35" i="52"/>
  <c r="O35" i="52"/>
  <c r="N35" i="52"/>
  <c r="M35" i="52"/>
  <c r="L35" i="52"/>
  <c r="K35" i="52"/>
  <c r="J35" i="52"/>
  <c r="I35" i="52"/>
  <c r="H35" i="52"/>
  <c r="G35" i="52"/>
  <c r="F35" i="52"/>
  <c r="E35" i="52"/>
  <c r="AK19" i="52"/>
  <c r="AJ19" i="52"/>
  <c r="AI19" i="52"/>
  <c r="AH19" i="52"/>
  <c r="AG19" i="52"/>
  <c r="AF19" i="52"/>
  <c r="AE19" i="52"/>
  <c r="AD19" i="52"/>
  <c r="AC19" i="52"/>
  <c r="AB19" i="52"/>
  <c r="AA19" i="52"/>
  <c r="Z19" i="52"/>
  <c r="Y19" i="52"/>
  <c r="X19" i="52"/>
  <c r="W19" i="52"/>
  <c r="V19" i="52"/>
  <c r="U19" i="52"/>
  <c r="T19" i="52"/>
  <c r="S19" i="52"/>
  <c r="R19" i="52"/>
  <c r="Q19" i="52"/>
  <c r="P19" i="52"/>
  <c r="O19" i="52"/>
  <c r="N19" i="52"/>
  <c r="M19" i="52"/>
  <c r="L19" i="52"/>
  <c r="K19" i="52"/>
  <c r="J19" i="52"/>
  <c r="I19" i="52"/>
  <c r="H19" i="52"/>
  <c r="G19" i="52"/>
  <c r="F19" i="52"/>
  <c r="E19" i="52"/>
  <c r="F1" i="52"/>
  <c r="AB57" i="49"/>
  <c r="AA57" i="49"/>
  <c r="S57" i="49"/>
  <c r="E42" i="49"/>
  <c r="AF39" i="49"/>
  <c r="AE39" i="49"/>
  <c r="AD39" i="49"/>
  <c r="AC39" i="49"/>
  <c r="AB39" i="49"/>
  <c r="AA39" i="49"/>
  <c r="Z39" i="49"/>
  <c r="Y39" i="49"/>
  <c r="X39" i="49"/>
  <c r="W39" i="49"/>
  <c r="V39" i="49"/>
  <c r="U39" i="49"/>
  <c r="T39" i="49"/>
  <c r="S39" i="49"/>
  <c r="R39" i="49"/>
  <c r="Q39" i="49"/>
  <c r="P39" i="49"/>
  <c r="O39" i="49"/>
  <c r="N39" i="49"/>
  <c r="M39" i="49"/>
  <c r="L39" i="49"/>
  <c r="K39" i="49"/>
  <c r="J39" i="49"/>
  <c r="I39" i="49"/>
  <c r="H39" i="49"/>
  <c r="G39" i="49"/>
  <c r="F39" i="49"/>
  <c r="E39" i="49"/>
  <c r="AK21" i="49"/>
  <c r="AK57" i="49" s="1"/>
  <c r="AJ21" i="49"/>
  <c r="AI21" i="49"/>
  <c r="AF21" i="49"/>
  <c r="AE21" i="49"/>
  <c r="AD21" i="49"/>
  <c r="AC21" i="49"/>
  <c r="AB21" i="49"/>
  <c r="AA21" i="49"/>
  <c r="Z21" i="49"/>
  <c r="Y21" i="49"/>
  <c r="Y22" i="49" s="1"/>
  <c r="X21" i="49"/>
  <c r="W21" i="49"/>
  <c r="V21" i="49"/>
  <c r="U21" i="49"/>
  <c r="T21" i="49"/>
  <c r="S21" i="49"/>
  <c r="S22" i="49" s="1"/>
  <c r="R21" i="49"/>
  <c r="Q21" i="49"/>
  <c r="P21" i="49"/>
  <c r="O21" i="49"/>
  <c r="N21" i="49"/>
  <c r="M21" i="49"/>
  <c r="L21" i="49"/>
  <c r="K21" i="49"/>
  <c r="J21" i="49"/>
  <c r="I21" i="49"/>
  <c r="H21" i="49"/>
  <c r="G21" i="49"/>
  <c r="F21" i="49"/>
  <c r="E21" i="49"/>
  <c r="AC1" i="49"/>
  <c r="AD1" i="49" s="1"/>
  <c r="AE1" i="49" s="1"/>
  <c r="F1" i="49"/>
  <c r="J29" i="48"/>
  <c r="I29" i="48"/>
  <c r="H29" i="48"/>
  <c r="G29" i="48"/>
  <c r="F29" i="48"/>
  <c r="E29" i="48"/>
  <c r="AL24" i="48"/>
  <c r="AK24" i="48"/>
  <c r="AJ24" i="48"/>
  <c r="AI24" i="48"/>
  <c r="AH24" i="48"/>
  <c r="AG24" i="48"/>
  <c r="AF24" i="48"/>
  <c r="AE24" i="48"/>
  <c r="AD24" i="48"/>
  <c r="AC24" i="48"/>
  <c r="AB24" i="48"/>
  <c r="AA24" i="48"/>
  <c r="Z24" i="48"/>
  <c r="Y24" i="48"/>
  <c r="X24" i="48"/>
  <c r="W24" i="48"/>
  <c r="V24" i="48"/>
  <c r="U24" i="48"/>
  <c r="T24" i="48"/>
  <c r="S24" i="48"/>
  <c r="R24" i="48"/>
  <c r="Q24" i="48"/>
  <c r="P24" i="48"/>
  <c r="O24" i="48"/>
  <c r="N24" i="48"/>
  <c r="M24" i="48"/>
  <c r="L24" i="48"/>
  <c r="K24" i="48"/>
  <c r="J24" i="48"/>
  <c r="I24" i="48"/>
  <c r="H24" i="48"/>
  <c r="G24" i="48"/>
  <c r="F24" i="48"/>
  <c r="E24" i="48"/>
  <c r="AD1" i="48"/>
  <c r="G1" i="48"/>
  <c r="O24" i="72"/>
  <c r="AG8" i="72"/>
  <c r="AG21" i="72" s="1"/>
  <c r="AF8" i="72"/>
  <c r="AF21" i="72" s="1"/>
  <c r="AE8" i="72"/>
  <c r="AE21" i="72" s="1"/>
  <c r="AE24" i="72" s="1"/>
  <c r="AD8" i="72"/>
  <c r="AD21" i="72" s="1"/>
  <c r="AD24" i="72" s="1"/>
  <c r="AC8" i="72"/>
  <c r="AC21" i="72" s="1"/>
  <c r="AC24" i="72" s="1"/>
  <c r="AB8" i="72"/>
  <c r="AB21" i="72" s="1"/>
  <c r="AB24" i="72" s="1"/>
  <c r="AA8" i="72"/>
  <c r="AA21" i="72" s="1"/>
  <c r="AA24" i="72" s="1"/>
  <c r="Z8" i="72"/>
  <c r="Z21" i="72" s="1"/>
  <c r="Z24" i="72" s="1"/>
  <c r="Y8" i="72"/>
  <c r="Y21" i="72" s="1"/>
  <c r="Y24" i="72" s="1"/>
  <c r="X8" i="72"/>
  <c r="X21" i="72" s="1"/>
  <c r="X24" i="72" s="1"/>
  <c r="W8" i="72"/>
  <c r="W21" i="72" s="1"/>
  <c r="W24" i="72" s="1"/>
  <c r="V8" i="72"/>
  <c r="V21" i="72" s="1"/>
  <c r="V24" i="72" s="1"/>
  <c r="U8" i="72"/>
  <c r="U21" i="72" s="1"/>
  <c r="U24" i="72" s="1"/>
  <c r="T8" i="72"/>
  <c r="T21" i="72" s="1"/>
  <c r="T24" i="72" s="1"/>
  <c r="S8" i="72"/>
  <c r="S21" i="72" s="1"/>
  <c r="S24" i="72" s="1"/>
  <c r="R8" i="72"/>
  <c r="R21" i="72" s="1"/>
  <c r="R24" i="72" s="1"/>
  <c r="Q8" i="72"/>
  <c r="Q21" i="72" s="1"/>
  <c r="Q24" i="72" s="1"/>
  <c r="P8" i="72"/>
  <c r="P21" i="72" s="1"/>
  <c r="P24" i="72" s="1"/>
  <c r="O8" i="72"/>
  <c r="N8" i="72"/>
  <c r="N21" i="72" s="1"/>
  <c r="N24" i="72" s="1"/>
  <c r="M8" i="72"/>
  <c r="M21" i="72" s="1"/>
  <c r="M24" i="72" s="1"/>
  <c r="L8" i="72"/>
  <c r="L21" i="72" s="1"/>
  <c r="L24" i="72" s="1"/>
  <c r="K8" i="72"/>
  <c r="K21" i="72" s="1"/>
  <c r="K24" i="72" s="1"/>
  <c r="J8" i="72"/>
  <c r="J21" i="72" s="1"/>
  <c r="J24" i="72" s="1"/>
  <c r="I8" i="72"/>
  <c r="I21" i="72" s="1"/>
  <c r="I24" i="72" s="1"/>
  <c r="H8" i="72"/>
  <c r="H21" i="72" s="1"/>
  <c r="H24" i="72" s="1"/>
  <c r="G8" i="72"/>
  <c r="G21" i="72" s="1"/>
  <c r="G24" i="72" s="1"/>
  <c r="F8" i="72"/>
  <c r="F21" i="72" s="1"/>
  <c r="F24" i="72" s="1"/>
  <c r="E8" i="72"/>
  <c r="E21" i="72" s="1"/>
  <c r="E24" i="72" s="1"/>
  <c r="AH8" i="72"/>
  <c r="F1" i="72"/>
  <c r="AN112" i="46"/>
  <c r="AM112" i="46"/>
  <c r="AL112" i="46"/>
  <c r="AK112" i="46"/>
  <c r="AJ112" i="46"/>
  <c r="AI112" i="46"/>
  <c r="AG112" i="46"/>
  <c r="AF112" i="46"/>
  <c r="AD112" i="46"/>
  <c r="AC112" i="46"/>
  <c r="AB112" i="46"/>
  <c r="AA112" i="46"/>
  <c r="Z112" i="46"/>
  <c r="Y112" i="46"/>
  <c r="X112" i="46"/>
  <c r="W112" i="46"/>
  <c r="V112" i="46"/>
  <c r="AN111" i="46"/>
  <c r="AM111" i="46"/>
  <c r="AL111" i="46"/>
  <c r="AK111" i="46"/>
  <c r="AJ111" i="46"/>
  <c r="AI111" i="46"/>
  <c r="AG111" i="46"/>
  <c r="AF111" i="46"/>
  <c r="AD111" i="46"/>
  <c r="AC111" i="46"/>
  <c r="AB111" i="46"/>
  <c r="AA111" i="46"/>
  <c r="Z111" i="46"/>
  <c r="Y111" i="46"/>
  <c r="X111" i="46"/>
  <c r="W111" i="46"/>
  <c r="V111" i="46"/>
  <c r="AN110" i="46"/>
  <c r="AM110" i="46"/>
  <c r="AL110" i="46"/>
  <c r="AK110" i="46"/>
  <c r="AJ110" i="46"/>
  <c r="AI110" i="46"/>
  <c r="AG110" i="46"/>
  <c r="AF110" i="46"/>
  <c r="AD110" i="46"/>
  <c r="AC110" i="46"/>
  <c r="AB110" i="46"/>
  <c r="AA110" i="46"/>
  <c r="Z110" i="46"/>
  <c r="Y110" i="46"/>
  <c r="X110" i="46"/>
  <c r="W110" i="46"/>
  <c r="V110" i="46"/>
  <c r="U110" i="46"/>
  <c r="T110" i="46"/>
  <c r="S110" i="46"/>
  <c r="R110" i="46"/>
  <c r="Q110" i="46"/>
  <c r="P110" i="46"/>
  <c r="O110" i="46"/>
  <c r="N110" i="46"/>
  <c r="M110" i="46"/>
  <c r="L110" i="46"/>
  <c r="K110" i="46"/>
  <c r="J110" i="46"/>
  <c r="I110" i="46"/>
  <c r="H110" i="46"/>
  <c r="G110" i="46"/>
  <c r="F110" i="46"/>
  <c r="E110" i="46"/>
  <c r="AP109" i="46"/>
  <c r="AN109" i="46"/>
  <c r="AC109" i="46"/>
  <c r="AB109" i="46"/>
  <c r="AA109" i="46"/>
  <c r="Z109" i="46"/>
  <c r="Y109" i="46"/>
  <c r="AP108" i="46"/>
  <c r="AN108" i="46"/>
  <c r="AK108" i="46"/>
  <c r="AI108" i="46"/>
  <c r="AG108" i="46"/>
  <c r="AF108" i="46"/>
  <c r="AC108" i="46"/>
  <c r="AB108" i="46"/>
  <c r="Y108" i="46"/>
  <c r="W108" i="46"/>
  <c r="V108" i="46"/>
  <c r="U108" i="46"/>
  <c r="AN107" i="46"/>
  <c r="AM107" i="46"/>
  <c r="AL107" i="46"/>
  <c r="AK107" i="46"/>
  <c r="AJ107" i="46"/>
  <c r="AI107" i="46"/>
  <c r="AG107" i="46"/>
  <c r="AF107" i="46"/>
  <c r="AD107" i="46"/>
  <c r="AC107" i="46"/>
  <c r="AB107" i="46"/>
  <c r="AA107" i="46"/>
  <c r="Z107" i="46"/>
  <c r="X107" i="46"/>
  <c r="W107" i="46"/>
  <c r="V107" i="46"/>
  <c r="U107" i="46"/>
  <c r="U106" i="46"/>
  <c r="U103" i="46"/>
  <c r="U90" i="46"/>
  <c r="U112" i="46" s="1"/>
  <c r="AP111" i="46"/>
  <c r="U88" i="46"/>
  <c r="Y83" i="46"/>
  <c r="Y107" i="46" s="1"/>
  <c r="AN77" i="46"/>
  <c r="AM77" i="46"/>
  <c r="AL77" i="46"/>
  <c r="AK77" i="46"/>
  <c r="AG77" i="46"/>
  <c r="AC77" i="46"/>
  <c r="AB77" i="46"/>
  <c r="AA77" i="46"/>
  <c r="Z77" i="46"/>
  <c r="X77" i="46"/>
  <c r="S77" i="46"/>
  <c r="R77" i="46"/>
  <c r="Q77" i="46"/>
  <c r="P77" i="46"/>
  <c r="O77" i="46"/>
  <c r="L77" i="46"/>
  <c r="AN76" i="46"/>
  <c r="AM76" i="46"/>
  <c r="AL76" i="46"/>
  <c r="AK76" i="46"/>
  <c r="AG76" i="46"/>
  <c r="AC76" i="46"/>
  <c r="AB76" i="46"/>
  <c r="AA76" i="46"/>
  <c r="Z76" i="46"/>
  <c r="X76" i="46"/>
  <c r="S76" i="46"/>
  <c r="R76" i="46"/>
  <c r="Q76" i="46"/>
  <c r="P76" i="46"/>
  <c r="O76" i="46"/>
  <c r="L76" i="46"/>
  <c r="AN75" i="46"/>
  <c r="AM75" i="46"/>
  <c r="AL75" i="46"/>
  <c r="AK75" i="46"/>
  <c r="AG75" i="46"/>
  <c r="AC75" i="46"/>
  <c r="AB75" i="46"/>
  <c r="AA75" i="46"/>
  <c r="Z75" i="46"/>
  <c r="X75" i="46"/>
  <c r="S75" i="46"/>
  <c r="R75" i="46"/>
  <c r="Q75" i="46"/>
  <c r="P75" i="46"/>
  <c r="O75" i="46"/>
  <c r="L75" i="46"/>
  <c r="AN72" i="46"/>
  <c r="AM72" i="46"/>
  <c r="AL72" i="46"/>
  <c r="AK72" i="46"/>
  <c r="AJ72" i="46"/>
  <c r="AI72" i="46"/>
  <c r="AH72" i="46"/>
  <c r="AG72" i="46"/>
  <c r="AF72" i="46"/>
  <c r="AE72" i="46"/>
  <c r="AD72" i="46"/>
  <c r="AC72" i="46"/>
  <c r="AB72" i="46"/>
  <c r="AA72" i="46"/>
  <c r="Z72" i="46"/>
  <c r="Y72" i="46"/>
  <c r="X72" i="46"/>
  <c r="W72" i="46"/>
  <c r="V72" i="46"/>
  <c r="U72" i="46"/>
  <c r="T72" i="46"/>
  <c r="S72" i="46"/>
  <c r="R72" i="46"/>
  <c r="Q72" i="46"/>
  <c r="P72" i="46"/>
  <c r="O72" i="46"/>
  <c r="L72" i="46"/>
  <c r="AN66" i="46"/>
  <c r="AM66" i="46"/>
  <c r="AL66" i="46"/>
  <c r="AK66" i="46"/>
  <c r="AJ66" i="46"/>
  <c r="AI66" i="46"/>
  <c r="AH66" i="46"/>
  <c r="AG66" i="46"/>
  <c r="AF66" i="46"/>
  <c r="AE66" i="46"/>
  <c r="AD66" i="46"/>
  <c r="AC66" i="46"/>
  <c r="AB66" i="46"/>
  <c r="AA66" i="46"/>
  <c r="Z66" i="46"/>
  <c r="Y66" i="46"/>
  <c r="X66" i="46"/>
  <c r="W66" i="46"/>
  <c r="V66" i="46"/>
  <c r="U66" i="46"/>
  <c r="T66" i="46"/>
  <c r="S66" i="46"/>
  <c r="R66" i="46"/>
  <c r="Q66" i="46"/>
  <c r="P66" i="46"/>
  <c r="O66" i="46"/>
  <c r="N66" i="46"/>
  <c r="M66" i="46"/>
  <c r="L66" i="46"/>
  <c r="AP75" i="46"/>
  <c r="AL58" i="46"/>
  <c r="AK58" i="46"/>
  <c r="AI58" i="46"/>
  <c r="AC58" i="46"/>
  <c r="AB58" i="46"/>
  <c r="AA58" i="46"/>
  <c r="Z58" i="46"/>
  <c r="X58" i="46"/>
  <c r="S58" i="46"/>
  <c r="R58" i="46"/>
  <c r="Q58" i="46"/>
  <c r="P58" i="46"/>
  <c r="O58" i="46"/>
  <c r="N58" i="46"/>
  <c r="M58" i="46"/>
  <c r="L58" i="46"/>
  <c r="AL57" i="46"/>
  <c r="AK57" i="46"/>
  <c r="AI57" i="46"/>
  <c r="AC57" i="46"/>
  <c r="AB57" i="46"/>
  <c r="AA57" i="46"/>
  <c r="Z57" i="46"/>
  <c r="X57" i="46"/>
  <c r="S57" i="46"/>
  <c r="R57" i="46"/>
  <c r="Q57" i="46"/>
  <c r="P57" i="46"/>
  <c r="O57" i="46"/>
  <c r="N57" i="46"/>
  <c r="M57" i="46"/>
  <c r="L57" i="46"/>
  <c r="AL56" i="46"/>
  <c r="AK56" i="46"/>
  <c r="AI56" i="46"/>
  <c r="AC56" i="46"/>
  <c r="AB56" i="46"/>
  <c r="AA56" i="46"/>
  <c r="Z56" i="46"/>
  <c r="X56" i="46"/>
  <c r="S56" i="46"/>
  <c r="R56" i="46"/>
  <c r="Q56" i="46"/>
  <c r="P56" i="46"/>
  <c r="O56" i="46"/>
  <c r="N56" i="46"/>
  <c r="M56" i="46"/>
  <c r="L56" i="46"/>
  <c r="AN53" i="46"/>
  <c r="AM53" i="46"/>
  <c r="AL53" i="46"/>
  <c r="AK53" i="46"/>
  <c r="AJ53" i="46"/>
  <c r="AI53" i="46"/>
  <c r="AH53" i="46"/>
  <c r="AG53" i="46"/>
  <c r="AF53" i="46"/>
  <c r="AE53" i="46"/>
  <c r="AD53" i="46"/>
  <c r="AC53" i="46"/>
  <c r="AB53" i="46"/>
  <c r="AA53" i="46"/>
  <c r="Z53" i="46"/>
  <c r="Y53" i="46"/>
  <c r="X53" i="46"/>
  <c r="W53" i="46"/>
  <c r="V53" i="46"/>
  <c r="U53" i="46"/>
  <c r="T53" i="46"/>
  <c r="S53" i="46"/>
  <c r="R53" i="46"/>
  <c r="Q53" i="46"/>
  <c r="P53" i="46"/>
  <c r="O53" i="46"/>
  <c r="N53" i="46"/>
  <c r="M53" i="46"/>
  <c r="L53" i="46"/>
  <c r="AN47" i="46"/>
  <c r="AM47" i="46"/>
  <c r="AL47" i="46"/>
  <c r="AK47" i="46"/>
  <c r="AJ47" i="46"/>
  <c r="AI47" i="46"/>
  <c r="AH47" i="46"/>
  <c r="AG47" i="46"/>
  <c r="AF47" i="46"/>
  <c r="AE47" i="46"/>
  <c r="AD47" i="46"/>
  <c r="AC47" i="46"/>
  <c r="AB47" i="46"/>
  <c r="AA47" i="46"/>
  <c r="Z47" i="46"/>
  <c r="Y47" i="46"/>
  <c r="X47" i="46"/>
  <c r="W47" i="46"/>
  <c r="V47" i="46"/>
  <c r="U47" i="46"/>
  <c r="T47" i="46"/>
  <c r="S47" i="46"/>
  <c r="R47" i="46"/>
  <c r="Q47" i="46"/>
  <c r="P47" i="46"/>
  <c r="O47" i="46"/>
  <c r="N47" i="46"/>
  <c r="M47" i="46"/>
  <c r="L47" i="46"/>
  <c r="AN39" i="46"/>
  <c r="AM39" i="46"/>
  <c r="AL39" i="46"/>
  <c r="AK39" i="46"/>
  <c r="AJ39" i="46"/>
  <c r="AI39" i="46"/>
  <c r="AC39" i="46"/>
  <c r="AB39" i="46"/>
  <c r="AA39" i="46"/>
  <c r="Z39" i="46"/>
  <c r="X39" i="46"/>
  <c r="V39" i="46"/>
  <c r="U39" i="46"/>
  <c r="T39" i="46"/>
  <c r="S39" i="46"/>
  <c r="R39" i="46"/>
  <c r="Q39" i="46"/>
  <c r="P39" i="46"/>
  <c r="O39" i="46"/>
  <c r="N39" i="46"/>
  <c r="M39" i="46"/>
  <c r="L39" i="46"/>
  <c r="AN38" i="46"/>
  <c r="AM38" i="46"/>
  <c r="AL38" i="46"/>
  <c r="AK38" i="46"/>
  <c r="AJ38" i="46"/>
  <c r="AI38" i="46"/>
  <c r="AC38" i="46"/>
  <c r="AB38" i="46"/>
  <c r="Z38" i="46"/>
  <c r="X38" i="46"/>
  <c r="V38" i="46"/>
  <c r="U38" i="46"/>
  <c r="T38" i="46"/>
  <c r="S38" i="46"/>
  <c r="R38" i="46"/>
  <c r="Q38" i="46"/>
  <c r="P38" i="46"/>
  <c r="O38" i="46"/>
  <c r="N38" i="46"/>
  <c r="M38" i="46"/>
  <c r="L38" i="46"/>
  <c r="AN37" i="46"/>
  <c r="AM37" i="46"/>
  <c r="AL37" i="46"/>
  <c r="AK37" i="46"/>
  <c r="AJ37" i="46"/>
  <c r="AI37" i="46"/>
  <c r="AC37" i="46"/>
  <c r="AB37" i="46"/>
  <c r="AA37" i="46"/>
  <c r="Z37" i="46"/>
  <c r="X37" i="46"/>
  <c r="V37" i="46"/>
  <c r="U37" i="46"/>
  <c r="T37" i="46"/>
  <c r="S37" i="46"/>
  <c r="R37" i="46"/>
  <c r="Q37" i="46"/>
  <c r="P37" i="46"/>
  <c r="O37" i="46"/>
  <c r="N37" i="46"/>
  <c r="M37" i="46"/>
  <c r="L37" i="46"/>
  <c r="AN34" i="46"/>
  <c r="AM34" i="46"/>
  <c r="AL34" i="46"/>
  <c r="AK34" i="46"/>
  <c r="AJ34" i="46"/>
  <c r="AI34" i="46"/>
  <c r="AH34" i="46"/>
  <c r="AG34" i="46"/>
  <c r="AF34" i="46"/>
  <c r="AE34" i="46"/>
  <c r="AD34" i="46"/>
  <c r="AC34" i="46"/>
  <c r="AB34" i="46"/>
  <c r="AA34" i="46"/>
  <c r="Z34" i="46"/>
  <c r="Y34" i="46"/>
  <c r="X34" i="46"/>
  <c r="W34" i="46"/>
  <c r="V34" i="46"/>
  <c r="U34" i="46"/>
  <c r="T34" i="46"/>
  <c r="S34" i="46"/>
  <c r="R34" i="46"/>
  <c r="Q34" i="46"/>
  <c r="P34" i="46"/>
  <c r="O34" i="46"/>
  <c r="N34" i="46"/>
  <c r="M34" i="46"/>
  <c r="L34" i="46"/>
  <c r="AN28" i="46"/>
  <c r="AM28" i="46"/>
  <c r="AL28" i="46"/>
  <c r="AK28" i="46"/>
  <c r="AJ28" i="46"/>
  <c r="AI28" i="46"/>
  <c r="AH28" i="46"/>
  <c r="AG28" i="46"/>
  <c r="AF28" i="46"/>
  <c r="AE28" i="46"/>
  <c r="AD28" i="46"/>
  <c r="AC28" i="46"/>
  <c r="AB28" i="46"/>
  <c r="AA28" i="46"/>
  <c r="Z28" i="46"/>
  <c r="Y28" i="46"/>
  <c r="X28" i="46"/>
  <c r="W28" i="46"/>
  <c r="V28" i="46"/>
  <c r="U28" i="46"/>
  <c r="T28" i="46"/>
  <c r="S28" i="46"/>
  <c r="R28" i="46"/>
  <c r="Q28" i="46"/>
  <c r="P28" i="46"/>
  <c r="O28" i="46"/>
  <c r="N28" i="46"/>
  <c r="M28" i="46"/>
  <c r="L28" i="46"/>
  <c r="AP21" i="46"/>
  <c r="AN21" i="46"/>
  <c r="AM21" i="46"/>
  <c r="AL21" i="46"/>
  <c r="AJ21" i="46"/>
  <c r="AE21" i="46"/>
  <c r="AD21" i="46"/>
  <c r="Y21" i="46"/>
  <c r="W21" i="46"/>
  <c r="AI20" i="46"/>
  <c r="AH20" i="46"/>
  <c r="AG20" i="46"/>
  <c r="AF20" i="46"/>
  <c r="AC20" i="46"/>
  <c r="AB20" i="46"/>
  <c r="AA20" i="46"/>
  <c r="Z20" i="46"/>
  <c r="X20" i="46"/>
  <c r="V20" i="46"/>
  <c r="U20" i="46"/>
  <c r="T20" i="46"/>
  <c r="S20" i="46"/>
  <c r="R20" i="46"/>
  <c r="Q20" i="46"/>
  <c r="P20" i="46"/>
  <c r="O20" i="46"/>
  <c r="N20" i="46"/>
  <c r="M20" i="46"/>
  <c r="L20" i="46"/>
  <c r="K20" i="46"/>
  <c r="J20" i="46"/>
  <c r="I20" i="46"/>
  <c r="H20" i="46"/>
  <c r="G20" i="46"/>
  <c r="F20" i="46"/>
  <c r="E20" i="46"/>
  <c r="AI19" i="46"/>
  <c r="AH19" i="46"/>
  <c r="AG19" i="46"/>
  <c r="AF19" i="46"/>
  <c r="AC19" i="46"/>
  <c r="AB19" i="46"/>
  <c r="AA19" i="46"/>
  <c r="Z19" i="46"/>
  <c r="X19" i="46"/>
  <c r="V19" i="46"/>
  <c r="U19" i="46"/>
  <c r="T19" i="46"/>
  <c r="S19" i="46"/>
  <c r="R19" i="46"/>
  <c r="Q19" i="46"/>
  <c r="P19" i="46"/>
  <c r="O19" i="46"/>
  <c r="N19" i="46"/>
  <c r="M19" i="46"/>
  <c r="L19" i="46"/>
  <c r="K19" i="46"/>
  <c r="J19" i="46"/>
  <c r="I19" i="46"/>
  <c r="H19" i="46"/>
  <c r="G19" i="46"/>
  <c r="F19" i="46"/>
  <c r="E19" i="46"/>
  <c r="AI18" i="46"/>
  <c r="AH18" i="46"/>
  <c r="AG18" i="46"/>
  <c r="AF18" i="46"/>
  <c r="AC18" i="46"/>
  <c r="AB18" i="46"/>
  <c r="AA18" i="46"/>
  <c r="Z18" i="46"/>
  <c r="X18" i="46"/>
  <c r="V18" i="46"/>
  <c r="U18" i="46"/>
  <c r="T18" i="46"/>
  <c r="S18" i="46"/>
  <c r="R18" i="46"/>
  <c r="Q18" i="46"/>
  <c r="P18" i="46"/>
  <c r="O18" i="46"/>
  <c r="N18" i="46"/>
  <c r="M18" i="46"/>
  <c r="L18" i="46"/>
  <c r="K18" i="46"/>
  <c r="J18" i="46"/>
  <c r="I18" i="46"/>
  <c r="H18" i="46"/>
  <c r="G18" i="46"/>
  <c r="F18" i="46"/>
  <c r="E18" i="46"/>
  <c r="AN15" i="46"/>
  <c r="AM15" i="46"/>
  <c r="AL15" i="46"/>
  <c r="AK15" i="46"/>
  <c r="AJ15" i="46"/>
  <c r="AI15" i="46"/>
  <c r="AH15" i="46"/>
  <c r="AG15" i="46"/>
  <c r="AF15" i="46"/>
  <c r="AE15" i="46"/>
  <c r="AD15" i="46"/>
  <c r="AC15" i="46"/>
  <c r="AB15" i="46"/>
  <c r="AA15" i="46"/>
  <c r="Z15" i="46"/>
  <c r="Y15" i="46"/>
  <c r="X15" i="46"/>
  <c r="W15" i="46"/>
  <c r="V15" i="46"/>
  <c r="U15" i="46"/>
  <c r="T15" i="46"/>
  <c r="S15" i="46"/>
  <c r="R15" i="46"/>
  <c r="Q15" i="46"/>
  <c r="P15" i="46"/>
  <c r="O15" i="46"/>
  <c r="N15" i="46"/>
  <c r="M15" i="46"/>
  <c r="L15" i="46"/>
  <c r="K15" i="46"/>
  <c r="J15" i="46"/>
  <c r="I15" i="46"/>
  <c r="H15" i="46"/>
  <c r="G15" i="46"/>
  <c r="F15" i="46"/>
  <c r="E15" i="46"/>
  <c r="AN9" i="46"/>
  <c r="AM9" i="46"/>
  <c r="AL9" i="46"/>
  <c r="AK9" i="46"/>
  <c r="AJ9" i="46"/>
  <c r="AI9" i="46"/>
  <c r="AH9" i="46"/>
  <c r="AG9" i="46"/>
  <c r="AF9" i="46"/>
  <c r="AE9" i="46"/>
  <c r="AD9" i="46"/>
  <c r="AC9" i="46"/>
  <c r="AB9" i="46"/>
  <c r="AA9" i="46"/>
  <c r="Z9" i="46"/>
  <c r="Y9" i="46"/>
  <c r="X9" i="46"/>
  <c r="W9" i="46"/>
  <c r="V9" i="46"/>
  <c r="U9" i="46"/>
  <c r="T9" i="46"/>
  <c r="S9" i="46"/>
  <c r="R9" i="46"/>
  <c r="Q9" i="46"/>
  <c r="P9" i="46"/>
  <c r="O9" i="46"/>
  <c r="N9" i="46"/>
  <c r="M9" i="46"/>
  <c r="L9" i="46"/>
  <c r="K9" i="46"/>
  <c r="J9" i="46"/>
  <c r="I9" i="46"/>
  <c r="H9" i="46"/>
  <c r="G9" i="46"/>
  <c r="F9" i="46"/>
  <c r="E9" i="46"/>
  <c r="E2" i="46"/>
  <c r="F1" i="46"/>
  <c r="F2" i="46" s="1"/>
  <c r="AL33" i="45"/>
  <c r="AD33" i="45"/>
  <c r="AC33" i="45"/>
  <c r="AB33" i="45"/>
  <c r="AA33" i="45"/>
  <c r="Z33" i="45"/>
  <c r="Y33" i="45"/>
  <c r="T33" i="45"/>
  <c r="AK32" i="45"/>
  <c r="AJ32" i="45"/>
  <c r="AI32" i="45"/>
  <c r="AH32" i="45"/>
  <c r="AG32" i="45"/>
  <c r="AF32" i="45"/>
  <c r="AE32" i="45"/>
  <c r="W32" i="45"/>
  <c r="V32" i="45"/>
  <c r="U32" i="45"/>
  <c r="S32" i="45"/>
  <c r="R32" i="45"/>
  <c r="Q32" i="45"/>
  <c r="P32" i="45"/>
  <c r="O32" i="45"/>
  <c r="N32" i="45"/>
  <c r="M32" i="45"/>
  <c r="L32" i="45"/>
  <c r="K32" i="45"/>
  <c r="J32" i="45"/>
  <c r="I32" i="45"/>
  <c r="H32" i="45"/>
  <c r="G32" i="45"/>
  <c r="F32" i="45"/>
  <c r="E32" i="45"/>
  <c r="AK31" i="45"/>
  <c r="AJ31" i="45"/>
  <c r="AI31" i="45"/>
  <c r="AH31" i="45"/>
  <c r="AG31" i="45"/>
  <c r="AF31" i="45"/>
  <c r="AE31" i="45"/>
  <c r="X31" i="45"/>
  <c r="W31" i="45"/>
  <c r="V31" i="45"/>
  <c r="U31" i="45"/>
  <c r="S31" i="45"/>
  <c r="R31" i="45"/>
  <c r="Q31" i="45"/>
  <c r="P31" i="45"/>
  <c r="O31" i="45"/>
  <c r="N31" i="45"/>
  <c r="M31" i="45"/>
  <c r="L31" i="45"/>
  <c r="K31" i="45"/>
  <c r="J31" i="45"/>
  <c r="I31" i="45"/>
  <c r="H31" i="45"/>
  <c r="G31" i="45"/>
  <c r="F31" i="45"/>
  <c r="E31" i="45"/>
  <c r="AK30" i="45"/>
  <c r="AJ30" i="45"/>
  <c r="AI30" i="45"/>
  <c r="AH30" i="45"/>
  <c r="AG30" i="45"/>
  <c r="AF30" i="45"/>
  <c r="AE30" i="45"/>
  <c r="X30" i="45"/>
  <c r="W30" i="45"/>
  <c r="V30" i="45"/>
  <c r="U30" i="45"/>
  <c r="S30" i="45"/>
  <c r="R30" i="45"/>
  <c r="Q30" i="45"/>
  <c r="P30" i="45"/>
  <c r="O30" i="45"/>
  <c r="N30" i="45"/>
  <c r="M30" i="45"/>
  <c r="L30" i="45"/>
  <c r="K30" i="45"/>
  <c r="J30" i="45"/>
  <c r="I30" i="45"/>
  <c r="H30" i="45"/>
  <c r="G30" i="45"/>
  <c r="F30" i="45"/>
  <c r="E30" i="45"/>
  <c r="AK29" i="45"/>
  <c r="AJ29" i="45"/>
  <c r="AI29" i="45"/>
  <c r="AH29" i="45"/>
  <c r="AG29" i="45"/>
  <c r="AF29" i="45"/>
  <c r="AE29" i="45"/>
  <c r="X29" i="45"/>
  <c r="W29" i="45"/>
  <c r="V29" i="45"/>
  <c r="U29" i="45"/>
  <c r="S29" i="45"/>
  <c r="R29" i="45"/>
  <c r="Q29" i="45"/>
  <c r="P29" i="45"/>
  <c r="O29" i="45"/>
  <c r="N29" i="45"/>
  <c r="M29" i="45"/>
  <c r="L29" i="45"/>
  <c r="K29" i="45"/>
  <c r="J29" i="45"/>
  <c r="I29" i="45"/>
  <c r="H29" i="45"/>
  <c r="G29" i="45"/>
  <c r="F29" i="45"/>
  <c r="E29" i="45"/>
  <c r="AK28" i="45"/>
  <c r="AJ28" i="45"/>
  <c r="AI28" i="45"/>
  <c r="AH28" i="45"/>
  <c r="AG28" i="45"/>
  <c r="AF28" i="45"/>
  <c r="AE28" i="45"/>
  <c r="X28" i="45"/>
  <c r="W28" i="45"/>
  <c r="V28" i="45"/>
  <c r="U28" i="45"/>
  <c r="S28" i="45"/>
  <c r="R28" i="45"/>
  <c r="Q28" i="45"/>
  <c r="P28" i="45"/>
  <c r="O28" i="45"/>
  <c r="N28" i="45"/>
  <c r="M28" i="45"/>
  <c r="L28" i="45"/>
  <c r="K28" i="45"/>
  <c r="J28" i="45"/>
  <c r="I28" i="45"/>
  <c r="H28" i="45"/>
  <c r="G28" i="45"/>
  <c r="F28" i="45"/>
  <c r="E28" i="45"/>
  <c r="AK27" i="45"/>
  <c r="AJ27" i="45"/>
  <c r="AI27" i="45"/>
  <c r="AH27" i="45"/>
  <c r="AG27" i="45"/>
  <c r="AF27" i="45"/>
  <c r="AE27" i="45"/>
  <c r="X27" i="45"/>
  <c r="W27" i="45"/>
  <c r="V27" i="45"/>
  <c r="U27" i="45"/>
  <c r="S27" i="45"/>
  <c r="R27" i="45"/>
  <c r="Q27" i="45"/>
  <c r="P27" i="45"/>
  <c r="O27" i="45"/>
  <c r="N27" i="45"/>
  <c r="M27" i="45"/>
  <c r="L27" i="45"/>
  <c r="K27" i="45"/>
  <c r="J27" i="45"/>
  <c r="I27" i="45"/>
  <c r="H27" i="45"/>
  <c r="G27" i="45"/>
  <c r="F27" i="45"/>
  <c r="E27" i="45"/>
  <c r="AK26" i="45"/>
  <c r="AJ26" i="45"/>
  <c r="AI26" i="45"/>
  <c r="AH26" i="45"/>
  <c r="AG26" i="45"/>
  <c r="AF26" i="45"/>
  <c r="AE26" i="45"/>
  <c r="X26" i="45"/>
  <c r="W26" i="45"/>
  <c r="V26" i="45"/>
  <c r="U26" i="45"/>
  <c r="S26" i="45"/>
  <c r="R26" i="45"/>
  <c r="Q26" i="45"/>
  <c r="P26" i="45"/>
  <c r="O26" i="45"/>
  <c r="N26" i="45"/>
  <c r="M26" i="45"/>
  <c r="L26" i="45"/>
  <c r="K26" i="45"/>
  <c r="J26" i="45"/>
  <c r="I26" i="45"/>
  <c r="H26" i="45"/>
  <c r="G26" i="45"/>
  <c r="F26" i="45"/>
  <c r="E26" i="45"/>
  <c r="AL23" i="45"/>
  <c r="AK23" i="45"/>
  <c r="AJ23" i="45"/>
  <c r="AI23" i="45"/>
  <c r="AH23" i="45"/>
  <c r="AG23" i="45"/>
  <c r="AF23" i="45"/>
  <c r="AE23" i="45"/>
  <c r="AD23" i="45"/>
  <c r="AC23" i="45"/>
  <c r="AB23" i="45"/>
  <c r="AA23" i="45"/>
  <c r="Z23" i="45"/>
  <c r="Y23" i="45"/>
  <c r="X23" i="45"/>
  <c r="W23" i="45"/>
  <c r="V23" i="45"/>
  <c r="U23" i="45"/>
  <c r="T23" i="45"/>
  <c r="S23" i="45"/>
  <c r="R23" i="45"/>
  <c r="Q23" i="45"/>
  <c r="P23" i="45"/>
  <c r="O23" i="45"/>
  <c r="N23" i="45"/>
  <c r="M23" i="45"/>
  <c r="L23" i="45"/>
  <c r="K23" i="45"/>
  <c r="J23" i="45"/>
  <c r="I23" i="45"/>
  <c r="H23" i="45"/>
  <c r="G23" i="45"/>
  <c r="F23" i="45"/>
  <c r="E23" i="45"/>
  <c r="AL13" i="45"/>
  <c r="AK13" i="45"/>
  <c r="AJ13" i="45"/>
  <c r="AI13" i="45"/>
  <c r="AH13" i="45"/>
  <c r="AH14" i="45" s="1"/>
  <c r="AG13" i="45"/>
  <c r="AG14" i="45" s="1"/>
  <c r="AF13" i="45"/>
  <c r="AF14" i="45" s="1"/>
  <c r="AE13" i="45"/>
  <c r="AE14" i="45" s="1"/>
  <c r="AD13" i="45"/>
  <c r="AD14" i="45" s="1"/>
  <c r="AC13" i="45"/>
  <c r="AC14" i="45" s="1"/>
  <c r="AB13" i="45"/>
  <c r="AA13" i="45"/>
  <c r="Z13" i="45"/>
  <c r="Z14" i="45" s="1"/>
  <c r="Y13" i="45"/>
  <c r="Y14" i="45" s="1"/>
  <c r="X13" i="45"/>
  <c r="X14" i="45" s="1"/>
  <c r="W13" i="45"/>
  <c r="W14" i="45" s="1"/>
  <c r="V13" i="45"/>
  <c r="V14" i="45" s="1"/>
  <c r="U13" i="45"/>
  <c r="U14" i="45" s="1"/>
  <c r="T13" i="45"/>
  <c r="T14" i="45" s="1"/>
  <c r="S13" i="45"/>
  <c r="S14" i="45" s="1"/>
  <c r="R13" i="45"/>
  <c r="R14" i="45" s="1"/>
  <c r="Q13" i="45"/>
  <c r="Q14" i="45" s="1"/>
  <c r="P13" i="45"/>
  <c r="P14" i="45" s="1"/>
  <c r="O13" i="45"/>
  <c r="O14" i="45" s="1"/>
  <c r="N13" i="45"/>
  <c r="N14" i="45" s="1"/>
  <c r="M13" i="45"/>
  <c r="M14" i="45" s="1"/>
  <c r="L13" i="45"/>
  <c r="L14" i="45" s="1"/>
  <c r="K13" i="45"/>
  <c r="K14" i="45" s="1"/>
  <c r="J13" i="45"/>
  <c r="J14" i="45" s="1"/>
  <c r="I13" i="45"/>
  <c r="I14" i="45" s="1"/>
  <c r="H13" i="45"/>
  <c r="H14" i="45" s="1"/>
  <c r="G13" i="45"/>
  <c r="G14" i="45" s="1"/>
  <c r="F13" i="45"/>
  <c r="F14" i="45" s="1"/>
  <c r="E13" i="45"/>
  <c r="E14" i="45" s="1"/>
  <c r="AM31" i="45"/>
  <c r="AM28" i="45"/>
  <c r="AM27" i="45"/>
  <c r="F2" i="45"/>
  <c r="E2" i="45"/>
  <c r="G1" i="45"/>
  <c r="AD25" i="44"/>
  <c r="AD32" i="44" s="1"/>
  <c r="AD38" i="44" s="1"/>
  <c r="AM19" i="44"/>
  <c r="AI19" i="44"/>
  <c r="AH19" i="44"/>
  <c r="AG19" i="44"/>
  <c r="AF19" i="44"/>
  <c r="AE19" i="44"/>
  <c r="AD19" i="44"/>
  <c r="AC19" i="44"/>
  <c r="AB19" i="44"/>
  <c r="AA19" i="44"/>
  <c r="Z19" i="44"/>
  <c r="Y19" i="44"/>
  <c r="X19" i="44"/>
  <c r="W19" i="44"/>
  <c r="V19" i="44"/>
  <c r="U19" i="44"/>
  <c r="T19" i="44"/>
  <c r="S19" i="44"/>
  <c r="R19" i="44"/>
  <c r="Q19" i="44"/>
  <c r="P19" i="44"/>
  <c r="O19" i="44"/>
  <c r="N19" i="44"/>
  <c r="M19" i="44"/>
  <c r="L19" i="44"/>
  <c r="K19" i="44"/>
  <c r="J19" i="44"/>
  <c r="I19" i="44"/>
  <c r="H19" i="44"/>
  <c r="G19" i="44"/>
  <c r="F19" i="44"/>
  <c r="E19" i="44"/>
  <c r="AJ15" i="44"/>
  <c r="AI15" i="44"/>
  <c r="AH15" i="44"/>
  <c r="AG15" i="44"/>
  <c r="AF15" i="44"/>
  <c r="AE15" i="44"/>
  <c r="AD15" i="44"/>
  <c r="AC15" i="44"/>
  <c r="AB15" i="44"/>
  <c r="AA15" i="44"/>
  <c r="Z15" i="44"/>
  <c r="Y15" i="44"/>
  <c r="X15" i="44"/>
  <c r="W15" i="44"/>
  <c r="V15" i="44"/>
  <c r="U15" i="44"/>
  <c r="T15" i="44"/>
  <c r="S15" i="44"/>
  <c r="R15" i="44"/>
  <c r="Q15" i="44"/>
  <c r="P15" i="44"/>
  <c r="O15" i="44"/>
  <c r="N15" i="44"/>
  <c r="M15" i="44"/>
  <c r="L15" i="44"/>
  <c r="K15" i="44"/>
  <c r="J15" i="44"/>
  <c r="I15" i="44"/>
  <c r="H15" i="44"/>
  <c r="G15" i="44"/>
  <c r="F15" i="44"/>
  <c r="E15" i="44"/>
  <c r="AL12" i="44"/>
  <c r="AL18" i="44" s="1"/>
  <c r="AK12" i="44"/>
  <c r="AJ12" i="44"/>
  <c r="AI12" i="44"/>
  <c r="AH12" i="44"/>
  <c r="AG12" i="44"/>
  <c r="AF12" i="44"/>
  <c r="AE12" i="44"/>
  <c r="AD12" i="44"/>
  <c r="AC12" i="44"/>
  <c r="AB12" i="44"/>
  <c r="AA12" i="44"/>
  <c r="Z12" i="44"/>
  <c r="Y12" i="44"/>
  <c r="X12" i="44"/>
  <c r="W12" i="44"/>
  <c r="V12" i="44"/>
  <c r="U12" i="44"/>
  <c r="T12" i="44"/>
  <c r="S12" i="44"/>
  <c r="R12" i="44"/>
  <c r="Q12" i="44"/>
  <c r="P12" i="44"/>
  <c r="O12" i="44"/>
  <c r="N12" i="44"/>
  <c r="M12" i="44"/>
  <c r="L12" i="44"/>
  <c r="K12" i="44"/>
  <c r="J12" i="44"/>
  <c r="I12" i="44"/>
  <c r="H12" i="44"/>
  <c r="G12" i="44"/>
  <c r="F12" i="44"/>
  <c r="E12" i="44"/>
  <c r="F2" i="44"/>
  <c r="E2" i="44"/>
  <c r="AD1" i="44"/>
  <c r="AD2" i="44" s="1"/>
  <c r="G1" i="44"/>
  <c r="G2" i="44" s="1"/>
  <c r="AA42" i="42"/>
  <c r="O42" i="42"/>
  <c r="AA41" i="42"/>
  <c r="O41" i="42"/>
  <c r="AA40" i="42"/>
  <c r="O40" i="42"/>
  <c r="AA39" i="42"/>
  <c r="O39" i="42"/>
  <c r="AA38" i="42"/>
  <c r="O38" i="42"/>
  <c r="AA37" i="42"/>
  <c r="O37" i="42"/>
  <c r="AA36" i="42"/>
  <c r="O36" i="42"/>
  <c r="AA35" i="42"/>
  <c r="O35" i="42"/>
  <c r="AA34" i="42"/>
  <c r="O34" i="42"/>
  <c r="AA33" i="42"/>
  <c r="O33" i="42"/>
  <c r="AA32" i="42"/>
  <c r="O32" i="42"/>
  <c r="AA31" i="42"/>
  <c r="O31" i="42"/>
  <c r="AA30" i="42"/>
  <c r="O30" i="42"/>
  <c r="AA29" i="42"/>
  <c r="O29" i="42"/>
  <c r="AA27" i="42"/>
  <c r="O27" i="42"/>
  <c r="AA26" i="42"/>
  <c r="O26" i="42"/>
  <c r="AA25" i="42"/>
  <c r="O25" i="42"/>
  <c r="AA24" i="42"/>
  <c r="O24" i="42"/>
  <c r="AA23" i="42"/>
  <c r="O23" i="42"/>
  <c r="AA22" i="42"/>
  <c r="O22" i="42"/>
  <c r="AA21" i="42"/>
  <c r="AA20" i="42"/>
  <c r="AA19" i="42"/>
  <c r="AA18" i="42"/>
  <c r="AA17" i="42"/>
  <c r="AA16" i="42"/>
  <c r="AA15" i="42"/>
  <c r="AA14" i="42"/>
  <c r="AA13" i="42"/>
  <c r="AI62" i="39"/>
  <c r="AG62" i="39"/>
  <c r="AF62" i="39"/>
  <c r="AE62" i="39"/>
  <c r="AD62" i="39"/>
  <c r="AC62" i="39"/>
  <c r="AB62" i="39"/>
  <c r="AA62" i="39"/>
  <c r="Z62" i="39"/>
  <c r="Y62" i="39"/>
  <c r="X62" i="39"/>
  <c r="W62" i="39"/>
  <c r="V62" i="39"/>
  <c r="AI53" i="39"/>
  <c r="AH53" i="39"/>
  <c r="AG53" i="39"/>
  <c r="AF53" i="39"/>
  <c r="AE53" i="39"/>
  <c r="AD53" i="39"/>
  <c r="AC53" i="39"/>
  <c r="AB53" i="39"/>
  <c r="AA53" i="39"/>
  <c r="Z53" i="39"/>
  <c r="Y53" i="39"/>
  <c r="X53" i="39"/>
  <c r="W53" i="39"/>
  <c r="V53" i="39"/>
  <c r="AI49" i="39"/>
  <c r="AH49" i="39"/>
  <c r="AG49" i="39"/>
  <c r="AF49" i="39"/>
  <c r="AE49" i="39"/>
  <c r="AD49" i="39"/>
  <c r="AC49" i="39"/>
  <c r="AB49" i="39"/>
  <c r="AA49" i="39"/>
  <c r="Z49" i="39"/>
  <c r="Y49" i="39"/>
  <c r="X49" i="39"/>
  <c r="W49" i="39"/>
  <c r="V49" i="39"/>
  <c r="AL40" i="39"/>
  <c r="AK40" i="39"/>
  <c r="AJ40" i="39"/>
  <c r="AI40" i="39"/>
  <c r="AH40" i="39"/>
  <c r="AG40" i="39"/>
  <c r="AF40" i="39"/>
  <c r="AE40" i="39"/>
  <c r="AD40" i="39"/>
  <c r="AC40" i="39"/>
  <c r="AB40" i="39"/>
  <c r="AA40" i="39"/>
  <c r="Z40" i="39"/>
  <c r="Y40" i="39"/>
  <c r="X40" i="39"/>
  <c r="W40" i="39"/>
  <c r="V40" i="39"/>
  <c r="AL31" i="39"/>
  <c r="AK31" i="39"/>
  <c r="AJ31" i="39"/>
  <c r="AI31" i="39"/>
  <c r="AH31" i="39"/>
  <c r="AG31" i="39"/>
  <c r="AF31" i="39"/>
  <c r="AE31" i="39"/>
  <c r="AD31" i="39"/>
  <c r="AC31" i="39"/>
  <c r="AB31" i="39"/>
  <c r="AA31" i="39"/>
  <c r="Z31" i="39"/>
  <c r="Y31" i="39"/>
  <c r="X31" i="39"/>
  <c r="W31" i="39"/>
  <c r="V31" i="39"/>
  <c r="AL27" i="39"/>
  <c r="AK27" i="39"/>
  <c r="AJ27" i="39"/>
  <c r="AI27" i="39"/>
  <c r="AH27" i="39"/>
  <c r="AG27" i="39"/>
  <c r="AF27" i="39"/>
  <c r="AE27" i="39"/>
  <c r="AD27" i="39"/>
  <c r="AC27" i="39"/>
  <c r="AB27" i="39"/>
  <c r="AA27" i="39"/>
  <c r="Z27" i="39"/>
  <c r="Y27" i="39"/>
  <c r="X27" i="39"/>
  <c r="W27" i="39"/>
  <c r="V27" i="39"/>
  <c r="AL18" i="39"/>
  <c r="AK18" i="39"/>
  <c r="AJ18" i="39"/>
  <c r="AI18" i="39"/>
  <c r="AH18" i="39"/>
  <c r="AG18" i="39"/>
  <c r="AF18" i="39"/>
  <c r="AE18" i="39"/>
  <c r="AD18" i="39"/>
  <c r="AC18" i="39"/>
  <c r="AB18" i="39"/>
  <c r="AA18" i="39"/>
  <c r="Z18" i="39"/>
  <c r="Y18" i="39"/>
  <c r="X18" i="39"/>
  <c r="W18" i="39"/>
  <c r="V18" i="39"/>
  <c r="AL9" i="39"/>
  <c r="AK9" i="39"/>
  <c r="AJ9" i="39"/>
  <c r="AI9" i="39"/>
  <c r="AH9" i="39"/>
  <c r="AG9" i="39"/>
  <c r="AF9" i="39"/>
  <c r="AE9" i="39"/>
  <c r="AD9" i="39"/>
  <c r="AC9" i="39"/>
  <c r="AB9" i="39"/>
  <c r="AA9" i="39"/>
  <c r="Z9" i="39"/>
  <c r="Y9" i="39"/>
  <c r="X9" i="39"/>
  <c r="W9" i="39"/>
  <c r="V9" i="39"/>
  <c r="F2" i="39"/>
  <c r="E2" i="39"/>
  <c r="G1" i="39"/>
  <c r="H1" i="39" s="1"/>
  <c r="K441" i="38"/>
  <c r="H441" i="38"/>
  <c r="G441" i="38"/>
  <c r="F441" i="38"/>
  <c r="E441" i="38"/>
  <c r="K434" i="38"/>
  <c r="H434" i="38"/>
  <c r="G434" i="38"/>
  <c r="F434" i="38"/>
  <c r="E434" i="38"/>
  <c r="K427" i="38"/>
  <c r="H427" i="38"/>
  <c r="G427" i="38"/>
  <c r="F427" i="38"/>
  <c r="E427" i="38"/>
  <c r="K419" i="38"/>
  <c r="H419" i="38"/>
  <c r="G419" i="38"/>
  <c r="F419" i="38"/>
  <c r="E419" i="38"/>
  <c r="K412" i="38"/>
  <c r="H412" i="38"/>
  <c r="G412" i="38"/>
  <c r="F412" i="38"/>
  <c r="E412" i="38"/>
  <c r="K405" i="38"/>
  <c r="H405" i="38"/>
  <c r="G405" i="38"/>
  <c r="F405" i="38"/>
  <c r="E405" i="38"/>
  <c r="K398" i="38"/>
  <c r="H398" i="38"/>
  <c r="G398" i="38"/>
  <c r="F398" i="38"/>
  <c r="E398" i="38"/>
  <c r="K391" i="38"/>
  <c r="H391" i="38"/>
  <c r="G391" i="38"/>
  <c r="F391" i="38"/>
  <c r="E391" i="38"/>
  <c r="K384" i="38"/>
  <c r="H384" i="38"/>
  <c r="G384" i="38"/>
  <c r="F384" i="38"/>
  <c r="E384" i="38"/>
  <c r="K377" i="38"/>
  <c r="H377" i="38"/>
  <c r="G377" i="38"/>
  <c r="F377" i="38"/>
  <c r="E377" i="38"/>
  <c r="K369" i="38"/>
  <c r="H369" i="38"/>
  <c r="G369" i="38"/>
  <c r="F369" i="38"/>
  <c r="E369" i="38"/>
  <c r="K361" i="38"/>
  <c r="H361" i="38"/>
  <c r="G361" i="38"/>
  <c r="F361" i="38"/>
  <c r="E361" i="38"/>
  <c r="K353" i="38"/>
  <c r="H353" i="38"/>
  <c r="G353" i="38"/>
  <c r="F353" i="38"/>
  <c r="E353" i="38"/>
  <c r="K345" i="38"/>
  <c r="H345" i="38"/>
  <c r="G345" i="38"/>
  <c r="F345" i="38"/>
  <c r="E345" i="38"/>
  <c r="K337" i="38"/>
  <c r="H337" i="38"/>
  <c r="G337" i="38"/>
  <c r="F337" i="38"/>
  <c r="E337" i="38"/>
  <c r="K329" i="38"/>
  <c r="H329" i="38"/>
  <c r="G329" i="38"/>
  <c r="F329" i="38"/>
  <c r="E329" i="38"/>
  <c r="K320" i="38"/>
  <c r="H320" i="38"/>
  <c r="G320" i="38"/>
  <c r="F320" i="38"/>
  <c r="E320" i="38"/>
  <c r="K312" i="38"/>
  <c r="H312" i="38"/>
  <c r="G312" i="38"/>
  <c r="F312" i="38"/>
  <c r="E312" i="38"/>
  <c r="K304" i="38"/>
  <c r="H304" i="38"/>
  <c r="G304" i="38"/>
  <c r="F304" i="38"/>
  <c r="E304" i="38"/>
  <c r="K295" i="38"/>
  <c r="H295" i="38"/>
  <c r="G295" i="38"/>
  <c r="F295" i="38"/>
  <c r="E295" i="38"/>
  <c r="K286" i="38"/>
  <c r="H286" i="38"/>
  <c r="G286" i="38"/>
  <c r="F286" i="38"/>
  <c r="E286" i="38"/>
  <c r="K277" i="38"/>
  <c r="H277" i="38"/>
  <c r="G277" i="38"/>
  <c r="F277" i="38"/>
  <c r="E277" i="38"/>
  <c r="K268" i="38"/>
  <c r="H268" i="38"/>
  <c r="G268" i="38"/>
  <c r="F268" i="38"/>
  <c r="E268" i="38"/>
  <c r="K259" i="38"/>
  <c r="H259" i="38"/>
  <c r="G259" i="38"/>
  <c r="F259" i="38"/>
  <c r="E259" i="38"/>
  <c r="K250" i="38"/>
  <c r="H250" i="38"/>
  <c r="G250" i="38"/>
  <c r="F250" i="38"/>
  <c r="E250" i="38"/>
  <c r="K241" i="38"/>
  <c r="H241" i="38"/>
  <c r="G241" i="38"/>
  <c r="F241" i="38"/>
  <c r="E241" i="38"/>
  <c r="K231" i="38"/>
  <c r="H231" i="38"/>
  <c r="G231" i="38"/>
  <c r="F231" i="38"/>
  <c r="E231" i="38"/>
  <c r="K221" i="38"/>
  <c r="H221" i="38"/>
  <c r="G221" i="38"/>
  <c r="F221" i="38"/>
  <c r="E221" i="38"/>
  <c r="K211" i="38"/>
  <c r="H211" i="38"/>
  <c r="G211" i="38"/>
  <c r="F211" i="38"/>
  <c r="E211" i="38"/>
  <c r="K202" i="38"/>
  <c r="H202" i="38"/>
  <c r="G202" i="38"/>
  <c r="F202" i="38"/>
  <c r="E202" i="38"/>
  <c r="K193" i="38"/>
  <c r="H193" i="38"/>
  <c r="G193" i="38"/>
  <c r="F193" i="38"/>
  <c r="E193" i="38"/>
  <c r="K184" i="38"/>
  <c r="H184" i="38"/>
  <c r="G184" i="38"/>
  <c r="F184" i="38"/>
  <c r="E184" i="38"/>
  <c r="K166" i="38"/>
  <c r="H166" i="38"/>
  <c r="G166" i="38"/>
  <c r="F166" i="38"/>
  <c r="E166" i="38"/>
  <c r="V265" i="36"/>
  <c r="V264" i="36"/>
  <c r="V258" i="36"/>
  <c r="V257" i="36"/>
  <c r="V256" i="36"/>
  <c r="V255" i="36"/>
  <c r="V254" i="36"/>
  <c r="V253" i="36"/>
  <c r="V250" i="36"/>
  <c r="V249" i="36"/>
  <c r="V248" i="36"/>
  <c r="V247" i="36"/>
  <c r="V246" i="36"/>
  <c r="V245" i="36"/>
  <c r="V234" i="36"/>
  <c r="V233" i="36"/>
  <c r="V232" i="36"/>
  <c r="V231" i="36"/>
  <c r="V230" i="36"/>
  <c r="V229" i="36"/>
  <c r="V226" i="36"/>
  <c r="V225" i="36"/>
  <c r="V224" i="36"/>
  <c r="V223" i="36"/>
  <c r="V222" i="36"/>
  <c r="V221" i="36"/>
  <c r="V218" i="36"/>
  <c r="V217" i="36"/>
  <c r="V216" i="36"/>
  <c r="V215" i="36"/>
  <c r="V214" i="36"/>
  <c r="V213" i="36"/>
  <c r="V212" i="36"/>
  <c r="V209" i="36"/>
  <c r="V208" i="36"/>
  <c r="V207" i="36"/>
  <c r="V206" i="36"/>
  <c r="V205" i="36"/>
  <c r="V204" i="36"/>
  <c r="V203" i="36"/>
  <c r="V191" i="36"/>
  <c r="V190" i="36"/>
  <c r="V189" i="36"/>
  <c r="V188" i="36"/>
  <c r="V187" i="36"/>
  <c r="V186" i="36"/>
  <c r="V185" i="36"/>
  <c r="V182" i="36"/>
  <c r="V181" i="36"/>
  <c r="V180" i="36"/>
  <c r="V179" i="36"/>
  <c r="V178" i="36"/>
  <c r="V177" i="36"/>
  <c r="V176" i="36"/>
  <c r="V173" i="36"/>
  <c r="V172" i="36"/>
  <c r="V171" i="36"/>
  <c r="V170" i="36"/>
  <c r="V169" i="36"/>
  <c r="V168" i="36"/>
  <c r="V167" i="36"/>
  <c r="V164" i="36"/>
  <c r="V163" i="36"/>
  <c r="V162" i="36"/>
  <c r="V161" i="36"/>
  <c r="V160" i="36"/>
  <c r="V159" i="36"/>
  <c r="V158" i="36"/>
  <c r="V155" i="36"/>
  <c r="V154" i="36"/>
  <c r="V153" i="36"/>
  <c r="V152" i="36"/>
  <c r="V151" i="36"/>
  <c r="V150" i="36"/>
  <c r="V149" i="36"/>
  <c r="V146" i="36"/>
  <c r="V145" i="36"/>
  <c r="V144" i="36"/>
  <c r="V143" i="36"/>
  <c r="V142" i="36"/>
  <c r="V141" i="36"/>
  <c r="H139" i="36"/>
  <c r="H147" i="36" s="1"/>
  <c r="H156" i="36" s="1"/>
  <c r="H165" i="36" s="1"/>
  <c r="H174" i="36" s="1"/>
  <c r="H183" i="36" s="1"/>
  <c r="H192" i="36" s="1"/>
  <c r="H201" i="36" s="1"/>
  <c r="H210" i="36" s="1"/>
  <c r="H219" i="36" s="1"/>
  <c r="H227" i="36" s="1"/>
  <c r="H235" i="36" s="1"/>
  <c r="H243" i="36" s="1"/>
  <c r="H251" i="36" s="1"/>
  <c r="H259" i="36" s="1"/>
  <c r="H267" i="36" s="1"/>
  <c r="H277" i="36" s="1"/>
  <c r="H287" i="36" s="1"/>
  <c r="H297" i="36" s="1"/>
  <c r="H307" i="36" s="1"/>
  <c r="H317" i="36" s="1"/>
  <c r="H327" i="36" s="1"/>
  <c r="V138" i="36"/>
  <c r="V137" i="36"/>
  <c r="V136" i="36"/>
  <c r="V135" i="36"/>
  <c r="I133" i="36"/>
  <c r="I139" i="36" s="1"/>
  <c r="I147" i="36" s="1"/>
  <c r="I156" i="36" s="1"/>
  <c r="I165" i="36" s="1"/>
  <c r="I174" i="36" s="1"/>
  <c r="I183" i="36" s="1"/>
  <c r="I192" i="36" s="1"/>
  <c r="I201" i="36" s="1"/>
  <c r="I210" i="36" s="1"/>
  <c r="I219" i="36" s="1"/>
  <c r="I227" i="36" s="1"/>
  <c r="I235" i="36" s="1"/>
  <c r="I243" i="36" s="1"/>
  <c r="I251" i="36" s="1"/>
  <c r="I259" i="36" s="1"/>
  <c r="I267" i="36" s="1"/>
  <c r="I277" i="36" s="1"/>
  <c r="I287" i="36" s="1"/>
  <c r="I297" i="36" s="1"/>
  <c r="I307" i="36" s="1"/>
  <c r="I317" i="36" s="1"/>
  <c r="I327" i="36" s="1"/>
  <c r="V132" i="36"/>
  <c r="V131" i="36"/>
  <c r="V130" i="36"/>
  <c r="V129" i="36"/>
  <c r="Q127" i="36"/>
  <c r="Q133" i="36" s="1"/>
  <c r="Q139" i="36" s="1"/>
  <c r="Q147" i="36" s="1"/>
  <c r="Q156" i="36" s="1"/>
  <c r="Q165" i="36" s="1"/>
  <c r="Q174" i="36" s="1"/>
  <c r="Q183" i="36" s="1"/>
  <c r="Q192" i="36" s="1"/>
  <c r="Q201" i="36" s="1"/>
  <c r="Q210" i="36" s="1"/>
  <c r="Q219" i="36" s="1"/>
  <c r="Q227" i="36" s="1"/>
  <c r="Q235" i="36" s="1"/>
  <c r="Q243" i="36" s="1"/>
  <c r="Q251" i="36" s="1"/>
  <c r="Q259" i="36" s="1"/>
  <c r="Q267" i="36" s="1"/>
  <c r="Q277" i="36" s="1"/>
  <c r="Q287" i="36" s="1"/>
  <c r="Q297" i="36" s="1"/>
  <c r="Q307" i="36" s="1"/>
  <c r="Q317" i="36" s="1"/>
  <c r="Q327" i="36" s="1"/>
  <c r="Q337" i="36" s="1"/>
  <c r="F127" i="36"/>
  <c r="F133" i="36" s="1"/>
  <c r="F139" i="36" s="1"/>
  <c r="F147" i="36" s="1"/>
  <c r="F156" i="36" s="1"/>
  <c r="F165" i="36" s="1"/>
  <c r="F174" i="36" s="1"/>
  <c r="F183" i="36" s="1"/>
  <c r="F192" i="36" s="1"/>
  <c r="F201" i="36" s="1"/>
  <c r="F210" i="36" s="1"/>
  <c r="F219" i="36" s="1"/>
  <c r="F227" i="36" s="1"/>
  <c r="F235" i="36" s="1"/>
  <c r="F243" i="36" s="1"/>
  <c r="F251" i="36" s="1"/>
  <c r="F259" i="36" s="1"/>
  <c r="F267" i="36" s="1"/>
  <c r="F277" i="36" s="1"/>
  <c r="F287" i="36" s="1"/>
  <c r="F297" i="36" s="1"/>
  <c r="F307" i="36" s="1"/>
  <c r="F317" i="36" s="1"/>
  <c r="F327" i="36" s="1"/>
  <c r="V126" i="36"/>
  <c r="V125" i="36"/>
  <c r="V124" i="36"/>
  <c r="V123" i="36"/>
  <c r="V122" i="36"/>
  <c r="V121" i="36"/>
  <c r="V120" i="36"/>
  <c r="V112" i="36"/>
  <c r="V109" i="36"/>
  <c r="V108" i="36"/>
  <c r="V107" i="36"/>
  <c r="V106" i="36"/>
  <c r="V105" i="36"/>
  <c r="V102" i="36"/>
  <c r="V101" i="36"/>
  <c r="V100" i="36"/>
  <c r="V99" i="36"/>
  <c r="V96" i="36"/>
  <c r="V95" i="36"/>
  <c r="V94" i="36"/>
  <c r="V93" i="36"/>
  <c r="V92" i="36"/>
  <c r="V89" i="36"/>
  <c r="V88" i="36"/>
  <c r="V85" i="36"/>
  <c r="V84" i="36"/>
  <c r="V83" i="36"/>
  <c r="V82" i="36"/>
  <c r="V79" i="36"/>
  <c r="V78" i="36"/>
  <c r="V77" i="36"/>
  <c r="V76" i="36"/>
  <c r="U74" i="36"/>
  <c r="U80" i="36" s="1"/>
  <c r="U86" i="36" s="1"/>
  <c r="U90" i="36" s="1"/>
  <c r="U97" i="36" s="1"/>
  <c r="U103" i="36" s="1"/>
  <c r="U110" i="36" s="1"/>
  <c r="U118" i="36" s="1"/>
  <c r="U127" i="36" s="1"/>
  <c r="U133" i="36" s="1"/>
  <c r="U139" i="36" s="1"/>
  <c r="U147" i="36" s="1"/>
  <c r="T74" i="36"/>
  <c r="T80" i="36" s="1"/>
  <c r="T86" i="36" s="1"/>
  <c r="T90" i="36" s="1"/>
  <c r="T97" i="36" s="1"/>
  <c r="T103" i="36" s="1"/>
  <c r="T110" i="36" s="1"/>
  <c r="T118" i="36" s="1"/>
  <c r="T127" i="36" s="1"/>
  <c r="T133" i="36" s="1"/>
  <c r="T139" i="36" s="1"/>
  <c r="T147" i="36" s="1"/>
  <c r="S74" i="36"/>
  <c r="S80" i="36" s="1"/>
  <c r="S86" i="36" s="1"/>
  <c r="S90" i="36" s="1"/>
  <c r="S97" i="36" s="1"/>
  <c r="S103" i="36" s="1"/>
  <c r="S110" i="36" s="1"/>
  <c r="S118" i="36" s="1"/>
  <c r="S127" i="36" s="1"/>
  <c r="S133" i="36" s="1"/>
  <c r="S139" i="36" s="1"/>
  <c r="S147" i="36" s="1"/>
  <c r="S156" i="36" s="1"/>
  <c r="S165" i="36" s="1"/>
  <c r="S174" i="36" s="1"/>
  <c r="S183" i="36" s="1"/>
  <c r="S192" i="36" s="1"/>
  <c r="S201" i="36" s="1"/>
  <c r="S210" i="36" s="1"/>
  <c r="S219" i="36" s="1"/>
  <c r="S227" i="36" s="1"/>
  <c r="S235" i="36" s="1"/>
  <c r="S243" i="36" s="1"/>
  <c r="S251" i="36" s="1"/>
  <c r="R74" i="36"/>
  <c r="R80" i="36" s="1"/>
  <c r="R86" i="36" s="1"/>
  <c r="R90" i="36" s="1"/>
  <c r="R97" i="36" s="1"/>
  <c r="R103" i="36" s="1"/>
  <c r="R110" i="36" s="1"/>
  <c r="R118" i="36" s="1"/>
  <c r="R127" i="36" s="1"/>
  <c r="R133" i="36" s="1"/>
  <c r="R139" i="36" s="1"/>
  <c r="R147" i="36" s="1"/>
  <c r="R156" i="36" s="1"/>
  <c r="R165" i="36" s="1"/>
  <c r="R174" i="36" s="1"/>
  <c r="R183" i="36" s="1"/>
  <c r="R192" i="36" s="1"/>
  <c r="R201" i="36" s="1"/>
  <c r="R210" i="36" s="1"/>
  <c r="R219" i="36" s="1"/>
  <c r="R227" i="36" s="1"/>
  <c r="R235" i="36" s="1"/>
  <c r="R243" i="36" s="1"/>
  <c r="R251" i="36" s="1"/>
  <c r="M74" i="36"/>
  <c r="M80" i="36" s="1"/>
  <c r="M86" i="36" s="1"/>
  <c r="M90" i="36" s="1"/>
  <c r="M97" i="36" s="1"/>
  <c r="M103" i="36" s="1"/>
  <c r="M110" i="36" s="1"/>
  <c r="M118" i="36" s="1"/>
  <c r="M127" i="36" s="1"/>
  <c r="M133" i="36" s="1"/>
  <c r="M139" i="36" s="1"/>
  <c r="M147" i="36" s="1"/>
  <c r="N74" i="36"/>
  <c r="N80" i="36" s="1"/>
  <c r="N86" i="36" s="1"/>
  <c r="N90" i="36" s="1"/>
  <c r="N97" i="36" s="1"/>
  <c r="N103" i="36" s="1"/>
  <c r="N110" i="36" s="1"/>
  <c r="N118" i="36" s="1"/>
  <c r="N127" i="36" s="1"/>
  <c r="N133" i="36" s="1"/>
  <c r="N139" i="36" s="1"/>
  <c r="N147" i="36" s="1"/>
  <c r="N156" i="36" s="1"/>
  <c r="N165" i="36" s="1"/>
  <c r="N174" i="36" s="1"/>
  <c r="N183" i="36" s="1"/>
  <c r="N192" i="36" s="1"/>
  <c r="N201" i="36" s="1"/>
  <c r="N210" i="36" s="1"/>
  <c r="N219" i="36" s="1"/>
  <c r="N227" i="36" s="1"/>
  <c r="N235" i="36" s="1"/>
  <c r="N243" i="36" s="1"/>
  <c r="N251" i="36" s="1"/>
  <c r="N259" i="36" s="1"/>
  <c r="N267" i="36" s="1"/>
  <c r="N277" i="36" s="1"/>
  <c r="N287" i="36" s="1"/>
  <c r="N297" i="36" s="1"/>
  <c r="N307" i="36" s="1"/>
  <c r="N317" i="36" s="1"/>
  <c r="N327" i="36" s="1"/>
  <c r="P74" i="36"/>
  <c r="P80" i="36" s="1"/>
  <c r="P86" i="36" s="1"/>
  <c r="P90" i="36" s="1"/>
  <c r="P97" i="36" s="1"/>
  <c r="P103" i="36" s="1"/>
  <c r="P110" i="36" s="1"/>
  <c r="P118" i="36" s="1"/>
  <c r="P127" i="36" s="1"/>
  <c r="P133" i="36" s="1"/>
  <c r="P139" i="36" s="1"/>
  <c r="P147" i="36" s="1"/>
  <c r="P156" i="36" s="1"/>
  <c r="P165" i="36" s="1"/>
  <c r="P174" i="36" s="1"/>
  <c r="P183" i="36" s="1"/>
  <c r="P192" i="36" s="1"/>
  <c r="P201" i="36" s="1"/>
  <c r="P210" i="36" s="1"/>
  <c r="P219" i="36" s="1"/>
  <c r="P227" i="36" s="1"/>
  <c r="P235" i="36" s="1"/>
  <c r="P243" i="36" s="1"/>
  <c r="P251" i="36" s="1"/>
  <c r="P259" i="36" s="1"/>
  <c r="P267" i="36" s="1"/>
  <c r="P277" i="36" s="1"/>
  <c r="P287" i="36" s="1"/>
  <c r="P297" i="36" s="1"/>
  <c r="P307" i="36" s="1"/>
  <c r="P317" i="36" s="1"/>
  <c r="P327" i="36" s="1"/>
  <c r="P337" i="36" s="1"/>
  <c r="G74" i="36"/>
  <c r="G80" i="36" s="1"/>
  <c r="G86" i="36" s="1"/>
  <c r="G90" i="36" s="1"/>
  <c r="G97" i="36" s="1"/>
  <c r="G103" i="36" s="1"/>
  <c r="G110" i="36" s="1"/>
  <c r="G118" i="36" s="1"/>
  <c r="G127" i="36" s="1"/>
  <c r="G133" i="36" s="1"/>
  <c r="G139" i="36" s="1"/>
  <c r="G147" i="36" s="1"/>
  <c r="G156" i="36" s="1"/>
  <c r="G165" i="36" s="1"/>
  <c r="G174" i="36" s="1"/>
  <c r="G183" i="36" s="1"/>
  <c r="G192" i="36" s="1"/>
  <c r="G201" i="36" s="1"/>
  <c r="G210" i="36" s="1"/>
  <c r="G219" i="36" s="1"/>
  <c r="G227" i="36" s="1"/>
  <c r="G235" i="36" s="1"/>
  <c r="G243" i="36" s="1"/>
  <c r="G251" i="36" s="1"/>
  <c r="G259" i="36" s="1"/>
  <c r="G267" i="36" s="1"/>
  <c r="G277" i="36" s="1"/>
  <c r="G287" i="36" s="1"/>
  <c r="G297" i="36" s="1"/>
  <c r="G307" i="36" s="1"/>
  <c r="G317" i="36" s="1"/>
  <c r="G327" i="36" s="1"/>
  <c r="E74" i="36"/>
  <c r="E80" i="36" s="1"/>
  <c r="E86" i="36" s="1"/>
  <c r="E90" i="36" s="1"/>
  <c r="E97" i="36" s="1"/>
  <c r="E103" i="36" s="1"/>
  <c r="E110" i="36" s="1"/>
  <c r="E118" i="36" s="1"/>
  <c r="E127" i="36" s="1"/>
  <c r="E133" i="36" s="1"/>
  <c r="E139" i="36" s="1"/>
  <c r="E147" i="36" s="1"/>
  <c r="E156" i="36" s="1"/>
  <c r="E165" i="36" s="1"/>
  <c r="E174" i="36" s="1"/>
  <c r="E183" i="36" s="1"/>
  <c r="E192" i="36" s="1"/>
  <c r="E201" i="36" s="1"/>
  <c r="E210" i="36" s="1"/>
  <c r="E219" i="36" s="1"/>
  <c r="E227" i="36" s="1"/>
  <c r="E235" i="36" s="1"/>
  <c r="E243" i="36" s="1"/>
  <c r="E251" i="36" s="1"/>
  <c r="E259" i="36" s="1"/>
  <c r="E267" i="36" s="1"/>
  <c r="E277" i="36" s="1"/>
  <c r="E287" i="36" s="1"/>
  <c r="E297" i="36" s="1"/>
  <c r="E307" i="36" s="1"/>
  <c r="E317" i="36" s="1"/>
  <c r="E327" i="36" s="1"/>
  <c r="V73" i="36"/>
  <c r="V72" i="36"/>
  <c r="V71" i="36"/>
  <c r="V68" i="36"/>
  <c r="V67" i="36"/>
  <c r="V66" i="36"/>
  <c r="G65" i="36"/>
  <c r="V65" i="36" s="1"/>
  <c r="V64" i="36"/>
  <c r="V61" i="36"/>
  <c r="V60" i="36"/>
  <c r="V59" i="36"/>
  <c r="V58" i="36"/>
  <c r="V55" i="36"/>
  <c r="V54" i="36"/>
  <c r="V53" i="36"/>
  <c r="V52" i="36"/>
  <c r="V51" i="36"/>
  <c r="V48" i="36"/>
  <c r="V47" i="36"/>
  <c r="V46" i="36"/>
  <c r="V45" i="36"/>
  <c r="V44" i="36"/>
  <c r="V43" i="36"/>
  <c r="V42" i="36"/>
  <c r="V39" i="36"/>
  <c r="V38" i="36"/>
  <c r="V37" i="36"/>
  <c r="V36" i="36"/>
  <c r="V35" i="36"/>
  <c r="V34" i="36"/>
  <c r="V33" i="36"/>
  <c r="V30" i="36"/>
  <c r="V29" i="36"/>
  <c r="V28" i="36"/>
  <c r="V27" i="36"/>
  <c r="V26" i="36"/>
  <c r="V25" i="36"/>
  <c r="V22" i="36"/>
  <c r="V21" i="36"/>
  <c r="V20" i="36"/>
  <c r="V19" i="36"/>
  <c r="V18" i="36"/>
  <c r="U16" i="36"/>
  <c r="U23" i="36" s="1"/>
  <c r="U31" i="36" s="1"/>
  <c r="U40" i="36" s="1"/>
  <c r="U49" i="36" s="1"/>
  <c r="U56" i="36" s="1"/>
  <c r="U62" i="36" s="1"/>
  <c r="T16" i="36"/>
  <c r="T23" i="36" s="1"/>
  <c r="T31" i="36" s="1"/>
  <c r="T40" i="36" s="1"/>
  <c r="T49" i="36" s="1"/>
  <c r="T56" i="36" s="1"/>
  <c r="T62" i="36" s="1"/>
  <c r="S16" i="36"/>
  <c r="S23" i="36" s="1"/>
  <c r="S31" i="36" s="1"/>
  <c r="S40" i="36" s="1"/>
  <c r="S49" i="36" s="1"/>
  <c r="S56" i="36" s="1"/>
  <c r="S62" i="36" s="1"/>
  <c r="R16" i="36"/>
  <c r="R23" i="36" s="1"/>
  <c r="R31" i="36" s="1"/>
  <c r="R40" i="36" s="1"/>
  <c r="R49" i="36" s="1"/>
  <c r="R56" i="36" s="1"/>
  <c r="R62" i="36" s="1"/>
  <c r="M16" i="36"/>
  <c r="M23" i="36" s="1"/>
  <c r="M31" i="36" s="1"/>
  <c r="M40" i="36" s="1"/>
  <c r="M49" i="36" s="1"/>
  <c r="M56" i="36" s="1"/>
  <c r="M62" i="36" s="1"/>
  <c r="N16" i="36"/>
  <c r="N23" i="36" s="1"/>
  <c r="N31" i="36" s="1"/>
  <c r="N40" i="36" s="1"/>
  <c r="N49" i="36" s="1"/>
  <c r="N56" i="36" s="1"/>
  <c r="P16" i="36"/>
  <c r="P23" i="36" s="1"/>
  <c r="P31" i="36" s="1"/>
  <c r="P40" i="36" s="1"/>
  <c r="P49" i="36" s="1"/>
  <c r="P56" i="36" s="1"/>
  <c r="P62" i="36" s="1"/>
  <c r="G16" i="36"/>
  <c r="G23" i="36" s="1"/>
  <c r="G31" i="36" s="1"/>
  <c r="G40" i="36" s="1"/>
  <c r="G49" i="36" s="1"/>
  <c r="G56" i="36" s="1"/>
  <c r="G62" i="36" s="1"/>
  <c r="E16" i="36"/>
  <c r="E23" i="36" s="1"/>
  <c r="E31" i="36" s="1"/>
  <c r="E40" i="36" s="1"/>
  <c r="E49" i="36" s="1"/>
  <c r="E56" i="36" s="1"/>
  <c r="E62" i="36" s="1"/>
  <c r="V15" i="36"/>
  <c r="V14" i="36"/>
  <c r="V13" i="36"/>
  <c r="V12" i="36"/>
  <c r="V11" i="36"/>
  <c r="V10" i="36"/>
  <c r="V9" i="36"/>
  <c r="V8" i="36"/>
  <c r="Q33" i="34"/>
  <c r="Q34" i="34" s="1"/>
  <c r="P33" i="34"/>
  <c r="P34" i="34" s="1"/>
  <c r="O33" i="34"/>
  <c r="O34" i="34" s="1"/>
  <c r="N33" i="34"/>
  <c r="N34" i="34" s="1"/>
  <c r="M33" i="34"/>
  <c r="M34" i="34" s="1"/>
  <c r="L33" i="34"/>
  <c r="L34" i="34" s="1"/>
  <c r="K33" i="34"/>
  <c r="K34" i="34" s="1"/>
  <c r="J33" i="34"/>
  <c r="J34" i="34" s="1"/>
  <c r="I33" i="34"/>
  <c r="I34" i="34" s="1"/>
  <c r="H33" i="34"/>
  <c r="G33" i="34"/>
  <c r="F33" i="34"/>
  <c r="E33" i="34"/>
  <c r="E34" i="34" s="1"/>
  <c r="DB25" i="34"/>
  <c r="CY25" i="34"/>
  <c r="CS25" i="34"/>
  <c r="CP25" i="34"/>
  <c r="CJ25" i="34"/>
  <c r="BU25" i="34"/>
  <c r="BO25" i="34"/>
  <c r="BL25" i="34"/>
  <c r="BI25" i="34"/>
  <c r="BF25" i="34"/>
  <c r="DB26" i="34"/>
  <c r="CY26" i="34"/>
  <c r="CS26" i="34"/>
  <c r="CP26" i="34"/>
  <c r="CJ26" i="34"/>
  <c r="BU26" i="34"/>
  <c r="BO26" i="34"/>
  <c r="BL26" i="34"/>
  <c r="BI26" i="34"/>
  <c r="BF26" i="34"/>
  <c r="AK26" i="34"/>
  <c r="AK24" i="34" s="1"/>
  <c r="AH26" i="34"/>
  <c r="AH24" i="34" s="1"/>
  <c r="AE26" i="34"/>
  <c r="Y26" i="34"/>
  <c r="V26" i="34"/>
  <c r="S26" i="34"/>
  <c r="P26" i="34"/>
  <c r="M26" i="34"/>
  <c r="J26" i="34"/>
  <c r="G26" i="34"/>
  <c r="DE23" i="34"/>
  <c r="DD23" i="34"/>
  <c r="DC23" i="34"/>
  <c r="DB23" i="34"/>
  <c r="DA23" i="34"/>
  <c r="CZ23" i="34"/>
  <c r="CY23" i="34"/>
  <c r="CX23" i="34"/>
  <c r="CW23" i="34"/>
  <c r="CS23" i="34"/>
  <c r="CR23" i="34"/>
  <c r="CQ23" i="34"/>
  <c r="CP23" i="34"/>
  <c r="CO23" i="34"/>
  <c r="CN23" i="34"/>
  <c r="CM23" i="34"/>
  <c r="CL23" i="34"/>
  <c r="CK23" i="34"/>
  <c r="CJ23" i="34"/>
  <c r="CI23" i="34"/>
  <c r="CH23" i="34"/>
  <c r="CG23" i="34"/>
  <c r="CF23" i="34"/>
  <c r="CE23" i="34"/>
  <c r="CD23" i="34"/>
  <c r="CC23" i="34"/>
  <c r="CB23" i="34"/>
  <c r="CA23" i="34"/>
  <c r="BZ23" i="34"/>
  <c r="BY23" i="34"/>
  <c r="BX23" i="34"/>
  <c r="BW23" i="34"/>
  <c r="BV23" i="34"/>
  <c r="BU23" i="34"/>
  <c r="BT23" i="34"/>
  <c r="BS23" i="34"/>
  <c r="BR23" i="34"/>
  <c r="BQ23" i="34"/>
  <c r="BP23" i="34"/>
  <c r="BO23" i="34"/>
  <c r="BN23" i="34"/>
  <c r="BM23" i="34"/>
  <c r="BL23" i="34"/>
  <c r="BK23" i="34"/>
  <c r="BJ23" i="34"/>
  <c r="BI23" i="34"/>
  <c r="BH23" i="34"/>
  <c r="BG23" i="34"/>
  <c r="BE23" i="34"/>
  <c r="BD23" i="34"/>
  <c r="BC23" i="34"/>
  <c r="BB23" i="34"/>
  <c r="BA23" i="34"/>
  <c r="AZ23" i="34"/>
  <c r="AY23" i="34"/>
  <c r="AX23" i="34"/>
  <c r="AW23" i="34"/>
  <c r="AV23" i="34"/>
  <c r="AU23" i="34"/>
  <c r="AT23" i="34"/>
  <c r="AS23" i="34"/>
  <c r="AR23" i="34"/>
  <c r="AQ23" i="34"/>
  <c r="AP23" i="34"/>
  <c r="AN23" i="34"/>
  <c r="AM23" i="34"/>
  <c r="AL23" i="34"/>
  <c r="AJ23" i="34"/>
  <c r="AI23" i="34"/>
  <c r="AG23" i="34"/>
  <c r="AF23" i="34"/>
  <c r="AD23" i="34"/>
  <c r="AC23" i="34"/>
  <c r="AB23" i="34"/>
  <c r="AA23" i="34"/>
  <c r="Z23" i="34"/>
  <c r="X23" i="34"/>
  <c r="W23" i="34"/>
  <c r="U23" i="34"/>
  <c r="T23" i="34"/>
  <c r="R23" i="34"/>
  <c r="Q23" i="34"/>
  <c r="O23" i="34"/>
  <c r="N23" i="34"/>
  <c r="L23" i="34"/>
  <c r="K23" i="34"/>
  <c r="I23" i="34"/>
  <c r="H23" i="34"/>
  <c r="F23" i="34"/>
  <c r="E23" i="34"/>
  <c r="BF22" i="34"/>
  <c r="BF23" i="34" s="1"/>
  <c r="AK22" i="34"/>
  <c r="AK23" i="34" s="1"/>
  <c r="AH22" i="34"/>
  <c r="AH23" i="34" s="1"/>
  <c r="AE22" i="34"/>
  <c r="AE23" i="34" s="1"/>
  <c r="Y22" i="34"/>
  <c r="Y23" i="34" s="1"/>
  <c r="V22" i="34"/>
  <c r="V23" i="34" s="1"/>
  <c r="S22" i="34"/>
  <c r="S23" i="34" s="1"/>
  <c r="P22" i="34"/>
  <c r="P23" i="34" s="1"/>
  <c r="M22" i="34"/>
  <c r="M23" i="34" s="1"/>
  <c r="J22" i="34"/>
  <c r="J23" i="34" s="1"/>
  <c r="G22" i="34"/>
  <c r="G23" i="34" s="1"/>
  <c r="DA21" i="34"/>
  <c r="CZ21" i="34"/>
  <c r="CR21" i="34"/>
  <c r="CQ21" i="34"/>
  <c r="CO21" i="34"/>
  <c r="CN21" i="34"/>
  <c r="CM21" i="34"/>
  <c r="CL21" i="34"/>
  <c r="CK21" i="34"/>
  <c r="CI21" i="34"/>
  <c r="CH21" i="34"/>
  <c r="CF21" i="34"/>
  <c r="CE21" i="34"/>
  <c r="CD21" i="34"/>
  <c r="CC21" i="34"/>
  <c r="CB21" i="34"/>
  <c r="CA21" i="34"/>
  <c r="BZ21" i="34"/>
  <c r="BY21" i="34"/>
  <c r="BX21" i="34"/>
  <c r="BW21" i="34"/>
  <c r="BV21" i="34"/>
  <c r="BT21" i="34"/>
  <c r="BS21" i="34"/>
  <c r="BQ21" i="34"/>
  <c r="BP21" i="34"/>
  <c r="BN21" i="34"/>
  <c r="BM21" i="34"/>
  <c r="BK21" i="34"/>
  <c r="BJ21" i="34"/>
  <c r="BH21" i="34"/>
  <c r="BG21" i="34"/>
  <c r="BE21" i="34"/>
  <c r="BD21" i="34"/>
  <c r="BC21" i="34"/>
  <c r="BB21" i="34"/>
  <c r="BA21" i="34"/>
  <c r="AZ21" i="34"/>
  <c r="AY21" i="34"/>
  <c r="AX21" i="34"/>
  <c r="AW21" i="34"/>
  <c r="AV21" i="34"/>
  <c r="AU21" i="34"/>
  <c r="AT21" i="34"/>
  <c r="AS21" i="34"/>
  <c r="AR21" i="34"/>
  <c r="AQ21" i="34"/>
  <c r="AP21" i="34"/>
  <c r="AN21" i="34"/>
  <c r="AM21" i="34"/>
  <c r="AL21" i="34"/>
  <c r="AJ21" i="34"/>
  <c r="AI21" i="34"/>
  <c r="AG21" i="34"/>
  <c r="AF21" i="34"/>
  <c r="AD21" i="34"/>
  <c r="AC21" i="34"/>
  <c r="AA21" i="34"/>
  <c r="Z21" i="34"/>
  <c r="X21" i="34"/>
  <c r="W21" i="34"/>
  <c r="U21" i="34"/>
  <c r="T21" i="34"/>
  <c r="R21" i="34"/>
  <c r="Q21" i="34"/>
  <c r="O21" i="34"/>
  <c r="N21" i="34"/>
  <c r="L21" i="34"/>
  <c r="K21" i="34"/>
  <c r="I21" i="34"/>
  <c r="H21" i="34"/>
  <c r="F21" i="34"/>
  <c r="E21" i="34"/>
  <c r="DE20" i="34"/>
  <c r="CY20" i="34"/>
  <c r="CP20" i="34"/>
  <c r="CJ20" i="34"/>
  <c r="CG20" i="34"/>
  <c r="BR20" i="34"/>
  <c r="BO20" i="34"/>
  <c r="BL20" i="34"/>
  <c r="BI20" i="34"/>
  <c r="BF20" i="34"/>
  <c r="AE20" i="34"/>
  <c r="AB20" i="34"/>
  <c r="AB21" i="34" s="1"/>
  <c r="Y20" i="34"/>
  <c r="V20" i="34"/>
  <c r="S20" i="34"/>
  <c r="P20" i="34"/>
  <c r="M20" i="34"/>
  <c r="J20" i="34"/>
  <c r="G20" i="34"/>
  <c r="DE19" i="34"/>
  <c r="CY19" i="34"/>
  <c r="CP19" i="34"/>
  <c r="CJ19" i="34"/>
  <c r="BU19" i="34"/>
  <c r="BR19" i="34"/>
  <c r="BO19" i="34"/>
  <c r="BL19" i="34"/>
  <c r="BI19" i="34"/>
  <c r="BF19" i="34"/>
  <c r="AK19" i="34"/>
  <c r="AH19" i="34"/>
  <c r="AE19" i="34"/>
  <c r="Y19" i="34"/>
  <c r="V19" i="34"/>
  <c r="S19" i="34"/>
  <c r="P19" i="34"/>
  <c r="M19" i="34"/>
  <c r="J19" i="34"/>
  <c r="G19" i="34"/>
  <c r="DE18" i="34"/>
  <c r="CY18" i="34"/>
  <c r="CP18" i="34"/>
  <c r="CJ18" i="34"/>
  <c r="BU18" i="34"/>
  <c r="BR18" i="34"/>
  <c r="BO18" i="34"/>
  <c r="BL18" i="34"/>
  <c r="BI18" i="34"/>
  <c r="BF18" i="34"/>
  <c r="AK18" i="34"/>
  <c r="AH18" i="34"/>
  <c r="AE18" i="34"/>
  <c r="Y18" i="34"/>
  <c r="V18" i="34"/>
  <c r="S18" i="34"/>
  <c r="P18" i="34"/>
  <c r="M18" i="34"/>
  <c r="J18" i="34"/>
  <c r="G18" i="34"/>
  <c r="DE17" i="34"/>
  <c r="CY17" i="34"/>
  <c r="CP17" i="34"/>
  <c r="CJ17" i="34"/>
  <c r="CG17" i="34"/>
  <c r="BR17" i="34"/>
  <c r="BO17" i="34"/>
  <c r="BL17" i="34"/>
  <c r="BI17" i="34"/>
  <c r="BF17" i="34"/>
  <c r="AE17" i="34"/>
  <c r="DE15" i="34"/>
  <c r="CP15" i="34"/>
  <c r="CJ15" i="34"/>
  <c r="DB12" i="34"/>
  <c r="CY12" i="34"/>
  <c r="CS12" i="34"/>
  <c r="CP12" i="34"/>
  <c r="CJ12" i="34"/>
  <c r="BU12" i="34"/>
  <c r="BR12" i="34"/>
  <c r="DB11" i="34"/>
  <c r="CY11" i="34"/>
  <c r="CS11" i="34"/>
  <c r="CP11" i="34"/>
  <c r="CJ11" i="34"/>
  <c r="BU11" i="34"/>
  <c r="BR11" i="34"/>
  <c r="BO11" i="34"/>
  <c r="BL11" i="34"/>
  <c r="BI11" i="34"/>
  <c r="DB16" i="34"/>
  <c r="CY16" i="34"/>
  <c r="CS16" i="34"/>
  <c r="CP16" i="34"/>
  <c r="CJ16" i="34"/>
  <c r="BU16" i="34"/>
  <c r="BR16" i="34"/>
  <c r="BO16" i="34"/>
  <c r="BL16" i="34"/>
  <c r="BI16" i="34"/>
  <c r="BF16" i="34"/>
  <c r="AK16" i="34"/>
  <c r="AH16" i="34"/>
  <c r="AE16" i="34"/>
  <c r="DB10" i="34"/>
  <c r="CY10" i="34"/>
  <c r="CS10" i="34"/>
  <c r="CP10" i="34"/>
  <c r="CJ10" i="34"/>
  <c r="BU10" i="34"/>
  <c r="BR10" i="34"/>
  <c r="BO10" i="34"/>
  <c r="BL10" i="34"/>
  <c r="BI10" i="34"/>
  <c r="BF10" i="34"/>
  <c r="AK10" i="34"/>
  <c r="AH10" i="34"/>
  <c r="AE10" i="34"/>
  <c r="Y10" i="34"/>
  <c r="V10" i="34"/>
  <c r="S10" i="34"/>
  <c r="P10" i="34"/>
  <c r="M10" i="34"/>
  <c r="J10" i="34"/>
  <c r="G10" i="34"/>
  <c r="DB9" i="34"/>
  <c r="CY9" i="34"/>
  <c r="CS9" i="34"/>
  <c r="CP9" i="34"/>
  <c r="CJ9" i="34"/>
  <c r="BU9" i="34"/>
  <c r="BR9" i="34"/>
  <c r="BO9" i="34"/>
  <c r="BL9" i="34"/>
  <c r="BI9" i="34"/>
  <c r="BF9" i="34"/>
  <c r="AK9" i="34"/>
  <c r="AH9" i="34"/>
  <c r="AE9" i="34"/>
  <c r="Y9" i="34"/>
  <c r="V9" i="34"/>
  <c r="S9" i="34"/>
  <c r="P9" i="34"/>
  <c r="M9" i="34"/>
  <c r="J9" i="34"/>
  <c r="G9" i="34"/>
  <c r="DB8" i="34"/>
  <c r="CY8" i="34"/>
  <c r="CS8" i="34"/>
  <c r="CP8" i="34"/>
  <c r="CJ8" i="34"/>
  <c r="BU8" i="34"/>
  <c r="BR8" i="34"/>
  <c r="BO8" i="34"/>
  <c r="BL8" i="34"/>
  <c r="BI8" i="34"/>
  <c r="BF8" i="34"/>
  <c r="DB7" i="34"/>
  <c r="CY7" i="34"/>
  <c r="CS7" i="34"/>
  <c r="CP7" i="34"/>
  <c r="CJ7" i="34"/>
  <c r="BU7" i="34"/>
  <c r="BR7" i="34"/>
  <c r="BO7" i="34"/>
  <c r="BL7" i="34"/>
  <c r="BI7" i="34"/>
  <c r="BF7" i="34"/>
  <c r="AK7" i="34"/>
  <c r="AH7" i="34"/>
  <c r="AE7" i="34"/>
  <c r="Y7" i="34"/>
  <c r="V7" i="34"/>
  <c r="S7" i="34"/>
  <c r="P7" i="34"/>
  <c r="M7" i="34"/>
  <c r="J7" i="34"/>
  <c r="G7" i="34"/>
  <c r="F2" i="34"/>
  <c r="E2" i="34"/>
  <c r="G1" i="34"/>
  <c r="AD45" i="33"/>
  <c r="AC45" i="33"/>
  <c r="AB45" i="33"/>
  <c r="AA45" i="33"/>
  <c r="AL44" i="33"/>
  <c r="AK44" i="33"/>
  <c r="AJ44" i="33"/>
  <c r="AI44" i="33"/>
  <c r="AH44" i="33"/>
  <c r="AG44" i="33"/>
  <c r="AF44" i="33"/>
  <c r="AE44" i="33"/>
  <c r="Z44" i="33"/>
  <c r="Y44" i="33"/>
  <c r="AL43" i="33"/>
  <c r="AK43" i="33"/>
  <c r="AJ43" i="33"/>
  <c r="AI43" i="33"/>
  <c r="AH43" i="33"/>
  <c r="AG43" i="33"/>
  <c r="AF43" i="33"/>
  <c r="AE43" i="33"/>
  <c r="Z43" i="33"/>
  <c r="Y43" i="33"/>
  <c r="AD42" i="33"/>
  <c r="AC42" i="33"/>
  <c r="AB42" i="33"/>
  <c r="AA42" i="33"/>
  <c r="Z42" i="33"/>
  <c r="Y42" i="33"/>
  <c r="AL41" i="33"/>
  <c r="AK41" i="33"/>
  <c r="AG41" i="33"/>
  <c r="AF41" i="33"/>
  <c r="AE41" i="33"/>
  <c r="AD41" i="33"/>
  <c r="X41" i="33"/>
  <c r="W41" i="33"/>
  <c r="V41" i="33"/>
  <c r="U41" i="33"/>
  <c r="T41" i="33"/>
  <c r="S41" i="33"/>
  <c r="R41" i="33"/>
  <c r="Q41" i="33"/>
  <c r="P41" i="33"/>
  <c r="O41" i="33"/>
  <c r="N41" i="33"/>
  <c r="M41" i="33"/>
  <c r="L41" i="33"/>
  <c r="K41" i="33"/>
  <c r="J41" i="33"/>
  <c r="I41" i="33"/>
  <c r="H41" i="33"/>
  <c r="G41" i="33"/>
  <c r="F41" i="33"/>
  <c r="E41" i="33"/>
  <c r="AM40" i="33"/>
  <c r="AL40" i="33"/>
  <c r="AK40" i="33"/>
  <c r="AJ40" i="33"/>
  <c r="AI40" i="33"/>
  <c r="AH40" i="33"/>
  <c r="AG40" i="33"/>
  <c r="AF40" i="33"/>
  <c r="AE40" i="33"/>
  <c r="AD40" i="33"/>
  <c r="X40" i="33"/>
  <c r="W40" i="33"/>
  <c r="V40" i="33"/>
  <c r="U40" i="33"/>
  <c r="T40" i="33"/>
  <c r="S40" i="33"/>
  <c r="R40" i="33"/>
  <c r="Q40" i="33"/>
  <c r="P40" i="33"/>
  <c r="O40" i="33"/>
  <c r="N40" i="33"/>
  <c r="M40" i="33"/>
  <c r="L40" i="33"/>
  <c r="K40" i="33"/>
  <c r="J40" i="33"/>
  <c r="I40" i="33"/>
  <c r="H40" i="33"/>
  <c r="G40" i="33"/>
  <c r="F40" i="33"/>
  <c r="E40" i="33"/>
  <c r="AL39" i="33"/>
  <c r="AK39" i="33"/>
  <c r="AJ39" i="33"/>
  <c r="AI39" i="33"/>
  <c r="AH39" i="33"/>
  <c r="AG39" i="33"/>
  <c r="AF39" i="33"/>
  <c r="AE39" i="33"/>
  <c r="X39" i="33"/>
  <c r="W39" i="33"/>
  <c r="V39" i="33"/>
  <c r="U39" i="33"/>
  <c r="T39" i="33"/>
  <c r="S39" i="33"/>
  <c r="R39" i="33"/>
  <c r="Q39" i="33"/>
  <c r="P39" i="33"/>
  <c r="O39" i="33"/>
  <c r="N39" i="33"/>
  <c r="M39" i="33"/>
  <c r="L39" i="33"/>
  <c r="K39" i="33"/>
  <c r="J39" i="33"/>
  <c r="I39" i="33"/>
  <c r="H39" i="33"/>
  <c r="G39" i="33"/>
  <c r="F39" i="33"/>
  <c r="E39" i="33"/>
  <c r="AL38" i="33"/>
  <c r="AK38" i="33"/>
  <c r="AG38" i="33"/>
  <c r="AF38" i="33"/>
  <c r="AE38" i="33"/>
  <c r="X38" i="33"/>
  <c r="W38" i="33"/>
  <c r="V38" i="33"/>
  <c r="U38" i="33"/>
  <c r="T38" i="33"/>
  <c r="S38" i="33"/>
  <c r="R38" i="33"/>
  <c r="Q38" i="33"/>
  <c r="P38" i="33"/>
  <c r="O38" i="33"/>
  <c r="N38" i="33"/>
  <c r="M38" i="33"/>
  <c r="L38" i="33"/>
  <c r="K38" i="33"/>
  <c r="J38" i="33"/>
  <c r="I38" i="33"/>
  <c r="H38" i="33"/>
  <c r="G38" i="33"/>
  <c r="F38" i="33"/>
  <c r="E38" i="33"/>
  <c r="AL37" i="33"/>
  <c r="AK37" i="33"/>
  <c r="AJ37" i="33"/>
  <c r="AI37" i="33"/>
  <c r="AH37" i="33"/>
  <c r="AG37" i="33"/>
  <c r="AF37" i="33"/>
  <c r="AE37" i="33"/>
  <c r="X37" i="33"/>
  <c r="W37" i="33"/>
  <c r="V37" i="33"/>
  <c r="U37" i="33"/>
  <c r="T37" i="33"/>
  <c r="S37" i="33"/>
  <c r="R37" i="33"/>
  <c r="Q37" i="33"/>
  <c r="P37" i="33"/>
  <c r="O37" i="33"/>
  <c r="N37" i="33"/>
  <c r="M37" i="33"/>
  <c r="L37" i="33"/>
  <c r="K37" i="33"/>
  <c r="J37" i="33"/>
  <c r="I37" i="33"/>
  <c r="H37" i="33"/>
  <c r="G37" i="33"/>
  <c r="F37" i="33"/>
  <c r="E37" i="33"/>
  <c r="AL35" i="33"/>
  <c r="AK35" i="33"/>
  <c r="AJ35" i="33"/>
  <c r="AI35" i="33"/>
  <c r="AH35" i="33"/>
  <c r="AG35" i="33"/>
  <c r="AF35" i="33"/>
  <c r="AE35" i="33"/>
  <c r="X35" i="33"/>
  <c r="W35" i="33"/>
  <c r="V35" i="33"/>
  <c r="U35" i="33"/>
  <c r="T35" i="33"/>
  <c r="S35" i="33"/>
  <c r="R35" i="33"/>
  <c r="Q35" i="33"/>
  <c r="P35" i="33"/>
  <c r="O35" i="33"/>
  <c r="N35" i="33"/>
  <c r="M35" i="33"/>
  <c r="L35" i="33"/>
  <c r="K35" i="33"/>
  <c r="J35" i="33"/>
  <c r="I35" i="33"/>
  <c r="H35" i="33"/>
  <c r="G35" i="33"/>
  <c r="F35" i="33"/>
  <c r="E35" i="33"/>
  <c r="AL34" i="33"/>
  <c r="AK34" i="33"/>
  <c r="AJ34" i="33"/>
  <c r="AI34" i="33"/>
  <c r="AH34" i="33"/>
  <c r="AG34" i="33"/>
  <c r="AF34" i="33"/>
  <c r="AE34" i="33"/>
  <c r="X34" i="33"/>
  <c r="W34" i="33"/>
  <c r="V34" i="33"/>
  <c r="U34" i="33"/>
  <c r="T34" i="33"/>
  <c r="S34" i="33"/>
  <c r="R34" i="33"/>
  <c r="Q34" i="33"/>
  <c r="P34" i="33"/>
  <c r="O34" i="33"/>
  <c r="N34" i="33"/>
  <c r="M34" i="33"/>
  <c r="L34" i="33"/>
  <c r="K34" i="33"/>
  <c r="J34" i="33"/>
  <c r="I34" i="33"/>
  <c r="H34" i="33"/>
  <c r="G34" i="33"/>
  <c r="F34" i="33"/>
  <c r="E34" i="33"/>
  <c r="AL31" i="33"/>
  <c r="AK31" i="33"/>
  <c r="AJ31" i="33"/>
  <c r="AI31" i="33"/>
  <c r="AH31" i="33"/>
  <c r="AG31" i="33"/>
  <c r="AF31" i="33"/>
  <c r="AE31" i="33"/>
  <c r="AD31" i="33"/>
  <c r="AC31" i="33"/>
  <c r="AB31" i="33"/>
  <c r="AA31" i="33"/>
  <c r="Z31" i="33"/>
  <c r="Y31" i="33"/>
  <c r="AL28" i="33"/>
  <c r="AK28" i="33"/>
  <c r="AJ28" i="33"/>
  <c r="AI28" i="33"/>
  <c r="AH28" i="33"/>
  <c r="AG28" i="33"/>
  <c r="AF28" i="33"/>
  <c r="AE28" i="33"/>
  <c r="AD28" i="33"/>
  <c r="AC28" i="33"/>
  <c r="AB28" i="33"/>
  <c r="AA28" i="33"/>
  <c r="Z28" i="33"/>
  <c r="Y28" i="33"/>
  <c r="X28" i="33"/>
  <c r="W28" i="33"/>
  <c r="V28" i="33"/>
  <c r="U28" i="33"/>
  <c r="T28" i="33"/>
  <c r="S28" i="33"/>
  <c r="R28" i="33"/>
  <c r="Q28" i="33"/>
  <c r="P28" i="33"/>
  <c r="O28" i="33"/>
  <c r="N28" i="33"/>
  <c r="M28" i="33"/>
  <c r="L28" i="33"/>
  <c r="K28" i="33"/>
  <c r="J28" i="33"/>
  <c r="I28" i="33"/>
  <c r="H28" i="33"/>
  <c r="G28" i="33"/>
  <c r="F28" i="33"/>
  <c r="E28" i="33"/>
  <c r="AL17" i="33"/>
  <c r="AK17" i="33"/>
  <c r="AJ17" i="33"/>
  <c r="AI17" i="33"/>
  <c r="AH17" i="33"/>
  <c r="AG17" i="33"/>
  <c r="AF17" i="33"/>
  <c r="AE17" i="33"/>
  <c r="AD17" i="33"/>
  <c r="AC17" i="33"/>
  <c r="AB17" i="33"/>
  <c r="AA17" i="33"/>
  <c r="Z17" i="33"/>
  <c r="Y17" i="33"/>
  <c r="AL14" i="33"/>
  <c r="AK14" i="33"/>
  <c r="AK18" i="33" s="1"/>
  <c r="AG14" i="33"/>
  <c r="AG18" i="33" s="1"/>
  <c r="AF14" i="33"/>
  <c r="AF18" i="33" s="1"/>
  <c r="AE14" i="33"/>
  <c r="AE18" i="33" s="1"/>
  <c r="AD14" i="33"/>
  <c r="AD18" i="33" s="1"/>
  <c r="AC14" i="33"/>
  <c r="AB14" i="33"/>
  <c r="AA14" i="33"/>
  <c r="Z14" i="33"/>
  <c r="Y14" i="33"/>
  <c r="Y18" i="33" s="1"/>
  <c r="X14" i="33"/>
  <c r="X18" i="33" s="1"/>
  <c r="W14" i="33"/>
  <c r="W18" i="33" s="1"/>
  <c r="V14" i="33"/>
  <c r="V18" i="33" s="1"/>
  <c r="U14" i="33"/>
  <c r="U18" i="33" s="1"/>
  <c r="T14" i="33"/>
  <c r="T18" i="33" s="1"/>
  <c r="S14" i="33"/>
  <c r="S18" i="33" s="1"/>
  <c r="R14" i="33"/>
  <c r="R18" i="33" s="1"/>
  <c r="Q14" i="33"/>
  <c r="Q18" i="33" s="1"/>
  <c r="P14" i="33"/>
  <c r="P18" i="33" s="1"/>
  <c r="O14" i="33"/>
  <c r="O18" i="33" s="1"/>
  <c r="N14" i="33"/>
  <c r="N18" i="33" s="1"/>
  <c r="M14" i="33"/>
  <c r="M18" i="33" s="1"/>
  <c r="L14" i="33"/>
  <c r="L18" i="33" s="1"/>
  <c r="K14" i="33"/>
  <c r="K18" i="33" s="1"/>
  <c r="J14" i="33"/>
  <c r="J18" i="33" s="1"/>
  <c r="I14" i="33"/>
  <c r="I18" i="33" s="1"/>
  <c r="H14" i="33"/>
  <c r="H18" i="33" s="1"/>
  <c r="G14" i="33"/>
  <c r="G18" i="33" s="1"/>
  <c r="F14" i="33"/>
  <c r="F18" i="33" s="1"/>
  <c r="E14" i="33"/>
  <c r="E18" i="33" s="1"/>
  <c r="AJ38" i="33"/>
  <c r="AI38" i="33"/>
  <c r="AH38" i="33"/>
  <c r="AM39" i="33"/>
  <c r="AM35" i="33"/>
  <c r="F2" i="33"/>
  <c r="E2" i="33"/>
  <c r="AD1" i="33"/>
  <c r="AE1" i="33" s="1"/>
  <c r="G1" i="33"/>
  <c r="AD51" i="61"/>
  <c r="AC51" i="61"/>
  <c r="AB51" i="61"/>
  <c r="AA51" i="61"/>
  <c r="Z51" i="61"/>
  <c r="Y51" i="61"/>
  <c r="T51" i="61"/>
  <c r="S51" i="61"/>
  <c r="R51" i="61"/>
  <c r="Q51" i="61"/>
  <c r="AK50" i="61"/>
  <c r="AJ50" i="61"/>
  <c r="AI50" i="61"/>
  <c r="AH50" i="61"/>
  <c r="AG50" i="61"/>
  <c r="AF50" i="61"/>
  <c r="AE50" i="61"/>
  <c r="X50" i="61"/>
  <c r="W50" i="61"/>
  <c r="V50" i="61"/>
  <c r="U50" i="61"/>
  <c r="P50" i="61"/>
  <c r="O50" i="61"/>
  <c r="N50" i="61"/>
  <c r="M50" i="61"/>
  <c r="L50" i="61"/>
  <c r="K50" i="61"/>
  <c r="J50" i="61"/>
  <c r="I50" i="61"/>
  <c r="H50" i="61"/>
  <c r="G50" i="61"/>
  <c r="F50" i="61"/>
  <c r="E50" i="61"/>
  <c r="AK49" i="61"/>
  <c r="AJ49" i="61"/>
  <c r="AI49" i="61"/>
  <c r="AH49" i="61"/>
  <c r="AG49" i="61"/>
  <c r="AF49" i="61"/>
  <c r="AE49" i="61"/>
  <c r="X49" i="61"/>
  <c r="W49" i="61"/>
  <c r="V49" i="61"/>
  <c r="U49" i="61"/>
  <c r="P49" i="61"/>
  <c r="O49" i="61"/>
  <c r="N49" i="61"/>
  <c r="M49" i="61"/>
  <c r="L49" i="61"/>
  <c r="K49" i="61"/>
  <c r="J49" i="61"/>
  <c r="I49" i="61"/>
  <c r="G49" i="61"/>
  <c r="F49" i="61"/>
  <c r="AC48" i="61"/>
  <c r="AB48" i="61"/>
  <c r="AA48" i="61"/>
  <c r="Z48" i="61"/>
  <c r="Y48" i="61"/>
  <c r="AM47" i="61"/>
  <c r="AL47" i="61"/>
  <c r="AK47" i="61"/>
  <c r="AJ47" i="61"/>
  <c r="AI47" i="61"/>
  <c r="AH47" i="61"/>
  <c r="AG47" i="61"/>
  <c r="AF47" i="61"/>
  <c r="AE47" i="61"/>
  <c r="AD47" i="61"/>
  <c r="V47" i="61"/>
  <c r="U47" i="61"/>
  <c r="T47" i="61"/>
  <c r="S47" i="61"/>
  <c r="R47" i="61"/>
  <c r="Q47" i="61"/>
  <c r="P47" i="61"/>
  <c r="O47" i="61"/>
  <c r="N47" i="61"/>
  <c r="M47" i="61"/>
  <c r="L47" i="61"/>
  <c r="K47" i="61"/>
  <c r="J47" i="61"/>
  <c r="I47" i="61"/>
  <c r="H47" i="61"/>
  <c r="G47" i="61"/>
  <c r="F47" i="61"/>
  <c r="E47" i="61"/>
  <c r="AM46" i="61"/>
  <c r="AL46" i="61"/>
  <c r="AK46" i="61"/>
  <c r="AJ46" i="61"/>
  <c r="AI46" i="61"/>
  <c r="AH46" i="61"/>
  <c r="AG46" i="61"/>
  <c r="AF46" i="61"/>
  <c r="AE46" i="61"/>
  <c r="AD46" i="61"/>
  <c r="X46" i="61"/>
  <c r="W46" i="61"/>
  <c r="V46" i="61"/>
  <c r="U46" i="61"/>
  <c r="T46" i="61"/>
  <c r="S46" i="61"/>
  <c r="R46" i="61"/>
  <c r="Q46" i="61"/>
  <c r="P46" i="61"/>
  <c r="O46" i="61"/>
  <c r="N46" i="61"/>
  <c r="M46" i="61"/>
  <c r="L46" i="61"/>
  <c r="K46" i="61"/>
  <c r="J46" i="61"/>
  <c r="I46" i="61"/>
  <c r="H46" i="61"/>
  <c r="G46" i="61"/>
  <c r="F46" i="61"/>
  <c r="E46" i="61"/>
  <c r="AM45" i="61"/>
  <c r="AL45" i="61"/>
  <c r="AK45" i="61"/>
  <c r="AJ45" i="61"/>
  <c r="AI45" i="61"/>
  <c r="AH45" i="61"/>
  <c r="AG45" i="61"/>
  <c r="AF45" i="61"/>
  <c r="AE45" i="61"/>
  <c r="AD45" i="61"/>
  <c r="X45" i="61"/>
  <c r="W45" i="61"/>
  <c r="V45" i="61"/>
  <c r="U45" i="61"/>
  <c r="T45" i="61"/>
  <c r="S45" i="61"/>
  <c r="R45" i="61"/>
  <c r="Q45" i="61"/>
  <c r="P45" i="61"/>
  <c r="O45" i="61"/>
  <c r="N45" i="61"/>
  <c r="M45" i="61"/>
  <c r="L45" i="61"/>
  <c r="K45" i="61"/>
  <c r="J45" i="61"/>
  <c r="I45" i="61"/>
  <c r="H45" i="61"/>
  <c r="G45" i="61"/>
  <c r="F45" i="61"/>
  <c r="E45" i="61"/>
  <c r="AK44" i="61"/>
  <c r="AJ44" i="61"/>
  <c r="AI44" i="61"/>
  <c r="AH44" i="61"/>
  <c r="AG44" i="61"/>
  <c r="AF44" i="61"/>
  <c r="AE44" i="61"/>
  <c r="X44" i="61"/>
  <c r="W44" i="61"/>
  <c r="V44" i="61"/>
  <c r="U44" i="61"/>
  <c r="T44" i="61"/>
  <c r="S44" i="61"/>
  <c r="R44" i="61"/>
  <c r="Q44" i="61"/>
  <c r="P44" i="61"/>
  <c r="O44" i="61"/>
  <c r="N44" i="61"/>
  <c r="M44" i="61"/>
  <c r="L44" i="61"/>
  <c r="K44" i="61"/>
  <c r="J44" i="61"/>
  <c r="I44" i="61"/>
  <c r="H44" i="61"/>
  <c r="G44" i="61"/>
  <c r="F44" i="61"/>
  <c r="E44" i="61"/>
  <c r="AK43" i="61"/>
  <c r="AJ43" i="61"/>
  <c r="AI43" i="61"/>
  <c r="AH43" i="61"/>
  <c r="AG43" i="61"/>
  <c r="AF43" i="61"/>
  <c r="AE43" i="61"/>
  <c r="X43" i="61"/>
  <c r="W43" i="61"/>
  <c r="V43" i="61"/>
  <c r="U43" i="61"/>
  <c r="T43" i="61"/>
  <c r="S43" i="61"/>
  <c r="R43" i="61"/>
  <c r="Q43" i="61"/>
  <c r="P43" i="61"/>
  <c r="O43" i="61"/>
  <c r="N43" i="61"/>
  <c r="M43" i="61"/>
  <c r="L43" i="61"/>
  <c r="K43" i="61"/>
  <c r="J43" i="61"/>
  <c r="I43" i="61"/>
  <c r="H43" i="61"/>
  <c r="G43" i="61"/>
  <c r="F43" i="61"/>
  <c r="E43" i="61"/>
  <c r="AK42" i="61"/>
  <c r="AJ42" i="61"/>
  <c r="AI42" i="61"/>
  <c r="AH42" i="61"/>
  <c r="AG42" i="61"/>
  <c r="AF42" i="61"/>
  <c r="AE42" i="61"/>
  <c r="X42" i="61"/>
  <c r="W42" i="61"/>
  <c r="V42" i="61"/>
  <c r="U42" i="61"/>
  <c r="T42" i="61"/>
  <c r="S42" i="61"/>
  <c r="R42" i="61"/>
  <c r="Q42" i="61"/>
  <c r="P42" i="61"/>
  <c r="O42" i="61"/>
  <c r="N42" i="61"/>
  <c r="M42" i="61"/>
  <c r="L42" i="61"/>
  <c r="K42" i="61"/>
  <c r="J42" i="61"/>
  <c r="I42" i="61"/>
  <c r="H42" i="61"/>
  <c r="G42" i="61"/>
  <c r="F42" i="61"/>
  <c r="E42" i="61"/>
  <c r="AK41" i="61"/>
  <c r="AJ41" i="61"/>
  <c r="AI41" i="61"/>
  <c r="AH41" i="61"/>
  <c r="AG41" i="61"/>
  <c r="AF41" i="61"/>
  <c r="AE41" i="61"/>
  <c r="X41" i="61"/>
  <c r="W41" i="61"/>
  <c r="V41" i="61"/>
  <c r="U41" i="61"/>
  <c r="T41" i="61"/>
  <c r="S41" i="61"/>
  <c r="R41" i="61"/>
  <c r="Q41" i="61"/>
  <c r="P41" i="61"/>
  <c r="O41" i="61"/>
  <c r="N41" i="61"/>
  <c r="M41" i="61"/>
  <c r="L41" i="61"/>
  <c r="K41" i="61"/>
  <c r="J41" i="61"/>
  <c r="I41" i="61"/>
  <c r="H41" i="61"/>
  <c r="G41" i="61"/>
  <c r="F41" i="61"/>
  <c r="E41" i="61"/>
  <c r="AK40" i="61"/>
  <c r="AJ40" i="61"/>
  <c r="AI40" i="61"/>
  <c r="AH40" i="61"/>
  <c r="AG40" i="61"/>
  <c r="AF40" i="61"/>
  <c r="AE40" i="61"/>
  <c r="X40" i="61"/>
  <c r="W40" i="61"/>
  <c r="V40" i="61"/>
  <c r="U40" i="61"/>
  <c r="T40" i="61"/>
  <c r="S40" i="61"/>
  <c r="R40" i="61"/>
  <c r="Q40" i="61"/>
  <c r="P40" i="61"/>
  <c r="O40" i="61"/>
  <c r="N40" i="61"/>
  <c r="M40" i="61"/>
  <c r="L40" i="61"/>
  <c r="K40" i="61"/>
  <c r="J40" i="61"/>
  <c r="I40" i="61"/>
  <c r="H40" i="61"/>
  <c r="G40" i="61"/>
  <c r="F40" i="61"/>
  <c r="E40" i="61"/>
  <c r="AK39" i="61"/>
  <c r="AJ39" i="61"/>
  <c r="AI39" i="61"/>
  <c r="AH39" i="61"/>
  <c r="AG39" i="61"/>
  <c r="AF39" i="61"/>
  <c r="AE39" i="61"/>
  <c r="X39" i="61"/>
  <c r="W39" i="61"/>
  <c r="V39" i="61"/>
  <c r="U39" i="61"/>
  <c r="T39" i="61"/>
  <c r="S39" i="61"/>
  <c r="R39" i="61"/>
  <c r="Q39" i="61"/>
  <c r="P39" i="61"/>
  <c r="O39" i="61"/>
  <c r="N39" i="61"/>
  <c r="M39" i="61"/>
  <c r="L39" i="61"/>
  <c r="K39" i="61"/>
  <c r="J39" i="61"/>
  <c r="I39" i="61"/>
  <c r="H39" i="61"/>
  <c r="G39" i="61"/>
  <c r="F39" i="61"/>
  <c r="E39" i="61"/>
  <c r="E48" i="61" s="1"/>
  <c r="AK38" i="61"/>
  <c r="AJ38" i="61"/>
  <c r="AI38" i="61"/>
  <c r="AH38" i="61"/>
  <c r="AG38" i="61"/>
  <c r="AF38" i="61"/>
  <c r="AE38" i="61"/>
  <c r="X38" i="61"/>
  <c r="W38" i="61"/>
  <c r="V38" i="61"/>
  <c r="U38" i="61"/>
  <c r="T38" i="61"/>
  <c r="S38" i="61"/>
  <c r="R38" i="61"/>
  <c r="AK35" i="61"/>
  <c r="AJ35" i="61"/>
  <c r="AI35" i="61"/>
  <c r="AH35" i="61"/>
  <c r="AG35" i="61"/>
  <c r="AF35" i="61"/>
  <c r="AE35" i="61"/>
  <c r="AD35" i="61"/>
  <c r="AC35" i="61"/>
  <c r="AB35" i="61"/>
  <c r="AA35" i="61"/>
  <c r="Z35" i="61"/>
  <c r="Y35" i="61"/>
  <c r="X35" i="61"/>
  <c r="W35" i="61"/>
  <c r="V35" i="61"/>
  <c r="U35" i="61"/>
  <c r="T35" i="61"/>
  <c r="S35" i="61"/>
  <c r="R35" i="61"/>
  <c r="Q35" i="61"/>
  <c r="P35" i="61"/>
  <c r="O35" i="61"/>
  <c r="N35" i="61"/>
  <c r="M35" i="61"/>
  <c r="L35" i="61"/>
  <c r="K35" i="61"/>
  <c r="J35" i="61"/>
  <c r="I35" i="61"/>
  <c r="H35" i="61"/>
  <c r="G35" i="61"/>
  <c r="F35" i="61"/>
  <c r="E35" i="61"/>
  <c r="AK32" i="61"/>
  <c r="AJ32" i="61"/>
  <c r="AI32" i="61"/>
  <c r="AH32" i="61"/>
  <c r="AG32" i="61"/>
  <c r="AF32" i="61"/>
  <c r="AE32" i="61"/>
  <c r="AD32" i="61"/>
  <c r="AC32" i="61"/>
  <c r="AB32" i="61"/>
  <c r="AA32" i="61"/>
  <c r="Z32" i="61"/>
  <c r="Y32" i="61"/>
  <c r="X32" i="61"/>
  <c r="W32" i="61"/>
  <c r="V32" i="61"/>
  <c r="U32" i="61"/>
  <c r="T32" i="61"/>
  <c r="S32" i="61"/>
  <c r="R32" i="61"/>
  <c r="Q32" i="61"/>
  <c r="P32" i="61"/>
  <c r="O32" i="61"/>
  <c r="N32" i="61"/>
  <c r="M32" i="61"/>
  <c r="L32" i="61"/>
  <c r="K32" i="61"/>
  <c r="J32" i="61"/>
  <c r="I32" i="61"/>
  <c r="H32" i="61"/>
  <c r="G32" i="61"/>
  <c r="F32" i="61"/>
  <c r="E32" i="61"/>
  <c r="AK19" i="61"/>
  <c r="AK20" i="61" s="1"/>
  <c r="AJ19" i="61"/>
  <c r="AJ20" i="61" s="1"/>
  <c r="AI19" i="61"/>
  <c r="AI20" i="61" s="1"/>
  <c r="AH19" i="61"/>
  <c r="AH20" i="61" s="1"/>
  <c r="AG19" i="61"/>
  <c r="AG20" i="61" s="1"/>
  <c r="AF19" i="61"/>
  <c r="AF20" i="61" s="1"/>
  <c r="AE19" i="61"/>
  <c r="AE20" i="61" s="1"/>
  <c r="AD19" i="61"/>
  <c r="AD20" i="61" s="1"/>
  <c r="AC19" i="61"/>
  <c r="AC20" i="61" s="1"/>
  <c r="AB19" i="61"/>
  <c r="AB20" i="61" s="1"/>
  <c r="AA19" i="61"/>
  <c r="AA20" i="61" s="1"/>
  <c r="Z19" i="61"/>
  <c r="Z20" i="61" s="1"/>
  <c r="Y19" i="61"/>
  <c r="Y20" i="61" s="1"/>
  <c r="X19" i="61"/>
  <c r="X20" i="61" s="1"/>
  <c r="W19" i="61"/>
  <c r="W20" i="61" s="1"/>
  <c r="V19" i="61"/>
  <c r="V20" i="61" s="1"/>
  <c r="U19" i="61"/>
  <c r="U20" i="61" s="1"/>
  <c r="T19" i="61"/>
  <c r="T20" i="61" s="1"/>
  <c r="S19" i="61"/>
  <c r="S20" i="61" s="1"/>
  <c r="R19" i="61"/>
  <c r="R20" i="61" s="1"/>
  <c r="Q19" i="61"/>
  <c r="Q20" i="61" s="1"/>
  <c r="P19" i="61"/>
  <c r="P20" i="61" s="1"/>
  <c r="O19" i="61"/>
  <c r="O20" i="61" s="1"/>
  <c r="N19" i="61"/>
  <c r="N20" i="61" s="1"/>
  <c r="M19" i="61"/>
  <c r="M20" i="61" s="1"/>
  <c r="L19" i="61"/>
  <c r="L20" i="61" s="1"/>
  <c r="K19" i="61"/>
  <c r="K20" i="61" s="1"/>
  <c r="J19" i="61"/>
  <c r="J20" i="61" s="1"/>
  <c r="I19" i="61"/>
  <c r="I20" i="61" s="1"/>
  <c r="G19" i="61"/>
  <c r="G20" i="61" s="1"/>
  <c r="F19" i="61"/>
  <c r="F20" i="61" s="1"/>
  <c r="AK16" i="61"/>
  <c r="AJ16" i="61"/>
  <c r="AI16" i="61"/>
  <c r="AH16" i="61"/>
  <c r="AG16" i="61"/>
  <c r="AF16" i="61"/>
  <c r="AE16" i="61"/>
  <c r="AD16" i="61"/>
  <c r="AC16" i="61"/>
  <c r="AB16" i="61"/>
  <c r="AA16" i="61"/>
  <c r="Z16" i="61"/>
  <c r="Y16" i="61"/>
  <c r="X16" i="61"/>
  <c r="W16" i="61"/>
  <c r="V16" i="61"/>
  <c r="U16" i="61"/>
  <c r="T16" i="61"/>
  <c r="S16" i="61"/>
  <c r="R16" i="61"/>
  <c r="Q16" i="61"/>
  <c r="P16" i="61"/>
  <c r="O16" i="61"/>
  <c r="N16" i="61"/>
  <c r="M16" i="61"/>
  <c r="L16" i="61"/>
  <c r="K16" i="61"/>
  <c r="J16" i="61"/>
  <c r="I16" i="61"/>
  <c r="H16" i="61"/>
  <c r="H17" i="61" s="1"/>
  <c r="G16" i="61"/>
  <c r="F16" i="61"/>
  <c r="E16" i="61"/>
  <c r="E17" i="61" s="1"/>
  <c r="AL41" i="61"/>
  <c r="AL40" i="61"/>
  <c r="F2" i="61"/>
  <c r="E2" i="61"/>
  <c r="AD1" i="61"/>
  <c r="AD2" i="61" s="1"/>
  <c r="G1" i="61"/>
  <c r="G2" i="61" s="1"/>
  <c r="AK29" i="32"/>
  <c r="AJ29" i="32"/>
  <c r="AI29" i="32"/>
  <c r="AH29" i="32"/>
  <c r="AG29" i="32"/>
  <c r="AF29" i="32"/>
  <c r="AE29" i="32"/>
  <c r="AD29" i="32"/>
  <c r="AC29" i="32"/>
  <c r="AC30" i="32" s="1"/>
  <c r="AB29" i="32"/>
  <c r="AB30" i="32" s="1"/>
  <c r="AA29" i="32"/>
  <c r="Z29" i="32"/>
  <c r="Y29" i="32"/>
  <c r="X29" i="32"/>
  <c r="X30" i="32" s="1"/>
  <c r="W29" i="32"/>
  <c r="W30" i="32" s="1"/>
  <c r="V29" i="32"/>
  <c r="V30" i="32" s="1"/>
  <c r="U29" i="32"/>
  <c r="T29" i="32"/>
  <c r="S29" i="32"/>
  <c r="R29" i="32"/>
  <c r="Q29" i="32"/>
  <c r="P29" i="32"/>
  <c r="O29" i="32"/>
  <c r="N29" i="32"/>
  <c r="M29" i="32"/>
  <c r="L29" i="32"/>
  <c r="K29" i="32"/>
  <c r="J29" i="32"/>
  <c r="I29" i="32"/>
  <c r="H29" i="32"/>
  <c r="G29" i="32"/>
  <c r="F29" i="32"/>
  <c r="E29" i="32"/>
  <c r="AK28" i="32"/>
  <c r="AJ28" i="32"/>
  <c r="AI28" i="32"/>
  <c r="AH28" i="32"/>
  <c r="AG28" i="32"/>
  <c r="AF28" i="32"/>
  <c r="AE28" i="32"/>
  <c r="AD28" i="32"/>
  <c r="AC28" i="32"/>
  <c r="AB28" i="32"/>
  <c r="AA28" i="32"/>
  <c r="Z28" i="32"/>
  <c r="Y28" i="32"/>
  <c r="X28" i="32"/>
  <c r="W28" i="32"/>
  <c r="V28" i="32"/>
  <c r="U28" i="32"/>
  <c r="T28" i="32"/>
  <c r="S28" i="32"/>
  <c r="R28" i="32"/>
  <c r="Q28" i="32"/>
  <c r="P28" i="32"/>
  <c r="O28" i="32"/>
  <c r="N28" i="32"/>
  <c r="M28" i="32"/>
  <c r="L28" i="32"/>
  <c r="K28" i="32"/>
  <c r="J28" i="32"/>
  <c r="I28" i="32"/>
  <c r="H28" i="32"/>
  <c r="G28" i="32"/>
  <c r="F28" i="32"/>
  <c r="E28" i="32"/>
  <c r="AK27" i="32"/>
  <c r="AJ27" i="32"/>
  <c r="AI27" i="32"/>
  <c r="AH27" i="32"/>
  <c r="AG27" i="32"/>
  <c r="AF27" i="32"/>
  <c r="AE27" i="32"/>
  <c r="AD27" i="32"/>
  <c r="AC27" i="32"/>
  <c r="AB27" i="32"/>
  <c r="AA27" i="32"/>
  <c r="Z27" i="32"/>
  <c r="Y27" i="32"/>
  <c r="X27" i="32"/>
  <c r="W27" i="32"/>
  <c r="V27" i="32"/>
  <c r="U27" i="32"/>
  <c r="T27" i="32"/>
  <c r="S27" i="32"/>
  <c r="R27" i="32"/>
  <c r="Q27" i="32"/>
  <c r="P27" i="32"/>
  <c r="O27" i="32"/>
  <c r="N27" i="32"/>
  <c r="M27" i="32"/>
  <c r="L27" i="32"/>
  <c r="K27" i="32"/>
  <c r="J27" i="32"/>
  <c r="I27" i="32"/>
  <c r="H27" i="32"/>
  <c r="G27" i="32"/>
  <c r="F27" i="32"/>
  <c r="E27" i="32"/>
  <c r="AK26" i="32"/>
  <c r="AJ26" i="32"/>
  <c r="AI26" i="32"/>
  <c r="AH26" i="32"/>
  <c r="AG26" i="32"/>
  <c r="AF26" i="32"/>
  <c r="AE26" i="32"/>
  <c r="AD26" i="32"/>
  <c r="AC26" i="32"/>
  <c r="AB26" i="32"/>
  <c r="Z26" i="32"/>
  <c r="Y26" i="32"/>
  <c r="X26" i="32"/>
  <c r="W26" i="32"/>
  <c r="V26" i="32"/>
  <c r="U26" i="32"/>
  <c r="T26" i="32"/>
  <c r="S26" i="32"/>
  <c r="R26" i="32"/>
  <c r="Q26" i="32"/>
  <c r="P26" i="32"/>
  <c r="O26" i="32"/>
  <c r="N26" i="32"/>
  <c r="M26" i="32"/>
  <c r="L26" i="32"/>
  <c r="K26" i="32"/>
  <c r="J26" i="32"/>
  <c r="I26" i="32"/>
  <c r="H26" i="32"/>
  <c r="G26" i="32"/>
  <c r="F26" i="32"/>
  <c r="E26" i="32"/>
  <c r="AK25" i="32"/>
  <c r="AJ25" i="32"/>
  <c r="AI25" i="32"/>
  <c r="AH25" i="32"/>
  <c r="AG25" i="32"/>
  <c r="AF25" i="32"/>
  <c r="AE25" i="32"/>
  <c r="AD25" i="32"/>
  <c r="AC25" i="32"/>
  <c r="AB25" i="32"/>
  <c r="Z25" i="32"/>
  <c r="Y25" i="32"/>
  <c r="X25" i="32"/>
  <c r="W25" i="32"/>
  <c r="V25" i="32"/>
  <c r="U25" i="32"/>
  <c r="T25" i="32"/>
  <c r="S25" i="32"/>
  <c r="R25" i="32"/>
  <c r="Q25" i="32"/>
  <c r="P25" i="32"/>
  <c r="O25" i="32"/>
  <c r="N25" i="32"/>
  <c r="M25" i="32"/>
  <c r="L25" i="32"/>
  <c r="K25" i="32"/>
  <c r="J25" i="32"/>
  <c r="I25" i="32"/>
  <c r="H25" i="32"/>
  <c r="G25" i="32"/>
  <c r="F25" i="32"/>
  <c r="E25" i="32"/>
  <c r="AC24" i="32"/>
  <c r="AB24" i="32"/>
  <c r="E24" i="32"/>
  <c r="AD15" i="32"/>
  <c r="Y15" i="32"/>
  <c r="T15" i="32"/>
  <c r="F15" i="32"/>
  <c r="AA17" i="32"/>
  <c r="AA16" i="32"/>
  <c r="AB13" i="32"/>
  <c r="Y6" i="32"/>
  <c r="Y12" i="32" s="1"/>
  <c r="W13" i="32"/>
  <c r="T6" i="32"/>
  <c r="T12" i="32" s="1"/>
  <c r="AM27" i="32"/>
  <c r="AM26" i="32"/>
  <c r="AA8" i="32"/>
  <c r="AA7" i="32"/>
  <c r="E2" i="32"/>
  <c r="AD1" i="32"/>
  <c r="W1" i="32"/>
  <c r="F1" i="32"/>
  <c r="AK30" i="31"/>
  <c r="AK29" i="31" s="1"/>
  <c r="S30" i="31"/>
  <c r="S29" i="31" s="1"/>
  <c r="AJ28" i="31"/>
  <c r="AI28" i="31"/>
  <c r="AH28" i="31"/>
  <c r="AG28" i="31"/>
  <c r="AF28" i="31"/>
  <c r="AE28" i="31"/>
  <c r="AD28" i="31"/>
  <c r="AC28" i="31"/>
  <c r="AB28" i="31"/>
  <c r="AA28" i="31"/>
  <c r="Z28" i="31"/>
  <c r="Y28" i="31"/>
  <c r="X28" i="31"/>
  <c r="W28" i="31"/>
  <c r="V28" i="31"/>
  <c r="U28" i="31"/>
  <c r="T28" i="31"/>
  <c r="R28" i="31"/>
  <c r="Q28" i="31"/>
  <c r="P28" i="31"/>
  <c r="O28" i="31"/>
  <c r="N28" i="31"/>
  <c r="M28" i="31"/>
  <c r="L28" i="31"/>
  <c r="K28" i="31"/>
  <c r="J28" i="31"/>
  <c r="I28" i="31"/>
  <c r="H28" i="31"/>
  <c r="G28" i="31"/>
  <c r="F28" i="31"/>
  <c r="E28" i="31"/>
  <c r="AJ27" i="31"/>
  <c r="AI27" i="31"/>
  <c r="AH27" i="31"/>
  <c r="AG27" i="31"/>
  <c r="AF27" i="31"/>
  <c r="AE27" i="31"/>
  <c r="AD27" i="31"/>
  <c r="AC27" i="31"/>
  <c r="AB27" i="31"/>
  <c r="AA27" i="31"/>
  <c r="Z27" i="31"/>
  <c r="Y27" i="31"/>
  <c r="X27" i="31"/>
  <c r="W27" i="31"/>
  <c r="V27" i="31"/>
  <c r="U27" i="31"/>
  <c r="T27" i="31"/>
  <c r="R27" i="31"/>
  <c r="Q27" i="31"/>
  <c r="P27" i="31"/>
  <c r="O27" i="31"/>
  <c r="N27" i="31"/>
  <c r="M27" i="31"/>
  <c r="L27" i="31"/>
  <c r="K27" i="31"/>
  <c r="J27" i="31"/>
  <c r="I27" i="31"/>
  <c r="H27" i="31"/>
  <c r="G27" i="31"/>
  <c r="F27" i="31"/>
  <c r="E27" i="31"/>
  <c r="AJ26" i="31"/>
  <c r="AI26" i="31"/>
  <c r="AH26" i="31"/>
  <c r="AG26" i="31"/>
  <c r="AF26" i="31"/>
  <c r="AE26" i="31"/>
  <c r="AD26" i="31"/>
  <c r="AC26" i="31"/>
  <c r="AB26" i="31"/>
  <c r="AA26" i="31"/>
  <c r="Z26" i="31"/>
  <c r="Y26" i="31"/>
  <c r="X26" i="31"/>
  <c r="W26" i="31"/>
  <c r="V26" i="31"/>
  <c r="U26" i="31"/>
  <c r="T26" i="31"/>
  <c r="R26" i="31"/>
  <c r="Q26" i="31"/>
  <c r="P26" i="31"/>
  <c r="O26" i="31"/>
  <c r="N26" i="31"/>
  <c r="M26" i="31"/>
  <c r="L26" i="31"/>
  <c r="K26" i="31"/>
  <c r="J26" i="31"/>
  <c r="I26" i="31"/>
  <c r="H26" i="31"/>
  <c r="G26" i="31"/>
  <c r="F26" i="31"/>
  <c r="E26" i="31"/>
  <c r="AJ25" i="31"/>
  <c r="AI25" i="31"/>
  <c r="AH25" i="31"/>
  <c r="AG25" i="31"/>
  <c r="AF25" i="31"/>
  <c r="AE25" i="31"/>
  <c r="AD25" i="31"/>
  <c r="AC25" i="31"/>
  <c r="AB25" i="31"/>
  <c r="AA25" i="31"/>
  <c r="Z25" i="31"/>
  <c r="Y25" i="31"/>
  <c r="X25" i="31"/>
  <c r="W25" i="31"/>
  <c r="V25" i="31"/>
  <c r="U25" i="31"/>
  <c r="T25" i="31"/>
  <c r="R25" i="31"/>
  <c r="Q25" i="31"/>
  <c r="P25" i="31"/>
  <c r="O25" i="31"/>
  <c r="N25" i="31"/>
  <c r="M25" i="31"/>
  <c r="L25" i="31"/>
  <c r="K25" i="31"/>
  <c r="J25" i="31"/>
  <c r="I25" i="31"/>
  <c r="H25" i="31"/>
  <c r="G25" i="31"/>
  <c r="F25" i="31"/>
  <c r="E25" i="31"/>
  <c r="AJ24" i="31"/>
  <c r="AI24" i="31"/>
  <c r="AH24" i="31"/>
  <c r="AG24" i="31"/>
  <c r="AF24" i="31"/>
  <c r="AE24" i="31"/>
  <c r="AD24" i="31"/>
  <c r="AC24" i="31"/>
  <c r="AB24" i="31"/>
  <c r="AA24" i="31"/>
  <c r="Z24" i="31"/>
  <c r="Y24" i="31"/>
  <c r="X24" i="31"/>
  <c r="W24" i="31"/>
  <c r="V24" i="31"/>
  <c r="U24" i="31"/>
  <c r="T24" i="31"/>
  <c r="R24" i="31"/>
  <c r="Q24" i="31"/>
  <c r="P24" i="31"/>
  <c r="O24" i="31"/>
  <c r="N24" i="31"/>
  <c r="M24" i="31"/>
  <c r="L24" i="31"/>
  <c r="K24" i="31"/>
  <c r="J24" i="31"/>
  <c r="I24" i="31"/>
  <c r="H24" i="31"/>
  <c r="G24" i="31"/>
  <c r="F24" i="31"/>
  <c r="E24" i="31"/>
  <c r="AK21" i="31"/>
  <c r="AK20" i="31" s="1"/>
  <c r="AJ21" i="31"/>
  <c r="AJ20" i="31" s="1"/>
  <c r="AI21" i="31"/>
  <c r="AI20" i="31" s="1"/>
  <c r="AH21" i="31"/>
  <c r="AH20" i="31" s="1"/>
  <c r="AG21" i="31"/>
  <c r="AG20" i="31" s="1"/>
  <c r="AF21" i="31"/>
  <c r="AF20" i="31" s="1"/>
  <c r="AE21" i="31"/>
  <c r="AE20" i="31" s="1"/>
  <c r="AD21" i="31"/>
  <c r="AD20" i="31" s="1"/>
  <c r="AC21" i="31"/>
  <c r="AC20" i="31" s="1"/>
  <c r="AB21" i="31"/>
  <c r="AB20" i="31" s="1"/>
  <c r="AA21" i="31"/>
  <c r="AA20" i="31" s="1"/>
  <c r="Z21" i="31"/>
  <c r="Z20" i="31" s="1"/>
  <c r="Y21" i="31"/>
  <c r="Y20" i="31" s="1"/>
  <c r="X21" i="31"/>
  <c r="X20" i="31" s="1"/>
  <c r="W21" i="31"/>
  <c r="W20" i="31" s="1"/>
  <c r="V21" i="31"/>
  <c r="V20" i="31" s="1"/>
  <c r="U21" i="31"/>
  <c r="U20" i="31" s="1"/>
  <c r="T21" i="31"/>
  <c r="T20" i="31" s="1"/>
  <c r="S21" i="31"/>
  <c r="S20" i="31" s="1"/>
  <c r="R21" i="31"/>
  <c r="R20" i="31" s="1"/>
  <c r="Q21" i="31"/>
  <c r="Q20" i="31" s="1"/>
  <c r="P21" i="31"/>
  <c r="P20" i="31" s="1"/>
  <c r="O21" i="31"/>
  <c r="O20" i="31" s="1"/>
  <c r="N21" i="31"/>
  <c r="N20" i="31" s="1"/>
  <c r="M21" i="31"/>
  <c r="M20" i="31" s="1"/>
  <c r="L21" i="31"/>
  <c r="L20" i="31" s="1"/>
  <c r="K21" i="31"/>
  <c r="K20" i="31" s="1"/>
  <c r="J21" i="31"/>
  <c r="J20" i="31" s="1"/>
  <c r="I21" i="31"/>
  <c r="I20" i="31" s="1"/>
  <c r="H21" i="31"/>
  <c r="H20" i="31" s="1"/>
  <c r="G21" i="31"/>
  <c r="G20" i="31" s="1"/>
  <c r="F21" i="31"/>
  <c r="F20" i="31" s="1"/>
  <c r="E21" i="31"/>
  <c r="E20" i="31" s="1"/>
  <c r="AK12" i="31"/>
  <c r="AK11" i="31" s="1"/>
  <c r="AJ12" i="31"/>
  <c r="AJ11" i="31" s="1"/>
  <c r="AI12" i="31"/>
  <c r="AI11" i="31" s="1"/>
  <c r="AH12" i="31"/>
  <c r="AH11" i="31" s="1"/>
  <c r="AG12" i="31"/>
  <c r="AG11" i="31" s="1"/>
  <c r="AF12" i="31"/>
  <c r="AF11" i="31" s="1"/>
  <c r="AE12" i="31"/>
  <c r="AE11" i="31" s="1"/>
  <c r="AD12" i="31"/>
  <c r="AD11" i="31" s="1"/>
  <c r="AC12" i="31"/>
  <c r="AC11" i="31" s="1"/>
  <c r="AB12" i="31"/>
  <c r="AB11" i="31" s="1"/>
  <c r="AA12" i="31"/>
  <c r="Z12" i="31"/>
  <c r="Z11" i="31" s="1"/>
  <c r="Y12" i="31"/>
  <c r="Y11" i="31" s="1"/>
  <c r="X12" i="31"/>
  <c r="X11" i="31" s="1"/>
  <c r="W12" i="31"/>
  <c r="W11" i="31" s="1"/>
  <c r="V12" i="31"/>
  <c r="V11" i="31" s="1"/>
  <c r="U12" i="31"/>
  <c r="U11" i="31" s="1"/>
  <c r="T12" i="31"/>
  <c r="T11" i="31" s="1"/>
  <c r="S12" i="31"/>
  <c r="S11" i="31" s="1"/>
  <c r="R12" i="31"/>
  <c r="R11" i="31" s="1"/>
  <c r="Q12" i="31"/>
  <c r="Q11" i="31" s="1"/>
  <c r="P12" i="31"/>
  <c r="P11" i="31" s="1"/>
  <c r="O12" i="31"/>
  <c r="O11" i="31" s="1"/>
  <c r="N12" i="31"/>
  <c r="N11" i="31" s="1"/>
  <c r="M12" i="31"/>
  <c r="M11" i="31" s="1"/>
  <c r="L12" i="31"/>
  <c r="L11" i="31" s="1"/>
  <c r="K12" i="31"/>
  <c r="J12" i="31"/>
  <c r="J11" i="31" s="1"/>
  <c r="I12" i="31"/>
  <c r="I11" i="31" s="1"/>
  <c r="H12" i="31"/>
  <c r="H11" i="31" s="1"/>
  <c r="G12" i="31"/>
  <c r="G11" i="31" s="1"/>
  <c r="F12" i="31"/>
  <c r="F11" i="31" s="1"/>
  <c r="E12" i="31"/>
  <c r="E11" i="31" s="1"/>
  <c r="AL27" i="31"/>
  <c r="AL26" i="31"/>
  <c r="E2" i="31"/>
  <c r="AC1" i="31"/>
  <c r="F1" i="31"/>
  <c r="F2" i="31" s="1"/>
  <c r="AJ24" i="30"/>
  <c r="AI24" i="30"/>
  <c r="AH24" i="30"/>
  <c r="AG24" i="30"/>
  <c r="AF24" i="30"/>
  <c r="AE24" i="30"/>
  <c r="AD24" i="30"/>
  <c r="X24" i="30"/>
  <c r="W24" i="30"/>
  <c r="V24" i="30"/>
  <c r="U24" i="30"/>
  <c r="P24" i="30"/>
  <c r="O24" i="30"/>
  <c r="N24" i="30"/>
  <c r="M24" i="30"/>
  <c r="L24" i="30"/>
  <c r="K24" i="30"/>
  <c r="J24" i="30"/>
  <c r="I24" i="30"/>
  <c r="H24" i="30"/>
  <c r="G24" i="30"/>
  <c r="F24" i="30"/>
  <c r="E24" i="30"/>
  <c r="AL22" i="30"/>
  <c r="AL25" i="30" s="1"/>
  <c r="AC22" i="30"/>
  <c r="AC25" i="30" s="1"/>
  <c r="AB22" i="30"/>
  <c r="AB25" i="30" s="1"/>
  <c r="AA22" i="30"/>
  <c r="AA25" i="30" s="1"/>
  <c r="Z22" i="30"/>
  <c r="Z25" i="30" s="1"/>
  <c r="Y22" i="30"/>
  <c r="Y25" i="30" s="1"/>
  <c r="T22" i="30"/>
  <c r="T25" i="30" s="1"/>
  <c r="S22" i="30"/>
  <c r="S25" i="30" s="1"/>
  <c r="R22" i="30"/>
  <c r="R25" i="30" s="1"/>
  <c r="Q22" i="30"/>
  <c r="Q25" i="30" s="1"/>
  <c r="AK21" i="30"/>
  <c r="AK22" i="30" s="1"/>
  <c r="AJ21" i="30"/>
  <c r="AJ22" i="30" s="1"/>
  <c r="AI21" i="30"/>
  <c r="AI22" i="30" s="1"/>
  <c r="AH21" i="30"/>
  <c r="AH22" i="30" s="1"/>
  <c r="AG21" i="30"/>
  <c r="AG22" i="30" s="1"/>
  <c r="AF21" i="30"/>
  <c r="AF22" i="30" s="1"/>
  <c r="AE21" i="30"/>
  <c r="AE22" i="30" s="1"/>
  <c r="AD21" i="30"/>
  <c r="AD22" i="30" s="1"/>
  <c r="X21" i="30"/>
  <c r="X22" i="30" s="1"/>
  <c r="W21" i="30"/>
  <c r="W22" i="30" s="1"/>
  <c r="V21" i="30"/>
  <c r="V22" i="30" s="1"/>
  <c r="U21" i="30"/>
  <c r="U22" i="30" s="1"/>
  <c r="P21" i="30"/>
  <c r="P22" i="30" s="1"/>
  <c r="O21" i="30"/>
  <c r="O22" i="30" s="1"/>
  <c r="N21" i="30"/>
  <c r="N22" i="30" s="1"/>
  <c r="M21" i="30"/>
  <c r="M22" i="30" s="1"/>
  <c r="L21" i="30"/>
  <c r="L22" i="30" s="1"/>
  <c r="K21" i="30"/>
  <c r="K22" i="30" s="1"/>
  <c r="J21" i="30"/>
  <c r="J22" i="30" s="1"/>
  <c r="I21" i="30"/>
  <c r="I22" i="30" s="1"/>
  <c r="H21" i="30"/>
  <c r="H22" i="30" s="1"/>
  <c r="G21" i="30"/>
  <c r="G22" i="30" s="1"/>
  <c r="F21" i="30"/>
  <c r="F22" i="30" s="1"/>
  <c r="E21" i="30"/>
  <c r="E22" i="30" s="1"/>
  <c r="AL15" i="30"/>
  <c r="AL18" i="30" s="1"/>
  <c r="AK15" i="30"/>
  <c r="AK18" i="30" s="1"/>
  <c r="AJ15" i="30"/>
  <c r="AJ18" i="30" s="1"/>
  <c r="AI15" i="30"/>
  <c r="AI18" i="30" s="1"/>
  <c r="AH15" i="30"/>
  <c r="AH18" i="30" s="1"/>
  <c r="AG15" i="30"/>
  <c r="AG18" i="30" s="1"/>
  <c r="AF15" i="30"/>
  <c r="AF18" i="30" s="1"/>
  <c r="AE15" i="30"/>
  <c r="AE18" i="30" s="1"/>
  <c r="AD15" i="30"/>
  <c r="AD18" i="30" s="1"/>
  <c r="AC15" i="30"/>
  <c r="AC18" i="30" s="1"/>
  <c r="AB15" i="30"/>
  <c r="AB18" i="30" s="1"/>
  <c r="AA15" i="30"/>
  <c r="AA18" i="30" s="1"/>
  <c r="Z15" i="30"/>
  <c r="Z18" i="30" s="1"/>
  <c r="Y15" i="30"/>
  <c r="Y18" i="30" s="1"/>
  <c r="X15" i="30"/>
  <c r="X18" i="30" s="1"/>
  <c r="W15" i="30"/>
  <c r="W18" i="30" s="1"/>
  <c r="V15" i="30"/>
  <c r="V18" i="30" s="1"/>
  <c r="U15" i="30"/>
  <c r="U18" i="30" s="1"/>
  <c r="T15" i="30"/>
  <c r="T18" i="30" s="1"/>
  <c r="S15" i="30"/>
  <c r="S18" i="30" s="1"/>
  <c r="R15" i="30"/>
  <c r="R18" i="30" s="1"/>
  <c r="Q15" i="30"/>
  <c r="Q18" i="30" s="1"/>
  <c r="P15" i="30"/>
  <c r="P18" i="30" s="1"/>
  <c r="O15" i="30"/>
  <c r="O18" i="30" s="1"/>
  <c r="N15" i="30"/>
  <c r="N18" i="30" s="1"/>
  <c r="M15" i="30"/>
  <c r="M18" i="30" s="1"/>
  <c r="L15" i="30"/>
  <c r="L18" i="30" s="1"/>
  <c r="K15" i="30"/>
  <c r="K18" i="30" s="1"/>
  <c r="J15" i="30"/>
  <c r="J18" i="30" s="1"/>
  <c r="I15" i="30"/>
  <c r="I18" i="30" s="1"/>
  <c r="H15" i="30"/>
  <c r="H18" i="30" s="1"/>
  <c r="G15" i="30"/>
  <c r="G18" i="30" s="1"/>
  <c r="F15" i="30"/>
  <c r="F18" i="30" s="1"/>
  <c r="E15" i="30"/>
  <c r="E18" i="30" s="1"/>
  <c r="AM15" i="30"/>
  <c r="AL10" i="30"/>
  <c r="AK10" i="30"/>
  <c r="AJ10" i="30"/>
  <c r="AI10" i="30"/>
  <c r="AH10" i="30"/>
  <c r="AG10" i="30"/>
  <c r="AF10" i="30"/>
  <c r="AE10" i="30"/>
  <c r="AD10" i="30"/>
  <c r="AC10" i="30"/>
  <c r="AB10" i="30"/>
  <c r="AA10" i="30"/>
  <c r="Z10" i="30"/>
  <c r="Y10" i="30"/>
  <c r="X10" i="30"/>
  <c r="W10" i="30"/>
  <c r="V10" i="30"/>
  <c r="U10" i="30"/>
  <c r="T10" i="30"/>
  <c r="T12" i="30" s="1"/>
  <c r="S10" i="30"/>
  <c r="S12" i="30" s="1"/>
  <c r="R10" i="30"/>
  <c r="Q10" i="30"/>
  <c r="P10" i="30"/>
  <c r="P12" i="30" s="1"/>
  <c r="O10" i="30"/>
  <c r="N10" i="30"/>
  <c r="M10" i="30"/>
  <c r="L10" i="30"/>
  <c r="K10" i="30"/>
  <c r="K12" i="30" s="1"/>
  <c r="J10" i="30"/>
  <c r="I10" i="30"/>
  <c r="H10" i="30"/>
  <c r="H12" i="30" s="1"/>
  <c r="G10" i="30"/>
  <c r="F10" i="30"/>
  <c r="E10" i="30"/>
  <c r="E2" i="30"/>
  <c r="AD1" i="30"/>
  <c r="F1" i="30"/>
  <c r="F2" i="30" s="1"/>
  <c r="AJ18" i="29"/>
  <c r="AI18" i="29"/>
  <c r="AH18" i="29"/>
  <c r="AG18" i="29"/>
  <c r="AF18" i="29"/>
  <c r="AE18" i="29"/>
  <c r="AD18" i="29"/>
  <c r="S18" i="29"/>
  <c r="R18" i="29"/>
  <c r="AL17" i="29"/>
  <c r="AK17" i="29"/>
  <c r="AC17" i="29"/>
  <c r="AB17" i="29"/>
  <c r="AA17" i="29"/>
  <c r="Z17" i="29"/>
  <c r="Y17" i="29"/>
  <c r="X17" i="29"/>
  <c r="W17" i="29"/>
  <c r="V17" i="29"/>
  <c r="U17" i="29"/>
  <c r="T17" i="29"/>
  <c r="Q17" i="29"/>
  <c r="P17" i="29"/>
  <c r="O17" i="29"/>
  <c r="N17" i="29"/>
  <c r="M17" i="29"/>
  <c r="L17" i="29"/>
  <c r="K17" i="29"/>
  <c r="J17" i="29"/>
  <c r="I17" i="29"/>
  <c r="H17" i="29"/>
  <c r="G17" i="29"/>
  <c r="F17" i="29"/>
  <c r="E17" i="29"/>
  <c r="AL16" i="29"/>
  <c r="AK16" i="29"/>
  <c r="AC16" i="29"/>
  <c r="AB16" i="29"/>
  <c r="AA16" i="29"/>
  <c r="Z16" i="29"/>
  <c r="Y16" i="29"/>
  <c r="X16" i="29"/>
  <c r="W16" i="29"/>
  <c r="V16" i="29"/>
  <c r="U16" i="29"/>
  <c r="T16" i="29"/>
  <c r="Q16" i="29"/>
  <c r="P16" i="29"/>
  <c r="O16" i="29"/>
  <c r="N16" i="29"/>
  <c r="M16" i="29"/>
  <c r="L16" i="29"/>
  <c r="K16" i="29"/>
  <c r="J16" i="29"/>
  <c r="I16" i="29"/>
  <c r="H16" i="29"/>
  <c r="G16" i="29"/>
  <c r="F16" i="29"/>
  <c r="E16" i="29"/>
  <c r="AL13" i="29"/>
  <c r="AK13" i="29"/>
  <c r="AJ13" i="29"/>
  <c r="AI13" i="29"/>
  <c r="AH13" i="29"/>
  <c r="AG13" i="29"/>
  <c r="AF13" i="29"/>
  <c r="AE13" i="29"/>
  <c r="AD13" i="29"/>
  <c r="AC13" i="29"/>
  <c r="AB13" i="29"/>
  <c r="AA13" i="29"/>
  <c r="Z13" i="29"/>
  <c r="Y13" i="29"/>
  <c r="X13" i="29"/>
  <c r="W13" i="29"/>
  <c r="V13" i="29"/>
  <c r="U13" i="29"/>
  <c r="T13" i="29"/>
  <c r="S13" i="29"/>
  <c r="R13" i="29"/>
  <c r="Q13" i="29"/>
  <c r="P13" i="29"/>
  <c r="O13" i="29"/>
  <c r="N13" i="29"/>
  <c r="M13" i="29"/>
  <c r="L13" i="29"/>
  <c r="K13" i="29"/>
  <c r="J13" i="29"/>
  <c r="I13" i="29"/>
  <c r="H13" i="29"/>
  <c r="G13" i="29"/>
  <c r="F13" i="29"/>
  <c r="E13" i="29"/>
  <c r="AL8" i="29"/>
  <c r="AK8" i="29"/>
  <c r="AJ8" i="29"/>
  <c r="AI8" i="29"/>
  <c r="AH8" i="29"/>
  <c r="AG8" i="29"/>
  <c r="AF8" i="29"/>
  <c r="AE8" i="29"/>
  <c r="AD8" i="29"/>
  <c r="AC8" i="29"/>
  <c r="AB8" i="29"/>
  <c r="AA8" i="29"/>
  <c r="Z8" i="29"/>
  <c r="Y8" i="29"/>
  <c r="X8" i="29"/>
  <c r="W8" i="29"/>
  <c r="V8" i="29"/>
  <c r="U8" i="29"/>
  <c r="T8" i="29"/>
  <c r="S8" i="29"/>
  <c r="R8" i="29"/>
  <c r="Q8" i="29"/>
  <c r="P8" i="29"/>
  <c r="O8" i="29"/>
  <c r="N8" i="29"/>
  <c r="M8" i="29"/>
  <c r="M9" i="29" s="1"/>
  <c r="L8" i="29"/>
  <c r="L9" i="29" s="1"/>
  <c r="K8" i="29"/>
  <c r="K9" i="29" s="1"/>
  <c r="J8" i="29"/>
  <c r="J9" i="29" s="1"/>
  <c r="I8" i="29"/>
  <c r="I9" i="29" s="1"/>
  <c r="H8" i="29"/>
  <c r="H9" i="29" s="1"/>
  <c r="G8" i="29"/>
  <c r="G9" i="29" s="1"/>
  <c r="F8" i="29"/>
  <c r="F9" i="29" s="1"/>
  <c r="E8" i="29"/>
  <c r="E9" i="29" s="1"/>
  <c r="E2" i="29"/>
  <c r="F1" i="29"/>
  <c r="L32" i="26"/>
  <c r="K32" i="26"/>
  <c r="J32" i="26"/>
  <c r="I32" i="26"/>
  <c r="H32" i="26"/>
  <c r="G32" i="26"/>
  <c r="F32" i="26"/>
  <c r="E32" i="26"/>
  <c r="L31" i="26"/>
  <c r="K31" i="26"/>
  <c r="J31" i="26"/>
  <c r="I31" i="26"/>
  <c r="H31" i="26"/>
  <c r="G31" i="26"/>
  <c r="F31" i="26"/>
  <c r="E31" i="26"/>
  <c r="L30" i="26"/>
  <c r="K30" i="26"/>
  <c r="J30" i="26"/>
  <c r="I30" i="26"/>
  <c r="H30" i="26"/>
  <c r="G30" i="26"/>
  <c r="F30" i="26"/>
  <c r="E30" i="26"/>
  <c r="L29" i="26"/>
  <c r="K29" i="26"/>
  <c r="J29" i="26"/>
  <c r="I29" i="26"/>
  <c r="H29" i="26"/>
  <c r="G29" i="26"/>
  <c r="F29" i="26"/>
  <c r="E29" i="26"/>
  <c r="AL20" i="26"/>
  <c r="AL22" i="26" s="1"/>
  <c r="AL23" i="26" s="1"/>
  <c r="AK20" i="26"/>
  <c r="AK22" i="26" s="1"/>
  <c r="AK23" i="26" s="1"/>
  <c r="AJ20" i="26"/>
  <c r="AI20" i="26"/>
  <c r="AI22" i="26" s="1"/>
  <c r="AI23" i="26" s="1"/>
  <c r="AH20" i="26"/>
  <c r="AH22" i="26" s="1"/>
  <c r="AG20" i="26"/>
  <c r="AG22" i="26" s="1"/>
  <c r="AF20" i="26"/>
  <c r="AE20" i="26"/>
  <c r="AD20" i="26"/>
  <c r="AD22" i="26" s="1"/>
  <c r="AD23" i="26" s="1"/>
  <c r="AC20" i="26"/>
  <c r="AC22" i="26" s="1"/>
  <c r="AC23" i="26" s="1"/>
  <c r="AB20" i="26"/>
  <c r="AA20" i="26"/>
  <c r="AA22" i="26" s="1"/>
  <c r="AA23" i="26" s="1"/>
  <c r="Z20" i="26"/>
  <c r="Y20" i="26"/>
  <c r="Y22" i="26" s="1"/>
  <c r="X20" i="26"/>
  <c r="W20" i="26"/>
  <c r="V20" i="26"/>
  <c r="V22" i="26" s="1"/>
  <c r="V23" i="26" s="1"/>
  <c r="U20" i="26"/>
  <c r="U22" i="26" s="1"/>
  <c r="U23" i="26" s="1"/>
  <c r="T20" i="26"/>
  <c r="S20" i="26"/>
  <c r="S22" i="26" s="1"/>
  <c r="S23" i="26" s="1"/>
  <c r="R20" i="26"/>
  <c r="R22" i="26" s="1"/>
  <c r="R23" i="26" s="1"/>
  <c r="Q20" i="26"/>
  <c r="Q22" i="26" s="1"/>
  <c r="P20" i="26"/>
  <c r="O20" i="26"/>
  <c r="N20" i="26"/>
  <c r="N22" i="26" s="1"/>
  <c r="N23" i="26" s="1"/>
  <c r="M20" i="26"/>
  <c r="M22" i="26" s="1"/>
  <c r="L20" i="26"/>
  <c r="K20" i="26"/>
  <c r="K22" i="26" s="1"/>
  <c r="K23" i="26" s="1"/>
  <c r="J20" i="26"/>
  <c r="I20" i="26"/>
  <c r="I22" i="26" s="1"/>
  <c r="H20" i="26"/>
  <c r="G20" i="26"/>
  <c r="F20" i="26"/>
  <c r="F22" i="26" s="1"/>
  <c r="F23" i="26" s="1"/>
  <c r="E20" i="26"/>
  <c r="E22" i="26" s="1"/>
  <c r="E23" i="26" s="1"/>
  <c r="AL10" i="26"/>
  <c r="AK10" i="26"/>
  <c r="AK12" i="26" s="1"/>
  <c r="AK13" i="26" s="1"/>
  <c r="AJ10" i="26"/>
  <c r="AJ12" i="26" s="1"/>
  <c r="AJ13" i="26" s="1"/>
  <c r="AI10" i="26"/>
  <c r="AI12" i="26" s="1"/>
  <c r="AH10" i="26"/>
  <c r="AG10" i="26"/>
  <c r="AF10" i="26"/>
  <c r="AF12" i="26" s="1"/>
  <c r="AF13" i="26" s="1"/>
  <c r="AE10" i="26"/>
  <c r="AD10" i="26"/>
  <c r="AC10" i="26"/>
  <c r="AC12" i="26" s="1"/>
  <c r="AC13" i="26" s="1"/>
  <c r="AB10" i="26"/>
  <c r="AA10" i="26"/>
  <c r="AA12" i="26" s="1"/>
  <c r="Z10" i="26"/>
  <c r="Y10" i="26"/>
  <c r="X10" i="26"/>
  <c r="X12" i="26" s="1"/>
  <c r="X13" i="26" s="1"/>
  <c r="W10" i="26"/>
  <c r="W12" i="26" s="1"/>
  <c r="W13" i="26" s="1"/>
  <c r="V10" i="26"/>
  <c r="U10" i="26"/>
  <c r="U12" i="26" s="1"/>
  <c r="U13" i="26" s="1"/>
  <c r="T10" i="26"/>
  <c r="T12" i="26" s="1"/>
  <c r="S10" i="26"/>
  <c r="S12" i="26" s="1"/>
  <c r="R10" i="26"/>
  <c r="Q10" i="26"/>
  <c r="P10" i="26"/>
  <c r="P12" i="26" s="1"/>
  <c r="P13" i="26" s="1"/>
  <c r="O10" i="26"/>
  <c r="O12" i="26" s="1"/>
  <c r="N10" i="26"/>
  <c r="M10" i="26"/>
  <c r="M12" i="26" s="1"/>
  <c r="M13" i="26" s="1"/>
  <c r="L10" i="26"/>
  <c r="L12" i="26" s="1"/>
  <c r="L13" i="26" s="1"/>
  <c r="K10" i="26"/>
  <c r="K12" i="26" s="1"/>
  <c r="J10" i="26"/>
  <c r="I10" i="26"/>
  <c r="H10" i="26"/>
  <c r="H12" i="26" s="1"/>
  <c r="H13" i="26" s="1"/>
  <c r="G10" i="26"/>
  <c r="G12" i="26" s="1"/>
  <c r="G13" i="26" s="1"/>
  <c r="F10" i="26"/>
  <c r="E10" i="26"/>
  <c r="E12" i="26" s="1"/>
  <c r="E13" i="26" s="1"/>
  <c r="E2" i="26"/>
  <c r="F1" i="26"/>
  <c r="G1" i="26" s="1"/>
  <c r="P377" i="23"/>
  <c r="O377" i="23"/>
  <c r="N377" i="23"/>
  <c r="I377" i="23"/>
  <c r="H377" i="23"/>
  <c r="G377" i="23"/>
  <c r="P370" i="23"/>
  <c r="O370" i="23"/>
  <c r="N370" i="23"/>
  <c r="I370" i="23"/>
  <c r="H370" i="23"/>
  <c r="G370" i="23"/>
  <c r="P362" i="23"/>
  <c r="O362" i="23"/>
  <c r="N362" i="23"/>
  <c r="I362" i="23"/>
  <c r="H362" i="23"/>
  <c r="G362" i="23"/>
  <c r="P354" i="23"/>
  <c r="O354" i="23"/>
  <c r="N354" i="23"/>
  <c r="I354" i="23"/>
  <c r="H354" i="23"/>
  <c r="G354" i="23"/>
  <c r="P347" i="23"/>
  <c r="O347" i="23"/>
  <c r="N347" i="23"/>
  <c r="I347" i="23"/>
  <c r="H347" i="23"/>
  <c r="G347" i="23"/>
  <c r="P340" i="23"/>
  <c r="O340" i="23"/>
  <c r="N340" i="23"/>
  <c r="I340" i="23"/>
  <c r="H340" i="23"/>
  <c r="G340" i="23"/>
  <c r="P333" i="23"/>
  <c r="O333" i="23"/>
  <c r="N333" i="23"/>
  <c r="I333" i="23"/>
  <c r="H333" i="23"/>
  <c r="G333" i="23"/>
  <c r="P326" i="23"/>
  <c r="O326" i="23"/>
  <c r="N326" i="23"/>
  <c r="I326" i="23"/>
  <c r="H326" i="23"/>
  <c r="G326" i="23"/>
  <c r="P319" i="23"/>
  <c r="O319" i="23"/>
  <c r="N319" i="23"/>
  <c r="I319" i="23"/>
  <c r="H319" i="23"/>
  <c r="G319" i="23"/>
  <c r="P312" i="23"/>
  <c r="O312" i="23"/>
  <c r="N312" i="23"/>
  <c r="I312" i="23"/>
  <c r="H312" i="23"/>
  <c r="G312" i="23"/>
  <c r="P305" i="23"/>
  <c r="O305" i="23"/>
  <c r="N305" i="23"/>
  <c r="I305" i="23"/>
  <c r="H305" i="23"/>
  <c r="G305" i="23"/>
  <c r="P299" i="23"/>
  <c r="O299" i="23"/>
  <c r="N299" i="23"/>
  <c r="I299" i="23"/>
  <c r="H299" i="23"/>
  <c r="G299" i="23"/>
  <c r="P293" i="23"/>
  <c r="O293" i="23"/>
  <c r="N293" i="23"/>
  <c r="I293" i="23"/>
  <c r="H293" i="23"/>
  <c r="G293" i="23"/>
  <c r="P287" i="23"/>
  <c r="O287" i="23"/>
  <c r="N287" i="23"/>
  <c r="I287" i="23"/>
  <c r="H287" i="23"/>
  <c r="G287" i="23"/>
  <c r="P279" i="23"/>
  <c r="O279" i="23"/>
  <c r="N279" i="23"/>
  <c r="I279" i="23"/>
  <c r="H279" i="23"/>
  <c r="G279" i="23"/>
  <c r="P263" i="23"/>
  <c r="O263" i="23"/>
  <c r="N263" i="23"/>
  <c r="I263" i="23"/>
  <c r="H263" i="23"/>
  <c r="G263" i="23"/>
  <c r="P256" i="23"/>
  <c r="O256" i="23"/>
  <c r="N256" i="23"/>
  <c r="I256" i="23"/>
  <c r="H256" i="23"/>
  <c r="G256" i="23"/>
  <c r="P249" i="23"/>
  <c r="O249" i="23"/>
  <c r="N249" i="23"/>
  <c r="I249" i="23"/>
  <c r="H249" i="23"/>
  <c r="G249" i="23"/>
  <c r="P242" i="23"/>
  <c r="O242" i="23"/>
  <c r="N242" i="23"/>
  <c r="I242" i="23"/>
  <c r="H242" i="23"/>
  <c r="G242" i="23"/>
  <c r="P235" i="23"/>
  <c r="O235" i="23"/>
  <c r="N235" i="23"/>
  <c r="I235" i="23"/>
  <c r="H235" i="23"/>
  <c r="G235" i="23"/>
  <c r="P227" i="23"/>
  <c r="O227" i="23"/>
  <c r="N227" i="23"/>
  <c r="I227" i="23"/>
  <c r="H227" i="23"/>
  <c r="G227" i="23"/>
  <c r="P218" i="23"/>
  <c r="O218" i="23"/>
  <c r="N218" i="23"/>
  <c r="I218" i="23"/>
  <c r="H218" i="23"/>
  <c r="G218" i="23"/>
  <c r="P200" i="23"/>
  <c r="O200" i="23"/>
  <c r="N200" i="23"/>
  <c r="I200" i="23"/>
  <c r="H200" i="23"/>
  <c r="G200" i="23"/>
  <c r="P191" i="23"/>
  <c r="O191" i="23"/>
  <c r="N191" i="23"/>
  <c r="I191" i="23"/>
  <c r="H191" i="23"/>
  <c r="G191" i="23"/>
  <c r="P182" i="23"/>
  <c r="O182" i="23"/>
  <c r="N182" i="23"/>
  <c r="I182" i="23"/>
  <c r="H182" i="23"/>
  <c r="G182" i="23"/>
  <c r="P173" i="23"/>
  <c r="O173" i="23"/>
  <c r="N173" i="23"/>
  <c r="I173" i="23"/>
  <c r="H173" i="23"/>
  <c r="G173" i="23"/>
  <c r="P165" i="23"/>
  <c r="O165" i="23"/>
  <c r="N165" i="23"/>
  <c r="I165" i="23"/>
  <c r="H165" i="23"/>
  <c r="G165" i="23"/>
  <c r="P157" i="23"/>
  <c r="O157" i="23"/>
  <c r="N157" i="23"/>
  <c r="I157" i="23"/>
  <c r="H157" i="23"/>
  <c r="G157" i="23"/>
  <c r="P149" i="23"/>
  <c r="O149" i="23"/>
  <c r="N149" i="23"/>
  <c r="I149" i="23"/>
  <c r="H149" i="23"/>
  <c r="G149" i="23"/>
  <c r="P141" i="23"/>
  <c r="O141" i="23"/>
  <c r="N141" i="23"/>
  <c r="I141" i="23"/>
  <c r="H141" i="23"/>
  <c r="G141" i="23"/>
  <c r="P133" i="23"/>
  <c r="O133" i="23"/>
  <c r="N133" i="23"/>
  <c r="I133" i="23"/>
  <c r="H133" i="23"/>
  <c r="G133" i="23"/>
  <c r="P125" i="23"/>
  <c r="O125" i="23"/>
  <c r="N125" i="23"/>
  <c r="I125" i="23"/>
  <c r="H125" i="23"/>
  <c r="G125" i="23"/>
  <c r="AK13" i="24"/>
  <c r="AJ13" i="24"/>
  <c r="AI13" i="24"/>
  <c r="AH13" i="24"/>
  <c r="AG13" i="24"/>
  <c r="AF13" i="24"/>
  <c r="AE13" i="24"/>
  <c r="AD13" i="24"/>
  <c r="AC13" i="24"/>
  <c r="AB13" i="24"/>
  <c r="Z13" i="24"/>
  <c r="Y13" i="24"/>
  <c r="X13" i="24"/>
  <c r="W13" i="24"/>
  <c r="V13" i="24"/>
  <c r="U13" i="24"/>
  <c r="T13" i="24"/>
  <c r="S13" i="24"/>
  <c r="R13" i="24"/>
  <c r="Q13" i="24"/>
  <c r="P13" i="24"/>
  <c r="O13" i="24"/>
  <c r="N13" i="24"/>
  <c r="M13" i="24"/>
  <c r="L13" i="24"/>
  <c r="K13" i="24"/>
  <c r="J13" i="24"/>
  <c r="I13" i="24"/>
  <c r="H13" i="24"/>
  <c r="G13" i="24"/>
  <c r="F13" i="24"/>
  <c r="E13" i="24"/>
  <c r="E2" i="24"/>
  <c r="F1" i="24"/>
  <c r="F2" i="24" s="1"/>
  <c r="P25" i="13"/>
  <c r="O25" i="13"/>
  <c r="N25" i="13"/>
  <c r="M25" i="13"/>
  <c r="L25" i="13"/>
  <c r="K25" i="13"/>
  <c r="J25" i="13"/>
  <c r="I25" i="13"/>
  <c r="H25" i="13"/>
  <c r="G25" i="13"/>
  <c r="F25" i="13"/>
  <c r="E25" i="13"/>
  <c r="P24" i="13"/>
  <c r="O24" i="13"/>
  <c r="N24" i="13"/>
  <c r="M24" i="13"/>
  <c r="L24" i="13"/>
  <c r="K24" i="13"/>
  <c r="J24" i="13"/>
  <c r="I24" i="13"/>
  <c r="H24" i="13"/>
  <c r="G24" i="13"/>
  <c r="F24" i="13"/>
  <c r="E24" i="13"/>
  <c r="P22" i="13"/>
  <c r="O22" i="13"/>
  <c r="N22" i="13"/>
  <c r="M22" i="13"/>
  <c r="L22" i="13"/>
  <c r="K22" i="13"/>
  <c r="J22" i="13"/>
  <c r="I22" i="13"/>
  <c r="H22" i="13"/>
  <c r="G22" i="13"/>
  <c r="F22" i="13"/>
  <c r="E22" i="13"/>
  <c r="P21" i="13"/>
  <c r="O21" i="13"/>
  <c r="N21" i="13"/>
  <c r="M21" i="13"/>
  <c r="L21" i="13"/>
  <c r="K21" i="13"/>
  <c r="J21" i="13"/>
  <c r="I21" i="13"/>
  <c r="H21" i="13"/>
  <c r="G21" i="13"/>
  <c r="P20" i="13"/>
  <c r="O20" i="13"/>
  <c r="N20" i="13"/>
  <c r="M20" i="13"/>
  <c r="L20" i="13"/>
  <c r="K20" i="13"/>
  <c r="J20" i="13"/>
  <c r="I20" i="13"/>
  <c r="H20" i="13"/>
  <c r="G20" i="13"/>
  <c r="F20" i="13"/>
  <c r="E20" i="13"/>
  <c r="P19" i="13"/>
  <c r="O19" i="13"/>
  <c r="N19" i="13"/>
  <c r="M19" i="13"/>
  <c r="L19" i="13"/>
  <c r="K19" i="13"/>
  <c r="J19" i="13"/>
  <c r="I19" i="13"/>
  <c r="H19" i="13"/>
  <c r="G19" i="13"/>
  <c r="F19" i="13"/>
  <c r="E19" i="13"/>
  <c r="Q18" i="13"/>
  <c r="P18" i="13"/>
  <c r="O18" i="13"/>
  <c r="N18" i="13"/>
  <c r="M18" i="13"/>
  <c r="L18" i="13"/>
  <c r="K18" i="13"/>
  <c r="J18" i="13"/>
  <c r="I18" i="13"/>
  <c r="H18" i="13"/>
  <c r="G18" i="13"/>
  <c r="F18" i="13"/>
  <c r="E18" i="13"/>
  <c r="E1" i="13"/>
  <c r="F1" i="13" s="1"/>
  <c r="B262" i="77"/>
  <c r="B261" i="77"/>
  <c r="B260" i="77"/>
  <c r="B259" i="77"/>
  <c r="B258" i="77"/>
  <c r="B257" i="77"/>
  <c r="B256" i="77"/>
  <c r="B255" i="77"/>
  <c r="B254" i="77"/>
  <c r="B253" i="77"/>
  <c r="B252" i="77"/>
  <c r="B251" i="77"/>
  <c r="B250" i="77"/>
  <c r="B249" i="77"/>
  <c r="B248" i="77"/>
  <c r="B247" i="77"/>
  <c r="B246" i="77"/>
  <c r="B245" i="77"/>
  <c r="B244" i="77"/>
  <c r="B243" i="77"/>
  <c r="B242" i="77"/>
  <c r="B241" i="77"/>
  <c r="B240" i="77"/>
  <c r="B239" i="77"/>
  <c r="B238" i="77"/>
  <c r="B237" i="77"/>
  <c r="B236" i="77"/>
  <c r="B235" i="77"/>
  <c r="B234" i="77"/>
  <c r="B233" i="77"/>
  <c r="B232" i="77"/>
  <c r="B231" i="77"/>
  <c r="B230" i="77"/>
  <c r="B229" i="77"/>
  <c r="B228" i="77"/>
  <c r="B227" i="77"/>
  <c r="B226" i="77"/>
  <c r="B225" i="77"/>
  <c r="B224" i="77"/>
  <c r="B223" i="77"/>
  <c r="BD110" i="77"/>
  <c r="BC110" i="77"/>
  <c r="BD109" i="77"/>
  <c r="BC109" i="77"/>
  <c r="I109" i="77"/>
  <c r="E109" i="77"/>
  <c r="BD108" i="77"/>
  <c r="BC108" i="77"/>
  <c r="I108" i="77"/>
  <c r="E108" i="77"/>
  <c r="BD107" i="77"/>
  <c r="BC107" i="77"/>
  <c r="I107" i="77"/>
  <c r="E107" i="77"/>
  <c r="BD106" i="77"/>
  <c r="BC106" i="77"/>
  <c r="I106" i="77"/>
  <c r="E106" i="77"/>
  <c r="BD105" i="77"/>
  <c r="BC105" i="77"/>
  <c r="I105" i="77"/>
  <c r="E105" i="77"/>
  <c r="BD104" i="77"/>
  <c r="BC104" i="77"/>
  <c r="I104" i="77"/>
  <c r="E104" i="77"/>
  <c r="BD103" i="77"/>
  <c r="BC103" i="77"/>
  <c r="I103" i="77"/>
  <c r="E103" i="77"/>
  <c r="BD102" i="77"/>
  <c r="BC102" i="77"/>
  <c r="I102" i="77"/>
  <c r="E102" i="77"/>
  <c r="BD101" i="77"/>
  <c r="BC101" i="77"/>
  <c r="I101" i="77"/>
  <c r="E101" i="77"/>
  <c r="I100" i="77"/>
  <c r="E100" i="77"/>
  <c r="I99" i="77"/>
  <c r="E99" i="77"/>
  <c r="I98" i="77"/>
  <c r="E98" i="77"/>
  <c r="I97" i="77"/>
  <c r="E97" i="77"/>
  <c r="I96" i="77"/>
  <c r="E96" i="77"/>
  <c r="I95" i="77"/>
  <c r="E95" i="77"/>
  <c r="I94" i="77"/>
  <c r="E94" i="77"/>
  <c r="I93" i="77"/>
  <c r="E93" i="77"/>
  <c r="I92" i="77"/>
  <c r="E92" i="77"/>
  <c r="I91" i="77"/>
  <c r="E91" i="77"/>
  <c r="I90" i="77"/>
  <c r="E90" i="77"/>
  <c r="I89" i="77"/>
  <c r="E89" i="77"/>
  <c r="I88" i="77"/>
  <c r="E88" i="77"/>
  <c r="I87" i="77"/>
  <c r="E87" i="77"/>
  <c r="I86" i="77"/>
  <c r="E86" i="77"/>
  <c r="I85" i="77"/>
  <c r="E85" i="77"/>
  <c r="I84" i="77"/>
  <c r="E84" i="77"/>
  <c r="I83" i="77"/>
  <c r="E83" i="77"/>
  <c r="I82" i="77"/>
  <c r="E82" i="77"/>
  <c r="I81" i="77"/>
  <c r="E81" i="77"/>
  <c r="I80" i="77"/>
  <c r="E80" i="77"/>
  <c r="I79" i="77"/>
  <c r="E79" i="77"/>
  <c r="I78" i="77"/>
  <c r="E78" i="77"/>
  <c r="I77" i="77"/>
  <c r="E77" i="77"/>
  <c r="I76" i="77"/>
  <c r="E76" i="77"/>
  <c r="I75" i="77"/>
  <c r="E75" i="77"/>
  <c r="I74" i="77"/>
  <c r="E74" i="77"/>
  <c r="I73" i="77"/>
  <c r="E73" i="77"/>
  <c r="I72" i="77"/>
  <c r="E72" i="77"/>
  <c r="I71" i="77"/>
  <c r="E71" i="77"/>
  <c r="I70" i="77"/>
  <c r="E70" i="77"/>
  <c r="I69" i="77"/>
  <c r="E69" i="77"/>
  <c r="I68" i="77"/>
  <c r="E68" i="77"/>
  <c r="I67" i="77"/>
  <c r="E67" i="77"/>
  <c r="I66" i="77"/>
  <c r="E66" i="77"/>
  <c r="I65" i="77"/>
  <c r="E65" i="77"/>
  <c r="I64" i="77"/>
  <c r="E64" i="77"/>
  <c r="I63" i="77"/>
  <c r="E63" i="77"/>
  <c r="I62" i="77"/>
  <c r="E62" i="77"/>
  <c r="I61" i="77"/>
  <c r="E61" i="77"/>
  <c r="I60" i="77"/>
  <c r="E60" i="77"/>
  <c r="I59" i="77"/>
  <c r="E59" i="77"/>
  <c r="I58" i="77"/>
  <c r="E58" i="77"/>
  <c r="I57" i="77"/>
  <c r="E57" i="77"/>
  <c r="I56" i="77"/>
  <c r="E56" i="77"/>
  <c r="I55" i="77"/>
  <c r="E55" i="77"/>
  <c r="I54" i="77"/>
  <c r="E54" i="77"/>
  <c r="I53" i="77"/>
  <c r="E53" i="77"/>
  <c r="I52" i="77"/>
  <c r="E52" i="77"/>
  <c r="E51" i="77"/>
  <c r="E50" i="77"/>
  <c r="E49" i="77"/>
  <c r="E48" i="77"/>
  <c r="E47" i="77"/>
  <c r="E46" i="77"/>
  <c r="E45" i="77"/>
  <c r="E44" i="77"/>
  <c r="E43" i="77"/>
  <c r="E42" i="77"/>
  <c r="E41" i="77"/>
  <c r="E40" i="77"/>
  <c r="E39" i="77"/>
  <c r="E38" i="77"/>
  <c r="E37" i="77"/>
  <c r="E36" i="77"/>
  <c r="E35" i="77"/>
  <c r="E34" i="77"/>
  <c r="E33" i="77"/>
  <c r="E32" i="77"/>
  <c r="E31" i="77"/>
  <c r="E30" i="77"/>
  <c r="E29" i="77"/>
  <c r="E28" i="77"/>
  <c r="E27" i="77"/>
  <c r="E26" i="77"/>
  <c r="E25" i="77"/>
  <c r="E24" i="77"/>
  <c r="E23" i="77"/>
  <c r="E22" i="77"/>
  <c r="E21" i="77"/>
  <c r="E20" i="77"/>
  <c r="E19" i="77"/>
  <c r="E18" i="77"/>
  <c r="E17" i="77"/>
  <c r="E16" i="77"/>
  <c r="E15" i="77"/>
  <c r="E14" i="77"/>
  <c r="E13" i="77"/>
  <c r="E12" i="77"/>
  <c r="E11" i="77"/>
  <c r="E10" i="77"/>
  <c r="E9" i="77"/>
  <c r="E8" i="77"/>
  <c r="E7" i="77"/>
  <c r="E6" i="77"/>
  <c r="E5" i="77"/>
  <c r="J108" i="76"/>
  <c r="J107" i="76"/>
  <c r="J106" i="76"/>
  <c r="J105" i="76"/>
  <c r="G104" i="76"/>
  <c r="E104" i="76"/>
  <c r="J103" i="76"/>
  <c r="J102" i="76"/>
  <c r="J101" i="76"/>
  <c r="J100" i="76"/>
  <c r="G99" i="76"/>
  <c r="E99" i="76"/>
  <c r="J98" i="76"/>
  <c r="J97" i="76"/>
  <c r="J96" i="76"/>
  <c r="G95" i="76"/>
  <c r="E95" i="76"/>
  <c r="J94" i="76"/>
  <c r="J93" i="76"/>
  <c r="J92" i="76"/>
  <c r="J91" i="76"/>
  <c r="J90" i="76"/>
  <c r="G89" i="76"/>
  <c r="E89" i="76"/>
  <c r="J88" i="76"/>
  <c r="J87" i="76"/>
  <c r="J86" i="76"/>
  <c r="J85" i="76"/>
  <c r="J84" i="76"/>
  <c r="G83" i="76"/>
  <c r="E83" i="76"/>
  <c r="J82" i="76"/>
  <c r="J81" i="76"/>
  <c r="G77" i="76"/>
  <c r="E77" i="76"/>
  <c r="J71" i="76"/>
  <c r="G71" i="76"/>
  <c r="E71" i="76"/>
  <c r="E70" i="76"/>
  <c r="L69" i="76"/>
  <c r="L68" i="76" s="1"/>
  <c r="J68" i="76"/>
  <c r="G68" i="76"/>
  <c r="E68" i="76"/>
  <c r="G67" i="76"/>
  <c r="G66" i="76" s="1"/>
  <c r="J66" i="76"/>
  <c r="E66" i="76"/>
  <c r="L65" i="76"/>
  <c r="L64" i="76"/>
  <c r="J64" i="76"/>
  <c r="L63" i="76"/>
  <c r="J63" i="76"/>
  <c r="L62" i="76"/>
  <c r="L61" i="76"/>
  <c r="G60" i="76"/>
  <c r="E60" i="76"/>
  <c r="L59" i="76"/>
  <c r="L58" i="76"/>
  <c r="L57" i="76"/>
  <c r="L56" i="76"/>
  <c r="L55" i="76"/>
  <c r="L54" i="76"/>
  <c r="J53" i="76"/>
  <c r="G53" i="76"/>
  <c r="E53" i="76"/>
  <c r="L52" i="76"/>
  <c r="L51" i="76"/>
  <c r="G50" i="76"/>
  <c r="L50" i="76" s="1"/>
  <c r="G49" i="76"/>
  <c r="L49" i="76" s="1"/>
  <c r="E48" i="76"/>
  <c r="L47" i="76"/>
  <c r="L46" i="76"/>
  <c r="L45" i="76"/>
  <c r="L44" i="76"/>
  <c r="J43" i="76"/>
  <c r="G43" i="76"/>
  <c r="E43" i="76"/>
  <c r="L42" i="76"/>
  <c r="L41" i="76"/>
  <c r="L40" i="76"/>
  <c r="L39" i="76"/>
  <c r="L38" i="76"/>
  <c r="J36" i="76"/>
  <c r="G36" i="76"/>
  <c r="E36" i="76"/>
  <c r="L35" i="76"/>
  <c r="L34" i="76"/>
  <c r="E29" i="76"/>
  <c r="BB2" i="76"/>
  <c r="AW2" i="76"/>
  <c r="AS2" i="76"/>
  <c r="AM2" i="76"/>
  <c r="AG2" i="76"/>
  <c r="AA2" i="76"/>
  <c r="W2" i="76"/>
  <c r="U2" i="76"/>
  <c r="T2" i="76"/>
  <c r="R2" i="76"/>
  <c r="P2" i="76"/>
  <c r="M2" i="76"/>
  <c r="L317" i="73"/>
  <c r="M317" i="73" s="1"/>
  <c r="N317" i="73" s="1"/>
  <c r="O317" i="73" s="1"/>
  <c r="P317" i="73" s="1"/>
  <c r="Q317" i="73" s="1"/>
  <c r="R317" i="73" s="1"/>
  <c r="S317" i="73" s="1"/>
  <c r="T317" i="73" s="1"/>
  <c r="U317" i="73" s="1"/>
  <c r="V317" i="73" s="1"/>
  <c r="W317" i="73" s="1"/>
  <c r="X317" i="73" s="1"/>
  <c r="Y317" i="73" s="1"/>
  <c r="Z317" i="73" s="1"/>
  <c r="AA317" i="73" s="1"/>
  <c r="AB317" i="73" s="1"/>
  <c r="AC317" i="73" s="1"/>
  <c r="AD317" i="73" s="1"/>
  <c r="AE317" i="73" s="1"/>
  <c r="AF317" i="73" s="1"/>
  <c r="AG317" i="73" s="1"/>
  <c r="AH317" i="73" s="1"/>
  <c r="AI317" i="73" s="1"/>
  <c r="AJ317" i="73" s="1"/>
  <c r="AK317" i="73" s="1"/>
  <c r="AL317" i="73" s="1"/>
  <c r="AM317" i="73" s="1"/>
  <c r="AN317" i="73" s="1"/>
  <c r="AO317" i="73" s="1"/>
  <c r="AP317" i="73" s="1"/>
  <c r="BS179" i="73"/>
  <c r="BR179" i="73"/>
  <c r="BQ179" i="73"/>
  <c r="BP179" i="73"/>
  <c r="BO179" i="73"/>
  <c r="BN179" i="73"/>
  <c r="BM179" i="73"/>
  <c r="BL179" i="73"/>
  <c r="BK179" i="73"/>
  <c r="BJ179" i="73"/>
  <c r="BI179" i="73"/>
  <c r="BH179" i="73"/>
  <c r="BG179" i="73"/>
  <c r="BF179" i="73"/>
  <c r="BE179" i="73"/>
  <c r="BD179" i="73"/>
  <c r="BC179" i="73"/>
  <c r="BB179" i="73"/>
  <c r="BA179" i="73"/>
  <c r="AZ179" i="73"/>
  <c r="AY179" i="73"/>
  <c r="AX179" i="73"/>
  <c r="AW179" i="73"/>
  <c r="AV179" i="73"/>
  <c r="AU179" i="73"/>
  <c r="AT179" i="73"/>
  <c r="AS179" i="73"/>
  <c r="AR179" i="73"/>
  <c r="AQ179" i="73"/>
  <c r="AP179" i="73"/>
  <c r="AN179" i="73"/>
  <c r="AM179" i="73"/>
  <c r="AL179" i="73"/>
  <c r="AK179" i="73"/>
  <c r="AJ179" i="73"/>
  <c r="AI179" i="73"/>
  <c r="AH179" i="73"/>
  <c r="AG179" i="73"/>
  <c r="AF179" i="73"/>
  <c r="AE179" i="73"/>
  <c r="AD179" i="73"/>
  <c r="AC179" i="73"/>
  <c r="AB179" i="73"/>
  <c r="AA179" i="73"/>
  <c r="Z179" i="73"/>
  <c r="Y179" i="73"/>
  <c r="X179" i="73"/>
  <c r="W179" i="73"/>
  <c r="V179" i="73"/>
  <c r="U179" i="73"/>
  <c r="T179" i="73"/>
  <c r="S179" i="73"/>
  <c r="R179" i="73"/>
  <c r="Q179" i="73"/>
  <c r="P179" i="73"/>
  <c r="O179" i="73"/>
  <c r="N179" i="73"/>
  <c r="M179" i="73"/>
  <c r="L179" i="73"/>
  <c r="K179" i="73"/>
  <c r="J179" i="73"/>
  <c r="I179" i="73"/>
  <c r="H179" i="73"/>
  <c r="G179" i="73"/>
  <c r="F179" i="73"/>
  <c r="E179" i="73"/>
  <c r="BS171" i="73"/>
  <c r="BR171" i="73"/>
  <c r="BQ171" i="73"/>
  <c r="BP171" i="73"/>
  <c r="AZ171" i="73"/>
  <c r="AZ321" i="73" s="1"/>
  <c r="AY171" i="73"/>
  <c r="AY321" i="73" s="1"/>
  <c r="AX171" i="73"/>
  <c r="AX321" i="73" s="1"/>
  <c r="AW171" i="73"/>
  <c r="AW321" i="73" s="1"/>
  <c r="AV171" i="73"/>
  <c r="AV321" i="73" s="1"/>
  <c r="AU171" i="73"/>
  <c r="AT171" i="73"/>
  <c r="AS171" i="73"/>
  <c r="AR171" i="73"/>
  <c r="AQ171" i="73"/>
  <c r="AP171" i="73"/>
  <c r="AN171" i="73"/>
  <c r="AM171" i="73"/>
  <c r="AL171" i="73"/>
  <c r="AK171" i="73"/>
  <c r="AJ171" i="73"/>
  <c r="AI171" i="73"/>
  <c r="AH171" i="73"/>
  <c r="AG171" i="73"/>
  <c r="AF171" i="73"/>
  <c r="AE171" i="73"/>
  <c r="AD171" i="73"/>
  <c r="AC171" i="73"/>
  <c r="AB171" i="73"/>
  <c r="AA171" i="73"/>
  <c r="Z171" i="73"/>
  <c r="Y171" i="73"/>
  <c r="X171" i="73"/>
  <c r="W171" i="73"/>
  <c r="V171" i="73"/>
  <c r="U171" i="73"/>
  <c r="T171" i="73"/>
  <c r="S171" i="73"/>
  <c r="R171" i="73"/>
  <c r="Q171" i="73"/>
  <c r="P171" i="73"/>
  <c r="O171" i="73"/>
  <c r="N171" i="73"/>
  <c r="M171" i="73"/>
  <c r="L171" i="73"/>
  <c r="K171" i="73"/>
  <c r="J171" i="73"/>
  <c r="I171" i="73"/>
  <c r="H171" i="73"/>
  <c r="G171" i="73"/>
  <c r="F171" i="73"/>
  <c r="E171" i="73"/>
  <c r="BA167" i="73"/>
  <c r="BB167" i="73" s="1"/>
  <c r="BS163" i="73"/>
  <c r="BR163" i="73"/>
  <c r="BQ163" i="73"/>
  <c r="BP163" i="73"/>
  <c r="BO163" i="73"/>
  <c r="BN163" i="73"/>
  <c r="BN320" i="73" s="1"/>
  <c r="BM163" i="73"/>
  <c r="BM320" i="73" s="1"/>
  <c r="BL163" i="73"/>
  <c r="BL320" i="73" s="1"/>
  <c r="BK163" i="73"/>
  <c r="BK320" i="73" s="1"/>
  <c r="BJ163" i="73"/>
  <c r="BJ320" i="73" s="1"/>
  <c r="BI163" i="73"/>
  <c r="BI320" i="73" s="1"/>
  <c r="BH163" i="73"/>
  <c r="BH320" i="73" s="1"/>
  <c r="BG163" i="73"/>
  <c r="BG320" i="73" s="1"/>
  <c r="BF163" i="73"/>
  <c r="BF320" i="73" s="1"/>
  <c r="BE163" i="73"/>
  <c r="BE320" i="73" s="1"/>
  <c r="BD163" i="73"/>
  <c r="BD320" i="73" s="1"/>
  <c r="BC163" i="73"/>
  <c r="BC320" i="73" s="1"/>
  <c r="BB163" i="73"/>
  <c r="BB320" i="73" s="1"/>
  <c r="BA163" i="73"/>
  <c r="BA320" i="73" s="1"/>
  <c r="AZ163" i="73"/>
  <c r="AZ320" i="73" s="1"/>
  <c r="AY163" i="73"/>
  <c r="AY320" i="73" s="1"/>
  <c r="AT163" i="73"/>
  <c r="AS163" i="73"/>
  <c r="AR163" i="73"/>
  <c r="AQ163" i="73"/>
  <c r="AP163" i="73"/>
  <c r="AN163" i="73"/>
  <c r="AM163" i="73"/>
  <c r="AL163" i="73"/>
  <c r="AK163" i="73"/>
  <c r="AJ163" i="73"/>
  <c r="AI163" i="73"/>
  <c r="AH163" i="73"/>
  <c r="AG163" i="73"/>
  <c r="AF163" i="73"/>
  <c r="AE163" i="73"/>
  <c r="AD163" i="73"/>
  <c r="AC163" i="73"/>
  <c r="AB163" i="73"/>
  <c r="AA163" i="73"/>
  <c r="Z163" i="73"/>
  <c r="Y163" i="73"/>
  <c r="X163" i="73"/>
  <c r="M163" i="73"/>
  <c r="L163" i="73"/>
  <c r="K163" i="73"/>
  <c r="J163" i="73"/>
  <c r="I163" i="73"/>
  <c r="H163" i="73"/>
  <c r="G163" i="73"/>
  <c r="F163" i="73"/>
  <c r="E163" i="73"/>
  <c r="AX158" i="73"/>
  <c r="AX163" i="73" s="1"/>
  <c r="AX320" i="73" s="1"/>
  <c r="AW158" i="73"/>
  <c r="AW163" i="73" s="1"/>
  <c r="AW320" i="73" s="1"/>
  <c r="AV158" i="73"/>
  <c r="AV163" i="73" s="1"/>
  <c r="AV320" i="73" s="1"/>
  <c r="AU158" i="73"/>
  <c r="AU163" i="73" s="1"/>
  <c r="BS155" i="73"/>
  <c r="BR155" i="73"/>
  <c r="BQ155" i="73"/>
  <c r="BP155" i="73"/>
  <c r="BO155" i="73"/>
  <c r="BN155" i="73"/>
  <c r="BM155" i="73"/>
  <c r="BL155" i="73"/>
  <c r="BK155" i="73"/>
  <c r="BJ155" i="73"/>
  <c r="BI155" i="73"/>
  <c r="BH155" i="73"/>
  <c r="BG155" i="73"/>
  <c r="BF155" i="73"/>
  <c r="BE155" i="73"/>
  <c r="BD155" i="73"/>
  <c r="BC155" i="73"/>
  <c r="BB155" i="73"/>
  <c r="BA155" i="73"/>
  <c r="AZ155" i="73"/>
  <c r="AY155" i="73"/>
  <c r="AX155" i="73"/>
  <c r="AW155" i="73"/>
  <c r="AV155" i="73"/>
  <c r="AU155" i="73"/>
  <c r="AT155" i="73"/>
  <c r="AS155" i="73"/>
  <c r="AR155" i="73"/>
  <c r="AQ155" i="73"/>
  <c r="AP155" i="73"/>
  <c r="AN155" i="73"/>
  <c r="AM155" i="73"/>
  <c r="AL155" i="73"/>
  <c r="AK155" i="73"/>
  <c r="AJ155" i="73"/>
  <c r="AI155" i="73"/>
  <c r="AH155" i="73"/>
  <c r="AG155" i="73"/>
  <c r="AF155" i="73"/>
  <c r="AE155" i="73"/>
  <c r="AD155" i="73"/>
  <c r="AC155" i="73"/>
  <c r="AB155" i="73"/>
  <c r="AA155" i="73"/>
  <c r="Z155" i="73"/>
  <c r="Y155" i="73"/>
  <c r="X155" i="73"/>
  <c r="W155" i="73"/>
  <c r="V155" i="73"/>
  <c r="U155" i="73"/>
  <c r="T155" i="73"/>
  <c r="S155" i="73"/>
  <c r="R155" i="73"/>
  <c r="Q155" i="73"/>
  <c r="P155" i="73"/>
  <c r="O155" i="73"/>
  <c r="N155" i="73"/>
  <c r="M155" i="73"/>
  <c r="L155" i="73"/>
  <c r="K155" i="73"/>
  <c r="J155" i="73"/>
  <c r="I155" i="73"/>
  <c r="H155" i="73"/>
  <c r="G155" i="73"/>
  <c r="F155" i="73"/>
  <c r="E155" i="73"/>
  <c r="BL147" i="73"/>
  <c r="BK147" i="73"/>
  <c r="BJ147" i="73"/>
  <c r="BI147" i="73"/>
  <c r="BH147" i="73"/>
  <c r="BG147" i="73"/>
  <c r="BF147" i="73"/>
  <c r="BE147" i="73"/>
  <c r="BD147" i="73"/>
  <c r="BC147" i="73"/>
  <c r="BB147" i="73"/>
  <c r="BA147" i="73"/>
  <c r="AZ147" i="73"/>
  <c r="AY147" i="73"/>
  <c r="AX147" i="73"/>
  <c r="AW147" i="73"/>
  <c r="AV147" i="73"/>
  <c r="AU147" i="73"/>
  <c r="AU321" i="73" s="1"/>
  <c r="AT147" i="73"/>
  <c r="AT321" i="73" s="1"/>
  <c r="AS147" i="73"/>
  <c r="AS321" i="73" s="1"/>
  <c r="AR147" i="73"/>
  <c r="AR321" i="73" s="1"/>
  <c r="AQ147" i="73"/>
  <c r="AQ321" i="73" s="1"/>
  <c r="AP147" i="73"/>
  <c r="AN147" i="73"/>
  <c r="AM147" i="73"/>
  <c r="AL147" i="73"/>
  <c r="AK147" i="73"/>
  <c r="AJ147" i="73"/>
  <c r="AI147" i="73"/>
  <c r="AH147" i="73"/>
  <c r="AG147" i="73"/>
  <c r="AF147" i="73"/>
  <c r="AE147" i="73"/>
  <c r="AD147" i="73"/>
  <c r="AC147" i="73"/>
  <c r="AB147" i="73"/>
  <c r="AA147" i="73"/>
  <c r="Z147" i="73"/>
  <c r="Y147" i="73"/>
  <c r="X147" i="73"/>
  <c r="W147" i="73"/>
  <c r="V147" i="73"/>
  <c r="U147" i="73"/>
  <c r="T147" i="73"/>
  <c r="S147" i="73"/>
  <c r="R147" i="73"/>
  <c r="Q147" i="73"/>
  <c r="P147" i="73"/>
  <c r="O147" i="73"/>
  <c r="N147" i="73"/>
  <c r="M147" i="73"/>
  <c r="L147" i="73"/>
  <c r="K147" i="73"/>
  <c r="J147" i="73"/>
  <c r="I147" i="73"/>
  <c r="H147" i="73"/>
  <c r="G147" i="73"/>
  <c r="F147" i="73"/>
  <c r="E147" i="73"/>
  <c r="BL139" i="73"/>
  <c r="BK139" i="73"/>
  <c r="BJ139" i="73"/>
  <c r="BI139" i="73"/>
  <c r="BH139" i="73"/>
  <c r="BG139" i="73"/>
  <c r="BF139" i="73"/>
  <c r="BE139" i="73"/>
  <c r="BD139" i="73"/>
  <c r="BC139" i="73"/>
  <c r="BB139" i="73"/>
  <c r="BA139" i="73"/>
  <c r="AZ139" i="73"/>
  <c r="AY139" i="73"/>
  <c r="AT139" i="73"/>
  <c r="AT320" i="73" s="1"/>
  <c r="AS139" i="73"/>
  <c r="AS320" i="73" s="1"/>
  <c r="AR139" i="73"/>
  <c r="AR320" i="73" s="1"/>
  <c r="AQ139" i="73"/>
  <c r="AQ320" i="73" s="1"/>
  <c r="AP139" i="73"/>
  <c r="AN139" i="73"/>
  <c r="AM139" i="73"/>
  <c r="AL139" i="73"/>
  <c r="AK139" i="73"/>
  <c r="AJ139" i="73"/>
  <c r="AI139" i="73"/>
  <c r="AH139" i="73"/>
  <c r="AG139" i="73"/>
  <c r="AF139" i="73"/>
  <c r="AE139" i="73"/>
  <c r="AD139" i="73"/>
  <c r="AC139" i="73"/>
  <c r="AB139" i="73"/>
  <c r="AA139" i="73"/>
  <c r="Z139" i="73"/>
  <c r="Y139" i="73"/>
  <c r="X139" i="73"/>
  <c r="M139" i="73"/>
  <c r="L139" i="73"/>
  <c r="K139" i="73"/>
  <c r="J139" i="73"/>
  <c r="I139" i="73"/>
  <c r="H139" i="73"/>
  <c r="G139" i="73"/>
  <c r="F139" i="73"/>
  <c r="E139" i="73"/>
  <c r="AX134" i="73"/>
  <c r="AX139" i="73" s="1"/>
  <c r="AW134" i="73"/>
  <c r="AW139" i="73" s="1"/>
  <c r="AV134" i="73"/>
  <c r="AV139" i="73" s="1"/>
  <c r="AU134" i="73"/>
  <c r="AU139" i="73" s="1"/>
  <c r="AU320" i="73" s="1"/>
  <c r="BL131" i="73"/>
  <c r="BK131" i="73"/>
  <c r="BJ131" i="73"/>
  <c r="BI131" i="73"/>
  <c r="BH131" i="73"/>
  <c r="BG131" i="73"/>
  <c r="BF131" i="73"/>
  <c r="BE131" i="73"/>
  <c r="BD131" i="73"/>
  <c r="BC131" i="73"/>
  <c r="BB131" i="73"/>
  <c r="BA131" i="73"/>
  <c r="AZ131" i="73"/>
  <c r="AY131" i="73"/>
  <c r="AX131" i="73"/>
  <c r="AW131" i="73"/>
  <c r="AV131" i="73"/>
  <c r="AU131" i="73"/>
  <c r="AT131" i="73"/>
  <c r="AS131" i="73"/>
  <c r="AR131" i="73"/>
  <c r="AQ131" i="73"/>
  <c r="AP131" i="73"/>
  <c r="AN131" i="73"/>
  <c r="AM131" i="73"/>
  <c r="AL131" i="73"/>
  <c r="AK131" i="73"/>
  <c r="AJ131" i="73"/>
  <c r="AI131" i="73"/>
  <c r="AH131" i="73"/>
  <c r="AG131" i="73"/>
  <c r="AF131" i="73"/>
  <c r="AE131" i="73"/>
  <c r="AD131" i="73"/>
  <c r="AC131" i="73"/>
  <c r="AB131" i="73"/>
  <c r="AA131" i="73"/>
  <c r="Z131" i="73"/>
  <c r="Y131" i="73"/>
  <c r="X131" i="73"/>
  <c r="W131" i="73"/>
  <c r="V131" i="73"/>
  <c r="U131" i="73"/>
  <c r="T131" i="73"/>
  <c r="S131" i="73"/>
  <c r="R131" i="73"/>
  <c r="Q131" i="73"/>
  <c r="P131" i="73"/>
  <c r="O131" i="73"/>
  <c r="N131" i="73"/>
  <c r="M131" i="73"/>
  <c r="L131" i="73"/>
  <c r="K131" i="73"/>
  <c r="J131" i="73"/>
  <c r="I131" i="73"/>
  <c r="H131" i="73"/>
  <c r="G131" i="73"/>
  <c r="F131" i="73"/>
  <c r="E131" i="73"/>
  <c r="BF123" i="73"/>
  <c r="BE123" i="73"/>
  <c r="BD123" i="73"/>
  <c r="BC123" i="73"/>
  <c r="BB123" i="73"/>
  <c r="BA123" i="73"/>
  <c r="AZ123" i="73"/>
  <c r="AY123" i="73"/>
  <c r="AX123" i="73"/>
  <c r="AW123" i="73"/>
  <c r="AV123" i="73"/>
  <c r="AU123" i="73"/>
  <c r="AT123" i="73"/>
  <c r="AS123" i="73"/>
  <c r="AR123" i="73"/>
  <c r="AQ123" i="73"/>
  <c r="AP123" i="73"/>
  <c r="AN123" i="73"/>
  <c r="AM123" i="73"/>
  <c r="AL123" i="73"/>
  <c r="AK123" i="73"/>
  <c r="AJ123" i="73"/>
  <c r="AI123" i="73"/>
  <c r="AH123" i="73"/>
  <c r="AG123" i="73"/>
  <c r="AF123" i="73"/>
  <c r="AE123" i="73"/>
  <c r="AD123" i="73"/>
  <c r="AC123" i="73"/>
  <c r="AB123" i="73"/>
  <c r="AA123" i="73"/>
  <c r="Z123" i="73"/>
  <c r="Y123" i="73"/>
  <c r="X123" i="73"/>
  <c r="W123" i="73"/>
  <c r="V123" i="73"/>
  <c r="U123" i="73"/>
  <c r="T123" i="73"/>
  <c r="S123" i="73"/>
  <c r="R123" i="73"/>
  <c r="Q123" i="73"/>
  <c r="P123" i="73"/>
  <c r="O123" i="73"/>
  <c r="N123" i="73"/>
  <c r="M123" i="73"/>
  <c r="L123" i="73"/>
  <c r="K123" i="73"/>
  <c r="J123" i="73"/>
  <c r="I123" i="73"/>
  <c r="H123" i="73"/>
  <c r="G123" i="73"/>
  <c r="F123" i="73"/>
  <c r="E123" i="73"/>
  <c r="AU115" i="73"/>
  <c r="AT115" i="73"/>
  <c r="AS115" i="73"/>
  <c r="AR115" i="73"/>
  <c r="AQ115" i="73"/>
  <c r="AP115" i="73"/>
  <c r="AP321" i="73" s="1"/>
  <c r="AN115" i="73"/>
  <c r="AN321" i="73" s="1"/>
  <c r="AM115" i="73"/>
  <c r="AM321" i="73" s="1"/>
  <c r="AL115" i="73"/>
  <c r="AL321" i="73" s="1"/>
  <c r="AK115" i="73"/>
  <c r="AK321" i="73" s="1"/>
  <c r="AJ115" i="73"/>
  <c r="AJ321" i="73" s="1"/>
  <c r="AI115" i="73"/>
  <c r="AI321" i="73" s="1"/>
  <c r="AH115" i="73"/>
  <c r="AH321" i="73" s="1"/>
  <c r="AG115" i="73"/>
  <c r="AG321" i="73" s="1"/>
  <c r="AF115" i="73"/>
  <c r="AF321" i="73" s="1"/>
  <c r="AE115" i="73"/>
  <c r="AE321" i="73" s="1"/>
  <c r="AD115" i="73"/>
  <c r="AD321" i="73" s="1"/>
  <c r="AC115" i="73"/>
  <c r="AC321" i="73" s="1"/>
  <c r="AB115" i="73"/>
  <c r="AB321" i="73" s="1"/>
  <c r="AA115" i="73"/>
  <c r="AA321" i="73" s="1"/>
  <c r="Z115" i="73"/>
  <c r="Z321" i="73" s="1"/>
  <c r="Y115" i="73"/>
  <c r="Y321" i="73" s="1"/>
  <c r="W115" i="73"/>
  <c r="V115" i="73"/>
  <c r="U115" i="73"/>
  <c r="T115" i="73"/>
  <c r="S115" i="73"/>
  <c r="R115" i="73"/>
  <c r="Q115" i="73"/>
  <c r="P115" i="73"/>
  <c r="O115" i="73"/>
  <c r="N115" i="73"/>
  <c r="M115" i="73"/>
  <c r="L115" i="73"/>
  <c r="K115" i="73"/>
  <c r="J115" i="73"/>
  <c r="I115" i="73"/>
  <c r="H115" i="73"/>
  <c r="G115" i="73"/>
  <c r="F115" i="73"/>
  <c r="E115" i="73"/>
  <c r="X111" i="73"/>
  <c r="X115" i="73" s="1"/>
  <c r="X321" i="73" s="1"/>
  <c r="AT107" i="73"/>
  <c r="AS107" i="73"/>
  <c r="AR107" i="73"/>
  <c r="AQ107" i="73"/>
  <c r="AP107" i="73"/>
  <c r="AP320" i="73" s="1"/>
  <c r="AN107" i="73"/>
  <c r="AN320" i="73" s="1"/>
  <c r="AM107" i="73"/>
  <c r="AM320" i="73" s="1"/>
  <c r="AL107" i="73"/>
  <c r="AL320" i="73" s="1"/>
  <c r="AK107" i="73"/>
  <c r="AK320" i="73" s="1"/>
  <c r="AJ107" i="73"/>
  <c r="AJ320" i="73" s="1"/>
  <c r="AI107" i="73"/>
  <c r="AI320" i="73" s="1"/>
  <c r="AH107" i="73"/>
  <c r="AH320" i="73" s="1"/>
  <c r="AG107" i="73"/>
  <c r="AG320" i="73" s="1"/>
  <c r="W107" i="73"/>
  <c r="W320" i="73" s="1"/>
  <c r="V107" i="73"/>
  <c r="V320" i="73" s="1"/>
  <c r="U107" i="73"/>
  <c r="U320" i="73" s="1"/>
  <c r="T107" i="73"/>
  <c r="T320" i="73" s="1"/>
  <c r="S107" i="73"/>
  <c r="S320" i="73" s="1"/>
  <c r="R107" i="73"/>
  <c r="Q107" i="73"/>
  <c r="P107" i="73"/>
  <c r="O107" i="73"/>
  <c r="N107" i="73"/>
  <c r="M107" i="73"/>
  <c r="L107" i="73"/>
  <c r="K107" i="73"/>
  <c r="J107" i="73"/>
  <c r="I107" i="73"/>
  <c r="H107" i="73"/>
  <c r="G107" i="73"/>
  <c r="F107" i="73"/>
  <c r="E107" i="73"/>
  <c r="AF105" i="73"/>
  <c r="AF107" i="73" s="1"/>
  <c r="AF320" i="73" s="1"/>
  <c r="AE105" i="73"/>
  <c r="AE107" i="73" s="1"/>
  <c r="AE320" i="73" s="1"/>
  <c r="AD105" i="73"/>
  <c r="AD107" i="73" s="1"/>
  <c r="AD320" i="73" s="1"/>
  <c r="AC105" i="73"/>
  <c r="AC107" i="73" s="1"/>
  <c r="AC320" i="73" s="1"/>
  <c r="AB105" i="73"/>
  <c r="AB107" i="73" s="1"/>
  <c r="AB320" i="73" s="1"/>
  <c r="AA105" i="73"/>
  <c r="AA107" i="73" s="1"/>
  <c r="AA320" i="73" s="1"/>
  <c r="Z105" i="73"/>
  <c r="Z107" i="73" s="1"/>
  <c r="Z320" i="73" s="1"/>
  <c r="Y105" i="73"/>
  <c r="Y107" i="73" s="1"/>
  <c r="Y320" i="73" s="1"/>
  <c r="X103" i="73"/>
  <c r="X107" i="73" s="1"/>
  <c r="X320" i="73" s="1"/>
  <c r="AU102" i="73"/>
  <c r="AU107" i="73" s="1"/>
  <c r="AU99" i="73"/>
  <c r="AT99" i="73"/>
  <c r="AS99" i="73"/>
  <c r="AR99" i="73"/>
  <c r="AQ99" i="73"/>
  <c r="AP99" i="73"/>
  <c r="AN99" i="73"/>
  <c r="AM99" i="73"/>
  <c r="AL99" i="73"/>
  <c r="AK99" i="73"/>
  <c r="AJ99" i="73"/>
  <c r="AI99" i="73"/>
  <c r="AH99" i="73"/>
  <c r="AG99" i="73"/>
  <c r="W99" i="73"/>
  <c r="V99" i="73"/>
  <c r="U99" i="73"/>
  <c r="T99" i="73"/>
  <c r="S99" i="73"/>
  <c r="R99" i="73"/>
  <c r="Q99" i="73"/>
  <c r="P99" i="73"/>
  <c r="O99" i="73"/>
  <c r="N99" i="73"/>
  <c r="M99" i="73"/>
  <c r="L99" i="73"/>
  <c r="K99" i="73"/>
  <c r="J99" i="73"/>
  <c r="I99" i="73"/>
  <c r="H99" i="73"/>
  <c r="G99" i="73"/>
  <c r="F99" i="73"/>
  <c r="E99" i="73"/>
  <c r="AF97" i="73"/>
  <c r="AF99" i="73" s="1"/>
  <c r="AE97" i="73"/>
  <c r="AE99" i="73" s="1"/>
  <c r="AD97" i="73"/>
  <c r="AD99" i="73" s="1"/>
  <c r="AC97" i="73"/>
  <c r="AC99" i="73" s="1"/>
  <c r="AB97" i="73"/>
  <c r="AB99" i="73" s="1"/>
  <c r="AA97" i="73"/>
  <c r="AA99" i="73" s="1"/>
  <c r="Z97" i="73"/>
  <c r="Z99" i="73" s="1"/>
  <c r="Y97" i="73"/>
  <c r="Y99" i="73" s="1"/>
  <c r="X95" i="73"/>
  <c r="X99" i="73" s="1"/>
  <c r="AU91" i="73"/>
  <c r="AS91" i="73"/>
  <c r="AR91" i="73"/>
  <c r="AQ91" i="73"/>
  <c r="AP91" i="73"/>
  <c r="AN91" i="73"/>
  <c r="AM91" i="73"/>
  <c r="AL91" i="73"/>
  <c r="AK91" i="73"/>
  <c r="AJ91" i="73"/>
  <c r="AI91" i="73"/>
  <c r="AH91" i="73"/>
  <c r="AG91" i="73"/>
  <c r="AF91" i="73"/>
  <c r="AE91" i="73"/>
  <c r="AD91" i="73"/>
  <c r="AC91" i="73"/>
  <c r="AB91" i="73"/>
  <c r="AA91" i="73"/>
  <c r="Z91" i="73"/>
  <c r="Y91" i="73"/>
  <c r="X91" i="73"/>
  <c r="W91" i="73"/>
  <c r="V91" i="73"/>
  <c r="U91" i="73"/>
  <c r="T91" i="73"/>
  <c r="S91" i="73"/>
  <c r="R91" i="73"/>
  <c r="Q91" i="73"/>
  <c r="P91" i="73"/>
  <c r="O91" i="73"/>
  <c r="N91" i="73"/>
  <c r="M91" i="73"/>
  <c r="L91" i="73"/>
  <c r="K91" i="73"/>
  <c r="J91" i="73"/>
  <c r="I91" i="73"/>
  <c r="H91" i="73"/>
  <c r="G91" i="73"/>
  <c r="F91" i="73"/>
  <c r="E91" i="73"/>
  <c r="AT87" i="73"/>
  <c r="AT91" i="73" s="1"/>
  <c r="AU83" i="73"/>
  <c r="AT83" i="73"/>
  <c r="AS83" i="73"/>
  <c r="AR83" i="73"/>
  <c r="AQ83" i="73"/>
  <c r="AP83" i="73"/>
  <c r="AN83" i="73"/>
  <c r="AM83" i="73"/>
  <c r="AL83" i="73"/>
  <c r="AK83" i="73"/>
  <c r="AJ83" i="73"/>
  <c r="AI83" i="73"/>
  <c r="AH83" i="73"/>
  <c r="AG83" i="73"/>
  <c r="AF83" i="73"/>
  <c r="AE83" i="73"/>
  <c r="AD83" i="73"/>
  <c r="AC83" i="73"/>
  <c r="AB83" i="73"/>
  <c r="AA83" i="73"/>
  <c r="Z83" i="73"/>
  <c r="Y83" i="73"/>
  <c r="W83" i="73"/>
  <c r="W321" i="73" s="1"/>
  <c r="V83" i="73"/>
  <c r="V321" i="73" s="1"/>
  <c r="U83" i="73"/>
  <c r="U321" i="73" s="1"/>
  <c r="T83" i="73"/>
  <c r="T321" i="73" s="1"/>
  <c r="S83" i="73"/>
  <c r="S321" i="73" s="1"/>
  <c r="R83" i="73"/>
  <c r="Q83" i="73"/>
  <c r="P83" i="73"/>
  <c r="O83" i="73"/>
  <c r="N83" i="73"/>
  <c r="M83" i="73"/>
  <c r="L83" i="73"/>
  <c r="K83" i="73"/>
  <c r="J83" i="73"/>
  <c r="I83" i="73"/>
  <c r="H83" i="73"/>
  <c r="G83" i="73"/>
  <c r="F83" i="73"/>
  <c r="E83" i="73"/>
  <c r="X79" i="73"/>
  <c r="X83" i="73" s="1"/>
  <c r="AU73" i="73"/>
  <c r="AT73" i="73"/>
  <c r="AS73" i="73"/>
  <c r="AR73" i="73"/>
  <c r="AQ73" i="73"/>
  <c r="AP73" i="73"/>
  <c r="AN73" i="73"/>
  <c r="AM73" i="73"/>
  <c r="AL73" i="73"/>
  <c r="AK73" i="73"/>
  <c r="AJ73" i="73"/>
  <c r="AI73" i="73"/>
  <c r="AH73" i="73"/>
  <c r="AG73" i="73"/>
  <c r="AF73" i="73"/>
  <c r="AE73" i="73"/>
  <c r="AD73" i="73"/>
  <c r="AC73" i="73"/>
  <c r="AB73" i="73"/>
  <c r="AA73" i="73"/>
  <c r="Z73" i="73"/>
  <c r="Y73" i="73"/>
  <c r="W73" i="73"/>
  <c r="V73" i="73"/>
  <c r="U73" i="73"/>
  <c r="T73" i="73"/>
  <c r="S73" i="73"/>
  <c r="R73" i="73"/>
  <c r="Q73" i="73"/>
  <c r="P73" i="73"/>
  <c r="O73" i="73"/>
  <c r="N73" i="73"/>
  <c r="M73" i="73"/>
  <c r="L73" i="73"/>
  <c r="K73" i="73"/>
  <c r="J73" i="73"/>
  <c r="I73" i="73"/>
  <c r="H73" i="73"/>
  <c r="G73" i="73"/>
  <c r="F73" i="73"/>
  <c r="E73" i="73"/>
  <c r="X69" i="73"/>
  <c r="X73" i="73" s="1"/>
  <c r="AU63" i="73"/>
  <c r="AT63" i="73"/>
  <c r="AS63" i="73"/>
  <c r="AR63" i="73"/>
  <c r="AQ63" i="73"/>
  <c r="AP63" i="73"/>
  <c r="AN63" i="73"/>
  <c r="AM63" i="73"/>
  <c r="AL63" i="73"/>
  <c r="AK63" i="73"/>
  <c r="AJ63" i="73"/>
  <c r="AI63" i="73"/>
  <c r="AH63" i="73"/>
  <c r="AG63" i="73"/>
  <c r="AF63" i="73"/>
  <c r="AE63" i="73"/>
  <c r="AD63" i="73"/>
  <c r="AC63" i="73"/>
  <c r="AB63" i="73"/>
  <c r="AA63" i="73"/>
  <c r="Z63" i="73"/>
  <c r="Y63" i="73"/>
  <c r="W63" i="73"/>
  <c r="V63" i="73"/>
  <c r="U63" i="73"/>
  <c r="T63" i="73"/>
  <c r="S63" i="73"/>
  <c r="R63" i="73"/>
  <c r="Q63" i="73"/>
  <c r="P63" i="73"/>
  <c r="O63" i="73"/>
  <c r="N63" i="73"/>
  <c r="M63" i="73"/>
  <c r="L63" i="73"/>
  <c r="K63" i="73"/>
  <c r="J63" i="73"/>
  <c r="I63" i="73"/>
  <c r="H63" i="73"/>
  <c r="G63" i="73"/>
  <c r="F63" i="73"/>
  <c r="E63" i="73"/>
  <c r="X59" i="73"/>
  <c r="X63" i="73" s="1"/>
  <c r="AU55" i="73"/>
  <c r="AT55" i="73"/>
  <c r="AS55" i="73"/>
  <c r="AR55" i="73"/>
  <c r="AQ55" i="73"/>
  <c r="AP55" i="73"/>
  <c r="AN55" i="73"/>
  <c r="AM55" i="73"/>
  <c r="AL55" i="73"/>
  <c r="AK55" i="73"/>
  <c r="AJ55" i="73"/>
  <c r="AI55" i="73"/>
  <c r="AH55" i="73"/>
  <c r="AG55" i="73"/>
  <c r="AF55" i="73"/>
  <c r="AE55" i="73"/>
  <c r="AD55" i="73"/>
  <c r="AC55" i="73"/>
  <c r="AB55" i="73"/>
  <c r="AA55" i="73"/>
  <c r="Z55" i="73"/>
  <c r="Y55" i="73"/>
  <c r="X55" i="73"/>
  <c r="W55" i="73"/>
  <c r="V55" i="73"/>
  <c r="U55" i="73"/>
  <c r="T55" i="73"/>
  <c r="S55" i="73"/>
  <c r="R55" i="73"/>
  <c r="Q55" i="73"/>
  <c r="P55" i="73"/>
  <c r="O55" i="73"/>
  <c r="N55" i="73"/>
  <c r="M55" i="73"/>
  <c r="L55" i="73"/>
  <c r="K55" i="73"/>
  <c r="J55" i="73"/>
  <c r="I55" i="73"/>
  <c r="H55" i="73"/>
  <c r="G55" i="73"/>
  <c r="F55" i="73"/>
  <c r="E55" i="73"/>
  <c r="BY243" i="73"/>
  <c r="BX243" i="73"/>
  <c r="BW243" i="73"/>
  <c r="BV243" i="73"/>
  <c r="BU243" i="73"/>
  <c r="BT243" i="73"/>
  <c r="BS243" i="73"/>
  <c r="BR243" i="73"/>
  <c r="BQ243" i="73"/>
  <c r="BP243" i="73"/>
  <c r="BO243" i="73"/>
  <c r="BN243" i="73"/>
  <c r="BM243" i="73"/>
  <c r="BL243" i="73"/>
  <c r="BK243" i="73"/>
  <c r="BJ243" i="73"/>
  <c r="BI243" i="73"/>
  <c r="BH243" i="73"/>
  <c r="BG243" i="73"/>
  <c r="BF243" i="73"/>
  <c r="BE243" i="73"/>
  <c r="BD243" i="73"/>
  <c r="BC243" i="73"/>
  <c r="BB243" i="73"/>
  <c r="BA243" i="73"/>
  <c r="AZ243" i="73"/>
  <c r="AY243" i="73"/>
  <c r="AX243" i="73"/>
  <c r="AW243" i="73"/>
  <c r="AV243" i="73"/>
  <c r="AU243" i="73"/>
  <c r="AT243" i="73"/>
  <c r="AS243" i="73"/>
  <c r="AR243" i="73"/>
  <c r="AQ243" i="73"/>
  <c r="AP243" i="73"/>
  <c r="AN243" i="73"/>
  <c r="AM243" i="73"/>
  <c r="AL243" i="73"/>
  <c r="AK243" i="73"/>
  <c r="AJ243" i="73"/>
  <c r="AI243" i="73"/>
  <c r="AH243" i="73"/>
  <c r="AG243" i="73"/>
  <c r="AF243" i="73"/>
  <c r="AE243" i="73"/>
  <c r="AD243" i="73"/>
  <c r="AC243" i="73"/>
  <c r="AB243" i="73"/>
  <c r="AA243" i="73"/>
  <c r="Z243" i="73"/>
  <c r="Y243" i="73"/>
  <c r="X243" i="73"/>
  <c r="W243" i="73"/>
  <c r="V243" i="73"/>
  <c r="U243" i="73"/>
  <c r="T243" i="73"/>
  <c r="S243" i="73"/>
  <c r="R243" i="73"/>
  <c r="Q243" i="73"/>
  <c r="P243" i="73"/>
  <c r="O243" i="73"/>
  <c r="N243" i="73"/>
  <c r="M243" i="73"/>
  <c r="L243" i="73"/>
  <c r="K243" i="73"/>
  <c r="J243" i="73"/>
  <c r="I243" i="73"/>
  <c r="H243" i="73"/>
  <c r="G243" i="73"/>
  <c r="F243" i="73"/>
  <c r="E243" i="73"/>
  <c r="BO215" i="73"/>
  <c r="BN215" i="73"/>
  <c r="BM215" i="73"/>
  <c r="BL215" i="73"/>
  <c r="BK215" i="73"/>
  <c r="BJ215" i="73"/>
  <c r="BI215" i="73"/>
  <c r="BH215" i="73"/>
  <c r="BG215" i="73"/>
  <c r="BF215" i="73"/>
  <c r="BE215" i="73"/>
  <c r="BD215" i="73"/>
  <c r="BC215" i="73"/>
  <c r="BB215" i="73"/>
  <c r="BA215" i="73"/>
  <c r="AZ215" i="73"/>
  <c r="AY215" i="73"/>
  <c r="AX215" i="73"/>
  <c r="AW215" i="73"/>
  <c r="AV215" i="73"/>
  <c r="AU215" i="73"/>
  <c r="AT215" i="73"/>
  <c r="AS215" i="73"/>
  <c r="AR215" i="73"/>
  <c r="AQ215" i="73"/>
  <c r="AP215" i="73"/>
  <c r="AN215" i="73"/>
  <c r="AM215" i="73"/>
  <c r="AL215" i="73"/>
  <c r="AK215" i="73"/>
  <c r="AJ215" i="73"/>
  <c r="AI215" i="73"/>
  <c r="AH215" i="73"/>
  <c r="AG215" i="73"/>
  <c r="AF215" i="73"/>
  <c r="AE215" i="73"/>
  <c r="AD215" i="73"/>
  <c r="AC215" i="73"/>
  <c r="AB215" i="73"/>
  <c r="AA215" i="73"/>
  <c r="Z215" i="73"/>
  <c r="Y215" i="73"/>
  <c r="X215" i="73"/>
  <c r="W215" i="73"/>
  <c r="V215" i="73"/>
  <c r="U215" i="73"/>
  <c r="T215" i="73"/>
  <c r="S215" i="73"/>
  <c r="R215" i="73"/>
  <c r="Q215" i="73"/>
  <c r="P215" i="73"/>
  <c r="O215" i="73"/>
  <c r="N215" i="73"/>
  <c r="M215" i="73"/>
  <c r="L215" i="73"/>
  <c r="K215" i="73"/>
  <c r="J215" i="73"/>
  <c r="I215" i="73"/>
  <c r="H215" i="73"/>
  <c r="G215" i="73"/>
  <c r="F215" i="73"/>
  <c r="E215" i="73"/>
  <c r="AF153" i="9"/>
  <c r="AB153" i="9" s="1"/>
  <c r="X153" i="9" s="1"/>
  <c r="T153" i="9" s="1"/>
  <c r="AF151" i="9"/>
  <c r="AE151" i="9" s="1"/>
  <c r="AD151" i="9" s="1"/>
  <c r="AC151" i="9" s="1"/>
  <c r="AB150" i="9"/>
  <c r="Z150" i="9" s="1"/>
  <c r="Y150" i="9" s="1"/>
  <c r="X150" i="9" s="1"/>
  <c r="W150" i="9" s="1"/>
  <c r="V150" i="9" s="1"/>
  <c r="U150" i="9" s="1"/>
  <c r="T150" i="9" s="1"/>
  <c r="S150" i="9" s="1"/>
  <c r="R150" i="9" s="1"/>
  <c r="Q150" i="9" s="1"/>
  <c r="R52" i="9"/>
  <c r="Q52" i="9"/>
  <c r="P52" i="9"/>
  <c r="O52" i="9"/>
  <c r="N52" i="9"/>
  <c r="M52" i="9"/>
  <c r="L52" i="9"/>
  <c r="K52" i="9"/>
  <c r="J52" i="9"/>
  <c r="I52" i="9"/>
  <c r="H52" i="9"/>
  <c r="G52" i="9"/>
  <c r="F52" i="9"/>
  <c r="E52" i="9"/>
  <c r="AS49" i="9"/>
  <c r="AR49" i="9"/>
  <c r="AQ49" i="9"/>
  <c r="AP49" i="9"/>
  <c r="AO49" i="9"/>
  <c r="AN49" i="9"/>
  <c r="AM49" i="9"/>
  <c r="AL49" i="9"/>
  <c r="AK49" i="9"/>
  <c r="AJ49" i="9"/>
  <c r="AI49" i="9"/>
  <c r="AH49" i="9"/>
  <c r="AF49" i="9"/>
  <c r="AE49" i="9"/>
  <c r="AD49" i="9"/>
  <c r="AC49" i="9"/>
  <c r="AB49" i="9"/>
  <c r="AA49" i="9"/>
  <c r="Z49" i="9"/>
  <c r="Y49" i="9"/>
  <c r="X49" i="9"/>
  <c r="W49" i="9"/>
  <c r="V49" i="9"/>
  <c r="U49" i="9"/>
  <c r="T49" i="9"/>
  <c r="S49" i="9"/>
  <c r="S50" i="9" s="1"/>
  <c r="R49" i="9"/>
  <c r="R50" i="9" s="1"/>
  <c r="Q49" i="9"/>
  <c r="Q50" i="9" s="1"/>
  <c r="P49" i="9"/>
  <c r="P50" i="9" s="1"/>
  <c r="O49" i="9"/>
  <c r="O50" i="9" s="1"/>
  <c r="N49" i="9"/>
  <c r="N50" i="9" s="1"/>
  <c r="M49" i="9"/>
  <c r="M50" i="9" s="1"/>
  <c r="L49" i="9"/>
  <c r="L50" i="9" s="1"/>
  <c r="K49" i="9"/>
  <c r="K50" i="9" s="1"/>
  <c r="J49" i="9"/>
  <c r="J50" i="9" s="1"/>
  <c r="I49" i="9"/>
  <c r="I50" i="9" s="1"/>
  <c r="H49" i="9"/>
  <c r="H50" i="9" s="1"/>
  <c r="G49" i="9"/>
  <c r="G50" i="9" s="1"/>
  <c r="F49" i="9"/>
  <c r="F50" i="9" s="1"/>
  <c r="E49" i="9"/>
  <c r="E50" i="9" s="1"/>
  <c r="AT45" i="9"/>
  <c r="AS45" i="9"/>
  <c r="AR45" i="9"/>
  <c r="AQ45" i="9"/>
  <c r="AP45" i="9"/>
  <c r="AN45" i="9"/>
  <c r="AM45" i="9"/>
  <c r="AL45" i="9"/>
  <c r="AK45" i="9"/>
  <c r="AI45" i="9"/>
  <c r="AH45" i="9"/>
  <c r="AG45" i="9"/>
  <c r="AF45" i="9"/>
  <c r="AE45" i="9"/>
  <c r="AD45" i="9"/>
  <c r="AC45" i="9"/>
  <c r="AB45" i="9"/>
  <c r="AA45" i="9"/>
  <c r="Z45" i="9"/>
  <c r="Y45" i="9"/>
  <c r="X45" i="9"/>
  <c r="W45" i="9"/>
  <c r="V45" i="9"/>
  <c r="U45" i="9"/>
  <c r="T45" i="9"/>
  <c r="S45" i="9"/>
  <c r="R45" i="9"/>
  <c r="Q45" i="9"/>
  <c r="P45" i="9"/>
  <c r="O45" i="9"/>
  <c r="N45" i="9"/>
  <c r="M45" i="9"/>
  <c r="AS18" i="9"/>
  <c r="AR18" i="9"/>
  <c r="AQ18" i="9"/>
  <c r="AP18" i="9"/>
  <c r="AN18" i="9"/>
  <c r="AM18" i="9"/>
  <c r="AL18" i="9"/>
  <c r="AK18" i="9"/>
  <c r="AJ18" i="9"/>
  <c r="AI18" i="9"/>
  <c r="AH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Z17" i="9"/>
  <c r="AS13" i="9"/>
  <c r="AR13" i="9"/>
  <c r="AQ13" i="9"/>
  <c r="AP13" i="9"/>
  <c r="AO13" i="9"/>
  <c r="AN13" i="9"/>
  <c r="AM13" i="9"/>
  <c r="AL13" i="9"/>
  <c r="AK13" i="9"/>
  <c r="AJ13" i="9"/>
  <c r="AI13" i="9"/>
  <c r="AH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AJ12" i="9"/>
  <c r="AI12" i="9"/>
  <c r="AH12" i="9"/>
  <c r="AB12" i="9"/>
  <c r="AA12" i="9"/>
  <c r="Z12" i="9"/>
  <c r="Y12" i="9"/>
  <c r="X12" i="9"/>
  <c r="W12" i="9"/>
  <c r="V12" i="9"/>
  <c r="U12" i="9"/>
  <c r="T12" i="9"/>
  <c r="S12" i="9"/>
  <c r="R12" i="9"/>
  <c r="Q12" i="9"/>
  <c r="P12" i="9"/>
  <c r="O12" i="9"/>
  <c r="N12" i="9"/>
  <c r="M12" i="9"/>
  <c r="L12" i="9"/>
  <c r="K12" i="9"/>
  <c r="J12" i="9"/>
  <c r="I12" i="9"/>
  <c r="H12" i="9"/>
  <c r="G12" i="9"/>
  <c r="F12" i="9"/>
  <c r="E12" i="9"/>
  <c r="E2" i="9"/>
  <c r="AK1" i="9"/>
  <c r="F1" i="9"/>
  <c r="R241" i="79"/>
  <c r="T241" i="79" s="1"/>
  <c r="R240" i="79"/>
  <c r="T240" i="79" s="1"/>
  <c r="R239" i="79"/>
  <c r="T239" i="79" s="1"/>
  <c r="R238" i="79"/>
  <c r="R237" i="79"/>
  <c r="T237" i="79" s="1"/>
  <c r="R236" i="79"/>
  <c r="T236" i="79" s="1"/>
  <c r="R235" i="79"/>
  <c r="T235" i="79" s="1"/>
  <c r="R234" i="79"/>
  <c r="T234" i="79" s="1"/>
  <c r="R233" i="79"/>
  <c r="T233" i="79" s="1"/>
  <c r="T230" i="79"/>
  <c r="T229" i="79"/>
  <c r="T228" i="79"/>
  <c r="T227" i="79"/>
  <c r="R224" i="79"/>
  <c r="T224" i="79" s="1"/>
  <c r="R223" i="79"/>
  <c r="T223" i="79" s="1"/>
  <c r="R222" i="79"/>
  <c r="T222" i="79" s="1"/>
  <c r="R221" i="79"/>
  <c r="T221" i="79" s="1"/>
  <c r="R218" i="79"/>
  <c r="T218" i="79" s="1"/>
  <c r="R217" i="79"/>
  <c r="T217" i="79" s="1"/>
  <c r="R216" i="79"/>
  <c r="T216" i="79" s="1"/>
  <c r="R213" i="79"/>
  <c r="T213" i="79" s="1"/>
  <c r="R212" i="79"/>
  <c r="T212" i="79" s="1"/>
  <c r="R211" i="79"/>
  <c r="T211" i="79" s="1"/>
  <c r="R210" i="79"/>
  <c r="T210" i="79" s="1"/>
  <c r="R209" i="79"/>
  <c r="T209" i="79" s="1"/>
  <c r="R208" i="79"/>
  <c r="T208" i="79" s="1"/>
  <c r="R207" i="79"/>
  <c r="T207" i="79" s="1"/>
  <c r="R206" i="79"/>
  <c r="T206" i="79" s="1"/>
  <c r="R205" i="79"/>
  <c r="T205" i="79" s="1"/>
  <c r="R204" i="79"/>
  <c r="T204" i="79" s="1"/>
  <c r="R201" i="79"/>
  <c r="T201" i="79" s="1"/>
  <c r="R200" i="79"/>
  <c r="T200" i="79" s="1"/>
  <c r="R198" i="79"/>
  <c r="T198" i="79" s="1"/>
  <c r="R197" i="79"/>
  <c r="T197" i="79" s="1"/>
  <c r="R196" i="79"/>
  <c r="T196" i="79" s="1"/>
  <c r="R195" i="79"/>
  <c r="T195" i="79" s="1"/>
  <c r="R194" i="79"/>
  <c r="T194" i="79" s="1"/>
  <c r="R191" i="79"/>
  <c r="T191" i="79" s="1"/>
  <c r="R190" i="79"/>
  <c r="T190" i="79" s="1"/>
  <c r="R188" i="79"/>
  <c r="T188" i="79" s="1"/>
  <c r="R187" i="79"/>
  <c r="T187" i="79" s="1"/>
  <c r="R186" i="79"/>
  <c r="T186" i="79" s="1"/>
  <c r="R185" i="79"/>
  <c r="T185" i="79" s="1"/>
  <c r="R184" i="79"/>
  <c r="T184" i="79" s="1"/>
  <c r="R181" i="79"/>
  <c r="T181" i="79" s="1"/>
  <c r="R180" i="79"/>
  <c r="T180" i="79" s="1"/>
  <c r="R178" i="79"/>
  <c r="T178" i="79" s="1"/>
  <c r="R177" i="79"/>
  <c r="T177" i="79" s="1"/>
  <c r="R176" i="79"/>
  <c r="T176" i="79" s="1"/>
  <c r="R175" i="79"/>
  <c r="T175" i="79" s="1"/>
  <c r="R172" i="79"/>
  <c r="T172" i="79" s="1"/>
  <c r="R171" i="79"/>
  <c r="T171" i="79" s="1"/>
  <c r="T169" i="79"/>
  <c r="R168" i="79"/>
  <c r="T168" i="79" s="1"/>
  <c r="R167" i="79"/>
  <c r="T167" i="79" s="1"/>
  <c r="R166" i="79"/>
  <c r="T166" i="79" s="1"/>
  <c r="T163" i="79"/>
  <c r="T162" i="79"/>
  <c r="T161" i="79"/>
  <c r="T159" i="79"/>
  <c r="R158" i="79"/>
  <c r="T158" i="79" s="1"/>
  <c r="R157" i="79"/>
  <c r="T157" i="79" s="1"/>
  <c r="T156" i="79"/>
  <c r="T155" i="79"/>
  <c r="T154" i="79"/>
  <c r="R151" i="79"/>
  <c r="T151" i="79" s="1"/>
  <c r="R150" i="79"/>
  <c r="T150" i="79" s="1"/>
  <c r="R149" i="79"/>
  <c r="T149" i="79" s="1"/>
  <c r="R147" i="79"/>
  <c r="T147" i="79" s="1"/>
  <c r="R146" i="79"/>
  <c r="T146" i="79" s="1"/>
  <c r="R145" i="79"/>
  <c r="T145" i="79" s="1"/>
  <c r="R144" i="79"/>
  <c r="T144" i="79" s="1"/>
  <c r="R143" i="79"/>
  <c r="T143" i="79" s="1"/>
  <c r="R142" i="79"/>
  <c r="T142" i="79" s="1"/>
  <c r="T139" i="79"/>
  <c r="T138" i="79"/>
  <c r="T137" i="79"/>
  <c r="R135" i="79"/>
  <c r="T135" i="79" s="1"/>
  <c r="R134" i="79"/>
  <c r="T134" i="79" s="1"/>
  <c r="R133" i="79"/>
  <c r="T133" i="79" s="1"/>
  <c r="T132" i="79"/>
  <c r="T131" i="79"/>
  <c r="R130" i="79"/>
  <c r="T130" i="79" s="1"/>
  <c r="R127" i="79"/>
  <c r="T127" i="79" s="1"/>
  <c r="R126" i="79"/>
  <c r="T126" i="79" s="1"/>
  <c r="R125" i="79"/>
  <c r="T125" i="79" s="1"/>
  <c r="R123" i="79"/>
  <c r="T123" i="79" s="1"/>
  <c r="R122" i="79"/>
  <c r="T122" i="79" s="1"/>
  <c r="R121" i="79"/>
  <c r="T121" i="79" s="1"/>
  <c r="R120" i="79"/>
  <c r="T120" i="79" s="1"/>
  <c r="R119" i="79"/>
  <c r="T119" i="79" s="1"/>
  <c r="R118" i="79"/>
  <c r="T118" i="79" s="1"/>
  <c r="S116" i="79"/>
  <c r="S128" i="79" s="1"/>
  <c r="S140" i="79" s="1"/>
  <c r="S152" i="79" s="1"/>
  <c r="S164" i="79" s="1"/>
  <c r="S173" i="79" s="1"/>
  <c r="S182" i="79" s="1"/>
  <c r="S192" i="79" s="1"/>
  <c r="S202" i="79" s="1"/>
  <c r="S214" i="79" s="1"/>
  <c r="S219" i="79" s="1"/>
  <c r="S225" i="79" s="1"/>
  <c r="S231" i="79" s="1"/>
  <c r="S242" i="79" s="1"/>
  <c r="S246" i="79" s="1"/>
  <c r="S252" i="79" s="1"/>
  <c r="S258" i="79" s="1"/>
  <c r="S268" i="79" s="1"/>
  <c r="R115" i="79"/>
  <c r="T115" i="79" s="1"/>
  <c r="R111" i="79"/>
  <c r="R110" i="79"/>
  <c r="R107" i="79"/>
  <c r="R104" i="79"/>
  <c r="T104" i="79" s="1"/>
  <c r="T103" i="79"/>
  <c r="T102" i="79"/>
  <c r="T99" i="79"/>
  <c r="T98" i="79"/>
  <c r="R97" i="79"/>
  <c r="T97" i="79" s="1"/>
  <c r="T94" i="79"/>
  <c r="T93" i="79"/>
  <c r="T92" i="79"/>
  <c r="T89" i="79"/>
  <c r="T88" i="79"/>
  <c r="R87" i="79"/>
  <c r="T87" i="79" s="1"/>
  <c r="J85" i="79"/>
  <c r="J95" i="79" s="1"/>
  <c r="J105" i="79" s="1"/>
  <c r="J116" i="79" s="1"/>
  <c r="J128" i="79" s="1"/>
  <c r="J140" i="79" s="1"/>
  <c r="J152" i="79" s="1"/>
  <c r="J164" i="79" s="1"/>
  <c r="J173" i="79" s="1"/>
  <c r="J182" i="79" s="1"/>
  <c r="J192" i="79" s="1"/>
  <c r="J202" i="79" s="1"/>
  <c r="J214" i="79" s="1"/>
  <c r="J219" i="79" s="1"/>
  <c r="J225" i="79" s="1"/>
  <c r="J231" i="79" s="1"/>
  <c r="J242" i="79" s="1"/>
  <c r="J246" i="79" s="1"/>
  <c r="J252" i="79" s="1"/>
  <c r="J258" i="79" s="1"/>
  <c r="J268" i="79" s="1"/>
  <c r="I85" i="79"/>
  <c r="I95" i="79" s="1"/>
  <c r="I105" i="79" s="1"/>
  <c r="I116" i="79" s="1"/>
  <c r="I128" i="79" s="1"/>
  <c r="I140" i="79" s="1"/>
  <c r="I152" i="79" s="1"/>
  <c r="I164" i="79" s="1"/>
  <c r="I173" i="79" s="1"/>
  <c r="I182" i="79" s="1"/>
  <c r="I192" i="79" s="1"/>
  <c r="I202" i="79" s="1"/>
  <c r="I214" i="79" s="1"/>
  <c r="I219" i="79" s="1"/>
  <c r="I225" i="79" s="1"/>
  <c r="I231" i="79" s="1"/>
  <c r="H85" i="79"/>
  <c r="H95" i="79" s="1"/>
  <c r="H105" i="79" s="1"/>
  <c r="H116" i="79" s="1"/>
  <c r="H128" i="79" s="1"/>
  <c r="H140" i="79" s="1"/>
  <c r="H152" i="79" s="1"/>
  <c r="H164" i="79" s="1"/>
  <c r="H173" i="79" s="1"/>
  <c r="H182" i="79" s="1"/>
  <c r="H192" i="79" s="1"/>
  <c r="H202" i="79" s="1"/>
  <c r="H214" i="79" s="1"/>
  <c r="H219" i="79" s="1"/>
  <c r="H225" i="79" s="1"/>
  <c r="H231" i="79" s="1"/>
  <c r="R84" i="79"/>
  <c r="T84" i="79" s="1"/>
  <c r="R83" i="79"/>
  <c r="T83" i="79" s="1"/>
  <c r="R82" i="79"/>
  <c r="T82" i="79" s="1"/>
  <c r="T80" i="79"/>
  <c r="T79" i="79"/>
  <c r="R78" i="79"/>
  <c r="T78" i="79" s="1"/>
  <c r="R77" i="79"/>
  <c r="T77" i="79" s="1"/>
  <c r="R74" i="79"/>
  <c r="T74" i="79" s="1"/>
  <c r="T73" i="79"/>
  <c r="T72" i="79"/>
  <c r="T70" i="79"/>
  <c r="T69" i="79"/>
  <c r="R68" i="79"/>
  <c r="T68" i="79" s="1"/>
  <c r="P66" i="79"/>
  <c r="P75" i="79" s="1"/>
  <c r="P85" i="79" s="1"/>
  <c r="P95" i="79" s="1"/>
  <c r="P105" i="79" s="1"/>
  <c r="P116" i="79" s="1"/>
  <c r="P128" i="79" s="1"/>
  <c r="P140" i="79" s="1"/>
  <c r="P152" i="79" s="1"/>
  <c r="P164" i="79" s="1"/>
  <c r="P173" i="79" s="1"/>
  <c r="P182" i="79" s="1"/>
  <c r="P192" i="79" s="1"/>
  <c r="P202" i="79" s="1"/>
  <c r="P214" i="79" s="1"/>
  <c r="P219" i="79" s="1"/>
  <c r="P225" i="79" s="1"/>
  <c r="P231" i="79" s="1"/>
  <c r="P242" i="79" s="1"/>
  <c r="P246" i="79" s="1"/>
  <c r="P252" i="79" s="1"/>
  <c r="P258" i="79" s="1"/>
  <c r="P268" i="79" s="1"/>
  <c r="R65" i="79"/>
  <c r="T65" i="79" s="1"/>
  <c r="R64" i="79"/>
  <c r="T64" i="79" s="1"/>
  <c r="R63" i="79"/>
  <c r="T63" i="79" s="1"/>
  <c r="R60" i="79"/>
  <c r="T60" i="79" s="1"/>
  <c r="R59" i="79"/>
  <c r="T59" i="79" s="1"/>
  <c r="R56" i="79"/>
  <c r="T56" i="79" s="1"/>
  <c r="R55" i="79"/>
  <c r="T55" i="79" s="1"/>
  <c r="R54" i="79"/>
  <c r="T54" i="79" s="1"/>
  <c r="R53" i="79"/>
  <c r="T53" i="79" s="1"/>
  <c r="R52" i="79"/>
  <c r="T52" i="79" s="1"/>
  <c r="R51" i="79"/>
  <c r="T51" i="79" s="1"/>
  <c r="R50" i="79"/>
  <c r="T50" i="79" s="1"/>
  <c r="R47" i="79"/>
  <c r="T47" i="79" s="1"/>
  <c r="R45" i="79"/>
  <c r="T45" i="79" s="1"/>
  <c r="S43" i="79"/>
  <c r="S48" i="79" s="1"/>
  <c r="S57" i="79" s="1"/>
  <c r="S61" i="79" s="1"/>
  <c r="S66" i="79" s="1"/>
  <c r="S75" i="79" s="1"/>
  <c r="S85" i="79" s="1"/>
  <c r="R42" i="79"/>
  <c r="T42" i="79" s="1"/>
  <c r="P41" i="79"/>
  <c r="P46" i="79" s="1"/>
  <c r="R46" i="79" s="1"/>
  <c r="T46" i="79" s="1"/>
  <c r="Q40" i="79"/>
  <c r="R40" i="79" s="1"/>
  <c r="T40" i="79" s="1"/>
  <c r="R37" i="79"/>
  <c r="T37" i="79" s="1"/>
  <c r="R36" i="79"/>
  <c r="T36" i="79" s="1"/>
  <c r="R33" i="79"/>
  <c r="T33" i="79" s="1"/>
  <c r="R32" i="79"/>
  <c r="T32" i="79" s="1"/>
  <c r="R31" i="79"/>
  <c r="T31" i="79" s="1"/>
  <c r="R30" i="79"/>
  <c r="T30" i="79" s="1"/>
  <c r="R29" i="79"/>
  <c r="T29" i="79" s="1"/>
  <c r="R28" i="79"/>
  <c r="T28" i="79" s="1"/>
  <c r="R27" i="79"/>
  <c r="T27" i="79" s="1"/>
  <c r="R26" i="79"/>
  <c r="T26" i="79" s="1"/>
  <c r="R23" i="79"/>
  <c r="T23" i="79" s="1"/>
  <c r="R22" i="79"/>
  <c r="T22" i="79" s="1"/>
  <c r="R21" i="79"/>
  <c r="T21" i="79" s="1"/>
  <c r="R20" i="79"/>
  <c r="T20" i="79" s="1"/>
  <c r="R19" i="79"/>
  <c r="T19" i="79" s="1"/>
  <c r="S17" i="79"/>
  <c r="S24" i="79" s="1"/>
  <c r="Q17" i="79"/>
  <c r="Q24" i="79" s="1"/>
  <c r="Q34" i="79" s="1"/>
  <c r="Q38" i="79" s="1"/>
  <c r="P17" i="79"/>
  <c r="P24" i="79" s="1"/>
  <c r="P34" i="79" s="1"/>
  <c r="P38" i="79" s="1"/>
  <c r="O17" i="79"/>
  <c r="O24" i="79" s="1"/>
  <c r="O34" i="79" s="1"/>
  <c r="O38" i="79" s="1"/>
  <c r="O43" i="79" s="1"/>
  <c r="O48" i="79" s="1"/>
  <c r="O57" i="79" s="1"/>
  <c r="O61" i="79" s="1"/>
  <c r="O66" i="79" s="1"/>
  <c r="O75" i="79" s="1"/>
  <c r="O85" i="79" s="1"/>
  <c r="O95" i="79" s="1"/>
  <c r="O105" i="79" s="1"/>
  <c r="O116" i="79" s="1"/>
  <c r="O128" i="79" s="1"/>
  <c r="O140" i="79" s="1"/>
  <c r="O152" i="79" s="1"/>
  <c r="O164" i="79" s="1"/>
  <c r="O173" i="79" s="1"/>
  <c r="O182" i="79" s="1"/>
  <c r="O192" i="79" s="1"/>
  <c r="O202" i="79" s="1"/>
  <c r="O214" i="79" s="1"/>
  <c r="O219" i="79" s="1"/>
  <c r="O225" i="79" s="1"/>
  <c r="O231" i="79" s="1"/>
  <c r="O242" i="79" s="1"/>
  <c r="N17" i="79"/>
  <c r="N24" i="79" s="1"/>
  <c r="N34" i="79" s="1"/>
  <c r="N38" i="79" s="1"/>
  <c r="N43" i="79" s="1"/>
  <c r="N48" i="79" s="1"/>
  <c r="N57" i="79" s="1"/>
  <c r="N61" i="79" s="1"/>
  <c r="N66" i="79" s="1"/>
  <c r="N75" i="79" s="1"/>
  <c r="N85" i="79" s="1"/>
  <c r="N95" i="79" s="1"/>
  <c r="N105" i="79" s="1"/>
  <c r="N116" i="79" s="1"/>
  <c r="N128" i="79" s="1"/>
  <c r="N140" i="79" s="1"/>
  <c r="N152" i="79" s="1"/>
  <c r="N164" i="79" s="1"/>
  <c r="N173" i="79" s="1"/>
  <c r="N182" i="79" s="1"/>
  <c r="N192" i="79" s="1"/>
  <c r="N202" i="79" s="1"/>
  <c r="N214" i="79" s="1"/>
  <c r="N219" i="79" s="1"/>
  <c r="N225" i="79" s="1"/>
  <c r="N231" i="79" s="1"/>
  <c r="N242" i="79" s="1"/>
  <c r="N246" i="79" s="1"/>
  <c r="N252" i="79" s="1"/>
  <c r="N258" i="79" s="1"/>
  <c r="N268" i="79" s="1"/>
  <c r="M17" i="79"/>
  <c r="M24" i="79" s="1"/>
  <c r="M34" i="79" s="1"/>
  <c r="M38" i="79" s="1"/>
  <c r="M43" i="79" s="1"/>
  <c r="M48" i="79" s="1"/>
  <c r="M57" i="79" s="1"/>
  <c r="M61" i="79" s="1"/>
  <c r="M66" i="79" s="1"/>
  <c r="M75" i="79" s="1"/>
  <c r="M85" i="79" s="1"/>
  <c r="M95" i="79" s="1"/>
  <c r="M105" i="79" s="1"/>
  <c r="M116" i="79" s="1"/>
  <c r="M128" i="79" s="1"/>
  <c r="M140" i="79" s="1"/>
  <c r="M152" i="79" s="1"/>
  <c r="M164" i="79" s="1"/>
  <c r="M173" i="79" s="1"/>
  <c r="M182" i="79" s="1"/>
  <c r="M192" i="79" s="1"/>
  <c r="M202" i="79" s="1"/>
  <c r="M214" i="79" s="1"/>
  <c r="M219" i="79" s="1"/>
  <c r="M225" i="79" s="1"/>
  <c r="M231" i="79" s="1"/>
  <c r="M242" i="79" s="1"/>
  <c r="M246" i="79" s="1"/>
  <c r="M252" i="79" s="1"/>
  <c r="M258" i="79" s="1"/>
  <c r="M268" i="79" s="1"/>
  <c r="K17" i="79"/>
  <c r="K24" i="79" s="1"/>
  <c r="K34" i="79" s="1"/>
  <c r="K38" i="79" s="1"/>
  <c r="K43" i="79" s="1"/>
  <c r="K48" i="79" s="1"/>
  <c r="K57" i="79" s="1"/>
  <c r="K61" i="79" s="1"/>
  <c r="K66" i="79" s="1"/>
  <c r="K75" i="79" s="1"/>
  <c r="K85" i="79" s="1"/>
  <c r="K95" i="79" s="1"/>
  <c r="K105" i="79" s="1"/>
  <c r="K116" i="79" s="1"/>
  <c r="K128" i="79" s="1"/>
  <c r="K140" i="79" s="1"/>
  <c r="K152" i="79" s="1"/>
  <c r="K164" i="79" s="1"/>
  <c r="K173" i="79" s="1"/>
  <c r="K182" i="79" s="1"/>
  <c r="K192" i="79" s="1"/>
  <c r="K202" i="79" s="1"/>
  <c r="K214" i="79" s="1"/>
  <c r="K219" i="79" s="1"/>
  <c r="K225" i="79" s="1"/>
  <c r="K231" i="79" s="1"/>
  <c r="K242" i="79" s="1"/>
  <c r="K246" i="79" s="1"/>
  <c r="K252" i="79" s="1"/>
  <c r="K258" i="79" s="1"/>
  <c r="K268" i="79" s="1"/>
  <c r="I17" i="79"/>
  <c r="I24" i="79" s="1"/>
  <c r="I34" i="79" s="1"/>
  <c r="I38" i="79" s="1"/>
  <c r="I43" i="79" s="1"/>
  <c r="I48" i="79" s="1"/>
  <c r="I57" i="79" s="1"/>
  <c r="H17" i="79"/>
  <c r="H24" i="79" s="1"/>
  <c r="H34" i="79" s="1"/>
  <c r="H38" i="79" s="1"/>
  <c r="H43" i="79" s="1"/>
  <c r="H48" i="79" s="1"/>
  <c r="H57" i="79" s="1"/>
  <c r="F17" i="79"/>
  <c r="F24" i="79" s="1"/>
  <c r="F34" i="79" s="1"/>
  <c r="F38" i="79" s="1"/>
  <c r="F43" i="79" s="1"/>
  <c r="F48" i="79" s="1"/>
  <c r="F57" i="79" s="1"/>
  <c r="F61" i="79" s="1"/>
  <c r="F66" i="79" s="1"/>
  <c r="F75" i="79" s="1"/>
  <c r="F85" i="79" s="1"/>
  <c r="F95" i="79" s="1"/>
  <c r="F105" i="79" s="1"/>
  <c r="F116" i="79" s="1"/>
  <c r="F128" i="79" s="1"/>
  <c r="F140" i="79" s="1"/>
  <c r="F152" i="79" s="1"/>
  <c r="F164" i="79" s="1"/>
  <c r="F173" i="79" s="1"/>
  <c r="F182" i="79" s="1"/>
  <c r="F192" i="79" s="1"/>
  <c r="F202" i="79" s="1"/>
  <c r="F214" i="79" s="1"/>
  <c r="F219" i="79" s="1"/>
  <c r="F225" i="79" s="1"/>
  <c r="F231" i="79" s="1"/>
  <c r="E17" i="79"/>
  <c r="E24" i="79" s="1"/>
  <c r="R16" i="79"/>
  <c r="T16" i="79" s="1"/>
  <c r="R15" i="79"/>
  <c r="T15" i="79" s="1"/>
  <c r="R14" i="79"/>
  <c r="T14" i="79" s="1"/>
  <c r="R13" i="79"/>
  <c r="T13" i="79" s="1"/>
  <c r="R12" i="79"/>
  <c r="T12" i="79" s="1"/>
  <c r="R11" i="79"/>
  <c r="T11" i="79" s="1"/>
  <c r="R10" i="79"/>
  <c r="T10" i="79" s="1"/>
  <c r="R9" i="79"/>
  <c r="T9" i="79" s="1"/>
  <c r="R8" i="79"/>
  <c r="T8" i="79" s="1"/>
  <c r="R6" i="79"/>
  <c r="Q37" i="67"/>
  <c r="Q33" i="67" s="1"/>
  <c r="J37" i="67"/>
  <c r="J33" i="67" s="1"/>
  <c r="AJ33" i="67"/>
  <c r="AI33" i="67"/>
  <c r="AH33" i="67"/>
  <c r="AG33" i="67"/>
  <c r="AF33" i="67"/>
  <c r="AE33" i="67"/>
  <c r="AD33" i="67"/>
  <c r="AC33" i="67"/>
  <c r="AB33" i="67"/>
  <c r="AA33" i="67"/>
  <c r="Z33" i="67"/>
  <c r="Y33" i="67"/>
  <c r="X33" i="67"/>
  <c r="W33" i="67"/>
  <c r="V33" i="67"/>
  <c r="U33" i="67"/>
  <c r="T33" i="67"/>
  <c r="S33" i="67"/>
  <c r="R33" i="67"/>
  <c r="P33" i="67"/>
  <c r="O33" i="67"/>
  <c r="N33" i="67"/>
  <c r="M33" i="67"/>
  <c r="L33" i="67"/>
  <c r="K33" i="67"/>
  <c r="I33" i="67"/>
  <c r="H33" i="67"/>
  <c r="G33" i="67"/>
  <c r="F33" i="67"/>
  <c r="E33" i="67"/>
  <c r="AJ29" i="67"/>
  <c r="AI29" i="67"/>
  <c r="AH29" i="67"/>
  <c r="AG29" i="67"/>
  <c r="AF29" i="67"/>
  <c r="AE29" i="67"/>
  <c r="AD29" i="67"/>
  <c r="AC29" i="67"/>
  <c r="AB29" i="67"/>
  <c r="AA29" i="67"/>
  <c r="Z29" i="67"/>
  <c r="Y29" i="67"/>
  <c r="X29" i="67"/>
  <c r="W29" i="67"/>
  <c r="V29" i="67"/>
  <c r="U29" i="67"/>
  <c r="T29" i="67"/>
  <c r="S29" i="67"/>
  <c r="R29" i="67"/>
  <c r="Q29" i="67"/>
  <c r="P29" i="67"/>
  <c r="O29" i="67"/>
  <c r="N29" i="67"/>
  <c r="M29" i="67"/>
  <c r="L29" i="67"/>
  <c r="K29" i="67"/>
  <c r="J29" i="67"/>
  <c r="I29" i="67"/>
  <c r="H29" i="67"/>
  <c r="G29" i="67"/>
  <c r="F29" i="67"/>
  <c r="E29"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F22" i="67"/>
  <c r="E22" i="67"/>
  <c r="AJ17" i="67"/>
  <c r="AJ20" i="67" s="1"/>
  <c r="AI17" i="67"/>
  <c r="AI20" i="67" s="1"/>
  <c r="AH17" i="67"/>
  <c r="AH20" i="67" s="1"/>
  <c r="AG17" i="67"/>
  <c r="AG20" i="67" s="1"/>
  <c r="AF17" i="67"/>
  <c r="AF20" i="67" s="1"/>
  <c r="AE17" i="67"/>
  <c r="AE20" i="67" s="1"/>
  <c r="AD17" i="67"/>
  <c r="AD20" i="67" s="1"/>
  <c r="AC17" i="67"/>
  <c r="AC20" i="67" s="1"/>
  <c r="AB17" i="67"/>
  <c r="AB20" i="67" s="1"/>
  <c r="AA17" i="67"/>
  <c r="AA20" i="67" s="1"/>
  <c r="Z17" i="67"/>
  <c r="Z20" i="67" s="1"/>
  <c r="Y17" i="67"/>
  <c r="Y20" i="67" s="1"/>
  <c r="X17" i="67"/>
  <c r="X20" i="67" s="1"/>
  <c r="W17" i="67"/>
  <c r="W20" i="67" s="1"/>
  <c r="V17" i="67"/>
  <c r="V20" i="67" s="1"/>
  <c r="U17" i="67"/>
  <c r="U20" i="67" s="1"/>
  <c r="T17" i="67"/>
  <c r="T20" i="67" s="1"/>
  <c r="S17" i="67"/>
  <c r="S20" i="67" s="1"/>
  <c r="AJ13" i="67"/>
  <c r="AI13" i="67"/>
  <c r="AH13" i="67"/>
  <c r="AG13" i="67"/>
  <c r="AF13" i="67"/>
  <c r="AE13" i="67"/>
  <c r="AD13" i="67"/>
  <c r="AC13" i="67"/>
  <c r="AB13" i="67"/>
  <c r="AA13" i="67"/>
  <c r="Z13" i="67"/>
  <c r="Y13" i="67"/>
  <c r="X13" i="67"/>
  <c r="W13" i="67"/>
  <c r="V13" i="67"/>
  <c r="U13" i="67"/>
  <c r="T13" i="67"/>
  <c r="S13" i="67"/>
  <c r="R13" i="67"/>
  <c r="Q13" i="67"/>
  <c r="P13" i="67"/>
  <c r="O13" i="67"/>
  <c r="N13" i="67"/>
  <c r="M13" i="67"/>
  <c r="L13" i="67"/>
  <c r="K13" i="67"/>
  <c r="J13" i="67"/>
  <c r="I13" i="67"/>
  <c r="H13" i="67"/>
  <c r="G13" i="67"/>
  <c r="F13" i="67"/>
  <c r="E13" i="67"/>
  <c r="AJ9" i="67"/>
  <c r="AI9" i="67"/>
  <c r="AH9" i="67"/>
  <c r="AG9" i="67"/>
  <c r="AF9" i="67"/>
  <c r="AE9" i="67"/>
  <c r="AD9" i="67"/>
  <c r="AC9" i="67"/>
  <c r="AB9" i="67"/>
  <c r="AA9" i="67"/>
  <c r="Z9" i="67"/>
  <c r="Y9" i="67"/>
  <c r="X9" i="67"/>
  <c r="W9" i="67"/>
  <c r="V9" i="67"/>
  <c r="U9" i="67"/>
  <c r="T9" i="67"/>
  <c r="S9" i="67"/>
  <c r="R9" i="67"/>
  <c r="Q9" i="67"/>
  <c r="P9" i="67"/>
  <c r="O9" i="67"/>
  <c r="N9" i="67"/>
  <c r="M9" i="67"/>
  <c r="L9" i="67"/>
  <c r="K9" i="67"/>
  <c r="J9" i="67"/>
  <c r="I9" i="67"/>
  <c r="H9" i="67"/>
  <c r="G9" i="67"/>
  <c r="F9" i="67"/>
  <c r="E9" i="67"/>
  <c r="G2" i="67"/>
  <c r="F2" i="67"/>
  <c r="E2" i="67"/>
  <c r="H1" i="67"/>
  <c r="H2" i="67" s="1"/>
  <c r="T101" i="63"/>
  <c r="S101" i="63" s="1"/>
  <c r="R101" i="63" s="1"/>
  <c r="Q101" i="63" s="1"/>
  <c r="P101" i="63" s="1"/>
  <c r="O101" i="63" s="1"/>
  <c r="N101" i="63" s="1"/>
  <c r="M101" i="63" s="1"/>
  <c r="L101" i="63" s="1"/>
  <c r="K101" i="63" s="1"/>
  <c r="J101" i="63" s="1"/>
  <c r="I101" i="63" s="1"/>
  <c r="H101" i="63" s="1"/>
  <c r="G101" i="63" s="1"/>
  <c r="F101" i="63" s="1"/>
  <c r="E101" i="63" s="1"/>
  <c r="AG94" i="63"/>
  <c r="AH93" i="63" s="1"/>
  <c r="AF94" i="63"/>
  <c r="AE94" i="63"/>
  <c r="AF93" i="63" s="1"/>
  <c r="AD94" i="63"/>
  <c r="AC94" i="63"/>
  <c r="AD93" i="63" s="1"/>
  <c r="AB94" i="63"/>
  <c r="AA94" i="63"/>
  <c r="AB93" i="63" s="1"/>
  <c r="Z94" i="63"/>
  <c r="AA93" i="63" s="1"/>
  <c r="Y94" i="63"/>
  <c r="Z93" i="63" s="1"/>
  <c r="X94" i="63"/>
  <c r="Y93" i="63" s="1"/>
  <c r="W94" i="63"/>
  <c r="X93" i="63" s="1"/>
  <c r="V94" i="63"/>
  <c r="T94" i="63"/>
  <c r="S94" i="63"/>
  <c r="R94" i="63"/>
  <c r="Q94" i="63"/>
  <c r="P94" i="63"/>
  <c r="O94" i="63"/>
  <c r="N94" i="63"/>
  <c r="M94" i="63"/>
  <c r="L94" i="63"/>
  <c r="K94" i="63"/>
  <c r="J94" i="63"/>
  <c r="I94" i="63"/>
  <c r="H94" i="63"/>
  <c r="G94" i="63"/>
  <c r="F94" i="63"/>
  <c r="E94" i="63"/>
  <c r="Q93" i="63"/>
  <c r="P93" i="63"/>
  <c r="O93" i="63"/>
  <c r="N93" i="63"/>
  <c r="M93" i="63"/>
  <c r="L93" i="63"/>
  <c r="K93" i="63"/>
  <c r="J93" i="63"/>
  <c r="I93" i="63"/>
  <c r="H93" i="63"/>
  <c r="G93" i="63"/>
  <c r="F93" i="63"/>
  <c r="E93" i="63"/>
  <c r="G91" i="63"/>
  <c r="F91" i="63"/>
  <c r="AG87" i="63"/>
  <c r="AF87" i="63"/>
  <c r="AE87" i="63"/>
  <c r="AD87" i="63"/>
  <c r="AC87" i="63"/>
  <c r="AB87" i="63"/>
  <c r="AA87" i="63"/>
  <c r="Z87" i="63"/>
  <c r="Y87" i="63"/>
  <c r="X87" i="63"/>
  <c r="W87" i="63"/>
  <c r="V87" i="63"/>
  <c r="U87" i="63"/>
  <c r="T87" i="63"/>
  <c r="S87" i="63"/>
  <c r="R87" i="63"/>
  <c r="Q87" i="63"/>
  <c r="P87" i="63"/>
  <c r="O87" i="63"/>
  <c r="M87" i="63"/>
  <c r="L87" i="63"/>
  <c r="J87" i="63"/>
  <c r="I87" i="63"/>
  <c r="H87" i="63"/>
  <c r="G87" i="63"/>
  <c r="F87" i="63"/>
  <c r="E87" i="63"/>
  <c r="K84" i="63"/>
  <c r="K87" i="63" s="1"/>
  <c r="N81" i="63"/>
  <c r="N87" i="63" s="1"/>
  <c r="AG79" i="63"/>
  <c r="AF79" i="63"/>
  <c r="AE79" i="63"/>
  <c r="AD79" i="63"/>
  <c r="AC79" i="63"/>
  <c r="AB79" i="63"/>
  <c r="AA79" i="63"/>
  <c r="Z79" i="63"/>
  <c r="Y79" i="63"/>
  <c r="X79" i="63"/>
  <c r="W79" i="63"/>
  <c r="U79" i="63"/>
  <c r="R79" i="63"/>
  <c r="Q79" i="63"/>
  <c r="P79" i="63"/>
  <c r="O79" i="63"/>
  <c r="L79" i="63"/>
  <c r="K79" i="63"/>
  <c r="J79" i="63"/>
  <c r="I79" i="63"/>
  <c r="H79" i="63"/>
  <c r="G79" i="63"/>
  <c r="F79" i="63"/>
  <c r="E79" i="63"/>
  <c r="N68" i="63"/>
  <c r="V66" i="63"/>
  <c r="V79" i="63" s="1"/>
  <c r="T66" i="63"/>
  <c r="T79" i="63" s="1"/>
  <c r="S66" i="63"/>
  <c r="S79" i="63" s="1"/>
  <c r="N66" i="63"/>
  <c r="M66" i="63"/>
  <c r="N65" i="63"/>
  <c r="M65" i="63"/>
  <c r="Q56" i="63"/>
  <c r="AG54" i="63"/>
  <c r="AF54" i="63"/>
  <c r="AE54" i="63"/>
  <c r="AD54" i="63"/>
  <c r="AC54" i="63"/>
  <c r="AB54" i="63"/>
  <c r="AA54" i="63"/>
  <c r="Z54" i="63"/>
  <c r="Y54" i="63"/>
  <c r="X54" i="63"/>
  <c r="W54" i="63"/>
  <c r="V54" i="63"/>
  <c r="T54" i="63"/>
  <c r="S54" i="63"/>
  <c r="R54" i="63"/>
  <c r="Q54" i="63"/>
  <c r="P54" i="63"/>
  <c r="O54" i="63"/>
  <c r="I54" i="63"/>
  <c r="F54" i="63"/>
  <c r="E54" i="63"/>
  <c r="U53" i="63"/>
  <c r="U54" i="63" s="1"/>
  <c r="N50" i="63"/>
  <c r="N54" i="63" s="1"/>
  <c r="M50" i="63"/>
  <c r="M54" i="63" s="1"/>
  <c r="K50" i="63"/>
  <c r="K54" i="63" s="1"/>
  <c r="G48" i="63"/>
  <c r="G54" i="63" s="1"/>
  <c r="L47" i="63"/>
  <c r="L54" i="63" s="1"/>
  <c r="J46" i="63"/>
  <c r="J54" i="63" s="1"/>
  <c r="H46" i="63"/>
  <c r="H54" i="63" s="1"/>
  <c r="AG45" i="63"/>
  <c r="AF45" i="63"/>
  <c r="AE45" i="63"/>
  <c r="AD45" i="63"/>
  <c r="AC45" i="63"/>
  <c r="K40" i="63"/>
  <c r="AB29" i="63"/>
  <c r="AB45" i="63" s="1"/>
  <c r="AA29" i="63"/>
  <c r="AA45" i="63" s="1"/>
  <c r="Z29" i="63"/>
  <c r="Z45" i="63" s="1"/>
  <c r="Y29" i="63"/>
  <c r="Y45" i="63" s="1"/>
  <c r="X45" i="63"/>
  <c r="W29" i="63"/>
  <c r="W45" i="63" s="1"/>
  <c r="V29" i="63"/>
  <c r="V45" i="63" s="1"/>
  <c r="U29" i="63"/>
  <c r="U45" i="63" s="1"/>
  <c r="T29" i="63"/>
  <c r="T45" i="63" s="1"/>
  <c r="S29" i="63"/>
  <c r="S45" i="63" s="1"/>
  <c r="R29" i="63"/>
  <c r="R45" i="63" s="1"/>
  <c r="Q29" i="63"/>
  <c r="Q45" i="63" s="1"/>
  <c r="P29" i="63"/>
  <c r="P45" i="63" s="1"/>
  <c r="O29" i="63"/>
  <c r="O45" i="63" s="1"/>
  <c r="N29" i="63"/>
  <c r="N45" i="63" s="1"/>
  <c r="M29" i="63"/>
  <c r="L29" i="63"/>
  <c r="K29" i="63"/>
  <c r="J29" i="63"/>
  <c r="J45" i="63" s="1"/>
  <c r="I29" i="63"/>
  <c r="H29" i="63"/>
  <c r="H45" i="63" s="1"/>
  <c r="G29" i="63"/>
  <c r="G45" i="63" s="1"/>
  <c r="F29" i="63"/>
  <c r="F45" i="63" s="1"/>
  <c r="E29" i="63"/>
  <c r="E45" i="63" s="1"/>
  <c r="M21" i="63"/>
  <c r="L21" i="63"/>
  <c r="K21" i="63"/>
  <c r="I21" i="63"/>
  <c r="AG18" i="63"/>
  <c r="G18" i="63"/>
  <c r="F18" i="63"/>
  <c r="E18" i="63"/>
  <c r="AG13" i="63"/>
  <c r="AF13" i="63"/>
  <c r="AE13" i="63"/>
  <c r="AD13" i="63"/>
  <c r="AC13" i="63"/>
  <c r="AB13" i="63"/>
  <c r="AA13" i="63"/>
  <c r="Z13" i="63"/>
  <c r="Y13" i="63"/>
  <c r="X13" i="63"/>
  <c r="W13" i="63"/>
  <c r="V13" i="63"/>
  <c r="U13" i="63"/>
  <c r="AG12" i="63"/>
  <c r="AF12" i="63"/>
  <c r="AE12" i="63"/>
  <c r="AD12" i="63"/>
  <c r="AC12" i="63"/>
  <c r="AB12" i="63"/>
  <c r="AA12" i="63"/>
  <c r="Z12" i="63"/>
  <c r="Y12" i="63"/>
  <c r="X12" i="63"/>
  <c r="W12" i="63"/>
  <c r="U12" i="63"/>
  <c r="R12" i="63"/>
  <c r="Q12" i="63"/>
  <c r="P12" i="63"/>
  <c r="O12" i="63"/>
  <c r="L12" i="63"/>
  <c r="K12" i="63"/>
  <c r="J12" i="63"/>
  <c r="I12" i="63"/>
  <c r="H12" i="63"/>
  <c r="G12" i="63"/>
  <c r="F12" i="63"/>
  <c r="E12" i="63"/>
  <c r="AE11" i="63"/>
  <c r="AD11" i="63"/>
  <c r="K9" i="63"/>
  <c r="J9" i="63"/>
  <c r="I9" i="63"/>
  <c r="H9" i="63"/>
  <c r="G9" i="63"/>
  <c r="F9" i="63"/>
  <c r="E9" i="63"/>
  <c r="K8" i="63"/>
  <c r="J8" i="63"/>
  <c r="I8" i="63"/>
  <c r="H8" i="63"/>
  <c r="G8" i="63"/>
  <c r="F8" i="63"/>
  <c r="E8" i="63"/>
  <c r="K7" i="63"/>
  <c r="J7" i="63"/>
  <c r="I7" i="63"/>
  <c r="H7" i="63"/>
  <c r="G7" i="63"/>
  <c r="F7" i="63"/>
  <c r="E7" i="63"/>
  <c r="E2" i="63"/>
  <c r="F1" i="63"/>
  <c r="AL55" i="12"/>
  <c r="AJ55" i="12"/>
  <c r="AI55" i="12"/>
  <c r="AH55" i="12"/>
  <c r="AG55" i="12"/>
  <c r="AF54" i="12"/>
  <c r="AE54" i="12" s="1"/>
  <c r="AD54" i="12" s="1"/>
  <c r="AC54" i="12" s="1"/>
  <c r="AB54" i="12" s="1"/>
  <c r="AA54" i="12" s="1"/>
  <c r="Z54" i="12" s="1"/>
  <c r="Y54" i="12" s="1"/>
  <c r="X54" i="12" s="1"/>
  <c r="W54" i="12" s="1"/>
  <c r="V54" i="12" s="1"/>
  <c r="U54" i="12" s="1"/>
  <c r="T54" i="12" s="1"/>
  <c r="S54" i="12" s="1"/>
  <c r="R54" i="12" s="1"/>
  <c r="Q54" i="12" s="1"/>
  <c r="P54" i="12" s="1"/>
  <c r="O54" i="12" s="1"/>
  <c r="N54" i="12" s="1"/>
  <c r="M54" i="12" s="1"/>
  <c r="L54" i="12" s="1"/>
  <c r="K54" i="12" s="1"/>
  <c r="J54" i="12" s="1"/>
  <c r="I54" i="12" s="1"/>
  <c r="H54" i="12" s="1"/>
  <c r="G54" i="12" s="1"/>
  <c r="F54" i="12" s="1"/>
  <c r="E54" i="12" s="1"/>
  <c r="AF49" i="12"/>
  <c r="AE49" i="12"/>
  <c r="AD49" i="12"/>
  <c r="AC49" i="12"/>
  <c r="AB49" i="12"/>
  <c r="AA49" i="12"/>
  <c r="Z49" i="12"/>
  <c r="Y49" i="12"/>
  <c r="X49" i="12"/>
  <c r="W49" i="12"/>
  <c r="V49" i="12"/>
  <c r="U49" i="12"/>
  <c r="T49" i="12"/>
  <c r="S49" i="12"/>
  <c r="R49" i="12"/>
  <c r="Q49" i="12"/>
  <c r="P49" i="12"/>
  <c r="O49" i="12"/>
  <c r="N49" i="12"/>
  <c r="M49" i="12"/>
  <c r="L49" i="12"/>
  <c r="K49" i="12"/>
  <c r="J49" i="12"/>
  <c r="I49" i="12"/>
  <c r="H49" i="12"/>
  <c r="G49" i="12"/>
  <c r="F49" i="12"/>
  <c r="E49" i="12"/>
  <c r="AF46" i="12"/>
  <c r="AE46" i="12"/>
  <c r="AD46" i="12"/>
  <c r="AC46" i="12"/>
  <c r="AB46" i="12"/>
  <c r="AA46" i="12"/>
  <c r="Z46" i="12"/>
  <c r="Y46" i="12"/>
  <c r="X46" i="12"/>
  <c r="W46" i="12"/>
  <c r="V46" i="12"/>
  <c r="U46" i="12"/>
  <c r="T46" i="12"/>
  <c r="S46" i="12"/>
  <c r="R46" i="12"/>
  <c r="Q46" i="12"/>
  <c r="P46" i="12"/>
  <c r="O46" i="12"/>
  <c r="N46" i="12"/>
  <c r="M46" i="12"/>
  <c r="L46" i="12"/>
  <c r="K46" i="12"/>
  <c r="J46" i="12"/>
  <c r="I46" i="12"/>
  <c r="H46" i="12"/>
  <c r="G46" i="12"/>
  <c r="F46" i="12"/>
  <c r="E46" i="12"/>
  <c r="AF45" i="12"/>
  <c r="AE45" i="12"/>
  <c r="AD45" i="12"/>
  <c r="AC45" i="12"/>
  <c r="AB45" i="12"/>
  <c r="AA45" i="12"/>
  <c r="Z45" i="12"/>
  <c r="Y45" i="12"/>
  <c r="X45" i="12"/>
  <c r="W45" i="12"/>
  <c r="V45" i="12"/>
  <c r="U45" i="12"/>
  <c r="T45" i="12"/>
  <c r="S45" i="12"/>
  <c r="R45" i="12"/>
  <c r="Q45" i="12"/>
  <c r="P45" i="12"/>
  <c r="O45" i="12"/>
  <c r="N45" i="12"/>
  <c r="M45" i="12"/>
  <c r="L45" i="12"/>
  <c r="K45" i="12"/>
  <c r="J45" i="12"/>
  <c r="I45" i="12"/>
  <c r="H45" i="12"/>
  <c r="G45" i="12"/>
  <c r="F45" i="12"/>
  <c r="E45" i="12"/>
  <c r="AR43" i="12"/>
  <c r="AQ43" i="12"/>
  <c r="AP43" i="12"/>
  <c r="AN43" i="12"/>
  <c r="AM43" i="12"/>
  <c r="AL43" i="12"/>
  <c r="AK43" i="12"/>
  <c r="AJ43" i="12"/>
  <c r="AI43" i="12"/>
  <c r="AH43" i="12"/>
  <c r="AG43" i="12"/>
  <c r="AF43" i="12"/>
  <c r="AE43" i="12"/>
  <c r="AD43" i="12"/>
  <c r="AB43" i="12"/>
  <c r="AA43" i="12"/>
  <c r="Z43" i="12"/>
  <c r="Y43" i="12"/>
  <c r="X43" i="12"/>
  <c r="W43" i="12"/>
  <c r="V43" i="12"/>
  <c r="U43" i="12"/>
  <c r="T43" i="12"/>
  <c r="S43" i="12"/>
  <c r="R43" i="12"/>
  <c r="Q43" i="12"/>
  <c r="P43" i="12"/>
  <c r="O43" i="12"/>
  <c r="N43" i="12"/>
  <c r="M43" i="12"/>
  <c r="L43" i="12"/>
  <c r="K43" i="12"/>
  <c r="J43" i="12"/>
  <c r="I43" i="12"/>
  <c r="H43" i="12"/>
  <c r="G43" i="12"/>
  <c r="F43" i="12"/>
  <c r="E43" i="12"/>
  <c r="AR41" i="12"/>
  <c r="AQ41" i="12"/>
  <c r="AP41" i="12"/>
  <c r="AN41" i="12"/>
  <c r="AM41" i="12"/>
  <c r="AL41" i="12"/>
  <c r="AK41" i="12"/>
  <c r="AJ41" i="12"/>
  <c r="AI41" i="12"/>
  <c r="AH41" i="12"/>
  <c r="AG41" i="12"/>
  <c r="AF41" i="12"/>
  <c r="AE41" i="12"/>
  <c r="AD41" i="12"/>
  <c r="AB41" i="12"/>
  <c r="AA41" i="12"/>
  <c r="Z41" i="12"/>
  <c r="Y41" i="12"/>
  <c r="X41" i="12"/>
  <c r="W41" i="12"/>
  <c r="V41" i="12"/>
  <c r="U41" i="12"/>
  <c r="T41" i="12"/>
  <c r="S41" i="12"/>
  <c r="R41" i="12"/>
  <c r="Q41" i="12"/>
  <c r="P41" i="12"/>
  <c r="O41" i="12"/>
  <c r="N41" i="12"/>
  <c r="M41" i="12"/>
  <c r="L41" i="12"/>
  <c r="K41" i="12"/>
  <c r="J41" i="12"/>
  <c r="I41" i="12"/>
  <c r="H41" i="12"/>
  <c r="G41" i="12"/>
  <c r="F41" i="12"/>
  <c r="E41" i="12"/>
  <c r="AR40" i="12"/>
  <c r="AQ40" i="12"/>
  <c r="AP40" i="12"/>
  <c r="AN40" i="12"/>
  <c r="AM40" i="12"/>
  <c r="AL40" i="12"/>
  <c r="AK40" i="12"/>
  <c r="AJ40" i="12"/>
  <c r="AI40" i="12"/>
  <c r="AH40" i="12"/>
  <c r="AG40" i="12"/>
  <c r="AF40" i="12"/>
  <c r="AE40" i="12"/>
  <c r="AD40" i="12"/>
  <c r="AC40" i="12"/>
  <c r="AB40" i="12"/>
  <c r="AA40" i="12"/>
  <c r="Z40" i="12"/>
  <c r="Y40" i="12"/>
  <c r="X40" i="12"/>
  <c r="W40" i="12"/>
  <c r="V40" i="12"/>
  <c r="U40" i="12"/>
  <c r="T40" i="12"/>
  <c r="S40" i="12"/>
  <c r="R40" i="12"/>
  <c r="Q40" i="12"/>
  <c r="P40" i="12"/>
  <c r="O40" i="12"/>
  <c r="N40" i="12"/>
  <c r="M40" i="12"/>
  <c r="L40" i="12"/>
  <c r="K40" i="12"/>
  <c r="J40" i="12"/>
  <c r="I40" i="12"/>
  <c r="H40" i="12"/>
  <c r="G40" i="12"/>
  <c r="F40" i="12"/>
  <c r="E40" i="12"/>
  <c r="AR38" i="12"/>
  <c r="AQ38" i="12"/>
  <c r="AP38" i="12"/>
  <c r="AN38" i="12"/>
  <c r="AM38" i="12"/>
  <c r="AL38" i="12"/>
  <c r="AK38" i="12"/>
  <c r="AJ38" i="12"/>
  <c r="AI38" i="12"/>
  <c r="AH38" i="12"/>
  <c r="AG38" i="12"/>
  <c r="AF38" i="12"/>
  <c r="AE38" i="12"/>
  <c r="AD38" i="12"/>
  <c r="AC38" i="12"/>
  <c r="AB38" i="12"/>
  <c r="AA38" i="12"/>
  <c r="Z38" i="12"/>
  <c r="Y38" i="12"/>
  <c r="X38" i="12"/>
  <c r="W38" i="12"/>
  <c r="V38" i="12"/>
  <c r="U38" i="12"/>
  <c r="T38" i="12"/>
  <c r="S38" i="12"/>
  <c r="R38" i="12"/>
  <c r="Q38" i="12"/>
  <c r="AR37" i="12"/>
  <c r="AQ37" i="12"/>
  <c r="AP37" i="12"/>
  <c r="AN37" i="12"/>
  <c r="AM37" i="12"/>
  <c r="AL37" i="12"/>
  <c r="AK37" i="12"/>
  <c r="AJ37" i="12"/>
  <c r="AI37" i="12"/>
  <c r="AH37" i="12"/>
  <c r="AG37" i="12"/>
  <c r="AF37" i="12"/>
  <c r="AE37" i="12"/>
  <c r="AD37" i="12"/>
  <c r="AC37" i="12"/>
  <c r="AB37" i="12"/>
  <c r="AA37" i="12"/>
  <c r="Z37" i="12"/>
  <c r="Y37" i="12"/>
  <c r="X37" i="12"/>
  <c r="W37" i="12"/>
  <c r="V37" i="12"/>
  <c r="U37" i="12"/>
  <c r="T37" i="12"/>
  <c r="S37" i="12"/>
  <c r="R37" i="12"/>
  <c r="Q37" i="12"/>
  <c r="AS36" i="12"/>
  <c r="P36" i="12"/>
  <c r="O36" i="12"/>
  <c r="N36" i="12"/>
  <c r="M36" i="12"/>
  <c r="L36" i="12"/>
  <c r="K36" i="12"/>
  <c r="J36" i="12"/>
  <c r="I36" i="12"/>
  <c r="H36" i="12"/>
  <c r="G36" i="12"/>
  <c r="F36" i="12"/>
  <c r="E36" i="12"/>
  <c r="AD33" i="12"/>
  <c r="AC33" i="12"/>
  <c r="AB33" i="12"/>
  <c r="AA33" i="12"/>
  <c r="Z33" i="12"/>
  <c r="Y33" i="12"/>
  <c r="X33" i="12"/>
  <c r="W33" i="12"/>
  <c r="V33" i="12"/>
  <c r="U33" i="12"/>
  <c r="S33" i="12"/>
  <c r="R33" i="12"/>
  <c r="Q33" i="12"/>
  <c r="P33" i="12"/>
  <c r="O33" i="12"/>
  <c r="N33" i="12"/>
  <c r="M33" i="12"/>
  <c r="L33" i="12"/>
  <c r="K33" i="12"/>
  <c r="J33" i="12"/>
  <c r="I33" i="12"/>
  <c r="H33" i="12"/>
  <c r="G33" i="12"/>
  <c r="F33" i="12"/>
  <c r="E33" i="12"/>
  <c r="AD32" i="12"/>
  <c r="AC32" i="12"/>
  <c r="AB32" i="12"/>
  <c r="AA32" i="12"/>
  <c r="Z32" i="12"/>
  <c r="Y32" i="12"/>
  <c r="X32" i="12"/>
  <c r="W32" i="12"/>
  <c r="V32" i="12"/>
  <c r="U32" i="12"/>
  <c r="T32" i="12"/>
  <c r="S32" i="12"/>
  <c r="Q32" i="12"/>
  <c r="P32" i="12"/>
  <c r="O32" i="12"/>
  <c r="N32" i="12"/>
  <c r="M32" i="12"/>
  <c r="L32" i="12"/>
  <c r="K32" i="12"/>
  <c r="J32" i="12"/>
  <c r="I32" i="12"/>
  <c r="H32" i="12"/>
  <c r="G32" i="12"/>
  <c r="F32" i="12"/>
  <c r="E32" i="12"/>
  <c r="AD31" i="12"/>
  <c r="AC31" i="12"/>
  <c r="AB31" i="12"/>
  <c r="AA31" i="12"/>
  <c r="Z31" i="12"/>
  <c r="Y31" i="12"/>
  <c r="X31" i="12"/>
  <c r="W31" i="12"/>
  <c r="V31" i="12"/>
  <c r="U31" i="12"/>
  <c r="T31" i="12"/>
  <c r="S31" i="12"/>
  <c r="R31" i="12"/>
  <c r="Q31" i="12"/>
  <c r="P31" i="12"/>
  <c r="O31" i="12"/>
  <c r="N31" i="12"/>
  <c r="M31" i="12"/>
  <c r="L31" i="12"/>
  <c r="K31" i="12"/>
  <c r="J31" i="12"/>
  <c r="I31" i="12"/>
  <c r="H31" i="12"/>
  <c r="G31" i="12"/>
  <c r="F31" i="12"/>
  <c r="E31" i="12"/>
  <c r="AD30" i="12"/>
  <c r="AC30" i="12"/>
  <c r="AB30" i="12"/>
  <c r="AA30" i="12"/>
  <c r="Z30" i="12"/>
  <c r="Y30" i="12"/>
  <c r="X30" i="12"/>
  <c r="W30" i="12"/>
  <c r="V30" i="12"/>
  <c r="U30" i="12"/>
  <c r="T30" i="12"/>
  <c r="S30" i="12"/>
  <c r="R30" i="12"/>
  <c r="Q30" i="12"/>
  <c r="P30" i="12"/>
  <c r="O30" i="12"/>
  <c r="N30" i="12"/>
  <c r="M30" i="12"/>
  <c r="L30" i="12"/>
  <c r="K30" i="12"/>
  <c r="J30" i="12"/>
  <c r="I30" i="12"/>
  <c r="H30" i="12"/>
  <c r="G30" i="12"/>
  <c r="F30" i="12"/>
  <c r="E30" i="12"/>
  <c r="AD29" i="12"/>
  <c r="AC29" i="12"/>
  <c r="AB29" i="12"/>
  <c r="AA29" i="12"/>
  <c r="Z29" i="12"/>
  <c r="Y29" i="12"/>
  <c r="X29" i="12"/>
  <c r="W29" i="12"/>
  <c r="V29" i="12"/>
  <c r="U29" i="12"/>
  <c r="T29" i="12"/>
  <c r="S29" i="12"/>
  <c r="R29" i="12"/>
  <c r="Q29" i="12"/>
  <c r="P29" i="12"/>
  <c r="O29" i="12"/>
  <c r="N29" i="12"/>
  <c r="M29" i="12"/>
  <c r="L29" i="12"/>
  <c r="K29" i="12"/>
  <c r="J29" i="12"/>
  <c r="I29" i="12"/>
  <c r="H29" i="12"/>
  <c r="G29" i="12"/>
  <c r="F29" i="12"/>
  <c r="E29" i="12"/>
  <c r="AB28" i="12"/>
  <c r="AA28" i="12"/>
  <c r="Y28" i="12"/>
  <c r="X28" i="12"/>
  <c r="W28" i="12"/>
  <c r="V28" i="12"/>
  <c r="U28" i="12"/>
  <c r="T28" i="12"/>
  <c r="S28" i="12"/>
  <c r="R28" i="12"/>
  <c r="Q28" i="12"/>
  <c r="P28" i="12"/>
  <c r="O28" i="12"/>
  <c r="N28" i="12"/>
  <c r="M28" i="12"/>
  <c r="L28" i="12"/>
  <c r="K28" i="12"/>
  <c r="J28" i="12"/>
  <c r="I28" i="12"/>
  <c r="H28" i="12"/>
  <c r="G28" i="12"/>
  <c r="F28" i="12"/>
  <c r="E28" i="12"/>
  <c r="AD27" i="12"/>
  <c r="AC27" i="12"/>
  <c r="AB27" i="12"/>
  <c r="AA27" i="12"/>
  <c r="Y27" i="12"/>
  <c r="X27" i="12"/>
  <c r="W27" i="12"/>
  <c r="V27" i="12"/>
  <c r="U27" i="12"/>
  <c r="T27" i="12"/>
  <c r="S27" i="12"/>
  <c r="R27" i="12"/>
  <c r="Q27" i="12"/>
  <c r="P27" i="12"/>
  <c r="O27" i="12"/>
  <c r="N27" i="12"/>
  <c r="M27" i="12"/>
  <c r="L27" i="12"/>
  <c r="K27" i="12"/>
  <c r="J27" i="12"/>
  <c r="I27" i="12"/>
  <c r="H27" i="12"/>
  <c r="G27" i="12"/>
  <c r="F27" i="12"/>
  <c r="E27" i="12"/>
  <c r="AB26" i="12"/>
  <c r="AA26" i="12"/>
  <c r="Z26" i="12"/>
  <c r="Y26" i="12"/>
  <c r="X26" i="12"/>
  <c r="W26" i="12"/>
  <c r="V26" i="12"/>
  <c r="U26" i="12"/>
  <c r="T26" i="12"/>
  <c r="S26" i="12"/>
  <c r="R26" i="12"/>
  <c r="Q26" i="12"/>
  <c r="P26" i="12"/>
  <c r="O26" i="12"/>
  <c r="N26" i="12"/>
  <c r="M26" i="12"/>
  <c r="L26" i="12"/>
  <c r="K26" i="12"/>
  <c r="J26" i="12"/>
  <c r="I26" i="12"/>
  <c r="H26" i="12"/>
  <c r="G26" i="12"/>
  <c r="F26" i="12"/>
  <c r="E26" i="12"/>
  <c r="AD25" i="12"/>
  <c r="AC25" i="12"/>
  <c r="AB25" i="12"/>
  <c r="AA25" i="12"/>
  <c r="Z25" i="12"/>
  <c r="Y25" i="12"/>
  <c r="X25" i="12"/>
  <c r="W25" i="12"/>
  <c r="V25" i="12"/>
  <c r="U25" i="12"/>
  <c r="T25" i="12"/>
  <c r="S25" i="12"/>
  <c r="R25" i="12"/>
  <c r="Q25" i="12"/>
  <c r="P25" i="12"/>
  <c r="O25" i="12"/>
  <c r="N25" i="12"/>
  <c r="M25" i="12"/>
  <c r="L25" i="12"/>
  <c r="K25" i="12"/>
  <c r="J25" i="12"/>
  <c r="I25" i="12"/>
  <c r="H25" i="12"/>
  <c r="G25" i="12"/>
  <c r="F25" i="12"/>
  <c r="E25" i="12"/>
  <c r="AF23" i="12"/>
  <c r="Z23" i="12"/>
  <c r="Y23" i="12"/>
  <c r="X23" i="12"/>
  <c r="W23" i="12"/>
  <c r="V23" i="12"/>
  <c r="U23" i="12"/>
  <c r="T23" i="12"/>
  <c r="S23" i="12"/>
  <c r="R23" i="12"/>
  <c r="Q23" i="12"/>
  <c r="P23" i="12"/>
  <c r="O23" i="12"/>
  <c r="N23" i="12"/>
  <c r="M23" i="12"/>
  <c r="L23" i="12"/>
  <c r="K23" i="12"/>
  <c r="J23" i="12"/>
  <c r="I23" i="12"/>
  <c r="H23" i="12"/>
  <c r="G23" i="12"/>
  <c r="F23" i="12"/>
  <c r="E23" i="12"/>
  <c r="AT22" i="12"/>
  <c r="AR22" i="12"/>
  <c r="AQ22" i="12"/>
  <c r="AN22" i="12"/>
  <c r="AD22" i="12"/>
  <c r="AC22" i="12"/>
  <c r="AB22" i="12"/>
  <c r="AA22" i="12"/>
  <c r="Z22" i="12"/>
  <c r="Y22" i="12"/>
  <c r="X22" i="12"/>
  <c r="W22" i="12"/>
  <c r="V22" i="12"/>
  <c r="U22" i="12"/>
  <c r="S22" i="12"/>
  <c r="R22" i="12"/>
  <c r="Q22" i="12"/>
  <c r="P22" i="12"/>
  <c r="O22" i="12"/>
  <c r="N22" i="12"/>
  <c r="M22" i="12"/>
  <c r="L22" i="12"/>
  <c r="K22" i="12"/>
  <c r="J22" i="12"/>
  <c r="I22" i="12"/>
  <c r="H22" i="12"/>
  <c r="G22" i="12"/>
  <c r="F22" i="12"/>
  <c r="E22" i="12"/>
  <c r="AT20" i="12"/>
  <c r="AF20" i="12"/>
  <c r="AB20" i="12"/>
  <c r="AA20" i="12"/>
  <c r="Z20" i="12"/>
  <c r="Y20" i="12"/>
  <c r="X20" i="12"/>
  <c r="W20" i="12"/>
  <c r="V20" i="12"/>
  <c r="U20" i="12"/>
  <c r="T20" i="12"/>
  <c r="S20" i="12"/>
  <c r="R20" i="12"/>
  <c r="Q20" i="12"/>
  <c r="P20" i="12"/>
  <c r="O20" i="12"/>
  <c r="N20" i="12"/>
  <c r="M20" i="12"/>
  <c r="L20" i="12"/>
  <c r="K20" i="12"/>
  <c r="J20" i="12"/>
  <c r="I20" i="12"/>
  <c r="H20" i="12"/>
  <c r="G20" i="12"/>
  <c r="F20" i="12"/>
  <c r="E20" i="12"/>
  <c r="AB19" i="12"/>
  <c r="AA19" i="12"/>
  <c r="Z19" i="12"/>
  <c r="Y19" i="12"/>
  <c r="X19" i="12"/>
  <c r="W19" i="12"/>
  <c r="V19" i="12"/>
  <c r="U19" i="12"/>
  <c r="T19" i="12"/>
  <c r="S19" i="12"/>
  <c r="R19" i="12"/>
  <c r="Q19" i="12"/>
  <c r="P19" i="12"/>
  <c r="O19" i="12"/>
  <c r="N19" i="12"/>
  <c r="M19" i="12"/>
  <c r="L19" i="12"/>
  <c r="K19" i="12"/>
  <c r="J19" i="12"/>
  <c r="I19" i="12"/>
  <c r="H19" i="12"/>
  <c r="G19" i="12"/>
  <c r="F19" i="12"/>
  <c r="E19" i="12"/>
  <c r="AT18" i="12"/>
  <c r="AR18" i="12"/>
  <c r="AQ18" i="12"/>
  <c r="AN18" i="12"/>
  <c r="AM18" i="12"/>
  <c r="AT17" i="12"/>
  <c r="AR17" i="12"/>
  <c r="AQ17" i="12"/>
  <c r="AT16" i="12"/>
  <c r="AR16" i="12"/>
  <c r="AT15" i="12"/>
  <c r="AR15" i="12"/>
  <c r="AQ15" i="12"/>
  <c r="AP15" i="12"/>
  <c r="AN15" i="12"/>
  <c r="AM15" i="12"/>
  <c r="AF15" i="12"/>
  <c r="AR13" i="12"/>
  <c r="AQ13" i="12"/>
  <c r="AP13" i="12"/>
  <c r="AN13" i="12"/>
  <c r="AM13" i="12"/>
  <c r="AL13" i="12"/>
  <c r="AK13" i="12"/>
  <c r="AJ13" i="12"/>
  <c r="AI13" i="12"/>
  <c r="AH13" i="12"/>
  <c r="AG13" i="12"/>
  <c r="AF13" i="12"/>
  <c r="AE13" i="12"/>
  <c r="AD13" i="12"/>
  <c r="AC13" i="12"/>
  <c r="AB13" i="12"/>
  <c r="AA13" i="12"/>
  <c r="Z13" i="12"/>
  <c r="Y13" i="12"/>
  <c r="X13" i="12"/>
  <c r="W13" i="12"/>
  <c r="V13" i="12"/>
  <c r="S13" i="12"/>
  <c r="R13" i="12"/>
  <c r="P13" i="12"/>
  <c r="O13" i="12"/>
  <c r="N13" i="12"/>
  <c r="M13" i="12"/>
  <c r="L13" i="12"/>
  <c r="K13" i="12"/>
  <c r="J13" i="12"/>
  <c r="I13" i="12"/>
  <c r="H13" i="12"/>
  <c r="G13" i="12"/>
  <c r="F13" i="12"/>
  <c r="E13" i="12"/>
  <c r="AR11" i="12"/>
  <c r="AQ11" i="12"/>
  <c r="AP11" i="12"/>
  <c r="AN11" i="12"/>
  <c r="AM11" i="12"/>
  <c r="AL11" i="12"/>
  <c r="AK11" i="12"/>
  <c r="AJ11" i="12"/>
  <c r="AI11" i="12"/>
  <c r="AH11" i="12"/>
  <c r="AG11" i="12"/>
  <c r="AF11" i="12"/>
  <c r="AE11" i="12"/>
  <c r="AD11" i="12"/>
  <c r="AC11" i="12"/>
  <c r="AB11" i="12"/>
  <c r="AA11" i="12"/>
  <c r="Z11" i="12"/>
  <c r="Y11" i="12"/>
  <c r="X11" i="12"/>
  <c r="W11" i="12"/>
  <c r="V11" i="12"/>
  <c r="U11" i="12"/>
  <c r="S11" i="12"/>
  <c r="R11" i="12"/>
  <c r="Q11" i="12"/>
  <c r="P11" i="12"/>
  <c r="O11" i="12"/>
  <c r="N11" i="12"/>
  <c r="M11" i="12"/>
  <c r="L11" i="12"/>
  <c r="K11" i="12"/>
  <c r="J11" i="12"/>
  <c r="I11" i="12"/>
  <c r="H11" i="12"/>
  <c r="G11" i="12"/>
  <c r="F11" i="12"/>
  <c r="E11" i="12"/>
  <c r="P10" i="12"/>
  <c r="O10" i="12"/>
  <c r="N10" i="12"/>
  <c r="M10" i="12"/>
  <c r="L10" i="12"/>
  <c r="K10" i="12"/>
  <c r="J10" i="12"/>
  <c r="I10" i="12"/>
  <c r="H10" i="12"/>
  <c r="G10" i="12"/>
  <c r="F10" i="12"/>
  <c r="E10" i="12"/>
  <c r="AR9" i="12"/>
  <c r="AQ9" i="12"/>
  <c r="AP9" i="12"/>
  <c r="AN9" i="12"/>
  <c r="AM9" i="12"/>
  <c r="AL9" i="12"/>
  <c r="AK9" i="12"/>
  <c r="AJ9" i="12"/>
  <c r="AI9" i="12"/>
  <c r="AH9" i="12"/>
  <c r="AG9" i="12"/>
  <c r="AF9" i="12"/>
  <c r="AE9" i="12"/>
  <c r="AD9" i="12"/>
  <c r="AC9" i="12"/>
  <c r="AB9" i="12"/>
  <c r="AA9" i="12"/>
  <c r="Z9" i="12"/>
  <c r="Y9" i="12"/>
  <c r="X9" i="12"/>
  <c r="W9" i="12"/>
  <c r="V9" i="12"/>
  <c r="U9" i="12"/>
  <c r="T9" i="12"/>
  <c r="S9" i="12"/>
  <c r="R9" i="12"/>
  <c r="Q9" i="12"/>
  <c r="AD4" i="12"/>
  <c r="AC4" i="12"/>
  <c r="AB4" i="12"/>
  <c r="AA4" i="12"/>
  <c r="Z4" i="12"/>
  <c r="Y4" i="12"/>
  <c r="X4" i="12"/>
  <c r="W4" i="12"/>
  <c r="V4" i="12"/>
  <c r="T4" i="12"/>
  <c r="S4" i="12"/>
  <c r="R4" i="12"/>
  <c r="Q4" i="12"/>
  <c r="AD3" i="12"/>
  <c r="AC3" i="12"/>
  <c r="AB3" i="12"/>
  <c r="AA3" i="12"/>
  <c r="Z3" i="12"/>
  <c r="Y3" i="12"/>
  <c r="X3" i="12"/>
  <c r="W3" i="12"/>
  <c r="V3" i="12"/>
  <c r="U3" i="12"/>
  <c r="T3" i="12"/>
  <c r="S3" i="12"/>
  <c r="R3" i="12"/>
  <c r="Q3" i="12"/>
  <c r="E2" i="12"/>
  <c r="F1" i="12"/>
  <c r="AJ85" i="10"/>
  <c r="AI85" i="10"/>
  <c r="AH85" i="10"/>
  <c r="AG85" i="10"/>
  <c r="AF85" i="10"/>
  <c r="AD85" i="10"/>
  <c r="AC85" i="10"/>
  <c r="Y85" i="10"/>
  <c r="X85" i="10"/>
  <c r="W85" i="10"/>
  <c r="V85" i="10"/>
  <c r="U85" i="10"/>
  <c r="S85" i="10"/>
  <c r="Q85" i="10"/>
  <c r="P85" i="10"/>
  <c r="O85" i="10"/>
  <c r="N85" i="10"/>
  <c r="M85" i="10"/>
  <c r="L85" i="10"/>
  <c r="K85" i="10"/>
  <c r="J85" i="10"/>
  <c r="I85" i="10"/>
  <c r="H85" i="10"/>
  <c r="G85" i="10"/>
  <c r="F85" i="10"/>
  <c r="E85" i="10"/>
  <c r="AF84" i="10"/>
  <c r="AE84" i="10" s="1"/>
  <c r="AD84" i="10" s="1"/>
  <c r="AC84" i="10" s="1"/>
  <c r="AB84" i="10" s="1"/>
  <c r="AA84" i="10" s="1"/>
  <c r="Z84" i="10" s="1"/>
  <c r="Y84" i="10" s="1"/>
  <c r="X84" i="10" s="1"/>
  <c r="W84" i="10" s="1"/>
  <c r="V84" i="10" s="1"/>
  <c r="U84" i="10" s="1"/>
  <c r="T84" i="10" s="1"/>
  <c r="S84" i="10" s="1"/>
  <c r="R84" i="10" s="1"/>
  <c r="Q84" i="10" s="1"/>
  <c r="P84" i="10" s="1"/>
  <c r="O84" i="10" s="1"/>
  <c r="N84" i="10" s="1"/>
  <c r="M84" i="10" s="1"/>
  <c r="L84" i="10" s="1"/>
  <c r="K84" i="10" s="1"/>
  <c r="J84" i="10" s="1"/>
  <c r="I84" i="10" s="1"/>
  <c r="H84" i="10" s="1"/>
  <c r="G84" i="10" s="1"/>
  <c r="F84" i="10" s="1"/>
  <c r="E84" i="10" s="1"/>
  <c r="AS37" i="10"/>
  <c r="AR37" i="10"/>
  <c r="AP37" i="10"/>
  <c r="AN37" i="10"/>
  <c r="AM37" i="10"/>
  <c r="AH37" i="10"/>
  <c r="AG37" i="10"/>
  <c r="AF37" i="10"/>
  <c r="AE37" i="10"/>
  <c r="AD37" i="10"/>
  <c r="AC37" i="10"/>
  <c r="AB37" i="10"/>
  <c r="AA37" i="10"/>
  <c r="Z37" i="10"/>
  <c r="Y37" i="10"/>
  <c r="X37" i="10"/>
  <c r="W37" i="10"/>
  <c r="V37" i="10"/>
  <c r="U37" i="10"/>
  <c r="T37" i="10"/>
  <c r="S37" i="10"/>
  <c r="R37" i="10"/>
  <c r="Q37" i="10"/>
  <c r="R33" i="10"/>
  <c r="Z29" i="10"/>
  <c r="Z85" i="10" s="1"/>
  <c r="T24" i="10"/>
  <c r="T22" i="12" s="1"/>
  <c r="AE23" i="10"/>
  <c r="P14" i="10"/>
  <c r="P16" i="10" s="1"/>
  <c r="O14" i="10"/>
  <c r="O16" i="10" s="1"/>
  <c r="N14" i="10"/>
  <c r="M14" i="10"/>
  <c r="M16" i="10" s="1"/>
  <c r="L14" i="10"/>
  <c r="L16" i="10" s="1"/>
  <c r="K14" i="10"/>
  <c r="K16" i="10" s="1"/>
  <c r="J14" i="10"/>
  <c r="I14" i="10"/>
  <c r="I16" i="10" s="1"/>
  <c r="H14" i="10"/>
  <c r="H16" i="10" s="1"/>
  <c r="G14" i="10"/>
  <c r="G16" i="10" s="1"/>
  <c r="F14" i="10"/>
  <c r="F16" i="10" s="1"/>
  <c r="E14" i="10"/>
  <c r="E16" i="10" s="1"/>
  <c r="AS10" i="10"/>
  <c r="AR10" i="10"/>
  <c r="AR7" i="12" s="1"/>
  <c r="AQ10" i="10"/>
  <c r="AQ7" i="12" s="1"/>
  <c r="AP10" i="10"/>
  <c r="AU8" i="2" s="1"/>
  <c r="AN10" i="10"/>
  <c r="AN7" i="12" s="1"/>
  <c r="AM10" i="10"/>
  <c r="AM12" i="10" s="1"/>
  <c r="AM14" i="10" s="1"/>
  <c r="AM16" i="10" s="1"/>
  <c r="AL10" i="10"/>
  <c r="AL12" i="10" s="1"/>
  <c r="AL14" i="10" s="1"/>
  <c r="AL16" i="10" s="1"/>
  <c r="AK10" i="10"/>
  <c r="AK7" i="12" s="1"/>
  <c r="AJ10" i="10"/>
  <c r="AJ7" i="12" s="1"/>
  <c r="AI10" i="10"/>
  <c r="AI7" i="12" s="1"/>
  <c r="AH10" i="10"/>
  <c r="AM8" i="2" s="1"/>
  <c r="AG10" i="10"/>
  <c r="AG12" i="10" s="1"/>
  <c r="AG14" i="10" s="1"/>
  <c r="AG16" i="10" s="1"/>
  <c r="AF10" i="10"/>
  <c r="AF7" i="12" s="1"/>
  <c r="AE10" i="10"/>
  <c r="AE12" i="10" s="1"/>
  <c r="AE14" i="10" s="1"/>
  <c r="AE16" i="10" s="1"/>
  <c r="AD10" i="10"/>
  <c r="AD12" i="10" s="1"/>
  <c r="AD14" i="10" s="1"/>
  <c r="AD16" i="10" s="1"/>
  <c r="AC10" i="10"/>
  <c r="AC12" i="10" s="1"/>
  <c r="AB10" i="10"/>
  <c r="AB7" i="12" s="1"/>
  <c r="AA10" i="10"/>
  <c r="AA7" i="12" s="1"/>
  <c r="Z10" i="10"/>
  <c r="AE8" i="2" s="1"/>
  <c r="Y10" i="10"/>
  <c r="Y12" i="10" s="1"/>
  <c r="X10" i="10"/>
  <c r="X7" i="12" s="1"/>
  <c r="W10" i="10"/>
  <c r="W12" i="10" s="1"/>
  <c r="W14" i="10" s="1"/>
  <c r="W16" i="10" s="1"/>
  <c r="V10" i="10"/>
  <c r="V12" i="10" s="1"/>
  <c r="V14" i="10" s="1"/>
  <c r="V16" i="10" s="1"/>
  <c r="U10" i="10"/>
  <c r="U7" i="12" s="1"/>
  <c r="T10" i="10"/>
  <c r="T7" i="12" s="1"/>
  <c r="S10" i="10"/>
  <c r="S7" i="12" s="1"/>
  <c r="R10" i="10"/>
  <c r="W8" i="2" s="1"/>
  <c r="Q10" i="10"/>
  <c r="Q12" i="10" s="1"/>
  <c r="Q14" i="10" s="1"/>
  <c r="Q16" i="10" s="1"/>
  <c r="P10" i="10"/>
  <c r="O10" i="10"/>
  <c r="O7" i="12" s="1"/>
  <c r="N10" i="10"/>
  <c r="N7" i="12" s="1"/>
  <c r="M10" i="10"/>
  <c r="M7" i="12" s="1"/>
  <c r="L10" i="10"/>
  <c r="L7" i="12" s="1"/>
  <c r="K10" i="10"/>
  <c r="K7" i="12" s="1"/>
  <c r="J10" i="10"/>
  <c r="J7" i="12" s="1"/>
  <c r="I10" i="10"/>
  <c r="I7" i="12" s="1"/>
  <c r="H10" i="10"/>
  <c r="G10" i="10"/>
  <c r="G7" i="12" s="1"/>
  <c r="F10" i="10"/>
  <c r="F7" i="12" s="1"/>
  <c r="E10" i="10"/>
  <c r="E7" i="12" s="1"/>
  <c r="E2" i="10"/>
  <c r="F1" i="10"/>
  <c r="F2" i="10" s="1"/>
  <c r="AF106" i="1"/>
  <c r="AE106" i="1" s="1"/>
  <c r="AD106" i="1" s="1"/>
  <c r="AC106" i="1" s="1"/>
  <c r="AB106" i="1" s="1"/>
  <c r="AA106" i="1" s="1"/>
  <c r="Z106" i="1" s="1"/>
  <c r="Y106" i="1" s="1"/>
  <c r="X106" i="1" s="1"/>
  <c r="W106" i="1" s="1"/>
  <c r="V106" i="1" s="1"/>
  <c r="U106" i="1" s="1"/>
  <c r="T106" i="1" s="1"/>
  <c r="S106" i="1" s="1"/>
  <c r="R106" i="1" s="1"/>
  <c r="Q106" i="1" s="1"/>
  <c r="P106" i="1" s="1"/>
  <c r="O106" i="1" s="1"/>
  <c r="N106" i="1" s="1"/>
  <c r="M106" i="1" s="1"/>
  <c r="L106" i="1" s="1"/>
  <c r="K106" i="1" s="1"/>
  <c r="J106" i="1" s="1"/>
  <c r="I106" i="1" s="1"/>
  <c r="H106" i="1" s="1"/>
  <c r="G106" i="1" s="1"/>
  <c r="F106" i="1" s="1"/>
  <c r="E106" i="1" s="1"/>
  <c r="AC44" i="1"/>
  <c r="AC43" i="12" s="1"/>
  <c r="AC42" i="1"/>
  <c r="AT37" i="12"/>
  <c r="AS37" i="1"/>
  <c r="AR37" i="1"/>
  <c r="AP37" i="1"/>
  <c r="AN37" i="1"/>
  <c r="AM37" i="1"/>
  <c r="AL37" i="1"/>
  <c r="AK37" i="1"/>
  <c r="AH37" i="1"/>
  <c r="AG37" i="1"/>
  <c r="AF37" i="1"/>
  <c r="AE37" i="1"/>
  <c r="AD37" i="1"/>
  <c r="AC37" i="1"/>
  <c r="AB37" i="1"/>
  <c r="AA37" i="1"/>
  <c r="Z37" i="1"/>
  <c r="Y37" i="1"/>
  <c r="X37" i="1"/>
  <c r="W37" i="1"/>
  <c r="V37" i="1"/>
  <c r="U37" i="1"/>
  <c r="T37" i="1"/>
  <c r="S37" i="1"/>
  <c r="R37" i="1"/>
  <c r="Q37" i="1"/>
  <c r="Z26" i="1"/>
  <c r="Z27" i="12" s="1"/>
  <c r="U14" i="1"/>
  <c r="T14" i="1"/>
  <c r="T13" i="12" s="1"/>
  <c r="Q14" i="1"/>
  <c r="P13" i="1"/>
  <c r="P15" i="1" s="1"/>
  <c r="O13" i="1"/>
  <c r="O15" i="1" s="1"/>
  <c r="N13" i="1"/>
  <c r="N15" i="1" s="1"/>
  <c r="M13" i="1"/>
  <c r="M15" i="1" s="1"/>
  <c r="L13" i="1"/>
  <c r="L15" i="1" s="1"/>
  <c r="K13" i="1"/>
  <c r="K15" i="1" s="1"/>
  <c r="J13" i="1"/>
  <c r="J15" i="1" s="1"/>
  <c r="I13" i="1"/>
  <c r="I15" i="1" s="1"/>
  <c r="H13" i="1"/>
  <c r="H15" i="1" s="1"/>
  <c r="G13" i="1"/>
  <c r="G15" i="1" s="1"/>
  <c r="F13" i="1"/>
  <c r="F15" i="1" s="1"/>
  <c r="E13" i="1"/>
  <c r="E15" i="1" s="1"/>
  <c r="T12" i="1"/>
  <c r="T11" i="12" s="1"/>
  <c r="AS9" i="1"/>
  <c r="AR9" i="1"/>
  <c r="AR6" i="12" s="1"/>
  <c r="AQ9" i="1"/>
  <c r="AP9" i="1"/>
  <c r="AU7" i="2" s="1"/>
  <c r="AN9" i="1"/>
  <c r="AN11" i="1" s="1"/>
  <c r="AN13" i="1" s="1"/>
  <c r="AN15" i="1" s="1"/>
  <c r="AM9" i="1"/>
  <c r="AM6" i="12" s="1"/>
  <c r="AL9" i="1"/>
  <c r="AL6" i="12" s="1"/>
  <c r="AK9" i="1"/>
  <c r="AK6" i="12" s="1"/>
  <c r="AJ9" i="1"/>
  <c r="AJ6" i="12" s="1"/>
  <c r="AI9" i="1"/>
  <c r="AI6" i="12" s="1"/>
  <c r="AH9" i="1"/>
  <c r="AM7" i="2" s="1"/>
  <c r="AG9" i="1"/>
  <c r="AG6" i="12" s="1"/>
  <c r="AF9" i="1"/>
  <c r="AF11" i="1" s="1"/>
  <c r="AE9" i="1"/>
  <c r="AE6" i="12" s="1"/>
  <c r="AD9" i="1"/>
  <c r="AD6" i="12" s="1"/>
  <c r="AC9" i="1"/>
  <c r="AC6" i="12" s="1"/>
  <c r="AB9" i="1"/>
  <c r="AB6" i="12" s="1"/>
  <c r="AA9" i="1"/>
  <c r="AA6" i="12" s="1"/>
  <c r="Z9" i="1"/>
  <c r="AE7" i="2" s="1"/>
  <c r="Y9" i="1"/>
  <c r="Y6" i="12" s="1"/>
  <c r="X9" i="1"/>
  <c r="X6" i="12" s="1"/>
  <c r="W9" i="1"/>
  <c r="W6" i="12" s="1"/>
  <c r="V9" i="1"/>
  <c r="V6" i="12" s="1"/>
  <c r="U9" i="1"/>
  <c r="U6" i="12" s="1"/>
  <c r="T9" i="1"/>
  <c r="T6" i="12" s="1"/>
  <c r="S9" i="1"/>
  <c r="S6" i="12" s="1"/>
  <c r="R9" i="1"/>
  <c r="Q9" i="1"/>
  <c r="Q6" i="12" s="1"/>
  <c r="P9" i="1"/>
  <c r="P6" i="12" s="1"/>
  <c r="O9" i="1"/>
  <c r="O6" i="12" s="1"/>
  <c r="N9" i="1"/>
  <c r="N6" i="12" s="1"/>
  <c r="M9" i="1"/>
  <c r="M6" i="12" s="1"/>
  <c r="L9" i="1"/>
  <c r="L10" i="1" s="1"/>
  <c r="K9" i="1"/>
  <c r="K6" i="12" s="1"/>
  <c r="J9" i="1"/>
  <c r="J6" i="12" s="1"/>
  <c r="I9" i="1"/>
  <c r="H9" i="1"/>
  <c r="H10" i="1" s="1"/>
  <c r="G9" i="1"/>
  <c r="G6" i="12" s="1"/>
  <c r="F9" i="1"/>
  <c r="F6" i="12" s="1"/>
  <c r="E9" i="1"/>
  <c r="E6" i="12" s="1"/>
  <c r="E2" i="1"/>
  <c r="F1" i="1"/>
  <c r="AK39" i="2"/>
  <c r="AJ39" i="2" s="1"/>
  <c r="AI39" i="2" s="1"/>
  <c r="AH39" i="2" s="1"/>
  <c r="AG39" i="2" s="1"/>
  <c r="AF39" i="2" s="1"/>
  <c r="AE39" i="2" s="1"/>
  <c r="AD39" i="2" s="1"/>
  <c r="AC39" i="2" s="1"/>
  <c r="AB39" i="2" s="1"/>
  <c r="AA39" i="2" s="1"/>
  <c r="Z39" i="2" s="1"/>
  <c r="Y39" i="2" s="1"/>
  <c r="X39" i="2" s="1"/>
  <c r="W39" i="2" s="1"/>
  <c r="V39" i="2" s="1"/>
  <c r="U39" i="2" s="1"/>
  <c r="T39" i="2" s="1"/>
  <c r="S39" i="2" s="1"/>
  <c r="R39" i="2" s="1"/>
  <c r="Q39" i="2" s="1"/>
  <c r="P39" i="2" s="1"/>
  <c r="O39" i="2" s="1"/>
  <c r="N39" i="2" s="1"/>
  <c r="M39" i="2" s="1"/>
  <c r="L39" i="2" s="1"/>
  <c r="K39" i="2" s="1"/>
  <c r="J39" i="2" s="1"/>
  <c r="X30" i="2"/>
  <c r="W30" i="2"/>
  <c r="V30" i="2"/>
  <c r="U30" i="2"/>
  <c r="T30" i="2"/>
  <c r="S30" i="2"/>
  <c r="R30" i="2"/>
  <c r="Q30" i="2"/>
  <c r="P30" i="2"/>
  <c r="O30" i="2"/>
  <c r="N30" i="2"/>
  <c r="M30" i="2"/>
  <c r="L30" i="2"/>
  <c r="K30" i="2"/>
  <c r="J30" i="2"/>
  <c r="AN28" i="2"/>
  <c r="W18" i="63" s="1"/>
  <c r="E25" i="2"/>
  <c r="AS20" i="2"/>
  <c r="X24" i="2"/>
  <c r="W24" i="2"/>
  <c r="V24" i="2"/>
  <c r="AP18" i="2"/>
  <c r="AO18" i="2"/>
  <c r="Y18" i="2"/>
  <c r="G18" i="2"/>
  <c r="F18" i="2"/>
  <c r="AP17" i="2"/>
  <c r="AO17" i="2"/>
  <c r="Y17" i="2"/>
  <c r="I17" i="2"/>
  <c r="H17" i="2"/>
  <c r="Y14" i="2"/>
  <c r="Y11" i="2" s="1"/>
  <c r="AX11" i="2"/>
  <c r="AW11" i="2"/>
  <c r="AV11" i="2"/>
  <c r="AU11" i="2"/>
  <c r="AT11" i="2"/>
  <c r="AO52" i="9" s="1"/>
  <c r="AS11" i="2"/>
  <c r="AR11" i="2"/>
  <c r="AQ11" i="2"/>
  <c r="AP11" i="2"/>
  <c r="AN11" i="2"/>
  <c r="AM11" i="2"/>
  <c r="AL11" i="2"/>
  <c r="AK11" i="2"/>
  <c r="AJ11" i="2"/>
  <c r="AI11" i="2"/>
  <c r="AH11" i="2"/>
  <c r="AG11" i="2"/>
  <c r="AF11" i="2"/>
  <c r="AE11" i="2"/>
  <c r="AD11" i="2"/>
  <c r="AC11" i="2"/>
  <c r="AB11" i="2"/>
  <c r="AA11" i="2"/>
  <c r="Z11" i="2"/>
  <c r="I11" i="2"/>
  <c r="H11" i="2"/>
  <c r="G11" i="2"/>
  <c r="F11" i="2"/>
  <c r="E11" i="2"/>
  <c r="X10" i="2"/>
  <c r="W10" i="2"/>
  <c r="V10" i="2"/>
  <c r="I10" i="2"/>
  <c r="H10" i="2"/>
  <c r="G6" i="2"/>
  <c r="G10" i="2" s="1"/>
  <c r="F6" i="2"/>
  <c r="F10" i="2" s="1"/>
  <c r="E6" i="2"/>
  <c r="E10" i="2" s="1"/>
  <c r="J2" i="2"/>
  <c r="I2" i="2"/>
  <c r="H2" i="2"/>
  <c r="G2" i="2"/>
  <c r="F2" i="2"/>
  <c r="E2" i="2"/>
  <c r="K1" i="2"/>
  <c r="L1" i="2" s="1"/>
  <c r="AB95" i="3"/>
  <c r="X95" i="3"/>
  <c r="X96" i="3" s="1"/>
  <c r="BA78" i="3"/>
  <c r="AZ78" i="3"/>
  <c r="AY78" i="3"/>
  <c r="AX78" i="3"/>
  <c r="AW78" i="3"/>
  <c r="AV78" i="3"/>
  <c r="AU78" i="3"/>
  <c r="AT78" i="3"/>
  <c r="AS78" i="3"/>
  <c r="AR78" i="3"/>
  <c r="AQ78" i="3"/>
  <c r="AP78" i="3"/>
  <c r="AN78" i="3"/>
  <c r="AM78" i="3"/>
  <c r="AL78" i="3"/>
  <c r="AK78" i="3"/>
  <c r="AJ78" i="3"/>
  <c r="AI78" i="3"/>
  <c r="AG78" i="3"/>
  <c r="AF78" i="3"/>
  <c r="AE78" i="3"/>
  <c r="AD78" i="3"/>
  <c r="AC78" i="3"/>
  <c r="AB78" i="3"/>
  <c r="AA78" i="3"/>
  <c r="Z78" i="3"/>
  <c r="Y78" i="3"/>
  <c r="X78" i="3"/>
  <c r="W78" i="3"/>
  <c r="V78" i="3"/>
  <c r="U78" i="3"/>
  <c r="T78" i="3"/>
  <c r="S78" i="3"/>
  <c r="R78" i="3"/>
  <c r="Q78" i="3"/>
  <c r="P78" i="3"/>
  <c r="O78" i="3"/>
  <c r="N78" i="3"/>
  <c r="M78" i="3"/>
  <c r="E17" i="9" s="1"/>
  <c r="L78" i="3"/>
  <c r="K78" i="3"/>
  <c r="J78" i="3"/>
  <c r="I78" i="3"/>
  <c r="H78" i="3"/>
  <c r="G78" i="3"/>
  <c r="F78" i="3"/>
  <c r="E78" i="3"/>
  <c r="BA61" i="3"/>
  <c r="AZ61" i="3"/>
  <c r="AY61" i="3"/>
  <c r="AX61" i="3"/>
  <c r="AW61" i="3"/>
  <c r="AV61" i="3"/>
  <c r="AU61" i="3"/>
  <c r="AT61" i="3"/>
  <c r="AS61" i="3"/>
  <c r="AR61" i="3"/>
  <c r="AQ61" i="3"/>
  <c r="AP61" i="3"/>
  <c r="AN61" i="3"/>
  <c r="AM61" i="3"/>
  <c r="AL61" i="3"/>
  <c r="AK61" i="3"/>
  <c r="AJ61" i="3"/>
  <c r="AI61" i="3"/>
  <c r="AG61" i="3"/>
  <c r="AF61" i="3"/>
  <c r="AE61" i="3"/>
  <c r="AD61" i="3"/>
  <c r="AC61" i="3"/>
  <c r="AB61" i="3"/>
  <c r="AA61" i="3"/>
  <c r="Z61" i="3"/>
  <c r="Y61" i="3"/>
  <c r="X61" i="3"/>
  <c r="W61" i="3"/>
  <c r="V61" i="3"/>
  <c r="U61" i="3"/>
  <c r="T61" i="3"/>
  <c r="S61" i="3"/>
  <c r="R61" i="3"/>
  <c r="Q61" i="3"/>
  <c r="P61" i="3"/>
  <c r="O61" i="3"/>
  <c r="N61" i="3"/>
  <c r="M61" i="3"/>
  <c r="L61" i="3"/>
  <c r="K61" i="3"/>
  <c r="J61" i="3"/>
  <c r="I61" i="3"/>
  <c r="H61" i="3"/>
  <c r="G61" i="3"/>
  <c r="F61" i="3"/>
  <c r="E61" i="3"/>
  <c r="AE60" i="3"/>
  <c r="AD60" i="3"/>
  <c r="AC60" i="3"/>
  <c r="AB60" i="3"/>
  <c r="AA60" i="3"/>
  <c r="Z60" i="3"/>
  <c r="Y60" i="3"/>
  <c r="X60" i="3"/>
  <c r="W60" i="3"/>
  <c r="V60" i="3"/>
  <c r="I50" i="3"/>
  <c r="I42" i="3" s="1"/>
  <c r="G50" i="3"/>
  <c r="G42" i="3" s="1"/>
  <c r="F50" i="3"/>
  <c r="F42" i="3" s="1"/>
  <c r="E50" i="3"/>
  <c r="E42" i="3" s="1"/>
  <c r="AA46" i="3"/>
  <c r="BA42" i="3"/>
  <c r="AS7" i="9" s="1"/>
  <c r="AZ42" i="3"/>
  <c r="AR7" i="9" s="1"/>
  <c r="AY42" i="3"/>
  <c r="AQ7" i="9" s="1"/>
  <c r="AX42" i="3"/>
  <c r="AP7" i="9" s="1"/>
  <c r="AW42" i="3"/>
  <c r="AO7" i="9" s="1"/>
  <c r="AV42" i="3"/>
  <c r="AN7" i="9" s="1"/>
  <c r="AU42" i="3"/>
  <c r="AM7" i="9" s="1"/>
  <c r="AT42" i="3"/>
  <c r="AL7" i="9" s="1"/>
  <c r="AS42" i="3"/>
  <c r="AK7" i="9" s="1"/>
  <c r="AR42" i="3"/>
  <c r="AJ7" i="9" s="1"/>
  <c r="AQ42" i="3"/>
  <c r="AI7" i="9" s="1"/>
  <c r="AP42" i="3"/>
  <c r="AH7" i="9" s="1"/>
  <c r="AN42" i="3"/>
  <c r="AF7" i="9" s="1"/>
  <c r="AM42" i="3"/>
  <c r="AE7" i="9" s="1"/>
  <c r="AL42" i="3"/>
  <c r="AD7" i="9" s="1"/>
  <c r="AK42" i="3"/>
  <c r="AC7" i="9" s="1"/>
  <c r="AJ42" i="3"/>
  <c r="AB7" i="9" s="1"/>
  <c r="AI42" i="3"/>
  <c r="AA7" i="9" s="1"/>
  <c r="AG42" i="3"/>
  <c r="Y7" i="9" s="1"/>
  <c r="AF42" i="3"/>
  <c r="X7" i="9" s="1"/>
  <c r="AE42" i="3"/>
  <c r="W7" i="9" s="1"/>
  <c r="AD42" i="3"/>
  <c r="V7" i="9" s="1"/>
  <c r="AC42" i="3"/>
  <c r="U7" i="9" s="1"/>
  <c r="AB42" i="3"/>
  <c r="T7" i="9" s="1"/>
  <c r="Z42" i="3"/>
  <c r="R7" i="9" s="1"/>
  <c r="Y42" i="3"/>
  <c r="Q7" i="9" s="1"/>
  <c r="X42" i="3"/>
  <c r="P7" i="9" s="1"/>
  <c r="W42" i="3"/>
  <c r="O7" i="9" s="1"/>
  <c r="V42" i="3"/>
  <c r="N7" i="9" s="1"/>
  <c r="U42" i="3"/>
  <c r="M7" i="9" s="1"/>
  <c r="T42" i="3"/>
  <c r="L7" i="9" s="1"/>
  <c r="S42" i="3"/>
  <c r="K7" i="9" s="1"/>
  <c r="R42" i="3"/>
  <c r="J7" i="9" s="1"/>
  <c r="Q42" i="3"/>
  <c r="I7" i="9" s="1"/>
  <c r="P42" i="3"/>
  <c r="H7" i="9" s="1"/>
  <c r="O42" i="3"/>
  <c r="G7" i="9" s="1"/>
  <c r="N42" i="3"/>
  <c r="F7" i="9" s="1"/>
  <c r="M42" i="3"/>
  <c r="E7" i="9" s="1"/>
  <c r="L42" i="3"/>
  <c r="K42" i="3"/>
  <c r="J42" i="3"/>
  <c r="H42" i="3"/>
  <c r="BA40" i="3"/>
  <c r="AS12" i="9" s="1"/>
  <c r="AZ40" i="3"/>
  <c r="AR12" i="9" s="1"/>
  <c r="AY40" i="3"/>
  <c r="AX40" i="3"/>
  <c r="AW40" i="3"/>
  <c r="AO12" i="9" s="1"/>
  <c r="AV40" i="3"/>
  <c r="AU40" i="3"/>
  <c r="AT40" i="3"/>
  <c r="AS40" i="3"/>
  <c r="AN40" i="3"/>
  <c r="AM40" i="3"/>
  <c r="AL40" i="3"/>
  <c r="AK40" i="3"/>
  <c r="AJ40" i="3"/>
  <c r="AI40" i="3"/>
  <c r="AG40" i="3"/>
  <c r="AF40" i="3"/>
  <c r="AE40" i="3"/>
  <c r="AD40" i="3"/>
  <c r="AC40" i="3"/>
  <c r="AB40" i="3"/>
  <c r="AA40" i="3"/>
  <c r="Z40" i="3"/>
  <c r="Y40" i="3"/>
  <c r="X40" i="3"/>
  <c r="W40" i="3"/>
  <c r="V40" i="3"/>
  <c r="U40" i="3"/>
  <c r="T40" i="3"/>
  <c r="S40" i="3"/>
  <c r="R40" i="3"/>
  <c r="Q40" i="3"/>
  <c r="P40" i="3"/>
  <c r="O40" i="3"/>
  <c r="N40" i="3"/>
  <c r="M40" i="3"/>
  <c r="L40" i="3"/>
  <c r="K40" i="3"/>
  <c r="J40" i="3"/>
  <c r="I40" i="3"/>
  <c r="AE38" i="3"/>
  <c r="AD38" i="3"/>
  <c r="AC38" i="3"/>
  <c r="AB38" i="3"/>
  <c r="AA38" i="3"/>
  <c r="Z38" i="3"/>
  <c r="Y38" i="3"/>
  <c r="X38" i="3"/>
  <c r="W38" i="3"/>
  <c r="V38" i="3"/>
  <c r="AZ33" i="3"/>
  <c r="AY33" i="3"/>
  <c r="AX33" i="3"/>
  <c r="AW33" i="3"/>
  <c r="AV33" i="3"/>
  <c r="AU33" i="3"/>
  <c r="AT33" i="3"/>
  <c r="AS33" i="3"/>
  <c r="AR33" i="3"/>
  <c r="AQ33" i="3"/>
  <c r="AP33" i="3"/>
  <c r="AN33" i="3"/>
  <c r="AM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I33" i="3"/>
  <c r="H33" i="3"/>
  <c r="G33" i="3"/>
  <c r="F33" i="3"/>
  <c r="E33" i="3"/>
  <c r="AZ23" i="3"/>
  <c r="AY23" i="3"/>
  <c r="AX23" i="3"/>
  <c r="AW23" i="3"/>
  <c r="AV23" i="3"/>
  <c r="AU23" i="3"/>
  <c r="AT23" i="3"/>
  <c r="AS23" i="3"/>
  <c r="AR23" i="3"/>
  <c r="AQ23" i="3"/>
  <c r="AP23" i="3"/>
  <c r="AN23" i="3"/>
  <c r="AM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U20" i="3"/>
  <c r="T20" i="3"/>
  <c r="S20" i="3"/>
  <c r="R20" i="3"/>
  <c r="Q20" i="3"/>
  <c r="P20" i="3"/>
  <c r="O20" i="3"/>
  <c r="N20" i="3"/>
  <c r="M20" i="3"/>
  <c r="L20" i="3"/>
  <c r="K20" i="3"/>
  <c r="J20" i="3"/>
  <c r="I20" i="3"/>
  <c r="AZ6" i="3"/>
  <c r="AY6" i="3"/>
  <c r="AX6" i="3"/>
  <c r="AW6" i="3"/>
  <c r="AV6" i="3"/>
  <c r="AU6" i="3"/>
  <c r="AT6" i="3"/>
  <c r="AS6" i="3"/>
  <c r="AR6" i="3"/>
  <c r="AQ6" i="3"/>
  <c r="AP6" i="3"/>
  <c r="AN6" i="3"/>
  <c r="AM6" i="3"/>
  <c r="AL6" i="3"/>
  <c r="AK6" i="3"/>
  <c r="AJ6" i="3"/>
  <c r="AI6" i="3"/>
  <c r="AG6" i="3"/>
  <c r="AF6" i="3"/>
  <c r="AE6" i="3"/>
  <c r="AD6" i="3"/>
  <c r="AC6" i="3"/>
  <c r="AB6" i="3"/>
  <c r="AA6" i="3"/>
  <c r="Z6" i="3"/>
  <c r="Y6" i="3"/>
  <c r="X6" i="3"/>
  <c r="W6" i="3"/>
  <c r="V6" i="3"/>
  <c r="U6" i="3"/>
  <c r="T6" i="3"/>
  <c r="S6" i="3"/>
  <c r="R6" i="3"/>
  <c r="Q6" i="3"/>
  <c r="P6" i="3"/>
  <c r="O6" i="3"/>
  <c r="N6" i="3"/>
  <c r="M6" i="3"/>
  <c r="L6" i="3"/>
  <c r="K6" i="3"/>
  <c r="J6" i="3"/>
  <c r="I6" i="3"/>
  <c r="H6" i="3"/>
  <c r="G6" i="3"/>
  <c r="F6" i="3"/>
  <c r="E6" i="3"/>
  <c r="I2" i="3"/>
  <c r="H2" i="3"/>
  <c r="G2" i="3"/>
  <c r="F2" i="3"/>
  <c r="E2" i="3"/>
  <c r="AS1" i="3"/>
  <c r="J1" i="3"/>
  <c r="AC161" i="83"/>
  <c r="X161" i="83"/>
  <c r="S161" i="83"/>
  <c r="N161" i="83"/>
  <c r="I161" i="83"/>
  <c r="AC150" i="83"/>
  <c r="X150" i="83"/>
  <c r="S150" i="83"/>
  <c r="N150" i="83"/>
  <c r="I150" i="83"/>
  <c r="R148" i="83"/>
  <c r="S148" i="83" s="1"/>
  <c r="T147" i="83" s="1"/>
  <c r="X147" i="83" s="1"/>
  <c r="Q148" i="83"/>
  <c r="P148" i="83"/>
  <c r="O148" i="83"/>
  <c r="M148" i="83"/>
  <c r="N148" i="83" s="1"/>
  <c r="L148" i="83"/>
  <c r="K148" i="83"/>
  <c r="J148" i="83"/>
  <c r="H148" i="83"/>
  <c r="G148" i="83"/>
  <c r="F148" i="83"/>
  <c r="E148" i="83"/>
  <c r="E145" i="83" s="1"/>
  <c r="R147" i="83"/>
  <c r="Q147" i="83"/>
  <c r="P147" i="83"/>
  <c r="M147" i="83"/>
  <c r="L147" i="83"/>
  <c r="K147" i="83"/>
  <c r="I147" i="83"/>
  <c r="H147" i="83"/>
  <c r="G147" i="83"/>
  <c r="F147" i="83"/>
  <c r="BB143" i="83"/>
  <c r="BA143" i="83"/>
  <c r="BB139" i="83"/>
  <c r="BA139" i="83"/>
  <c r="BB138" i="83"/>
  <c r="BA138" i="83"/>
  <c r="BB137" i="83"/>
  <c r="BA137" i="83"/>
  <c r="R134" i="83"/>
  <c r="Q134" i="83"/>
  <c r="P134" i="83"/>
  <c r="M134" i="83"/>
  <c r="L134" i="83"/>
  <c r="K134" i="83"/>
  <c r="H134" i="83"/>
  <c r="G134" i="83"/>
  <c r="F134" i="83"/>
  <c r="E134" i="83"/>
  <c r="AC130" i="83"/>
  <c r="X130" i="83"/>
  <c r="S130" i="83"/>
  <c r="N130" i="83"/>
  <c r="I130" i="83"/>
  <c r="BB128" i="83"/>
  <c r="BA128" i="83"/>
  <c r="BE127" i="83"/>
  <c r="BD127" i="83"/>
  <c r="BC127" i="83"/>
  <c r="BB127" i="83"/>
  <c r="BA127" i="83"/>
  <c r="S127" i="83"/>
  <c r="N127" i="83"/>
  <c r="I127" i="83"/>
  <c r="BB124" i="83"/>
  <c r="BA124" i="83"/>
  <c r="S124" i="83"/>
  <c r="N124" i="83"/>
  <c r="I124" i="83"/>
  <c r="BB122" i="83"/>
  <c r="BA122" i="83"/>
  <c r="BB121" i="83"/>
  <c r="BA121" i="83"/>
  <c r="BB118" i="83"/>
  <c r="BA118" i="83"/>
  <c r="S118" i="83"/>
  <c r="N118" i="83"/>
  <c r="I118" i="83"/>
  <c r="BB117" i="83"/>
  <c r="BA117" i="83"/>
  <c r="S117" i="83"/>
  <c r="N117" i="83"/>
  <c r="O147" i="83" s="1"/>
  <c r="I117" i="83"/>
  <c r="J147" i="83" s="1"/>
  <c r="N147" i="83" s="1"/>
  <c r="BB116" i="83"/>
  <c r="BA116" i="83"/>
  <c r="AC116" i="83"/>
  <c r="X116" i="83"/>
  <c r="S116" i="83"/>
  <c r="N116" i="83"/>
  <c r="I116" i="83"/>
  <c r="BB115" i="83"/>
  <c r="BA115" i="83"/>
  <c r="BB113" i="83"/>
  <c r="BA113" i="83"/>
  <c r="BB112" i="83"/>
  <c r="BA112" i="83"/>
  <c r="BB111" i="83"/>
  <c r="BA111" i="83"/>
  <c r="AC110" i="83"/>
  <c r="W110" i="83"/>
  <c r="X110" i="83" s="1"/>
  <c r="Q110" i="83"/>
  <c r="S110" i="83" s="1"/>
  <c r="M110" i="83"/>
  <c r="N110" i="83" s="1"/>
  <c r="H110" i="83"/>
  <c r="I110" i="83" s="1"/>
  <c r="BB107" i="83"/>
  <c r="BA107" i="83"/>
  <c r="BB103" i="83"/>
  <c r="BA103" i="83"/>
  <c r="BB101" i="83"/>
  <c r="BA101" i="83"/>
  <c r="BB98" i="83"/>
  <c r="BA98" i="83"/>
  <c r="BB95" i="83"/>
  <c r="BA95" i="83"/>
  <c r="BB93" i="83"/>
  <c r="BA93" i="83"/>
  <c r="BB92" i="83"/>
  <c r="BA92" i="83"/>
  <c r="AC92" i="83"/>
  <c r="X92" i="83"/>
  <c r="S92" i="83"/>
  <c r="N92" i="83"/>
  <c r="I92" i="83"/>
  <c r="BB90" i="83"/>
  <c r="BA90" i="83"/>
  <c r="BB89" i="83"/>
  <c r="BA89" i="83"/>
  <c r="BB88" i="83"/>
  <c r="BA88" i="83"/>
  <c r="BB87" i="83"/>
  <c r="BA87" i="83"/>
  <c r="BB86" i="83"/>
  <c r="BA86" i="83"/>
  <c r="AC85" i="83"/>
  <c r="X85" i="83"/>
  <c r="Q85" i="83"/>
  <c r="S85" i="83" s="1"/>
  <c r="M85" i="83"/>
  <c r="N85" i="83" s="1"/>
  <c r="I85" i="83"/>
  <c r="BB82" i="83"/>
  <c r="BA82" i="83"/>
  <c r="N82" i="83"/>
  <c r="I82" i="83"/>
  <c r="BB78" i="83"/>
  <c r="BA78" i="83"/>
  <c r="Q74" i="83"/>
  <c r="S74" i="83" s="1"/>
  <c r="M74" i="83"/>
  <c r="L74" i="83"/>
  <c r="K74" i="83"/>
  <c r="J74" i="83"/>
  <c r="AC72" i="83"/>
  <c r="X72" i="83"/>
  <c r="S72" i="83"/>
  <c r="N72" i="83"/>
  <c r="H72" i="83"/>
  <c r="I72" i="83" s="1"/>
  <c r="BB71" i="83"/>
  <c r="BA71" i="83"/>
  <c r="R71" i="83"/>
  <c r="P71" i="83"/>
  <c r="O71" i="83"/>
  <c r="N71" i="83"/>
  <c r="BB68" i="83"/>
  <c r="BA68" i="83"/>
  <c r="BB65" i="83"/>
  <c r="BA65" i="83"/>
  <c r="BB35" i="83"/>
  <c r="BA35" i="83"/>
  <c r="AC35" i="83"/>
  <c r="X35" i="83"/>
  <c r="S35" i="83"/>
  <c r="N35" i="83"/>
  <c r="I35" i="83"/>
  <c r="BB31" i="83"/>
  <c r="BA31" i="83"/>
  <c r="BB29" i="83"/>
  <c r="BA29" i="83"/>
  <c r="BB28" i="83"/>
  <c r="BA28" i="83"/>
  <c r="AC23" i="83"/>
  <c r="W23" i="83"/>
  <c r="X23" i="83" s="1"/>
  <c r="S23" i="83"/>
  <c r="N23" i="83"/>
  <c r="BB22" i="83"/>
  <c r="BA22" i="83"/>
  <c r="N20" i="83"/>
  <c r="I20" i="83"/>
  <c r="E2" i="83"/>
  <c r="F1" i="83"/>
  <c r="A138" i="8"/>
  <c r="F21" i="32" l="1"/>
  <c r="G15" i="32" s="1"/>
  <c r="T21" i="32"/>
  <c r="U15" i="32" s="1"/>
  <c r="U21" i="32" s="1"/>
  <c r="Y21" i="32"/>
  <c r="Z15" i="32" s="1"/>
  <c r="AD21" i="32"/>
  <c r="AE15" i="32" s="1"/>
  <c r="AG7" i="2"/>
  <c r="AO134" i="9"/>
  <c r="AG30" i="9"/>
  <c r="AJ30" i="9"/>
  <c r="AR134" i="9"/>
  <c r="AO14" i="9"/>
  <c r="J27" i="65"/>
  <c r="M27" i="65"/>
  <c r="Z27" i="65"/>
  <c r="R30" i="32"/>
  <c r="AC27" i="65"/>
  <c r="F27" i="65"/>
  <c r="V27" i="65"/>
  <c r="W27" i="65"/>
  <c r="N27" i="65"/>
  <c r="AA27" i="65"/>
  <c r="AB27" i="65"/>
  <c r="AD27" i="65"/>
  <c r="X27" i="65"/>
  <c r="AF27" i="65"/>
  <c r="Q27" i="65"/>
  <c r="O27" i="65"/>
  <c r="G27" i="65"/>
  <c r="AK27" i="65"/>
  <c r="AE27" i="65"/>
  <c r="T27" i="65"/>
  <c r="E27" i="65"/>
  <c r="L27" i="65"/>
  <c r="O153" i="80"/>
  <c r="O160" i="80" s="1"/>
  <c r="G153" i="80"/>
  <c r="G160" i="80" s="1"/>
  <c r="M153" i="80"/>
  <c r="M160" i="80" s="1"/>
  <c r="N153" i="80"/>
  <c r="N160" i="80" s="1"/>
  <c r="I337" i="36"/>
  <c r="I347" i="36" s="1"/>
  <c r="I358" i="36" s="1"/>
  <c r="E337" i="36"/>
  <c r="E347" i="36" s="1"/>
  <c r="E358" i="36" s="1"/>
  <c r="G337" i="36"/>
  <c r="G347" i="36" s="1"/>
  <c r="G358" i="36" s="1"/>
  <c r="F337" i="36"/>
  <c r="F347" i="36" s="1"/>
  <c r="F358" i="36" s="1"/>
  <c r="N337" i="36"/>
  <c r="N347" i="36" s="1"/>
  <c r="N358" i="36" s="1"/>
  <c r="H337" i="36"/>
  <c r="H347" i="36" s="1"/>
  <c r="H358" i="36" s="1"/>
  <c r="H27" i="65"/>
  <c r="CP24" i="34"/>
  <c r="AG27" i="65"/>
  <c r="CJ24" i="34"/>
  <c r="R27" i="65"/>
  <c r="CS24" i="34"/>
  <c r="BF24" i="34"/>
  <c r="CY24" i="34"/>
  <c r="S51" i="9"/>
  <c r="S52" i="9" s="1"/>
  <c r="S53" i="9" s="1"/>
  <c r="K30" i="9"/>
  <c r="S30" i="9"/>
  <c r="AA30" i="9"/>
  <c r="AR30" i="9"/>
  <c r="P278" i="79"/>
  <c r="P288" i="79" s="1"/>
  <c r="BU24" i="34"/>
  <c r="Y27" i="65"/>
  <c r="I27" i="65"/>
  <c r="BL24" i="34"/>
  <c r="L30" i="9"/>
  <c r="T30" i="9"/>
  <c r="AS30" i="9"/>
  <c r="M30" i="9"/>
  <c r="U30" i="9"/>
  <c r="AL30" i="9"/>
  <c r="P27" i="65"/>
  <c r="BI24" i="34"/>
  <c r="DB24" i="34"/>
  <c r="BO24" i="34"/>
  <c r="AB30" i="9"/>
  <c r="AK30" i="9"/>
  <c r="AC30" i="9"/>
  <c r="AD30" i="9"/>
  <c r="AT30" i="9"/>
  <c r="N30" i="9"/>
  <c r="V30" i="9"/>
  <c r="AE30" i="9"/>
  <c r="AM30" i="9"/>
  <c r="O30" i="9"/>
  <c r="W30" i="9"/>
  <c r="AF30" i="9"/>
  <c r="AN30" i="9"/>
  <c r="P30" i="9"/>
  <c r="X30" i="9"/>
  <c r="AO30" i="9"/>
  <c r="I30" i="9"/>
  <c r="Q30" i="9"/>
  <c r="Y30" i="9"/>
  <c r="AH30" i="9"/>
  <c r="AP30" i="9"/>
  <c r="J30" i="9"/>
  <c r="R30" i="9"/>
  <c r="Z30" i="9"/>
  <c r="AI30" i="9"/>
  <c r="AQ30" i="9"/>
  <c r="K278" i="79"/>
  <c r="J278" i="79"/>
  <c r="M278" i="79"/>
  <c r="S278" i="79"/>
  <c r="N278" i="79"/>
  <c r="K27" i="65"/>
  <c r="AH27" i="65"/>
  <c r="S27" i="65"/>
  <c r="AE23" i="60"/>
  <c r="AJ27" i="65"/>
  <c r="AH18" i="44"/>
  <c r="G51" i="52"/>
  <c r="O51" i="52"/>
  <c r="W51" i="52"/>
  <c r="AI27" i="65"/>
  <c r="S40" i="46"/>
  <c r="AA40" i="46"/>
  <c r="AI40" i="46"/>
  <c r="N59" i="46"/>
  <c r="V59" i="46"/>
  <c r="AD59" i="46"/>
  <c r="AL59" i="46"/>
  <c r="G32" i="68"/>
  <c r="W32" i="68"/>
  <c r="AR7" i="2"/>
  <c r="J139" i="9"/>
  <c r="R139" i="9"/>
  <c r="K139" i="9"/>
  <c r="S139" i="9"/>
  <c r="M139" i="9"/>
  <c r="U139" i="9"/>
  <c r="T139" i="9"/>
  <c r="N139" i="9"/>
  <c r="V139" i="9"/>
  <c r="O139" i="9"/>
  <c r="W139" i="9"/>
  <c r="L139" i="9"/>
  <c r="P139" i="9"/>
  <c r="X139" i="9"/>
  <c r="I139" i="9"/>
  <c r="Q139" i="9"/>
  <c r="F30" i="48"/>
  <c r="N30" i="48"/>
  <c r="V30" i="48"/>
  <c r="AD30" i="48"/>
  <c r="AL30" i="48"/>
  <c r="AA18" i="44"/>
  <c r="AS7" i="2"/>
  <c r="E25" i="30"/>
  <c r="M25" i="30"/>
  <c r="AD25" i="30"/>
  <c r="J18" i="29"/>
  <c r="AB18" i="29"/>
  <c r="K18" i="29"/>
  <c r="AC18" i="29"/>
  <c r="M32" i="68"/>
  <c r="U32" i="68"/>
  <c r="F145" i="83"/>
  <c r="J51" i="61"/>
  <c r="V51" i="61"/>
  <c r="AJ51" i="61"/>
  <c r="Z8" i="2"/>
  <c r="AA25" i="10"/>
  <c r="AA23" i="12" s="1"/>
  <c r="L40" i="46"/>
  <c r="T40" i="46"/>
  <c r="AB40" i="46"/>
  <c r="AJ40" i="46"/>
  <c r="AG8" i="2"/>
  <c r="AO8" i="2"/>
  <c r="AP8" i="2"/>
  <c r="S78" i="46"/>
  <c r="AA78" i="46"/>
  <c r="AI78" i="46"/>
  <c r="Y8" i="2"/>
  <c r="AB7" i="2"/>
  <c r="AC7" i="2"/>
  <c r="AH7" i="2"/>
  <c r="AW8" i="2"/>
  <c r="T34" i="1"/>
  <c r="J90" i="71"/>
  <c r="R90" i="71"/>
  <c r="Z90" i="71"/>
  <c r="J22" i="49"/>
  <c r="R22" i="49"/>
  <c r="Z22" i="49"/>
  <c r="AJ22" i="49"/>
  <c r="K22" i="49"/>
  <c r="L22" i="49"/>
  <c r="T22" i="49"/>
  <c r="E22" i="49"/>
  <c r="M22" i="49"/>
  <c r="U22" i="49"/>
  <c r="AC22" i="49"/>
  <c r="F22" i="49"/>
  <c r="N22" i="49"/>
  <c r="V22" i="49"/>
  <c r="AD22" i="49"/>
  <c r="G22" i="49"/>
  <c r="O22" i="49"/>
  <c r="W22" i="49"/>
  <c r="AE22" i="49"/>
  <c r="H22" i="49"/>
  <c r="P22" i="49"/>
  <c r="X22" i="49"/>
  <c r="AF22" i="49"/>
  <c r="I22" i="49"/>
  <c r="Q22" i="49"/>
  <c r="AI22" i="49"/>
  <c r="L21" i="46"/>
  <c r="T21" i="46"/>
  <c r="AC32" i="68"/>
  <c r="F39" i="3"/>
  <c r="AI7" i="2"/>
  <c r="F21" i="59"/>
  <c r="J32" i="68"/>
  <c r="R32" i="68"/>
  <c r="Z32" i="68"/>
  <c r="AV8" i="2"/>
  <c r="X8" i="2"/>
  <c r="AB25" i="10"/>
  <c r="AB85" i="10" s="1"/>
  <c r="N51" i="61"/>
  <c r="AF51" i="61"/>
  <c r="I22" i="53"/>
  <c r="I24" i="53" s="1"/>
  <c r="Q22" i="53"/>
  <c r="Q24" i="53" s="1"/>
  <c r="M90" i="71"/>
  <c r="U90" i="71"/>
  <c r="AC90" i="71"/>
  <c r="AK90" i="71"/>
  <c r="K51" i="61"/>
  <c r="W51" i="61"/>
  <c r="AK51" i="61"/>
  <c r="H21" i="59"/>
  <c r="AE45" i="33"/>
  <c r="E51" i="52"/>
  <c r="M51" i="52"/>
  <c r="U51" i="52"/>
  <c r="AC51" i="52"/>
  <c r="AK51" i="52"/>
  <c r="H32" i="68"/>
  <c r="X32" i="68"/>
  <c r="O90" i="71"/>
  <c r="W90" i="71"/>
  <c r="AE90" i="71"/>
  <c r="T93" i="63"/>
  <c r="P32" i="68"/>
  <c r="U93" i="63"/>
  <c r="V93" i="63"/>
  <c r="AG18" i="44"/>
  <c r="I21" i="59"/>
  <c r="W93" i="63"/>
  <c r="F51" i="61"/>
  <c r="E32" i="68"/>
  <c r="N32" i="68"/>
  <c r="V32" i="68"/>
  <c r="AD32" i="68"/>
  <c r="AT134" i="9"/>
  <c r="K134" i="9"/>
  <c r="S134" i="9"/>
  <c r="J22" i="53"/>
  <c r="J24" i="53" s="1"/>
  <c r="R22" i="53"/>
  <c r="R24" i="53" s="1"/>
  <c r="S93" i="63"/>
  <c r="O32" i="68"/>
  <c r="L134" i="9"/>
  <c r="M30" i="31"/>
  <c r="M29" i="31" s="1"/>
  <c r="AD30" i="31"/>
  <c r="AD29" i="31" s="1"/>
  <c r="G51" i="61"/>
  <c r="P51" i="61"/>
  <c r="AH51" i="61"/>
  <c r="L30" i="31"/>
  <c r="L29" i="31" s="1"/>
  <c r="O51" i="61"/>
  <c r="M134" i="9"/>
  <c r="AY39" i="3"/>
  <c r="AH8" i="2"/>
  <c r="N134" i="9"/>
  <c r="G25" i="30"/>
  <c r="AF25" i="30"/>
  <c r="W30" i="31"/>
  <c r="W29" i="31" s="1"/>
  <c r="AE30" i="31"/>
  <c r="AE29" i="31" s="1"/>
  <c r="I51" i="61"/>
  <c r="U51" i="61"/>
  <c r="AI51" i="61"/>
  <c r="AF45" i="33"/>
  <c r="H24" i="55"/>
  <c r="P24" i="55"/>
  <c r="X24" i="55"/>
  <c r="X25" i="55" s="1"/>
  <c r="AF24" i="55"/>
  <c r="AF25" i="55" s="1"/>
  <c r="J21" i="59"/>
  <c r="AJ39" i="3"/>
  <c r="AR39" i="3"/>
  <c r="AZ39" i="3"/>
  <c r="AN7" i="2"/>
  <c r="AL8" i="2"/>
  <c r="AL6" i="2" s="1"/>
  <c r="O134" i="9"/>
  <c r="R14" i="67"/>
  <c r="R17" i="67" s="1"/>
  <c r="R20" i="67" s="1"/>
  <c r="R39" i="67"/>
  <c r="H25" i="30"/>
  <c r="AG25" i="30"/>
  <c r="G30" i="31"/>
  <c r="G29" i="31" s="1"/>
  <c r="O30" i="31"/>
  <c r="O29" i="31" s="1"/>
  <c r="X30" i="31"/>
  <c r="X29" i="31" s="1"/>
  <c r="AF30" i="31"/>
  <c r="AF29" i="31" s="1"/>
  <c r="R40" i="46"/>
  <c r="Z40" i="46"/>
  <c r="AH40" i="46"/>
  <c r="M59" i="46"/>
  <c r="U59" i="46"/>
  <c r="AC59" i="46"/>
  <c r="AK59" i="46"/>
  <c r="M30" i="48"/>
  <c r="N90" i="71"/>
  <c r="V90" i="71"/>
  <c r="AD90" i="71"/>
  <c r="K21" i="59"/>
  <c r="S21" i="59"/>
  <c r="L32" i="68"/>
  <c r="T32" i="68"/>
  <c r="AB32" i="68"/>
  <c r="I51" i="68"/>
  <c r="Q51" i="68"/>
  <c r="AG51" i="68"/>
  <c r="U30" i="31"/>
  <c r="U29" i="31" s="1"/>
  <c r="E30" i="31"/>
  <c r="E29" i="31" s="1"/>
  <c r="V30" i="31"/>
  <c r="V29" i="31" s="1"/>
  <c r="AS7" i="12"/>
  <c r="AX8" i="2"/>
  <c r="H134" i="9"/>
  <c r="H135" i="9" s="1"/>
  <c r="H140" i="9" s="1"/>
  <c r="P134" i="9"/>
  <c r="X134" i="9"/>
  <c r="I25" i="30"/>
  <c r="H30" i="31"/>
  <c r="H29" i="31" s="1"/>
  <c r="P30" i="31"/>
  <c r="P29" i="31" s="1"/>
  <c r="Y30" i="31"/>
  <c r="Y29" i="31" s="1"/>
  <c r="AG30" i="31"/>
  <c r="AG29" i="31" s="1"/>
  <c r="Y7" i="2"/>
  <c r="AQ134" i="9"/>
  <c r="I134" i="9"/>
  <c r="Q134" i="9"/>
  <c r="Y134" i="9"/>
  <c r="L29" i="76"/>
  <c r="AI25" i="30"/>
  <c r="K13" i="31"/>
  <c r="K11" i="31"/>
  <c r="AA13" i="31"/>
  <c r="AA11" i="31"/>
  <c r="I30" i="31"/>
  <c r="I29" i="31" s="1"/>
  <c r="Q30" i="31"/>
  <c r="Q29" i="31" s="1"/>
  <c r="Z30" i="31"/>
  <c r="Z29" i="31" s="1"/>
  <c r="AH30" i="31"/>
  <c r="AH29" i="31" s="1"/>
  <c r="L51" i="61"/>
  <c r="X51" i="61"/>
  <c r="R78" i="46"/>
  <c r="Z78" i="46"/>
  <c r="AH78" i="46"/>
  <c r="AC30" i="31"/>
  <c r="AC29" i="31" s="1"/>
  <c r="J134" i="9"/>
  <c r="R134" i="9"/>
  <c r="Z134" i="9"/>
  <c r="K25" i="30"/>
  <c r="AA30" i="31"/>
  <c r="AA29" i="31" s="1"/>
  <c r="AI30" i="31"/>
  <c r="AI29" i="31" s="1"/>
  <c r="M51" i="61"/>
  <c r="AE51" i="61"/>
  <c r="M40" i="46"/>
  <c r="U40" i="46"/>
  <c r="AC40" i="46"/>
  <c r="AK40" i="46"/>
  <c r="P59" i="46"/>
  <c r="X59" i="46"/>
  <c r="AF59" i="46"/>
  <c r="AN59" i="46"/>
  <c r="W21" i="59"/>
  <c r="N40" i="46"/>
  <c r="V40" i="46"/>
  <c r="AD40" i="46"/>
  <c r="AL40" i="46"/>
  <c r="Q59" i="46"/>
  <c r="Y59" i="46"/>
  <c r="AG59" i="46"/>
  <c r="L78" i="46"/>
  <c r="U78" i="46"/>
  <c r="AC78" i="46"/>
  <c r="AK78" i="46"/>
  <c r="V51" i="52"/>
  <c r="G22" i="53"/>
  <c r="G24" i="53" s="1"/>
  <c r="AW134" i="9"/>
  <c r="AW135" i="9" s="1"/>
  <c r="AV134" i="9"/>
  <c r="U134" i="9"/>
  <c r="V134" i="9"/>
  <c r="AI134" i="9"/>
  <c r="W134" i="9"/>
  <c r="AP134" i="9"/>
  <c r="AN134" i="9"/>
  <c r="AM134" i="9"/>
  <c r="AS134" i="9"/>
  <c r="AU134" i="9"/>
  <c r="T134" i="9"/>
  <c r="AE32" i="68"/>
  <c r="I32" i="68"/>
  <c r="Q32" i="68"/>
  <c r="Y32" i="68"/>
  <c r="K32" i="68"/>
  <c r="S32" i="68"/>
  <c r="AA32" i="68"/>
  <c r="L51" i="68"/>
  <c r="I51" i="52"/>
  <c r="Q51" i="52"/>
  <c r="AG51" i="52"/>
  <c r="Z51" i="52"/>
  <c r="AH51" i="52"/>
  <c r="Y51" i="52"/>
  <c r="AG93" i="63"/>
  <c r="AF24" i="72"/>
  <c r="AG24" i="72"/>
  <c r="F90" i="3"/>
  <c r="K8" i="12"/>
  <c r="S8" i="12"/>
  <c r="AA8" i="12"/>
  <c r="AI8" i="12"/>
  <c r="AS6" i="12"/>
  <c r="AX7" i="2"/>
  <c r="AQ6" i="12"/>
  <c r="AQ8" i="12" s="1"/>
  <c r="G90" i="71"/>
  <c r="AM6" i="2"/>
  <c r="T8" i="12"/>
  <c r="AB8" i="12"/>
  <c r="AJ8" i="12"/>
  <c r="AR8" i="12"/>
  <c r="F14" i="9"/>
  <c r="O134" i="83"/>
  <c r="S134" i="83" s="1"/>
  <c r="W25" i="30"/>
  <c r="AJ25" i="30"/>
  <c r="K145" i="83"/>
  <c r="J134" i="83"/>
  <c r="N134" i="83" s="1"/>
  <c r="Z22" i="53"/>
  <c r="Z24" i="53" s="1"/>
  <c r="Y52" i="9"/>
  <c r="AG52" i="9"/>
  <c r="J77" i="76"/>
  <c r="R145" i="83"/>
  <c r="L145" i="83"/>
  <c r="O25" i="30"/>
  <c r="P25" i="30"/>
  <c r="BC112" i="77"/>
  <c r="BC146" i="77"/>
  <c r="BC147" i="77"/>
  <c r="BC156" i="77"/>
  <c r="BD159" i="77"/>
  <c r="K23" i="13"/>
  <c r="BC117" i="77"/>
  <c r="BD166" i="77"/>
  <c r="BC130" i="77"/>
  <c r="BC135" i="77"/>
  <c r="BD146" i="77"/>
  <c r="BD147" i="77"/>
  <c r="BC151" i="77"/>
  <c r="BC152" i="77"/>
  <c r="BC159" i="77"/>
  <c r="BC164" i="77"/>
  <c r="BC115" i="77"/>
  <c r="BD118" i="77"/>
  <c r="BC121" i="77"/>
  <c r="BD124" i="77"/>
  <c r="BC126" i="77"/>
  <c r="BD128" i="77"/>
  <c r="BD133" i="77"/>
  <c r="BD138" i="77"/>
  <c r="BD139" i="77"/>
  <c r="BC150" i="77"/>
  <c r="BC165" i="77"/>
  <c r="R25" i="13"/>
  <c r="BC154" i="77"/>
  <c r="BC120" i="77"/>
  <c r="BC125" i="77"/>
  <c r="BC134" i="77"/>
  <c r="BC141" i="77"/>
  <c r="BC142" i="77"/>
  <c r="BC153" i="77"/>
  <c r="BC158" i="77"/>
  <c r="BD148" i="77"/>
  <c r="BC113" i="77"/>
  <c r="BC119" i="77"/>
  <c r="BC129" i="77"/>
  <c r="BC140" i="77"/>
  <c r="BC143" i="77"/>
  <c r="BD149" i="77"/>
  <c r="BC157" i="77"/>
  <c r="BC163" i="77"/>
  <c r="F90" i="71"/>
  <c r="O14" i="67"/>
  <c r="O17" i="67" s="1"/>
  <c r="O20" i="67" s="1"/>
  <c r="AA26" i="32"/>
  <c r="AD23" i="60"/>
  <c r="BC111" i="77"/>
  <c r="BC123" i="77"/>
  <c r="BC127" i="77"/>
  <c r="BC132" i="77"/>
  <c r="BD134" i="77"/>
  <c r="BC137" i="77"/>
  <c r="BD141" i="77"/>
  <c r="BC148" i="77"/>
  <c r="BC155" i="77"/>
  <c r="BC161" i="77"/>
  <c r="BC166" i="77"/>
  <c r="BD151" i="77"/>
  <c r="BD152" i="77"/>
  <c r="BD164" i="77"/>
  <c r="BD115" i="77"/>
  <c r="BC118" i="77"/>
  <c r="BD121" i="77"/>
  <c r="BC124" i="77"/>
  <c r="BD126" i="77"/>
  <c r="BC128" i="77"/>
  <c r="BC133" i="77"/>
  <c r="BC138" i="77"/>
  <c r="BC139" i="77"/>
  <c r="BC145" i="77"/>
  <c r="BD150" i="77"/>
  <c r="BD154" i="77"/>
  <c r="BC162" i="77"/>
  <c r="BD165" i="77"/>
  <c r="AW7" i="2"/>
  <c r="AI8" i="2"/>
  <c r="BD116" i="77"/>
  <c r="BD122" i="77"/>
  <c r="BD131" i="77"/>
  <c r="BD136" i="77"/>
  <c r="BC144" i="77"/>
  <c r="BD160" i="77"/>
  <c r="H18" i="29"/>
  <c r="L13" i="31"/>
  <c r="Q22" i="44"/>
  <c r="Q23" i="44" s="1"/>
  <c r="BD111" i="77"/>
  <c r="BC114" i="77"/>
  <c r="BD123" i="77"/>
  <c r="BD127" i="77"/>
  <c r="BD132" i="77"/>
  <c r="BD137" i="77"/>
  <c r="BD155" i="77"/>
  <c r="BD161" i="77"/>
  <c r="F2" i="29"/>
  <c r="X13" i="31"/>
  <c r="R22" i="44"/>
  <c r="R23" i="44" s="1"/>
  <c r="Z22" i="44"/>
  <c r="AH22" i="44"/>
  <c r="AH23" i="44" s="1"/>
  <c r="AF57" i="49"/>
  <c r="K22" i="53"/>
  <c r="K24" i="53" s="1"/>
  <c r="S22" i="53"/>
  <c r="S24" i="53" s="1"/>
  <c r="AC22" i="53"/>
  <c r="AC24" i="53" s="1"/>
  <c r="L36" i="76"/>
  <c r="BD112" i="77"/>
  <c r="BD117" i="77"/>
  <c r="BD156" i="77"/>
  <c r="F21" i="46"/>
  <c r="N21" i="46"/>
  <c r="V21" i="46"/>
  <c r="AH21" i="46"/>
  <c r="I90" i="71"/>
  <c r="Q90" i="71"/>
  <c r="Y90" i="71"/>
  <c r="BD145" i="77"/>
  <c r="BD162" i="77"/>
  <c r="G21" i="46"/>
  <c r="O21" i="46"/>
  <c r="AI21" i="46"/>
  <c r="L21" i="59"/>
  <c r="P13" i="80"/>
  <c r="P20" i="80" s="1"/>
  <c r="P27" i="80" s="1"/>
  <c r="P34" i="80" s="1"/>
  <c r="P41" i="80" s="1"/>
  <c r="P48" i="80" s="1"/>
  <c r="P55" i="80" s="1"/>
  <c r="P62" i="80" s="1"/>
  <c r="P69" i="80" s="1"/>
  <c r="P76" i="80" s="1"/>
  <c r="P83" i="80" s="1"/>
  <c r="P90" i="80" s="1"/>
  <c r="P97" i="80" s="1"/>
  <c r="AQ8" i="2"/>
  <c r="U39" i="67"/>
  <c r="AC39" i="67"/>
  <c r="P53" i="9"/>
  <c r="BD113" i="77"/>
  <c r="BC116" i="77"/>
  <c r="BD119" i="77"/>
  <c r="BC122" i="77"/>
  <c r="BD129" i="77"/>
  <c r="BC131" i="77"/>
  <c r="BC136" i="77"/>
  <c r="BD140" i="77"/>
  <c r="BD143" i="77"/>
  <c r="BD144" i="77"/>
  <c r="BC149" i="77"/>
  <c r="BD157" i="77"/>
  <c r="BC160" i="77"/>
  <c r="BD163" i="77"/>
  <c r="AJ45" i="33"/>
  <c r="X33" i="45"/>
  <c r="S59" i="46"/>
  <c r="AA59" i="46"/>
  <c r="AI59" i="46"/>
  <c r="H22" i="53"/>
  <c r="H24" i="53" s="1"/>
  <c r="P22" i="53"/>
  <c r="P24" i="53" s="1"/>
  <c r="X22" i="53"/>
  <c r="X24" i="53" s="1"/>
  <c r="AI22" i="53"/>
  <c r="AI24" i="53" s="1"/>
  <c r="K90" i="71"/>
  <c r="S90" i="71"/>
  <c r="AA90" i="71"/>
  <c r="AI90" i="71"/>
  <c r="AJ24" i="55"/>
  <c r="AJ25" i="55" s="1"/>
  <c r="AK39" i="3"/>
  <c r="AS39" i="3"/>
  <c r="Z7" i="2"/>
  <c r="AO7" i="2"/>
  <c r="AA8" i="2"/>
  <c r="BD114" i="77"/>
  <c r="BD120" i="77"/>
  <c r="BD125" i="77"/>
  <c r="BD142" i="77"/>
  <c r="BD153" i="77"/>
  <c r="BD158" i="77"/>
  <c r="I21" i="46"/>
  <c r="Q21" i="46"/>
  <c r="AA21" i="46"/>
  <c r="Q40" i="46"/>
  <c r="Y40" i="46"/>
  <c r="AG40" i="46"/>
  <c r="L59" i="46"/>
  <c r="T59" i="46"/>
  <c r="AB59" i="46"/>
  <c r="M39" i="3"/>
  <c r="AC39" i="3"/>
  <c r="AA7" i="2"/>
  <c r="L14" i="67"/>
  <c r="L17" i="67" s="1"/>
  <c r="L20" i="67" s="1"/>
  <c r="BD130" i="77"/>
  <c r="BD135" i="77"/>
  <c r="AH48" i="61"/>
  <c r="J21" i="46"/>
  <c r="R21" i="46"/>
  <c r="AB21" i="46"/>
  <c r="P78" i="46"/>
  <c r="X78" i="46"/>
  <c r="AF78" i="46"/>
  <c r="AN78" i="46"/>
  <c r="J57" i="49"/>
  <c r="AC57" i="49"/>
  <c r="F2" i="52"/>
  <c r="L24" i="55"/>
  <c r="T24" i="55"/>
  <c r="T25" i="55" s="1"/>
  <c r="AB24" i="55"/>
  <c r="AB25" i="55" s="1"/>
  <c r="V8" i="2"/>
  <c r="AH39" i="3"/>
  <c r="AD7" i="2"/>
  <c r="G90" i="3"/>
  <c r="E39" i="3"/>
  <c r="U39" i="3"/>
  <c r="H90" i="3"/>
  <c r="AV7" i="2"/>
  <c r="AC8" i="2"/>
  <c r="AN8" i="2"/>
  <c r="J90" i="3"/>
  <c r="AD8" i="2"/>
  <c r="M145" i="83"/>
  <c r="G39" i="3"/>
  <c r="AB96" i="3"/>
  <c r="AF8" i="2"/>
  <c r="L12" i="30"/>
  <c r="L11" i="30"/>
  <c r="G14" i="67"/>
  <c r="G17" i="67" s="1"/>
  <c r="G20" i="67" s="1"/>
  <c r="V36" i="12"/>
  <c r="K14" i="67"/>
  <c r="K17" i="67" s="1"/>
  <c r="K20" i="67" s="1"/>
  <c r="H39" i="67"/>
  <c r="Z39" i="67"/>
  <c r="AH39" i="67"/>
  <c r="Q39" i="67"/>
  <c r="I14" i="67"/>
  <c r="I17" i="67" s="1"/>
  <c r="I20" i="67" s="1"/>
  <c r="Q14" i="67"/>
  <c r="Q17" i="67" s="1"/>
  <c r="Q20" i="67" s="1"/>
  <c r="J14" i="67"/>
  <c r="J17" i="67" s="1"/>
  <c r="J20" i="67" s="1"/>
  <c r="AE12" i="26"/>
  <c r="AE13" i="26" s="1"/>
  <c r="E13" i="32"/>
  <c r="F6" i="32"/>
  <c r="AD6" i="32"/>
  <c r="AB13" i="31"/>
  <c r="AE1" i="30"/>
  <c r="AE2" i="30" s="1"/>
  <c r="BL21" i="34"/>
  <c r="J18" i="44"/>
  <c r="AP27" i="34"/>
  <c r="K18" i="44"/>
  <c r="S18" i="44"/>
  <c r="AI18" i="44"/>
  <c r="L25" i="30"/>
  <c r="F25" i="30"/>
  <c r="N25" i="30"/>
  <c r="AE25" i="30"/>
  <c r="E42" i="33"/>
  <c r="M42" i="33"/>
  <c r="U42" i="33"/>
  <c r="K22" i="44"/>
  <c r="K23" i="44" s="1"/>
  <c r="S22" i="44"/>
  <c r="AA22" i="44"/>
  <c r="AI22" i="44"/>
  <c r="AI23" i="44" s="1"/>
  <c r="J33" i="45"/>
  <c r="R33" i="45"/>
  <c r="AG33" i="45"/>
  <c r="H30" i="48"/>
  <c r="P30" i="48"/>
  <c r="X30" i="48"/>
  <c r="AF30" i="48"/>
  <c r="F2" i="53"/>
  <c r="G1" i="71"/>
  <c r="G2" i="71" s="1"/>
  <c r="AE24" i="55"/>
  <c r="AE25" i="55" s="1"/>
  <c r="K33" i="45"/>
  <c r="S33" i="45"/>
  <c r="F22" i="53"/>
  <c r="F24" i="53" s="1"/>
  <c r="N22" i="53"/>
  <c r="N24" i="53" s="1"/>
  <c r="V22" i="53"/>
  <c r="V24" i="53" s="1"/>
  <c r="AG22" i="53"/>
  <c r="AG24" i="53" s="1"/>
  <c r="E21" i="46"/>
  <c r="M21" i="46"/>
  <c r="U21" i="46"/>
  <c r="AG21" i="46"/>
  <c r="H21" i="46"/>
  <c r="P21" i="46"/>
  <c r="AE51" i="52"/>
  <c r="U13" i="31"/>
  <c r="AK45" i="33"/>
  <c r="BU21" i="34"/>
  <c r="BU27" i="34" s="1"/>
  <c r="BP27" i="34"/>
  <c r="CN27" i="34"/>
  <c r="G18" i="44"/>
  <c r="O18" i="44"/>
  <c r="W18" i="44"/>
  <c r="AE18" i="44"/>
  <c r="M33" i="45"/>
  <c r="K60" i="68"/>
  <c r="S60" i="68"/>
  <c r="T13" i="26"/>
  <c r="Z22" i="26"/>
  <c r="Z23" i="26" s="1"/>
  <c r="AE1" i="32"/>
  <c r="AE2" i="32" s="1"/>
  <c r="I42" i="33"/>
  <c r="Q42" i="33"/>
  <c r="AG45" i="33"/>
  <c r="AL45" i="33"/>
  <c r="AI27" i="34"/>
  <c r="AR27" i="34"/>
  <c r="AZ27" i="34"/>
  <c r="BQ27" i="34"/>
  <c r="BY27" i="34"/>
  <c r="CO27" i="34"/>
  <c r="CZ27" i="34"/>
  <c r="H22" i="44"/>
  <c r="H23" i="44" s="1"/>
  <c r="X22" i="44"/>
  <c r="X23" i="44" s="1"/>
  <c r="O40" i="46"/>
  <c r="W40" i="46"/>
  <c r="AE40" i="46"/>
  <c r="AM40" i="46"/>
  <c r="R59" i="46"/>
  <c r="Z59" i="46"/>
  <c r="G57" i="49"/>
  <c r="X57" i="49"/>
  <c r="L90" i="71"/>
  <c r="T90" i="71"/>
  <c r="AB90" i="71"/>
  <c r="AJ90" i="71"/>
  <c r="F18" i="29"/>
  <c r="N18" i="29"/>
  <c r="L18" i="29"/>
  <c r="AK18" i="29"/>
  <c r="G13" i="31"/>
  <c r="W13" i="31"/>
  <c r="R48" i="61"/>
  <c r="AF48" i="61"/>
  <c r="F48" i="61"/>
  <c r="N48" i="61"/>
  <c r="J42" i="33"/>
  <c r="R42" i="33"/>
  <c r="Z27" i="34"/>
  <c r="AJ27" i="34"/>
  <c r="Q18" i="44"/>
  <c r="G33" i="45"/>
  <c r="O33" i="45"/>
  <c r="E30" i="48"/>
  <c r="U30" i="48"/>
  <c r="AC30" i="48"/>
  <c r="AK30" i="48"/>
  <c r="G18" i="29"/>
  <c r="O18" i="29"/>
  <c r="AK48" i="61"/>
  <c r="AI45" i="33"/>
  <c r="R18" i="44"/>
  <c r="Z18" i="44"/>
  <c r="AG22" i="44"/>
  <c r="AG23" i="44" s="1"/>
  <c r="O78" i="46"/>
  <c r="W78" i="46"/>
  <c r="AE78" i="46"/>
  <c r="AM78" i="46"/>
  <c r="I57" i="49"/>
  <c r="Q57" i="49"/>
  <c r="Z57" i="49"/>
  <c r="I39" i="67"/>
  <c r="S39" i="67"/>
  <c r="AA39" i="67"/>
  <c r="O13" i="26"/>
  <c r="S48" i="61"/>
  <c r="G48" i="61"/>
  <c r="O48" i="61"/>
  <c r="BF21" i="34"/>
  <c r="CS21" i="34"/>
  <c r="CS27" i="34" s="1"/>
  <c r="F34" i="34"/>
  <c r="J39" i="3"/>
  <c r="R39" i="3"/>
  <c r="Z39" i="3"/>
  <c r="AI39" i="3"/>
  <c r="AQ39" i="3"/>
  <c r="E90" i="3"/>
  <c r="F2" i="83"/>
  <c r="K39" i="3"/>
  <c r="S39" i="3"/>
  <c r="AA39" i="3"/>
  <c r="AA52" i="9"/>
  <c r="AI52" i="9"/>
  <c r="AQ52" i="9"/>
  <c r="K39" i="67"/>
  <c r="T39" i="67"/>
  <c r="AB39" i="67"/>
  <c r="J22" i="26"/>
  <c r="J23" i="26" s="1"/>
  <c r="AH23" i="26"/>
  <c r="V18" i="29"/>
  <c r="AD2" i="30"/>
  <c r="J30" i="31"/>
  <c r="J29" i="31" s="1"/>
  <c r="R30" i="31"/>
  <c r="R29" i="31" s="1"/>
  <c r="AA25" i="32"/>
  <c r="S30" i="32"/>
  <c r="T48" i="61"/>
  <c r="H48" i="61"/>
  <c r="P48" i="61"/>
  <c r="F42" i="33"/>
  <c r="N42" i="33"/>
  <c r="V42" i="33"/>
  <c r="L42" i="33"/>
  <c r="T42" i="33"/>
  <c r="CJ21" i="34"/>
  <c r="CJ27" i="34" s="1"/>
  <c r="AA27" i="34"/>
  <c r="AB12" i="26"/>
  <c r="AB13" i="26" s="1"/>
  <c r="E18" i="29"/>
  <c r="M18" i="29"/>
  <c r="W18" i="29"/>
  <c r="AL18" i="29"/>
  <c r="V13" i="31"/>
  <c r="U48" i="61"/>
  <c r="AI48" i="61"/>
  <c r="M48" i="61"/>
  <c r="G2" i="33"/>
  <c r="DB21" i="34"/>
  <c r="DB27" i="34" s="1"/>
  <c r="R27" i="34"/>
  <c r="AL27" i="34"/>
  <c r="AT27" i="34"/>
  <c r="L39" i="3"/>
  <c r="T39" i="3"/>
  <c r="AB39" i="3"/>
  <c r="M90" i="3"/>
  <c r="N16" i="10"/>
  <c r="N40" i="10" s="1"/>
  <c r="N43" i="10" s="1"/>
  <c r="H14" i="67"/>
  <c r="H17" i="67" s="1"/>
  <c r="H20" i="67" s="1"/>
  <c r="M14" i="67"/>
  <c r="M17" i="67" s="1"/>
  <c r="M20" i="67" s="1"/>
  <c r="G39" i="67"/>
  <c r="O39" i="67"/>
  <c r="W39" i="67"/>
  <c r="M39" i="67"/>
  <c r="V39" i="67"/>
  <c r="AD39" i="67"/>
  <c r="AH25" i="30"/>
  <c r="V48" i="61"/>
  <c r="AJ48" i="61"/>
  <c r="J48" i="61"/>
  <c r="U90" i="3"/>
  <c r="F14" i="67"/>
  <c r="F17" i="67" s="1"/>
  <c r="F20" i="67" s="1"/>
  <c r="N14" i="67"/>
  <c r="N17" i="67" s="1"/>
  <c r="N20" i="67" s="1"/>
  <c r="E39" i="67"/>
  <c r="N39" i="67"/>
  <c r="K13" i="26"/>
  <c r="J25" i="30"/>
  <c r="X13" i="32"/>
  <c r="W48" i="61"/>
  <c r="K48" i="61"/>
  <c r="AG48" i="61"/>
  <c r="BR21" i="34"/>
  <c r="BR27" i="34" s="1"/>
  <c r="U27" i="34"/>
  <c r="AE1" i="44"/>
  <c r="AF1" i="44" s="1"/>
  <c r="AL39" i="3"/>
  <c r="AT39" i="3"/>
  <c r="K90" i="3"/>
  <c r="L90" i="3"/>
  <c r="T90" i="3"/>
  <c r="AB90" i="3"/>
  <c r="AK90" i="3"/>
  <c r="AS90" i="3"/>
  <c r="BA90" i="3"/>
  <c r="BA91" i="3" s="1"/>
  <c r="AC90" i="3"/>
  <c r="F39" i="67"/>
  <c r="X39" i="67"/>
  <c r="AF39" i="67"/>
  <c r="F2" i="26"/>
  <c r="P18" i="29"/>
  <c r="Z18" i="29"/>
  <c r="F30" i="31"/>
  <c r="F29" i="31" s="1"/>
  <c r="N30" i="31"/>
  <c r="N29" i="31" s="1"/>
  <c r="AD2" i="32"/>
  <c r="AE1" i="61"/>
  <c r="AE2" i="61" s="1"/>
  <c r="X48" i="61"/>
  <c r="L48" i="61"/>
  <c r="H1" i="33"/>
  <c r="H42" i="33"/>
  <c r="P42" i="33"/>
  <c r="X42" i="33"/>
  <c r="AH45" i="33"/>
  <c r="CG21" i="34"/>
  <c r="CG27" i="34" s="1"/>
  <c r="K27" i="34"/>
  <c r="AF27" i="34"/>
  <c r="BN27" i="34"/>
  <c r="BV27" i="34"/>
  <c r="CD27" i="34"/>
  <c r="CL27" i="34"/>
  <c r="P22" i="44"/>
  <c r="P23" i="44" s="1"/>
  <c r="H39" i="3"/>
  <c r="I90" i="3"/>
  <c r="AL90" i="3"/>
  <c r="P39" i="67"/>
  <c r="Y39" i="67"/>
  <c r="AG39" i="67"/>
  <c r="J39" i="67"/>
  <c r="L53" i="76"/>
  <c r="M23" i="26"/>
  <c r="I18" i="29"/>
  <c r="AA18" i="29"/>
  <c r="Y18" i="29"/>
  <c r="J13" i="31"/>
  <c r="E30" i="32"/>
  <c r="Q30" i="32"/>
  <c r="AE48" i="61"/>
  <c r="I48" i="61"/>
  <c r="Q48" i="61"/>
  <c r="AG51" i="61"/>
  <c r="K42" i="33"/>
  <c r="S42" i="33"/>
  <c r="L27" i="34"/>
  <c r="W27" i="34"/>
  <c r="AX27" i="34"/>
  <c r="BG27" i="34"/>
  <c r="BW27" i="34"/>
  <c r="CE27" i="34"/>
  <c r="CM27" i="34"/>
  <c r="G1" i="83"/>
  <c r="Q71" i="83"/>
  <c r="S71" i="83" s="1"/>
  <c r="I39" i="3"/>
  <c r="AP39" i="3"/>
  <c r="AX39" i="3"/>
  <c r="AT90" i="3"/>
  <c r="J16" i="10"/>
  <c r="J35" i="10" s="1"/>
  <c r="J36" i="10" s="1"/>
  <c r="J53" i="9"/>
  <c r="R53" i="9"/>
  <c r="Q23" i="26"/>
  <c r="Y23" i="26"/>
  <c r="G42" i="33"/>
  <c r="O42" i="33"/>
  <c r="W42" i="33"/>
  <c r="CP21" i="34"/>
  <c r="CP27" i="34" s="1"/>
  <c r="N27" i="34"/>
  <c r="AQ27" i="34"/>
  <c r="AY27" i="34"/>
  <c r="BH27" i="34"/>
  <c r="BX27" i="34"/>
  <c r="CF27" i="34"/>
  <c r="AW27" i="34"/>
  <c r="BE27" i="34"/>
  <c r="F18" i="44"/>
  <c r="N18" i="44"/>
  <c r="V18" i="44"/>
  <c r="AD18" i="44"/>
  <c r="AF22" i="44"/>
  <c r="AF23" i="44" s="1"/>
  <c r="AH33" i="45"/>
  <c r="G1" i="46"/>
  <c r="H1" i="46" s="1"/>
  <c r="AF21" i="46"/>
  <c r="T78" i="46"/>
  <c r="AB78" i="46"/>
  <c r="AJ78" i="46"/>
  <c r="P51" i="52"/>
  <c r="AK24" i="55"/>
  <c r="N21" i="59"/>
  <c r="F2" i="72"/>
  <c r="I30" i="48"/>
  <c r="Q30" i="48"/>
  <c r="Y30" i="48"/>
  <c r="AG30" i="48"/>
  <c r="G1" i="52"/>
  <c r="H1" i="52" s="1"/>
  <c r="Y22" i="53"/>
  <c r="Y24" i="53" s="1"/>
  <c r="AJ22" i="53"/>
  <c r="AJ24" i="53" s="1"/>
  <c r="AH59" i="46"/>
  <c r="X51" i="52"/>
  <c r="E24" i="55"/>
  <c r="M24" i="55"/>
  <c r="U24" i="55"/>
  <c r="U25" i="55" s="1"/>
  <c r="AC24" i="55"/>
  <c r="AC25" i="55" s="1"/>
  <c r="T21" i="59"/>
  <c r="I22" i="44"/>
  <c r="I23" i="44" s="1"/>
  <c r="U33" i="45"/>
  <c r="K30" i="48"/>
  <c r="S30" i="48"/>
  <c r="AA30" i="48"/>
  <c r="AI30" i="48"/>
  <c r="E21" i="59"/>
  <c r="M21" i="59"/>
  <c r="V21" i="59"/>
  <c r="AS27" i="34"/>
  <c r="BA27" i="34"/>
  <c r="J22" i="44"/>
  <c r="J23" i="44" s="1"/>
  <c r="L22" i="44"/>
  <c r="L23" i="44" s="1"/>
  <c r="T22" i="44"/>
  <c r="T23" i="44" s="1"/>
  <c r="AB22" i="44"/>
  <c r="Z21" i="46"/>
  <c r="K21" i="46"/>
  <c r="S21" i="46"/>
  <c r="AJ59" i="46"/>
  <c r="L30" i="48"/>
  <c r="T30" i="48"/>
  <c r="AB30" i="48"/>
  <c r="AJ30" i="48"/>
  <c r="AF51" i="52"/>
  <c r="F2" i="71"/>
  <c r="BB27" i="34"/>
  <c r="BK27" i="34"/>
  <c r="BS27" i="34"/>
  <c r="CA27" i="34"/>
  <c r="W33" i="45"/>
  <c r="AK33" i="45"/>
  <c r="K57" i="49"/>
  <c r="H57" i="49"/>
  <c r="E22" i="53"/>
  <c r="E24" i="53" s="1"/>
  <c r="M22" i="53"/>
  <c r="M24" i="53" s="1"/>
  <c r="U22" i="53"/>
  <c r="U24" i="53" s="1"/>
  <c r="AE22" i="53"/>
  <c r="AE24" i="53" s="1"/>
  <c r="O22" i="53"/>
  <c r="O24" i="53" s="1"/>
  <c r="W22" i="53"/>
  <c r="W24" i="53" s="1"/>
  <c r="F2" i="59"/>
  <c r="G21" i="59"/>
  <c r="O21" i="59"/>
  <c r="X21" i="59"/>
  <c r="T27" i="34"/>
  <c r="AC27" i="34"/>
  <c r="I18" i="44"/>
  <c r="Y18" i="44"/>
  <c r="L18" i="44"/>
  <c r="T18" i="44"/>
  <c r="AB18" i="44"/>
  <c r="AJ18" i="44"/>
  <c r="F22" i="44"/>
  <c r="N22" i="44"/>
  <c r="N23" i="44" s="1"/>
  <c r="AD22" i="44"/>
  <c r="AD23" i="44" s="1"/>
  <c r="I33" i="45"/>
  <c r="Q33" i="45"/>
  <c r="P40" i="46"/>
  <c r="X40" i="46"/>
  <c r="AF40" i="46"/>
  <c r="AN40" i="46"/>
  <c r="H51" i="52"/>
  <c r="I24" i="55"/>
  <c r="Q24" i="55"/>
  <c r="Y24" i="55"/>
  <c r="Y25" i="55" s="1"/>
  <c r="AG24" i="55"/>
  <c r="AG25" i="55" s="1"/>
  <c r="E33" i="45"/>
  <c r="O59" i="46"/>
  <c r="W59" i="46"/>
  <c r="AE59" i="46"/>
  <c r="AM59" i="46"/>
  <c r="G30" i="48"/>
  <c r="W30" i="48"/>
  <c r="AE30" i="48"/>
  <c r="AI39" i="67"/>
  <c r="U25" i="30"/>
  <c r="J21" i="34"/>
  <c r="J27" i="34" s="1"/>
  <c r="AJ39" i="67"/>
  <c r="V25" i="30"/>
  <c r="M21" i="34"/>
  <c r="M27" i="34" s="1"/>
  <c r="P145" i="83"/>
  <c r="L39" i="67"/>
  <c r="G145" i="83"/>
  <c r="V12" i="63"/>
  <c r="E14" i="67"/>
  <c r="AE39" i="67"/>
  <c r="X25" i="30"/>
  <c r="AK42" i="33"/>
  <c r="R57" i="49"/>
  <c r="L60" i="76"/>
  <c r="AB27" i="34"/>
  <c r="E90" i="71"/>
  <c r="I22" i="60"/>
  <c r="U18" i="29"/>
  <c r="Y21" i="34"/>
  <c r="Y27" i="34" s="1"/>
  <c r="AE21" i="34"/>
  <c r="AE27" i="34" s="1"/>
  <c r="AK21" i="46"/>
  <c r="AC21" i="46"/>
  <c r="V16" i="36"/>
  <c r="V23" i="36" s="1"/>
  <c r="V31" i="36" s="1"/>
  <c r="V40" i="36" s="1"/>
  <c r="V49" i="36" s="1"/>
  <c r="V56" i="36" s="1"/>
  <c r="V62" i="36" s="1"/>
  <c r="V69" i="36" s="1"/>
  <c r="V74" i="36" s="1"/>
  <c r="V80" i="36" s="1"/>
  <c r="V86" i="36" s="1"/>
  <c r="V90" i="36" s="1"/>
  <c r="V97" i="36" s="1"/>
  <c r="V103" i="36" s="1"/>
  <c r="V110" i="36" s="1"/>
  <c r="V118" i="36" s="1"/>
  <c r="V127" i="36" s="1"/>
  <c r="V133" i="36" s="1"/>
  <c r="V139" i="36" s="1"/>
  <c r="V147" i="36" s="1"/>
  <c r="V156" i="36" s="1"/>
  <c r="V165" i="36" s="1"/>
  <c r="V174" i="36" s="1"/>
  <c r="V183" i="36" s="1"/>
  <c r="V192" i="36" s="1"/>
  <c r="V201" i="36" s="1"/>
  <c r="V210" i="36" s="1"/>
  <c r="V219" i="36" s="1"/>
  <c r="V227" i="36" s="1"/>
  <c r="V235" i="36" s="1"/>
  <c r="L23" i="13"/>
  <c r="N12" i="63"/>
  <c r="M12" i="63"/>
  <c r="M45" i="63"/>
  <c r="L45" i="63"/>
  <c r="AL84" i="71"/>
  <c r="AL80" i="71"/>
  <c r="AL88" i="71"/>
  <c r="R24" i="13"/>
  <c r="AI14" i="45"/>
  <c r="AL74" i="71"/>
  <c r="AL76" i="71"/>
  <c r="AL77" i="71"/>
  <c r="Y51" i="68"/>
  <c r="K51" i="68"/>
  <c r="S51" i="68"/>
  <c r="AA51" i="68"/>
  <c r="T51" i="68"/>
  <c r="AB51" i="68"/>
  <c r="AA60" i="68"/>
  <c r="M51" i="68"/>
  <c r="U51" i="68"/>
  <c r="AC51" i="68"/>
  <c r="L60" i="68"/>
  <c r="T60" i="68"/>
  <c r="AB60" i="68"/>
  <c r="E51" i="68"/>
  <c r="N51" i="68"/>
  <c r="V51" i="68"/>
  <c r="AD51" i="68"/>
  <c r="M60" i="68"/>
  <c r="U60" i="68"/>
  <c r="AC60" i="68"/>
  <c r="E60" i="68"/>
  <c r="N60" i="68"/>
  <c r="V60" i="68"/>
  <c r="AD60" i="68"/>
  <c r="H51" i="68"/>
  <c r="P51" i="68"/>
  <c r="X51" i="68"/>
  <c r="AF51" i="68"/>
  <c r="G60" i="68"/>
  <c r="O60" i="68"/>
  <c r="W60" i="68"/>
  <c r="AE60" i="68"/>
  <c r="H60" i="68"/>
  <c r="P60" i="68"/>
  <c r="X60" i="68"/>
  <c r="AF60" i="68"/>
  <c r="J51" i="68"/>
  <c r="R51" i="68"/>
  <c r="Z51" i="68"/>
  <c r="I60" i="68"/>
  <c r="Q60" i="68"/>
  <c r="Y60" i="68"/>
  <c r="AG60" i="68"/>
  <c r="R41" i="79"/>
  <c r="T41" i="79" s="1"/>
  <c r="P43" i="79"/>
  <c r="P48" i="79" s="1"/>
  <c r="P57" i="79" s="1"/>
  <c r="O246" i="79"/>
  <c r="O252" i="79" s="1"/>
  <c r="O258" i="79" s="1"/>
  <c r="O268" i="79" s="1"/>
  <c r="I242" i="79"/>
  <c r="I246" i="79" s="1"/>
  <c r="I252" i="79" s="1"/>
  <c r="I258" i="79" s="1"/>
  <c r="I268" i="79" s="1"/>
  <c r="I278" i="79" s="1"/>
  <c r="I288" i="79" s="1"/>
  <c r="I298" i="79" s="1"/>
  <c r="I308" i="79" s="1"/>
  <c r="I319" i="79" s="1"/>
  <c r="I330" i="79" s="1"/>
  <c r="I341" i="79" s="1"/>
  <c r="R17" i="79"/>
  <c r="F242" i="79"/>
  <c r="F246" i="79" s="1"/>
  <c r="F252" i="79" s="1"/>
  <c r="F258" i="79" s="1"/>
  <c r="F268" i="79" s="1"/>
  <c r="F278" i="79" s="1"/>
  <c r="F288" i="79" s="1"/>
  <c r="F298" i="79" s="1"/>
  <c r="F308" i="79" s="1"/>
  <c r="F319" i="79" s="1"/>
  <c r="F330" i="79" s="1"/>
  <c r="F341" i="79" s="1"/>
  <c r="Q43" i="79"/>
  <c r="Q48" i="79" s="1"/>
  <c r="Q57" i="79" s="1"/>
  <c r="Q61" i="79" s="1"/>
  <c r="Q66" i="79" s="1"/>
  <c r="Q75" i="79" s="1"/>
  <c r="Q85" i="79" s="1"/>
  <c r="Q95" i="79" s="1"/>
  <c r="Q105" i="79" s="1"/>
  <c r="Q116" i="79" s="1"/>
  <c r="Q128" i="79" s="1"/>
  <c r="Q140" i="79" s="1"/>
  <c r="Q152" i="79" s="1"/>
  <c r="Q164" i="79" s="1"/>
  <c r="Q173" i="79" s="1"/>
  <c r="Q182" i="79" s="1"/>
  <c r="Q192" i="79" s="1"/>
  <c r="Q202" i="79" s="1"/>
  <c r="Q214" i="79" s="1"/>
  <c r="Q219" i="79" s="1"/>
  <c r="Q225" i="79" s="1"/>
  <c r="Q231" i="79" s="1"/>
  <c r="Q242" i="79" s="1"/>
  <c r="Q246" i="79" s="1"/>
  <c r="Q252" i="79" s="1"/>
  <c r="Q258" i="79" s="1"/>
  <c r="Q268" i="79" s="1"/>
  <c r="H242" i="79"/>
  <c r="H246" i="79" s="1"/>
  <c r="H252" i="79" s="1"/>
  <c r="H258" i="79" s="1"/>
  <c r="H268" i="79" s="1"/>
  <c r="H278" i="79" s="1"/>
  <c r="H288" i="79" s="1"/>
  <c r="H298" i="79" s="1"/>
  <c r="H308" i="79" s="1"/>
  <c r="H319" i="79" s="1"/>
  <c r="H330" i="79" s="1"/>
  <c r="H341" i="79" s="1"/>
  <c r="J24" i="55"/>
  <c r="R24" i="55"/>
  <c r="Z24" i="55"/>
  <c r="Z25" i="55" s="1"/>
  <c r="K24" i="55"/>
  <c r="S24" i="55"/>
  <c r="AA24" i="55"/>
  <c r="AA25" i="55" s="1"/>
  <c r="G24" i="55"/>
  <c r="O24" i="55"/>
  <c r="W24" i="55"/>
  <c r="W25" i="55" s="1"/>
  <c r="AF42" i="33"/>
  <c r="AL82" i="71"/>
  <c r="V240" i="36"/>
  <c r="AM44" i="33"/>
  <c r="AE42" i="33"/>
  <c r="V241" i="36"/>
  <c r="V266" i="36"/>
  <c r="AM18" i="30"/>
  <c r="AM37" i="33"/>
  <c r="AP112" i="46"/>
  <c r="AM10" i="30"/>
  <c r="AP37" i="46"/>
  <c r="AP56" i="46"/>
  <c r="AL44" i="61"/>
  <c r="AJ41" i="33"/>
  <c r="AL25" i="65"/>
  <c r="AM41" i="33"/>
  <c r="AK22" i="67"/>
  <c r="AL15" i="53"/>
  <c r="AL17" i="53" s="1"/>
  <c r="AL83" i="71"/>
  <c r="AL39" i="61"/>
  <c r="AM31" i="33"/>
  <c r="AL42" i="61"/>
  <c r="AL65" i="71"/>
  <c r="AM43" i="33"/>
  <c r="V238" i="36"/>
  <c r="AL67" i="71"/>
  <c r="H101" i="80"/>
  <c r="AK13" i="67"/>
  <c r="AM8" i="29"/>
  <c r="AL21" i="31"/>
  <c r="AL20" i="31" s="1"/>
  <c r="AM28" i="32"/>
  <c r="AL35" i="61"/>
  <c r="AM15" i="44"/>
  <c r="AL75" i="71"/>
  <c r="AL32" i="61"/>
  <c r="AM35" i="61"/>
  <c r="AL71" i="71"/>
  <c r="O117" i="23"/>
  <c r="H157" i="38"/>
  <c r="AP15" i="46"/>
  <c r="AP72" i="46"/>
  <c r="AL73" i="71"/>
  <c r="E104" i="80"/>
  <c r="E111" i="80" s="1"/>
  <c r="E118" i="80" s="1"/>
  <c r="E125" i="80" s="1"/>
  <c r="E132" i="80" s="1"/>
  <c r="E139" i="80" s="1"/>
  <c r="E146" i="80" s="1"/>
  <c r="CW21" i="34"/>
  <c r="CW27" i="34" s="1"/>
  <c r="F104" i="80"/>
  <c r="F111" i="80" s="1"/>
  <c r="F118" i="80" s="1"/>
  <c r="F125" i="80" s="1"/>
  <c r="F132" i="80" s="1"/>
  <c r="F139" i="80" s="1"/>
  <c r="F146" i="80" s="1"/>
  <c r="E23" i="13"/>
  <c r="G14" i="9"/>
  <c r="J8" i="12"/>
  <c r="H16" i="2"/>
  <c r="H19" i="2" s="1"/>
  <c r="H24" i="2" s="1"/>
  <c r="E12" i="12"/>
  <c r="E14" i="12" s="1"/>
  <c r="F11" i="10"/>
  <c r="AD35" i="10"/>
  <c r="AD36" i="10" s="1"/>
  <c r="X8" i="12"/>
  <c r="E40" i="10"/>
  <c r="E43" i="10" s="1"/>
  <c r="M40" i="10"/>
  <c r="M43" i="10" s="1"/>
  <c r="T12" i="10"/>
  <c r="T14" i="10" s="1"/>
  <c r="T16" i="10" s="1"/>
  <c r="T40" i="10" s="1"/>
  <c r="T43" i="10" s="1"/>
  <c r="K35" i="10"/>
  <c r="K36" i="10" s="1"/>
  <c r="AJ12" i="10"/>
  <c r="AJ14" i="10" s="1"/>
  <c r="AJ16" i="10" s="1"/>
  <c r="AJ35" i="10" s="1"/>
  <c r="G40" i="10"/>
  <c r="G43" i="10" s="1"/>
  <c r="O35" i="10"/>
  <c r="O36" i="10" s="1"/>
  <c r="AQ12" i="10"/>
  <c r="AQ14" i="10" s="1"/>
  <c r="AQ16" i="10" s="1"/>
  <c r="AQ35" i="10" s="1"/>
  <c r="H35" i="10"/>
  <c r="H36" i="10" s="1"/>
  <c r="P35" i="10"/>
  <c r="P36" i="10" s="1"/>
  <c r="P40" i="10"/>
  <c r="P43" i="10" s="1"/>
  <c r="AC7" i="12"/>
  <c r="AC8" i="12" s="1"/>
  <c r="AS8" i="2"/>
  <c r="AR12" i="10"/>
  <c r="AK8" i="2"/>
  <c r="AK6" i="2" s="1"/>
  <c r="W40" i="10"/>
  <c r="W43" i="10" s="1"/>
  <c r="AE40" i="10"/>
  <c r="AM35" i="10"/>
  <c r="AM36" i="10" s="1"/>
  <c r="G10" i="1"/>
  <c r="Y11" i="1"/>
  <c r="Y10" i="12" s="1"/>
  <c r="Y12" i="12" s="1"/>
  <c r="Y14" i="12" s="1"/>
  <c r="F23" i="13"/>
  <c r="N23" i="13"/>
  <c r="AU6" i="2"/>
  <c r="M23" i="13"/>
  <c r="AP55" i="12"/>
  <c r="G23" i="13"/>
  <c r="O23" i="13"/>
  <c r="I23" i="13"/>
  <c r="H23" i="13"/>
  <c r="P23" i="13"/>
  <c r="J23" i="13"/>
  <c r="AE93" i="63"/>
  <c r="AD36" i="12"/>
  <c r="F8" i="12"/>
  <c r="T36" i="12"/>
  <c r="AB36" i="12"/>
  <c r="AJ36" i="12"/>
  <c r="AR36" i="12"/>
  <c r="AL36" i="12"/>
  <c r="Q36" i="12"/>
  <c r="Y36" i="12"/>
  <c r="AG36" i="12"/>
  <c r="AH87" i="63"/>
  <c r="AH12" i="63"/>
  <c r="U13" i="12"/>
  <c r="J89" i="76"/>
  <c r="AT9" i="12"/>
  <c r="G12" i="12"/>
  <c r="G14" i="12" s="1"/>
  <c r="O12" i="12"/>
  <c r="O14" i="12" s="1"/>
  <c r="N74" i="83"/>
  <c r="I134" i="83"/>
  <c r="H145" i="83"/>
  <c r="J145" i="83"/>
  <c r="R85" i="10"/>
  <c r="R32" i="12"/>
  <c r="R55" i="12" s="1"/>
  <c r="Q13" i="12"/>
  <c r="N8" i="12"/>
  <c r="Q145" i="83"/>
  <c r="AC41" i="12"/>
  <c r="AL38" i="61"/>
  <c r="AL79" i="71"/>
  <c r="F63" i="63"/>
  <c r="F6" i="63" s="1"/>
  <c r="F11" i="63" s="1"/>
  <c r="F14" i="63" s="1"/>
  <c r="J104" i="76"/>
  <c r="X36" i="12"/>
  <c r="AF36" i="12"/>
  <c r="AN36" i="12"/>
  <c r="K45" i="63"/>
  <c r="I45" i="63"/>
  <c r="M79" i="63"/>
  <c r="F53" i="9"/>
  <c r="N53" i="9"/>
  <c r="N79" i="63"/>
  <c r="L67" i="76"/>
  <c r="L66" i="76" s="1"/>
  <c r="J83" i="76"/>
  <c r="AM9" i="39"/>
  <c r="P14" i="67"/>
  <c r="P17" i="67" s="1"/>
  <c r="P20" i="67" s="1"/>
  <c r="E14" i="9"/>
  <c r="H53" i="9"/>
  <c r="L43" i="76"/>
  <c r="G48" i="76"/>
  <c r="G117" i="23"/>
  <c r="J99" i="76"/>
  <c r="AM13" i="29"/>
  <c r="AK24" i="30"/>
  <c r="AK25" i="30" s="1"/>
  <c r="AL24" i="31"/>
  <c r="AL28" i="31"/>
  <c r="AM49" i="61"/>
  <c r="AD48" i="61"/>
  <c r="AH21" i="34"/>
  <c r="AH27" i="34" s="1"/>
  <c r="G21" i="34"/>
  <c r="G27" i="34" s="1"/>
  <c r="AF33" i="45"/>
  <c r="X21" i="46"/>
  <c r="AP38" i="46"/>
  <c r="AP57" i="46"/>
  <c r="AP53" i="46"/>
  <c r="AL66" i="71"/>
  <c r="AP107" i="46"/>
  <c r="I20" i="60"/>
  <c r="E21" i="60"/>
  <c r="V22" i="44"/>
  <c r="V23" i="44" s="1"/>
  <c r="AL22" i="65"/>
  <c r="F21" i="60"/>
  <c r="J60" i="76"/>
  <c r="H117" i="23"/>
  <c r="AM25" i="32"/>
  <c r="Y24" i="32"/>
  <c r="Y30" i="32" s="1"/>
  <c r="AM50" i="61"/>
  <c r="P21" i="34"/>
  <c r="P27" i="34" s="1"/>
  <c r="E157" i="38"/>
  <c r="AP9" i="46"/>
  <c r="AP76" i="46"/>
  <c r="O30" i="48"/>
  <c r="O57" i="49"/>
  <c r="P57" i="49"/>
  <c r="AL78" i="71"/>
  <c r="I117" i="23"/>
  <c r="AM20" i="26"/>
  <c r="AM22" i="26" s="1"/>
  <c r="AM23" i="26" s="1"/>
  <c r="AM17" i="29"/>
  <c r="Q18" i="29"/>
  <c r="AM29" i="32"/>
  <c r="F157" i="38"/>
  <c r="Y22" i="44"/>
  <c r="Y23" i="44" s="1"/>
  <c r="AH21" i="72"/>
  <c r="AL64" i="71"/>
  <c r="AL69" i="71"/>
  <c r="L48" i="76"/>
  <c r="J95" i="76"/>
  <c r="N117" i="23"/>
  <c r="T18" i="29"/>
  <c r="AL43" i="61"/>
  <c r="AM38" i="33"/>
  <c r="V21" i="34"/>
  <c r="V27" i="34" s="1"/>
  <c r="G157" i="38"/>
  <c r="AL22" i="44"/>
  <c r="AM29" i="45"/>
  <c r="AP77" i="46"/>
  <c r="AL70" i="71"/>
  <c r="H13" i="80"/>
  <c r="H20" i="80" s="1"/>
  <c r="H27" i="80" s="1"/>
  <c r="H34" i="80" s="1"/>
  <c r="H41" i="80" s="1"/>
  <c r="H48" i="80" s="1"/>
  <c r="H55" i="80" s="1"/>
  <c r="H62" i="80" s="1"/>
  <c r="H69" i="80" s="1"/>
  <c r="H76" i="80" s="1"/>
  <c r="H83" i="80" s="1"/>
  <c r="H90" i="80" s="1"/>
  <c r="H97" i="80" s="1"/>
  <c r="P117" i="23"/>
  <c r="AM16" i="61"/>
  <c r="AL19" i="61"/>
  <c r="AL20" i="61" s="1"/>
  <c r="AH41" i="33"/>
  <c r="AL42" i="33"/>
  <c r="K157" i="38"/>
  <c r="AM18" i="39"/>
  <c r="AM30" i="45"/>
  <c r="W36" i="12"/>
  <c r="AM36" i="12"/>
  <c r="E23" i="83"/>
  <c r="I12" i="12"/>
  <c r="I14" i="12" s="1"/>
  <c r="F23" i="83"/>
  <c r="G55" i="12"/>
  <c r="O55" i="12"/>
  <c r="W55" i="12"/>
  <c r="F55" i="12"/>
  <c r="K12" i="12"/>
  <c r="K14" i="12" s="1"/>
  <c r="R36" i="12"/>
  <c r="Z36" i="12"/>
  <c r="AH36" i="12"/>
  <c r="AP36" i="12"/>
  <c r="AN55" i="12"/>
  <c r="M12" i="12"/>
  <c r="M14" i="12" s="1"/>
  <c r="AE36" i="12"/>
  <c r="E11" i="10"/>
  <c r="S12" i="10"/>
  <c r="S14" i="10" s="1"/>
  <c r="S16" i="10" s="1"/>
  <c r="S35" i="10" s="1"/>
  <c r="S36" i="10" s="1"/>
  <c r="AK12" i="10"/>
  <c r="AK14" i="10" s="1"/>
  <c r="AK16" i="10" s="1"/>
  <c r="AE7" i="12"/>
  <c r="AE8" i="12" s="1"/>
  <c r="AB8" i="2"/>
  <c r="AJ8" i="2"/>
  <c r="AJ6" i="2" s="1"/>
  <c r="AR8" i="2"/>
  <c r="I55" i="12"/>
  <c r="Q55" i="12"/>
  <c r="Y55" i="12"/>
  <c r="G11" i="10"/>
  <c r="U12" i="10"/>
  <c r="U14" i="10" s="1"/>
  <c r="U16" i="10" s="1"/>
  <c r="E35" i="10"/>
  <c r="E36" i="10" s="1"/>
  <c r="AM7" i="12"/>
  <c r="AM8" i="12" s="1"/>
  <c r="S36" i="12"/>
  <c r="AA36" i="12"/>
  <c r="AI36" i="12"/>
  <c r="G1" i="10"/>
  <c r="G2" i="10" s="1"/>
  <c r="M11" i="10"/>
  <c r="AA12" i="10"/>
  <c r="AS12" i="10"/>
  <c r="G35" i="10"/>
  <c r="G36" i="10" s="1"/>
  <c r="AD55" i="12"/>
  <c r="E8" i="12"/>
  <c r="M8" i="12"/>
  <c r="AK8" i="12"/>
  <c r="N11" i="10"/>
  <c r="AB12" i="10"/>
  <c r="F12" i="12"/>
  <c r="F14" i="12" s="1"/>
  <c r="N12" i="12"/>
  <c r="N14" i="12" s="1"/>
  <c r="U36" i="12"/>
  <c r="AC36" i="12"/>
  <c r="AK36" i="12"/>
  <c r="O11" i="10"/>
  <c r="E55" i="12"/>
  <c r="M55" i="12"/>
  <c r="U55" i="12"/>
  <c r="G8" i="12"/>
  <c r="O8" i="12"/>
  <c r="AI12" i="10"/>
  <c r="AI14" i="10" s="1"/>
  <c r="AI16" i="10" s="1"/>
  <c r="W7" i="12"/>
  <c r="W8" i="12" s="1"/>
  <c r="H12" i="12"/>
  <c r="H14" i="12" s="1"/>
  <c r="P12" i="12"/>
  <c r="P14" i="12" s="1"/>
  <c r="N40" i="1"/>
  <c r="N43" i="1" s="1"/>
  <c r="N35" i="1"/>
  <c r="N36" i="1" s="1"/>
  <c r="K40" i="1"/>
  <c r="K43" i="1" s="1"/>
  <c r="K35" i="1"/>
  <c r="K36" i="1" s="1"/>
  <c r="AN40" i="1"/>
  <c r="AN43" i="1" s="1"/>
  <c r="AN35" i="1"/>
  <c r="T11" i="1"/>
  <c r="T13" i="1" s="1"/>
  <c r="T15" i="1" s="1"/>
  <c r="AR11" i="1"/>
  <c r="H6" i="12"/>
  <c r="F10" i="1"/>
  <c r="X11" i="1"/>
  <c r="X13" i="1" s="1"/>
  <c r="X15" i="1" s="1"/>
  <c r="X40" i="1" s="1"/>
  <c r="X43" i="1" s="1"/>
  <c r="AS11" i="1"/>
  <c r="AF6" i="12"/>
  <c r="AF8" i="12" s="1"/>
  <c r="G1" i="1"/>
  <c r="AT43" i="12"/>
  <c r="AN6" i="12"/>
  <c r="AN8" i="12" s="1"/>
  <c r="AQ36" i="12"/>
  <c r="AB11" i="1"/>
  <c r="AB13" i="1" s="1"/>
  <c r="AB15" i="1" s="1"/>
  <c r="F2" i="1"/>
  <c r="O10" i="1"/>
  <c r="AJ11" i="1"/>
  <c r="AJ13" i="1" s="1"/>
  <c r="AJ15" i="1" s="1"/>
  <c r="AT11" i="12"/>
  <c r="L12" i="12"/>
  <c r="L14" i="12" s="1"/>
  <c r="AQ55" i="12"/>
  <c r="P10" i="1"/>
  <c r="AK11" i="1"/>
  <c r="AL11" i="1"/>
  <c r="AT55" i="12"/>
  <c r="J12" i="12"/>
  <c r="J14" i="12" s="1"/>
  <c r="AM55" i="12"/>
  <c r="N55" i="12"/>
  <c r="V55" i="12"/>
  <c r="M53" i="9"/>
  <c r="I16" i="2"/>
  <c r="I19" i="2" s="1"/>
  <c r="I24" i="2" s="1"/>
  <c r="U52" i="9"/>
  <c r="AC52" i="9"/>
  <c r="AK52" i="9"/>
  <c r="AS52" i="9"/>
  <c r="AG63" i="63"/>
  <c r="AG92" i="63" s="1"/>
  <c r="I53" i="9"/>
  <c r="AN30" i="2"/>
  <c r="AE6" i="2"/>
  <c r="G63" i="63"/>
  <c r="G6" i="63" s="1"/>
  <c r="G11" i="63" s="1"/>
  <c r="G14" i="63" s="1"/>
  <c r="K53" i="9"/>
  <c r="BA94" i="77"/>
  <c r="AX103" i="77"/>
  <c r="V242" i="36"/>
  <c r="O43" i="42"/>
  <c r="AM16" i="29"/>
  <c r="AL25" i="31"/>
  <c r="AI32" i="68"/>
  <c r="AL13" i="24"/>
  <c r="AM14" i="33"/>
  <c r="AM18" i="33" s="1"/>
  <c r="AI14" i="33"/>
  <c r="AI18" i="33" s="1"/>
  <c r="V239" i="36"/>
  <c r="AM31" i="39"/>
  <c r="AM40" i="39"/>
  <c r="AM12" i="44"/>
  <c r="AM13" i="45"/>
  <c r="AL68" i="71"/>
  <c r="P102" i="80"/>
  <c r="T12" i="81"/>
  <c r="U12" i="81" s="1"/>
  <c r="V12" i="81" s="1"/>
  <c r="W12" i="81" s="1"/>
  <c r="AH14" i="33"/>
  <c r="AH18" i="33" s="1"/>
  <c r="AM34" i="33"/>
  <c r="AK17" i="67"/>
  <c r="AK20" i="67" s="1"/>
  <c r="AM28" i="33"/>
  <c r="V262" i="36"/>
  <c r="AM27" i="39"/>
  <c r="DD21" i="34"/>
  <c r="DD27" i="34" s="1"/>
  <c r="AP39" i="46"/>
  <c r="AJ14" i="33"/>
  <c r="AJ18" i="33" s="1"/>
  <c r="V237" i="36"/>
  <c r="AM24" i="48"/>
  <c r="H102" i="80"/>
  <c r="AL12" i="31"/>
  <c r="AL11" i="31" s="1"/>
  <c r="V263" i="36"/>
  <c r="AL13" i="55"/>
  <c r="AD14" i="63"/>
  <c r="AF13" i="1"/>
  <c r="AF15" i="1" s="1"/>
  <c r="V35" i="10"/>
  <c r="V36" i="10" s="1"/>
  <c r="V40" i="10"/>
  <c r="V43" i="10" s="1"/>
  <c r="M1" i="2"/>
  <c r="L2" i="2"/>
  <c r="E16" i="2"/>
  <c r="E19" i="2" s="1"/>
  <c r="E24" i="2" s="1"/>
  <c r="AL35" i="10"/>
  <c r="AL40" i="10"/>
  <c r="AT7" i="9"/>
  <c r="AT12" i="9"/>
  <c r="F16" i="2"/>
  <c r="F19" i="2" s="1"/>
  <c r="F24" i="2" s="1"/>
  <c r="E40" i="1"/>
  <c r="E43" i="1" s="1"/>
  <c r="E35" i="1"/>
  <c r="E36" i="1" s="1"/>
  <c r="S147" i="83"/>
  <c r="O145" i="83"/>
  <c r="G16" i="2"/>
  <c r="G19" i="2" s="1"/>
  <c r="G24" i="2" s="1"/>
  <c r="F40" i="1"/>
  <c r="F43" i="1" s="1"/>
  <c r="F35" i="1"/>
  <c r="F36" i="1" s="1"/>
  <c r="F35" i="10"/>
  <c r="F36" i="10" s="1"/>
  <c r="F40" i="10"/>
  <c r="F43" i="10" s="1"/>
  <c r="G40" i="1"/>
  <c r="G43" i="1" s="1"/>
  <c r="G35" i="1"/>
  <c r="G36" i="1" s="1"/>
  <c r="O40" i="1"/>
  <c r="O43" i="1" s="1"/>
  <c r="O35" i="1"/>
  <c r="O36" i="1" s="1"/>
  <c r="Q40" i="10"/>
  <c r="Q43" i="10" s="1"/>
  <c r="Q35" i="10"/>
  <c r="Q36" i="10" s="1"/>
  <c r="AT49" i="9"/>
  <c r="H40" i="1"/>
  <c r="H43" i="1" s="1"/>
  <c r="H35" i="1"/>
  <c r="H36" i="1" s="1"/>
  <c r="P35" i="1"/>
  <c r="P36" i="1" s="1"/>
  <c r="P40" i="1"/>
  <c r="P43" i="1" s="1"/>
  <c r="L8" i="9"/>
  <c r="L6" i="9"/>
  <c r="T8" i="9"/>
  <c r="T6" i="9"/>
  <c r="AC8" i="9"/>
  <c r="AC6" i="9"/>
  <c r="AK8" i="9"/>
  <c r="AK6" i="9"/>
  <c r="AS8" i="9"/>
  <c r="AS6" i="9"/>
  <c r="AF12" i="9"/>
  <c r="AR14" i="9"/>
  <c r="AA42" i="3"/>
  <c r="S6" i="9" s="1"/>
  <c r="E33" i="26"/>
  <c r="L17" i="9"/>
  <c r="T17" i="9"/>
  <c r="AC17" i="9"/>
  <c r="AK17" i="9"/>
  <c r="AS17" i="9"/>
  <c r="R90" i="3"/>
  <c r="Z90" i="3"/>
  <c r="AI90" i="3"/>
  <c r="AQ90" i="3"/>
  <c r="AY90" i="3"/>
  <c r="AP7" i="2"/>
  <c r="N10" i="1"/>
  <c r="U11" i="1"/>
  <c r="AQ11" i="1"/>
  <c r="AT38" i="12"/>
  <c r="AT36" i="12" s="1"/>
  <c r="AE21" i="12"/>
  <c r="AE85" i="10"/>
  <c r="AD40" i="10"/>
  <c r="AD43" i="10" s="1"/>
  <c r="AT40" i="12"/>
  <c r="J55" i="12"/>
  <c r="AC55" i="12"/>
  <c r="E6" i="9"/>
  <c r="E8" i="9"/>
  <c r="M6" i="9"/>
  <c r="M8" i="9"/>
  <c r="U6" i="9"/>
  <c r="U8" i="9"/>
  <c r="AD6" i="9"/>
  <c r="AD8" i="9"/>
  <c r="AL6" i="9"/>
  <c r="AL8" i="9"/>
  <c r="AK12" i="9"/>
  <c r="AS14" i="9"/>
  <c r="F33" i="26"/>
  <c r="M17" i="9"/>
  <c r="U17" i="9"/>
  <c r="AD17" i="9"/>
  <c r="AL17" i="9"/>
  <c r="S90" i="3"/>
  <c r="AJ90" i="3"/>
  <c r="AR90" i="3"/>
  <c r="AZ90" i="3"/>
  <c r="K2" i="2"/>
  <c r="AF7" i="2"/>
  <c r="AQ7" i="2"/>
  <c r="E10" i="1"/>
  <c r="V11" i="1"/>
  <c r="AG11" i="1"/>
  <c r="I40" i="10"/>
  <c r="I43" i="10" s="1"/>
  <c r="I35" i="10"/>
  <c r="I36" i="10" s="1"/>
  <c r="G1" i="12"/>
  <c r="F2" i="12"/>
  <c r="K55" i="12"/>
  <c r="S55" i="12"/>
  <c r="X63" i="63"/>
  <c r="X6" i="63" s="1"/>
  <c r="X11" i="63" s="1"/>
  <c r="X14" i="63" s="1"/>
  <c r="F6" i="9"/>
  <c r="F8" i="9"/>
  <c r="N6" i="9"/>
  <c r="N8" i="9"/>
  <c r="V6" i="9"/>
  <c r="V8" i="9"/>
  <c r="AE6" i="9"/>
  <c r="AE8" i="9"/>
  <c r="AM6" i="9"/>
  <c r="AM8" i="9"/>
  <c r="AL12" i="9"/>
  <c r="F17" i="9"/>
  <c r="G33" i="26"/>
  <c r="N17" i="9"/>
  <c r="V17" i="9"/>
  <c r="AE17" i="9"/>
  <c r="AM17" i="9"/>
  <c r="I6" i="12"/>
  <c r="I8" i="12" s="1"/>
  <c r="I10" i="1"/>
  <c r="AI11" i="1"/>
  <c r="AC14" i="10"/>
  <c r="AC16" i="10" s="1"/>
  <c r="W35" i="10"/>
  <c r="W36" i="10" s="1"/>
  <c r="L55" i="12"/>
  <c r="E63" i="63"/>
  <c r="AH13" i="63"/>
  <c r="G6" i="9"/>
  <c r="G8" i="9"/>
  <c r="O6" i="9"/>
  <c r="O8" i="9"/>
  <c r="W6" i="9"/>
  <c r="W8" i="9"/>
  <c r="AF6" i="9"/>
  <c r="AF8" i="9"/>
  <c r="AN6" i="9"/>
  <c r="AN8" i="9"/>
  <c r="AT13" i="9"/>
  <c r="AH94" i="63"/>
  <c r="AI93" i="63" s="1"/>
  <c r="AM12" i="9"/>
  <c r="G17" i="9"/>
  <c r="H33" i="26"/>
  <c r="O17" i="9"/>
  <c r="W17" i="9"/>
  <c r="AF17" i="9"/>
  <c r="AN17" i="9"/>
  <c r="R6" i="12"/>
  <c r="R11" i="1"/>
  <c r="Z6" i="12"/>
  <c r="Z11" i="1"/>
  <c r="AH6" i="12"/>
  <c r="AH11" i="1"/>
  <c r="AP6" i="12"/>
  <c r="AP11" i="1"/>
  <c r="H7" i="12"/>
  <c r="H11" i="10"/>
  <c r="H9" i="12" s="1"/>
  <c r="P7" i="12"/>
  <c r="P8" i="12" s="1"/>
  <c r="P11" i="10"/>
  <c r="AF12" i="10"/>
  <c r="AF14" i="10" s="1"/>
  <c r="AF16" i="10" s="1"/>
  <c r="AG40" i="10"/>
  <c r="AG35" i="10"/>
  <c r="AG36" i="10" s="1"/>
  <c r="AK29" i="67"/>
  <c r="I148" i="83"/>
  <c r="K1" i="3"/>
  <c r="J2" i="3"/>
  <c r="H6" i="9"/>
  <c r="H8" i="9"/>
  <c r="P6" i="9"/>
  <c r="P8" i="9"/>
  <c r="X6" i="9"/>
  <c r="X8" i="9"/>
  <c r="AO6" i="9"/>
  <c r="AO8" i="9"/>
  <c r="N39" i="3"/>
  <c r="V39" i="3"/>
  <c r="AD39" i="3"/>
  <c r="AN12" i="9"/>
  <c r="H17" i="9"/>
  <c r="I33" i="26"/>
  <c r="P17" i="9"/>
  <c r="X17" i="9"/>
  <c r="AO17" i="9"/>
  <c r="N90" i="3"/>
  <c r="V90" i="3"/>
  <c r="AD90" i="3"/>
  <c r="AM90" i="3"/>
  <c r="AU90" i="3"/>
  <c r="AA11" i="1"/>
  <c r="I40" i="1"/>
  <c r="I43" i="1" s="1"/>
  <c r="I35" i="1"/>
  <c r="I36" i="1" s="1"/>
  <c r="J40" i="1"/>
  <c r="J43" i="1" s="1"/>
  <c r="J35" i="1"/>
  <c r="J36" i="1" s="1"/>
  <c r="Y14" i="10"/>
  <c r="Y16" i="10" s="1"/>
  <c r="AK9" i="67"/>
  <c r="R24" i="79"/>
  <c r="T24" i="79" s="1"/>
  <c r="E34" i="79"/>
  <c r="I8" i="9"/>
  <c r="I6" i="9"/>
  <c r="Q8" i="9"/>
  <c r="Q6" i="9"/>
  <c r="Y8" i="9"/>
  <c r="Y6" i="9"/>
  <c r="AH8" i="9"/>
  <c r="AH6" i="9"/>
  <c r="AP8" i="9"/>
  <c r="AP6" i="9"/>
  <c r="O39" i="3"/>
  <c r="W39" i="3"/>
  <c r="AE39" i="3"/>
  <c r="AM39" i="3"/>
  <c r="AU39" i="3"/>
  <c r="AC12" i="9"/>
  <c r="AT18" i="9"/>
  <c r="I17" i="9"/>
  <c r="J33" i="26"/>
  <c r="Y17" i="9"/>
  <c r="AH17" i="9"/>
  <c r="AP17" i="9"/>
  <c r="O90" i="3"/>
  <c r="W90" i="3"/>
  <c r="AE90" i="3"/>
  <c r="AN90" i="3"/>
  <c r="AV90" i="3"/>
  <c r="J10" i="1"/>
  <c r="Q11" i="1"/>
  <c r="R12" i="10"/>
  <c r="R14" i="10" s="1"/>
  <c r="R16" i="10" s="1"/>
  <c r="R7" i="12"/>
  <c r="Z12" i="10"/>
  <c r="Z7" i="12"/>
  <c r="AH12" i="10"/>
  <c r="AH14" i="10" s="1"/>
  <c r="AH16" i="10" s="1"/>
  <c r="AH7" i="12"/>
  <c r="AP12" i="10"/>
  <c r="AP14" i="10" s="1"/>
  <c r="AP16" i="10" s="1"/>
  <c r="AP7" i="12"/>
  <c r="L35" i="10"/>
  <c r="L36" i="10" s="1"/>
  <c r="L40" i="10"/>
  <c r="L43" i="10" s="1"/>
  <c r="AE35" i="10"/>
  <c r="AH54" i="63"/>
  <c r="AT1" i="3"/>
  <c r="AS2" i="3"/>
  <c r="J8" i="9"/>
  <c r="J6" i="9"/>
  <c r="R8" i="9"/>
  <c r="R6" i="9"/>
  <c r="AA8" i="9"/>
  <c r="AA6" i="9"/>
  <c r="AI8" i="9"/>
  <c r="AI6" i="9"/>
  <c r="AQ8" i="9"/>
  <c r="AQ6" i="9"/>
  <c r="P39" i="3"/>
  <c r="X39" i="3"/>
  <c r="AF39" i="3"/>
  <c r="AN39" i="3"/>
  <c r="AV39" i="3"/>
  <c r="AD12" i="9"/>
  <c r="AP12" i="9"/>
  <c r="J17" i="9"/>
  <c r="K33" i="26"/>
  <c r="R17" i="9"/>
  <c r="AA17" i="9"/>
  <c r="AI17" i="9"/>
  <c r="AQ17" i="9"/>
  <c r="P90" i="3"/>
  <c r="X90" i="3"/>
  <c r="AF90" i="3"/>
  <c r="AW90" i="3"/>
  <c r="U8" i="12"/>
  <c r="K10" i="1"/>
  <c r="S11" i="1"/>
  <c r="AC11" i="1"/>
  <c r="M40" i="1"/>
  <c r="M43" i="1" s="1"/>
  <c r="M35" i="1"/>
  <c r="M36" i="1" s="1"/>
  <c r="J11" i="10"/>
  <c r="AT13" i="12"/>
  <c r="M35" i="10"/>
  <c r="M36" i="10" s="1"/>
  <c r="AF55" i="12"/>
  <c r="H55" i="12"/>
  <c r="P55" i="12"/>
  <c r="X55" i="12"/>
  <c r="K8" i="9"/>
  <c r="K6" i="9"/>
  <c r="AB8" i="9"/>
  <c r="AB6" i="9"/>
  <c r="AJ8" i="9"/>
  <c r="AJ6" i="9"/>
  <c r="AR8" i="9"/>
  <c r="AR6" i="9"/>
  <c r="Q39" i="3"/>
  <c r="Y39" i="3"/>
  <c r="AG39" i="3"/>
  <c r="AW39" i="3"/>
  <c r="AE12" i="9"/>
  <c r="AQ12" i="9"/>
  <c r="K17" i="9"/>
  <c r="L33" i="26"/>
  <c r="S17" i="9"/>
  <c r="AB17" i="9"/>
  <c r="AJ17" i="9"/>
  <c r="AR17" i="9"/>
  <c r="Q90" i="3"/>
  <c r="Y90" i="3"/>
  <c r="AG90" i="3"/>
  <c r="AP90" i="3"/>
  <c r="AX90" i="3"/>
  <c r="M10" i="1"/>
  <c r="AD11" i="1"/>
  <c r="L40" i="1"/>
  <c r="L43" i="1" s="1"/>
  <c r="L35" i="1"/>
  <c r="L36" i="1" s="1"/>
  <c r="X12" i="10"/>
  <c r="X14" i="10" s="1"/>
  <c r="X16" i="10" s="1"/>
  <c r="AN12" i="10"/>
  <c r="AN14" i="10" s="1"/>
  <c r="AN16" i="10" s="1"/>
  <c r="W63" i="63"/>
  <c r="W6" i="63" s="1"/>
  <c r="W11" i="63" s="1"/>
  <c r="W14" i="63" s="1"/>
  <c r="AK33" i="67"/>
  <c r="W11" i="1"/>
  <c r="AE11" i="1"/>
  <c r="AM11" i="1"/>
  <c r="I11" i="10"/>
  <c r="L6" i="12"/>
  <c r="L8" i="12" s="1"/>
  <c r="Q7" i="12"/>
  <c r="Q8" i="12" s="1"/>
  <c r="Y7" i="12"/>
  <c r="Y8" i="12" s="1"/>
  <c r="AG7" i="12"/>
  <c r="AG8" i="12" s="1"/>
  <c r="T12" i="63"/>
  <c r="R93" i="63"/>
  <c r="T6" i="79"/>
  <c r="T17" i="79" s="1"/>
  <c r="Q17" i="9"/>
  <c r="K11" i="10"/>
  <c r="Z28" i="12"/>
  <c r="Z55" i="12" s="1"/>
  <c r="G1" i="63"/>
  <c r="L11" i="10"/>
  <c r="L9" i="12" s="1"/>
  <c r="AC93" i="63"/>
  <c r="V7" i="12"/>
  <c r="V8" i="12" s="1"/>
  <c r="AD7" i="12"/>
  <c r="AD8" i="12" s="1"/>
  <c r="AL7" i="12"/>
  <c r="AL8" i="12" s="1"/>
  <c r="AT7" i="12"/>
  <c r="F2" i="63"/>
  <c r="S12" i="63"/>
  <c r="I1" i="67"/>
  <c r="O14" i="9"/>
  <c r="W14" i="9"/>
  <c r="W52" i="9"/>
  <c r="AE52" i="9"/>
  <c r="AM52" i="9"/>
  <c r="H14" i="9"/>
  <c r="P14" i="9"/>
  <c r="X14" i="9"/>
  <c r="X52" i="9"/>
  <c r="AF52" i="9"/>
  <c r="AN52" i="9"/>
  <c r="BC167" i="73"/>
  <c r="BB171" i="73"/>
  <c r="BB321" i="73" s="1"/>
  <c r="I14" i="9"/>
  <c r="Q14" i="9"/>
  <c r="Y14" i="9"/>
  <c r="AG14" i="9"/>
  <c r="O53" i="9"/>
  <c r="AL1" i="9"/>
  <c r="AK2" i="9"/>
  <c r="J14" i="9"/>
  <c r="R14" i="9"/>
  <c r="Z14" i="9"/>
  <c r="AH14" i="9"/>
  <c r="L53" i="9"/>
  <c r="Q53" i="9"/>
  <c r="Z52" i="9"/>
  <c r="AH52" i="9"/>
  <c r="AP52" i="9"/>
  <c r="K14" i="9"/>
  <c r="S14" i="9"/>
  <c r="AA14" i="9"/>
  <c r="AI14" i="9"/>
  <c r="E53" i="9"/>
  <c r="G1" i="9"/>
  <c r="F2" i="9"/>
  <c r="L14" i="9"/>
  <c r="T14" i="9"/>
  <c r="AB14" i="9"/>
  <c r="AJ14" i="9"/>
  <c r="T52" i="9"/>
  <c r="AB52" i="9"/>
  <c r="AR52" i="9"/>
  <c r="M14" i="9"/>
  <c r="U14" i="9"/>
  <c r="N14" i="9"/>
  <c r="V14" i="9"/>
  <c r="G53" i="9"/>
  <c r="V52" i="9"/>
  <c r="AD52" i="9"/>
  <c r="AL52" i="9"/>
  <c r="BA171" i="73"/>
  <c r="BA321" i="73" s="1"/>
  <c r="BA105" i="77"/>
  <c r="AX105" i="77"/>
  <c r="AY90" i="77"/>
  <c r="G1" i="13"/>
  <c r="F2" i="13"/>
  <c r="AX94" i="77"/>
  <c r="AZ97" i="77"/>
  <c r="AZ93" i="77"/>
  <c r="BA107" i="77"/>
  <c r="G22" i="26"/>
  <c r="G23" i="26" s="1"/>
  <c r="O22" i="26"/>
  <c r="O23" i="26" s="1"/>
  <c r="W22" i="26"/>
  <c r="W23" i="26" s="1"/>
  <c r="AE22" i="26"/>
  <c r="AE23" i="26" s="1"/>
  <c r="E2" i="13"/>
  <c r="G2" i="26"/>
  <c r="H1" i="26"/>
  <c r="F12" i="26"/>
  <c r="F13" i="26" s="1"/>
  <c r="N12" i="26"/>
  <c r="N13" i="26" s="1"/>
  <c r="V12" i="26"/>
  <c r="V13" i="26" s="1"/>
  <c r="AD12" i="26"/>
  <c r="AD13" i="26" s="1"/>
  <c r="AL12" i="26"/>
  <c r="AL13" i="26" s="1"/>
  <c r="I23" i="26"/>
  <c r="AG23" i="26"/>
  <c r="E11" i="30"/>
  <c r="E12" i="30"/>
  <c r="M12" i="30"/>
  <c r="U12" i="30"/>
  <c r="AM10" i="26"/>
  <c r="F12" i="30"/>
  <c r="F11" i="30"/>
  <c r="N12" i="30"/>
  <c r="V12" i="30"/>
  <c r="G12" i="30"/>
  <c r="G11" i="30"/>
  <c r="O12" i="30"/>
  <c r="W12" i="30"/>
  <c r="G1" i="24"/>
  <c r="I12" i="26"/>
  <c r="I13" i="26" s="1"/>
  <c r="Q12" i="26"/>
  <c r="Q13" i="26" s="1"/>
  <c r="Y12" i="26"/>
  <c r="Y13" i="26" s="1"/>
  <c r="AG12" i="26"/>
  <c r="AG13" i="26" s="1"/>
  <c r="L22" i="26"/>
  <c r="L23" i="26" s="1"/>
  <c r="T22" i="26"/>
  <c r="T23" i="26" s="1"/>
  <c r="AB22" i="26"/>
  <c r="AB23" i="26" s="1"/>
  <c r="AJ22" i="26"/>
  <c r="AJ23" i="26" s="1"/>
  <c r="I12" i="30"/>
  <c r="I11" i="30"/>
  <c r="Q12" i="30"/>
  <c r="S13" i="26"/>
  <c r="AA13" i="26"/>
  <c r="AI13" i="26"/>
  <c r="J12" i="30"/>
  <c r="J11" i="30"/>
  <c r="R12" i="30"/>
  <c r="J12" i="26"/>
  <c r="J13" i="26" s="1"/>
  <c r="R12" i="26"/>
  <c r="R13" i="26" s="1"/>
  <c r="Z12" i="26"/>
  <c r="Z13" i="26" s="1"/>
  <c r="AH12" i="26"/>
  <c r="AH13" i="26" s="1"/>
  <c r="H22" i="26"/>
  <c r="H23" i="26" s="1"/>
  <c r="P22" i="26"/>
  <c r="P23" i="26" s="1"/>
  <c r="X22" i="26"/>
  <c r="X23" i="26" s="1"/>
  <c r="AF22" i="26"/>
  <c r="AF23" i="26" s="1"/>
  <c r="I13" i="31"/>
  <c r="K30" i="31"/>
  <c r="K29" i="31" s="1"/>
  <c r="T30" i="31"/>
  <c r="T29" i="31" s="1"/>
  <c r="AB30" i="31"/>
  <c r="AB29" i="31" s="1"/>
  <c r="AJ30" i="31"/>
  <c r="AJ29" i="31" s="1"/>
  <c r="AM22" i="30"/>
  <c r="G1" i="30"/>
  <c r="H11" i="30"/>
  <c r="AD1" i="31"/>
  <c r="AC2" i="31"/>
  <c r="E13" i="31"/>
  <c r="E19" i="61"/>
  <c r="E20" i="61" s="1"/>
  <c r="E49" i="61"/>
  <c r="E51" i="61" s="1"/>
  <c r="G1" i="29"/>
  <c r="K11" i="30"/>
  <c r="G1" i="31"/>
  <c r="F13" i="31"/>
  <c r="Y13" i="32"/>
  <c r="Z6" i="32"/>
  <c r="Z12" i="32" s="1"/>
  <c r="H13" i="31"/>
  <c r="T24" i="32"/>
  <c r="T30" i="32" s="1"/>
  <c r="H49" i="61"/>
  <c r="H51" i="61" s="1"/>
  <c r="H19" i="61"/>
  <c r="H20" i="61" s="1"/>
  <c r="AE2" i="33"/>
  <c r="AF1" i="33"/>
  <c r="G1" i="32"/>
  <c r="X1" i="32"/>
  <c r="F2" i="32"/>
  <c r="W2" i="32"/>
  <c r="AM19" i="61"/>
  <c r="AM20" i="61" s="1"/>
  <c r="AM32" i="61"/>
  <c r="AD2" i="33"/>
  <c r="Z45" i="33"/>
  <c r="S21" i="34"/>
  <c r="S27" i="34" s="1"/>
  <c r="AD27" i="34"/>
  <c r="AN27" i="34"/>
  <c r="AV27" i="34"/>
  <c r="BD27" i="34"/>
  <c r="BM27" i="34"/>
  <c r="CC27" i="34"/>
  <c r="CK27" i="34"/>
  <c r="U156" i="36"/>
  <c r="U165" i="36" s="1"/>
  <c r="U174" i="36" s="1"/>
  <c r="U183" i="36" s="1"/>
  <c r="U192" i="36" s="1"/>
  <c r="U201" i="36" s="1"/>
  <c r="U210" i="36" s="1"/>
  <c r="U219" i="36" s="1"/>
  <c r="U227" i="36" s="1"/>
  <c r="U235" i="36" s="1"/>
  <c r="U243" i="36" s="1"/>
  <c r="U251" i="36" s="1"/>
  <c r="AL49" i="61"/>
  <c r="AI41" i="33"/>
  <c r="BO21" i="34"/>
  <c r="H2" i="39"/>
  <c r="I1" i="39"/>
  <c r="AG27" i="34"/>
  <c r="AM17" i="33"/>
  <c r="E27" i="34"/>
  <c r="O27" i="34"/>
  <c r="X27" i="34"/>
  <c r="H1" i="61"/>
  <c r="AL16" i="61"/>
  <c r="AG42" i="33"/>
  <c r="DC21" i="34"/>
  <c r="F27" i="34"/>
  <c r="Q27" i="34"/>
  <c r="M156" i="36"/>
  <c r="M165" i="36" s="1"/>
  <c r="AH42" i="33"/>
  <c r="AK21" i="34"/>
  <c r="AK27" i="34" s="1"/>
  <c r="H27" i="34"/>
  <c r="BJ27" i="34"/>
  <c r="BZ27" i="34"/>
  <c r="CH27" i="34"/>
  <c r="DA27" i="34"/>
  <c r="R259" i="36"/>
  <c r="R267" i="36" s="1"/>
  <c r="R277" i="36" s="1"/>
  <c r="R287" i="36" s="1"/>
  <c r="R297" i="36" s="1"/>
  <c r="R307" i="36" s="1"/>
  <c r="R317" i="36" s="1"/>
  <c r="R327" i="36" s="1"/>
  <c r="R337" i="36" s="1"/>
  <c r="AI42" i="33"/>
  <c r="I27" i="34"/>
  <c r="CI27" i="34"/>
  <c r="CQ27" i="34"/>
  <c r="S259" i="36"/>
  <c r="S267" i="36" s="1"/>
  <c r="S277" i="36" s="1"/>
  <c r="S287" i="36" s="1"/>
  <c r="S297" i="36" s="1"/>
  <c r="S307" i="36" s="1"/>
  <c r="S317" i="36" s="1"/>
  <c r="S327" i="36" s="1"/>
  <c r="S337" i="36" s="1"/>
  <c r="AJ42" i="33"/>
  <c r="Y45" i="33"/>
  <c r="H1" i="34"/>
  <c r="G2" i="34"/>
  <c r="BI21" i="34"/>
  <c r="AM27" i="34"/>
  <c r="AU27" i="34"/>
  <c r="BC27" i="34"/>
  <c r="BT27" i="34"/>
  <c r="CB27" i="34"/>
  <c r="CR27" i="34"/>
  <c r="T156" i="36"/>
  <c r="T165" i="36" s="1"/>
  <c r="T174" i="36" s="1"/>
  <c r="T183" i="36" s="1"/>
  <c r="T192" i="36" s="1"/>
  <c r="T201" i="36" s="1"/>
  <c r="T210" i="36" s="1"/>
  <c r="T219" i="36" s="1"/>
  <c r="T227" i="36" s="1"/>
  <c r="T235" i="36" s="1"/>
  <c r="T243" i="36" s="1"/>
  <c r="T251" i="36" s="1"/>
  <c r="V261" i="36"/>
  <c r="CX21" i="34"/>
  <c r="CX27" i="34" s="1"/>
  <c r="G34" i="34"/>
  <c r="H34" i="34"/>
  <c r="CY15" i="34"/>
  <c r="CY21" i="34" s="1"/>
  <c r="CY27" i="34" s="1"/>
  <c r="G2" i="39"/>
  <c r="AK22" i="44"/>
  <c r="AK18" i="44"/>
  <c r="E18" i="44"/>
  <c r="M18" i="44"/>
  <c r="U18" i="44"/>
  <c r="AC18" i="44"/>
  <c r="E22" i="44"/>
  <c r="M22" i="44"/>
  <c r="M23" i="44" s="1"/>
  <c r="U22" i="44"/>
  <c r="U23" i="44" s="1"/>
  <c r="AC22" i="44"/>
  <c r="G22" i="44"/>
  <c r="O22" i="44"/>
  <c r="O23" i="44" s="1"/>
  <c r="W22" i="44"/>
  <c r="W23" i="44" s="1"/>
  <c r="AE22" i="44"/>
  <c r="AE23" i="44" s="1"/>
  <c r="AE25" i="44"/>
  <c r="AE32" i="44" s="1"/>
  <c r="AE38" i="44" s="1"/>
  <c r="H18" i="44"/>
  <c r="P18" i="44"/>
  <c r="X18" i="44"/>
  <c r="AF18" i="44"/>
  <c r="H1" i="44"/>
  <c r="AJ22" i="44"/>
  <c r="V33" i="45"/>
  <c r="AJ33" i="45"/>
  <c r="G2" i="45"/>
  <c r="H1" i="45"/>
  <c r="F33" i="45"/>
  <c r="N33" i="45"/>
  <c r="H33" i="45"/>
  <c r="P33" i="45"/>
  <c r="AE33" i="45"/>
  <c r="L33" i="45"/>
  <c r="AI33" i="45"/>
  <c r="AM26" i="45"/>
  <c r="AP47" i="46"/>
  <c r="Q78" i="46"/>
  <c r="Y78" i="46"/>
  <c r="AG78" i="46"/>
  <c r="AP58" i="46"/>
  <c r="AP66" i="46"/>
  <c r="AP28" i="46"/>
  <c r="AP110" i="46"/>
  <c r="U104" i="46"/>
  <c r="V94" i="46"/>
  <c r="V103" i="46" s="1"/>
  <c r="U91" i="46"/>
  <c r="U111" i="46"/>
  <c r="AP34" i="46"/>
  <c r="V78" i="46"/>
  <c r="AD78" i="46"/>
  <c r="AL78" i="46"/>
  <c r="AD2" i="49"/>
  <c r="AC2" i="49"/>
  <c r="AF1" i="49"/>
  <c r="AE2" i="49"/>
  <c r="G1" i="72"/>
  <c r="H1" i="48"/>
  <c r="G2" i="48"/>
  <c r="J30" i="48"/>
  <c r="R30" i="48"/>
  <c r="Z30" i="48"/>
  <c r="AH30" i="48"/>
  <c r="G1" i="49"/>
  <c r="F2" i="49"/>
  <c r="AE1" i="48"/>
  <c r="AD2" i="48"/>
  <c r="F57" i="49"/>
  <c r="N57" i="49"/>
  <c r="W57" i="49"/>
  <c r="K51" i="52"/>
  <c r="S51" i="52"/>
  <c r="AA51" i="52"/>
  <c r="AI51" i="52"/>
  <c r="Y57" i="49"/>
  <c r="L51" i="52"/>
  <c r="T51" i="52"/>
  <c r="AB51" i="52"/>
  <c r="AJ51" i="52"/>
  <c r="F51" i="52"/>
  <c r="N51" i="52"/>
  <c r="AD51" i="52"/>
  <c r="T57" i="49"/>
  <c r="AD57" i="49"/>
  <c r="L57" i="49"/>
  <c r="U57" i="49"/>
  <c r="AE57" i="49"/>
  <c r="E57" i="49"/>
  <c r="M57" i="49"/>
  <c r="V57" i="49"/>
  <c r="J51" i="52"/>
  <c r="R51" i="52"/>
  <c r="AH22" i="53"/>
  <c r="AH24" i="53" s="1"/>
  <c r="AL86" i="71"/>
  <c r="AL72" i="71"/>
  <c r="AL8" i="53"/>
  <c r="AL10" i="53" s="1"/>
  <c r="AL11" i="53" s="1"/>
  <c r="AL20" i="53"/>
  <c r="AL22" i="53" s="1"/>
  <c r="AL24" i="53" s="1"/>
  <c r="L22" i="53"/>
  <c r="L24" i="53" s="1"/>
  <c r="T22" i="53"/>
  <c r="T24" i="53" s="1"/>
  <c r="AD22" i="53"/>
  <c r="AD24" i="53" s="1"/>
  <c r="AL81" i="71"/>
  <c r="H90" i="71"/>
  <c r="P90" i="71"/>
  <c r="X90" i="71"/>
  <c r="H1" i="53"/>
  <c r="G1" i="55"/>
  <c r="F2" i="55"/>
  <c r="AL87" i="71"/>
  <c r="F2" i="65"/>
  <c r="G1" i="65"/>
  <c r="AH24" i="55"/>
  <c r="AI24" i="55"/>
  <c r="AL4" i="55"/>
  <c r="H1" i="59"/>
  <c r="G2" i="59"/>
  <c r="F24" i="55"/>
  <c r="N24" i="55"/>
  <c r="V24" i="55"/>
  <c r="V25" i="55" s="1"/>
  <c r="AD24" i="55"/>
  <c r="AD25" i="55" s="1"/>
  <c r="AZ2" i="68"/>
  <c r="BA1" i="68"/>
  <c r="J60" i="68"/>
  <c r="R60" i="68"/>
  <c r="Z60" i="68"/>
  <c r="AI60" i="68"/>
  <c r="P101" i="80"/>
  <c r="E2" i="81"/>
  <c r="F1" i="81"/>
  <c r="F2" i="66"/>
  <c r="G51" i="68"/>
  <c r="O51" i="68"/>
  <c r="W51" i="68"/>
  <c r="AE51" i="68"/>
  <c r="H1" i="66"/>
  <c r="G2" i="66"/>
  <c r="J22" i="60"/>
  <c r="AF22" i="68"/>
  <c r="BA90" i="77"/>
  <c r="AZ91" i="77"/>
  <c r="AY93" i="77"/>
  <c r="AX99" i="77"/>
  <c r="AZ102" i="77"/>
  <c r="AZ90" i="77"/>
  <c r="BA93" i="77"/>
  <c r="AW95" i="77"/>
  <c r="BA96" i="77"/>
  <c r="AZ99" i="77"/>
  <c r="AY107" i="77"/>
  <c r="AW97" i="77"/>
  <c r="AY98" i="77"/>
  <c r="AZ103" i="77"/>
  <c r="AX90" i="77"/>
  <c r="AW94" i="77"/>
  <c r="AX97" i="77"/>
  <c r="BA103" i="77"/>
  <c r="AY105" i="77"/>
  <c r="BA106" i="77"/>
  <c r="AX101" i="77"/>
  <c r="AZ89" i="77"/>
  <c r="AX91" i="77"/>
  <c r="AW93" i="77"/>
  <c r="AY94" i="77"/>
  <c r="AX98" i="77"/>
  <c r="AX102" i="77"/>
  <c r="AX107" i="77"/>
  <c r="AW90" i="77"/>
  <c r="AX93" i="77"/>
  <c r="AZ94" i="77"/>
  <c r="BA97" i="77"/>
  <c r="AW99" i="77"/>
  <c r="BA100" i="77"/>
  <c r="AZ105" i="77"/>
  <c r="AZ96" i="77"/>
  <c r="AY102" i="77"/>
  <c r="AW102" i="77"/>
  <c r="BA89" i="77"/>
  <c r="AW91" i="77"/>
  <c r="BA99" i="77"/>
  <c r="AY99" i="77"/>
  <c r="BA102" i="77"/>
  <c r="AY104" i="77"/>
  <c r="AW104" i="77"/>
  <c r="AY92" i="77"/>
  <c r="AW92" i="77"/>
  <c r="BA95" i="77"/>
  <c r="AY95" i="77"/>
  <c r="AY97" i="77"/>
  <c r="AX100" i="77"/>
  <c r="AX106" i="77"/>
  <c r="AY100" i="77"/>
  <c r="AW100" i="77"/>
  <c r="AY106" i="77"/>
  <c r="AW106" i="77"/>
  <c r="AW89" i="77"/>
  <c r="BA91" i="77"/>
  <c r="AY91" i="77"/>
  <c r="AX96" i="77"/>
  <c r="AZ100" i="77"/>
  <c r="AZ106" i="77"/>
  <c r="AY96" i="77"/>
  <c r="AW96" i="77"/>
  <c r="AY89" i="77"/>
  <c r="BA92" i="77"/>
  <c r="AW98" i="77"/>
  <c r="AW101" i="77"/>
  <c r="AW103" i="77"/>
  <c r="BA104" i="77"/>
  <c r="AW105" i="77"/>
  <c r="AY101" i="77"/>
  <c r="AY103" i="77"/>
  <c r="AZ107" i="77"/>
  <c r="AX95" i="77"/>
  <c r="AZ98" i="77"/>
  <c r="AZ101" i="77"/>
  <c r="BA98" i="77"/>
  <c r="BA101" i="77"/>
  <c r="AX92" i="77"/>
  <c r="AZ95" i="77"/>
  <c r="AX104" i="77"/>
  <c r="AX89" i="77"/>
  <c r="AZ92" i="77"/>
  <c r="AZ104" i="77"/>
  <c r="AW107" i="77"/>
  <c r="AE55" i="12" l="1"/>
  <c r="AD24" i="32"/>
  <c r="AD30" i="32" s="1"/>
  <c r="AD12" i="32"/>
  <c r="F12" i="32"/>
  <c r="F13" i="32" s="1"/>
  <c r="AF15" i="32"/>
  <c r="AE21" i="32"/>
  <c r="Z21" i="32"/>
  <c r="AA15" i="32" s="1"/>
  <c r="AA21" i="32" s="1"/>
  <c r="G21" i="32"/>
  <c r="H15" i="32" s="1"/>
  <c r="AG6" i="2"/>
  <c r="AO6" i="2"/>
  <c r="AO138" i="9"/>
  <c r="E17" i="67"/>
  <c r="E20" i="67" s="1"/>
  <c r="F349" i="79"/>
  <c r="H349" i="79"/>
  <c r="I349" i="79"/>
  <c r="BF27" i="34"/>
  <c r="G167" i="80"/>
  <c r="N167" i="80"/>
  <c r="N175" i="80" s="1"/>
  <c r="M167" i="80"/>
  <c r="M175" i="80" s="1"/>
  <c r="M183" i="80" s="1"/>
  <c r="M191" i="80" s="1"/>
  <c r="M199" i="80" s="1"/>
  <c r="O167" i="80"/>
  <c r="O175" i="80" s="1"/>
  <c r="E153" i="80"/>
  <c r="E160" i="80" s="1"/>
  <c r="F153" i="80"/>
  <c r="F160" i="80" s="1"/>
  <c r="R347" i="36"/>
  <c r="R358" i="36" s="1"/>
  <c r="F370" i="36"/>
  <c r="F382" i="36" s="1"/>
  <c r="F394" i="36" s="1"/>
  <c r="F406" i="36" s="1"/>
  <c r="F418" i="36" s="1"/>
  <c r="G370" i="36"/>
  <c r="G382" i="36" s="1"/>
  <c r="G394" i="36" s="1"/>
  <c r="G406" i="36" s="1"/>
  <c r="G418" i="36" s="1"/>
  <c r="S347" i="36"/>
  <c r="S358" i="36" s="1"/>
  <c r="H370" i="36"/>
  <c r="H382" i="36" s="1"/>
  <c r="H394" i="36" s="1"/>
  <c r="H406" i="36" s="1"/>
  <c r="H418" i="36" s="1"/>
  <c r="E370" i="36"/>
  <c r="E382" i="36" s="1"/>
  <c r="E394" i="36" s="1"/>
  <c r="E406" i="36" s="1"/>
  <c r="E418" i="36" s="1"/>
  <c r="N370" i="36"/>
  <c r="N382" i="36" s="1"/>
  <c r="I370" i="36"/>
  <c r="I382" i="36" s="1"/>
  <c r="I394" i="36" s="1"/>
  <c r="I406" i="36" s="1"/>
  <c r="I418" i="36" s="1"/>
  <c r="AF61" i="68"/>
  <c r="BI27" i="34"/>
  <c r="BL27" i="34"/>
  <c r="BO27" i="34"/>
  <c r="G23" i="83"/>
  <c r="S288" i="79"/>
  <c r="G2" i="46"/>
  <c r="X12" i="81"/>
  <c r="AL10" i="2"/>
  <c r="K288" i="79"/>
  <c r="K298" i="79" s="1"/>
  <c r="O278" i="79"/>
  <c r="N288" i="79"/>
  <c r="N298" i="79" s="1"/>
  <c r="N308" i="79" s="1"/>
  <c r="J288" i="79"/>
  <c r="J298" i="79" s="1"/>
  <c r="M288" i="79"/>
  <c r="AZ91" i="3"/>
  <c r="G2" i="52"/>
  <c r="AS6" i="2"/>
  <c r="Z91" i="3"/>
  <c r="AA85" i="10"/>
  <c r="AQ40" i="10"/>
  <c r="AQ43" i="10" s="1"/>
  <c r="AQ45" i="10" s="1"/>
  <c r="AQ48" i="10" s="1"/>
  <c r="G6" i="32"/>
  <c r="G12" i="32" s="1"/>
  <c r="AC6" i="2"/>
  <c r="AM33" i="45"/>
  <c r="AJ40" i="10"/>
  <c r="AJ43" i="10" s="1"/>
  <c r="AJ45" i="10" s="1"/>
  <c r="AJ48" i="10" s="1"/>
  <c r="AG61" i="68"/>
  <c r="AA55" i="12"/>
  <c r="R91" i="3"/>
  <c r="AR6" i="2"/>
  <c r="AA134" i="9"/>
  <c r="H91" i="3"/>
  <c r="X61" i="68"/>
  <c r="AW6" i="2"/>
  <c r="H1" i="71"/>
  <c r="H2" i="71" s="1"/>
  <c r="AF1" i="30"/>
  <c r="AF2" i="30" s="1"/>
  <c r="I61" i="68"/>
  <c r="AN6" i="2"/>
  <c r="Y6" i="2"/>
  <c r="AD138" i="9"/>
  <c r="AS138" i="9"/>
  <c r="AA138" i="9"/>
  <c r="AQ138" i="9"/>
  <c r="AC138" i="9"/>
  <c r="L138" i="9"/>
  <c r="J138" i="9"/>
  <c r="AP138" i="9"/>
  <c r="N138" i="9"/>
  <c r="U138" i="9"/>
  <c r="AK138" i="9"/>
  <c r="S138" i="9"/>
  <c r="AI138" i="9"/>
  <c r="I138" i="9"/>
  <c r="AF138" i="9"/>
  <c r="AH138" i="9"/>
  <c r="AG138" i="9"/>
  <c r="AM138" i="9"/>
  <c r="AR138" i="9"/>
  <c r="Z138" i="9"/>
  <c r="W138" i="9"/>
  <c r="M138" i="9"/>
  <c r="AB138" i="9"/>
  <c r="K138" i="9"/>
  <c r="Y138" i="9"/>
  <c r="X138" i="9"/>
  <c r="AE138" i="9"/>
  <c r="AL138" i="9"/>
  <c r="T138" i="9"/>
  <c r="AJ138" i="9"/>
  <c r="R138" i="9"/>
  <c r="O138" i="9"/>
  <c r="V138" i="9"/>
  <c r="Q138" i="9"/>
  <c r="P138" i="9"/>
  <c r="AN138" i="9"/>
  <c r="AB6" i="2"/>
  <c r="F9" i="12"/>
  <c r="AE2" i="44"/>
  <c r="AB23" i="12"/>
  <c r="H1" i="10"/>
  <c r="H2" i="10" s="1"/>
  <c r="S8" i="9"/>
  <c r="AH6" i="2"/>
  <c r="AI6" i="2"/>
  <c r="U91" i="3"/>
  <c r="AJ91" i="3"/>
  <c r="AL27" i="65"/>
  <c r="F91" i="3"/>
  <c r="AI57" i="49"/>
  <c r="AJ57" i="49"/>
  <c r="AM22" i="44"/>
  <c r="AB14" i="10"/>
  <c r="AB16" i="10" s="1"/>
  <c r="AB35" i="10" s="1"/>
  <c r="T10" i="12"/>
  <c r="T12" i="12" s="1"/>
  <c r="T14" i="12" s="1"/>
  <c r="G9" i="12"/>
  <c r="AJ10" i="12"/>
  <c r="AJ12" i="12" s="1"/>
  <c r="AJ14" i="12" s="1"/>
  <c r="J91" i="3"/>
  <c r="P298" i="79"/>
  <c r="AB10" i="12"/>
  <c r="AB12" i="12" s="1"/>
  <c r="AB14" i="12" s="1"/>
  <c r="AD91" i="3"/>
  <c r="AE6" i="32"/>
  <c r="AE12" i="32" s="1"/>
  <c r="S91" i="3"/>
  <c r="AS8" i="12"/>
  <c r="K91" i="3"/>
  <c r="M9" i="12"/>
  <c r="O61" i="68"/>
  <c r="AK91" i="3"/>
  <c r="T34" i="10"/>
  <c r="T33" i="12" s="1"/>
  <c r="T55" i="12" s="1"/>
  <c r="AF1" i="61"/>
  <c r="AG1" i="61" s="1"/>
  <c r="AG50" i="9"/>
  <c r="AG53" i="9" s="1"/>
  <c r="Z11" i="30"/>
  <c r="AY91" i="3"/>
  <c r="AP78" i="46"/>
  <c r="H141" i="9"/>
  <c r="AF91" i="3"/>
  <c r="AS91" i="3"/>
  <c r="S61" i="68"/>
  <c r="AB91" i="3"/>
  <c r="Q61" i="68"/>
  <c r="E91" i="3"/>
  <c r="AH134" i="9"/>
  <c r="AA6" i="2"/>
  <c r="AF134" i="9"/>
  <c r="AG134" i="9"/>
  <c r="W61" i="68"/>
  <c r="Z61" i="68"/>
  <c r="G61" i="68"/>
  <c r="J61" i="68"/>
  <c r="R61" i="68"/>
  <c r="AB61" i="68"/>
  <c r="AG96" i="63"/>
  <c r="I91" i="3"/>
  <c r="K61" i="68"/>
  <c r="P61" i="68"/>
  <c r="U61" i="68"/>
  <c r="AA61" i="68"/>
  <c r="H61" i="68"/>
  <c r="T61" i="68"/>
  <c r="L61" i="68"/>
  <c r="Y11" i="30"/>
  <c r="AT6" i="2"/>
  <c r="AR14" i="10"/>
  <c r="AR16" i="10" s="1"/>
  <c r="AR13" i="1"/>
  <c r="AR15" i="1" s="1"/>
  <c r="Z6" i="2"/>
  <c r="AV6" i="2"/>
  <c r="AP91" i="3"/>
  <c r="AF50" i="9"/>
  <c r="AF53" i="9" s="1"/>
  <c r="M91" i="3"/>
  <c r="AC91" i="3"/>
  <c r="G91" i="3"/>
  <c r="AW91" i="3"/>
  <c r="AI91" i="3"/>
  <c r="L91" i="3"/>
  <c r="AX91" i="3"/>
  <c r="AL91" i="3"/>
  <c r="AN36" i="1"/>
  <c r="AX6" i="2"/>
  <c r="AS13" i="1"/>
  <c r="AS15" i="1" s="1"/>
  <c r="AS14" i="10"/>
  <c r="AS16" i="10" s="1"/>
  <c r="AM10" i="2"/>
  <c r="AD6" i="2"/>
  <c r="AH50" i="9"/>
  <c r="AH53" i="9" s="1"/>
  <c r="E9" i="12"/>
  <c r="AE36" i="10"/>
  <c r="AM18" i="44"/>
  <c r="AA11" i="30"/>
  <c r="X11" i="30"/>
  <c r="F24" i="32"/>
  <c r="F30" i="32" s="1"/>
  <c r="AE50" i="9"/>
  <c r="AE53" i="9" s="1"/>
  <c r="AK10" i="2"/>
  <c r="AI11" i="30"/>
  <c r="AL51" i="61"/>
  <c r="R23" i="13"/>
  <c r="AH24" i="72"/>
  <c r="AI25" i="55"/>
  <c r="AH25" i="55"/>
  <c r="AF1" i="32"/>
  <c r="AF2" i="32" s="1"/>
  <c r="AP50" i="9"/>
  <c r="AP53" i="9" s="1"/>
  <c r="Y91" i="3"/>
  <c r="AT91" i="3"/>
  <c r="X35" i="1"/>
  <c r="S40" i="10"/>
  <c r="S43" i="10" s="1"/>
  <c r="S45" i="10" s="1"/>
  <c r="S48" i="10" s="1"/>
  <c r="AL48" i="61"/>
  <c r="T91" i="3"/>
  <c r="J40" i="10"/>
  <c r="J43" i="10" s="1"/>
  <c r="J45" i="10" s="1"/>
  <c r="J48" i="10" s="1"/>
  <c r="H1" i="83"/>
  <c r="G2" i="83"/>
  <c r="N35" i="10"/>
  <c r="N36" i="10" s="1"/>
  <c r="H2" i="33"/>
  <c r="I1" i="33"/>
  <c r="AU91" i="3"/>
  <c r="AV91" i="3"/>
  <c r="AM91" i="3"/>
  <c r="AN91" i="3"/>
  <c r="P9" i="12"/>
  <c r="AQ91" i="3"/>
  <c r="AJ10" i="2"/>
  <c r="Y61" i="68"/>
  <c r="AC61" i="68"/>
  <c r="AE61" i="68"/>
  <c r="AG91" i="3"/>
  <c r="AE91" i="3"/>
  <c r="AP59" i="46"/>
  <c r="AM42" i="33"/>
  <c r="AM45" i="33"/>
  <c r="N61" i="68"/>
  <c r="AD61" i="68"/>
  <c r="M61" i="68"/>
  <c r="V61" i="68"/>
  <c r="E61" i="68"/>
  <c r="AT52" i="9"/>
  <c r="AL30" i="31"/>
  <c r="AL29" i="31" s="1"/>
  <c r="AM48" i="61"/>
  <c r="F92" i="63"/>
  <c r="F96" i="63" s="1"/>
  <c r="DC27" i="34"/>
  <c r="AM18" i="29"/>
  <c r="DE21" i="34"/>
  <c r="DE27" i="34" s="1"/>
  <c r="AM30" i="48"/>
  <c r="H104" i="80"/>
  <c r="H111" i="80" s="1"/>
  <c r="H118" i="80" s="1"/>
  <c r="H125" i="80" s="1"/>
  <c r="H132" i="80" s="1"/>
  <c r="H139" i="80" s="1"/>
  <c r="H146" i="80" s="1"/>
  <c r="AH79" i="63"/>
  <c r="V243" i="36"/>
  <c r="V251" i="36" s="1"/>
  <c r="V259" i="36" s="1"/>
  <c r="V267" i="36" s="1"/>
  <c r="V277" i="36" s="1"/>
  <c r="V287" i="36" s="1"/>
  <c r="V297" i="36" s="1"/>
  <c r="V307" i="36" s="1"/>
  <c r="V317" i="36" s="1"/>
  <c r="V327" i="36" s="1"/>
  <c r="V337" i="36" s="1"/>
  <c r="V347" i="36" s="1"/>
  <c r="AE43" i="10"/>
  <c r="AE45" i="10" s="1"/>
  <c r="AE48" i="10" s="1"/>
  <c r="AL43" i="10"/>
  <c r="AL45" i="10" s="1"/>
  <c r="AL48" i="10" s="1"/>
  <c r="O9" i="12"/>
  <c r="O40" i="10"/>
  <c r="O43" i="10" s="1"/>
  <c r="O45" i="10" s="1"/>
  <c r="O48" i="10" s="1"/>
  <c r="AG43" i="10"/>
  <c r="AG45" i="10" s="1"/>
  <c r="AG48" i="10" s="1"/>
  <c r="W45" i="10"/>
  <c r="W48" i="10" s="1"/>
  <c r="E45" i="10"/>
  <c r="E48" i="10" s="1"/>
  <c r="G45" i="10"/>
  <c r="G48" i="10" s="1"/>
  <c r="AK35" i="10"/>
  <c r="M45" i="10"/>
  <c r="M48" i="10" s="1"/>
  <c r="K40" i="10"/>
  <c r="K43" i="10" s="1"/>
  <c r="AM40" i="10"/>
  <c r="AM43" i="10" s="1"/>
  <c r="U40" i="10"/>
  <c r="U43" i="10" s="1"/>
  <c r="U35" i="10"/>
  <c r="U36" i="10" s="1"/>
  <c r="P45" i="10"/>
  <c r="P48" i="10" s="1"/>
  <c r="T45" i="10"/>
  <c r="T48" i="10" s="1"/>
  <c r="AI40" i="10"/>
  <c r="L45" i="10"/>
  <c r="L48" i="10" s="1"/>
  <c r="I45" i="10"/>
  <c r="I48" i="10" s="1"/>
  <c r="AD45" i="10"/>
  <c r="AD48" i="10" s="1"/>
  <c r="Q45" i="10"/>
  <c r="Q48" i="10" s="1"/>
  <c r="F45" i="10"/>
  <c r="F48" i="10" s="1"/>
  <c r="N45" i="10"/>
  <c r="N48" i="10" s="1"/>
  <c r="X10" i="12"/>
  <c r="X12" i="12" s="1"/>
  <c r="X14" i="12" s="1"/>
  <c r="H40" i="10"/>
  <c r="H43" i="10" s="1"/>
  <c r="N9" i="12"/>
  <c r="V45" i="10"/>
  <c r="V48" i="10" s="1"/>
  <c r="Y13" i="1"/>
  <c r="M45" i="1"/>
  <c r="M48" i="1" s="1"/>
  <c r="AN45" i="1"/>
  <c r="AN48" i="1" s="1"/>
  <c r="P45" i="1"/>
  <c r="P48" i="1" s="1"/>
  <c r="K45" i="1"/>
  <c r="K48" i="1" s="1"/>
  <c r="L45" i="1"/>
  <c r="L48" i="1" s="1"/>
  <c r="O45" i="1"/>
  <c r="O48" i="1" s="1"/>
  <c r="N45" i="1"/>
  <c r="N48" i="1" s="1"/>
  <c r="J45" i="1"/>
  <c r="J48" i="1" s="1"/>
  <c r="H45" i="1"/>
  <c r="H48" i="1" s="1"/>
  <c r="G45" i="1"/>
  <c r="G48" i="1" s="1"/>
  <c r="F45" i="1"/>
  <c r="F48" i="1" s="1"/>
  <c r="E45" i="1"/>
  <c r="E48" i="1" s="1"/>
  <c r="I45" i="1"/>
  <c r="I48" i="1" s="1"/>
  <c r="X45" i="1"/>
  <c r="X48" i="1" s="1"/>
  <c r="X29" i="9"/>
  <c r="AP6" i="2"/>
  <c r="AE10" i="2"/>
  <c r="AG6" i="63"/>
  <c r="AG11" i="63" s="1"/>
  <c r="AG14" i="63" s="1"/>
  <c r="AU10" i="2"/>
  <c r="AQ6" i="2"/>
  <c r="G92" i="63"/>
  <c r="G96" i="63" s="1"/>
  <c r="AF6" i="2"/>
  <c r="S11" i="30"/>
  <c r="AT17" i="9"/>
  <c r="H8" i="12"/>
  <c r="X92" i="63"/>
  <c r="AS10" i="12"/>
  <c r="P29" i="9"/>
  <c r="AM51" i="61"/>
  <c r="Z50" i="9"/>
  <c r="Z53" i="9" s="1"/>
  <c r="AA14" i="10"/>
  <c r="AA16" i="10" s="1"/>
  <c r="H1" i="1"/>
  <c r="G2" i="1"/>
  <c r="AR10" i="12"/>
  <c r="AL10" i="12"/>
  <c r="AL12" i="12" s="1"/>
  <c r="AL14" i="12" s="1"/>
  <c r="AL13" i="1"/>
  <c r="AL15" i="1" s="1"/>
  <c r="R8" i="12"/>
  <c r="AK10" i="12"/>
  <c r="AK12" i="12" s="1"/>
  <c r="AK14" i="12" s="1"/>
  <c r="AK13" i="1"/>
  <c r="AK15" i="1" s="1"/>
  <c r="W92" i="63"/>
  <c r="W96" i="63" s="1"/>
  <c r="AL24" i="55"/>
  <c r="T259" i="36"/>
  <c r="U259" i="36"/>
  <c r="U267" i="36" s="1"/>
  <c r="U277" i="36" s="1"/>
  <c r="U287" i="36" s="1"/>
  <c r="U297" i="36" s="1"/>
  <c r="U307" i="36" s="1"/>
  <c r="U317" i="36" s="1"/>
  <c r="U327" i="36" s="1"/>
  <c r="U337" i="36" s="1"/>
  <c r="U432" i="36" s="1"/>
  <c r="BA2" i="68"/>
  <c r="BB1" i="68"/>
  <c r="H2" i="59"/>
  <c r="I1" i="59"/>
  <c r="H2" i="48"/>
  <c r="I1" i="48"/>
  <c r="G2" i="72"/>
  <c r="H1" i="72"/>
  <c r="AF2" i="49"/>
  <c r="AG1" i="49"/>
  <c r="U113" i="46"/>
  <c r="U92" i="46"/>
  <c r="V82" i="46"/>
  <c r="I1" i="46"/>
  <c r="H2" i="46"/>
  <c r="I2" i="39"/>
  <c r="J1" i="39"/>
  <c r="Z24" i="32"/>
  <c r="Z30" i="32" s="1"/>
  <c r="Y13" i="31"/>
  <c r="H2" i="26"/>
  <c r="I1" i="26"/>
  <c r="U29" i="9"/>
  <c r="AM10" i="12"/>
  <c r="AM12" i="12" s="1"/>
  <c r="AM14" i="12" s="1"/>
  <c r="AM13" i="1"/>
  <c r="AM15" i="1" s="1"/>
  <c r="AN10" i="12"/>
  <c r="N91" i="3"/>
  <c r="AF35" i="10"/>
  <c r="AF36" i="10" s="1"/>
  <c r="AF40" i="10"/>
  <c r="H1" i="12"/>
  <c r="G2" i="12"/>
  <c r="U10" i="12"/>
  <c r="U12" i="12" s="1"/>
  <c r="U14" i="12" s="1"/>
  <c r="U13" i="1"/>
  <c r="U15" i="1" s="1"/>
  <c r="H2" i="61"/>
  <c r="I1" i="61"/>
  <c r="H1" i="24"/>
  <c r="G2" i="24"/>
  <c r="H2" i="66"/>
  <c r="I1" i="66"/>
  <c r="H2" i="52"/>
  <c r="I1" i="52"/>
  <c r="AP40" i="46"/>
  <c r="M174" i="36"/>
  <c r="M183" i="36" s="1"/>
  <c r="M192" i="36" s="1"/>
  <c r="M201" i="36" s="1"/>
  <c r="M210" i="36" s="1"/>
  <c r="M219" i="36" s="1"/>
  <c r="M227" i="36" s="1"/>
  <c r="M235" i="36" s="1"/>
  <c r="M243" i="36" s="1"/>
  <c r="M251" i="36" s="1"/>
  <c r="V29" i="9"/>
  <c r="M29" i="9"/>
  <c r="BC171" i="73"/>
  <c r="BC321" i="73" s="1"/>
  <c r="BD167" i="73"/>
  <c r="AA29" i="9"/>
  <c r="I2" i="67"/>
  <c r="J1" i="67"/>
  <c r="AE10" i="12"/>
  <c r="AE12" i="12" s="1"/>
  <c r="AE14" i="12" s="1"/>
  <c r="AE13" i="1"/>
  <c r="AE15" i="1" s="1"/>
  <c r="AC10" i="12"/>
  <c r="AC12" i="12" s="1"/>
  <c r="AC14" i="12" s="1"/>
  <c r="AC13" i="1"/>
  <c r="AC15" i="1" s="1"/>
  <c r="AT2" i="3"/>
  <c r="AU1" i="3"/>
  <c r="Z14" i="10"/>
  <c r="Z16" i="10" s="1"/>
  <c r="W91" i="3"/>
  <c r="Y40" i="10"/>
  <c r="Y43" i="10" s="1"/>
  <c r="Y35" i="10"/>
  <c r="Y36" i="10" s="1"/>
  <c r="AA10" i="12"/>
  <c r="AA12" i="12" s="1"/>
  <c r="AA14" i="12" s="1"/>
  <c r="AA13" i="1"/>
  <c r="AA15" i="1" s="1"/>
  <c r="AN14" i="9"/>
  <c r="AP10" i="12"/>
  <c r="AP13" i="1"/>
  <c r="AP15" i="1" s="1"/>
  <c r="AK14" i="9"/>
  <c r="S7" i="9"/>
  <c r="AA90" i="3"/>
  <c r="AA91" i="3" s="1"/>
  <c r="AT14" i="9"/>
  <c r="AF35" i="1"/>
  <c r="AF40" i="1"/>
  <c r="AF43" i="1" s="1"/>
  <c r="AF23" i="68"/>
  <c r="AF32" i="68" s="1"/>
  <c r="AG22" i="68"/>
  <c r="AG23" i="68" s="1"/>
  <c r="AG32" i="68" s="1"/>
  <c r="P104" i="80"/>
  <c r="P111" i="80" s="1"/>
  <c r="P118" i="80" s="1"/>
  <c r="P125" i="80" s="1"/>
  <c r="P132" i="80" s="1"/>
  <c r="P139" i="80" s="1"/>
  <c r="P146" i="80" s="1"/>
  <c r="G1" i="81"/>
  <c r="F2" i="81"/>
  <c r="H1" i="55"/>
  <c r="G2" i="55"/>
  <c r="AE2" i="48"/>
  <c r="AF1" i="48"/>
  <c r="AF2" i="44"/>
  <c r="AG1" i="44"/>
  <c r="Y29" i="9"/>
  <c r="N29" i="9"/>
  <c r="S29" i="9"/>
  <c r="Z29" i="9"/>
  <c r="W10" i="12"/>
  <c r="W12" i="12" s="1"/>
  <c r="W14" i="12" s="1"/>
  <c r="W13" i="1"/>
  <c r="W15" i="1" s="1"/>
  <c r="S10" i="12"/>
  <c r="S12" i="12" s="1"/>
  <c r="S14" i="12" s="1"/>
  <c r="S13" i="1"/>
  <c r="S15" i="1" s="1"/>
  <c r="O91" i="3"/>
  <c r="K2" i="3"/>
  <c r="L1" i="3"/>
  <c r="AP8" i="12"/>
  <c r="AG10" i="12"/>
  <c r="AG12" i="12" s="1"/>
  <c r="AG14" i="12" s="1"/>
  <c r="AG13" i="1"/>
  <c r="AG15" i="1" s="1"/>
  <c r="AT6" i="9"/>
  <c r="AT8" i="9"/>
  <c r="AF10" i="12"/>
  <c r="AF12" i="12" s="1"/>
  <c r="AF14" i="12" s="1"/>
  <c r="X2" i="32"/>
  <c r="Y1" i="32"/>
  <c r="T13" i="32"/>
  <c r="U6" i="32"/>
  <c r="U12" i="32" s="1"/>
  <c r="G2" i="31"/>
  <c r="H1" i="31"/>
  <c r="AD2" i="31"/>
  <c r="AE1" i="31"/>
  <c r="Q29" i="9"/>
  <c r="AL2" i="9"/>
  <c r="AM1" i="9"/>
  <c r="K29" i="9"/>
  <c r="R29" i="9"/>
  <c r="J29" i="9"/>
  <c r="I29" i="9"/>
  <c r="AK39" i="67"/>
  <c r="AD13" i="1"/>
  <c r="AD15" i="1" s="1"/>
  <c r="AD10" i="12"/>
  <c r="AD12" i="12" s="1"/>
  <c r="AD14" i="12" s="1"/>
  <c r="Q91" i="3"/>
  <c r="AQ14" i="9"/>
  <c r="K9" i="12"/>
  <c r="X91" i="3"/>
  <c r="R40" i="10"/>
  <c r="R43" i="10" s="1"/>
  <c r="R35" i="10"/>
  <c r="R36" i="10" s="1"/>
  <c r="AH10" i="12"/>
  <c r="AH12" i="12" s="1"/>
  <c r="AH14" i="12" s="1"/>
  <c r="AH13" i="1"/>
  <c r="AH15" i="1" s="1"/>
  <c r="I9" i="12"/>
  <c r="V13" i="1"/>
  <c r="V15" i="1" s="1"/>
  <c r="V10" i="12"/>
  <c r="V12" i="12" s="1"/>
  <c r="V14" i="12" s="1"/>
  <c r="N1" i="2"/>
  <c r="M2" i="2"/>
  <c r="AJ29" i="9"/>
  <c r="P91" i="3"/>
  <c r="AH8" i="12"/>
  <c r="AL14" i="9"/>
  <c r="AF14" i="9"/>
  <c r="V104" i="46"/>
  <c r="W94" i="46"/>
  <c r="W103" i="46" s="1"/>
  <c r="H2" i="45"/>
  <c r="I1" i="45"/>
  <c r="AF2" i="33"/>
  <c r="AG1" i="33"/>
  <c r="G2" i="30"/>
  <c r="H1" i="30"/>
  <c r="AM25" i="30"/>
  <c r="H1" i="13"/>
  <c r="G2" i="13"/>
  <c r="G2" i="9"/>
  <c r="H1" i="9"/>
  <c r="AB29" i="9"/>
  <c r="T40" i="1"/>
  <c r="T43" i="1" s="1"/>
  <c r="T35" i="1"/>
  <c r="T36" i="1" s="1"/>
  <c r="AE14" i="9"/>
  <c r="AP14" i="9"/>
  <c r="AP40" i="10"/>
  <c r="AP43" i="10" s="1"/>
  <c r="AP35" i="10"/>
  <c r="AP36" i="10" s="1"/>
  <c r="AB40" i="1"/>
  <c r="AB43" i="1" s="1"/>
  <c r="AB35" i="1"/>
  <c r="E38" i="79"/>
  <c r="R34" i="79"/>
  <c r="T34" i="79" s="1"/>
  <c r="Z10" i="12"/>
  <c r="Z12" i="12" s="1"/>
  <c r="Z14" i="12" s="1"/>
  <c r="Z13" i="1"/>
  <c r="Z15" i="1" s="1"/>
  <c r="AM14" i="9"/>
  <c r="E6" i="63"/>
  <c r="E11" i="63" s="1"/>
  <c r="E14" i="63" s="1"/>
  <c r="E92" i="63"/>
  <c r="E96" i="63" s="1"/>
  <c r="AC40" i="10"/>
  <c r="AC43" i="10" s="1"/>
  <c r="AC35" i="10"/>
  <c r="AC36" i="10" s="1"/>
  <c r="AI10" i="12"/>
  <c r="AI12" i="12" s="1"/>
  <c r="AI14" i="12" s="1"/>
  <c r="AI13" i="1"/>
  <c r="AI15" i="1" s="1"/>
  <c r="G2" i="32"/>
  <c r="H1" i="32"/>
  <c r="G2" i="65"/>
  <c r="H1" i="65"/>
  <c r="H2" i="53"/>
  <c r="I1" i="53"/>
  <c r="H2" i="34"/>
  <c r="I1" i="34"/>
  <c r="W29" i="9"/>
  <c r="T29" i="9"/>
  <c r="H1" i="63"/>
  <c r="G2" i="63"/>
  <c r="AN35" i="10"/>
  <c r="AN36" i="10" s="1"/>
  <c r="AN40" i="10"/>
  <c r="AN43" i="10" s="1"/>
  <c r="Q10" i="12"/>
  <c r="Q12" i="12" s="1"/>
  <c r="Q14" i="12" s="1"/>
  <c r="Q13" i="1"/>
  <c r="Q15" i="1" s="1"/>
  <c r="AJ40" i="1"/>
  <c r="AJ35" i="1"/>
  <c r="G2" i="49"/>
  <c r="H1" i="49"/>
  <c r="I1" i="44"/>
  <c r="H2" i="44"/>
  <c r="AF25" i="44"/>
  <c r="AF32" i="44" s="1"/>
  <c r="AF38" i="44" s="1"/>
  <c r="G2" i="29"/>
  <c r="H1" i="29"/>
  <c r="AM12" i="26"/>
  <c r="AM13" i="26" s="1"/>
  <c r="O29" i="9"/>
  <c r="L29" i="9"/>
  <c r="X35" i="10"/>
  <c r="X36" i="10" s="1"/>
  <c r="X40" i="10"/>
  <c r="X43" i="10" s="1"/>
  <c r="AT6" i="12"/>
  <c r="AT8" i="12" s="1"/>
  <c r="AD14" i="9"/>
  <c r="AH40" i="10"/>
  <c r="AH35" i="10"/>
  <c r="AH36" i="10" s="1"/>
  <c r="J9" i="12"/>
  <c r="AC14" i="9"/>
  <c r="V91" i="3"/>
  <c r="R10" i="12"/>
  <c r="R12" i="12" s="1"/>
  <c r="R14" i="12" s="1"/>
  <c r="R13" i="1"/>
  <c r="R15" i="1" s="1"/>
  <c r="AQ10" i="12"/>
  <c r="AQ13" i="1"/>
  <c r="AQ15" i="1" s="1"/>
  <c r="AG10" i="2" l="1"/>
  <c r="U11" i="30"/>
  <c r="AB50" i="9"/>
  <c r="AB53" i="9" s="1"/>
  <c r="AN12" i="12"/>
  <c r="AN14" i="12" s="1"/>
  <c r="M207" i="80"/>
  <c r="F430" i="36"/>
  <c r="G430" i="36"/>
  <c r="H430" i="36"/>
  <c r="E430" i="36"/>
  <c r="I430" i="36"/>
  <c r="H21" i="32"/>
  <c r="I15" i="32" s="1"/>
  <c r="AF21" i="32"/>
  <c r="AG15" i="32" s="1"/>
  <c r="AO10" i="2"/>
  <c r="AJ50" i="9"/>
  <c r="AJ53" i="9" s="1"/>
  <c r="AC11" i="30"/>
  <c r="AO50" i="9"/>
  <c r="AO53" i="9" s="1"/>
  <c r="AO29" i="9"/>
  <c r="AR29" i="9"/>
  <c r="AB11" i="53"/>
  <c r="AO16" i="2"/>
  <c r="O183" i="80"/>
  <c r="O191" i="80" s="1"/>
  <c r="O199" i="80" s="1"/>
  <c r="N183" i="80"/>
  <c r="N191" i="80" s="1"/>
  <c r="I357" i="79"/>
  <c r="H357" i="79"/>
  <c r="F357" i="79"/>
  <c r="N394" i="36"/>
  <c r="N406" i="36" s="1"/>
  <c r="N418" i="36" s="1"/>
  <c r="G175" i="80"/>
  <c r="G183" i="80" s="1"/>
  <c r="AR40" i="1"/>
  <c r="AR43" i="1" s="1"/>
  <c r="AR45" i="1" s="1"/>
  <c r="AR48" i="1" s="1"/>
  <c r="AS35" i="1"/>
  <c r="AS36" i="1" s="1"/>
  <c r="F167" i="80"/>
  <c r="E167" i="80"/>
  <c r="E175" i="80" s="1"/>
  <c r="E183" i="80" s="1"/>
  <c r="E191" i="80" s="1"/>
  <c r="E199" i="80" s="1"/>
  <c r="P153" i="80"/>
  <c r="P160" i="80" s="1"/>
  <c r="H153" i="80"/>
  <c r="H160" i="80" s="1"/>
  <c r="AN50" i="9"/>
  <c r="AN53" i="9" s="1"/>
  <c r="AF11" i="30"/>
  <c r="U347" i="36"/>
  <c r="U358" i="36" s="1"/>
  <c r="AR50" i="9"/>
  <c r="AR53" i="9" s="1"/>
  <c r="J308" i="79"/>
  <c r="K308" i="79"/>
  <c r="S370" i="36"/>
  <c r="R370" i="36"/>
  <c r="I1" i="71"/>
  <c r="I2" i="71" s="1"/>
  <c r="Y11" i="53"/>
  <c r="AL16" i="2"/>
  <c r="M298" i="79"/>
  <c r="S298" i="79"/>
  <c r="O288" i="79"/>
  <c r="I1" i="10"/>
  <c r="I2" i="10" s="1"/>
  <c r="AG11" i="30"/>
  <c r="AS10" i="2"/>
  <c r="G24" i="32"/>
  <c r="G30" i="32" s="1"/>
  <c r="AB55" i="12"/>
  <c r="AG1" i="30"/>
  <c r="AG2" i="30" s="1"/>
  <c r="Y12" i="81"/>
  <c r="AR10" i="2"/>
  <c r="AM50" i="9"/>
  <c r="AM53" i="9" s="1"/>
  <c r="AD50" i="9"/>
  <c r="AD53" i="9" s="1"/>
  <c r="AI50" i="9"/>
  <c r="AI53" i="9" s="1"/>
  <c r="AC50" i="9"/>
  <c r="AC53" i="9" s="1"/>
  <c r="AJ11" i="30"/>
  <c r="AA10" i="2"/>
  <c r="R11" i="30"/>
  <c r="U50" i="9"/>
  <c r="U53" i="9" s="1"/>
  <c r="AK11" i="30"/>
  <c r="AT10" i="2"/>
  <c r="W50" i="9"/>
  <c r="W53" i="9" s="1"/>
  <c r="T50" i="9"/>
  <c r="T53" i="9" s="1"/>
  <c r="AC10" i="2"/>
  <c r="N319" i="79"/>
  <c r="Q11" i="30"/>
  <c r="X50" i="9"/>
  <c r="X53" i="9" s="1"/>
  <c r="AB10" i="2"/>
  <c r="AW10" i="2"/>
  <c r="M11" i="30"/>
  <c r="P11" i="30"/>
  <c r="AN10" i="2"/>
  <c r="AB11" i="30"/>
  <c r="AE134" i="9"/>
  <c r="AC13" i="31"/>
  <c r="AD13" i="32"/>
  <c r="AF2" i="61"/>
  <c r="W11" i="30"/>
  <c r="V11" i="30"/>
  <c r="AH10" i="2"/>
  <c r="AI10" i="2"/>
  <c r="AD134" i="9"/>
  <c r="AB134" i="9"/>
  <c r="H23" i="83"/>
  <c r="I23" i="83" s="1"/>
  <c r="AG17" i="2"/>
  <c r="AC134" i="9"/>
  <c r="Y10" i="2"/>
  <c r="AB40" i="10"/>
  <c r="AB43" i="10" s="1"/>
  <c r="AB45" i="10" s="1"/>
  <c r="AB48" i="10" s="1"/>
  <c r="P308" i="79"/>
  <c r="AV10" i="2"/>
  <c r="Z137" i="9"/>
  <c r="AB137" i="9"/>
  <c r="AA137" i="9"/>
  <c r="AJ137" i="9"/>
  <c r="AT138" i="9"/>
  <c r="AA139" i="9"/>
  <c r="Y137" i="9"/>
  <c r="O11" i="30"/>
  <c r="V50" i="9"/>
  <c r="V53" i="9" s="1"/>
  <c r="T85" i="10"/>
  <c r="T35" i="10"/>
  <c r="T36" i="10" s="1"/>
  <c r="AQ50" i="9"/>
  <c r="AQ53" i="9" s="1"/>
  <c r="AG1" i="32"/>
  <c r="AH1" i="32" s="1"/>
  <c r="AH11" i="30"/>
  <c r="N11" i="30"/>
  <c r="S28" i="9"/>
  <c r="S137" i="9"/>
  <c r="S136" i="9" s="1"/>
  <c r="W28" i="9"/>
  <c r="W137" i="9"/>
  <c r="W136" i="9" s="1"/>
  <c r="J28" i="9"/>
  <c r="J137" i="9"/>
  <c r="J136" i="9" s="1"/>
  <c r="Q28" i="9"/>
  <c r="Q137" i="9"/>
  <c r="Q136" i="9" s="1"/>
  <c r="N28" i="9"/>
  <c r="N137" i="9"/>
  <c r="N136" i="9" s="1"/>
  <c r="T28" i="9"/>
  <c r="T137" i="9"/>
  <c r="T136" i="9" s="1"/>
  <c r="I28" i="9"/>
  <c r="I137" i="9"/>
  <c r="I136" i="9" s="1"/>
  <c r="U28" i="9"/>
  <c r="U137" i="9"/>
  <c r="U136" i="9" s="1"/>
  <c r="R28" i="9"/>
  <c r="R137" i="9"/>
  <c r="R136" i="9" s="1"/>
  <c r="K28" i="9"/>
  <c r="K137" i="9"/>
  <c r="K136" i="9" s="1"/>
  <c r="M28" i="9"/>
  <c r="M137" i="9"/>
  <c r="M136" i="9" s="1"/>
  <c r="L28" i="9"/>
  <c r="L137" i="9"/>
  <c r="L136" i="9" s="1"/>
  <c r="V28" i="9"/>
  <c r="V137" i="9"/>
  <c r="V136" i="9" s="1"/>
  <c r="P28" i="9"/>
  <c r="P137" i="9"/>
  <c r="P136" i="9" s="1"/>
  <c r="O28" i="9"/>
  <c r="O137" i="9"/>
  <c r="O136" i="9" s="1"/>
  <c r="X28" i="9"/>
  <c r="X137" i="9"/>
  <c r="X136" i="9" s="1"/>
  <c r="AR12" i="12"/>
  <c r="AR14" i="12" s="1"/>
  <c r="Z10" i="2"/>
  <c r="AS35" i="10"/>
  <c r="Y50" i="9"/>
  <c r="Y53" i="9" s="1"/>
  <c r="AR35" i="10"/>
  <c r="AR40" i="10"/>
  <c r="AR43" i="10" s="1"/>
  <c r="AR45" i="10" s="1"/>
  <c r="AR48" i="10" s="1"/>
  <c r="AR35" i="1"/>
  <c r="W11" i="53"/>
  <c r="AS40" i="1"/>
  <c r="AB36" i="1"/>
  <c r="X36" i="1"/>
  <c r="AX10" i="2"/>
  <c r="AS50" i="9"/>
  <c r="AS53" i="9" s="1"/>
  <c r="AF36" i="1"/>
  <c r="Z11" i="53"/>
  <c r="AK16" i="2"/>
  <c r="AD10" i="2"/>
  <c r="AB36" i="10"/>
  <c r="AJ16" i="2"/>
  <c r="AM16" i="2"/>
  <c r="X11" i="53"/>
  <c r="AQ12" i="12"/>
  <c r="AQ14" i="12" s="1"/>
  <c r="AL25" i="55"/>
  <c r="Y15" i="1"/>
  <c r="Y40" i="1" s="1"/>
  <c r="Y43" i="1" s="1"/>
  <c r="Y45" i="1" s="1"/>
  <c r="Y48" i="1" s="1"/>
  <c r="I2" i="33"/>
  <c r="J1" i="33"/>
  <c r="H2" i="83"/>
  <c r="J1" i="83"/>
  <c r="AH43" i="10"/>
  <c r="AH45" i="10" s="1"/>
  <c r="AH48" i="10" s="1"/>
  <c r="AI43" i="10"/>
  <c r="AI45" i="10" s="1"/>
  <c r="AI48" i="10" s="1"/>
  <c r="AF43" i="10"/>
  <c r="AF45" i="10" s="1"/>
  <c r="AF48" i="10" s="1"/>
  <c r="AK40" i="10"/>
  <c r="AI35" i="10"/>
  <c r="AI36" i="10" s="1"/>
  <c r="AC45" i="10"/>
  <c r="AC48" i="10" s="1"/>
  <c r="AM45" i="10"/>
  <c r="AM48" i="10" s="1"/>
  <c r="K45" i="10"/>
  <c r="K48" i="10" s="1"/>
  <c r="AN45" i="10"/>
  <c r="AN48" i="10" s="1"/>
  <c r="AP45" i="10"/>
  <c r="AP48" i="10" s="1"/>
  <c r="X45" i="10"/>
  <c r="X48" i="10" s="1"/>
  <c r="Y45" i="10"/>
  <c r="Y48" i="10" s="1"/>
  <c r="R45" i="10"/>
  <c r="R48" i="10" s="1"/>
  <c r="H45" i="10"/>
  <c r="H48" i="10" s="1"/>
  <c r="U45" i="10"/>
  <c r="U48" i="10" s="1"/>
  <c r="AJ43" i="1"/>
  <c r="AJ45" i="1" s="1"/>
  <c r="AJ48" i="1" s="1"/>
  <c r="AB45" i="1"/>
  <c r="AB48" i="1" s="1"/>
  <c r="T45" i="1"/>
  <c r="T48" i="1" s="1"/>
  <c r="AF45" i="1"/>
  <c r="AF48" i="1" s="1"/>
  <c r="AQ10" i="2"/>
  <c r="AE11" i="30"/>
  <c r="AL50" i="9"/>
  <c r="AL53" i="9" s="1"/>
  <c r="AH11" i="53"/>
  <c r="AU16" i="2"/>
  <c r="AF10" i="2"/>
  <c r="AP10" i="2"/>
  <c r="AL29" i="9"/>
  <c r="AM29" i="9"/>
  <c r="AA50" i="9"/>
  <c r="AA53" i="9" s="1"/>
  <c r="AP12" i="12"/>
  <c r="AP14" i="12" s="1"/>
  <c r="R11" i="53"/>
  <c r="AS12" i="12"/>
  <c r="AS14" i="12" s="1"/>
  <c r="AK50" i="9"/>
  <c r="AK53" i="9" s="1"/>
  <c r="AD11" i="30"/>
  <c r="AG16" i="2"/>
  <c r="T11" i="53"/>
  <c r="AC29" i="9"/>
  <c r="AE16" i="2"/>
  <c r="T11" i="30"/>
  <c r="AK29" i="9"/>
  <c r="AS40" i="10"/>
  <c r="AA35" i="10"/>
  <c r="AA40" i="10"/>
  <c r="AA43" i="10" s="1"/>
  <c r="AL35" i="1"/>
  <c r="AL40" i="1"/>
  <c r="AL43" i="1" s="1"/>
  <c r="H2" i="1"/>
  <c r="I1" i="1"/>
  <c r="AK35" i="1"/>
  <c r="AK40" i="1"/>
  <c r="AG29" i="9"/>
  <c r="I2" i="44"/>
  <c r="J1" i="44"/>
  <c r="Q40" i="1"/>
  <c r="Q43" i="1" s="1"/>
  <c r="Q35" i="1"/>
  <c r="Q36" i="1" s="1"/>
  <c r="I1" i="63"/>
  <c r="H2" i="63"/>
  <c r="AI40" i="1"/>
  <c r="AI35" i="1"/>
  <c r="R38" i="79"/>
  <c r="T38" i="79" s="1"/>
  <c r="E43" i="79"/>
  <c r="AG40" i="1"/>
  <c r="AG43" i="1" s="1"/>
  <c r="AG35" i="1"/>
  <c r="H1" i="81"/>
  <c r="G2" i="81"/>
  <c r="AA28" i="9"/>
  <c r="U40" i="1"/>
  <c r="U35" i="1"/>
  <c r="U36" i="1" s="1"/>
  <c r="AH1" i="49"/>
  <c r="AG2" i="49"/>
  <c r="AF29" i="9"/>
  <c r="Z40" i="1"/>
  <c r="Z43" i="1" s="1"/>
  <c r="Z35" i="1"/>
  <c r="U13" i="32"/>
  <c r="U24" i="32"/>
  <c r="U30" i="32" s="1"/>
  <c r="BD171" i="73"/>
  <c r="BD321" i="73" s="1"/>
  <c r="BE167" i="73"/>
  <c r="I2" i="66"/>
  <c r="J1" i="66"/>
  <c r="I1" i="24"/>
  <c r="H2" i="24"/>
  <c r="AA6" i="32"/>
  <c r="AA12" i="32" s="1"/>
  <c r="Z13" i="32"/>
  <c r="I2" i="34"/>
  <c r="J1" i="34"/>
  <c r="AS29" i="9"/>
  <c r="H2" i="9"/>
  <c r="I1" i="9"/>
  <c r="AE24" i="32"/>
  <c r="AE30" i="32" s="1"/>
  <c r="AD40" i="1"/>
  <c r="AD43" i="1" s="1"/>
  <c r="AD35" i="1"/>
  <c r="AP40" i="1"/>
  <c r="AP43" i="1" s="1"/>
  <c r="AP35" i="1"/>
  <c r="J1" i="26"/>
  <c r="I2" i="26"/>
  <c r="J1" i="48"/>
  <c r="I2" i="48"/>
  <c r="AQ40" i="1"/>
  <c r="AQ35" i="1"/>
  <c r="X94" i="46"/>
  <c r="X103" i="46" s="1"/>
  <c r="W104" i="46"/>
  <c r="AH40" i="1"/>
  <c r="AH43" i="1" s="1"/>
  <c r="AH35" i="1"/>
  <c r="AE2" i="31"/>
  <c r="AF1" i="31"/>
  <c r="Y2" i="32"/>
  <c r="Z1" i="32"/>
  <c r="AE40" i="1"/>
  <c r="AE43" i="1" s="1"/>
  <c r="AE35" i="1"/>
  <c r="I2" i="52"/>
  <c r="J1" i="52"/>
  <c r="I2" i="61"/>
  <c r="J1" i="61"/>
  <c r="J2" i="39"/>
  <c r="K1" i="39"/>
  <c r="AT10" i="12"/>
  <c r="I1" i="29"/>
  <c r="H2" i="29"/>
  <c r="H2" i="32"/>
  <c r="I1" i="32"/>
  <c r="AH29" i="9"/>
  <c r="AG2" i="33"/>
  <c r="AH1" i="33"/>
  <c r="J1" i="45"/>
  <c r="I2" i="45"/>
  <c r="L2" i="3"/>
  <c r="M1" i="3"/>
  <c r="W40" i="1"/>
  <c r="W43" i="1" s="1"/>
  <c r="W35" i="1"/>
  <c r="W36" i="1" s="1"/>
  <c r="AQ29" i="9"/>
  <c r="AC40" i="1"/>
  <c r="AC43" i="1" s="1"/>
  <c r="AC35" i="1"/>
  <c r="AM40" i="1"/>
  <c r="AM43" i="1" s="1"/>
  <c r="AM35" i="1"/>
  <c r="AD29" i="9"/>
  <c r="V91" i="46"/>
  <c r="V106" i="46"/>
  <c r="AE29" i="9"/>
  <c r="V40" i="1"/>
  <c r="V43" i="1" s="1"/>
  <c r="V35" i="1"/>
  <c r="V36" i="1" s="1"/>
  <c r="AH1" i="44"/>
  <c r="AG2" i="44"/>
  <c r="Z40" i="10"/>
  <c r="Z43" i="10" s="1"/>
  <c r="Z35" i="10"/>
  <c r="J2" i="67"/>
  <c r="K1" i="67"/>
  <c r="G13" i="32"/>
  <c r="H6" i="32"/>
  <c r="H12" i="32" s="1"/>
  <c r="H2" i="12"/>
  <c r="I1" i="12"/>
  <c r="I2" i="59"/>
  <c r="J1" i="59"/>
  <c r="BB2" i="68"/>
  <c r="BC1" i="68"/>
  <c r="R40" i="1"/>
  <c r="R43" i="1" s="1"/>
  <c r="R35" i="1"/>
  <c r="R36" i="1" s="1"/>
  <c r="AG25" i="44"/>
  <c r="AG32" i="44" s="1"/>
  <c r="AG38" i="44" s="1"/>
  <c r="H2" i="13"/>
  <c r="I1" i="13"/>
  <c r="AI29" i="9"/>
  <c r="O1" i="2"/>
  <c r="N2" i="2"/>
  <c r="AT29" i="9"/>
  <c r="AG1" i="48"/>
  <c r="AF2" i="48"/>
  <c r="AN29" i="9"/>
  <c r="M259" i="36"/>
  <c r="M267" i="36" s="1"/>
  <c r="M277" i="36" s="1"/>
  <c r="M287" i="36" s="1"/>
  <c r="M297" i="36" s="1"/>
  <c r="M307" i="36" s="1"/>
  <c r="M317" i="36" s="1"/>
  <c r="M327" i="36" s="1"/>
  <c r="M337" i="36" s="1"/>
  <c r="I1" i="49"/>
  <c r="H2" i="49"/>
  <c r="J1" i="53"/>
  <c r="I2" i="53"/>
  <c r="H2" i="65"/>
  <c r="I1" i="65"/>
  <c r="AP29" i="9"/>
  <c r="H2" i="30"/>
  <c r="I1" i="30"/>
  <c r="AM2" i="9"/>
  <c r="AN1" i="9"/>
  <c r="H2" i="31"/>
  <c r="I1" i="31"/>
  <c r="S40" i="1"/>
  <c r="S43" i="1" s="1"/>
  <c r="S35" i="1"/>
  <c r="S36" i="1" s="1"/>
  <c r="H2" i="55"/>
  <c r="I1" i="55"/>
  <c r="AA40" i="1"/>
  <c r="AA43" i="1" s="1"/>
  <c r="AA35" i="1"/>
  <c r="AU2" i="3"/>
  <c r="AV1" i="3"/>
  <c r="AG2" i="61"/>
  <c r="AH1" i="61"/>
  <c r="I2" i="46"/>
  <c r="J1" i="46"/>
  <c r="H2" i="72"/>
  <c r="I1" i="72"/>
  <c r="T267" i="36"/>
  <c r="T277" i="36" s="1"/>
  <c r="T287" i="36" s="1"/>
  <c r="T297" i="36" s="1"/>
  <c r="T307" i="36" s="1"/>
  <c r="T317" i="36" s="1"/>
  <c r="T327" i="36" s="1"/>
  <c r="T337" i="36" s="1"/>
  <c r="T432" i="36" s="1"/>
  <c r="M215" i="80" l="1"/>
  <c r="M223" i="80" s="1"/>
  <c r="P223" i="80" s="1"/>
  <c r="O207" i="80"/>
  <c r="G191" i="80"/>
  <c r="E207" i="80"/>
  <c r="E215" i="80" s="1"/>
  <c r="E223" i="80" s="1"/>
  <c r="N430" i="36"/>
  <c r="N442" i="36"/>
  <c r="N454" i="36" s="1"/>
  <c r="AG21" i="32"/>
  <c r="AH15" i="32" s="1"/>
  <c r="I21" i="32"/>
  <c r="J15" i="32" s="1"/>
  <c r="AO19" i="2"/>
  <c r="AO137" i="9"/>
  <c r="AO136" i="9" s="1"/>
  <c r="AO28" i="9"/>
  <c r="F365" i="79"/>
  <c r="F373" i="79" s="1"/>
  <c r="H365" i="79"/>
  <c r="H373" i="79" s="1"/>
  <c r="I365" i="79"/>
  <c r="I373" i="79" s="1"/>
  <c r="K319" i="79"/>
  <c r="K330" i="79" s="1"/>
  <c r="K341" i="79" s="1"/>
  <c r="J319" i="79"/>
  <c r="N199" i="80"/>
  <c r="AH1" i="30"/>
  <c r="AH2" i="30" s="1"/>
  <c r="F175" i="80"/>
  <c r="F183" i="80" s="1"/>
  <c r="AR36" i="1"/>
  <c r="P167" i="80"/>
  <c r="P175" i="80" s="1"/>
  <c r="P183" i="80" s="1"/>
  <c r="P191" i="80" s="1"/>
  <c r="P199" i="80" s="1"/>
  <c r="H167" i="80"/>
  <c r="H175" i="80" s="1"/>
  <c r="H183" i="80" s="1"/>
  <c r="H191" i="80" s="1"/>
  <c r="AJ11" i="53"/>
  <c r="AG11" i="53"/>
  <c r="AR16" i="2"/>
  <c r="AA16" i="2"/>
  <c r="AC16" i="2"/>
  <c r="AL19" i="2"/>
  <c r="T347" i="36"/>
  <c r="T358" i="36" s="1"/>
  <c r="T370" i="36" s="1"/>
  <c r="M347" i="36"/>
  <c r="M358" i="36" s="1"/>
  <c r="M370" i="36" s="1"/>
  <c r="R382" i="36"/>
  <c r="S382" i="36"/>
  <c r="M308" i="79"/>
  <c r="S308" i="79"/>
  <c r="J1" i="71"/>
  <c r="J2" i="71" s="1"/>
  <c r="U370" i="36"/>
  <c r="AG2" i="32"/>
  <c r="J1" i="10"/>
  <c r="J2" i="10" s="1"/>
  <c r="AS36" i="10"/>
  <c r="AF11" i="53"/>
  <c r="AS43" i="1"/>
  <c r="AS45" i="1" s="1"/>
  <c r="AS48" i="1" s="1"/>
  <c r="AS16" i="2"/>
  <c r="O298" i="79"/>
  <c r="BB139" i="9"/>
  <c r="N330" i="79"/>
  <c r="N341" i="79" s="1"/>
  <c r="P319" i="79"/>
  <c r="P330" i="79" s="1"/>
  <c r="P341" i="79" s="1"/>
  <c r="AT16" i="2"/>
  <c r="AE11" i="53"/>
  <c r="Z12" i="81"/>
  <c r="AH16" i="2"/>
  <c r="AA11" i="53"/>
  <c r="AV16" i="2"/>
  <c r="Y16" i="2"/>
  <c r="V11" i="53"/>
  <c r="AW16" i="2"/>
  <c r="AB16" i="2"/>
  <c r="AN16" i="2"/>
  <c r="U11" i="53"/>
  <c r="AI16" i="2"/>
  <c r="AA136" i="9"/>
  <c r="AH137" i="9"/>
  <c r="AX139" i="9"/>
  <c r="AN137" i="9"/>
  <c r="AS137" i="9"/>
  <c r="AG137" i="9"/>
  <c r="AF137" i="9"/>
  <c r="AQ137" i="9"/>
  <c r="AI137" i="9"/>
  <c r="AD137" i="9"/>
  <c r="AE137" i="9"/>
  <c r="AI139" i="9"/>
  <c r="AC137" i="9"/>
  <c r="AL137" i="9"/>
  <c r="AK137" i="9"/>
  <c r="AP137" i="9"/>
  <c r="AT137" i="9"/>
  <c r="AM137" i="9"/>
  <c r="AR137" i="9"/>
  <c r="AW139" i="9"/>
  <c r="AB28" i="9"/>
  <c r="AB139" i="9"/>
  <c r="AB136" i="9" s="1"/>
  <c r="AJ28" i="9"/>
  <c r="AJ139" i="9"/>
  <c r="AJ136" i="9" s="1"/>
  <c r="Y28" i="9"/>
  <c r="Y139" i="9"/>
  <c r="Y136" i="9" s="1"/>
  <c r="Z28" i="9"/>
  <c r="Z139" i="9"/>
  <c r="Z136" i="9" s="1"/>
  <c r="Z16" i="2"/>
  <c r="AJ19" i="2"/>
  <c r="AR36" i="10"/>
  <c r="AK19" i="2"/>
  <c r="AM36" i="1"/>
  <c r="AP36" i="1"/>
  <c r="AA36" i="1"/>
  <c r="AC36" i="1"/>
  <c r="AE36" i="1"/>
  <c r="AH36" i="1"/>
  <c r="AG36" i="1"/>
  <c r="AD36" i="1"/>
  <c r="AK11" i="53"/>
  <c r="AX16" i="2"/>
  <c r="Q11" i="53"/>
  <c r="AD16" i="2"/>
  <c r="AM19" i="2"/>
  <c r="AA36" i="10"/>
  <c r="AF16" i="2"/>
  <c r="AE19" i="2"/>
  <c r="AG19" i="2"/>
  <c r="AU19" i="2"/>
  <c r="K1" i="33"/>
  <c r="J2" i="33"/>
  <c r="J2" i="83"/>
  <c r="K1" i="83"/>
  <c r="Y35" i="1"/>
  <c r="AM11" i="30"/>
  <c r="S11" i="53"/>
  <c r="AS43" i="10"/>
  <c r="AS45" i="10" s="1"/>
  <c r="AK43" i="10"/>
  <c r="AK45" i="10" s="1"/>
  <c r="AK48" i="10" s="1"/>
  <c r="AA45" i="10"/>
  <c r="AA48" i="10" s="1"/>
  <c r="Z45" i="10"/>
  <c r="Z48" i="10" s="1"/>
  <c r="AI43" i="1"/>
  <c r="AI45" i="1" s="1"/>
  <c r="AI48" i="1" s="1"/>
  <c r="AK43" i="1"/>
  <c r="AK45" i="1" s="1"/>
  <c r="AK48" i="1" s="1"/>
  <c r="AQ43" i="1"/>
  <c r="AQ45" i="1" s="1"/>
  <c r="AQ48" i="1" s="1"/>
  <c r="U43" i="1"/>
  <c r="U45" i="1" s="1"/>
  <c r="U48" i="1" s="1"/>
  <c r="AL45" i="1"/>
  <c r="AL48" i="1" s="1"/>
  <c r="R45" i="1"/>
  <c r="R48" i="1" s="1"/>
  <c r="Q45" i="1"/>
  <c r="Q48" i="1" s="1"/>
  <c r="AA45" i="1"/>
  <c r="AA48" i="1" s="1"/>
  <c r="AC45" i="1"/>
  <c r="AC48" i="1" s="1"/>
  <c r="V45" i="1"/>
  <c r="V48" i="1" s="1"/>
  <c r="AP45" i="1"/>
  <c r="AP48" i="1" s="1"/>
  <c r="AG45" i="1"/>
  <c r="AG48" i="1" s="1"/>
  <c r="AM45" i="1"/>
  <c r="AM48" i="1" s="1"/>
  <c r="AH45" i="1"/>
  <c r="AH48" i="1" s="1"/>
  <c r="AD45" i="1"/>
  <c r="AD48" i="1" s="1"/>
  <c r="W45" i="1"/>
  <c r="W48" i="1" s="1"/>
  <c r="S45" i="1"/>
  <c r="S48" i="1" s="1"/>
  <c r="AE45" i="1"/>
  <c r="AE48" i="1" s="1"/>
  <c r="Z45" i="1"/>
  <c r="Z48" i="1" s="1"/>
  <c r="AD11" i="53"/>
  <c r="AQ16" i="2"/>
  <c r="AI28" i="9"/>
  <c r="AT12" i="12"/>
  <c r="AT14" i="12" s="1"/>
  <c r="AP16" i="2"/>
  <c r="AC11" i="53"/>
  <c r="AT50" i="9"/>
  <c r="AT53" i="9" s="1"/>
  <c r="I2" i="1"/>
  <c r="J1" i="1"/>
  <c r="J1" i="72"/>
  <c r="I2" i="72"/>
  <c r="I2" i="65"/>
  <c r="J1" i="65"/>
  <c r="K1" i="53"/>
  <c r="J2" i="53"/>
  <c r="I2" i="12"/>
  <c r="J1" i="12"/>
  <c r="H24" i="32"/>
  <c r="H30" i="32" s="1"/>
  <c r="I2" i="29"/>
  <c r="J1" i="29"/>
  <c r="I2" i="31"/>
  <c r="J1" i="31"/>
  <c r="J2" i="52"/>
  <c r="K1" i="52"/>
  <c r="AE13" i="32"/>
  <c r="AD13" i="31"/>
  <c r="AF6" i="32"/>
  <c r="AF12" i="32" s="1"/>
  <c r="AH2" i="61"/>
  <c r="AI1" i="61"/>
  <c r="AH25" i="44"/>
  <c r="AH32" i="44" s="1"/>
  <c r="AH38" i="44" s="1"/>
  <c r="J2" i="59"/>
  <c r="K1" i="59"/>
  <c r="K2" i="67"/>
  <c r="L1" i="67"/>
  <c r="BE171" i="73"/>
  <c r="BE321" i="73" s="1"/>
  <c r="BF167" i="73"/>
  <c r="AN2" i="9"/>
  <c r="AO1" i="9"/>
  <c r="I2" i="30"/>
  <c r="J1" i="30"/>
  <c r="Y94" i="46"/>
  <c r="Y103" i="46" s="1"/>
  <c r="X104" i="46"/>
  <c r="J2" i="26"/>
  <c r="K1" i="26"/>
  <c r="I2" i="9"/>
  <c r="J1" i="9"/>
  <c r="AA24" i="32"/>
  <c r="AA30" i="32" s="1"/>
  <c r="AI1" i="49"/>
  <c r="AH2" i="49"/>
  <c r="AH2" i="44"/>
  <c r="AI1" i="44"/>
  <c r="M2" i="3"/>
  <c r="N1" i="3"/>
  <c r="AH2" i="33"/>
  <c r="AI1" i="33"/>
  <c r="K2" i="39"/>
  <c r="L1" i="39"/>
  <c r="Z2" i="32"/>
  <c r="AA1" i="32"/>
  <c r="I2" i="24"/>
  <c r="J1" i="24"/>
  <c r="U4" i="12"/>
  <c r="K1" i="44"/>
  <c r="J2" i="44"/>
  <c r="K1" i="48"/>
  <c r="J2" i="48"/>
  <c r="J2" i="66"/>
  <c r="K1" i="66"/>
  <c r="R43" i="79"/>
  <c r="T43" i="79" s="1"/>
  <c r="E48" i="79"/>
  <c r="AV2" i="3"/>
  <c r="AW1" i="3"/>
  <c r="AH2" i="32"/>
  <c r="AI1" i="32"/>
  <c r="J1" i="49"/>
  <c r="I2" i="49"/>
  <c r="AG2" i="48"/>
  <c r="AH1" i="48"/>
  <c r="I2" i="13"/>
  <c r="J1" i="13"/>
  <c r="I2" i="32"/>
  <c r="J1" i="32"/>
  <c r="K1" i="34"/>
  <c r="J2" i="34"/>
  <c r="J2" i="46"/>
  <c r="K1" i="46"/>
  <c r="I2" i="55"/>
  <c r="J1" i="55"/>
  <c r="O2" i="2"/>
  <c r="P1" i="2"/>
  <c r="BC2" i="68"/>
  <c r="BD1" i="68"/>
  <c r="V92" i="46"/>
  <c r="V113" i="46"/>
  <c r="W82" i="46"/>
  <c r="J2" i="45"/>
  <c r="K1" i="45"/>
  <c r="K1" i="61"/>
  <c r="J2" i="61"/>
  <c r="AF2" i="31"/>
  <c r="AG1" i="31"/>
  <c r="I1" i="81"/>
  <c r="H2" i="81"/>
  <c r="J1" i="63"/>
  <c r="I2" i="63"/>
  <c r="P207" i="80" l="1"/>
  <c r="O213" i="80"/>
  <c r="P213" i="80" s="1"/>
  <c r="AO24" i="2"/>
  <c r="F191" i="80"/>
  <c r="F382" i="79"/>
  <c r="F391" i="79" s="1"/>
  <c r="F400" i="79" s="1"/>
  <c r="H382" i="79"/>
  <c r="H391" i="79" s="1"/>
  <c r="H400" i="79" s="1"/>
  <c r="I382" i="79"/>
  <c r="I391" i="79" s="1"/>
  <c r="I400" i="79" s="1"/>
  <c r="J21" i="32"/>
  <c r="K15" i="32" s="1"/>
  <c r="AH21" i="32"/>
  <c r="AI15" i="32" s="1"/>
  <c r="AI1" i="30"/>
  <c r="AP1" i="9"/>
  <c r="AO2" i="9"/>
  <c r="AO3" i="9"/>
  <c r="S319" i="79"/>
  <c r="AC19" i="2"/>
  <c r="J330" i="79"/>
  <c r="J341" i="79" s="1"/>
  <c r="J349" i="79" s="1"/>
  <c r="J357" i="79" s="1"/>
  <c r="F199" i="80"/>
  <c r="S394" i="36"/>
  <c r="S406" i="36" s="1"/>
  <c r="S418" i="36" s="1"/>
  <c r="R394" i="36"/>
  <c r="R406" i="36" s="1"/>
  <c r="R418" i="36" s="1"/>
  <c r="N349" i="79"/>
  <c r="AL24" i="2"/>
  <c r="AA19" i="2"/>
  <c r="AR19" i="2"/>
  <c r="K1" i="71"/>
  <c r="L1" i="71" s="1"/>
  <c r="M319" i="79"/>
  <c r="P349" i="79"/>
  <c r="K349" i="79"/>
  <c r="Y19" i="2"/>
  <c r="AT19" i="2"/>
  <c r="AS19" i="2"/>
  <c r="AV19" i="2"/>
  <c r="AH19" i="2"/>
  <c r="AB19" i="2"/>
  <c r="AW19" i="2"/>
  <c r="M382" i="36"/>
  <c r="M394" i="36" s="1"/>
  <c r="M406" i="36" s="1"/>
  <c r="M418" i="36" s="1"/>
  <c r="T382" i="36"/>
  <c r="T394" i="36" s="1"/>
  <c r="T406" i="36" s="1"/>
  <c r="T418" i="36" s="1"/>
  <c r="U382" i="36"/>
  <c r="U394" i="36" s="1"/>
  <c r="U406" i="36" s="1"/>
  <c r="U418" i="36" s="1"/>
  <c r="O308" i="79"/>
  <c r="K1" i="10"/>
  <c r="L1" i="10" s="1"/>
  <c r="V370" i="36"/>
  <c r="BC139" i="9"/>
  <c r="AA12" i="81"/>
  <c r="AB12" i="81" s="1"/>
  <c r="V358" i="36"/>
  <c r="AG24" i="2"/>
  <c r="AI19" i="2"/>
  <c r="BA139" i="9"/>
  <c r="AN19" i="2"/>
  <c r="AU24" i="2"/>
  <c r="AY139" i="9"/>
  <c r="AK24" i="2"/>
  <c r="AE24" i="2"/>
  <c r="AM24" i="2"/>
  <c r="AJ24" i="2"/>
  <c r="Z19" i="2"/>
  <c r="AZ139" i="9"/>
  <c r="AI136" i="9"/>
  <c r="AP139" i="9"/>
  <c r="AP136" i="9" s="1"/>
  <c r="AV139" i="9"/>
  <c r="AK28" i="9"/>
  <c r="AK139" i="9"/>
  <c r="AK136" i="9" s="1"/>
  <c r="AC28" i="9"/>
  <c r="AC139" i="9"/>
  <c r="AC136" i="9" s="1"/>
  <c r="AX19" i="2"/>
  <c r="Y36" i="1"/>
  <c r="AD19" i="2"/>
  <c r="AQ19" i="2"/>
  <c r="AP19" i="2"/>
  <c r="AF19" i="2"/>
  <c r="K2" i="83"/>
  <c r="L1" i="83"/>
  <c r="L1" i="33"/>
  <c r="K2" i="33"/>
  <c r="AP28" i="9"/>
  <c r="K1" i="1"/>
  <c r="J2" i="1"/>
  <c r="AI2" i="30"/>
  <c r="AJ1" i="30"/>
  <c r="K2" i="45"/>
  <c r="L1" i="45"/>
  <c r="J2" i="24"/>
  <c r="K1" i="24"/>
  <c r="Y104" i="46"/>
  <c r="Z94" i="46"/>
  <c r="Z103" i="46" s="1"/>
  <c r="AI25" i="44"/>
  <c r="AI32" i="44" s="1"/>
  <c r="AI38" i="44" s="1"/>
  <c r="K1" i="63"/>
  <c r="J2" i="63"/>
  <c r="BE1" i="68"/>
  <c r="BD2" i="68"/>
  <c r="K2" i="34"/>
  <c r="L1" i="34"/>
  <c r="AJ1" i="44"/>
  <c r="AI2" i="44"/>
  <c r="AI2" i="49"/>
  <c r="AJ1" i="49"/>
  <c r="L2" i="67"/>
  <c r="M1" i="67"/>
  <c r="H13" i="32"/>
  <c r="I6" i="32"/>
  <c r="I12" i="32" s="1"/>
  <c r="J2" i="65"/>
  <c r="K1" i="65"/>
  <c r="J2" i="55"/>
  <c r="K1" i="55"/>
  <c r="J2" i="13"/>
  <c r="K1" i="13"/>
  <c r="L2" i="39"/>
  <c r="M1" i="39"/>
  <c r="AA13" i="32"/>
  <c r="Z13" i="31"/>
  <c r="W91" i="46"/>
  <c r="W106" i="46"/>
  <c r="J2" i="49"/>
  <c r="K1" i="49"/>
  <c r="E57" i="79"/>
  <c r="R48" i="79"/>
  <c r="T48" i="79" s="1"/>
  <c r="AJ1" i="61"/>
  <c r="AI2" i="61"/>
  <c r="K1" i="12"/>
  <c r="J2" i="12"/>
  <c r="P2" i="2"/>
  <c r="Q1" i="2"/>
  <c r="AI2" i="32"/>
  <c r="AJ1" i="32"/>
  <c r="AA2" i="32"/>
  <c r="AB1" i="32"/>
  <c r="J2" i="9"/>
  <c r="K1" i="9"/>
  <c r="J2" i="31"/>
  <c r="K1" i="31"/>
  <c r="K2" i="66"/>
  <c r="L1" i="66"/>
  <c r="K2" i="26"/>
  <c r="L1" i="26"/>
  <c r="BF171" i="73"/>
  <c r="BF321" i="73" s="1"/>
  <c r="BG167" i="73"/>
  <c r="K2" i="59"/>
  <c r="L1" i="59"/>
  <c r="AF24" i="32"/>
  <c r="AF30" i="32" s="1"/>
  <c r="K2" i="52"/>
  <c r="L1" i="52"/>
  <c r="J2" i="29"/>
  <c r="K1" i="29"/>
  <c r="K2" i="61"/>
  <c r="L1" i="61"/>
  <c r="AI1" i="48"/>
  <c r="AH2" i="48"/>
  <c r="K2" i="44"/>
  <c r="L1" i="44"/>
  <c r="N2" i="3"/>
  <c r="O1" i="3"/>
  <c r="J2" i="72"/>
  <c r="K1" i="72"/>
  <c r="J1" i="81"/>
  <c r="I2" i="81"/>
  <c r="K2" i="46"/>
  <c r="L1" i="46"/>
  <c r="AG2" i="31"/>
  <c r="AH1" i="31"/>
  <c r="J2" i="32"/>
  <c r="K1" i="32"/>
  <c r="AW2" i="3"/>
  <c r="AX1" i="3"/>
  <c r="K2" i="48"/>
  <c r="L1" i="48"/>
  <c r="AI2" i="33"/>
  <c r="AJ1" i="33"/>
  <c r="J2" i="30"/>
  <c r="K1" i="30"/>
  <c r="L1" i="53"/>
  <c r="K2" i="53"/>
  <c r="F207" i="80" l="1"/>
  <c r="F215" i="80" s="1"/>
  <c r="F223" i="80" s="1"/>
  <c r="S430" i="36"/>
  <c r="S442" i="36"/>
  <c r="S454" i="36" s="1"/>
  <c r="R430" i="36"/>
  <c r="R442" i="36"/>
  <c r="R454" i="36" s="1"/>
  <c r="M430" i="36"/>
  <c r="M442" i="36"/>
  <c r="M454" i="36" s="1"/>
  <c r="T430" i="36"/>
  <c r="T442" i="36" s="1"/>
  <c r="T454" i="36" s="1"/>
  <c r="U430" i="36"/>
  <c r="U442" i="36" s="1"/>
  <c r="U454" i="36" s="1"/>
  <c r="AJ15" i="32"/>
  <c r="AJ21" i="32" s="1"/>
  <c r="AK15" i="32" s="1"/>
  <c r="AI21" i="32"/>
  <c r="K21" i="32"/>
  <c r="L15" i="32" s="1"/>
  <c r="P357" i="79"/>
  <c r="P365" i="79" s="1"/>
  <c r="P373" i="79" s="1"/>
  <c r="AJ27" i="9"/>
  <c r="AO38" i="9"/>
  <c r="AO132" i="9"/>
  <c r="AO11" i="9"/>
  <c r="AO23" i="9"/>
  <c r="AO48" i="9"/>
  <c r="AO5" i="9"/>
  <c r="AO63" i="9"/>
  <c r="AO56" i="9"/>
  <c r="AO34" i="9"/>
  <c r="AM27" i="9"/>
  <c r="AC24" i="2"/>
  <c r="J365" i="79"/>
  <c r="J373" i="79" s="1"/>
  <c r="AL27" i="9"/>
  <c r="S330" i="79"/>
  <c r="S341" i="79" s="1"/>
  <c r="BD28" i="9"/>
  <c r="BD26" i="9" s="1"/>
  <c r="BD139" i="9"/>
  <c r="BD136" i="9" s="1"/>
  <c r="BD140" i="9" s="1"/>
  <c r="N357" i="79"/>
  <c r="M330" i="79"/>
  <c r="M341" i="79" s="1"/>
  <c r="K2" i="71"/>
  <c r="AW24" i="2"/>
  <c r="AV24" i="2"/>
  <c r="AH24" i="2"/>
  <c r="AS24" i="2"/>
  <c r="AT24" i="2"/>
  <c r="AA24" i="2"/>
  <c r="Y24" i="2"/>
  <c r="AB24" i="2"/>
  <c r="AR24" i="2"/>
  <c r="O319" i="79"/>
  <c r="AC12" i="81"/>
  <c r="V382" i="36"/>
  <c r="V394" i="36" s="1"/>
  <c r="V406" i="36" s="1"/>
  <c r="V418" i="36" s="1"/>
  <c r="K2" i="10"/>
  <c r="AN24" i="2"/>
  <c r="AD24" i="2"/>
  <c r="Z24" i="2"/>
  <c r="AF24" i="2"/>
  <c r="AQ24" i="2"/>
  <c r="AV27" i="9"/>
  <c r="AI24" i="2"/>
  <c r="AP24" i="2"/>
  <c r="AR139" i="9"/>
  <c r="AR136" i="9" s="1"/>
  <c r="AQ139" i="9"/>
  <c r="AQ136" i="9" s="1"/>
  <c r="AN139" i="9"/>
  <c r="AN136" i="9" s="1"/>
  <c r="AT139" i="9"/>
  <c r="AT136" i="9" s="1"/>
  <c r="AS139" i="9"/>
  <c r="AS136" i="9" s="1"/>
  <c r="AU139" i="9"/>
  <c r="AL139" i="9"/>
  <c r="AL136" i="9" s="1"/>
  <c r="AU27" i="9"/>
  <c r="AM28" i="9"/>
  <c r="AM139" i="9"/>
  <c r="AM136" i="9" s="1"/>
  <c r="AD28" i="9"/>
  <c r="AD139" i="9"/>
  <c r="AD136" i="9" s="1"/>
  <c r="AX24" i="2"/>
  <c r="AS28" i="9"/>
  <c r="AT28" i="9"/>
  <c r="L2" i="33"/>
  <c r="M1" i="33"/>
  <c r="M1" i="83"/>
  <c r="L2" i="83"/>
  <c r="AN28" i="9"/>
  <c r="AL28" i="9"/>
  <c r="AR28" i="9"/>
  <c r="AQ28" i="9"/>
  <c r="L1" i="1"/>
  <c r="K2" i="1"/>
  <c r="L2" i="59"/>
  <c r="M1" i="59"/>
  <c r="K2" i="9"/>
  <c r="L1" i="9"/>
  <c r="AJ25" i="44"/>
  <c r="AJ32" i="44" s="1"/>
  <c r="AJ38" i="44" s="1"/>
  <c r="O2" i="3"/>
  <c r="P1" i="3"/>
  <c r="N1" i="39"/>
  <c r="M2" i="39"/>
  <c r="I24" i="32"/>
  <c r="I30" i="32" s="1"/>
  <c r="M2" i="67"/>
  <c r="N1" i="67"/>
  <c r="L1" i="63"/>
  <c r="K2" i="63"/>
  <c r="L1" i="30"/>
  <c r="K2" i="30"/>
  <c r="AH2" i="31"/>
  <c r="AI1" i="31"/>
  <c r="L2" i="61"/>
  <c r="M1" i="61"/>
  <c r="K2" i="12"/>
  <c r="L1" i="12"/>
  <c r="W113" i="46"/>
  <c r="W92" i="46"/>
  <c r="X82" i="46"/>
  <c r="Z104" i="46"/>
  <c r="AA94" i="46"/>
  <c r="AA103" i="46" s="1"/>
  <c r="L2" i="53"/>
  <c r="M1" i="53"/>
  <c r="K1" i="81"/>
  <c r="J2" i="81"/>
  <c r="L2" i="44"/>
  <c r="M1" i="44"/>
  <c r="L2" i="52"/>
  <c r="M1" i="52"/>
  <c r="L2" i="26"/>
  <c r="M1" i="26"/>
  <c r="K2" i="55"/>
  <c r="L1" i="55"/>
  <c r="L2" i="48"/>
  <c r="M1" i="48"/>
  <c r="BG171" i="73"/>
  <c r="BG321" i="73" s="1"/>
  <c r="BH167" i="73"/>
  <c r="AB2" i="32"/>
  <c r="Q2" i="2"/>
  <c r="R1" i="2"/>
  <c r="R57" i="79"/>
  <c r="T57" i="79" s="1"/>
  <c r="E61" i="79"/>
  <c r="AK1" i="44"/>
  <c r="AJ2" i="44"/>
  <c r="BF1" i="68"/>
  <c r="BE2" i="68"/>
  <c r="AK1" i="30"/>
  <c r="AJ2" i="30"/>
  <c r="L2" i="71"/>
  <c r="M1" i="71"/>
  <c r="AJ2" i="33"/>
  <c r="AK1" i="33"/>
  <c r="K2" i="32"/>
  <c r="L1" i="32"/>
  <c r="L1" i="72"/>
  <c r="K2" i="72"/>
  <c r="AJ2" i="32"/>
  <c r="AK1" i="32"/>
  <c r="AJ1" i="48"/>
  <c r="AI2" i="48"/>
  <c r="K2" i="29"/>
  <c r="L1" i="29"/>
  <c r="AF13" i="32"/>
  <c r="AE13" i="31"/>
  <c r="AG6" i="32"/>
  <c r="AG12" i="32" s="1"/>
  <c r="M1" i="66"/>
  <c r="L2" i="66"/>
  <c r="K2" i="49"/>
  <c r="L1" i="49"/>
  <c r="L1" i="13"/>
  <c r="K2" i="13"/>
  <c r="K2" i="65"/>
  <c r="L1" i="65"/>
  <c r="L2" i="34"/>
  <c r="M1" i="34"/>
  <c r="M1" i="45"/>
  <c r="L2" i="45"/>
  <c r="AX2" i="3"/>
  <c r="AY1" i="3"/>
  <c r="M1" i="46"/>
  <c r="L2" i="46"/>
  <c r="K2" i="31"/>
  <c r="L1" i="31"/>
  <c r="AJ2" i="61"/>
  <c r="AK1" i="61"/>
  <c r="L2" i="10"/>
  <c r="M1" i="10"/>
  <c r="AJ2" i="49"/>
  <c r="AK1" i="49"/>
  <c r="K2" i="24"/>
  <c r="L1" i="24"/>
  <c r="V430" i="36" l="1"/>
  <c r="V442" i="36" s="1"/>
  <c r="P382" i="79"/>
  <c r="J382" i="79"/>
  <c r="J391" i="79" s="1"/>
  <c r="J400" i="79" s="1"/>
  <c r="L21" i="32"/>
  <c r="M15" i="32" s="1"/>
  <c r="AK21" i="32"/>
  <c r="AL15" i="32" s="1"/>
  <c r="N365" i="79"/>
  <c r="N373" i="79" s="1"/>
  <c r="BD141" i="9"/>
  <c r="BE139" i="9"/>
  <c r="BE136" i="9" s="1"/>
  <c r="BE28" i="9"/>
  <c r="BE26" i="9" s="1"/>
  <c r="AD12" i="81"/>
  <c r="AE12" i="81" s="1"/>
  <c r="AF12" i="81" s="1"/>
  <c r="AG12" i="81" s="1"/>
  <c r="AH12" i="81" s="1"/>
  <c r="AI12" i="81" s="1"/>
  <c r="O330" i="79"/>
  <c r="O341" i="79" s="1"/>
  <c r="S349" i="79"/>
  <c r="S357" i="79" s="1"/>
  <c r="M349" i="79"/>
  <c r="AV133" i="9"/>
  <c r="AV135" i="9" s="1"/>
  <c r="AU133" i="9"/>
  <c r="AU135" i="9" s="1"/>
  <c r="AF28" i="9"/>
  <c r="AF139" i="9"/>
  <c r="AF136" i="9" s="1"/>
  <c r="AE28" i="9"/>
  <c r="AE139" i="9"/>
  <c r="AE136" i="9" s="1"/>
  <c r="O1" i="83"/>
  <c r="M2" i="83"/>
  <c r="M2" i="33"/>
  <c r="N1" i="33"/>
  <c r="L2" i="1"/>
  <c r="M1" i="1"/>
  <c r="AY2" i="3"/>
  <c r="AZ1" i="3"/>
  <c r="AK2" i="32"/>
  <c r="AL1" i="32"/>
  <c r="BH171" i="73"/>
  <c r="BH321" i="73" s="1"/>
  <c r="BI167" i="73"/>
  <c r="M2" i="52"/>
  <c r="N1" i="52"/>
  <c r="M2" i="61"/>
  <c r="N1" i="61"/>
  <c r="L2" i="30"/>
  <c r="M1" i="30"/>
  <c r="I13" i="32"/>
  <c r="J6" i="32"/>
  <c r="J12" i="32" s="1"/>
  <c r="L2" i="24"/>
  <c r="M1" i="24"/>
  <c r="M2" i="66"/>
  <c r="N1" i="66"/>
  <c r="L2" i="32"/>
  <c r="M1" i="32"/>
  <c r="AA104" i="46"/>
  <c r="AB94" i="46"/>
  <c r="AB103" i="46" s="1"/>
  <c r="M1" i="12"/>
  <c r="L2" i="12"/>
  <c r="M2" i="59"/>
  <c r="N1" i="59"/>
  <c r="M1" i="49"/>
  <c r="L2" i="49"/>
  <c r="BG1" i="68"/>
  <c r="BF2" i="68"/>
  <c r="AK25" i="44"/>
  <c r="AK32" i="44" s="1"/>
  <c r="AK38" i="44" s="1"/>
  <c r="AL1" i="49"/>
  <c r="AM1" i="49" s="1"/>
  <c r="AK2" i="49"/>
  <c r="AG24" i="32"/>
  <c r="AG30" i="32" s="1"/>
  <c r="AJ2" i="48"/>
  <c r="AK1" i="48"/>
  <c r="M2" i="44"/>
  <c r="N1" i="44"/>
  <c r="L1" i="81"/>
  <c r="K2" i="81"/>
  <c r="X106" i="46"/>
  <c r="X91" i="46"/>
  <c r="AI2" i="31"/>
  <c r="AJ1" i="31"/>
  <c r="L2" i="63"/>
  <c r="M1" i="63"/>
  <c r="O1" i="39"/>
  <c r="N2" i="39"/>
  <c r="AK2" i="61"/>
  <c r="AL1" i="61"/>
  <c r="M2" i="45"/>
  <c r="N1" i="45"/>
  <c r="M1" i="65"/>
  <c r="L2" i="65"/>
  <c r="AK2" i="33"/>
  <c r="AL1" i="33"/>
  <c r="N1" i="53"/>
  <c r="M2" i="53"/>
  <c r="N2" i="67"/>
  <c r="O1" i="67"/>
  <c r="L2" i="31"/>
  <c r="M1" i="31"/>
  <c r="AL1" i="44"/>
  <c r="AK2" i="44"/>
  <c r="S1" i="2"/>
  <c r="R2" i="2"/>
  <c r="N1" i="48"/>
  <c r="M2" i="48"/>
  <c r="M1" i="55"/>
  <c r="L2" i="55"/>
  <c r="P2" i="3"/>
  <c r="Q1" i="3"/>
  <c r="L2" i="9"/>
  <c r="M1" i="9"/>
  <c r="N1" i="10"/>
  <c r="M2" i="10"/>
  <c r="M2" i="34"/>
  <c r="N1" i="34"/>
  <c r="L2" i="29"/>
  <c r="M1" i="29"/>
  <c r="M1" i="72"/>
  <c r="L2" i="72"/>
  <c r="N1" i="71"/>
  <c r="M2" i="71"/>
  <c r="AK2" i="30"/>
  <c r="AL1" i="30"/>
  <c r="M2" i="26"/>
  <c r="N1" i="26"/>
  <c r="N1" i="46"/>
  <c r="M2" i="46"/>
  <c r="M1" i="13"/>
  <c r="L2" i="13"/>
  <c r="E66" i="79"/>
  <c r="R61" i="79"/>
  <c r="T61" i="79" s="1"/>
  <c r="N382" i="79" l="1"/>
  <c r="N391" i="79" s="1"/>
  <c r="N400" i="79" s="1"/>
  <c r="AL21" i="32"/>
  <c r="AM15" i="32" s="1"/>
  <c r="AM21" i="32" s="1"/>
  <c r="M21" i="32"/>
  <c r="N15" i="32" s="1"/>
  <c r="BE140" i="9"/>
  <c r="BE141" i="9"/>
  <c r="BF139" i="9"/>
  <c r="S365" i="79"/>
  <c r="S373" i="79" s="1"/>
  <c r="O349" i="79"/>
  <c r="AN1" i="49"/>
  <c r="AM2" i="49"/>
  <c r="N2" i="33"/>
  <c r="O1" i="33"/>
  <c r="O2" i="83"/>
  <c r="P1" i="83"/>
  <c r="N1" i="1"/>
  <c r="M2" i="1"/>
  <c r="M2" i="31"/>
  <c r="N1" i="31"/>
  <c r="M2" i="72"/>
  <c r="N1" i="72"/>
  <c r="O2" i="67"/>
  <c r="P1" i="67"/>
  <c r="O1" i="44"/>
  <c r="N2" i="44"/>
  <c r="AL25" i="44"/>
  <c r="AL32" i="44" s="1"/>
  <c r="AL38" i="44" s="1"/>
  <c r="M2" i="30"/>
  <c r="N1" i="30"/>
  <c r="T1" i="2"/>
  <c r="S2" i="2"/>
  <c r="N2" i="71"/>
  <c r="O1" i="71"/>
  <c r="N2" i="34"/>
  <c r="O1" i="34"/>
  <c r="R66" i="79"/>
  <c r="T66" i="79" s="1"/>
  <c r="E75" i="79"/>
  <c r="AL2" i="30"/>
  <c r="AM1" i="30"/>
  <c r="AN1" i="30" s="1"/>
  <c r="M2" i="9"/>
  <c r="N1" i="9"/>
  <c r="N2" i="48"/>
  <c r="O1" i="48"/>
  <c r="AL2" i="61"/>
  <c r="AM1" i="61"/>
  <c r="AN1" i="61" s="1"/>
  <c r="M2" i="49"/>
  <c r="N1" i="49"/>
  <c r="N1" i="29"/>
  <c r="M2" i="29"/>
  <c r="X113" i="46"/>
  <c r="Y82" i="46"/>
  <c r="X92" i="46"/>
  <c r="BJ167" i="73"/>
  <c r="BI171" i="73"/>
  <c r="BI321" i="73" s="1"/>
  <c r="AZ2" i="3"/>
  <c r="BA1" i="3"/>
  <c r="BB1" i="3" s="1"/>
  <c r="N1" i="13"/>
  <c r="M2" i="13"/>
  <c r="O1" i="53"/>
  <c r="N2" i="53"/>
  <c r="AM1" i="33"/>
  <c r="AN1" i="33" s="1"/>
  <c r="AL2" i="33"/>
  <c r="N1" i="65"/>
  <c r="M2" i="65"/>
  <c r="P1" i="39"/>
  <c r="O2" i="39"/>
  <c r="M2" i="32"/>
  <c r="N1" i="32"/>
  <c r="M2" i="63"/>
  <c r="N1" i="63"/>
  <c r="AK2" i="48"/>
  <c r="AL1" i="48"/>
  <c r="BG2" i="68"/>
  <c r="BH1" i="68"/>
  <c r="M2" i="24"/>
  <c r="N1" i="24"/>
  <c r="N2" i="61"/>
  <c r="O1" i="61"/>
  <c r="AL2" i="32"/>
  <c r="AM1" i="32"/>
  <c r="Q2" i="3"/>
  <c r="R1" i="3"/>
  <c r="N2" i="46"/>
  <c r="O1" i="46"/>
  <c r="M2" i="55"/>
  <c r="N1" i="55"/>
  <c r="N2" i="45"/>
  <c r="O1" i="45"/>
  <c r="O1" i="59"/>
  <c r="N2" i="59"/>
  <c r="M2" i="12"/>
  <c r="N1" i="12"/>
  <c r="N2" i="10"/>
  <c r="O1" i="10"/>
  <c r="L2" i="81"/>
  <c r="M1" i="81"/>
  <c r="AG13" i="32"/>
  <c r="AH6" i="32"/>
  <c r="AH12" i="32" s="1"/>
  <c r="AF13" i="31"/>
  <c r="J24" i="32"/>
  <c r="J30" i="32" s="1"/>
  <c r="O1" i="26"/>
  <c r="N2" i="26"/>
  <c r="AL2" i="44"/>
  <c r="AM1" i="44"/>
  <c r="AJ2" i="31"/>
  <c r="AK1" i="31"/>
  <c r="AL2" i="49"/>
  <c r="AB104" i="46"/>
  <c r="AC94" i="46"/>
  <c r="AC103" i="46" s="1"/>
  <c r="N2" i="66"/>
  <c r="O1" i="66"/>
  <c r="N2" i="52"/>
  <c r="O1" i="52"/>
  <c r="S382" i="79" l="1"/>
  <c r="S391" i="79" s="1"/>
  <c r="S400" i="79" s="1"/>
  <c r="N21" i="32"/>
  <c r="O15" i="32" s="1"/>
  <c r="BG139" i="9"/>
  <c r="O357" i="79"/>
  <c r="AM2" i="44"/>
  <c r="AN1" i="44"/>
  <c r="AO1" i="30"/>
  <c r="AN2" i="30"/>
  <c r="AO1" i="33"/>
  <c r="AN2" i="33"/>
  <c r="AO1" i="61"/>
  <c r="AN2" i="61"/>
  <c r="AN2" i="49"/>
  <c r="AO1" i="49"/>
  <c r="AG28" i="9"/>
  <c r="AG139" i="9"/>
  <c r="AG136" i="9" s="1"/>
  <c r="AH28" i="9"/>
  <c r="AH139" i="9"/>
  <c r="AH136" i="9" s="1"/>
  <c r="BB2" i="3"/>
  <c r="BC1" i="3"/>
  <c r="Q1" i="83"/>
  <c r="P2" i="83"/>
  <c r="O2" i="33"/>
  <c r="P1" i="33"/>
  <c r="O1" i="1"/>
  <c r="N2" i="1"/>
  <c r="AC104" i="46"/>
  <c r="AD94" i="46"/>
  <c r="AD103" i="46" s="1"/>
  <c r="O2" i="26"/>
  <c r="P1" i="26"/>
  <c r="M2" i="81"/>
  <c r="N1" i="81"/>
  <c r="P1" i="59"/>
  <c r="O2" i="59"/>
  <c r="O2" i="61"/>
  <c r="P1" i="61"/>
  <c r="J13" i="32"/>
  <c r="K6" i="32"/>
  <c r="K12" i="32" s="1"/>
  <c r="P1" i="66"/>
  <c r="O2" i="66"/>
  <c r="AM2" i="32"/>
  <c r="O2" i="45"/>
  <c r="P1" i="45"/>
  <c r="O2" i="52"/>
  <c r="P1" i="52"/>
  <c r="P1" i="10"/>
  <c r="O2" i="10"/>
  <c r="O1" i="55"/>
  <c r="N2" i="55"/>
  <c r="N2" i="9"/>
  <c r="O1" i="9"/>
  <c r="P1" i="34"/>
  <c r="O2" i="34"/>
  <c r="N2" i="24"/>
  <c r="O1" i="24"/>
  <c r="AM1" i="48"/>
  <c r="AN1" i="48" s="1"/>
  <c r="AL2" i="48"/>
  <c r="N2" i="32"/>
  <c r="O1" i="32"/>
  <c r="AM2" i="61"/>
  <c r="O2" i="44"/>
  <c r="P1" i="44"/>
  <c r="O1" i="72"/>
  <c r="N2" i="72"/>
  <c r="P1" i="46"/>
  <c r="O2" i="46"/>
  <c r="P2" i="39"/>
  <c r="Q1" i="39"/>
  <c r="AM2" i="33"/>
  <c r="O1" i="13"/>
  <c r="N2" i="13"/>
  <c r="BK167" i="73"/>
  <c r="BJ171" i="73"/>
  <c r="BJ321" i="73" s="1"/>
  <c r="N2" i="29"/>
  <c r="O1" i="29"/>
  <c r="U1" i="2"/>
  <c r="T2" i="2"/>
  <c r="N2" i="63"/>
  <c r="O1" i="63"/>
  <c r="Y91" i="46"/>
  <c r="Y106" i="46"/>
  <c r="O1" i="49"/>
  <c r="N2" i="49"/>
  <c r="P1" i="48"/>
  <c r="O2" i="48"/>
  <c r="O2" i="71"/>
  <c r="P1" i="71"/>
  <c r="AK2" i="31"/>
  <c r="AL1" i="31"/>
  <c r="AM1" i="31" s="1"/>
  <c r="P1" i="53"/>
  <c r="O2" i="53"/>
  <c r="AM2" i="30"/>
  <c r="O1" i="12"/>
  <c r="N2" i="12"/>
  <c r="AH24" i="32"/>
  <c r="AH30" i="32" s="1"/>
  <c r="R2" i="3"/>
  <c r="S1" i="3"/>
  <c r="N2" i="30"/>
  <c r="O1" i="30"/>
  <c r="AM25" i="44"/>
  <c r="AM32" i="44" s="1"/>
  <c r="N2" i="31"/>
  <c r="O1" i="31"/>
  <c r="BH2" i="68"/>
  <c r="BI1" i="68"/>
  <c r="O1" i="65"/>
  <c r="N2" i="65"/>
  <c r="BA2" i="3"/>
  <c r="E85" i="79"/>
  <c r="R75" i="79"/>
  <c r="T75" i="79" s="1"/>
  <c r="P2" i="67"/>
  <c r="Q1" i="67"/>
  <c r="O21" i="32" l="1"/>
  <c r="P15" i="32" s="1"/>
  <c r="AO5" i="33"/>
  <c r="AO19" i="33" s="1"/>
  <c r="AO33" i="33" s="1"/>
  <c r="AO2" i="33"/>
  <c r="AP1" i="33"/>
  <c r="AO5" i="30"/>
  <c r="AO2" i="30"/>
  <c r="AP1" i="30"/>
  <c r="AO5" i="49"/>
  <c r="AO2" i="49"/>
  <c r="AP1" i="49"/>
  <c r="AO5" i="61"/>
  <c r="AO21" i="61" s="1"/>
  <c r="AO37" i="61" s="1"/>
  <c r="AO2" i="61"/>
  <c r="AP1" i="61"/>
  <c r="O365" i="79"/>
  <c r="O373" i="79" s="1"/>
  <c r="AO1" i="48"/>
  <c r="AN2" i="48"/>
  <c r="AN1" i="31"/>
  <c r="AM2" i="31"/>
  <c r="AO1" i="44"/>
  <c r="AN2" i="44"/>
  <c r="BD1" i="3"/>
  <c r="BE1" i="3" s="1"/>
  <c r="BF1" i="3" s="1"/>
  <c r="BG1" i="3" s="1"/>
  <c r="BH1" i="3" s="1"/>
  <c r="BI1" i="3" s="1"/>
  <c r="BJ1" i="3" s="1"/>
  <c r="BK1" i="3" s="1"/>
  <c r="BL1" i="3" s="1"/>
  <c r="BM1" i="3" s="1"/>
  <c r="BN1" i="3" s="1"/>
  <c r="BC2" i="3"/>
  <c r="AM38" i="44"/>
  <c r="AN25" i="44"/>
  <c r="AN32" i="44" s="1"/>
  <c r="R1" i="83"/>
  <c r="Q2" i="83"/>
  <c r="P2" i="33"/>
  <c r="Q1" i="33"/>
  <c r="P1" i="1"/>
  <c r="O2" i="1"/>
  <c r="S2" i="3"/>
  <c r="T1" i="3"/>
  <c r="P2" i="53"/>
  <c r="Q1" i="53"/>
  <c r="O2" i="72"/>
  <c r="P1" i="72"/>
  <c r="Q1" i="45"/>
  <c r="P2" i="45"/>
  <c r="O1" i="81"/>
  <c r="N2" i="81"/>
  <c r="AD104" i="46"/>
  <c r="AE94" i="46"/>
  <c r="AE103" i="46" s="1"/>
  <c r="AF94" i="46" s="1"/>
  <c r="AF103" i="46" s="1"/>
  <c r="P1" i="13"/>
  <c r="O2" i="13"/>
  <c r="AM2" i="48"/>
  <c r="P1" i="55"/>
  <c r="O2" i="55"/>
  <c r="AL2" i="31"/>
  <c r="O2" i="29"/>
  <c r="P1" i="29"/>
  <c r="P2" i="61"/>
  <c r="Q1" i="61"/>
  <c r="E95" i="79"/>
  <c r="R85" i="79"/>
  <c r="T85" i="79" s="1"/>
  <c r="Q1" i="44"/>
  <c r="P2" i="44"/>
  <c r="P2" i="34"/>
  <c r="Q1" i="34"/>
  <c r="P2" i="52"/>
  <c r="Q1" i="52"/>
  <c r="Y113" i="46"/>
  <c r="Z82" i="46"/>
  <c r="Y92" i="46"/>
  <c r="BI2" i="68"/>
  <c r="BJ1" i="68"/>
  <c r="P1" i="12"/>
  <c r="O2" i="12"/>
  <c r="P2" i="48"/>
  <c r="Q1" i="48"/>
  <c r="P1" i="63"/>
  <c r="O2" i="63"/>
  <c r="Q2" i="39"/>
  <c r="R1" i="39"/>
  <c r="Q1" i="46"/>
  <c r="P2" i="46"/>
  <c r="P1" i="24"/>
  <c r="O2" i="24"/>
  <c r="O2" i="9"/>
  <c r="P1" i="9"/>
  <c r="P2" i="66"/>
  <c r="Q1" i="66"/>
  <c r="O2" i="65"/>
  <c r="P1" i="65"/>
  <c r="O2" i="30"/>
  <c r="P1" i="30"/>
  <c r="O2" i="31"/>
  <c r="P1" i="31"/>
  <c r="O2" i="32"/>
  <c r="P1" i="32"/>
  <c r="Q1" i="10"/>
  <c r="P2" i="10"/>
  <c r="K24" i="32"/>
  <c r="K30" i="32" s="1"/>
  <c r="AH13" i="32"/>
  <c r="AG13" i="31"/>
  <c r="AI6" i="32"/>
  <c r="AI12" i="32" s="1"/>
  <c r="Q2" i="67"/>
  <c r="R1" i="67"/>
  <c r="Q1" i="71"/>
  <c r="P2" i="71"/>
  <c r="O2" i="49"/>
  <c r="P1" i="49"/>
  <c r="V1" i="2"/>
  <c r="U2" i="2"/>
  <c r="BK171" i="73"/>
  <c r="BK321" i="73" s="1"/>
  <c r="BL167" i="73"/>
  <c r="P2" i="26"/>
  <c r="Q1" i="26"/>
  <c r="P2" i="59"/>
  <c r="Q1" i="59"/>
  <c r="O382" i="79" l="1"/>
  <c r="P21" i="32"/>
  <c r="AO41" i="49"/>
  <c r="AO23" i="49"/>
  <c r="AO5" i="48"/>
  <c r="AO2" i="48"/>
  <c r="AP1" i="48"/>
  <c r="AO13" i="30"/>
  <c r="AO20" i="30"/>
  <c r="AO5" i="44"/>
  <c r="AO24" i="44" s="1"/>
  <c r="AO2" i="44"/>
  <c r="AP1" i="44"/>
  <c r="BN2" i="3"/>
  <c r="BO1" i="3"/>
  <c r="BN5" i="3"/>
  <c r="BN41" i="3" s="1"/>
  <c r="BM2" i="3"/>
  <c r="BM5" i="3"/>
  <c r="BM41" i="3" s="1"/>
  <c r="BL2" i="3"/>
  <c r="BL5" i="3"/>
  <c r="BL41" i="3" s="1"/>
  <c r="BK5" i="3"/>
  <c r="BK41" i="3" s="1"/>
  <c r="BK2" i="3"/>
  <c r="BJ2" i="3"/>
  <c r="BJ5" i="3"/>
  <c r="BJ41" i="3" s="1"/>
  <c r="BI2" i="3"/>
  <c r="BI5" i="3"/>
  <c r="BI41" i="3" s="1"/>
  <c r="BH2" i="3"/>
  <c r="BG2" i="3"/>
  <c r="BF2" i="3"/>
  <c r="BE2" i="3"/>
  <c r="AO1" i="31"/>
  <c r="AN2" i="31"/>
  <c r="BD2" i="3"/>
  <c r="AN38" i="44"/>
  <c r="AO25" i="44"/>
  <c r="AO32" i="44" s="1"/>
  <c r="R2" i="83"/>
  <c r="T1" i="83"/>
  <c r="R1" i="33"/>
  <c r="Q2" i="33"/>
  <c r="Q1" i="1"/>
  <c r="P2" i="1"/>
  <c r="R2" i="67"/>
  <c r="S1" i="67"/>
  <c r="Q2" i="71"/>
  <c r="R1" i="71"/>
  <c r="P2" i="32"/>
  <c r="Q1" i="32"/>
  <c r="Q2" i="52"/>
  <c r="R1" i="52"/>
  <c r="Q2" i="44"/>
  <c r="R1" i="44"/>
  <c r="Q1" i="49"/>
  <c r="P2" i="49"/>
  <c r="BL171" i="73"/>
  <c r="BL321" i="73" s="1"/>
  <c r="BM167" i="73"/>
  <c r="Z106" i="46"/>
  <c r="Z91" i="46"/>
  <c r="Q2" i="10"/>
  <c r="R1" i="10"/>
  <c r="Q2" i="61"/>
  <c r="R1" i="61"/>
  <c r="W1" i="2"/>
  <c r="V2" i="2"/>
  <c r="P2" i="31"/>
  <c r="Q1" i="31"/>
  <c r="Q2" i="66"/>
  <c r="R1" i="66"/>
  <c r="Q1" i="24"/>
  <c r="P2" i="24"/>
  <c r="P2" i="12"/>
  <c r="Q1" i="12"/>
  <c r="Q1" i="29"/>
  <c r="P2" i="29"/>
  <c r="T2" i="3"/>
  <c r="U1" i="3"/>
  <c r="R1" i="26"/>
  <c r="Q2" i="26"/>
  <c r="Q2" i="34"/>
  <c r="R1" i="34"/>
  <c r="P1" i="81"/>
  <c r="O2" i="81"/>
  <c r="Q1" i="72"/>
  <c r="P2" i="72"/>
  <c r="Q2" i="59"/>
  <c r="R1" i="59"/>
  <c r="R1" i="48"/>
  <c r="Q2" i="48"/>
  <c r="K13" i="32"/>
  <c r="L6" i="32"/>
  <c r="L12" i="32" s="1"/>
  <c r="P2" i="30"/>
  <c r="Q1" i="30"/>
  <c r="P2" i="9"/>
  <c r="Q1" i="9"/>
  <c r="Q2" i="46"/>
  <c r="R1" i="46"/>
  <c r="Q1" i="63"/>
  <c r="P2" i="63"/>
  <c r="BJ2" i="68"/>
  <c r="BK1" i="68"/>
  <c r="R95" i="79"/>
  <c r="T95" i="79" s="1"/>
  <c r="E105" i="79"/>
  <c r="R1" i="45"/>
  <c r="Q2" i="45"/>
  <c r="R2" i="39"/>
  <c r="S1" i="39"/>
  <c r="AI24" i="32"/>
  <c r="AI30" i="32" s="1"/>
  <c r="Q1" i="55"/>
  <c r="P2" i="55"/>
  <c r="P2" i="13"/>
  <c r="Q1" i="13"/>
  <c r="AF104" i="46"/>
  <c r="AG94" i="46"/>
  <c r="AG103" i="46" s="1"/>
  <c r="Q2" i="53"/>
  <c r="R1" i="53"/>
  <c r="P2" i="65"/>
  <c r="Q1" i="65"/>
  <c r="O391" i="79" l="1"/>
  <c r="AP25" i="44"/>
  <c r="AO38" i="44"/>
  <c r="AO5" i="31"/>
  <c r="AO2" i="31"/>
  <c r="AP1" i="31"/>
  <c r="BO2" i="3"/>
  <c r="BP1" i="3"/>
  <c r="BQ1" i="3" s="1"/>
  <c r="BO5" i="3"/>
  <c r="BO41" i="3" s="1"/>
  <c r="R2" i="33"/>
  <c r="S1" i="33"/>
  <c r="T2" i="83"/>
  <c r="U1" i="83"/>
  <c r="Q2" i="1"/>
  <c r="R1" i="1"/>
  <c r="Q1" i="81"/>
  <c r="P2" i="81"/>
  <c r="U2" i="3"/>
  <c r="V1" i="3"/>
  <c r="R2" i="52"/>
  <c r="S1" i="52"/>
  <c r="Q2" i="55"/>
  <c r="R1" i="55"/>
  <c r="Q2" i="9"/>
  <c r="R1" i="9"/>
  <c r="Q2" i="31"/>
  <c r="R1" i="31"/>
  <c r="S1" i="61"/>
  <c r="R2" i="61"/>
  <c r="BM171" i="73"/>
  <c r="BM321" i="73" s="1"/>
  <c r="BN167" i="73"/>
  <c r="S1" i="71"/>
  <c r="R2" i="71"/>
  <c r="R2" i="53"/>
  <c r="S1" i="53"/>
  <c r="R1" i="63"/>
  <c r="Q2" i="63"/>
  <c r="AJ6" i="32"/>
  <c r="AJ12" i="32" s="1"/>
  <c r="AI13" i="32"/>
  <c r="AH13" i="31"/>
  <c r="BK2" i="68"/>
  <c r="BL1" i="68"/>
  <c r="L24" i="32"/>
  <c r="L30" i="32" s="1"/>
  <c r="R2" i="59"/>
  <c r="S1" i="59"/>
  <c r="R2" i="10"/>
  <c r="S1" i="10"/>
  <c r="AH94" i="46"/>
  <c r="AH103" i="46" s="1"/>
  <c r="AG104" i="46"/>
  <c r="Q2" i="29"/>
  <c r="R1" i="29"/>
  <c r="S2" i="67"/>
  <c r="T1" i="67"/>
  <c r="Q2" i="24"/>
  <c r="R1" i="24"/>
  <c r="Q2" i="13"/>
  <c r="R1" i="13"/>
  <c r="S1" i="13" s="1"/>
  <c r="R2" i="45"/>
  <c r="S1" i="45"/>
  <c r="Q2" i="30"/>
  <c r="R1" i="30"/>
  <c r="R1" i="72"/>
  <c r="Q2" i="72"/>
  <c r="R1" i="65"/>
  <c r="Q2" i="65"/>
  <c r="S2" i="39"/>
  <c r="T1" i="39"/>
  <c r="R2" i="46"/>
  <c r="S1" i="46"/>
  <c r="S1" i="34"/>
  <c r="R2" i="34"/>
  <c r="W2" i="2"/>
  <c r="X1" i="2"/>
  <c r="S1" i="44"/>
  <c r="R2" i="44"/>
  <c r="Q2" i="12"/>
  <c r="R1" i="12"/>
  <c r="R2" i="66"/>
  <c r="S1" i="66"/>
  <c r="Z92" i="46"/>
  <c r="AA82" i="46"/>
  <c r="Z113" i="46"/>
  <c r="Q2" i="32"/>
  <c r="R1" i="32"/>
  <c r="E116" i="79"/>
  <c r="E128" i="79" s="1"/>
  <c r="E140" i="79" s="1"/>
  <c r="E152" i="79" s="1"/>
  <c r="E164" i="79" s="1"/>
  <c r="E173" i="79" s="1"/>
  <c r="E182" i="79" s="1"/>
  <c r="E192" i="79" s="1"/>
  <c r="E202" i="79" s="1"/>
  <c r="E214" i="79" s="1"/>
  <c r="R105" i="79"/>
  <c r="S1" i="48"/>
  <c r="R2" i="48"/>
  <c r="R2" i="26"/>
  <c r="S1" i="26"/>
  <c r="R1" i="49"/>
  <c r="Q2" i="49"/>
  <c r="O400" i="79" l="1"/>
  <c r="BQ2" i="3"/>
  <c r="BQ5" i="3"/>
  <c r="BQ41" i="3" s="1"/>
  <c r="BR1" i="3"/>
  <c r="BR2" i="3" s="1"/>
  <c r="BP2" i="3"/>
  <c r="BP5" i="3"/>
  <c r="BP41" i="3" s="1"/>
  <c r="AO14" i="31"/>
  <c r="AO23" i="31"/>
  <c r="T1" i="13"/>
  <c r="S2" i="13"/>
  <c r="E219" i="79"/>
  <c r="E225" i="79" s="1"/>
  <c r="V1" i="83"/>
  <c r="U2" i="83"/>
  <c r="S2" i="33"/>
  <c r="T1" i="33"/>
  <c r="R2" i="1"/>
  <c r="S1" i="1"/>
  <c r="T105" i="79"/>
  <c r="T116" i="79" s="1"/>
  <c r="T128" i="79" s="1"/>
  <c r="T140" i="79" s="1"/>
  <c r="T152" i="79" s="1"/>
  <c r="T164" i="79" s="1"/>
  <c r="T173" i="79" s="1"/>
  <c r="T182" i="79" s="1"/>
  <c r="T192" i="79" s="1"/>
  <c r="T202" i="79" s="1"/>
  <c r="T214" i="79" s="1"/>
  <c r="T219" i="79" s="1"/>
  <c r="T225" i="79" s="1"/>
  <c r="T231" i="79" s="1"/>
  <c r="R116" i="79"/>
  <c r="R128" i="79" s="1"/>
  <c r="R140" i="79" s="1"/>
  <c r="R152" i="79" s="1"/>
  <c r="R164" i="79" s="1"/>
  <c r="R173" i="79" s="1"/>
  <c r="R182" i="79" s="1"/>
  <c r="R192" i="79" s="1"/>
  <c r="R202" i="79" s="1"/>
  <c r="R214" i="79" s="1"/>
  <c r="R219" i="79" s="1"/>
  <c r="R225" i="79" s="1"/>
  <c r="R231" i="79" s="1"/>
  <c r="R2" i="72"/>
  <c r="S1" i="72"/>
  <c r="S1" i="63"/>
  <c r="R2" i="63"/>
  <c r="S1" i="12"/>
  <c r="R2" i="12"/>
  <c r="S2" i="34"/>
  <c r="T1" i="34"/>
  <c r="R2" i="65"/>
  <c r="S1" i="65"/>
  <c r="R2" i="13"/>
  <c r="T2" i="67"/>
  <c r="U1" i="67"/>
  <c r="T1" i="53"/>
  <c r="S2" i="53"/>
  <c r="S2" i="26"/>
  <c r="T1" i="26"/>
  <c r="AA106" i="46"/>
  <c r="AA91" i="46"/>
  <c r="BN171" i="73"/>
  <c r="BN321" i="73" s="1"/>
  <c r="BO167" i="73"/>
  <c r="BO171" i="73" s="1"/>
  <c r="R2" i="30"/>
  <c r="S1" i="30"/>
  <c r="S2" i="59"/>
  <c r="T1" i="59"/>
  <c r="S2" i="52"/>
  <c r="T1" i="52"/>
  <c r="S2" i="71"/>
  <c r="T1" i="71"/>
  <c r="BM1" i="68"/>
  <c r="BL2" i="68"/>
  <c r="V2" i="3"/>
  <c r="W1" i="3"/>
  <c r="R2" i="32"/>
  <c r="S1" i="32"/>
  <c r="S2" i="66"/>
  <c r="T1" i="66"/>
  <c r="T1" i="44"/>
  <c r="S2" i="44"/>
  <c r="R2" i="29"/>
  <c r="S1" i="29"/>
  <c r="AJ24" i="32"/>
  <c r="AJ30" i="32" s="1"/>
  <c r="R2" i="55"/>
  <c r="S1" i="55"/>
  <c r="X2" i="2"/>
  <c r="Y1" i="2"/>
  <c r="S2" i="46"/>
  <c r="T1" i="46"/>
  <c r="S2" i="61"/>
  <c r="T1" i="61"/>
  <c r="R1" i="81"/>
  <c r="Q2" i="81"/>
  <c r="R2" i="49"/>
  <c r="S1" i="49"/>
  <c r="S2" i="48"/>
  <c r="T1" i="48"/>
  <c r="T2" i="39"/>
  <c r="U1" i="39"/>
  <c r="S2" i="45"/>
  <c r="T1" i="45"/>
  <c r="R2" i="24"/>
  <c r="S1" i="24"/>
  <c r="AH104" i="46"/>
  <c r="AI94" i="46"/>
  <c r="AI103" i="46" s="1"/>
  <c r="T1" i="10"/>
  <c r="S2" i="10"/>
  <c r="L13" i="32"/>
  <c r="M6" i="32"/>
  <c r="R2" i="31"/>
  <c r="S1" i="31"/>
  <c r="R2" i="9"/>
  <c r="S1" i="9"/>
  <c r="M24" i="32" l="1"/>
  <c r="M30" i="32" s="1"/>
  <c r="M12" i="32"/>
  <c r="BR5" i="3"/>
  <c r="T2" i="13"/>
  <c r="U1" i="13"/>
  <c r="V1" i="13" s="1"/>
  <c r="W1" i="13" s="1"/>
  <c r="X1" i="13" s="1"/>
  <c r="Y1" i="13" s="1"/>
  <c r="Z1" i="13" s="1"/>
  <c r="E231" i="79"/>
  <c r="E242" i="79" s="1"/>
  <c r="U1" i="33"/>
  <c r="T2" i="33"/>
  <c r="W1" i="83"/>
  <c r="V2" i="83"/>
  <c r="R242" i="79"/>
  <c r="R246" i="79" s="1"/>
  <c r="R252" i="79" s="1"/>
  <c r="R258" i="79" s="1"/>
  <c r="R268" i="79" s="1"/>
  <c r="T242" i="79"/>
  <c r="T246" i="79" s="1"/>
  <c r="T252" i="79" s="1"/>
  <c r="T258" i="79" s="1"/>
  <c r="T268" i="79" s="1"/>
  <c r="T1" i="1"/>
  <c r="S2" i="1"/>
  <c r="S2" i="31"/>
  <c r="T1" i="31"/>
  <c r="U1" i="46"/>
  <c r="T2" i="46"/>
  <c r="AK6" i="32"/>
  <c r="AK12" i="32" s="1"/>
  <c r="AJ13" i="32"/>
  <c r="AI13" i="31"/>
  <c r="S2" i="12"/>
  <c r="T1" i="12"/>
  <c r="S2" i="55"/>
  <c r="T1" i="55"/>
  <c r="T2" i="10"/>
  <c r="U1" i="10"/>
  <c r="U1" i="66"/>
  <c r="T2" i="66"/>
  <c r="T2" i="34"/>
  <c r="U1" i="34"/>
  <c r="AJ94" i="46"/>
  <c r="AJ103" i="46" s="1"/>
  <c r="AI104" i="46"/>
  <c r="T2" i="52"/>
  <c r="U1" i="52"/>
  <c r="S2" i="24"/>
  <c r="T1" i="24"/>
  <c r="V1" i="39"/>
  <c r="U2" i="39"/>
  <c r="S2" i="49"/>
  <c r="T1" i="49"/>
  <c r="Y2" i="2"/>
  <c r="Z1" i="2"/>
  <c r="S2" i="29"/>
  <c r="T1" i="29"/>
  <c r="BN1" i="68"/>
  <c r="BM2" i="68"/>
  <c r="T1" i="30"/>
  <c r="S2" i="30"/>
  <c r="AA113" i="46"/>
  <c r="AB82" i="46"/>
  <c r="AA92" i="46"/>
  <c r="T1" i="63"/>
  <c r="S2" i="63"/>
  <c r="T1" i="72"/>
  <c r="S2" i="72"/>
  <c r="S2" i="32"/>
  <c r="T1" i="32"/>
  <c r="T2" i="71"/>
  <c r="U1" i="71"/>
  <c r="S2" i="9"/>
  <c r="T1" i="9"/>
  <c r="T2" i="26"/>
  <c r="U1" i="26"/>
  <c r="S2" i="65"/>
  <c r="T1" i="65"/>
  <c r="U2" i="67"/>
  <c r="V1" i="67"/>
  <c r="S1" i="81"/>
  <c r="R2" i="81"/>
  <c r="T2" i="48"/>
  <c r="U1" i="48"/>
  <c r="T2" i="59"/>
  <c r="U1" i="59"/>
  <c r="T2" i="53"/>
  <c r="U1" i="53"/>
  <c r="W2" i="3"/>
  <c r="X1" i="3"/>
  <c r="U1" i="45"/>
  <c r="T2" i="45"/>
  <c r="T2" i="61"/>
  <c r="U1" i="61"/>
  <c r="U1" i="44"/>
  <c r="T2" i="44"/>
  <c r="BR41" i="3" l="1"/>
  <c r="N6" i="32"/>
  <c r="M13" i="32"/>
  <c r="AA1" i="13"/>
  <c r="Z2" i="13"/>
  <c r="Z5" i="13"/>
  <c r="Y2" i="13"/>
  <c r="X2" i="13"/>
  <c r="W2" i="13"/>
  <c r="V2" i="13"/>
  <c r="U2" i="13"/>
  <c r="S2" i="81"/>
  <c r="T1" i="81"/>
  <c r="E246" i="79"/>
  <c r="E252" i="79" s="1"/>
  <c r="U2" i="33"/>
  <c r="V1" i="33"/>
  <c r="Y1" i="83"/>
  <c r="W2" i="83"/>
  <c r="U1" i="1"/>
  <c r="T2" i="1"/>
  <c r="T2" i="29"/>
  <c r="U1" i="29"/>
  <c r="T2" i="32"/>
  <c r="U1" i="32"/>
  <c r="U2" i="26"/>
  <c r="V1" i="26"/>
  <c r="AA1" i="2"/>
  <c r="Z2" i="2"/>
  <c r="W1" i="39"/>
  <c r="V2" i="39"/>
  <c r="T2" i="31"/>
  <c r="U1" i="31"/>
  <c r="T2" i="63"/>
  <c r="U1" i="63"/>
  <c r="BO1" i="68"/>
  <c r="BN2" i="68"/>
  <c r="U2" i="44"/>
  <c r="V1" i="44"/>
  <c r="X2" i="3"/>
  <c r="Y1" i="3"/>
  <c r="AB106" i="46"/>
  <c r="AB91" i="46"/>
  <c r="U2" i="52"/>
  <c r="V1" i="52"/>
  <c r="AK24" i="32"/>
  <c r="AK30" i="32" s="1"/>
  <c r="U2" i="59"/>
  <c r="V1" i="59"/>
  <c r="V1" i="71"/>
  <c r="U2" i="71"/>
  <c r="T2" i="24"/>
  <c r="U1" i="24"/>
  <c r="T2" i="9"/>
  <c r="U1" i="9"/>
  <c r="U2" i="61"/>
  <c r="V1" i="61"/>
  <c r="T2" i="65"/>
  <c r="U1" i="65"/>
  <c r="U1" i="72"/>
  <c r="T2" i="72"/>
  <c r="U1" i="49"/>
  <c r="T2" i="49"/>
  <c r="AJ104" i="46"/>
  <c r="AK94" i="46"/>
  <c r="AK103" i="46" s="1"/>
  <c r="U2" i="66"/>
  <c r="V1" i="66"/>
  <c r="U1" i="55"/>
  <c r="T2" i="55"/>
  <c r="V1" i="46"/>
  <c r="U2" i="46"/>
  <c r="V2" i="67"/>
  <c r="W1" i="67"/>
  <c r="T2" i="30"/>
  <c r="U1" i="30"/>
  <c r="V1" i="48"/>
  <c r="U2" i="48"/>
  <c r="V1" i="53"/>
  <c r="U2" i="53"/>
  <c r="V1" i="34"/>
  <c r="U2" i="34"/>
  <c r="U2" i="45"/>
  <c r="V1" i="45"/>
  <c r="V1" i="10"/>
  <c r="U2" i="10"/>
  <c r="U1" i="12"/>
  <c r="T2" i="12"/>
  <c r="N12" i="32" l="1"/>
  <c r="N24" i="32"/>
  <c r="N30" i="32" s="1"/>
  <c r="AA5" i="13"/>
  <c r="AB1" i="13"/>
  <c r="AC1" i="13" s="1"/>
  <c r="AD1" i="13" s="1"/>
  <c r="AE1" i="13" s="1"/>
  <c r="AF1" i="13" s="1"/>
  <c r="AG1" i="13" s="1"/>
  <c r="AA2" i="13"/>
  <c r="U1" i="81"/>
  <c r="T2" i="81"/>
  <c r="E258" i="79"/>
  <c r="E268" i="79" s="1"/>
  <c r="V2" i="33"/>
  <c r="W1" i="33"/>
  <c r="Z1" i="83"/>
  <c r="Y2" i="83"/>
  <c r="U2" i="1"/>
  <c r="V1" i="1"/>
  <c r="V2" i="45"/>
  <c r="W1" i="45"/>
  <c r="W2" i="67"/>
  <c r="X1" i="67"/>
  <c r="V2" i="10"/>
  <c r="W1" i="10"/>
  <c r="AL94" i="46"/>
  <c r="AL103" i="46" s="1"/>
  <c r="AM94" i="46" s="1"/>
  <c r="AM103" i="46" s="1"/>
  <c r="AN94" i="46" s="1"/>
  <c r="AN103" i="46" s="1"/>
  <c r="AO94" i="46" s="1"/>
  <c r="AO103" i="46" s="1"/>
  <c r="AP94" i="46" s="1"/>
  <c r="AK104" i="46"/>
  <c r="V2" i="34"/>
  <c r="W1" i="34"/>
  <c r="U2" i="72"/>
  <c r="V1" i="72"/>
  <c r="U2" i="9"/>
  <c r="V1" i="9"/>
  <c r="U2" i="30"/>
  <c r="V1" i="30"/>
  <c r="U2" i="24"/>
  <c r="V1" i="24"/>
  <c r="W1" i="59"/>
  <c r="V2" i="59"/>
  <c r="AB1" i="2"/>
  <c r="AA2" i="2"/>
  <c r="V1" i="29"/>
  <c r="U2" i="29"/>
  <c r="V2" i="66"/>
  <c r="W1" i="66"/>
  <c r="U2" i="65"/>
  <c r="V1" i="65"/>
  <c r="U2" i="12"/>
  <c r="V1" i="12"/>
  <c r="U2" i="55"/>
  <c r="V1" i="55"/>
  <c r="W1" i="44"/>
  <c r="V2" i="44"/>
  <c r="V2" i="52"/>
  <c r="W1" i="52"/>
  <c r="W1" i="26"/>
  <c r="V2" i="26"/>
  <c r="U2" i="63"/>
  <c r="V1" i="63"/>
  <c r="U2" i="49"/>
  <c r="V1" i="49"/>
  <c r="V2" i="61"/>
  <c r="W1" i="61"/>
  <c r="V2" i="71"/>
  <c r="W1" i="71"/>
  <c r="AL6" i="32"/>
  <c r="AK13" i="32"/>
  <c r="V2" i="46"/>
  <c r="W1" i="46"/>
  <c r="V2" i="48"/>
  <c r="W1" i="48"/>
  <c r="AB113" i="46"/>
  <c r="AB92" i="46"/>
  <c r="AC82" i="46"/>
  <c r="Y2" i="3"/>
  <c r="Z1" i="3"/>
  <c r="BO2" i="68"/>
  <c r="BP1" i="68"/>
  <c r="X1" i="39"/>
  <c r="W2" i="39"/>
  <c r="W1" i="53"/>
  <c r="V2" i="53"/>
  <c r="U2" i="31"/>
  <c r="V1" i="31"/>
  <c r="U2" i="32"/>
  <c r="AL12" i="32" l="1"/>
  <c r="AM6" i="32" s="1"/>
  <c r="N13" i="32"/>
  <c r="O6" i="32"/>
  <c r="AG5" i="13"/>
  <c r="AG2" i="13"/>
  <c r="AF5" i="13"/>
  <c r="AF2" i="13"/>
  <c r="AE5" i="13"/>
  <c r="AE2" i="13"/>
  <c r="AD5" i="13"/>
  <c r="AD2" i="13"/>
  <c r="AC2" i="13"/>
  <c r="AC5" i="13"/>
  <c r="AB2" i="13"/>
  <c r="AB5" i="13"/>
  <c r="E278" i="79"/>
  <c r="U2" i="81"/>
  <c r="V1" i="81"/>
  <c r="W1" i="81" s="1"/>
  <c r="X1" i="81" s="1"/>
  <c r="Y1" i="81" s="1"/>
  <c r="Z1" i="81" s="1"/>
  <c r="AA1" i="81" s="1"/>
  <c r="AB1" i="81" s="1"/>
  <c r="AC1" i="81" s="1"/>
  <c r="AD1" i="81" s="1"/>
  <c r="AA1" i="83"/>
  <c r="Z2" i="83"/>
  <c r="W2" i="33"/>
  <c r="X1" i="33"/>
  <c r="W1" i="1"/>
  <c r="V2" i="1"/>
  <c r="V2" i="63"/>
  <c r="W1" i="63"/>
  <c r="V2" i="30"/>
  <c r="W1" i="30"/>
  <c r="V2" i="31"/>
  <c r="W1" i="31"/>
  <c r="X1" i="48"/>
  <c r="W2" i="48"/>
  <c r="W2" i="44"/>
  <c r="X1" i="44"/>
  <c r="AC1" i="2"/>
  <c r="AB2" i="2"/>
  <c r="W2" i="61"/>
  <c r="X1" i="61"/>
  <c r="W2" i="52"/>
  <c r="X1" i="52"/>
  <c r="W2" i="45"/>
  <c r="X1" i="45"/>
  <c r="W2" i="26"/>
  <c r="X1" i="26"/>
  <c r="X1" i="66"/>
  <c r="W2" i="66"/>
  <c r="X1" i="34"/>
  <c r="W2" i="34"/>
  <c r="Z2" i="3"/>
  <c r="AA1" i="3"/>
  <c r="V2" i="65"/>
  <c r="W1" i="65"/>
  <c r="V2" i="9"/>
  <c r="W1" i="9"/>
  <c r="X1" i="10"/>
  <c r="W2" i="10"/>
  <c r="X1" i="59"/>
  <c r="W2" i="59"/>
  <c r="X1" i="46"/>
  <c r="W2" i="46"/>
  <c r="W1" i="12"/>
  <c r="V2" i="12"/>
  <c r="V2" i="29"/>
  <c r="W1" i="29"/>
  <c r="V2" i="24"/>
  <c r="W1" i="24"/>
  <c r="W2" i="71"/>
  <c r="X1" i="71"/>
  <c r="W1" i="55"/>
  <c r="V2" i="55"/>
  <c r="X2" i="67"/>
  <c r="Y1" i="67"/>
  <c r="X1" i="53"/>
  <c r="W2" i="53"/>
  <c r="X2" i="39"/>
  <c r="Y1" i="39"/>
  <c r="AC106" i="46"/>
  <c r="AC91" i="46"/>
  <c r="W1" i="49"/>
  <c r="V2" i="49"/>
  <c r="W1" i="72"/>
  <c r="V2" i="72"/>
  <c r="BP2" i="68"/>
  <c r="BQ1" i="68"/>
  <c r="AM12" i="32" l="1"/>
  <c r="AM24" i="32"/>
  <c r="AM30" i="32" s="1"/>
  <c r="O12" i="32"/>
  <c r="O24" i="32"/>
  <c r="O30" i="32" s="1"/>
  <c r="AD2" i="81"/>
  <c r="AE1" i="81"/>
  <c r="AD5" i="81"/>
  <c r="AC2" i="81"/>
  <c r="AC5" i="81"/>
  <c r="AB2" i="81"/>
  <c r="AB5" i="81"/>
  <c r="AA5" i="81"/>
  <c r="AA2" i="81"/>
  <c r="E288" i="79"/>
  <c r="E298" i="79" s="1"/>
  <c r="Z2" i="81"/>
  <c r="Y2" i="81"/>
  <c r="X2" i="81"/>
  <c r="W2" i="81"/>
  <c r="V2" i="81"/>
  <c r="X2" i="33"/>
  <c r="Y1" i="33"/>
  <c r="AA2" i="83"/>
  <c r="AB1" i="83"/>
  <c r="X1" i="1"/>
  <c r="W2" i="1"/>
  <c r="BQ2" i="68"/>
  <c r="BR1" i="68"/>
  <c r="W2" i="72"/>
  <c r="X1" i="72"/>
  <c r="X2" i="53"/>
  <c r="Y1" i="53"/>
  <c r="X1" i="55"/>
  <c r="W2" i="55"/>
  <c r="Y1" i="71"/>
  <c r="X2" i="71"/>
  <c r="W2" i="65"/>
  <c r="X1" i="65"/>
  <c r="W2" i="31"/>
  <c r="X1" i="31"/>
  <c r="Y2" i="39"/>
  <c r="Z1" i="39"/>
  <c r="Y2" i="67"/>
  <c r="Z1" i="67"/>
  <c r="X1" i="24"/>
  <c r="W2" i="24"/>
  <c r="AD82" i="46"/>
  <c r="AC113" i="46"/>
  <c r="AC92" i="46"/>
  <c r="AD1" i="2"/>
  <c r="AC2" i="2"/>
  <c r="Y1" i="10"/>
  <c r="X2" i="10"/>
  <c r="X2" i="66"/>
  <c r="Y1" i="66"/>
  <c r="X2" i="45"/>
  <c r="Y1" i="45"/>
  <c r="X2" i="61"/>
  <c r="Y1" i="61"/>
  <c r="X2" i="59"/>
  <c r="W2" i="9"/>
  <c r="X1" i="9"/>
  <c r="AA2" i="3"/>
  <c r="AB1" i="3"/>
  <c r="Y1" i="44"/>
  <c r="X2" i="44"/>
  <c r="X2" i="34"/>
  <c r="Y1" i="34"/>
  <c r="W2" i="30"/>
  <c r="X1" i="30"/>
  <c r="W2" i="12"/>
  <c r="X1" i="12"/>
  <c r="X2" i="26"/>
  <c r="Y1" i="26"/>
  <c r="X2" i="52"/>
  <c r="Y1" i="52"/>
  <c r="W2" i="49"/>
  <c r="X1" i="49"/>
  <c r="W2" i="29"/>
  <c r="X1" i="29"/>
  <c r="Y1" i="46"/>
  <c r="X2" i="46"/>
  <c r="X2" i="48"/>
  <c r="Y1" i="48"/>
  <c r="X1" i="63"/>
  <c r="W2" i="63"/>
  <c r="AL13" i="31" l="1"/>
  <c r="AM13" i="32"/>
  <c r="P6" i="32"/>
  <c r="O13" i="32"/>
  <c r="AE2" i="81"/>
  <c r="AF1" i="81"/>
  <c r="AG1" i="81" s="1"/>
  <c r="AH1" i="81" s="1"/>
  <c r="E308" i="79"/>
  <c r="AE5" i="81"/>
  <c r="Z1" i="33"/>
  <c r="Y2" i="33"/>
  <c r="AD1" i="83"/>
  <c r="AB2" i="83"/>
  <c r="Y1" i="1"/>
  <c r="X2" i="1"/>
  <c r="Y1" i="49"/>
  <c r="X2" i="49"/>
  <c r="Z2" i="67"/>
  <c r="AA1" i="67"/>
  <c r="Y2" i="71"/>
  <c r="Z1" i="71"/>
  <c r="X2" i="72"/>
  <c r="Y1" i="72"/>
  <c r="Z1" i="26"/>
  <c r="Y2" i="26"/>
  <c r="Z1" i="48"/>
  <c r="Y2" i="48"/>
  <c r="Y1" i="29"/>
  <c r="X2" i="29"/>
  <c r="AB2" i="3"/>
  <c r="AC1" i="3"/>
  <c r="Y1" i="55"/>
  <c r="X2" i="55"/>
  <c r="Y2" i="44"/>
  <c r="Z1" i="44"/>
  <c r="Y2" i="10"/>
  <c r="Z1" i="10"/>
  <c r="X2" i="65"/>
  <c r="Y1" i="65"/>
  <c r="Y2" i="34"/>
  <c r="Z1" i="34"/>
  <c r="Z1" i="45"/>
  <c r="Y2" i="45"/>
  <c r="X2" i="31"/>
  <c r="Y1" i="31"/>
  <c r="X2" i="30"/>
  <c r="Y1" i="30"/>
  <c r="Y2" i="52"/>
  <c r="Z1" i="52"/>
  <c r="Y1" i="63"/>
  <c r="X2" i="63"/>
  <c r="Y2" i="66"/>
  <c r="Z1" i="66"/>
  <c r="AE1" i="2"/>
  <c r="AD2" i="2"/>
  <c r="Y2" i="53"/>
  <c r="Z1" i="53"/>
  <c r="BR2" i="68"/>
  <c r="BS1" i="68"/>
  <c r="X2" i="9"/>
  <c r="Y1" i="9"/>
  <c r="AD106" i="46"/>
  <c r="AD91" i="46"/>
  <c r="X2" i="12"/>
  <c r="Y1" i="12"/>
  <c r="Z2" i="39"/>
  <c r="AA1" i="39"/>
  <c r="Y2" i="46"/>
  <c r="Z1" i="46"/>
  <c r="Y2" i="61"/>
  <c r="Z1" i="61"/>
  <c r="Y1" i="24"/>
  <c r="X2" i="24"/>
  <c r="P12" i="32" l="1"/>
  <c r="P13" i="32" s="1"/>
  <c r="P24" i="32"/>
  <c r="P30" i="32" s="1"/>
  <c r="AH5" i="81"/>
  <c r="AI1" i="81"/>
  <c r="AH2" i="81"/>
  <c r="AI2" i="81"/>
  <c r="AI5" i="81"/>
  <c r="AG2" i="81"/>
  <c r="AG5" i="81"/>
  <c r="E319" i="79"/>
  <c r="E330" i="79" s="1"/>
  <c r="E341" i="79" s="1"/>
  <c r="AF2" i="81"/>
  <c r="AF5" i="81"/>
  <c r="AD2" i="83"/>
  <c r="AE1" i="83"/>
  <c r="AF1" i="83" s="1"/>
  <c r="AA1" i="33"/>
  <c r="Z2" i="33"/>
  <c r="Z1" i="1"/>
  <c r="Y2" i="1"/>
  <c r="AA1" i="61"/>
  <c r="Z2" i="61"/>
  <c r="Z2" i="52"/>
  <c r="AA1" i="52"/>
  <c r="Z2" i="46"/>
  <c r="AA1" i="46"/>
  <c r="Y2" i="30"/>
  <c r="Z1" i="30"/>
  <c r="Z2" i="45"/>
  <c r="AA1" i="45"/>
  <c r="AA1" i="44"/>
  <c r="Z2" i="44"/>
  <c r="AA1" i="71"/>
  <c r="Z2" i="71"/>
  <c r="Z2" i="66"/>
  <c r="AA1" i="66"/>
  <c r="AD92" i="46"/>
  <c r="AD113" i="46"/>
  <c r="AE82" i="46"/>
  <c r="AA1" i="48"/>
  <c r="Z2" i="48"/>
  <c r="Y2" i="12"/>
  <c r="Z1" i="12"/>
  <c r="Z1" i="63"/>
  <c r="Y2" i="63"/>
  <c r="Z2" i="53"/>
  <c r="AA1" i="53"/>
  <c r="Y2" i="9"/>
  <c r="Z1" i="9"/>
  <c r="AA1" i="34"/>
  <c r="Z2" i="34"/>
  <c r="Y2" i="55"/>
  <c r="Z1" i="55"/>
  <c r="Y2" i="24"/>
  <c r="Z1" i="24"/>
  <c r="AA2" i="39"/>
  <c r="AB1" i="39"/>
  <c r="AE2" i="2"/>
  <c r="AF1" i="2"/>
  <c r="Z1" i="65"/>
  <c r="Y2" i="65"/>
  <c r="AC2" i="3"/>
  <c r="AD1" i="3"/>
  <c r="BS2" i="68"/>
  <c r="BT1" i="68"/>
  <c r="Y2" i="31"/>
  <c r="Z1" i="31"/>
  <c r="Z2" i="26"/>
  <c r="AA1" i="26"/>
  <c r="Z1" i="49"/>
  <c r="Y2" i="49"/>
  <c r="Z2" i="10"/>
  <c r="AA1" i="10"/>
  <c r="Z1" i="72"/>
  <c r="Y2" i="72"/>
  <c r="Y2" i="29"/>
  <c r="Z1" i="29"/>
  <c r="AA2" i="67"/>
  <c r="AB1" i="67"/>
  <c r="E349" i="79" l="1"/>
  <c r="AG1" i="83"/>
  <c r="AF2" i="83"/>
  <c r="AE2" i="83"/>
  <c r="AA2" i="33"/>
  <c r="AB1" i="33"/>
  <c r="Z2" i="1"/>
  <c r="AA1" i="1"/>
  <c r="AB2" i="39"/>
  <c r="AC1" i="39"/>
  <c r="Z2" i="31"/>
  <c r="AA1" i="31"/>
  <c r="AA2" i="34"/>
  <c r="AB1" i="34"/>
  <c r="AA2" i="53"/>
  <c r="AB1" i="53"/>
  <c r="AA1" i="12"/>
  <c r="Z2" i="12"/>
  <c r="AA2" i="45"/>
  <c r="AB1" i="45"/>
  <c r="Z2" i="30"/>
  <c r="AA1" i="30"/>
  <c r="AA2" i="52"/>
  <c r="AB1" i="52"/>
  <c r="AB2" i="67"/>
  <c r="AC1" i="67"/>
  <c r="Z2" i="49"/>
  <c r="AA1" i="49"/>
  <c r="Z2" i="24"/>
  <c r="AA1" i="24"/>
  <c r="AE106" i="46"/>
  <c r="AE91" i="46"/>
  <c r="AA2" i="71"/>
  <c r="AB1" i="71"/>
  <c r="BU1" i="68"/>
  <c r="BT2" i="68"/>
  <c r="AA1" i="65"/>
  <c r="Z2" i="65"/>
  <c r="AA2" i="46"/>
  <c r="AB1" i="46"/>
  <c r="AB1" i="10"/>
  <c r="AA2" i="10"/>
  <c r="AF2" i="2"/>
  <c r="AG1" i="2"/>
  <c r="AA2" i="26"/>
  <c r="AB1" i="26"/>
  <c r="Z2" i="29"/>
  <c r="AA1" i="29"/>
  <c r="Z2" i="55"/>
  <c r="AA1" i="55"/>
  <c r="Z2" i="9"/>
  <c r="AA1" i="9"/>
  <c r="AA1" i="63"/>
  <c r="Z2" i="63"/>
  <c r="AA2" i="66"/>
  <c r="AB1" i="66"/>
  <c r="AA2" i="44"/>
  <c r="AB1" i="44"/>
  <c r="AA2" i="61"/>
  <c r="AB1" i="61"/>
  <c r="Z2" i="72"/>
  <c r="AA1" i="72"/>
  <c r="AD2" i="3"/>
  <c r="AE1" i="3"/>
  <c r="AA2" i="48"/>
  <c r="AB1" i="48"/>
  <c r="E357" i="79" l="1"/>
  <c r="AG2" i="83"/>
  <c r="AI1" i="83"/>
  <c r="AJ1" i="83" s="1"/>
  <c r="AK1" i="83" s="1"/>
  <c r="AL1" i="83" s="1"/>
  <c r="AN1" i="83" s="1"/>
  <c r="AO1" i="83" s="1"/>
  <c r="AB2" i="33"/>
  <c r="AB1" i="1"/>
  <c r="AA2" i="1"/>
  <c r="AA2" i="29"/>
  <c r="AB1" i="29"/>
  <c r="AE113" i="46"/>
  <c r="AF82" i="46"/>
  <c r="AA2" i="49"/>
  <c r="AA2" i="65"/>
  <c r="AB1" i="65"/>
  <c r="AB1" i="30"/>
  <c r="AA2" i="30"/>
  <c r="AB2" i="26"/>
  <c r="AC1" i="26"/>
  <c r="AA2" i="24"/>
  <c r="AB1" i="24"/>
  <c r="AC2" i="67"/>
  <c r="AD1" i="67"/>
  <c r="AA2" i="12"/>
  <c r="AB1" i="12"/>
  <c r="AB2" i="10"/>
  <c r="AC1" i="10"/>
  <c r="AA2" i="31"/>
  <c r="AB1" i="72"/>
  <c r="AA2" i="72"/>
  <c r="AA2" i="55"/>
  <c r="AB1" i="55"/>
  <c r="AC1" i="46"/>
  <c r="AB2" i="46"/>
  <c r="BV1" i="68"/>
  <c r="BU2" i="68"/>
  <c r="AC1" i="45"/>
  <c r="AB2" i="45"/>
  <c r="AB2" i="53"/>
  <c r="AC1" i="53"/>
  <c r="AB2" i="48"/>
  <c r="AG2" i="2"/>
  <c r="AH1" i="2"/>
  <c r="AB2" i="71"/>
  <c r="AC1" i="71"/>
  <c r="AB1" i="63"/>
  <c r="AA2" i="63"/>
  <c r="AB2" i="52"/>
  <c r="AC1" i="52"/>
  <c r="AB2" i="34"/>
  <c r="AC1" i="34"/>
  <c r="AC1" i="66"/>
  <c r="AB2" i="66"/>
  <c r="AE2" i="3"/>
  <c r="AF1" i="3"/>
  <c r="AB2" i="61"/>
  <c r="AB2" i="44"/>
  <c r="AA2" i="9"/>
  <c r="AB1" i="9"/>
  <c r="AD1" i="39"/>
  <c r="AC2" i="39"/>
  <c r="AP1" i="83" l="1"/>
  <c r="AO5" i="83"/>
  <c r="AO2" i="83"/>
  <c r="E365" i="79"/>
  <c r="E373" i="79" s="1"/>
  <c r="AN2" i="83"/>
  <c r="AL2" i="83"/>
  <c r="AK2" i="83"/>
  <c r="AJ2" i="83"/>
  <c r="AI2" i="83"/>
  <c r="AB2" i="1"/>
  <c r="AC1" i="1"/>
  <c r="AD1" i="10"/>
  <c r="AC2" i="10"/>
  <c r="AF2" i="3"/>
  <c r="AG1" i="3"/>
  <c r="AB2" i="9"/>
  <c r="AC1" i="9"/>
  <c r="AC2" i="34"/>
  <c r="AD1" i="34"/>
  <c r="AI1" i="2"/>
  <c r="AH2" i="2"/>
  <c r="AD2" i="67"/>
  <c r="AE1" i="67"/>
  <c r="AC2" i="66"/>
  <c r="AD1" i="66"/>
  <c r="AC2" i="53"/>
  <c r="AD1" i="53"/>
  <c r="AC2" i="45"/>
  <c r="AD1" i="45"/>
  <c r="AC2" i="26"/>
  <c r="AD1" i="26"/>
  <c r="AE1" i="39"/>
  <c r="AD2" i="39"/>
  <c r="AC1" i="72"/>
  <c r="AB2" i="72"/>
  <c r="AB2" i="30"/>
  <c r="AB2" i="63"/>
  <c r="AC1" i="63"/>
  <c r="AC2" i="52"/>
  <c r="AD1" i="52"/>
  <c r="BW1" i="68"/>
  <c r="BV2" i="68"/>
  <c r="AC1" i="12"/>
  <c r="AB2" i="12"/>
  <c r="AC1" i="65"/>
  <c r="AB2" i="65"/>
  <c r="AF106" i="46"/>
  <c r="AF91" i="46"/>
  <c r="AB2" i="24"/>
  <c r="AC1" i="24"/>
  <c r="AC1" i="55"/>
  <c r="AB2" i="55"/>
  <c r="AB2" i="29"/>
  <c r="AC1" i="29"/>
  <c r="AD1" i="46"/>
  <c r="AC2" i="46"/>
  <c r="AD1" i="71"/>
  <c r="AC2" i="71"/>
  <c r="E382" i="79" l="1"/>
  <c r="E391" i="79" s="1"/>
  <c r="E400" i="79" s="1"/>
  <c r="AO161" i="83"/>
  <c r="AO150" i="83"/>
  <c r="AO116" i="83"/>
  <c r="AO130" i="83"/>
  <c r="AO92" i="83"/>
  <c r="AO35" i="83"/>
  <c r="AW150" i="83"/>
  <c r="AD1" i="1"/>
  <c r="AC2" i="1"/>
  <c r="AE1" i="46"/>
  <c r="AD2" i="46"/>
  <c r="AD2" i="45"/>
  <c r="AE1" i="45"/>
  <c r="AC2" i="24"/>
  <c r="AD1" i="24"/>
  <c r="AF92" i="46"/>
  <c r="AG82" i="46"/>
  <c r="AF113" i="46"/>
  <c r="AG2" i="3"/>
  <c r="AH1" i="3"/>
  <c r="AE1" i="53"/>
  <c r="AD2" i="53"/>
  <c r="AC2" i="55"/>
  <c r="AD1" i="55"/>
  <c r="AC2" i="63"/>
  <c r="AD1" i="63"/>
  <c r="AF1" i="39"/>
  <c r="AE2" i="39"/>
  <c r="AC2" i="9"/>
  <c r="AD1" i="9"/>
  <c r="AD1" i="65"/>
  <c r="AC2" i="65"/>
  <c r="AC2" i="72"/>
  <c r="AD1" i="72"/>
  <c r="AE2" i="67"/>
  <c r="AF1" i="67"/>
  <c r="AJ1" i="2"/>
  <c r="AI2" i="2"/>
  <c r="BW2" i="68"/>
  <c r="BX1" i="68"/>
  <c r="AE1" i="26"/>
  <c r="AD2" i="26"/>
  <c r="AD2" i="34"/>
  <c r="AE1" i="34"/>
  <c r="AD2" i="10"/>
  <c r="AE1" i="10"/>
  <c r="AD2" i="52"/>
  <c r="AE1" i="52"/>
  <c r="AD1" i="29"/>
  <c r="AC2" i="29"/>
  <c r="AD2" i="71"/>
  <c r="AE1" i="71"/>
  <c r="AC2" i="12"/>
  <c r="AD1" i="12"/>
  <c r="AD2" i="66"/>
  <c r="AE1" i="66"/>
  <c r="AO164" i="83" l="1"/>
  <c r="AO162" i="83"/>
  <c r="AW130" i="83"/>
  <c r="AW92" i="83"/>
  <c r="AW116" i="83"/>
  <c r="AW35" i="83"/>
  <c r="AW161" i="83"/>
  <c r="AE1" i="1"/>
  <c r="AD2" i="1"/>
  <c r="AF1" i="66"/>
  <c r="AE2" i="66"/>
  <c r="BX2" i="68"/>
  <c r="BY1" i="68"/>
  <c r="AF1" i="34"/>
  <c r="AE2" i="34"/>
  <c r="AD2" i="65"/>
  <c r="AE1" i="65"/>
  <c r="AE1" i="55"/>
  <c r="AD2" i="55"/>
  <c r="AF1" i="53"/>
  <c r="AE2" i="53"/>
  <c r="AD2" i="29"/>
  <c r="AE1" i="29"/>
  <c r="AH2" i="3"/>
  <c r="AI1" i="3"/>
  <c r="AE2" i="45"/>
  <c r="AF1" i="45"/>
  <c r="AE1" i="12"/>
  <c r="AD2" i="12"/>
  <c r="AE2" i="52"/>
  <c r="AF1" i="52"/>
  <c r="AF1" i="10"/>
  <c r="AE2" i="10"/>
  <c r="AF2" i="39"/>
  <c r="AG1" i="39"/>
  <c r="AE2" i="71"/>
  <c r="AF1" i="71"/>
  <c r="AE2" i="26"/>
  <c r="AF1" i="26"/>
  <c r="AK1" i="2"/>
  <c r="AJ2" i="2"/>
  <c r="AE1" i="72"/>
  <c r="AD2" i="72"/>
  <c r="AD2" i="9"/>
  <c r="AE1" i="9"/>
  <c r="AD2" i="63"/>
  <c r="AE1" i="63"/>
  <c r="AG106" i="46"/>
  <c r="AG91" i="46"/>
  <c r="AF2" i="67"/>
  <c r="AG1" i="67"/>
  <c r="AF1" i="46"/>
  <c r="AE2" i="46"/>
  <c r="AD2" i="24"/>
  <c r="AE1" i="24"/>
  <c r="AE2" i="1" l="1"/>
  <c r="AF1" i="1"/>
  <c r="AF1" i="24"/>
  <c r="AE2" i="24"/>
  <c r="AE2" i="9"/>
  <c r="AF1" i="9"/>
  <c r="AG2" i="39"/>
  <c r="AH1" i="39"/>
  <c r="AG1" i="45"/>
  <c r="AF2" i="45"/>
  <c r="AE2" i="29"/>
  <c r="AF1" i="29"/>
  <c r="AE2" i="12"/>
  <c r="AF1" i="12"/>
  <c r="AF1" i="55"/>
  <c r="AE2" i="55"/>
  <c r="AL1" i="2"/>
  <c r="AK2" i="2"/>
  <c r="AE2" i="65"/>
  <c r="AF1" i="65"/>
  <c r="BY2" i="68"/>
  <c r="BZ1" i="68"/>
  <c r="CA1" i="68" s="1"/>
  <c r="AG2" i="67"/>
  <c r="AH1" i="67"/>
  <c r="AG113" i="46"/>
  <c r="AG92" i="46"/>
  <c r="AH82" i="46"/>
  <c r="AG1" i="10"/>
  <c r="AF2" i="10"/>
  <c r="AF2" i="26"/>
  <c r="AG1" i="26"/>
  <c r="AF2" i="52"/>
  <c r="AG1" i="52"/>
  <c r="AI2" i="3"/>
  <c r="AJ1" i="3"/>
  <c r="AF2" i="53"/>
  <c r="AG1" i="53"/>
  <c r="AE2" i="72"/>
  <c r="AF1" i="72"/>
  <c r="AF1" i="63"/>
  <c r="AE2" i="63"/>
  <c r="AG1" i="71"/>
  <c r="AF2" i="71"/>
  <c r="AF2" i="66"/>
  <c r="AG1" i="66"/>
  <c r="AG1" i="46"/>
  <c r="AF2" i="46"/>
  <c r="AF2" i="34"/>
  <c r="AG1" i="34"/>
  <c r="CB1" i="68" l="1"/>
  <c r="CA2" i="68"/>
  <c r="AG1" i="1"/>
  <c r="AF2" i="1"/>
  <c r="AG1" i="63"/>
  <c r="AF2" i="63"/>
  <c r="AG1" i="72"/>
  <c r="AF2" i="72"/>
  <c r="AG2" i="10"/>
  <c r="AH1" i="10"/>
  <c r="AG2" i="34"/>
  <c r="AH1" i="34"/>
  <c r="AG2" i="71"/>
  <c r="AH1" i="71"/>
  <c r="AG2" i="46"/>
  <c r="AH1" i="46"/>
  <c r="AG2" i="53"/>
  <c r="AH1" i="53"/>
  <c r="AG2" i="52"/>
  <c r="AH1" i="52"/>
  <c r="BZ2" i="68"/>
  <c r="AH1" i="26"/>
  <c r="AG2" i="26"/>
  <c r="AG1" i="55"/>
  <c r="AF2" i="55"/>
  <c r="AG2" i="66"/>
  <c r="AH1" i="66"/>
  <c r="AF2" i="9"/>
  <c r="AG1" i="9"/>
  <c r="AJ2" i="3"/>
  <c r="AK1" i="3"/>
  <c r="AH106" i="46"/>
  <c r="AH91" i="46"/>
  <c r="AF2" i="12"/>
  <c r="AG1" i="12"/>
  <c r="AF2" i="65"/>
  <c r="AG1" i="65"/>
  <c r="AM1" i="2"/>
  <c r="AL2" i="2"/>
  <c r="AH1" i="45"/>
  <c r="AG2" i="45"/>
  <c r="AH2" i="39"/>
  <c r="AI1" i="39"/>
  <c r="AH2" i="67"/>
  <c r="AI1" i="67"/>
  <c r="AG1" i="24"/>
  <c r="AF2" i="24"/>
  <c r="AG1" i="29"/>
  <c r="AF2" i="29"/>
  <c r="CB2" i="68" l="1"/>
  <c r="CC1" i="68"/>
  <c r="AH1" i="1"/>
  <c r="AG2" i="1"/>
  <c r="AI82" i="46"/>
  <c r="AH92" i="46"/>
  <c r="AH113" i="46"/>
  <c r="AM2" i="2"/>
  <c r="AN1" i="2"/>
  <c r="AH2" i="46"/>
  <c r="AI1" i="46"/>
  <c r="AH1" i="63"/>
  <c r="AI1" i="63" s="1"/>
  <c r="AJ1" i="63" s="1"/>
  <c r="AG2" i="63"/>
  <c r="AG2" i="24"/>
  <c r="AH1" i="24"/>
  <c r="AK2" i="3"/>
  <c r="AL1" i="3"/>
  <c r="AH2" i="52"/>
  <c r="AI1" i="52"/>
  <c r="AH2" i="10"/>
  <c r="AI1" i="10"/>
  <c r="AG2" i="12"/>
  <c r="AH1" i="12"/>
  <c r="AG2" i="9"/>
  <c r="AH1" i="9"/>
  <c r="AI2" i="39"/>
  <c r="AJ1" i="39"/>
  <c r="AG2" i="65"/>
  <c r="AH1" i="65"/>
  <c r="AG2" i="55"/>
  <c r="AH1" i="55"/>
  <c r="AI1" i="71"/>
  <c r="AH2" i="71"/>
  <c r="AH2" i="45"/>
  <c r="AI1" i="45"/>
  <c r="AH2" i="26"/>
  <c r="AI1" i="26"/>
  <c r="AH2" i="53"/>
  <c r="AI1" i="53"/>
  <c r="AH1" i="72"/>
  <c r="AI1" i="72" s="1"/>
  <c r="AG2" i="72"/>
  <c r="AH2" i="66"/>
  <c r="AI1" i="66"/>
  <c r="AI1" i="34"/>
  <c r="AH2" i="34"/>
  <c r="AI2" i="67"/>
  <c r="AJ1" i="67"/>
  <c r="AG2" i="29"/>
  <c r="AH1" i="29"/>
  <c r="AJ2" i="63" l="1"/>
  <c r="AK1" i="63"/>
  <c r="AL1" i="63" s="1"/>
  <c r="AM1" i="63" s="1"/>
  <c r="AN1" i="63" s="1"/>
  <c r="AO1" i="63" s="1"/>
  <c r="CD1" i="68"/>
  <c r="CE1" i="68" s="1"/>
  <c r="CF1" i="68" s="1"/>
  <c r="CG1" i="68" s="1"/>
  <c r="CC2" i="68"/>
  <c r="AJ1" i="72"/>
  <c r="AK1" i="72" s="1"/>
  <c r="AL1" i="72" s="1"/>
  <c r="AM1" i="72" s="1"/>
  <c r="AN1" i="72" s="1"/>
  <c r="AO1" i="72" s="1"/>
  <c r="AI2" i="72"/>
  <c r="AI2" i="63"/>
  <c r="AI1" i="1"/>
  <c r="AH2" i="1"/>
  <c r="AI2" i="26"/>
  <c r="AJ1" i="26"/>
  <c r="AH2" i="29"/>
  <c r="AI1" i="29"/>
  <c r="AI2" i="53"/>
  <c r="AJ1" i="53"/>
  <c r="AI2" i="46"/>
  <c r="AJ1" i="46"/>
  <c r="AI106" i="46"/>
  <c r="AI91" i="46"/>
  <c r="AH2" i="72"/>
  <c r="AJ1" i="10"/>
  <c r="AI2" i="10"/>
  <c r="AJ2" i="39"/>
  <c r="AK1" i="39"/>
  <c r="AI1" i="12"/>
  <c r="AH2" i="12"/>
  <c r="AI2" i="52"/>
  <c r="AJ1" i="52"/>
  <c r="AH2" i="24"/>
  <c r="AI1" i="24"/>
  <c r="AH2" i="65"/>
  <c r="AI1" i="65"/>
  <c r="AN2" i="2"/>
  <c r="AI2" i="66"/>
  <c r="AJ1" i="66"/>
  <c r="AI2" i="71"/>
  <c r="AJ1" i="71"/>
  <c r="AI2" i="45"/>
  <c r="AJ1" i="45"/>
  <c r="AH2" i="55"/>
  <c r="AI1" i="55"/>
  <c r="AL2" i="3"/>
  <c r="AM1" i="3"/>
  <c r="AJ2" i="67"/>
  <c r="AK1" i="67"/>
  <c r="AL1" i="67" s="1"/>
  <c r="AH2" i="63"/>
  <c r="AI2" i="34"/>
  <c r="AJ1" i="34"/>
  <c r="AH2" i="9"/>
  <c r="AI1" i="9"/>
  <c r="AO2" i="63" l="1"/>
  <c r="AP1" i="63"/>
  <c r="AO5" i="63"/>
  <c r="AO17" i="63" s="1"/>
  <c r="AP1" i="72"/>
  <c r="AO5" i="72"/>
  <c r="AO2" i="72"/>
  <c r="CH1" i="68"/>
  <c r="CI1" i="68" s="1"/>
  <c r="CJ1" i="68" s="1"/>
  <c r="AN2" i="72"/>
  <c r="AN2" i="63"/>
  <c r="AM2" i="72"/>
  <c r="CG2" i="68"/>
  <c r="AM2" i="63"/>
  <c r="CF2" i="68"/>
  <c r="AL2" i="63"/>
  <c r="AL2" i="72"/>
  <c r="AK2" i="72"/>
  <c r="AL2" i="67"/>
  <c r="AM1" i="67"/>
  <c r="AK2" i="63"/>
  <c r="CE2" i="68"/>
  <c r="CD2" i="68"/>
  <c r="AJ2" i="72"/>
  <c r="AI2" i="1"/>
  <c r="AJ1" i="1"/>
  <c r="AJ2" i="71"/>
  <c r="AK1" i="71"/>
  <c r="AK2" i="67"/>
  <c r="AI2" i="55"/>
  <c r="AJ1" i="55"/>
  <c r="AL1" i="39"/>
  <c r="AK2" i="39"/>
  <c r="AI2" i="9"/>
  <c r="AI2" i="65"/>
  <c r="AJ1" i="65"/>
  <c r="AI2" i="29"/>
  <c r="AJ1" i="29"/>
  <c r="AI2" i="24"/>
  <c r="AJ1" i="24"/>
  <c r="AJ2" i="34"/>
  <c r="AK1" i="34"/>
  <c r="AK1" i="45"/>
  <c r="AJ2" i="45"/>
  <c r="AJ2" i="52"/>
  <c r="AK1" i="52"/>
  <c r="AI92" i="46"/>
  <c r="AI113" i="46"/>
  <c r="AJ82" i="46"/>
  <c r="AM2" i="3"/>
  <c r="AN1" i="3"/>
  <c r="AJ2" i="53"/>
  <c r="AK1" i="53"/>
  <c r="AJ2" i="26"/>
  <c r="AK1" i="26"/>
  <c r="AI2" i="12"/>
  <c r="AJ1" i="12"/>
  <c r="AJ2" i="10"/>
  <c r="AK1" i="10"/>
  <c r="AK1" i="46"/>
  <c r="AJ2" i="46"/>
  <c r="AK1" i="66"/>
  <c r="AJ2" i="66"/>
  <c r="CK1" i="68" l="1"/>
  <c r="CJ2" i="68"/>
  <c r="CK2" i="68" s="1"/>
  <c r="CL2" i="68" s="1"/>
  <c r="CM2" i="68" s="1"/>
  <c r="CH2" i="68"/>
  <c r="AN1" i="67"/>
  <c r="AO1" i="67" s="1"/>
  <c r="AM2" i="67"/>
  <c r="AJ2" i="1"/>
  <c r="AK1" i="1"/>
  <c r="AK2" i="45"/>
  <c r="AL1" i="45"/>
  <c r="AJ2" i="12"/>
  <c r="AK1" i="12"/>
  <c r="AJ106" i="46"/>
  <c r="AJ91" i="46"/>
  <c r="AJ2" i="65"/>
  <c r="AK1" i="65"/>
  <c r="AM1" i="39"/>
  <c r="AN1" i="39" s="1"/>
  <c r="AL2" i="39"/>
  <c r="AL1" i="34"/>
  <c r="AK2" i="34"/>
  <c r="AJ2" i="29"/>
  <c r="AK1" i="29"/>
  <c r="AL1" i="46"/>
  <c r="AK2" i="46"/>
  <c r="AN2" i="3"/>
  <c r="AO1" i="3"/>
  <c r="AK1" i="55"/>
  <c r="AJ2" i="55"/>
  <c r="AK2" i="52"/>
  <c r="AL1" i="52"/>
  <c r="AK2" i="26"/>
  <c r="AL1" i="26"/>
  <c r="AL1" i="71"/>
  <c r="AM1" i="71" s="1"/>
  <c r="AK2" i="71"/>
  <c r="AL1" i="10"/>
  <c r="AK2" i="10"/>
  <c r="AK2" i="53"/>
  <c r="AL1" i="53"/>
  <c r="AM1" i="53" s="1"/>
  <c r="AK2" i="66"/>
  <c r="AL1" i="66"/>
  <c r="AM1" i="66" s="1"/>
  <c r="AJ2" i="24"/>
  <c r="AK1" i="24"/>
  <c r="AP1" i="67" l="1"/>
  <c r="AO5" i="67"/>
  <c r="AO2" i="67"/>
  <c r="AO2" i="3"/>
  <c r="AO5" i="3"/>
  <c r="AO41" i="3" s="1"/>
  <c r="AP1" i="3"/>
  <c r="CL1" i="68"/>
  <c r="CI2" i="68"/>
  <c r="AN2" i="67"/>
  <c r="AN1" i="71"/>
  <c r="AM2" i="71"/>
  <c r="AN1" i="66"/>
  <c r="AM2" i="66"/>
  <c r="AO1" i="39"/>
  <c r="AN2" i="39"/>
  <c r="AN1" i="53"/>
  <c r="AM2" i="53"/>
  <c r="AL2" i="52"/>
  <c r="AM1" i="52"/>
  <c r="AK2" i="1"/>
  <c r="AL1" i="1"/>
  <c r="AL2" i="53"/>
  <c r="AL2" i="66"/>
  <c r="AM1" i="26"/>
  <c r="AN1" i="26" s="1"/>
  <c r="AL2" i="26"/>
  <c r="AK2" i="55"/>
  <c r="AL1" i="55"/>
  <c r="AM1" i="55" s="1"/>
  <c r="AL2" i="10"/>
  <c r="AM1" i="10"/>
  <c r="AL2" i="45"/>
  <c r="AM1" i="45"/>
  <c r="AN1" i="45" s="1"/>
  <c r="AM2" i="39"/>
  <c r="AL1" i="29"/>
  <c r="AK2" i="29"/>
  <c r="AJ113" i="46"/>
  <c r="AJ92" i="46"/>
  <c r="AK82" i="46"/>
  <c r="AL2" i="71"/>
  <c r="AM1" i="46"/>
  <c r="AL2" i="46"/>
  <c r="AK2" i="12"/>
  <c r="AL1" i="12"/>
  <c r="AL1" i="65"/>
  <c r="AM1" i="65" s="1"/>
  <c r="AK2" i="65"/>
  <c r="AK2" i="24"/>
  <c r="AL1" i="24"/>
  <c r="AM1" i="24" s="1"/>
  <c r="AL2" i="34"/>
  <c r="AM1" i="34"/>
  <c r="AO2" i="39" l="1"/>
  <c r="AO5" i="39"/>
  <c r="AO11" i="39" s="1"/>
  <c r="AP1" i="39"/>
  <c r="CM1" i="68"/>
  <c r="AN1" i="55"/>
  <c r="AM2" i="55"/>
  <c r="AO1" i="66"/>
  <c r="AN2" i="66"/>
  <c r="AN1" i="65"/>
  <c r="AM2" i="65"/>
  <c r="AO1" i="45"/>
  <c r="AN2" i="45"/>
  <c r="AN2" i="71"/>
  <c r="AO1" i="71"/>
  <c r="AN2" i="26"/>
  <c r="AO1" i="26"/>
  <c r="AN2" i="53"/>
  <c r="AO1" i="53"/>
  <c r="AN1" i="52"/>
  <c r="AO1" i="52" s="1"/>
  <c r="AM2" i="52"/>
  <c r="AN1" i="24"/>
  <c r="AO1" i="24" s="1"/>
  <c r="AM2" i="24"/>
  <c r="AL2" i="1"/>
  <c r="AM1" i="1"/>
  <c r="AN1" i="46"/>
  <c r="AM2" i="46"/>
  <c r="AL2" i="65"/>
  <c r="AM2" i="26"/>
  <c r="AK106" i="46"/>
  <c r="AK91" i="46"/>
  <c r="AN1" i="34"/>
  <c r="AM2" i="34"/>
  <c r="AM1" i="12"/>
  <c r="AL2" i="12"/>
  <c r="AL2" i="29"/>
  <c r="AM1" i="29"/>
  <c r="AN1" i="29" s="1"/>
  <c r="AN1" i="10"/>
  <c r="AM2" i="10"/>
  <c r="AM2" i="45"/>
  <c r="AL2" i="24"/>
  <c r="AL2" i="55"/>
  <c r="AO5" i="71" l="1"/>
  <c r="AO2" i="71"/>
  <c r="AP1" i="71"/>
  <c r="AP1" i="24"/>
  <c r="AO5" i="24"/>
  <c r="AO2" i="24"/>
  <c r="AO5" i="52"/>
  <c r="AO2" i="52"/>
  <c r="AP1" i="52"/>
  <c r="AO2" i="45"/>
  <c r="AO5" i="45"/>
  <c r="AP1" i="45"/>
  <c r="AO2" i="53"/>
  <c r="AP1" i="53"/>
  <c r="AO5" i="53"/>
  <c r="AP1" i="66"/>
  <c r="AO2" i="66"/>
  <c r="AO5" i="66"/>
  <c r="AO2" i="26"/>
  <c r="AO5" i="26"/>
  <c r="AO15" i="26" s="1"/>
  <c r="AP1" i="26"/>
  <c r="CN1" i="68"/>
  <c r="AO1" i="65"/>
  <c r="AN2" i="65"/>
  <c r="AO1" i="55"/>
  <c r="AN2" i="55"/>
  <c r="AO1" i="29"/>
  <c r="AN2" i="29"/>
  <c r="AN2" i="52"/>
  <c r="AN2" i="24"/>
  <c r="AN1" i="1"/>
  <c r="AM2" i="1"/>
  <c r="AM2" i="12"/>
  <c r="AN1" i="12"/>
  <c r="AO1" i="10"/>
  <c r="AN2" i="10"/>
  <c r="AO1" i="46"/>
  <c r="AN2" i="46"/>
  <c r="AL82" i="46"/>
  <c r="AK92" i="46"/>
  <c r="AK113" i="46"/>
  <c r="AN2" i="34"/>
  <c r="AO1" i="34"/>
  <c r="AM2" i="29"/>
  <c r="AO12" i="53" l="1"/>
  <c r="AO19" i="53"/>
  <c r="AO37" i="52"/>
  <c r="AO21" i="52"/>
  <c r="AO5" i="46"/>
  <c r="AO2" i="46"/>
  <c r="AP1" i="46"/>
  <c r="AO5" i="65"/>
  <c r="AP1" i="65"/>
  <c r="AO2" i="65"/>
  <c r="AP1" i="34"/>
  <c r="AO30" i="34"/>
  <c r="DI5" i="34" s="1"/>
  <c r="AO2" i="34"/>
  <c r="AP1" i="10"/>
  <c r="AO5" i="10"/>
  <c r="AO2" i="10"/>
  <c r="AO15" i="45"/>
  <c r="AO25" i="45"/>
  <c r="AO2" i="29"/>
  <c r="AP1" i="29"/>
  <c r="AO5" i="29"/>
  <c r="AO5" i="55"/>
  <c r="AO2" i="55"/>
  <c r="AP1" i="55"/>
  <c r="AO63" i="71"/>
  <c r="AO34" i="71"/>
  <c r="CO1" i="68"/>
  <c r="AO1" i="1"/>
  <c r="AN2" i="1"/>
  <c r="AN2" i="12"/>
  <c r="AO1" i="12"/>
  <c r="AL91" i="46"/>
  <c r="AL106" i="46"/>
  <c r="AP1" i="12" l="1"/>
  <c r="AO5" i="12"/>
  <c r="AO2" i="12"/>
  <c r="AO21" i="65"/>
  <c r="AO13" i="65"/>
  <c r="AP1" i="1"/>
  <c r="AO2" i="1"/>
  <c r="AO5" i="1"/>
  <c r="AO74" i="46"/>
  <c r="AO62" i="46"/>
  <c r="AO68" i="46"/>
  <c r="AO17" i="46"/>
  <c r="AO93" i="46"/>
  <c r="AO24" i="46"/>
  <c r="AO30" i="46"/>
  <c r="AO43" i="46"/>
  <c r="AO11" i="46"/>
  <c r="AO105" i="46"/>
  <c r="AO81" i="46"/>
  <c r="AO36" i="46"/>
  <c r="AO55" i="46"/>
  <c r="AO49" i="46"/>
  <c r="AO15" i="29"/>
  <c r="AO10" i="29"/>
  <c r="CP1" i="68"/>
  <c r="AL113" i="46"/>
  <c r="AM82" i="46"/>
  <c r="AM91" i="46" l="1"/>
  <c r="AM106" i="46"/>
  <c r="AM113" i="46" l="1"/>
  <c r="AN82" i="46"/>
  <c r="AN106" i="46" l="1"/>
  <c r="AN91" i="46"/>
  <c r="AN113" i="46" l="1"/>
  <c r="AO82" i="46"/>
  <c r="AO106" i="46" l="1"/>
  <c r="AO91" i="46"/>
  <c r="AT39" i="12"/>
  <c r="AT34" i="12"/>
  <c r="U34" i="12"/>
  <c r="V34" i="12"/>
  <c r="K34" i="12"/>
  <c r="T34" i="12"/>
  <c r="AL34" i="12"/>
  <c r="G34" i="12"/>
  <c r="AK34" i="12"/>
  <c r="Y34" i="12"/>
  <c r="AM34" i="12"/>
  <c r="AN34" i="12"/>
  <c r="X34" i="12"/>
  <c r="AR34" i="12"/>
  <c r="AB34" i="12"/>
  <c r="AE34" i="12"/>
  <c r="AQ34" i="12"/>
  <c r="S34" i="12"/>
  <c r="AG34" i="12"/>
  <c r="J34" i="12"/>
  <c r="H34" i="12"/>
  <c r="AF34" i="12"/>
  <c r="N34" i="12"/>
  <c r="AS34" i="12"/>
  <c r="AD34" i="12"/>
  <c r="Q34" i="12"/>
  <c r="Z34" i="12"/>
  <c r="R34" i="12"/>
  <c r="AI34" i="12"/>
  <c r="F34" i="12"/>
  <c r="AA34" i="12"/>
  <c r="I34" i="12"/>
  <c r="AP34" i="12"/>
  <c r="AD39" i="12"/>
  <c r="AC34" i="12"/>
  <c r="N39" i="12"/>
  <c r="P34" i="12"/>
  <c r="AJ34" i="12"/>
  <c r="M34" i="12"/>
  <c r="AH34" i="12"/>
  <c r="W34" i="12"/>
  <c r="O34" i="12"/>
  <c r="AQ39" i="12"/>
  <c r="V39" i="12"/>
  <c r="H39" i="12"/>
  <c r="AK39" i="12"/>
  <c r="AH39" i="12"/>
  <c r="X39" i="12"/>
  <c r="F39" i="12"/>
  <c r="Y39" i="12"/>
  <c r="J39" i="12"/>
  <c r="AR39" i="12"/>
  <c r="O39" i="12"/>
  <c r="S39" i="12"/>
  <c r="L39" i="12"/>
  <c r="L34" i="12"/>
  <c r="AF39" i="12"/>
  <c r="Q39" i="12"/>
  <c r="E34" i="12"/>
  <c r="E39" i="12"/>
  <c r="AE39" i="12"/>
  <c r="I39" i="12"/>
  <c r="AB39" i="12"/>
  <c r="G39" i="12"/>
  <c r="AN39" i="12"/>
  <c r="T39" i="12"/>
  <c r="AS39" i="12"/>
  <c r="AI39" i="12"/>
  <c r="AP39" i="12"/>
  <c r="AG39" i="12"/>
  <c r="AC39" i="12"/>
  <c r="P39" i="12"/>
  <c r="Z39" i="12"/>
  <c r="W39" i="12"/>
  <c r="AA39" i="12"/>
  <c r="AJ39" i="12"/>
  <c r="U39" i="12"/>
  <c r="K39" i="12"/>
  <c r="R39" i="12"/>
  <c r="M39" i="12"/>
  <c r="AM39" i="12"/>
  <c r="AL39" i="12"/>
  <c r="AO24" i="9" l="1"/>
  <c r="AJ24" i="9"/>
  <c r="AR24" i="9"/>
  <c r="AV15" i="9"/>
  <c r="AG24" i="9"/>
  <c r="AO16" i="9"/>
  <c r="AR15" i="9"/>
  <c r="AR19" i="9"/>
  <c r="AS16" i="9"/>
  <c r="AO15" i="9"/>
  <c r="AO19" i="9"/>
  <c r="AP82" i="46"/>
  <c r="AO113" i="46"/>
  <c r="AU15" i="9"/>
  <c r="AQ15" i="9"/>
  <c r="AS15" i="9"/>
  <c r="AT15" i="9"/>
  <c r="N24" i="9"/>
  <c r="AN24" i="9"/>
  <c r="H24" i="9"/>
  <c r="AS24" i="9"/>
  <c r="X24" i="9"/>
  <c r="AH24" i="9"/>
  <c r="R24" i="9"/>
  <c r="K24" i="9"/>
  <c r="AD24" i="9"/>
  <c r="V24" i="9"/>
  <c r="Z24" i="9"/>
  <c r="AM24" i="9"/>
  <c r="L24" i="9"/>
  <c r="O24" i="9"/>
  <c r="AK24" i="9"/>
  <c r="Y24" i="9"/>
  <c r="M24" i="9"/>
  <c r="AT24" i="9"/>
  <c r="Q24" i="9"/>
  <c r="AP24" i="9"/>
  <c r="AC24" i="9"/>
  <c r="AQ24" i="9"/>
  <c r="AI24" i="9"/>
  <c r="AB24" i="9"/>
  <c r="T24" i="9"/>
  <c r="S24" i="9"/>
  <c r="I24" i="9"/>
  <c r="AL24" i="9"/>
  <c r="W24" i="9"/>
  <c r="P24" i="9"/>
  <c r="J24" i="9"/>
  <c r="U24" i="9"/>
  <c r="AF24" i="9"/>
  <c r="AE24" i="9"/>
  <c r="AA24" i="9"/>
  <c r="I35" i="12"/>
  <c r="AS35" i="12"/>
  <c r="AR35" i="12"/>
  <c r="AU19" i="9"/>
  <c r="AI35" i="12"/>
  <c r="AQ35" i="12"/>
  <c r="AT35" i="12"/>
  <c r="Z16" i="9"/>
  <c r="AC42" i="12"/>
  <c r="AC44" i="12" s="1"/>
  <c r="AC48" i="12" s="1"/>
  <c r="AJ42" i="12"/>
  <c r="AJ44" i="12" s="1"/>
  <c r="AJ48" i="12" s="1"/>
  <c r="AP42" i="12"/>
  <c r="AP44" i="12" s="1"/>
  <c r="AP48" i="12" s="1"/>
  <c r="AE42" i="12"/>
  <c r="AE44" i="12" s="1"/>
  <c r="AE48" i="12" s="1"/>
  <c r="J42" i="12"/>
  <c r="J44" i="12" s="1"/>
  <c r="J48" i="12" s="1"/>
  <c r="V42" i="12"/>
  <c r="V44" i="12" s="1"/>
  <c r="V48" i="12" s="1"/>
  <c r="K42" i="12"/>
  <c r="K44" i="12" s="1"/>
  <c r="K48" i="12" s="1"/>
  <c r="AK42" i="12"/>
  <c r="AK44" i="12" s="1"/>
  <c r="AK48" i="12" s="1"/>
  <c r="U42" i="12"/>
  <c r="U44" i="12" s="1"/>
  <c r="U48" i="12" s="1"/>
  <c r="AL42" i="12"/>
  <c r="AL44" i="12" s="1"/>
  <c r="AL48" i="12" s="1"/>
  <c r="AA42" i="12"/>
  <c r="AA44" i="12" s="1"/>
  <c r="AA48" i="12" s="1"/>
  <c r="AI42" i="12"/>
  <c r="AI44" i="12" s="1"/>
  <c r="AI48" i="12" s="1"/>
  <c r="E42" i="12"/>
  <c r="E44" i="12" s="1"/>
  <c r="E48" i="12" s="1"/>
  <c r="L42" i="12"/>
  <c r="L44" i="12" s="1"/>
  <c r="L48" i="12" s="1"/>
  <c r="Y42" i="12"/>
  <c r="Y44" i="12" s="1"/>
  <c r="Y48" i="12" s="1"/>
  <c r="AQ42" i="12"/>
  <c r="AQ44" i="12" s="1"/>
  <c r="AQ48" i="12" s="1"/>
  <c r="N42" i="12"/>
  <c r="N44" i="12" s="1"/>
  <c r="N48" i="12" s="1"/>
  <c r="AB42" i="12"/>
  <c r="AB44" i="12" s="1"/>
  <c r="AB48" i="12" s="1"/>
  <c r="I42" i="12"/>
  <c r="I44" i="12" s="1"/>
  <c r="I48" i="12" s="1"/>
  <c r="W42" i="12"/>
  <c r="W44" i="12" s="1"/>
  <c r="W48" i="12" s="1"/>
  <c r="AS42" i="12"/>
  <c r="AS44" i="12" s="1"/>
  <c r="AS48" i="12" s="1"/>
  <c r="S42" i="12"/>
  <c r="S44" i="12" s="1"/>
  <c r="S48" i="12" s="1"/>
  <c r="F42" i="12"/>
  <c r="F44" i="12" s="1"/>
  <c r="F48" i="12" s="1"/>
  <c r="AM42" i="12"/>
  <c r="AM44" i="12" s="1"/>
  <c r="AM48" i="12" s="1"/>
  <c r="Z42" i="12"/>
  <c r="Z44" i="12" s="1"/>
  <c r="Z48" i="12" s="1"/>
  <c r="T42" i="12"/>
  <c r="T44" i="12" s="1"/>
  <c r="T48" i="12" s="1"/>
  <c r="X42" i="12"/>
  <c r="X44" i="12" s="1"/>
  <c r="X48" i="12" s="1"/>
  <c r="Q42" i="12"/>
  <c r="Q44" i="12" s="1"/>
  <c r="Q48" i="12" s="1"/>
  <c r="AD42" i="12"/>
  <c r="AD44" i="12" s="1"/>
  <c r="AD48" i="12" s="1"/>
  <c r="AF42" i="12"/>
  <c r="AF44" i="12" s="1"/>
  <c r="AF48" i="12" s="1"/>
  <c r="AG42" i="12"/>
  <c r="AG44" i="12" s="1"/>
  <c r="AG48" i="12" s="1"/>
  <c r="H42" i="12"/>
  <c r="H44" i="12" s="1"/>
  <c r="H48" i="12" s="1"/>
  <c r="M42" i="12"/>
  <c r="M44" i="12" s="1"/>
  <c r="M48" i="12" s="1"/>
  <c r="AN42" i="12"/>
  <c r="AN44" i="12" s="1"/>
  <c r="AN48" i="12" s="1"/>
  <c r="O42" i="12"/>
  <c r="O44" i="12" s="1"/>
  <c r="O48" i="12" s="1"/>
  <c r="R42" i="12"/>
  <c r="R44" i="12" s="1"/>
  <c r="R48" i="12" s="1"/>
  <c r="P42" i="12"/>
  <c r="P44" i="12" s="1"/>
  <c r="P48" i="12" s="1"/>
  <c r="G42" i="12"/>
  <c r="G44" i="12" s="1"/>
  <c r="G48" i="12" s="1"/>
  <c r="AR42" i="12"/>
  <c r="AR44" i="12" s="1"/>
  <c r="AR48" i="12" s="1"/>
  <c r="AH42" i="12"/>
  <c r="AH44" i="12" s="1"/>
  <c r="AH48" i="12" s="1"/>
  <c r="N35" i="12"/>
  <c r="Q20" i="9"/>
  <c r="Q19" i="9"/>
  <c r="Q16" i="9"/>
  <c r="Q15" i="9"/>
  <c r="M20" i="9"/>
  <c r="M19" i="9"/>
  <c r="M16" i="9"/>
  <c r="J35" i="12"/>
  <c r="L20" i="9"/>
  <c r="E35" i="12"/>
  <c r="H16" i="9"/>
  <c r="H20" i="9"/>
  <c r="H19" i="9"/>
  <c r="O20" i="9"/>
  <c r="O16" i="9"/>
  <c r="O19" i="9"/>
  <c r="L35" i="12"/>
  <c r="S20" i="9"/>
  <c r="S19" i="9"/>
  <c r="P35" i="12"/>
  <c r="S15" i="9"/>
  <c r="S16" i="9"/>
  <c r="I20" i="9"/>
  <c r="I16" i="9"/>
  <c r="F35" i="12"/>
  <c r="I19" i="9"/>
  <c r="T15" i="9"/>
  <c r="Q35" i="12"/>
  <c r="T20" i="9"/>
  <c r="T16" i="9"/>
  <c r="T19" i="9"/>
  <c r="AA19" i="9"/>
  <c r="AA15" i="9"/>
  <c r="AA20" i="9"/>
  <c r="X35" i="12"/>
  <c r="AA16" i="9"/>
  <c r="W20" i="9"/>
  <c r="T35" i="12"/>
  <c r="W16" i="9"/>
  <c r="W15" i="9"/>
  <c r="W19" i="9"/>
  <c r="Z20" i="9"/>
  <c r="M35" i="12"/>
  <c r="P19" i="9"/>
  <c r="P15" i="9"/>
  <c r="P16" i="9"/>
  <c r="P20" i="9"/>
  <c r="AG15" i="9"/>
  <c r="AG20" i="9"/>
  <c r="AD35" i="12"/>
  <c r="AG16" i="9"/>
  <c r="AG19" i="9"/>
  <c r="AQ16" i="9"/>
  <c r="AP15" i="9"/>
  <c r="AM35" i="12"/>
  <c r="AP19" i="9"/>
  <c r="G35" i="12"/>
  <c r="J20" i="9"/>
  <c r="J19" i="9"/>
  <c r="J16" i="9"/>
  <c r="W35" i="12"/>
  <c r="R16" i="9"/>
  <c r="R20" i="9"/>
  <c r="O35" i="12"/>
  <c r="R15" i="9"/>
  <c r="R19" i="9"/>
  <c r="AS19" i="9"/>
  <c r="AP35" i="12"/>
  <c r="AT16" i="9"/>
  <c r="U15" i="9"/>
  <c r="U19" i="9"/>
  <c r="U16" i="9"/>
  <c r="U20" i="9"/>
  <c r="R35" i="12"/>
  <c r="AF35" i="12"/>
  <c r="AI15" i="9"/>
  <c r="AI20" i="9"/>
  <c r="AJ16" i="9"/>
  <c r="AH16" i="9"/>
  <c r="AH15" i="9"/>
  <c r="AH19" i="9"/>
  <c r="AE35" i="12"/>
  <c r="AH20" i="9"/>
  <c r="AI16" i="9"/>
  <c r="AN35" i="12"/>
  <c r="AR16" i="9"/>
  <c r="AQ19" i="9"/>
  <c r="AB15" i="9"/>
  <c r="AB16" i="9"/>
  <c r="Y35" i="12"/>
  <c r="AB20" i="9"/>
  <c r="AT19" i="9"/>
  <c r="Z15" i="9"/>
  <c r="AC15" i="9"/>
  <c r="AC16" i="9"/>
  <c r="AC20" i="9"/>
  <c r="AM16" i="9"/>
  <c r="K19" i="9"/>
  <c r="K20" i="9"/>
  <c r="K16" i="9"/>
  <c r="H35" i="12"/>
  <c r="AK20" i="9"/>
  <c r="AJ15" i="9"/>
  <c r="AJ20" i="9"/>
  <c r="AK16" i="9"/>
  <c r="AG35" i="12"/>
  <c r="AN15" i="9"/>
  <c r="AN19" i="9"/>
  <c r="AK35" i="12"/>
  <c r="AP16" i="9"/>
  <c r="AL35" i="12"/>
  <c r="N20" i="9"/>
  <c r="K35" i="12"/>
  <c r="N19" i="9"/>
  <c r="N16" i="9"/>
  <c r="Z19" i="9"/>
  <c r="AD20" i="9"/>
  <c r="AD16" i="9"/>
  <c r="AA35" i="12"/>
  <c r="AD15" i="9"/>
  <c r="AL15" i="9"/>
  <c r="V15" i="9"/>
  <c r="V19" i="9"/>
  <c r="V20" i="9"/>
  <c r="S35" i="12"/>
  <c r="V16" i="9"/>
  <c r="AB35" i="12"/>
  <c r="AE15" i="9"/>
  <c r="AE20" i="9"/>
  <c r="AE16" i="9"/>
  <c r="L16" i="9"/>
  <c r="X19" i="9"/>
  <c r="X15" i="9"/>
  <c r="X16" i="9"/>
  <c r="U35" i="12"/>
  <c r="X20" i="9"/>
  <c r="L19" i="9"/>
  <c r="AH35" i="12"/>
  <c r="AK15" i="9"/>
  <c r="AL16" i="9"/>
  <c r="AM15" i="9"/>
  <c r="AJ35" i="12"/>
  <c r="AM19" i="9"/>
  <c r="AN16" i="9"/>
  <c r="AF16" i="9"/>
  <c r="AF19" i="9"/>
  <c r="AF15" i="9"/>
  <c r="AC35" i="12"/>
  <c r="AF20" i="9"/>
  <c r="Y16" i="9"/>
  <c r="V35" i="12"/>
  <c r="Y19" i="9"/>
  <c r="Y15" i="9"/>
  <c r="Y20" i="9"/>
  <c r="AG25" i="9" l="1"/>
  <c r="AR25" i="9"/>
  <c r="AO25" i="9"/>
  <c r="AJ25" i="9"/>
  <c r="AR50" i="12"/>
  <c r="AS50" i="12"/>
  <c r="AN25" i="9"/>
  <c r="AF25" i="9"/>
  <c r="AB25" i="9"/>
  <c r="O25" i="9"/>
  <c r="K50" i="12"/>
  <c r="N25" i="9"/>
  <c r="J25" i="9"/>
  <c r="AF50" i="12"/>
  <c r="AI25" i="9"/>
  <c r="S50" i="12"/>
  <c r="V25" i="9"/>
  <c r="Y25" i="9"/>
  <c r="H50" i="12"/>
  <c r="K25" i="9"/>
  <c r="P50" i="12"/>
  <c r="S25" i="9"/>
  <c r="AD50" i="12"/>
  <c r="E50" i="12"/>
  <c r="H25" i="9"/>
  <c r="J50" i="12"/>
  <c r="M25" i="9"/>
  <c r="AH50" i="12"/>
  <c r="AK25" i="9"/>
  <c r="U25" i="9"/>
  <c r="Q50" i="12"/>
  <c r="T25" i="9"/>
  <c r="W50" i="12"/>
  <c r="Z25" i="9"/>
  <c r="AI50" i="12"/>
  <c r="AL25" i="9"/>
  <c r="F50" i="12"/>
  <c r="I25" i="9"/>
  <c r="O50" i="12"/>
  <c r="R25" i="9"/>
  <c r="X50" i="12"/>
  <c r="AA25" i="9"/>
  <c r="L25" i="9"/>
  <c r="AP50" i="12"/>
  <c r="AS25" i="9"/>
  <c r="AH25" i="9"/>
  <c r="AQ25" i="9"/>
  <c r="T50" i="12"/>
  <c r="W25" i="9"/>
  <c r="AB50" i="12"/>
  <c r="AE25" i="9"/>
  <c r="AL50" i="12"/>
  <c r="AM25" i="9"/>
  <c r="AM50" i="12"/>
  <c r="AP25" i="9"/>
  <c r="AD25" i="9"/>
  <c r="M50" i="12"/>
  <c r="P25" i="9"/>
  <c r="Z50" i="12"/>
  <c r="AC25" i="9"/>
  <c r="Q25" i="9"/>
  <c r="X25" i="9"/>
  <c r="AN50" i="12"/>
  <c r="G50" i="12"/>
  <c r="L50" i="12"/>
  <c r="I50" i="12"/>
  <c r="AJ50" i="12"/>
  <c r="AE50" i="12"/>
  <c r="AG50" i="12"/>
  <c r="AA50" i="12"/>
  <c r="U50" i="12"/>
  <c r="R50" i="12"/>
  <c r="AQ50" i="12"/>
  <c r="N50" i="12"/>
  <c r="Y50" i="12"/>
  <c r="M60" i="76"/>
  <c r="V50" i="12"/>
  <c r="AC50" i="12"/>
  <c r="AK50" i="12"/>
  <c r="Y27" i="9" l="1"/>
  <c r="AK27" i="9"/>
  <c r="G26" i="2"/>
  <c r="G28" i="2" s="1"/>
  <c r="G30" i="2" s="1"/>
  <c r="J27" i="9"/>
  <c r="Q27" i="9"/>
  <c r="U27" i="9"/>
  <c r="O27" i="9"/>
  <c r="X26" i="2"/>
  <c r="AE27" i="9"/>
  <c r="AX26" i="2"/>
  <c r="AO27" i="9"/>
  <c r="S27" i="9"/>
  <c r="AQ27" i="9"/>
  <c r="T27" i="9"/>
  <c r="M27" i="9"/>
  <c r="K27" i="9"/>
  <c r="R27" i="9"/>
  <c r="AC27" i="9"/>
  <c r="AI27" i="9"/>
  <c r="AH27" i="9"/>
  <c r="AU26" i="2"/>
  <c r="AU28" i="2" s="1"/>
  <c r="N27" i="9"/>
  <c r="AT27" i="9"/>
  <c r="E26" i="2"/>
  <c r="E28" i="2" s="1"/>
  <c r="E30" i="2" s="1"/>
  <c r="AP27" i="9"/>
  <c r="Z27" i="9"/>
  <c r="AR27" i="9"/>
  <c r="W26" i="2"/>
  <c r="AS27" i="9"/>
  <c r="H26" i="2"/>
  <c r="H28" i="2" s="1"/>
  <c r="H30" i="2" s="1"/>
  <c r="L27" i="9"/>
  <c r="W27" i="9"/>
  <c r="AC26" i="2"/>
  <c r="AC28" i="2" s="1"/>
  <c r="AA27" i="9"/>
  <c r="AD27" i="9"/>
  <c r="X27" i="9"/>
  <c r="AV26" i="2"/>
  <c r="AV28" i="2" s="1"/>
  <c r="V27" i="9"/>
  <c r="AB27" i="9"/>
  <c r="F26" i="2"/>
  <c r="F28" i="2" s="1"/>
  <c r="F30" i="2" s="1"/>
  <c r="P27" i="9"/>
  <c r="AR26" i="2"/>
  <c r="AR28" i="2" s="1"/>
  <c r="AR30" i="2" s="1"/>
  <c r="V26" i="2"/>
  <c r="I26" i="2"/>
  <c r="I28" i="2" s="1"/>
  <c r="I30" i="2" s="1"/>
  <c r="AF27" i="9"/>
  <c r="AB26" i="2"/>
  <c r="AB28" i="2" s="1"/>
  <c r="AA26" i="2"/>
  <c r="AA28" i="2" s="1"/>
  <c r="AG27" i="9"/>
  <c r="AS26" i="2"/>
  <c r="AS28" i="2" s="1"/>
  <c r="Y26" i="2"/>
  <c r="Y28" i="2" s="1"/>
  <c r="AP26" i="2"/>
  <c r="AP28" i="2" s="1"/>
  <c r="AP30" i="2" s="1"/>
  <c r="AQ26" i="2"/>
  <c r="AQ28" i="2" s="1"/>
  <c r="AQ30" i="2" s="1"/>
  <c r="I27" i="9"/>
  <c r="Z26" i="2"/>
  <c r="Z28" i="2" s="1"/>
  <c r="AW26" i="2"/>
  <c r="AW28" i="2" s="1"/>
  <c r="AT26" i="2"/>
  <c r="AT28" i="2" s="1"/>
  <c r="AN27" i="9"/>
  <c r="AM26" i="2"/>
  <c r="AM28" i="2" s="1"/>
  <c r="AO133" i="9" l="1"/>
  <c r="AO135" i="9" s="1"/>
  <c r="AO26" i="9"/>
  <c r="AN133" i="9"/>
  <c r="AN135" i="9" s="1"/>
  <c r="AN140" i="9" s="1"/>
  <c r="AQ133" i="9"/>
  <c r="AS133" i="9"/>
  <c r="AS135" i="9" s="1"/>
  <c r="AS140" i="9" s="1"/>
  <c r="AR133" i="9"/>
  <c r="AR135" i="9" s="1"/>
  <c r="AR141" i="9" s="1"/>
  <c r="AT133" i="9"/>
  <c r="AT135" i="9" s="1"/>
  <c r="AT141" i="9" s="1"/>
  <c r="AP133" i="9"/>
  <c r="AP135" i="9" s="1"/>
  <c r="AP140" i="9" s="1"/>
  <c r="AD26" i="9"/>
  <c r="AD133" i="9"/>
  <c r="AD135" i="9" s="1"/>
  <c r="Z26" i="9"/>
  <c r="Z133" i="9"/>
  <c r="Z135" i="9" s="1"/>
  <c r="J26" i="9"/>
  <c r="J133" i="9"/>
  <c r="J135" i="9" s="1"/>
  <c r="Q26" i="9"/>
  <c r="Q133" i="9"/>
  <c r="Q135" i="9" s="1"/>
  <c r="AG26" i="9"/>
  <c r="AG133" i="9"/>
  <c r="AG135" i="9" s="1"/>
  <c r="W26" i="9"/>
  <c r="W133" i="9"/>
  <c r="W135" i="9" s="1"/>
  <c r="K26" i="9"/>
  <c r="K133" i="9"/>
  <c r="K135" i="9" s="1"/>
  <c r="U26" i="9"/>
  <c r="U133" i="9"/>
  <c r="U135" i="9" s="1"/>
  <c r="AM26" i="9"/>
  <c r="AM133" i="9"/>
  <c r="AM135" i="9" s="1"/>
  <c r="AJ26" i="9"/>
  <c r="AJ133" i="9"/>
  <c r="AJ135" i="9" s="1"/>
  <c r="AK26" i="9"/>
  <c r="AK133" i="9"/>
  <c r="AK135" i="9" s="1"/>
  <c r="AA26" i="9"/>
  <c r="AA133" i="9"/>
  <c r="AA135" i="9" s="1"/>
  <c r="S26" i="9"/>
  <c r="S133" i="9"/>
  <c r="S135" i="9" s="1"/>
  <c r="R26" i="9"/>
  <c r="R133" i="9"/>
  <c r="R135" i="9" s="1"/>
  <c r="L26" i="9"/>
  <c r="L133" i="9"/>
  <c r="L135" i="9" s="1"/>
  <c r="V26" i="9"/>
  <c r="V133" i="9"/>
  <c r="V135" i="9" s="1"/>
  <c r="N26" i="9"/>
  <c r="N133" i="9"/>
  <c r="N135" i="9" s="1"/>
  <c r="AL26" i="9"/>
  <c r="AL133" i="9"/>
  <c r="AL135" i="9" s="1"/>
  <c r="AE26" i="9"/>
  <c r="AE133" i="9"/>
  <c r="AE135" i="9" s="1"/>
  <c r="Y26" i="9"/>
  <c r="Y133" i="9"/>
  <c r="Y135" i="9" s="1"/>
  <c r="M26" i="9"/>
  <c r="M133" i="9"/>
  <c r="M135" i="9" s="1"/>
  <c r="AI26" i="9"/>
  <c r="AI133" i="9"/>
  <c r="AI135" i="9" s="1"/>
  <c r="AC26" i="9"/>
  <c r="AC133" i="9"/>
  <c r="AC135" i="9" s="1"/>
  <c r="P26" i="9"/>
  <c r="P133" i="9"/>
  <c r="P135" i="9" s="1"/>
  <c r="AB26" i="9"/>
  <c r="AB133" i="9"/>
  <c r="AB135" i="9" s="1"/>
  <c r="I26" i="9"/>
  <c r="I133" i="9"/>
  <c r="I135" i="9" s="1"/>
  <c r="AF26" i="9"/>
  <c r="AF133" i="9"/>
  <c r="AF135" i="9" s="1"/>
  <c r="X26" i="9"/>
  <c r="X133" i="9"/>
  <c r="X135" i="9" s="1"/>
  <c r="AH26" i="9"/>
  <c r="AH133" i="9"/>
  <c r="AH135" i="9" s="1"/>
  <c r="T26" i="9"/>
  <c r="T133" i="9"/>
  <c r="T135" i="9" s="1"/>
  <c r="O26" i="9"/>
  <c r="O133" i="9"/>
  <c r="O135" i="9" s="1"/>
  <c r="AA18" i="63"/>
  <c r="AA63" i="63" s="1"/>
  <c r="AA92" i="63" s="1"/>
  <c r="AA96" i="63" s="1"/>
  <c r="Z18" i="63"/>
  <c r="Z63" i="63" s="1"/>
  <c r="Z92" i="63" s="1"/>
  <c r="Z96" i="63" s="1"/>
  <c r="AP26" i="9"/>
  <c r="AN26" i="9"/>
  <c r="AS26" i="9"/>
  <c r="AR26" i="9"/>
  <c r="AQ26" i="9"/>
  <c r="M36" i="76"/>
  <c r="AT26" i="9"/>
  <c r="AB18" i="63"/>
  <c r="AB63" i="63" s="1"/>
  <c r="AS30" i="2"/>
  <c r="Z30" i="2"/>
  <c r="I18" i="63"/>
  <c r="I63" i="63" s="1"/>
  <c r="K18" i="63"/>
  <c r="K63" i="63" s="1"/>
  <c r="AB30" i="2"/>
  <c r="L18" i="63"/>
  <c r="L63" i="63" s="1"/>
  <c r="AC30" i="2"/>
  <c r="AW30" i="2"/>
  <c r="AF18" i="63"/>
  <c r="Y18" i="63"/>
  <c r="Y63" i="63" s="1"/>
  <c r="AA30" i="2"/>
  <c r="J18" i="63"/>
  <c r="J63" i="63" s="1"/>
  <c r="AD18" i="63"/>
  <c r="AD63" i="63" s="1"/>
  <c r="AD92" i="63" s="1"/>
  <c r="AD96" i="63" s="1"/>
  <c r="AU30" i="2"/>
  <c r="AV30" i="2"/>
  <c r="AE18" i="63"/>
  <c r="V18" i="63"/>
  <c r="V63" i="63" s="1"/>
  <c r="AM30" i="2"/>
  <c r="AC18" i="63"/>
  <c r="AT30" i="2"/>
  <c r="H18" i="63"/>
  <c r="H63" i="63" s="1"/>
  <c r="Y30" i="2"/>
  <c r="AJ26" i="2"/>
  <c r="AJ28" i="2" s="1"/>
  <c r="S18" i="63" s="1"/>
  <c r="S63" i="63" s="1"/>
  <c r="AO141" i="9" l="1"/>
  <c r="AO140" i="9"/>
  <c r="AQ135" i="9"/>
  <c r="AQ141" i="9" s="1"/>
  <c r="AS141" i="9"/>
  <c r="AN141" i="9"/>
  <c r="AP141" i="9"/>
  <c r="AR140" i="9"/>
  <c r="AT140" i="9"/>
  <c r="V141" i="9"/>
  <c r="V140" i="9"/>
  <c r="P141" i="9"/>
  <c r="P140" i="9"/>
  <c r="L141" i="9"/>
  <c r="L140" i="9"/>
  <c r="AK141" i="9"/>
  <c r="AK140" i="9"/>
  <c r="AG141" i="9"/>
  <c r="AG140" i="9"/>
  <c r="Y141" i="9"/>
  <c r="Y140" i="9"/>
  <c r="J140" i="9"/>
  <c r="J141" i="9"/>
  <c r="AE141" i="9"/>
  <c r="AE140" i="9"/>
  <c r="AB141" i="9"/>
  <c r="AB140" i="9"/>
  <c r="O141" i="9"/>
  <c r="O140" i="9"/>
  <c r="AC141" i="9"/>
  <c r="AC140" i="9"/>
  <c r="AL141" i="9"/>
  <c r="AL140" i="9"/>
  <c r="R140" i="9"/>
  <c r="R141" i="9"/>
  <c r="AJ141" i="9"/>
  <c r="AJ140" i="9"/>
  <c r="U141" i="9"/>
  <c r="U140" i="9"/>
  <c r="Q141" i="9"/>
  <c r="Q140" i="9"/>
  <c r="Z140" i="9"/>
  <c r="Z141" i="9"/>
  <c r="W141" i="9"/>
  <c r="W140" i="9"/>
  <c r="AF141" i="9"/>
  <c r="AF140" i="9"/>
  <c r="M141" i="9"/>
  <c r="M140" i="9"/>
  <c r="T141" i="9"/>
  <c r="T140" i="9"/>
  <c r="I141" i="9"/>
  <c r="I140" i="9"/>
  <c r="AI140" i="9"/>
  <c r="AI141" i="9"/>
  <c r="N141" i="9"/>
  <c r="N140" i="9"/>
  <c r="S140" i="9"/>
  <c r="S141" i="9"/>
  <c r="AM141" i="9"/>
  <c r="AM140" i="9"/>
  <c r="K140" i="9"/>
  <c r="K141" i="9"/>
  <c r="AD141" i="9"/>
  <c r="AD140" i="9"/>
  <c r="AH140" i="9"/>
  <c r="AH141" i="9"/>
  <c r="AA140" i="9"/>
  <c r="AA141" i="9"/>
  <c r="X141" i="9"/>
  <c r="X140" i="9"/>
  <c r="AF63" i="63"/>
  <c r="AF6" i="63" s="1"/>
  <c r="AF11" i="63" s="1"/>
  <c r="AF14" i="63" s="1"/>
  <c r="AA6" i="63"/>
  <c r="AA11" i="63" s="1"/>
  <c r="AA14" i="63" s="1"/>
  <c r="Z6" i="63"/>
  <c r="Z11" i="63" s="1"/>
  <c r="Z14" i="63" s="1"/>
  <c r="M43" i="76"/>
  <c r="AE63" i="63"/>
  <c r="AC63" i="63"/>
  <c r="H6" i="63"/>
  <c r="H11" i="63" s="1"/>
  <c r="H14" i="63" s="1"/>
  <c r="H92" i="63"/>
  <c r="H96" i="63" s="1"/>
  <c r="I92" i="63"/>
  <c r="I96" i="63" s="1"/>
  <c r="I6" i="63"/>
  <c r="I11" i="63" s="1"/>
  <c r="I14" i="63" s="1"/>
  <c r="S6" i="63"/>
  <c r="S11" i="63" s="1"/>
  <c r="S14" i="63" s="1"/>
  <c r="S92" i="63"/>
  <c r="S96" i="63" s="1"/>
  <c r="L92" i="63"/>
  <c r="L96" i="63" s="1"/>
  <c r="L6" i="63"/>
  <c r="L11" i="63" s="1"/>
  <c r="L14" i="63" s="1"/>
  <c r="V6" i="63"/>
  <c r="V11" i="63" s="1"/>
  <c r="V14" i="63" s="1"/>
  <c r="V92" i="63"/>
  <c r="V96" i="63" s="1"/>
  <c r="J92" i="63"/>
  <c r="J96" i="63" s="1"/>
  <c r="J6" i="63"/>
  <c r="J11" i="63" s="1"/>
  <c r="J14" i="63" s="1"/>
  <c r="Y6" i="63"/>
  <c r="Y11" i="63" s="1"/>
  <c r="Y14" i="63" s="1"/>
  <c r="Y92" i="63"/>
  <c r="Y96" i="63" s="1"/>
  <c r="AJ30" i="2"/>
  <c r="K6" i="63"/>
  <c r="K11" i="63" s="1"/>
  <c r="K14" i="63" s="1"/>
  <c r="K92" i="63"/>
  <c r="K96" i="63" s="1"/>
  <c r="AB6" i="63"/>
  <c r="AB11" i="63" s="1"/>
  <c r="AB14" i="63" s="1"/>
  <c r="AB92" i="63"/>
  <c r="AB96" i="63" s="1"/>
  <c r="AL26" i="2"/>
  <c r="AL28" i="2" s="1"/>
  <c r="M48" i="76" s="1"/>
  <c r="AQ140" i="9" l="1"/>
  <c r="AF92" i="63"/>
  <c r="AF96" i="63" s="1"/>
  <c r="AC6" i="63"/>
  <c r="AC11" i="63" s="1"/>
  <c r="AC14" i="63" s="1"/>
  <c r="AC92" i="63"/>
  <c r="AC96" i="63" s="1"/>
  <c r="AE92" i="63"/>
  <c r="AE96" i="63" s="1"/>
  <c r="U18" i="63"/>
  <c r="U63" i="63" s="1"/>
  <c r="AL30" i="2"/>
  <c r="AH26" i="2"/>
  <c r="AH28" i="2" s="1"/>
  <c r="Q18" i="63" l="1"/>
  <c r="Q63" i="63" s="1"/>
  <c r="AH30" i="2"/>
  <c r="U6" i="63"/>
  <c r="U11" i="63" s="1"/>
  <c r="U14" i="63" s="1"/>
  <c r="U92" i="63"/>
  <c r="U96" i="63" s="1"/>
  <c r="AK26" i="2"/>
  <c r="AK28" i="2" s="1"/>
  <c r="T18" i="63" l="1"/>
  <c r="T63" i="63" s="1"/>
  <c r="AK30" i="2"/>
  <c r="Q6" i="63"/>
  <c r="Q11" i="63" s="1"/>
  <c r="Q14" i="63" s="1"/>
  <c r="Q92" i="63"/>
  <c r="Q96" i="63" s="1"/>
  <c r="AI26" i="2"/>
  <c r="AI28" i="2" s="1"/>
  <c r="R18" i="63" l="1"/>
  <c r="R63" i="63" s="1"/>
  <c r="R92" i="63" s="1"/>
  <c r="R96" i="63" s="1"/>
  <c r="M53" i="76"/>
  <c r="AI30" i="2"/>
  <c r="T6" i="63"/>
  <c r="T11" i="63" s="1"/>
  <c r="T14" i="63" s="1"/>
  <c r="T92" i="63"/>
  <c r="T96" i="63" s="1"/>
  <c r="AE26" i="2"/>
  <c r="AE28" i="2" s="1"/>
  <c r="R6" i="63" l="1"/>
  <c r="R11" i="63" s="1"/>
  <c r="R14" i="63" s="1"/>
  <c r="N18" i="63"/>
  <c r="N63" i="63" s="1"/>
  <c r="AE30" i="2"/>
  <c r="AG26" i="2"/>
  <c r="AG28" i="2" s="1"/>
  <c r="P18" i="63" l="1"/>
  <c r="P63" i="63" s="1"/>
  <c r="AG30" i="2"/>
  <c r="N92" i="63"/>
  <c r="N96" i="63" s="1"/>
  <c r="N6" i="63"/>
  <c r="N11" i="63" s="1"/>
  <c r="N14" i="63" s="1"/>
  <c r="AF26" i="2"/>
  <c r="AF28" i="2" s="1"/>
  <c r="O18" i="63" l="1"/>
  <c r="O63" i="63" s="1"/>
  <c r="O6" i="63" s="1"/>
  <c r="O11" i="63" s="1"/>
  <c r="O14" i="63" s="1"/>
  <c r="AF30" i="2"/>
  <c r="P6" i="63"/>
  <c r="P11" i="63" s="1"/>
  <c r="P14" i="63" s="1"/>
  <c r="P92" i="63"/>
  <c r="P96" i="63" s="1"/>
  <c r="AD26" i="2"/>
  <c r="AD28" i="2" s="1"/>
  <c r="O92" i="63" l="1"/>
  <c r="O96" i="63" s="1"/>
  <c r="M18" i="63"/>
  <c r="M63" i="63" s="1"/>
  <c r="AD30" i="2"/>
  <c r="M92" i="63" l="1"/>
  <c r="M96" i="63" s="1"/>
  <c r="M6" i="63"/>
  <c r="M11" i="63" s="1"/>
  <c r="M14" i="63" s="1"/>
  <c r="AT41" i="12" l="1"/>
  <c r="AT42" i="12" l="1"/>
  <c r="AT44" i="12" s="1"/>
  <c r="AT48" i="12" s="1"/>
  <c r="AH18" i="63"/>
  <c r="AT50" i="12" l="1"/>
  <c r="AT25" i="9"/>
  <c r="AZ24" i="2" l="1"/>
  <c r="AZ26" i="2" s="1"/>
  <c r="AZ28" i="2" s="1"/>
  <c r="AU41" i="12"/>
  <c r="AU43" i="1"/>
  <c r="AU45" i="1" s="1"/>
  <c r="AU48" i="1" s="1"/>
  <c r="AU42" i="12" l="1"/>
  <c r="AU44" i="12" s="1"/>
  <c r="AU48" i="12" s="1"/>
  <c r="AI18" i="63"/>
  <c r="AZ30" i="2"/>
  <c r="M29" i="76" l="1"/>
  <c r="AU50" i="12"/>
  <c r="AR77" i="71" l="1"/>
  <c r="AR69" i="71"/>
  <c r="BH40" i="3"/>
  <c r="AR66" i="71"/>
  <c r="AR76" i="71"/>
  <c r="AR75" i="71"/>
  <c r="AR67" i="71"/>
  <c r="AR68" i="71"/>
  <c r="AR80" i="71"/>
  <c r="AR81" i="71"/>
  <c r="AR72" i="71"/>
  <c r="AR71" i="71"/>
  <c r="AR82" i="71"/>
  <c r="AR74" i="71"/>
  <c r="AQ14" i="45"/>
  <c r="AR78" i="71"/>
  <c r="AR70" i="71"/>
  <c r="AR83" i="71"/>
  <c r="AS20" i="61"/>
  <c r="AR73" i="71"/>
  <c r="AR79" i="71"/>
  <c r="AR64" i="71"/>
  <c r="AN54" i="63"/>
  <c r="AZ49" i="9"/>
  <c r="BH33" i="3"/>
  <c r="BH23" i="3"/>
  <c r="AZ18" i="9"/>
  <c r="AZ13" i="9"/>
  <c r="AN94" i="63"/>
  <c r="AO93" i="63" s="1"/>
  <c r="BH78" i="3"/>
  <c r="AS18" i="33"/>
  <c r="X25" i="13"/>
  <c r="AN13" i="63"/>
  <c r="AM12" i="63"/>
  <c r="AP29" i="67"/>
  <c r="AQ81" i="71"/>
  <c r="AQ83" i="71"/>
  <c r="AQ75" i="71"/>
  <c r="AQ72" i="71"/>
  <c r="AY18" i="9"/>
  <c r="AP33" i="67"/>
  <c r="AQ74" i="71"/>
  <c r="AM94" i="63"/>
  <c r="AY13" i="9"/>
  <c r="AP17" i="67"/>
  <c r="AP20" i="67" s="1"/>
  <c r="AP65" i="71"/>
  <c r="AQ65" i="71"/>
  <c r="AP68" i="71"/>
  <c r="AQ68" i="71"/>
  <c r="AQ70" i="71"/>
  <c r="AQ82" i="71"/>
  <c r="BG78" i="3"/>
  <c r="BG40" i="3"/>
  <c r="AR18" i="33"/>
  <c r="AP9" i="67"/>
  <c r="W25" i="13"/>
  <c r="AM13" i="63"/>
  <c r="AP13" i="67"/>
  <c r="AP76" i="71"/>
  <c r="AQ76" i="71"/>
  <c r="AQ73" i="71"/>
  <c r="AP22" i="67"/>
  <c r="BG61" i="3"/>
  <c r="AP14" i="45"/>
  <c r="AM79" i="63"/>
  <c r="AP67" i="71"/>
  <c r="AQ67" i="71"/>
  <c r="AQ71" i="71"/>
  <c r="AP69" i="71"/>
  <c r="AQ69" i="71"/>
  <c r="AY49" i="9"/>
  <c r="AP77" i="71"/>
  <c r="AQ77" i="71"/>
  <c r="AP66" i="71"/>
  <c r="AQ66" i="71"/>
  <c r="AQ78" i="71"/>
  <c r="AQ80" i="71"/>
  <c r="AQ20" i="61"/>
  <c r="AR20" i="61"/>
  <c r="W24" i="13"/>
  <c r="BG33" i="3"/>
  <c r="AQ79" i="71"/>
  <c r="AP87" i="71"/>
  <c r="AQ87" i="71"/>
  <c r="BG23" i="3"/>
  <c r="AQ64" i="71"/>
  <c r="AP75" i="71"/>
  <c r="AL12" i="63"/>
  <c r="AP81" i="71"/>
  <c r="AP73" i="71"/>
  <c r="BF78" i="3"/>
  <c r="BF6" i="3"/>
  <c r="AQ18" i="33"/>
  <c r="V25" i="13"/>
  <c r="AL13" i="63"/>
  <c r="AP83" i="71"/>
  <c r="AL54" i="63"/>
  <c r="AP84" i="71"/>
  <c r="AX13" i="9"/>
  <c r="AL94" i="63"/>
  <c r="AM93" i="63" s="1"/>
  <c r="BF61" i="3"/>
  <c r="AL79" i="63"/>
  <c r="AP71" i="71"/>
  <c r="AX49" i="9"/>
  <c r="AP78" i="71"/>
  <c r="AP80" i="71"/>
  <c r="V24" i="13"/>
  <c r="BF33" i="3"/>
  <c r="AP79" i="71"/>
  <c r="AP88" i="71"/>
  <c r="BF23" i="3"/>
  <c r="AP72" i="71"/>
  <c r="AP64" i="71"/>
  <c r="AX18" i="9"/>
  <c r="BF42" i="3"/>
  <c r="AP74" i="71"/>
  <c r="AP70" i="71"/>
  <c r="AP82" i="71"/>
  <c r="AN14" i="45"/>
  <c r="AK12" i="63"/>
  <c r="AN9" i="67"/>
  <c r="AN29" i="67"/>
  <c r="BE23" i="3"/>
  <c r="AN17" i="67"/>
  <c r="AN20" i="67" s="1"/>
  <c r="BE61" i="3"/>
  <c r="AP18" i="33"/>
  <c r="AW49" i="9"/>
  <c r="AP20" i="61"/>
  <c r="AK13" i="63"/>
  <c r="U25" i="13"/>
  <c r="AW18" i="9"/>
  <c r="BE42" i="3"/>
  <c r="BE33" i="3"/>
  <c r="AN13" i="67"/>
  <c r="AN22" i="67"/>
  <c r="AW13" i="9"/>
  <c r="AK94" i="63"/>
  <c r="AL93" i="63" s="1"/>
  <c r="AN79" i="71"/>
  <c r="AN87" i="71"/>
  <c r="AJ12" i="63"/>
  <c r="AN72" i="71"/>
  <c r="AN68" i="71"/>
  <c r="AN67" i="71"/>
  <c r="AN69" i="71"/>
  <c r="AN66" i="71"/>
  <c r="AN71" i="71"/>
  <c r="AN76" i="71"/>
  <c r="AN77" i="71"/>
  <c r="AN78" i="71"/>
  <c r="AN80" i="71"/>
  <c r="AM75" i="71"/>
  <c r="AN75" i="71"/>
  <c r="AM88" i="71"/>
  <c r="AN88" i="71"/>
  <c r="AM65" i="71"/>
  <c r="AN65" i="71"/>
  <c r="AM81" i="71"/>
  <c r="AN81" i="71"/>
  <c r="AN64" i="71"/>
  <c r="AN73" i="71"/>
  <c r="AN70" i="71"/>
  <c r="AN74" i="71"/>
  <c r="AM84" i="71"/>
  <c r="AN84" i="71"/>
  <c r="AN83" i="71"/>
  <c r="AN82" i="71"/>
  <c r="AM66" i="71"/>
  <c r="AM68" i="71"/>
  <c r="AV49" i="9"/>
  <c r="AV18" i="9"/>
  <c r="AM72" i="71"/>
  <c r="AJ13" i="63"/>
  <c r="T25" i="13"/>
  <c r="T24" i="13"/>
  <c r="AJ94" i="63"/>
  <c r="AK93" i="63" s="1"/>
  <c r="AV13" i="9"/>
  <c r="AM69" i="71"/>
  <c r="BD40" i="3"/>
  <c r="AM87" i="71"/>
  <c r="BD33" i="3"/>
  <c r="BD78" i="3"/>
  <c r="AN20" i="61"/>
  <c r="BD23" i="3"/>
  <c r="BC78" i="3"/>
  <c r="AM67" i="71"/>
  <c r="BT199" i="73"/>
  <c r="BT190" i="73"/>
  <c r="BT181" i="73"/>
  <c r="BQ190" i="73"/>
  <c r="BQ199" i="73"/>
  <c r="BQ181" i="73"/>
  <c r="BP181" i="73"/>
  <c r="BP199" i="73"/>
  <c r="BP190" i="73"/>
  <c r="BY190" i="73"/>
  <c r="BY181" i="73"/>
  <c r="BY199" i="73"/>
  <c r="BX181" i="73"/>
  <c r="BX199" i="73"/>
  <c r="BX190" i="73"/>
  <c r="BR199" i="73"/>
  <c r="BR190" i="73"/>
  <c r="BR181" i="73"/>
  <c r="BN199" i="73"/>
  <c r="BN181" i="73"/>
  <c r="BN190" i="73"/>
  <c r="BZ190" i="73"/>
  <c r="BZ199" i="73"/>
  <c r="BZ181" i="73"/>
  <c r="BV199" i="73"/>
  <c r="BV190" i="73"/>
  <c r="BV181" i="73"/>
  <c r="BS199" i="73"/>
  <c r="BS181" i="73"/>
  <c r="BS190" i="73"/>
  <c r="BM190" i="73"/>
  <c r="BM181" i="73"/>
  <c r="BM199" i="73"/>
  <c r="BO181" i="73"/>
  <c r="BO199" i="73"/>
  <c r="BO190" i="73"/>
  <c r="BU190" i="73"/>
  <c r="BU199" i="73"/>
  <c r="BU181" i="73"/>
  <c r="BW190" i="73"/>
  <c r="BW181" i="73"/>
  <c r="BW199" i="73"/>
  <c r="AI54" i="63"/>
  <c r="AL17" i="67"/>
  <c r="AL20" i="67" s="1"/>
  <c r="BC61" i="3"/>
  <c r="AU49" i="9"/>
  <c r="S24" i="13"/>
  <c r="BC33" i="3"/>
  <c r="AL9" i="67"/>
  <c r="AM76" i="71"/>
  <c r="AM64" i="71"/>
  <c r="BC23" i="3"/>
  <c r="AI79" i="63"/>
  <c r="AL33" i="67"/>
  <c r="AL13" i="67"/>
  <c r="AM73" i="71"/>
  <c r="AM70" i="71"/>
  <c r="AM74" i="71"/>
  <c r="S25" i="13"/>
  <c r="AI94" i="63"/>
  <c r="AJ93" i="63" s="1"/>
  <c r="AU13" i="9"/>
  <c r="BC6" i="3"/>
  <c r="AL29" i="67"/>
  <c r="AL22" i="67"/>
  <c r="AM83" i="71"/>
  <c r="AM82" i="71"/>
  <c r="AU18" i="9"/>
  <c r="BC40" i="3"/>
  <c r="BC42" i="3"/>
  <c r="AN18" i="33"/>
  <c r="AI87" i="63"/>
  <c r="AM77" i="71"/>
  <c r="AM71" i="71"/>
  <c r="AM79" i="71"/>
  <c r="AM78" i="71"/>
  <c r="AM80" i="71"/>
  <c r="AN93" i="63" l="1"/>
  <c r="BC30" i="9"/>
  <c r="BC25" i="9"/>
  <c r="BB30" i="9"/>
  <c r="AW50" i="9"/>
  <c r="AW53" i="9" s="1"/>
  <c r="AX50" i="9"/>
  <c r="AX53" i="9" s="1"/>
  <c r="BA30" i="9"/>
  <c r="AV50" i="9"/>
  <c r="AV53" i="9" s="1"/>
  <c r="AZ50" i="9"/>
  <c r="AZ53" i="9" s="1"/>
  <c r="AU50" i="9"/>
  <c r="AU53" i="9" s="1"/>
  <c r="AU17" i="9"/>
  <c r="AU30" i="9"/>
  <c r="AV30" i="9"/>
  <c r="AU25" i="9"/>
  <c r="AR65" i="71"/>
  <c r="W23" i="13"/>
  <c r="BH6" i="3"/>
  <c r="BH42" i="3"/>
  <c r="AZ7" i="9" s="1"/>
  <c r="AN12" i="63"/>
  <c r="AN79" i="63"/>
  <c r="X24" i="13"/>
  <c r="X23" i="13" s="1"/>
  <c r="BH61" i="3"/>
  <c r="AZ17" i="9"/>
  <c r="AZ12" i="9"/>
  <c r="AR23" i="44"/>
  <c r="AY12" i="9"/>
  <c r="AQ23" i="44"/>
  <c r="AP39" i="67"/>
  <c r="AY17" i="9"/>
  <c r="BG42" i="3"/>
  <c r="BG6" i="3"/>
  <c r="AX17" i="9"/>
  <c r="V23" i="13"/>
  <c r="BF40" i="3"/>
  <c r="AP23" i="44" s="1"/>
  <c r="BF39" i="3"/>
  <c r="AX8" i="9"/>
  <c r="AX6" i="9"/>
  <c r="AX7" i="9"/>
  <c r="BF90" i="3"/>
  <c r="AW7" i="9"/>
  <c r="BD61" i="3"/>
  <c r="AM14" i="45"/>
  <c r="BD42" i="3"/>
  <c r="AV7" i="9" s="1"/>
  <c r="BD6" i="3"/>
  <c r="T23" i="13"/>
  <c r="AV25" i="9"/>
  <c r="AN23" i="44"/>
  <c r="AV12" i="9"/>
  <c r="AV17" i="9"/>
  <c r="S23" i="13"/>
  <c r="CC190" i="73"/>
  <c r="CC199" i="73"/>
  <c r="CC181" i="73"/>
  <c r="K190" i="73"/>
  <c r="K181" i="73"/>
  <c r="K199" i="73"/>
  <c r="I199" i="73"/>
  <c r="I190" i="73"/>
  <c r="I181" i="73"/>
  <c r="O199" i="73"/>
  <c r="O181" i="73"/>
  <c r="O190" i="73"/>
  <c r="R199" i="73"/>
  <c r="R181" i="73"/>
  <c r="R190" i="73"/>
  <c r="U199" i="73"/>
  <c r="U190" i="73"/>
  <c r="U181" i="73"/>
  <c r="CA199" i="73"/>
  <c r="CA181" i="73"/>
  <c r="CA190" i="73"/>
  <c r="AG190" i="73"/>
  <c r="AG199" i="73"/>
  <c r="AG181" i="73"/>
  <c r="H199" i="73"/>
  <c r="H190" i="73"/>
  <c r="H181" i="73"/>
  <c r="Y190" i="73"/>
  <c r="Y199" i="73"/>
  <c r="Y181" i="73"/>
  <c r="AE199" i="73"/>
  <c r="AE181" i="73"/>
  <c r="AE190" i="73"/>
  <c r="G199" i="73"/>
  <c r="G181" i="73"/>
  <c r="G190" i="73"/>
  <c r="AF190" i="73"/>
  <c r="AF199" i="73"/>
  <c r="AF181" i="73"/>
  <c r="BK199" i="73"/>
  <c r="BK181" i="73"/>
  <c r="BK190" i="73"/>
  <c r="AM199" i="73"/>
  <c r="AM181" i="73"/>
  <c r="AM190" i="73"/>
  <c r="E199" i="73"/>
  <c r="E181" i="73"/>
  <c r="E190" i="73"/>
  <c r="CB199" i="73"/>
  <c r="CB181" i="73"/>
  <c r="CB190" i="73"/>
  <c r="AS190" i="73"/>
  <c r="AS199" i="73"/>
  <c r="AS181" i="73"/>
  <c r="AC190" i="73"/>
  <c r="AC181" i="73"/>
  <c r="AC199" i="73"/>
  <c r="BJ199" i="73"/>
  <c r="BJ181" i="73"/>
  <c r="BJ190" i="73"/>
  <c r="BA190" i="73"/>
  <c r="BA181" i="73"/>
  <c r="BA199" i="73"/>
  <c r="BH199" i="73"/>
  <c r="BH190" i="73"/>
  <c r="BH181" i="73"/>
  <c r="AX199" i="73"/>
  <c r="AX190" i="73"/>
  <c r="AX181" i="73"/>
  <c r="AK190" i="73"/>
  <c r="AK181" i="73"/>
  <c r="AK199" i="73"/>
  <c r="L181" i="73"/>
  <c r="L199" i="73"/>
  <c r="L190" i="73"/>
  <c r="AN190" i="73"/>
  <c r="AN181" i="73"/>
  <c r="AN199" i="73"/>
  <c r="F199" i="73"/>
  <c r="F181" i="73"/>
  <c r="F190" i="73"/>
  <c r="W199" i="73"/>
  <c r="W181" i="73"/>
  <c r="W190" i="73"/>
  <c r="Q190" i="73"/>
  <c r="Q199" i="73"/>
  <c r="Q181" i="73"/>
  <c r="AZ190" i="73"/>
  <c r="AZ181" i="73"/>
  <c r="AZ199" i="73"/>
  <c r="BI190" i="73"/>
  <c r="BI181" i="73"/>
  <c r="BI199" i="73"/>
  <c r="CE199" i="73"/>
  <c r="CE181" i="73"/>
  <c r="CE190" i="73"/>
  <c r="BL190" i="73"/>
  <c r="BL199" i="73"/>
  <c r="BL181" i="73"/>
  <c r="T199" i="73"/>
  <c r="T181" i="73"/>
  <c r="T190" i="73"/>
  <c r="AV199" i="73"/>
  <c r="AV190" i="73"/>
  <c r="AV181" i="73"/>
  <c r="AW190" i="73"/>
  <c r="AW181" i="73"/>
  <c r="AW199" i="73"/>
  <c r="P190" i="73"/>
  <c r="P199" i="73"/>
  <c r="P181" i="73"/>
  <c r="CD199" i="73"/>
  <c r="CD190" i="73"/>
  <c r="CD181" i="73"/>
  <c r="AB199" i="73"/>
  <c r="AB181" i="73"/>
  <c r="AB190" i="73"/>
  <c r="BD199" i="73"/>
  <c r="BD190" i="73"/>
  <c r="BD181" i="73"/>
  <c r="J199" i="73"/>
  <c r="J190" i="73"/>
  <c r="J181" i="73"/>
  <c r="AQ190" i="73"/>
  <c r="AQ199" i="73"/>
  <c r="AQ181" i="73"/>
  <c r="AU199" i="73"/>
  <c r="AU181" i="73"/>
  <c r="AU190" i="73"/>
  <c r="X190" i="73"/>
  <c r="X181" i="73"/>
  <c r="X199" i="73"/>
  <c r="BB199" i="73"/>
  <c r="BB190" i="73"/>
  <c r="BB181" i="73"/>
  <c r="AR181" i="73"/>
  <c r="AR199" i="73"/>
  <c r="AR190" i="73"/>
  <c r="AP199" i="73"/>
  <c r="AP190" i="73"/>
  <c r="AP181" i="73"/>
  <c r="AJ181" i="73"/>
  <c r="AJ190" i="73"/>
  <c r="AJ199" i="73"/>
  <c r="Z199" i="73"/>
  <c r="Z181" i="73"/>
  <c r="Z190" i="73"/>
  <c r="AD199" i="73"/>
  <c r="AD181" i="73"/>
  <c r="AD190" i="73"/>
  <c r="V199" i="73"/>
  <c r="V181" i="73"/>
  <c r="V190" i="73"/>
  <c r="N199" i="73"/>
  <c r="N181" i="73"/>
  <c r="N190" i="73"/>
  <c r="M181" i="73"/>
  <c r="M190" i="73"/>
  <c r="M199" i="73"/>
  <c r="AY190" i="73"/>
  <c r="AY181" i="73"/>
  <c r="AY199" i="73"/>
  <c r="AI199" i="73"/>
  <c r="AI190" i="73"/>
  <c r="AI181" i="73"/>
  <c r="BF199" i="73"/>
  <c r="BF181" i="73"/>
  <c r="BF190" i="73"/>
  <c r="BG199" i="73"/>
  <c r="BG190" i="73"/>
  <c r="BG181" i="73"/>
  <c r="BE190" i="73"/>
  <c r="BE199" i="73"/>
  <c r="BE181" i="73"/>
  <c r="BC199" i="73"/>
  <c r="BC181" i="73"/>
  <c r="BC190" i="73"/>
  <c r="AL199" i="73"/>
  <c r="AL181" i="73"/>
  <c r="AL190" i="73"/>
  <c r="S199" i="73"/>
  <c r="S190" i="73"/>
  <c r="S181" i="73"/>
  <c r="AA190" i="73"/>
  <c r="AA199" i="73"/>
  <c r="AA181" i="73"/>
  <c r="AT199" i="73"/>
  <c r="AT181" i="73"/>
  <c r="AT190" i="73"/>
  <c r="AH199" i="73"/>
  <c r="AH190" i="73"/>
  <c r="AH181" i="73"/>
  <c r="AU7" i="9"/>
  <c r="BC90" i="3"/>
  <c r="AU12" i="9"/>
  <c r="AM23" i="44"/>
  <c r="AL39" i="67"/>
  <c r="BC39" i="3"/>
  <c r="AU8" i="9"/>
  <c r="AU6" i="9"/>
  <c r="AU138" i="9" l="1"/>
  <c r="BB138" i="9"/>
  <c r="BC138" i="9"/>
  <c r="AZ6" i="9"/>
  <c r="BH90" i="3"/>
  <c r="AZ8" i="9"/>
  <c r="BH39" i="3"/>
  <c r="BC24" i="9" s="1"/>
  <c r="AZ14" i="9"/>
  <c r="AV138" i="9"/>
  <c r="AY14" i="9"/>
  <c r="BG90" i="3"/>
  <c r="AY7" i="9"/>
  <c r="BG39" i="3"/>
  <c r="AY6" i="9"/>
  <c r="AY8" i="9"/>
  <c r="AX12" i="9"/>
  <c r="BF91" i="3"/>
  <c r="AV8" i="9"/>
  <c r="BD39" i="3"/>
  <c r="BD90" i="3"/>
  <c r="AV6" i="9"/>
  <c r="AV14" i="9"/>
  <c r="AV16" i="9"/>
  <c r="AU24" i="9"/>
  <c r="AU14" i="9"/>
  <c r="AU16" i="9"/>
  <c r="BC91" i="3"/>
  <c r="BC29" i="9" l="1"/>
  <c r="BB29" i="9"/>
  <c r="BH91" i="3"/>
  <c r="AX14" i="9"/>
  <c r="BG91" i="3"/>
  <c r="BD91" i="3"/>
  <c r="AV24" i="9"/>
  <c r="AV29" i="9"/>
  <c r="AU29" i="9"/>
  <c r="BB137" i="9" l="1"/>
  <c r="BB136" i="9" s="1"/>
  <c r="BC137" i="9"/>
  <c r="BC136" i="9" s="1"/>
  <c r="BC141" i="9" s="1"/>
  <c r="BC28" i="9"/>
  <c r="BB28" i="9"/>
  <c r="BA29" i="9"/>
  <c r="AV137" i="9"/>
  <c r="AV136" i="9" s="1"/>
  <c r="AV140" i="9" s="1"/>
  <c r="AU137" i="9"/>
  <c r="AU136" i="9" s="1"/>
  <c r="AU141" i="9" s="1"/>
  <c r="AV28" i="9"/>
  <c r="AU28" i="9"/>
  <c r="AU26" i="9" s="1"/>
  <c r="BC140" i="9" l="1"/>
  <c r="BA28" i="9"/>
  <c r="AV141" i="9"/>
  <c r="AU140" i="9"/>
  <c r="AV26" i="9"/>
  <c r="AJ79" i="63" l="1"/>
  <c r="AJ54" i="63" l="1"/>
  <c r="AL54" i="68" l="1"/>
  <c r="AL45" i="68"/>
  <c r="AL60" i="68" l="1"/>
  <c r="AL50" i="68"/>
  <c r="AL51" i="68" s="1"/>
  <c r="AL31" i="68"/>
  <c r="AL23" i="68"/>
  <c r="AL61" i="68" l="1"/>
  <c r="AL32" i="68"/>
  <c r="AK79" i="63" l="1"/>
  <c r="N93" i="23" l="1"/>
  <c r="U24" i="13" l="1"/>
  <c r="U23" i="13" s="1"/>
  <c r="AY32" i="44" l="1"/>
  <c r="AZ25" i="44" s="1"/>
  <c r="AZ32" i="44" s="1"/>
  <c r="BA25" i="44" s="1"/>
  <c r="BA32" i="44" s="1"/>
  <c r="BB25" i="44" s="1"/>
  <c r="BB32" i="44" s="1"/>
  <c r="BB38" i="44" l="1"/>
  <c r="BC25" i="44"/>
  <c r="BA38" i="44"/>
  <c r="AZ38" i="44"/>
  <c r="AN33" i="67" l="1"/>
  <c r="AN39" i="67" s="1"/>
  <c r="R270" i="79" l="1"/>
  <c r="Q278" i="79"/>
  <c r="Q288" i="79" l="1"/>
  <c r="T270" i="79"/>
  <c r="T278" i="79" s="1"/>
  <c r="T288" i="79" s="1"/>
  <c r="T298" i="79" s="1"/>
  <c r="T308" i="79" s="1"/>
  <c r="T319" i="79" s="1"/>
  <c r="T330" i="79" s="1"/>
  <c r="T341" i="79" s="1"/>
  <c r="R278" i="79"/>
  <c r="R288" i="79" s="1"/>
  <c r="T349" i="79" l="1"/>
  <c r="R298" i="79"/>
  <c r="R308" i="79" s="1"/>
  <c r="R319" i="79" s="1"/>
  <c r="R330" i="79" s="1"/>
  <c r="Q298" i="79"/>
  <c r="BE78" i="3"/>
  <c r="R341" i="79" l="1"/>
  <c r="BE90" i="3"/>
  <c r="AZ30" i="9"/>
  <c r="AY30" i="9"/>
  <c r="AX30" i="9"/>
  <c r="AW30" i="9"/>
  <c r="AW17" i="9"/>
  <c r="Q308" i="79"/>
  <c r="R349" i="79" l="1"/>
  <c r="AX138" i="9"/>
  <c r="AY138" i="9"/>
  <c r="Q319" i="79"/>
  <c r="AW138" i="9"/>
  <c r="AZ138" i="9"/>
  <c r="Q330" i="79" l="1"/>
  <c r="G93" i="23"/>
  <c r="Q341" i="79" l="1"/>
  <c r="AP22" i="26"/>
  <c r="AP23" i="26" s="1"/>
  <c r="Q349" i="79" l="1"/>
  <c r="AP12" i="26"/>
  <c r="AP13" i="26" s="1"/>
  <c r="AK54" i="63" l="1"/>
  <c r="AK6" i="63" l="1"/>
  <c r="AK11" i="63" s="1"/>
  <c r="AK14" i="63" s="1"/>
  <c r="AW13" i="1" l="1"/>
  <c r="AW15" i="1" s="1"/>
  <c r="AW11" i="12"/>
  <c r="AW12" i="12" s="1"/>
  <c r="AW14" i="12" s="1"/>
  <c r="AW34" i="12" l="1"/>
  <c r="AW39" i="12"/>
  <c r="AW40" i="1"/>
  <c r="AW35" i="1"/>
  <c r="AX15" i="9" l="1"/>
  <c r="AW15" i="9"/>
  <c r="AX16" i="9"/>
  <c r="AW42" i="12"/>
  <c r="AW44" i="12" s="1"/>
  <c r="AW48" i="12" s="1"/>
  <c r="AW36" i="1"/>
  <c r="AW35" i="12"/>
  <c r="AW43" i="1"/>
  <c r="AW45" i="1" s="1"/>
  <c r="AW48" i="1" s="1"/>
  <c r="AX25" i="9" l="1"/>
  <c r="AW25" i="9"/>
  <c r="AW50" i="12"/>
  <c r="AY7" i="12" l="1"/>
  <c r="AY8" i="12" s="1"/>
  <c r="AY12" i="10" l="1"/>
  <c r="AY10" i="12" l="1"/>
  <c r="AY14" i="10"/>
  <c r="AY16" i="10" s="1"/>
  <c r="AY6" i="10"/>
  <c r="BD8" i="2"/>
  <c r="BD6" i="2" l="1"/>
  <c r="AY12" i="12"/>
  <c r="AY14" i="12" s="1"/>
  <c r="AY40" i="10"/>
  <c r="AY35" i="10"/>
  <c r="BD10" i="2" l="1"/>
  <c r="AY50" i="9"/>
  <c r="AY53" i="9" s="1"/>
  <c r="AR11" i="30"/>
  <c r="AY39" i="12"/>
  <c r="BB24" i="9" s="1"/>
  <c r="AY34" i="12"/>
  <c r="AY43" i="10"/>
  <c r="AY45" i="10" s="1"/>
  <c r="AY48" i="10" s="1"/>
  <c r="AY36" i="10"/>
  <c r="AZ15" i="9" l="1"/>
  <c r="BA16" i="9"/>
  <c r="AQ11" i="53"/>
  <c r="BD16" i="2"/>
  <c r="BC16" i="9"/>
  <c r="BB16" i="9"/>
  <c r="BB15" i="9"/>
  <c r="BA15" i="9"/>
  <c r="AZ16" i="9"/>
  <c r="AY16" i="9"/>
  <c r="AY42" i="12"/>
  <c r="AY44" i="12" s="1"/>
  <c r="AY48" i="12" s="1"/>
  <c r="BA24" i="9"/>
  <c r="AY15" i="9"/>
  <c r="AY35" i="12"/>
  <c r="BD19" i="2" l="1"/>
  <c r="BB25" i="9"/>
  <c r="AY25" i="9"/>
  <c r="AZ25" i="9"/>
  <c r="AY50" i="12"/>
  <c r="BA25" i="9"/>
  <c r="BB27" i="9" l="1"/>
  <c r="BB133" i="9" s="1"/>
  <c r="BB135" i="9" s="1"/>
  <c r="BB141" i="9" s="1"/>
  <c r="BA27" i="9"/>
  <c r="BA26" i="9" s="1"/>
  <c r="BD24" i="2"/>
  <c r="BD26" i="2" s="1"/>
  <c r="BD28" i="2" s="1"/>
  <c r="BD30" i="2" s="1"/>
  <c r="AY27" i="9"/>
  <c r="AY133" i="9" s="1"/>
  <c r="AY135" i="9" s="1"/>
  <c r="AZ27" i="9"/>
  <c r="AZ133" i="9" s="1"/>
  <c r="AZ135" i="9" s="1"/>
  <c r="BB140" i="9" l="1"/>
  <c r="BB26" i="9"/>
  <c r="BA133" i="9"/>
  <c r="BA135" i="9" s="1"/>
  <c r="AM18" i="63"/>
  <c r="M25" i="76"/>
  <c r="M22" i="76"/>
  <c r="G315" i="73" l="1"/>
  <c r="AF189" i="77"/>
  <c r="AF117" i="77"/>
  <c r="AF164" i="77"/>
  <c r="AF21" i="77"/>
  <c r="AF172" i="77"/>
  <c r="AF171" i="77"/>
  <c r="H315" i="73" l="1"/>
  <c r="G314" i="73"/>
  <c r="G316" i="73" s="1"/>
  <c r="L137" i="80"/>
  <c r="AF285" i="77"/>
  <c r="D56" i="49"/>
  <c r="X299" i="36"/>
  <c r="X324" i="36"/>
  <c r="D117" i="80"/>
  <c r="D299" i="36"/>
  <c r="D106" i="38"/>
  <c r="AC23" i="60"/>
  <c r="D132" i="80"/>
  <c r="D306" i="79"/>
  <c r="D296" i="79"/>
  <c r="B196" i="77"/>
  <c r="D24" i="33"/>
  <c r="L151" i="80"/>
  <c r="B189" i="77"/>
  <c r="D271" i="79"/>
  <c r="D311" i="36"/>
  <c r="D69" i="23"/>
  <c r="K69" i="23" s="1"/>
  <c r="AL5" i="83"/>
  <c r="X311" i="36"/>
  <c r="X341" i="36"/>
  <c r="G5" i="84"/>
  <c r="D82" i="9"/>
  <c r="D108" i="38"/>
  <c r="C185" i="77"/>
  <c r="D8" i="84"/>
  <c r="D290" i="79"/>
  <c r="D142" i="80"/>
  <c r="D69" i="68"/>
  <c r="D78" i="68"/>
  <c r="D273" i="79"/>
  <c r="L132" i="80"/>
  <c r="D16" i="53"/>
  <c r="D9" i="59"/>
  <c r="AF281" i="77"/>
  <c r="D311" i="79"/>
  <c r="D279" i="77"/>
  <c r="X5" i="84"/>
  <c r="D105" i="38"/>
  <c r="D47" i="83"/>
  <c r="D333" i="36"/>
  <c r="D346" i="36"/>
  <c r="AH5" i="84"/>
  <c r="D106" i="23"/>
  <c r="K106" i="23" s="1"/>
  <c r="D26" i="65"/>
  <c r="D220" i="73"/>
  <c r="AN5" i="24"/>
  <c r="D30" i="76"/>
  <c r="AN5" i="71"/>
  <c r="X313" i="36"/>
  <c r="D104" i="23"/>
  <c r="K104" i="23" s="1"/>
  <c r="L18" i="80"/>
  <c r="D50" i="83"/>
  <c r="X297" i="36"/>
  <c r="D26" i="48"/>
  <c r="D90" i="80"/>
  <c r="D9" i="53"/>
  <c r="D283" i="36"/>
  <c r="BG5" i="3"/>
  <c r="BG41" i="3" s="1"/>
  <c r="D130" i="80"/>
  <c r="D302" i="79"/>
  <c r="D73" i="23"/>
  <c r="K73" i="23" s="1"/>
  <c r="C186" i="77"/>
  <c r="B186" i="77"/>
  <c r="AF186" i="77" s="1"/>
  <c r="D314" i="79"/>
  <c r="C177" i="77"/>
  <c r="D119" i="38"/>
  <c r="L58" i="80"/>
  <c r="D30" i="49"/>
  <c r="D14" i="84"/>
  <c r="L134" i="80"/>
  <c r="D113" i="38"/>
  <c r="D300" i="79"/>
  <c r="D10" i="65"/>
  <c r="D56" i="71"/>
  <c r="BB56" i="71" s="1"/>
  <c r="X330" i="36"/>
  <c r="D70" i="23"/>
  <c r="K70" i="23" s="1"/>
  <c r="D344" i="36"/>
  <c r="X344" i="36"/>
  <c r="D134" i="9"/>
  <c r="D15" i="84"/>
  <c r="D135" i="80"/>
  <c r="L145" i="80"/>
  <c r="X342" i="36"/>
  <c r="C193" i="77"/>
  <c r="D116" i="9"/>
  <c r="D310" i="36"/>
  <c r="AL5" i="72"/>
  <c r="D79" i="23"/>
  <c r="K79" i="23" s="1"/>
  <c r="D75" i="23"/>
  <c r="K75" i="23" s="1"/>
  <c r="D128" i="80"/>
  <c r="L144" i="80"/>
  <c r="Q49" i="42"/>
  <c r="D87" i="38"/>
  <c r="D283" i="79"/>
  <c r="D108" i="80"/>
  <c r="D20" i="80"/>
  <c r="Q50" i="42"/>
  <c r="D266" i="79"/>
  <c r="D281" i="79"/>
  <c r="D103" i="38"/>
  <c r="AO88" i="9"/>
  <c r="D119" i="9"/>
  <c r="D71" i="23"/>
  <c r="K71" i="23" s="1"/>
  <c r="X335" i="36"/>
  <c r="E4" i="44"/>
  <c r="D120" i="80"/>
  <c r="X343" i="36"/>
  <c r="D87" i="23"/>
  <c r="K87" i="23" s="1"/>
  <c r="AM5" i="68"/>
  <c r="AM63" i="68" s="1"/>
  <c r="L124" i="80"/>
  <c r="D48" i="42"/>
  <c r="D327" i="36"/>
  <c r="D293" i="79"/>
  <c r="D283" i="77"/>
  <c r="BC88" i="9"/>
  <c r="X320" i="36"/>
  <c r="X5" i="36"/>
  <c r="D290" i="36"/>
  <c r="D92" i="23"/>
  <c r="K92" i="23" s="1"/>
  <c r="D37" i="83"/>
  <c r="D286" i="36"/>
  <c r="D31" i="52"/>
  <c r="X314" i="36"/>
  <c r="D305" i="79"/>
  <c r="D342" i="36"/>
  <c r="D88" i="38"/>
  <c r="D132" i="9"/>
  <c r="I5" i="84"/>
  <c r="D104" i="38"/>
  <c r="R5" i="84"/>
  <c r="D292" i="79"/>
  <c r="D284" i="79"/>
  <c r="D33" i="49"/>
  <c r="X321" i="36"/>
  <c r="D139" i="38"/>
  <c r="X329" i="36"/>
  <c r="D291" i="79"/>
  <c r="C196" i="77"/>
  <c r="C187" i="77"/>
  <c r="X312" i="36"/>
  <c r="D133" i="38"/>
  <c r="L122" i="80"/>
  <c r="AY5" i="12"/>
  <c r="L142" i="80"/>
  <c r="V5" i="81"/>
  <c r="D91" i="23"/>
  <c r="K91" i="23" s="1"/>
  <c r="D84" i="38"/>
  <c r="D18" i="59"/>
  <c r="AN5" i="63"/>
  <c r="AN17" i="63" s="1"/>
  <c r="D17" i="81"/>
  <c r="X309" i="36"/>
  <c r="D28" i="76"/>
  <c r="P5" i="84"/>
  <c r="AD88" i="9"/>
  <c r="D41" i="83"/>
  <c r="D125" i="80"/>
  <c r="D101" i="38"/>
  <c r="AP88" i="9"/>
  <c r="D300" i="36"/>
  <c r="D148" i="80"/>
  <c r="B177" i="77"/>
  <c r="AF177" i="77" s="1"/>
  <c r="AI5" i="84"/>
  <c r="D127" i="80"/>
  <c r="D116" i="38"/>
  <c r="AI88" i="9"/>
  <c r="D218" i="73"/>
  <c r="D91" i="83"/>
  <c r="D23" i="76"/>
  <c r="L149" i="80"/>
  <c r="D313" i="36"/>
  <c r="AB5" i="49"/>
  <c r="D297" i="79"/>
  <c r="D321" i="36"/>
  <c r="X322" i="36"/>
  <c r="D26" i="68"/>
  <c r="D270" i="79"/>
  <c r="D131" i="80"/>
  <c r="AH5" i="68"/>
  <c r="AH63" i="68" s="1"/>
  <c r="D5" i="71"/>
  <c r="AB5" i="84"/>
  <c r="D314" i="36"/>
  <c r="D305" i="36"/>
  <c r="D139" i="80"/>
  <c r="L138" i="80"/>
  <c r="D153" i="80"/>
  <c r="D88" i="23"/>
  <c r="K88" i="23" s="1"/>
  <c r="C172" i="77"/>
  <c r="D330" i="36"/>
  <c r="D65" i="23"/>
  <c r="K65" i="23" s="1"/>
  <c r="D98" i="38"/>
  <c r="D85" i="38"/>
  <c r="L146" i="80"/>
  <c r="P3" i="77"/>
  <c r="D317" i="79"/>
  <c r="B175" i="77"/>
  <c r="AF175" i="77" s="1"/>
  <c r="AN88" i="9"/>
  <c r="D297" i="36"/>
  <c r="D295" i="79"/>
  <c r="X339" i="36"/>
  <c r="L66" i="80"/>
  <c r="L30" i="80"/>
  <c r="D276" i="36"/>
  <c r="D32" i="46"/>
  <c r="AC7" i="60"/>
  <c r="L117" i="80"/>
  <c r="C176" i="77"/>
  <c r="D294" i="36"/>
  <c r="D100" i="23"/>
  <c r="K100" i="23" s="1"/>
  <c r="D6" i="84"/>
  <c r="L62" i="80"/>
  <c r="L96" i="80"/>
  <c r="L150" i="80"/>
  <c r="AN5" i="84"/>
  <c r="AD5" i="84"/>
  <c r="D38" i="83"/>
  <c r="L130" i="80"/>
  <c r="D307" i="79"/>
  <c r="C173" i="77"/>
  <c r="L118" i="80"/>
  <c r="X304" i="36"/>
  <c r="D60" i="23"/>
  <c r="K60" i="23" s="1"/>
  <c r="D265" i="79"/>
  <c r="D287" i="79"/>
  <c r="D9" i="84"/>
  <c r="D10" i="84"/>
  <c r="D134" i="80"/>
  <c r="D85" i="23"/>
  <c r="K85" i="23" s="1"/>
  <c r="D18" i="65"/>
  <c r="D10" i="49"/>
  <c r="X315" i="36"/>
  <c r="D134" i="38"/>
  <c r="D96" i="38"/>
  <c r="D50" i="68"/>
  <c r="AH88" i="9"/>
  <c r="D51" i="49"/>
  <c r="D44" i="83"/>
  <c r="D143" i="80"/>
  <c r="D141" i="80"/>
  <c r="D62" i="23"/>
  <c r="K62" i="23" s="1"/>
  <c r="D141" i="9"/>
  <c r="D288" i="79"/>
  <c r="D8" i="71"/>
  <c r="BB8" i="71" s="1"/>
  <c r="L20" i="80"/>
  <c r="X340" i="36"/>
  <c r="D315" i="79"/>
  <c r="C180" i="77"/>
  <c r="AF88" i="9"/>
  <c r="X306" i="36"/>
  <c r="D101" i="23"/>
  <c r="K101" i="23" s="1"/>
  <c r="D28" i="68"/>
  <c r="AU88" i="9"/>
  <c r="C188" i="77"/>
  <c r="D340" i="36"/>
  <c r="L120" i="80"/>
  <c r="D326" i="36"/>
  <c r="AN5" i="29"/>
  <c r="D64" i="23"/>
  <c r="K64" i="23" s="1"/>
  <c r="D32" i="49"/>
  <c r="X307" i="36"/>
  <c r="L113" i="80"/>
  <c r="D89" i="38"/>
  <c r="AJ5" i="68"/>
  <c r="AJ63" i="68" s="1"/>
  <c r="D117" i="38"/>
  <c r="D286" i="79"/>
  <c r="D323" i="36"/>
  <c r="C184" i="77"/>
  <c r="D261" i="79"/>
  <c r="B195" i="77"/>
  <c r="L148" i="80"/>
  <c r="D92" i="68"/>
  <c r="D98" i="23"/>
  <c r="K98" i="23" s="1"/>
  <c r="D89" i="23"/>
  <c r="K89" i="23" s="1"/>
  <c r="L131" i="80"/>
  <c r="D303" i="36"/>
  <c r="D109" i="38"/>
  <c r="D137" i="80"/>
  <c r="D144" i="80"/>
  <c r="D319" i="79"/>
  <c r="Q5" i="84"/>
  <c r="D276" i="79"/>
  <c r="L40" i="80"/>
  <c r="L5" i="84"/>
  <c r="D14" i="49"/>
  <c r="X301" i="36"/>
  <c r="D296" i="36"/>
  <c r="AI5" i="72"/>
  <c r="D32" i="68"/>
  <c r="X316" i="36"/>
  <c r="O5" i="84"/>
  <c r="T5" i="84"/>
  <c r="D325" i="36"/>
  <c r="C190" i="77"/>
  <c r="L123" i="80"/>
  <c r="D94" i="38"/>
  <c r="D140" i="83"/>
  <c r="D337" i="36"/>
  <c r="D322" i="36"/>
  <c r="D285" i="77"/>
  <c r="C192" i="77"/>
  <c r="AL5" i="84"/>
  <c r="D80" i="23"/>
  <c r="K80" i="23" s="1"/>
  <c r="D71" i="71"/>
  <c r="D6" i="81"/>
  <c r="D310" i="79"/>
  <c r="D138" i="80"/>
  <c r="D7" i="84"/>
  <c r="D324" i="36"/>
  <c r="D13" i="49"/>
  <c r="AC5" i="84"/>
  <c r="D87" i="71"/>
  <c r="D14" i="53"/>
  <c r="D78" i="71"/>
  <c r="D23" i="49"/>
  <c r="D7" i="39"/>
  <c r="D55" i="49"/>
  <c r="D118" i="80"/>
  <c r="B187" i="77"/>
  <c r="AF187" i="77" s="1"/>
  <c r="T5" i="81"/>
  <c r="CB208" i="73"/>
  <c r="D11" i="68"/>
  <c r="L116" i="80"/>
  <c r="F5" i="60"/>
  <c r="AM5" i="67"/>
  <c r="B193" i="77"/>
  <c r="D313" i="79"/>
  <c r="X331" i="36"/>
  <c r="D121" i="38"/>
  <c r="D302" i="36"/>
  <c r="D27" i="76"/>
  <c r="D95" i="38"/>
  <c r="T5" i="13"/>
  <c r="D219" i="73"/>
  <c r="X337" i="36"/>
  <c r="D329" i="36"/>
  <c r="D149" i="80"/>
  <c r="D341" i="36"/>
  <c r="D82" i="38"/>
  <c r="D135" i="9"/>
  <c r="D282" i="77"/>
  <c r="D115" i="38"/>
  <c r="D28" i="71"/>
  <c r="BB28" i="71" s="1"/>
  <c r="X326" i="36"/>
  <c r="D264" i="79"/>
  <c r="D135" i="38"/>
  <c r="D278" i="79"/>
  <c r="AL88" i="9"/>
  <c r="D124" i="38"/>
  <c r="L139" i="80"/>
  <c r="D107" i="38"/>
  <c r="D146" i="80"/>
  <c r="D151" i="80"/>
  <c r="D129" i="38"/>
  <c r="AJ5" i="84"/>
  <c r="AC8" i="60"/>
  <c r="D332" i="36"/>
  <c r="D345" i="36"/>
  <c r="C194" i="77"/>
  <c r="AF5" i="84"/>
  <c r="D114" i="38"/>
  <c r="D221" i="73"/>
  <c r="AN5" i="72"/>
  <c r="D312" i="36"/>
  <c r="D52" i="49"/>
  <c r="D111" i="38"/>
  <c r="AS88" i="9"/>
  <c r="AJ88" i="9"/>
  <c r="D336" i="36"/>
  <c r="D303" i="79"/>
  <c r="D339" i="36"/>
  <c r="D69" i="3"/>
  <c r="J5" i="84"/>
  <c r="L55" i="80"/>
  <c r="J5" i="60"/>
  <c r="C183" i="77"/>
  <c r="B173" i="77"/>
  <c r="AF173" i="77" s="1"/>
  <c r="D142" i="9"/>
  <c r="D131" i="38"/>
  <c r="D68" i="23"/>
  <c r="K68" i="23" s="1"/>
  <c r="D53" i="49"/>
  <c r="X323" i="36"/>
  <c r="D28" i="49"/>
  <c r="AL5" i="68"/>
  <c r="AL63" i="68" s="1"/>
  <c r="D140" i="9"/>
  <c r="X303" i="36"/>
  <c r="V5" i="84"/>
  <c r="AC17" i="60"/>
  <c r="D10" i="53"/>
  <c r="AJ5" i="72"/>
  <c r="D282" i="36"/>
  <c r="D50" i="42"/>
  <c r="Y5" i="81"/>
  <c r="D280" i="77"/>
  <c r="D40" i="71"/>
  <c r="BB40" i="71" s="1"/>
  <c r="D78" i="23"/>
  <c r="K78" i="23" s="1"/>
  <c r="AJ5" i="63"/>
  <c r="AJ17" i="63" s="1"/>
  <c r="D137" i="38"/>
  <c r="AF279" i="77"/>
  <c r="D111" i="80"/>
  <c r="B191" i="77"/>
  <c r="D16" i="80"/>
  <c r="D8" i="53"/>
  <c r="D47" i="42"/>
  <c r="L92" i="80"/>
  <c r="D108" i="23"/>
  <c r="K108" i="23" s="1"/>
  <c r="X332" i="36"/>
  <c r="D97" i="38"/>
  <c r="L59" i="80"/>
  <c r="D20" i="55"/>
  <c r="E5" i="84"/>
  <c r="D10" i="81"/>
  <c r="AN5" i="48"/>
  <c r="L143" i="80"/>
  <c r="D8" i="60"/>
  <c r="D66" i="71"/>
  <c r="L76" i="80"/>
  <c r="D107" i="80"/>
  <c r="D304" i="79"/>
  <c r="V3" i="77"/>
  <c r="M5" i="80"/>
  <c r="D232" i="73"/>
  <c r="D47" i="80"/>
  <c r="D16" i="55"/>
  <c r="AN5" i="45"/>
  <c r="D12" i="84"/>
  <c r="L127" i="80"/>
  <c r="C174" i="77"/>
  <c r="AN5" i="49"/>
  <c r="K5" i="84"/>
  <c r="D27" i="65"/>
  <c r="D58" i="71"/>
  <c r="D293" i="36"/>
  <c r="L39" i="80"/>
  <c r="AB5" i="68"/>
  <c r="D46" i="52"/>
  <c r="D6" i="53"/>
  <c r="D24" i="34"/>
  <c r="X300" i="36"/>
  <c r="BD5" i="3"/>
  <c r="BD41" i="3" s="1"/>
  <c r="X334" i="36"/>
  <c r="D74" i="23"/>
  <c r="K74" i="23" s="1"/>
  <c r="BA88" i="9"/>
  <c r="D63" i="23"/>
  <c r="K63" i="23" s="1"/>
  <c r="M3" i="77"/>
  <c r="D315" i="36"/>
  <c r="CE208" i="73"/>
  <c r="D7" i="81"/>
  <c r="AF280" i="77"/>
  <c r="D109" i="23"/>
  <c r="K109" i="23" s="1"/>
  <c r="D88" i="71"/>
  <c r="L8" i="60"/>
  <c r="B188" i="77"/>
  <c r="AF188" i="77" s="1"/>
  <c r="D7" i="52"/>
  <c r="D24" i="1"/>
  <c r="D23" i="68"/>
  <c r="U7" i="60"/>
  <c r="D308" i="79"/>
  <c r="AB88" i="9"/>
  <c r="L141" i="80"/>
  <c r="Z5" i="84"/>
  <c r="D23" i="55"/>
  <c r="D133" i="9"/>
  <c r="X325" i="36"/>
  <c r="D103" i="80"/>
  <c r="Q48" i="42"/>
  <c r="L121" i="80"/>
  <c r="D76" i="23"/>
  <c r="K76" i="23" s="1"/>
  <c r="AF278" i="77"/>
  <c r="Z5" i="68"/>
  <c r="AK5" i="68"/>
  <c r="AK63" i="68" s="1"/>
  <c r="B185" i="77"/>
  <c r="AF185" i="77" s="1"/>
  <c r="H13" i="60"/>
  <c r="D34" i="46"/>
  <c r="D284" i="36"/>
  <c r="AA5" i="68"/>
  <c r="U5" i="84"/>
  <c r="D31" i="71"/>
  <c r="D17" i="55"/>
  <c r="D316" i="79"/>
  <c r="D45" i="80"/>
  <c r="L68" i="80"/>
  <c r="U5" i="81"/>
  <c r="D74" i="80"/>
  <c r="L47" i="80"/>
  <c r="B179" i="77"/>
  <c r="AF179" i="77" s="1"/>
  <c r="AM5" i="63"/>
  <c r="AM17" i="63" s="1"/>
  <c r="D45" i="52"/>
  <c r="X5" i="13"/>
  <c r="D60" i="80"/>
  <c r="D334" i="36"/>
  <c r="X345" i="36"/>
  <c r="X347" i="36"/>
  <c r="D316" i="36"/>
  <c r="D118" i="38"/>
  <c r="D123" i="80"/>
  <c r="D138" i="9"/>
  <c r="L34" i="80"/>
  <c r="D113" i="80"/>
  <c r="D61" i="80"/>
  <c r="D9" i="66"/>
  <c r="D42" i="12"/>
  <c r="X310" i="36"/>
  <c r="D63" i="68"/>
  <c r="AN5" i="61"/>
  <c r="AN21" i="61" s="1"/>
  <c r="AN37" i="61" s="1"/>
  <c r="D39" i="71"/>
  <c r="BB39" i="71" s="1"/>
  <c r="D5" i="66"/>
  <c r="D8" i="52"/>
  <c r="D347" i="36"/>
  <c r="L114" i="80"/>
  <c r="D262" i="79"/>
  <c r="D93" i="38"/>
  <c r="D46" i="42"/>
  <c r="L15" i="60"/>
  <c r="B190" i="77"/>
  <c r="AF190" i="77" s="1"/>
  <c r="Q45" i="42"/>
  <c r="AR88" i="9"/>
  <c r="Y5" i="84"/>
  <c r="D38" i="49"/>
  <c r="D12" i="59"/>
  <c r="D43" i="52"/>
  <c r="D36" i="46"/>
  <c r="AC22" i="60"/>
  <c r="D279" i="36"/>
  <c r="D81" i="23"/>
  <c r="K81" i="23" s="1"/>
  <c r="D45" i="68"/>
  <c r="D122" i="80"/>
  <c r="L9" i="60"/>
  <c r="L19" i="60"/>
  <c r="D126" i="38"/>
  <c r="Y5" i="68"/>
  <c r="D38" i="80"/>
  <c r="D15" i="49"/>
  <c r="D343" i="36"/>
  <c r="H15" i="60"/>
  <c r="D5" i="59"/>
  <c r="L107" i="80"/>
  <c r="D312" i="79"/>
  <c r="D97" i="23"/>
  <c r="K97" i="23" s="1"/>
  <c r="D72" i="9"/>
  <c r="D26" i="76"/>
  <c r="D285" i="79"/>
  <c r="U5" i="13"/>
  <c r="D89" i="80"/>
  <c r="B176" i="77"/>
  <c r="AF176" i="77" s="1"/>
  <c r="BD88" i="9"/>
  <c r="D19" i="60"/>
  <c r="AM5" i="53"/>
  <c r="D150" i="80"/>
  <c r="D25" i="76"/>
  <c r="AD5" i="60"/>
  <c r="D39" i="83"/>
  <c r="D259" i="73"/>
  <c r="H5" i="80"/>
  <c r="D61" i="23"/>
  <c r="K61" i="23" s="1"/>
  <c r="D43" i="1"/>
  <c r="D20" i="68"/>
  <c r="AM5" i="72"/>
  <c r="AA5" i="84"/>
  <c r="W5" i="13"/>
  <c r="D116" i="80"/>
  <c r="X319" i="36"/>
  <c r="C189" i="77"/>
  <c r="L111" i="80"/>
  <c r="D281" i="77"/>
  <c r="AG5" i="83"/>
  <c r="D45" i="42"/>
  <c r="D43" i="49"/>
  <c r="L46" i="80"/>
  <c r="D40" i="83"/>
  <c r="D128" i="38"/>
  <c r="D282" i="79"/>
  <c r="B174" i="77"/>
  <c r="AF174" i="77" s="1"/>
  <c r="O5" i="80"/>
  <c r="D263" i="79"/>
  <c r="D301" i="79"/>
  <c r="D19" i="49"/>
  <c r="L101" i="80"/>
  <c r="D74" i="46"/>
  <c r="F5" i="45"/>
  <c r="S3" i="77"/>
  <c r="L153" i="80"/>
  <c r="D284" i="77"/>
  <c r="D11" i="84"/>
  <c r="D16" i="81"/>
  <c r="D72" i="23"/>
  <c r="K72" i="23" s="1"/>
  <c r="D31" i="76"/>
  <c r="AT88" i="9"/>
  <c r="D66" i="23"/>
  <c r="K66" i="23" s="1"/>
  <c r="D42" i="52"/>
  <c r="D8" i="39"/>
  <c r="D107" i="23"/>
  <c r="K107" i="23" s="1"/>
  <c r="D275" i="79"/>
  <c r="D12" i="42"/>
  <c r="D124" i="80"/>
  <c r="D41" i="52"/>
  <c r="D15" i="52"/>
  <c r="C179" i="77"/>
  <c r="L152" i="80"/>
  <c r="D60" i="68"/>
  <c r="D47" i="49"/>
  <c r="D69" i="71"/>
  <c r="L135" i="80"/>
  <c r="D320" i="36"/>
  <c r="D309" i="36"/>
  <c r="D138" i="38"/>
  <c r="BE5" i="3"/>
  <c r="BE41" i="3" s="1"/>
  <c r="D136" i="80"/>
  <c r="D129" i="80"/>
  <c r="L136" i="80"/>
  <c r="S5" i="84"/>
  <c r="D94" i="23"/>
  <c r="K94" i="23" s="1"/>
  <c r="L129" i="80"/>
  <c r="D26" i="49"/>
  <c r="D6" i="49"/>
  <c r="D432" i="38"/>
  <c r="D18" i="42"/>
  <c r="D335" i="36"/>
  <c r="BH5" i="3"/>
  <c r="BH41" i="3" s="1"/>
  <c r="AZ5" i="12"/>
  <c r="AE5" i="84"/>
  <c r="D18" i="71"/>
  <c r="BB18" i="71" s="1"/>
  <c r="CD208" i="73"/>
  <c r="D11" i="59"/>
  <c r="D377" i="38"/>
  <c r="C181" i="77"/>
  <c r="BB88" i="9"/>
  <c r="H5" i="84"/>
  <c r="B184" i="77"/>
  <c r="AF184" i="77" s="1"/>
  <c r="D117" i="9"/>
  <c r="D31" i="68"/>
  <c r="D34" i="52"/>
  <c r="E5" i="53"/>
  <c r="D295" i="36"/>
  <c r="L50" i="80"/>
  <c r="D7" i="44"/>
  <c r="D272" i="79"/>
  <c r="D260" i="79"/>
  <c r="L10" i="80"/>
  <c r="D292" i="36"/>
  <c r="D7" i="49"/>
  <c r="B178" i="77"/>
  <c r="AF178" i="77" s="1"/>
  <c r="D80" i="68"/>
  <c r="F5" i="80"/>
  <c r="D229" i="73"/>
  <c r="D99" i="23"/>
  <c r="K99" i="23" s="1"/>
  <c r="L125" i="80"/>
  <c r="D9" i="81"/>
  <c r="D15" i="81"/>
  <c r="L37" i="80"/>
  <c r="D136" i="9"/>
  <c r="D307" i="36"/>
  <c r="Y5" i="60"/>
  <c r="B183" i="77"/>
  <c r="AF183" i="77" s="1"/>
  <c r="Y5" i="13"/>
  <c r="D14" i="60"/>
  <c r="D102" i="23"/>
  <c r="K102" i="23" s="1"/>
  <c r="AN5" i="67"/>
  <c r="C182" i="77"/>
  <c r="D28" i="48"/>
  <c r="D71" i="80"/>
  <c r="X305" i="36"/>
  <c r="AF283" i="77"/>
  <c r="D47" i="71"/>
  <c r="BB47" i="71" s="1"/>
  <c r="C178" i="77"/>
  <c r="D136" i="38"/>
  <c r="D51" i="52"/>
  <c r="AC20" i="60"/>
  <c r="AK88" i="9"/>
  <c r="D93" i="23"/>
  <c r="K93" i="23" s="1"/>
  <c r="D277" i="79"/>
  <c r="L75" i="80"/>
  <c r="AN5" i="68"/>
  <c r="AN63" i="68" s="1"/>
  <c r="D145" i="38"/>
  <c r="O5" i="68"/>
  <c r="D433" i="38"/>
  <c r="AM5" i="49"/>
  <c r="B180" i="77"/>
  <c r="AF180" i="77" s="1"/>
  <c r="L64" i="80"/>
  <c r="D22" i="52"/>
  <c r="AN5" i="33"/>
  <c r="AN19" i="33" s="1"/>
  <c r="AN33" i="33" s="1"/>
  <c r="D245" i="79"/>
  <c r="D144" i="38"/>
  <c r="D103" i="46"/>
  <c r="D85" i="46"/>
  <c r="D85" i="80"/>
  <c r="D60" i="71"/>
  <c r="D64" i="80"/>
  <c r="D5" i="80"/>
  <c r="D12" i="72"/>
  <c r="X333" i="36"/>
  <c r="D319" i="36"/>
  <c r="X327" i="36"/>
  <c r="X346" i="36"/>
  <c r="BG88" i="9"/>
  <c r="AF286" i="77"/>
  <c r="V5" i="13"/>
  <c r="AK30" i="34"/>
  <c r="CW5" i="34" s="1"/>
  <c r="AK5" i="72"/>
  <c r="D30" i="45"/>
  <c r="AG88" i="9"/>
  <c r="D77" i="23"/>
  <c r="K77" i="23" s="1"/>
  <c r="D304" i="36"/>
  <c r="C195" i="77"/>
  <c r="L115" i="80"/>
  <c r="H14" i="60"/>
  <c r="D10" i="55"/>
  <c r="D298" i="79"/>
  <c r="D48" i="52"/>
  <c r="B192" i="77"/>
  <c r="D280" i="36"/>
  <c r="AC19" i="60"/>
  <c r="AN5" i="66"/>
  <c r="D36" i="71"/>
  <c r="BB36" i="71" s="1"/>
  <c r="D96" i="23"/>
  <c r="K96" i="23" s="1"/>
  <c r="D331" i="36"/>
  <c r="D11" i="49"/>
  <c r="D110" i="80"/>
  <c r="AN5" i="52"/>
  <c r="D17" i="59"/>
  <c r="D268" i="79"/>
  <c r="L31" i="80"/>
  <c r="D32" i="52"/>
  <c r="D82" i="23"/>
  <c r="K82" i="23" s="1"/>
  <c r="D36" i="83"/>
  <c r="D86" i="23"/>
  <c r="K86" i="23" s="1"/>
  <c r="D95" i="23"/>
  <c r="K95" i="23" s="1"/>
  <c r="D83" i="23"/>
  <c r="K83" i="23" s="1"/>
  <c r="D50" i="52"/>
  <c r="AF5" i="83"/>
  <c r="BE88" i="9"/>
  <c r="E3" i="77"/>
  <c r="W5" i="81"/>
  <c r="AM5" i="84"/>
  <c r="D7" i="59"/>
  <c r="D36" i="44"/>
  <c r="D6" i="65"/>
  <c r="D16" i="39"/>
  <c r="D5" i="60"/>
  <c r="Q5" i="68"/>
  <c r="D29" i="49"/>
  <c r="I5" i="68"/>
  <c r="D213" i="36"/>
  <c r="AC13" i="60"/>
  <c r="D48" i="80"/>
  <c r="D13" i="84"/>
  <c r="D12" i="71"/>
  <c r="BB12" i="71" s="1"/>
  <c r="D16" i="44"/>
  <c r="D42" i="46"/>
  <c r="D72" i="63"/>
  <c r="D82" i="71"/>
  <c r="D246" i="79"/>
  <c r="D49" i="10"/>
  <c r="AN5" i="53"/>
  <c r="D317" i="36"/>
  <c r="X317" i="36"/>
  <c r="F4" i="49"/>
  <c r="D12" i="53"/>
  <c r="D36" i="80"/>
  <c r="D35" i="49"/>
  <c r="H5" i="60"/>
  <c r="D82" i="46"/>
  <c r="Q5" i="60"/>
  <c r="D15" i="53"/>
  <c r="D5" i="65"/>
  <c r="D40" i="80"/>
  <c r="D73" i="71"/>
  <c r="D22" i="55"/>
  <c r="D54" i="36"/>
  <c r="D18" i="55"/>
  <c r="D114" i="9"/>
  <c r="D11" i="71"/>
  <c r="BB11" i="71" s="1"/>
  <c r="L41" i="80"/>
  <c r="D5" i="53"/>
  <c r="Q20" i="42"/>
  <c r="Q27" i="42"/>
  <c r="D39" i="46"/>
  <c r="D77" i="71"/>
  <c r="D21" i="52"/>
  <c r="D37" i="71"/>
  <c r="BB37" i="71" s="1"/>
  <c r="D59" i="39"/>
  <c r="D419" i="38"/>
  <c r="D95" i="80"/>
  <c r="D51" i="71"/>
  <c r="BB51" i="71" s="1"/>
  <c r="D19" i="44"/>
  <c r="D35" i="71"/>
  <c r="BB35" i="71" s="1"/>
  <c r="D125" i="38"/>
  <c r="L32" i="80"/>
  <c r="D51" i="68"/>
  <c r="D45" i="71"/>
  <c r="BB45" i="71" s="1"/>
  <c r="D59" i="71"/>
  <c r="D21" i="53"/>
  <c r="D30" i="46"/>
  <c r="D8" i="48"/>
  <c r="D97" i="80"/>
  <c r="D265" i="36"/>
  <c r="D417" i="38"/>
  <c r="AN30" i="34"/>
  <c r="DF5" i="34" s="1"/>
  <c r="D27" i="71"/>
  <c r="BB27" i="71" s="1"/>
  <c r="D96" i="46"/>
  <c r="D22" i="45"/>
  <c r="D56" i="46"/>
  <c r="D14" i="46"/>
  <c r="D8" i="65"/>
  <c r="E5" i="80"/>
  <c r="D24" i="39"/>
  <c r="D416" i="38"/>
  <c r="D18" i="60"/>
  <c r="L108" i="80"/>
  <c r="D160" i="36"/>
  <c r="D23" i="42"/>
  <c r="D29" i="48"/>
  <c r="D26" i="44"/>
  <c r="D279" i="38"/>
  <c r="D195" i="38"/>
  <c r="D207" i="36"/>
  <c r="D280" i="79"/>
  <c r="D118" i="9"/>
  <c r="AN5" i="83"/>
  <c r="BF5" i="3"/>
  <c r="BF41" i="3" s="1"/>
  <c r="D6" i="52"/>
  <c r="D17" i="71"/>
  <c r="BB17" i="71" s="1"/>
  <c r="D17" i="60"/>
  <c r="D139" i="9"/>
  <c r="D9" i="80"/>
  <c r="D127" i="38"/>
  <c r="E5" i="55"/>
  <c r="D306" i="36"/>
  <c r="D267" i="79"/>
  <c r="D39" i="52"/>
  <c r="D115" i="9"/>
  <c r="L103" i="80"/>
  <c r="D39" i="61"/>
  <c r="D31" i="39"/>
  <c r="D13" i="52"/>
  <c r="D23" i="65"/>
  <c r="AN5" i="39"/>
  <c r="D36" i="39"/>
  <c r="D423" i="38"/>
  <c r="D12" i="49"/>
  <c r="D21" i="45"/>
  <c r="D152" i="80"/>
  <c r="D6" i="80"/>
  <c r="D15" i="59"/>
  <c r="D301" i="36"/>
  <c r="D18" i="49"/>
  <c r="D53" i="46"/>
  <c r="D25" i="65"/>
  <c r="L12" i="60"/>
  <c r="D123" i="38"/>
  <c r="D62" i="80"/>
  <c r="L85" i="80"/>
  <c r="D114" i="80"/>
  <c r="D28" i="52"/>
  <c r="S5" i="60"/>
  <c r="D115" i="80"/>
  <c r="H22" i="60"/>
  <c r="E5" i="52"/>
  <c r="D23" i="71"/>
  <c r="BB23" i="71" s="1"/>
  <c r="D285" i="36"/>
  <c r="D19" i="72"/>
  <c r="D53" i="80"/>
  <c r="H18" i="60"/>
  <c r="D231" i="73"/>
  <c r="D86" i="71"/>
  <c r="D142" i="38"/>
  <c r="D12" i="55"/>
  <c r="D83" i="46"/>
  <c r="D189" i="38"/>
  <c r="X336" i="36"/>
  <c r="D217" i="73"/>
  <c r="D291" i="36"/>
  <c r="D54" i="71"/>
  <c r="BB54" i="71" s="1"/>
  <c r="D54" i="80"/>
  <c r="AK5" i="84"/>
  <c r="D13" i="59"/>
  <c r="D26" i="52"/>
  <c r="D374" i="23"/>
  <c r="K374" i="23" s="1"/>
  <c r="D27" i="44"/>
  <c r="J5" i="42"/>
  <c r="W5" i="42" s="1"/>
  <c r="D30" i="80"/>
  <c r="D18" i="44"/>
  <c r="L51" i="80"/>
  <c r="D14" i="39"/>
  <c r="D145" i="80"/>
  <c r="D45" i="49"/>
  <c r="D81" i="71"/>
  <c r="D257" i="79"/>
  <c r="D14" i="55"/>
  <c r="Q41" i="42"/>
  <c r="D32" i="80"/>
  <c r="AM5" i="31"/>
  <c r="Q8" i="42"/>
  <c r="N5" i="84"/>
  <c r="D7" i="55"/>
  <c r="L109" i="80"/>
  <c r="H7" i="60"/>
  <c r="D438" i="38"/>
  <c r="D120" i="9"/>
  <c r="D103" i="23"/>
  <c r="K103" i="23" s="1"/>
  <c r="L11" i="80"/>
  <c r="L88" i="80"/>
  <c r="D10" i="45"/>
  <c r="E5" i="48"/>
  <c r="D27" i="52"/>
  <c r="D26" i="39"/>
  <c r="D281" i="36"/>
  <c r="D361" i="38"/>
  <c r="AI5" i="83"/>
  <c r="Q28" i="42"/>
  <c r="D11" i="80"/>
  <c r="D271" i="38"/>
  <c r="D288" i="38"/>
  <c r="D282" i="38"/>
  <c r="D21" i="60"/>
  <c r="D318" i="79"/>
  <c r="D6" i="60"/>
  <c r="D14" i="81"/>
  <c r="D13" i="55"/>
  <c r="AC88" i="9"/>
  <c r="D28" i="45"/>
  <c r="D36" i="49"/>
  <c r="V5" i="68"/>
  <c r="D34" i="42"/>
  <c r="D27" i="39"/>
  <c r="AE5" i="60"/>
  <c r="D170" i="38"/>
  <c r="D154" i="36"/>
  <c r="D14" i="44"/>
  <c r="C191" i="77"/>
  <c r="D12" i="52"/>
  <c r="AC11" i="60"/>
  <c r="D64" i="71"/>
  <c r="N5" i="80"/>
  <c r="AG5" i="84"/>
  <c r="D63" i="71"/>
  <c r="D91" i="38"/>
  <c r="L13" i="60"/>
  <c r="AJ5" i="83"/>
  <c r="I5" i="60"/>
  <c r="L100" i="80"/>
  <c r="D363" i="38"/>
  <c r="D256" i="79"/>
  <c r="D436" i="38"/>
  <c r="CF208" i="73"/>
  <c r="I5" i="42"/>
  <c r="V5" i="42" s="1"/>
  <c r="D59" i="68"/>
  <c r="BC5" i="3"/>
  <c r="BC41" i="3" s="1"/>
  <c r="D32" i="71"/>
  <c r="D12" i="45"/>
  <c r="D148" i="38"/>
  <c r="D52" i="71"/>
  <c r="BB52" i="71" s="1"/>
  <c r="L5" i="80"/>
  <c r="K5" i="68"/>
  <c r="D75" i="71"/>
  <c r="D42" i="33"/>
  <c r="D11" i="46"/>
  <c r="AE88" i="9"/>
  <c r="L67" i="80"/>
  <c r="D146" i="38"/>
  <c r="D10" i="60"/>
  <c r="D65" i="71"/>
  <c r="D110" i="36"/>
  <c r="B182" i="77"/>
  <c r="AF182" i="77" s="1"/>
  <c r="D14" i="52"/>
  <c r="D105" i="23"/>
  <c r="K105" i="23" s="1"/>
  <c r="D43" i="10"/>
  <c r="D24" i="52"/>
  <c r="D106" i="80"/>
  <c r="D39" i="80"/>
  <c r="L99" i="80"/>
  <c r="D7" i="48"/>
  <c r="Q24" i="42"/>
  <c r="D17" i="80"/>
  <c r="L73" i="80"/>
  <c r="D102" i="80"/>
  <c r="D111" i="46"/>
  <c r="Z5" i="81"/>
  <c r="D8" i="45"/>
  <c r="D33" i="44"/>
  <c r="D9" i="32"/>
  <c r="D85" i="71"/>
  <c r="D69" i="80"/>
  <c r="D100" i="80"/>
  <c r="Q47" i="42"/>
  <c r="Q46" i="42"/>
  <c r="AF284" i="77"/>
  <c r="D19" i="59"/>
  <c r="D31" i="80"/>
  <c r="L36" i="80"/>
  <c r="AK5" i="83"/>
  <c r="D24" i="76"/>
  <c r="AN5" i="55"/>
  <c r="AF282" i="77"/>
  <c r="D5" i="81"/>
  <c r="L128" i="80"/>
  <c r="D44" i="52"/>
  <c r="D58" i="39"/>
  <c r="L10" i="60"/>
  <c r="L17" i="80"/>
  <c r="D393" i="38"/>
  <c r="D25" i="44"/>
  <c r="D17" i="49"/>
  <c r="D48" i="71"/>
  <c r="BB48" i="71" s="1"/>
  <c r="D68" i="71"/>
  <c r="D12" i="44"/>
  <c r="L16" i="60"/>
  <c r="D9" i="65"/>
  <c r="D8" i="55"/>
  <c r="D14" i="59"/>
  <c r="D16" i="52"/>
  <c r="D11" i="60"/>
  <c r="D44" i="46"/>
  <c r="H17" i="60"/>
  <c r="R5" i="60"/>
  <c r="D11" i="55"/>
  <c r="AC18" i="60"/>
  <c r="AC5" i="60"/>
  <c r="D19" i="46"/>
  <c r="D67" i="23"/>
  <c r="K67" i="23" s="1"/>
  <c r="L89" i="80"/>
  <c r="D12" i="46"/>
  <c r="BH88" i="9"/>
  <c r="D287" i="36"/>
  <c r="L19" i="80"/>
  <c r="D67" i="80"/>
  <c r="D376" i="38"/>
  <c r="D17" i="65"/>
  <c r="F6" i="34"/>
  <c r="D58" i="46"/>
  <c r="AL5" i="52"/>
  <c r="D40" i="52"/>
  <c r="D55" i="80"/>
  <c r="D142" i="36"/>
  <c r="AF5" i="68"/>
  <c r="M5" i="68"/>
  <c r="D49" i="52"/>
  <c r="L72" i="80"/>
  <c r="L54" i="80"/>
  <c r="L9" i="80"/>
  <c r="D28" i="39"/>
  <c r="L97" i="80"/>
  <c r="D21" i="49"/>
  <c r="D9" i="55"/>
  <c r="D5" i="48"/>
  <c r="D72" i="71"/>
  <c r="H19" i="60"/>
  <c r="D54" i="68"/>
  <c r="D89" i="71"/>
  <c r="D34" i="49"/>
  <c r="Q9" i="42"/>
  <c r="D43" i="71"/>
  <c r="BB43" i="71" s="1"/>
  <c r="D151" i="36"/>
  <c r="BF88" i="9"/>
  <c r="AE5" i="68"/>
  <c r="D101" i="80"/>
  <c r="L48" i="80"/>
  <c r="D251" i="73"/>
  <c r="D91" i="46"/>
  <c r="L8" i="80"/>
  <c r="D44" i="71"/>
  <c r="BB44" i="71" s="1"/>
  <c r="D108" i="46"/>
  <c r="AN5" i="26"/>
  <c r="AN15" i="26" s="1"/>
  <c r="D32" i="76"/>
  <c r="D14" i="65"/>
  <c r="L52" i="80"/>
  <c r="D408" i="38"/>
  <c r="D81" i="46"/>
  <c r="D276" i="38"/>
  <c r="L45" i="80"/>
  <c r="L44" i="80"/>
  <c r="E5" i="66"/>
  <c r="D84" i="71"/>
  <c r="D6" i="39"/>
  <c r="P5" i="80"/>
  <c r="Q16" i="42"/>
  <c r="D425" i="38"/>
  <c r="D13" i="61"/>
  <c r="D9" i="30"/>
  <c r="G4" i="30"/>
  <c r="D31" i="61"/>
  <c r="AN5" i="31"/>
  <c r="X302" i="36"/>
  <c r="AM88" i="9"/>
  <c r="D121" i="80"/>
  <c r="D37" i="52"/>
  <c r="D99" i="38"/>
  <c r="D99" i="80"/>
  <c r="W5" i="60"/>
  <c r="D68" i="80"/>
  <c r="S5" i="13"/>
  <c r="D16" i="49"/>
  <c r="D45" i="39"/>
  <c r="D19" i="34"/>
  <c r="Q17" i="42"/>
  <c r="AN5" i="30"/>
  <c r="D61" i="71"/>
  <c r="D83" i="80"/>
  <c r="D382" i="38"/>
  <c r="D28" i="31"/>
  <c r="D80" i="46"/>
  <c r="D7" i="65"/>
  <c r="E5" i="65"/>
  <c r="D379" i="38"/>
  <c r="D96" i="80"/>
  <c r="D360" i="38"/>
  <c r="D400" i="38"/>
  <c r="D16" i="71"/>
  <c r="BB16" i="71" s="1"/>
  <c r="D137" i="36"/>
  <c r="H9" i="60"/>
  <c r="E5" i="68"/>
  <c r="G4" i="44"/>
  <c r="D9" i="45"/>
  <c r="X5" i="81"/>
  <c r="D9" i="49"/>
  <c r="D50" i="80"/>
  <c r="D8" i="66"/>
  <c r="D70" i="71"/>
  <c r="D164" i="36"/>
  <c r="D86" i="38"/>
  <c r="D88" i="46"/>
  <c r="CA208" i="73"/>
  <c r="D46" i="49"/>
  <c r="D8" i="59"/>
  <c r="D86" i="80"/>
  <c r="D19" i="65"/>
  <c r="D60" i="39"/>
  <c r="D27" i="45"/>
  <c r="B194" i="77"/>
  <c r="D17" i="45"/>
  <c r="L86" i="80"/>
  <c r="D15" i="65"/>
  <c r="H5" i="68"/>
  <c r="D23" i="72"/>
  <c r="D44" i="49"/>
  <c r="D337" i="38"/>
  <c r="D73" i="80"/>
  <c r="D20" i="60"/>
  <c r="D33" i="46"/>
  <c r="Q36" i="42"/>
  <c r="D46" i="61"/>
  <c r="D49" i="42"/>
  <c r="D41" i="61"/>
  <c r="D105" i="46"/>
  <c r="D95" i="46"/>
  <c r="D42" i="42"/>
  <c r="D21" i="59"/>
  <c r="D5" i="44"/>
  <c r="D25" i="49"/>
  <c r="D44" i="39"/>
  <c r="L65" i="80"/>
  <c r="D151" i="38"/>
  <c r="D11" i="31"/>
  <c r="D14" i="71"/>
  <c r="BB14" i="71" s="1"/>
  <c r="D13" i="80"/>
  <c r="D12" i="32"/>
  <c r="D29" i="36"/>
  <c r="D16" i="26"/>
  <c r="D254" i="38"/>
  <c r="D154" i="23"/>
  <c r="K154" i="23" s="1"/>
  <c r="D258" i="77"/>
  <c r="D67" i="36"/>
  <c r="E5" i="26"/>
  <c r="E15" i="26" s="1"/>
  <c r="E5" i="32"/>
  <c r="D24" i="30"/>
  <c r="F4" i="31"/>
  <c r="D84" i="23"/>
  <c r="K84" i="23" s="1"/>
  <c r="D12" i="48"/>
  <c r="AM5" i="52"/>
  <c r="L90" i="80"/>
  <c r="D8" i="33"/>
  <c r="D20" i="44"/>
  <c r="D268" i="38"/>
  <c r="D49" i="46"/>
  <c r="D35" i="42"/>
  <c r="L57" i="80"/>
  <c r="D65" i="80"/>
  <c r="H5" i="42"/>
  <c r="U5" i="42" s="1"/>
  <c r="D79" i="71"/>
  <c r="D17" i="72"/>
  <c r="D28" i="61"/>
  <c r="D118" i="36"/>
  <c r="D68" i="36"/>
  <c r="D330" i="23"/>
  <c r="K330" i="23" s="1"/>
  <c r="AC5" i="32"/>
  <c r="L5" i="42"/>
  <c r="Y5" i="42" s="1"/>
  <c r="D28" i="36"/>
  <c r="D23" i="34"/>
  <c r="D124" i="23"/>
  <c r="K124" i="23" s="1"/>
  <c r="AC10" i="60"/>
  <c r="D34" i="33"/>
  <c r="D284" i="38"/>
  <c r="F63" i="68"/>
  <c r="D7" i="53"/>
  <c r="M5" i="60"/>
  <c r="T5" i="68"/>
  <c r="D221" i="36"/>
  <c r="D332" i="38"/>
  <c r="D100" i="46"/>
  <c r="D200" i="36"/>
  <c r="D201" i="36"/>
  <c r="D15" i="72"/>
  <c r="D173" i="36"/>
  <c r="D405" i="38"/>
  <c r="D12" i="26"/>
  <c r="D71" i="46"/>
  <c r="D20" i="26"/>
  <c r="D23" i="46"/>
  <c r="F5" i="84"/>
  <c r="D23" i="53"/>
  <c r="D191" i="38"/>
  <c r="D32" i="45"/>
  <c r="H8" i="60"/>
  <c r="D74" i="71"/>
  <c r="D13" i="45"/>
  <c r="Q30" i="42"/>
  <c r="D233" i="73"/>
  <c r="D49" i="61"/>
  <c r="D274" i="79"/>
  <c r="D209" i="38"/>
  <c r="R5" i="68"/>
  <c r="AC12" i="60"/>
  <c r="D22" i="39"/>
  <c r="D5" i="30"/>
  <c r="D35" i="44"/>
  <c r="D19" i="33"/>
  <c r="D22" i="33"/>
  <c r="D257" i="36"/>
  <c r="D29" i="44"/>
  <c r="D9" i="36"/>
  <c r="D237" i="38"/>
  <c r="D52" i="39"/>
  <c r="D159" i="23"/>
  <c r="K159" i="23" s="1"/>
  <c r="AL30" i="34"/>
  <c r="CZ5" i="34" s="1"/>
  <c r="V5" i="60"/>
  <c r="D47" i="52"/>
  <c r="D39" i="36"/>
  <c r="Q42" i="42"/>
  <c r="D20" i="45"/>
  <c r="D17" i="53"/>
  <c r="Q26" i="42"/>
  <c r="D21" i="65"/>
  <c r="D232" i="36"/>
  <c r="D343" i="38"/>
  <c r="D17" i="46"/>
  <c r="D18" i="80"/>
  <c r="D12" i="80"/>
  <c r="D427" i="38"/>
  <c r="D20" i="42"/>
  <c r="C145" i="77"/>
  <c r="D7" i="24"/>
  <c r="D41" i="33"/>
  <c r="D14" i="61"/>
  <c r="D26" i="33"/>
  <c r="D11" i="81"/>
  <c r="D20" i="71"/>
  <c r="BB20" i="71" s="1"/>
  <c r="D15" i="30"/>
  <c r="L69" i="80"/>
  <c r="D5" i="55"/>
  <c r="D23" i="48"/>
  <c r="D20" i="34"/>
  <c r="D15" i="55"/>
  <c r="D14" i="72"/>
  <c r="D13" i="53"/>
  <c r="D26" i="42"/>
  <c r="D13" i="44"/>
  <c r="E5" i="44"/>
  <c r="E24" i="44" s="1"/>
  <c r="D30" i="39"/>
  <c r="D24" i="72"/>
  <c r="D7" i="33"/>
  <c r="D16" i="29"/>
  <c r="D357" i="38"/>
  <c r="D22" i="42"/>
  <c r="D10" i="30"/>
  <c r="D163" i="36"/>
  <c r="E4" i="29"/>
  <c r="D246" i="23"/>
  <c r="K246" i="23" s="1"/>
  <c r="D236" i="23"/>
  <c r="K236" i="23" s="1"/>
  <c r="D194" i="23"/>
  <c r="K194" i="23" s="1"/>
  <c r="D198" i="36"/>
  <c r="D5" i="33"/>
  <c r="D94" i="46"/>
  <c r="D25" i="36"/>
  <c r="D403" i="38"/>
  <c r="J5" i="68"/>
  <c r="D19" i="52"/>
  <c r="D112" i="46"/>
  <c r="D383" i="38"/>
  <c r="D19" i="42"/>
  <c r="D207" i="38"/>
  <c r="D188" i="36"/>
  <c r="C161" i="77"/>
  <c r="D181" i="23"/>
  <c r="K181" i="23" s="1"/>
  <c r="D18" i="31"/>
  <c r="D69" i="36"/>
  <c r="D6" i="61"/>
  <c r="D25" i="48"/>
  <c r="D6" i="30"/>
  <c r="L61" i="80"/>
  <c r="D38" i="46"/>
  <c r="D10" i="71"/>
  <c r="BB10" i="71" s="1"/>
  <c r="D90" i="23"/>
  <c r="K90" i="23" s="1"/>
  <c r="D45" i="46"/>
  <c r="D15" i="46"/>
  <c r="D64" i="46"/>
  <c r="D37" i="49"/>
  <c r="D46" i="46"/>
  <c r="D34" i="44"/>
  <c r="D137" i="9"/>
  <c r="K5" i="42"/>
  <c r="X5" i="42" s="1"/>
  <c r="D94" i="80"/>
  <c r="L106" i="80"/>
  <c r="D294" i="79"/>
  <c r="D38" i="42"/>
  <c r="D113" i="46"/>
  <c r="D15" i="39"/>
  <c r="D52" i="46"/>
  <c r="D33" i="34"/>
  <c r="P5" i="60"/>
  <c r="L104" i="80"/>
  <c r="D415" i="38"/>
  <c r="D30" i="71"/>
  <c r="AQ88" i="71" s="1"/>
  <c r="D322" i="23"/>
  <c r="K322" i="23" s="1"/>
  <c r="D239" i="23"/>
  <c r="K239" i="23" s="1"/>
  <c r="D254" i="23"/>
  <c r="K254" i="23" s="1"/>
  <c r="D275" i="38"/>
  <c r="D10" i="36"/>
  <c r="D52" i="80"/>
  <c r="D318" i="38"/>
  <c r="D8" i="29"/>
  <c r="D87" i="46"/>
  <c r="D39" i="49"/>
  <c r="D375" i="38"/>
  <c r="D154" i="38"/>
  <c r="D13" i="81"/>
  <c r="L29" i="80"/>
  <c r="D62" i="39"/>
  <c r="D201" i="38"/>
  <c r="D9" i="39"/>
  <c r="D394" i="38"/>
  <c r="D24" i="61"/>
  <c r="D18" i="36"/>
  <c r="D388" i="38"/>
  <c r="D26" i="61"/>
  <c r="N5" i="42"/>
  <c r="AB5" i="42" s="1"/>
  <c r="G5" i="42"/>
  <c r="T5" i="42" s="1"/>
  <c r="C131" i="77"/>
  <c r="D223" i="77"/>
  <c r="D12" i="31"/>
  <c r="C154" i="77"/>
  <c r="D371" i="23"/>
  <c r="K371" i="23" s="1"/>
  <c r="D189" i="23"/>
  <c r="K189" i="23" s="1"/>
  <c r="D32" i="34"/>
  <c r="D15" i="60"/>
  <c r="D7" i="72"/>
  <c r="D25" i="71"/>
  <c r="BB25" i="71" s="1"/>
  <c r="D16" i="48"/>
  <c r="D16" i="36"/>
  <c r="D73" i="36"/>
  <c r="D47" i="46"/>
  <c r="D71" i="36"/>
  <c r="D424" i="38"/>
  <c r="D238" i="38"/>
  <c r="B163" i="77"/>
  <c r="AF163" i="77" s="1"/>
  <c r="D195" i="23"/>
  <c r="K195" i="23" s="1"/>
  <c r="D45" i="33"/>
  <c r="D323" i="38"/>
  <c r="D22" i="30"/>
  <c r="W5" i="84"/>
  <c r="D31" i="33"/>
  <c r="D35" i="39"/>
  <c r="D106" i="46"/>
  <c r="L43" i="80"/>
  <c r="D286" i="77"/>
  <c r="D143" i="38"/>
  <c r="B181" i="77"/>
  <c r="AF181" i="77" s="1"/>
  <c r="D76" i="80"/>
  <c r="D17" i="39"/>
  <c r="D17" i="61"/>
  <c r="D22" i="72"/>
  <c r="L110" i="80"/>
  <c r="D12" i="81"/>
  <c r="D41" i="80"/>
  <c r="D439" i="38"/>
  <c r="E4" i="48"/>
  <c r="G4" i="61"/>
  <c r="D42" i="61"/>
  <c r="D256" i="38"/>
  <c r="D25" i="32"/>
  <c r="D126" i="36"/>
  <c r="L17" i="60"/>
  <c r="D171" i="23"/>
  <c r="K171" i="23" s="1"/>
  <c r="D310" i="23"/>
  <c r="K310" i="23" s="1"/>
  <c r="D132" i="23"/>
  <c r="K132" i="23" s="1"/>
  <c r="D169" i="23"/>
  <c r="K169" i="23" s="1"/>
  <c r="D258" i="79"/>
  <c r="D42" i="49"/>
  <c r="D397" i="38"/>
  <c r="D8" i="42"/>
  <c r="D18" i="72"/>
  <c r="Q39" i="42"/>
  <c r="D77" i="36"/>
  <c r="D31" i="45"/>
  <c r="D53" i="39"/>
  <c r="CC208" i="73"/>
  <c r="L87" i="80"/>
  <c r="D21" i="71"/>
  <c r="BB21" i="71" s="1"/>
  <c r="D230" i="36"/>
  <c r="D44" i="42"/>
  <c r="D53" i="71"/>
  <c r="BB53" i="71" s="1"/>
  <c r="M5" i="84"/>
  <c r="U8" i="60"/>
  <c r="C175" i="77"/>
  <c r="Q44" i="42"/>
  <c r="D57" i="39"/>
  <c r="AK5" i="63"/>
  <c r="AK17" i="63" s="1"/>
  <c r="D61" i="68"/>
  <c r="D104" i="80"/>
  <c r="D30" i="48"/>
  <c r="AC16" i="60"/>
  <c r="D18" i="45"/>
  <c r="D22" i="53"/>
  <c r="D11" i="72"/>
  <c r="D46" i="36"/>
  <c r="D189" i="36"/>
  <c r="D335" i="38"/>
  <c r="D6" i="72"/>
  <c r="D250" i="38"/>
  <c r="D43" i="42"/>
  <c r="D163" i="38"/>
  <c r="C159" i="77"/>
  <c r="D174" i="23"/>
  <c r="K174" i="23" s="1"/>
  <c r="B121" i="77"/>
  <c r="AF121" i="77" s="1"/>
  <c r="D257" i="38"/>
  <c r="D21" i="55"/>
  <c r="L60" i="80"/>
  <c r="D422" i="38"/>
  <c r="D6" i="46"/>
  <c r="D358" i="38"/>
  <c r="D9" i="72"/>
  <c r="D375" i="23"/>
  <c r="K375" i="23" s="1"/>
  <c r="D8" i="81"/>
  <c r="D15" i="31"/>
  <c r="D27" i="49"/>
  <c r="AC5" i="68"/>
  <c r="D59" i="80"/>
  <c r="D164" i="38"/>
  <c r="D6" i="42"/>
  <c r="AC6" i="60"/>
  <c r="E5" i="45"/>
  <c r="D10" i="26"/>
  <c r="D6" i="33"/>
  <c r="D252" i="38"/>
  <c r="D200" i="38"/>
  <c r="D174" i="36"/>
  <c r="D235" i="38"/>
  <c r="Q6" i="42"/>
  <c r="D370" i="23"/>
  <c r="K370" i="23" s="1"/>
  <c r="D250" i="77"/>
  <c r="D46" i="80"/>
  <c r="D39" i="42"/>
  <c r="D19" i="55"/>
  <c r="AM5" i="65"/>
  <c r="D92" i="80"/>
  <c r="D50" i="71"/>
  <c r="BB50" i="71" s="1"/>
  <c r="D7" i="45"/>
  <c r="X5" i="60"/>
  <c r="AM30" i="34"/>
  <c r="DC5" i="34" s="1"/>
  <c r="D141" i="38"/>
  <c r="D387" i="38"/>
  <c r="D24" i="48"/>
  <c r="U5" i="68"/>
  <c r="D15" i="32"/>
  <c r="D50" i="46"/>
  <c r="L53" i="80"/>
  <c r="D62" i="36"/>
  <c r="D139" i="36"/>
  <c r="D277" i="36"/>
  <c r="D309" i="38"/>
  <c r="D258" i="36"/>
  <c r="D264" i="77"/>
  <c r="D329" i="38"/>
  <c r="D312" i="38"/>
  <c r="D105" i="36"/>
  <c r="D251" i="77"/>
  <c r="B129" i="77"/>
  <c r="AF129" i="77" s="1"/>
  <c r="D265" i="77"/>
  <c r="D40" i="46"/>
  <c r="D66" i="46"/>
  <c r="D9" i="71"/>
  <c r="BB9" i="71" s="1"/>
  <c r="D33" i="42"/>
  <c r="D144" i="36"/>
  <c r="D12" i="39"/>
  <c r="D54" i="49"/>
  <c r="D412" i="38"/>
  <c r="H16" i="60"/>
  <c r="D7" i="60"/>
  <c r="D16" i="60"/>
  <c r="D47" i="36"/>
  <c r="D6" i="31"/>
  <c r="D37" i="46"/>
  <c r="D26" i="46"/>
  <c r="D14" i="36"/>
  <c r="D83" i="36"/>
  <c r="D131" i="36"/>
  <c r="D195" i="36"/>
  <c r="D35" i="36"/>
  <c r="D280" i="38"/>
  <c r="AF270" i="77"/>
  <c r="D31" i="36"/>
  <c r="D21" i="42"/>
  <c r="D93" i="80"/>
  <c r="D48" i="49"/>
  <c r="D75" i="80"/>
  <c r="D33" i="76"/>
  <c r="D241" i="36"/>
  <c r="D13" i="46"/>
  <c r="D25" i="31"/>
  <c r="D395" i="38"/>
  <c r="D193" i="38"/>
  <c r="D246" i="38"/>
  <c r="D211" i="38"/>
  <c r="D122" i="36"/>
  <c r="D50" i="39"/>
  <c r="D29" i="45"/>
  <c r="D275" i="77"/>
  <c r="D37" i="80"/>
  <c r="D109" i="80"/>
  <c r="D35" i="52"/>
  <c r="D15" i="71"/>
  <c r="BB15" i="71" s="1"/>
  <c r="F5" i="39"/>
  <c r="D49" i="49"/>
  <c r="D377" i="23"/>
  <c r="K377" i="23" s="1"/>
  <c r="D31" i="46"/>
  <c r="D41" i="49"/>
  <c r="D57" i="46"/>
  <c r="AC5" i="44"/>
  <c r="AC24" i="44" s="1"/>
  <c r="Q15" i="42"/>
  <c r="D430" i="38"/>
  <c r="D171" i="38"/>
  <c r="D90" i="36"/>
  <c r="D295" i="38"/>
  <c r="D277" i="38"/>
  <c r="D147" i="38"/>
  <c r="D6" i="45"/>
  <c r="D172" i="36"/>
  <c r="Q14" i="42"/>
  <c r="D16" i="42"/>
  <c r="D233" i="36"/>
  <c r="D23" i="45"/>
  <c r="D20" i="31"/>
  <c r="D20" i="46"/>
  <c r="C169" i="77"/>
  <c r="AC15" i="60"/>
  <c r="L6" i="60"/>
  <c r="D26" i="34"/>
  <c r="D5" i="42"/>
  <c r="D44" i="36"/>
  <c r="D35" i="33"/>
  <c r="AF260" i="77"/>
  <c r="D255" i="79"/>
  <c r="D272" i="36"/>
  <c r="AC5" i="48"/>
  <c r="D368" i="38"/>
  <c r="AQ88" i="9"/>
  <c r="D80" i="36"/>
  <c r="H21" i="60"/>
  <c r="L94" i="80"/>
  <c r="D230" i="73"/>
  <c r="L7" i="60"/>
  <c r="D11" i="52"/>
  <c r="D255" i="36"/>
  <c r="Q23" i="42"/>
  <c r="D24" i="53"/>
  <c r="D90" i="46"/>
  <c r="D4" i="49"/>
  <c r="D172" i="38"/>
  <c r="D16" i="31"/>
  <c r="D47" i="61"/>
  <c r="D219" i="23"/>
  <c r="K219" i="23" s="1"/>
  <c r="AL5" i="67"/>
  <c r="F5" i="42"/>
  <c r="S5" i="42" s="1"/>
  <c r="D77" i="46"/>
  <c r="AM5" i="71"/>
  <c r="AC5" i="61"/>
  <c r="AC21" i="61" s="1"/>
  <c r="AC37" i="61" s="1"/>
  <c r="D227" i="38"/>
  <c r="D267" i="38"/>
  <c r="D224" i="23"/>
  <c r="K224" i="23" s="1"/>
  <c r="D355" i="23"/>
  <c r="K355" i="23" s="1"/>
  <c r="Q34" i="42"/>
  <c r="D421" i="38"/>
  <c r="D43" i="80"/>
  <c r="D429" i="38"/>
  <c r="D365" i="38"/>
  <c r="D15" i="80"/>
  <c r="AN5" i="44"/>
  <c r="AN24" i="44" s="1"/>
  <c r="D13" i="71"/>
  <c r="BB13" i="71" s="1"/>
  <c r="D244" i="79"/>
  <c r="D289" i="36"/>
  <c r="L38" i="80"/>
  <c r="D14" i="33"/>
  <c r="Q25" i="42"/>
  <c r="D20" i="48"/>
  <c r="D31" i="34"/>
  <c r="D44" i="33"/>
  <c r="D76" i="36"/>
  <c r="D251" i="36"/>
  <c r="D231" i="36"/>
  <c r="D331" i="38"/>
  <c r="L5" i="68"/>
  <c r="D331" i="23"/>
  <c r="K331" i="23" s="1"/>
  <c r="D238" i="36"/>
  <c r="H11" i="60"/>
  <c r="D88" i="80"/>
  <c r="D28" i="44"/>
  <c r="D72" i="80"/>
  <c r="D26" i="71"/>
  <c r="BB26" i="71" s="1"/>
  <c r="D243" i="38"/>
  <c r="D10" i="48"/>
  <c r="D16" i="65"/>
  <c r="AM5" i="55"/>
  <c r="W5" i="68"/>
  <c r="D13" i="29"/>
  <c r="D89" i="36"/>
  <c r="D51" i="80"/>
  <c r="H6" i="60"/>
  <c r="D235" i="73"/>
  <c r="AC21" i="60"/>
  <c r="D191" i="36"/>
  <c r="D26" i="45"/>
  <c r="D316" i="23"/>
  <c r="K316" i="23" s="1"/>
  <c r="D66" i="36"/>
  <c r="D253" i="38"/>
  <c r="D9" i="48"/>
  <c r="D10" i="42"/>
  <c r="D82" i="36"/>
  <c r="D17" i="33"/>
  <c r="D223" i="36"/>
  <c r="D15" i="44"/>
  <c r="D175" i="38"/>
  <c r="D20" i="59"/>
  <c r="D7" i="66"/>
  <c r="D381" i="38"/>
  <c r="E5" i="30"/>
  <c r="Q35" i="42"/>
  <c r="H20" i="60"/>
  <c r="D55" i="71"/>
  <c r="BB55" i="71" s="1"/>
  <c r="L16" i="80"/>
  <c r="H10" i="60"/>
  <c r="D31" i="42"/>
  <c r="D19" i="71"/>
  <c r="BB19" i="71" s="1"/>
  <c r="D70" i="46"/>
  <c r="D5" i="36"/>
  <c r="D97" i="46"/>
  <c r="D356" i="38"/>
  <c r="D128" i="23"/>
  <c r="K128" i="23" s="1"/>
  <c r="D43" i="61"/>
  <c r="D22" i="26"/>
  <c r="D115" i="36"/>
  <c r="D359" i="23"/>
  <c r="K359" i="23" s="1"/>
  <c r="D29" i="71"/>
  <c r="AQ84" i="71" s="1"/>
  <c r="L13" i="80"/>
  <c r="D24" i="65"/>
  <c r="D6" i="55"/>
  <c r="D20" i="33"/>
  <c r="D364" i="38"/>
  <c r="D51" i="46"/>
  <c r="D45" i="61"/>
  <c r="D19" i="45"/>
  <c r="D229" i="38"/>
  <c r="F5" i="61"/>
  <c r="F21" i="61" s="1"/>
  <c r="F37" i="61" s="1"/>
  <c r="D186" i="36"/>
  <c r="D230" i="23"/>
  <c r="K230" i="23" s="1"/>
  <c r="D234" i="23"/>
  <c r="K234" i="23" s="1"/>
  <c r="D279" i="23"/>
  <c r="K279" i="23" s="1"/>
  <c r="D33" i="52"/>
  <c r="Q19" i="42"/>
  <c r="D15" i="45"/>
  <c r="D51" i="39"/>
  <c r="D317" i="38"/>
  <c r="D372" i="38"/>
  <c r="D146" i="36"/>
  <c r="D252" i="23"/>
  <c r="K252" i="23" s="1"/>
  <c r="D24" i="42"/>
  <c r="D318" i="23"/>
  <c r="K318" i="23" s="1"/>
  <c r="D133" i="36"/>
  <c r="F4" i="77"/>
  <c r="D181" i="73"/>
  <c r="AN2" i="76"/>
  <c r="BD2" i="76"/>
  <c r="D29" i="52"/>
  <c r="D226" i="36"/>
  <c r="D332" i="23"/>
  <c r="K332" i="23" s="1"/>
  <c r="D75" i="76"/>
  <c r="E82" i="76"/>
  <c r="AF223" i="77"/>
  <c r="AF250" i="77"/>
  <c r="D50" i="49"/>
  <c r="AL5" i="63"/>
  <c r="AL17" i="63" s="1"/>
  <c r="D291" i="38"/>
  <c r="D26" i="32"/>
  <c r="D28" i="42"/>
  <c r="D212" i="36"/>
  <c r="D8" i="46"/>
  <c r="D99" i="46"/>
  <c r="D16" i="72"/>
  <c r="C135" i="77"/>
  <c r="D12" i="61"/>
  <c r="D33" i="36"/>
  <c r="D350" i="38"/>
  <c r="L102" i="80"/>
  <c r="G5" i="80"/>
  <c r="D409" i="38"/>
  <c r="L71" i="80"/>
  <c r="D51" i="36"/>
  <c r="D274" i="38"/>
  <c r="AF235" i="77"/>
  <c r="D23" i="52"/>
  <c r="D24" i="49"/>
  <c r="D226" i="38"/>
  <c r="D21" i="72"/>
  <c r="AN5" i="65"/>
  <c r="D132" i="36"/>
  <c r="D29" i="61"/>
  <c r="U6" i="60"/>
  <c r="D40" i="39"/>
  <c r="AA5" i="60"/>
  <c r="D78" i="46"/>
  <c r="D398" i="38"/>
  <c r="D22" i="65"/>
  <c r="D150" i="38"/>
  <c r="D59" i="46"/>
  <c r="AF262" i="77"/>
  <c r="Q38" i="42"/>
  <c r="D310" i="38"/>
  <c r="E5" i="61"/>
  <c r="E21" i="61" s="1"/>
  <c r="E37" i="61" s="1"/>
  <c r="D61" i="46"/>
  <c r="D109" i="36"/>
  <c r="D270" i="38"/>
  <c r="D88" i="36"/>
  <c r="D18" i="39"/>
  <c r="D6" i="71"/>
  <c r="BB6" i="71" s="1"/>
  <c r="D27" i="61"/>
  <c r="D11" i="45"/>
  <c r="B160" i="77"/>
  <c r="AF160" i="77" s="1"/>
  <c r="D19" i="32"/>
  <c r="D45" i="36"/>
  <c r="D47" i="39"/>
  <c r="AD5" i="68"/>
  <c r="D10" i="52"/>
  <c r="D75" i="46"/>
  <c r="D95" i="36"/>
  <c r="D219" i="36"/>
  <c r="D219" i="38"/>
  <c r="D9" i="61"/>
  <c r="D41" i="42"/>
  <c r="D22" i="48"/>
  <c r="D68" i="46"/>
  <c r="D14" i="32"/>
  <c r="D62" i="46"/>
  <c r="D107" i="46"/>
  <c r="D380" i="38"/>
  <c r="D6" i="48"/>
  <c r="D353" i="38"/>
  <c r="D361" i="23"/>
  <c r="K361" i="23" s="1"/>
  <c r="D52" i="36"/>
  <c r="D297" i="23"/>
  <c r="K297" i="23" s="1"/>
  <c r="D27" i="32"/>
  <c r="D15" i="42"/>
  <c r="L11" i="60"/>
  <c r="D79" i="36"/>
  <c r="L18" i="60"/>
  <c r="D267" i="36"/>
  <c r="Q11" i="42"/>
  <c r="H12" i="60"/>
  <c r="L14" i="60"/>
  <c r="D40" i="61"/>
  <c r="Q37" i="42"/>
  <c r="D30" i="33"/>
  <c r="D44" i="61"/>
  <c r="D187" i="38"/>
  <c r="D159" i="38"/>
  <c r="D231" i="38"/>
  <c r="D290" i="38"/>
  <c r="F5" i="48"/>
  <c r="C171" i="77"/>
  <c r="D24" i="12"/>
  <c r="D194" i="36"/>
  <c r="D165" i="38"/>
  <c r="D275" i="23"/>
  <c r="K275" i="23" s="1"/>
  <c r="D173" i="38"/>
  <c r="E5" i="46"/>
  <c r="D26" i="31"/>
  <c r="D204" i="38"/>
  <c r="D33" i="80"/>
  <c r="D363" i="23"/>
  <c r="K363" i="23" s="1"/>
  <c r="D29" i="31"/>
  <c r="BN173" i="73"/>
  <c r="D192" i="36"/>
  <c r="B66" i="77"/>
  <c r="AF66" i="77" s="1"/>
  <c r="D46" i="71"/>
  <c r="BB46" i="71" s="1"/>
  <c r="D41" i="71"/>
  <c r="BB41" i="71" s="1"/>
  <c r="D18" i="46"/>
  <c r="D210" i="36"/>
  <c r="B170" i="77"/>
  <c r="AF170" i="77" s="1"/>
  <c r="D30" i="52"/>
  <c r="Q18" i="42"/>
  <c r="D374" i="38"/>
  <c r="D24" i="31"/>
  <c r="D314" i="38"/>
  <c r="AF231" i="77"/>
  <c r="B141" i="77"/>
  <c r="AF141" i="77" s="1"/>
  <c r="D262" i="36"/>
  <c r="D213" i="38"/>
  <c r="D190" i="36"/>
  <c r="D197" i="38"/>
  <c r="D21" i="31"/>
  <c r="D30" i="42"/>
  <c r="D153" i="38"/>
  <c r="D365" i="23"/>
  <c r="K365" i="23" s="1"/>
  <c r="D307" i="23"/>
  <c r="K307" i="23" s="1"/>
  <c r="D67" i="71"/>
  <c r="D101" i="36"/>
  <c r="D38" i="44"/>
  <c r="D333" i="38"/>
  <c r="D30" i="34"/>
  <c r="L93" i="80"/>
  <c r="D259" i="36"/>
  <c r="D9" i="46"/>
  <c r="D7" i="46"/>
  <c r="D18" i="30"/>
  <c r="Q7" i="42"/>
  <c r="D29" i="39"/>
  <c r="D175" i="23"/>
  <c r="K175" i="23" s="1"/>
  <c r="C128" i="77"/>
  <c r="D252" i="77"/>
  <c r="AF249" i="77"/>
  <c r="D198" i="38"/>
  <c r="D275" i="36"/>
  <c r="D44" i="80"/>
  <c r="D24" i="46"/>
  <c r="D65" i="46"/>
  <c r="D28" i="46"/>
  <c r="D21" i="48"/>
  <c r="D373" i="38"/>
  <c r="D23" i="36"/>
  <c r="D266" i="38"/>
  <c r="D247" i="38"/>
  <c r="D299" i="38"/>
  <c r="D8" i="31"/>
  <c r="D179" i="23"/>
  <c r="K179" i="23" s="1"/>
  <c r="D259" i="77"/>
  <c r="D13" i="36"/>
  <c r="E4" i="32"/>
  <c r="D152" i="38"/>
  <c r="D239" i="36"/>
  <c r="AF230" i="77"/>
  <c r="D12" i="60"/>
  <c r="D33" i="45"/>
  <c r="D20" i="72"/>
  <c r="G4" i="45"/>
  <c r="D196" i="23"/>
  <c r="K196" i="23" s="1"/>
  <c r="D205" i="36"/>
  <c r="D61" i="39"/>
  <c r="D248" i="38"/>
  <c r="D297" i="38"/>
  <c r="C140" i="77"/>
  <c r="D44" i="76"/>
  <c r="E63" i="76"/>
  <c r="D348" i="23"/>
  <c r="K348" i="23" s="1"/>
  <c r="B167" i="77"/>
  <c r="AF167" i="77" s="1"/>
  <c r="D29" i="32"/>
  <c r="D6" i="34"/>
  <c r="D25" i="61"/>
  <c r="D293" i="38"/>
  <c r="D7" i="34"/>
  <c r="D305" i="23"/>
  <c r="K305" i="23" s="1"/>
  <c r="C143" i="77"/>
  <c r="D5" i="52"/>
  <c r="D18" i="34"/>
  <c r="D150" i="23"/>
  <c r="K150" i="23" s="1"/>
  <c r="D31" i="49"/>
  <c r="D5" i="45"/>
  <c r="D5" i="61"/>
  <c r="M5" i="42"/>
  <c r="Z5" i="42" s="1"/>
  <c r="D407" i="38"/>
  <c r="D168" i="38"/>
  <c r="D18" i="61"/>
  <c r="D426" i="38"/>
  <c r="Q12" i="42"/>
  <c r="L83" i="80"/>
  <c r="D8" i="61"/>
  <c r="AC5" i="30"/>
  <c r="D5" i="13"/>
  <c r="D274" i="77"/>
  <c r="D11" i="32"/>
  <c r="E5" i="39"/>
  <c r="D69" i="46"/>
  <c r="D152" i="36"/>
  <c r="D46" i="39"/>
  <c r="D258" i="23"/>
  <c r="K258" i="23" s="1"/>
  <c r="D37" i="42"/>
  <c r="D355" i="38"/>
  <c r="Q21" i="42"/>
  <c r="D17" i="26"/>
  <c r="D24" i="55"/>
  <c r="E5" i="60"/>
  <c r="D266" i="36"/>
  <c r="D264" i="38"/>
  <c r="D161" i="38"/>
  <c r="D5" i="29"/>
  <c r="D20" i="36"/>
  <c r="D138" i="36"/>
  <c r="D112" i="23"/>
  <c r="K112" i="23" s="1"/>
  <c r="AF255" i="77"/>
  <c r="D280" i="23"/>
  <c r="K280" i="23" s="1"/>
  <c r="D85" i="36"/>
  <c r="D13" i="72"/>
  <c r="O5" i="60"/>
  <c r="D11" i="44"/>
  <c r="D9" i="42"/>
  <c r="D25" i="45"/>
  <c r="D5" i="49"/>
  <c r="D265" i="38"/>
  <c r="D17" i="30"/>
  <c r="D281" i="38"/>
  <c r="D326" i="38"/>
  <c r="D32" i="44"/>
  <c r="D56" i="39"/>
  <c r="D8" i="24"/>
  <c r="C151" i="77"/>
  <c r="D102" i="36"/>
  <c r="D342" i="23"/>
  <c r="K342" i="23" s="1"/>
  <c r="D37" i="36"/>
  <c r="D348" i="38"/>
  <c r="D339" i="23"/>
  <c r="K339" i="23" s="1"/>
  <c r="D220" i="38"/>
  <c r="Q29" i="42"/>
  <c r="D13" i="26"/>
  <c r="D8" i="80"/>
  <c r="D221" i="38"/>
  <c r="D308" i="38"/>
  <c r="D49" i="39"/>
  <c r="D30" i="44"/>
  <c r="D414" i="38"/>
  <c r="D38" i="39"/>
  <c r="C142" i="77"/>
  <c r="D90" i="71"/>
  <c r="D8" i="72"/>
  <c r="D390" i="38"/>
  <c r="D8" i="49"/>
  <c r="D141" i="36"/>
  <c r="D431" i="38"/>
  <c r="D11" i="30"/>
  <c r="D86" i="36"/>
  <c r="D315" i="23"/>
  <c r="K315" i="23" s="1"/>
  <c r="D298" i="38"/>
  <c r="D15" i="13"/>
  <c r="D5" i="46"/>
  <c r="AF266" i="77"/>
  <c r="D10" i="44"/>
  <c r="D227" i="23"/>
  <c r="K227" i="23" s="1"/>
  <c r="B140" i="77"/>
  <c r="AF140" i="77" s="1"/>
  <c r="D33" i="79"/>
  <c r="D102" i="76"/>
  <c r="D112" i="36"/>
  <c r="Q32" i="42"/>
  <c r="D23" i="61"/>
  <c r="D18" i="32"/>
  <c r="D155" i="36"/>
  <c r="D228" i="23"/>
  <c r="K228" i="23" s="1"/>
  <c r="D315" i="38"/>
  <c r="D123" i="73"/>
  <c r="AM5" i="66"/>
  <c r="D63" i="46"/>
  <c r="D199" i="38"/>
  <c r="Q31" i="42"/>
  <c r="D40" i="36"/>
  <c r="AF243" i="77"/>
  <c r="D227" i="77"/>
  <c r="D256" i="77"/>
  <c r="D38" i="1"/>
  <c r="E5" i="49"/>
  <c r="D156" i="38"/>
  <c r="D216" i="38"/>
  <c r="D271" i="77"/>
  <c r="D351" i="38"/>
  <c r="Q10" i="42"/>
  <c r="D74" i="36"/>
  <c r="AS117" i="73"/>
  <c r="D93" i="9"/>
  <c r="D80" i="71"/>
  <c r="D239" i="38"/>
  <c r="D22" i="44"/>
  <c r="D7" i="31"/>
  <c r="D25" i="33"/>
  <c r="D180" i="23"/>
  <c r="K180" i="23" s="1"/>
  <c r="D341" i="23"/>
  <c r="K341" i="23" s="1"/>
  <c r="D10" i="32"/>
  <c r="D113" i="73"/>
  <c r="B139" i="77"/>
  <c r="AF139" i="77" s="1"/>
  <c r="B158" i="77"/>
  <c r="AF158" i="77" s="1"/>
  <c r="D73" i="63"/>
  <c r="D43" i="46"/>
  <c r="E5" i="33"/>
  <c r="E19" i="33" s="1"/>
  <c r="E33" i="33" s="1"/>
  <c r="D11" i="29"/>
  <c r="D283" i="38"/>
  <c r="D360" i="23"/>
  <c r="K360" i="23" s="1"/>
  <c r="D251" i="23"/>
  <c r="K251" i="23" s="1"/>
  <c r="D327" i="23"/>
  <c r="K327" i="23" s="1"/>
  <c r="D213" i="23"/>
  <c r="K213" i="23" s="1"/>
  <c r="D61" i="76"/>
  <c r="D5" i="72"/>
  <c r="AF237" i="77"/>
  <c r="B94" i="77"/>
  <c r="AF94" i="77" s="1"/>
  <c r="B128" i="77"/>
  <c r="AF128" i="77" s="1"/>
  <c r="C80" i="77"/>
  <c r="D188" i="38"/>
  <c r="D128" i="73"/>
  <c r="D21" i="1"/>
  <c r="D292" i="23"/>
  <c r="K292" i="23" s="1"/>
  <c r="E98" i="76"/>
  <c r="D224" i="77"/>
  <c r="E76" i="76"/>
  <c r="E30" i="34"/>
  <c r="E5" i="34" s="1"/>
  <c r="D93" i="46"/>
  <c r="E5" i="71"/>
  <c r="D261" i="36"/>
  <c r="D345" i="38"/>
  <c r="D298" i="23"/>
  <c r="K298" i="23" s="1"/>
  <c r="D10" i="72"/>
  <c r="U9" i="60"/>
  <c r="D249" i="38"/>
  <c r="D204" i="36"/>
  <c r="D78" i="36"/>
  <c r="D231" i="23"/>
  <c r="K231" i="23" s="1"/>
  <c r="D303" i="23"/>
  <c r="K303" i="23" s="1"/>
  <c r="C138" i="77"/>
  <c r="D18" i="29"/>
  <c r="D100" i="36"/>
  <c r="D366" i="38"/>
  <c r="D344" i="38"/>
  <c r="B147" i="77"/>
  <c r="AF147" i="77" s="1"/>
  <c r="D229" i="23"/>
  <c r="K229" i="23" s="1"/>
  <c r="D237" i="23"/>
  <c r="K237" i="23" s="1"/>
  <c r="C94" i="77"/>
  <c r="D58" i="36"/>
  <c r="D341" i="38"/>
  <c r="D218" i="38"/>
  <c r="D276" i="77"/>
  <c r="D38" i="76"/>
  <c r="C162" i="77"/>
  <c r="C22" i="77"/>
  <c r="D58" i="80"/>
  <c r="D6" i="36"/>
  <c r="D264" i="36"/>
  <c r="D247" i="77"/>
  <c r="D5" i="26"/>
  <c r="BE117" i="73"/>
  <c r="R208" i="73"/>
  <c r="AM5" i="24"/>
  <c r="D27" i="46"/>
  <c r="AI5" i="68"/>
  <c r="AI63" i="68" s="1"/>
  <c r="D11" i="42"/>
  <c r="D166" i="23"/>
  <c r="K166" i="23" s="1"/>
  <c r="D216" i="23"/>
  <c r="K216" i="23" s="1"/>
  <c r="D8" i="13"/>
  <c r="D32" i="83"/>
  <c r="D362" i="23"/>
  <c r="K362" i="23" s="1"/>
  <c r="L12" i="80"/>
  <c r="D25" i="46"/>
  <c r="D261" i="38"/>
  <c r="D270" i="77"/>
  <c r="D19" i="36"/>
  <c r="C81" i="77"/>
  <c r="D65" i="83"/>
  <c r="C77" i="77"/>
  <c r="B79" i="77"/>
  <c r="AF79" i="77" s="1"/>
  <c r="D117" i="36"/>
  <c r="E5" i="42"/>
  <c r="R5" i="42" s="1"/>
  <c r="D170" i="36"/>
  <c r="D14" i="31"/>
  <c r="D90" i="83"/>
  <c r="D354" i="23"/>
  <c r="K354" i="23" s="1"/>
  <c r="C79" i="77"/>
  <c r="B81" i="77"/>
  <c r="AF81" i="77" s="1"/>
  <c r="D233" i="77"/>
  <c r="AM4" i="77"/>
  <c r="L95" i="80"/>
  <c r="D105" i="76"/>
  <c r="D335" i="23"/>
  <c r="K335" i="23" s="1"/>
  <c r="B146" i="77"/>
  <c r="AF146" i="77" s="1"/>
  <c r="D320" i="23"/>
  <c r="K320" i="23" s="1"/>
  <c r="L173" i="73"/>
  <c r="B51" i="77"/>
  <c r="AF51" i="77" s="1"/>
  <c r="D8" i="32"/>
  <c r="D38" i="71"/>
  <c r="BB38" i="71" s="1"/>
  <c r="D127" i="36"/>
  <c r="D270" i="36"/>
  <c r="D9" i="34"/>
  <c r="H5" i="23"/>
  <c r="D434" i="38"/>
  <c r="D18" i="81"/>
  <c r="D401" i="38"/>
  <c r="D17" i="44"/>
  <c r="H4" i="46"/>
  <c r="D269" i="36"/>
  <c r="D155" i="38"/>
  <c r="B122" i="77"/>
  <c r="AF122" i="77" s="1"/>
  <c r="D22" i="13"/>
  <c r="D10" i="34"/>
  <c r="D37" i="44"/>
  <c r="D441" i="38"/>
  <c r="N5" i="68"/>
  <c r="D143" i="36"/>
  <c r="D344" i="23"/>
  <c r="K344" i="23" s="1"/>
  <c r="D288" i="23"/>
  <c r="K288" i="23" s="1"/>
  <c r="D45" i="76"/>
  <c r="D27" i="31"/>
  <c r="D9" i="33"/>
  <c r="D19" i="26"/>
  <c r="D116" i="36"/>
  <c r="C110" i="77"/>
  <c r="D263" i="77"/>
  <c r="C17" i="77"/>
  <c r="D36" i="42"/>
  <c r="D196" i="36"/>
  <c r="D217" i="36"/>
  <c r="D174" i="38"/>
  <c r="D150" i="36"/>
  <c r="AF271" i="77"/>
  <c r="B15" i="77"/>
  <c r="AF15" i="77" s="1"/>
  <c r="D15" i="1"/>
  <c r="D27" i="48"/>
  <c r="D13" i="33"/>
  <c r="L27" i="80"/>
  <c r="D25" i="30"/>
  <c r="D240" i="23"/>
  <c r="K240" i="23" s="1"/>
  <c r="AF244" i="77"/>
  <c r="H173" i="73"/>
  <c r="D184" i="73"/>
  <c r="AB5" i="31"/>
  <c r="D342" i="38"/>
  <c r="D327" i="38"/>
  <c r="Q13" i="42"/>
  <c r="D209" i="36"/>
  <c r="B123" i="77"/>
  <c r="AF123" i="77" s="1"/>
  <c r="B61" i="77"/>
  <c r="AF61" i="77" s="1"/>
  <c r="D184" i="79"/>
  <c r="D249" i="77"/>
  <c r="D233" i="79"/>
  <c r="D18" i="48"/>
  <c r="D42" i="36"/>
  <c r="D23" i="13"/>
  <c r="D306" i="23"/>
  <c r="K306" i="23" s="1"/>
  <c r="D222" i="36"/>
  <c r="D9" i="13"/>
  <c r="D130" i="73"/>
  <c r="D217" i="79"/>
  <c r="D24" i="32"/>
  <c r="AF276" i="77"/>
  <c r="D4" i="31"/>
  <c r="AF245" i="77"/>
  <c r="D133" i="79"/>
  <c r="D124" i="36"/>
  <c r="B21" i="77"/>
  <c r="D301" i="38"/>
  <c r="B125" i="77"/>
  <c r="AF125" i="77" s="1"/>
  <c r="D87" i="63"/>
  <c r="D285" i="23"/>
  <c r="K285" i="23" s="1"/>
  <c r="AF246" i="77"/>
  <c r="D25" i="3"/>
  <c r="BR25" i="3" s="1"/>
  <c r="T117" i="73"/>
  <c r="D29" i="67"/>
  <c r="O173" i="73"/>
  <c r="D247" i="73"/>
  <c r="D6" i="9"/>
  <c r="C97" i="77"/>
  <c r="D304" i="38"/>
  <c r="AP2" i="76"/>
  <c r="D90" i="9"/>
  <c r="D122" i="23"/>
  <c r="K122" i="23" s="1"/>
  <c r="D34" i="39"/>
  <c r="D325" i="38"/>
  <c r="D19" i="48"/>
  <c r="AG5" i="68"/>
  <c r="D214" i="36"/>
  <c r="D23" i="39"/>
  <c r="D206" i="36"/>
  <c r="D161" i="23"/>
  <c r="K161" i="23" s="1"/>
  <c r="D13" i="65"/>
  <c r="D14" i="42"/>
  <c r="D15" i="33"/>
  <c r="D240" i="38"/>
  <c r="D145" i="36"/>
  <c r="D169" i="38"/>
  <c r="AF241" i="77"/>
  <c r="AF274" i="77"/>
  <c r="D157" i="38"/>
  <c r="E5" i="59"/>
  <c r="D7" i="26"/>
  <c r="D33" i="61"/>
  <c r="D38" i="52"/>
  <c r="D440" i="38"/>
  <c r="D16" i="45"/>
  <c r="D8" i="36"/>
  <c r="D114" i="23"/>
  <c r="K114" i="23" s="1"/>
  <c r="D83" i="71"/>
  <c r="D20" i="49"/>
  <c r="D6" i="66"/>
  <c r="D208" i="38"/>
  <c r="D25" i="42"/>
  <c r="G4" i="33"/>
  <c r="D7" i="42"/>
  <c r="D14" i="13"/>
  <c r="BZ208" i="73"/>
  <c r="D7" i="32"/>
  <c r="D166" i="38"/>
  <c r="D36" i="33"/>
  <c r="B138" i="77"/>
  <c r="AF138" i="77" s="1"/>
  <c r="D369" i="38"/>
  <c r="C160" i="77"/>
  <c r="D352" i="38"/>
  <c r="D24" i="44"/>
  <c r="D37" i="61"/>
  <c r="D38" i="61"/>
  <c r="D208" i="36"/>
  <c r="D247" i="23"/>
  <c r="K247" i="23" s="1"/>
  <c r="D15" i="10"/>
  <c r="AF229" i="77"/>
  <c r="M4" i="77"/>
  <c r="D24" i="71"/>
  <c r="BB24" i="71" s="1"/>
  <c r="D102" i="46"/>
  <c r="D28" i="33"/>
  <c r="D160" i="38"/>
  <c r="B142" i="77"/>
  <c r="AF142" i="77" s="1"/>
  <c r="E103" i="76"/>
  <c r="D7" i="71"/>
  <c r="BB7" i="71" s="1"/>
  <c r="D437" i="38"/>
  <c r="D22" i="34"/>
  <c r="D21" i="32"/>
  <c r="D13" i="42"/>
  <c r="D21" i="30"/>
  <c r="D311" i="38"/>
  <c r="D276" i="23"/>
  <c r="K276" i="23" s="1"/>
  <c r="B45" i="77"/>
  <c r="AF45" i="77" s="1"/>
  <c r="D29" i="79"/>
  <c r="B103" i="77"/>
  <c r="AF103" i="77" s="1"/>
  <c r="D34" i="36"/>
  <c r="D244" i="38"/>
  <c r="D107" i="36"/>
  <c r="D96" i="36"/>
  <c r="D33" i="33"/>
  <c r="C42" i="77"/>
  <c r="B46" i="77"/>
  <c r="AF46" i="77" s="1"/>
  <c r="D185" i="23"/>
  <c r="K185" i="23" s="1"/>
  <c r="D51" i="76"/>
  <c r="F5" i="44"/>
  <c r="F24" i="44" s="1"/>
  <c r="D84" i="46"/>
  <c r="D217" i="38"/>
  <c r="D14" i="30"/>
  <c r="D353" i="23"/>
  <c r="K353" i="23" s="1"/>
  <c r="D253" i="36"/>
  <c r="D91" i="76"/>
  <c r="B104" i="77"/>
  <c r="AF104" i="77" s="1"/>
  <c r="AF254" i="77"/>
  <c r="C114" i="77"/>
  <c r="D114" i="36"/>
  <c r="D319" i="38"/>
  <c r="E5" i="31"/>
  <c r="Z173" i="73"/>
  <c r="D13" i="10"/>
  <c r="D329" i="23"/>
  <c r="K329" i="23" s="1"/>
  <c r="B13" i="77"/>
  <c r="AF13" i="77" s="1"/>
  <c r="D211" i="79"/>
  <c r="V4" i="77"/>
  <c r="D206" i="23"/>
  <c r="K206" i="23" s="1"/>
  <c r="B111" i="77"/>
  <c r="AF111" i="77" s="1"/>
  <c r="D163" i="79"/>
  <c r="D162" i="83"/>
  <c r="D6" i="67"/>
  <c r="BA6" i="67" s="1"/>
  <c r="Z208" i="73"/>
  <c r="D13" i="63"/>
  <c r="D4" i="63"/>
  <c r="D261" i="77"/>
  <c r="D200" i="23"/>
  <c r="K200" i="23" s="1"/>
  <c r="C168" i="77"/>
  <c r="AP117" i="73"/>
  <c r="D274" i="23"/>
  <c r="K274" i="23" s="1"/>
  <c r="Q173" i="73"/>
  <c r="E5" i="1"/>
  <c r="C152" i="77"/>
  <c r="AT4" i="77"/>
  <c r="AF258" i="77"/>
  <c r="AU173" i="73"/>
  <c r="G5" i="76"/>
  <c r="L15" i="80"/>
  <c r="C165" i="77"/>
  <c r="D17" i="48"/>
  <c r="D20" i="53"/>
  <c r="D17" i="42"/>
  <c r="D11" i="36"/>
  <c r="D404" i="38"/>
  <c r="D123" i="23"/>
  <c r="K123" i="23" s="1"/>
  <c r="D21" i="46"/>
  <c r="D300" i="38"/>
  <c r="D34" i="80"/>
  <c r="D136" i="36"/>
  <c r="D12" i="36"/>
  <c r="D5" i="31"/>
  <c r="D184" i="23"/>
  <c r="K184" i="23" s="1"/>
  <c r="D13" i="60"/>
  <c r="D50" i="61"/>
  <c r="D205" i="23"/>
  <c r="K205" i="23" s="1"/>
  <c r="D347" i="38"/>
  <c r="AF238" i="77"/>
  <c r="D228" i="38"/>
  <c r="D168" i="36"/>
  <c r="AH173" i="73"/>
  <c r="C118" i="77"/>
  <c r="D42" i="71"/>
  <c r="BB42" i="71" s="1"/>
  <c r="D223" i="38"/>
  <c r="D218" i="36"/>
  <c r="D351" i="23"/>
  <c r="K351" i="23" s="1"/>
  <c r="B100" i="77"/>
  <c r="AF100" i="77" s="1"/>
  <c r="D188" i="79"/>
  <c r="E107" i="76"/>
  <c r="D70" i="73"/>
  <c r="D229" i="36"/>
  <c r="D322" i="38"/>
  <c r="D334" i="38"/>
  <c r="D165" i="36"/>
  <c r="D214" i="23"/>
  <c r="K214" i="23" s="1"/>
  <c r="D82" i="76"/>
  <c r="E93" i="76"/>
  <c r="D190" i="23"/>
  <c r="K190" i="23" s="1"/>
  <c r="D55" i="46"/>
  <c r="D6" i="59"/>
  <c r="L74" i="80"/>
  <c r="D153" i="36"/>
  <c r="B136" i="77"/>
  <c r="AF136" i="77" s="1"/>
  <c r="AF275" i="77"/>
  <c r="AF261" i="77"/>
  <c r="C6" i="77"/>
  <c r="D15" i="26"/>
  <c r="K173" i="73"/>
  <c r="D57" i="49"/>
  <c r="D17" i="29"/>
  <c r="D241" i="23"/>
  <c r="K241" i="23" s="1"/>
  <c r="D10" i="80"/>
  <c r="B168" i="77"/>
  <c r="AF168" i="77" s="1"/>
  <c r="BA117" i="73"/>
  <c r="D66" i="79"/>
  <c r="D281" i="23"/>
  <c r="K281" i="23" s="1"/>
  <c r="AF253" i="77"/>
  <c r="Q22" i="42"/>
  <c r="D190" i="38"/>
  <c r="N5" i="23"/>
  <c r="D294" i="23"/>
  <c r="K294" i="23" s="1"/>
  <c r="D24" i="13"/>
  <c r="D22" i="67"/>
  <c r="D229" i="77"/>
  <c r="D237" i="77"/>
  <c r="D319" i="23"/>
  <c r="K319" i="23" s="1"/>
  <c r="E90" i="76"/>
  <c r="D259" i="23"/>
  <c r="K259" i="23" s="1"/>
  <c r="D287" i="23"/>
  <c r="K287" i="23" s="1"/>
  <c r="D192" i="38"/>
  <c r="C31" i="77"/>
  <c r="AF269" i="77"/>
  <c r="D27" i="33"/>
  <c r="H117" i="73"/>
  <c r="D16" i="3"/>
  <c r="D120" i="79"/>
  <c r="D101" i="79"/>
  <c r="D178" i="79"/>
  <c r="D72" i="46"/>
  <c r="C29" i="77"/>
  <c r="Z2" i="76"/>
  <c r="C136" i="77"/>
  <c r="V173" i="73"/>
  <c r="D304" i="23"/>
  <c r="K304" i="23" s="1"/>
  <c r="D39" i="76"/>
  <c r="G5" i="68"/>
  <c r="D254" i="79"/>
  <c r="D6" i="13"/>
  <c r="J4" i="46"/>
  <c r="D120" i="36"/>
  <c r="D6" i="29"/>
  <c r="D43" i="33"/>
  <c r="D30" i="31"/>
  <c r="AF277" i="77"/>
  <c r="D87" i="80"/>
  <c r="D26" i="36"/>
  <c r="E5" i="72"/>
  <c r="D15" i="61"/>
  <c r="D254" i="36"/>
  <c r="D121" i="36"/>
  <c r="D185" i="36"/>
  <c r="D215" i="38"/>
  <c r="Q33" i="42"/>
  <c r="D255" i="38"/>
  <c r="D39" i="39"/>
  <c r="D94" i="36"/>
  <c r="D5" i="24"/>
  <c r="D93" i="73"/>
  <c r="C61" i="77"/>
  <c r="D11" i="48"/>
  <c r="D320" i="38"/>
  <c r="D59" i="36"/>
  <c r="D19" i="31"/>
  <c r="D337" i="23"/>
  <c r="K337" i="23" s="1"/>
  <c r="B98" i="77"/>
  <c r="AF98" i="77" s="1"/>
  <c r="D18" i="67"/>
  <c r="BA18" i="67" s="1"/>
  <c r="B67" i="77"/>
  <c r="AF67" i="77" s="1"/>
  <c r="D19" i="9"/>
  <c r="D25" i="39"/>
  <c r="D356" i="23"/>
  <c r="K356" i="23" s="1"/>
  <c r="D10" i="29"/>
  <c r="B153" i="77"/>
  <c r="AF153" i="77" s="1"/>
  <c r="D349" i="38"/>
  <c r="B108" i="77"/>
  <c r="AF108" i="77" s="1"/>
  <c r="D52" i="73"/>
  <c r="D283" i="23"/>
  <c r="K283" i="23" s="1"/>
  <c r="D272" i="38"/>
  <c r="D21" i="34"/>
  <c r="E4" i="33"/>
  <c r="D236" i="77"/>
  <c r="B143" i="77"/>
  <c r="AF143" i="77" s="1"/>
  <c r="C7" i="77"/>
  <c r="C11" i="77"/>
  <c r="D336" i="38"/>
  <c r="D367" i="38"/>
  <c r="D21" i="26"/>
  <c r="D84" i="36"/>
  <c r="D291" i="23"/>
  <c r="K291" i="23" s="1"/>
  <c r="D236" i="38"/>
  <c r="E4" i="30"/>
  <c r="D15" i="29"/>
  <c r="D119" i="73"/>
  <c r="D15" i="12"/>
  <c r="D157" i="23"/>
  <c r="K157" i="23" s="1"/>
  <c r="AW117" i="73"/>
  <c r="L33" i="80"/>
  <c r="G4" i="48"/>
  <c r="D16" i="34"/>
  <c r="D8" i="26"/>
  <c r="D5" i="32"/>
  <c r="D173" i="23"/>
  <c r="K173" i="23" s="1"/>
  <c r="AX117" i="73"/>
  <c r="D141" i="83"/>
  <c r="D12" i="13"/>
  <c r="B8" i="77"/>
  <c r="AF8" i="77" s="1"/>
  <c r="D205" i="38"/>
  <c r="D177" i="23"/>
  <c r="K177" i="23" s="1"/>
  <c r="D13" i="39"/>
  <c r="D245" i="77"/>
  <c r="D159" i="79"/>
  <c r="D258" i="38"/>
  <c r="AS4" i="77"/>
  <c r="C116" i="77"/>
  <c r="B151" i="77"/>
  <c r="AF151" i="77" s="1"/>
  <c r="C36" i="77"/>
  <c r="C137" i="77"/>
  <c r="C54" i="3"/>
  <c r="G5" i="3"/>
  <c r="G41" i="3" s="1"/>
  <c r="D58" i="76"/>
  <c r="B37" i="77"/>
  <c r="AF37" i="77" s="1"/>
  <c r="D5" i="67"/>
  <c r="AF268" i="77"/>
  <c r="D237" i="73"/>
  <c r="D326" i="23"/>
  <c r="K326" i="23" s="1"/>
  <c r="AK2" i="76"/>
  <c r="D234" i="36"/>
  <c r="C157" i="77"/>
  <c r="D73" i="79"/>
  <c r="D324" i="23"/>
  <c r="K324" i="23" s="1"/>
  <c r="D278" i="23"/>
  <c r="K278" i="23" s="1"/>
  <c r="D62" i="83"/>
  <c r="D24" i="63"/>
  <c r="AX24" i="63" s="1"/>
  <c r="D131" i="79"/>
  <c r="AY4" i="77"/>
  <c r="D92" i="79"/>
  <c r="D69" i="79"/>
  <c r="D113" i="36"/>
  <c r="D48" i="39"/>
  <c r="AG117" i="73"/>
  <c r="D147" i="36"/>
  <c r="D9" i="26"/>
  <c r="D22" i="36"/>
  <c r="B56" i="77"/>
  <c r="AF56" i="77" s="1"/>
  <c r="D21" i="33"/>
  <c r="D17" i="79"/>
  <c r="D38" i="36"/>
  <c r="D302" i="38"/>
  <c r="L6" i="80"/>
  <c r="D149" i="36"/>
  <c r="D121" i="83"/>
  <c r="D32" i="42"/>
  <c r="D18" i="52"/>
  <c r="D196" i="38"/>
  <c r="D6" i="3"/>
  <c r="AF173" i="73"/>
  <c r="D396" i="38"/>
  <c r="B64" i="77"/>
  <c r="AF64" i="77" s="1"/>
  <c r="T5" i="2"/>
  <c r="D174" i="73"/>
  <c r="D30" i="36"/>
  <c r="D28" i="2"/>
  <c r="AU208" i="73"/>
  <c r="D176" i="23"/>
  <c r="K176" i="23" s="1"/>
  <c r="D108" i="36"/>
  <c r="C167" i="77"/>
  <c r="D57" i="76"/>
  <c r="D255" i="77"/>
  <c r="D23" i="67"/>
  <c r="AH5" i="53"/>
  <c r="D53" i="73"/>
  <c r="D38" i="79"/>
  <c r="C52" i="77"/>
  <c r="D273" i="38"/>
  <c r="D167" i="23"/>
  <c r="K167" i="23" s="1"/>
  <c r="D10" i="61"/>
  <c r="D55" i="76"/>
  <c r="D12" i="12"/>
  <c r="B76" i="77"/>
  <c r="AF76" i="77" s="1"/>
  <c r="D242" i="23"/>
  <c r="K242" i="23" s="1"/>
  <c r="AZ117" i="73"/>
  <c r="C109" i="77"/>
  <c r="C170" i="77"/>
  <c r="C33" i="77"/>
  <c r="F5" i="24"/>
  <c r="D158" i="79"/>
  <c r="AF226" i="77"/>
  <c r="D99" i="83"/>
  <c r="E4" i="77"/>
  <c r="D96" i="9"/>
  <c r="D25" i="83"/>
  <c r="D46" i="12"/>
  <c r="D274" i="36"/>
  <c r="I5" i="23"/>
  <c r="D43" i="3"/>
  <c r="BR43" i="3" s="1"/>
  <c r="C81" i="63"/>
  <c r="D269" i="77"/>
  <c r="D203" i="23"/>
  <c r="K203" i="23" s="1"/>
  <c r="BG173" i="73"/>
  <c r="D6" i="1"/>
  <c r="Y4" i="77"/>
  <c r="BB208" i="73"/>
  <c r="D23" i="1"/>
  <c r="D73" i="76"/>
  <c r="D215" i="23"/>
  <c r="K215" i="23" s="1"/>
  <c r="D53" i="79"/>
  <c r="T5" i="32"/>
  <c r="D73" i="3"/>
  <c r="D167" i="36"/>
  <c r="D63" i="9"/>
  <c r="D44" i="1"/>
  <c r="B30" i="77"/>
  <c r="AF30" i="77" s="1"/>
  <c r="D186" i="73"/>
  <c r="D364" i="23"/>
  <c r="K364" i="23" s="1"/>
  <c r="BP173" i="73"/>
  <c r="D29" i="12"/>
  <c r="C68" i="77"/>
  <c r="D21" i="13"/>
  <c r="B65" i="77"/>
  <c r="AF65" i="77" s="1"/>
  <c r="AL4" i="77"/>
  <c r="C59" i="77"/>
  <c r="D43" i="63"/>
  <c r="B28" i="77"/>
  <c r="AF28" i="77" s="1"/>
  <c r="D62" i="73"/>
  <c r="D5" i="3"/>
  <c r="D149" i="23"/>
  <c r="K149" i="23" s="1"/>
  <c r="D250" i="79"/>
  <c r="AC5" i="49"/>
  <c r="D27" i="42"/>
  <c r="BL173" i="73"/>
  <c r="B53" i="77"/>
  <c r="AF53" i="77" s="1"/>
  <c r="D273" i="36"/>
  <c r="D68" i="83"/>
  <c r="D22" i="63"/>
  <c r="AX22" i="63" s="1"/>
  <c r="C83" i="77"/>
  <c r="D75" i="79"/>
  <c r="D350" i="23"/>
  <c r="K350" i="23" s="1"/>
  <c r="AK4" i="77"/>
  <c r="D27" i="12"/>
  <c r="C104" i="77"/>
  <c r="K5" i="23"/>
  <c r="B97" i="77"/>
  <c r="AF97" i="77" s="1"/>
  <c r="E97" i="76"/>
  <c r="D28" i="9"/>
  <c r="D7" i="63"/>
  <c r="D368" i="23"/>
  <c r="K368" i="23" s="1"/>
  <c r="D27" i="79"/>
  <c r="I3" i="77"/>
  <c r="D23" i="31"/>
  <c r="D45" i="12"/>
  <c r="D38" i="67"/>
  <c r="BA38" i="67" s="1"/>
  <c r="D193" i="73"/>
  <c r="D296" i="23"/>
  <c r="K296" i="23" s="1"/>
  <c r="D13" i="1"/>
  <c r="D96" i="76"/>
  <c r="E5" i="76"/>
  <c r="D27" i="3"/>
  <c r="BR27" i="3" s="1"/>
  <c r="C23" i="77"/>
  <c r="D26" i="3"/>
  <c r="BR26" i="3" s="1"/>
  <c r="X5" i="39"/>
  <c r="BA4" i="77"/>
  <c r="D91" i="63"/>
  <c r="D208" i="73"/>
  <c r="D26" i="83"/>
  <c r="Q5" i="66"/>
  <c r="D158" i="73"/>
  <c r="AK5" i="48"/>
  <c r="D214" i="73"/>
  <c r="AG5" i="3"/>
  <c r="AG41" i="3" s="1"/>
  <c r="Q5" i="2"/>
  <c r="S30" i="34"/>
  <c r="AU5" i="34" s="1"/>
  <c r="K5" i="65"/>
  <c r="D146" i="73"/>
  <c r="B145" i="77"/>
  <c r="AF145" i="77" s="1"/>
  <c r="F3" i="9"/>
  <c r="D88" i="73"/>
  <c r="D47" i="63"/>
  <c r="AX47" i="63" s="1"/>
  <c r="D29" i="83"/>
  <c r="D4" i="67"/>
  <c r="D36" i="3"/>
  <c r="BR36" i="3" s="1"/>
  <c r="Y5" i="33"/>
  <c r="Y19" i="33" s="1"/>
  <c r="Y33" i="33" s="1"/>
  <c r="D100" i="9"/>
  <c r="D179" i="79"/>
  <c r="D56" i="9"/>
  <c r="B138" i="8" s="1"/>
  <c r="D6" i="83"/>
  <c r="S5" i="10"/>
  <c r="D73" i="83"/>
  <c r="O5" i="66"/>
  <c r="D39" i="1"/>
  <c r="D307" i="38"/>
  <c r="C144" i="77"/>
  <c r="S5" i="68"/>
  <c r="D17" i="52"/>
  <c r="D206" i="38"/>
  <c r="D113" i="83"/>
  <c r="X173" i="73"/>
  <c r="D43" i="36"/>
  <c r="F30" i="34"/>
  <c r="H5" i="34" s="1"/>
  <c r="D66" i="80"/>
  <c r="D7" i="61"/>
  <c r="D220" i="23"/>
  <c r="K220" i="23" s="1"/>
  <c r="E4" i="45"/>
  <c r="E79" i="76"/>
  <c r="AC9" i="60"/>
  <c r="D133" i="23"/>
  <c r="K133" i="23" s="1"/>
  <c r="J208" i="73"/>
  <c r="D59" i="76"/>
  <c r="D110" i="23"/>
  <c r="K110" i="23" s="1"/>
  <c r="B41" i="77"/>
  <c r="AF41" i="77" s="1"/>
  <c r="AF5" i="53"/>
  <c r="AF12" i="53" s="1"/>
  <c r="AF251" i="77"/>
  <c r="B135" i="77"/>
  <c r="AF135" i="77" s="1"/>
  <c r="AF228" i="77"/>
  <c r="D16" i="10"/>
  <c r="B48" i="77"/>
  <c r="AF48" i="77" s="1"/>
  <c r="D55" i="36"/>
  <c r="D171" i="36"/>
  <c r="AC117" i="73"/>
  <c r="AF2" i="76"/>
  <c r="D31" i="3"/>
  <c r="BR31" i="3" s="1"/>
  <c r="AF240" i="77"/>
  <c r="C34" i="3"/>
  <c r="D81" i="76"/>
  <c r="B157" i="77"/>
  <c r="AF157" i="77" s="1"/>
  <c r="C75" i="77"/>
  <c r="C124" i="77"/>
  <c r="D97" i="9"/>
  <c r="D161" i="36"/>
  <c r="D299" i="23"/>
  <c r="K299" i="23" s="1"/>
  <c r="B86" i="77"/>
  <c r="AF86" i="77" s="1"/>
  <c r="B88" i="77"/>
  <c r="AF88" i="77" s="1"/>
  <c r="B159" i="77"/>
  <c r="AF159" i="77" s="1"/>
  <c r="D122" i="79"/>
  <c r="T5" i="39"/>
  <c r="D11" i="67"/>
  <c r="BA11" i="67" s="1"/>
  <c r="C88" i="77"/>
  <c r="BU208" i="73"/>
  <c r="D6" i="10"/>
  <c r="D115" i="79"/>
  <c r="D40" i="33"/>
  <c r="D24" i="9"/>
  <c r="D255" i="23"/>
  <c r="K255" i="23" s="1"/>
  <c r="D324" i="38"/>
  <c r="B74" i="77"/>
  <c r="AF74" i="77" s="1"/>
  <c r="D202" i="79"/>
  <c r="D120" i="73"/>
  <c r="D143" i="73"/>
  <c r="D13" i="13"/>
  <c r="D127" i="73"/>
  <c r="D272" i="77"/>
  <c r="AD173" i="73"/>
  <c r="D116" i="23"/>
  <c r="K116" i="23" s="1"/>
  <c r="D5" i="9"/>
  <c r="D12" i="83"/>
  <c r="D214" i="79"/>
  <c r="D158" i="36"/>
  <c r="D94" i="73"/>
  <c r="D40" i="79"/>
  <c r="D34" i="1"/>
  <c r="AD5" i="63"/>
  <c r="AD17" i="63" s="1"/>
  <c r="D106" i="73"/>
  <c r="D18" i="26"/>
  <c r="D132" i="83"/>
  <c r="C39" i="77"/>
  <c r="D209" i="79"/>
  <c r="D256" i="36"/>
  <c r="AF272" i="77"/>
  <c r="BP208" i="73"/>
  <c r="D277" i="77"/>
  <c r="D121" i="23"/>
  <c r="K121" i="23" s="1"/>
  <c r="D216" i="79"/>
  <c r="V208" i="73"/>
  <c r="D134" i="79"/>
  <c r="AX4" i="77"/>
  <c r="D42" i="79"/>
  <c r="D107" i="76"/>
  <c r="D91" i="73"/>
  <c r="I5" i="1"/>
  <c r="D243" i="36"/>
  <c r="BT208" i="73"/>
  <c r="C40" i="12"/>
  <c r="B148" i="77"/>
  <c r="AF148" i="77" s="1"/>
  <c r="D76" i="71"/>
  <c r="D8" i="44"/>
  <c r="B84" i="77"/>
  <c r="AF84" i="77" s="1"/>
  <c r="D25" i="10"/>
  <c r="D163" i="23"/>
  <c r="K163" i="23" s="1"/>
  <c r="E85" i="76"/>
  <c r="D35" i="67"/>
  <c r="BA35" i="67" s="1"/>
  <c r="E91" i="76"/>
  <c r="D48" i="36"/>
  <c r="D225" i="23"/>
  <c r="K225" i="23" s="1"/>
  <c r="D66" i="73"/>
  <c r="D16" i="79"/>
  <c r="D194" i="73"/>
  <c r="B85" i="77"/>
  <c r="AF85" i="77" s="1"/>
  <c r="D130" i="83"/>
  <c r="D11" i="65"/>
  <c r="D19" i="80"/>
  <c r="D30" i="61"/>
  <c r="D197" i="36"/>
  <c r="D239" i="77"/>
  <c r="D186" i="38"/>
  <c r="D186" i="23"/>
  <c r="K186" i="23" s="1"/>
  <c r="D230" i="38"/>
  <c r="D23" i="32"/>
  <c r="D402" i="38"/>
  <c r="D159" i="36"/>
  <c r="C60" i="77"/>
  <c r="D225" i="36"/>
  <c r="D12" i="24"/>
  <c r="D56" i="36"/>
  <c r="D314" i="23"/>
  <c r="K314" i="23" s="1"/>
  <c r="D34" i="12"/>
  <c r="B73" i="77"/>
  <c r="AF73" i="77" s="1"/>
  <c r="B43" i="77"/>
  <c r="AF43" i="77" s="1"/>
  <c r="E5" i="83"/>
  <c r="D215" i="36"/>
  <c r="D28" i="63"/>
  <c r="AX28" i="63" s="1"/>
  <c r="D244" i="77"/>
  <c r="C150" i="77"/>
  <c r="D35" i="63"/>
  <c r="C111" i="77"/>
  <c r="D262" i="77"/>
  <c r="D22" i="61"/>
  <c r="D367" i="23"/>
  <c r="K367" i="23" s="1"/>
  <c r="D175" i="73"/>
  <c r="D204" i="73"/>
  <c r="BC4" i="77"/>
  <c r="D9" i="83"/>
  <c r="D106" i="9"/>
  <c r="D97" i="83"/>
  <c r="D349" i="23"/>
  <c r="K349" i="23" s="1"/>
  <c r="D162" i="73"/>
  <c r="D164" i="23"/>
  <c r="K164" i="23" s="1"/>
  <c r="D20" i="13"/>
  <c r="D11" i="1"/>
  <c r="D278" i="77"/>
  <c r="B38" i="77"/>
  <c r="AF38" i="77" s="1"/>
  <c r="K5" i="76"/>
  <c r="D124" i="79"/>
  <c r="D45" i="3"/>
  <c r="BR45" i="3" s="1"/>
  <c r="AL5" i="66"/>
  <c r="D223" i="79"/>
  <c r="AB117" i="73"/>
  <c r="D88" i="83"/>
  <c r="D15" i="67"/>
  <c r="BA15" i="67" s="1"/>
  <c r="BJ173" i="73"/>
  <c r="D108" i="83"/>
  <c r="AF236" i="77"/>
  <c r="C58" i="77"/>
  <c r="C163" i="77"/>
  <c r="D47" i="76"/>
  <c r="V4" i="3"/>
  <c r="D103" i="76"/>
  <c r="BO173" i="73"/>
  <c r="AM117" i="73"/>
  <c r="D93" i="76"/>
  <c r="P4" i="77"/>
  <c r="H5" i="49"/>
  <c r="D102" i="79"/>
  <c r="AF263" i="77"/>
  <c r="AF256" i="77"/>
  <c r="B12" i="77"/>
  <c r="AF12" i="77" s="1"/>
  <c r="D76" i="73"/>
  <c r="AT5" i="3"/>
  <c r="AT41" i="3" s="1"/>
  <c r="AF234" i="77"/>
  <c r="D184" i="38"/>
  <c r="D21" i="36"/>
  <c r="D411" i="38"/>
  <c r="C164" i="77"/>
  <c r="F5" i="26"/>
  <c r="F15" i="26" s="1"/>
  <c r="D238" i="23"/>
  <c r="K238" i="23" s="1"/>
  <c r="D161" i="73"/>
  <c r="D240" i="36"/>
  <c r="D16" i="13"/>
  <c r="D218" i="23"/>
  <c r="K218" i="23" s="1"/>
  <c r="D50" i="76"/>
  <c r="C18" i="2"/>
  <c r="AQ2" i="76"/>
  <c r="D85" i="73"/>
  <c r="C64" i="3"/>
  <c r="C30" i="77"/>
  <c r="B71" i="77"/>
  <c r="AF71" i="77" s="1"/>
  <c r="I5" i="76"/>
  <c r="D230" i="79"/>
  <c r="W5" i="53"/>
  <c r="E5" i="29"/>
  <c r="D325" i="23"/>
  <c r="K325" i="23" s="1"/>
  <c r="G4" i="32"/>
  <c r="D49" i="36"/>
  <c r="C146" i="77"/>
  <c r="D238" i="77"/>
  <c r="D178" i="73"/>
  <c r="D153" i="73"/>
  <c r="D253" i="23"/>
  <c r="K253" i="23" s="1"/>
  <c r="C127" i="77"/>
  <c r="E102" i="76"/>
  <c r="D243" i="77"/>
  <c r="C12" i="77"/>
  <c r="D24" i="3"/>
  <c r="BR24" i="3" s="1"/>
  <c r="D48" i="9"/>
  <c r="C41" i="12"/>
  <c r="D224" i="36"/>
  <c r="D250" i="73"/>
  <c r="BC117" i="73"/>
  <c r="D358" i="23"/>
  <c r="K358" i="23" s="1"/>
  <c r="D38" i="12"/>
  <c r="AA5" i="44"/>
  <c r="AA24" i="44" s="1"/>
  <c r="D5" i="68"/>
  <c r="Q43" i="42"/>
  <c r="D34" i="71"/>
  <c r="C99" i="77"/>
  <c r="G5" i="23"/>
  <c r="C93" i="77"/>
  <c r="D300" i="23"/>
  <c r="K300" i="23" s="1"/>
  <c r="B117" i="77"/>
  <c r="D7" i="29"/>
  <c r="D92" i="36"/>
  <c r="D57" i="80"/>
  <c r="B169" i="77"/>
  <c r="AF169" i="77" s="1"/>
  <c r="D246" i="77"/>
  <c r="G4" i="29"/>
  <c r="D340" i="23"/>
  <c r="K340" i="23" s="1"/>
  <c r="D290" i="23"/>
  <c r="K290" i="23" s="1"/>
  <c r="D70" i="79"/>
  <c r="D253" i="77"/>
  <c r="D192" i="79"/>
  <c r="C20" i="77"/>
  <c r="D114" i="79"/>
  <c r="D221" i="23"/>
  <c r="K221" i="23" s="1"/>
  <c r="D248" i="23"/>
  <c r="K248" i="23" s="1"/>
  <c r="D133" i="73"/>
  <c r="B39" i="77"/>
  <c r="AF39" i="77" s="1"/>
  <c r="D152" i="23"/>
  <c r="K152" i="23" s="1"/>
  <c r="D245" i="23"/>
  <c r="K245" i="23" s="1"/>
  <c r="B63" i="77"/>
  <c r="AF63" i="77" s="1"/>
  <c r="D101" i="83"/>
  <c r="C5" i="77"/>
  <c r="D146" i="79"/>
  <c r="D187" i="79"/>
  <c r="D19" i="10"/>
  <c r="C113" i="77"/>
  <c r="J5" i="76"/>
  <c r="F173" i="73"/>
  <c r="BA173" i="73"/>
  <c r="D260" i="23"/>
  <c r="K260" i="23" s="1"/>
  <c r="E101" i="76"/>
  <c r="D57" i="73"/>
  <c r="D263" i="23"/>
  <c r="K263" i="23" s="1"/>
  <c r="D384" i="38"/>
  <c r="D63" i="76"/>
  <c r="D72" i="73"/>
  <c r="F5" i="12"/>
  <c r="D96" i="73"/>
  <c r="D108" i="76"/>
  <c r="D12" i="79"/>
  <c r="D153" i="83"/>
  <c r="X4" i="77"/>
  <c r="E84" i="76"/>
  <c r="D36" i="79"/>
  <c r="B93" i="77"/>
  <c r="AF93" i="77" s="1"/>
  <c r="D17" i="9"/>
  <c r="D373" i="23"/>
  <c r="K373" i="23" s="1"/>
  <c r="D256" i="23"/>
  <c r="K256" i="23" s="1"/>
  <c r="D263" i="38"/>
  <c r="D237" i="36"/>
  <c r="AQ4" i="77"/>
  <c r="D73" i="73"/>
  <c r="D61" i="36"/>
  <c r="C117" i="77"/>
  <c r="D118" i="73"/>
  <c r="D134" i="73"/>
  <c r="D40" i="76"/>
  <c r="D251" i="79"/>
  <c r="U5" i="45"/>
  <c r="D8" i="1"/>
  <c r="D42" i="76"/>
  <c r="D81" i="73"/>
  <c r="C63" i="3"/>
  <c r="D19" i="3"/>
  <c r="D21" i="44"/>
  <c r="AV208" i="73"/>
  <c r="D222" i="23"/>
  <c r="K222" i="23" s="1"/>
  <c r="BR173" i="73"/>
  <c r="D7" i="13"/>
  <c r="C112" i="77"/>
  <c r="D53" i="9"/>
  <c r="D139" i="73"/>
  <c r="D155" i="73"/>
  <c r="D226" i="77"/>
  <c r="D183" i="23"/>
  <c r="K183" i="23" s="1"/>
  <c r="BI173" i="73"/>
  <c r="D65" i="36"/>
  <c r="D209" i="73"/>
  <c r="D164" i="83"/>
  <c r="D65" i="73"/>
  <c r="G5" i="67"/>
  <c r="D59" i="63"/>
  <c r="AX59" i="63" s="1"/>
  <c r="D27" i="2"/>
  <c r="AJ5" i="53"/>
  <c r="D21" i="61"/>
  <c r="D242" i="77"/>
  <c r="D115" i="23"/>
  <c r="K115" i="23" s="1"/>
  <c r="D13" i="30"/>
  <c r="B9" i="77"/>
  <c r="AF9" i="77" s="1"/>
  <c r="D211" i="23"/>
  <c r="K211" i="23" s="1"/>
  <c r="D119" i="23"/>
  <c r="K119" i="23" s="1"/>
  <c r="D87" i="73"/>
  <c r="E81" i="76"/>
  <c r="D87" i="76"/>
  <c r="D37" i="33"/>
  <c r="D235" i="23"/>
  <c r="K235" i="23" s="1"/>
  <c r="D193" i="23"/>
  <c r="K193" i="23" s="1"/>
  <c r="D78" i="76"/>
  <c r="B19" i="77"/>
  <c r="AF19" i="77" s="1"/>
  <c r="D78" i="79"/>
  <c r="AH208" i="73"/>
  <c r="Q4" i="3"/>
  <c r="D16" i="32"/>
  <c r="D59" i="9"/>
  <c r="D190" i="73"/>
  <c r="D142" i="73"/>
  <c r="D208" i="23"/>
  <c r="K208" i="23" s="1"/>
  <c r="D46" i="79"/>
  <c r="D36" i="10"/>
  <c r="E105" i="76"/>
  <c r="D47" i="10"/>
  <c r="U208" i="73"/>
  <c r="D182" i="79"/>
  <c r="AV173" i="73"/>
  <c r="T4" i="77"/>
  <c r="E117" i="73"/>
  <c r="B6" i="77"/>
  <c r="AF6" i="77" s="1"/>
  <c r="D139" i="79"/>
  <c r="D39" i="12"/>
  <c r="AA5" i="83"/>
  <c r="D22" i="10"/>
  <c r="D21" i="12"/>
  <c r="AB5" i="83"/>
  <c r="O5" i="71"/>
  <c r="BA5" i="3"/>
  <c r="BA41" i="3" s="1"/>
  <c r="AE5" i="65"/>
  <c r="J5" i="59"/>
  <c r="E88" i="76"/>
  <c r="D154" i="79"/>
  <c r="P173" i="73"/>
  <c r="D13" i="73"/>
  <c r="D67" i="73"/>
  <c r="D170" i="79"/>
  <c r="D84" i="76"/>
  <c r="E5" i="67"/>
  <c r="B70" i="77"/>
  <c r="AF70" i="77" s="1"/>
  <c r="D28" i="3"/>
  <c r="BR28" i="3" s="1"/>
  <c r="D197" i="79"/>
  <c r="AD5" i="39"/>
  <c r="G5" i="29"/>
  <c r="F5" i="52"/>
  <c r="AA5" i="1"/>
  <c r="AF248" i="77"/>
  <c r="C25" i="77"/>
  <c r="D74" i="79"/>
  <c r="D206" i="79"/>
  <c r="D345" i="23"/>
  <c r="K345" i="23" s="1"/>
  <c r="D22" i="9"/>
  <c r="D44" i="3"/>
  <c r="AA5" i="29"/>
  <c r="D316" i="38"/>
  <c r="N5" i="60"/>
  <c r="D10" i="31"/>
  <c r="D16" i="73"/>
  <c r="B149" i="77"/>
  <c r="AF149" i="77" s="1"/>
  <c r="E100" i="76"/>
  <c r="D11" i="24"/>
  <c r="D127" i="23"/>
  <c r="K127" i="23" s="1"/>
  <c r="D216" i="36"/>
  <c r="Z5" i="60"/>
  <c r="D11" i="33"/>
  <c r="D64" i="36"/>
  <c r="D169" i="36"/>
  <c r="D272" i="23"/>
  <c r="K272" i="23" s="1"/>
  <c r="D23" i="2"/>
  <c r="N2" i="76"/>
  <c r="D114" i="73"/>
  <c r="D68" i="9"/>
  <c r="D168" i="79"/>
  <c r="D125" i="73"/>
  <c r="D156" i="23"/>
  <c r="K156" i="23" s="1"/>
  <c r="D178" i="23"/>
  <c r="K178" i="23" s="1"/>
  <c r="D227" i="79"/>
  <c r="E69" i="76"/>
  <c r="D262" i="38"/>
  <c r="C86" i="77"/>
  <c r="D137" i="79"/>
  <c r="D111" i="79"/>
  <c r="D212" i="73"/>
  <c r="AG173" i="73"/>
  <c r="D102" i="9"/>
  <c r="F5" i="67"/>
  <c r="D158" i="23"/>
  <c r="K158" i="23" s="1"/>
  <c r="B14" i="77"/>
  <c r="AF14" i="77" s="1"/>
  <c r="D366" i="23"/>
  <c r="K366" i="23" s="1"/>
  <c r="AL173" i="73"/>
  <c r="N10" i="9"/>
  <c r="D187" i="23"/>
  <c r="K187" i="23" s="1"/>
  <c r="D125" i="36"/>
  <c r="D165" i="23"/>
  <c r="K165" i="23" s="1"/>
  <c r="D42" i="83"/>
  <c r="D53" i="3"/>
  <c r="BR53" i="3" s="1"/>
  <c r="D58" i="9"/>
  <c r="BF117" i="73"/>
  <c r="D212" i="79"/>
  <c r="AC208" i="73"/>
  <c r="D295" i="23"/>
  <c r="K295" i="23" s="1"/>
  <c r="V117" i="73"/>
  <c r="D27" i="10"/>
  <c r="C46" i="77"/>
  <c r="D418" i="38"/>
  <c r="D243" i="23"/>
  <c r="K243" i="23" s="1"/>
  <c r="C26" i="77"/>
  <c r="D129" i="23"/>
  <c r="K129" i="23" s="1"/>
  <c r="BD173" i="73"/>
  <c r="D241" i="77"/>
  <c r="AF224" i="77"/>
  <c r="D29" i="3"/>
  <c r="BR29" i="3" s="1"/>
  <c r="D6" i="24"/>
  <c r="D309" i="23"/>
  <c r="K309" i="23" s="1"/>
  <c r="D65" i="76"/>
  <c r="D242" i="79"/>
  <c r="D145" i="73"/>
  <c r="J4" i="3"/>
  <c r="AC5" i="65"/>
  <c r="BN208" i="73"/>
  <c r="AH117" i="73"/>
  <c r="D21" i="83"/>
  <c r="D64" i="79"/>
  <c r="D71" i="73"/>
  <c r="B137" i="77"/>
  <c r="AF137" i="77" s="1"/>
  <c r="D25" i="13"/>
  <c r="B102" i="77"/>
  <c r="AF102" i="77" s="1"/>
  <c r="B156" i="77"/>
  <c r="AF156" i="77" s="1"/>
  <c r="AA4" i="77"/>
  <c r="D13" i="83"/>
  <c r="AZ4" i="77"/>
  <c r="D49" i="9"/>
  <c r="D198" i="23"/>
  <c r="K198" i="23" s="1"/>
  <c r="E64" i="76"/>
  <c r="D328" i="23"/>
  <c r="K328" i="23" s="1"/>
  <c r="B127" i="77"/>
  <c r="AF127" i="77" s="1"/>
  <c r="D262" i="23"/>
  <c r="K262" i="23" s="1"/>
  <c r="AI2" i="76"/>
  <c r="J5" i="48"/>
  <c r="D50" i="79"/>
  <c r="BB173" i="73"/>
  <c r="B62" i="77"/>
  <c r="AF62" i="77" s="1"/>
  <c r="D215" i="73"/>
  <c r="D93" i="63"/>
  <c r="H5" i="24"/>
  <c r="B134" i="77"/>
  <c r="AF134" i="77" s="1"/>
  <c r="E4" i="61"/>
  <c r="D30" i="32"/>
  <c r="D156" i="36"/>
  <c r="D359" i="38"/>
  <c r="D15" i="36"/>
  <c r="D371" i="38"/>
  <c r="D180" i="79"/>
  <c r="AD117" i="73"/>
  <c r="D17" i="31"/>
  <c r="D228" i="77"/>
  <c r="D130" i="36"/>
  <c r="C155" i="77"/>
  <c r="H208" i="73"/>
  <c r="D339" i="38"/>
  <c r="B58" i="77"/>
  <c r="AF58" i="77" s="1"/>
  <c r="D33" i="3"/>
  <c r="W173" i="73"/>
  <c r="D79" i="63"/>
  <c r="B162" i="77"/>
  <c r="AF162" i="77" s="1"/>
  <c r="AC2" i="76"/>
  <c r="C133" i="77"/>
  <c r="BX208" i="73"/>
  <c r="D6" i="32"/>
  <c r="AF273" i="77"/>
  <c r="AL208" i="73"/>
  <c r="D159" i="83"/>
  <c r="C31" i="3"/>
  <c r="C8" i="77"/>
  <c r="D250" i="23"/>
  <c r="K250" i="23" s="1"/>
  <c r="D4" i="2"/>
  <c r="D29" i="80"/>
  <c r="D150" i="79"/>
  <c r="D9" i="52"/>
  <c r="D38" i="63"/>
  <c r="D313" i="23"/>
  <c r="K313" i="23" s="1"/>
  <c r="B120" i="77"/>
  <c r="AF120" i="77" s="1"/>
  <c r="B18" i="77"/>
  <c r="AF18" i="77" s="1"/>
  <c r="D39" i="33"/>
  <c r="B130" i="77"/>
  <c r="AF130" i="77" s="1"/>
  <c r="AQ3" i="77"/>
  <c r="D32" i="67"/>
  <c r="BA32" i="67" s="1"/>
  <c r="D201" i="79"/>
  <c r="E86" i="76"/>
  <c r="D130" i="23"/>
  <c r="K130" i="23" s="1"/>
  <c r="D8" i="79"/>
  <c r="D24" i="67"/>
  <c r="E73" i="76"/>
  <c r="F5" i="81"/>
  <c r="C71" i="3"/>
  <c r="D49" i="71"/>
  <c r="BB49" i="71" s="1"/>
  <c r="C18" i="77"/>
  <c r="AK173" i="73"/>
  <c r="AZ173" i="73"/>
  <c r="D242" i="36"/>
  <c r="BD4" i="77"/>
  <c r="J4" i="79"/>
  <c r="D338" i="23"/>
  <c r="K338" i="23" s="1"/>
  <c r="D17" i="34"/>
  <c r="E74" i="76"/>
  <c r="D24" i="79"/>
  <c r="B16" i="77"/>
  <c r="AF16" i="77" s="1"/>
  <c r="D15" i="79"/>
  <c r="B114" i="77"/>
  <c r="AF114" i="77" s="1"/>
  <c r="D38" i="10"/>
  <c r="E5" i="2"/>
  <c r="D78" i="9"/>
  <c r="AN117" i="73"/>
  <c r="D200" i="79"/>
  <c r="E106" i="76"/>
  <c r="AN208" i="73"/>
  <c r="D217" i="23"/>
  <c r="K217" i="23" s="1"/>
  <c r="B126" i="77"/>
  <c r="AF126" i="77" s="1"/>
  <c r="D245" i="38"/>
  <c r="E108" i="76"/>
  <c r="D372" i="23"/>
  <c r="K372" i="23" s="1"/>
  <c r="C15" i="77"/>
  <c r="D80" i="63"/>
  <c r="AX80" i="63" s="1"/>
  <c r="D286" i="23"/>
  <c r="K286" i="23" s="1"/>
  <c r="D144" i="73"/>
  <c r="AP173" i="73"/>
  <c r="BF173" i="73"/>
  <c r="AY173" i="73"/>
  <c r="BR208" i="73"/>
  <c r="W63" i="68"/>
  <c r="D118" i="83"/>
  <c r="D289" i="23"/>
  <c r="K289" i="23" s="1"/>
  <c r="D94" i="63"/>
  <c r="Y173" i="73"/>
  <c r="C17" i="2"/>
  <c r="C141" i="77"/>
  <c r="D94" i="76"/>
  <c r="C156" i="77"/>
  <c r="AF233" i="77"/>
  <c r="D260" i="77"/>
  <c r="D88" i="76"/>
  <c r="D233" i="23"/>
  <c r="K233" i="23" s="1"/>
  <c r="C13" i="77"/>
  <c r="D306" i="38"/>
  <c r="C56" i="77"/>
  <c r="C43" i="3"/>
  <c r="D308" i="23"/>
  <c r="K308" i="23" s="1"/>
  <c r="D173" i="73"/>
  <c r="D268" i="77"/>
  <c r="D93" i="36"/>
  <c r="D68" i="79"/>
  <c r="AD5" i="3"/>
  <c r="AD41" i="3" s="1"/>
  <c r="AU2" i="76"/>
  <c r="D90" i="76"/>
  <c r="D50" i="9"/>
  <c r="D85" i="63"/>
  <c r="D90" i="3"/>
  <c r="AF267" i="77"/>
  <c r="D410" i="38"/>
  <c r="D212" i="23"/>
  <c r="K212" i="23" s="1"/>
  <c r="D11" i="61"/>
  <c r="D101" i="73"/>
  <c r="I173" i="73"/>
  <c r="AD5" i="66"/>
  <c r="D67" i="9"/>
  <c r="Z63" i="68"/>
  <c r="D110" i="73"/>
  <c r="D99" i="9"/>
  <c r="D241" i="38"/>
  <c r="D125" i="79"/>
  <c r="D76" i="83"/>
  <c r="BC208" i="73"/>
  <c r="D156" i="83"/>
  <c r="J5" i="46"/>
  <c r="S5" i="26"/>
  <c r="S15" i="26" s="1"/>
  <c r="U5" i="12"/>
  <c r="D71" i="63"/>
  <c r="W5" i="44"/>
  <c r="W24" i="44" s="1"/>
  <c r="D346" i="23"/>
  <c r="K346" i="23" s="1"/>
  <c r="D106" i="36"/>
  <c r="B118" i="77"/>
  <c r="AF118" i="77" s="1"/>
  <c r="B133" i="77"/>
  <c r="AF133" i="77" s="1"/>
  <c r="D56" i="79"/>
  <c r="D5" i="23"/>
  <c r="AL5" i="2"/>
  <c r="D39" i="10"/>
  <c r="AB63" i="68"/>
  <c r="D113" i="79"/>
  <c r="BM208" i="73"/>
  <c r="D23" i="3"/>
  <c r="O117" i="73"/>
  <c r="D44" i="10"/>
  <c r="G5" i="55"/>
  <c r="AX5" i="3"/>
  <c r="AX41" i="3" s="1"/>
  <c r="U63" i="68"/>
  <c r="D357" i="23"/>
  <c r="K357" i="23" s="1"/>
  <c r="D75" i="63"/>
  <c r="D30" i="67"/>
  <c r="BA30" i="67" s="1"/>
  <c r="D46" i="63"/>
  <c r="AX46" i="63" s="1"/>
  <c r="D25" i="1"/>
  <c r="D33" i="83"/>
  <c r="AI117" i="73"/>
  <c r="D289" i="38"/>
  <c r="D227" i="36"/>
  <c r="D261" i="23"/>
  <c r="K261" i="23" s="1"/>
  <c r="D110" i="46"/>
  <c r="D292" i="38"/>
  <c r="D122" i="73"/>
  <c r="D244" i="23"/>
  <c r="K244" i="23" s="1"/>
  <c r="B50" i="77"/>
  <c r="AF50" i="77" s="1"/>
  <c r="D391" i="38"/>
  <c r="D267" i="77"/>
  <c r="V2" i="76"/>
  <c r="D273" i="77"/>
  <c r="D176" i="73"/>
  <c r="D52" i="9"/>
  <c r="AL2" i="76"/>
  <c r="D221" i="79"/>
  <c r="B95" i="77"/>
  <c r="AF95" i="77" s="1"/>
  <c r="N208" i="73"/>
  <c r="D131" i="73"/>
  <c r="AU4" i="77"/>
  <c r="B109" i="77"/>
  <c r="AF109" i="77" s="1"/>
  <c r="D52" i="76"/>
  <c r="B59" i="77"/>
  <c r="AF59" i="77" s="1"/>
  <c r="C84" i="77"/>
  <c r="D115" i="73"/>
  <c r="D31" i="67"/>
  <c r="BA31" i="67" s="1"/>
  <c r="D66" i="83"/>
  <c r="D11" i="73"/>
  <c r="B10" i="77"/>
  <c r="AF10" i="77" s="1"/>
  <c r="Y117" i="73"/>
  <c r="AC5" i="33"/>
  <c r="AC19" i="33" s="1"/>
  <c r="AC33" i="33" s="1"/>
  <c r="D18" i="13"/>
  <c r="D20" i="30"/>
  <c r="D231" i="77"/>
  <c r="D68" i="3"/>
  <c r="BR68" i="3" s="1"/>
  <c r="D254" i="77"/>
  <c r="B90" i="77"/>
  <c r="AF90" i="77" s="1"/>
  <c r="D196" i="73"/>
  <c r="B150" i="77"/>
  <c r="AF150" i="77" s="1"/>
  <c r="D162" i="23"/>
  <c r="K162" i="23" s="1"/>
  <c r="AR117" i="73"/>
  <c r="D7" i="1"/>
  <c r="C44" i="77"/>
  <c r="D236" i="79"/>
  <c r="D14" i="9"/>
  <c r="AT117" i="73"/>
  <c r="D49" i="83"/>
  <c r="BM173" i="73"/>
  <c r="N117" i="73"/>
  <c r="U5" i="67"/>
  <c r="D87" i="79"/>
  <c r="D202" i="38"/>
  <c r="D93" i="79"/>
  <c r="D13" i="24"/>
  <c r="T208" i="73"/>
  <c r="C129" i="77"/>
  <c r="BQ173" i="73"/>
  <c r="D32" i="1"/>
  <c r="C64" i="77"/>
  <c r="C55" i="77"/>
  <c r="H5" i="39"/>
  <c r="D63" i="3"/>
  <c r="BR63" i="3" s="1"/>
  <c r="D32" i="10"/>
  <c r="D202" i="23"/>
  <c r="K202" i="23" s="1"/>
  <c r="BF208" i="73"/>
  <c r="D54" i="3"/>
  <c r="D57" i="79"/>
  <c r="D13" i="2"/>
  <c r="AW173" i="73"/>
  <c r="D19" i="53"/>
  <c r="D191" i="23"/>
  <c r="K191" i="23" s="1"/>
  <c r="C50" i="77"/>
  <c r="D312" i="23"/>
  <c r="K312" i="23" s="1"/>
  <c r="D41" i="76"/>
  <c r="D225" i="38"/>
  <c r="D301" i="23"/>
  <c r="K301" i="23" s="1"/>
  <c r="E5" i="3"/>
  <c r="E41" i="3" s="1"/>
  <c r="D76" i="46"/>
  <c r="D111" i="23"/>
  <c r="K111" i="23" s="1"/>
  <c r="E78" i="76"/>
  <c r="D15" i="73"/>
  <c r="D28" i="83"/>
  <c r="D20" i="32"/>
  <c r="D69" i="73"/>
  <c r="AY117" i="73"/>
  <c r="D14" i="83"/>
  <c r="D155" i="79"/>
  <c r="D52" i="63"/>
  <c r="AX52" i="63" s="1"/>
  <c r="Q2" i="76"/>
  <c r="B119" i="77"/>
  <c r="AF119" i="77" s="1"/>
  <c r="E75" i="76"/>
  <c r="D23" i="26"/>
  <c r="D67" i="76"/>
  <c r="BE173" i="73"/>
  <c r="D141" i="23"/>
  <c r="K141" i="23" s="1"/>
  <c r="AF265" i="77"/>
  <c r="D369" i="23"/>
  <c r="K369" i="23" s="1"/>
  <c r="D149" i="73"/>
  <c r="D97" i="76"/>
  <c r="D129" i="36"/>
  <c r="AF242" i="77"/>
  <c r="D201" i="23"/>
  <c r="K201" i="23" s="1"/>
  <c r="D70" i="63"/>
  <c r="AX70" i="63" s="1"/>
  <c r="D88" i="9"/>
  <c r="B110" i="77"/>
  <c r="AF110" i="77" s="1"/>
  <c r="D36" i="36"/>
  <c r="D31" i="79"/>
  <c r="D76" i="9"/>
  <c r="D40" i="10"/>
  <c r="C11" i="12"/>
  <c r="D8" i="9"/>
  <c r="D101" i="76"/>
  <c r="C90" i="77"/>
  <c r="D249" i="23"/>
  <c r="K249" i="23" s="1"/>
  <c r="AC5" i="45"/>
  <c r="D60" i="79"/>
  <c r="M5" i="61"/>
  <c r="M21" i="61" s="1"/>
  <c r="M37" i="61" s="1"/>
  <c r="G5" i="44"/>
  <c r="G24" i="44" s="1"/>
  <c r="AA5" i="30"/>
  <c r="D240" i="77"/>
  <c r="D83" i="3"/>
  <c r="BR83" i="3" s="1"/>
  <c r="D191" i="73"/>
  <c r="D277" i="23"/>
  <c r="K277" i="23" s="1"/>
  <c r="T5" i="30"/>
  <c r="M30" i="34"/>
  <c r="AC5" i="34" s="1"/>
  <c r="U5" i="10"/>
  <c r="W5" i="24"/>
  <c r="D71" i="9"/>
  <c r="D57" i="3"/>
  <c r="X5" i="32"/>
  <c r="D26" i="10"/>
  <c r="D138" i="73"/>
  <c r="C123" i="77"/>
  <c r="D234" i="77"/>
  <c r="C119" i="77"/>
  <c r="D29" i="63"/>
  <c r="AX29" i="63" s="1"/>
  <c r="AL5" i="44"/>
  <c r="AL24" i="44" s="1"/>
  <c r="C9" i="77"/>
  <c r="B11" i="77"/>
  <c r="AF11" i="77" s="1"/>
  <c r="D37" i="76"/>
  <c r="D86" i="83"/>
  <c r="D17" i="63"/>
  <c r="AT2" i="76"/>
  <c r="W5" i="12"/>
  <c r="AM5" i="44"/>
  <c r="AM24" i="44" s="1"/>
  <c r="V5" i="31"/>
  <c r="Y5" i="30"/>
  <c r="D8" i="83"/>
  <c r="C108" i="77"/>
  <c r="N4" i="77"/>
  <c r="D245" i="73"/>
  <c r="N5" i="79"/>
  <c r="D112" i="73"/>
  <c r="Q5" i="79"/>
  <c r="D12" i="1"/>
  <c r="D259" i="38"/>
  <c r="D189" i="79"/>
  <c r="D235" i="77"/>
  <c r="D30" i="2"/>
  <c r="D340" i="38"/>
  <c r="C87" i="77"/>
  <c r="B29" i="77"/>
  <c r="AF29" i="77" s="1"/>
  <c r="P5" i="24"/>
  <c r="D55" i="79"/>
  <c r="D132" i="79"/>
  <c r="AM5" i="12"/>
  <c r="D248" i="77"/>
  <c r="C66" i="77"/>
  <c r="D166" i="73"/>
  <c r="D16" i="33"/>
  <c r="AY208" i="73"/>
  <c r="D162" i="36"/>
  <c r="D77" i="83"/>
  <c r="C14" i="77"/>
  <c r="D36" i="9"/>
  <c r="D4" i="9"/>
  <c r="C12" i="3"/>
  <c r="AQ117" i="73"/>
  <c r="D76" i="63"/>
  <c r="D21" i="3"/>
  <c r="D11" i="79"/>
  <c r="M117" i="73"/>
  <c r="D83" i="79"/>
  <c r="AI5" i="55"/>
  <c r="C63" i="77"/>
  <c r="J5" i="72"/>
  <c r="AJ5" i="71"/>
  <c r="O5" i="61"/>
  <c r="O21" i="61" s="1"/>
  <c r="O37" i="61" s="1"/>
  <c r="D135" i="36"/>
  <c r="AR208" i="73"/>
  <c r="D182" i="73"/>
  <c r="D131" i="23"/>
  <c r="K131" i="23" s="1"/>
  <c r="F5" i="10"/>
  <c r="D82" i="63"/>
  <c r="AX82" i="63" s="1"/>
  <c r="D72" i="79"/>
  <c r="D177" i="79"/>
  <c r="M173" i="73"/>
  <c r="D17" i="3"/>
  <c r="D52" i="83"/>
  <c r="I4" i="77"/>
  <c r="D79" i="79"/>
  <c r="D68" i="73"/>
  <c r="D79" i="83"/>
  <c r="D47" i="79"/>
  <c r="D56" i="3"/>
  <c r="J5" i="61"/>
  <c r="J21" i="61" s="1"/>
  <c r="J37" i="61" s="1"/>
  <c r="D35" i="83"/>
  <c r="D62" i="76"/>
  <c r="D222" i="79"/>
  <c r="AR5" i="3"/>
  <c r="AR41" i="3" s="1"/>
  <c r="D204" i="23"/>
  <c r="K204" i="23" s="1"/>
  <c r="C66" i="63"/>
  <c r="AK208" i="73"/>
  <c r="B60" i="77"/>
  <c r="AF60" i="77" s="1"/>
  <c r="D311" i="23"/>
  <c r="K311" i="23" s="1"/>
  <c r="D15" i="9"/>
  <c r="D64" i="9"/>
  <c r="G5" i="2"/>
  <c r="Z117" i="73"/>
  <c r="D48" i="12"/>
  <c r="B47" i="77"/>
  <c r="AF47" i="77" s="1"/>
  <c r="D32" i="79"/>
  <c r="B154" i="77"/>
  <c r="AF154" i="77" s="1"/>
  <c r="D191" i="79"/>
  <c r="D20" i="79"/>
  <c r="Q5" i="48"/>
  <c r="D24" i="10"/>
  <c r="S5" i="39"/>
  <c r="N5" i="66"/>
  <c r="I5" i="72"/>
  <c r="AC5" i="67"/>
  <c r="D9" i="24"/>
  <c r="B17" i="77"/>
  <c r="AF17" i="77" s="1"/>
  <c r="D188" i="23"/>
  <c r="K188" i="23" s="1"/>
  <c r="K5" i="59"/>
  <c r="D57" i="63"/>
  <c r="AX57" i="63" s="1"/>
  <c r="D103" i="83"/>
  <c r="D6" i="12"/>
  <c r="D12" i="63"/>
  <c r="D41" i="9"/>
  <c r="L5" i="76"/>
  <c r="C50" i="3"/>
  <c r="N5" i="67"/>
  <c r="AG5" i="44"/>
  <c r="AG24" i="44" s="1"/>
  <c r="AL5" i="48"/>
  <c r="R5" i="45"/>
  <c r="AJ5" i="26"/>
  <c r="AJ15" i="26" s="1"/>
  <c r="AJ5" i="3"/>
  <c r="AJ41" i="3" s="1"/>
  <c r="D54" i="63"/>
  <c r="D133" i="83"/>
  <c r="AF227" i="77"/>
  <c r="D266" i="77"/>
  <c r="D6" i="63"/>
  <c r="AD4" i="77"/>
  <c r="Q5" i="1"/>
  <c r="H5" i="79"/>
  <c r="W5" i="39"/>
  <c r="W5" i="32"/>
  <c r="D36" i="67"/>
  <c r="BA36" i="67" s="1"/>
  <c r="H5" i="76"/>
  <c r="D7" i="83"/>
  <c r="Q5" i="49"/>
  <c r="AW208" i="73"/>
  <c r="H5" i="59"/>
  <c r="Q5" i="31"/>
  <c r="U117" i="73"/>
  <c r="T5" i="67"/>
  <c r="D26" i="2"/>
  <c r="D41" i="3"/>
  <c r="J5" i="26"/>
  <c r="J15" i="26" s="1"/>
  <c r="D30" i="1"/>
  <c r="D243" i="73"/>
  <c r="K5" i="12"/>
  <c r="D20" i="9"/>
  <c r="D104" i="73"/>
  <c r="AJ5" i="32"/>
  <c r="B35" i="77"/>
  <c r="AF35" i="77" s="1"/>
  <c r="J5" i="12"/>
  <c r="AD208" i="73"/>
  <c r="P5" i="29"/>
  <c r="T5" i="52"/>
  <c r="Z5" i="39"/>
  <c r="R5" i="55"/>
  <c r="D135" i="79"/>
  <c r="C91" i="77"/>
  <c r="D158" i="83"/>
  <c r="AG3" i="77"/>
  <c r="D117" i="23"/>
  <c r="K117" i="23" s="1"/>
  <c r="D143" i="83"/>
  <c r="G5" i="49"/>
  <c r="D25" i="67"/>
  <c r="AB5" i="67"/>
  <c r="D95" i="63"/>
  <c r="D19" i="2"/>
  <c r="AH5" i="55"/>
  <c r="M5" i="45"/>
  <c r="U30" i="34"/>
  <c r="BA5" i="34" s="1"/>
  <c r="M5" i="29"/>
  <c r="E5" i="81"/>
  <c r="AG5" i="30"/>
  <c r="AL5" i="24"/>
  <c r="T5" i="55"/>
  <c r="D82" i="83"/>
  <c r="C72" i="77"/>
  <c r="I5" i="81"/>
  <c r="D86" i="73"/>
  <c r="D210" i="73"/>
  <c r="D51" i="83"/>
  <c r="AH5" i="33"/>
  <c r="AH19" i="33" s="1"/>
  <c r="AH33" i="33" s="1"/>
  <c r="D9" i="1"/>
  <c r="AH5" i="39"/>
  <c r="D46" i="10"/>
  <c r="D263" i="36"/>
  <c r="D257" i="77"/>
  <c r="D257" i="23"/>
  <c r="K257" i="23" s="1"/>
  <c r="D11" i="13"/>
  <c r="D108" i="79"/>
  <c r="AL117" i="73"/>
  <c r="C36" i="3"/>
  <c r="D75" i="73"/>
  <c r="B49" i="77"/>
  <c r="AF49" i="77" s="1"/>
  <c r="D31" i="10"/>
  <c r="B72" i="77"/>
  <c r="AF72" i="77" s="1"/>
  <c r="AW4" i="77"/>
  <c r="D97" i="73"/>
  <c r="B89" i="77"/>
  <c r="AF89" i="77" s="1"/>
  <c r="D151" i="23"/>
  <c r="K151" i="23" s="1"/>
  <c r="D210" i="38"/>
  <c r="AF208" i="73"/>
  <c r="AU117" i="73"/>
  <c r="L5" i="30"/>
  <c r="C48" i="77"/>
  <c r="D51" i="9"/>
  <c r="D21" i="10"/>
  <c r="AR4" i="77"/>
  <c r="D107" i="9"/>
  <c r="J5" i="30"/>
  <c r="D102" i="83"/>
  <c r="O30" i="34"/>
  <c r="AI5" i="34" s="1"/>
  <c r="D17" i="32"/>
  <c r="D218" i="79"/>
  <c r="AJ3" i="9"/>
  <c r="C21" i="77"/>
  <c r="AI5" i="61"/>
  <c r="AI21" i="61" s="1"/>
  <c r="AI37" i="61" s="1"/>
  <c r="C82" i="77"/>
  <c r="D176" i="79"/>
  <c r="D165" i="83"/>
  <c r="C158" i="77"/>
  <c r="AD5" i="32"/>
  <c r="D240" i="79"/>
  <c r="AG208" i="73"/>
  <c r="D15" i="83"/>
  <c r="D28" i="67"/>
  <c r="BA28" i="67" s="1"/>
  <c r="D18" i="1"/>
  <c r="U5" i="61"/>
  <c r="U21" i="61" s="1"/>
  <c r="U37" i="61" s="1"/>
  <c r="T4" i="3"/>
  <c r="P5" i="1"/>
  <c r="C122" i="77"/>
  <c r="D192" i="23"/>
  <c r="K192" i="23" s="1"/>
  <c r="C132" i="77"/>
  <c r="AC5" i="31"/>
  <c r="D131" i="83"/>
  <c r="D13" i="79"/>
  <c r="C96" i="77"/>
  <c r="D14" i="63"/>
  <c r="BY208" i="73"/>
  <c r="D16" i="83"/>
  <c r="D79" i="9"/>
  <c r="G5" i="61"/>
  <c r="G21" i="61" s="1"/>
  <c r="G37" i="61" s="1"/>
  <c r="W4" i="77"/>
  <c r="D42" i="1"/>
  <c r="D323" i="23"/>
  <c r="K323" i="23" s="1"/>
  <c r="AR173" i="73"/>
  <c r="BS208" i="73"/>
  <c r="D48" i="83"/>
  <c r="N5" i="81"/>
  <c r="K5" i="46"/>
  <c r="AG5" i="39"/>
  <c r="D50" i="3"/>
  <c r="BR50" i="3" s="1"/>
  <c r="AM5" i="26"/>
  <c r="AM15" i="26" s="1"/>
  <c r="D302" i="23"/>
  <c r="K302" i="23" s="1"/>
  <c r="E87" i="76"/>
  <c r="C89" i="77"/>
  <c r="J173" i="73"/>
  <c r="P117" i="73"/>
  <c r="C62" i="77"/>
  <c r="D27" i="9"/>
  <c r="F5" i="31"/>
  <c r="Y208" i="73"/>
  <c r="C102" i="77"/>
  <c r="D82" i="79"/>
  <c r="AD5" i="24"/>
  <c r="D96" i="83"/>
  <c r="AE5" i="1"/>
  <c r="D77" i="63"/>
  <c r="I5" i="61"/>
  <c r="I21" i="61" s="1"/>
  <c r="I37" i="61" s="1"/>
  <c r="AH5" i="31"/>
  <c r="E5" i="79"/>
  <c r="C148" i="77"/>
  <c r="D199" i="36"/>
  <c r="B32" i="77"/>
  <c r="AF32" i="77" s="1"/>
  <c r="N5" i="53"/>
  <c r="D81" i="3"/>
  <c r="BR81" i="3" s="1"/>
  <c r="D35" i="3"/>
  <c r="BR35" i="3" s="1"/>
  <c r="D9" i="2"/>
  <c r="AF5" i="46"/>
  <c r="D58" i="83"/>
  <c r="BI208" i="73"/>
  <c r="D128" i="79"/>
  <c r="D105" i="83"/>
  <c r="O5" i="26"/>
  <c r="O15" i="26" s="1"/>
  <c r="AF5" i="31"/>
  <c r="O5" i="81"/>
  <c r="T5" i="26"/>
  <c r="T15" i="26" s="1"/>
  <c r="AE5" i="55"/>
  <c r="D10" i="79"/>
  <c r="O5" i="79"/>
  <c r="D17" i="1"/>
  <c r="D83" i="83"/>
  <c r="Q5" i="59"/>
  <c r="D19" i="79"/>
  <c r="B115" i="77"/>
  <c r="AF115" i="77" s="1"/>
  <c r="AE30" i="34"/>
  <c r="CE5" i="34" s="1"/>
  <c r="P5" i="61"/>
  <c r="P21" i="61" s="1"/>
  <c r="P37" i="61" s="1"/>
  <c r="AL5" i="46"/>
  <c r="C126" i="77"/>
  <c r="G5" i="48"/>
  <c r="D16" i="1"/>
  <c r="X5" i="52"/>
  <c r="R5" i="79"/>
  <c r="D62" i="63"/>
  <c r="AC5" i="1"/>
  <c r="AI5" i="65"/>
  <c r="D85" i="83"/>
  <c r="D9" i="60"/>
  <c r="D6" i="26"/>
  <c r="AF264" i="77"/>
  <c r="D61" i="3"/>
  <c r="BB117" i="73"/>
  <c r="D65" i="63"/>
  <c r="AX65" i="63" s="1"/>
  <c r="D343" i="23"/>
  <c r="K343" i="23" s="1"/>
  <c r="C166" i="77"/>
  <c r="D39" i="67"/>
  <c r="AJ173" i="73"/>
  <c r="D18" i="12"/>
  <c r="D108" i="9"/>
  <c r="D199" i="23"/>
  <c r="K199" i="23" s="1"/>
  <c r="C35" i="77"/>
  <c r="P5" i="23"/>
  <c r="M5" i="48"/>
  <c r="D28" i="79"/>
  <c r="AJ5" i="44"/>
  <c r="AJ24" i="44" s="1"/>
  <c r="D9" i="31"/>
  <c r="D44" i="12"/>
  <c r="D10" i="63"/>
  <c r="M5" i="39"/>
  <c r="F5" i="3"/>
  <c r="F41" i="3" s="1"/>
  <c r="D103" i="9"/>
  <c r="H5" i="32"/>
  <c r="P5" i="52"/>
  <c r="G5" i="81"/>
  <c r="M5" i="3"/>
  <c r="M41" i="3" s="1"/>
  <c r="AB5" i="2"/>
  <c r="E5" i="12"/>
  <c r="D239" i="73"/>
  <c r="S5" i="79"/>
  <c r="D53" i="36"/>
  <c r="D26" i="67"/>
  <c r="BA26" i="67" s="1"/>
  <c r="AE5" i="72"/>
  <c r="D53" i="83"/>
  <c r="D271" i="36"/>
  <c r="E72" i="76"/>
  <c r="AI5" i="24"/>
  <c r="D241" i="79"/>
  <c r="D257" i="73"/>
  <c r="D34" i="63"/>
  <c r="D55" i="9"/>
  <c r="D14" i="79"/>
  <c r="D16" i="12"/>
  <c r="G208" i="73"/>
  <c r="D7" i="12"/>
  <c r="S4" i="77"/>
  <c r="D255" i="73"/>
  <c r="D126" i="73"/>
  <c r="I5" i="2"/>
  <c r="D28" i="12"/>
  <c r="E5" i="24"/>
  <c r="C121" i="77"/>
  <c r="D55" i="73"/>
  <c r="D100" i="79"/>
  <c r="N5" i="46"/>
  <c r="D172" i="79"/>
  <c r="R5" i="59"/>
  <c r="D64" i="3"/>
  <c r="D157" i="73"/>
  <c r="D113" i="23"/>
  <c r="K113" i="23" s="1"/>
  <c r="D181" i="79"/>
  <c r="BA208" i="73"/>
  <c r="M5" i="72"/>
  <c r="D20" i="83"/>
  <c r="J5" i="29"/>
  <c r="P5" i="67"/>
  <c r="AM173" i="73"/>
  <c r="D170" i="23"/>
  <c r="K170" i="23" s="1"/>
  <c r="AA208" i="73"/>
  <c r="D226" i="23"/>
  <c r="K226" i="23" s="1"/>
  <c r="D54" i="79"/>
  <c r="Q208" i="73"/>
  <c r="C32" i="77"/>
  <c r="D63" i="79"/>
  <c r="R5" i="53"/>
  <c r="D29" i="2"/>
  <c r="D252" i="79"/>
  <c r="D12" i="10"/>
  <c r="D25" i="12"/>
  <c r="AH5" i="48"/>
  <c r="I5" i="32"/>
  <c r="Q4" i="77"/>
  <c r="U5" i="66"/>
  <c r="Y5" i="48"/>
  <c r="AA5" i="32"/>
  <c r="AX2" i="76"/>
  <c r="C38" i="77"/>
  <c r="D154" i="73"/>
  <c r="D25" i="52"/>
  <c r="D42" i="63"/>
  <c r="AF257" i="77"/>
  <c r="D105" i="9"/>
  <c r="C130" i="77"/>
  <c r="D27" i="34"/>
  <c r="F5" i="33"/>
  <c r="F19" i="33" s="1"/>
  <c r="F33" i="33" s="1"/>
  <c r="D80" i="9"/>
  <c r="D159" i="73"/>
  <c r="D74" i="76"/>
  <c r="D173" i="79"/>
  <c r="D29" i="42"/>
  <c r="B54" i="77"/>
  <c r="AF54" i="77" s="1"/>
  <c r="C149" i="77"/>
  <c r="C76" i="77"/>
  <c r="B124" i="77"/>
  <c r="AF124" i="77" s="1"/>
  <c r="B24" i="77"/>
  <c r="AF24" i="77" s="1"/>
  <c r="C73" i="77"/>
  <c r="E96" i="76"/>
  <c r="K117" i="73"/>
  <c r="B83" i="77"/>
  <c r="AF83" i="77" s="1"/>
  <c r="D66" i="9"/>
  <c r="D183" i="73"/>
  <c r="AF5" i="61"/>
  <c r="AF21" i="61" s="1"/>
  <c r="AF37" i="61" s="1"/>
  <c r="C67" i="77"/>
  <c r="Q5" i="67"/>
  <c r="D195" i="73"/>
  <c r="M5" i="79"/>
  <c r="E92" i="76"/>
  <c r="D161" i="83"/>
  <c r="D118" i="79"/>
  <c r="D63" i="63"/>
  <c r="AM208" i="73"/>
  <c r="D15" i="2"/>
  <c r="D114" i="83"/>
  <c r="L5" i="81"/>
  <c r="AH2" i="76"/>
  <c r="D9" i="67"/>
  <c r="U5" i="2"/>
  <c r="O5" i="45"/>
  <c r="D149" i="79"/>
  <c r="D55" i="3"/>
  <c r="D65" i="3"/>
  <c r="BR65" i="3" s="1"/>
  <c r="AQ173" i="73"/>
  <c r="N30" i="34"/>
  <c r="AF5" i="34" s="1"/>
  <c r="D224" i="79"/>
  <c r="N5" i="49"/>
  <c r="BL208" i="73"/>
  <c r="B132" i="77"/>
  <c r="AF132" i="77" s="1"/>
  <c r="D117" i="73"/>
  <c r="D126" i="79"/>
  <c r="D23" i="12"/>
  <c r="D286" i="38"/>
  <c r="J4" i="77"/>
  <c r="D282" i="23"/>
  <c r="K282" i="23" s="1"/>
  <c r="D31" i="1"/>
  <c r="C70" i="77"/>
  <c r="D8" i="63"/>
  <c r="AI5" i="1"/>
  <c r="D11" i="9"/>
  <c r="D99" i="79"/>
  <c r="D120" i="23"/>
  <c r="K120" i="23" s="1"/>
  <c r="H5" i="2"/>
  <c r="I5" i="31"/>
  <c r="AE5" i="32"/>
  <c r="M5" i="10"/>
  <c r="O5" i="12"/>
  <c r="AC5" i="52"/>
  <c r="AI5" i="2"/>
  <c r="AX208" i="73"/>
  <c r="C41" i="77"/>
  <c r="D11" i="63"/>
  <c r="B75" i="77"/>
  <c r="AF75" i="77" s="1"/>
  <c r="D40" i="63"/>
  <c r="I208" i="73"/>
  <c r="B69" i="77"/>
  <c r="AF69" i="77" s="1"/>
  <c r="B77" i="77"/>
  <c r="AF77" i="77" s="1"/>
  <c r="D334" i="23"/>
  <c r="K334" i="23" s="1"/>
  <c r="D127" i="79"/>
  <c r="D20" i="1"/>
  <c r="D81" i="9"/>
  <c r="D72" i="76"/>
  <c r="AB5" i="45"/>
  <c r="D232" i="77"/>
  <c r="S208" i="73"/>
  <c r="AK117" i="73"/>
  <c r="D293" i="23"/>
  <c r="K293" i="23" s="1"/>
  <c r="B105" i="77"/>
  <c r="AF105" i="77" s="1"/>
  <c r="D211" i="73"/>
  <c r="D60" i="36"/>
  <c r="C10" i="77"/>
  <c r="AF117" i="73"/>
  <c r="AF247" i="77"/>
  <c r="D157" i="79"/>
  <c r="C139" i="77"/>
  <c r="D225" i="77"/>
  <c r="I117" i="73"/>
  <c r="D125" i="23"/>
  <c r="K125" i="23" s="1"/>
  <c r="D136" i="79"/>
  <c r="D44" i="9"/>
  <c r="D65" i="9"/>
  <c r="D119" i="79"/>
  <c r="D94" i="83"/>
  <c r="D142" i="79"/>
  <c r="B166" i="77"/>
  <c r="AF166" i="77" s="1"/>
  <c r="D109" i="83"/>
  <c r="D63" i="73"/>
  <c r="D35" i="10"/>
  <c r="D204" i="79"/>
  <c r="T5" i="10"/>
  <c r="AE5" i="44"/>
  <c r="AE24" i="44" s="1"/>
  <c r="AT173" i="73"/>
  <c r="D5" i="1"/>
  <c r="D24" i="83"/>
  <c r="D147" i="79"/>
  <c r="D13" i="67"/>
  <c r="D20" i="63"/>
  <c r="AX20" i="63" s="1"/>
  <c r="D71" i="79"/>
  <c r="D242" i="73"/>
  <c r="C46" i="63"/>
  <c r="B171" i="77"/>
  <c r="D100" i="83"/>
  <c r="D155" i="23"/>
  <c r="K155" i="23" s="1"/>
  <c r="AE5" i="67"/>
  <c r="BO208" i="73"/>
  <c r="D45" i="79"/>
  <c r="D17" i="67"/>
  <c r="D36" i="12"/>
  <c r="B34" i="77"/>
  <c r="AF34" i="77" s="1"/>
  <c r="K63" i="68"/>
  <c r="D172" i="23"/>
  <c r="K172" i="23" s="1"/>
  <c r="D28" i="32"/>
  <c r="D7" i="9"/>
  <c r="D41" i="63"/>
  <c r="AI5" i="48"/>
  <c r="D235" i="36"/>
  <c r="D10" i="13"/>
  <c r="B106" i="77"/>
  <c r="AF106" i="77" s="1"/>
  <c r="D54" i="76"/>
  <c r="D60" i="63"/>
  <c r="D144" i="79"/>
  <c r="D67" i="83"/>
  <c r="BV208" i="73"/>
  <c r="D41" i="10"/>
  <c r="AE5" i="49"/>
  <c r="D61" i="63"/>
  <c r="AK5" i="39"/>
  <c r="D231" i="79"/>
  <c r="AI5" i="66"/>
  <c r="AG5" i="52"/>
  <c r="AF5" i="44"/>
  <c r="AF24" i="44" s="1"/>
  <c r="J5" i="66"/>
  <c r="D50" i="63"/>
  <c r="AX50" i="63" s="1"/>
  <c r="B22" i="77"/>
  <c r="AF22" i="77" s="1"/>
  <c r="D72" i="36"/>
  <c r="C37" i="77"/>
  <c r="B5" i="77"/>
  <c r="AF5" i="77" s="1"/>
  <c r="D76" i="76"/>
  <c r="R117" i="73"/>
  <c r="D20" i="67"/>
  <c r="Y2" i="76"/>
  <c r="D7" i="10"/>
  <c r="C68" i="3"/>
  <c r="C54" i="77"/>
  <c r="D241" i="73"/>
  <c r="F5" i="49"/>
  <c r="D27" i="1"/>
  <c r="G5" i="63"/>
  <c r="G17" i="63" s="1"/>
  <c r="D79" i="3"/>
  <c r="BR79" i="3" s="1"/>
  <c r="R30" i="34"/>
  <c r="AR5" i="34" s="1"/>
  <c r="AG5" i="45"/>
  <c r="J30" i="34"/>
  <c r="T5" i="34" s="1"/>
  <c r="D10" i="33"/>
  <c r="D26" i="12"/>
  <c r="D39" i="9"/>
  <c r="D196" i="79"/>
  <c r="D192" i="73"/>
  <c r="D5" i="76"/>
  <c r="D197" i="73"/>
  <c r="B155" i="77"/>
  <c r="AF155" i="77" s="1"/>
  <c r="D23" i="9"/>
  <c r="D19" i="1"/>
  <c r="D12" i="73"/>
  <c r="D248" i="79"/>
  <c r="AI5" i="63"/>
  <c r="AI17" i="63" s="1"/>
  <c r="N173" i="73"/>
  <c r="X5" i="12"/>
  <c r="D45" i="83"/>
  <c r="AM5" i="29"/>
  <c r="AK5" i="2"/>
  <c r="D56" i="83"/>
  <c r="K5" i="63"/>
  <c r="K17" i="63" s="1"/>
  <c r="B26" i="77"/>
  <c r="AF26" i="77" s="1"/>
  <c r="AG5" i="72"/>
  <c r="C115" i="77"/>
  <c r="U173" i="73"/>
  <c r="Y30" i="34"/>
  <c r="BM5" i="34" s="1"/>
  <c r="C35" i="3"/>
  <c r="AX173" i="73"/>
  <c r="L5" i="24"/>
  <c r="T5" i="44"/>
  <c r="T24" i="44" s="1"/>
  <c r="AY5" i="3"/>
  <c r="AY41" i="3" s="1"/>
  <c r="AJ5" i="39"/>
  <c r="D85" i="79"/>
  <c r="AD5" i="61"/>
  <c r="AD21" i="61" s="1"/>
  <c r="AD37" i="61" s="1"/>
  <c r="D103" i="73"/>
  <c r="C125" i="77"/>
  <c r="K4" i="77"/>
  <c r="D135" i="83"/>
  <c r="E5" i="13"/>
  <c r="AB5" i="53"/>
  <c r="C11" i="2"/>
  <c r="P5" i="33"/>
  <c r="P19" i="33" s="1"/>
  <c r="P33" i="33" s="1"/>
  <c r="D53" i="63"/>
  <c r="AX53" i="63" s="1"/>
  <c r="C67" i="3"/>
  <c r="L5" i="3"/>
  <c r="L41" i="3" s="1"/>
  <c r="J5" i="13"/>
  <c r="N5" i="44"/>
  <c r="N24" i="44" s="1"/>
  <c r="AK5" i="31"/>
  <c r="B52" i="77"/>
  <c r="AF52" i="77" s="1"/>
  <c r="O5" i="46"/>
  <c r="AK5" i="44"/>
  <c r="AK24" i="44" s="1"/>
  <c r="AA5" i="33"/>
  <c r="AA19" i="33" s="1"/>
  <c r="AA33" i="33" s="1"/>
  <c r="AB5" i="44"/>
  <c r="AB24" i="44" s="1"/>
  <c r="AF5" i="67"/>
  <c r="AF63" i="68"/>
  <c r="D34" i="76"/>
  <c r="D39" i="63"/>
  <c r="I5" i="67"/>
  <c r="G5" i="13"/>
  <c r="AF5" i="63"/>
  <c r="AF17" i="63" s="1"/>
  <c r="Q5" i="72"/>
  <c r="AL5" i="33"/>
  <c r="AL19" i="33" s="1"/>
  <c r="D18" i="63"/>
  <c r="K5" i="1"/>
  <c r="P5" i="26"/>
  <c r="P15" i="26" s="1"/>
  <c r="Q5" i="65"/>
  <c r="D256" i="73"/>
  <c r="T5" i="59"/>
  <c r="U5" i="53"/>
  <c r="AJ5" i="65"/>
  <c r="X5" i="53"/>
  <c r="AI3" i="9"/>
  <c r="AJ5" i="24"/>
  <c r="D51" i="73"/>
  <c r="X2" i="76"/>
  <c r="D187" i="36"/>
  <c r="D376" i="23"/>
  <c r="K376" i="23" s="1"/>
  <c r="C120" i="77"/>
  <c r="F5" i="2"/>
  <c r="BF2" i="76"/>
  <c r="D209" i="23"/>
  <c r="K209" i="23" s="1"/>
  <c r="E6" i="34"/>
  <c r="B7" i="77"/>
  <c r="AF7" i="77" s="1"/>
  <c r="C28" i="77"/>
  <c r="D65" i="79"/>
  <c r="H3" i="9"/>
  <c r="B40" i="77"/>
  <c r="AF40" i="77" s="1"/>
  <c r="D333" i="23"/>
  <c r="K333" i="23" s="1"/>
  <c r="D167" i="73"/>
  <c r="BC3" i="77"/>
  <c r="D130" i="9"/>
  <c r="I5" i="3"/>
  <c r="I41" i="3" s="1"/>
  <c r="O2" i="76"/>
  <c r="D97" i="79"/>
  <c r="C57" i="77"/>
  <c r="D273" i="23"/>
  <c r="K273" i="23" s="1"/>
  <c r="AV117" i="73"/>
  <c r="D9" i="79"/>
  <c r="D34" i="61"/>
  <c r="I5" i="13"/>
  <c r="D170" i="73"/>
  <c r="BE208" i="73"/>
  <c r="D37" i="67"/>
  <c r="BA37" i="67" s="1"/>
  <c r="AA5" i="48"/>
  <c r="Q5" i="13"/>
  <c r="D284" i="23"/>
  <c r="K284" i="23" s="1"/>
  <c r="D254" i="73"/>
  <c r="D246" i="73"/>
  <c r="D23" i="63"/>
  <c r="AX23" i="63" s="1"/>
  <c r="D89" i="73"/>
  <c r="M5" i="67"/>
  <c r="R5" i="2"/>
  <c r="D31" i="12"/>
  <c r="D352" i="23"/>
  <c r="K352" i="23" s="1"/>
  <c r="D46" i="76"/>
  <c r="D59" i="3"/>
  <c r="C65" i="63"/>
  <c r="D195" i="79"/>
  <c r="L5" i="53"/>
  <c r="D7" i="67"/>
  <c r="BA7" i="67" s="1"/>
  <c r="D248" i="73"/>
  <c r="K5" i="13"/>
  <c r="AK5" i="45"/>
  <c r="D386" i="38"/>
  <c r="AE2" i="76"/>
  <c r="F5" i="55"/>
  <c r="D100" i="76"/>
  <c r="Z5" i="49"/>
  <c r="D285" i="38"/>
  <c r="Z4" i="77"/>
  <c r="AB4" i="77"/>
  <c r="D14" i="3"/>
  <c r="BR14" i="3" s="1"/>
  <c r="D47" i="9"/>
  <c r="D168" i="73"/>
  <c r="D98" i="73"/>
  <c r="D31" i="2"/>
  <c r="D89" i="79"/>
  <c r="D18" i="10"/>
  <c r="D111" i="9"/>
  <c r="I5" i="52"/>
  <c r="L3" i="9"/>
  <c r="AG5" i="32"/>
  <c r="D80" i="73"/>
  <c r="S5" i="48"/>
  <c r="W5" i="52"/>
  <c r="H5" i="55"/>
  <c r="B101" i="77"/>
  <c r="AF101" i="77" s="1"/>
  <c r="B107" i="77"/>
  <c r="AF107" i="77" s="1"/>
  <c r="D51" i="12"/>
  <c r="D197" i="23"/>
  <c r="K197" i="23" s="1"/>
  <c r="C100" i="77"/>
  <c r="D10" i="1"/>
  <c r="D141" i="73"/>
  <c r="D105" i="79"/>
  <c r="D11" i="26"/>
  <c r="D69" i="9"/>
  <c r="D14" i="73"/>
  <c r="X5" i="2"/>
  <c r="D86" i="3"/>
  <c r="BR86" i="3" s="1"/>
  <c r="P63" i="68"/>
  <c r="AI5" i="33"/>
  <c r="AI19" i="33" s="1"/>
  <c r="AI33" i="33" s="1"/>
  <c r="AH5" i="67"/>
  <c r="AA5" i="39"/>
  <c r="C95" i="77"/>
  <c r="D10" i="24"/>
  <c r="B161" i="77"/>
  <c r="AF161" i="77" s="1"/>
  <c r="B68" i="77"/>
  <c r="AF68" i="77" s="1"/>
  <c r="E3" i="9"/>
  <c r="D102" i="73"/>
  <c r="D121" i="79"/>
  <c r="B131" i="77"/>
  <c r="AF131" i="77" s="1"/>
  <c r="AS173" i="73"/>
  <c r="G5" i="45"/>
  <c r="D86" i="76"/>
  <c r="D44" i="63"/>
  <c r="H5" i="63"/>
  <c r="H17" i="63" s="1"/>
  <c r="AJ2" i="76"/>
  <c r="H5" i="30"/>
  <c r="D87" i="83"/>
  <c r="AB208" i="73"/>
  <c r="AT208" i="73"/>
  <c r="K5" i="66"/>
  <c r="N5" i="30"/>
  <c r="AB5" i="30"/>
  <c r="BA2" i="76"/>
  <c r="D27" i="67"/>
  <c r="BA27" i="67" s="1"/>
  <c r="BK208" i="73"/>
  <c r="D109" i="79"/>
  <c r="V5" i="53"/>
  <c r="D86" i="63"/>
  <c r="N5" i="1"/>
  <c r="AB5" i="61"/>
  <c r="AB21" i="61" s="1"/>
  <c r="AB37" i="61" s="1"/>
  <c r="D10" i="67"/>
  <c r="BA10" i="67" s="1"/>
  <c r="H5" i="10"/>
  <c r="AE5" i="31"/>
  <c r="AK5" i="49"/>
  <c r="AK5" i="32"/>
  <c r="AD5" i="52"/>
  <c r="D163" i="73"/>
  <c r="W208" i="73"/>
  <c r="AD5" i="65"/>
  <c r="O5" i="2"/>
  <c r="D64" i="63"/>
  <c r="AX64" i="63" s="1"/>
  <c r="U5" i="1"/>
  <c r="F5" i="30"/>
  <c r="L5" i="32"/>
  <c r="Q5" i="29"/>
  <c r="V5" i="67"/>
  <c r="AA5" i="52"/>
  <c r="AB5" i="12"/>
  <c r="R5" i="49"/>
  <c r="L5" i="61"/>
  <c r="L21" i="61" s="1"/>
  <c r="L37" i="61" s="1"/>
  <c r="AI30" i="34"/>
  <c r="CQ5" i="34" s="1"/>
  <c r="AG5" i="1"/>
  <c r="T5" i="53"/>
  <c r="K3" i="9"/>
  <c r="M5" i="24"/>
  <c r="Z5" i="12"/>
  <c r="D153" i="23"/>
  <c r="K153" i="23" s="1"/>
  <c r="D75" i="3"/>
  <c r="C21" i="2"/>
  <c r="Q5" i="53"/>
  <c r="D49" i="3"/>
  <c r="BR49" i="3" s="1"/>
  <c r="W3" i="9"/>
  <c r="G5" i="32"/>
  <c r="T5" i="49"/>
  <c r="S5" i="31"/>
  <c r="X5" i="67"/>
  <c r="AH5" i="26"/>
  <c r="AH15" i="26" s="1"/>
  <c r="AE5" i="63"/>
  <c r="AE17" i="63" s="1"/>
  <c r="D40" i="1"/>
  <c r="AA5" i="10"/>
  <c r="AD5" i="67"/>
  <c r="G5" i="83"/>
  <c r="Z5" i="33"/>
  <c r="Z19" i="33" s="1"/>
  <c r="Z33" i="33" s="1"/>
  <c r="C71" i="77"/>
  <c r="F208" i="73"/>
  <c r="D39" i="3"/>
  <c r="D336" i="23"/>
  <c r="K336" i="23" s="1"/>
  <c r="C147" i="77"/>
  <c r="D27" i="63"/>
  <c r="AX27" i="63" s="1"/>
  <c r="F5" i="79"/>
  <c r="D12" i="9"/>
  <c r="D128" i="83"/>
  <c r="D123" i="79"/>
  <c r="D232" i="23"/>
  <c r="K232" i="23" s="1"/>
  <c r="C74" i="77"/>
  <c r="B164" i="77"/>
  <c r="R173" i="73"/>
  <c r="D118" i="23"/>
  <c r="K118" i="23" s="1"/>
  <c r="D91" i="79"/>
  <c r="D253" i="73"/>
  <c r="D35" i="76"/>
  <c r="BQ208" i="73"/>
  <c r="B99" i="77"/>
  <c r="AF99" i="77" s="1"/>
  <c r="D194" i="79"/>
  <c r="B82" i="77"/>
  <c r="AF82" i="77" s="1"/>
  <c r="D64" i="76"/>
  <c r="AB5" i="10"/>
  <c r="D55" i="63"/>
  <c r="AX55" i="63" s="1"/>
  <c r="D347" i="23"/>
  <c r="K347" i="23" s="1"/>
  <c r="D41" i="79"/>
  <c r="AF252" i="77"/>
  <c r="D19" i="83"/>
  <c r="D98" i="83"/>
  <c r="M5" i="53"/>
  <c r="D144" i="83"/>
  <c r="D83" i="73"/>
  <c r="K5" i="39"/>
  <c r="B78" i="77"/>
  <c r="AF78" i="77" s="1"/>
  <c r="D177" i="73"/>
  <c r="D85" i="76"/>
  <c r="D205" i="79"/>
  <c r="D109" i="73"/>
  <c r="AI5" i="31"/>
  <c r="BG208" i="73"/>
  <c r="C19" i="77"/>
  <c r="C25" i="2"/>
  <c r="C44" i="3"/>
  <c r="D30" i="83"/>
  <c r="I5" i="26"/>
  <c r="I15" i="26" s="1"/>
  <c r="D233" i="38"/>
  <c r="B91" i="77"/>
  <c r="AF91" i="77" s="1"/>
  <c r="B31" i="77"/>
  <c r="AF31" i="77" s="1"/>
  <c r="AB173" i="73"/>
  <c r="AY2" i="76"/>
  <c r="D160" i="23"/>
  <c r="K160" i="23" s="1"/>
  <c r="B20" i="77"/>
  <c r="AF20" i="77" s="1"/>
  <c r="D200" i="73"/>
  <c r="D15" i="3"/>
  <c r="BR15" i="3" s="1"/>
  <c r="AZ2" i="76"/>
  <c r="D35" i="9"/>
  <c r="D124" i="83"/>
  <c r="C78" i="77"/>
  <c r="AN5" i="46"/>
  <c r="D43" i="79"/>
  <c r="D36" i="1"/>
  <c r="D33" i="9"/>
  <c r="B27" i="77"/>
  <c r="AF27" i="77" s="1"/>
  <c r="X5" i="1"/>
  <c r="D179" i="73"/>
  <c r="T5" i="31"/>
  <c r="D185" i="79"/>
  <c r="D33" i="12"/>
  <c r="AJ5" i="55"/>
  <c r="AG30" i="34"/>
  <c r="CK5" i="34" s="1"/>
  <c r="D36" i="63"/>
  <c r="D98" i="76"/>
  <c r="D148" i="79"/>
  <c r="D165" i="73"/>
  <c r="D10" i="83"/>
  <c r="D48" i="10"/>
  <c r="H5" i="61"/>
  <c r="H21" i="61" s="1"/>
  <c r="H37" i="61" s="1"/>
  <c r="C105" i="77"/>
  <c r="D48" i="1"/>
  <c r="T173" i="73"/>
  <c r="C51" i="77"/>
  <c r="D258" i="73"/>
  <c r="D8" i="3"/>
  <c r="BR8" i="3" s="1"/>
  <c r="Q5" i="55"/>
  <c r="L5" i="44"/>
  <c r="L24" i="44" s="1"/>
  <c r="C13" i="12"/>
  <c r="AG5" i="12"/>
  <c r="D17" i="83"/>
  <c r="D161" i="79"/>
  <c r="AA173" i="73"/>
  <c r="D234" i="79"/>
  <c r="E94" i="76"/>
  <c r="AD2" i="76"/>
  <c r="J117" i="73"/>
  <c r="C51" i="3"/>
  <c r="AF225" i="77"/>
  <c r="D16" i="9"/>
  <c r="D14" i="10"/>
  <c r="U5" i="52"/>
  <c r="G5" i="33"/>
  <c r="G19" i="33" s="1"/>
  <c r="G33" i="33" s="1"/>
  <c r="D45" i="63"/>
  <c r="R5" i="31"/>
  <c r="L5" i="66"/>
  <c r="AL5" i="1"/>
  <c r="AC5" i="71"/>
  <c r="AD3" i="9"/>
  <c r="Y5" i="46"/>
  <c r="D51" i="63"/>
  <c r="AX51" i="63" s="1"/>
  <c r="V3" i="9"/>
  <c r="H5" i="52"/>
  <c r="C34" i="77"/>
  <c r="R5" i="81"/>
  <c r="D17" i="12"/>
  <c r="D225" i="79"/>
  <c r="O5" i="24"/>
  <c r="S5" i="53"/>
  <c r="Y5" i="61"/>
  <c r="Y21" i="61" s="1"/>
  <c r="Y37" i="61" s="1"/>
  <c r="AA5" i="71"/>
  <c r="AE5" i="29"/>
  <c r="B113" i="77"/>
  <c r="AF113" i="77" s="1"/>
  <c r="D87" i="9"/>
  <c r="D162" i="79"/>
  <c r="F5" i="76"/>
  <c r="AL5" i="31"/>
  <c r="D127" i="83"/>
  <c r="D238" i="79"/>
  <c r="D83" i="63"/>
  <c r="AX83" i="63" s="1"/>
  <c r="Q5" i="39"/>
  <c r="D58" i="73"/>
  <c r="D46" i="83"/>
  <c r="G5" i="59"/>
  <c r="I5" i="65"/>
  <c r="D130" i="79"/>
  <c r="D56" i="76"/>
  <c r="D45" i="1"/>
  <c r="AI5" i="29"/>
  <c r="AK5" i="10"/>
  <c r="M5" i="30"/>
  <c r="N5" i="65"/>
  <c r="M5" i="55"/>
  <c r="M208" i="73"/>
  <c r="D81" i="63"/>
  <c r="AX81" i="63" s="1"/>
  <c r="D12" i="29"/>
  <c r="D123" i="36"/>
  <c r="D147" i="73"/>
  <c r="D37" i="3"/>
  <c r="BR37" i="3" s="1"/>
  <c r="C40" i="77"/>
  <c r="D37" i="39"/>
  <c r="D97" i="36"/>
  <c r="BS173" i="73"/>
  <c r="D389" i="38"/>
  <c r="B172" i="77"/>
  <c r="D17" i="13"/>
  <c r="D29" i="33"/>
  <c r="C27" i="77"/>
  <c r="D168" i="23"/>
  <c r="K168" i="23" s="1"/>
  <c r="J5" i="79"/>
  <c r="D89" i="63"/>
  <c r="D171" i="79"/>
  <c r="D223" i="23"/>
  <c r="K223" i="23" s="1"/>
  <c r="C92" i="77"/>
  <c r="D163" i="83"/>
  <c r="D16" i="67"/>
  <c r="BA16" i="67" s="1"/>
  <c r="D54" i="73"/>
  <c r="D151" i="79"/>
  <c r="C7" i="3"/>
  <c r="L5" i="72"/>
  <c r="D50" i="12"/>
  <c r="R5" i="65"/>
  <c r="BK173" i="73"/>
  <c r="D30" i="12"/>
  <c r="D69" i="76"/>
  <c r="K5" i="31"/>
  <c r="AQ208" i="73"/>
  <c r="F117" i="73"/>
  <c r="I63" i="68"/>
  <c r="AN173" i="73"/>
  <c r="D162" i="38"/>
  <c r="B80" i="77"/>
  <c r="AF80" i="77" s="1"/>
  <c r="B144" i="77"/>
  <c r="AF144" i="77" s="1"/>
  <c r="D90" i="63"/>
  <c r="P5" i="44"/>
  <c r="P24" i="44" s="1"/>
  <c r="B165" i="77"/>
  <c r="AF165" i="77" s="1"/>
  <c r="D49" i="1"/>
  <c r="O5" i="13"/>
  <c r="D60" i="73"/>
  <c r="D98" i="9"/>
  <c r="O5" i="31"/>
  <c r="C45" i="77"/>
  <c r="D63" i="83"/>
  <c r="T5" i="48"/>
  <c r="L208" i="73"/>
  <c r="F5" i="83"/>
  <c r="D187" i="73"/>
  <c r="D148" i="83"/>
  <c r="S5" i="55"/>
  <c r="D37" i="79"/>
  <c r="AJ5" i="31"/>
  <c r="D33" i="10"/>
  <c r="AH5" i="49"/>
  <c r="AG5" i="61"/>
  <c r="AG21" i="61" s="1"/>
  <c r="AG37" i="61" s="1"/>
  <c r="D203" i="36"/>
  <c r="E67" i="76"/>
  <c r="AE5" i="33"/>
  <c r="AE19" i="33" s="1"/>
  <c r="AE33" i="33" s="1"/>
  <c r="O63" i="68"/>
  <c r="D29" i="1"/>
  <c r="AD5" i="30"/>
  <c r="Z5" i="10"/>
  <c r="Z5" i="63"/>
  <c r="Z17" i="63" s="1"/>
  <c r="R5" i="32"/>
  <c r="C98" i="77"/>
  <c r="D9" i="3"/>
  <c r="BR9" i="3" s="1"/>
  <c r="U5" i="59"/>
  <c r="D12" i="2"/>
  <c r="D14" i="1"/>
  <c r="D8" i="10"/>
  <c r="AG5" i="48"/>
  <c r="R5" i="67"/>
  <c r="AD5" i="71"/>
  <c r="D66" i="3"/>
  <c r="BR66" i="3" s="1"/>
  <c r="AK5" i="61"/>
  <c r="AK21" i="61" s="1"/>
  <c r="AK37" i="61" s="1"/>
  <c r="R5" i="71"/>
  <c r="E80" i="76"/>
  <c r="D40" i="9"/>
  <c r="D71" i="83"/>
  <c r="AW3" i="77"/>
  <c r="M5" i="66"/>
  <c r="K5" i="83"/>
  <c r="D54" i="83"/>
  <c r="S2" i="76"/>
  <c r="D145" i="83"/>
  <c r="AA5" i="31"/>
  <c r="J5" i="32"/>
  <c r="D13" i="3"/>
  <c r="BR13" i="3" s="1"/>
  <c r="L5" i="48"/>
  <c r="K5" i="24"/>
  <c r="D19" i="63"/>
  <c r="AX19" i="63" s="1"/>
  <c r="B33" i="77"/>
  <c r="AF33" i="77" s="1"/>
  <c r="AG5" i="33"/>
  <c r="AG19" i="33" s="1"/>
  <c r="AG33" i="33" s="1"/>
  <c r="F5" i="1"/>
  <c r="AK5" i="71"/>
  <c r="AF5" i="66"/>
  <c r="V5" i="10"/>
  <c r="N5" i="24"/>
  <c r="X5" i="33"/>
  <c r="X19" i="33" s="1"/>
  <c r="X33" i="33" s="1"/>
  <c r="Z5" i="26"/>
  <c r="Z15" i="26" s="1"/>
  <c r="Z5" i="31"/>
  <c r="V5" i="65"/>
  <c r="D59" i="73"/>
  <c r="AE208" i="73"/>
  <c r="AB5" i="65"/>
  <c r="AF30" i="34"/>
  <c r="CH5" i="34" s="1"/>
  <c r="AJ117" i="73"/>
  <c r="AJ5" i="61"/>
  <c r="AJ21" i="61" s="1"/>
  <c r="AJ37" i="61" s="1"/>
  <c r="AE63" i="68"/>
  <c r="AG5" i="10"/>
  <c r="J3" i="9"/>
  <c r="N63" i="68"/>
  <c r="R5" i="52"/>
  <c r="U5" i="46"/>
  <c r="AB5" i="52"/>
  <c r="Z5" i="3"/>
  <c r="Z41" i="3" s="1"/>
  <c r="AJ5" i="10"/>
  <c r="AK5" i="52"/>
  <c r="AB5" i="39"/>
  <c r="AH5" i="65"/>
  <c r="BJ208" i="73"/>
  <c r="D5" i="2"/>
  <c r="AE5" i="61"/>
  <c r="AE21" i="61" s="1"/>
  <c r="AE37" i="61" s="1"/>
  <c r="AJ5" i="30"/>
  <c r="AA5" i="2"/>
  <c r="N5" i="12"/>
  <c r="D20" i="10"/>
  <c r="D27" i="83"/>
  <c r="D95" i="79"/>
  <c r="K5" i="71"/>
  <c r="W5" i="46"/>
  <c r="Z3" i="9"/>
  <c r="V5" i="39"/>
  <c r="AI173" i="73"/>
  <c r="AN5" i="1"/>
  <c r="AJ5" i="49"/>
  <c r="D30" i="9"/>
  <c r="L5" i="13"/>
  <c r="AD5" i="44"/>
  <c r="AD24" i="44" s="1"/>
  <c r="S5" i="71"/>
  <c r="H30" i="34"/>
  <c r="N5" i="34" s="1"/>
  <c r="D88" i="79"/>
  <c r="W5" i="45"/>
  <c r="D84" i="79"/>
  <c r="AK5" i="30"/>
  <c r="D51" i="3"/>
  <c r="BR51" i="3" s="1"/>
  <c r="D8" i="12"/>
  <c r="W5" i="49"/>
  <c r="G5" i="24"/>
  <c r="D94" i="79"/>
  <c r="AJ4" i="77"/>
  <c r="AF5" i="32"/>
  <c r="D79" i="73"/>
  <c r="D23" i="83"/>
  <c r="AM5" i="46"/>
  <c r="V5" i="63"/>
  <c r="V17" i="63" s="1"/>
  <c r="I5" i="45"/>
  <c r="D93" i="83"/>
  <c r="W5" i="65"/>
  <c r="V5" i="44"/>
  <c r="V24" i="44" s="1"/>
  <c r="AG63" i="68"/>
  <c r="J5" i="67"/>
  <c r="BC173" i="73"/>
  <c r="D107" i="83"/>
  <c r="AD5" i="1"/>
  <c r="Z5" i="29"/>
  <c r="V5" i="12"/>
  <c r="V5" i="3"/>
  <c r="V41" i="3" s="1"/>
  <c r="AE5" i="83"/>
  <c r="AG3" i="9"/>
  <c r="R5" i="39"/>
  <c r="U5" i="49"/>
  <c r="AH5" i="71"/>
  <c r="P5" i="65"/>
  <c r="AC5" i="10"/>
  <c r="Y3" i="9"/>
  <c r="H5" i="1"/>
  <c r="C13" i="3"/>
  <c r="D11" i="3"/>
  <c r="BR11" i="3" s="1"/>
  <c r="D22" i="83"/>
  <c r="G5" i="52"/>
  <c r="W5" i="83"/>
  <c r="G3" i="9"/>
  <c r="AL5" i="10"/>
  <c r="AA63" i="68"/>
  <c r="D74" i="63"/>
  <c r="U5" i="39"/>
  <c r="AF5" i="49"/>
  <c r="D46" i="1"/>
  <c r="Y5" i="26"/>
  <c r="Y15" i="26" s="1"/>
  <c r="C47" i="77"/>
  <c r="AD5" i="2"/>
  <c r="AC5" i="3"/>
  <c r="AC41" i="3" s="1"/>
  <c r="D182" i="23"/>
  <c r="K182" i="23" s="1"/>
  <c r="D18" i="83"/>
  <c r="T30" i="34"/>
  <c r="AX5" i="34" s="1"/>
  <c r="T5" i="66"/>
  <c r="AC5" i="66"/>
  <c r="X5" i="3"/>
  <c r="X41" i="3" s="1"/>
  <c r="C43" i="77"/>
  <c r="D92" i="76"/>
  <c r="D79" i="76"/>
  <c r="D157" i="83"/>
  <c r="AH5" i="1"/>
  <c r="AL5" i="49"/>
  <c r="I5" i="12"/>
  <c r="AK5" i="33"/>
  <c r="AK19" i="33" s="1"/>
  <c r="AK33" i="33" s="1"/>
  <c r="H5" i="65"/>
  <c r="S173" i="73"/>
  <c r="C49" i="3"/>
  <c r="AN5" i="10"/>
  <c r="D42" i="3"/>
  <c r="M5" i="44"/>
  <c r="M24" i="44" s="1"/>
  <c r="D125" i="83"/>
  <c r="AB2" i="76"/>
  <c r="D249" i="73"/>
  <c r="V5" i="45"/>
  <c r="U5" i="55"/>
  <c r="AH5" i="32"/>
  <c r="AM5" i="61"/>
  <c r="AM21" i="61" s="1"/>
  <c r="AM37" i="61" s="1"/>
  <c r="AH5" i="2"/>
  <c r="D206" i="73"/>
  <c r="Q5" i="44"/>
  <c r="Q24" i="44" s="1"/>
  <c r="K5" i="29"/>
  <c r="O5" i="53"/>
  <c r="Z5" i="66"/>
  <c r="D119" i="83"/>
  <c r="D76" i="3"/>
  <c r="AK5" i="66"/>
  <c r="AG5" i="26"/>
  <c r="AG15" i="26" s="1"/>
  <c r="AF5" i="12"/>
  <c r="AH5" i="45"/>
  <c r="AL5" i="45"/>
  <c r="N5" i="61"/>
  <c r="N21" i="61" s="1"/>
  <c r="N37" i="61" s="1"/>
  <c r="J5" i="33"/>
  <c r="J19" i="33" s="1"/>
  <c r="J33" i="33" s="1"/>
  <c r="AN5" i="3"/>
  <c r="AN41" i="3" s="1"/>
  <c r="R5" i="46"/>
  <c r="J5" i="31"/>
  <c r="Q5" i="10"/>
  <c r="J5" i="52"/>
  <c r="S5" i="81"/>
  <c r="D49" i="12"/>
  <c r="D48" i="79"/>
  <c r="O5" i="29"/>
  <c r="D59" i="83"/>
  <c r="AD5" i="12"/>
  <c r="AS208" i="73"/>
  <c r="Y5" i="55"/>
  <c r="D26" i="79"/>
  <c r="N5" i="33"/>
  <c r="N19" i="33" s="1"/>
  <c r="N33" i="33" s="1"/>
  <c r="D116" i="83"/>
  <c r="D61" i="9"/>
  <c r="D249" i="79"/>
  <c r="AI5" i="12"/>
  <c r="H5" i="71"/>
  <c r="V5" i="46"/>
  <c r="D156" i="79"/>
  <c r="H5" i="45"/>
  <c r="AD5" i="55"/>
  <c r="AF5" i="39"/>
  <c r="H5" i="72"/>
  <c r="D140" i="79"/>
  <c r="O208" i="73"/>
  <c r="U5" i="24"/>
  <c r="AL5" i="39"/>
  <c r="D152" i="79"/>
  <c r="B87" i="77"/>
  <c r="AF87" i="77" s="1"/>
  <c r="K5" i="32"/>
  <c r="AK5" i="55"/>
  <c r="AA5" i="66"/>
  <c r="AB5" i="1"/>
  <c r="D48" i="63"/>
  <c r="AX48" i="63" s="1"/>
  <c r="E5" i="10"/>
  <c r="AJ5" i="1"/>
  <c r="M5" i="1"/>
  <c r="D239" i="79"/>
  <c r="V30" i="34"/>
  <c r="BD5" i="34" s="1"/>
  <c r="Z5" i="32"/>
  <c r="AK5" i="53"/>
  <c r="D26" i="63"/>
  <c r="AX26" i="63" s="1"/>
  <c r="D24" i="2"/>
  <c r="I5" i="53"/>
  <c r="D110" i="79"/>
  <c r="F5" i="72"/>
  <c r="AE5" i="45"/>
  <c r="D80" i="3"/>
  <c r="BR80" i="3" s="1"/>
  <c r="P5" i="32"/>
  <c r="D4" i="10"/>
  <c r="D4" i="3"/>
  <c r="D99" i="36"/>
  <c r="D137" i="73"/>
  <c r="AV2" i="76"/>
  <c r="G5" i="72"/>
  <c r="E5" i="63"/>
  <c r="E17" i="63" s="1"/>
  <c r="W5" i="66"/>
  <c r="D238" i="73"/>
  <c r="BD208" i="73"/>
  <c r="D80" i="76"/>
  <c r="AF232" i="77"/>
  <c r="J63" i="68"/>
  <c r="AE5" i="48"/>
  <c r="Q5" i="81"/>
  <c r="D61" i="83"/>
  <c r="M5" i="63"/>
  <c r="M17" i="63" s="1"/>
  <c r="X5" i="55"/>
  <c r="L117" i="73"/>
  <c r="Z30" i="34"/>
  <c r="BP5" i="34" s="1"/>
  <c r="AH5" i="10"/>
  <c r="AJ208" i="73"/>
  <c r="D9" i="10"/>
  <c r="AN5" i="12"/>
  <c r="Y5" i="1"/>
  <c r="AI5" i="44"/>
  <c r="AI24" i="44" s="1"/>
  <c r="AL5" i="29"/>
  <c r="AH30" i="34"/>
  <c r="CN5" i="34" s="1"/>
  <c r="D46" i="3"/>
  <c r="N5" i="63"/>
  <c r="N17" i="63" s="1"/>
  <c r="H5" i="53"/>
  <c r="V5" i="48"/>
  <c r="D190" i="79"/>
  <c r="O5" i="33"/>
  <c r="O19" i="33" s="1"/>
  <c r="O33" i="33" s="1"/>
  <c r="K30" i="34"/>
  <c r="W5" i="34" s="1"/>
  <c r="T5" i="1"/>
  <c r="I5" i="59"/>
  <c r="L5" i="59"/>
  <c r="AI5" i="39"/>
  <c r="L5" i="83"/>
  <c r="AJ5" i="66"/>
  <c r="C69" i="77"/>
  <c r="D64" i="83"/>
  <c r="W5" i="63"/>
  <c r="W17" i="63" s="1"/>
  <c r="D41" i="1"/>
  <c r="Z5" i="46"/>
  <c r="AG4" i="77"/>
  <c r="D9" i="63"/>
  <c r="D78" i="73"/>
  <c r="N5" i="13"/>
  <c r="T5" i="65"/>
  <c r="N5" i="29"/>
  <c r="U5" i="30"/>
  <c r="I5" i="39"/>
  <c r="I5" i="30"/>
  <c r="M5" i="2"/>
  <c r="T63" i="68"/>
  <c r="L5" i="31"/>
  <c r="X5" i="46"/>
  <c r="Q5" i="30"/>
  <c r="X5" i="31"/>
  <c r="Z5" i="61"/>
  <c r="Z21" i="61" s="1"/>
  <c r="Z37" i="61" s="1"/>
  <c r="V5" i="24"/>
  <c r="AH3" i="9"/>
  <c r="D32" i="12"/>
  <c r="C9" i="3"/>
  <c r="D5" i="63"/>
  <c r="D77" i="79"/>
  <c r="G4" i="77"/>
  <c r="J5" i="3"/>
  <c r="J41" i="3" s="1"/>
  <c r="D14" i="67"/>
  <c r="BA14" i="67" s="1"/>
  <c r="X5" i="65"/>
  <c r="D34" i="79"/>
  <c r="AE5" i="30"/>
  <c r="V5" i="1"/>
  <c r="F5" i="59"/>
  <c r="L5" i="71"/>
  <c r="R5" i="3"/>
  <c r="R41" i="3" s="1"/>
  <c r="J5" i="24"/>
  <c r="AF5" i="1"/>
  <c r="L5" i="33"/>
  <c r="L19" i="33" s="1"/>
  <c r="L33" i="33" s="1"/>
  <c r="D103" i="36"/>
  <c r="N5" i="45"/>
  <c r="D219" i="79"/>
  <c r="AB5" i="71"/>
  <c r="AF5" i="71"/>
  <c r="D213" i="79"/>
  <c r="Z5" i="48"/>
  <c r="AI5" i="30"/>
  <c r="O5" i="10"/>
  <c r="AN3" i="9"/>
  <c r="Z5" i="55"/>
  <c r="O5" i="72"/>
  <c r="D81" i="79"/>
  <c r="AB5" i="46"/>
  <c r="AC3" i="9"/>
  <c r="D143" i="79"/>
  <c r="AF5" i="10"/>
  <c r="D95" i="73"/>
  <c r="AD5" i="29"/>
  <c r="AG5" i="71"/>
  <c r="L5" i="1"/>
  <c r="Y5" i="24"/>
  <c r="AH5" i="72"/>
  <c r="D57" i="9"/>
  <c r="AC5" i="53"/>
  <c r="O5" i="65"/>
  <c r="D152" i="83"/>
  <c r="W5" i="26"/>
  <c r="W15" i="26" s="1"/>
  <c r="K5" i="55"/>
  <c r="AD5" i="83"/>
  <c r="Y5" i="66"/>
  <c r="D11" i="83"/>
  <c r="R5" i="10"/>
  <c r="B25" i="77"/>
  <c r="AF25" i="77" s="1"/>
  <c r="F5" i="71"/>
  <c r="N5" i="26"/>
  <c r="N15" i="26" s="1"/>
  <c r="D5" i="12"/>
  <c r="D29" i="10"/>
  <c r="P5" i="2"/>
  <c r="D49" i="73"/>
  <c r="P5" i="63"/>
  <c r="P17" i="63" s="1"/>
  <c r="U5" i="83"/>
  <c r="T5" i="3"/>
  <c r="T41" i="3" s="1"/>
  <c r="O5" i="59"/>
  <c r="D84" i="83"/>
  <c r="D10" i="9"/>
  <c r="W5" i="2"/>
  <c r="S5" i="66"/>
  <c r="AG5" i="46"/>
  <c r="V5" i="2"/>
  <c r="D70" i="9"/>
  <c r="K5" i="81"/>
  <c r="C27" i="3"/>
  <c r="D98" i="79"/>
  <c r="Y5" i="29"/>
  <c r="AF5" i="33"/>
  <c r="AF19" i="33" s="1"/>
  <c r="AF33" i="33" s="1"/>
  <c r="AD5" i="33"/>
  <c r="AD19" i="33" s="1"/>
  <c r="AD33" i="33" s="1"/>
  <c r="BC2" i="76"/>
  <c r="B152" i="77"/>
  <c r="AF152" i="77" s="1"/>
  <c r="BH173" i="73"/>
  <c r="C49" i="77"/>
  <c r="D151" i="83"/>
  <c r="D126" i="23"/>
  <c r="K126" i="23" s="1"/>
  <c r="C101" i="77"/>
  <c r="F5" i="32"/>
  <c r="R5" i="61"/>
  <c r="R21" i="61" s="1"/>
  <c r="R37" i="61" s="1"/>
  <c r="D210" i="79"/>
  <c r="D202" i="73"/>
  <c r="D35" i="1"/>
  <c r="D18" i="3"/>
  <c r="AJ5" i="52"/>
  <c r="G5" i="10"/>
  <c r="J5" i="53"/>
  <c r="C65" i="77"/>
  <c r="N5" i="3"/>
  <c r="N41" i="3" s="1"/>
  <c r="AV5" i="3"/>
  <c r="AV41" i="3" s="1"/>
  <c r="H5" i="83"/>
  <c r="G5" i="1"/>
  <c r="E65" i="76"/>
  <c r="D92" i="9"/>
  <c r="AE5" i="66"/>
  <c r="D105" i="73"/>
  <c r="W5" i="33"/>
  <c r="W19" i="33" s="1"/>
  <c r="W33" i="33" s="1"/>
  <c r="AD30" i="34"/>
  <c r="CB5" i="34" s="1"/>
  <c r="P5" i="46"/>
  <c r="AE5" i="24"/>
  <c r="AI5" i="10"/>
  <c r="P5" i="81"/>
  <c r="D169" i="79"/>
  <c r="D160" i="79"/>
  <c r="U5" i="33"/>
  <c r="U19" i="33" s="1"/>
  <c r="U33" i="33" s="1"/>
  <c r="D160" i="73"/>
  <c r="P5" i="10"/>
  <c r="J5" i="55"/>
  <c r="S63" i="68"/>
  <c r="S5" i="49"/>
  <c r="V5" i="52"/>
  <c r="W5" i="55"/>
  <c r="D10" i="3"/>
  <c r="BR10" i="3" s="1"/>
  <c r="D134" i="83"/>
  <c r="D66" i="63"/>
  <c r="AX66" i="63" s="1"/>
  <c r="D203" i="73"/>
  <c r="P5" i="79"/>
  <c r="M63" i="68"/>
  <c r="D88" i="63"/>
  <c r="B36" i="77"/>
  <c r="AF36" i="77" s="1"/>
  <c r="K208" i="73"/>
  <c r="AE5" i="52"/>
  <c r="V5" i="33"/>
  <c r="V19" i="33" s="1"/>
  <c r="V33" i="33" s="1"/>
  <c r="C16" i="77"/>
  <c r="L5" i="67"/>
  <c r="Y5" i="31"/>
  <c r="Z5" i="1"/>
  <c r="AM3" i="9"/>
  <c r="M5" i="83"/>
  <c r="Q5" i="83"/>
  <c r="R5" i="29"/>
  <c r="Y5" i="45"/>
  <c r="D150" i="73"/>
  <c r="U5" i="31"/>
  <c r="AF5" i="52"/>
  <c r="Z5" i="71"/>
  <c r="D199" i="79"/>
  <c r="F5" i="66"/>
  <c r="AK5" i="1"/>
  <c r="D107" i="73"/>
  <c r="D68" i="63"/>
  <c r="AX68" i="63" s="1"/>
  <c r="D228" i="79"/>
  <c r="L5" i="26"/>
  <c r="L15" i="26" s="1"/>
  <c r="I5" i="48"/>
  <c r="Q5" i="71"/>
  <c r="AL5" i="32"/>
  <c r="D30" i="79"/>
  <c r="D106" i="83"/>
  <c r="D61" i="79"/>
  <c r="J5" i="83"/>
  <c r="Q5" i="12"/>
  <c r="N5" i="48"/>
  <c r="K5" i="2"/>
  <c r="Y5" i="52"/>
  <c r="D6" i="79"/>
  <c r="C62" i="3"/>
  <c r="D111" i="73"/>
  <c r="D34" i="3"/>
  <c r="BR34" i="3" s="1"/>
  <c r="H5" i="33"/>
  <c r="H19" i="33" s="1"/>
  <c r="H33" i="33" s="1"/>
  <c r="AJ5" i="12"/>
  <c r="D77" i="9"/>
  <c r="D77" i="73"/>
  <c r="AK5" i="12"/>
  <c r="L63" i="68"/>
  <c r="P5" i="39"/>
  <c r="U5" i="44"/>
  <c r="U24" i="44" s="1"/>
  <c r="V5" i="30"/>
  <c r="AH5" i="30"/>
  <c r="D21" i="63"/>
  <c r="AX21" i="63" s="1"/>
  <c r="D10" i="12"/>
  <c r="C103" i="77"/>
  <c r="D14" i="12"/>
  <c r="AE173" i="73"/>
  <c r="D154" i="83"/>
  <c r="D70" i="83"/>
  <c r="D60" i="9"/>
  <c r="D19" i="12"/>
  <c r="AF259" i="77"/>
  <c r="D5" i="79"/>
  <c r="C43" i="12"/>
  <c r="C107" i="77"/>
  <c r="D37" i="1"/>
  <c r="K5" i="48"/>
  <c r="AJ5" i="48"/>
  <c r="D19" i="67"/>
  <c r="BA19" i="67" s="1"/>
  <c r="O5" i="63"/>
  <c r="O17" i="63" s="1"/>
  <c r="X5" i="59"/>
  <c r="Q5" i="24"/>
  <c r="D167" i="79"/>
  <c r="AI5" i="67"/>
  <c r="B42" i="77"/>
  <c r="AF42" i="77" s="1"/>
  <c r="D91" i="9"/>
  <c r="C20" i="2"/>
  <c r="AL5" i="61"/>
  <c r="AL21" i="61" s="1"/>
  <c r="AL37" i="61" s="1"/>
  <c r="O5" i="3"/>
  <c r="O41" i="3" s="1"/>
  <c r="Q3" i="9"/>
  <c r="AE5" i="26"/>
  <c r="AE15" i="26" s="1"/>
  <c r="J5" i="10"/>
  <c r="M5" i="81"/>
  <c r="B96" i="77"/>
  <c r="AF96" i="77" s="1"/>
  <c r="D235" i="79"/>
  <c r="AJ5" i="45"/>
  <c r="AL5" i="65"/>
  <c r="AE5" i="53"/>
  <c r="D14" i="2"/>
  <c r="S3" i="9"/>
  <c r="AC5" i="55"/>
  <c r="D7" i="3"/>
  <c r="BR7" i="3" s="1"/>
  <c r="BJ13" i="9" s="1"/>
  <c r="Q5" i="32"/>
  <c r="S5" i="44"/>
  <c r="S24" i="44" s="1"/>
  <c r="T5" i="33"/>
  <c r="T19" i="33" s="1"/>
  <c r="T33" i="33" s="1"/>
  <c r="AM5" i="45"/>
  <c r="AF3" i="9"/>
  <c r="E208" i="73"/>
  <c r="H63" i="68"/>
  <c r="S5" i="59"/>
  <c r="AF5" i="30"/>
  <c r="D57" i="83"/>
  <c r="H5" i="31"/>
  <c r="B116" i="77"/>
  <c r="AF116" i="77" s="1"/>
  <c r="C48" i="63"/>
  <c r="N5" i="32"/>
  <c r="Z5" i="44"/>
  <c r="Z24" i="44" s="1"/>
  <c r="B23" i="77"/>
  <c r="AF23" i="77" s="1"/>
  <c r="AE5" i="3"/>
  <c r="AE41" i="3" s="1"/>
  <c r="K5" i="61"/>
  <c r="K21" i="61" s="1"/>
  <c r="K37" i="61" s="1"/>
  <c r="AG5" i="53"/>
  <c r="Y63" i="68"/>
  <c r="AA30" i="34"/>
  <c r="BS5" i="34" s="1"/>
  <c r="AH5" i="24"/>
  <c r="D103" i="79"/>
  <c r="AA3" i="9"/>
  <c r="D30" i="10"/>
  <c r="D171" i="73"/>
  <c r="X117" i="73"/>
  <c r="D78" i="63"/>
  <c r="F5" i="46"/>
  <c r="AF239" i="77"/>
  <c r="D74" i="3"/>
  <c r="M5" i="26"/>
  <c r="M15" i="26" s="1"/>
  <c r="D11" i="10"/>
  <c r="D58" i="63"/>
  <c r="AX58" i="63" s="1"/>
  <c r="Y5" i="32"/>
  <c r="D113" i="9"/>
  <c r="AK5" i="46"/>
  <c r="M5" i="33"/>
  <c r="M19" i="33" s="1"/>
  <c r="M33" i="33" s="1"/>
  <c r="AF5" i="2"/>
  <c r="M5" i="12"/>
  <c r="B44" i="77"/>
  <c r="AF44" i="77" s="1"/>
  <c r="P5" i="49"/>
  <c r="R5" i="30"/>
  <c r="D37" i="63"/>
  <c r="S117" i="73"/>
  <c r="D90" i="73"/>
  <c r="AC5" i="24"/>
  <c r="P5" i="48"/>
  <c r="S5" i="12"/>
  <c r="J5" i="45"/>
  <c r="P30" i="34"/>
  <c r="AL5" i="34" s="1"/>
  <c r="AI5" i="32"/>
  <c r="AH5" i="52"/>
  <c r="G5" i="53"/>
  <c r="X208" i="73"/>
  <c r="D43" i="83"/>
  <c r="D60" i="83"/>
  <c r="U5" i="3"/>
  <c r="U41" i="3" s="1"/>
  <c r="P5" i="71"/>
  <c r="D81" i="83"/>
  <c r="AG5" i="24"/>
  <c r="D30" i="3"/>
  <c r="BR30" i="3" s="1"/>
  <c r="P5" i="59"/>
  <c r="Q5" i="33"/>
  <c r="Q19" i="33" s="1"/>
  <c r="Q33" i="33" s="1"/>
  <c r="AC5" i="72"/>
  <c r="W5" i="48"/>
  <c r="AA5" i="49"/>
  <c r="D32" i="63"/>
  <c r="G117" i="73"/>
  <c r="I5" i="55"/>
  <c r="D72" i="3"/>
  <c r="Y5" i="71"/>
  <c r="AE5" i="2"/>
  <c r="D22" i="79"/>
  <c r="D112" i="83"/>
  <c r="C85" i="77"/>
  <c r="B57" i="77"/>
  <c r="AF57" i="77" s="1"/>
  <c r="V5" i="66"/>
  <c r="AZ208" i="73"/>
  <c r="D104" i="83"/>
  <c r="T5" i="83"/>
  <c r="D26" i="1"/>
  <c r="AG5" i="31"/>
  <c r="N5" i="59"/>
  <c r="AF5" i="45"/>
  <c r="H5" i="13"/>
  <c r="M5" i="52"/>
  <c r="AL5" i="55"/>
  <c r="Y5" i="39"/>
  <c r="J5" i="2"/>
  <c r="D74" i="83"/>
  <c r="V5" i="29"/>
  <c r="D6" i="2"/>
  <c r="N5" i="2"/>
  <c r="D95" i="9"/>
  <c r="U5" i="63"/>
  <c r="U17" i="63" s="1"/>
  <c r="Y5" i="49"/>
  <c r="R63" i="68"/>
  <c r="Y5" i="67"/>
  <c r="I5" i="33"/>
  <c r="I19" i="33" s="1"/>
  <c r="I33" i="33" s="1"/>
  <c r="AB5" i="32"/>
  <c r="X5" i="48"/>
  <c r="M5" i="49"/>
  <c r="I5" i="10"/>
  <c r="AE5" i="10"/>
  <c r="AM5" i="2"/>
  <c r="Y5" i="65"/>
  <c r="D139" i="83"/>
  <c r="D129" i="73"/>
  <c r="T5" i="79"/>
  <c r="L5" i="10"/>
  <c r="D71" i="3"/>
  <c r="BR71" i="3" s="1"/>
  <c r="AB5" i="63"/>
  <c r="AB17" i="63" s="1"/>
  <c r="C24" i="3"/>
  <c r="AG5" i="49"/>
  <c r="AB5" i="24"/>
  <c r="H5" i="46"/>
  <c r="C24" i="77"/>
  <c r="O5" i="67"/>
  <c r="Q5" i="46"/>
  <c r="F5" i="65"/>
  <c r="N5" i="52"/>
  <c r="J5" i="63"/>
  <c r="J17" i="63" s="1"/>
  <c r="AL3" i="9"/>
  <c r="J5" i="44"/>
  <c r="J24" i="44" s="1"/>
  <c r="W5" i="3"/>
  <c r="W41" i="3" s="1"/>
  <c r="T5" i="71"/>
  <c r="Y5" i="83"/>
  <c r="X5" i="30"/>
  <c r="X13" i="30" s="1"/>
  <c r="AK5" i="3"/>
  <c r="AK41" i="3" s="1"/>
  <c r="D135" i="73"/>
  <c r="D28" i="1"/>
  <c r="D152" i="73"/>
  <c r="I5" i="79"/>
  <c r="AF5" i="3"/>
  <c r="AF41" i="3" s="1"/>
  <c r="P5" i="53"/>
  <c r="AA5" i="45"/>
  <c r="I5" i="63"/>
  <c r="I17" i="63" s="1"/>
  <c r="D117" i="83"/>
  <c r="R5" i="24"/>
  <c r="AL5" i="26"/>
  <c r="AL15" i="26" s="1"/>
  <c r="O5" i="39"/>
  <c r="R5" i="13"/>
  <c r="U5" i="65"/>
  <c r="AB5" i="29"/>
  <c r="D99" i="73"/>
  <c r="H5" i="67"/>
  <c r="Y5" i="44"/>
  <c r="Y24" i="44" s="1"/>
  <c r="M3" i="9"/>
  <c r="Z5" i="83"/>
  <c r="X5" i="10"/>
  <c r="M5" i="13"/>
  <c r="K5" i="44"/>
  <c r="K24" i="44" s="1"/>
  <c r="R5" i="12"/>
  <c r="U5" i="26"/>
  <c r="U15" i="26" s="1"/>
  <c r="G5" i="31"/>
  <c r="AC5" i="63"/>
  <c r="AC17" i="63" s="1"/>
  <c r="AS5" i="3"/>
  <c r="AS41" i="3" s="1"/>
  <c r="N5" i="39"/>
  <c r="D112" i="79"/>
  <c r="AC5" i="39"/>
  <c r="G5" i="12"/>
  <c r="S5" i="2"/>
  <c r="V5" i="59"/>
  <c r="AA5" i="61"/>
  <c r="AA21" i="61" s="1"/>
  <c r="AA37" i="61" s="1"/>
  <c r="B112" i="77"/>
  <c r="AF112" i="77" s="1"/>
  <c r="C8" i="2"/>
  <c r="BE2" i="76"/>
  <c r="AM5" i="48"/>
  <c r="AI5" i="71"/>
  <c r="R3" i="9"/>
  <c r="O5" i="55"/>
  <c r="O5" i="23"/>
  <c r="D5" i="83"/>
  <c r="Z5" i="65"/>
  <c r="AM5" i="3"/>
  <c r="AM41" i="3" s="1"/>
  <c r="AJ5" i="33"/>
  <c r="AJ19" i="33" s="1"/>
  <c r="AJ33" i="33" s="1"/>
  <c r="D321" i="23"/>
  <c r="K321" i="23" s="1"/>
  <c r="D55" i="83"/>
  <c r="AH5" i="29"/>
  <c r="C26" i="3"/>
  <c r="D166" i="79"/>
  <c r="W5" i="67"/>
  <c r="D23" i="79"/>
  <c r="D186" i="79"/>
  <c r="D150" i="83"/>
  <c r="R5" i="44"/>
  <c r="R24" i="44" s="1"/>
  <c r="H5" i="12"/>
  <c r="S5" i="32"/>
  <c r="D112" i="9"/>
  <c r="AC173" i="73"/>
  <c r="AA117" i="73"/>
  <c r="X30" i="34"/>
  <c r="BJ5" i="34" s="1"/>
  <c r="D9" i="12"/>
  <c r="AE5" i="39"/>
  <c r="J5" i="1"/>
  <c r="AD5" i="45"/>
  <c r="AB5" i="33"/>
  <c r="AB19" i="33" s="1"/>
  <c r="AB33" i="33" s="1"/>
  <c r="C7" i="2"/>
  <c r="Q63" i="68"/>
  <c r="W5" i="72"/>
  <c r="J5" i="49"/>
  <c r="Z5" i="24"/>
  <c r="W5" i="10"/>
  <c r="S5" i="45"/>
  <c r="AA5" i="67"/>
  <c r="D33" i="63"/>
  <c r="J5" i="65"/>
  <c r="G5" i="66"/>
  <c r="AC63" i="68"/>
  <c r="G5" i="46"/>
  <c r="Y5" i="12"/>
  <c r="P5" i="72"/>
  <c r="T5" i="24"/>
  <c r="K5" i="45"/>
  <c r="R5" i="1"/>
  <c r="AK5" i="67"/>
  <c r="Y5" i="10"/>
  <c r="Z5" i="45"/>
  <c r="R5" i="66"/>
  <c r="D110" i="83"/>
  <c r="R5" i="72"/>
  <c r="AB5" i="3"/>
  <c r="AB41" i="3" s="1"/>
  <c r="D37" i="12"/>
  <c r="T5" i="12"/>
  <c r="G5" i="39"/>
  <c r="R5" i="83"/>
  <c r="AL5" i="53"/>
  <c r="Z5" i="53"/>
  <c r="AM5" i="33"/>
  <c r="AM19" i="33" s="1"/>
  <c r="AM33" i="33" s="1"/>
  <c r="AP208" i="73"/>
  <c r="D92" i="63"/>
  <c r="T5" i="72"/>
  <c r="AA5" i="72"/>
  <c r="AI5" i="52"/>
  <c r="D110" i="9"/>
  <c r="AA5" i="55"/>
  <c r="D28" i="10"/>
  <c r="AC30" i="34"/>
  <c r="BY5" i="34" s="1"/>
  <c r="M5" i="31"/>
  <c r="G30" i="34"/>
  <c r="K5" i="34" s="1"/>
  <c r="P5" i="30"/>
  <c r="AK3" i="9"/>
  <c r="D27" i="36"/>
  <c r="AG5" i="66"/>
  <c r="D240" i="73"/>
  <c r="AW5" i="3"/>
  <c r="AW41" i="3" s="1"/>
  <c r="D199" i="73"/>
  <c r="AF5" i="24"/>
  <c r="D89" i="9"/>
  <c r="X3" i="9"/>
  <c r="Q5" i="63"/>
  <c r="Q17" i="63" s="1"/>
  <c r="D30" i="63"/>
  <c r="AX30" i="63" s="1"/>
  <c r="P3" i="9"/>
  <c r="O5" i="1"/>
  <c r="W5" i="1"/>
  <c r="V5" i="72"/>
  <c r="X5" i="44"/>
  <c r="X24" i="44" s="1"/>
  <c r="F5" i="63"/>
  <c r="F17" i="63" s="1"/>
  <c r="F5" i="13"/>
  <c r="AF5" i="48"/>
  <c r="AM5" i="32"/>
  <c r="H5" i="66"/>
  <c r="V63" i="68"/>
  <c r="D137" i="83"/>
  <c r="G173" i="73"/>
  <c r="V5" i="26"/>
  <c r="V15" i="26" s="1"/>
  <c r="X5" i="49"/>
  <c r="D33" i="1"/>
  <c r="J5" i="71"/>
  <c r="N5" i="10"/>
  <c r="L5" i="45"/>
  <c r="AA5" i="12"/>
  <c r="S5" i="61"/>
  <c r="S21" i="61" s="1"/>
  <c r="S37" i="61" s="1"/>
  <c r="AH5" i="63"/>
  <c r="AH17" i="63" s="1"/>
  <c r="Z5" i="72"/>
  <c r="AD5" i="26"/>
  <c r="AD15" i="26" s="1"/>
  <c r="I5" i="71"/>
  <c r="AC5" i="26"/>
  <c r="AC15" i="26" s="1"/>
  <c r="D229" i="79"/>
  <c r="O5" i="30"/>
  <c r="AA5" i="63"/>
  <c r="AA17" i="63" s="1"/>
  <c r="C29" i="3"/>
  <c r="K5" i="72"/>
  <c r="D138" i="83"/>
  <c r="W5" i="61"/>
  <c r="W21" i="61" s="1"/>
  <c r="W37" i="61" s="1"/>
  <c r="L5" i="49"/>
  <c r="AI5" i="26"/>
  <c r="AI15" i="26" s="1"/>
  <c r="AH5" i="46"/>
  <c r="P5" i="66"/>
  <c r="L5" i="12"/>
  <c r="D47" i="3"/>
  <c r="BR47" i="3" s="1"/>
  <c r="AB5" i="26"/>
  <c r="AB15" i="26" s="1"/>
  <c r="AE5" i="46"/>
  <c r="Z5" i="52"/>
  <c r="S5" i="67"/>
  <c r="L5" i="52"/>
  <c r="D10" i="2"/>
  <c r="AH5" i="61"/>
  <c r="AH21" i="61" s="1"/>
  <c r="AH37" i="61" s="1"/>
  <c r="D89" i="83"/>
  <c r="AD5" i="49"/>
  <c r="N5" i="72"/>
  <c r="AG5" i="67"/>
  <c r="AA5" i="65"/>
  <c r="T3" i="9"/>
  <c r="V5" i="55"/>
  <c r="D59" i="79"/>
  <c r="D19" i="13"/>
  <c r="AF5" i="26"/>
  <c r="AF15" i="26" s="1"/>
  <c r="V5" i="71"/>
  <c r="AJ30" i="34"/>
  <c r="I30" i="34"/>
  <c r="Q5" i="34" s="1"/>
  <c r="C8" i="3"/>
  <c r="AK5" i="29"/>
  <c r="D25" i="9"/>
  <c r="D95" i="83"/>
  <c r="H5" i="44"/>
  <c r="H24" i="44" s="1"/>
  <c r="O5" i="83"/>
  <c r="AN5" i="2"/>
  <c r="D16" i="2"/>
  <c r="L5" i="63"/>
  <c r="L17" i="63" s="1"/>
  <c r="AJ5" i="29"/>
  <c r="W5" i="30"/>
  <c r="X5" i="24"/>
  <c r="D106" i="76"/>
  <c r="M5" i="65"/>
  <c r="K5" i="79"/>
  <c r="AB5" i="72"/>
  <c r="AH5" i="12"/>
  <c r="D121" i="73"/>
  <c r="H5" i="48"/>
  <c r="D175" i="79"/>
  <c r="D22" i="1"/>
  <c r="B92" i="77"/>
  <c r="AF92" i="77" s="1"/>
  <c r="D22" i="12"/>
  <c r="Z5" i="30"/>
  <c r="P208" i="73"/>
  <c r="P5" i="13"/>
  <c r="D84" i="3"/>
  <c r="BR84" i="3" s="1"/>
  <c r="D104" i="9"/>
  <c r="D111" i="83"/>
  <c r="P5" i="12"/>
  <c r="AL5" i="3"/>
  <c r="AL41" i="3" s="1"/>
  <c r="M5" i="32"/>
  <c r="AA5" i="26"/>
  <c r="AA15" i="26" s="1"/>
  <c r="Q30" i="34"/>
  <c r="AO5" i="34" s="1"/>
  <c r="U3" i="9"/>
  <c r="K5" i="53"/>
  <c r="V5" i="49"/>
  <c r="AM5" i="30"/>
  <c r="D43" i="9"/>
  <c r="D34" i="67"/>
  <c r="BA34" i="67" s="1"/>
  <c r="P5" i="3"/>
  <c r="P41" i="3" s="1"/>
  <c r="D34" i="9"/>
  <c r="W5" i="59"/>
  <c r="D47" i="1"/>
  <c r="X5" i="45"/>
  <c r="AU5" i="3"/>
  <c r="AU41" i="3" s="1"/>
  <c r="D85" i="3"/>
  <c r="BR85" i="3" s="1"/>
  <c r="AG5" i="2"/>
  <c r="D78" i="83"/>
  <c r="D4" i="77"/>
  <c r="D328" i="38"/>
  <c r="D61" i="73"/>
  <c r="D20" i="12"/>
  <c r="M5" i="71"/>
  <c r="D185" i="73"/>
  <c r="AK5" i="24"/>
  <c r="D210" i="23"/>
  <c r="K210" i="23" s="1"/>
  <c r="N5" i="31"/>
  <c r="AA5" i="24"/>
  <c r="D107" i="79"/>
  <c r="G5" i="26"/>
  <c r="G15" i="26" s="1"/>
  <c r="AD5" i="10"/>
  <c r="E173" i="73"/>
  <c r="M5" i="59"/>
  <c r="AI5" i="46"/>
  <c r="AG5" i="65"/>
  <c r="I5" i="66"/>
  <c r="W117" i="73"/>
  <c r="C52" i="3"/>
  <c r="R5" i="33"/>
  <c r="R19" i="33" s="1"/>
  <c r="R33" i="33" s="1"/>
  <c r="AD63" i="68"/>
  <c r="W30" i="34"/>
  <c r="BG5" i="34" s="1"/>
  <c r="AC5" i="29"/>
  <c r="D33" i="67"/>
  <c r="AD5" i="48"/>
  <c r="D78" i="3"/>
  <c r="X5" i="66"/>
  <c r="Z5" i="67"/>
  <c r="H5" i="81"/>
  <c r="S5" i="65"/>
  <c r="D34" i="10"/>
  <c r="AM5" i="10"/>
  <c r="H5" i="29"/>
  <c r="Y5" i="53"/>
  <c r="U5" i="48"/>
  <c r="D82" i="73"/>
  <c r="D31" i="63"/>
  <c r="AX31" i="63" s="1"/>
  <c r="P5" i="31"/>
  <c r="AL5" i="12"/>
  <c r="AR2" i="76"/>
  <c r="D75" i="83"/>
  <c r="K5" i="52"/>
  <c r="BD117" i="73"/>
  <c r="AB30" i="34"/>
  <c r="BV5" i="34" s="1"/>
  <c r="N4" i="3"/>
  <c r="D58" i="3"/>
  <c r="I5" i="29"/>
  <c r="K5" i="3"/>
  <c r="K41" i="3" s="1"/>
  <c r="D35" i="12"/>
  <c r="D13" i="9"/>
  <c r="D22" i="2"/>
  <c r="D31" i="83"/>
  <c r="D67" i="3"/>
  <c r="BR67" i="3" s="1"/>
  <c r="I5" i="46"/>
  <c r="S5" i="3"/>
  <c r="S41" i="3" s="1"/>
  <c r="L5" i="2"/>
  <c r="P5" i="83"/>
  <c r="M5" i="46"/>
  <c r="C134" i="77"/>
  <c r="D169" i="73"/>
  <c r="Z5" i="2"/>
  <c r="D109" i="9"/>
  <c r="C53" i="77"/>
  <c r="D198" i="79"/>
  <c r="Q5" i="3"/>
  <c r="Q41" i="3" s="1"/>
  <c r="AB5" i="48"/>
  <c r="AJ5" i="46"/>
  <c r="AZ5" i="3"/>
  <c r="AZ41" i="3" s="1"/>
  <c r="D94" i="9"/>
  <c r="O3" i="9"/>
  <c r="D147" i="83"/>
  <c r="F5" i="29"/>
  <c r="D138" i="79"/>
  <c r="U5" i="32"/>
  <c r="U5" i="29"/>
  <c r="D56" i="63"/>
  <c r="AX56" i="63" s="1"/>
  <c r="S5" i="33"/>
  <c r="S19" i="33" s="1"/>
  <c r="S33" i="33" s="1"/>
  <c r="V5" i="61"/>
  <c r="V21" i="61" s="1"/>
  <c r="V37" i="61" s="1"/>
  <c r="D201" i="73"/>
  <c r="AD5" i="53"/>
  <c r="I5" i="24"/>
  <c r="D104" i="79"/>
  <c r="D151" i="73"/>
  <c r="D25" i="63"/>
  <c r="AX25" i="63" s="1"/>
  <c r="AF5" i="29"/>
  <c r="I3" i="9"/>
  <c r="S5" i="63"/>
  <c r="S17" i="63" s="1"/>
  <c r="AD5" i="46"/>
  <c r="AK5" i="65"/>
  <c r="P5" i="45"/>
  <c r="AF5" i="65"/>
  <c r="B55" i="77"/>
  <c r="AF55" i="77" s="1"/>
  <c r="C22" i="2"/>
  <c r="K5" i="33"/>
  <c r="K19" i="33" s="1"/>
  <c r="K33" i="33" s="1"/>
  <c r="D237" i="79"/>
  <c r="S5" i="1"/>
  <c r="R5" i="26"/>
  <c r="R15" i="26" s="1"/>
  <c r="AA5" i="3"/>
  <c r="AA41" i="3" s="1"/>
  <c r="AE5" i="71"/>
  <c r="D49" i="76"/>
  <c r="L30" i="34"/>
  <c r="Z5" i="34" s="1"/>
  <c r="I5" i="44"/>
  <c r="I24" i="44" s="1"/>
  <c r="AE5" i="12"/>
  <c r="C106" i="77"/>
  <c r="H5" i="26"/>
  <c r="H15" i="26" s="1"/>
  <c r="AC5" i="46"/>
  <c r="V5" i="83"/>
  <c r="S5" i="52"/>
  <c r="AF5" i="72"/>
  <c r="D72" i="83"/>
  <c r="D17" i="10"/>
  <c r="AD5" i="72"/>
  <c r="T5" i="29"/>
  <c r="X5" i="72"/>
  <c r="Y5" i="3"/>
  <c r="Y41" i="3" s="1"/>
  <c r="U5" i="71"/>
  <c r="L5" i="65"/>
  <c r="J5" i="81"/>
  <c r="K5" i="26"/>
  <c r="K15" i="26" s="1"/>
  <c r="O5" i="49"/>
  <c r="D205" i="73"/>
  <c r="C153" i="77"/>
  <c r="G63" i="68"/>
  <c r="W5" i="29"/>
  <c r="D45" i="10"/>
  <c r="AI5" i="53"/>
  <c r="D69" i="83"/>
  <c r="Q5" i="61"/>
  <c r="Q21" i="61" s="1"/>
  <c r="Q37" i="61" s="1"/>
  <c r="AK5" i="26"/>
  <c r="AK15" i="26" s="1"/>
  <c r="D62" i="3"/>
  <c r="BR62" i="3" s="1"/>
  <c r="D37" i="10"/>
  <c r="AI208" i="73"/>
  <c r="AC5" i="2"/>
  <c r="D50" i="73"/>
  <c r="S5" i="30"/>
  <c r="K5" i="49"/>
  <c r="D207" i="79"/>
  <c r="D188" i="73"/>
  <c r="BW208" i="73"/>
  <c r="D80" i="83"/>
  <c r="K5" i="10"/>
  <c r="D317" i="23"/>
  <c r="K317" i="23" s="1"/>
  <c r="D145" i="79"/>
  <c r="D4" i="1"/>
  <c r="L5" i="46"/>
  <c r="T5" i="46"/>
  <c r="D20" i="3"/>
  <c r="AI5" i="49"/>
  <c r="AL5" i="71"/>
  <c r="W5" i="31"/>
  <c r="T5" i="45"/>
  <c r="D230" i="77"/>
  <c r="D18" i="9"/>
  <c r="AB3" i="9"/>
  <c r="T5" i="63"/>
  <c r="T17" i="63" s="1"/>
  <c r="AF5" i="55"/>
  <c r="N5" i="55"/>
  <c r="H5" i="3"/>
  <c r="H41" i="3" s="1"/>
  <c r="G5" i="30"/>
  <c r="AI5" i="45"/>
  <c r="AH5" i="66"/>
  <c r="X5" i="29"/>
  <c r="K5" i="30"/>
  <c r="AA5" i="46"/>
  <c r="AH4" i="77"/>
  <c r="O5" i="52"/>
  <c r="AM5" i="1"/>
  <c r="F5" i="53"/>
  <c r="D52" i="79"/>
  <c r="L5" i="29"/>
  <c r="D92" i="83"/>
  <c r="Q5" i="26"/>
  <c r="Q15" i="26" s="1"/>
  <c r="Q5" i="52"/>
  <c r="AI5" i="3"/>
  <c r="AI41" i="3" s="1"/>
  <c r="S5" i="72"/>
  <c r="P5" i="55"/>
  <c r="Y5" i="2"/>
  <c r="O5" i="32"/>
  <c r="AA5" i="53"/>
  <c r="I5" i="49"/>
  <c r="D88" i="3"/>
  <c r="S5" i="24"/>
  <c r="X63" i="68"/>
  <c r="L5" i="39"/>
  <c r="Y5" i="72"/>
  <c r="AE117" i="73"/>
  <c r="D155" i="83"/>
  <c r="W5" i="71"/>
  <c r="AB5" i="55"/>
  <c r="D49" i="63"/>
  <c r="AX49" i="63" s="1"/>
  <c r="L5" i="55"/>
  <c r="AC5" i="12"/>
  <c r="AI4" i="77"/>
  <c r="X5" i="71"/>
  <c r="Q117" i="73"/>
  <c r="D136" i="73"/>
  <c r="BH208" i="73"/>
  <c r="D208" i="79"/>
  <c r="T5" i="61"/>
  <c r="T21" i="61" s="1"/>
  <c r="T37" i="61" s="1"/>
  <c r="G5" i="65"/>
  <c r="AJ5" i="67"/>
  <c r="X5" i="26"/>
  <c r="X15" i="26" s="1"/>
  <c r="O5" i="44"/>
  <c r="O24" i="44" s="1"/>
  <c r="D101" i="9"/>
  <c r="O5" i="48"/>
  <c r="D12" i="3"/>
  <c r="BR12" i="3" s="1"/>
  <c r="AB5" i="66"/>
  <c r="U5" i="72"/>
  <c r="D122" i="83"/>
  <c r="D207" i="23"/>
  <c r="K207" i="23" s="1"/>
  <c r="AD5" i="31"/>
  <c r="AL5" i="30"/>
  <c r="D47" i="12"/>
  <c r="S5" i="46"/>
  <c r="AM5" i="39"/>
  <c r="Y5" i="63"/>
  <c r="Y17" i="63" s="1"/>
  <c r="G5" i="71"/>
  <c r="D21" i="79"/>
  <c r="D42" i="10"/>
  <c r="N3" i="9"/>
  <c r="R5" i="63"/>
  <c r="R17" i="63" s="1"/>
  <c r="AG5" i="55"/>
  <c r="AH5" i="44"/>
  <c r="AH24" i="44" s="1"/>
  <c r="AG5" i="63"/>
  <c r="AG17" i="63" s="1"/>
  <c r="Q5" i="45"/>
  <c r="D10" i="10"/>
  <c r="R5" i="48"/>
  <c r="X5" i="63"/>
  <c r="X17" i="63" s="1"/>
  <c r="N5" i="71"/>
  <c r="X5" i="61"/>
  <c r="X21" i="61" s="1"/>
  <c r="X37" i="61" s="1"/>
  <c r="AJ5" i="2"/>
  <c r="J5" i="39"/>
  <c r="D31" i="9"/>
  <c r="S5" i="29"/>
  <c r="D52" i="3"/>
  <c r="BR52" i="3" s="1"/>
  <c r="AE3" i="9"/>
  <c r="D29" i="9"/>
  <c r="D23" i="10"/>
  <c r="L10" i="9"/>
  <c r="L22" i="9" s="1"/>
  <c r="L55" i="9" s="1"/>
  <c r="K5" i="67"/>
  <c r="AG5" i="29"/>
  <c r="AY10" i="8"/>
  <c r="AY37" i="8"/>
  <c r="AY29" i="8"/>
  <c r="AY21" i="8"/>
  <c r="AY16" i="8"/>
  <c r="AY11" i="8"/>
  <c r="AY6" i="8"/>
  <c r="AY42" i="8"/>
  <c r="AY34" i="8"/>
  <c r="AY26" i="8"/>
  <c r="AY18" i="8"/>
  <c r="AY13" i="8"/>
  <c r="AY44" i="8"/>
  <c r="AY28" i="8"/>
  <c r="AY3" i="8"/>
  <c r="AY41" i="8"/>
  <c r="AY33" i="8"/>
  <c r="AY8" i="8"/>
  <c r="AY39" i="8"/>
  <c r="AY31" i="8"/>
  <c r="AY23" i="8"/>
  <c r="AY7" i="8"/>
  <c r="AY25" i="8"/>
  <c r="AY38" i="8"/>
  <c r="AY30" i="8"/>
  <c r="AY22" i="8"/>
  <c r="AY17" i="8"/>
  <c r="AY12" i="8"/>
  <c r="AY43" i="8"/>
  <c r="AY35" i="8"/>
  <c r="AY27" i="8"/>
  <c r="AY19" i="8"/>
  <c r="AY14" i="8"/>
  <c r="AY9" i="8"/>
  <c r="AY5" i="8"/>
  <c r="AY40" i="8"/>
  <c r="AY32" i="8"/>
  <c r="AY24" i="8"/>
  <c r="AY36" i="8"/>
  <c r="AY20" i="8"/>
  <c r="AY15" i="8"/>
  <c r="AO82" i="83"/>
  <c r="AO87" i="83"/>
  <c r="AO107" i="83"/>
  <c r="AO112" i="83"/>
  <c r="AN59" i="71" l="1"/>
  <c r="AF59" i="71"/>
  <c r="AG59" i="71" s="1"/>
  <c r="AO35" i="63"/>
  <c r="AJ35" i="63"/>
  <c r="AK35" i="63"/>
  <c r="AN35" i="63"/>
  <c r="AM35" i="63"/>
  <c r="AU35" i="63"/>
  <c r="AI35" i="63"/>
  <c r="AX35" i="63"/>
  <c r="AW35" i="63"/>
  <c r="AV35" i="63"/>
  <c r="AL35" i="63"/>
  <c r="AH35" i="63"/>
  <c r="AT35" i="63"/>
  <c r="AW85" i="63"/>
  <c r="AV85" i="63"/>
  <c r="AU85" i="63"/>
  <c r="AT85" i="63"/>
  <c r="AN85" i="63"/>
  <c r="AM85" i="63"/>
  <c r="AL85" i="63"/>
  <c r="AK85" i="63"/>
  <c r="AO85" i="63"/>
  <c r="AX85" i="63"/>
  <c r="AV71" i="63"/>
  <c r="AU71" i="63"/>
  <c r="AW71" i="63"/>
  <c r="AW79" i="63" s="1"/>
  <c r="AX71" i="63"/>
  <c r="AM34" i="63"/>
  <c r="AL34" i="63"/>
  <c r="AJ34" i="63"/>
  <c r="AI34" i="63"/>
  <c r="AH34" i="63"/>
  <c r="AU34" i="63"/>
  <c r="AT34" i="63"/>
  <c r="AW34" i="63"/>
  <c r="AX34" i="63"/>
  <c r="AV34" i="63"/>
  <c r="AK34" i="63"/>
  <c r="AO34" i="63"/>
  <c r="AN34" i="63"/>
  <c r="AL42" i="63"/>
  <c r="AU42" i="63" s="1"/>
  <c r="AI42" i="63"/>
  <c r="AN42" i="63" s="1"/>
  <c r="AH42" i="63"/>
  <c r="AM42" i="63" s="1"/>
  <c r="AV42" i="63" s="1"/>
  <c r="AJ42" i="63"/>
  <c r="AO42" i="63" s="1"/>
  <c r="AK42" i="63"/>
  <c r="AT42" i="63" s="1"/>
  <c r="AL40" i="63"/>
  <c r="AU40" i="63" s="1"/>
  <c r="AK40" i="63"/>
  <c r="AT40" i="63" s="1"/>
  <c r="AH40" i="63"/>
  <c r="AM40" i="63" s="1"/>
  <c r="AV40" i="63" s="1"/>
  <c r="AJ40" i="63"/>
  <c r="AO40" i="63" s="1"/>
  <c r="AI40" i="63"/>
  <c r="AN40" i="63" s="1"/>
  <c r="AW60" i="63"/>
  <c r="AX60" i="63"/>
  <c r="AT60" i="63"/>
  <c r="AU60" i="63"/>
  <c r="AV60" i="63"/>
  <c r="AO60" i="63"/>
  <c r="AJ60" i="63"/>
  <c r="AL60" i="63"/>
  <c r="AM60" i="63"/>
  <c r="AN60" i="63"/>
  <c r="AV61" i="63"/>
  <c r="AT61" i="63"/>
  <c r="AU61" i="63"/>
  <c r="AO61" i="63"/>
  <c r="AM61" i="63"/>
  <c r="AN61" i="63"/>
  <c r="AX61" i="63"/>
  <c r="AW61" i="63"/>
  <c r="AL61" i="63"/>
  <c r="AJ61" i="63"/>
  <c r="AO86" i="63"/>
  <c r="AU86" i="63"/>
  <c r="AM86" i="63"/>
  <c r="AX86" i="63"/>
  <c r="AV86" i="63"/>
  <c r="AN86" i="63"/>
  <c r="AL86" i="63"/>
  <c r="AT86" i="63"/>
  <c r="AW86" i="63"/>
  <c r="AK86" i="63"/>
  <c r="AH25" i="13"/>
  <c r="AN32" i="63"/>
  <c r="AO32" i="63"/>
  <c r="AT32" i="63"/>
  <c r="AU32" i="63"/>
  <c r="AV32" i="63"/>
  <c r="AW32" i="63"/>
  <c r="AX32" i="63"/>
  <c r="AI32" i="63"/>
  <c r="AJ32" i="63"/>
  <c r="AK32" i="63"/>
  <c r="AL32" i="63"/>
  <c r="AM32" i="63"/>
  <c r="AH32" i="63"/>
  <c r="AK33" i="63"/>
  <c r="AJ33" i="63"/>
  <c r="AI33" i="63"/>
  <c r="AH33" i="63"/>
  <c r="AV33" i="63"/>
  <c r="AO33" i="63"/>
  <c r="AX33" i="63"/>
  <c r="AW33" i="63"/>
  <c r="AU33" i="63"/>
  <c r="AT33" i="63"/>
  <c r="AN33" i="63"/>
  <c r="AM33" i="63"/>
  <c r="AL33" i="63"/>
  <c r="BC18" i="33"/>
  <c r="BR16" i="3"/>
  <c r="BE16" i="3"/>
  <c r="BJ18" i="9"/>
  <c r="BR40" i="3"/>
  <c r="BJ12" i="9" s="1"/>
  <c r="BH55" i="3"/>
  <c r="BG55" i="3"/>
  <c r="BF55" i="3"/>
  <c r="BE55" i="3"/>
  <c r="BD55" i="3"/>
  <c r="BC55" i="3"/>
  <c r="BJ49" i="9"/>
  <c r="BJ50" i="9" s="1"/>
  <c r="BJ53" i="9" s="1"/>
  <c r="AH24" i="13"/>
  <c r="AA292" i="77"/>
  <c r="AD292" i="77"/>
  <c r="Z292" i="77"/>
  <c r="V292" i="77"/>
  <c r="P292" i="77"/>
  <c r="G292" i="77"/>
  <c r="AT292" i="77"/>
  <c r="AQ292" i="77"/>
  <c r="AC292" i="77"/>
  <c r="Y292" i="77"/>
  <c r="W292" i="77"/>
  <c r="Q292" i="77"/>
  <c r="M292" i="77"/>
  <c r="F292" i="77"/>
  <c r="AU292" i="77"/>
  <c r="AR292" i="77"/>
  <c r="AB292" i="77"/>
  <c r="X292" i="77"/>
  <c r="S292" i="77"/>
  <c r="N292" i="77"/>
  <c r="E292" i="77"/>
  <c r="AS292" i="77"/>
  <c r="BB61" i="71"/>
  <c r="BB32" i="71"/>
  <c r="G10" i="84"/>
  <c r="G11" i="84"/>
  <c r="G8" i="84"/>
  <c r="G7" i="84"/>
  <c r="G13" i="84"/>
  <c r="G14" i="84"/>
  <c r="X13" i="84"/>
  <c r="X14" i="84"/>
  <c r="X7" i="84"/>
  <c r="X10" i="84"/>
  <c r="X8" i="84"/>
  <c r="X11" i="84"/>
  <c r="AH10" i="84"/>
  <c r="AH11" i="84"/>
  <c r="AH13" i="84"/>
  <c r="AH14" i="84"/>
  <c r="AH8" i="84"/>
  <c r="AH7" i="84"/>
  <c r="I7" i="84"/>
  <c r="I14" i="84"/>
  <c r="I11" i="84"/>
  <c r="I8" i="84"/>
  <c r="I10" i="84"/>
  <c r="I13" i="84"/>
  <c r="R8" i="84"/>
  <c r="R13" i="84"/>
  <c r="R10" i="84"/>
  <c r="R14" i="84"/>
  <c r="R11" i="84"/>
  <c r="R7" i="84"/>
  <c r="P8" i="84"/>
  <c r="P11" i="84"/>
  <c r="P7" i="84"/>
  <c r="P14" i="84"/>
  <c r="P13" i="84"/>
  <c r="P10" i="84"/>
  <c r="AI14" i="84"/>
  <c r="AI13" i="84"/>
  <c r="AI7" i="84"/>
  <c r="AI8" i="84"/>
  <c r="AI11" i="84"/>
  <c r="AI10" i="84"/>
  <c r="AB11" i="84"/>
  <c r="AB10" i="84"/>
  <c r="AB7" i="84"/>
  <c r="AB13" i="84"/>
  <c r="AB14" i="84"/>
  <c r="AB8" i="84"/>
  <c r="AN7" i="84"/>
  <c r="AN13" i="84"/>
  <c r="AN14" i="84"/>
  <c r="AN11" i="84"/>
  <c r="AN8" i="84"/>
  <c r="AN10" i="84"/>
  <c r="AD11" i="84"/>
  <c r="AD13" i="84"/>
  <c r="AD10" i="84"/>
  <c r="AD8" i="84"/>
  <c r="AD7" i="84"/>
  <c r="AD14" i="84"/>
  <c r="Q10" i="84"/>
  <c r="Q11" i="84"/>
  <c r="Q13" i="84"/>
  <c r="Q14" i="84"/>
  <c r="Q7" i="84"/>
  <c r="Q8" i="84"/>
  <c r="L10" i="84"/>
  <c r="L13" i="84"/>
  <c r="L11" i="84"/>
  <c r="L14" i="84"/>
  <c r="L8" i="84"/>
  <c r="L7" i="84"/>
  <c r="O13" i="84"/>
  <c r="O10" i="84"/>
  <c r="O14" i="84"/>
  <c r="O8" i="84"/>
  <c r="O7" i="84"/>
  <c r="O11" i="84"/>
  <c r="T13" i="84"/>
  <c r="T8" i="84"/>
  <c r="T14" i="84"/>
  <c r="T7" i="84"/>
  <c r="T11" i="84"/>
  <c r="T10" i="84"/>
  <c r="AL13" i="84"/>
  <c r="AL8" i="84"/>
  <c r="AL10" i="84"/>
  <c r="AL14" i="84"/>
  <c r="AL11" i="84"/>
  <c r="AL7" i="84"/>
  <c r="AC8" i="84"/>
  <c r="AC10" i="84"/>
  <c r="AC11" i="84"/>
  <c r="AC13" i="84"/>
  <c r="AC14" i="84"/>
  <c r="AC7" i="84"/>
  <c r="AJ14" i="84"/>
  <c r="AJ8" i="84"/>
  <c r="AJ13" i="84"/>
  <c r="AJ7" i="84"/>
  <c r="AJ10" i="84"/>
  <c r="AJ11" i="84"/>
  <c r="AF7" i="84"/>
  <c r="AF14" i="84"/>
  <c r="AF8" i="84"/>
  <c r="AF10" i="84"/>
  <c r="AF11" i="84"/>
  <c r="AF13" i="84"/>
  <c r="J7" i="84"/>
  <c r="J14" i="84"/>
  <c r="J13" i="84"/>
  <c r="J8" i="84"/>
  <c r="J10" i="84"/>
  <c r="J11" i="84"/>
  <c r="V8" i="84"/>
  <c r="V14" i="84"/>
  <c r="V13" i="84"/>
  <c r="V7" i="84"/>
  <c r="V11" i="84"/>
  <c r="V10" i="84"/>
  <c r="E10" i="84"/>
  <c r="E7" i="84"/>
  <c r="E14" i="84"/>
  <c r="E8" i="84"/>
  <c r="E11" i="84"/>
  <c r="E13" i="84"/>
  <c r="K14" i="84"/>
  <c r="K8" i="84"/>
  <c r="K10" i="84"/>
  <c r="K7" i="84"/>
  <c r="K11" i="84"/>
  <c r="K13" i="84"/>
  <c r="Z14" i="84"/>
  <c r="Z8" i="84"/>
  <c r="Z7" i="84"/>
  <c r="Z11" i="84"/>
  <c r="Z10" i="84"/>
  <c r="Z13" i="84"/>
  <c r="U13" i="84"/>
  <c r="U14" i="84"/>
  <c r="U8" i="84"/>
  <c r="U7" i="84"/>
  <c r="U11" i="84"/>
  <c r="U10" i="84"/>
  <c r="Y10" i="84"/>
  <c r="Y7" i="84"/>
  <c r="Y11" i="84"/>
  <c r="Y13" i="84"/>
  <c r="Y14" i="84"/>
  <c r="Y8" i="84"/>
  <c r="AA8" i="84"/>
  <c r="AA10" i="84"/>
  <c r="AA11" i="84"/>
  <c r="AA14" i="84"/>
  <c r="AA13" i="84"/>
  <c r="AA7" i="84"/>
  <c r="S8" i="84"/>
  <c r="S14" i="84"/>
  <c r="S10" i="84"/>
  <c r="S13" i="84"/>
  <c r="S11" i="84"/>
  <c r="S7" i="84"/>
  <c r="AE14" i="84"/>
  <c r="AE10" i="84"/>
  <c r="AE11" i="84"/>
  <c r="AE8" i="84"/>
  <c r="AE13" i="84"/>
  <c r="AE7" i="84"/>
  <c r="H8" i="84"/>
  <c r="H10" i="84"/>
  <c r="H7" i="84"/>
  <c r="H11" i="84"/>
  <c r="H13" i="84"/>
  <c r="H14" i="84"/>
  <c r="AM11" i="84"/>
  <c r="AM7" i="84"/>
  <c r="AM14" i="84"/>
  <c r="AM10" i="84"/>
  <c r="AM8" i="84"/>
  <c r="AM13" i="84"/>
  <c r="AK8" i="84"/>
  <c r="AK13" i="84"/>
  <c r="AK14" i="84"/>
  <c r="AK7" i="84"/>
  <c r="AK10" i="84"/>
  <c r="AK11" i="84"/>
  <c r="N13" i="84"/>
  <c r="N8" i="84"/>
  <c r="N7" i="84"/>
  <c r="N10" i="84"/>
  <c r="N14" i="84"/>
  <c r="N11" i="84"/>
  <c r="AG8" i="84"/>
  <c r="AG13" i="84"/>
  <c r="AG7" i="84"/>
  <c r="AG11" i="84"/>
  <c r="AG10" i="84"/>
  <c r="AG14" i="84"/>
  <c r="F11" i="84"/>
  <c r="F13" i="84"/>
  <c r="F7" i="84"/>
  <c r="F14" i="84"/>
  <c r="F8" i="84"/>
  <c r="F10" i="84"/>
  <c r="W10" i="84"/>
  <c r="W11" i="84"/>
  <c r="W14" i="84"/>
  <c r="W8" i="84"/>
  <c r="W7" i="84"/>
  <c r="W13" i="84"/>
  <c r="M13" i="84"/>
  <c r="M7" i="84"/>
  <c r="M8" i="84"/>
  <c r="M10" i="84"/>
  <c r="M14" i="84"/>
  <c r="M11" i="84"/>
  <c r="AY107" i="83"/>
  <c r="AY87" i="83"/>
  <c r="AY25" i="83" s="1"/>
  <c r="AY112" i="83"/>
  <c r="AY82" i="83"/>
  <c r="AY20" i="83" s="1"/>
  <c r="BA9" i="67"/>
  <c r="BA13" i="67"/>
  <c r="BR33" i="3"/>
  <c r="BC20" i="61"/>
  <c r="BA22" i="67"/>
  <c r="BR61" i="3"/>
  <c r="AX94" i="63"/>
  <c r="S291" i="77"/>
  <c r="N291" i="77"/>
  <c r="G291" i="77"/>
  <c r="M291" i="77"/>
  <c r="P291" i="77"/>
  <c r="F291" i="77"/>
  <c r="AS291" i="77"/>
  <c r="AR291" i="77"/>
  <c r="BR23" i="3"/>
  <c r="AV54" i="63"/>
  <c r="AZ66" i="71"/>
  <c r="AZ68" i="71"/>
  <c r="AZ81" i="71"/>
  <c r="AZ69" i="71"/>
  <c r="AZ72" i="71"/>
  <c r="AZ83" i="71"/>
  <c r="AZ73" i="71"/>
  <c r="AZ85" i="71"/>
  <c r="AV94" i="63"/>
  <c r="AZ74" i="71"/>
  <c r="BP33" i="3"/>
  <c r="AY33" i="67"/>
  <c r="AY17" i="67"/>
  <c r="AY20" i="67" s="1"/>
  <c r="AY9" i="67"/>
  <c r="AY22" i="67"/>
  <c r="AY29" i="67"/>
  <c r="AZ76" i="71"/>
  <c r="BA20" i="61"/>
  <c r="AF24" i="13"/>
  <c r="AZ70" i="71"/>
  <c r="AZ77" i="71"/>
  <c r="AO20" i="83"/>
  <c r="AO25" i="83"/>
  <c r="AZ79" i="71"/>
  <c r="AZ80" i="71"/>
  <c r="AZ67" i="71"/>
  <c r="F290" i="77"/>
  <c r="P290" i="77"/>
  <c r="N290" i="77"/>
  <c r="M290" i="77"/>
  <c r="G290" i="77"/>
  <c r="S290" i="77"/>
  <c r="AZ65" i="71"/>
  <c r="AZ71" i="71"/>
  <c r="AZ82" i="71"/>
  <c r="AZ75" i="71"/>
  <c r="AZ78" i="71"/>
  <c r="AZ64" i="71"/>
  <c r="AF25" i="13"/>
  <c r="BH13" i="9"/>
  <c r="BH18" i="9"/>
  <c r="BH49" i="9"/>
  <c r="BH50" i="9" s="1"/>
  <c r="BH53" i="9" s="1"/>
  <c r="BP78" i="3"/>
  <c r="BP23" i="3"/>
  <c r="BP42" i="3"/>
  <c r="BH7" i="9" s="1"/>
  <c r="BP6" i="3"/>
  <c r="BP61" i="3"/>
  <c r="AZ18" i="33"/>
  <c r="AZ20" i="61"/>
  <c r="AX22" i="67"/>
  <c r="AU94" i="63"/>
  <c r="AV93" i="63" s="1"/>
  <c r="BG13" i="9"/>
  <c r="BG49" i="9"/>
  <c r="BG50" i="9" s="1"/>
  <c r="BG53" i="9" s="1"/>
  <c r="AX29" i="67"/>
  <c r="AX9" i="67"/>
  <c r="BG18" i="9"/>
  <c r="N289" i="77"/>
  <c r="G289" i="77"/>
  <c r="M289" i="77"/>
  <c r="F289" i="77"/>
  <c r="S289" i="77"/>
  <c r="AE25" i="13"/>
  <c r="AX13" i="67"/>
  <c r="AD25" i="13"/>
  <c r="N288" i="77"/>
  <c r="M288" i="77"/>
  <c r="S288" i="77"/>
  <c r="G288" i="77"/>
  <c r="F288" i="77"/>
  <c r="AW13" i="67"/>
  <c r="AW22" i="67"/>
  <c r="AW9" i="67"/>
  <c r="AR96" i="63"/>
  <c r="N287" i="77"/>
  <c r="F287" i="77"/>
  <c r="S287" i="77"/>
  <c r="G287" i="77"/>
  <c r="M287" i="77"/>
  <c r="AW87" i="63" l="1"/>
  <c r="AH23" i="13"/>
  <c r="AH59" i="71"/>
  <c r="AN61" i="71"/>
  <c r="AN90" i="71" s="1"/>
  <c r="AW42" i="63"/>
  <c r="AX42" i="63"/>
  <c r="AX40" i="63"/>
  <c r="AW40" i="63"/>
  <c r="T292" i="77"/>
  <c r="BD292" i="77"/>
  <c r="BJ14" i="9"/>
  <c r="AY39" i="83"/>
  <c r="AY37" i="83"/>
  <c r="AY292" i="77"/>
  <c r="AI292" i="77"/>
  <c r="AL292" i="77"/>
  <c r="AO292" i="77"/>
  <c r="AK292" i="77"/>
  <c r="AG292" i="77"/>
  <c r="BC292" i="77"/>
  <c r="AZ292" i="77"/>
  <c r="AW292" i="77"/>
  <c r="AN292" i="77"/>
  <c r="AJ292" i="77"/>
  <c r="AH292" i="77"/>
  <c r="BA292" i="77"/>
  <c r="AX292" i="77"/>
  <c r="AM292" i="77"/>
  <c r="AF61" i="71"/>
  <c r="AF90" i="71" s="1"/>
  <c r="AW93" i="63"/>
  <c r="AV87" i="63"/>
  <c r="BA29" i="67"/>
  <c r="BR6" i="3"/>
  <c r="BD291" i="77"/>
  <c r="BC291" i="77"/>
  <c r="T291" i="77"/>
  <c r="AV79" i="63"/>
  <c r="AY13" i="67"/>
  <c r="AY39" i="67"/>
  <c r="AF23" i="13"/>
  <c r="BD290" i="77"/>
  <c r="T290" i="77"/>
  <c r="BC290" i="77"/>
  <c r="AO45" i="63"/>
  <c r="AO63" i="63" s="1"/>
  <c r="AO87" i="63"/>
  <c r="BH17" i="9"/>
  <c r="BP39" i="3"/>
  <c r="BH8" i="9"/>
  <c r="BH6" i="9"/>
  <c r="BH12" i="9"/>
  <c r="BP90" i="3"/>
  <c r="AU87" i="63"/>
  <c r="BC289" i="77"/>
  <c r="BD289" i="77"/>
  <c r="T289" i="77"/>
  <c r="AT45" i="63"/>
  <c r="AT87" i="63"/>
  <c r="BO40" i="3"/>
  <c r="BC288" i="77"/>
  <c r="BD288" i="77"/>
  <c r="T288" i="77"/>
  <c r="T287" i="77"/>
  <c r="AM59" i="71" l="1"/>
  <c r="AM61" i="71" s="1"/>
  <c r="AM90" i="71" s="1"/>
  <c r="AL59" i="71"/>
  <c r="AY41" i="83"/>
  <c r="AG61" i="71"/>
  <c r="AG90" i="71" s="1"/>
  <c r="BR39" i="3"/>
  <c r="AH61" i="71"/>
  <c r="AH90" i="71" s="1"/>
  <c r="AW45" i="63"/>
  <c r="AW63" i="63" s="1"/>
  <c r="AV45" i="63"/>
  <c r="AO6" i="63"/>
  <c r="AO11" i="63" s="1"/>
  <c r="AO14" i="63" s="1"/>
  <c r="BP91" i="3"/>
  <c r="AO92" i="63"/>
  <c r="AO96" i="63" s="1"/>
  <c r="BH14" i="9"/>
  <c r="BG12" i="9"/>
  <c r="AU93" i="63"/>
  <c r="BC287" i="77"/>
  <c r="BD287" i="77"/>
  <c r="N286" i="77"/>
  <c r="M286" i="77"/>
  <c r="G286" i="77"/>
  <c r="S286" i="77"/>
  <c r="F286" i="77"/>
  <c r="N285" i="77"/>
  <c r="F285" i="77"/>
  <c r="M285" i="77"/>
  <c r="G285" i="77"/>
  <c r="S285" i="77"/>
  <c r="I315" i="73"/>
  <c r="H314" i="73"/>
  <c r="H316" i="73" s="1"/>
  <c r="N22" i="9"/>
  <c r="N55" i="9" s="1"/>
  <c r="AJ87" i="63"/>
  <c r="AC264" i="77"/>
  <c r="AC272" i="77"/>
  <c r="AC258" i="77"/>
  <c r="AC275" i="77"/>
  <c r="AC256" i="77"/>
  <c r="AC274" i="77"/>
  <c r="AC251" i="77"/>
  <c r="AC253" i="77"/>
  <c r="AC278" i="77"/>
  <c r="AC262" i="77"/>
  <c r="AC269" i="77"/>
  <c r="AC261" i="77"/>
  <c r="AC270" i="77"/>
  <c r="AC254" i="77"/>
  <c r="AC268" i="77"/>
  <c r="AC277" i="77"/>
  <c r="AC276" i="77"/>
  <c r="AC271" i="77"/>
  <c r="AC259" i="77"/>
  <c r="AC257" i="77"/>
  <c r="AC266" i="77"/>
  <c r="AC273" i="77"/>
  <c r="AC260" i="77"/>
  <c r="AC255" i="77"/>
  <c r="AC263" i="77"/>
  <c r="AC267" i="77"/>
  <c r="AC252" i="77"/>
  <c r="AC265" i="77"/>
  <c r="AW29" i="67"/>
  <c r="AS76" i="71"/>
  <c r="AS72" i="71"/>
  <c r="AS65" i="71"/>
  <c r="AS73" i="71"/>
  <c r="AS81" i="71"/>
  <c r="AS66" i="71"/>
  <c r="AS68" i="71"/>
  <c r="AS80" i="71"/>
  <c r="AS74" i="71"/>
  <c r="AS83" i="71"/>
  <c r="BO61" i="3"/>
  <c r="AQ17" i="67"/>
  <c r="AQ20" i="67" s="1"/>
  <c r="BO33" i="3"/>
  <c r="AQ13" i="67"/>
  <c r="BO23" i="3"/>
  <c r="O56" i="9"/>
  <c r="M138" i="8" s="1"/>
  <c r="O48" i="9"/>
  <c r="O11" i="9"/>
  <c r="O63" i="9"/>
  <c r="O34" i="9"/>
  <c r="O5" i="9"/>
  <c r="O38" i="9"/>
  <c r="O23" i="9"/>
  <c r="O132" i="9"/>
  <c r="X25" i="45"/>
  <c r="X15" i="45"/>
  <c r="O92" i="83"/>
  <c r="O35" i="83"/>
  <c r="O161" i="83"/>
  <c r="O150" i="83"/>
  <c r="O130" i="83"/>
  <c r="O116" i="83"/>
  <c r="AF56" i="9"/>
  <c r="AF34" i="9"/>
  <c r="AF38" i="9"/>
  <c r="AF48" i="9"/>
  <c r="AF5" i="9"/>
  <c r="AF23" i="9"/>
  <c r="AF63" i="9"/>
  <c r="AF11" i="9"/>
  <c r="AF132" i="9"/>
  <c r="AG49" i="46"/>
  <c r="AG105" i="46"/>
  <c r="AG81" i="46"/>
  <c r="AG93" i="46"/>
  <c r="AG24" i="46"/>
  <c r="AG30" i="46" s="1"/>
  <c r="AG36" i="46" s="1"/>
  <c r="AG62" i="46"/>
  <c r="AG43" i="46"/>
  <c r="AG74" i="46"/>
  <c r="AG17" i="46"/>
  <c r="AG68" i="46"/>
  <c r="AG11" i="46"/>
  <c r="AG55" i="46"/>
  <c r="AH23" i="9"/>
  <c r="AH11" i="9"/>
  <c r="AH38" i="9"/>
  <c r="AH34" i="9"/>
  <c r="AH5" i="9"/>
  <c r="AH63" i="9"/>
  <c r="AH132" i="9"/>
  <c r="AH48" i="9"/>
  <c r="AH56" i="9"/>
  <c r="AH63" i="71"/>
  <c r="AH34" i="71"/>
  <c r="AE14" i="31"/>
  <c r="AE23" i="31"/>
  <c r="I37" i="52"/>
  <c r="I21" i="52"/>
  <c r="AJ132" i="9"/>
  <c r="AJ56" i="9"/>
  <c r="AJ5" i="9"/>
  <c r="AJ38" i="9"/>
  <c r="AJ34" i="9"/>
  <c r="AJ48" i="9"/>
  <c r="AJ23" i="9"/>
  <c r="AJ63" i="9"/>
  <c r="AJ11" i="9"/>
  <c r="G23" i="49"/>
  <c r="G41" i="49"/>
  <c r="AI75" i="73"/>
  <c r="AI101" i="73"/>
  <c r="AI65" i="73"/>
  <c r="AI93" i="73"/>
  <c r="AI49" i="73"/>
  <c r="AI85" i="73"/>
  <c r="AI57" i="73"/>
  <c r="AI109" i="73"/>
  <c r="AJ12" i="53"/>
  <c r="AJ19" i="53"/>
  <c r="AA277" i="77"/>
  <c r="M277" i="77"/>
  <c r="S277" i="77"/>
  <c r="N277" i="77"/>
  <c r="G277" i="77"/>
  <c r="AB277" i="77"/>
  <c r="F277" i="77"/>
  <c r="F5" i="9"/>
  <c r="F11" i="9"/>
  <c r="F23" i="9"/>
  <c r="F38" i="9"/>
  <c r="F34" i="9"/>
  <c r="F132" i="9"/>
  <c r="F48" i="9"/>
  <c r="F63" i="9"/>
  <c r="F56" i="9"/>
  <c r="D138" i="8" s="1"/>
  <c r="AH19" i="53"/>
  <c r="AH12" i="53"/>
  <c r="AG49" i="73"/>
  <c r="AG85" i="73"/>
  <c r="AG57" i="73"/>
  <c r="AG109" i="73"/>
  <c r="AG65" i="73"/>
  <c r="AG75" i="73"/>
  <c r="AG101" i="73"/>
  <c r="AG93" i="73"/>
  <c r="S261" i="77"/>
  <c r="M261" i="77"/>
  <c r="N261" i="77"/>
  <c r="G261" i="77"/>
  <c r="F261" i="77"/>
  <c r="E14" i="31"/>
  <c r="E23" i="31"/>
  <c r="L157" i="73"/>
  <c r="L149" i="73"/>
  <c r="L165" i="73"/>
  <c r="E233" i="77"/>
  <c r="F233" i="77"/>
  <c r="G233" i="77"/>
  <c r="M233" i="77"/>
  <c r="N233" i="77"/>
  <c r="V270" i="77"/>
  <c r="AA270" i="77"/>
  <c r="W270" i="77"/>
  <c r="G270" i="77"/>
  <c r="S270" i="77"/>
  <c r="AB270" i="77"/>
  <c r="N270" i="77"/>
  <c r="Y270" i="77"/>
  <c r="M270" i="77"/>
  <c r="F270" i="77"/>
  <c r="G227" i="77"/>
  <c r="N227" i="77"/>
  <c r="M227" i="77"/>
  <c r="F227" i="77"/>
  <c r="E227" i="77"/>
  <c r="AA251" i="77"/>
  <c r="X251" i="77"/>
  <c r="AR251" i="77"/>
  <c r="AT251" i="77"/>
  <c r="Y251" i="77"/>
  <c r="P251" i="77"/>
  <c r="AB251" i="77"/>
  <c r="Z251" i="77"/>
  <c r="AQ251" i="77"/>
  <c r="AU251" i="77"/>
  <c r="V251" i="77"/>
  <c r="S251" i="77"/>
  <c r="M251" i="77"/>
  <c r="E251" i="77"/>
  <c r="N251" i="77"/>
  <c r="F251" i="77"/>
  <c r="Q251" i="77"/>
  <c r="G251" i="77"/>
  <c r="W251" i="77"/>
  <c r="AS251" i="77"/>
  <c r="AC14" i="32"/>
  <c r="AC23" i="32"/>
  <c r="E13" i="65"/>
  <c r="E21" i="65"/>
  <c r="AN13" i="30"/>
  <c r="AN20" i="30"/>
  <c r="AM41" i="49"/>
  <c r="AM23" i="49"/>
  <c r="S284" i="77"/>
  <c r="F284" i="77"/>
  <c r="N284" i="77"/>
  <c r="M284" i="77"/>
  <c r="G284" i="77"/>
  <c r="AN15" i="45"/>
  <c r="AN25" i="45"/>
  <c r="Y282" i="77"/>
  <c r="M282" i="77"/>
  <c r="F282" i="77"/>
  <c r="AA282" i="77"/>
  <c r="W282" i="77"/>
  <c r="S282" i="77"/>
  <c r="V282" i="77"/>
  <c r="G282" i="77"/>
  <c r="AB282" i="77"/>
  <c r="N282" i="77"/>
  <c r="AE63" i="71"/>
  <c r="AE34" i="71"/>
  <c r="W57" i="73"/>
  <c r="W75" i="73"/>
  <c r="W65" i="73"/>
  <c r="W101" i="73"/>
  <c r="W85" i="73"/>
  <c r="W49" i="73"/>
  <c r="W109" i="73"/>
  <c r="W93" i="73"/>
  <c r="AE49" i="46"/>
  <c r="AE24" i="46"/>
  <c r="AE30" i="46" s="1"/>
  <c r="AE36" i="46" s="1"/>
  <c r="AE11" i="46"/>
  <c r="AE68" i="46"/>
  <c r="AE55" i="46"/>
  <c r="AE43" i="46"/>
  <c r="AE17" i="46"/>
  <c r="AE105" i="46"/>
  <c r="AE81" i="46"/>
  <c r="AE93" i="46"/>
  <c r="AE74" i="46"/>
  <c r="AE62" i="46"/>
  <c r="T34" i="71"/>
  <c r="T63" i="71"/>
  <c r="X21" i="65"/>
  <c r="X13" i="65"/>
  <c r="S23" i="31"/>
  <c r="S14" i="31"/>
  <c r="M165" i="73"/>
  <c r="M149" i="73"/>
  <c r="M157" i="73"/>
  <c r="AB35" i="83"/>
  <c r="AB92" i="83"/>
  <c r="AB130" i="83"/>
  <c r="AB161" i="83"/>
  <c r="AB150" i="83"/>
  <c r="AB116" i="83"/>
  <c r="S68" i="46"/>
  <c r="S24" i="46"/>
  <c r="S30" i="46" s="1"/>
  <c r="S36" i="46" s="1"/>
  <c r="S62" i="46"/>
  <c r="S55" i="46"/>
  <c r="S49" i="46"/>
  <c r="S11" i="46"/>
  <c r="S17" i="46"/>
  <c r="S74" i="46"/>
  <c r="S43" i="46"/>
  <c r="AI25" i="45"/>
  <c r="AI15" i="45"/>
  <c r="L49" i="46"/>
  <c r="L74" i="46"/>
  <c r="L55" i="46"/>
  <c r="L43" i="46"/>
  <c r="L11" i="46"/>
  <c r="L24" i="46"/>
  <c r="L30" i="46" s="1"/>
  <c r="L36" i="46" s="1"/>
  <c r="L62" i="46"/>
  <c r="L17" i="46"/>
  <c r="L68" i="46"/>
  <c r="AC49" i="46"/>
  <c r="AC24" i="46"/>
  <c r="AC30" i="46" s="1"/>
  <c r="AC36" i="46" s="1"/>
  <c r="AC93" i="46"/>
  <c r="AC11" i="46"/>
  <c r="AC74" i="46"/>
  <c r="AC62" i="46"/>
  <c r="AC81" i="46"/>
  <c r="AC68" i="46"/>
  <c r="AC43" i="46"/>
  <c r="AC17" i="46"/>
  <c r="AC105" i="46"/>
  <c r="AC55" i="46"/>
  <c r="AF13" i="65"/>
  <c r="AF21" i="65"/>
  <c r="P23" i="31"/>
  <c r="P14" i="31"/>
  <c r="S13" i="65"/>
  <c r="S21" i="65"/>
  <c r="K19" i="53"/>
  <c r="K12" i="53"/>
  <c r="AD23" i="49"/>
  <c r="AD41" i="49"/>
  <c r="I34" i="71"/>
  <c r="I63" i="71"/>
  <c r="J63" i="71"/>
  <c r="J34" i="71"/>
  <c r="AM23" i="32"/>
  <c r="AM14" i="32"/>
  <c r="P38" i="9"/>
  <c r="P56" i="9"/>
  <c r="N138" i="8" s="1"/>
  <c r="P132" i="9"/>
  <c r="P63" i="9"/>
  <c r="P23" i="9"/>
  <c r="P34" i="9"/>
  <c r="P48" i="9"/>
  <c r="P11" i="9"/>
  <c r="P5" i="9"/>
  <c r="AP141" i="73"/>
  <c r="AP125" i="73"/>
  <c r="AP133" i="73"/>
  <c r="J13" i="65"/>
  <c r="J21" i="65"/>
  <c r="AA101" i="73"/>
  <c r="AA109" i="73"/>
  <c r="AA65" i="73"/>
  <c r="AA75" i="73"/>
  <c r="AA57" i="73"/>
  <c r="AA49" i="73"/>
  <c r="AA93" i="73"/>
  <c r="AA85" i="73"/>
  <c r="AC21" i="39"/>
  <c r="AC11" i="39"/>
  <c r="M23" i="49"/>
  <c r="M41" i="49"/>
  <c r="T161" i="83"/>
  <c r="T92" i="83"/>
  <c r="T116" i="83"/>
  <c r="T35" i="83"/>
  <c r="T130" i="83"/>
  <c r="T150" i="83"/>
  <c r="R20" i="30"/>
  <c r="R13" i="30"/>
  <c r="Y23" i="32"/>
  <c r="Y14" i="32"/>
  <c r="AM15" i="45"/>
  <c r="AM25" i="45"/>
  <c r="AE12" i="53"/>
  <c r="AE19" i="53"/>
  <c r="AE165" i="73"/>
  <c r="AE149" i="73"/>
  <c r="AE157" i="73"/>
  <c r="Z34" i="71"/>
  <c r="Z63" i="71"/>
  <c r="AM38" i="9"/>
  <c r="AM23" i="9"/>
  <c r="AM34" i="9"/>
  <c r="AM48" i="9"/>
  <c r="AM63" i="9"/>
  <c r="AM56" i="9"/>
  <c r="AM132" i="9"/>
  <c r="AM11" i="9"/>
  <c r="AM5" i="9"/>
  <c r="P49" i="46"/>
  <c r="P62" i="46"/>
  <c r="P55" i="46"/>
  <c r="P74" i="46"/>
  <c r="P11" i="46"/>
  <c r="P68" i="46"/>
  <c r="P24" i="46"/>
  <c r="P30" i="46" s="1"/>
  <c r="P36" i="46" s="1"/>
  <c r="P43" i="46"/>
  <c r="P17" i="46"/>
  <c r="H35" i="83"/>
  <c r="H150" i="83"/>
  <c r="H92" i="83"/>
  <c r="H130" i="83"/>
  <c r="H116" i="83"/>
  <c r="H161" i="83"/>
  <c r="F34" i="71"/>
  <c r="F63" i="71"/>
  <c r="AD15" i="29"/>
  <c r="AD10" i="29"/>
  <c r="I20" i="30"/>
  <c r="I13" i="30"/>
  <c r="L161" i="83"/>
  <c r="L150" i="83"/>
  <c r="L35" i="83"/>
  <c r="L92" i="83"/>
  <c r="L116" i="83"/>
  <c r="L130" i="83"/>
  <c r="BD141" i="73"/>
  <c r="BD125" i="73"/>
  <c r="BD133" i="73"/>
  <c r="AH23" i="32"/>
  <c r="AH14" i="32"/>
  <c r="AF41" i="49"/>
  <c r="AF23" i="49"/>
  <c r="U41" i="49"/>
  <c r="U23" i="49"/>
  <c r="I25" i="45"/>
  <c r="I15" i="45"/>
  <c r="AJ41" i="49"/>
  <c r="AJ23" i="49"/>
  <c r="BJ133" i="73"/>
  <c r="BJ125" i="73"/>
  <c r="BJ141" i="73"/>
  <c r="R21" i="52"/>
  <c r="R37" i="52"/>
  <c r="AB21" i="65"/>
  <c r="AB13" i="65"/>
  <c r="K35" i="83"/>
  <c r="K130" i="83"/>
  <c r="K161" i="83"/>
  <c r="K116" i="83"/>
  <c r="K92" i="83"/>
  <c r="K150" i="83"/>
  <c r="U11" i="59"/>
  <c r="U17" i="59"/>
  <c r="AJ14" i="31"/>
  <c r="AJ23" i="31"/>
  <c r="AQ141" i="73"/>
  <c r="AQ125" i="73"/>
  <c r="AQ133" i="73"/>
  <c r="AI15" i="29"/>
  <c r="AI10" i="29"/>
  <c r="Q11" i="39"/>
  <c r="Q21" i="39"/>
  <c r="AC63" i="71"/>
  <c r="AC34" i="71"/>
  <c r="G116" i="83"/>
  <c r="G130" i="83"/>
  <c r="G161" i="83"/>
  <c r="G92" i="83"/>
  <c r="G150" i="83"/>
  <c r="G35" i="83"/>
  <c r="T41" i="49"/>
  <c r="T23" i="49"/>
  <c r="H13" i="30"/>
  <c r="H20" i="30"/>
  <c r="BE125" i="73"/>
  <c r="BE141" i="73"/>
  <c r="BE133" i="73"/>
  <c r="H132" i="9"/>
  <c r="H34" i="9"/>
  <c r="H48" i="9"/>
  <c r="H23" i="9"/>
  <c r="H63" i="9"/>
  <c r="H56" i="9"/>
  <c r="F138" i="8" s="1"/>
  <c r="H38" i="9"/>
  <c r="H5" i="9"/>
  <c r="H11" i="9"/>
  <c r="AJ21" i="65"/>
  <c r="AJ13" i="65"/>
  <c r="AK23" i="31"/>
  <c r="AK14" i="31"/>
  <c r="AB19" i="53"/>
  <c r="AB12" i="53"/>
  <c r="AJ21" i="39"/>
  <c r="AJ33" i="39" s="1"/>
  <c r="AJ11" i="39"/>
  <c r="AK57" i="73"/>
  <c r="AK93" i="73"/>
  <c r="AK65" i="73"/>
  <c r="AK101" i="73"/>
  <c r="AK109" i="73"/>
  <c r="AK49" i="73"/>
  <c r="AK85" i="73"/>
  <c r="AK75" i="73"/>
  <c r="BL125" i="73"/>
  <c r="BL141" i="73"/>
  <c r="BL133" i="73"/>
  <c r="O25" i="45"/>
  <c r="O15" i="45"/>
  <c r="R19" i="53"/>
  <c r="R12" i="53"/>
  <c r="AM157" i="73"/>
  <c r="AM165" i="73"/>
  <c r="AM149" i="73"/>
  <c r="N12" i="53"/>
  <c r="N19" i="53"/>
  <c r="T37" i="52"/>
  <c r="T21" i="52"/>
  <c r="Q23" i="31"/>
  <c r="Q14" i="31"/>
  <c r="S21" i="39"/>
  <c r="S11" i="39"/>
  <c r="BE165" i="73"/>
  <c r="BE157" i="73"/>
  <c r="BE149" i="73"/>
  <c r="BQ165" i="73"/>
  <c r="BQ157" i="73"/>
  <c r="BQ149" i="73"/>
  <c r="G231" i="77"/>
  <c r="N231" i="77"/>
  <c r="E231" i="77"/>
  <c r="M231" i="77"/>
  <c r="F231" i="77"/>
  <c r="N273" i="77"/>
  <c r="F273" i="77"/>
  <c r="AB273" i="77"/>
  <c r="S273" i="77"/>
  <c r="AA273" i="77"/>
  <c r="X273" i="77"/>
  <c r="V273" i="77"/>
  <c r="G273" i="77"/>
  <c r="W273" i="77"/>
  <c r="Y273" i="77"/>
  <c r="Z273" i="77"/>
  <c r="M273" i="77"/>
  <c r="I157" i="73"/>
  <c r="I149" i="73"/>
  <c r="I165" i="73"/>
  <c r="F260" i="77"/>
  <c r="M260" i="77"/>
  <c r="N260" i="77"/>
  <c r="S260" i="77"/>
  <c r="G260" i="77"/>
  <c r="AN141" i="73"/>
  <c r="AN125" i="73"/>
  <c r="AN133" i="73"/>
  <c r="AL141" i="73"/>
  <c r="AL125" i="73"/>
  <c r="AL133" i="73"/>
  <c r="W149" i="73"/>
  <c r="W157" i="73"/>
  <c r="W165" i="73"/>
  <c r="F228" i="77"/>
  <c r="E228" i="77"/>
  <c r="G228" i="77"/>
  <c r="N228" i="77"/>
  <c r="M228" i="77"/>
  <c r="AL157" i="73"/>
  <c r="AL149" i="73"/>
  <c r="AL165" i="73"/>
  <c r="AG157" i="73"/>
  <c r="AG149" i="73"/>
  <c r="AG165" i="73"/>
  <c r="AV149" i="73"/>
  <c r="AV157" i="73"/>
  <c r="AV165" i="73"/>
  <c r="BI149" i="73"/>
  <c r="BI157" i="73"/>
  <c r="BI165" i="73"/>
  <c r="W19" i="53"/>
  <c r="W12" i="53"/>
  <c r="BO157" i="73"/>
  <c r="BO149" i="73"/>
  <c r="BO165" i="73"/>
  <c r="AC85" i="73"/>
  <c r="AC57" i="73"/>
  <c r="AC101" i="73"/>
  <c r="AC65" i="73"/>
  <c r="AC93" i="73"/>
  <c r="AC49" i="73"/>
  <c r="AC109" i="73"/>
  <c r="AC75" i="73"/>
  <c r="N245" i="77"/>
  <c r="G245" i="77"/>
  <c r="M245" i="77"/>
  <c r="E245" i="77"/>
  <c r="F245" i="77"/>
  <c r="E237" i="77"/>
  <c r="G237" i="77"/>
  <c r="M237" i="77"/>
  <c r="F237" i="77"/>
  <c r="N237" i="77"/>
  <c r="H165" i="73"/>
  <c r="H149" i="73"/>
  <c r="H157" i="73"/>
  <c r="N247" i="77"/>
  <c r="M247" i="77"/>
  <c r="E247" i="77"/>
  <c r="G247" i="77"/>
  <c r="F247" i="77"/>
  <c r="Q247" i="77"/>
  <c r="S247" i="77"/>
  <c r="P247" i="77"/>
  <c r="AC20" i="30"/>
  <c r="AC13" i="30"/>
  <c r="AN13" i="65"/>
  <c r="AN21" i="65"/>
  <c r="AI116" i="83"/>
  <c r="AI161" i="83"/>
  <c r="AI130" i="83"/>
  <c r="AI92" i="83"/>
  <c r="AI150" i="83"/>
  <c r="AI35" i="83"/>
  <c r="AS87" i="71"/>
  <c r="AS78" i="71"/>
  <c r="R34" i="71"/>
  <c r="R63" i="71"/>
  <c r="AA21" i="39"/>
  <c r="AA11" i="39"/>
  <c r="AM125" i="73"/>
  <c r="AM141" i="73"/>
  <c r="AM133" i="73"/>
  <c r="AF141" i="73"/>
  <c r="AF125" i="73"/>
  <c r="AF133" i="73"/>
  <c r="Z11" i="39"/>
  <c r="Z21" i="39"/>
  <c r="U75" i="73"/>
  <c r="U65" i="73"/>
  <c r="U101" i="73"/>
  <c r="U93" i="73"/>
  <c r="U85" i="73"/>
  <c r="U57" i="73"/>
  <c r="U49" i="73"/>
  <c r="U109" i="73"/>
  <c r="X165" i="73"/>
  <c r="X157" i="73"/>
  <c r="X149" i="73"/>
  <c r="D18" i="2"/>
  <c r="D21" i="2"/>
  <c r="D40" i="12"/>
  <c r="N63" i="71"/>
  <c r="N34" i="71"/>
  <c r="BH125" i="73"/>
  <c r="BH133" i="73"/>
  <c r="BH141" i="73"/>
  <c r="O21" i="52"/>
  <c r="O37" i="52"/>
  <c r="G20" i="30"/>
  <c r="G13" i="30"/>
  <c r="N230" i="77"/>
  <c r="E230" i="77"/>
  <c r="F230" i="77"/>
  <c r="M230" i="77"/>
  <c r="G230" i="77"/>
  <c r="K23" i="49"/>
  <c r="K41" i="49"/>
  <c r="T10" i="29"/>
  <c r="T15" i="29"/>
  <c r="P25" i="45"/>
  <c r="P15" i="45"/>
  <c r="U15" i="29"/>
  <c r="U10" i="29"/>
  <c r="AG21" i="65"/>
  <c r="AG13" i="65"/>
  <c r="W11" i="59"/>
  <c r="W17" i="59"/>
  <c r="U38" i="9"/>
  <c r="U48" i="9"/>
  <c r="U63" i="9"/>
  <c r="U132" i="9"/>
  <c r="U23" i="9"/>
  <c r="U5" i="9"/>
  <c r="U34" i="9"/>
  <c r="U56" i="9"/>
  <c r="U11" i="9"/>
  <c r="K25" i="45"/>
  <c r="K15" i="45"/>
  <c r="AC149" i="73"/>
  <c r="AC165" i="73"/>
  <c r="AC157" i="73"/>
  <c r="Z13" i="65"/>
  <c r="Z21" i="65"/>
  <c r="H11" i="46"/>
  <c r="H17" i="46"/>
  <c r="M21" i="52"/>
  <c r="M37" i="52"/>
  <c r="Y34" i="71"/>
  <c r="Y63" i="71"/>
  <c r="J15" i="45"/>
  <c r="J25" i="45"/>
  <c r="P23" i="49"/>
  <c r="P41" i="49"/>
  <c r="X109" i="73"/>
  <c r="X65" i="73"/>
  <c r="X101" i="73"/>
  <c r="X57" i="73"/>
  <c r="X75" i="73"/>
  <c r="X85" i="73"/>
  <c r="X93" i="73"/>
  <c r="X49" i="73"/>
  <c r="AG19" i="53"/>
  <c r="AG12" i="53"/>
  <c r="H14" i="31"/>
  <c r="H23" i="31"/>
  <c r="AL13" i="65"/>
  <c r="AL21" i="65"/>
  <c r="Q56" i="9"/>
  <c r="O138" i="8" s="1"/>
  <c r="Q132" i="9"/>
  <c r="Q23" i="9"/>
  <c r="Q48" i="9"/>
  <c r="Q11" i="9"/>
  <c r="Q34" i="9"/>
  <c r="Q5" i="9"/>
  <c r="Q38" i="9"/>
  <c r="Q63" i="9"/>
  <c r="P21" i="39"/>
  <c r="P11" i="39"/>
  <c r="J92" i="83"/>
  <c r="J116" i="83"/>
  <c r="J150" i="83"/>
  <c r="J130" i="83"/>
  <c r="J35" i="83"/>
  <c r="J161" i="83"/>
  <c r="AF37" i="52"/>
  <c r="AF21" i="52"/>
  <c r="BH165" i="73"/>
  <c r="BH157" i="73"/>
  <c r="BH149" i="73"/>
  <c r="Y10" i="29"/>
  <c r="Y15" i="29"/>
  <c r="O21" i="65"/>
  <c r="O13" i="65"/>
  <c r="AN132" i="9"/>
  <c r="AN48" i="9"/>
  <c r="AN56" i="9"/>
  <c r="AN34" i="9"/>
  <c r="AN5" i="9"/>
  <c r="AN23" i="9"/>
  <c r="AN38" i="9"/>
  <c r="AN63" i="9"/>
  <c r="AN11" i="9"/>
  <c r="N15" i="45"/>
  <c r="N25" i="45"/>
  <c r="L34" i="71"/>
  <c r="L63" i="71"/>
  <c r="I21" i="39"/>
  <c r="I11" i="39"/>
  <c r="Z43" i="46"/>
  <c r="Z81" i="46"/>
  <c r="Z74" i="46"/>
  <c r="Z93" i="46"/>
  <c r="Z68" i="46"/>
  <c r="Z62" i="46"/>
  <c r="Z55" i="46"/>
  <c r="Z49" i="46"/>
  <c r="Z24" i="46"/>
  <c r="Z30" i="46" s="1"/>
  <c r="Z36" i="46" s="1"/>
  <c r="Z105" i="46"/>
  <c r="Z11" i="46"/>
  <c r="Z17" i="46"/>
  <c r="AI11" i="39"/>
  <c r="AI21" i="39"/>
  <c r="H12" i="53"/>
  <c r="H19" i="53"/>
  <c r="I19" i="53"/>
  <c r="I12" i="53"/>
  <c r="H25" i="45"/>
  <c r="H15" i="45"/>
  <c r="U21" i="39"/>
  <c r="U11" i="39"/>
  <c r="R11" i="39"/>
  <c r="R21" i="39"/>
  <c r="W25" i="45"/>
  <c r="W15" i="45"/>
  <c r="AH21" i="65"/>
  <c r="AH13" i="65"/>
  <c r="AE133" i="73"/>
  <c r="AE125" i="73"/>
  <c r="AE141" i="73"/>
  <c r="K14" i="31"/>
  <c r="K23" i="31"/>
  <c r="BS165" i="73"/>
  <c r="BS157" i="73"/>
  <c r="BS149" i="73"/>
  <c r="AE15" i="29"/>
  <c r="AE10" i="29"/>
  <c r="AA165" i="73"/>
  <c r="AA157" i="73"/>
  <c r="AA149" i="73"/>
  <c r="BA53" i="9"/>
  <c r="AN105" i="46"/>
  <c r="AN55" i="46"/>
  <c r="AN62" i="46"/>
  <c r="AN68" i="46"/>
  <c r="AN30" i="46"/>
  <c r="AN81" i="46"/>
  <c r="AN11" i="46"/>
  <c r="AN43" i="46"/>
  <c r="AN36" i="46"/>
  <c r="AN49" i="46"/>
  <c r="AN17" i="46"/>
  <c r="AN24" i="46"/>
  <c r="AN93" i="46"/>
  <c r="AN74" i="46"/>
  <c r="G23" i="32"/>
  <c r="G14" i="32"/>
  <c r="AA37" i="52"/>
  <c r="AA21" i="52"/>
  <c r="AD21" i="65"/>
  <c r="AD13" i="65"/>
  <c r="U12" i="53"/>
  <c r="U19" i="53"/>
  <c r="AG15" i="45"/>
  <c r="AG25" i="45"/>
  <c r="AK11" i="39"/>
  <c r="AK21" i="39"/>
  <c r="AK33" i="39" s="1"/>
  <c r="S125" i="73"/>
  <c r="S133" i="73"/>
  <c r="S141" i="73"/>
  <c r="AX133" i="73"/>
  <c r="AX141" i="73"/>
  <c r="AX125" i="73"/>
  <c r="N41" i="49"/>
  <c r="N23" i="49"/>
  <c r="I14" i="32"/>
  <c r="I23" i="32"/>
  <c r="G141" i="73"/>
  <c r="G133" i="73"/>
  <c r="G125" i="73"/>
  <c r="M11" i="39"/>
  <c r="M21" i="39"/>
  <c r="AI21" i="65"/>
  <c r="AI13" i="65"/>
  <c r="AL17" i="46"/>
  <c r="AL11" i="46"/>
  <c r="AL43" i="46"/>
  <c r="AL93" i="46"/>
  <c r="AL24" i="46"/>
  <c r="AL49" i="46"/>
  <c r="AL62" i="46"/>
  <c r="AL105" i="46"/>
  <c r="AL81" i="46"/>
  <c r="AL30" i="46"/>
  <c r="AL74" i="46"/>
  <c r="AL36" i="46"/>
  <c r="AL55" i="46"/>
  <c r="AL68" i="46"/>
  <c r="AG21" i="39"/>
  <c r="AG11" i="39"/>
  <c r="AH21" i="39"/>
  <c r="AH11" i="39"/>
  <c r="M25" i="45"/>
  <c r="M15" i="45"/>
  <c r="P10" i="29"/>
  <c r="P15" i="29"/>
  <c r="W14" i="32"/>
  <c r="W23" i="32"/>
  <c r="K11" i="59"/>
  <c r="K17" i="59"/>
  <c r="Z65" i="73"/>
  <c r="Z109" i="73"/>
  <c r="Z75" i="73"/>
  <c r="Z57" i="73"/>
  <c r="Z101" i="73"/>
  <c r="Z85" i="73"/>
  <c r="Z93" i="73"/>
  <c r="Z49" i="73"/>
  <c r="AJ34" i="71"/>
  <c r="AJ63" i="71"/>
  <c r="AY125" i="73"/>
  <c r="AY133" i="73"/>
  <c r="AY141" i="73"/>
  <c r="Y13" i="30"/>
  <c r="Y20" i="30"/>
  <c r="T13" i="30"/>
  <c r="T20" i="30"/>
  <c r="N57" i="73"/>
  <c r="N65" i="73"/>
  <c r="N49" i="73"/>
  <c r="N101" i="73"/>
  <c r="N85" i="73"/>
  <c r="N93" i="73"/>
  <c r="N109" i="73"/>
  <c r="N75" i="73"/>
  <c r="AR65" i="73"/>
  <c r="AR75" i="73"/>
  <c r="AR101" i="73"/>
  <c r="AR85" i="73"/>
  <c r="AR57" i="73"/>
  <c r="AR93" i="73"/>
  <c r="AR49" i="73"/>
  <c r="AR109" i="73"/>
  <c r="N125" i="73"/>
  <c r="N141" i="73"/>
  <c r="N133" i="73"/>
  <c r="AZ165" i="73"/>
  <c r="AZ157" i="73"/>
  <c r="AZ149" i="73"/>
  <c r="AH109" i="73"/>
  <c r="AH65" i="73"/>
  <c r="AH101" i="73"/>
  <c r="AH75" i="73"/>
  <c r="AH49" i="73"/>
  <c r="AH93" i="73"/>
  <c r="AH57" i="73"/>
  <c r="AH85" i="73"/>
  <c r="BR157" i="73"/>
  <c r="BR149" i="73"/>
  <c r="BR165" i="73"/>
  <c r="BA149" i="73"/>
  <c r="BA165" i="73"/>
  <c r="BA157" i="73"/>
  <c r="G244" i="77"/>
  <c r="M244" i="77"/>
  <c r="E244" i="77"/>
  <c r="F244" i="77"/>
  <c r="N244" i="77"/>
  <c r="BB133" i="73"/>
  <c r="BB125" i="73"/>
  <c r="BB141" i="73"/>
  <c r="N255" i="77"/>
  <c r="W255" i="77"/>
  <c r="AS255" i="77"/>
  <c r="AB255" i="77"/>
  <c r="G255" i="77"/>
  <c r="Z255" i="77"/>
  <c r="AT255" i="77"/>
  <c r="F255" i="77"/>
  <c r="X255" i="77"/>
  <c r="S255" i="77"/>
  <c r="AQ255" i="77"/>
  <c r="AA255" i="77"/>
  <c r="Q255" i="77"/>
  <c r="V255" i="77"/>
  <c r="P255" i="77"/>
  <c r="M255" i="77"/>
  <c r="AU255" i="77"/>
  <c r="E255" i="77"/>
  <c r="Y255" i="77"/>
  <c r="AR255" i="77"/>
  <c r="E134" i="9"/>
  <c r="E135" i="9" s="1"/>
  <c r="G134" i="9"/>
  <c r="G135" i="9" s="1"/>
  <c r="F134" i="9"/>
  <c r="F135" i="9" s="1"/>
  <c r="M229" i="77"/>
  <c r="N229" i="77"/>
  <c r="F229" i="77"/>
  <c r="E229" i="77"/>
  <c r="G229" i="77"/>
  <c r="O165" i="73"/>
  <c r="O157" i="73"/>
  <c r="O149" i="73"/>
  <c r="AA276" i="77"/>
  <c r="G276" i="77"/>
  <c r="AB276" i="77"/>
  <c r="M276" i="77"/>
  <c r="S276" i="77"/>
  <c r="N276" i="77"/>
  <c r="W276" i="77"/>
  <c r="Y276" i="77"/>
  <c r="V276" i="77"/>
  <c r="F276" i="77"/>
  <c r="S271" i="77"/>
  <c r="G271" i="77"/>
  <c r="AA271" i="77"/>
  <c r="V271" i="77"/>
  <c r="Y271" i="77"/>
  <c r="W271" i="77"/>
  <c r="F271" i="77"/>
  <c r="N271" i="77"/>
  <c r="M271" i="77"/>
  <c r="F259" i="77"/>
  <c r="S259" i="77"/>
  <c r="N259" i="77"/>
  <c r="G259" i="77"/>
  <c r="M259" i="77"/>
  <c r="AM13" i="65"/>
  <c r="AM21" i="65"/>
  <c r="E250" i="77"/>
  <c r="P250" i="77"/>
  <c r="Q250" i="77"/>
  <c r="G250" i="77"/>
  <c r="F250" i="77"/>
  <c r="N250" i="77"/>
  <c r="M250" i="77"/>
  <c r="S250" i="77"/>
  <c r="AJ161" i="83"/>
  <c r="AJ130" i="83"/>
  <c r="AJ92" i="83"/>
  <c r="AJ150" i="83"/>
  <c r="AJ35" i="83"/>
  <c r="AJ116" i="83"/>
  <c r="AN150" i="83"/>
  <c r="AN116" i="83"/>
  <c r="AN35" i="83"/>
  <c r="AN92" i="83"/>
  <c r="AN130" i="83"/>
  <c r="AN161" i="83"/>
  <c r="K125" i="73"/>
  <c r="K133" i="73"/>
  <c r="K141" i="73"/>
  <c r="AG34" i="71"/>
  <c r="AG63" i="71"/>
  <c r="F268" i="77"/>
  <c r="G268" i="77"/>
  <c r="V268" i="77"/>
  <c r="W268" i="77"/>
  <c r="N268" i="77"/>
  <c r="M268" i="77"/>
  <c r="AB268" i="77"/>
  <c r="S268" i="77"/>
  <c r="Y268" i="77"/>
  <c r="AA268" i="77"/>
  <c r="D7" i="2"/>
  <c r="AY4" i="8"/>
  <c r="AE132" i="9"/>
  <c r="AE23" i="9"/>
  <c r="AE5" i="9"/>
  <c r="AE11" i="9"/>
  <c r="AE34" i="9"/>
  <c r="AE48" i="9"/>
  <c r="AE56" i="9"/>
  <c r="AE38" i="9"/>
  <c r="AE63" i="9"/>
  <c r="N48" i="9"/>
  <c r="N56" i="9"/>
  <c r="L138" i="8" s="1"/>
  <c r="N63" i="9"/>
  <c r="N132" i="9"/>
  <c r="N11" i="9"/>
  <c r="N38" i="9"/>
  <c r="N34" i="9"/>
  <c r="N23" i="9"/>
  <c r="N5" i="9"/>
  <c r="AL13" i="30"/>
  <c r="AL20" i="30"/>
  <c r="W34" i="71"/>
  <c r="W63" i="71"/>
  <c r="I41" i="49"/>
  <c r="I23" i="49"/>
  <c r="Q37" i="52"/>
  <c r="Q21" i="52"/>
  <c r="T25" i="45"/>
  <c r="T15" i="45"/>
  <c r="S20" i="30"/>
  <c r="S13" i="30"/>
  <c r="O23" i="49"/>
  <c r="O41" i="49"/>
  <c r="AK13" i="65"/>
  <c r="AK21" i="65"/>
  <c r="AJ11" i="46"/>
  <c r="AJ17" i="46"/>
  <c r="AJ55" i="46"/>
  <c r="AJ81" i="46"/>
  <c r="AJ74" i="46"/>
  <c r="AJ68" i="46"/>
  <c r="AJ36" i="46"/>
  <c r="AJ24" i="46"/>
  <c r="AJ43" i="46"/>
  <c r="AJ30" i="46"/>
  <c r="AJ105" i="46"/>
  <c r="AJ62" i="46"/>
  <c r="AJ93" i="46"/>
  <c r="AJ49" i="46"/>
  <c r="AC10" i="29"/>
  <c r="AC15" i="29"/>
  <c r="AI55" i="46"/>
  <c r="AI36" i="46"/>
  <c r="AI81" i="46"/>
  <c r="AI93" i="46"/>
  <c r="AI30" i="46"/>
  <c r="AI11" i="46"/>
  <c r="AI68" i="46"/>
  <c r="AI105" i="46"/>
  <c r="AI49" i="46"/>
  <c r="AI74" i="46"/>
  <c r="AI17" i="46"/>
  <c r="AI62" i="46"/>
  <c r="AI43" i="46"/>
  <c r="AI24" i="46"/>
  <c r="N14" i="31"/>
  <c r="N23" i="31"/>
  <c r="W13" i="30"/>
  <c r="W20" i="30"/>
  <c r="X23" i="49"/>
  <c r="X41" i="49"/>
  <c r="Z19" i="53"/>
  <c r="Z12" i="53"/>
  <c r="N21" i="39"/>
  <c r="N11" i="39"/>
  <c r="AB10" i="29"/>
  <c r="AB15" i="29"/>
  <c r="AL11" i="9"/>
  <c r="AL34" i="9"/>
  <c r="AL5" i="9"/>
  <c r="AL23" i="9"/>
  <c r="AL56" i="9"/>
  <c r="AL132" i="9"/>
  <c r="AL48" i="9"/>
  <c r="AL63" i="9"/>
  <c r="AL38" i="9"/>
  <c r="AZ133" i="73"/>
  <c r="AZ125" i="73"/>
  <c r="AZ141" i="73"/>
  <c r="P17" i="59"/>
  <c r="P11" i="59"/>
  <c r="AJ25" i="45"/>
  <c r="AJ15" i="45"/>
  <c r="X11" i="59"/>
  <c r="X17" i="59"/>
  <c r="U14" i="31"/>
  <c r="U23" i="31"/>
  <c r="Y23" i="31"/>
  <c r="Y14" i="31"/>
  <c r="V21" i="52"/>
  <c r="V37" i="52"/>
  <c r="AC12" i="53"/>
  <c r="AC19" i="53"/>
  <c r="X14" i="31"/>
  <c r="X23" i="31"/>
  <c r="U13" i="30"/>
  <c r="U20" i="30"/>
  <c r="L17" i="59"/>
  <c r="L11" i="59"/>
  <c r="AJ133" i="73"/>
  <c r="AJ125" i="73"/>
  <c r="AJ141" i="73"/>
  <c r="AL11" i="39"/>
  <c r="AL21" i="39"/>
  <c r="AL33" i="39" s="1"/>
  <c r="AL15" i="45"/>
  <c r="AL25" i="45"/>
  <c r="O19" i="53"/>
  <c r="O12" i="53"/>
  <c r="V25" i="45"/>
  <c r="V15" i="45"/>
  <c r="S149" i="73"/>
  <c r="S157" i="73"/>
  <c r="S165" i="73"/>
  <c r="AG34" i="9"/>
  <c r="AG56" i="9"/>
  <c r="AG23" i="9"/>
  <c r="AG11" i="9"/>
  <c r="AG5" i="9"/>
  <c r="AG48" i="9"/>
  <c r="AG63" i="9"/>
  <c r="AG38" i="9"/>
  <c r="AG132" i="9"/>
  <c r="BC157" i="73"/>
  <c r="BC149" i="73"/>
  <c r="BC165" i="73"/>
  <c r="AI165" i="73"/>
  <c r="AI149" i="73"/>
  <c r="AI157" i="73"/>
  <c r="AB11" i="39"/>
  <c r="AB21" i="39"/>
  <c r="J48" i="9"/>
  <c r="J23" i="9"/>
  <c r="J63" i="9"/>
  <c r="J34" i="9"/>
  <c r="J5" i="9"/>
  <c r="J56" i="9"/>
  <c r="H138" i="8" s="1"/>
  <c r="J38" i="9"/>
  <c r="J132" i="9"/>
  <c r="J11" i="9"/>
  <c r="AK63" i="71"/>
  <c r="AK34" i="71"/>
  <c r="AD34" i="71"/>
  <c r="AD63" i="71"/>
  <c r="O23" i="31"/>
  <c r="O14" i="31"/>
  <c r="AA63" i="71"/>
  <c r="AA34" i="71"/>
  <c r="H21" i="52"/>
  <c r="H37" i="52"/>
  <c r="T23" i="31"/>
  <c r="T14" i="31"/>
  <c r="W5" i="9"/>
  <c r="W132" i="9"/>
  <c r="W56" i="9"/>
  <c r="W34" i="9"/>
  <c r="W63" i="9"/>
  <c r="W11" i="9"/>
  <c r="W48" i="9"/>
  <c r="W23" i="9"/>
  <c r="W38" i="9"/>
  <c r="K5" i="9"/>
  <c r="K63" i="9"/>
  <c r="K48" i="9"/>
  <c r="K38" i="9"/>
  <c r="K56" i="9"/>
  <c r="I138" i="8" s="1"/>
  <c r="K11" i="9"/>
  <c r="K132" i="9"/>
  <c r="K23" i="9"/>
  <c r="K34" i="9"/>
  <c r="W141" i="73"/>
  <c r="W133" i="73"/>
  <c r="W125" i="73"/>
  <c r="AB20" i="30"/>
  <c r="AB13" i="30"/>
  <c r="E56" i="9"/>
  <c r="C138" i="8" s="1"/>
  <c r="E132" i="9"/>
  <c r="E23" i="9"/>
  <c r="E34" i="9"/>
  <c r="E38" i="9"/>
  <c r="E63" i="9"/>
  <c r="E48" i="9"/>
  <c r="E11" i="9"/>
  <c r="E5" i="9"/>
  <c r="W37" i="52"/>
  <c r="W21" i="52"/>
  <c r="AK15" i="45"/>
  <c r="AK25" i="45"/>
  <c r="T11" i="59"/>
  <c r="T17" i="59"/>
  <c r="N149" i="73"/>
  <c r="N157" i="73"/>
  <c r="N165" i="73"/>
  <c r="AF93" i="73"/>
  <c r="AF75" i="73"/>
  <c r="AF65" i="73"/>
  <c r="AF57" i="73"/>
  <c r="AF49" i="73"/>
  <c r="AF109" i="73"/>
  <c r="AF85" i="73"/>
  <c r="AF101" i="73"/>
  <c r="J10" i="29"/>
  <c r="J15" i="29"/>
  <c r="BI125" i="73"/>
  <c r="BI133" i="73"/>
  <c r="BI141" i="73"/>
  <c r="P85" i="73"/>
  <c r="P65" i="73"/>
  <c r="P101" i="73"/>
  <c r="P109" i="73"/>
  <c r="P93" i="73"/>
  <c r="P49" i="73"/>
  <c r="P75" i="73"/>
  <c r="P57" i="73"/>
  <c r="K11" i="46"/>
  <c r="K17" i="46"/>
  <c r="AC23" i="31"/>
  <c r="AC14" i="31"/>
  <c r="AL57" i="73"/>
  <c r="AL85" i="73"/>
  <c r="AL93" i="73"/>
  <c r="AL49" i="73"/>
  <c r="AL109" i="73"/>
  <c r="AL101" i="73"/>
  <c r="AL75" i="73"/>
  <c r="AL65" i="73"/>
  <c r="AD141" i="73"/>
  <c r="AD125" i="73"/>
  <c r="AD133" i="73"/>
  <c r="H11" i="59"/>
  <c r="H17" i="59"/>
  <c r="W21" i="39"/>
  <c r="W11" i="39"/>
  <c r="AQ75" i="73"/>
  <c r="AQ49" i="73"/>
  <c r="AQ57" i="73"/>
  <c r="AQ65" i="73"/>
  <c r="AQ93" i="73"/>
  <c r="AQ101" i="73"/>
  <c r="AQ85" i="73"/>
  <c r="AQ109" i="73"/>
  <c r="V23" i="31"/>
  <c r="V14" i="31"/>
  <c r="X23" i="32"/>
  <c r="X14" i="32"/>
  <c r="AC15" i="45"/>
  <c r="AC25" i="45"/>
  <c r="AW149" i="73"/>
  <c r="AW157" i="73"/>
  <c r="AW165" i="73"/>
  <c r="T133" i="73"/>
  <c r="T125" i="73"/>
  <c r="T141" i="73"/>
  <c r="BM165" i="73"/>
  <c r="BM157" i="73"/>
  <c r="BM149" i="73"/>
  <c r="N267" i="77"/>
  <c r="F267" i="77"/>
  <c r="G267" i="77"/>
  <c r="AA267" i="77"/>
  <c r="M267" i="77"/>
  <c r="S267" i="77"/>
  <c r="AK165" i="73"/>
  <c r="AK149" i="73"/>
  <c r="AK157" i="73"/>
  <c r="AA15" i="29"/>
  <c r="AA10" i="29"/>
  <c r="J11" i="59"/>
  <c r="J17" i="59"/>
  <c r="AA92" i="83"/>
  <c r="AA35" i="83"/>
  <c r="AA116" i="83"/>
  <c r="AA130" i="83"/>
  <c r="AA161" i="83"/>
  <c r="AA150" i="83"/>
  <c r="U25" i="45"/>
  <c r="U15" i="45"/>
  <c r="F149" i="73"/>
  <c r="F165" i="73"/>
  <c r="F157" i="73"/>
  <c r="F238" i="77"/>
  <c r="E238" i="77"/>
  <c r="G238" i="77"/>
  <c r="N238" i="77"/>
  <c r="M238" i="77"/>
  <c r="BJ149" i="73"/>
  <c r="BJ157" i="73"/>
  <c r="BJ165" i="73"/>
  <c r="AD165" i="73"/>
  <c r="AD157" i="73"/>
  <c r="AD149" i="73"/>
  <c r="K13" i="65"/>
  <c r="K21" i="65"/>
  <c r="V165" i="73"/>
  <c r="V157" i="73"/>
  <c r="V149" i="73"/>
  <c r="AH157" i="73"/>
  <c r="AH149" i="73"/>
  <c r="AH165" i="73"/>
  <c r="Q149" i="73"/>
  <c r="Q165" i="73"/>
  <c r="Q157" i="73"/>
  <c r="G263" i="77"/>
  <c r="F263" i="77"/>
  <c r="M263" i="77"/>
  <c r="S263" i="77"/>
  <c r="N263" i="77"/>
  <c r="E17" i="46"/>
  <c r="E11" i="46"/>
  <c r="AS70" i="71"/>
  <c r="AM63" i="71"/>
  <c r="AM34" i="71"/>
  <c r="E15" i="45"/>
  <c r="E25" i="45"/>
  <c r="AS77" i="71"/>
  <c r="AK35" i="83"/>
  <c r="AK92" i="83"/>
  <c r="AK116" i="83"/>
  <c r="AK150" i="83"/>
  <c r="AK130" i="83"/>
  <c r="AK161" i="83"/>
  <c r="AN12" i="53"/>
  <c r="AN19" i="53"/>
  <c r="F15" i="45"/>
  <c r="F25" i="45"/>
  <c r="AN41" i="49"/>
  <c r="AN23" i="49"/>
  <c r="F280" i="77"/>
  <c r="S280" i="77"/>
  <c r="AB280" i="77"/>
  <c r="M280" i="77"/>
  <c r="Z280" i="77"/>
  <c r="Y280" i="77"/>
  <c r="G280" i="77"/>
  <c r="V280" i="77"/>
  <c r="X280" i="77"/>
  <c r="N280" i="77"/>
  <c r="AA280" i="77"/>
  <c r="W280" i="77"/>
  <c r="AN15" i="29"/>
  <c r="AN10" i="29"/>
  <c r="AS67" i="71"/>
  <c r="D41" i="12"/>
  <c r="D20" i="2"/>
  <c r="I11" i="46"/>
  <c r="I17" i="46"/>
  <c r="M14" i="31"/>
  <c r="M23" i="31"/>
  <c r="K14" i="32"/>
  <c r="K23" i="32"/>
  <c r="AF14" i="32"/>
  <c r="AF23" i="32"/>
  <c r="U55" i="46"/>
  <c r="U24" i="46"/>
  <c r="U30" i="46" s="1"/>
  <c r="U36" i="46" s="1"/>
  <c r="U105" i="46"/>
  <c r="U11" i="46"/>
  <c r="U74" i="46"/>
  <c r="U93" i="46"/>
  <c r="U43" i="46"/>
  <c r="U49" i="46"/>
  <c r="U68" i="46"/>
  <c r="U17" i="46"/>
  <c r="U81" i="46"/>
  <c r="U62" i="46"/>
  <c r="W23" i="31"/>
  <c r="W14" i="31"/>
  <c r="U23" i="32"/>
  <c r="U14" i="32"/>
  <c r="M68" i="46"/>
  <c r="M74" i="46"/>
  <c r="M49" i="46"/>
  <c r="M11" i="46"/>
  <c r="M55" i="46"/>
  <c r="M24" i="46"/>
  <c r="M30" i="46" s="1"/>
  <c r="M36" i="46" s="1"/>
  <c r="M17" i="46"/>
  <c r="M43" i="46"/>
  <c r="M62" i="46"/>
  <c r="AJ15" i="29"/>
  <c r="AJ10" i="29"/>
  <c r="AK10" i="29"/>
  <c r="AK15" i="29"/>
  <c r="AL12" i="53"/>
  <c r="AL19" i="53"/>
  <c r="S25" i="45"/>
  <c r="S15" i="45"/>
  <c r="AD25" i="45"/>
  <c r="AD15" i="45"/>
  <c r="S14" i="32"/>
  <c r="S23" i="32"/>
  <c r="U13" i="65"/>
  <c r="U21" i="65"/>
  <c r="AG23" i="49"/>
  <c r="AG41" i="49"/>
  <c r="Y21" i="65"/>
  <c r="Y13" i="65"/>
  <c r="AB23" i="32"/>
  <c r="AB14" i="32"/>
  <c r="AF25" i="45"/>
  <c r="AF15" i="45"/>
  <c r="X125" i="73"/>
  <c r="X133" i="73"/>
  <c r="X141" i="73"/>
  <c r="AF20" i="30"/>
  <c r="AF13" i="30"/>
  <c r="Q14" i="32"/>
  <c r="Q23" i="32"/>
  <c r="S41" i="49"/>
  <c r="S23" i="49"/>
  <c r="AI13" i="30"/>
  <c r="AI20" i="30"/>
  <c r="F11" i="59"/>
  <c r="F17" i="59"/>
  <c r="Q20" i="30"/>
  <c r="Q13" i="30"/>
  <c r="N15" i="29"/>
  <c r="N10" i="29"/>
  <c r="I11" i="59"/>
  <c r="I17" i="59"/>
  <c r="V55" i="46"/>
  <c r="V93" i="46"/>
  <c r="V11" i="46"/>
  <c r="V68" i="46"/>
  <c r="V24" i="46"/>
  <c r="V30" i="46" s="1"/>
  <c r="V36" i="46" s="1"/>
  <c r="V17" i="46"/>
  <c r="V105" i="46"/>
  <c r="V43" i="46"/>
  <c r="V74" i="46"/>
  <c r="V49" i="46"/>
  <c r="V62" i="46"/>
  <c r="V81" i="46"/>
  <c r="J21" i="52"/>
  <c r="J37" i="52"/>
  <c r="AH25" i="45"/>
  <c r="AH15" i="45"/>
  <c r="K15" i="29"/>
  <c r="K10" i="29"/>
  <c r="H21" i="65"/>
  <c r="H13" i="65"/>
  <c r="AE116" i="83"/>
  <c r="AE92" i="83"/>
  <c r="AE130" i="83"/>
  <c r="AE150" i="83"/>
  <c r="AE35" i="83"/>
  <c r="AE161" i="83"/>
  <c r="W23" i="49"/>
  <c r="W41" i="49"/>
  <c r="V11" i="39"/>
  <c r="V21" i="39"/>
  <c r="AK37" i="52"/>
  <c r="AK21" i="52"/>
  <c r="V21" i="65"/>
  <c r="V13" i="65"/>
  <c r="J23" i="32"/>
  <c r="J14" i="32"/>
  <c r="R14" i="32"/>
  <c r="R23" i="32"/>
  <c r="M125" i="73"/>
  <c r="M141" i="73"/>
  <c r="M133" i="73"/>
  <c r="V56" i="9"/>
  <c r="T115" i="8" s="1"/>
  <c r="V48" i="9"/>
  <c r="V38" i="9"/>
  <c r="V5" i="9"/>
  <c r="V23" i="9"/>
  <c r="V132" i="9"/>
  <c r="V34" i="9"/>
  <c r="V11" i="9"/>
  <c r="V63" i="9"/>
  <c r="R23" i="31"/>
  <c r="R14" i="31"/>
  <c r="AB157" i="73"/>
  <c r="AB149" i="73"/>
  <c r="AB165" i="73"/>
  <c r="K11" i="39"/>
  <c r="K21" i="39"/>
  <c r="T19" i="53"/>
  <c r="T12" i="53"/>
  <c r="Q15" i="29"/>
  <c r="Q10" i="29"/>
  <c r="N13" i="30"/>
  <c r="N20" i="30"/>
  <c r="AE23" i="49"/>
  <c r="AE41" i="49"/>
  <c r="G232" i="77"/>
  <c r="F232" i="77"/>
  <c r="N232" i="77"/>
  <c r="E232" i="77"/>
  <c r="M232" i="77"/>
  <c r="AC21" i="52"/>
  <c r="AC37" i="52"/>
  <c r="Q133" i="73"/>
  <c r="Q125" i="73"/>
  <c r="Q141" i="73"/>
  <c r="R11" i="59"/>
  <c r="R17" i="59"/>
  <c r="J157" i="73"/>
  <c r="J149" i="73"/>
  <c r="J165" i="73"/>
  <c r="AW133" i="73"/>
  <c r="AW141" i="73"/>
  <c r="AW125" i="73"/>
  <c r="H11" i="39"/>
  <c r="H21" i="39"/>
  <c r="AQ29" i="67"/>
  <c r="O93" i="73"/>
  <c r="O65" i="73"/>
  <c r="O109" i="73"/>
  <c r="O57" i="73"/>
  <c r="O101" i="73"/>
  <c r="O75" i="73"/>
  <c r="O49" i="73"/>
  <c r="O85" i="73"/>
  <c r="AN85" i="73"/>
  <c r="AN75" i="73"/>
  <c r="AN49" i="73"/>
  <c r="AN93" i="73"/>
  <c r="AN65" i="73"/>
  <c r="AN57" i="73"/>
  <c r="AN109" i="73"/>
  <c r="AN101" i="73"/>
  <c r="AD49" i="73"/>
  <c r="AD101" i="73"/>
  <c r="AD75" i="73"/>
  <c r="AD93" i="73"/>
  <c r="AD85" i="73"/>
  <c r="AD65" i="73"/>
  <c r="AD109" i="73"/>
  <c r="AD57" i="73"/>
  <c r="AC21" i="65"/>
  <c r="AC13" i="65"/>
  <c r="F37" i="52"/>
  <c r="F21" i="52"/>
  <c r="U141" i="73"/>
  <c r="U125" i="73"/>
  <c r="U133" i="73"/>
  <c r="G226" i="77"/>
  <c r="F226" i="77"/>
  <c r="E226" i="77"/>
  <c r="M226" i="77"/>
  <c r="N226" i="77"/>
  <c r="AV141" i="73"/>
  <c r="AV125" i="73"/>
  <c r="AV133" i="73"/>
  <c r="G246" i="77"/>
  <c r="M246" i="77"/>
  <c r="P246" i="77"/>
  <c r="Q246" i="77"/>
  <c r="N246" i="77"/>
  <c r="F246" i="77"/>
  <c r="E246" i="77"/>
  <c r="G243" i="77"/>
  <c r="E243" i="77"/>
  <c r="F243" i="77"/>
  <c r="M243" i="77"/>
  <c r="N243" i="77"/>
  <c r="H23" i="49"/>
  <c r="H41" i="49"/>
  <c r="V125" i="73"/>
  <c r="V133" i="73"/>
  <c r="V141" i="73"/>
  <c r="AB272" i="77"/>
  <c r="G272" i="77"/>
  <c r="W272" i="77"/>
  <c r="M272" i="77"/>
  <c r="N272" i="77"/>
  <c r="F272" i="77"/>
  <c r="V272" i="77"/>
  <c r="AA272" i="77"/>
  <c r="Y272" i="77"/>
  <c r="S272" i="77"/>
  <c r="BP157" i="73"/>
  <c r="BP149" i="73"/>
  <c r="BP165" i="73"/>
  <c r="T14" i="32"/>
  <c r="T23" i="32"/>
  <c r="H85" i="73"/>
  <c r="H101" i="73"/>
  <c r="H93" i="73"/>
  <c r="H65" i="73"/>
  <c r="H75" i="73"/>
  <c r="H109" i="73"/>
  <c r="H57" i="73"/>
  <c r="H49" i="73"/>
  <c r="Z141" i="73"/>
  <c r="Z125" i="73"/>
  <c r="Z133" i="73"/>
  <c r="E224" i="77"/>
  <c r="N224" i="77"/>
  <c r="M224" i="77"/>
  <c r="F224" i="77"/>
  <c r="G224" i="77"/>
  <c r="BN157" i="73"/>
  <c r="BN149" i="73"/>
  <c r="BN165" i="73"/>
  <c r="AM37" i="52"/>
  <c r="AM21" i="52"/>
  <c r="E14" i="32"/>
  <c r="E23" i="32"/>
  <c r="AN14" i="31"/>
  <c r="AN23" i="31"/>
  <c r="AL21" i="52"/>
  <c r="AL37" i="52"/>
  <c r="E19" i="53"/>
  <c r="E12" i="53"/>
  <c r="AG92" i="83"/>
  <c r="AG116" i="83"/>
  <c r="AG150" i="83"/>
  <c r="AG130" i="83"/>
  <c r="AG161" i="83"/>
  <c r="AG35" i="83"/>
  <c r="D11" i="12"/>
  <c r="D17" i="2"/>
  <c r="D13" i="12"/>
  <c r="D11" i="2"/>
  <c r="F12" i="53"/>
  <c r="F19" i="53"/>
  <c r="T74" i="46"/>
  <c r="T55" i="46"/>
  <c r="T11" i="46"/>
  <c r="T62" i="46"/>
  <c r="T49" i="46"/>
  <c r="T43" i="46"/>
  <c r="T68" i="46"/>
  <c r="T24" i="46"/>
  <c r="T30" i="46" s="1"/>
  <c r="T36" i="46" s="1"/>
  <c r="T17" i="46"/>
  <c r="V41" i="49"/>
  <c r="V23" i="49"/>
  <c r="V34" i="71"/>
  <c r="V63" i="71"/>
  <c r="Y23" i="49"/>
  <c r="Y41" i="49"/>
  <c r="AI23" i="32"/>
  <c r="AI14" i="32"/>
  <c r="V20" i="30"/>
  <c r="V13" i="30"/>
  <c r="AK20" i="30"/>
  <c r="AK13" i="30"/>
  <c r="F75" i="73"/>
  <c r="F101" i="73"/>
  <c r="F65" i="73"/>
  <c r="F57" i="73"/>
  <c r="F109" i="73"/>
  <c r="F49" i="73"/>
  <c r="F93" i="73"/>
  <c r="F85" i="73"/>
  <c r="AD132" i="9"/>
  <c r="AD23" i="9"/>
  <c r="AD34" i="9"/>
  <c r="AD48" i="9"/>
  <c r="AD11" i="9"/>
  <c r="AD56" i="9"/>
  <c r="AD63" i="9"/>
  <c r="AD38" i="9"/>
  <c r="AD5" i="9"/>
  <c r="R41" i="49"/>
  <c r="R23" i="49"/>
  <c r="X19" i="53"/>
  <c r="X12" i="53"/>
  <c r="U149" i="73"/>
  <c r="U165" i="73"/>
  <c r="U157" i="73"/>
  <c r="I14" i="31"/>
  <c r="I23" i="31"/>
  <c r="BC141" i="73"/>
  <c r="BC133" i="73"/>
  <c r="BC125" i="73"/>
  <c r="AD62" i="46"/>
  <c r="AD49" i="46"/>
  <c r="AD81" i="46"/>
  <c r="AD17" i="46"/>
  <c r="AD24" i="46"/>
  <c r="AD30" i="46" s="1"/>
  <c r="AD36" i="46" s="1"/>
  <c r="AD74" i="46"/>
  <c r="AD93" i="46"/>
  <c r="AD55" i="46"/>
  <c r="AD105" i="46"/>
  <c r="AD68" i="46"/>
  <c r="AD43" i="46"/>
  <c r="AD11" i="46"/>
  <c r="P133" i="73"/>
  <c r="P141" i="73"/>
  <c r="P125" i="73"/>
  <c r="D8" i="2"/>
  <c r="S10" i="29"/>
  <c r="S15" i="29"/>
  <c r="X63" i="71"/>
  <c r="X34" i="71"/>
  <c r="AE93" i="73"/>
  <c r="AE49" i="73"/>
  <c r="AE65" i="73"/>
  <c r="AE85" i="73"/>
  <c r="AE75" i="73"/>
  <c r="AE57" i="73"/>
  <c r="AE101" i="73"/>
  <c r="AE109" i="73"/>
  <c r="O14" i="32"/>
  <c r="O23" i="32"/>
  <c r="AA105" i="46"/>
  <c r="AA62" i="46"/>
  <c r="AA24" i="46"/>
  <c r="AA30" i="46" s="1"/>
  <c r="AA36" i="46" s="1"/>
  <c r="AA68" i="46"/>
  <c r="AA17" i="46"/>
  <c r="AA55" i="46"/>
  <c r="AA43" i="46"/>
  <c r="AA49" i="46"/>
  <c r="AA93" i="46"/>
  <c r="AA11" i="46"/>
  <c r="AA81" i="46"/>
  <c r="AA74" i="46"/>
  <c r="AL34" i="71"/>
  <c r="AL63" i="71"/>
  <c r="AI12" i="53"/>
  <c r="AI19" i="53"/>
  <c r="AD12" i="53"/>
  <c r="AD19" i="53"/>
  <c r="P130" i="83"/>
  <c r="P161" i="83"/>
  <c r="P150" i="83"/>
  <c r="P92" i="83"/>
  <c r="P116" i="83"/>
  <c r="P35" i="83"/>
  <c r="K37" i="52"/>
  <c r="K21" i="52"/>
  <c r="Y12" i="53"/>
  <c r="Y19" i="53"/>
  <c r="M11" i="59"/>
  <c r="M17" i="59"/>
  <c r="AQ33" i="67"/>
  <c r="M14" i="32"/>
  <c r="M23" i="32"/>
  <c r="Z13" i="30"/>
  <c r="Z20" i="30"/>
  <c r="T132" i="9"/>
  <c r="T48" i="9"/>
  <c r="T56" i="9"/>
  <c r="R138" i="8" s="1"/>
  <c r="T23" i="9"/>
  <c r="T34" i="9"/>
  <c r="T63" i="9"/>
  <c r="T5" i="9"/>
  <c r="T11" i="9"/>
  <c r="T38" i="9"/>
  <c r="L37" i="52"/>
  <c r="L21" i="52"/>
  <c r="AH43" i="46"/>
  <c r="AH68" i="46"/>
  <c r="AH62" i="46"/>
  <c r="AH81" i="46"/>
  <c r="AH24" i="46"/>
  <c r="AH30" i="46" s="1"/>
  <c r="AH36" i="46" s="1"/>
  <c r="AH11" i="46"/>
  <c r="AH74" i="46"/>
  <c r="AH49" i="46"/>
  <c r="AH17" i="46"/>
  <c r="AH55" i="46"/>
  <c r="AH105" i="46"/>
  <c r="AH93" i="46"/>
  <c r="O20" i="30"/>
  <c r="O13" i="30"/>
  <c r="G157" i="73"/>
  <c r="G149" i="73"/>
  <c r="G165" i="73"/>
  <c r="X34" i="9"/>
  <c r="X5" i="9"/>
  <c r="X56" i="9"/>
  <c r="V138" i="8" s="1"/>
  <c r="X23" i="9"/>
  <c r="X63" i="9"/>
  <c r="X48" i="9"/>
  <c r="X132" i="9"/>
  <c r="X11" i="9"/>
  <c r="X38" i="9"/>
  <c r="AK48" i="9"/>
  <c r="AK38" i="9"/>
  <c r="AK132" i="9"/>
  <c r="AK11" i="9"/>
  <c r="AK23" i="9"/>
  <c r="AK56" i="9"/>
  <c r="AK63" i="9"/>
  <c r="AK5" i="9"/>
  <c r="AK34" i="9"/>
  <c r="AI37" i="52"/>
  <c r="AI21" i="52"/>
  <c r="R150" i="83"/>
  <c r="R161" i="83"/>
  <c r="R92" i="83"/>
  <c r="R35" i="83"/>
  <c r="R116" i="83"/>
  <c r="R130" i="83"/>
  <c r="AH10" i="29"/>
  <c r="AH15" i="29"/>
  <c r="Z116" i="83"/>
  <c r="Z92" i="83"/>
  <c r="Z161" i="83"/>
  <c r="Z130" i="83"/>
  <c r="Z150" i="83"/>
  <c r="Z35" i="83"/>
  <c r="AA15" i="45"/>
  <c r="AA25" i="45"/>
  <c r="N21" i="52"/>
  <c r="N37" i="52"/>
  <c r="V15" i="29"/>
  <c r="V10" i="29"/>
  <c r="N11" i="59"/>
  <c r="N17" i="59"/>
  <c r="G65" i="73"/>
  <c r="G85" i="73"/>
  <c r="G93" i="73"/>
  <c r="G57" i="73"/>
  <c r="G101" i="73"/>
  <c r="G109" i="73"/>
  <c r="G49" i="73"/>
  <c r="G75" i="73"/>
  <c r="AA63" i="9"/>
  <c r="AA48" i="9"/>
  <c r="AA23" i="9"/>
  <c r="AA132" i="9"/>
  <c r="AA38" i="9"/>
  <c r="AA56" i="9"/>
  <c r="AA5" i="9"/>
  <c r="AA11" i="9"/>
  <c r="AA34" i="9"/>
  <c r="S17" i="59"/>
  <c r="S11" i="59"/>
  <c r="Y25" i="45"/>
  <c r="Y15" i="45"/>
  <c r="J12" i="53"/>
  <c r="J19" i="53"/>
  <c r="F23" i="32"/>
  <c r="F14" i="32"/>
  <c r="AC63" i="9"/>
  <c r="AC23" i="9"/>
  <c r="AC48" i="9"/>
  <c r="AC38" i="9"/>
  <c r="AC34" i="9"/>
  <c r="AC11" i="9"/>
  <c r="AC5" i="9"/>
  <c r="AC56" i="9"/>
  <c r="AC132" i="9"/>
  <c r="X74" i="46"/>
  <c r="X55" i="46"/>
  <c r="X62" i="46"/>
  <c r="X93" i="46"/>
  <c r="X68" i="46"/>
  <c r="X24" i="46"/>
  <c r="X30" i="46" s="1"/>
  <c r="X36" i="46" s="1"/>
  <c r="X81" i="46"/>
  <c r="X105" i="46"/>
  <c r="X17" i="46"/>
  <c r="X43" i="46"/>
  <c r="X11" i="46"/>
  <c r="X49" i="46"/>
  <c r="T13" i="65"/>
  <c r="T21" i="65"/>
  <c r="P14" i="32"/>
  <c r="P23" i="32"/>
  <c r="AK19" i="53"/>
  <c r="AK12" i="53"/>
  <c r="O141" i="73"/>
  <c r="O125" i="73"/>
  <c r="O133" i="73"/>
  <c r="H63" i="71"/>
  <c r="H34" i="71"/>
  <c r="AS133" i="73"/>
  <c r="AS125" i="73"/>
  <c r="AS141" i="73"/>
  <c r="Y132" i="9"/>
  <c r="Y11" i="9"/>
  <c r="Y23" i="9"/>
  <c r="Y63" i="9"/>
  <c r="Y56" i="9"/>
  <c r="Y34" i="9"/>
  <c r="Y38" i="9"/>
  <c r="Y48" i="9"/>
  <c r="Y5" i="9"/>
  <c r="AM55" i="46"/>
  <c r="AM17" i="46"/>
  <c r="AM30" i="46"/>
  <c r="AM81" i="46"/>
  <c r="AM43" i="46"/>
  <c r="AM74" i="46"/>
  <c r="AM11" i="46"/>
  <c r="AM93" i="46"/>
  <c r="AM36" i="46"/>
  <c r="AM24" i="46"/>
  <c r="AM49" i="46"/>
  <c r="AM62" i="46"/>
  <c r="AM68" i="46"/>
  <c r="AM105" i="46"/>
  <c r="S34" i="71"/>
  <c r="S63" i="71"/>
  <c r="Z11" i="9"/>
  <c r="Z63" i="9"/>
  <c r="Z56" i="9"/>
  <c r="Z23" i="9"/>
  <c r="Z48" i="9"/>
  <c r="Z5" i="9"/>
  <c r="Z38" i="9"/>
  <c r="Z34" i="9"/>
  <c r="Z132" i="9"/>
  <c r="AJ20" i="30"/>
  <c r="AJ13" i="30"/>
  <c r="Z14" i="31"/>
  <c r="Z23" i="31"/>
  <c r="AA23" i="31"/>
  <c r="AA14" i="31"/>
  <c r="BK165" i="73"/>
  <c r="BK157" i="73"/>
  <c r="BK149" i="73"/>
  <c r="I21" i="65"/>
  <c r="I13" i="65"/>
  <c r="AL23" i="31"/>
  <c r="AL14" i="31"/>
  <c r="S19" i="53"/>
  <c r="S12" i="53"/>
  <c r="T165" i="73"/>
  <c r="T149" i="73"/>
  <c r="T157" i="73"/>
  <c r="BG125" i="73"/>
  <c r="BG133" i="73"/>
  <c r="BG141" i="73"/>
  <c r="F125" i="73"/>
  <c r="F133" i="73"/>
  <c r="F141" i="73"/>
  <c r="Q19" i="53"/>
  <c r="Q12" i="53"/>
  <c r="L14" i="32"/>
  <c r="L23" i="32"/>
  <c r="AD37" i="52"/>
  <c r="AD21" i="52"/>
  <c r="Z23" i="49"/>
  <c r="Z41" i="49"/>
  <c r="H6" i="34"/>
  <c r="N6" i="34" s="1"/>
  <c r="T6" i="34" s="1"/>
  <c r="Z6" i="34" s="1"/>
  <c r="AF6" i="34" s="1"/>
  <c r="AL6" i="34" s="1"/>
  <c r="AR6" i="34" s="1"/>
  <c r="BA6" i="34" s="1"/>
  <c r="K6" i="34"/>
  <c r="Q6" i="34" s="1"/>
  <c r="W6" i="34" s="1"/>
  <c r="AC6" i="34" s="1"/>
  <c r="AI6" i="34" s="1"/>
  <c r="AO6" i="34" s="1"/>
  <c r="Q13" i="65"/>
  <c r="Q21" i="65"/>
  <c r="AX157" i="73"/>
  <c r="AX149" i="73"/>
  <c r="AX165" i="73"/>
  <c r="AB25" i="45"/>
  <c r="AB15" i="45"/>
  <c r="I125" i="73"/>
  <c r="I133" i="73"/>
  <c r="I141" i="73"/>
  <c r="AQ149" i="73"/>
  <c r="AQ165" i="73"/>
  <c r="AQ157" i="73"/>
  <c r="AF105" i="46"/>
  <c r="AF62" i="46"/>
  <c r="AF68" i="46"/>
  <c r="AF49" i="46"/>
  <c r="AF43" i="46"/>
  <c r="AF74" i="46"/>
  <c r="AF81" i="46"/>
  <c r="AF11" i="46"/>
  <c r="AF55" i="46"/>
  <c r="AF17" i="46"/>
  <c r="AF24" i="46"/>
  <c r="AF30" i="46" s="1"/>
  <c r="AF36" i="46" s="1"/>
  <c r="AF93" i="46"/>
  <c r="Q41" i="49"/>
  <c r="Q23" i="49"/>
  <c r="AT101" i="73"/>
  <c r="AT75" i="73"/>
  <c r="AT49" i="73"/>
  <c r="AT109" i="73"/>
  <c r="AT57" i="73"/>
  <c r="AT85" i="73"/>
  <c r="AT93" i="73"/>
  <c r="AT65" i="73"/>
  <c r="Y57" i="73"/>
  <c r="Y101" i="73"/>
  <c r="Y49" i="73"/>
  <c r="Y65" i="73"/>
  <c r="Y75" i="73"/>
  <c r="Y93" i="73"/>
  <c r="Y109" i="73"/>
  <c r="Y85" i="73"/>
  <c r="AY165" i="73"/>
  <c r="AY149" i="73"/>
  <c r="AY157" i="73"/>
  <c r="BB157" i="73"/>
  <c r="BB165" i="73"/>
  <c r="BB149" i="73"/>
  <c r="G241" i="77"/>
  <c r="N241" i="77"/>
  <c r="E241" i="77"/>
  <c r="F241" i="77"/>
  <c r="M241" i="77"/>
  <c r="V109" i="73"/>
  <c r="V49" i="73"/>
  <c r="V101" i="73"/>
  <c r="V65" i="73"/>
  <c r="V85" i="73"/>
  <c r="V57" i="73"/>
  <c r="V75" i="73"/>
  <c r="V93" i="73"/>
  <c r="G15" i="29"/>
  <c r="G10" i="29"/>
  <c r="AE13" i="65"/>
  <c r="AE21" i="65"/>
  <c r="E92" i="83"/>
  <c r="E116" i="83"/>
  <c r="E161" i="83"/>
  <c r="E35" i="83"/>
  <c r="E150" i="83"/>
  <c r="E130" i="83"/>
  <c r="G239" i="77"/>
  <c r="F239" i="77"/>
  <c r="N239" i="77"/>
  <c r="M239" i="77"/>
  <c r="E239" i="77"/>
  <c r="T21" i="39"/>
  <c r="T11" i="39"/>
  <c r="BL157" i="73"/>
  <c r="BL149" i="73"/>
  <c r="BL165" i="73"/>
  <c r="BG157" i="73"/>
  <c r="BG165" i="73"/>
  <c r="BG149" i="73"/>
  <c r="AP109" i="73"/>
  <c r="AP101" i="73"/>
  <c r="AP65" i="73"/>
  <c r="AP49" i="73"/>
  <c r="AP93" i="73"/>
  <c r="AP85" i="73"/>
  <c r="AP75" i="73"/>
  <c r="AP57" i="73"/>
  <c r="AQ9" i="67"/>
  <c r="T57" i="73"/>
  <c r="T85" i="73"/>
  <c r="T101" i="73"/>
  <c r="T93" i="73"/>
  <c r="T65" i="73"/>
  <c r="T49" i="73"/>
  <c r="T109" i="73"/>
  <c r="T75" i="73"/>
  <c r="N249" i="77"/>
  <c r="S249" i="77"/>
  <c r="E249" i="77"/>
  <c r="Q249" i="77"/>
  <c r="G249" i="77"/>
  <c r="F249" i="77"/>
  <c r="M249" i="77"/>
  <c r="P249" i="77"/>
  <c r="E23" i="49"/>
  <c r="E41" i="49"/>
  <c r="E21" i="39"/>
  <c r="E11" i="39"/>
  <c r="AB252" i="77"/>
  <c r="Y252" i="77"/>
  <c r="E252" i="77"/>
  <c r="AA252" i="77"/>
  <c r="Q252" i="77"/>
  <c r="M252" i="77"/>
  <c r="V252" i="77"/>
  <c r="AR252" i="77"/>
  <c r="AQ252" i="77"/>
  <c r="AS252" i="77"/>
  <c r="W252" i="77"/>
  <c r="N252" i="77"/>
  <c r="S252" i="77"/>
  <c r="X252" i="77"/>
  <c r="AU252" i="77"/>
  <c r="Z252" i="77"/>
  <c r="G252" i="77"/>
  <c r="F252" i="77"/>
  <c r="P252" i="77"/>
  <c r="AT252" i="77"/>
  <c r="W275" i="77"/>
  <c r="AA275" i="77"/>
  <c r="M275" i="77"/>
  <c r="S275" i="77"/>
  <c r="G275" i="77"/>
  <c r="N275" i="77"/>
  <c r="AB275" i="77"/>
  <c r="Z275" i="77"/>
  <c r="F275" i="77"/>
  <c r="X275" i="77"/>
  <c r="V275" i="77"/>
  <c r="Y275" i="77"/>
  <c r="G264" i="77"/>
  <c r="N264" i="77"/>
  <c r="S264" i="77"/>
  <c r="M264" i="77"/>
  <c r="F264" i="77"/>
  <c r="AS79" i="71"/>
  <c r="AS82" i="71"/>
  <c r="AS69" i="71"/>
  <c r="AF161" i="83"/>
  <c r="AF150" i="83"/>
  <c r="AF35" i="83"/>
  <c r="AF130" i="83"/>
  <c r="AF92" i="83"/>
  <c r="AF116" i="83"/>
  <c r="F281" i="77"/>
  <c r="N281" i="77"/>
  <c r="X281" i="77"/>
  <c r="Y281" i="77"/>
  <c r="S281" i="77"/>
  <c r="M281" i="77"/>
  <c r="V281" i="77"/>
  <c r="Z281" i="77"/>
  <c r="W281" i="77"/>
  <c r="AB281" i="77"/>
  <c r="AA281" i="77"/>
  <c r="G281" i="77"/>
  <c r="AM19" i="53"/>
  <c r="AM12" i="53"/>
  <c r="AS85" i="71"/>
  <c r="AB23" i="49"/>
  <c r="AB41" i="49"/>
  <c r="N279" i="77"/>
  <c r="G279" i="77"/>
  <c r="AA279" i="77"/>
  <c r="W279" i="77"/>
  <c r="M279" i="77"/>
  <c r="AB279" i="77"/>
  <c r="F279" i="77"/>
  <c r="Y279" i="77"/>
  <c r="S279" i="77"/>
  <c r="V279" i="77"/>
  <c r="AM21" i="39"/>
  <c r="AM33" i="39" s="1"/>
  <c r="AM11" i="39"/>
  <c r="V35" i="83"/>
  <c r="V92" i="83"/>
  <c r="V161" i="83"/>
  <c r="V150" i="83"/>
  <c r="V116" i="83"/>
  <c r="V130" i="83"/>
  <c r="AF15" i="29"/>
  <c r="AF10" i="29"/>
  <c r="I10" i="29"/>
  <c r="I15" i="29"/>
  <c r="M13" i="65"/>
  <c r="M21" i="65"/>
  <c r="Y11" i="39"/>
  <c r="Y21" i="39"/>
  <c r="M150" i="83"/>
  <c r="M130" i="83"/>
  <c r="M116" i="83"/>
  <c r="M161" i="83"/>
  <c r="M35" i="83"/>
  <c r="M92" i="83"/>
  <c r="O10" i="29"/>
  <c r="O15" i="29"/>
  <c r="R157" i="73"/>
  <c r="R165" i="73"/>
  <c r="R149" i="73"/>
  <c r="AD14" i="32"/>
  <c r="AD23" i="32"/>
  <c r="S266" i="77"/>
  <c r="G266" i="77"/>
  <c r="N266" i="77"/>
  <c r="M266" i="77"/>
  <c r="F266" i="77"/>
  <c r="BF125" i="73"/>
  <c r="BF141" i="73"/>
  <c r="BF133" i="73"/>
  <c r="AD23" i="31"/>
  <c r="AD14" i="31"/>
  <c r="Q65" i="73"/>
  <c r="Q101" i="73"/>
  <c r="Q49" i="73"/>
  <c r="Q57" i="73"/>
  <c r="Q109" i="73"/>
  <c r="Q93" i="73"/>
  <c r="Q75" i="73"/>
  <c r="Q85" i="73"/>
  <c r="AA19" i="53"/>
  <c r="AA12" i="53"/>
  <c r="AG15" i="29"/>
  <c r="AG10" i="29"/>
  <c r="Q25" i="45"/>
  <c r="Q15" i="45"/>
  <c r="G63" i="71"/>
  <c r="G34" i="71"/>
  <c r="L10" i="29"/>
  <c r="L15" i="29"/>
  <c r="K13" i="30"/>
  <c r="K20" i="30"/>
  <c r="AI41" i="49"/>
  <c r="AI23" i="49"/>
  <c r="AI125" i="73"/>
  <c r="AI133" i="73"/>
  <c r="AI141" i="73"/>
  <c r="L21" i="65"/>
  <c r="L13" i="65"/>
  <c r="F10" i="29"/>
  <c r="F15" i="29"/>
  <c r="H15" i="29"/>
  <c r="H10" i="29"/>
  <c r="E157" i="73"/>
  <c r="E149" i="73"/>
  <c r="E165" i="73"/>
  <c r="AA21" i="65"/>
  <c r="AA13" i="65"/>
  <c r="P20" i="30"/>
  <c r="P13" i="30"/>
  <c r="Z15" i="45"/>
  <c r="Z25" i="45"/>
  <c r="G17" i="46"/>
  <c r="G11" i="46"/>
  <c r="AE11" i="39"/>
  <c r="AE21" i="39"/>
  <c r="R11" i="9"/>
  <c r="R48" i="9"/>
  <c r="R23" i="9"/>
  <c r="R5" i="9"/>
  <c r="R132" i="9"/>
  <c r="R56" i="9"/>
  <c r="P138" i="8" s="1"/>
  <c r="R38" i="9"/>
  <c r="R63" i="9"/>
  <c r="R34" i="9"/>
  <c r="V11" i="59"/>
  <c r="V17" i="59"/>
  <c r="M34" i="9"/>
  <c r="M48" i="9"/>
  <c r="M11" i="9"/>
  <c r="M23" i="9"/>
  <c r="M38" i="9"/>
  <c r="M56" i="9"/>
  <c r="K138" i="8" s="1"/>
  <c r="M63" i="9"/>
  <c r="M5" i="9"/>
  <c r="M132" i="9"/>
  <c r="O11" i="39"/>
  <c r="O21" i="39"/>
  <c r="P12" i="53"/>
  <c r="P19" i="53"/>
  <c r="F13" i="65"/>
  <c r="F21" i="65"/>
  <c r="AG23" i="31"/>
  <c r="AG14" i="31"/>
  <c r="G12" i="53"/>
  <c r="G19" i="53"/>
  <c r="Y21" i="52"/>
  <c r="Y37" i="52"/>
  <c r="AL14" i="32"/>
  <c r="AL23" i="32"/>
  <c r="R10" i="29"/>
  <c r="R15" i="29"/>
  <c r="O17" i="59"/>
  <c r="O11" i="59"/>
  <c r="AD150" i="83"/>
  <c r="AD92" i="83"/>
  <c r="AD161" i="83"/>
  <c r="AD35" i="83"/>
  <c r="AD130" i="83"/>
  <c r="AD116" i="83"/>
  <c r="AB55" i="46"/>
  <c r="AB105" i="46"/>
  <c r="AB43" i="46"/>
  <c r="AB24" i="46"/>
  <c r="AB30" i="46" s="1"/>
  <c r="AB36" i="46" s="1"/>
  <c r="AB81" i="46"/>
  <c r="AB11" i="46"/>
  <c r="AB93" i="46"/>
  <c r="AB62" i="46"/>
  <c r="AB49" i="46"/>
  <c r="AB68" i="46"/>
  <c r="AB74" i="46"/>
  <c r="AB17" i="46"/>
  <c r="AE20" i="30"/>
  <c r="AE13" i="30"/>
  <c r="L23" i="31"/>
  <c r="L14" i="31"/>
  <c r="AL15" i="29"/>
  <c r="AL10" i="29"/>
  <c r="L75" i="73"/>
  <c r="L85" i="73"/>
  <c r="L49" i="73"/>
  <c r="L93" i="73"/>
  <c r="L65" i="73"/>
  <c r="L101" i="73"/>
  <c r="L109" i="73"/>
  <c r="L57" i="73"/>
  <c r="Z23" i="32"/>
  <c r="Z14" i="32"/>
  <c r="J14" i="31"/>
  <c r="J23" i="31"/>
  <c r="G56" i="9"/>
  <c r="E138" i="8" s="1"/>
  <c r="G132" i="9"/>
  <c r="G63" i="9"/>
  <c r="G11" i="9"/>
  <c r="G34" i="9"/>
  <c r="G5" i="9"/>
  <c r="G48" i="9"/>
  <c r="G23" i="9"/>
  <c r="G38" i="9"/>
  <c r="W43" i="46"/>
  <c r="W49" i="46"/>
  <c r="W11" i="46"/>
  <c r="W81" i="46"/>
  <c r="W68" i="46"/>
  <c r="W24" i="46"/>
  <c r="W30" i="46" s="1"/>
  <c r="W36" i="46" s="1"/>
  <c r="W93" i="46"/>
  <c r="W17" i="46"/>
  <c r="W105" i="46"/>
  <c r="W62" i="46"/>
  <c r="W55" i="46"/>
  <c r="W74" i="46"/>
  <c r="F150" i="83"/>
  <c r="F92" i="83"/>
  <c r="F116" i="83"/>
  <c r="F130" i="83"/>
  <c r="F35" i="83"/>
  <c r="F161" i="83"/>
  <c r="AN149" i="73"/>
  <c r="AN157" i="73"/>
  <c r="AN165" i="73"/>
  <c r="R21" i="65"/>
  <c r="R13" i="65"/>
  <c r="N21" i="65"/>
  <c r="N13" i="65"/>
  <c r="G11" i="59"/>
  <c r="G17" i="59"/>
  <c r="Y74" i="46"/>
  <c r="Y105" i="46"/>
  <c r="Y24" i="46"/>
  <c r="Y30" i="46" s="1"/>
  <c r="Y36" i="46" s="1"/>
  <c r="Y11" i="46"/>
  <c r="Y43" i="46"/>
  <c r="Y49" i="46"/>
  <c r="Y62" i="46"/>
  <c r="Y68" i="46"/>
  <c r="Y93" i="46"/>
  <c r="Y55" i="46"/>
  <c r="Y17" i="46"/>
  <c r="Y81" i="46"/>
  <c r="J49" i="73"/>
  <c r="J109" i="73"/>
  <c r="J85" i="73"/>
  <c r="J65" i="73"/>
  <c r="J101" i="73"/>
  <c r="J75" i="73"/>
  <c r="J57" i="73"/>
  <c r="J93" i="73"/>
  <c r="AI23" i="31"/>
  <c r="AI14" i="31"/>
  <c r="F13" i="30"/>
  <c r="F20" i="30"/>
  <c r="AK14" i="32"/>
  <c r="AK23" i="32"/>
  <c r="V19" i="53"/>
  <c r="V12" i="53"/>
  <c r="AT133" i="73"/>
  <c r="AT141" i="73"/>
  <c r="AT125" i="73"/>
  <c r="G25" i="45"/>
  <c r="G15" i="45"/>
  <c r="AG23" i="32"/>
  <c r="AG14" i="32"/>
  <c r="R75" i="73"/>
  <c r="R93" i="73"/>
  <c r="R65" i="73"/>
  <c r="R57" i="73"/>
  <c r="R85" i="73"/>
  <c r="R109" i="73"/>
  <c r="R101" i="73"/>
  <c r="R49" i="73"/>
  <c r="I49" i="73"/>
  <c r="I109" i="73"/>
  <c r="I57" i="73"/>
  <c r="I85" i="73"/>
  <c r="I75" i="73"/>
  <c r="I93" i="73"/>
  <c r="I101" i="73"/>
  <c r="I65" i="73"/>
  <c r="K57" i="73"/>
  <c r="K65" i="73"/>
  <c r="K85" i="73"/>
  <c r="K93" i="73"/>
  <c r="K49" i="73"/>
  <c r="K101" i="73"/>
  <c r="K75" i="73"/>
  <c r="K109" i="73"/>
  <c r="AA23" i="32"/>
  <c r="AA14" i="32"/>
  <c r="N62" i="46"/>
  <c r="N11" i="46"/>
  <c r="N55" i="46"/>
  <c r="N49" i="46"/>
  <c r="N43" i="46"/>
  <c r="N68" i="46"/>
  <c r="N74" i="46"/>
  <c r="N17" i="46"/>
  <c r="N24" i="46"/>
  <c r="N30" i="46" s="1"/>
  <c r="N36" i="46" s="1"/>
  <c r="AQ22" i="67"/>
  <c r="P21" i="52"/>
  <c r="P37" i="52"/>
  <c r="AJ165" i="73"/>
  <c r="AJ157" i="73"/>
  <c r="AJ149" i="73"/>
  <c r="X37" i="52"/>
  <c r="X21" i="52"/>
  <c r="AH23" i="31"/>
  <c r="AH14" i="31"/>
  <c r="AG141" i="73"/>
  <c r="AG125" i="73"/>
  <c r="AG133" i="73"/>
  <c r="L20" i="30"/>
  <c r="L13" i="30"/>
  <c r="AG13" i="30"/>
  <c r="AG20" i="30"/>
  <c r="AJ14" i="32"/>
  <c r="AJ23" i="32"/>
  <c r="R15" i="45"/>
  <c r="R25" i="45"/>
  <c r="F248" i="77"/>
  <c r="S248" i="77"/>
  <c r="M248" i="77"/>
  <c r="G248" i="77"/>
  <c r="E248" i="77"/>
  <c r="P248" i="77"/>
  <c r="N248" i="77"/>
  <c r="Q248" i="77"/>
  <c r="G240" i="77"/>
  <c r="M240" i="77"/>
  <c r="F240" i="77"/>
  <c r="N240" i="77"/>
  <c r="E240" i="77"/>
  <c r="J17" i="46"/>
  <c r="J11" i="46"/>
  <c r="BF149" i="73"/>
  <c r="BF165" i="73"/>
  <c r="BF157" i="73"/>
  <c r="H133" i="73"/>
  <c r="H141" i="73"/>
  <c r="H125" i="73"/>
  <c r="BD165" i="73"/>
  <c r="BD149" i="73"/>
  <c r="BD157" i="73"/>
  <c r="AD21" i="39"/>
  <c r="AD11" i="39"/>
  <c r="E242" i="77"/>
  <c r="F242" i="77"/>
  <c r="N242" i="77"/>
  <c r="M242" i="77"/>
  <c r="G242" i="77"/>
  <c r="AS253" i="77"/>
  <c r="Y253" i="77"/>
  <c r="AU253" i="77"/>
  <c r="P253" i="77"/>
  <c r="AB253" i="77"/>
  <c r="E253" i="77"/>
  <c r="AA253" i="77"/>
  <c r="X253" i="77"/>
  <c r="AR253" i="77"/>
  <c r="W253" i="77"/>
  <c r="Z253" i="77"/>
  <c r="Q253" i="77"/>
  <c r="S253" i="77"/>
  <c r="AT253" i="77"/>
  <c r="F253" i="77"/>
  <c r="G253" i="77"/>
  <c r="V253" i="77"/>
  <c r="AQ253" i="77"/>
  <c r="M253" i="77"/>
  <c r="N253" i="77"/>
  <c r="AB57" i="73"/>
  <c r="AB109" i="73"/>
  <c r="AB93" i="73"/>
  <c r="AB49" i="73"/>
  <c r="AB85" i="73"/>
  <c r="AB65" i="73"/>
  <c r="AB101" i="73"/>
  <c r="AB75" i="73"/>
  <c r="V278" i="77"/>
  <c r="M278" i="77"/>
  <c r="Y278" i="77"/>
  <c r="G278" i="77"/>
  <c r="Z278" i="77"/>
  <c r="F278" i="77"/>
  <c r="N278" i="77"/>
  <c r="AA278" i="77"/>
  <c r="AB278" i="77"/>
  <c r="W278" i="77"/>
  <c r="X278" i="77"/>
  <c r="S278" i="77"/>
  <c r="M262" i="77"/>
  <c r="G262" i="77"/>
  <c r="S262" i="77"/>
  <c r="F262" i="77"/>
  <c r="N262" i="77"/>
  <c r="J125" i="73"/>
  <c r="J141" i="73"/>
  <c r="J133" i="73"/>
  <c r="K165" i="73"/>
  <c r="K149" i="73"/>
  <c r="K157" i="73"/>
  <c r="AU157" i="73"/>
  <c r="AU165" i="73"/>
  <c r="AU149" i="73"/>
  <c r="AB14" i="31"/>
  <c r="AB23" i="31"/>
  <c r="R141" i="73"/>
  <c r="R125" i="73"/>
  <c r="R133" i="73"/>
  <c r="AS49" i="73"/>
  <c r="AS57" i="73"/>
  <c r="AS101" i="73"/>
  <c r="AS93" i="73"/>
  <c r="AS85" i="73"/>
  <c r="AS75" i="73"/>
  <c r="AS65" i="73"/>
  <c r="AS109" i="73"/>
  <c r="AS64" i="71"/>
  <c r="F21" i="39"/>
  <c r="F11" i="39"/>
  <c r="S265" i="77"/>
  <c r="N265" i="77"/>
  <c r="G265" i="77"/>
  <c r="F265" i="77"/>
  <c r="M265" i="77"/>
  <c r="I6" i="34"/>
  <c r="O6" i="34" s="1"/>
  <c r="U6" i="34" s="1"/>
  <c r="AA6" i="34" s="1"/>
  <c r="AG6" i="34" s="1"/>
  <c r="AM6" i="34" s="1"/>
  <c r="AS6" i="34" s="1"/>
  <c r="BB6" i="34" s="1"/>
  <c r="L6" i="34"/>
  <c r="R6" i="34" s="1"/>
  <c r="X6" i="34" s="1"/>
  <c r="AD6" i="34" s="1"/>
  <c r="AJ6" i="34" s="1"/>
  <c r="AP6" i="34" s="1"/>
  <c r="AM14" i="31"/>
  <c r="AM23" i="31"/>
  <c r="AN11" i="39"/>
  <c r="AN21" i="52"/>
  <c r="AN37" i="52"/>
  <c r="N283" i="77"/>
  <c r="AB283" i="77"/>
  <c r="AA283" i="77"/>
  <c r="Z283" i="77"/>
  <c r="M283" i="77"/>
  <c r="G283" i="77"/>
  <c r="F283" i="77"/>
  <c r="V283" i="77"/>
  <c r="S283" i="77"/>
  <c r="Y283" i="77"/>
  <c r="W283" i="77"/>
  <c r="AN63" i="71"/>
  <c r="AN34" i="71"/>
  <c r="U92" i="83"/>
  <c r="U130" i="83"/>
  <c r="U161" i="83"/>
  <c r="U35" i="83"/>
  <c r="U150" i="83"/>
  <c r="U116" i="83"/>
  <c r="AB63" i="71"/>
  <c r="AB34" i="71"/>
  <c r="AF11" i="39"/>
  <c r="AF21" i="39"/>
  <c r="G37" i="52"/>
  <c r="G21" i="52"/>
  <c r="BK133" i="73"/>
  <c r="BK141" i="73"/>
  <c r="BK125" i="73"/>
  <c r="F14" i="31"/>
  <c r="F23" i="31"/>
  <c r="M10" i="29"/>
  <c r="M15" i="29"/>
  <c r="AK133" i="73"/>
  <c r="AK125" i="73"/>
  <c r="AK141" i="73"/>
  <c r="E10" i="29"/>
  <c r="E15" i="29"/>
  <c r="D25" i="2"/>
  <c r="D43" i="12"/>
  <c r="J11" i="39"/>
  <c r="J21" i="39"/>
  <c r="G21" i="65"/>
  <c r="G13" i="65"/>
  <c r="L11" i="39"/>
  <c r="L21" i="39"/>
  <c r="X10" i="29"/>
  <c r="X15" i="29"/>
  <c r="AB38" i="9"/>
  <c r="AB63" i="9"/>
  <c r="AB132" i="9"/>
  <c r="AB34" i="9"/>
  <c r="AB56" i="9"/>
  <c r="AB23" i="9"/>
  <c r="AB48" i="9"/>
  <c r="AB5" i="9"/>
  <c r="AB11" i="9"/>
  <c r="W10" i="29"/>
  <c r="W15" i="29"/>
  <c r="U63" i="71"/>
  <c r="U34" i="71"/>
  <c r="S37" i="52"/>
  <c r="S21" i="52"/>
  <c r="I56" i="9"/>
  <c r="G138" i="8" s="1"/>
  <c r="I23" i="9"/>
  <c r="I34" i="9"/>
  <c r="I63" i="9"/>
  <c r="I11" i="9"/>
  <c r="I132" i="9"/>
  <c r="I38" i="9"/>
  <c r="I5" i="9"/>
  <c r="I48" i="9"/>
  <c r="M34" i="71"/>
  <c r="M63" i="71"/>
  <c r="AM13" i="30"/>
  <c r="AM20" i="30"/>
  <c r="Z37" i="52"/>
  <c r="Z21" i="52"/>
  <c r="L23" i="49"/>
  <c r="L41" i="49"/>
  <c r="L15" i="45"/>
  <c r="L25" i="45"/>
  <c r="G21" i="39"/>
  <c r="G11" i="39"/>
  <c r="J23" i="49"/>
  <c r="J41" i="49"/>
  <c r="AI63" i="71"/>
  <c r="AI34" i="71"/>
  <c r="G23" i="31"/>
  <c r="G14" i="31"/>
  <c r="Y35" i="83"/>
  <c r="Y130" i="83"/>
  <c r="Y150" i="83"/>
  <c r="Y92" i="83"/>
  <c r="Y161" i="83"/>
  <c r="Y116" i="83"/>
  <c r="Q62" i="46"/>
  <c r="Q11" i="46"/>
  <c r="Q68" i="46"/>
  <c r="Q74" i="46"/>
  <c r="Q49" i="46"/>
  <c r="Q55" i="46"/>
  <c r="Q24" i="46"/>
  <c r="Q30" i="46" s="1"/>
  <c r="Q36" i="46" s="1"/>
  <c r="Q43" i="46"/>
  <c r="Q17" i="46"/>
  <c r="AA23" i="49"/>
  <c r="AA41" i="49"/>
  <c r="P63" i="71"/>
  <c r="P34" i="71"/>
  <c r="AH21" i="52"/>
  <c r="AH37" i="52"/>
  <c r="S75" i="73"/>
  <c r="S101" i="73"/>
  <c r="S65" i="73"/>
  <c r="S109" i="73"/>
  <c r="S57" i="73"/>
  <c r="S93" i="73"/>
  <c r="S85" i="73"/>
  <c r="S49" i="73"/>
  <c r="AK49" i="46"/>
  <c r="AK17" i="46"/>
  <c r="AK11" i="46"/>
  <c r="AK36" i="46"/>
  <c r="AK74" i="46"/>
  <c r="AK62" i="46"/>
  <c r="AK24" i="46"/>
  <c r="AK55" i="46"/>
  <c r="AK93" i="46"/>
  <c r="AK43" i="46"/>
  <c r="AK81" i="46"/>
  <c r="AK30" i="46"/>
  <c r="AK68" i="46"/>
  <c r="AK105" i="46"/>
  <c r="F17" i="46"/>
  <c r="F11" i="46"/>
  <c r="N23" i="32"/>
  <c r="N14" i="32"/>
  <c r="E133" i="73"/>
  <c r="E141" i="73"/>
  <c r="E125" i="73"/>
  <c r="S132" i="9"/>
  <c r="S63" i="9"/>
  <c r="S48" i="9"/>
  <c r="S11" i="9"/>
  <c r="S23" i="9"/>
  <c r="S34" i="9"/>
  <c r="S38" i="9"/>
  <c r="S5" i="9"/>
  <c r="S56" i="9"/>
  <c r="Q138" i="8" s="1"/>
  <c r="AH20" i="30"/>
  <c r="AH13" i="30"/>
  <c r="Q63" i="71"/>
  <c r="Q34" i="71"/>
  <c r="Q92" i="83"/>
  <c r="Q116" i="83"/>
  <c r="Q130" i="83"/>
  <c r="Q35" i="83"/>
  <c r="Q161" i="83"/>
  <c r="Q150" i="83"/>
  <c r="AE21" i="52"/>
  <c r="AE37" i="52"/>
  <c r="AJ37" i="52"/>
  <c r="AJ21" i="52"/>
  <c r="AF63" i="71"/>
  <c r="AF34" i="71"/>
  <c r="AE25" i="45"/>
  <c r="AE15" i="45"/>
  <c r="R68" i="46"/>
  <c r="R17" i="46"/>
  <c r="R11" i="46"/>
  <c r="R43" i="46"/>
  <c r="R55" i="46"/>
  <c r="R24" i="46"/>
  <c r="R30" i="46" s="1"/>
  <c r="R36" i="46" s="1"/>
  <c r="R49" i="46"/>
  <c r="R74" i="46"/>
  <c r="R62" i="46"/>
  <c r="AL23" i="49"/>
  <c r="AL41" i="49"/>
  <c r="W161" i="83"/>
  <c r="W92" i="83"/>
  <c r="W150" i="83"/>
  <c r="W116" i="83"/>
  <c r="W130" i="83"/>
  <c r="W35" i="83"/>
  <c r="P21" i="65"/>
  <c r="P13" i="65"/>
  <c r="Z15" i="29"/>
  <c r="Z10" i="29"/>
  <c r="W13" i="65"/>
  <c r="W21" i="65"/>
  <c r="K63" i="71"/>
  <c r="K34" i="71"/>
  <c r="AB21" i="52"/>
  <c r="AB37" i="52"/>
  <c r="AJ109" i="73"/>
  <c r="AJ101" i="73"/>
  <c r="AJ93" i="73"/>
  <c r="AJ75" i="73"/>
  <c r="AJ57" i="73"/>
  <c r="AJ85" i="73"/>
  <c r="AJ49" i="73"/>
  <c r="AJ65" i="73"/>
  <c r="AD13" i="30"/>
  <c r="AD20" i="30"/>
  <c r="AH23" i="49"/>
  <c r="AH41" i="49"/>
  <c r="L125" i="73"/>
  <c r="L141" i="73"/>
  <c r="L133" i="73"/>
  <c r="M13" i="30"/>
  <c r="M20" i="30"/>
  <c r="U37" i="52"/>
  <c r="U21" i="52"/>
  <c r="M12" i="53"/>
  <c r="M19" i="53"/>
  <c r="AK23" i="49"/>
  <c r="AK41" i="49"/>
  <c r="AB141" i="73"/>
  <c r="AB125" i="73"/>
  <c r="AB133" i="73"/>
  <c r="AS149" i="73"/>
  <c r="AS165" i="73"/>
  <c r="AS157" i="73"/>
  <c r="L132" i="9"/>
  <c r="L5" i="9"/>
  <c r="L34" i="9"/>
  <c r="L38" i="9"/>
  <c r="L56" i="9"/>
  <c r="J138" i="8" s="1"/>
  <c r="L11" i="9"/>
  <c r="L63" i="9"/>
  <c r="L48" i="9"/>
  <c r="L23" i="9"/>
  <c r="L19" i="53"/>
  <c r="L12" i="53"/>
  <c r="AI11" i="9"/>
  <c r="AI63" i="9"/>
  <c r="AI38" i="9"/>
  <c r="AI48" i="9"/>
  <c r="AI34" i="9"/>
  <c r="AI56" i="9"/>
  <c r="AI132" i="9"/>
  <c r="AI23" i="9"/>
  <c r="AI5" i="9"/>
  <c r="O55" i="46"/>
  <c r="O62" i="46"/>
  <c r="O49" i="46"/>
  <c r="O74" i="46"/>
  <c r="O24" i="46"/>
  <c r="O30" i="46" s="1"/>
  <c r="O36" i="46" s="1"/>
  <c r="O43" i="46"/>
  <c r="O68" i="46"/>
  <c r="O11" i="46"/>
  <c r="O17" i="46"/>
  <c r="AM15" i="29"/>
  <c r="AM10" i="29"/>
  <c r="F41" i="49"/>
  <c r="F23" i="49"/>
  <c r="AG21" i="52"/>
  <c r="AG37" i="52"/>
  <c r="AT157" i="73"/>
  <c r="AT149" i="73"/>
  <c r="AT165" i="73"/>
  <c r="F225" i="77"/>
  <c r="E225" i="77"/>
  <c r="M225" i="77"/>
  <c r="N225" i="77"/>
  <c r="G225" i="77"/>
  <c r="AE14" i="32"/>
  <c r="AE23" i="32"/>
  <c r="AA141" i="73"/>
  <c r="AA133" i="73"/>
  <c r="AA125" i="73"/>
  <c r="BA141" i="73"/>
  <c r="BA133" i="73"/>
  <c r="BA125" i="73"/>
  <c r="H23" i="32"/>
  <c r="H14" i="32"/>
  <c r="Q17" i="59"/>
  <c r="Q11" i="59"/>
  <c r="AF14" i="31"/>
  <c r="AF23" i="31"/>
  <c r="Y141" i="73"/>
  <c r="Y133" i="73"/>
  <c r="Y125" i="73"/>
  <c r="AR165" i="73"/>
  <c r="AR157" i="73"/>
  <c r="AR149" i="73"/>
  <c r="J20" i="30"/>
  <c r="J13" i="30"/>
  <c r="AU85" i="73"/>
  <c r="AU93" i="73"/>
  <c r="AU65" i="73"/>
  <c r="AU109" i="73"/>
  <c r="AU101" i="73"/>
  <c r="AU75" i="73"/>
  <c r="AU49" i="73"/>
  <c r="AU57" i="73"/>
  <c r="M257" i="77"/>
  <c r="S257" i="77"/>
  <c r="N257" i="77"/>
  <c r="G257" i="77"/>
  <c r="E257" i="77"/>
  <c r="F257" i="77"/>
  <c r="AR133" i="73"/>
  <c r="AR141" i="73"/>
  <c r="AR125" i="73"/>
  <c r="M93" i="73"/>
  <c r="M75" i="73"/>
  <c r="M49" i="73"/>
  <c r="M101" i="73"/>
  <c r="M65" i="73"/>
  <c r="M57" i="73"/>
  <c r="M85" i="73"/>
  <c r="M109" i="73"/>
  <c r="M235" i="77"/>
  <c r="E235" i="77"/>
  <c r="G235" i="77"/>
  <c r="N235" i="77"/>
  <c r="F235" i="77"/>
  <c r="N234" i="77"/>
  <c r="M234" i="77"/>
  <c r="E234" i="77"/>
  <c r="F234" i="77"/>
  <c r="G234" i="77"/>
  <c r="AA13" i="30"/>
  <c r="AA20" i="30"/>
  <c r="W254" i="77"/>
  <c r="M254" i="77"/>
  <c r="X254" i="77"/>
  <c r="E254" i="77"/>
  <c r="AR254" i="77"/>
  <c r="G254" i="77"/>
  <c r="Y254" i="77"/>
  <c r="AS254" i="77"/>
  <c r="AB254" i="77"/>
  <c r="Q254" i="77"/>
  <c r="AT254" i="77"/>
  <c r="AQ254" i="77"/>
  <c r="S254" i="77"/>
  <c r="N254" i="77"/>
  <c r="V254" i="77"/>
  <c r="Z254" i="77"/>
  <c r="AU254" i="77"/>
  <c r="AA254" i="77"/>
  <c r="F254" i="77"/>
  <c r="P254" i="77"/>
  <c r="Y157" i="73"/>
  <c r="Y165" i="73"/>
  <c r="Y149" i="73"/>
  <c r="AP149" i="73"/>
  <c r="AP165" i="73"/>
  <c r="AP157" i="73"/>
  <c r="AC133" i="73"/>
  <c r="AC125" i="73"/>
  <c r="AC141" i="73"/>
  <c r="P157" i="73"/>
  <c r="P149" i="73"/>
  <c r="P165" i="73"/>
  <c r="O34" i="71"/>
  <c r="O63" i="71"/>
  <c r="E57" i="73"/>
  <c r="E101" i="73"/>
  <c r="E65" i="73"/>
  <c r="E85" i="73"/>
  <c r="E75" i="73"/>
  <c r="E109" i="73"/>
  <c r="E93" i="73"/>
  <c r="E49" i="73"/>
  <c r="AH125" i="73"/>
  <c r="AH141" i="73"/>
  <c r="AH133" i="73"/>
  <c r="AM57" i="73"/>
  <c r="AM65" i="73"/>
  <c r="AM85" i="73"/>
  <c r="AM75" i="73"/>
  <c r="AM101" i="73"/>
  <c r="AM93" i="73"/>
  <c r="AM109" i="73"/>
  <c r="AM49" i="73"/>
  <c r="X21" i="39"/>
  <c r="X11" i="39"/>
  <c r="AC23" i="49"/>
  <c r="AC41" i="49"/>
  <c r="N269" i="77"/>
  <c r="S269" i="77"/>
  <c r="M269" i="77"/>
  <c r="F269" i="77"/>
  <c r="V269" i="77"/>
  <c r="W269" i="77"/>
  <c r="G269" i="77"/>
  <c r="AA269" i="77"/>
  <c r="AB269" i="77"/>
  <c r="Y269" i="77"/>
  <c r="AU133" i="73"/>
  <c r="AU141" i="73"/>
  <c r="AU125" i="73"/>
  <c r="AF157" i="73"/>
  <c r="AF165" i="73"/>
  <c r="AF149" i="73"/>
  <c r="F236" i="77"/>
  <c r="E236" i="77"/>
  <c r="G236" i="77"/>
  <c r="N236" i="77"/>
  <c r="M236" i="77"/>
  <c r="Z149" i="73"/>
  <c r="Z157" i="73"/>
  <c r="Z165" i="73"/>
  <c r="E17" i="59"/>
  <c r="E11" i="59"/>
  <c r="E63" i="71"/>
  <c r="E34" i="71"/>
  <c r="F256" i="77"/>
  <c r="P256" i="77"/>
  <c r="Q256" i="77"/>
  <c r="N256" i="77"/>
  <c r="AQ256" i="77"/>
  <c r="AS256" i="77"/>
  <c r="V256" i="77"/>
  <c r="AB256" i="77"/>
  <c r="Y256" i="77"/>
  <c r="M256" i="77"/>
  <c r="Z256" i="77"/>
  <c r="G256" i="77"/>
  <c r="W256" i="77"/>
  <c r="AA256" i="77"/>
  <c r="X256" i="77"/>
  <c r="S256" i="77"/>
  <c r="E256" i="77"/>
  <c r="AT256" i="77"/>
  <c r="AR256" i="77"/>
  <c r="AU256" i="77"/>
  <c r="W274" i="77"/>
  <c r="N274" i="77"/>
  <c r="AB274" i="77"/>
  <c r="X274" i="77"/>
  <c r="M274" i="77"/>
  <c r="V274" i="77"/>
  <c r="Y274" i="77"/>
  <c r="F274" i="77"/>
  <c r="AA274" i="77"/>
  <c r="G274" i="77"/>
  <c r="Z274" i="77"/>
  <c r="S274" i="77"/>
  <c r="E20" i="30"/>
  <c r="E13" i="30"/>
  <c r="N223" i="77"/>
  <c r="E223" i="77"/>
  <c r="F223" i="77"/>
  <c r="M223" i="77"/>
  <c r="G223" i="77"/>
  <c r="AS71" i="71"/>
  <c r="S258" i="77"/>
  <c r="M258" i="77"/>
  <c r="F258" i="77"/>
  <c r="G258" i="77"/>
  <c r="N258" i="77"/>
  <c r="E21" i="52"/>
  <c r="E37" i="52"/>
  <c r="AS75" i="71"/>
  <c r="AL161" i="83"/>
  <c r="AL92" i="83"/>
  <c r="AL35" i="83"/>
  <c r="AL116" i="83"/>
  <c r="AL130" i="83"/>
  <c r="AL150" i="83"/>
  <c r="AQ59" i="71" l="1"/>
  <c r="AQ61" i="71" s="1"/>
  <c r="AQ90" i="71" s="1"/>
  <c r="AO59" i="71"/>
  <c r="AO61" i="71" s="1"/>
  <c r="AO90" i="71" s="1"/>
  <c r="AP59" i="71"/>
  <c r="AP61" i="71" s="1"/>
  <c r="AP90" i="71" s="1"/>
  <c r="AW6" i="63"/>
  <c r="O164" i="83"/>
  <c r="O162" i="83"/>
  <c r="AB164" i="83"/>
  <c r="AB162" i="83"/>
  <c r="T164" i="83"/>
  <c r="T162" i="83"/>
  <c r="H164" i="83"/>
  <c r="H162" i="83"/>
  <c r="L162" i="83"/>
  <c r="L164" i="83"/>
  <c r="K162" i="83"/>
  <c r="K164" i="83"/>
  <c r="G164" i="83"/>
  <c r="G162" i="83"/>
  <c r="AI164" i="83"/>
  <c r="AI162" i="83"/>
  <c r="J162" i="83"/>
  <c r="J164" i="83"/>
  <c r="AJ164" i="83"/>
  <c r="AJ162" i="83"/>
  <c r="AN164" i="83"/>
  <c r="AN162" i="83"/>
  <c r="AA164" i="83"/>
  <c r="AA162" i="83"/>
  <c r="AK162" i="83"/>
  <c r="AK164" i="83"/>
  <c r="AE164" i="83"/>
  <c r="AE162" i="83"/>
  <c r="AG164" i="83"/>
  <c r="AG162" i="83"/>
  <c r="P164" i="83"/>
  <c r="P162" i="83"/>
  <c r="R162" i="83"/>
  <c r="R164" i="83"/>
  <c r="Z164" i="83"/>
  <c r="Z162" i="83"/>
  <c r="E164" i="83"/>
  <c r="E162" i="83"/>
  <c r="AF164" i="83"/>
  <c r="AF162" i="83"/>
  <c r="V162" i="83"/>
  <c r="V164" i="83"/>
  <c r="M164" i="83"/>
  <c r="M162" i="83"/>
  <c r="AD162" i="83"/>
  <c r="AD164" i="83"/>
  <c r="F164" i="83"/>
  <c r="F162" i="83"/>
  <c r="U162" i="83"/>
  <c r="U164" i="83"/>
  <c r="Y162" i="83"/>
  <c r="Y164" i="83"/>
  <c r="Q162" i="83"/>
  <c r="Q164" i="83"/>
  <c r="W164" i="83"/>
  <c r="W162" i="83"/>
  <c r="AL162" i="83"/>
  <c r="AL164" i="83"/>
  <c r="AL61" i="71"/>
  <c r="AL90" i="71" s="1"/>
  <c r="AW92" i="63"/>
  <c r="AW96" i="63" s="1"/>
  <c r="AO37" i="83"/>
  <c r="AO39" i="83"/>
  <c r="AX6" i="34"/>
  <c r="AU6" i="34"/>
  <c r="BG14" i="9"/>
  <c r="BF29" i="9"/>
  <c r="AB23" i="13"/>
  <c r="T286" i="77"/>
  <c r="BD286" i="77"/>
  <c r="BC286" i="77"/>
  <c r="T285" i="77"/>
  <c r="BC285" i="77"/>
  <c r="BD285" i="77"/>
  <c r="J315" i="73"/>
  <c r="I314" i="73"/>
  <c r="I316" i="73" s="1"/>
  <c r="AR14" i="45"/>
  <c r="BC257" i="77"/>
  <c r="T284" i="77"/>
  <c r="BD280" i="77"/>
  <c r="BD258" i="77"/>
  <c r="T256" i="77"/>
  <c r="BD268" i="77"/>
  <c r="BC277" i="77"/>
  <c r="BD284" i="77"/>
  <c r="BD260" i="77"/>
  <c r="BC282" i="77"/>
  <c r="BD233" i="77"/>
  <c r="BD239" i="77"/>
  <c r="BD270" i="77"/>
  <c r="BD261" i="77"/>
  <c r="BC268" i="77"/>
  <c r="BD267" i="77"/>
  <c r="BC276" i="77"/>
  <c r="BC261" i="77"/>
  <c r="T277" i="77"/>
  <c r="AY251" i="77"/>
  <c r="BD274" i="77"/>
  <c r="BD254" i="77"/>
  <c r="T250" i="77"/>
  <c r="T254" i="77"/>
  <c r="BD252" i="77"/>
  <c r="BD249" i="77"/>
  <c r="BC262" i="77"/>
  <c r="BD259" i="77"/>
  <c r="BD235" i="77"/>
  <c r="BC249" i="77"/>
  <c r="BC272" i="77"/>
  <c r="T268" i="77"/>
  <c r="T276" i="77"/>
  <c r="BD247" i="77"/>
  <c r="BD279" i="77"/>
  <c r="BC239" i="77"/>
  <c r="BD238" i="77"/>
  <c r="BC241" i="77"/>
  <c r="T267" i="77"/>
  <c r="BD250" i="77"/>
  <c r="T247" i="77"/>
  <c r="BC284" i="77"/>
  <c r="BC240" i="77"/>
  <c r="BA255" i="77"/>
  <c r="BD255" i="77"/>
  <c r="BC244" i="77"/>
  <c r="AX256" i="77"/>
  <c r="BC256" i="77"/>
  <c r="BD246" i="77"/>
  <c r="BC237" i="77"/>
  <c r="BC253" i="77"/>
  <c r="BD248" i="77"/>
  <c r="BC264" i="77"/>
  <c r="AZ252" i="77"/>
  <c r="BC275" i="77"/>
  <c r="BC273" i="77"/>
  <c r="BO6" i="3"/>
  <c r="BA254" i="77"/>
  <c r="BD234" i="77"/>
  <c r="BD283" i="77"/>
  <c r="BD278" i="77"/>
  <c r="AZ253" i="77"/>
  <c r="BD242" i="77"/>
  <c r="BD271" i="77"/>
  <c r="BD276" i="77"/>
  <c r="BD244" i="77"/>
  <c r="T260" i="77"/>
  <c r="Y23" i="13"/>
  <c r="T258" i="77"/>
  <c r="BC274" i="77"/>
  <c r="BD236" i="77"/>
  <c r="T283" i="77"/>
  <c r="BD240" i="77"/>
  <c r="BC248" i="77"/>
  <c r="BC252" i="77"/>
  <c r="BD245" i="77"/>
  <c r="BD231" i="77"/>
  <c r="AX59" i="71" l="1"/>
  <c r="AS59" i="71"/>
  <c r="AR59" i="71"/>
  <c r="AY59" i="71" s="1"/>
  <c r="BJ29" i="9"/>
  <c r="BI29" i="9"/>
  <c r="AO41" i="83"/>
  <c r="AX61" i="71"/>
  <c r="AS61" i="71"/>
  <c r="AS90" i="71" s="1"/>
  <c r="BH29" i="9"/>
  <c r="BG29" i="9"/>
  <c r="BF137" i="9"/>
  <c r="K315" i="73"/>
  <c r="J314" i="73"/>
  <c r="J316" i="73" s="1"/>
  <c r="AA43" i="39"/>
  <c r="AA55" i="39" s="1"/>
  <c r="AA33" i="39"/>
  <c r="AY254" i="77"/>
  <c r="U37" i="83"/>
  <c r="U39" i="83"/>
  <c r="AL45" i="63"/>
  <c r="AL63" i="63" s="1"/>
  <c r="T43" i="39"/>
  <c r="T55" i="39" s="1"/>
  <c r="T33" i="39"/>
  <c r="AG37" i="83"/>
  <c r="AG39" i="83"/>
  <c r="AE39" i="83"/>
  <c r="AE37" i="83"/>
  <c r="BE6" i="3"/>
  <c r="BE40" i="3"/>
  <c r="AO23" i="44" s="1"/>
  <c r="AJ39" i="83"/>
  <c r="AO40" i="83" s="1"/>
  <c r="AJ37" i="83"/>
  <c r="AO38" i="83" s="1"/>
  <c r="F140" i="9"/>
  <c r="F141" i="9"/>
  <c r="U33" i="39"/>
  <c r="U43" i="39"/>
  <c r="U55" i="39" s="1"/>
  <c r="AM87" i="63"/>
  <c r="T37" i="83"/>
  <c r="T39" i="83"/>
  <c r="AC43" i="39"/>
  <c r="AC55" i="39" s="1"/>
  <c r="AC33" i="39"/>
  <c r="AB37" i="83"/>
  <c r="AB39" i="83"/>
  <c r="BC258" i="77"/>
  <c r="BC236" i="77"/>
  <c r="Y39" i="83"/>
  <c r="Y37" i="83"/>
  <c r="AF33" i="39"/>
  <c r="AF43" i="39"/>
  <c r="AF55" i="39" s="1"/>
  <c r="BD262" i="77"/>
  <c r="T253" i="77"/>
  <c r="AK45" i="63"/>
  <c r="T264" i="77"/>
  <c r="AY252" i="77"/>
  <c r="E39" i="83"/>
  <c r="E37" i="83"/>
  <c r="BD272" i="77"/>
  <c r="BC246" i="77"/>
  <c r="AK39" i="83"/>
  <c r="AK37" i="83"/>
  <c r="BC238" i="77"/>
  <c r="N33" i="39"/>
  <c r="N43" i="39"/>
  <c r="N55" i="39" s="1"/>
  <c r="N57" i="39" s="1"/>
  <c r="BC271" i="77"/>
  <c r="G141" i="9"/>
  <c r="G140" i="9"/>
  <c r="AZ255" i="77"/>
  <c r="AG43" i="39"/>
  <c r="AG55" i="39" s="1"/>
  <c r="AG33" i="39"/>
  <c r="I43" i="39"/>
  <c r="I55" i="39" s="1"/>
  <c r="I33" i="39"/>
  <c r="AN87" i="63"/>
  <c r="BC228" i="77"/>
  <c r="BD273" i="77"/>
  <c r="K37" i="83"/>
  <c r="K39" i="83"/>
  <c r="T282" i="77"/>
  <c r="T251" i="77"/>
  <c r="AZ251" i="77"/>
  <c r="BC227" i="77"/>
  <c r="BC233" i="77"/>
  <c r="O39" i="83"/>
  <c r="O37" i="83"/>
  <c r="AN45" i="63"/>
  <c r="AN63" i="63" s="1"/>
  <c r="AS23" i="44"/>
  <c r="AY256" i="77"/>
  <c r="T269" i="77"/>
  <c r="X43" i="39"/>
  <c r="X55" i="39" s="1"/>
  <c r="X33" i="39"/>
  <c r="BC254" i="77"/>
  <c r="BC235" i="77"/>
  <c r="L33" i="39"/>
  <c r="L43" i="39"/>
  <c r="L55" i="39" s="1"/>
  <c r="BC265" i="77"/>
  <c r="T265" i="77"/>
  <c r="BD253" i="77"/>
  <c r="F37" i="83"/>
  <c r="F39" i="83"/>
  <c r="AD39" i="83"/>
  <c r="AD37" i="83"/>
  <c r="AM45" i="63"/>
  <c r="AM63" i="63" s="1"/>
  <c r="O43" i="39"/>
  <c r="O55" i="39" s="1"/>
  <c r="O33" i="39"/>
  <c r="AE33" i="39"/>
  <c r="AE43" i="39"/>
  <c r="AE55" i="39" s="1"/>
  <c r="T281" i="77"/>
  <c r="T275" i="77"/>
  <c r="W138" i="8"/>
  <c r="Z37" i="83"/>
  <c r="Z39" i="83"/>
  <c r="P39" i="83"/>
  <c r="P37" i="83"/>
  <c r="BC243" i="77"/>
  <c r="H43" i="39"/>
  <c r="H55" i="39" s="1"/>
  <c r="H33" i="39"/>
  <c r="BC267" i="77"/>
  <c r="T271" i="77"/>
  <c r="E141" i="9"/>
  <c r="E140" i="9"/>
  <c r="M33" i="39"/>
  <c r="M43" i="39"/>
  <c r="M55" i="39" s="1"/>
  <c r="AI43" i="39"/>
  <c r="AI55" i="39" s="1"/>
  <c r="AI33" i="39"/>
  <c r="P33" i="39"/>
  <c r="P43" i="39"/>
  <c r="P55" i="39" s="1"/>
  <c r="BC230" i="77"/>
  <c r="T273" i="77"/>
  <c r="BC251" i="77"/>
  <c r="AX251" i="77"/>
  <c r="T270" i="77"/>
  <c r="K33" i="39"/>
  <c r="K43" i="39"/>
  <c r="K55" i="39" s="1"/>
  <c r="AA37" i="83"/>
  <c r="AA39" i="83"/>
  <c r="AH43" i="39"/>
  <c r="AH55" i="39" s="1"/>
  <c r="AH33" i="39"/>
  <c r="BA256" i="77"/>
  <c r="AW256" i="77"/>
  <c r="BC269" i="77"/>
  <c r="BD269" i="77"/>
  <c r="AX254" i="77"/>
  <c r="BC234" i="77"/>
  <c r="BD257" i="77"/>
  <c r="G43" i="39"/>
  <c r="G55" i="39" s="1"/>
  <c r="G33" i="39"/>
  <c r="T262" i="77"/>
  <c r="BA253" i="77"/>
  <c r="T248" i="77"/>
  <c r="AJ45" i="63"/>
  <c r="AJ63" i="63" s="1"/>
  <c r="AJ6" i="63" s="1"/>
  <c r="AJ11" i="63" s="1"/>
  <c r="AJ14" i="63" s="1"/>
  <c r="BD266" i="77"/>
  <c r="BC279" i="77"/>
  <c r="BC281" i="77"/>
  <c r="AW252" i="77"/>
  <c r="BD6" i="34"/>
  <c r="BS6" i="34" s="1"/>
  <c r="CH6" i="34" s="1"/>
  <c r="DC6" i="34" s="1"/>
  <c r="EJ6" i="34" s="1"/>
  <c r="X138" i="8"/>
  <c r="Y138" i="8"/>
  <c r="AQ39" i="67"/>
  <c r="BD232" i="77"/>
  <c r="V43" i="39"/>
  <c r="V55" i="39" s="1"/>
  <c r="V33" i="39"/>
  <c r="BC280" i="77"/>
  <c r="BC250" i="77"/>
  <c r="BC229" i="77"/>
  <c r="BC255" i="77"/>
  <c r="J37" i="83"/>
  <c r="J39" i="83"/>
  <c r="AL87" i="63"/>
  <c r="BC260" i="77"/>
  <c r="L39" i="83"/>
  <c r="L37" i="83"/>
  <c r="BD282" i="77"/>
  <c r="BA251" i="77"/>
  <c r="BC270" i="77"/>
  <c r="M39" i="83"/>
  <c r="M37" i="83"/>
  <c r="Q33" i="39"/>
  <c r="Q43" i="39"/>
  <c r="Q55" i="39" s="1"/>
  <c r="BD256" i="77"/>
  <c r="AW254" i="77"/>
  <c r="Q39" i="83"/>
  <c r="Q37" i="83"/>
  <c r="AV6" i="34"/>
  <c r="BE6" i="34" s="1"/>
  <c r="BT6" i="34" s="1"/>
  <c r="CI6" i="34" s="1"/>
  <c r="DD6" i="34" s="1"/>
  <c r="EK6" i="34" s="1"/>
  <c r="AY6" i="34"/>
  <c r="BD265" i="77"/>
  <c r="BC278" i="77"/>
  <c r="AW253" i="77"/>
  <c r="AD43" i="39"/>
  <c r="AD55" i="39" s="1"/>
  <c r="AD33" i="39"/>
  <c r="AH45" i="63"/>
  <c r="AH63" i="63" s="1"/>
  <c r="BC266" i="77"/>
  <c r="T279" i="77"/>
  <c r="AF39" i="83"/>
  <c r="AF37" i="83"/>
  <c r="BD264" i="77"/>
  <c r="BA252" i="77"/>
  <c r="AX252" i="77"/>
  <c r="BP6" i="34"/>
  <c r="CE6" i="34" s="1"/>
  <c r="BM6" i="34"/>
  <c r="CB6" i="34" s="1"/>
  <c r="T272" i="77"/>
  <c r="T280" i="77"/>
  <c r="T263" i="77"/>
  <c r="BC263" i="77"/>
  <c r="BC259" i="77"/>
  <c r="T259" i="77"/>
  <c r="AX255" i="77"/>
  <c r="AK87" i="63"/>
  <c r="BD237" i="77"/>
  <c r="BC245" i="77"/>
  <c r="H39" i="83"/>
  <c r="H37" i="83"/>
  <c r="AW251" i="77"/>
  <c r="BD275" i="77"/>
  <c r="AL39" i="83"/>
  <c r="AL37" i="83"/>
  <c r="AZ256" i="77"/>
  <c r="AZ254" i="77"/>
  <c r="T257" i="77"/>
  <c r="BN6" i="34"/>
  <c r="CC6" i="34" s="1"/>
  <c r="BQ6" i="34"/>
  <c r="CF6" i="34" s="1"/>
  <c r="T278" i="77"/>
  <c r="AX253" i="77"/>
  <c r="AY253" i="77"/>
  <c r="Y43" i="39"/>
  <c r="Y55" i="39" s="1"/>
  <c r="Y33" i="39"/>
  <c r="E43" i="39"/>
  <c r="E55" i="39" s="1"/>
  <c r="E33" i="39"/>
  <c r="BD241" i="77"/>
  <c r="BC232" i="77"/>
  <c r="BD263" i="77"/>
  <c r="AB33" i="39"/>
  <c r="AB43" i="39"/>
  <c r="AB55" i="39" s="1"/>
  <c r="AN37" i="83"/>
  <c r="AN39" i="83"/>
  <c r="AW255" i="77"/>
  <c r="AY255" i="77"/>
  <c r="R43" i="39"/>
  <c r="R55" i="39" s="1"/>
  <c r="R33" i="39"/>
  <c r="BC247" i="77"/>
  <c r="BD251" i="77"/>
  <c r="T261" i="77"/>
  <c r="R39" i="83"/>
  <c r="R37" i="83"/>
  <c r="T274" i="77"/>
  <c r="W39" i="83"/>
  <c r="W37" i="83"/>
  <c r="J43" i="39"/>
  <c r="J55" i="39" s="1"/>
  <c r="J33" i="39"/>
  <c r="BC283" i="77"/>
  <c r="F33" i="39"/>
  <c r="F43" i="39"/>
  <c r="F55" i="39" s="1"/>
  <c r="BC242" i="77"/>
  <c r="AI45" i="63"/>
  <c r="AI63" i="63" s="1"/>
  <c r="T266" i="77"/>
  <c r="V39" i="83"/>
  <c r="V37" i="83"/>
  <c r="BD281" i="77"/>
  <c r="T252" i="77"/>
  <c r="T249" i="77"/>
  <c r="BD243" i="77"/>
  <c r="W43" i="39"/>
  <c r="W55" i="39" s="1"/>
  <c r="W33" i="39"/>
  <c r="T255" i="77"/>
  <c r="Z33" i="39"/>
  <c r="Z43" i="39"/>
  <c r="Z55" i="39" s="1"/>
  <c r="AI37" i="83"/>
  <c r="AI39" i="83"/>
  <c r="BC231" i="77"/>
  <c r="S43" i="39"/>
  <c r="S55" i="39" s="1"/>
  <c r="S33" i="39"/>
  <c r="G39" i="83"/>
  <c r="G37" i="83"/>
  <c r="BD277" i="77"/>
  <c r="AZ59" i="71" l="1"/>
  <c r="AZ61" i="71" s="1"/>
  <c r="AZ90" i="71" s="1"/>
  <c r="BI137" i="9"/>
  <c r="BJ137" i="9"/>
  <c r="AY61" i="71"/>
  <c r="AR61" i="71"/>
  <c r="AR90" i="71" s="1"/>
  <c r="BH137" i="9"/>
  <c r="BG137" i="9"/>
  <c r="DY6" i="34"/>
  <c r="EH6" i="34"/>
  <c r="DX6" i="34"/>
  <c r="EG6" i="34"/>
  <c r="AN6" i="63"/>
  <c r="AN11" i="63" s="1"/>
  <c r="AN14" i="63" s="1"/>
  <c r="AM6" i="63"/>
  <c r="AM11" i="63" s="1"/>
  <c r="AM14" i="63" s="1"/>
  <c r="L315" i="73"/>
  <c r="K314" i="73"/>
  <c r="K316" i="73" s="1"/>
  <c r="AL6" i="63"/>
  <c r="AL11" i="63" s="1"/>
  <c r="AL14" i="63" s="1"/>
  <c r="AL38" i="83"/>
  <c r="AJ92" i="63"/>
  <c r="AJ96" i="63" s="1"/>
  <c r="Z38" i="83"/>
  <c r="V38" i="83"/>
  <c r="AF38" i="83"/>
  <c r="BA138" i="9"/>
  <c r="AK92" i="63"/>
  <c r="AK96" i="63" s="1"/>
  <c r="R38" i="83"/>
  <c r="AJ38" i="83"/>
  <c r="W38" i="83"/>
  <c r="AB38" i="83"/>
  <c r="P38" i="83"/>
  <c r="F41" i="83"/>
  <c r="Q38" i="83"/>
  <c r="AL40" i="83"/>
  <c r="AL41" i="83"/>
  <c r="H41" i="83"/>
  <c r="AA38" i="83"/>
  <c r="S37" i="83"/>
  <c r="O38" i="83"/>
  <c r="I37" i="83"/>
  <c r="AC39" i="83"/>
  <c r="Y41" i="83"/>
  <c r="Y40" i="83"/>
  <c r="AM92" i="63"/>
  <c r="AM96" i="63" s="1"/>
  <c r="AJ41" i="83"/>
  <c r="AJ40" i="83"/>
  <c r="AW12" i="9"/>
  <c r="AE38" i="83"/>
  <c r="AG38" i="83"/>
  <c r="AN41" i="83"/>
  <c r="AN40" i="83"/>
  <c r="L38" i="83"/>
  <c r="BJ6" i="34"/>
  <c r="BY6" i="34" s="1"/>
  <c r="CQ6" i="34" s="1"/>
  <c r="DL6" i="34" s="1"/>
  <c r="BG6" i="34"/>
  <c r="BV6" i="34" s="1"/>
  <c r="AW8" i="9"/>
  <c r="BE39" i="3"/>
  <c r="AW6" i="9"/>
  <c r="AH6" i="63"/>
  <c r="AH11" i="63" s="1"/>
  <c r="AH14" i="63" s="1"/>
  <c r="AH92" i="63"/>
  <c r="AH96" i="63" s="1"/>
  <c r="V41" i="83"/>
  <c r="V40" i="83"/>
  <c r="W41" i="83"/>
  <c r="W40" i="83"/>
  <c r="DA6" i="34"/>
  <c r="DV6" i="34" s="1"/>
  <c r="CX6" i="34"/>
  <c r="DS6" i="34" s="1"/>
  <c r="AF41" i="83"/>
  <c r="AF40" i="83"/>
  <c r="L40" i="83"/>
  <c r="L41" i="83"/>
  <c r="O40" i="83"/>
  <c r="O41" i="83"/>
  <c r="S39" i="83"/>
  <c r="T38" i="83"/>
  <c r="X37" i="83"/>
  <c r="AI6" i="63"/>
  <c r="AI11" i="63" s="1"/>
  <c r="AI14" i="63" s="1"/>
  <c r="AI92" i="63"/>
  <c r="AI96" i="63" s="1"/>
  <c r="J41" i="83"/>
  <c r="J40" i="83"/>
  <c r="N39" i="83"/>
  <c r="K40" i="83"/>
  <c r="K41" i="83"/>
  <c r="AK41" i="83"/>
  <c r="AK40" i="83"/>
  <c r="AI38" i="83"/>
  <c r="AM37" i="83"/>
  <c r="AG41" i="83"/>
  <c r="AG40" i="83"/>
  <c r="G41" i="83"/>
  <c r="AN38" i="83"/>
  <c r="BK6" i="34"/>
  <c r="BZ6" i="34" s="1"/>
  <c r="CR6" i="34" s="1"/>
  <c r="DM6" i="34" s="1"/>
  <c r="BH6" i="34"/>
  <c r="BW6" i="34" s="1"/>
  <c r="M38" i="83"/>
  <c r="N37" i="83"/>
  <c r="J38" i="83"/>
  <c r="P40" i="83"/>
  <c r="P41" i="83"/>
  <c r="Z41" i="83"/>
  <c r="Z40" i="83"/>
  <c r="BO39" i="3"/>
  <c r="BJ24" i="9" s="1"/>
  <c r="K38" i="83"/>
  <c r="AN92" i="63"/>
  <c r="AN96" i="63" s="1"/>
  <c r="AB40" i="83"/>
  <c r="AB41" i="83"/>
  <c r="T40" i="83"/>
  <c r="T41" i="83"/>
  <c r="X39" i="83"/>
  <c r="AI41" i="83"/>
  <c r="AI40" i="83"/>
  <c r="AM39" i="83"/>
  <c r="R41" i="83"/>
  <c r="R40" i="83"/>
  <c r="Q40" i="83"/>
  <c r="Q41" i="83"/>
  <c r="M41" i="83"/>
  <c r="M40" i="83"/>
  <c r="AA41" i="83"/>
  <c r="AA40" i="83"/>
  <c r="AH37" i="83"/>
  <c r="AD38" i="83"/>
  <c r="AK38" i="83"/>
  <c r="I39" i="83"/>
  <c r="E41" i="83"/>
  <c r="AC37" i="83"/>
  <c r="Y38" i="83"/>
  <c r="U41" i="83"/>
  <c r="U40" i="83"/>
  <c r="CZ6" i="34"/>
  <c r="DU6" i="34" s="1"/>
  <c r="CW6" i="34"/>
  <c r="DR6" i="34" s="1"/>
  <c r="AL92" i="63"/>
  <c r="AL96" i="63" s="1"/>
  <c r="AD40" i="83"/>
  <c r="AD41" i="83"/>
  <c r="AH39" i="83"/>
  <c r="AE40" i="83"/>
  <c r="AE41" i="83"/>
  <c r="U38" i="83"/>
  <c r="ES6" i="34" l="1"/>
  <c r="EV6" i="34"/>
  <c r="ET6" i="34"/>
  <c r="EW6" i="34"/>
  <c r="M315" i="73"/>
  <c r="L314" i="73"/>
  <c r="L316" i="73" s="1"/>
  <c r="X38" i="83"/>
  <c r="N38" i="83"/>
  <c r="AH38" i="83"/>
  <c r="AM41" i="83"/>
  <c r="I41" i="83"/>
  <c r="AC40" i="83"/>
  <c r="X40" i="83"/>
  <c r="AM40" i="83"/>
  <c r="X41" i="83"/>
  <c r="N41" i="83"/>
  <c r="CL6" i="34"/>
  <c r="DG6" i="34" s="1"/>
  <c r="CO6" i="34"/>
  <c r="DJ6" i="34" s="1"/>
  <c r="S41" i="83"/>
  <c r="AZ24" i="9"/>
  <c r="AY24" i="9"/>
  <c r="BE91" i="3"/>
  <c r="AW24" i="9"/>
  <c r="AX24" i="9"/>
  <c r="AH40" i="83"/>
  <c r="AW14" i="9"/>
  <c r="AW16" i="9"/>
  <c r="AH41" i="83"/>
  <c r="AM38" i="83"/>
  <c r="N40" i="83"/>
  <c r="S40" i="83"/>
  <c r="CK6" i="34"/>
  <c r="DF6" i="34" s="1"/>
  <c r="CN6" i="34"/>
  <c r="DI6" i="34" s="1"/>
  <c r="AC41" i="83"/>
  <c r="S38" i="83"/>
  <c r="EE6" i="34" l="1"/>
  <c r="EQ6" i="34"/>
  <c r="ED6" i="34"/>
  <c r="EP6" i="34"/>
  <c r="EM6" i="34"/>
  <c r="EA6" i="34"/>
  <c r="EN6" i="34"/>
  <c r="EB6" i="34"/>
  <c r="N315" i="73"/>
  <c r="M314" i="73"/>
  <c r="M316" i="73" s="1"/>
  <c r="AC38" i="83"/>
  <c r="AX29" i="9"/>
  <c r="AW29" i="9"/>
  <c r="AY29" i="9"/>
  <c r="AZ29" i="9"/>
  <c r="BA137" i="9"/>
  <c r="BA136" i="9" s="1"/>
  <c r="O315" i="73" l="1"/>
  <c r="N314" i="73"/>
  <c r="N316" i="73" s="1"/>
  <c r="AY28" i="9"/>
  <c r="AY26" i="9" s="1"/>
  <c r="AY137" i="9"/>
  <c r="AY136" i="9" s="1"/>
  <c r="AW28" i="9"/>
  <c r="AW26" i="9" s="1"/>
  <c r="AW137" i="9"/>
  <c r="AW136" i="9" s="1"/>
  <c r="AX137" i="9"/>
  <c r="AX136" i="9" s="1"/>
  <c r="AX28" i="9"/>
  <c r="AX26" i="9" s="1"/>
  <c r="BA141" i="9"/>
  <c r="BA140" i="9"/>
  <c r="AZ28" i="9"/>
  <c r="AZ137" i="9"/>
  <c r="AZ136" i="9" s="1"/>
  <c r="AZ26" i="9" l="1"/>
  <c r="P315" i="73"/>
  <c r="O314" i="73"/>
  <c r="O316" i="73" s="1"/>
  <c r="AY140" i="9"/>
  <c r="AY141" i="9"/>
  <c r="AW140" i="9"/>
  <c r="AW141" i="9"/>
  <c r="AZ140" i="9"/>
  <c r="AZ141" i="9"/>
  <c r="AX141" i="9"/>
  <c r="AX140" i="9"/>
  <c r="Q315" i="73" l="1"/>
  <c r="P314" i="73"/>
  <c r="P316" i="73" s="1"/>
  <c r="R315" i="73" l="1"/>
  <c r="Q314" i="73"/>
  <c r="Q316" i="73" s="1"/>
  <c r="S315" i="73" l="1"/>
  <c r="R314" i="73"/>
  <c r="R316" i="73" s="1"/>
  <c r="T315" i="73" l="1"/>
  <c r="S314" i="73"/>
  <c r="S316" i="73" s="1"/>
  <c r="U315" i="73" l="1"/>
  <c r="T314" i="73"/>
  <c r="T316" i="73" s="1"/>
  <c r="V315" i="73" l="1"/>
  <c r="U314" i="73"/>
  <c r="U316" i="73" s="1"/>
  <c r="W315" i="73" l="1"/>
  <c r="V314" i="73"/>
  <c r="V316" i="73" s="1"/>
  <c r="AQ63" i="63" l="1"/>
  <c r="BC26" i="9"/>
  <c r="X315" i="73"/>
  <c r="W314" i="73"/>
  <c r="W316" i="73" s="1"/>
  <c r="AQ6" i="63" l="1"/>
  <c r="AQ11" i="63" s="1"/>
  <c r="AQ14" i="63" s="1"/>
  <c r="AQ92" i="63"/>
  <c r="AQ96" i="63" s="1"/>
  <c r="Y315" i="73"/>
  <c r="X314" i="73"/>
  <c r="X316" i="73" s="1"/>
  <c r="Z315" i="73" l="1"/>
  <c r="Y314" i="73"/>
  <c r="Y316" i="73" s="1"/>
  <c r="AA315" i="73" l="1"/>
  <c r="Z314" i="73"/>
  <c r="Z316" i="73" s="1"/>
  <c r="AB315" i="73" l="1"/>
  <c r="AA314" i="73"/>
  <c r="AA316" i="73" s="1"/>
  <c r="AC315" i="73" l="1"/>
  <c r="AB314" i="73"/>
  <c r="AB316" i="73" s="1"/>
  <c r="AD315" i="73" l="1"/>
  <c r="AC314" i="73"/>
  <c r="AC316" i="73" s="1"/>
  <c r="AE315" i="73" l="1"/>
  <c r="AD314" i="73"/>
  <c r="AD316" i="73" s="1"/>
  <c r="AF315" i="73" l="1"/>
  <c r="AE314" i="73"/>
  <c r="AE316" i="73" s="1"/>
  <c r="AG315" i="73" l="1"/>
  <c r="AF314" i="73"/>
  <c r="AF316" i="73" s="1"/>
  <c r="AH315" i="73" l="1"/>
  <c r="AG314" i="73"/>
  <c r="AG316" i="73" s="1"/>
  <c r="AI315" i="73" l="1"/>
  <c r="AH314" i="73"/>
  <c r="AH316" i="73" s="1"/>
  <c r="AJ315" i="73" l="1"/>
  <c r="AI314" i="73"/>
  <c r="AI316" i="73" s="1"/>
  <c r="AK315" i="73" l="1"/>
  <c r="AJ314" i="73"/>
  <c r="AJ316" i="73" s="1"/>
  <c r="AL315" i="73" l="1"/>
  <c r="AK314" i="73"/>
  <c r="AK316" i="73" s="1"/>
  <c r="AM315" i="73" l="1"/>
  <c r="AL314" i="73"/>
  <c r="AL316" i="73" s="1"/>
  <c r="AN315" i="73" l="1"/>
  <c r="AM314" i="73"/>
  <c r="AM316" i="73" s="1"/>
  <c r="AO315" i="73" l="1"/>
  <c r="AN314" i="73"/>
  <c r="AN316" i="73" s="1"/>
  <c r="AP315" i="73" l="1"/>
  <c r="AO314" i="73"/>
  <c r="AO316" i="73" s="1"/>
  <c r="AA346" i="36"/>
  <c r="AA344" i="36" l="1"/>
  <c r="AA347" i="36" s="1"/>
  <c r="Y347" i="36"/>
  <c r="Y358" i="36" s="1"/>
  <c r="Y370" i="36" l="1"/>
  <c r="Y382" i="36" s="1"/>
  <c r="Y394" i="36" s="1"/>
  <c r="Y406" i="36" s="1"/>
  <c r="Y418" i="36" s="1"/>
  <c r="AA358" i="36"/>
  <c r="Y430" i="36" l="1"/>
  <c r="AA370" i="36"/>
  <c r="AA382" i="36" l="1"/>
  <c r="AA394" i="36" s="1"/>
  <c r="AA406" i="36" s="1"/>
  <c r="AW20" i="67" l="1"/>
  <c r="L18" i="76" l="1"/>
  <c r="AA107" i="83"/>
  <c r="AN112" i="83"/>
  <c r="Q82" i="83"/>
  <c r="AI107" i="83"/>
  <c r="Q112" i="83"/>
  <c r="AL87" i="83"/>
  <c r="R87" i="83"/>
  <c r="Z87" i="83"/>
  <c r="AA82" i="83"/>
  <c r="U112" i="83"/>
  <c r="R112" i="83"/>
  <c r="AB87" i="83"/>
  <c r="AG87" i="83"/>
  <c r="AK107" i="83"/>
  <c r="U87" i="83"/>
  <c r="AD112" i="83"/>
  <c r="AI87" i="83"/>
  <c r="Q107" i="83"/>
  <c r="Y112" i="83"/>
  <c r="R82" i="83"/>
  <c r="O107" i="83"/>
  <c r="AL112" i="83"/>
  <c r="V112" i="83"/>
  <c r="V82" i="83"/>
  <c r="T82" i="83"/>
  <c r="T112" i="83"/>
  <c r="O82" i="83"/>
  <c r="AD107" i="83"/>
  <c r="AN82" i="83"/>
  <c r="Z107" i="83"/>
  <c r="AA87" i="83"/>
  <c r="AI82" i="83"/>
  <c r="U107" i="83"/>
  <c r="AE87" i="83"/>
  <c r="AF112" i="83"/>
  <c r="AB107" i="83"/>
  <c r="AE82" i="83"/>
  <c r="Q87" i="83"/>
  <c r="AF82" i="83"/>
  <c r="AA112" i="83"/>
  <c r="T107" i="83"/>
  <c r="AK82" i="83"/>
  <c r="AD82" i="83"/>
  <c r="AF87" i="83"/>
  <c r="W107" i="83"/>
  <c r="O112" i="83"/>
  <c r="O87" i="83"/>
  <c r="AE107" i="83"/>
  <c r="AL82" i="83"/>
  <c r="AJ107" i="83"/>
  <c r="W87" i="83"/>
  <c r="Z82" i="83"/>
  <c r="Y87" i="83"/>
  <c r="AK87" i="83"/>
  <c r="P107" i="83"/>
  <c r="AE112" i="83"/>
  <c r="V107" i="83"/>
  <c r="AJ112" i="83"/>
  <c r="AF107" i="83"/>
  <c r="P82" i="83"/>
  <c r="AJ87" i="83"/>
  <c r="AB112" i="83"/>
  <c r="R107" i="83"/>
  <c r="AN107" i="83"/>
  <c r="AL107" i="83"/>
  <c r="W112" i="83"/>
  <c r="AB82" i="83"/>
  <c r="AI112" i="83"/>
  <c r="Y82" i="83"/>
  <c r="U82" i="83"/>
  <c r="P112" i="83"/>
  <c r="AK112" i="83"/>
  <c r="AG112" i="83"/>
  <c r="T87" i="83"/>
  <c r="AN87" i="83"/>
  <c r="P87" i="83"/>
  <c r="V87" i="83"/>
  <c r="AG82" i="83"/>
  <c r="AG107" i="83"/>
  <c r="AJ82" i="83"/>
  <c r="Z112" i="83"/>
  <c r="W82" i="83"/>
  <c r="AD87" i="83"/>
  <c r="Y107" i="83"/>
  <c r="R20" i="83" l="1"/>
  <c r="AK25" i="83"/>
  <c r="Z25" i="83"/>
  <c r="AI25" i="83"/>
  <c r="AM87" i="83"/>
  <c r="X112" i="83"/>
  <c r="AH87" i="83"/>
  <c r="AD25" i="83"/>
  <c r="AA20" i="83"/>
  <c r="W25" i="83"/>
  <c r="AC107" i="83"/>
  <c r="AE20" i="83"/>
  <c r="AG25" i="83"/>
  <c r="AH112" i="83"/>
  <c r="AA25" i="83"/>
  <c r="S82" i="83"/>
  <c r="O20" i="83"/>
  <c r="AK20" i="83"/>
  <c r="AH82" i="83"/>
  <c r="AD20" i="83"/>
  <c r="AJ20" i="83"/>
  <c r="W20" i="83"/>
  <c r="AM112" i="83"/>
  <c r="T25" i="83"/>
  <c r="X87" i="83"/>
  <c r="Q25" i="83"/>
  <c r="S112" i="83"/>
  <c r="U20" i="83"/>
  <c r="V20" i="83"/>
  <c r="R25" i="83"/>
  <c r="AE25" i="83"/>
  <c r="AN20" i="83"/>
  <c r="AF25" i="83"/>
  <c r="AL25" i="83"/>
  <c r="Q20" i="83"/>
  <c r="V25" i="83"/>
  <c r="AG20" i="83"/>
  <c r="AM82" i="83"/>
  <c r="AI20" i="83"/>
  <c r="AH107" i="83"/>
  <c r="U25" i="83"/>
  <c r="S87" i="83"/>
  <c r="O25" i="83"/>
  <c r="AF20" i="83"/>
  <c r="AB20" i="83"/>
  <c r="AM107" i="83"/>
  <c r="AN25" i="83"/>
  <c r="S107" i="83"/>
  <c r="AC112" i="83"/>
  <c r="AJ25" i="83"/>
  <c r="Y25" i="83"/>
  <c r="AC87" i="83"/>
  <c r="AL20" i="83"/>
  <c r="P25" i="83"/>
  <c r="P20" i="83"/>
  <c r="X82" i="83"/>
  <c r="T20" i="83"/>
  <c r="AB25" i="83"/>
  <c r="Y20" i="83"/>
  <c r="AC82" i="83"/>
  <c r="Z20" i="83"/>
  <c r="X107" i="83"/>
  <c r="AC25" i="83" l="1"/>
  <c r="S25" i="83"/>
  <c r="X20" i="83"/>
  <c r="AM20" i="83"/>
  <c r="AC20" i="83"/>
  <c r="AH25" i="83"/>
  <c r="X25" i="83"/>
  <c r="AH20" i="83"/>
  <c r="AM25" i="83"/>
  <c r="S20" i="83"/>
  <c r="L17" i="76" l="1"/>
  <c r="L16" i="76" l="1"/>
  <c r="L15" i="76" s="1"/>
  <c r="G15" i="76"/>
  <c r="J15" i="76" l="1"/>
  <c r="BF10" i="10" l="1"/>
  <c r="BK8" i="2" s="1"/>
  <c r="BF8" i="12" l="1"/>
  <c r="BF12" i="10"/>
  <c r="BK6" i="2" l="1"/>
  <c r="BF14" i="10"/>
  <c r="BF16" i="10" s="1"/>
  <c r="BF10" i="12"/>
  <c r="BF50" i="9" l="1"/>
  <c r="BF35" i="10"/>
  <c r="AY11" i="30"/>
  <c r="BF12" i="12"/>
  <c r="BF14" i="12" s="1"/>
  <c r="BF40" i="10"/>
  <c r="BK10" i="2"/>
  <c r="BF43" i="10" l="1"/>
  <c r="BF45" i="10" s="1"/>
  <c r="BF48" i="10" s="1"/>
  <c r="BF36" i="10"/>
  <c r="BF39" i="12"/>
  <c r="BF34" i="12"/>
  <c r="AX11" i="53"/>
  <c r="BK16" i="2"/>
  <c r="BI15" i="9" l="1"/>
  <c r="BI20" i="9"/>
  <c r="BI16" i="9"/>
  <c r="BJ16" i="9"/>
  <c r="BJ20" i="9"/>
  <c r="BI24" i="9"/>
  <c r="BH24" i="9"/>
  <c r="BH15" i="9"/>
  <c r="BH20" i="9"/>
  <c r="BG24" i="9"/>
  <c r="BH16" i="9"/>
  <c r="BG15" i="9"/>
  <c r="BF15" i="9"/>
  <c r="BF16" i="9"/>
  <c r="BG16" i="9"/>
  <c r="BF24" i="9"/>
  <c r="BF42" i="12"/>
  <c r="BF44" i="12" s="1"/>
  <c r="BF35" i="12"/>
  <c r="BK19" i="2"/>
  <c r="BI27" i="9" l="1"/>
  <c r="BI133" i="9" s="1"/>
  <c r="BI135" i="9" s="1"/>
  <c r="BF48" i="12"/>
  <c r="BH27" i="9"/>
  <c r="BG27" i="9"/>
  <c r="BG133" i="9" s="1"/>
  <c r="BG135" i="9" s="1"/>
  <c r="BF27" i="9"/>
  <c r="BF133" i="9" s="1"/>
  <c r="BF135" i="9" s="1"/>
  <c r="BK24" i="2"/>
  <c r="BK26" i="2" s="1"/>
  <c r="BK28" i="2" s="1"/>
  <c r="BF25" i="9" l="1"/>
  <c r="BF50" i="12"/>
  <c r="BH133" i="9"/>
  <c r="BH135" i="9" s="1"/>
  <c r="AT18" i="63"/>
  <c r="BK30" i="2"/>
  <c r="M9" i="76" l="1"/>
  <c r="M13" i="76"/>
  <c r="AA418" i="36"/>
  <c r="AA430" i="36" l="1"/>
  <c r="AV63" i="63"/>
  <c r="H199" i="80"/>
  <c r="G199" i="80"/>
  <c r="AU45" i="68"/>
  <c r="AU51" i="68" s="1"/>
  <c r="AU61" i="68" s="1"/>
  <c r="H207" i="80" l="1"/>
  <c r="H215" i="80" s="1"/>
  <c r="G207" i="80"/>
  <c r="G215" i="80" s="1"/>
  <c r="AV92" i="63"/>
  <c r="AV96" i="63" s="1"/>
  <c r="AV6" i="63"/>
  <c r="AV14" i="63" s="1"/>
  <c r="AT79" i="63"/>
  <c r="L29" i="23" l="1"/>
  <c r="M29" i="23"/>
  <c r="N29" i="23" l="1"/>
  <c r="AD24" i="13"/>
  <c r="AD23" i="13" s="1"/>
  <c r="BF53" i="9"/>
  <c r="BO42" i="3"/>
  <c r="AX35" i="52"/>
  <c r="BG7" i="9" l="1"/>
  <c r="BG6" i="9"/>
  <c r="BG8" i="9"/>
  <c r="AX19" i="65"/>
  <c r="E29" i="23" l="1"/>
  <c r="AX90" i="71"/>
  <c r="G29" i="23"/>
  <c r="F29" i="23" l="1"/>
  <c r="AT63" i="63" l="1"/>
  <c r="AT6" i="63" l="1"/>
  <c r="AT14" i="63" s="1"/>
  <c r="AT92" i="63"/>
  <c r="AT96" i="63" s="1"/>
  <c r="M15" i="76" l="1"/>
  <c r="AW33" i="67"/>
  <c r="AW39" i="67" s="1"/>
  <c r="K357" i="79" l="1"/>
  <c r="K365" i="79" l="1"/>
  <c r="K373" i="79" s="1"/>
  <c r="M357" i="79"/>
  <c r="K382" i="79" l="1"/>
  <c r="K391" i="79" s="1"/>
  <c r="K400" i="79" s="1"/>
  <c r="M365" i="79"/>
  <c r="M373" i="79" s="1"/>
  <c r="M382" i="79" l="1"/>
  <c r="AY22" i="26"/>
  <c r="AY23" i="26" s="1"/>
  <c r="M391" i="79" l="1"/>
  <c r="AY12" i="26"/>
  <c r="AY13" i="26" s="1"/>
  <c r="M400" i="79" l="1"/>
  <c r="FA11" i="85"/>
  <c r="EG11" i="85"/>
  <c r="FB11" i="85"/>
  <c r="EH11" i="85"/>
  <c r="ED11" i="85"/>
  <c r="GS11" i="85"/>
  <c r="GT18" i="85"/>
  <c r="GT38" i="85" s="1"/>
  <c r="GV38" i="85" s="1"/>
  <c r="HB38" i="85" s="1"/>
  <c r="HH38" i="85" s="1"/>
  <c r="GV17" i="85"/>
  <c r="GV18" i="85" l="1"/>
  <c r="HB17" i="85"/>
  <c r="EF10" i="85"/>
  <c r="EJ10" i="85" s="1"/>
  <c r="EN10" i="85" s="1"/>
  <c r="ER10" i="85" s="1"/>
  <c r="EV10" i="85" s="1"/>
  <c r="EZ10" i="85" s="1"/>
  <c r="FD10" i="85" s="1"/>
  <c r="FH10" i="85" s="1"/>
  <c r="FL10" i="85" s="1"/>
  <c r="FP10" i="85" s="1"/>
  <c r="FT10" i="85" s="1"/>
  <c r="FX10" i="85" s="1"/>
  <c r="GD10" i="85" s="1"/>
  <c r="EC11" i="85"/>
  <c r="EF11" i="85" s="1"/>
  <c r="EJ11" i="85" s="1"/>
  <c r="EN11" i="85" s="1"/>
  <c r="ER11" i="85" s="1"/>
  <c r="EV11" i="85" s="1"/>
  <c r="EZ11" i="85" s="1"/>
  <c r="FD11" i="85" s="1"/>
  <c r="FH11" i="85" s="1"/>
  <c r="FL11" i="85" s="1"/>
  <c r="FP11" i="85" s="1"/>
  <c r="FT11" i="85" s="1"/>
  <c r="FX11" i="85" s="1"/>
  <c r="GD11" i="85" s="1"/>
  <c r="GJ11" i="85" s="1"/>
  <c r="GP11" i="85" s="1"/>
  <c r="GQ11" i="85"/>
  <c r="HB18" i="85" l="1"/>
  <c r="GV11" i="85"/>
  <c r="HB11" i="85" s="1"/>
  <c r="HH11" i="85" s="1"/>
  <c r="AU79" i="63"/>
  <c r="AE24" i="13" l="1"/>
  <c r="AE23" i="13" s="1"/>
  <c r="AY35" i="52"/>
  <c r="AY51" i="52" s="1"/>
  <c r="AU45" i="63" l="1"/>
  <c r="AX17" i="67" l="1"/>
  <c r="AX20" i="67" s="1"/>
  <c r="AY90" i="71" l="1"/>
  <c r="AU54" i="63"/>
  <c r="AU63" i="63" s="1"/>
  <c r="AU6" i="63" l="1"/>
  <c r="AU14" i="63" s="1"/>
  <c r="AU92" i="63"/>
  <c r="AU96" i="63" s="1"/>
  <c r="AX33" i="67" l="1"/>
  <c r="AX39" i="67" s="1"/>
  <c r="Q357" i="79" l="1"/>
  <c r="Q365" i="79" l="1"/>
  <c r="T357" i="79"/>
  <c r="R357" i="79"/>
  <c r="Q373" i="79" l="1"/>
  <c r="R365" i="79"/>
  <c r="R373" i="79" s="1"/>
  <c r="T365" i="79"/>
  <c r="T373" i="79" s="1"/>
  <c r="BO78" i="3"/>
  <c r="BI25" i="9" s="1"/>
  <c r="BF30" i="9"/>
  <c r="R382" i="79" l="1"/>
  <c r="R391" i="79" s="1"/>
  <c r="T382" i="79"/>
  <c r="T391" i="79" s="1"/>
  <c r="BG17" i="9"/>
  <c r="Q382" i="79"/>
  <c r="BG30" i="9"/>
  <c r="BH25" i="9"/>
  <c r="BG25" i="9"/>
  <c r="BO90" i="3"/>
  <c r="BO91" i="3" s="1"/>
  <c r="AZ22" i="26"/>
  <c r="AZ23" i="26" s="1"/>
  <c r="BF28" i="9"/>
  <c r="BF26" i="9" s="1"/>
  <c r="BF138" i="9"/>
  <c r="BF136" i="9" s="1"/>
  <c r="Q391" i="79" l="1"/>
  <c r="BG28" i="9"/>
  <c r="BG26" i="9" s="1"/>
  <c r="BG138" i="9"/>
  <c r="BG136" i="9" s="1"/>
  <c r="BG140" i="9" s="1"/>
  <c r="BF141" i="9"/>
  <c r="BF140" i="9"/>
  <c r="AZ12" i="26"/>
  <c r="AZ13" i="26" s="1"/>
  <c r="Q400" i="79" l="1"/>
  <c r="BG141" i="9"/>
  <c r="P289" i="77" l="1"/>
  <c r="P288" i="77" l="1"/>
  <c r="P287" i="77" l="1"/>
  <c r="P286" i="77" l="1"/>
  <c r="P285" i="77" l="1"/>
  <c r="P284" i="77" l="1"/>
  <c r="X283" i="77" l="1"/>
  <c r="P283" i="77" l="1"/>
  <c r="X282" i="77" l="1"/>
  <c r="Z282" i="77"/>
  <c r="P282" i="77" l="1"/>
  <c r="P281" i="77" l="1"/>
  <c r="P280" i="77" l="1"/>
  <c r="X279" i="77" l="1"/>
  <c r="Z279" i="77"/>
  <c r="P279" i="77" l="1"/>
  <c r="P278" i="77" l="1"/>
  <c r="V277" i="77" l="1"/>
  <c r="W277" i="77"/>
  <c r="Y277" i="77"/>
  <c r="X277" i="77" l="1"/>
  <c r="Z277" i="77"/>
  <c r="P277" i="77" l="1"/>
  <c r="Z276" i="77" l="1"/>
  <c r="X276" i="77"/>
  <c r="P276" i="77" l="1"/>
  <c r="P273" i="77"/>
  <c r="P258" i="77"/>
  <c r="P259" i="77"/>
  <c r="P260" i="77"/>
  <c r="P269" i="77"/>
  <c r="P270" i="77"/>
  <c r="P257" i="77"/>
  <c r="AY109" i="77"/>
  <c r="P271" i="77"/>
  <c r="AX109" i="77"/>
  <c r="AZ109" i="77"/>
  <c r="P262" i="77"/>
  <c r="P264" i="77"/>
  <c r="P275" i="77"/>
  <c r="BA109" i="77"/>
  <c r="P266" i="77"/>
  <c r="P274" i="77"/>
  <c r="P263" i="77"/>
  <c r="P267" i="77"/>
  <c r="P268" i="77"/>
  <c r="AW109" i="77"/>
  <c r="P261" i="77"/>
  <c r="P265" i="77"/>
  <c r="P272" i="77"/>
  <c r="AW108" i="77"/>
  <c r="AQ257" i="77"/>
  <c r="AR257" i="77"/>
  <c r="AX108" i="77"/>
  <c r="AY108" i="77"/>
  <c r="AS257" i="77"/>
  <c r="AT257" i="77"/>
  <c r="AZ108" i="77"/>
  <c r="BA108" i="77"/>
  <c r="AU257" i="77"/>
  <c r="X268" i="77"/>
  <c r="Z268" i="77"/>
  <c r="X269" i="77"/>
  <c r="Z269" i="77"/>
  <c r="X270" i="77"/>
  <c r="Z270" i="77"/>
  <c r="X271" i="77"/>
  <c r="Z271" i="77"/>
  <c r="AB271" i="77"/>
  <c r="X272" i="77"/>
  <c r="Z272" i="77"/>
  <c r="AX257" i="77" l="1"/>
  <c r="BA257" i="77"/>
  <c r="AZ257" i="77"/>
  <c r="AY257" i="77"/>
  <c r="AW257" i="77"/>
  <c r="AP314" i="73" l="1"/>
  <c r="AP316" i="73" s="1"/>
  <c r="AP5" i="10"/>
  <c r="AP2" i="10"/>
  <c r="AP5" i="49"/>
  <c r="AP2" i="49"/>
  <c r="AP5" i="46"/>
  <c r="AP2" i="46"/>
  <c r="AP2" i="63"/>
  <c r="AP2" i="24"/>
  <c r="AP5" i="24"/>
  <c r="AP2" i="29"/>
  <c r="AP5" i="29"/>
  <c r="AP2" i="32"/>
  <c r="AP5" i="32"/>
  <c r="AP5" i="53"/>
  <c r="AP2" i="53"/>
  <c r="AP2" i="30"/>
  <c r="AP5" i="30"/>
  <c r="AP5" i="52"/>
  <c r="AP2" i="52"/>
  <c r="AP3" i="9"/>
  <c r="AP2" i="9"/>
  <c r="AP5" i="65"/>
  <c r="AP2" i="65"/>
  <c r="AP2" i="12"/>
  <c r="AP5" i="12"/>
  <c r="AP5" i="83"/>
  <c r="AP92" i="83" s="1"/>
  <c r="AP112" i="83" s="1"/>
  <c r="AP2" i="83"/>
  <c r="AP2" i="1"/>
  <c r="AP5" i="1"/>
  <c r="AP2" i="2"/>
  <c r="AP5" i="2"/>
  <c r="AP106" i="46"/>
  <c r="AP5" i="55"/>
  <c r="AP2" i="55"/>
  <c r="AP5" i="67"/>
  <c r="AP2" i="67"/>
  <c r="AP30" i="34"/>
  <c r="AP2" i="34"/>
  <c r="AP5" i="71"/>
  <c r="AP2" i="71"/>
  <c r="AP2" i="33"/>
  <c r="AP5" i="39"/>
  <c r="AP11" i="39" s="1"/>
  <c r="AP2" i="39"/>
  <c r="AP2" i="72"/>
  <c r="AP5" i="72"/>
  <c r="AP2" i="61"/>
  <c r="AP2" i="3"/>
  <c r="AP2" i="66"/>
  <c r="AP5" i="66"/>
  <c r="AP5" i="63"/>
  <c r="AP5" i="26"/>
  <c r="AP15" i="26" s="1"/>
  <c r="AP2" i="26"/>
  <c r="AP2" i="44"/>
  <c r="AP24" i="32"/>
  <c r="AP30" i="32" s="1"/>
  <c r="AP5" i="48"/>
  <c r="AP2" i="48"/>
  <c r="AP5" i="3"/>
  <c r="AP5" i="45"/>
  <c r="AP2" i="45"/>
  <c r="AP5" i="84"/>
  <c r="AR30" i="34"/>
  <c r="DL5" i="34" s="1"/>
  <c r="AP5" i="44"/>
  <c r="AP24" i="44" s="1"/>
  <c r="AP5" i="61"/>
  <c r="AP21" i="61" s="1"/>
  <c r="AP37" i="61" s="1"/>
  <c r="AP5" i="33"/>
  <c r="AP19" i="33" s="1"/>
  <c r="AP33" i="33" s="1"/>
  <c r="AP2" i="31"/>
  <c r="AP5" i="31"/>
  <c r="AP8" i="84" l="1"/>
  <c r="AP13" i="84"/>
  <c r="AP14" i="84"/>
  <c r="AP10" i="84"/>
  <c r="AP7" i="84"/>
  <c r="AP11" i="84"/>
  <c r="AP17" i="63"/>
  <c r="AP41" i="3"/>
  <c r="AP23" i="31"/>
  <c r="AP14" i="31"/>
  <c r="AP25" i="45"/>
  <c r="AP15" i="45"/>
  <c r="AP34" i="71"/>
  <c r="AP63" i="71"/>
  <c r="AP161" i="83"/>
  <c r="AP116" i="83"/>
  <c r="AP20" i="30"/>
  <c r="AP13" i="30"/>
  <c r="AP35" i="83"/>
  <c r="AP41" i="49"/>
  <c r="AP23" i="49"/>
  <c r="AP12" i="53"/>
  <c r="AP19" i="53"/>
  <c r="AP130" i="83"/>
  <c r="AP150" i="83"/>
  <c r="AP21" i="52"/>
  <c r="AP37" i="52"/>
  <c r="AP23" i="32"/>
  <c r="AP14" i="32"/>
  <c r="AP36" i="46"/>
  <c r="AP43" i="46"/>
  <c r="AP68" i="46"/>
  <c r="AP93" i="46"/>
  <c r="AP105" i="46"/>
  <c r="AP30" i="46"/>
  <c r="AP24" i="46"/>
  <c r="AP55" i="46"/>
  <c r="AP81" i="46"/>
  <c r="AP17" i="46"/>
  <c r="AP74" i="46"/>
  <c r="AP49" i="46"/>
  <c r="AP11" i="46"/>
  <c r="AP62" i="46"/>
  <c r="AP5" i="9"/>
  <c r="AP34" i="9"/>
  <c r="AP11" i="9"/>
  <c r="AP56" i="9"/>
  <c r="AP63" i="9"/>
  <c r="AP23" i="9"/>
  <c r="AP48" i="9"/>
  <c r="AP38" i="9"/>
  <c r="AP132" i="9"/>
  <c r="AP10" i="29"/>
  <c r="AP15" i="29"/>
  <c r="AP21" i="65"/>
  <c r="AP13" i="65"/>
  <c r="AP82" i="83"/>
  <c r="AP87" i="83"/>
  <c r="AP164" i="83" l="1"/>
  <c r="AP162" i="83"/>
  <c r="AP25" i="83"/>
  <c r="AP39" i="83"/>
  <c r="AP37" i="83"/>
  <c r="AP38" i="83" s="1"/>
  <c r="AQ1" i="67"/>
  <c r="AQ5" i="67" s="1"/>
  <c r="AQ1" i="24"/>
  <c r="AQ2" i="24" s="1"/>
  <c r="AP107" i="83"/>
  <c r="AP20" i="83" l="1"/>
  <c r="AR1" i="67"/>
  <c r="AR2" i="67" s="1"/>
  <c r="AQ2" i="67"/>
  <c r="AP41" i="83"/>
  <c r="AP40" i="83"/>
  <c r="AR1" i="24"/>
  <c r="AQ5" i="24"/>
  <c r="AQ1" i="10"/>
  <c r="AR1" i="10" s="1"/>
  <c r="AQ1" i="72"/>
  <c r="AQ2" i="72" s="1"/>
  <c r="AQ1" i="55"/>
  <c r="AQ2" i="55" s="1"/>
  <c r="AR5" i="67" l="1"/>
  <c r="AS1" i="67"/>
  <c r="AS5" i="67" s="1"/>
  <c r="AR1" i="55"/>
  <c r="AS1" i="55" s="1"/>
  <c r="AQ5" i="10"/>
  <c r="AR5" i="10"/>
  <c r="AR2" i="10"/>
  <c r="AS1" i="10"/>
  <c r="AQ5" i="72"/>
  <c r="AR1" i="72"/>
  <c r="AR5" i="24"/>
  <c r="AR2" i="24"/>
  <c r="AS1" i="24"/>
  <c r="AQ5" i="55"/>
  <c r="AQ2" i="10"/>
  <c r="AQ1" i="39"/>
  <c r="AQ5" i="39" s="1"/>
  <c r="AQ11" i="39" s="1"/>
  <c r="AT1" i="67" l="1"/>
  <c r="AS2" i="67"/>
  <c r="AR5" i="55"/>
  <c r="AR2" i="55"/>
  <c r="AS2" i="55"/>
  <c r="AS5" i="55"/>
  <c r="AT1" i="55"/>
  <c r="AR5" i="72"/>
  <c r="AR2" i="72"/>
  <c r="AS1" i="72"/>
  <c r="AT5" i="67"/>
  <c r="AT2" i="67"/>
  <c r="AU1" i="67"/>
  <c r="AR1" i="39"/>
  <c r="AQ2" i="39"/>
  <c r="AS2" i="10"/>
  <c r="AS5" i="10"/>
  <c r="AT1" i="10"/>
  <c r="AS5" i="24"/>
  <c r="AS2" i="24"/>
  <c r="AT1" i="24"/>
  <c r="AR5" i="39" l="1"/>
  <c r="AR11" i="39" s="1"/>
  <c r="AR2" i="39"/>
  <c r="AS1" i="39"/>
  <c r="AU2" i="67"/>
  <c r="AU5" i="67"/>
  <c r="AV1" i="67"/>
  <c r="AT1" i="72"/>
  <c r="AS2" i="72"/>
  <c r="AS5" i="72"/>
  <c r="AT5" i="55"/>
  <c r="AT2" i="55"/>
  <c r="AU1" i="55"/>
  <c r="AT5" i="10"/>
  <c r="AT2" i="10"/>
  <c r="AU1" i="10"/>
  <c r="AT5" i="24"/>
  <c r="AT2" i="24"/>
  <c r="AU1" i="24"/>
  <c r="AU1" i="72" l="1"/>
  <c r="AV1" i="72" s="1"/>
  <c r="AW1" i="72" s="1"/>
  <c r="AT2" i="72"/>
  <c r="AT5" i="72"/>
  <c r="AU5" i="55"/>
  <c r="AV1" i="55"/>
  <c r="AU2" i="55"/>
  <c r="AV2" i="67"/>
  <c r="AV5" i="67"/>
  <c r="AW1" i="67"/>
  <c r="AU2" i="24"/>
  <c r="AU5" i="24"/>
  <c r="AV1" i="24"/>
  <c r="AS5" i="39"/>
  <c r="AS11" i="39" s="1"/>
  <c r="AS2" i="39"/>
  <c r="AT1" i="39"/>
  <c r="AU2" i="10"/>
  <c r="AU5" i="10"/>
  <c r="AV1" i="10"/>
  <c r="AX1" i="72" l="1"/>
  <c r="AW2" i="72"/>
  <c r="AW5" i="72"/>
  <c r="AX2" i="72"/>
  <c r="AX5" i="72"/>
  <c r="AV5" i="72"/>
  <c r="AV2" i="72"/>
  <c r="AW2" i="67"/>
  <c r="AW5" i="67"/>
  <c r="AX1" i="67"/>
  <c r="AV2" i="10"/>
  <c r="AV5" i="10"/>
  <c r="AW1" i="10"/>
  <c r="AV5" i="55"/>
  <c r="AV2" i="55"/>
  <c r="AW1" i="55"/>
  <c r="AT5" i="39"/>
  <c r="AT11" i="39" s="1"/>
  <c r="AT2" i="39"/>
  <c r="AU1" i="39"/>
  <c r="AV5" i="24"/>
  <c r="AV2" i="24"/>
  <c r="AW1" i="24"/>
  <c r="AU5" i="72"/>
  <c r="AU2" i="72"/>
  <c r="AU2" i="39" l="1"/>
  <c r="AV1" i="39"/>
  <c r="AU5" i="39"/>
  <c r="AU11" i="39" s="1"/>
  <c r="AW5" i="55"/>
  <c r="AW2" i="55"/>
  <c r="AX1" i="55"/>
  <c r="AW5" i="10"/>
  <c r="AW2" i="10"/>
  <c r="AX1" i="10"/>
  <c r="AW2" i="24"/>
  <c r="AW5" i="24"/>
  <c r="AX1" i="24"/>
  <c r="AY1" i="67"/>
  <c r="AZ1" i="67" s="1"/>
  <c r="AX2" i="67"/>
  <c r="AX5" i="67"/>
  <c r="AZ2" i="67" l="1"/>
  <c r="AZ5" i="67"/>
  <c r="BA1" i="67"/>
  <c r="BA5" i="67" s="1"/>
  <c r="AX5" i="10"/>
  <c r="AX2" i="10"/>
  <c r="AY1" i="10"/>
  <c r="AX5" i="55"/>
  <c r="AX2" i="55"/>
  <c r="AY1" i="55"/>
  <c r="AZ1" i="55" s="1"/>
  <c r="BA1" i="55" s="1"/>
  <c r="AX2" i="24"/>
  <c r="AX5" i="24"/>
  <c r="AY1" i="24"/>
  <c r="AV2" i="39"/>
  <c r="AV5" i="39"/>
  <c r="AV11" i="39" s="1"/>
  <c r="AW1" i="39"/>
  <c r="AY5" i="67"/>
  <c r="AY2" i="67"/>
  <c r="BA2" i="67" l="1"/>
  <c r="BA5" i="55"/>
  <c r="BB1" i="55"/>
  <c r="BB5" i="55" s="1"/>
  <c r="BA2" i="55"/>
  <c r="AZ2" i="55"/>
  <c r="AZ5" i="55"/>
  <c r="AY2" i="10"/>
  <c r="AY5" i="10"/>
  <c r="AZ1" i="10"/>
  <c r="AY5" i="24"/>
  <c r="AY2" i="24"/>
  <c r="AZ1" i="24"/>
  <c r="BA1" i="24" s="1"/>
  <c r="AY2" i="55"/>
  <c r="AY5" i="55"/>
  <c r="AW2" i="39"/>
  <c r="AW5" i="39"/>
  <c r="AW11" i="39" s="1"/>
  <c r="AX1" i="39"/>
  <c r="BB2" i="55" l="1"/>
  <c r="BB1" i="24"/>
  <c r="BB5" i="24" s="1"/>
  <c r="BA2" i="24"/>
  <c r="BA5" i="24"/>
  <c r="AX5" i="39"/>
  <c r="AX11" i="39" s="1"/>
  <c r="AX2" i="39"/>
  <c r="AY1" i="39"/>
  <c r="AZ5" i="24"/>
  <c r="AZ2" i="24"/>
  <c r="AZ5" i="10"/>
  <c r="AZ2" i="10"/>
  <c r="BA1" i="10"/>
  <c r="AQ1" i="31"/>
  <c r="AQ5" i="31" s="1"/>
  <c r="AQ14" i="31" s="1"/>
  <c r="BB2" i="24" l="1"/>
  <c r="AQ23" i="31"/>
  <c r="AZ1" i="39"/>
  <c r="BA1" i="39" s="1"/>
  <c r="AY2" i="39"/>
  <c r="AY5" i="39"/>
  <c r="AY11" i="39" s="1"/>
  <c r="BA2" i="10"/>
  <c r="BA5" i="10"/>
  <c r="BB1" i="10"/>
  <c r="AR1" i="31"/>
  <c r="AQ2" i="31"/>
  <c r="AQ315" i="73"/>
  <c r="AQ314" i="73" s="1"/>
  <c r="AQ316" i="73" s="1"/>
  <c r="AQ1" i="61"/>
  <c r="AQ5" i="61" s="1"/>
  <c r="AQ21" i="61" s="1"/>
  <c r="AQ37" i="61" s="1"/>
  <c r="AQ1" i="12"/>
  <c r="AQ2" i="12" s="1"/>
  <c r="AP103" i="46"/>
  <c r="AP104" i="46" s="1"/>
  <c r="AQ2" i="84"/>
  <c r="AR2" i="84" s="1"/>
  <c r="AS2" i="84" s="1"/>
  <c r="AT2" i="84" s="1"/>
  <c r="AU2" i="84" s="1"/>
  <c r="AV2" i="84" s="1"/>
  <c r="AW2" i="84" s="1"/>
  <c r="AX2" i="84" s="1"/>
  <c r="AY2" i="84" s="1"/>
  <c r="AZ2" i="84" s="1"/>
  <c r="BA2" i="84" s="1"/>
  <c r="BB2" i="84" s="1"/>
  <c r="BC2" i="84" s="1"/>
  <c r="BD2" i="84" s="1"/>
  <c r="BE2" i="84" s="1"/>
  <c r="BF2" i="84" s="1"/>
  <c r="BG2" i="84" s="1"/>
  <c r="BH2" i="84" s="1"/>
  <c r="BI2" i="84" s="1"/>
  <c r="BJ2" i="84" s="1"/>
  <c r="BK2" i="84" s="1"/>
  <c r="BL2" i="84" s="1"/>
  <c r="BM2" i="84" s="1"/>
  <c r="BN2" i="84" s="1"/>
  <c r="BO2" i="84" s="1"/>
  <c r="BP2" i="84" s="1"/>
  <c r="BQ2" i="84" s="1"/>
  <c r="BR2" i="84" s="1"/>
  <c r="BS2" i="84" s="1"/>
  <c r="BT2" i="84" s="1"/>
  <c r="AQ317" i="73"/>
  <c r="AR317" i="73" s="1"/>
  <c r="AS317" i="73" s="1"/>
  <c r="AT317" i="73" s="1"/>
  <c r="AU317" i="73" s="1"/>
  <c r="AV317" i="73" s="1"/>
  <c r="AW317" i="73" s="1"/>
  <c r="AX317" i="73" s="1"/>
  <c r="AY317" i="73" s="1"/>
  <c r="AZ317" i="73" s="1"/>
  <c r="BA317" i="73" s="1"/>
  <c r="BB317" i="73" s="1"/>
  <c r="BC317" i="73" s="1"/>
  <c r="BD317" i="73" s="1"/>
  <c r="BE317" i="73" s="1"/>
  <c r="BF317" i="73" s="1"/>
  <c r="BG317" i="73" s="1"/>
  <c r="BH317" i="73" s="1"/>
  <c r="BI317" i="73" s="1"/>
  <c r="BJ317" i="73" s="1"/>
  <c r="BK317" i="73" s="1"/>
  <c r="BL317" i="73" s="1"/>
  <c r="BM317" i="73" s="1"/>
  <c r="BN317" i="73" s="1"/>
  <c r="BO317" i="73" s="1"/>
  <c r="BP317" i="73" s="1"/>
  <c r="BQ317" i="73" s="1"/>
  <c r="BR317" i="73" s="1"/>
  <c r="BS317" i="73" s="1"/>
  <c r="BC11" i="39" l="1"/>
  <c r="BA2" i="39"/>
  <c r="BA5" i="39"/>
  <c r="BA11" i="39" s="1"/>
  <c r="AQ94" i="46"/>
  <c r="AQ103" i="46" s="1"/>
  <c r="AQ104" i="46" s="1"/>
  <c r="AR315" i="73"/>
  <c r="AS315" i="73" s="1"/>
  <c r="AZ2" i="39"/>
  <c r="AZ5" i="39"/>
  <c r="AZ11" i="39" s="1"/>
  <c r="AR1" i="61"/>
  <c r="AQ2" i="61"/>
  <c r="BB5" i="10"/>
  <c r="BB2" i="10"/>
  <c r="BC1" i="10"/>
  <c r="AR1" i="12"/>
  <c r="AQ5" i="12"/>
  <c r="AR5" i="31"/>
  <c r="AR2" i="31"/>
  <c r="AS1" i="31"/>
  <c r="AQ1" i="33"/>
  <c r="AQ5" i="33" s="1"/>
  <c r="AQ19" i="33" s="1"/>
  <c r="AQ33" i="33" s="1"/>
  <c r="AQ1" i="3"/>
  <c r="AQ2" i="3" s="1"/>
  <c r="AQ1" i="66"/>
  <c r="AQ5" i="66" s="1"/>
  <c r="AQ1" i="32"/>
  <c r="AQ5" i="32" s="1"/>
  <c r="AQ1" i="52"/>
  <c r="AQ5" i="52" s="1"/>
  <c r="AQ1" i="49"/>
  <c r="AQ5" i="49" s="1"/>
  <c r="AQ41" i="49" s="1"/>
  <c r="P157" i="83"/>
  <c r="AD155" i="83"/>
  <c r="Q153" i="83"/>
  <c r="AB153" i="83"/>
  <c r="L155" i="83"/>
  <c r="P151" i="83"/>
  <c r="P155" i="83"/>
  <c r="O157" i="83"/>
  <c r="AD157" i="83"/>
  <c r="V153" i="83"/>
  <c r="AG153" i="83"/>
  <c r="V155" i="83"/>
  <c r="T157" i="83"/>
  <c r="AE157" i="83"/>
  <c r="J155" i="83"/>
  <c r="AK155" i="83"/>
  <c r="L157" i="83"/>
  <c r="O153" i="83"/>
  <c r="Z155" i="83"/>
  <c r="K157" i="83"/>
  <c r="AN151" i="83"/>
  <c r="AF155" i="83"/>
  <c r="J157" i="83"/>
  <c r="T155" i="83"/>
  <c r="J151" i="83"/>
  <c r="AA153" i="83"/>
  <c r="T153" i="83"/>
  <c r="M153" i="83"/>
  <c r="AI151" i="83"/>
  <c r="O155" i="83"/>
  <c r="AN155" i="83"/>
  <c r="U157" i="83"/>
  <c r="AL151" i="83"/>
  <c r="K155" i="83"/>
  <c r="AE151" i="83"/>
  <c r="Y155" i="83"/>
  <c r="AF157" i="83"/>
  <c r="AJ151" i="83"/>
  <c r="Q151" i="83"/>
  <c r="AO157" i="83"/>
  <c r="AB157" i="83"/>
  <c r="AL155" i="83"/>
  <c r="AI155" i="83"/>
  <c r="AA157" i="83"/>
  <c r="W153" i="83"/>
  <c r="O151" i="83"/>
  <c r="M151" i="83"/>
  <c r="U151" i="83"/>
  <c r="W155" i="83"/>
  <c r="T151" i="83"/>
  <c r="AF153" i="83"/>
  <c r="R153" i="83"/>
  <c r="U153" i="83"/>
  <c r="J153" i="83"/>
  <c r="U155" i="83"/>
  <c r="W157" i="83"/>
  <c r="AB151" i="83"/>
  <c r="AE153" i="83"/>
  <c r="R157" i="83"/>
  <c r="AP151" i="83"/>
  <c r="AL153" i="83"/>
  <c r="AK157" i="83"/>
  <c r="Q155" i="83"/>
  <c r="AL157" i="83"/>
  <c r="AP153" i="83"/>
  <c r="R155" i="83"/>
  <c r="AP155" i="83"/>
  <c r="AK151" i="83"/>
  <c r="AG151" i="83"/>
  <c r="AG157" i="83"/>
  <c r="AF151" i="83"/>
  <c r="Z157" i="83"/>
  <c r="AG155" i="83"/>
  <c r="AD151" i="83"/>
  <c r="AO151" i="83"/>
  <c r="AI157" i="83"/>
  <c r="Y151" i="83"/>
  <c r="AA155" i="83"/>
  <c r="AO155" i="83"/>
  <c r="M157" i="83"/>
  <c r="AJ157" i="83"/>
  <c r="AK153" i="83"/>
  <c r="W151" i="83"/>
  <c r="V157" i="83"/>
  <c r="Y153" i="83"/>
  <c r="AJ155" i="83"/>
  <c r="Z151" i="83"/>
  <c r="AE155" i="83"/>
  <c r="V151" i="83"/>
  <c r="AB155" i="83"/>
  <c r="AJ153" i="83"/>
  <c r="Y157" i="83"/>
  <c r="AD153" i="83"/>
  <c r="AI153" i="83"/>
  <c r="R151" i="83"/>
  <c r="AN153" i="83"/>
  <c r="K151" i="83"/>
  <c r="P153" i="83"/>
  <c r="L153" i="83"/>
  <c r="AA151" i="83"/>
  <c r="AO153" i="83"/>
  <c r="AN157" i="83"/>
  <c r="M155" i="83"/>
  <c r="Z153" i="83"/>
  <c r="L151" i="83"/>
  <c r="K153" i="83"/>
  <c r="AP157" i="83"/>
  <c r="Q157" i="83"/>
  <c r="AY155" i="83" l="1"/>
  <c r="AY156" i="83" s="1"/>
  <c r="AY157" i="83"/>
  <c r="AY153" i="83"/>
  <c r="AY154" i="83" s="1"/>
  <c r="AY151" i="83"/>
  <c r="AR94" i="46"/>
  <c r="AR103" i="46" s="1"/>
  <c r="AR314" i="73"/>
  <c r="AR316" i="73" s="1"/>
  <c r="AR1" i="33"/>
  <c r="AS1" i="33" s="1"/>
  <c r="AQ23" i="49"/>
  <c r="AP156" i="83"/>
  <c r="AP152" i="83"/>
  <c r="AP159" i="83"/>
  <c r="AP158" i="83"/>
  <c r="AP154" i="83"/>
  <c r="AO152" i="83"/>
  <c r="AO154" i="83"/>
  <c r="AO156" i="83"/>
  <c r="AO159" i="83"/>
  <c r="AO158" i="83"/>
  <c r="M154" i="83"/>
  <c r="T158" i="83"/>
  <c r="T159" i="83"/>
  <c r="X157" i="83"/>
  <c r="W154" i="83"/>
  <c r="W158" i="83"/>
  <c r="W159" i="83"/>
  <c r="AA158" i="83"/>
  <c r="AA159" i="83"/>
  <c r="L159" i="83"/>
  <c r="L158" i="83"/>
  <c r="Q154" i="83"/>
  <c r="AH157" i="83"/>
  <c r="AD158" i="83"/>
  <c r="AD159" i="83"/>
  <c r="AM153" i="83"/>
  <c r="AI154" i="83"/>
  <c r="J159" i="83"/>
  <c r="J158" i="83"/>
  <c r="N157" i="83"/>
  <c r="S157" i="83"/>
  <c r="O159" i="83"/>
  <c r="O158" i="83"/>
  <c r="AL156" i="83"/>
  <c r="Z158" i="83"/>
  <c r="Z159" i="83"/>
  <c r="Y152" i="83"/>
  <c r="AC151" i="83"/>
  <c r="V154" i="83"/>
  <c r="R156" i="83"/>
  <c r="W156" i="83"/>
  <c r="T156" i="83"/>
  <c r="X155" i="83"/>
  <c r="L154" i="83"/>
  <c r="AC153" i="83"/>
  <c r="Y154" i="83"/>
  <c r="K154" i="83"/>
  <c r="AE152" i="83"/>
  <c r="L156" i="83"/>
  <c r="AL152" i="83"/>
  <c r="AF159" i="83"/>
  <c r="AF158" i="83"/>
  <c r="P154" i="83"/>
  <c r="AK158" i="83"/>
  <c r="AK159" i="83"/>
  <c r="AE156" i="83"/>
  <c r="AB152" i="83"/>
  <c r="M159" i="83"/>
  <c r="M158" i="83"/>
  <c r="N151" i="83"/>
  <c r="Y158" i="83"/>
  <c r="Y159" i="83"/>
  <c r="AC157" i="83"/>
  <c r="AB156" i="83"/>
  <c r="R152" i="83"/>
  <c r="AK152" i="83"/>
  <c r="M156" i="83"/>
  <c r="AG156" i="83"/>
  <c r="U152" i="83"/>
  <c r="AE154" i="83"/>
  <c r="R158" i="83"/>
  <c r="R159" i="83"/>
  <c r="AA156" i="83"/>
  <c r="AG152" i="83"/>
  <c r="AN152" i="83"/>
  <c r="AF152" i="83"/>
  <c r="J154" i="83"/>
  <c r="N153" i="83"/>
  <c r="AE158" i="83"/>
  <c r="AE159" i="83"/>
  <c r="AN159" i="83"/>
  <c r="AN158" i="83"/>
  <c r="Y156" i="83"/>
  <c r="AC155" i="83"/>
  <c r="AK154" i="83"/>
  <c r="AJ152" i="83"/>
  <c r="V158" i="83"/>
  <c r="V159" i="83"/>
  <c r="P152" i="83"/>
  <c r="Z156" i="83"/>
  <c r="V156" i="83"/>
  <c r="AF154" i="83"/>
  <c r="AI159" i="83"/>
  <c r="AI158" i="83"/>
  <c r="AM157" i="83"/>
  <c r="Q152" i="83"/>
  <c r="AB158" i="83"/>
  <c r="AB159" i="83"/>
  <c r="AJ156" i="83"/>
  <c r="Z152" i="83"/>
  <c r="AG154" i="83"/>
  <c r="P156" i="83"/>
  <c r="K156" i="83"/>
  <c r="S151" i="83"/>
  <c r="AJ158" i="83"/>
  <c r="AJ159" i="83"/>
  <c r="AI156" i="83"/>
  <c r="AM155" i="83"/>
  <c r="V152" i="83"/>
  <c r="AA154" i="83"/>
  <c r="AB154" i="83"/>
  <c r="Q158" i="83"/>
  <c r="Q159" i="83"/>
  <c r="R154" i="83"/>
  <c r="AG159" i="83"/>
  <c r="AG158" i="83"/>
  <c r="AA152" i="83"/>
  <c r="AK156" i="83"/>
  <c r="J156" i="83"/>
  <c r="N155" i="83"/>
  <c r="T152" i="83"/>
  <c r="X151" i="83"/>
  <c r="S155" i="83"/>
  <c r="O156" i="83"/>
  <c r="AF156" i="83"/>
  <c r="U154" i="83"/>
  <c r="AL154" i="83"/>
  <c r="P159" i="83"/>
  <c r="P158" i="83"/>
  <c r="AN156" i="83"/>
  <c r="Z154" i="83"/>
  <c r="AN154" i="83"/>
  <c r="U159" i="83"/>
  <c r="U158" i="83"/>
  <c r="AD152" i="83"/>
  <c r="AH151" i="83"/>
  <c r="AH155" i="83"/>
  <c r="AD156" i="83"/>
  <c r="O154" i="83"/>
  <c r="S153" i="83"/>
  <c r="W152" i="83"/>
  <c r="U156" i="83"/>
  <c r="K159" i="83"/>
  <c r="K158" i="83"/>
  <c r="AL159" i="83"/>
  <c r="AL158" i="83"/>
  <c r="AJ154" i="83"/>
  <c r="AI152" i="83"/>
  <c r="AM151" i="83"/>
  <c r="Q156" i="83"/>
  <c r="AD154" i="83"/>
  <c r="AH153" i="83"/>
  <c r="X153" i="83"/>
  <c r="T154" i="83"/>
  <c r="AQ21" i="52"/>
  <c r="AQ37" i="52"/>
  <c r="AQ14" i="32"/>
  <c r="AQ23" i="32"/>
  <c r="AQ5" i="3"/>
  <c r="AQ2" i="49"/>
  <c r="AR1" i="49"/>
  <c r="AQ2" i="33"/>
  <c r="AS5" i="31"/>
  <c r="AS2" i="31"/>
  <c r="AT1" i="31"/>
  <c r="AQ2" i="66"/>
  <c r="AR1" i="66"/>
  <c r="BC2" i="10"/>
  <c r="BC5" i="10"/>
  <c r="BD1" i="10"/>
  <c r="AQ2" i="32"/>
  <c r="AR1" i="32"/>
  <c r="AR2" i="61"/>
  <c r="AR5" i="61"/>
  <c r="AR21" i="61" s="1"/>
  <c r="AR37" i="61" s="1"/>
  <c r="AS1" i="61"/>
  <c r="AR5" i="12"/>
  <c r="AR2" i="12"/>
  <c r="AS1" i="12"/>
  <c r="AR1" i="52"/>
  <c r="AQ2" i="52"/>
  <c r="AR14" i="31"/>
  <c r="AR23" i="31"/>
  <c r="AT315" i="73"/>
  <c r="AS314" i="73"/>
  <c r="AS316" i="73" s="1"/>
  <c r="AQ1" i="30"/>
  <c r="AQ5" i="30" s="1"/>
  <c r="AQ20" i="30" s="1"/>
  <c r="AQ1" i="34"/>
  <c r="AQ30" i="34" s="1"/>
  <c r="DO5" i="34" s="1"/>
  <c r="AQ1" i="65"/>
  <c r="AQ5" i="65" s="1"/>
  <c r="AP128" i="83"/>
  <c r="Q128" i="83"/>
  <c r="AK127" i="83"/>
  <c r="K128" i="83"/>
  <c r="AN117" i="83"/>
  <c r="AN118" i="83"/>
  <c r="AD128" i="83"/>
  <c r="AJ127" i="83"/>
  <c r="AB121" i="83"/>
  <c r="AK128" i="83"/>
  <c r="Z128" i="83"/>
  <c r="AA127" i="83"/>
  <c r="W117" i="83"/>
  <c r="F128" i="83"/>
  <c r="U128" i="83"/>
  <c r="V128" i="83"/>
  <c r="AE117" i="83"/>
  <c r="AO127" i="83"/>
  <c r="AP127" i="83"/>
  <c r="Y127" i="83"/>
  <c r="AN124" i="83"/>
  <c r="W121" i="83"/>
  <c r="AK117" i="83"/>
  <c r="AE124" i="83"/>
  <c r="AK121" i="83"/>
  <c r="U118" i="83"/>
  <c r="T124" i="83"/>
  <c r="AE128" i="83"/>
  <c r="AA118" i="83"/>
  <c r="AF117" i="83"/>
  <c r="AG118" i="83"/>
  <c r="AJ121" i="83"/>
  <c r="H128" i="83"/>
  <c r="AK118" i="83"/>
  <c r="U124" i="83"/>
  <c r="AF127" i="83"/>
  <c r="V118" i="83"/>
  <c r="AE118" i="83"/>
  <c r="AD118" i="83"/>
  <c r="AP118" i="83"/>
  <c r="AP117" i="83"/>
  <c r="T117" i="83"/>
  <c r="AD121" i="83"/>
  <c r="AF128" i="83"/>
  <c r="U127" i="83"/>
  <c r="AG121" i="83"/>
  <c r="AD117" i="83"/>
  <c r="AF124" i="83"/>
  <c r="AI121" i="83"/>
  <c r="AN128" i="83"/>
  <c r="V124" i="83"/>
  <c r="AG124" i="83"/>
  <c r="T121" i="83"/>
  <c r="W124" i="83"/>
  <c r="Y117" i="83"/>
  <c r="E128" i="83"/>
  <c r="AJ128" i="83"/>
  <c r="AA128" i="83"/>
  <c r="V127" i="83"/>
  <c r="AG127" i="83"/>
  <c r="AO117" i="83"/>
  <c r="AB124" i="83"/>
  <c r="P128" i="83"/>
  <c r="AD127" i="83"/>
  <c r="V121" i="83"/>
  <c r="AL127" i="83"/>
  <c r="J128" i="83"/>
  <c r="AG128" i="83"/>
  <c r="AN127" i="83"/>
  <c r="Y118" i="83"/>
  <c r="U117" i="83"/>
  <c r="AA121" i="83"/>
  <c r="AP124" i="83"/>
  <c r="AL118" i="83"/>
  <c r="Z127" i="83"/>
  <c r="AF118" i="83"/>
  <c r="AA124" i="83"/>
  <c r="AI128" i="83"/>
  <c r="R128" i="83"/>
  <c r="AJ118" i="83"/>
  <c r="V117" i="83"/>
  <c r="AB118" i="83"/>
  <c r="AF121" i="83"/>
  <c r="Z121" i="83"/>
  <c r="AI127" i="83"/>
  <c r="AO118" i="83"/>
  <c r="T127" i="83"/>
  <c r="AO128" i="83"/>
  <c r="AL124" i="83"/>
  <c r="Y124" i="83"/>
  <c r="AD124" i="83"/>
  <c r="AB117" i="83"/>
  <c r="AE121" i="83"/>
  <c r="W127" i="83"/>
  <c r="AL121" i="83"/>
  <c r="U121" i="83"/>
  <c r="AG117" i="83"/>
  <c r="AN121" i="83"/>
  <c r="M128" i="83"/>
  <c r="AI117" i="83"/>
  <c r="O128" i="83"/>
  <c r="AI118" i="83"/>
  <c r="T128" i="83"/>
  <c r="AE127" i="83"/>
  <c r="AL128" i="83"/>
  <c r="AJ124" i="83"/>
  <c r="AL117" i="83"/>
  <c r="AJ117" i="83"/>
  <c r="Y121" i="83"/>
  <c r="Z117" i="83"/>
  <c r="W128" i="83"/>
  <c r="AK124" i="83"/>
  <c r="Z118" i="83"/>
  <c r="Y128" i="83"/>
  <c r="AO121" i="83"/>
  <c r="G128" i="83"/>
  <c r="W118" i="83"/>
  <c r="AB128" i="83"/>
  <c r="L128" i="83"/>
  <c r="AB127" i="83"/>
  <c r="Z124" i="83"/>
  <c r="AP121" i="83"/>
  <c r="AA117" i="83"/>
  <c r="AI124" i="83"/>
  <c r="T118" i="83"/>
  <c r="AO124" i="83"/>
  <c r="AS94" i="46" l="1"/>
  <c r="AS103" i="46" s="1"/>
  <c r="AR104" i="46"/>
  <c r="AY159" i="83"/>
  <c r="AY158" i="83"/>
  <c r="AY118" i="83"/>
  <c r="AY121" i="83"/>
  <c r="AY127" i="83"/>
  <c r="AY124" i="83"/>
  <c r="AY117" i="83"/>
  <c r="AY148" i="83" s="1"/>
  <c r="AL134" i="83"/>
  <c r="AR5" i="33"/>
  <c r="AR19" i="33" s="1"/>
  <c r="AR33" i="33" s="1"/>
  <c r="AR2" i="33"/>
  <c r="AQ13" i="30"/>
  <c r="S154" i="83"/>
  <c r="AH154" i="83"/>
  <c r="AM152" i="83"/>
  <c r="S156" i="83"/>
  <c r="AH156" i="83"/>
  <c r="AC156" i="83"/>
  <c r="AM156" i="83"/>
  <c r="AM158" i="83"/>
  <c r="X156" i="83"/>
  <c r="N159" i="83"/>
  <c r="AM154" i="83"/>
  <c r="AH159" i="83"/>
  <c r="AM118" i="83"/>
  <c r="T148" i="83"/>
  <c r="AF148" i="83"/>
  <c r="X128" i="83"/>
  <c r="AC128" i="83"/>
  <c r="U134" i="83"/>
  <c r="T134" i="83"/>
  <c r="AH128" i="83"/>
  <c r="AM117" i="83"/>
  <c r="AL148" i="83"/>
  <c r="AC118" i="83"/>
  <c r="X127" i="83"/>
  <c r="AE134" i="83"/>
  <c r="Z134" i="83"/>
  <c r="AJ148" i="83"/>
  <c r="Z148" i="83"/>
  <c r="X117" i="83"/>
  <c r="W148" i="83"/>
  <c r="AA134" i="83"/>
  <c r="X118" i="83"/>
  <c r="AM124" i="83"/>
  <c r="AH127" i="83"/>
  <c r="AC127" i="83"/>
  <c r="N128" i="83"/>
  <c r="I128" i="83"/>
  <c r="S128" i="83"/>
  <c r="AJ134" i="83"/>
  <c r="V148" i="83"/>
  <c r="AK134" i="83"/>
  <c r="W134" i="83"/>
  <c r="Y148" i="83"/>
  <c r="AM127" i="83"/>
  <c r="AI148" i="83"/>
  <c r="AM128" i="83"/>
  <c r="AE148" i="83"/>
  <c r="AB134" i="83"/>
  <c r="AG134" i="83"/>
  <c r="X124" i="83"/>
  <c r="AK148" i="83"/>
  <c r="AD148" i="83"/>
  <c r="AF134" i="83"/>
  <c r="AB148" i="83"/>
  <c r="AC117" i="83"/>
  <c r="AC124" i="83"/>
  <c r="AN148" i="83"/>
  <c r="V134" i="83"/>
  <c r="AH124" i="83"/>
  <c r="AG148" i="83"/>
  <c r="AH117" i="83"/>
  <c r="AH118" i="83"/>
  <c r="AA148" i="83"/>
  <c r="U148" i="83"/>
  <c r="AP134" i="83"/>
  <c r="AO148" i="83"/>
  <c r="AP148" i="83"/>
  <c r="AO134" i="83"/>
  <c r="AQ13" i="65"/>
  <c r="AQ21" i="65"/>
  <c r="BD2" i="10"/>
  <c r="BD5" i="10"/>
  <c r="BE1" i="10"/>
  <c r="AM159" i="83"/>
  <c r="AS2" i="61"/>
  <c r="AT1" i="61"/>
  <c r="AS5" i="61"/>
  <c r="AS21" i="61" s="1"/>
  <c r="AS37" i="61" s="1"/>
  <c r="AS5" i="12"/>
  <c r="AS2" i="12"/>
  <c r="AT1" i="12"/>
  <c r="AC154" i="83"/>
  <c r="AH158" i="83"/>
  <c r="AQ2" i="65"/>
  <c r="AR1" i="65"/>
  <c r="AT314" i="73"/>
  <c r="AT316" i="73" s="1"/>
  <c r="AU315" i="73"/>
  <c r="AR5" i="32"/>
  <c r="AR2" i="32"/>
  <c r="AS1" i="32"/>
  <c r="AS1" i="66"/>
  <c r="AR5" i="66"/>
  <c r="AR2" i="66"/>
  <c r="AH152" i="83"/>
  <c r="S159" i="83"/>
  <c r="AR2" i="49"/>
  <c r="AS1" i="49"/>
  <c r="AR5" i="49"/>
  <c r="N154" i="83"/>
  <c r="S158" i="83"/>
  <c r="AS104" i="46"/>
  <c r="AT94" i="46"/>
  <c r="AT103" i="46" s="1"/>
  <c r="AT2" i="31"/>
  <c r="AT5" i="31"/>
  <c r="AU1" i="31"/>
  <c r="N158" i="83"/>
  <c r="AR1" i="34"/>
  <c r="AR2" i="52"/>
  <c r="AR5" i="52"/>
  <c r="AS1" i="52"/>
  <c r="AS14" i="31"/>
  <c r="AS23" i="31"/>
  <c r="AQ2" i="34"/>
  <c r="AQ2" i="30"/>
  <c r="AR1" i="30"/>
  <c r="AC158" i="83"/>
  <c r="AS2" i="33"/>
  <c r="AT1" i="33"/>
  <c r="AS5" i="33"/>
  <c r="AS19" i="33" s="1"/>
  <c r="AS33" i="33" s="1"/>
  <c r="N156" i="83"/>
  <c r="AC159" i="83"/>
  <c r="AC152" i="83"/>
  <c r="X158" i="83"/>
  <c r="AQ41" i="3"/>
  <c r="X154" i="83"/>
  <c r="X159" i="83"/>
  <c r="AQ1" i="63"/>
  <c r="AR1" i="63" s="1"/>
  <c r="AN134" i="83" l="1"/>
  <c r="AD134" i="83"/>
  <c r="AH134" i="83" s="1"/>
  <c r="AI134" i="83"/>
  <c r="AM134" i="83" s="1"/>
  <c r="AR2" i="63"/>
  <c r="AR5" i="63"/>
  <c r="AR17" i="63" s="1"/>
  <c r="AS1" i="63"/>
  <c r="AL147" i="83"/>
  <c r="AL145" i="83" s="1"/>
  <c r="AJ147" i="83"/>
  <c r="AJ145" i="83" s="1"/>
  <c r="AU1" i="61"/>
  <c r="AT2" i="61"/>
  <c r="AT5" i="61"/>
  <c r="AT21" i="61" s="1"/>
  <c r="AT37" i="61" s="1"/>
  <c r="U147" i="83"/>
  <c r="U145" i="83" s="1"/>
  <c r="T145" i="83"/>
  <c r="AK147" i="83"/>
  <c r="AK145" i="83" s="1"/>
  <c r="AM148" i="83"/>
  <c r="AR5" i="30"/>
  <c r="AR2" i="30"/>
  <c r="AS1" i="30"/>
  <c r="AS2" i="32"/>
  <c r="AS5" i="32"/>
  <c r="AT1" i="32"/>
  <c r="AF147" i="83"/>
  <c r="AF145" i="83" s="1"/>
  <c r="X134" i="83"/>
  <c r="AT5" i="12"/>
  <c r="AT2" i="12"/>
  <c r="AU1" i="12"/>
  <c r="AS5" i="52"/>
  <c r="AT1" i="52"/>
  <c r="AS2" i="52"/>
  <c r="AR23" i="49"/>
  <c r="AR41" i="49"/>
  <c r="Z147" i="83"/>
  <c r="Z145" i="83" s="1"/>
  <c r="AT30" i="34"/>
  <c r="DR5" i="34" s="1"/>
  <c r="AS1" i="34"/>
  <c r="AR2" i="34"/>
  <c r="AT5" i="33"/>
  <c r="AT19" i="33" s="1"/>
  <c r="AT33" i="33" s="1"/>
  <c r="AU1" i="33"/>
  <c r="AT2" i="33"/>
  <c r="AU5" i="31"/>
  <c r="AU2" i="31"/>
  <c r="AV1" i="31"/>
  <c r="AQ2" i="63"/>
  <c r="AT23" i="31"/>
  <c r="AT14" i="31"/>
  <c r="AB147" i="83"/>
  <c r="AB145" i="83" s="1"/>
  <c r="AQ5" i="63"/>
  <c r="AT104" i="46"/>
  <c r="AU94" i="46"/>
  <c r="AU103" i="46" s="1"/>
  <c r="AR23" i="32"/>
  <c r="AR14" i="32"/>
  <c r="AH148" i="83"/>
  <c r="AR37" i="52"/>
  <c r="AR21" i="52"/>
  <c r="AS2" i="49"/>
  <c r="AS5" i="49"/>
  <c r="AT1" i="49"/>
  <c r="AG147" i="83"/>
  <c r="AG145" i="83" s="1"/>
  <c r="AA147" i="83"/>
  <c r="AA145" i="83" s="1"/>
  <c r="AU314" i="73"/>
  <c r="AU316" i="73" s="1"/>
  <c r="AV315" i="73"/>
  <c r="AO147" i="83"/>
  <c r="AO145" i="83" s="1"/>
  <c r="V147" i="83"/>
  <c r="V145" i="83" s="1"/>
  <c r="Y134" i="83"/>
  <c r="AC134" i="83" s="1"/>
  <c r="BE5" i="10"/>
  <c r="BE2" i="10"/>
  <c r="BF1" i="10"/>
  <c r="AP147" i="83"/>
  <c r="AP145" i="83" s="1"/>
  <c r="AE147" i="83"/>
  <c r="AE145" i="83" s="1"/>
  <c r="X148" i="83"/>
  <c r="AR2" i="65"/>
  <c r="AR5" i="65"/>
  <c r="AS1" i="65"/>
  <c r="AT1" i="66"/>
  <c r="AS5" i="66"/>
  <c r="AS2" i="66"/>
  <c r="AQ147" i="83"/>
  <c r="AC148" i="83"/>
  <c r="W147" i="83"/>
  <c r="W145" i="83" s="1"/>
  <c r="AQ1" i="48"/>
  <c r="AQ2" i="48" s="1"/>
  <c r="AQ1" i="71"/>
  <c r="AQ5" i="71" s="1"/>
  <c r="AQ63" i="71" s="1"/>
  <c r="AQ1" i="26"/>
  <c r="AQ5" i="26" s="1"/>
  <c r="AQ15" i="26" s="1"/>
  <c r="AQ1" i="53"/>
  <c r="AQ5" i="53" s="1"/>
  <c r="AQ12" i="53" s="1"/>
  <c r="AQ1" i="2"/>
  <c r="AQ5" i="2" s="1"/>
  <c r="AQ1" i="1"/>
  <c r="AQ5" i="1" s="1"/>
  <c r="AR1" i="26" l="1"/>
  <c r="AQ2" i="26"/>
  <c r="AQ2" i="1"/>
  <c r="AQ34" i="71"/>
  <c r="AT2" i="32"/>
  <c r="AT5" i="32"/>
  <c r="AU1" i="32"/>
  <c r="AS5" i="30"/>
  <c r="AS2" i="30"/>
  <c r="AT1" i="30"/>
  <c r="AR1" i="71"/>
  <c r="AQ2" i="71"/>
  <c r="AW315" i="73"/>
  <c r="AV314" i="73"/>
  <c r="AV316" i="73" s="1"/>
  <c r="AQ2" i="53"/>
  <c r="AR1" i="53"/>
  <c r="AR1" i="48"/>
  <c r="Y147" i="83"/>
  <c r="AU14" i="31"/>
  <c r="AU23" i="31"/>
  <c r="AT5" i="52"/>
  <c r="AT2" i="52"/>
  <c r="AU1" i="52"/>
  <c r="AV2" i="31"/>
  <c r="AV5" i="31"/>
  <c r="AW1" i="31"/>
  <c r="AS21" i="52"/>
  <c r="AS37" i="52"/>
  <c r="AR20" i="30"/>
  <c r="AR13" i="30"/>
  <c r="AU2" i="61"/>
  <c r="AV1" i="61"/>
  <c r="AU5" i="61"/>
  <c r="AU21" i="61" s="1"/>
  <c r="AU37" i="61" s="1"/>
  <c r="AQ2" i="2"/>
  <c r="AR1" i="2"/>
  <c r="AU104" i="46"/>
  <c r="AV94" i="46"/>
  <c r="AV103" i="46" s="1"/>
  <c r="AU2" i="33"/>
  <c r="AV1" i="33"/>
  <c r="AU5" i="33"/>
  <c r="AU19" i="33" s="1"/>
  <c r="AU33" i="33" s="1"/>
  <c r="AU5" i="12"/>
  <c r="AV1" i="12"/>
  <c r="AU2" i="12"/>
  <c r="AT2" i="66"/>
  <c r="AT5" i="66"/>
  <c r="AU1" i="66"/>
  <c r="AT1" i="65"/>
  <c r="AS5" i="65"/>
  <c r="AS2" i="65"/>
  <c r="AQ19" i="53"/>
  <c r="AQ5" i="48"/>
  <c r="AD147" i="83"/>
  <c r="AR1" i="1"/>
  <c r="AR2" i="26"/>
  <c r="AR5" i="26"/>
  <c r="AR15" i="26" s="1"/>
  <c r="AS1" i="26"/>
  <c r="AR21" i="65"/>
  <c r="AR13" i="65"/>
  <c r="AU1" i="49"/>
  <c r="AT2" i="49"/>
  <c r="AT5" i="49"/>
  <c r="AQ17" i="63"/>
  <c r="AS41" i="49"/>
  <c r="AS23" i="49"/>
  <c r="AS2" i="34"/>
  <c r="AU30" i="34"/>
  <c r="DU5" i="34" s="1"/>
  <c r="AT1" i="34"/>
  <c r="AN147" i="83"/>
  <c r="AS2" i="63"/>
  <c r="AS5" i="63"/>
  <c r="AT1" i="63"/>
  <c r="BF2" i="10"/>
  <c r="BF5" i="10"/>
  <c r="BG1" i="10"/>
  <c r="AI147" i="83"/>
  <c r="AS14" i="32"/>
  <c r="AS23" i="32"/>
  <c r="AT23" i="49" l="1"/>
  <c r="AT41" i="49"/>
  <c r="AV2" i="61"/>
  <c r="AV5" i="61"/>
  <c r="AV21" i="61" s="1"/>
  <c r="AV37" i="61" s="1"/>
  <c r="AW1" i="61"/>
  <c r="AV104" i="46"/>
  <c r="AW94" i="46"/>
  <c r="AW103" i="46" s="1"/>
  <c r="AW5" i="31"/>
  <c r="AW2" i="31"/>
  <c r="AX1" i="31"/>
  <c r="AT2" i="34"/>
  <c r="AU1" i="34"/>
  <c r="AX30" i="34"/>
  <c r="DX5" i="34" s="1"/>
  <c r="BG2" i="10"/>
  <c r="BH1" i="10"/>
  <c r="BI1" i="10" s="1"/>
  <c r="BG5" i="10"/>
  <c r="AS13" i="65"/>
  <c r="AS21" i="65"/>
  <c r="AV23" i="31"/>
  <c r="AV14" i="31"/>
  <c r="AT14" i="32"/>
  <c r="AT23" i="32"/>
  <c r="AT2" i="63"/>
  <c r="AT5" i="63"/>
  <c r="AU1" i="63"/>
  <c r="AT2" i="65"/>
  <c r="AT5" i="65"/>
  <c r="AU1" i="65"/>
  <c r="AU2" i="49"/>
  <c r="AV1" i="49"/>
  <c r="AU5" i="49"/>
  <c r="AH147" i="83"/>
  <c r="AD145" i="83"/>
  <c r="AV5" i="33"/>
  <c r="AV19" i="33" s="1"/>
  <c r="AV33" i="33" s="1"/>
  <c r="AV2" i="33"/>
  <c r="AW1" i="33"/>
  <c r="AS17" i="63"/>
  <c r="AU2" i="66"/>
  <c r="AU5" i="66"/>
  <c r="AV1" i="66"/>
  <c r="AU2" i="52"/>
  <c r="AV1" i="52"/>
  <c r="AU5" i="52"/>
  <c r="AC147" i="83"/>
  <c r="Y145" i="83"/>
  <c r="AX315" i="73"/>
  <c r="AW314" i="73"/>
  <c r="AW316" i="73" s="1"/>
  <c r="AR2" i="1"/>
  <c r="AR5" i="1"/>
  <c r="AS1" i="1"/>
  <c r="AT37" i="52"/>
  <c r="AT21" i="52"/>
  <c r="AS1" i="48"/>
  <c r="AR5" i="48"/>
  <c r="AR2" i="48"/>
  <c r="AR2" i="71"/>
  <c r="AR5" i="71"/>
  <c r="AS1" i="71"/>
  <c r="AR2" i="53"/>
  <c r="AS1" i="53"/>
  <c r="AR5" i="53"/>
  <c r="AT2" i="30"/>
  <c r="AT5" i="30"/>
  <c r="AU1" i="30"/>
  <c r="AW1" i="12"/>
  <c r="AV5" i="12"/>
  <c r="AV2" i="12"/>
  <c r="AR5" i="2"/>
  <c r="AR2" i="2"/>
  <c r="AS1" i="2"/>
  <c r="AR147" i="83"/>
  <c r="AN145" i="83"/>
  <c r="AS13" i="30"/>
  <c r="AS20" i="30"/>
  <c r="AS5" i="26"/>
  <c r="AS15" i="26" s="1"/>
  <c r="AS2" i="26"/>
  <c r="AT1" i="26"/>
  <c r="AM147" i="83"/>
  <c r="AI145" i="83"/>
  <c r="AU5" i="32"/>
  <c r="AU2" i="32"/>
  <c r="AV1" i="32"/>
  <c r="AQ15" i="32"/>
  <c r="AQ37" i="44"/>
  <c r="AS33" i="44" s="1"/>
  <c r="AS37" i="44" s="1"/>
  <c r="AY33" i="44" s="1"/>
  <c r="AY37" i="44" s="1"/>
  <c r="AY38" i="44" s="1"/>
  <c r="AQ21" i="32" l="1"/>
  <c r="AR15" i="32" s="1"/>
  <c r="BJ1" i="10"/>
  <c r="BJ2" i="10" s="1"/>
  <c r="BI5" i="10"/>
  <c r="BI2" i="10"/>
  <c r="BJ5" i="10"/>
  <c r="AU37" i="52"/>
  <c r="AU21" i="52"/>
  <c r="AS2" i="1"/>
  <c r="AS5" i="1"/>
  <c r="AT1" i="1"/>
  <c r="AU2" i="65"/>
  <c r="AU5" i="65"/>
  <c r="AV1" i="65"/>
  <c r="AT1" i="53"/>
  <c r="AS5" i="53"/>
  <c r="AS2" i="53"/>
  <c r="AS2" i="2"/>
  <c r="AS5" i="2"/>
  <c r="AT1" i="2"/>
  <c r="AV1" i="63"/>
  <c r="AW1" i="63" s="1"/>
  <c r="AU2" i="63"/>
  <c r="AU5" i="63"/>
  <c r="AX1" i="33"/>
  <c r="AW5" i="33"/>
  <c r="AW19" i="33" s="1"/>
  <c r="AW33" i="33" s="1"/>
  <c r="AW2" i="33"/>
  <c r="AT17" i="63"/>
  <c r="AU2" i="34"/>
  <c r="BA30" i="34"/>
  <c r="EA5" i="34" s="1"/>
  <c r="AV1" i="34"/>
  <c r="AU23" i="32"/>
  <c r="AU14" i="32"/>
  <c r="AS2" i="48"/>
  <c r="AS5" i="48"/>
  <c r="AT1" i="48"/>
  <c r="AW104" i="46"/>
  <c r="AX94" i="46"/>
  <c r="AX103" i="46" s="1"/>
  <c r="AR12" i="53"/>
  <c r="AR19" i="53"/>
  <c r="AV5" i="66"/>
  <c r="AV2" i="66"/>
  <c r="AW1" i="66"/>
  <c r="AT21" i="65"/>
  <c r="AT13" i="65"/>
  <c r="AX314" i="73"/>
  <c r="AX316" i="73" s="1"/>
  <c r="AY315" i="73"/>
  <c r="AX2" i="31"/>
  <c r="AX5" i="31"/>
  <c r="AY1" i="31"/>
  <c r="AW23" i="31"/>
  <c r="AW14" i="31"/>
  <c r="AU41" i="49"/>
  <c r="AU23" i="49"/>
  <c r="BH5" i="10"/>
  <c r="BH2" i="10"/>
  <c r="AV5" i="32"/>
  <c r="AV2" i="32"/>
  <c r="AW1" i="32"/>
  <c r="AS2" i="71"/>
  <c r="AS5" i="71"/>
  <c r="AT1" i="71"/>
  <c r="AR63" i="71"/>
  <c r="AR34" i="71"/>
  <c r="AU5" i="30"/>
  <c r="AU2" i="30"/>
  <c r="AV1" i="30"/>
  <c r="AT20" i="30"/>
  <c r="AT13" i="30"/>
  <c r="AV2" i="52"/>
  <c r="AV5" i="52"/>
  <c r="AW1" i="52"/>
  <c r="AV5" i="49"/>
  <c r="AV2" i="49"/>
  <c r="AW1" i="49"/>
  <c r="AW2" i="61"/>
  <c r="AW5" i="61"/>
  <c r="AW21" i="61" s="1"/>
  <c r="AW37" i="61" s="1"/>
  <c r="AX1" i="61"/>
  <c r="AW2" i="12"/>
  <c r="AW5" i="12"/>
  <c r="AT2" i="26"/>
  <c r="AT5" i="26"/>
  <c r="AT15" i="26" s="1"/>
  <c r="AU1" i="26"/>
  <c r="AQ1" i="83"/>
  <c r="AQ5" i="83" s="1"/>
  <c r="AQ92" i="83" s="1"/>
  <c r="AQ1" i="46"/>
  <c r="AQ5" i="46" s="1"/>
  <c r="AQ74" i="46" s="1"/>
  <c r="AQ1" i="9"/>
  <c r="AQ3" i="9" s="1"/>
  <c r="AQ56" i="9" s="1"/>
  <c r="AQ1" i="44"/>
  <c r="AQ5" i="44" s="1"/>
  <c r="AQ24" i="44" s="1"/>
  <c r="AQ6" i="32"/>
  <c r="AQ12" i="32" s="1"/>
  <c r="AQ1" i="29"/>
  <c r="AQ5" i="29" s="1"/>
  <c r="AQ10" i="29" s="1"/>
  <c r="AP91" i="46"/>
  <c r="AQ1" i="45"/>
  <c r="AQ2" i="45" s="1"/>
  <c r="AQ1" i="84"/>
  <c r="AR1" i="84" s="1"/>
  <c r="AP32" i="44"/>
  <c r="AP38" i="44" s="1"/>
  <c r="P93" i="83"/>
  <c r="Z101" i="83"/>
  <c r="K103" i="83"/>
  <c r="AK95" i="83"/>
  <c r="AD101" i="83"/>
  <c r="U111" i="83"/>
  <c r="U101" i="83"/>
  <c r="AK111" i="83"/>
  <c r="M101" i="83"/>
  <c r="AI103" i="83"/>
  <c r="AI111" i="83"/>
  <c r="F103" i="83"/>
  <c r="V95" i="83"/>
  <c r="J111" i="83"/>
  <c r="U93" i="83"/>
  <c r="F93" i="83"/>
  <c r="AE93" i="83"/>
  <c r="AJ93" i="83"/>
  <c r="U103" i="83"/>
  <c r="AB103" i="83"/>
  <c r="H93" i="83"/>
  <c r="Z95" i="83"/>
  <c r="R95" i="83"/>
  <c r="J95" i="83"/>
  <c r="AG93" i="83"/>
  <c r="O101" i="83"/>
  <c r="G95" i="83"/>
  <c r="R111" i="83"/>
  <c r="AJ101" i="83"/>
  <c r="H103" i="83"/>
  <c r="O95" i="83"/>
  <c r="Y103" i="83"/>
  <c r="AF111" i="83"/>
  <c r="Z93" i="83"/>
  <c r="AE95" i="83"/>
  <c r="Q95" i="83"/>
  <c r="E95" i="83"/>
  <c r="Y93" i="83"/>
  <c r="AB101" i="83"/>
  <c r="AF103" i="83"/>
  <c r="AD111" i="83"/>
  <c r="AK101" i="83"/>
  <c r="AO93" i="83"/>
  <c r="AJ95" i="83"/>
  <c r="AE101" i="83"/>
  <c r="Y111" i="83"/>
  <c r="AA103" i="83"/>
  <c r="T93" i="83"/>
  <c r="AO95" i="83"/>
  <c r="O111" i="83"/>
  <c r="AB95" i="83"/>
  <c r="H101" i="83"/>
  <c r="Z103" i="83"/>
  <c r="Y95" i="83"/>
  <c r="L101" i="83"/>
  <c r="AK103" i="83"/>
  <c r="W103" i="83"/>
  <c r="Q111" i="83"/>
  <c r="R103" i="83"/>
  <c r="AB111" i="83"/>
  <c r="P103" i="83"/>
  <c r="M103" i="83"/>
  <c r="M111" i="83"/>
  <c r="M95" i="83"/>
  <c r="K111" i="83"/>
  <c r="G93" i="83"/>
  <c r="Q93" i="83"/>
  <c r="P101" i="83"/>
  <c r="T101" i="83"/>
  <c r="AI95" i="83"/>
  <c r="L93" i="83"/>
  <c r="AG103" i="83"/>
  <c r="H111" i="83"/>
  <c r="R101" i="83"/>
  <c r="AE103" i="83"/>
  <c r="J103" i="83"/>
  <c r="U95" i="83"/>
  <c r="AL101" i="83"/>
  <c r="K101" i="83"/>
  <c r="AN103" i="83"/>
  <c r="F95" i="83"/>
  <c r="O103" i="83"/>
  <c r="E93" i="83"/>
  <c r="AL103" i="83"/>
  <c r="AN111" i="83"/>
  <c r="AI101" i="83"/>
  <c r="T95" i="83"/>
  <c r="AN95" i="83"/>
  <c r="AA101" i="83"/>
  <c r="AL93" i="83"/>
  <c r="AA95" i="83"/>
  <c r="AN93" i="83"/>
  <c r="AE111" i="83"/>
  <c r="AG101" i="83"/>
  <c r="J101" i="83"/>
  <c r="H95" i="83"/>
  <c r="AA111" i="83"/>
  <c r="Q101" i="83"/>
  <c r="Z111" i="83"/>
  <c r="F111" i="83"/>
  <c r="AK93" i="83"/>
  <c r="AD95" i="83"/>
  <c r="AF95" i="83"/>
  <c r="W111" i="83"/>
  <c r="V103" i="83"/>
  <c r="P111" i="83"/>
  <c r="AF101" i="83"/>
  <c r="J93" i="83"/>
  <c r="AP111" i="83"/>
  <c r="AA93" i="83"/>
  <c r="AP93" i="83"/>
  <c r="E101" i="83"/>
  <c r="G101" i="83"/>
  <c r="AJ103" i="83"/>
  <c r="AN101" i="83"/>
  <c r="L95" i="83"/>
  <c r="W93" i="83"/>
  <c r="L103" i="83"/>
  <c r="AD93" i="83"/>
  <c r="G103" i="83"/>
  <c r="L111" i="83"/>
  <c r="W95" i="83"/>
  <c r="R93" i="83"/>
  <c r="AP95" i="83"/>
  <c r="F101" i="83"/>
  <c r="AI93" i="83"/>
  <c r="AD103" i="83"/>
  <c r="V111" i="83"/>
  <c r="T103" i="83"/>
  <c r="T111" i="83"/>
  <c r="AG95" i="83"/>
  <c r="O93" i="83"/>
  <c r="Q103" i="83"/>
  <c r="AP103" i="83"/>
  <c r="K95" i="83"/>
  <c r="AP101" i="83"/>
  <c r="Y101" i="83"/>
  <c r="AF93" i="83"/>
  <c r="P95" i="83"/>
  <c r="AL95" i="83"/>
  <c r="AO111" i="83"/>
  <c r="K93" i="83"/>
  <c r="AJ111" i="83"/>
  <c r="AL111" i="83"/>
  <c r="AG111" i="83"/>
  <c r="E111" i="83"/>
  <c r="AO103" i="83"/>
  <c r="M93" i="83"/>
  <c r="G111" i="83"/>
  <c r="V93" i="83"/>
  <c r="V101" i="83"/>
  <c r="E103" i="83"/>
  <c r="W101" i="83"/>
  <c r="AB93" i="83"/>
  <c r="AO101" i="83"/>
  <c r="AY103" i="83" l="1"/>
  <c r="AY93" i="83"/>
  <c r="AY97" i="83" s="1"/>
  <c r="AY95" i="83"/>
  <c r="AY101" i="83"/>
  <c r="AY111" i="83"/>
  <c r="AR21" i="32"/>
  <c r="AS15" i="32" s="1"/>
  <c r="AW2" i="63"/>
  <c r="AW5" i="63"/>
  <c r="AW17" i="63" s="1"/>
  <c r="AX1" i="63"/>
  <c r="AX5" i="63" s="1"/>
  <c r="AX17" i="63" s="1"/>
  <c r="AQ15" i="29"/>
  <c r="AP97" i="83"/>
  <c r="AP96" i="83"/>
  <c r="AO97" i="83"/>
  <c r="AO96" i="83"/>
  <c r="AC111" i="83"/>
  <c r="X111" i="83"/>
  <c r="S111" i="83"/>
  <c r="AM111" i="83"/>
  <c r="AH111" i="83"/>
  <c r="AC101" i="83"/>
  <c r="F97" i="83"/>
  <c r="M12" i="83"/>
  <c r="AG96" i="83"/>
  <c r="Z97" i="83"/>
  <c r="P97" i="83"/>
  <c r="I111" i="83"/>
  <c r="P96" i="83"/>
  <c r="W96" i="83"/>
  <c r="AI97" i="83"/>
  <c r="AM93" i="83"/>
  <c r="Y97" i="83"/>
  <c r="AC93" i="83"/>
  <c r="V96" i="83"/>
  <c r="I103" i="83"/>
  <c r="AJ97" i="83"/>
  <c r="O96" i="83"/>
  <c r="S95" i="83"/>
  <c r="I93" i="83"/>
  <c r="E97" i="83"/>
  <c r="L97" i="83"/>
  <c r="AK96" i="83"/>
  <c r="AF97" i="83"/>
  <c r="M97" i="83"/>
  <c r="K96" i="83"/>
  <c r="AC103" i="83"/>
  <c r="AK97" i="83"/>
  <c r="N103" i="83"/>
  <c r="R12" i="83"/>
  <c r="M96" i="83"/>
  <c r="AN97" i="83"/>
  <c r="X101" i="83"/>
  <c r="X93" i="83"/>
  <c r="T97" i="83"/>
  <c r="L96" i="83"/>
  <c r="R97" i="83"/>
  <c r="AM103" i="83"/>
  <c r="AJ96" i="83"/>
  <c r="X103" i="83"/>
  <c r="I95" i="83"/>
  <c r="AA96" i="83"/>
  <c r="S101" i="83"/>
  <c r="O12" i="83"/>
  <c r="S103" i="83"/>
  <c r="AE96" i="83"/>
  <c r="K12" i="83"/>
  <c r="K97" i="83"/>
  <c r="AH93" i="83"/>
  <c r="AD97" i="83"/>
  <c r="N111" i="83"/>
  <c r="Q12" i="83"/>
  <c r="AH101" i="83"/>
  <c r="G97" i="83"/>
  <c r="AH95" i="83"/>
  <c r="AD96" i="83"/>
  <c r="N93" i="83"/>
  <c r="J97" i="83"/>
  <c r="AL97" i="83"/>
  <c r="R96" i="83"/>
  <c r="AH103" i="83"/>
  <c r="J96" i="83"/>
  <c r="N95" i="83"/>
  <c r="AA97" i="83"/>
  <c r="L12" i="83"/>
  <c r="I101" i="83"/>
  <c r="Q96" i="83"/>
  <c r="AE97" i="83"/>
  <c r="W97" i="83"/>
  <c r="AI96" i="83"/>
  <c r="AM95" i="83"/>
  <c r="AL96" i="83"/>
  <c r="AM101" i="83"/>
  <c r="J12" i="83"/>
  <c r="N101" i="83"/>
  <c r="U97" i="83"/>
  <c r="AN96" i="83"/>
  <c r="AB96" i="83"/>
  <c r="T96" i="83"/>
  <c r="X95" i="83"/>
  <c r="H97" i="83"/>
  <c r="AG97" i="83"/>
  <c r="Y96" i="83"/>
  <c r="AC95" i="83"/>
  <c r="Q97" i="83"/>
  <c r="AB97" i="83"/>
  <c r="AF96" i="83"/>
  <c r="V97" i="83"/>
  <c r="Z96" i="83"/>
  <c r="S93" i="83"/>
  <c r="O97" i="83"/>
  <c r="U96" i="83"/>
  <c r="P12" i="83"/>
  <c r="AR5" i="84"/>
  <c r="AS1" i="84"/>
  <c r="AQ24" i="32"/>
  <c r="AQ30" i="32" s="1"/>
  <c r="AQ2" i="46"/>
  <c r="AR1" i="46"/>
  <c r="AX5" i="33"/>
  <c r="AX19" i="33" s="1"/>
  <c r="AX33" i="33" s="1"/>
  <c r="AY1" i="33"/>
  <c r="AX2" i="33"/>
  <c r="AQ24" i="46"/>
  <c r="AQ55" i="46"/>
  <c r="AV5" i="63"/>
  <c r="AV2" i="63"/>
  <c r="AR1" i="9"/>
  <c r="AQ2" i="9"/>
  <c r="AW2" i="66"/>
  <c r="AW5" i="66"/>
  <c r="AX1" i="66"/>
  <c r="AQ25" i="44"/>
  <c r="AQ32" i="44" s="1"/>
  <c r="AR1" i="45"/>
  <c r="AQ30" i="46"/>
  <c r="AS19" i="53"/>
  <c r="AS12" i="53"/>
  <c r="AQ2" i="44"/>
  <c r="AU17" i="63"/>
  <c r="AR1" i="44"/>
  <c r="AQ161" i="83"/>
  <c r="AQ116" i="83"/>
  <c r="AQ35" i="83"/>
  <c r="AQ82" i="83" s="1"/>
  <c r="AQ130" i="83"/>
  <c r="AQ150" i="83"/>
  <c r="AQ2" i="83"/>
  <c r="AS1" i="83"/>
  <c r="AX1" i="52"/>
  <c r="AW2" i="52"/>
  <c r="AW5" i="52"/>
  <c r="AT5" i="2"/>
  <c r="AT2" i="2"/>
  <c r="AU1" i="2"/>
  <c r="AU2" i="26"/>
  <c r="AU5" i="26"/>
  <c r="AU15" i="26" s="1"/>
  <c r="AV1" i="26"/>
  <c r="AV2" i="34"/>
  <c r="BB30" i="34"/>
  <c r="ED5" i="34" s="1"/>
  <c r="AW1" i="34"/>
  <c r="AQ5" i="45"/>
  <c r="AQ62" i="46"/>
  <c r="AO13" i="31"/>
  <c r="AP13" i="32"/>
  <c r="AQ68" i="46"/>
  <c r="AV5" i="30"/>
  <c r="AV2" i="30"/>
  <c r="AW1" i="30"/>
  <c r="AT5" i="71"/>
  <c r="AT2" i="71"/>
  <c r="AU1" i="71"/>
  <c r="AT5" i="53"/>
  <c r="AT2" i="53"/>
  <c r="AU1" i="53"/>
  <c r="AP92" i="46"/>
  <c r="AP113" i="46"/>
  <c r="AQ17" i="46"/>
  <c r="AQ5" i="84"/>
  <c r="AQ105" i="46"/>
  <c r="AW5" i="32"/>
  <c r="AW2" i="32"/>
  <c r="AX1" i="32"/>
  <c r="AY314" i="73"/>
  <c r="AY316" i="73" s="1"/>
  <c r="AZ315" i="73"/>
  <c r="AQ43" i="46"/>
  <c r="AQ49" i="46"/>
  <c r="AV41" i="49"/>
  <c r="AV23" i="49"/>
  <c r="AQ34" i="9"/>
  <c r="AQ5" i="9"/>
  <c r="AQ63" i="9"/>
  <c r="AQ48" i="9"/>
  <c r="AQ132" i="9"/>
  <c r="AQ23" i="9"/>
  <c r="AQ11" i="9"/>
  <c r="AQ38" i="9"/>
  <c r="AQ93" i="46"/>
  <c r="AR1" i="29"/>
  <c r="AQ2" i="29"/>
  <c r="AQ36" i="46"/>
  <c r="AV37" i="52"/>
  <c r="AV21" i="52"/>
  <c r="AQ81" i="46"/>
  <c r="AQ82" i="46"/>
  <c r="AQ11" i="46"/>
  <c r="AX2" i="61"/>
  <c r="AY1" i="61"/>
  <c r="AX5" i="61"/>
  <c r="AX21" i="61" s="1"/>
  <c r="AX37" i="61" s="1"/>
  <c r="AS63" i="71"/>
  <c r="AS34" i="71"/>
  <c r="AZ1" i="31"/>
  <c r="BA1" i="31" s="1"/>
  <c r="AY2" i="31"/>
  <c r="AY5" i="31"/>
  <c r="AX104" i="46"/>
  <c r="AY94" i="46"/>
  <c r="AY103" i="46" s="1"/>
  <c r="AZ94" i="46" s="1"/>
  <c r="AZ103" i="46" s="1"/>
  <c r="BA94" i="46" s="1"/>
  <c r="BA103" i="46" s="1"/>
  <c r="BB94" i="46" s="1"/>
  <c r="BB103" i="46" s="1"/>
  <c r="AV5" i="65"/>
  <c r="AV2" i="65"/>
  <c r="AW1" i="65"/>
  <c r="AU20" i="30"/>
  <c r="AU13" i="30"/>
  <c r="AT5" i="48"/>
  <c r="AU1" i="48"/>
  <c r="AT2" i="48"/>
  <c r="AT2" i="1"/>
  <c r="AT5" i="1"/>
  <c r="AU1" i="1"/>
  <c r="AU13" i="65"/>
  <c r="AU21" i="65"/>
  <c r="AW5" i="49"/>
  <c r="AW2" i="49"/>
  <c r="AX1" i="49"/>
  <c r="AV14" i="32"/>
  <c r="AV23" i="32"/>
  <c r="AX14" i="31"/>
  <c r="AX23" i="31"/>
  <c r="Q139" i="83"/>
  <c r="T138" i="83"/>
  <c r="AQ157" i="83"/>
  <c r="AQ95" i="83"/>
  <c r="AF138" i="83"/>
  <c r="Y140" i="83"/>
  <c r="H138" i="83"/>
  <c r="AQ112" i="83"/>
  <c r="W143" i="83"/>
  <c r="AK143" i="83"/>
  <c r="E143" i="83"/>
  <c r="J138" i="83"/>
  <c r="H139" i="83"/>
  <c r="K139" i="83"/>
  <c r="T139" i="83"/>
  <c r="H143" i="83"/>
  <c r="M140" i="83"/>
  <c r="K143" i="83"/>
  <c r="U139" i="83"/>
  <c r="P140" i="83"/>
  <c r="F139" i="83"/>
  <c r="AL138" i="83"/>
  <c r="AP139" i="83"/>
  <c r="AQ124" i="83"/>
  <c r="AG140" i="83"/>
  <c r="O140" i="83"/>
  <c r="K138" i="83"/>
  <c r="AD139" i="83"/>
  <c r="U143" i="83"/>
  <c r="G140" i="83"/>
  <c r="P143" i="83"/>
  <c r="Z138" i="83"/>
  <c r="AQ117" i="83"/>
  <c r="G139" i="83"/>
  <c r="AD143" i="83"/>
  <c r="AP138" i="83"/>
  <c r="AQ107" i="83"/>
  <c r="E139" i="83"/>
  <c r="M143" i="83"/>
  <c r="J140" i="83"/>
  <c r="AB138" i="83"/>
  <c r="AP140" i="83"/>
  <c r="J143" i="83"/>
  <c r="AF140" i="83"/>
  <c r="AO143" i="83"/>
  <c r="AF143" i="83"/>
  <c r="AE143" i="83"/>
  <c r="AQ155" i="83"/>
  <c r="AE140" i="83"/>
  <c r="F138" i="83"/>
  <c r="W138" i="83"/>
  <c r="AL143" i="83"/>
  <c r="AK139" i="83"/>
  <c r="AA143" i="83"/>
  <c r="AQ103" i="83"/>
  <c r="V138" i="83"/>
  <c r="AG139" i="83"/>
  <c r="W139" i="83"/>
  <c r="AA138" i="83"/>
  <c r="AJ140" i="83"/>
  <c r="AK138" i="83"/>
  <c r="O138" i="83"/>
  <c r="AD140" i="83"/>
  <c r="AO138" i="83"/>
  <c r="AB143" i="83"/>
  <c r="AQ93" i="83"/>
  <c r="Y143" i="83"/>
  <c r="Q138" i="83"/>
  <c r="F140" i="83"/>
  <c r="AB140" i="83"/>
  <c r="AO140" i="83"/>
  <c r="AG143" i="83"/>
  <c r="AO139" i="83"/>
  <c r="U140" i="83"/>
  <c r="AI139" i="83"/>
  <c r="R139" i="83"/>
  <c r="AN138" i="83"/>
  <c r="AI138" i="83"/>
  <c r="AL140" i="83"/>
  <c r="Z140" i="83"/>
  <c r="H140" i="83"/>
  <c r="AQ101" i="83"/>
  <c r="O143" i="83"/>
  <c r="E138" i="83"/>
  <c r="AL139" i="83"/>
  <c r="Q143" i="83"/>
  <c r="AQ118" i="83"/>
  <c r="AQ128" i="83"/>
  <c r="AK140" i="83"/>
  <c r="AQ151" i="83"/>
  <c r="P139" i="83"/>
  <c r="R138" i="83"/>
  <c r="AJ143" i="83"/>
  <c r="AJ138" i="83"/>
  <c r="AD138" i="83"/>
  <c r="L140" i="83"/>
  <c r="M138" i="83"/>
  <c r="Z139" i="83"/>
  <c r="AN143" i="83"/>
  <c r="AI140" i="83"/>
  <c r="AN139" i="83"/>
  <c r="G143" i="83"/>
  <c r="L139" i="83"/>
  <c r="E140" i="83"/>
  <c r="R140" i="83"/>
  <c r="W140" i="83"/>
  <c r="V139" i="83"/>
  <c r="AF139" i="83"/>
  <c r="AI143" i="83"/>
  <c r="AA140" i="83"/>
  <c r="AE139" i="83"/>
  <c r="F143" i="83"/>
  <c r="Z143" i="83"/>
  <c r="AJ139" i="83"/>
  <c r="AP143" i="83"/>
  <c r="R143" i="83"/>
  <c r="V140" i="83"/>
  <c r="T143" i="83"/>
  <c r="AG138" i="83"/>
  <c r="Q140" i="83"/>
  <c r="AB139" i="83"/>
  <c r="Y139" i="83"/>
  <c r="AQ127" i="83"/>
  <c r="AQ121" i="83"/>
  <c r="T140" i="83"/>
  <c r="L138" i="83"/>
  <c r="AQ87" i="83"/>
  <c r="L143" i="83"/>
  <c r="O139" i="83"/>
  <c r="U138" i="83"/>
  <c r="AQ153" i="83"/>
  <c r="P138" i="83"/>
  <c r="AN140" i="83"/>
  <c r="Y138" i="83"/>
  <c r="G138" i="83"/>
  <c r="K140" i="83"/>
  <c r="AQ140" i="83"/>
  <c r="V143" i="83"/>
  <c r="M139" i="83"/>
  <c r="AA139" i="83"/>
  <c r="J139" i="83"/>
  <c r="AE138" i="83"/>
  <c r="AQ139" i="83" l="1"/>
  <c r="AR139" i="83" s="1"/>
  <c r="AQ143" i="83"/>
  <c r="AR143" i="83" s="1"/>
  <c r="AY7" i="83"/>
  <c r="AY98" i="83"/>
  <c r="AY100" i="83" s="1"/>
  <c r="AY102" i="83" s="1"/>
  <c r="AR11" i="84"/>
  <c r="AR10" i="84"/>
  <c r="AR8" i="84"/>
  <c r="AR7" i="84"/>
  <c r="AR14" i="84"/>
  <c r="AR13" i="84"/>
  <c r="AY140" i="83"/>
  <c r="AY138" i="83"/>
  <c r="AY143" i="83"/>
  <c r="AY139" i="83"/>
  <c r="AQ164" i="83"/>
  <c r="AQ162" i="83"/>
  <c r="AQ10" i="84"/>
  <c r="AQ11" i="84"/>
  <c r="AQ7" i="84"/>
  <c r="AQ14" i="84"/>
  <c r="AQ13" i="84"/>
  <c r="AQ8" i="84"/>
  <c r="AT15" i="32"/>
  <c r="AS21" i="32"/>
  <c r="AX2" i="63"/>
  <c r="BA5" i="31"/>
  <c r="BB1" i="31"/>
  <c r="BB2" i="31" s="1"/>
  <c r="BA2" i="31"/>
  <c r="AQ134" i="83"/>
  <c r="AR134" i="83" s="1"/>
  <c r="AR155" i="83"/>
  <c r="AQ156" i="83"/>
  <c r="AR87" i="83"/>
  <c r="AQ25" i="83"/>
  <c r="AR25" i="83" s="1"/>
  <c r="AR101" i="83"/>
  <c r="AR124" i="83"/>
  <c r="AR118" i="83"/>
  <c r="AR112" i="83"/>
  <c r="AR95" i="83"/>
  <c r="AR96" i="83" s="1"/>
  <c r="AQ96" i="83"/>
  <c r="AQ154" i="83"/>
  <c r="AR153" i="83"/>
  <c r="AQ152" i="83"/>
  <c r="AR151" i="83"/>
  <c r="AR152" i="83" s="1"/>
  <c r="AQ159" i="83"/>
  <c r="AR159" i="83" s="1"/>
  <c r="AQ158" i="83"/>
  <c r="AR157" i="83"/>
  <c r="AQ148" i="83"/>
  <c r="AQ145" i="83" s="1"/>
  <c r="AR117" i="83"/>
  <c r="AR103" i="83"/>
  <c r="AR128" i="83"/>
  <c r="AR93" i="83"/>
  <c r="AR94" i="83" s="1"/>
  <c r="AQ97" i="83"/>
  <c r="AR97" i="83" s="1"/>
  <c r="AR127" i="83"/>
  <c r="AC94" i="83"/>
  <c r="X96" i="83"/>
  <c r="N96" i="83"/>
  <c r="AM96" i="83"/>
  <c r="X94" i="83"/>
  <c r="AC138" i="83"/>
  <c r="AM143" i="83"/>
  <c r="N140" i="83"/>
  <c r="X138" i="83"/>
  <c r="AH140" i="83"/>
  <c r="I139" i="83"/>
  <c r="AC140" i="83"/>
  <c r="N138" i="83"/>
  <c r="AM139" i="83"/>
  <c r="I143" i="83"/>
  <c r="AC143" i="83"/>
  <c r="AC139" i="83"/>
  <c r="S139" i="83"/>
  <c r="AM140" i="83"/>
  <c r="X139" i="83"/>
  <c r="X140" i="83"/>
  <c r="X143" i="83"/>
  <c r="S143" i="83"/>
  <c r="AH139" i="83"/>
  <c r="AM138" i="83"/>
  <c r="I140" i="83"/>
  <c r="S140" i="83"/>
  <c r="S138" i="83"/>
  <c r="AH138" i="83"/>
  <c r="AR140" i="83"/>
  <c r="AH143" i="83"/>
  <c r="N139" i="83"/>
  <c r="N143" i="83"/>
  <c r="I138" i="83"/>
  <c r="AR107" i="83"/>
  <c r="AR82" i="83"/>
  <c r="AQ20" i="83"/>
  <c r="AR20" i="83" s="1"/>
  <c r="AQ15" i="45"/>
  <c r="AQ25" i="45"/>
  <c r="AY2" i="61"/>
  <c r="AY5" i="61"/>
  <c r="AY21" i="61" s="1"/>
  <c r="AY37" i="61" s="1"/>
  <c r="AZ1" i="61"/>
  <c r="BA1" i="61" s="1"/>
  <c r="BB1" i="61" s="1"/>
  <c r="AL7" i="83"/>
  <c r="Q125" i="83"/>
  <c r="AN7" i="83"/>
  <c r="AJ7" i="83"/>
  <c r="AW23" i="49"/>
  <c r="AW41" i="49"/>
  <c r="AX1" i="65"/>
  <c r="AW5" i="65"/>
  <c r="AW2" i="65"/>
  <c r="AX5" i="32"/>
  <c r="AX2" i="32"/>
  <c r="AY1" i="32"/>
  <c r="BC30" i="34"/>
  <c r="EG5" i="34" s="1"/>
  <c r="AW2" i="34"/>
  <c r="AX1" i="34"/>
  <c r="AX5" i="52"/>
  <c r="AY1" i="52"/>
  <c r="AZ1" i="52" s="1"/>
  <c r="BA1" i="52" s="1"/>
  <c r="AX2" i="52"/>
  <c r="AR3" i="9"/>
  <c r="AR2" i="9"/>
  <c r="AS1" i="9"/>
  <c r="P125" i="83"/>
  <c r="M7" i="83"/>
  <c r="AY1" i="49"/>
  <c r="AZ1" i="49" s="1"/>
  <c r="BA1" i="49" s="1"/>
  <c r="AX5" i="49"/>
  <c r="AX2" i="49"/>
  <c r="AU2" i="71"/>
  <c r="AU5" i="71"/>
  <c r="AV1" i="71"/>
  <c r="AT34" i="71"/>
  <c r="AT63" i="71"/>
  <c r="AS2" i="83"/>
  <c r="AS5" i="83"/>
  <c r="AT1" i="83"/>
  <c r="N97" i="83"/>
  <c r="J7" i="83"/>
  <c r="R125" i="83"/>
  <c r="S125" i="83" s="1"/>
  <c r="AY23" i="31"/>
  <c r="AY14" i="31"/>
  <c r="AR2" i="29"/>
  <c r="AR5" i="29"/>
  <c r="AS1" i="29"/>
  <c r="BA315" i="73"/>
  <c r="AZ314" i="73"/>
  <c r="AZ316" i="73" s="1"/>
  <c r="AV13" i="65"/>
  <c r="AV21" i="65"/>
  <c r="AW14" i="32"/>
  <c r="AW23" i="32"/>
  <c r="AW5" i="30"/>
  <c r="AW2" i="30"/>
  <c r="AX1" i="30"/>
  <c r="AV17" i="63"/>
  <c r="O7" i="83"/>
  <c r="S97" i="83"/>
  <c r="AB7" i="83"/>
  <c r="N94" i="83"/>
  <c r="R7" i="83"/>
  <c r="AZ5" i="31"/>
  <c r="AZ2" i="31"/>
  <c r="AT12" i="53"/>
  <c r="AT19" i="53"/>
  <c r="AW37" i="52"/>
  <c r="AW21" i="52"/>
  <c r="AP13" i="31"/>
  <c r="AR6" i="32"/>
  <c r="AR12" i="32" s="1"/>
  <c r="AQ13" i="32"/>
  <c r="V7" i="83"/>
  <c r="AQ106" i="46"/>
  <c r="AQ91" i="46"/>
  <c r="AU5" i="1"/>
  <c r="AU2" i="1"/>
  <c r="AV1" i="1"/>
  <c r="BB104" i="46"/>
  <c r="AS5" i="84"/>
  <c r="AT1" i="84"/>
  <c r="S94" i="83"/>
  <c r="Q7" i="83"/>
  <c r="U7" i="83"/>
  <c r="L125" i="83"/>
  <c r="O125" i="83"/>
  <c r="S12" i="83"/>
  <c r="AF7" i="83"/>
  <c r="M125" i="83"/>
  <c r="N125" i="83" s="1"/>
  <c r="AV13" i="30"/>
  <c r="AV20" i="30"/>
  <c r="AV5" i="26"/>
  <c r="AV15" i="26" s="1"/>
  <c r="AV2" i="26"/>
  <c r="AW1" i="26"/>
  <c r="AR5" i="45"/>
  <c r="AR2" i="45"/>
  <c r="AS1" i="45"/>
  <c r="AC96" i="83"/>
  <c r="AA7" i="83"/>
  <c r="AH96" i="83"/>
  <c r="AO7" i="83"/>
  <c r="AQ39" i="83"/>
  <c r="AQ37" i="83"/>
  <c r="AQ38" i="44"/>
  <c r="AR25" i="44"/>
  <c r="AR32" i="44" s="1"/>
  <c r="J125" i="83"/>
  <c r="N12" i="83"/>
  <c r="G7" i="83"/>
  <c r="T7" i="83"/>
  <c r="X97" i="83"/>
  <c r="AC97" i="83"/>
  <c r="Y7" i="83"/>
  <c r="F7" i="83"/>
  <c r="AY5" i="33"/>
  <c r="AY19" i="33" s="1"/>
  <c r="AY33" i="33" s="1"/>
  <c r="AZ1" i="33"/>
  <c r="BA1" i="33" s="1"/>
  <c r="BB1" i="33" s="1"/>
  <c r="AY2" i="33"/>
  <c r="W7" i="83"/>
  <c r="AH97" i="83"/>
  <c r="AD7" i="83"/>
  <c r="AK7" i="83"/>
  <c r="L7" i="83"/>
  <c r="AM94" i="83"/>
  <c r="AU2" i="2"/>
  <c r="AU5" i="2"/>
  <c r="AV1" i="2"/>
  <c r="AE7" i="83"/>
  <c r="AH94" i="83"/>
  <c r="I97" i="83"/>
  <c r="E7" i="83"/>
  <c r="AM97" i="83"/>
  <c r="AI7" i="83"/>
  <c r="P7" i="83"/>
  <c r="AU5" i="48"/>
  <c r="AU2" i="48"/>
  <c r="AV1" i="48"/>
  <c r="AU5" i="53"/>
  <c r="AU2" i="53"/>
  <c r="AV1" i="53"/>
  <c r="AR2" i="44"/>
  <c r="AS1" i="44"/>
  <c r="AR5" i="44"/>
  <c r="AR24" i="44" s="1"/>
  <c r="AX5" i="66"/>
  <c r="AX2" i="66"/>
  <c r="AY1" i="66"/>
  <c r="AZ1" i="66" s="1"/>
  <c r="BA1" i="66" s="1"/>
  <c r="AR2" i="46"/>
  <c r="AR5" i="46"/>
  <c r="AS1" i="46"/>
  <c r="AG7" i="83"/>
  <c r="K7" i="83"/>
  <c r="Z7" i="83"/>
  <c r="BH313" i="73"/>
  <c r="H7" i="83"/>
  <c r="K125" i="83"/>
  <c r="S96" i="83"/>
  <c r="AP7" i="83"/>
  <c r="H98" i="83"/>
  <c r="AL98" i="83"/>
  <c r="Y98" i="83"/>
  <c r="M98" i="83"/>
  <c r="AQ138" i="83"/>
  <c r="AA98" i="83"/>
  <c r="AI98" i="83"/>
  <c r="O98" i="83"/>
  <c r="E98" i="83"/>
  <c r="AD98" i="83"/>
  <c r="F98" i="83"/>
  <c r="AK98" i="83"/>
  <c r="AG98" i="83"/>
  <c r="AB98" i="83"/>
  <c r="R98" i="83"/>
  <c r="P98" i="83"/>
  <c r="AE98" i="83"/>
  <c r="AQ111" i="83"/>
  <c r="T98" i="83"/>
  <c r="AF98" i="83"/>
  <c r="AJ98" i="83"/>
  <c r="AO98" i="83"/>
  <c r="K98" i="83"/>
  <c r="U98" i="83"/>
  <c r="AP98" i="83"/>
  <c r="Q98" i="83"/>
  <c r="Z98" i="83"/>
  <c r="G98" i="83"/>
  <c r="V98" i="83"/>
  <c r="J98" i="83"/>
  <c r="W98" i="83"/>
  <c r="AN98" i="83"/>
  <c r="L98" i="83"/>
  <c r="AY113" i="83" l="1"/>
  <c r="AY99" i="83"/>
  <c r="AY104" i="83"/>
  <c r="AS10" i="84"/>
  <c r="AS7" i="84"/>
  <c r="AS11" i="84"/>
  <c r="AS14" i="84"/>
  <c r="AS13" i="84"/>
  <c r="AS8" i="84"/>
  <c r="AT21" i="32"/>
  <c r="AU15" i="32" s="1"/>
  <c r="BB5" i="31"/>
  <c r="BA5" i="66"/>
  <c r="BB1" i="66"/>
  <c r="BB2" i="66" s="1"/>
  <c r="BA2" i="66"/>
  <c r="BA5" i="52"/>
  <c r="BA2" i="52"/>
  <c r="BB1" i="52"/>
  <c r="BA23" i="31"/>
  <c r="BA14" i="31"/>
  <c r="BB2" i="33"/>
  <c r="BB5" i="33"/>
  <c r="BB19" i="33" s="1"/>
  <c r="BB33" i="33" s="1"/>
  <c r="BC1" i="33"/>
  <c r="BC2" i="33" s="1"/>
  <c r="BA5" i="49"/>
  <c r="BB1" i="49"/>
  <c r="BB2" i="49" s="1"/>
  <c r="BA2" i="49"/>
  <c r="BC1" i="61"/>
  <c r="BC2" i="61" s="1"/>
  <c r="BB2" i="61"/>
  <c r="BB5" i="61"/>
  <c r="BB21" i="61" s="1"/>
  <c r="BB37" i="61" s="1"/>
  <c r="O100" i="83"/>
  <c r="Q100" i="83"/>
  <c r="F100" i="83"/>
  <c r="AK100" i="83"/>
  <c r="E100" i="83"/>
  <c r="AD100" i="83"/>
  <c r="M100" i="83"/>
  <c r="U100" i="83"/>
  <c r="W100" i="83"/>
  <c r="L100" i="83"/>
  <c r="AI100" i="83"/>
  <c r="Z100" i="83"/>
  <c r="AL100" i="83"/>
  <c r="AF100" i="83"/>
  <c r="R100" i="83"/>
  <c r="AO100" i="83"/>
  <c r="G100" i="83"/>
  <c r="T100" i="83"/>
  <c r="Y100" i="83"/>
  <c r="AE100" i="83"/>
  <c r="K100" i="83"/>
  <c r="AP100" i="83"/>
  <c r="AN100" i="83"/>
  <c r="AJ100" i="83"/>
  <c r="N98" i="83"/>
  <c r="J100" i="83"/>
  <c r="V100" i="83"/>
  <c r="AA100" i="83"/>
  <c r="S98" i="83"/>
  <c r="AB100" i="83"/>
  <c r="AM98" i="83"/>
  <c r="AG100" i="83"/>
  <c r="H100" i="83"/>
  <c r="X98" i="83"/>
  <c r="AC98" i="83"/>
  <c r="AH98" i="83"/>
  <c r="I98" i="83"/>
  <c r="P100" i="83"/>
  <c r="AZ2" i="52"/>
  <c r="AZ5" i="52"/>
  <c r="AR138" i="83"/>
  <c r="AR148" i="83"/>
  <c r="AS147" i="83" s="1"/>
  <c r="AW147" i="83" s="1"/>
  <c r="AQ7" i="83"/>
  <c r="AR7" i="83" s="1"/>
  <c r="AR111" i="83"/>
  <c r="BA5" i="33"/>
  <c r="BA19" i="33" s="1"/>
  <c r="BA33" i="33" s="1"/>
  <c r="BA2" i="33"/>
  <c r="AR154" i="83"/>
  <c r="AZ5" i="49"/>
  <c r="AZ2" i="49"/>
  <c r="AZ2" i="66"/>
  <c r="AZ5" i="66"/>
  <c r="BA2" i="61"/>
  <c r="BA5" i="61"/>
  <c r="BA21" i="61" s="1"/>
  <c r="BA37" i="61" s="1"/>
  <c r="AR158" i="83"/>
  <c r="AR156" i="83"/>
  <c r="AM7" i="83"/>
  <c r="AH7" i="83"/>
  <c r="AV5" i="2"/>
  <c r="AV2" i="2"/>
  <c r="AW1" i="2"/>
  <c r="N7" i="83"/>
  <c r="AQ40" i="83"/>
  <c r="AQ41" i="83"/>
  <c r="AR41" i="83" s="1"/>
  <c r="AR39" i="83"/>
  <c r="AR40" i="83" s="1"/>
  <c r="AT5" i="84"/>
  <c r="AU1" i="84"/>
  <c r="AY2" i="32"/>
  <c r="AY5" i="32"/>
  <c r="AZ1" i="32"/>
  <c r="AV2" i="48"/>
  <c r="AW1" i="48"/>
  <c r="AV5" i="48"/>
  <c r="I7" i="83"/>
  <c r="AT1" i="45"/>
  <c r="AS5" i="45"/>
  <c r="AS2" i="45"/>
  <c r="AR24" i="32"/>
  <c r="AR30" i="32" s="1"/>
  <c r="BB315" i="73"/>
  <c r="BA314" i="73"/>
  <c r="BA316" i="73" s="1"/>
  <c r="AV2" i="53"/>
  <c r="AW1" i="53"/>
  <c r="AV5" i="53"/>
  <c r="AU12" i="53"/>
  <c r="AU19" i="53"/>
  <c r="AS5" i="46"/>
  <c r="AS2" i="46"/>
  <c r="AT1" i="46"/>
  <c r="AR68" i="46"/>
  <c r="AR36" i="46"/>
  <c r="AR30" i="46"/>
  <c r="AR49" i="46"/>
  <c r="AR24" i="46"/>
  <c r="AR11" i="46"/>
  <c r="AR105" i="46"/>
  <c r="AR55" i="46"/>
  <c r="AR81" i="46"/>
  <c r="AR62" i="46"/>
  <c r="AR43" i="46"/>
  <c r="AR74" i="46"/>
  <c r="AR93" i="46"/>
  <c r="AR17" i="46"/>
  <c r="AS2" i="44"/>
  <c r="AS5" i="44"/>
  <c r="AS24" i="44" s="1"/>
  <c r="AT1" i="44"/>
  <c r="AR38" i="44"/>
  <c r="AS25" i="44"/>
  <c r="AS32" i="44" s="1"/>
  <c r="AS38" i="44" s="1"/>
  <c r="S7" i="83"/>
  <c r="AS2" i="29"/>
  <c r="AS5" i="29"/>
  <c r="AT1" i="29"/>
  <c r="AX14" i="32"/>
  <c r="AX23" i="32"/>
  <c r="AR10" i="29"/>
  <c r="AR15" i="29"/>
  <c r="AT2" i="83"/>
  <c r="AT5" i="83"/>
  <c r="AU1" i="83"/>
  <c r="AS3" i="9"/>
  <c r="AS2" i="9"/>
  <c r="AT1" i="9"/>
  <c r="AW2" i="26"/>
  <c r="AW5" i="26"/>
  <c r="AW15" i="26" s="1"/>
  <c r="AX1" i="26"/>
  <c r="AS161" i="83"/>
  <c r="AS116" i="83"/>
  <c r="AS92" i="83"/>
  <c r="AS130" i="83"/>
  <c r="AS150" i="83"/>
  <c r="AS35" i="83"/>
  <c r="AS107" i="83" s="1"/>
  <c r="AW21" i="65"/>
  <c r="AW13" i="65"/>
  <c r="AV5" i="1"/>
  <c r="AV2" i="1"/>
  <c r="AW1" i="1"/>
  <c r="AX5" i="30"/>
  <c r="AX2" i="30"/>
  <c r="AY1" i="30"/>
  <c r="AR34" i="9"/>
  <c r="AR38" i="9"/>
  <c r="AR132" i="9"/>
  <c r="AR63" i="9"/>
  <c r="AR48" i="9"/>
  <c r="AR23" i="9"/>
  <c r="AR56" i="9"/>
  <c r="AR5" i="9"/>
  <c r="AR11" i="9"/>
  <c r="AX2" i="65"/>
  <c r="AX5" i="65"/>
  <c r="AY1" i="65"/>
  <c r="AZ1" i="65" s="1"/>
  <c r="BA1" i="65" s="1"/>
  <c r="AZ5" i="61"/>
  <c r="AZ21" i="61" s="1"/>
  <c r="AZ37" i="61" s="1"/>
  <c r="AZ2" i="61"/>
  <c r="AR25" i="45"/>
  <c r="AR15" i="45"/>
  <c r="AC7" i="83"/>
  <c r="AW13" i="30"/>
  <c r="AW20" i="30"/>
  <c r="AX41" i="49"/>
  <c r="AX23" i="49"/>
  <c r="AY5" i="52"/>
  <c r="AY2" i="52"/>
  <c r="AQ113" i="46"/>
  <c r="AR82" i="46"/>
  <c r="AQ92" i="46"/>
  <c r="AZ14" i="31"/>
  <c r="AZ23" i="31"/>
  <c r="AV5" i="71"/>
  <c r="AV2" i="71"/>
  <c r="AW1" i="71"/>
  <c r="AY5" i="49"/>
  <c r="AY2" i="49"/>
  <c r="AX37" i="52"/>
  <c r="AX21" i="52"/>
  <c r="AU34" i="71"/>
  <c r="AU63" i="71"/>
  <c r="BD30" i="34"/>
  <c r="EJ5" i="34" s="1"/>
  <c r="AX2" i="34"/>
  <c r="AY1" i="34"/>
  <c r="AR37" i="83"/>
  <c r="AR38" i="83" s="1"/>
  <c r="AQ38" i="83"/>
  <c r="X7" i="83"/>
  <c r="AZ2" i="33"/>
  <c r="AZ5" i="33"/>
  <c r="AZ19" i="33" s="1"/>
  <c r="AZ33" i="33" s="1"/>
  <c r="AY5" i="66"/>
  <c r="AY2" i="66"/>
  <c r="AQ98" i="83"/>
  <c r="AS118" i="83"/>
  <c r="AS103" i="83"/>
  <c r="AS138" i="83" l="1"/>
  <c r="AS143" i="83"/>
  <c r="AS140" i="83"/>
  <c r="AY115" i="83"/>
  <c r="AY105" i="83"/>
  <c r="AY106" i="83" s="1"/>
  <c r="AY108" i="83"/>
  <c r="AY109" i="83" s="1"/>
  <c r="AY114" i="83"/>
  <c r="BB23" i="31"/>
  <c r="BB14" i="31"/>
  <c r="AT11" i="84"/>
  <c r="AT8" i="84"/>
  <c r="AT10" i="84"/>
  <c r="AT7" i="84"/>
  <c r="AT14" i="84"/>
  <c r="AT13" i="84"/>
  <c r="AS164" i="83"/>
  <c r="AS162" i="83"/>
  <c r="AU21" i="32"/>
  <c r="AV15" i="32" s="1"/>
  <c r="BB5" i="49"/>
  <c r="BB5" i="66"/>
  <c r="BC5" i="33"/>
  <c r="BC19" i="33" s="1"/>
  <c r="BC33" i="33" s="1"/>
  <c r="BB1" i="65"/>
  <c r="BA2" i="65"/>
  <c r="BA5" i="65"/>
  <c r="BC5" i="61"/>
  <c r="BC21" i="61" s="1"/>
  <c r="BC37" i="61" s="1"/>
  <c r="BA41" i="49"/>
  <c r="BA23" i="49"/>
  <c r="AE104" i="83"/>
  <c r="L104" i="83"/>
  <c r="L102" i="83"/>
  <c r="O104" i="83"/>
  <c r="L113" i="83"/>
  <c r="O99" i="83"/>
  <c r="O113" i="83"/>
  <c r="O102" i="83"/>
  <c r="AP104" i="83"/>
  <c r="AP102" i="83"/>
  <c r="L99" i="83"/>
  <c r="AP113" i="83"/>
  <c r="AE102" i="83"/>
  <c r="AP99" i="83"/>
  <c r="AE99" i="83"/>
  <c r="AE113" i="83"/>
  <c r="AK99" i="83"/>
  <c r="AK113" i="83"/>
  <c r="AK102" i="83"/>
  <c r="AK104" i="83"/>
  <c r="Z104" i="83"/>
  <c r="AD99" i="83"/>
  <c r="AD102" i="83"/>
  <c r="AD104" i="83"/>
  <c r="AO113" i="83"/>
  <c r="AO102" i="83"/>
  <c r="Z99" i="83"/>
  <c r="AD113" i="83"/>
  <c r="AO99" i="83"/>
  <c r="AO104" i="83"/>
  <c r="Z113" i="83"/>
  <c r="Z102" i="83"/>
  <c r="K99" i="83"/>
  <c r="K113" i="83"/>
  <c r="K115" i="83" s="1"/>
  <c r="K104" i="83"/>
  <c r="K102" i="83"/>
  <c r="W99" i="83"/>
  <c r="W113" i="83"/>
  <c r="W115" i="83" s="1"/>
  <c r="W102" i="83"/>
  <c r="W104" i="83"/>
  <c r="AF99" i="83"/>
  <c r="AF113" i="83"/>
  <c r="AF104" i="83"/>
  <c r="AF102" i="83"/>
  <c r="R99" i="83"/>
  <c r="E113" i="83"/>
  <c r="E115" i="83" s="1"/>
  <c r="G113" i="83"/>
  <c r="F113" i="83"/>
  <c r="F115" i="83" s="1"/>
  <c r="F99" i="83"/>
  <c r="F102" i="83"/>
  <c r="F104" i="83"/>
  <c r="U99" i="83"/>
  <c r="U113" i="83"/>
  <c r="U115" i="83" s="1"/>
  <c r="U102" i="83"/>
  <c r="U104" i="83"/>
  <c r="M99" i="83"/>
  <c r="M113" i="83"/>
  <c r="M115" i="83" s="1"/>
  <c r="M102" i="83"/>
  <c r="M104" i="83"/>
  <c r="Y99" i="83"/>
  <c r="Y113" i="83"/>
  <c r="Y115" i="83" s="1"/>
  <c r="Y102" i="83"/>
  <c r="Y104" i="83"/>
  <c r="Q113" i="83"/>
  <c r="Q99" i="83"/>
  <c r="Q104" i="83"/>
  <c r="AI99" i="83"/>
  <c r="AI102" i="83"/>
  <c r="AI104" i="83"/>
  <c r="E99" i="83"/>
  <c r="E104" i="83"/>
  <c r="G102" i="83"/>
  <c r="Q102" i="83"/>
  <c r="AI113" i="83"/>
  <c r="AI115" i="83" s="1"/>
  <c r="G99" i="83"/>
  <c r="R113" i="83"/>
  <c r="R102" i="83"/>
  <c r="R104" i="83"/>
  <c r="T99" i="83"/>
  <c r="T113" i="83"/>
  <c r="T115" i="83" s="1"/>
  <c r="T102" i="83"/>
  <c r="T104" i="83"/>
  <c r="AL99" i="83"/>
  <c r="AL113" i="83"/>
  <c r="AL104" i="83"/>
  <c r="AL102" i="83"/>
  <c r="E102" i="83"/>
  <c r="G104" i="83"/>
  <c r="S100" i="83"/>
  <c r="H104" i="83"/>
  <c r="AG104" i="83"/>
  <c r="P99" i="83"/>
  <c r="AN102" i="83"/>
  <c r="H102" i="83"/>
  <c r="AG99" i="83"/>
  <c r="AB113" i="83"/>
  <c r="H113" i="83"/>
  <c r="H99" i="83"/>
  <c r="AH100" i="83"/>
  <c r="AA113" i="83"/>
  <c r="AA102" i="83"/>
  <c r="AA104" i="83"/>
  <c r="N100" i="83"/>
  <c r="J102" i="83"/>
  <c r="AG102" i="83"/>
  <c r="AN113" i="83"/>
  <c r="AB102" i="83"/>
  <c r="AA99" i="83"/>
  <c r="J113" i="83"/>
  <c r="J99" i="83"/>
  <c r="J104" i="83"/>
  <c r="AG113" i="83"/>
  <c r="AM100" i="83"/>
  <c r="V113" i="83"/>
  <c r="V99" i="83"/>
  <c r="V104" i="83"/>
  <c r="AN99" i="83"/>
  <c r="AN104" i="83"/>
  <c r="X100" i="83"/>
  <c r="AB99" i="83"/>
  <c r="AB104" i="83"/>
  <c r="P104" i="83"/>
  <c r="P102" i="83"/>
  <c r="AC100" i="83"/>
  <c r="AJ99" i="83"/>
  <c r="AJ113" i="83"/>
  <c r="AJ102" i="83"/>
  <c r="AJ104" i="83"/>
  <c r="V102" i="83"/>
  <c r="I100" i="83"/>
  <c r="P113" i="83"/>
  <c r="BB2" i="52"/>
  <c r="BB5" i="52"/>
  <c r="BB5" i="65"/>
  <c r="BB2" i="65"/>
  <c r="AQ100" i="83"/>
  <c r="AQ99" i="83" s="1"/>
  <c r="AR98" i="83"/>
  <c r="AZ5" i="65"/>
  <c r="AZ2" i="65"/>
  <c r="AZ23" i="49"/>
  <c r="AZ41" i="49"/>
  <c r="AY2" i="34"/>
  <c r="AZ1" i="34"/>
  <c r="AU5" i="84"/>
  <c r="AV1" i="84"/>
  <c r="AS63" i="9"/>
  <c r="AS48" i="9"/>
  <c r="AS5" i="9"/>
  <c r="AS38" i="9"/>
  <c r="AS23" i="9"/>
  <c r="AS11" i="9"/>
  <c r="AS56" i="9"/>
  <c r="AS34" i="9"/>
  <c r="AS132" i="9"/>
  <c r="AS36" i="46"/>
  <c r="AS62" i="46"/>
  <c r="AS105" i="46"/>
  <c r="AS43" i="46"/>
  <c r="AS24" i="46"/>
  <c r="AS81" i="46"/>
  <c r="AS93" i="46"/>
  <c r="AS11" i="46"/>
  <c r="AS55" i="46"/>
  <c r="AS17" i="46"/>
  <c r="AS74" i="46"/>
  <c r="AS49" i="46"/>
  <c r="AS30" i="46"/>
  <c r="AS68" i="46"/>
  <c r="AY41" i="49"/>
  <c r="AY23" i="49"/>
  <c r="AT116" i="83"/>
  <c r="AT130" i="83"/>
  <c r="AT92" i="83"/>
  <c r="AT150" i="83"/>
  <c r="AT161" i="83"/>
  <c r="AT35" i="83"/>
  <c r="AS15" i="45"/>
  <c r="AS25" i="45"/>
  <c r="AV19" i="53"/>
  <c r="AV12" i="53"/>
  <c r="AT5" i="44"/>
  <c r="AT2" i="44"/>
  <c r="AU1" i="44"/>
  <c r="AX1" i="53"/>
  <c r="AW2" i="53"/>
  <c r="AW5" i="53"/>
  <c r="AQ13" i="31"/>
  <c r="AR13" i="32"/>
  <c r="AS6" i="32"/>
  <c r="AS12" i="32" s="1"/>
  <c r="AW2" i="2"/>
  <c r="AW5" i="2"/>
  <c r="AX1" i="2"/>
  <c r="AY21" i="52"/>
  <c r="AY37" i="52"/>
  <c r="AY5" i="65"/>
  <c r="AY2" i="65"/>
  <c r="AS10" i="29"/>
  <c r="AS15" i="29"/>
  <c r="AT2" i="46"/>
  <c r="AT5" i="46"/>
  <c r="AU1" i="46"/>
  <c r="AX13" i="65"/>
  <c r="AX21" i="65"/>
  <c r="AX20" i="30"/>
  <c r="AX13" i="30"/>
  <c r="AU2" i="83"/>
  <c r="AW1" i="83"/>
  <c r="AV1" i="83"/>
  <c r="AU5" i="83"/>
  <c r="AW2" i="71"/>
  <c r="AX1" i="71"/>
  <c r="AW5" i="71"/>
  <c r="AU1" i="45"/>
  <c r="AT5" i="45"/>
  <c r="AT2" i="45"/>
  <c r="AV63" i="71"/>
  <c r="AV34" i="71"/>
  <c r="AR106" i="46"/>
  <c r="AR91" i="46"/>
  <c r="AT5" i="29"/>
  <c r="AT2" i="29"/>
  <c r="AU1" i="29"/>
  <c r="AY23" i="32"/>
  <c r="AY14" i="32"/>
  <c r="AY2" i="30"/>
  <c r="AY5" i="30"/>
  <c r="AZ1" i="30"/>
  <c r="AT2" i="9"/>
  <c r="AT3" i="9"/>
  <c r="AU1" i="9"/>
  <c r="AX1" i="48"/>
  <c r="AW5" i="48"/>
  <c r="AW2" i="48"/>
  <c r="AW2" i="1"/>
  <c r="AW5" i="1"/>
  <c r="AX1" i="1"/>
  <c r="BB314" i="73"/>
  <c r="BB316" i="73" s="1"/>
  <c r="BC315" i="73"/>
  <c r="AS37" i="83"/>
  <c r="AS39" i="83"/>
  <c r="AX2" i="26"/>
  <c r="AX5" i="26"/>
  <c r="AX15" i="26" s="1"/>
  <c r="AY1" i="26"/>
  <c r="AZ5" i="32"/>
  <c r="BA1" i="32"/>
  <c r="BB1" i="32" s="1"/>
  <c r="AZ2" i="32"/>
  <c r="AS127" i="83"/>
  <c r="AS95" i="83"/>
  <c r="AS101" i="83"/>
  <c r="AS128" i="83"/>
  <c r="AS124" i="83"/>
  <c r="AT87" i="83"/>
  <c r="AS121" i="83"/>
  <c r="AS153" i="83"/>
  <c r="AS93" i="83"/>
  <c r="AT140" i="83"/>
  <c r="AS87" i="83"/>
  <c r="AS117" i="83"/>
  <c r="AS151" i="83"/>
  <c r="AT107" i="83"/>
  <c r="AS112" i="83"/>
  <c r="AT82" i="83"/>
  <c r="AS155" i="83"/>
  <c r="AS139" i="83"/>
  <c r="AS82" i="83"/>
  <c r="AT139" i="83"/>
  <c r="AS157" i="83"/>
  <c r="AT143" i="83"/>
  <c r="BB41" i="49" l="1"/>
  <c r="BB23" i="49"/>
  <c r="AU7" i="84"/>
  <c r="AU11" i="84"/>
  <c r="AU10" i="84"/>
  <c r="AU8" i="84"/>
  <c r="AU14" i="84"/>
  <c r="AU13" i="84"/>
  <c r="AT164" i="83"/>
  <c r="AY165" i="83" s="1"/>
  <c r="AT162" i="83"/>
  <c r="AY163" i="83" s="1"/>
  <c r="AV21" i="32"/>
  <c r="AW15" i="32" s="1"/>
  <c r="BB2" i="32"/>
  <c r="BB5" i="32"/>
  <c r="BC1" i="32"/>
  <c r="BC2" i="32" s="1"/>
  <c r="BA21" i="65"/>
  <c r="BA13" i="65"/>
  <c r="L114" i="83"/>
  <c r="L108" i="83"/>
  <c r="L109" i="83" s="1"/>
  <c r="L105" i="83"/>
  <c r="L106" i="83" s="1"/>
  <c r="O108" i="83"/>
  <c r="O105" i="83"/>
  <c r="O114" i="83"/>
  <c r="AP114" i="83"/>
  <c r="AP108" i="83"/>
  <c r="AP109" i="83" s="1"/>
  <c r="AP105" i="83"/>
  <c r="AP106" i="83" s="1"/>
  <c r="AE114" i="83"/>
  <c r="AE108" i="83"/>
  <c r="AE109" i="83" s="1"/>
  <c r="AE105" i="83"/>
  <c r="AE106" i="83" s="1"/>
  <c r="AK114" i="83"/>
  <c r="AK105" i="83"/>
  <c r="AK106" i="83" s="1"/>
  <c r="AK108" i="83"/>
  <c r="AK109" i="83" s="1"/>
  <c r="M114" i="83"/>
  <c r="Z114" i="83"/>
  <c r="Z108" i="83"/>
  <c r="Z109" i="83" s="1"/>
  <c r="Z105" i="83"/>
  <c r="Z106" i="83" s="1"/>
  <c r="AO114" i="83"/>
  <c r="AO108" i="83"/>
  <c r="AO109" i="83" s="1"/>
  <c r="AO105" i="83"/>
  <c r="AO106" i="83" s="1"/>
  <c r="E105" i="83"/>
  <c r="M108" i="83"/>
  <c r="M109" i="83" s="1"/>
  <c r="Y108" i="83"/>
  <c r="Y114" i="83"/>
  <c r="E108" i="83"/>
  <c r="E114" i="83"/>
  <c r="M105" i="83"/>
  <c r="M106" i="83" s="1"/>
  <c r="Y105" i="83"/>
  <c r="AD114" i="83"/>
  <c r="AD108" i="83"/>
  <c r="AD105" i="83"/>
  <c r="W114" i="83"/>
  <c r="W108" i="83"/>
  <c r="W109" i="83" s="1"/>
  <c r="W105" i="83"/>
  <c r="W106" i="83" s="1"/>
  <c r="K114" i="83"/>
  <c r="K108" i="83"/>
  <c r="K109" i="83" s="1"/>
  <c r="K105" i="83"/>
  <c r="K106" i="83" s="1"/>
  <c r="Q105" i="83"/>
  <c r="Q106" i="83" s="1"/>
  <c r="Q108" i="83"/>
  <c r="Q109" i="83" s="1"/>
  <c r="F108" i="83"/>
  <c r="F109" i="83" s="1"/>
  <c r="F114" i="83"/>
  <c r="F105" i="83"/>
  <c r="F106" i="83" s="1"/>
  <c r="AL114" i="83"/>
  <c r="AL105" i="83"/>
  <c r="AL106" i="83" s="1"/>
  <c r="AL108" i="83"/>
  <c r="AL109" i="83" s="1"/>
  <c r="G105" i="83"/>
  <c r="G106" i="83" s="1"/>
  <c r="G108" i="83"/>
  <c r="G109" i="83" s="1"/>
  <c r="T114" i="83"/>
  <c r="AI105" i="83"/>
  <c r="AF105" i="83"/>
  <c r="AF106" i="83" s="1"/>
  <c r="AF108" i="83"/>
  <c r="AF109" i="83" s="1"/>
  <c r="Q114" i="83"/>
  <c r="T105" i="83"/>
  <c r="AI108" i="83"/>
  <c r="R114" i="83"/>
  <c r="R105" i="83"/>
  <c r="R106" i="83" s="1"/>
  <c r="U108" i="83"/>
  <c r="U109" i="83" s="1"/>
  <c r="U114" i="83"/>
  <c r="U105" i="83"/>
  <c r="U106" i="83" s="1"/>
  <c r="G114" i="83"/>
  <c r="T108" i="83"/>
  <c r="AI114" i="83"/>
  <c r="AF114" i="83"/>
  <c r="R108" i="83"/>
  <c r="R109" i="83" s="1"/>
  <c r="AJ105" i="83"/>
  <c r="AJ106" i="83" s="1"/>
  <c r="AC99" i="83"/>
  <c r="I99" i="83"/>
  <c r="I113" i="83"/>
  <c r="I114" i="83" s="1"/>
  <c r="I104" i="83"/>
  <c r="I102" i="83"/>
  <c r="AJ108" i="83"/>
  <c r="AJ109" i="83" s="1"/>
  <c r="AC113" i="83"/>
  <c r="AC114" i="83" s="1"/>
  <c r="X99" i="83"/>
  <c r="X113" i="83"/>
  <c r="X114" i="83" s="1"/>
  <c r="X104" i="83"/>
  <c r="X102" i="83"/>
  <c r="P114" i="83"/>
  <c r="P105" i="83"/>
  <c r="P106" i="83" s="1"/>
  <c r="P108" i="83"/>
  <c r="P109" i="83" s="1"/>
  <c r="AC104" i="83"/>
  <c r="S113" i="83"/>
  <c r="S114" i="83" s="1"/>
  <c r="S99" i="83"/>
  <c r="S104" i="83"/>
  <c r="S102" i="83"/>
  <c r="AB114" i="83"/>
  <c r="AB108" i="83"/>
  <c r="AB109" i="83" s="1"/>
  <c r="N99" i="83"/>
  <c r="AM99" i="83"/>
  <c r="AM102" i="83"/>
  <c r="AN114" i="83"/>
  <c r="AB105" i="83"/>
  <c r="AB106" i="83" s="1"/>
  <c r="AA114" i="83"/>
  <c r="AA105" i="83"/>
  <c r="AA106" i="83" s="1"/>
  <c r="AA108" i="83"/>
  <c r="AA109" i="83" s="1"/>
  <c r="AG105" i="83"/>
  <c r="AG106" i="83" s="1"/>
  <c r="AG114" i="83"/>
  <c r="N102" i="83"/>
  <c r="N104" i="83"/>
  <c r="AM113" i="83"/>
  <c r="AM114" i="83" s="1"/>
  <c r="AH113" i="83"/>
  <c r="AH114" i="83" s="1"/>
  <c r="AH102" i="83"/>
  <c r="AH104" i="83"/>
  <c r="V105" i="83"/>
  <c r="V106" i="83" s="1"/>
  <c r="AG108" i="83"/>
  <c r="AG109" i="83" s="1"/>
  <c r="N113" i="83"/>
  <c r="N114" i="83" s="1"/>
  <c r="AH99" i="83"/>
  <c r="H105" i="83"/>
  <c r="H106" i="83" s="1"/>
  <c r="H114" i="83"/>
  <c r="H108" i="83"/>
  <c r="H109" i="83" s="1"/>
  <c r="V108" i="83"/>
  <c r="V109" i="83" s="1"/>
  <c r="V114" i="83"/>
  <c r="AN108" i="83"/>
  <c r="AN105" i="83"/>
  <c r="AJ114" i="83"/>
  <c r="AM104" i="83"/>
  <c r="J105" i="83"/>
  <c r="J108" i="83"/>
  <c r="J114" i="83"/>
  <c r="AC102" i="83"/>
  <c r="BB21" i="52"/>
  <c r="BB37" i="52"/>
  <c r="AS20" i="83"/>
  <c r="AW2" i="83"/>
  <c r="AX1" i="83"/>
  <c r="BB21" i="65"/>
  <c r="BB13" i="65"/>
  <c r="AS148" i="83"/>
  <c r="AS145" i="83" s="1"/>
  <c r="AS134" i="83"/>
  <c r="AS152" i="83"/>
  <c r="AS154" i="83"/>
  <c r="AS156" i="83"/>
  <c r="AS159" i="83"/>
  <c r="AS158" i="83"/>
  <c r="AS97" i="83"/>
  <c r="AS7" i="83" s="1"/>
  <c r="AS25" i="83"/>
  <c r="AS96" i="83"/>
  <c r="AQ113" i="83"/>
  <c r="AQ105" i="83" s="1"/>
  <c r="AQ106" i="83" s="1"/>
  <c r="AQ102" i="83"/>
  <c r="AQ104" i="83"/>
  <c r="AR100" i="83"/>
  <c r="AR104" i="83" s="1"/>
  <c r="AZ13" i="65"/>
  <c r="AZ21" i="65"/>
  <c r="AY21" i="65"/>
  <c r="AY13" i="65"/>
  <c r="AT20" i="83"/>
  <c r="AT15" i="29"/>
  <c r="AT10" i="29"/>
  <c r="BA5" i="32"/>
  <c r="BA2" i="32"/>
  <c r="AT38" i="9"/>
  <c r="AT34" i="9"/>
  <c r="AT48" i="9"/>
  <c r="AT23" i="9"/>
  <c r="AT5" i="9"/>
  <c r="AT63" i="9"/>
  <c r="AT11" i="9"/>
  <c r="AT132" i="9"/>
  <c r="AT56" i="9"/>
  <c r="AX5" i="71"/>
  <c r="AX2" i="71"/>
  <c r="AY1" i="71"/>
  <c r="AZ1" i="71" s="1"/>
  <c r="BA1" i="71" s="1"/>
  <c r="AS40" i="83"/>
  <c r="AS41" i="83"/>
  <c r="BC314" i="73"/>
  <c r="BC316" i="73" s="1"/>
  <c r="BD315" i="73"/>
  <c r="AX5" i="53"/>
  <c r="AX2" i="53"/>
  <c r="AY1" i="53"/>
  <c r="AZ1" i="53" s="1"/>
  <c r="BA1" i="53" s="1"/>
  <c r="AW34" i="71"/>
  <c r="AW63" i="71"/>
  <c r="AS24" i="32"/>
  <c r="AS30" i="32" s="1"/>
  <c r="AZ2" i="34"/>
  <c r="BA1" i="34"/>
  <c r="AS38" i="83"/>
  <c r="AZ23" i="32"/>
  <c r="AZ14" i="32"/>
  <c r="AU3" i="9"/>
  <c r="AU2" i="9"/>
  <c r="AV1" i="9"/>
  <c r="AU2" i="44"/>
  <c r="AU5" i="44"/>
  <c r="AV1" i="44"/>
  <c r="AY2" i="26"/>
  <c r="AY5" i="26"/>
  <c r="AY15" i="26" s="1"/>
  <c r="AZ1" i="26"/>
  <c r="AX5" i="1"/>
  <c r="AX2" i="1"/>
  <c r="AY1" i="1"/>
  <c r="BA1" i="30"/>
  <c r="BB1" i="30" s="1"/>
  <c r="AZ5" i="30"/>
  <c r="AZ2" i="30"/>
  <c r="AY20" i="30"/>
  <c r="AY13" i="30"/>
  <c r="AV5" i="84"/>
  <c r="AW1" i="84"/>
  <c r="AU5" i="29"/>
  <c r="AU2" i="29"/>
  <c r="AV2" i="29" s="1"/>
  <c r="AW2" i="29" s="1"/>
  <c r="AX2" i="29" s="1"/>
  <c r="AY2" i="29" s="1"/>
  <c r="AZ2" i="29" s="1"/>
  <c r="BA2" i="29" s="1"/>
  <c r="AV1" i="29"/>
  <c r="AT15" i="45"/>
  <c r="AT25" i="45"/>
  <c r="AU116" i="83"/>
  <c r="AU150" i="83"/>
  <c r="AU130" i="83"/>
  <c r="AU161" i="83"/>
  <c r="AU92" i="83"/>
  <c r="AU35" i="83"/>
  <c r="AU5" i="46"/>
  <c r="AU2" i="46"/>
  <c r="AV1" i="46"/>
  <c r="AX2" i="2"/>
  <c r="AX5" i="2"/>
  <c r="AY1" i="2"/>
  <c r="AU2" i="45"/>
  <c r="AU5" i="45"/>
  <c r="AV1" i="45"/>
  <c r="AV2" i="83"/>
  <c r="AV5" i="83"/>
  <c r="AT105" i="46"/>
  <c r="AT81" i="46"/>
  <c r="AT55" i="46"/>
  <c r="AT93" i="46"/>
  <c r="AT17" i="46"/>
  <c r="AT68" i="46"/>
  <c r="AT43" i="46"/>
  <c r="AT36" i="46"/>
  <c r="AT49" i="46"/>
  <c r="AT74" i="46"/>
  <c r="AT24" i="46"/>
  <c r="AT11" i="46"/>
  <c r="AT62" i="46"/>
  <c r="AT30" i="46"/>
  <c r="AW19" i="53"/>
  <c r="AW12" i="53"/>
  <c r="AT37" i="83"/>
  <c r="AT39" i="83"/>
  <c r="AY40" i="83" s="1"/>
  <c r="AY1" i="48"/>
  <c r="AX5" i="48"/>
  <c r="AX2" i="48"/>
  <c r="AS82" i="46"/>
  <c r="AR113" i="46"/>
  <c r="AR92" i="46"/>
  <c r="AN115" i="83"/>
  <c r="G115" i="83"/>
  <c r="AT95" i="83"/>
  <c r="AY96" i="83" s="1"/>
  <c r="AT103" i="83"/>
  <c r="AL115" i="83"/>
  <c r="L115" i="83"/>
  <c r="H115" i="83"/>
  <c r="AU143" i="83"/>
  <c r="AT138" i="83"/>
  <c r="AT121" i="83"/>
  <c r="AT157" i="83"/>
  <c r="Q115" i="83"/>
  <c r="AT117" i="83"/>
  <c r="AB115" i="83"/>
  <c r="AT153" i="83"/>
  <c r="AE115" i="83"/>
  <c r="AT93" i="83"/>
  <c r="AA115" i="83"/>
  <c r="AT151" i="83"/>
  <c r="AY152" i="83" s="1"/>
  <c r="V115" i="83"/>
  <c r="AT112" i="83"/>
  <c r="AU95" i="83"/>
  <c r="AF115" i="83"/>
  <c r="AK115" i="83"/>
  <c r="O115" i="83"/>
  <c r="AO115" i="83"/>
  <c r="AS111" i="83"/>
  <c r="AU82" i="83"/>
  <c r="R115" i="83"/>
  <c r="P115" i="83"/>
  <c r="AT118" i="83"/>
  <c r="AT127" i="83"/>
  <c r="AG115" i="83"/>
  <c r="AT101" i="83"/>
  <c r="AJ115" i="83"/>
  <c r="AD115" i="83"/>
  <c r="Z115" i="83"/>
  <c r="AT128" i="83"/>
  <c r="AT155" i="83"/>
  <c r="AT124" i="83"/>
  <c r="AP115" i="83"/>
  <c r="J115" i="83"/>
  <c r="AV10" i="84" l="1"/>
  <c r="AV8" i="84"/>
  <c r="AV7" i="84"/>
  <c r="AV11" i="84"/>
  <c r="AV13" i="84"/>
  <c r="AV14" i="84"/>
  <c r="AU162" i="83"/>
  <c r="AU164" i="83"/>
  <c r="AT38" i="83"/>
  <c r="AY38" i="83"/>
  <c r="AW21" i="32"/>
  <c r="AX15" i="32" s="1"/>
  <c r="BC5" i="32"/>
  <c r="BB23" i="32"/>
  <c r="BB14" i="32"/>
  <c r="BA5" i="71"/>
  <c r="BB1" i="71"/>
  <c r="BB5" i="71" s="1"/>
  <c r="BA2" i="71"/>
  <c r="BA5" i="53"/>
  <c r="BB1" i="53"/>
  <c r="BB2" i="53" s="1"/>
  <c r="BA2" i="53"/>
  <c r="BC1" i="30"/>
  <c r="BC5" i="30" s="1"/>
  <c r="BB2" i="30"/>
  <c r="BB5" i="30"/>
  <c r="BC2" i="29"/>
  <c r="BB2" i="29"/>
  <c r="O109" i="83"/>
  <c r="O106" i="83"/>
  <c r="E109" i="83"/>
  <c r="Y106" i="83"/>
  <c r="AI109" i="83"/>
  <c r="E106" i="83"/>
  <c r="Y109" i="83"/>
  <c r="AD106" i="83"/>
  <c r="AD109" i="83"/>
  <c r="T106" i="83"/>
  <c r="AI106" i="83"/>
  <c r="T109" i="83"/>
  <c r="S108" i="83"/>
  <c r="S109" i="83" s="1"/>
  <c r="I108" i="83"/>
  <c r="I109" i="83" s="1"/>
  <c r="AC105" i="83"/>
  <c r="AC106" i="83" s="1"/>
  <c r="AM108" i="83"/>
  <c r="AM109" i="83" s="1"/>
  <c r="X105" i="83"/>
  <c r="X106" i="83" s="1"/>
  <c r="S105" i="83"/>
  <c r="S106" i="83" s="1"/>
  <c r="I105" i="83"/>
  <c r="I106" i="83" s="1"/>
  <c r="AC108" i="83"/>
  <c r="AC109" i="83" s="1"/>
  <c r="AM105" i="83"/>
  <c r="AM106" i="83" s="1"/>
  <c r="AN106" i="83"/>
  <c r="AH105" i="83"/>
  <c r="AH106" i="83" s="1"/>
  <c r="AN109" i="83"/>
  <c r="AH108" i="83"/>
  <c r="AH109" i="83" s="1"/>
  <c r="J109" i="83"/>
  <c r="N105" i="83"/>
  <c r="N106" i="83" s="1"/>
  <c r="J106" i="83"/>
  <c r="X108" i="83"/>
  <c r="X109" i="83" s="1"/>
  <c r="N108" i="83"/>
  <c r="N109" i="83" s="1"/>
  <c r="AX2" i="83"/>
  <c r="AX5" i="83"/>
  <c r="AT147" i="83"/>
  <c r="AT148" i="83"/>
  <c r="AV147" i="83" s="1"/>
  <c r="AR105" i="83"/>
  <c r="AR106" i="83" s="1"/>
  <c r="AQ108" i="83"/>
  <c r="AQ109" i="83" s="1"/>
  <c r="AQ114" i="83"/>
  <c r="AR113" i="83"/>
  <c r="AR114" i="83" s="1"/>
  <c r="AR102" i="83"/>
  <c r="AR99" i="83"/>
  <c r="AT154" i="83"/>
  <c r="AT96" i="83"/>
  <c r="AT97" i="83"/>
  <c r="AT7" i="83" s="1"/>
  <c r="AT156" i="83"/>
  <c r="AT134" i="83"/>
  <c r="AT25" i="83"/>
  <c r="AT159" i="83"/>
  <c r="AT158" i="83"/>
  <c r="AT152" i="83"/>
  <c r="AZ5" i="53"/>
  <c r="AZ2" i="53"/>
  <c r="AZ5" i="71"/>
  <c r="AZ2" i="71"/>
  <c r="AU96" i="83"/>
  <c r="BA1" i="26"/>
  <c r="BB1" i="26" s="1"/>
  <c r="AZ2" i="26"/>
  <c r="AZ5" i="26"/>
  <c r="AZ15" i="26" s="1"/>
  <c r="AY2" i="53"/>
  <c r="AY5" i="53"/>
  <c r="AY2" i="2"/>
  <c r="AY5" i="2"/>
  <c r="AZ1" i="2"/>
  <c r="AS13" i="32"/>
  <c r="AT6" i="32"/>
  <c r="AT12" i="32" s="1"/>
  <c r="AR13" i="31"/>
  <c r="AX1" i="84"/>
  <c r="AW5" i="84"/>
  <c r="BD314" i="73"/>
  <c r="BD316" i="73" s="1"/>
  <c r="BE315" i="73"/>
  <c r="BA23" i="32"/>
  <c r="BA14" i="32"/>
  <c r="AV130" i="83"/>
  <c r="AV116" i="83"/>
  <c r="AV150" i="83"/>
  <c r="AV92" i="83"/>
  <c r="AV35" i="83"/>
  <c r="AV161" i="83"/>
  <c r="AZ20" i="30"/>
  <c r="AZ13" i="30"/>
  <c r="AW1" i="45"/>
  <c r="AV5" i="45"/>
  <c r="AV2" i="45"/>
  <c r="BA2" i="34"/>
  <c r="BB1" i="34"/>
  <c r="AV3" i="9"/>
  <c r="AW1" i="9"/>
  <c r="AV2" i="9"/>
  <c r="AX12" i="53"/>
  <c r="AX19" i="53"/>
  <c r="AS91" i="46"/>
  <c r="AS106" i="46"/>
  <c r="AV5" i="46"/>
  <c r="AW1" i="46"/>
  <c r="AV2" i="46"/>
  <c r="AU11" i="9"/>
  <c r="AU63" i="9"/>
  <c r="AU5" i="9"/>
  <c r="AU132" i="9"/>
  <c r="AU34" i="9"/>
  <c r="AU38" i="9"/>
  <c r="AU23" i="9"/>
  <c r="AU48" i="9"/>
  <c r="AU56" i="9"/>
  <c r="AU10" i="29"/>
  <c r="AU15" i="29"/>
  <c r="AV2" i="44"/>
  <c r="AV5" i="44"/>
  <c r="AW1" i="44"/>
  <c r="AY5" i="1"/>
  <c r="AY2" i="1"/>
  <c r="AZ1" i="1"/>
  <c r="AT40" i="83"/>
  <c r="AT41" i="83"/>
  <c r="AU93" i="46"/>
  <c r="AU105" i="46"/>
  <c r="AU30" i="46"/>
  <c r="AU68" i="46"/>
  <c r="AU55" i="46"/>
  <c r="AU49" i="46"/>
  <c r="AU17" i="46"/>
  <c r="AU43" i="46"/>
  <c r="AU24" i="46"/>
  <c r="AU11" i="46"/>
  <c r="AU62" i="46"/>
  <c r="AU81" i="46"/>
  <c r="AU74" i="46"/>
  <c r="AU36" i="46"/>
  <c r="AV5" i="29"/>
  <c r="AW1" i="29"/>
  <c r="AY5" i="48"/>
  <c r="AZ1" i="48"/>
  <c r="BA1" i="48" s="1"/>
  <c r="BB1" i="48" s="1"/>
  <c r="AY2" i="48"/>
  <c r="AY2" i="71"/>
  <c r="AY5" i="71"/>
  <c r="AU39" i="83"/>
  <c r="AU37" i="83"/>
  <c r="BA5" i="30"/>
  <c r="BA2" i="30"/>
  <c r="AX34" i="71"/>
  <c r="AX63" i="71"/>
  <c r="AU25" i="45"/>
  <c r="AU15" i="45"/>
  <c r="AV93" i="83"/>
  <c r="AU103" i="83"/>
  <c r="AU157" i="83"/>
  <c r="AU118" i="83"/>
  <c r="AU101" i="83"/>
  <c r="AU107" i="83"/>
  <c r="AU155" i="83"/>
  <c r="AV140" i="83"/>
  <c r="AQ115" i="83"/>
  <c r="AU127" i="83"/>
  <c r="AV103" i="83"/>
  <c r="AV82" i="83"/>
  <c r="AV127" i="83"/>
  <c r="AU93" i="83"/>
  <c r="AU128" i="83"/>
  <c r="AU139" i="83"/>
  <c r="AU124" i="83"/>
  <c r="AU140" i="83"/>
  <c r="AU153" i="83"/>
  <c r="AU138" i="83"/>
  <c r="AV121" i="83"/>
  <c r="AT111" i="83"/>
  <c r="AU112" i="83"/>
  <c r="AS98" i="83"/>
  <c r="AU121" i="83"/>
  <c r="AV124" i="83"/>
  <c r="AV112" i="83"/>
  <c r="AU87" i="83"/>
  <c r="AU117" i="83"/>
  <c r="AU151" i="83"/>
  <c r="BC14" i="32" l="1"/>
  <c r="BC23" i="32"/>
  <c r="AW11" i="84"/>
  <c r="AW10" i="84"/>
  <c r="AW8" i="84"/>
  <c r="AW14" i="84"/>
  <c r="AW7" i="84"/>
  <c r="AW13" i="84"/>
  <c r="AV162" i="83"/>
  <c r="AV164" i="83"/>
  <c r="AX21" i="32"/>
  <c r="AY15" i="32" s="1"/>
  <c r="BB2" i="71"/>
  <c r="BB5" i="53"/>
  <c r="BB19" i="53" s="1"/>
  <c r="BA63" i="71"/>
  <c r="BA34" i="71"/>
  <c r="BC2" i="30"/>
  <c r="BA19" i="53"/>
  <c r="BA12" i="53"/>
  <c r="BB20" i="30"/>
  <c r="BB13" i="30"/>
  <c r="BB5" i="48"/>
  <c r="BC1" i="48"/>
  <c r="BC5" i="48" s="1"/>
  <c r="BB2" i="48"/>
  <c r="BC1" i="26"/>
  <c r="BC5" i="26" s="1"/>
  <c r="BC15" i="26" s="1"/>
  <c r="BB2" i="26"/>
  <c r="BB5" i="26"/>
  <c r="BB15" i="26" s="1"/>
  <c r="AU20" i="83"/>
  <c r="BC20" i="30"/>
  <c r="BC13" i="30"/>
  <c r="AX92" i="83"/>
  <c r="AX116" i="83"/>
  <c r="AX130" i="83"/>
  <c r="AX150" i="83"/>
  <c r="AX35" i="83"/>
  <c r="AX161" i="83"/>
  <c r="BB34" i="71"/>
  <c r="BB63" i="71"/>
  <c r="AU134" i="83"/>
  <c r="AU152" i="83"/>
  <c r="AU156" i="83"/>
  <c r="AS100" i="83"/>
  <c r="AS113" i="83" s="1"/>
  <c r="AS114" i="83" s="1"/>
  <c r="AU154" i="83"/>
  <c r="AU147" i="83"/>
  <c r="AT145" i="83"/>
  <c r="AU158" i="83"/>
  <c r="AU159" i="83"/>
  <c r="AU148" i="83"/>
  <c r="AU97" i="83"/>
  <c r="AU7" i="83" s="1"/>
  <c r="AU25" i="83"/>
  <c r="AR108" i="83"/>
  <c r="AR109" i="83" s="1"/>
  <c r="BA5" i="48"/>
  <c r="BA2" i="48"/>
  <c r="AZ63" i="71"/>
  <c r="AZ34" i="71"/>
  <c r="AZ12" i="53"/>
  <c r="AZ19" i="53"/>
  <c r="AY12" i="53"/>
  <c r="AY19" i="53"/>
  <c r="AW140" i="83"/>
  <c r="AW124" i="83"/>
  <c r="AW127" i="83"/>
  <c r="AW103" i="83"/>
  <c r="AW112" i="83"/>
  <c r="AW93" i="83"/>
  <c r="AW82" i="83"/>
  <c r="AW5" i="44"/>
  <c r="AX1" i="44"/>
  <c r="AW2" i="44"/>
  <c r="AY34" i="71"/>
  <c r="AY63" i="71"/>
  <c r="AZ5" i="1"/>
  <c r="AZ2" i="1"/>
  <c r="BA1" i="1"/>
  <c r="AS92" i="46"/>
  <c r="AS113" i="46"/>
  <c r="AT82" i="46"/>
  <c r="AW5" i="45"/>
  <c r="AW2" i="45"/>
  <c r="AX1" i="45"/>
  <c r="BA20" i="30"/>
  <c r="BA13" i="30"/>
  <c r="AT24" i="32"/>
  <c r="AT30" i="32" s="1"/>
  <c r="AW5" i="29"/>
  <c r="AX1" i="29"/>
  <c r="AU38" i="83"/>
  <c r="AV10" i="29"/>
  <c r="AV15" i="29"/>
  <c r="AZ5" i="2"/>
  <c r="AZ2" i="2"/>
  <c r="BA1" i="2"/>
  <c r="AV81" i="46"/>
  <c r="AV74" i="46"/>
  <c r="AV30" i="46"/>
  <c r="AV105" i="46"/>
  <c r="AV11" i="46"/>
  <c r="AV36" i="46"/>
  <c r="AV49" i="46"/>
  <c r="AV62" i="46"/>
  <c r="AV93" i="46"/>
  <c r="AV43" i="46"/>
  <c r="AV55" i="46"/>
  <c r="AV24" i="46"/>
  <c r="AV68" i="46"/>
  <c r="AV17" i="46"/>
  <c r="AU41" i="83"/>
  <c r="AU40" i="83"/>
  <c r="AZ2" i="48"/>
  <c r="AZ5" i="48"/>
  <c r="AW3" i="9"/>
  <c r="AW2" i="9"/>
  <c r="AX1" i="9"/>
  <c r="AV39" i="83"/>
  <c r="AV40" i="83" s="1"/>
  <c r="AV37" i="83"/>
  <c r="AV38" i="83" s="1"/>
  <c r="AV63" i="9"/>
  <c r="AV5" i="9"/>
  <c r="AV132" i="9"/>
  <c r="AV34" i="9"/>
  <c r="AV11" i="9"/>
  <c r="AV23" i="9"/>
  <c r="AV56" i="9"/>
  <c r="AV38" i="9"/>
  <c r="AV48" i="9"/>
  <c r="AX5" i="84"/>
  <c r="AY1" i="84"/>
  <c r="BE314" i="73"/>
  <c r="BE316" i="73" s="1"/>
  <c r="BF315" i="73"/>
  <c r="BB2" i="34"/>
  <c r="BC1" i="34"/>
  <c r="AW2" i="46"/>
  <c r="AW5" i="46"/>
  <c r="AX1" i="46"/>
  <c r="AV25" i="45"/>
  <c r="AV15" i="45"/>
  <c r="BA5" i="26"/>
  <c r="BA15" i="26" s="1"/>
  <c r="BA2" i="26"/>
  <c r="AV153" i="83"/>
  <c r="AU111" i="83"/>
  <c r="AV157" i="83"/>
  <c r="AV139" i="83"/>
  <c r="AV101" i="83"/>
  <c r="AV107" i="83"/>
  <c r="AV95" i="83"/>
  <c r="AV118" i="83"/>
  <c r="AV143" i="83"/>
  <c r="AV138" i="83"/>
  <c r="AV151" i="83"/>
  <c r="AV87" i="83"/>
  <c r="AT98" i="83"/>
  <c r="AV128" i="83"/>
  <c r="AV111" i="83"/>
  <c r="AV155" i="83"/>
  <c r="AV117" i="83"/>
  <c r="AX162" i="83" l="1"/>
  <c r="AX164" i="83"/>
  <c r="AX7" i="84"/>
  <c r="AX11" i="84"/>
  <c r="AX10" i="84"/>
  <c r="AX8" i="84"/>
  <c r="AX13" i="84"/>
  <c r="AX14" i="84"/>
  <c r="AY21" i="32"/>
  <c r="AZ15" i="32" s="1"/>
  <c r="BC2" i="48"/>
  <c r="BB12" i="53"/>
  <c r="BC2" i="26"/>
  <c r="AW107" i="83"/>
  <c r="AV20" i="83"/>
  <c r="AW20" i="83" s="1"/>
  <c r="AW138" i="83"/>
  <c r="AX37" i="83"/>
  <c r="AX38" i="83" s="1"/>
  <c r="AX39" i="83"/>
  <c r="AV134" i="83"/>
  <c r="AW134" i="83" s="1"/>
  <c r="AW139" i="83"/>
  <c r="AW143" i="83"/>
  <c r="AS105" i="83"/>
  <c r="AS106" i="83" s="1"/>
  <c r="AS108" i="83"/>
  <c r="AS109" i="83" s="1"/>
  <c r="AS102" i="83"/>
  <c r="AS104" i="83"/>
  <c r="AS99" i="83"/>
  <c r="AU145" i="83"/>
  <c r="AW153" i="83"/>
  <c r="AV154" i="83"/>
  <c r="AW155" i="83"/>
  <c r="AV156" i="83"/>
  <c r="AW118" i="83"/>
  <c r="AV152" i="83"/>
  <c r="AW151" i="83"/>
  <c r="AW152" i="83" s="1"/>
  <c r="AW128" i="83"/>
  <c r="AV25" i="83"/>
  <c r="AW25" i="83" s="1"/>
  <c r="AW87" i="83"/>
  <c r="AW101" i="83"/>
  <c r="AT100" i="83"/>
  <c r="AT113" i="83" s="1"/>
  <c r="AT114" i="83" s="1"/>
  <c r="AW95" i="83"/>
  <c r="AW96" i="83" s="1"/>
  <c r="AV97" i="83"/>
  <c r="AW97" i="83" s="1"/>
  <c r="AV96" i="83"/>
  <c r="AV148" i="83"/>
  <c r="AW117" i="83"/>
  <c r="AV158" i="83"/>
  <c r="AW157" i="83"/>
  <c r="AV159" i="83"/>
  <c r="AW159" i="83" s="1"/>
  <c r="AW111" i="83"/>
  <c r="AY5" i="84"/>
  <c r="AZ1" i="84"/>
  <c r="AW10" i="29"/>
  <c r="AW15" i="29"/>
  <c r="AW37" i="83"/>
  <c r="AW38" i="83" s="1"/>
  <c r="AT106" i="46"/>
  <c r="AT91" i="46"/>
  <c r="AX2" i="46"/>
  <c r="AX5" i="46"/>
  <c r="AY1" i="46"/>
  <c r="AV41" i="83"/>
  <c r="AW41" i="83" s="1"/>
  <c r="AW39" i="83"/>
  <c r="AW40" i="83" s="1"/>
  <c r="AX2" i="44"/>
  <c r="AY1" i="44"/>
  <c r="AX5" i="44"/>
  <c r="AX24" i="44" s="1"/>
  <c r="AW93" i="46"/>
  <c r="AW43" i="46"/>
  <c r="AW30" i="46"/>
  <c r="AW62" i="46"/>
  <c r="AW68" i="46"/>
  <c r="AW81" i="46"/>
  <c r="AW17" i="46"/>
  <c r="AW49" i="46"/>
  <c r="AW105" i="46"/>
  <c r="AW24" i="46"/>
  <c r="AW55" i="46"/>
  <c r="AW11" i="46"/>
  <c r="AW74" i="46"/>
  <c r="AW36" i="46"/>
  <c r="AS13" i="31"/>
  <c r="AT13" i="32"/>
  <c r="AU6" i="32"/>
  <c r="AU12" i="32" s="1"/>
  <c r="BA5" i="1"/>
  <c r="BA2" i="1"/>
  <c r="BB1" i="1"/>
  <c r="BA5" i="2"/>
  <c r="BA2" i="2"/>
  <c r="BB1" i="2"/>
  <c r="AW25" i="45"/>
  <c r="AW15" i="45"/>
  <c r="BC2" i="34"/>
  <c r="BD1" i="34"/>
  <c r="AX2" i="9"/>
  <c r="AX3" i="9"/>
  <c r="AY1" i="9"/>
  <c r="BF314" i="73"/>
  <c r="BF316" i="73" s="1"/>
  <c r="BG315" i="73"/>
  <c r="AW38" i="9"/>
  <c r="AW63" i="9"/>
  <c r="AW132" i="9"/>
  <c r="AW56" i="9"/>
  <c r="AW34" i="9"/>
  <c r="AW11" i="9"/>
  <c r="AW48" i="9"/>
  <c r="AW23" i="9"/>
  <c r="AW5" i="9"/>
  <c r="AX5" i="29"/>
  <c r="AY1" i="29"/>
  <c r="AX5" i="45"/>
  <c r="AX2" i="45"/>
  <c r="AY1" i="45"/>
  <c r="AX95" i="83"/>
  <c r="AS115" i="83"/>
  <c r="AX151" i="83"/>
  <c r="AX118" i="83"/>
  <c r="AX101" i="83"/>
  <c r="AX153" i="83"/>
  <c r="AX93" i="83"/>
  <c r="AX87" i="83"/>
  <c r="AX82" i="83"/>
  <c r="AX127" i="83"/>
  <c r="AX121" i="83"/>
  <c r="AX112" i="83"/>
  <c r="AX143" i="83"/>
  <c r="AX103" i="83"/>
  <c r="AX157" i="83"/>
  <c r="AX155" i="83"/>
  <c r="AX107" i="83"/>
  <c r="AU98" i="83"/>
  <c r="AX117" i="83"/>
  <c r="AY8" i="84" l="1"/>
  <c r="AY7" i="84"/>
  <c r="AY11" i="84"/>
  <c r="AY14" i="84"/>
  <c r="AY13" i="84"/>
  <c r="AY10" i="84"/>
  <c r="AZ21" i="32"/>
  <c r="BA15" i="32" s="1"/>
  <c r="AX97" i="83"/>
  <c r="AX148" i="83"/>
  <c r="AY147" i="83" s="1"/>
  <c r="AY145" i="83" s="1"/>
  <c r="AX156" i="83"/>
  <c r="AX152" i="83"/>
  <c r="AX159" i="83"/>
  <c r="AX158" i="83"/>
  <c r="AX20" i="83"/>
  <c r="AX25" i="83"/>
  <c r="AX96" i="83"/>
  <c r="AX154" i="83"/>
  <c r="AX41" i="83"/>
  <c r="AX40" i="83"/>
  <c r="AW148" i="83"/>
  <c r="AX147" i="83"/>
  <c r="AU100" i="83"/>
  <c r="AU99" i="83" s="1"/>
  <c r="AT105" i="83"/>
  <c r="AT106" i="83" s="1"/>
  <c r="AT108" i="83"/>
  <c r="AT109" i="83" s="1"/>
  <c r="AW158" i="83"/>
  <c r="AW154" i="83"/>
  <c r="AW156" i="83"/>
  <c r="AT99" i="83"/>
  <c r="AT104" i="83"/>
  <c r="AT102" i="83"/>
  <c r="AV7" i="83"/>
  <c r="AW7" i="83" s="1"/>
  <c r="AV145" i="83"/>
  <c r="AU24" i="32"/>
  <c r="AU30" i="32" s="1"/>
  <c r="AX34" i="9"/>
  <c r="AX56" i="9"/>
  <c r="AX5" i="9"/>
  <c r="AX23" i="9"/>
  <c r="AX48" i="9"/>
  <c r="AX132" i="9"/>
  <c r="AX11" i="9"/>
  <c r="AX63" i="9"/>
  <c r="AX38" i="9"/>
  <c r="AX10" i="29"/>
  <c r="AX15" i="29"/>
  <c r="BD2" i="34"/>
  <c r="BE1" i="34"/>
  <c r="BH315" i="73"/>
  <c r="BG314" i="73"/>
  <c r="BG316" i="73" s="1"/>
  <c r="AY5" i="45"/>
  <c r="AY2" i="45"/>
  <c r="AZ1" i="45"/>
  <c r="BA1" i="45" s="1"/>
  <c r="BB1" i="45" s="1"/>
  <c r="AY2" i="9"/>
  <c r="AY3" i="9"/>
  <c r="AZ1" i="9"/>
  <c r="AY2" i="46"/>
  <c r="AY5" i="46"/>
  <c r="AZ1" i="46"/>
  <c r="AY5" i="29"/>
  <c r="AZ1" i="29"/>
  <c r="AX30" i="46"/>
  <c r="AX105" i="46"/>
  <c r="AX11" i="46"/>
  <c r="AX74" i="46"/>
  <c r="AX36" i="46"/>
  <c r="AX62" i="46"/>
  <c r="AX24" i="46"/>
  <c r="AX68" i="46"/>
  <c r="AX55" i="46"/>
  <c r="AX81" i="46"/>
  <c r="AX93" i="46"/>
  <c r="AX17" i="46"/>
  <c r="AX49" i="46"/>
  <c r="AX43" i="46"/>
  <c r="BB2" i="1"/>
  <c r="BB5" i="1"/>
  <c r="BC1" i="1"/>
  <c r="BB5" i="2"/>
  <c r="BB2" i="2"/>
  <c r="BC1" i="2"/>
  <c r="AX15" i="45"/>
  <c r="AX25" i="45"/>
  <c r="AT92" i="46"/>
  <c r="AT113" i="46"/>
  <c r="AU82" i="46"/>
  <c r="AZ5" i="84"/>
  <c r="BA1" i="84"/>
  <c r="AY2" i="44"/>
  <c r="AY5" i="44"/>
  <c r="AY24" i="44" s="1"/>
  <c r="AZ1" i="44"/>
  <c r="BA1" i="44" s="1"/>
  <c r="BB1" i="44" s="1"/>
  <c r="AT115" i="83"/>
  <c r="AV98" i="83"/>
  <c r="AX111" i="83"/>
  <c r="AZ10" i="84" l="1"/>
  <c r="AZ7" i="84"/>
  <c r="AZ8" i="84"/>
  <c r="AZ14" i="84"/>
  <c r="AZ13" i="84"/>
  <c r="AZ11" i="84"/>
  <c r="BA21" i="32"/>
  <c r="BB15" i="32" s="1"/>
  <c r="BB5" i="45"/>
  <c r="BC1" i="45"/>
  <c r="BC5" i="45" s="1"/>
  <c r="BB2" i="45"/>
  <c r="BB5" i="44"/>
  <c r="BB24" i="44" s="1"/>
  <c r="BC1" i="44"/>
  <c r="BC5" i="44" s="1"/>
  <c r="BC24" i="44" s="1"/>
  <c r="BB2" i="44"/>
  <c r="AX145" i="83"/>
  <c r="AX7" i="83"/>
  <c r="AU113" i="83"/>
  <c r="AU114" i="83" s="1"/>
  <c r="AU104" i="83"/>
  <c r="AU102" i="83"/>
  <c r="AW98" i="83"/>
  <c r="AV100" i="83"/>
  <c r="AW100" i="83" s="1"/>
  <c r="AW113" i="83" s="1"/>
  <c r="AW114" i="83" s="1"/>
  <c r="BA2" i="45"/>
  <c r="BA5" i="45"/>
  <c r="BA5" i="44"/>
  <c r="BA24" i="44" s="1"/>
  <c r="BA2" i="44"/>
  <c r="AZ2" i="9"/>
  <c r="AZ3" i="9"/>
  <c r="BA1" i="9"/>
  <c r="AZ2" i="44"/>
  <c r="AZ5" i="44"/>
  <c r="AZ24" i="44" s="1"/>
  <c r="AU106" i="46"/>
  <c r="AU91" i="46"/>
  <c r="AY25" i="45"/>
  <c r="AY15" i="45"/>
  <c r="AZ5" i="29"/>
  <c r="BA1" i="29"/>
  <c r="BB1" i="29" s="1"/>
  <c r="AY10" i="29"/>
  <c r="AY15" i="29"/>
  <c r="BC5" i="2"/>
  <c r="BC2" i="2"/>
  <c r="BD1" i="2"/>
  <c r="AY34" i="9"/>
  <c r="AY23" i="9"/>
  <c r="AY48" i="9"/>
  <c r="AY5" i="9"/>
  <c r="AY11" i="9"/>
  <c r="AY38" i="9"/>
  <c r="AY56" i="9"/>
  <c r="AY132" i="9"/>
  <c r="AY63" i="9"/>
  <c r="AZ2" i="45"/>
  <c r="AZ5" i="45"/>
  <c r="AZ2" i="46"/>
  <c r="AZ5" i="46"/>
  <c r="BA1" i="46"/>
  <c r="BH314" i="73"/>
  <c r="BH316" i="73" s="1"/>
  <c r="BI315" i="73"/>
  <c r="BE2" i="34"/>
  <c r="BF1" i="34"/>
  <c r="BC5" i="1"/>
  <c r="BC2" i="1"/>
  <c r="BD1" i="1"/>
  <c r="AT13" i="31"/>
  <c r="AU13" i="32"/>
  <c r="AV6" i="32"/>
  <c r="AV12" i="32" s="1"/>
  <c r="BA5" i="84"/>
  <c r="BB1" i="84"/>
  <c r="AY55" i="46"/>
  <c r="AY11" i="46"/>
  <c r="AY49" i="46"/>
  <c r="AY81" i="46"/>
  <c r="AY24" i="46"/>
  <c r="AY74" i="46"/>
  <c r="AY36" i="46"/>
  <c r="AY30" i="46"/>
  <c r="AY17" i="46"/>
  <c r="AY93" i="46"/>
  <c r="AY105" i="46"/>
  <c r="AY43" i="46"/>
  <c r="AY62" i="46"/>
  <c r="AY68" i="46"/>
  <c r="AX98" i="83"/>
  <c r="BA11" i="84" l="1"/>
  <c r="BA7" i="84"/>
  <c r="BA10" i="84"/>
  <c r="BA14" i="84"/>
  <c r="BA13" i="84"/>
  <c r="BA8" i="84"/>
  <c r="BB21" i="32"/>
  <c r="BC15" i="32" s="1"/>
  <c r="BC21" i="32" s="1"/>
  <c r="BC2" i="45"/>
  <c r="BC2" i="44"/>
  <c r="BC1" i="29"/>
  <c r="BC5" i="29" s="1"/>
  <c r="BB5" i="29"/>
  <c r="BB15" i="45"/>
  <c r="BB25" i="45"/>
  <c r="AX100" i="83"/>
  <c r="BC25" i="45"/>
  <c r="BC15" i="45"/>
  <c r="BA5" i="29"/>
  <c r="BA15" i="29" s="1"/>
  <c r="AW102" i="83"/>
  <c r="AW104" i="83"/>
  <c r="AU108" i="83"/>
  <c r="AU109" i="83" s="1"/>
  <c r="AV113" i="83"/>
  <c r="AV114" i="83" s="1"/>
  <c r="AU105" i="83"/>
  <c r="AU106" i="83" s="1"/>
  <c r="AV102" i="83"/>
  <c r="AW99" i="83"/>
  <c r="AV99" i="83"/>
  <c r="AV104" i="83"/>
  <c r="BA25" i="45"/>
  <c r="BA15" i="45"/>
  <c r="BD2" i="1"/>
  <c r="BD5" i="1"/>
  <c r="BE1" i="1"/>
  <c r="AZ34" i="9"/>
  <c r="AZ48" i="9"/>
  <c r="AZ63" i="9"/>
  <c r="AZ11" i="9"/>
  <c r="AZ56" i="9"/>
  <c r="AZ23" i="9"/>
  <c r="AZ38" i="9"/>
  <c r="AZ5" i="9"/>
  <c r="AZ132" i="9"/>
  <c r="BF2" i="34"/>
  <c r="BG1" i="34"/>
  <c r="AU113" i="46"/>
  <c r="AU92" i="46"/>
  <c r="AV82" i="46"/>
  <c r="BD2" i="2"/>
  <c r="BD5" i="2"/>
  <c r="BE1" i="2"/>
  <c r="AV24" i="32"/>
  <c r="AV30" i="32" s="1"/>
  <c r="BA5" i="46"/>
  <c r="BA2" i="46"/>
  <c r="BB1" i="46"/>
  <c r="BJ315" i="73"/>
  <c r="BI314" i="73"/>
  <c r="BI316" i="73" s="1"/>
  <c r="AZ36" i="46"/>
  <c r="AZ74" i="46"/>
  <c r="AZ49" i="46"/>
  <c r="AZ81" i="46"/>
  <c r="AZ68" i="46"/>
  <c r="AZ24" i="46"/>
  <c r="AZ30" i="46"/>
  <c r="AZ105" i="46"/>
  <c r="AZ55" i="46"/>
  <c r="AZ11" i="46"/>
  <c r="AZ43" i="46"/>
  <c r="AZ17" i="46"/>
  <c r="AZ93" i="46"/>
  <c r="AZ62" i="46"/>
  <c r="AZ25" i="45"/>
  <c r="AZ15" i="45"/>
  <c r="BB5" i="84"/>
  <c r="BC1" i="84"/>
  <c r="AZ10" i="29"/>
  <c r="AZ15" i="29"/>
  <c r="BA3" i="9"/>
  <c r="BA2" i="9"/>
  <c r="BB1" i="9"/>
  <c r="AU115" i="83"/>
  <c r="BB7" i="84" l="1"/>
  <c r="BB10" i="84"/>
  <c r="BB8" i="84"/>
  <c r="BB11" i="84"/>
  <c r="BB14" i="84"/>
  <c r="BB13" i="84"/>
  <c r="BB15" i="29"/>
  <c r="BB10" i="29"/>
  <c r="BA10" i="29"/>
  <c r="AX113" i="83"/>
  <c r="AX99" i="83"/>
  <c r="AX104" i="83"/>
  <c r="AX102" i="83"/>
  <c r="BC15" i="29"/>
  <c r="BC10" i="29"/>
  <c r="AV108" i="83"/>
  <c r="AV109" i="83" s="1"/>
  <c r="AV105" i="83"/>
  <c r="AV106" i="83" s="1"/>
  <c r="BJ314" i="73"/>
  <c r="BJ316" i="73" s="1"/>
  <c r="BK315" i="73"/>
  <c r="BE5" i="2"/>
  <c r="BE2" i="2"/>
  <c r="BF1" i="2"/>
  <c r="AV106" i="46"/>
  <c r="AV91" i="46"/>
  <c r="BA105" i="46"/>
  <c r="BA81" i="46"/>
  <c r="BA55" i="46"/>
  <c r="BA62" i="46"/>
  <c r="BA93" i="46"/>
  <c r="BA49" i="46"/>
  <c r="BA68" i="46"/>
  <c r="BA74" i="46"/>
  <c r="BA36" i="46"/>
  <c r="BA30" i="46"/>
  <c r="BA17" i="46"/>
  <c r="BA43" i="46"/>
  <c r="BA24" i="46"/>
  <c r="BA11" i="46"/>
  <c r="BG2" i="34"/>
  <c r="BH1" i="34"/>
  <c r="BE2" i="1"/>
  <c r="BE5" i="1"/>
  <c r="BF1" i="1"/>
  <c r="BB2" i="46"/>
  <c r="BB5" i="46"/>
  <c r="BC1" i="46"/>
  <c r="BD1" i="46" s="1"/>
  <c r="BE1" i="46" s="1"/>
  <c r="BA132" i="9"/>
  <c r="BA56" i="9"/>
  <c r="BA11" i="9"/>
  <c r="BA23" i="9"/>
  <c r="BA63" i="9"/>
  <c r="BA48" i="9"/>
  <c r="BA34" i="9"/>
  <c r="BA5" i="9"/>
  <c r="BA38" i="9"/>
  <c r="BC5" i="84"/>
  <c r="BD1" i="84"/>
  <c r="BB2" i="9"/>
  <c r="BB3" i="9"/>
  <c r="BC1" i="9"/>
  <c r="AV13" i="32"/>
  <c r="AU13" i="31"/>
  <c r="AW6" i="32"/>
  <c r="AW12" i="32" s="1"/>
  <c r="AV115" i="83"/>
  <c r="BC10" i="84" l="1"/>
  <c r="BC8" i="84"/>
  <c r="BC11" i="84"/>
  <c r="BC7" i="84"/>
  <c r="BC14" i="84"/>
  <c r="BC13" i="84"/>
  <c r="BE5" i="46"/>
  <c r="BF1" i="46"/>
  <c r="BE2" i="46"/>
  <c r="AX114" i="83"/>
  <c r="AX108" i="83"/>
  <c r="AX109" i="83" s="1"/>
  <c r="AX105" i="83"/>
  <c r="AX106" i="83" s="1"/>
  <c r="BF5" i="46"/>
  <c r="BF2" i="46"/>
  <c r="AW105" i="83"/>
  <c r="AW106" i="83" s="1"/>
  <c r="AW108" i="83"/>
  <c r="AW109" i="83" s="1"/>
  <c r="BD5" i="46"/>
  <c r="BD2" i="46"/>
  <c r="BF2" i="2"/>
  <c r="BF5" i="2"/>
  <c r="BG1" i="2"/>
  <c r="BH2" i="34"/>
  <c r="BI1" i="34"/>
  <c r="BL315" i="73"/>
  <c r="BK314" i="73"/>
  <c r="BK316" i="73" s="1"/>
  <c r="BC2" i="46"/>
  <c r="BC5" i="46"/>
  <c r="AW24" i="32"/>
  <c r="AW30" i="32" s="1"/>
  <c r="BF5" i="1"/>
  <c r="BF2" i="1"/>
  <c r="BG1" i="1"/>
  <c r="AV113" i="46"/>
  <c r="AV92" i="46"/>
  <c r="AW82" i="46"/>
  <c r="BB56" i="9"/>
  <c r="BB23" i="9"/>
  <c r="BB34" i="9"/>
  <c r="BB132" i="9"/>
  <c r="BB38" i="9"/>
  <c r="BB5" i="9"/>
  <c r="BB48" i="9"/>
  <c r="BB11" i="9"/>
  <c r="BB63" i="9"/>
  <c r="BD5" i="84"/>
  <c r="BE1" i="84"/>
  <c r="BB36" i="46"/>
  <c r="BB93" i="46"/>
  <c r="BB68" i="46"/>
  <c r="BB62" i="46"/>
  <c r="BB30" i="46"/>
  <c r="BB11" i="46"/>
  <c r="BB55" i="46"/>
  <c r="BB105" i="46"/>
  <c r="BB43" i="46"/>
  <c r="BB81" i="46"/>
  <c r="BB17" i="46"/>
  <c r="BB24" i="46"/>
  <c r="BB74" i="46"/>
  <c r="BB49" i="46"/>
  <c r="BC2" i="9"/>
  <c r="BC3" i="9"/>
  <c r="BD1" i="9"/>
  <c r="AX115" i="83"/>
  <c r="BD11" i="84" l="1"/>
  <c r="BD7" i="84"/>
  <c r="BD10" i="84"/>
  <c r="BD14" i="84"/>
  <c r="BD13" i="84"/>
  <c r="BD8" i="84"/>
  <c r="BE43" i="46"/>
  <c r="BE36" i="46"/>
  <c r="BE30" i="46"/>
  <c r="BE24" i="46"/>
  <c r="BE17" i="46"/>
  <c r="BE11" i="46"/>
  <c r="BF49" i="46"/>
  <c r="BF93" i="46"/>
  <c r="BF55" i="46"/>
  <c r="BF62" i="46"/>
  <c r="BF24" i="46"/>
  <c r="BF105" i="46"/>
  <c r="BF68" i="46"/>
  <c r="BF11" i="46"/>
  <c r="BF17" i="46"/>
  <c r="BF30" i="46"/>
  <c r="BF36" i="46"/>
  <c r="BF81" i="46"/>
  <c r="BF74" i="46"/>
  <c r="BF43" i="46"/>
  <c r="BD17" i="46"/>
  <c r="BD36" i="46"/>
  <c r="BD30" i="46"/>
  <c r="BD43" i="46"/>
  <c r="BD24" i="46"/>
  <c r="BD11" i="46"/>
  <c r="BM315" i="73"/>
  <c r="BL314" i="73"/>
  <c r="BL316" i="73" s="1"/>
  <c r="AV13" i="31"/>
  <c r="AW13" i="32"/>
  <c r="AX6" i="32"/>
  <c r="AX12" i="32" s="1"/>
  <c r="BE5" i="84"/>
  <c r="BF1" i="84"/>
  <c r="AW106" i="46"/>
  <c r="AW91" i="46"/>
  <c r="BC63" i="9"/>
  <c r="BC11" i="9"/>
  <c r="BC38" i="9"/>
  <c r="BC56" i="9"/>
  <c r="BC34" i="9"/>
  <c r="BC132" i="9"/>
  <c r="BC23" i="9"/>
  <c r="BC5" i="9"/>
  <c r="BC48" i="9"/>
  <c r="BG2" i="2"/>
  <c r="BG5" i="2"/>
  <c r="BH1" i="2"/>
  <c r="BC24" i="46"/>
  <c r="BC30" i="46"/>
  <c r="BC43" i="46"/>
  <c r="BC11" i="46"/>
  <c r="BC17" i="46"/>
  <c r="BC36" i="46"/>
  <c r="BG2" i="1"/>
  <c r="BH1" i="1"/>
  <c r="BI1" i="1" s="1"/>
  <c r="BG5" i="1"/>
  <c r="BJ1" i="34"/>
  <c r="BI2" i="34"/>
  <c r="BD3" i="9"/>
  <c r="BD2" i="9"/>
  <c r="BE1" i="9"/>
  <c r="BE11" i="84" l="1"/>
  <c r="BE7" i="84"/>
  <c r="BE8" i="84"/>
  <c r="BE10" i="84"/>
  <c r="BE13" i="84"/>
  <c r="BE14" i="84"/>
  <c r="BI2" i="1"/>
  <c r="BJ1" i="1"/>
  <c r="BI5" i="1"/>
  <c r="BJ2" i="1"/>
  <c r="BJ5" i="1"/>
  <c r="BM314" i="73"/>
  <c r="BM316" i="73" s="1"/>
  <c r="BN315" i="73"/>
  <c r="BH5" i="1"/>
  <c r="BH2" i="1"/>
  <c r="AX24" i="32"/>
  <c r="AX30" i="32" s="1"/>
  <c r="BF5" i="84"/>
  <c r="BG1" i="84"/>
  <c r="BH2" i="2"/>
  <c r="BH5" i="2"/>
  <c r="BI1" i="2"/>
  <c r="AW113" i="46"/>
  <c r="AW92" i="46"/>
  <c r="AX82" i="46"/>
  <c r="BJ2" i="34"/>
  <c r="BK1" i="34"/>
  <c r="BE2" i="9"/>
  <c r="BE3" i="9"/>
  <c r="BF1" i="9"/>
  <c r="BD48" i="9"/>
  <c r="BD23" i="9"/>
  <c r="BD56" i="9"/>
  <c r="BD11" i="9"/>
  <c r="BD34" i="9"/>
  <c r="BD5" i="9"/>
  <c r="BD38" i="9"/>
  <c r="BD132" i="9"/>
  <c r="BD63" i="9"/>
  <c r="V86" i="83"/>
  <c r="K86" i="83"/>
  <c r="Z86" i="83"/>
  <c r="AL86" i="83"/>
  <c r="AA71" i="83"/>
  <c r="AT78" i="83"/>
  <c r="F78" i="83"/>
  <c r="E78" i="83"/>
  <c r="AT65" i="83"/>
  <c r="G86" i="83"/>
  <c r="U86" i="83"/>
  <c r="G71" i="83"/>
  <c r="V71" i="83"/>
  <c r="AB71" i="83"/>
  <c r="AG78" i="83"/>
  <c r="AD65" i="83"/>
  <c r="Y65" i="83"/>
  <c r="R78" i="83"/>
  <c r="AN71" i="83"/>
  <c r="AO78" i="83"/>
  <c r="O65" i="83"/>
  <c r="AA86" i="83"/>
  <c r="AP65" i="83"/>
  <c r="AE86" i="83"/>
  <c r="AS86" i="83"/>
  <c r="H78" i="83"/>
  <c r="H65" i="83"/>
  <c r="W78" i="83"/>
  <c r="AS65" i="83"/>
  <c r="Z78" i="83"/>
  <c r="AL71" i="83"/>
  <c r="AF65" i="83"/>
  <c r="Y86" i="83"/>
  <c r="Z65" i="83"/>
  <c r="AK86" i="83"/>
  <c r="AJ71" i="83"/>
  <c r="F71" i="83"/>
  <c r="M65" i="83"/>
  <c r="K78" i="83"/>
  <c r="AJ65" i="83"/>
  <c r="AA78" i="83"/>
  <c r="Q65" i="83"/>
  <c r="J78" i="83"/>
  <c r="Y78" i="83"/>
  <c r="AX65" i="83"/>
  <c r="AD86" i="83"/>
  <c r="Z71" i="83"/>
  <c r="AE65" i="83"/>
  <c r="AK71" i="83"/>
  <c r="AI78" i="83"/>
  <c r="AJ86" i="83"/>
  <c r="AI71" i="83"/>
  <c r="AQ65" i="83"/>
  <c r="AU65" i="83"/>
  <c r="AU71" i="83"/>
  <c r="AV86" i="83"/>
  <c r="R86" i="83"/>
  <c r="AX71" i="83"/>
  <c r="E65" i="83"/>
  <c r="AJ78" i="83"/>
  <c r="AP71" i="83"/>
  <c r="AN65" i="83"/>
  <c r="U65" i="83"/>
  <c r="T86" i="83"/>
  <c r="K65" i="83"/>
  <c r="J86" i="83"/>
  <c r="E71" i="83"/>
  <c r="AU86" i="83"/>
  <c r="AE71" i="83"/>
  <c r="AV78" i="83"/>
  <c r="V78" i="83"/>
  <c r="AB86" i="83"/>
  <c r="AB65" i="83"/>
  <c r="AL78" i="83"/>
  <c r="V65" i="83"/>
  <c r="AD78" i="83"/>
  <c r="AQ86" i="83"/>
  <c r="H71" i="83"/>
  <c r="T71" i="83"/>
  <c r="AQ78" i="83"/>
  <c r="W86" i="83"/>
  <c r="AB78" i="83"/>
  <c r="W65" i="83"/>
  <c r="Y71" i="83"/>
  <c r="R65" i="83"/>
  <c r="T78" i="83"/>
  <c r="AN86" i="83"/>
  <c r="AL65" i="83"/>
  <c r="P86" i="83"/>
  <c r="AI86" i="83"/>
  <c r="AO71" i="83"/>
  <c r="P65" i="83"/>
  <c r="F65" i="83"/>
  <c r="AN78" i="83"/>
  <c r="AV65" i="83"/>
  <c r="AA65" i="83"/>
  <c r="AT86" i="83"/>
  <c r="AI65" i="83"/>
  <c r="L78" i="83"/>
  <c r="AS71" i="83"/>
  <c r="J65" i="83"/>
  <c r="AO86" i="83"/>
  <c r="AP78" i="83"/>
  <c r="AP86" i="83"/>
  <c r="E86" i="83"/>
  <c r="AS78" i="83"/>
  <c r="AF71" i="83"/>
  <c r="L65" i="83"/>
  <c r="U78" i="83"/>
  <c r="AU78" i="83"/>
  <c r="G65" i="83"/>
  <c r="AQ71" i="83"/>
  <c r="M78" i="83"/>
  <c r="AX78" i="83"/>
  <c r="AO65" i="83"/>
  <c r="H86" i="83"/>
  <c r="O86" i="83"/>
  <c r="Q78" i="83"/>
  <c r="AK78" i="83"/>
  <c r="AF78" i="83"/>
  <c r="AT71" i="83"/>
  <c r="AD71" i="83"/>
  <c r="W71" i="83"/>
  <c r="AF86" i="83"/>
  <c r="AG71" i="83"/>
  <c r="F86" i="83"/>
  <c r="L86" i="83"/>
  <c r="U71" i="83"/>
  <c r="Q86" i="83"/>
  <c r="AE78" i="83"/>
  <c r="T65" i="83"/>
  <c r="AG65" i="83"/>
  <c r="AV71" i="83"/>
  <c r="O78" i="83"/>
  <c r="AK65" i="83"/>
  <c r="P78" i="83"/>
  <c r="AG86" i="83"/>
  <c r="AX86" i="83"/>
  <c r="G78" i="83"/>
  <c r="M86" i="83"/>
  <c r="AY78" i="83" l="1"/>
  <c r="AY16" i="83" s="1"/>
  <c r="AY71" i="83"/>
  <c r="AY65" i="83"/>
  <c r="AY86" i="83"/>
  <c r="AY24" i="83" s="1"/>
  <c r="BF10" i="84"/>
  <c r="BF8" i="84"/>
  <c r="BF7" i="84"/>
  <c r="BF14" i="84"/>
  <c r="BF11" i="84"/>
  <c r="BF13" i="84"/>
  <c r="AX67" i="83"/>
  <c r="AX74" i="83"/>
  <c r="AX12" i="83"/>
  <c r="AX16" i="83"/>
  <c r="AX24" i="83"/>
  <c r="AX66" i="83"/>
  <c r="AW78" i="83"/>
  <c r="AU74" i="83"/>
  <c r="AV66" i="83"/>
  <c r="AV67" i="83"/>
  <c r="AV16" i="83"/>
  <c r="AV74" i="83"/>
  <c r="AV12" i="83"/>
  <c r="AV24" i="83"/>
  <c r="AT66" i="83"/>
  <c r="AT67" i="83"/>
  <c r="AT74" i="83"/>
  <c r="AT12" i="83"/>
  <c r="AT24" i="83"/>
  <c r="AT16" i="83"/>
  <c r="AQ16" i="83"/>
  <c r="AQ74" i="83"/>
  <c r="AQ12" i="83"/>
  <c r="AQ24" i="83"/>
  <c r="AQ66" i="83"/>
  <c r="AQ67" i="83"/>
  <c r="AP24" i="83"/>
  <c r="AP16" i="83"/>
  <c r="AP74" i="83"/>
  <c r="AP12" i="83"/>
  <c r="AP66" i="83"/>
  <c r="AP67" i="83"/>
  <c r="AO67" i="83"/>
  <c r="AO66" i="83"/>
  <c r="AO74" i="83"/>
  <c r="AO12" i="83"/>
  <c r="AO16" i="83"/>
  <c r="AO24" i="83"/>
  <c r="L16" i="83"/>
  <c r="U16" i="83"/>
  <c r="H16" i="83"/>
  <c r="Z16" i="83"/>
  <c r="X78" i="83"/>
  <c r="T16" i="83"/>
  <c r="AL24" i="83"/>
  <c r="K24" i="83"/>
  <c r="U74" i="83"/>
  <c r="U12" i="83"/>
  <c r="M24" i="83"/>
  <c r="V74" i="83"/>
  <c r="V12" i="83"/>
  <c r="AK74" i="83"/>
  <c r="AK12" i="83"/>
  <c r="R24" i="83"/>
  <c r="AE74" i="83"/>
  <c r="AE12" i="83"/>
  <c r="F16" i="83"/>
  <c r="AK24" i="83"/>
  <c r="H24" i="83"/>
  <c r="G16" i="83"/>
  <c r="X71" i="83"/>
  <c r="T74" i="83"/>
  <c r="T12" i="83"/>
  <c r="E24" i="83"/>
  <c r="I86" i="83"/>
  <c r="G67" i="83"/>
  <c r="AM78" i="83"/>
  <c r="AI16" i="83"/>
  <c r="V24" i="83"/>
  <c r="AN24" i="83"/>
  <c r="AR86" i="83"/>
  <c r="AJ24" i="83"/>
  <c r="X86" i="83"/>
  <c r="T24" i="83"/>
  <c r="Q24" i="83"/>
  <c r="N78" i="83"/>
  <c r="J16" i="83"/>
  <c r="AE16" i="83"/>
  <c r="AJ16" i="83"/>
  <c r="H67" i="83"/>
  <c r="AF24" i="83"/>
  <c r="AM86" i="83"/>
  <c r="AI24" i="83"/>
  <c r="AF66" i="83"/>
  <c r="AF67" i="83"/>
  <c r="I71" i="83"/>
  <c r="E74" i="83"/>
  <c r="E12" i="83"/>
  <c r="AA24" i="83"/>
  <c r="AB74" i="83"/>
  <c r="AB12" i="83"/>
  <c r="S86" i="83"/>
  <c r="O24" i="83"/>
  <c r="AH86" i="83"/>
  <c r="AD24" i="83"/>
  <c r="Z24" i="83"/>
  <c r="AB24" i="83"/>
  <c r="R16" i="83"/>
  <c r="AL66" i="83"/>
  <c r="AL67" i="83"/>
  <c r="AC71" i="83"/>
  <c r="Y74" i="83"/>
  <c r="Y12" i="83"/>
  <c r="AC86" i="83"/>
  <c r="Y24" i="83"/>
  <c r="P24" i="83"/>
  <c r="AL74" i="83"/>
  <c r="AL12" i="83"/>
  <c r="V16" i="83"/>
  <c r="AB66" i="83"/>
  <c r="AB67" i="83"/>
  <c r="AE24" i="83"/>
  <c r="AF74" i="83"/>
  <c r="AF12" i="83"/>
  <c r="N86" i="83"/>
  <c r="J24" i="83"/>
  <c r="W66" i="83"/>
  <c r="W67" i="83"/>
  <c r="H74" i="83"/>
  <c r="H12" i="83"/>
  <c r="AE67" i="83"/>
  <c r="AE66" i="83"/>
  <c r="AN66" i="83"/>
  <c r="AR65" i="83"/>
  <c r="AN67" i="83"/>
  <c r="J66" i="83"/>
  <c r="N65" i="83"/>
  <c r="J67" i="83"/>
  <c r="AH78" i="83"/>
  <c r="AD16" i="83"/>
  <c r="I78" i="83"/>
  <c r="E16" i="83"/>
  <c r="AI66" i="83"/>
  <c r="AI67" i="83"/>
  <c r="AM65" i="83"/>
  <c r="E67" i="83"/>
  <c r="I65" i="83"/>
  <c r="AR78" i="83"/>
  <c r="AN16" i="83"/>
  <c r="W24" i="83"/>
  <c r="V66" i="83"/>
  <c r="V67" i="83"/>
  <c r="AD67" i="83"/>
  <c r="AD66" i="83"/>
  <c r="AH65" i="83"/>
  <c r="AB16" i="83"/>
  <c r="W74" i="83"/>
  <c r="W12" i="83"/>
  <c r="AN74" i="83"/>
  <c r="AR71" i="83"/>
  <c r="AN12" i="83"/>
  <c r="Z74" i="83"/>
  <c r="Z12" i="83"/>
  <c r="P16" i="83"/>
  <c r="O16" i="83"/>
  <c r="S78" i="83"/>
  <c r="P67" i="83"/>
  <c r="P66" i="83"/>
  <c r="M16" i="83"/>
  <c r="Z67" i="83"/>
  <c r="Z66" i="83"/>
  <c r="AG16" i="83"/>
  <c r="L66" i="83"/>
  <c r="L67" i="83"/>
  <c r="F67" i="83"/>
  <c r="X65" i="83"/>
  <c r="T66" i="83"/>
  <c r="T67" i="83"/>
  <c r="Q16" i="83"/>
  <c r="W16" i="83"/>
  <c r="AK66" i="83"/>
  <c r="AK67" i="83"/>
  <c r="R67" i="83"/>
  <c r="R66" i="83"/>
  <c r="AF16" i="83"/>
  <c r="L24" i="83"/>
  <c r="AI74" i="83"/>
  <c r="AM71" i="83"/>
  <c r="AI12" i="83"/>
  <c r="U67" i="83"/>
  <c r="U66" i="83"/>
  <c r="Y16" i="83"/>
  <c r="AC78" i="83"/>
  <c r="F24" i="83"/>
  <c r="AH71" i="83"/>
  <c r="AD74" i="83"/>
  <c r="AD12" i="83"/>
  <c r="O67" i="83"/>
  <c r="O66" i="83"/>
  <c r="S65" i="83"/>
  <c r="U24" i="83"/>
  <c r="AG24" i="83"/>
  <c r="AG67" i="83"/>
  <c r="AG66" i="83"/>
  <c r="AJ66" i="83"/>
  <c r="AJ67" i="83"/>
  <c r="AG74" i="83"/>
  <c r="AG12" i="83"/>
  <c r="AK16" i="83"/>
  <c r="Q66" i="83"/>
  <c r="Q67" i="83"/>
  <c r="G24" i="83"/>
  <c r="AJ74" i="83"/>
  <c r="AJ12" i="83"/>
  <c r="Y66" i="83"/>
  <c r="AC65" i="83"/>
  <c r="Y67" i="83"/>
  <c r="K66" i="83"/>
  <c r="K67" i="83"/>
  <c r="K16" i="83"/>
  <c r="AL16" i="83"/>
  <c r="M67" i="83"/>
  <c r="M66" i="83"/>
  <c r="F74" i="83"/>
  <c r="F12" i="83"/>
  <c r="AA16" i="83"/>
  <c r="G74" i="83"/>
  <c r="G12" i="83"/>
  <c r="AA74" i="83"/>
  <c r="AA12" i="83"/>
  <c r="AA66" i="83"/>
  <c r="AA67" i="83"/>
  <c r="AS66" i="83"/>
  <c r="AS67" i="83"/>
  <c r="AW65" i="83"/>
  <c r="AS16" i="83"/>
  <c r="AW71" i="83"/>
  <c r="AS74" i="83"/>
  <c r="AS12" i="83"/>
  <c r="AW86" i="83"/>
  <c r="AS24" i="83"/>
  <c r="AU24" i="83"/>
  <c r="AU16" i="83"/>
  <c r="AU66" i="83"/>
  <c r="AU67" i="83"/>
  <c r="AU12" i="83"/>
  <c r="BK2" i="34"/>
  <c r="BL1" i="34"/>
  <c r="BG5" i="84"/>
  <c r="BH1" i="84"/>
  <c r="BF2" i="9"/>
  <c r="BF3" i="9"/>
  <c r="BG1" i="9"/>
  <c r="BN314" i="73"/>
  <c r="BN316" i="73" s="1"/>
  <c r="BO315" i="73"/>
  <c r="BE56" i="9"/>
  <c r="BE63" i="9"/>
  <c r="BE48" i="9"/>
  <c r="BE38" i="9"/>
  <c r="BE11" i="9"/>
  <c r="BE23" i="9"/>
  <c r="BE5" i="9"/>
  <c r="BE132" i="9"/>
  <c r="BE34" i="9"/>
  <c r="AE4" i="1"/>
  <c r="BI5" i="2"/>
  <c r="BI2" i="2"/>
  <c r="BJ1" i="2"/>
  <c r="AW13" i="31"/>
  <c r="AX13" i="32"/>
  <c r="AY6" i="32"/>
  <c r="AY12" i="32" s="1"/>
  <c r="AX106" i="46"/>
  <c r="AX91" i="46"/>
  <c r="AY12" i="83" l="1"/>
  <c r="AY74" i="83"/>
  <c r="AY66" i="83"/>
  <c r="AY67" i="83"/>
  <c r="BG7" i="84"/>
  <c r="BG11" i="84"/>
  <c r="BG8" i="84"/>
  <c r="BG13" i="84"/>
  <c r="BG10" i="84"/>
  <c r="BG14" i="84"/>
  <c r="AX6" i="83"/>
  <c r="AM24" i="83"/>
  <c r="AC24" i="83"/>
  <c r="S24" i="83"/>
  <c r="S66" i="83"/>
  <c r="U6" i="83"/>
  <c r="U8" i="83" s="1"/>
  <c r="AL6" i="83"/>
  <c r="AL8" i="83" s="1"/>
  <c r="V125" i="83"/>
  <c r="AQ6" i="83"/>
  <c r="AQ8" i="83" s="1"/>
  <c r="AY82" i="46"/>
  <c r="AX113" i="46"/>
  <c r="AX92" i="46"/>
  <c r="BJ2" i="2"/>
  <c r="BJ5" i="2"/>
  <c r="BK1" i="2"/>
  <c r="AS6" i="83"/>
  <c r="AW67" i="83"/>
  <c r="F125" i="83"/>
  <c r="AC67" i="83"/>
  <c r="Y6" i="83"/>
  <c r="AG125" i="83"/>
  <c r="AH125" i="83" s="1"/>
  <c r="AM12" i="83"/>
  <c r="AI125" i="83"/>
  <c r="S16" i="83"/>
  <c r="H125" i="83"/>
  <c r="I125" i="83" s="1"/>
  <c r="AR24" i="83"/>
  <c r="AT6" i="83"/>
  <c r="AT8" i="83" s="1"/>
  <c r="AW66" i="83"/>
  <c r="O6" i="83"/>
  <c r="S67" i="83"/>
  <c r="AH66" i="83"/>
  <c r="E125" i="83"/>
  <c r="I12" i="83"/>
  <c r="BF56" i="9"/>
  <c r="BF34" i="9"/>
  <c r="BF5" i="9"/>
  <c r="BF38" i="9"/>
  <c r="BF11" i="9"/>
  <c r="BF63" i="9"/>
  <c r="BF48" i="9"/>
  <c r="BF23" i="9"/>
  <c r="BF132" i="9"/>
  <c r="AC66" i="83"/>
  <c r="AJ6" i="83"/>
  <c r="AJ8" i="83" s="1"/>
  <c r="AH12" i="83"/>
  <c r="AD125" i="83"/>
  <c r="AM74" i="83"/>
  <c r="I67" i="83"/>
  <c r="E6" i="83"/>
  <c r="J6" i="83"/>
  <c r="I74" i="83"/>
  <c r="AM16" i="83"/>
  <c r="U125" i="83"/>
  <c r="AO6" i="83"/>
  <c r="AO8" i="83" s="1"/>
  <c r="BI1" i="84"/>
  <c r="BH5" i="84"/>
  <c r="BP315" i="73"/>
  <c r="BO314" i="73"/>
  <c r="BO316" i="73" s="1"/>
  <c r="AW24" i="83"/>
  <c r="AA6" i="83"/>
  <c r="AA8" i="83" s="1"/>
  <c r="AH74" i="83"/>
  <c r="AH67" i="83"/>
  <c r="AD6" i="83"/>
  <c r="AM66" i="83"/>
  <c r="N66" i="83"/>
  <c r="N67" i="83"/>
  <c r="W6" i="83"/>
  <c r="W8" i="83" s="1"/>
  <c r="AL125" i="83"/>
  <c r="AM125" i="83" s="1"/>
  <c r="AP6" i="83"/>
  <c r="AP8" i="83" s="1"/>
  <c r="AQ125" i="83"/>
  <c r="AR125" i="83" s="1"/>
  <c r="AY24" i="32"/>
  <c r="AY30" i="32" s="1"/>
  <c r="M6" i="83"/>
  <c r="M8" i="83" s="1"/>
  <c r="AJ125" i="83"/>
  <c r="X67" i="83"/>
  <c r="T6" i="83"/>
  <c r="Z6" i="83"/>
  <c r="Z8" i="83" s="1"/>
  <c r="Z125" i="83"/>
  <c r="AM67" i="83"/>
  <c r="AI6" i="83"/>
  <c r="AF6" i="83"/>
  <c r="AF8" i="83" s="1"/>
  <c r="N16" i="83"/>
  <c r="AV125" i="83"/>
  <c r="AW125" i="83" s="1"/>
  <c r="BG2" i="9"/>
  <c r="BG3" i="9"/>
  <c r="BH1" i="9"/>
  <c r="BI1" i="9" s="1"/>
  <c r="BJ1" i="9" s="1"/>
  <c r="AW12" i="83"/>
  <c r="AS125" i="83"/>
  <c r="V6" i="83"/>
  <c r="V8" i="83" s="1"/>
  <c r="N24" i="83"/>
  <c r="G6" i="83"/>
  <c r="G8" i="83" s="1"/>
  <c r="AW74" i="83"/>
  <c r="AA125" i="83"/>
  <c r="AG6" i="83"/>
  <c r="AG8" i="83" s="1"/>
  <c r="AR12" i="83"/>
  <c r="AN125" i="83"/>
  <c r="AR67" i="83"/>
  <c r="AN6" i="83"/>
  <c r="AH24" i="83"/>
  <c r="AE125" i="83"/>
  <c r="X16" i="83"/>
  <c r="AP125" i="83"/>
  <c r="AU125" i="83"/>
  <c r="R6" i="83"/>
  <c r="R8" i="83" s="1"/>
  <c r="X66" i="83"/>
  <c r="I16" i="83"/>
  <c r="AR66" i="83"/>
  <c r="AF125" i="83"/>
  <c r="AW16" i="83"/>
  <c r="G125" i="83"/>
  <c r="Q6" i="83"/>
  <c r="Q8" i="83" s="1"/>
  <c r="AC16" i="83"/>
  <c r="F6" i="83"/>
  <c r="F8" i="83" s="1"/>
  <c r="AR74" i="83"/>
  <c r="AC12" i="83"/>
  <c r="Y125" i="83"/>
  <c r="X24" i="83"/>
  <c r="I24" i="83"/>
  <c r="AU6" i="83"/>
  <c r="AU8" i="83" s="1"/>
  <c r="K6" i="83"/>
  <c r="K8" i="83" s="1"/>
  <c r="AK6" i="83"/>
  <c r="AK8" i="83" s="1"/>
  <c r="P6" i="83"/>
  <c r="P8" i="83" s="1"/>
  <c r="W125" i="83"/>
  <c r="X125" i="83" s="1"/>
  <c r="AR16" i="83"/>
  <c r="AC74" i="83"/>
  <c r="X12" i="83"/>
  <c r="T125" i="83"/>
  <c r="AK125" i="83"/>
  <c r="AV6" i="83"/>
  <c r="AV8" i="83" s="1"/>
  <c r="BL2" i="34"/>
  <c r="BM1" i="34"/>
  <c r="L6" i="83"/>
  <c r="L8" i="83" s="1"/>
  <c r="AH16" i="83"/>
  <c r="AE6" i="83"/>
  <c r="AE8" i="83" s="1"/>
  <c r="AB6" i="83"/>
  <c r="AB8" i="83" s="1"/>
  <c r="AB125" i="83"/>
  <c r="AC125" i="83" s="1"/>
  <c r="H6" i="83"/>
  <c r="H8" i="83" s="1"/>
  <c r="X74" i="83"/>
  <c r="AO125" i="83"/>
  <c r="AT125" i="83"/>
  <c r="V68" i="83"/>
  <c r="L68" i="83"/>
  <c r="U68" i="83"/>
  <c r="Y68" i="83"/>
  <c r="AP68" i="83"/>
  <c r="AG68" i="83"/>
  <c r="AK68" i="83"/>
  <c r="M68" i="83"/>
  <c r="AU68" i="83"/>
  <c r="G68" i="83"/>
  <c r="AB68" i="83"/>
  <c r="P68" i="83"/>
  <c r="Z68" i="83"/>
  <c r="AS68" i="83"/>
  <c r="AT68" i="83"/>
  <c r="AQ68" i="83"/>
  <c r="AJ68" i="83"/>
  <c r="AD68" i="83"/>
  <c r="AL68" i="83"/>
  <c r="H68" i="83"/>
  <c r="W68" i="83"/>
  <c r="F68" i="83"/>
  <c r="T68" i="83"/>
  <c r="Q68" i="83"/>
  <c r="AA68" i="83"/>
  <c r="R68" i="83"/>
  <c r="AE68" i="83"/>
  <c r="E68" i="83"/>
  <c r="AX68" i="83"/>
  <c r="J68" i="83"/>
  <c r="AO68" i="83"/>
  <c r="AV68" i="83"/>
  <c r="AF68" i="83"/>
  <c r="AN68" i="83"/>
  <c r="AI68" i="83"/>
  <c r="O68" i="83"/>
  <c r="K68" i="83"/>
  <c r="AY125" i="83" l="1"/>
  <c r="AY68" i="83"/>
  <c r="AY70" i="83" s="1"/>
  <c r="AY6" i="83"/>
  <c r="AY8" i="83" s="1"/>
  <c r="BH8" i="84"/>
  <c r="BH7" i="84"/>
  <c r="BH14" i="84"/>
  <c r="BH13" i="84"/>
  <c r="BH11" i="84"/>
  <c r="BH10" i="84"/>
  <c r="BJ2" i="9"/>
  <c r="BJ3" i="9"/>
  <c r="AX8" i="83"/>
  <c r="Q69" i="83"/>
  <c r="AJ69" i="83"/>
  <c r="Q9" i="83"/>
  <c r="AJ70" i="83"/>
  <c r="AJ75" i="83" s="1"/>
  <c r="M70" i="83"/>
  <c r="AG70" i="83"/>
  <c r="AG75" i="83" s="1"/>
  <c r="AG69" i="83"/>
  <c r="Q70" i="83"/>
  <c r="AJ9" i="83"/>
  <c r="AG9" i="83"/>
  <c r="K70" i="83"/>
  <c r="M9" i="83"/>
  <c r="K69" i="83"/>
  <c r="M69" i="83"/>
  <c r="K9" i="83"/>
  <c r="AS9" i="83"/>
  <c r="AS70" i="83"/>
  <c r="AS75" i="83" s="1"/>
  <c r="AS69" i="83"/>
  <c r="Y69" i="83"/>
  <c r="Z9" i="83"/>
  <c r="R69" i="83"/>
  <c r="P9" i="83"/>
  <c r="AX9" i="83"/>
  <c r="AV69" i="83"/>
  <c r="O9" i="83"/>
  <c r="AO69" i="83"/>
  <c r="AA69" i="83"/>
  <c r="R9" i="83"/>
  <c r="AK9" i="83"/>
  <c r="AV9" i="83"/>
  <c r="AT70" i="83"/>
  <c r="AT75" i="83" s="1"/>
  <c r="AP70" i="83"/>
  <c r="AP75" i="83" s="1"/>
  <c r="R70" i="83"/>
  <c r="F70" i="83"/>
  <c r="F75" i="83" s="1"/>
  <c r="H70" i="83"/>
  <c r="AX69" i="83"/>
  <c r="AX70" i="83"/>
  <c r="U9" i="83"/>
  <c r="Y9" i="83"/>
  <c r="AT9" i="83"/>
  <c r="O69" i="83"/>
  <c r="S68" i="83"/>
  <c r="AP69" i="83"/>
  <c r="Z69" i="83"/>
  <c r="F69" i="83"/>
  <c r="H9" i="83"/>
  <c r="U70" i="83"/>
  <c r="U75" i="83" s="1"/>
  <c r="Y70" i="83"/>
  <c r="Y75" i="83" s="1"/>
  <c r="AA70" i="83"/>
  <c r="AA75" i="83" s="1"/>
  <c r="Z70" i="83"/>
  <c r="Z75" i="83" s="1"/>
  <c r="AK70" i="83"/>
  <c r="AK75" i="83" s="1"/>
  <c r="P70" i="83"/>
  <c r="AV70" i="83"/>
  <c r="U69" i="83"/>
  <c r="AT69" i="83"/>
  <c r="AO9" i="83"/>
  <c r="AA9" i="83"/>
  <c r="AP9" i="83"/>
  <c r="F9" i="83"/>
  <c r="AK69" i="83"/>
  <c r="P69" i="83"/>
  <c r="H69" i="83"/>
  <c r="O70" i="83"/>
  <c r="AO70" i="83"/>
  <c r="AO75" i="83" s="1"/>
  <c r="L9" i="83"/>
  <c r="L70" i="83"/>
  <c r="L69" i="83"/>
  <c r="AQ69" i="83"/>
  <c r="AQ9" i="83"/>
  <c r="T70" i="83"/>
  <c r="AW68" i="83"/>
  <c r="T69" i="83"/>
  <c r="AU9" i="83"/>
  <c r="AQ70" i="83"/>
  <c r="AQ75" i="83" s="1"/>
  <c r="AU70" i="83"/>
  <c r="T9" i="83"/>
  <c r="AU69" i="83"/>
  <c r="AI69" i="83"/>
  <c r="AL70" i="83"/>
  <c r="AL75" i="83" s="1"/>
  <c r="J70" i="83"/>
  <c r="W70" i="83"/>
  <c r="W75" i="83" s="1"/>
  <c r="AL9" i="83"/>
  <c r="J69" i="83"/>
  <c r="X68" i="83"/>
  <c r="V69" i="83"/>
  <c r="AN9" i="83"/>
  <c r="AR68" i="83"/>
  <c r="AB9" i="83"/>
  <c r="W9" i="83"/>
  <c r="AF69" i="83"/>
  <c r="AB69" i="83"/>
  <c r="AI70" i="83"/>
  <c r="AI75" i="83" s="1"/>
  <c r="AF70" i="83"/>
  <c r="V70" i="83"/>
  <c r="V75" i="83" s="1"/>
  <c r="AL69" i="83"/>
  <c r="AC68" i="83"/>
  <c r="E69" i="83"/>
  <c r="J9" i="83"/>
  <c r="W69" i="83"/>
  <c r="AF9" i="83"/>
  <c r="AN69" i="83"/>
  <c r="E70" i="83"/>
  <c r="E75" i="83" s="1"/>
  <c r="AN70" i="83"/>
  <c r="AN75" i="83" s="1"/>
  <c r="AB70" i="83"/>
  <c r="AB75" i="83" s="1"/>
  <c r="E9" i="83"/>
  <c r="N68" i="83"/>
  <c r="AI9" i="83"/>
  <c r="AM68" i="83"/>
  <c r="V9" i="83"/>
  <c r="AH68" i="83"/>
  <c r="I68" i="83"/>
  <c r="AD69" i="83"/>
  <c r="G69" i="83"/>
  <c r="G9" i="83"/>
  <c r="AE69" i="83"/>
  <c r="AE9" i="83"/>
  <c r="AD70" i="83"/>
  <c r="AD75" i="83" s="1"/>
  <c r="G70" i="83"/>
  <c r="G75" i="83" s="1"/>
  <c r="AD9" i="83"/>
  <c r="AE70" i="83"/>
  <c r="BI2" i="9"/>
  <c r="BI3" i="9"/>
  <c r="AE119" i="83"/>
  <c r="AU119" i="83"/>
  <c r="G119" i="83"/>
  <c r="AF119" i="83"/>
  <c r="BH2" i="9"/>
  <c r="BH3" i="9"/>
  <c r="Q119" i="83"/>
  <c r="AT119" i="83"/>
  <c r="BG48" i="9"/>
  <c r="BG63" i="9"/>
  <c r="BG34" i="9"/>
  <c r="BG38" i="9"/>
  <c r="BG5" i="9"/>
  <c r="BG23" i="9"/>
  <c r="BG132" i="9"/>
  <c r="BG11" i="9"/>
  <c r="BG56" i="9"/>
  <c r="AP119" i="83"/>
  <c r="AH6" i="83"/>
  <c r="AD8" i="83"/>
  <c r="BI5" i="84"/>
  <c r="BJ1" i="84"/>
  <c r="BK2" i="2"/>
  <c r="BK5" i="2"/>
  <c r="BL1" i="2"/>
  <c r="AG119" i="83"/>
  <c r="AH119" i="83" s="1"/>
  <c r="AI8" i="83"/>
  <c r="AM6" i="83"/>
  <c r="AO119" i="83"/>
  <c r="AJ119" i="83"/>
  <c r="AC6" i="83"/>
  <c r="Y8" i="83"/>
  <c r="AL119" i="83"/>
  <c r="AM119" i="83" s="1"/>
  <c r="P119" i="83"/>
  <c r="R119" i="83"/>
  <c r="S119" i="83" s="1"/>
  <c r="M119" i="83"/>
  <c r="N119" i="83" s="1"/>
  <c r="N6" i="83"/>
  <c r="J8" i="83"/>
  <c r="O8" i="83"/>
  <c r="S6" i="83"/>
  <c r="AV119" i="83"/>
  <c r="AW119" i="83" s="1"/>
  <c r="H119" i="83"/>
  <c r="I119" i="83" s="1"/>
  <c r="V119" i="83"/>
  <c r="E8" i="83"/>
  <c r="I6" i="83"/>
  <c r="L119" i="83"/>
  <c r="AK119" i="83"/>
  <c r="BP314" i="73"/>
  <c r="BP316" i="73" s="1"/>
  <c r="BQ315" i="73"/>
  <c r="W119" i="83"/>
  <c r="X119" i="83" s="1"/>
  <c r="AA119" i="83"/>
  <c r="AY106" i="46"/>
  <c r="AY91" i="46"/>
  <c r="F119" i="83"/>
  <c r="K119" i="83"/>
  <c r="AN8" i="83"/>
  <c r="AR6" i="83"/>
  <c r="Z119" i="83"/>
  <c r="AX13" i="31"/>
  <c r="AZ6" i="32"/>
  <c r="AZ12" i="32" s="1"/>
  <c r="AY13" i="32"/>
  <c r="U119" i="83"/>
  <c r="AB119" i="83"/>
  <c r="AC119" i="83" s="1"/>
  <c r="AW6" i="83"/>
  <c r="AS8" i="83"/>
  <c r="AQ119" i="83"/>
  <c r="AR119" i="83" s="1"/>
  <c r="BM2" i="34"/>
  <c r="BN1" i="34"/>
  <c r="X6" i="83"/>
  <c r="T8" i="83"/>
  <c r="AY69" i="83" l="1"/>
  <c r="AY9" i="83"/>
  <c r="AY10" i="83" s="1"/>
  <c r="AY79" i="83"/>
  <c r="AY75" i="83"/>
  <c r="AY73" i="83"/>
  <c r="AY76" i="83"/>
  <c r="AY119" i="83"/>
  <c r="AY11" i="83"/>
  <c r="BI10" i="84"/>
  <c r="BI7" i="84"/>
  <c r="BI8" i="84"/>
  <c r="BI14" i="84"/>
  <c r="BI13" i="84"/>
  <c r="BI11" i="84"/>
  <c r="BJ132" i="9"/>
  <c r="BJ63" i="9"/>
  <c r="BJ56" i="9"/>
  <c r="BJ23" i="9"/>
  <c r="BJ11" i="9"/>
  <c r="BJ38" i="9"/>
  <c r="BJ34" i="9"/>
  <c r="BJ48" i="9"/>
  <c r="BJ5" i="9"/>
  <c r="AY122" i="83" s="1"/>
  <c r="AY132" i="83" s="1"/>
  <c r="AX119" i="83"/>
  <c r="AJ10" i="83"/>
  <c r="M10" i="83"/>
  <c r="AG10" i="83"/>
  <c r="Q11" i="83"/>
  <c r="AG11" i="83"/>
  <c r="AJ11" i="83"/>
  <c r="AG76" i="83"/>
  <c r="AG73" i="83"/>
  <c r="AG79" i="83"/>
  <c r="M11" i="83"/>
  <c r="AJ73" i="83"/>
  <c r="AJ76" i="83"/>
  <c r="AJ79" i="83"/>
  <c r="K10" i="83"/>
  <c r="Q73" i="83"/>
  <c r="Q75" i="83"/>
  <c r="Q76" i="83"/>
  <c r="Q79" i="83"/>
  <c r="M76" i="83"/>
  <c r="M79" i="83"/>
  <c r="K11" i="83"/>
  <c r="K73" i="83"/>
  <c r="M75" i="83"/>
  <c r="M73" i="83"/>
  <c r="K75" i="83"/>
  <c r="K76" i="83"/>
  <c r="K79" i="83"/>
  <c r="Q10" i="83"/>
  <c r="AS10" i="83"/>
  <c r="AS73" i="83"/>
  <c r="AS76" i="83"/>
  <c r="AS79" i="83"/>
  <c r="AX76" i="83"/>
  <c r="AX73" i="83"/>
  <c r="AO10" i="83"/>
  <c r="AV10" i="83"/>
  <c r="S69" i="83"/>
  <c r="AX10" i="83"/>
  <c r="AX79" i="83"/>
  <c r="AX11" i="83"/>
  <c r="AX75" i="83"/>
  <c r="AV75" i="83"/>
  <c r="AP10" i="83"/>
  <c r="P10" i="83"/>
  <c r="AV76" i="83"/>
  <c r="AV73" i="83"/>
  <c r="AV79" i="83"/>
  <c r="AP73" i="83"/>
  <c r="AP76" i="83"/>
  <c r="AP79" i="83"/>
  <c r="R10" i="83"/>
  <c r="AT11" i="83"/>
  <c r="AP11" i="83"/>
  <c r="H10" i="83"/>
  <c r="AK10" i="83"/>
  <c r="O76" i="83"/>
  <c r="AO79" i="83"/>
  <c r="AO11" i="83"/>
  <c r="S70" i="83"/>
  <c r="O75" i="83"/>
  <c r="O73" i="83"/>
  <c r="O79" i="83"/>
  <c r="P11" i="83"/>
  <c r="R11" i="83"/>
  <c r="AO76" i="83"/>
  <c r="AO73" i="83"/>
  <c r="O10" i="83"/>
  <c r="Y73" i="83"/>
  <c r="Y76" i="83"/>
  <c r="Y79" i="83"/>
  <c r="Z10" i="83"/>
  <c r="AV11" i="83"/>
  <c r="H11" i="83"/>
  <c r="P73" i="83"/>
  <c r="P76" i="83"/>
  <c r="P75" i="83"/>
  <c r="P79" i="83"/>
  <c r="R75" i="83"/>
  <c r="R73" i="83"/>
  <c r="R76" i="83"/>
  <c r="R79" i="83"/>
  <c r="AK11" i="83"/>
  <c r="AA10" i="83"/>
  <c r="AA11" i="83"/>
  <c r="S9" i="83"/>
  <c r="F11" i="83"/>
  <c r="F73" i="83"/>
  <c r="U73" i="83"/>
  <c r="U79" i="83"/>
  <c r="H75" i="83"/>
  <c r="AT79" i="83"/>
  <c r="AT10" i="83"/>
  <c r="F76" i="83"/>
  <c r="F79" i="83"/>
  <c r="Z11" i="83"/>
  <c r="AA73" i="83"/>
  <c r="AA76" i="83"/>
  <c r="AA79" i="83"/>
  <c r="U11" i="83"/>
  <c r="F10" i="83"/>
  <c r="H73" i="83"/>
  <c r="H76" i="83"/>
  <c r="H79" i="83"/>
  <c r="AK76" i="83"/>
  <c r="AK73" i="83"/>
  <c r="AK79" i="83"/>
  <c r="Z73" i="83"/>
  <c r="Z76" i="83"/>
  <c r="Z79" i="83"/>
  <c r="U76" i="83"/>
  <c r="U10" i="83"/>
  <c r="AT73" i="83"/>
  <c r="AT76" i="83"/>
  <c r="L75" i="83"/>
  <c r="L73" i="83"/>
  <c r="L76" i="83"/>
  <c r="L11" i="83"/>
  <c r="L10" i="83"/>
  <c r="L79" i="83"/>
  <c r="AQ10" i="83"/>
  <c r="AQ11" i="83"/>
  <c r="AU11" i="83"/>
  <c r="AU75" i="83"/>
  <c r="AU10" i="83"/>
  <c r="AQ73" i="83"/>
  <c r="AW69" i="83"/>
  <c r="AU73" i="83"/>
  <c r="AU76" i="83"/>
  <c r="AU79" i="83"/>
  <c r="T73" i="83"/>
  <c r="T76" i="83"/>
  <c r="T79" i="83"/>
  <c r="AQ79" i="83"/>
  <c r="T75" i="83"/>
  <c r="AW9" i="83"/>
  <c r="AQ76" i="83"/>
  <c r="T10" i="83"/>
  <c r="AW70" i="83"/>
  <c r="AW73" i="83" s="1"/>
  <c r="AL10" i="83"/>
  <c r="AC69" i="83"/>
  <c r="AF11" i="83"/>
  <c r="AF76" i="83"/>
  <c r="AF73" i="83"/>
  <c r="AF79" i="83"/>
  <c r="AM69" i="83"/>
  <c r="AC9" i="83"/>
  <c r="AR69" i="83"/>
  <c r="W10" i="83"/>
  <c r="J73" i="83"/>
  <c r="N70" i="83"/>
  <c r="N9" i="83"/>
  <c r="V76" i="83"/>
  <c r="X70" i="83"/>
  <c r="J75" i="83"/>
  <c r="J76" i="83"/>
  <c r="J79" i="83"/>
  <c r="AL11" i="83"/>
  <c r="AM9" i="83"/>
  <c r="AF75" i="83"/>
  <c r="V73" i="83"/>
  <c r="AF10" i="83"/>
  <c r="V79" i="83"/>
  <c r="AI73" i="83"/>
  <c r="AM70" i="83"/>
  <c r="AM75" i="83" s="1"/>
  <c r="AI76" i="83"/>
  <c r="AI79" i="83"/>
  <c r="J10" i="83"/>
  <c r="AC70" i="83"/>
  <c r="AC75" i="83" s="1"/>
  <c r="AL73" i="83"/>
  <c r="AL76" i="83"/>
  <c r="E79" i="83"/>
  <c r="AN10" i="83"/>
  <c r="W76" i="83"/>
  <c r="AN73" i="83"/>
  <c r="AN79" i="83"/>
  <c r="AL79" i="83"/>
  <c r="AB10" i="83"/>
  <c r="AR9" i="83"/>
  <c r="W11" i="83"/>
  <c r="E73" i="83"/>
  <c r="W73" i="83"/>
  <c r="AB76" i="83"/>
  <c r="AB79" i="83"/>
  <c r="AN76" i="83"/>
  <c r="V11" i="83"/>
  <c r="E10" i="83"/>
  <c r="X69" i="83"/>
  <c r="E76" i="83"/>
  <c r="X9" i="83"/>
  <c r="W79" i="83"/>
  <c r="AB11" i="83"/>
  <c r="V10" i="83"/>
  <c r="AB73" i="83"/>
  <c r="AR70" i="83"/>
  <c r="N69" i="83"/>
  <c r="AD10" i="83"/>
  <c r="AH69" i="83"/>
  <c r="G73" i="83"/>
  <c r="G76" i="83"/>
  <c r="G79" i="83"/>
  <c r="AH9" i="83"/>
  <c r="I9" i="83"/>
  <c r="AE73" i="83"/>
  <c r="AE76" i="83"/>
  <c r="AE79" i="83"/>
  <c r="AH70" i="83"/>
  <c r="AH75" i="83" s="1"/>
  <c r="AD73" i="83"/>
  <c r="AD76" i="83"/>
  <c r="AD79" i="83"/>
  <c r="I70" i="83"/>
  <c r="I75" i="83" s="1"/>
  <c r="G10" i="83"/>
  <c r="AE11" i="83"/>
  <c r="G11" i="83"/>
  <c r="I69" i="83"/>
  <c r="AE10" i="83"/>
  <c r="AE75" i="83"/>
  <c r="BI11" i="9"/>
  <c r="BI5" i="9"/>
  <c r="BI34" i="9"/>
  <c r="BI38" i="9"/>
  <c r="BI48" i="9"/>
  <c r="BI56" i="9"/>
  <c r="BI23" i="9"/>
  <c r="BI63" i="9"/>
  <c r="BI132" i="9"/>
  <c r="AM8" i="83"/>
  <c r="AI11" i="83"/>
  <c r="AI119" i="83"/>
  <c r="BN2" i="34"/>
  <c r="BO1" i="34"/>
  <c r="AS11" i="83"/>
  <c r="AS119" i="83"/>
  <c r="AH8" i="83"/>
  <c r="AD11" i="83"/>
  <c r="AD119" i="83"/>
  <c r="AI10" i="83"/>
  <c r="E11" i="83"/>
  <c r="I8" i="83"/>
  <c r="E119" i="83"/>
  <c r="BH23" i="9"/>
  <c r="BH132" i="9"/>
  <c r="BH34" i="9"/>
  <c r="BH5" i="9"/>
  <c r="BH38" i="9"/>
  <c r="BH48" i="9"/>
  <c r="BH11" i="9"/>
  <c r="BH56" i="9"/>
  <c r="BH63" i="9"/>
  <c r="BQ314" i="73"/>
  <c r="BQ316" i="73" s="1"/>
  <c r="BR315" i="73"/>
  <c r="Y11" i="83"/>
  <c r="AC8" i="83"/>
  <c r="Y119" i="83"/>
  <c r="N8" i="83"/>
  <c r="J11" i="83"/>
  <c r="J119" i="83"/>
  <c r="BM1" i="2"/>
  <c r="BN1" i="2" s="1"/>
  <c r="BL5" i="2"/>
  <c r="BL2" i="2"/>
  <c r="AN11" i="83"/>
  <c r="AR8" i="83"/>
  <c r="AN119" i="83"/>
  <c r="X8" i="83"/>
  <c r="T11" i="83"/>
  <c r="T119" i="83"/>
  <c r="AY113" i="46"/>
  <c r="AZ82" i="46"/>
  <c r="AY92" i="46"/>
  <c r="Y10" i="83"/>
  <c r="AZ24" i="32"/>
  <c r="AZ30" i="32" s="1"/>
  <c r="S8" i="83"/>
  <c r="O119" i="83"/>
  <c r="O11" i="83"/>
  <c r="BJ5" i="84"/>
  <c r="BK1" i="84"/>
  <c r="Z122" i="83"/>
  <c r="AE122" i="83"/>
  <c r="AN122" i="83"/>
  <c r="AT122" i="83"/>
  <c r="AU122" i="83"/>
  <c r="K122" i="83"/>
  <c r="O122" i="83"/>
  <c r="AA122" i="83"/>
  <c r="AL122" i="83"/>
  <c r="AS122" i="83"/>
  <c r="AJ122" i="83"/>
  <c r="AG122" i="83"/>
  <c r="J122" i="83"/>
  <c r="R122" i="83"/>
  <c r="AP122" i="83"/>
  <c r="T122" i="83"/>
  <c r="P122" i="83"/>
  <c r="AO122" i="83"/>
  <c r="AB122" i="83"/>
  <c r="W122" i="83"/>
  <c r="AD122" i="83"/>
  <c r="AF122" i="83"/>
  <c r="F122" i="83"/>
  <c r="M122" i="83"/>
  <c r="AX122" i="83"/>
  <c r="AQ122" i="83"/>
  <c r="U122" i="83"/>
  <c r="Y122" i="83"/>
  <c r="AI122" i="83"/>
  <c r="V122" i="83"/>
  <c r="G122" i="83"/>
  <c r="AK122" i="83"/>
  <c r="E122" i="83"/>
  <c r="H122" i="83"/>
  <c r="AV122" i="83"/>
  <c r="L122" i="83"/>
  <c r="Q122" i="83"/>
  <c r="AY77" i="83" l="1"/>
  <c r="AY83" i="83"/>
  <c r="AY84" i="83" s="1"/>
  <c r="AY80" i="83"/>
  <c r="AY81" i="83" s="1"/>
  <c r="AY88" i="83"/>
  <c r="AY13" i="83"/>
  <c r="AY17" i="83"/>
  <c r="AY14" i="83"/>
  <c r="BJ8" i="84"/>
  <c r="BJ10" i="84"/>
  <c r="BJ11" i="84"/>
  <c r="BJ7" i="84"/>
  <c r="BJ14" i="84"/>
  <c r="BJ13" i="84"/>
  <c r="BJ74" i="9"/>
  <c r="BJ64" i="9" s="1"/>
  <c r="BJ84" i="9"/>
  <c r="BJ65" i="9" s="1"/>
  <c r="BJ85" i="9"/>
  <c r="BJ75" i="9"/>
  <c r="BN5" i="2"/>
  <c r="BO1" i="2"/>
  <c r="BO2" i="2" s="1"/>
  <c r="BN2" i="2"/>
  <c r="Q77" i="83"/>
  <c r="AG83" i="83"/>
  <c r="AG84" i="83" s="1"/>
  <c r="AG88" i="83"/>
  <c r="Q80" i="83"/>
  <c r="Q81" i="83" s="1"/>
  <c r="Q83" i="83"/>
  <c r="Q84" i="83" s="1"/>
  <c r="Q88" i="83"/>
  <c r="AG80" i="83"/>
  <c r="AG81" i="83" s="1"/>
  <c r="AG77" i="83"/>
  <c r="AJ14" i="83"/>
  <c r="AJ17" i="83"/>
  <c r="AJ13" i="83"/>
  <c r="AG14" i="83"/>
  <c r="AG13" i="83"/>
  <c r="AG17" i="83"/>
  <c r="AJ83" i="83"/>
  <c r="AJ84" i="83" s="1"/>
  <c r="AJ77" i="83"/>
  <c r="AJ88" i="83"/>
  <c r="AJ90" i="83" s="1"/>
  <c r="AJ80" i="83"/>
  <c r="AJ81" i="83" s="1"/>
  <c r="M14" i="83"/>
  <c r="M13" i="83"/>
  <c r="M17" i="83"/>
  <c r="Q14" i="83"/>
  <c r="Q13" i="83"/>
  <c r="K13" i="83"/>
  <c r="K17" i="83"/>
  <c r="K88" i="83"/>
  <c r="K90" i="83" s="1"/>
  <c r="K83" i="83"/>
  <c r="K84" i="83" s="1"/>
  <c r="M77" i="83"/>
  <c r="M80" i="83"/>
  <c r="M81" i="83" s="1"/>
  <c r="M83" i="83"/>
  <c r="M84" i="83" s="1"/>
  <c r="M88" i="83"/>
  <c r="Q17" i="83"/>
  <c r="K14" i="83"/>
  <c r="K77" i="83"/>
  <c r="K80" i="83"/>
  <c r="K81" i="83" s="1"/>
  <c r="AS80" i="83"/>
  <c r="AS88" i="83"/>
  <c r="AS90" i="83" s="1"/>
  <c r="AS77" i="83"/>
  <c r="AS83" i="83"/>
  <c r="AX14" i="83"/>
  <c r="AX17" i="83"/>
  <c r="AX13" i="83"/>
  <c r="AX80" i="83"/>
  <c r="AX81" i="83" s="1"/>
  <c r="AX77" i="83"/>
  <c r="AX88" i="83"/>
  <c r="AX83" i="83"/>
  <c r="AX84" i="83" s="1"/>
  <c r="AP83" i="83"/>
  <c r="AP84" i="83" s="1"/>
  <c r="AP77" i="83"/>
  <c r="AP88" i="83"/>
  <c r="AV80" i="83"/>
  <c r="AV81" i="83" s="1"/>
  <c r="AP80" i="83"/>
  <c r="AP81" i="83" s="1"/>
  <c r="S73" i="83"/>
  <c r="S75" i="83"/>
  <c r="S79" i="83"/>
  <c r="AV83" i="83"/>
  <c r="AV84" i="83" s="1"/>
  <c r="AV77" i="83"/>
  <c r="AV88" i="83"/>
  <c r="AT88" i="83"/>
  <c r="AT77" i="83"/>
  <c r="AT83" i="83"/>
  <c r="AT84" i="83" s="1"/>
  <c r="AT80" i="83"/>
  <c r="AT81" i="83" s="1"/>
  <c r="AA14" i="83"/>
  <c r="AA17" i="83"/>
  <c r="AA13" i="83"/>
  <c r="F14" i="83"/>
  <c r="F17" i="83"/>
  <c r="F13" i="83"/>
  <c r="L17" i="83"/>
  <c r="H14" i="83"/>
  <c r="H13" i="83"/>
  <c r="H17" i="83"/>
  <c r="AP14" i="83"/>
  <c r="AP17" i="83"/>
  <c r="AP13" i="83"/>
  <c r="AT14" i="83"/>
  <c r="AT17" i="83"/>
  <c r="AT13" i="83"/>
  <c r="P77" i="83"/>
  <c r="P80" i="83"/>
  <c r="P81" i="83" s="1"/>
  <c r="P88" i="83"/>
  <c r="P83" i="83"/>
  <c r="P84" i="83" s="1"/>
  <c r="R14" i="83"/>
  <c r="R13" i="83"/>
  <c r="R17" i="83"/>
  <c r="AV14" i="83"/>
  <c r="AV13" i="83"/>
  <c r="AV17" i="83"/>
  <c r="Y77" i="83"/>
  <c r="Y83" i="83"/>
  <c r="Y80" i="83"/>
  <c r="Z77" i="83"/>
  <c r="Z83" i="83"/>
  <c r="Z84" i="83" s="1"/>
  <c r="AO13" i="83"/>
  <c r="U88" i="83"/>
  <c r="U90" i="83" s="1"/>
  <c r="U83" i="83"/>
  <c r="U84" i="83" s="1"/>
  <c r="AO77" i="83"/>
  <c r="Z80" i="83"/>
  <c r="Z81" i="83" s="1"/>
  <c r="Z88" i="83"/>
  <c r="Z90" i="83" s="1"/>
  <c r="P14" i="83"/>
  <c r="P13" i="83"/>
  <c r="P17" i="83"/>
  <c r="O88" i="83"/>
  <c r="O90" i="83" s="1"/>
  <c r="O77" i="83"/>
  <c r="O83" i="83"/>
  <c r="O80" i="83"/>
  <c r="AK88" i="83"/>
  <c r="AK90" i="83" s="1"/>
  <c r="AK77" i="83"/>
  <c r="AK80" i="83"/>
  <c r="AK81" i="83" s="1"/>
  <c r="AK83" i="83"/>
  <c r="AK84" i="83" s="1"/>
  <c r="AO14" i="83"/>
  <c r="AO17" i="83"/>
  <c r="U77" i="83"/>
  <c r="U80" i="83"/>
  <c r="U81" i="83" s="1"/>
  <c r="AO88" i="83"/>
  <c r="AO90" i="83" s="1"/>
  <c r="AO83" i="83"/>
  <c r="AO84" i="83" s="1"/>
  <c r="AO80" i="83"/>
  <c r="AO81" i="83" s="1"/>
  <c r="R88" i="83"/>
  <c r="R90" i="83" s="1"/>
  <c r="R77" i="83"/>
  <c r="R80" i="83"/>
  <c r="R81" i="83" s="1"/>
  <c r="R83" i="83"/>
  <c r="R84" i="83" s="1"/>
  <c r="U14" i="83"/>
  <c r="U13" i="83"/>
  <c r="U17" i="83"/>
  <c r="Z14" i="83"/>
  <c r="Z13" i="83"/>
  <c r="Z17" i="83"/>
  <c r="Y88" i="83"/>
  <c r="Y90" i="83" s="1"/>
  <c r="H77" i="83"/>
  <c r="H83" i="83"/>
  <c r="H84" i="83" s="1"/>
  <c r="H88" i="83"/>
  <c r="H90" i="83" s="1"/>
  <c r="H80" i="83"/>
  <c r="H81" i="83" s="1"/>
  <c r="S76" i="83"/>
  <c r="S77" i="83" s="1"/>
  <c r="AK17" i="83"/>
  <c r="AA88" i="83"/>
  <c r="AA90" i="83" s="1"/>
  <c r="AA77" i="83"/>
  <c r="AA80" i="83"/>
  <c r="AA81" i="83" s="1"/>
  <c r="AA83" i="83"/>
  <c r="AA84" i="83" s="1"/>
  <c r="F83" i="83"/>
  <c r="F84" i="83" s="1"/>
  <c r="F77" i="83"/>
  <c r="F80" i="83"/>
  <c r="F81" i="83" s="1"/>
  <c r="F88" i="83"/>
  <c r="F90" i="83" s="1"/>
  <c r="AK14" i="83"/>
  <c r="AK13" i="83"/>
  <c r="L14" i="83"/>
  <c r="L13" i="83"/>
  <c r="L80" i="83"/>
  <c r="L81" i="83" s="1"/>
  <c r="L88" i="83"/>
  <c r="L90" i="83" s="1"/>
  <c r="L83" i="83"/>
  <c r="L84" i="83" s="1"/>
  <c r="L77" i="83"/>
  <c r="AQ14" i="83"/>
  <c r="AQ17" i="83"/>
  <c r="AQ13" i="83"/>
  <c r="V80" i="83"/>
  <c r="V81" i="83" s="1"/>
  <c r="AU77" i="83"/>
  <c r="AU80" i="83"/>
  <c r="AU81" i="83" s="1"/>
  <c r="T80" i="83"/>
  <c r="AW79" i="83"/>
  <c r="V88" i="83"/>
  <c r="V90" i="83" s="1"/>
  <c r="AW75" i="83"/>
  <c r="AU88" i="83"/>
  <c r="AU90" i="83" s="1"/>
  <c r="AU83" i="83"/>
  <c r="AU84" i="83" s="1"/>
  <c r="AU13" i="83"/>
  <c r="V83" i="83"/>
  <c r="V84" i="83" s="1"/>
  <c r="AU17" i="83"/>
  <c r="AQ83" i="83"/>
  <c r="AQ84" i="83" s="1"/>
  <c r="N75" i="83"/>
  <c r="N73" i="83"/>
  <c r="N76" i="83"/>
  <c r="N77" i="83" s="1"/>
  <c r="N79" i="83"/>
  <c r="T77" i="83"/>
  <c r="T83" i="83"/>
  <c r="T88" i="83"/>
  <c r="T90" i="83" s="1"/>
  <c r="AU14" i="83"/>
  <c r="X73" i="83"/>
  <c r="X79" i="83"/>
  <c r="AQ77" i="83"/>
  <c r="V77" i="83"/>
  <c r="X75" i="83"/>
  <c r="AQ88" i="83"/>
  <c r="AQ90" i="83" s="1"/>
  <c r="AQ80" i="83"/>
  <c r="AQ81" i="83" s="1"/>
  <c r="AW76" i="83"/>
  <c r="AW77" i="83" s="1"/>
  <c r="AF80" i="83"/>
  <c r="AF81" i="83" s="1"/>
  <c r="AF77" i="83"/>
  <c r="AF83" i="83"/>
  <c r="AF84" i="83" s="1"/>
  <c r="AF88" i="83"/>
  <c r="AF90" i="83" s="1"/>
  <c r="AF14" i="83"/>
  <c r="AF13" i="83"/>
  <c r="AF17" i="83"/>
  <c r="AL14" i="83"/>
  <c r="AL17" i="83"/>
  <c r="AL13" i="83"/>
  <c r="J80" i="83"/>
  <c r="J77" i="83"/>
  <c r="J83" i="83"/>
  <c r="J88" i="83"/>
  <c r="AR75" i="83"/>
  <c r="AB14" i="83"/>
  <c r="AB13" i="83"/>
  <c r="E77" i="83"/>
  <c r="E83" i="83"/>
  <c r="AL77" i="83"/>
  <c r="AL88" i="83"/>
  <c r="AL90" i="83" s="1"/>
  <c r="AB17" i="83"/>
  <c r="E80" i="83"/>
  <c r="E88" i="83"/>
  <c r="AL80" i="83"/>
  <c r="AL81" i="83" s="1"/>
  <c r="AL83" i="83"/>
  <c r="AL84" i="83" s="1"/>
  <c r="AC76" i="83"/>
  <c r="AC77" i="83" s="1"/>
  <c r="AI77" i="83"/>
  <c r="AI80" i="83"/>
  <c r="AI83" i="83"/>
  <c r="AM76" i="83"/>
  <c r="AM77" i="83" s="1"/>
  <c r="AI88" i="83"/>
  <c r="AI90" i="83" s="1"/>
  <c r="AC73" i="83"/>
  <c r="AC79" i="83"/>
  <c r="AM73" i="83"/>
  <c r="AM79" i="83"/>
  <c r="X76" i="83"/>
  <c r="X77" i="83" s="1"/>
  <c r="AN83" i="83"/>
  <c r="AN88" i="83"/>
  <c r="AN90" i="83" s="1"/>
  <c r="AB80" i="83"/>
  <c r="AB81" i="83" s="1"/>
  <c r="AB83" i="83"/>
  <c r="AB84" i="83" s="1"/>
  <c r="AB77" i="83"/>
  <c r="AB88" i="83"/>
  <c r="AB90" i="83" s="1"/>
  <c r="W14" i="83"/>
  <c r="W17" i="83"/>
  <c r="W13" i="83"/>
  <c r="V17" i="83"/>
  <c r="AN77" i="83"/>
  <c r="AR76" i="83"/>
  <c r="AR77" i="83" s="1"/>
  <c r="AR73" i="83"/>
  <c r="AR79" i="83"/>
  <c r="W77" i="83"/>
  <c r="W83" i="83"/>
  <c r="W84" i="83" s="1"/>
  <c r="W88" i="83"/>
  <c r="W90" i="83" s="1"/>
  <c r="W80" i="83"/>
  <c r="W81" i="83" s="1"/>
  <c r="V14" i="83"/>
  <c r="V13" i="83"/>
  <c r="AN80" i="83"/>
  <c r="AE83" i="83"/>
  <c r="AE84" i="83" s="1"/>
  <c r="AH73" i="83"/>
  <c r="AH79" i="83"/>
  <c r="AE80" i="83"/>
  <c r="AE81" i="83" s="1"/>
  <c r="AH76" i="83"/>
  <c r="AH77" i="83" s="1"/>
  <c r="AD88" i="83"/>
  <c r="AE77" i="83"/>
  <c r="AE88" i="83"/>
  <c r="G17" i="83"/>
  <c r="G13" i="83"/>
  <c r="G77" i="83"/>
  <c r="G83" i="83"/>
  <c r="G84" i="83" s="1"/>
  <c r="AD83" i="83"/>
  <c r="AD80" i="83"/>
  <c r="G14" i="83"/>
  <c r="AD77" i="83"/>
  <c r="G88" i="83"/>
  <c r="G80" i="83"/>
  <c r="G81" i="83" s="1"/>
  <c r="AE14" i="83"/>
  <c r="AE13" i="83"/>
  <c r="AE17" i="83"/>
  <c r="I73" i="83"/>
  <c r="I76" i="83"/>
  <c r="I77" i="83" s="1"/>
  <c r="I79" i="83"/>
  <c r="BO5" i="2"/>
  <c r="AX132" i="83"/>
  <c r="AW122" i="83"/>
  <c r="AW121" i="83" s="1"/>
  <c r="AU132" i="83"/>
  <c r="AT132" i="83"/>
  <c r="AS132" i="83"/>
  <c r="AQ132" i="83"/>
  <c r="AO132" i="83"/>
  <c r="F132" i="83"/>
  <c r="AK132" i="83"/>
  <c r="V132" i="83"/>
  <c r="AG132" i="83"/>
  <c r="L132" i="83"/>
  <c r="AB132" i="83"/>
  <c r="AF132" i="83"/>
  <c r="AJ132" i="83"/>
  <c r="Z132" i="83"/>
  <c r="J132" i="83"/>
  <c r="N122" i="83"/>
  <c r="N121" i="83" s="1"/>
  <c r="AD132" i="83"/>
  <c r="AH122" i="83"/>
  <c r="AH121" i="83" s="1"/>
  <c r="M132" i="83"/>
  <c r="R132" i="83"/>
  <c r="O132" i="83"/>
  <c r="S122" i="83"/>
  <c r="S121" i="83" s="1"/>
  <c r="AA132" i="83"/>
  <c r="U132" i="83"/>
  <c r="W132" i="83"/>
  <c r="G132" i="83"/>
  <c r="E132" i="83"/>
  <c r="I122" i="83"/>
  <c r="I121" i="83" s="1"/>
  <c r="X122" i="83"/>
  <c r="X121" i="83" s="1"/>
  <c r="T132" i="83"/>
  <c r="Y132" i="83"/>
  <c r="AC122" i="83"/>
  <c r="AC121" i="83" s="1"/>
  <c r="P132" i="83"/>
  <c r="H132" i="83"/>
  <c r="AR122" i="83"/>
  <c r="AR121" i="83" s="1"/>
  <c r="AN132" i="83"/>
  <c r="Q132" i="83"/>
  <c r="AE132" i="83"/>
  <c r="K132" i="83"/>
  <c r="AM122" i="83"/>
  <c r="AM121" i="83" s="1"/>
  <c r="AI132" i="83"/>
  <c r="AL132" i="83"/>
  <c r="AP132" i="83"/>
  <c r="AV132" i="83"/>
  <c r="AZ13" i="32"/>
  <c r="AY13" i="31"/>
  <c r="BA6" i="32"/>
  <c r="BA12" i="32" s="1"/>
  <c r="AD14" i="83"/>
  <c r="AH11" i="83"/>
  <c r="AD13" i="83"/>
  <c r="AD17" i="83"/>
  <c r="BO2" i="34"/>
  <c r="BP1" i="34"/>
  <c r="N11" i="83"/>
  <c r="J14" i="83"/>
  <c r="J13" i="83"/>
  <c r="J17" i="83"/>
  <c r="S11" i="83"/>
  <c r="O14" i="83"/>
  <c r="O13" i="83"/>
  <c r="O17" i="83"/>
  <c r="BR314" i="73"/>
  <c r="BR316" i="73" s="1"/>
  <c r="BS315" i="73"/>
  <c r="AW11" i="83"/>
  <c r="AS14" i="83"/>
  <c r="AS13" i="83"/>
  <c r="AS17" i="83"/>
  <c r="Y14" i="83"/>
  <c r="AC11" i="83"/>
  <c r="Y17" i="83"/>
  <c r="Y13" i="83"/>
  <c r="BL1" i="84"/>
  <c r="BK5" i="84"/>
  <c r="AZ106" i="46"/>
  <c r="AZ91" i="46"/>
  <c r="AN14" i="83"/>
  <c r="AR11" i="83"/>
  <c r="AN13" i="83"/>
  <c r="AN17" i="83"/>
  <c r="I11" i="83"/>
  <c r="E14" i="83"/>
  <c r="E13" i="83"/>
  <c r="E17" i="83"/>
  <c r="AM11" i="83"/>
  <c r="AI14" i="83"/>
  <c r="AI17" i="83"/>
  <c r="AI13" i="83"/>
  <c r="X11" i="83"/>
  <c r="T14" i="83"/>
  <c r="T13" i="83"/>
  <c r="T17" i="83"/>
  <c r="BM5" i="2"/>
  <c r="BM2" i="2"/>
  <c r="R28" i="83"/>
  <c r="AJ29" i="83"/>
  <c r="AJ31" i="83"/>
  <c r="Y29" i="83"/>
  <c r="AP31" i="83"/>
  <c r="R31" i="83"/>
  <c r="AJ28" i="83"/>
  <c r="AU28" i="83"/>
  <c r="AU29" i="83"/>
  <c r="Y31" i="83"/>
  <c r="AN28" i="83"/>
  <c r="P31" i="83"/>
  <c r="AQ28" i="83"/>
  <c r="E28" i="83"/>
  <c r="J31" i="83"/>
  <c r="AF29" i="83"/>
  <c r="AV28" i="83"/>
  <c r="K28" i="83"/>
  <c r="E29" i="83"/>
  <c r="P28" i="83"/>
  <c r="J28" i="83"/>
  <c r="AL28" i="83"/>
  <c r="AS28" i="83"/>
  <c r="R29" i="83"/>
  <c r="G28" i="83"/>
  <c r="L31" i="83"/>
  <c r="G29" i="83"/>
  <c r="K31" i="83"/>
  <c r="AG28" i="83"/>
  <c r="K29" i="83"/>
  <c r="P29" i="83"/>
  <c r="AN31" i="83"/>
  <c r="AT28" i="83"/>
  <c r="AK29" i="83"/>
  <c r="AA29" i="83"/>
  <c r="AO28" i="83"/>
  <c r="Y28" i="83"/>
  <c r="AS31" i="83"/>
  <c r="O29" i="83"/>
  <c r="G31" i="83"/>
  <c r="AD29" i="83"/>
  <c r="AI29" i="83"/>
  <c r="AE31" i="83"/>
  <c r="AD31" i="83"/>
  <c r="Z31" i="83"/>
  <c r="AT29" i="83"/>
  <c r="U31" i="83"/>
  <c r="AQ29" i="83"/>
  <c r="V29" i="83"/>
  <c r="AQ31" i="83"/>
  <c r="Q28" i="83"/>
  <c r="Z28" i="83"/>
  <c r="AL31" i="83"/>
  <c r="AB31" i="83"/>
  <c r="Z29" i="83"/>
  <c r="H29" i="83"/>
  <c r="T28" i="83"/>
  <c r="AV31" i="83"/>
  <c r="M29" i="83"/>
  <c r="H28" i="83"/>
  <c r="AO31" i="83"/>
  <c r="AO29" i="83"/>
  <c r="T31" i="83"/>
  <c r="AE29" i="83"/>
  <c r="W31" i="83"/>
  <c r="AP28" i="83"/>
  <c r="W28" i="83"/>
  <c r="U29" i="83"/>
  <c r="AI31" i="83"/>
  <c r="Q29" i="83"/>
  <c r="AG31" i="83"/>
  <c r="F29" i="83"/>
  <c r="AT31" i="83"/>
  <c r="O31" i="83"/>
  <c r="AX29" i="83"/>
  <c r="V31" i="83"/>
  <c r="H31" i="83"/>
  <c r="M31" i="83"/>
  <c r="AF31" i="83"/>
  <c r="AX28" i="83"/>
  <c r="AK31" i="83"/>
  <c r="AE28" i="83"/>
  <c r="AB28" i="83"/>
  <c r="U28" i="83"/>
  <c r="AB29" i="83"/>
  <c r="AN29" i="83"/>
  <c r="AD28" i="83"/>
  <c r="AV29" i="83"/>
  <c r="V28" i="83"/>
  <c r="F28" i="83"/>
  <c r="AS29" i="83"/>
  <c r="O28" i="83"/>
  <c r="Q31" i="83"/>
  <c r="AU31" i="83"/>
  <c r="AA28" i="83"/>
  <c r="M28" i="83"/>
  <c r="AG29" i="83"/>
  <c r="J29" i="83"/>
  <c r="L29" i="83"/>
  <c r="AK28" i="83"/>
  <c r="E31" i="83"/>
  <c r="F31" i="83"/>
  <c r="AA31" i="83"/>
  <c r="AX31" i="83"/>
  <c r="AF28" i="83"/>
  <c r="AP29" i="83"/>
  <c r="AI28" i="83"/>
  <c r="T29" i="83"/>
  <c r="L28" i="83"/>
  <c r="AY90" i="83" l="1"/>
  <c r="AY89" i="83"/>
  <c r="AY26" i="83"/>
  <c r="AY15" i="83"/>
  <c r="AY21" i="83"/>
  <c r="AY18" i="83"/>
  <c r="AY19" i="83" s="1"/>
  <c r="AY28" i="83"/>
  <c r="AY137" i="83" s="1"/>
  <c r="AY29" i="83"/>
  <c r="AY31" i="83"/>
  <c r="BK7" i="84"/>
  <c r="BK8" i="84"/>
  <c r="BK10" i="84"/>
  <c r="BK11" i="84"/>
  <c r="BK14" i="84"/>
  <c r="BK13" i="84"/>
  <c r="Q26" i="83"/>
  <c r="Q15" i="83"/>
  <c r="Q18" i="83"/>
  <c r="Q19" i="83" s="1"/>
  <c r="Q21" i="83"/>
  <c r="AJ18" i="83"/>
  <c r="AJ19" i="83" s="1"/>
  <c r="AJ26" i="83"/>
  <c r="AJ21" i="83"/>
  <c r="AJ15" i="83"/>
  <c r="K15" i="83"/>
  <c r="K21" i="83"/>
  <c r="K18" i="83"/>
  <c r="K19" i="83" s="1"/>
  <c r="AJ89" i="83"/>
  <c r="Q89" i="83"/>
  <c r="AG15" i="83"/>
  <c r="AG26" i="83"/>
  <c r="AG18" i="83"/>
  <c r="AG19" i="83" s="1"/>
  <c r="AG21" i="83"/>
  <c r="M89" i="83"/>
  <c r="K89" i="83"/>
  <c r="M21" i="83"/>
  <c r="M26" i="83"/>
  <c r="M18" i="83"/>
  <c r="M19" i="83" s="1"/>
  <c r="M15" i="83"/>
  <c r="K26" i="83"/>
  <c r="AG89" i="83"/>
  <c r="AS81" i="83"/>
  <c r="AX89" i="83"/>
  <c r="AX15" i="83"/>
  <c r="AX18" i="83"/>
  <c r="AX19" i="83" s="1"/>
  <c r="AX26" i="83"/>
  <c r="AX27" i="83" s="1"/>
  <c r="AX21" i="83"/>
  <c r="AS84" i="83"/>
  <c r="AS89" i="83"/>
  <c r="AP89" i="83"/>
  <c r="AO26" i="83"/>
  <c r="AO21" i="83"/>
  <c r="AO18" i="83"/>
  <c r="AO19" i="83" s="1"/>
  <c r="AO15" i="83"/>
  <c r="H26" i="83"/>
  <c r="H15" i="83"/>
  <c r="H18" i="83"/>
  <c r="H19" i="83" s="1"/>
  <c r="H21" i="83"/>
  <c r="F15" i="83"/>
  <c r="F26" i="83"/>
  <c r="F21" i="83"/>
  <c r="F18" i="83"/>
  <c r="F19" i="83" s="1"/>
  <c r="Y81" i="83"/>
  <c r="H89" i="83"/>
  <c r="AA15" i="83"/>
  <c r="AA26" i="83"/>
  <c r="AA18" i="83"/>
  <c r="AA19" i="83" s="1"/>
  <c r="AA21" i="83"/>
  <c r="R15" i="83"/>
  <c r="R21" i="83"/>
  <c r="R26" i="83"/>
  <c r="AT89" i="83"/>
  <c r="P26" i="83"/>
  <c r="P15" i="83"/>
  <c r="P18" i="83"/>
  <c r="P19" i="83" s="1"/>
  <c r="P21" i="83"/>
  <c r="U89" i="83"/>
  <c r="O81" i="83"/>
  <c r="S80" i="83"/>
  <c r="S81" i="83" s="1"/>
  <c r="AV89" i="83"/>
  <c r="O84" i="83"/>
  <c r="S83" i="83"/>
  <c r="S84" i="83" s="1"/>
  <c r="Z89" i="83"/>
  <c r="AK89" i="83"/>
  <c r="R89" i="83"/>
  <c r="O89" i="83"/>
  <c r="S88" i="83"/>
  <c r="S89" i="83" s="1"/>
  <c r="AV18" i="83"/>
  <c r="AV19" i="83" s="1"/>
  <c r="AV26" i="83"/>
  <c r="AV15" i="83"/>
  <c r="AV21" i="83"/>
  <c r="R18" i="83"/>
  <c r="R19" i="83" s="1"/>
  <c r="AT15" i="83"/>
  <c r="AT18" i="83"/>
  <c r="AT19" i="83" s="1"/>
  <c r="AT26" i="83"/>
  <c r="AT21" i="83"/>
  <c r="Y84" i="83"/>
  <c r="P89" i="83"/>
  <c r="AP15" i="83"/>
  <c r="AP26" i="83"/>
  <c r="AP18" i="83"/>
  <c r="AP19" i="83" s="1"/>
  <c r="AP21" i="83"/>
  <c r="AO89" i="83"/>
  <c r="AA89" i="83"/>
  <c r="F89" i="83"/>
  <c r="Y89" i="83"/>
  <c r="Z26" i="83"/>
  <c r="Z15" i="83"/>
  <c r="Z21" i="83"/>
  <c r="Z18" i="83"/>
  <c r="Z19" i="83" s="1"/>
  <c r="AK15" i="83"/>
  <c r="AK18" i="83"/>
  <c r="AK19" i="83" s="1"/>
  <c r="AK26" i="83"/>
  <c r="AK21" i="83"/>
  <c r="U26" i="83"/>
  <c r="U18" i="83"/>
  <c r="U19" i="83" s="1"/>
  <c r="U15" i="83"/>
  <c r="U21" i="83"/>
  <c r="L15" i="83"/>
  <c r="L18" i="83"/>
  <c r="L19" i="83" s="1"/>
  <c r="L26" i="83"/>
  <c r="L21" i="83"/>
  <c r="L89" i="83"/>
  <c r="AQ26" i="83"/>
  <c r="AQ15" i="83"/>
  <c r="AQ21" i="83"/>
  <c r="AQ18" i="83"/>
  <c r="AQ19" i="83" s="1"/>
  <c r="AW80" i="83"/>
  <c r="AW81" i="83" s="1"/>
  <c r="T81" i="83"/>
  <c r="V89" i="83"/>
  <c r="AW83" i="83"/>
  <c r="AW84" i="83" s="1"/>
  <c r="AU89" i="83"/>
  <c r="AW88" i="83"/>
  <c r="AU15" i="83"/>
  <c r="AU26" i="83"/>
  <c r="T84" i="83"/>
  <c r="AU18" i="83"/>
  <c r="AU19" i="83" s="1"/>
  <c r="AU21" i="83"/>
  <c r="AQ89" i="83"/>
  <c r="T89" i="83"/>
  <c r="AM80" i="83"/>
  <c r="AM81" i="83" s="1"/>
  <c r="AI81" i="83"/>
  <c r="AL89" i="83"/>
  <c r="AF15" i="83"/>
  <c r="AF18" i="83"/>
  <c r="AF19" i="83" s="1"/>
  <c r="AF21" i="83"/>
  <c r="AF26" i="83"/>
  <c r="AF89" i="83"/>
  <c r="AL26" i="83"/>
  <c r="AL18" i="83"/>
  <c r="AL19" i="83" s="1"/>
  <c r="AL15" i="83"/>
  <c r="AL21" i="83"/>
  <c r="N80" i="83"/>
  <c r="N81" i="83" s="1"/>
  <c r="J81" i="83"/>
  <c r="J89" i="83"/>
  <c r="N88" i="83"/>
  <c r="N89" i="83" s="1"/>
  <c r="N83" i="83"/>
  <c r="N84" i="83" s="1"/>
  <c r="J84" i="83"/>
  <c r="AC80" i="83"/>
  <c r="AC81" i="83" s="1"/>
  <c r="AN89" i="83"/>
  <c r="AR88" i="83"/>
  <c r="AR89" i="83" s="1"/>
  <c r="X83" i="83"/>
  <c r="X84" i="83" s="1"/>
  <c r="V15" i="83"/>
  <c r="V21" i="83"/>
  <c r="V18" i="83"/>
  <c r="V19" i="83" s="1"/>
  <c r="V26" i="83"/>
  <c r="W18" i="83"/>
  <c r="W19" i="83" s="1"/>
  <c r="W26" i="83"/>
  <c r="W15" i="83"/>
  <c r="W21" i="83"/>
  <c r="AB15" i="83"/>
  <c r="AB18" i="83"/>
  <c r="AB19" i="83" s="1"/>
  <c r="AB26" i="83"/>
  <c r="AB21" i="83"/>
  <c r="AN84" i="83"/>
  <c r="W89" i="83"/>
  <c r="AI89" i="83"/>
  <c r="AM88" i="83"/>
  <c r="AM89" i="83" s="1"/>
  <c r="E84" i="83"/>
  <c r="AN81" i="83"/>
  <c r="AR80" i="83"/>
  <c r="AR81" i="83" s="1"/>
  <c r="AI84" i="83"/>
  <c r="AM83" i="83"/>
  <c r="AM84" i="83" s="1"/>
  <c r="AR83" i="83"/>
  <c r="AR84" i="83" s="1"/>
  <c r="E81" i="83"/>
  <c r="AB89" i="83"/>
  <c r="AC88" i="83"/>
  <c r="AC89" i="83" s="1"/>
  <c r="X88" i="83"/>
  <c r="X89" i="83" s="1"/>
  <c r="E89" i="83"/>
  <c r="X80" i="83"/>
  <c r="X81" i="83" s="1"/>
  <c r="AC83" i="83"/>
  <c r="AC84" i="83" s="1"/>
  <c r="I83" i="83"/>
  <c r="I84" i="83" s="1"/>
  <c r="G21" i="83"/>
  <c r="G15" i="83"/>
  <c r="G26" i="83"/>
  <c r="G18" i="83"/>
  <c r="G19" i="83" s="1"/>
  <c r="AE89" i="83"/>
  <c r="AD89" i="83"/>
  <c r="AH88" i="83"/>
  <c r="AH89" i="83" s="1"/>
  <c r="G89" i="83"/>
  <c r="AE21" i="83"/>
  <c r="AD81" i="83"/>
  <c r="AH80" i="83"/>
  <c r="AH81" i="83" s="1"/>
  <c r="AE26" i="83"/>
  <c r="AE18" i="83"/>
  <c r="AE19" i="83" s="1"/>
  <c r="AE15" i="83"/>
  <c r="I88" i="83"/>
  <c r="I89" i="83" s="1"/>
  <c r="AD84" i="83"/>
  <c r="AH83" i="83"/>
  <c r="AH84" i="83" s="1"/>
  <c r="I80" i="83"/>
  <c r="I81" i="83" s="1"/>
  <c r="AX133" i="83"/>
  <c r="AX137" i="83"/>
  <c r="AW28" i="83"/>
  <c r="AW132" i="83"/>
  <c r="AR132" i="83"/>
  <c r="AV137" i="83"/>
  <c r="AV133" i="83"/>
  <c r="AU133" i="83"/>
  <c r="AU137" i="83"/>
  <c r="AW29" i="83"/>
  <c r="AS137" i="83"/>
  <c r="AS133" i="83"/>
  <c r="AW31" i="83"/>
  <c r="Q137" i="83"/>
  <c r="AE133" i="83"/>
  <c r="Y133" i="83"/>
  <c r="AC31" i="83"/>
  <c r="AR29" i="83"/>
  <c r="W137" i="83"/>
  <c r="O137" i="83"/>
  <c r="S28" i="83"/>
  <c r="AH28" i="83"/>
  <c r="AD137" i="83"/>
  <c r="W133" i="83"/>
  <c r="F137" i="83"/>
  <c r="AL137" i="83"/>
  <c r="N29" i="83"/>
  <c r="F133" i="83"/>
  <c r="P133" i="83"/>
  <c r="Q133" i="83"/>
  <c r="AK133" i="83"/>
  <c r="H133" i="83"/>
  <c r="K137" i="83"/>
  <c r="AL133" i="83"/>
  <c r="AJ137" i="83"/>
  <c r="AH29" i="83"/>
  <c r="P137" i="83"/>
  <c r="AF137" i="83"/>
  <c r="AB137" i="83"/>
  <c r="S29" i="83"/>
  <c r="X31" i="83"/>
  <c r="T133" i="83"/>
  <c r="AE137" i="83"/>
  <c r="V137" i="83"/>
  <c r="AA137" i="83"/>
  <c r="E133" i="83"/>
  <c r="I31" i="83"/>
  <c r="AN133" i="83"/>
  <c r="AR31" i="83"/>
  <c r="U133" i="83"/>
  <c r="AK137" i="83"/>
  <c r="R137" i="83"/>
  <c r="N31" i="83"/>
  <c r="J133" i="83"/>
  <c r="G137" i="83"/>
  <c r="L133" i="83"/>
  <c r="M133" i="83"/>
  <c r="R133" i="83"/>
  <c r="AR28" i="83"/>
  <c r="AN137" i="83"/>
  <c r="T137" i="83"/>
  <c r="X28" i="83"/>
  <c r="E137" i="83"/>
  <c r="I28" i="83"/>
  <c r="Y137" i="83"/>
  <c r="AC28" i="83"/>
  <c r="AA133" i="83"/>
  <c r="G133" i="83"/>
  <c r="AF133" i="83"/>
  <c r="K133" i="83"/>
  <c r="AG137" i="83"/>
  <c r="AG133" i="83"/>
  <c r="H137" i="83"/>
  <c r="AI137" i="83"/>
  <c r="AM28" i="83"/>
  <c r="Z133" i="83"/>
  <c r="AJ133" i="83"/>
  <c r="Z137" i="83"/>
  <c r="AI133" i="83"/>
  <c r="AM31" i="83"/>
  <c r="AB133" i="83"/>
  <c r="V133" i="83"/>
  <c r="O133" i="83"/>
  <c r="S31" i="83"/>
  <c r="AD133" i="83"/>
  <c r="AH31" i="83"/>
  <c r="AC29" i="83"/>
  <c r="M137" i="83"/>
  <c r="L137" i="83"/>
  <c r="J137" i="83"/>
  <c r="N28" i="83"/>
  <c r="U137" i="83"/>
  <c r="I29" i="83"/>
  <c r="AO133" i="83"/>
  <c r="AO137" i="83"/>
  <c r="AP133" i="83"/>
  <c r="AP137" i="83"/>
  <c r="AQ133" i="83"/>
  <c r="AQ137" i="83"/>
  <c r="AT133" i="83"/>
  <c r="AT137" i="83"/>
  <c r="AR10" i="83"/>
  <c r="AR14" i="83"/>
  <c r="AR15" i="83" s="1"/>
  <c r="AR13" i="83"/>
  <c r="AR17" i="83"/>
  <c r="Y15" i="83"/>
  <c r="Y18" i="83"/>
  <c r="Y26" i="83"/>
  <c r="Y21" i="83"/>
  <c r="AN26" i="83"/>
  <c r="AN18" i="83"/>
  <c r="AN15" i="83"/>
  <c r="AN21" i="83"/>
  <c r="BQ1" i="34"/>
  <c r="BP2" i="34"/>
  <c r="S132" i="83"/>
  <c r="E26" i="83"/>
  <c r="E21" i="83"/>
  <c r="E15" i="83"/>
  <c r="E18" i="83"/>
  <c r="O15" i="83"/>
  <c r="O26" i="83"/>
  <c r="O18" i="83"/>
  <c r="O21" i="83"/>
  <c r="AC132" i="83"/>
  <c r="AI18" i="83"/>
  <c r="AI15" i="83"/>
  <c r="AI21" i="83"/>
  <c r="AI26" i="83"/>
  <c r="AZ113" i="46"/>
  <c r="AZ92" i="46"/>
  <c r="BA82" i="46"/>
  <c r="AS15" i="83"/>
  <c r="AS26" i="83"/>
  <c r="AS18" i="83"/>
  <c r="AS21" i="83"/>
  <c r="S14" i="83"/>
  <c r="S15" i="83" s="1"/>
  <c r="S10" i="83"/>
  <c r="S13" i="83"/>
  <c r="S17" i="83"/>
  <c r="J26" i="83"/>
  <c r="J18" i="83"/>
  <c r="J15" i="83"/>
  <c r="J21" i="83"/>
  <c r="X132" i="83"/>
  <c r="I14" i="83"/>
  <c r="I15" i="83" s="1"/>
  <c r="I10" i="83"/>
  <c r="I17" i="83"/>
  <c r="I13" i="83"/>
  <c r="AC10" i="83"/>
  <c r="AC14" i="83"/>
  <c r="AC15" i="83" s="1"/>
  <c r="AC17" i="83"/>
  <c r="AC13" i="83"/>
  <c r="T26" i="83"/>
  <c r="T15" i="83"/>
  <c r="T18" i="83"/>
  <c r="T21" i="83"/>
  <c r="AM14" i="83"/>
  <c r="AM15" i="83" s="1"/>
  <c r="AM10" i="83"/>
  <c r="AM17" i="83"/>
  <c r="AM13" i="83"/>
  <c r="AW14" i="83"/>
  <c r="AW10" i="83"/>
  <c r="AW13" i="83"/>
  <c r="AW17" i="83"/>
  <c r="N10" i="83"/>
  <c r="N14" i="83"/>
  <c r="N15" i="83" s="1"/>
  <c r="N13" i="83"/>
  <c r="N17" i="83"/>
  <c r="AH10" i="83"/>
  <c r="AH14" i="83"/>
  <c r="AH15" i="83" s="1"/>
  <c r="AH13" i="83"/>
  <c r="AH17" i="83"/>
  <c r="AM132" i="83"/>
  <c r="AH132" i="83"/>
  <c r="X10" i="83"/>
  <c r="X14" i="83"/>
  <c r="X15" i="83" s="1"/>
  <c r="X13" i="83"/>
  <c r="X17" i="83"/>
  <c r="AD18" i="83"/>
  <c r="AD26" i="83"/>
  <c r="AD21" i="83"/>
  <c r="AD15" i="83"/>
  <c r="I132" i="83"/>
  <c r="N132" i="83"/>
  <c r="BB6" i="32"/>
  <c r="BB12" i="32" s="1"/>
  <c r="BA24" i="32"/>
  <c r="BA30" i="32" s="1"/>
  <c r="BL5" i="84"/>
  <c r="BM1" i="84"/>
  <c r="BS314" i="73"/>
  <c r="BS316" i="73" s="1"/>
  <c r="BT315" i="73"/>
  <c r="AP90" i="83"/>
  <c r="AG90" i="83"/>
  <c r="AD90" i="83"/>
  <c r="AE90" i="83"/>
  <c r="AT90" i="83"/>
  <c r="W29" i="83"/>
  <c r="Q90" i="83"/>
  <c r="AX90" i="83"/>
  <c r="M90" i="83"/>
  <c r="AL29" i="83"/>
  <c r="AV90" i="83"/>
  <c r="P90" i="83"/>
  <c r="J90" i="83"/>
  <c r="E90" i="83"/>
  <c r="G90" i="83"/>
  <c r="AY27" i="83" l="1"/>
  <c r="AY30" i="83"/>
  <c r="AY22" i="83"/>
  <c r="AY131" i="83"/>
  <c r="AY133" i="83"/>
  <c r="BL10" i="84"/>
  <c r="BL7" i="84"/>
  <c r="BL14" i="84"/>
  <c r="BL8" i="84"/>
  <c r="BL13" i="84"/>
  <c r="BL11" i="84"/>
  <c r="BB24" i="32"/>
  <c r="BB30" i="32" s="1"/>
  <c r="AJ27" i="83"/>
  <c r="AG131" i="83"/>
  <c r="Q131" i="83"/>
  <c r="AG30" i="83"/>
  <c r="AG33" i="83" s="1"/>
  <c r="Q27" i="83"/>
  <c r="Q30" i="83"/>
  <c r="Q33" i="83" s="1"/>
  <c r="AJ22" i="83"/>
  <c r="AJ131" i="83"/>
  <c r="K131" i="83"/>
  <c r="K22" i="83"/>
  <c r="AJ30" i="83"/>
  <c r="AJ33" i="83" s="1"/>
  <c r="AG22" i="83"/>
  <c r="Q22" i="83"/>
  <c r="AG27" i="83"/>
  <c r="M27" i="83"/>
  <c r="M30" i="83"/>
  <c r="M33" i="83" s="1"/>
  <c r="M22" i="83"/>
  <c r="M131" i="83"/>
  <c r="AX30" i="83"/>
  <c r="AX33" i="83" s="1"/>
  <c r="K30" i="83"/>
  <c r="K33" i="83" s="1"/>
  <c r="K27" i="83"/>
  <c r="AX131" i="83"/>
  <c r="AX22" i="83"/>
  <c r="AT22" i="83"/>
  <c r="AT131" i="83"/>
  <c r="AK22" i="83"/>
  <c r="AK131" i="83"/>
  <c r="H30" i="83"/>
  <c r="H33" i="83" s="1"/>
  <c r="H22" i="83"/>
  <c r="AA131" i="83"/>
  <c r="R22" i="83"/>
  <c r="AA30" i="83"/>
  <c r="AA33" i="83" s="1"/>
  <c r="AK30" i="83"/>
  <c r="AK33" i="83" s="1"/>
  <c r="AK27" i="83"/>
  <c r="AV30" i="83"/>
  <c r="AV33" i="83" s="1"/>
  <c r="AV27" i="83"/>
  <c r="P22" i="83"/>
  <c r="P131" i="83"/>
  <c r="H27" i="83"/>
  <c r="H131" i="83"/>
  <c r="AA22" i="83"/>
  <c r="R131" i="83"/>
  <c r="R27" i="83"/>
  <c r="R30" i="83"/>
  <c r="R33" i="83" s="1"/>
  <c r="AA27" i="83"/>
  <c r="AO131" i="83"/>
  <c r="AO22" i="83"/>
  <c r="AO30" i="83"/>
  <c r="AO33" i="83" s="1"/>
  <c r="AO27" i="83"/>
  <c r="F22" i="83"/>
  <c r="F131" i="83"/>
  <c r="F27" i="83"/>
  <c r="F30" i="83"/>
  <c r="F33" i="83" s="1"/>
  <c r="Z30" i="83"/>
  <c r="Z33" i="83" s="1"/>
  <c r="Z27" i="83"/>
  <c r="AT27" i="83"/>
  <c r="AT30" i="83"/>
  <c r="AT33" i="83" s="1"/>
  <c r="P27" i="83"/>
  <c r="P30" i="83"/>
  <c r="P33" i="83" s="1"/>
  <c r="AV131" i="83"/>
  <c r="AP22" i="83"/>
  <c r="AP131" i="83"/>
  <c r="AV22" i="83"/>
  <c r="AP27" i="83"/>
  <c r="AP30" i="83"/>
  <c r="AP33" i="83" s="1"/>
  <c r="Z131" i="83"/>
  <c r="U131" i="83"/>
  <c r="U22" i="83"/>
  <c r="U27" i="83"/>
  <c r="U30" i="83"/>
  <c r="U33" i="83" s="1"/>
  <c r="Z22" i="83"/>
  <c r="L30" i="83"/>
  <c r="L33" i="83" s="1"/>
  <c r="L27" i="83"/>
  <c r="L131" i="83"/>
  <c r="L22" i="83"/>
  <c r="AQ22" i="83"/>
  <c r="AQ131" i="83"/>
  <c r="AQ27" i="83"/>
  <c r="AQ30" i="83"/>
  <c r="AQ33" i="83" s="1"/>
  <c r="AU27" i="83"/>
  <c r="AU30" i="83"/>
  <c r="AU33" i="83" s="1"/>
  <c r="AW89" i="83"/>
  <c r="W22" i="83"/>
  <c r="AU22" i="83"/>
  <c r="V27" i="83"/>
  <c r="AU131" i="83"/>
  <c r="W131" i="83"/>
  <c r="V30" i="83"/>
  <c r="V33" i="83" s="1"/>
  <c r="AB30" i="83"/>
  <c r="AB33" i="83" s="1"/>
  <c r="AF30" i="83"/>
  <c r="AF33" i="83" s="1"/>
  <c r="AF131" i="83"/>
  <c r="AL27" i="83"/>
  <c r="AL131" i="83"/>
  <c r="AL22" i="83"/>
  <c r="AF27" i="83"/>
  <c r="AF22" i="83"/>
  <c r="AB22" i="83"/>
  <c r="AB131" i="83"/>
  <c r="W27" i="83"/>
  <c r="AB27" i="83"/>
  <c r="V131" i="83"/>
  <c r="V22" i="83"/>
  <c r="G27" i="83"/>
  <c r="G30" i="83"/>
  <c r="G33" i="83" s="1"/>
  <c r="G131" i="83"/>
  <c r="G22" i="83"/>
  <c r="AE22" i="83"/>
  <c r="AE131" i="83"/>
  <c r="AE27" i="83"/>
  <c r="AE30" i="83"/>
  <c r="AE33" i="83" s="1"/>
  <c r="AL30" i="83"/>
  <c r="AL33" i="83" s="1"/>
  <c r="AM29" i="83"/>
  <c r="X29" i="83"/>
  <c r="W30" i="83"/>
  <c r="W33" i="83" s="1"/>
  <c r="BA13" i="32"/>
  <c r="AZ13" i="31"/>
  <c r="AW15" i="83"/>
  <c r="AW133" i="83"/>
  <c r="AW137" i="83"/>
  <c r="N137" i="83"/>
  <c r="AH137" i="83"/>
  <c r="AM137" i="83"/>
  <c r="J22" i="83"/>
  <c r="J131" i="83"/>
  <c r="N21" i="83"/>
  <c r="N22" i="83" s="1"/>
  <c r="AS30" i="83"/>
  <c r="AS27" i="83"/>
  <c r="AW26" i="83"/>
  <c r="AW27" i="83" s="1"/>
  <c r="AR133" i="83"/>
  <c r="AI19" i="83"/>
  <c r="AM18" i="83"/>
  <c r="AM19" i="83" s="1"/>
  <c r="BT314" i="73"/>
  <c r="BT316" i="73" s="1"/>
  <c r="BU315" i="73"/>
  <c r="AC137" i="83"/>
  <c r="S137" i="83"/>
  <c r="AS22" i="83"/>
  <c r="AS131" i="83"/>
  <c r="AW21" i="83"/>
  <c r="AW18" i="83"/>
  <c r="AW19" i="83" s="1"/>
  <c r="AS19" i="83"/>
  <c r="AD22" i="83"/>
  <c r="AD131" i="83"/>
  <c r="AH21" i="83"/>
  <c r="AH22" i="83" s="1"/>
  <c r="T22" i="83"/>
  <c r="X21" i="83"/>
  <c r="X22" i="83" s="1"/>
  <c r="T131" i="83"/>
  <c r="J19" i="83"/>
  <c r="N18" i="83"/>
  <c r="N19" i="83" s="1"/>
  <c r="BA106" i="46"/>
  <c r="BA91" i="46"/>
  <c r="E19" i="83"/>
  <c r="I18" i="83"/>
  <c r="I19" i="83" s="1"/>
  <c r="AM133" i="83"/>
  <c r="I133" i="83"/>
  <c r="AD27" i="83"/>
  <c r="AH26" i="83"/>
  <c r="AH27" i="83" s="1"/>
  <c r="AD30" i="83"/>
  <c r="T19" i="83"/>
  <c r="X18" i="83"/>
  <c r="X19" i="83" s="1"/>
  <c r="N26" i="83"/>
  <c r="N27" i="83" s="1"/>
  <c r="J27" i="83"/>
  <c r="J30" i="83"/>
  <c r="AR21" i="83"/>
  <c r="AR22" i="83" s="1"/>
  <c r="AN22" i="83"/>
  <c r="AN131" i="83"/>
  <c r="I137" i="83"/>
  <c r="N133" i="83"/>
  <c r="O19" i="83"/>
  <c r="S18" i="83"/>
  <c r="S19" i="83" s="1"/>
  <c r="BQ2" i="34"/>
  <c r="BR1" i="34"/>
  <c r="BR2" i="34" s="1"/>
  <c r="AH18" i="83"/>
  <c r="AH19" i="83" s="1"/>
  <c r="AD19" i="83"/>
  <c r="I21" i="83"/>
  <c r="I22" i="83" s="1"/>
  <c r="E131" i="83"/>
  <c r="E22" i="83"/>
  <c r="AH133" i="83"/>
  <c r="BM5" i="84"/>
  <c r="BN1" i="84"/>
  <c r="X26" i="83"/>
  <c r="X27" i="83" s="1"/>
  <c r="T30" i="83"/>
  <c r="T27" i="83"/>
  <c r="O22" i="83"/>
  <c r="S21" i="83"/>
  <c r="S22" i="83" s="1"/>
  <c r="O131" i="83"/>
  <c r="I26" i="83"/>
  <c r="I27" i="83" s="1"/>
  <c r="E27" i="83"/>
  <c r="E30" i="83"/>
  <c r="AN19" i="83"/>
  <c r="AR18" i="83"/>
  <c r="AR19" i="83" s="1"/>
  <c r="X137" i="83"/>
  <c r="AN27" i="83"/>
  <c r="AR26" i="83"/>
  <c r="AR27" i="83" s="1"/>
  <c r="AN30" i="83"/>
  <c r="AR137" i="83"/>
  <c r="AC133" i="83"/>
  <c r="AM26" i="83"/>
  <c r="AM27" i="83" s="1"/>
  <c r="AI27" i="83"/>
  <c r="AI30" i="83"/>
  <c r="O30" i="83"/>
  <c r="O27" i="83"/>
  <c r="S26" i="83"/>
  <c r="S27" i="83" s="1"/>
  <c r="Y22" i="83"/>
  <c r="AC21" i="83"/>
  <c r="AC22" i="83" s="1"/>
  <c r="Y131" i="83"/>
  <c r="S133" i="83"/>
  <c r="X133" i="83"/>
  <c r="AI22" i="83"/>
  <c r="AM21" i="83"/>
  <c r="AM22" i="83" s="1"/>
  <c r="AI131" i="83"/>
  <c r="Y27" i="83"/>
  <c r="Y30" i="83"/>
  <c r="AC26" i="83"/>
  <c r="AC27" i="83" s="1"/>
  <c r="Y19" i="83"/>
  <c r="AC18" i="83"/>
  <c r="AC19" i="83" s="1"/>
  <c r="AY33" i="83" l="1"/>
  <c r="AY32" i="83"/>
  <c r="BM11" i="84"/>
  <c r="BM10" i="84"/>
  <c r="BM8" i="84"/>
  <c r="BM7" i="84"/>
  <c r="BM13" i="84"/>
  <c r="BM14" i="84"/>
  <c r="BB13" i="32"/>
  <c r="BA13" i="31"/>
  <c r="BC6" i="32"/>
  <c r="AJ32" i="83"/>
  <c r="Q32" i="83"/>
  <c r="M135" i="83"/>
  <c r="M141" i="83" s="1"/>
  <c r="M144" i="83" s="1"/>
  <c r="Q135" i="83"/>
  <c r="Q141" i="83" s="1"/>
  <c r="Q144" i="83" s="1"/>
  <c r="AG135" i="83"/>
  <c r="AG141" i="83" s="1"/>
  <c r="AG144" i="83" s="1"/>
  <c r="AJ135" i="83"/>
  <c r="AJ141" i="83" s="1"/>
  <c r="AJ144" i="83" s="1"/>
  <c r="K135" i="83"/>
  <c r="K141" i="83" s="1"/>
  <c r="K144" i="83" s="1"/>
  <c r="M32" i="83"/>
  <c r="AG32" i="83"/>
  <c r="AX32" i="83"/>
  <c r="AP135" i="83"/>
  <c r="AP141" i="83" s="1"/>
  <c r="AP144" i="83" s="1"/>
  <c r="K32" i="83"/>
  <c r="AO135" i="83"/>
  <c r="AO141" i="83" s="1"/>
  <c r="AO144" i="83" s="1"/>
  <c r="AV135" i="83"/>
  <c r="AV141" i="83" s="1"/>
  <c r="AV144" i="83" s="1"/>
  <c r="F135" i="83"/>
  <c r="F141" i="83" s="1"/>
  <c r="F144" i="83" s="1"/>
  <c r="H32" i="83"/>
  <c r="AO32" i="83"/>
  <c r="U32" i="83"/>
  <c r="AT32" i="83"/>
  <c r="AT135" i="83"/>
  <c r="AT141" i="83" s="1"/>
  <c r="AT144" i="83" s="1"/>
  <c r="L32" i="83"/>
  <c r="U135" i="83"/>
  <c r="U141" i="83" s="1"/>
  <c r="U144" i="83" s="1"/>
  <c r="P32" i="83"/>
  <c r="F32" i="83"/>
  <c r="L135" i="83"/>
  <c r="L141" i="83" s="1"/>
  <c r="L144" i="83" s="1"/>
  <c r="H135" i="83"/>
  <c r="H141" i="83" s="1"/>
  <c r="H144" i="83" s="1"/>
  <c r="P135" i="83"/>
  <c r="P141" i="83" s="1"/>
  <c r="P144" i="83" s="1"/>
  <c r="AK32" i="83"/>
  <c r="R135" i="83"/>
  <c r="R141" i="83" s="1"/>
  <c r="R144" i="83" s="1"/>
  <c r="AV32" i="83"/>
  <c r="AA32" i="83"/>
  <c r="AA135" i="83"/>
  <c r="AA141" i="83" s="1"/>
  <c r="AA144" i="83" s="1"/>
  <c r="AK135" i="83"/>
  <c r="AK141" i="83" s="1"/>
  <c r="AK144" i="83" s="1"/>
  <c r="R32" i="83"/>
  <c r="AP32" i="83"/>
  <c r="Z135" i="83"/>
  <c r="Z141" i="83" s="1"/>
  <c r="Z144" i="83" s="1"/>
  <c r="Z32" i="83"/>
  <c r="AQ135" i="83"/>
  <c r="AQ141" i="83" s="1"/>
  <c r="AQ144" i="83" s="1"/>
  <c r="AQ32" i="83"/>
  <c r="V135" i="83"/>
  <c r="V141" i="83" s="1"/>
  <c r="V144" i="83" s="1"/>
  <c r="AU32" i="83"/>
  <c r="AL135" i="83"/>
  <c r="AL141" i="83" s="1"/>
  <c r="AL144" i="83" s="1"/>
  <c r="W135" i="83"/>
  <c r="W141" i="83" s="1"/>
  <c r="W144" i="83" s="1"/>
  <c r="AU135" i="83"/>
  <c r="AU141" i="83" s="1"/>
  <c r="AU144" i="83" s="1"/>
  <c r="V32" i="83"/>
  <c r="AB32" i="83"/>
  <c r="AF135" i="83"/>
  <c r="AF141" i="83" s="1"/>
  <c r="AF144" i="83" s="1"/>
  <c r="AF32" i="83"/>
  <c r="AB135" i="83"/>
  <c r="AB141" i="83" s="1"/>
  <c r="AB144" i="83" s="1"/>
  <c r="AE32" i="83"/>
  <c r="G32" i="83"/>
  <c r="G135" i="83"/>
  <c r="G141" i="83" s="1"/>
  <c r="G144" i="83" s="1"/>
  <c r="AE135" i="83"/>
  <c r="AE141" i="83" s="1"/>
  <c r="AE144" i="83" s="1"/>
  <c r="W32" i="83"/>
  <c r="AL32" i="83"/>
  <c r="AS135" i="83"/>
  <c r="AS141" i="83" s="1"/>
  <c r="AS144" i="83" s="1"/>
  <c r="AW131" i="83"/>
  <c r="AW135" i="83" s="1"/>
  <c r="AW141" i="83" s="1"/>
  <c r="E33" i="83"/>
  <c r="I33" i="83" s="1"/>
  <c r="I30" i="83"/>
  <c r="I32" i="83" s="1"/>
  <c r="E32" i="83"/>
  <c r="BU314" i="73"/>
  <c r="BU316" i="73" s="1"/>
  <c r="BV315" i="73"/>
  <c r="O135" i="83"/>
  <c r="O141" i="83" s="1"/>
  <c r="O144" i="83" s="1"/>
  <c r="S131" i="83"/>
  <c r="S135" i="83" s="1"/>
  <c r="S141" i="83" s="1"/>
  <c r="N30" i="83"/>
  <c r="N32" i="83" s="1"/>
  <c r="J33" i="83"/>
  <c r="N33" i="83" s="1"/>
  <c r="J32" i="83"/>
  <c r="AR30" i="83"/>
  <c r="AR32" i="83" s="1"/>
  <c r="AN33" i="83"/>
  <c r="AR33" i="83" s="1"/>
  <c r="AN32" i="83"/>
  <c r="Y135" i="83"/>
  <c r="Y141" i="83" s="1"/>
  <c r="Y144" i="83" s="1"/>
  <c r="AC131" i="83"/>
  <c r="AC135" i="83" s="1"/>
  <c r="AC141" i="83" s="1"/>
  <c r="AI135" i="83"/>
  <c r="AI141" i="83" s="1"/>
  <c r="AI144" i="83" s="1"/>
  <c r="AM131" i="83"/>
  <c r="AM135" i="83" s="1"/>
  <c r="AM141" i="83" s="1"/>
  <c r="AH131" i="83"/>
  <c r="AH135" i="83" s="1"/>
  <c r="AH141" i="83" s="1"/>
  <c r="AD135" i="83"/>
  <c r="AD141" i="83" s="1"/>
  <c r="AD144" i="83" s="1"/>
  <c r="O33" i="83"/>
  <c r="S33" i="83" s="1"/>
  <c r="S30" i="83"/>
  <c r="S32" i="83" s="1"/>
  <c r="O32" i="83"/>
  <c r="AW30" i="83"/>
  <c r="AW32" i="83" s="1"/>
  <c r="AS33" i="83"/>
  <c r="AW33" i="83" s="1"/>
  <c r="AS32" i="83"/>
  <c r="J135" i="83"/>
  <c r="J141" i="83" s="1"/>
  <c r="J144" i="83" s="1"/>
  <c r="N131" i="83"/>
  <c r="N135" i="83" s="1"/>
  <c r="N141" i="83" s="1"/>
  <c r="AC30" i="83"/>
  <c r="AC32" i="83" s="1"/>
  <c r="Y33" i="83"/>
  <c r="AC33" i="83" s="1"/>
  <c r="Y32" i="83"/>
  <c r="T135" i="83"/>
  <c r="T141" i="83" s="1"/>
  <c r="T144" i="83" s="1"/>
  <c r="X131" i="83"/>
  <c r="X135" i="83" s="1"/>
  <c r="X141" i="83" s="1"/>
  <c r="BN5" i="84"/>
  <c r="BO1" i="84"/>
  <c r="AM30" i="83"/>
  <c r="AM32" i="83" s="1"/>
  <c r="AI33" i="83"/>
  <c r="AM33" i="83" s="1"/>
  <c r="AI32" i="83"/>
  <c r="E135" i="83"/>
  <c r="E141" i="83" s="1"/>
  <c r="E144" i="83" s="1"/>
  <c r="I131" i="83"/>
  <c r="I135" i="83" s="1"/>
  <c r="I141" i="83" s="1"/>
  <c r="BA113" i="46"/>
  <c r="BA92" i="46"/>
  <c r="BB82" i="46"/>
  <c r="AD33" i="83"/>
  <c r="AH33" i="83" s="1"/>
  <c r="AH30" i="83"/>
  <c r="AH32" i="83" s="1"/>
  <c r="AD32" i="83"/>
  <c r="X30" i="83"/>
  <c r="X32" i="83" s="1"/>
  <c r="T33" i="83"/>
  <c r="X33" i="83" s="1"/>
  <c r="T32" i="83"/>
  <c r="AW22" i="83"/>
  <c r="AN135" i="83"/>
  <c r="AN141" i="83" s="1"/>
  <c r="AN144" i="83" s="1"/>
  <c r="AR131" i="83"/>
  <c r="AR135" i="83" s="1"/>
  <c r="AR141" i="83" s="1"/>
  <c r="BN8" i="84" l="1"/>
  <c r="BN10" i="84"/>
  <c r="BN14" i="84"/>
  <c r="BN13" i="84"/>
  <c r="BN11" i="84"/>
  <c r="BN7" i="84"/>
  <c r="BC24" i="32"/>
  <c r="BC12" i="32"/>
  <c r="N144" i="83"/>
  <c r="S144" i="83"/>
  <c r="AR144" i="83"/>
  <c r="AM144" i="83"/>
  <c r="X144" i="83"/>
  <c r="AW144" i="83"/>
  <c r="AC144" i="83"/>
  <c r="AH144" i="83"/>
  <c r="I144" i="83"/>
  <c r="BB106" i="46"/>
  <c r="BB91" i="46"/>
  <c r="BO5" i="84"/>
  <c r="BP1" i="84"/>
  <c r="BV314" i="73"/>
  <c r="BV316" i="73" s="1"/>
  <c r="BW315" i="73"/>
  <c r="BO7" i="84" l="1"/>
  <c r="BO10" i="84"/>
  <c r="BO8" i="84"/>
  <c r="BO14" i="84"/>
  <c r="BO13" i="84"/>
  <c r="BO11" i="84"/>
  <c r="N145" i="83"/>
  <c r="N149" i="83" s="1"/>
  <c r="S145" i="83"/>
  <c r="S149" i="83" s="1"/>
  <c r="AR145" i="83"/>
  <c r="AR149" i="83" s="1"/>
  <c r="AM145" i="83"/>
  <c r="AM149" i="83" s="1"/>
  <c r="AW145" i="83"/>
  <c r="AC145" i="83"/>
  <c r="AC149" i="83" s="1"/>
  <c r="X145" i="83"/>
  <c r="X149" i="83" s="1"/>
  <c r="AH145" i="83"/>
  <c r="AH149" i="83" s="1"/>
  <c r="I145" i="83"/>
  <c r="I149" i="83" s="1"/>
  <c r="BB92" i="46"/>
  <c r="BB113" i="46"/>
  <c r="BP5" i="84"/>
  <c r="BQ1" i="84"/>
  <c r="BX315" i="73"/>
  <c r="BW314" i="73"/>
  <c r="BW316" i="73" s="1"/>
  <c r="BP11" i="84" l="1"/>
  <c r="BP7" i="84"/>
  <c r="BP10" i="84"/>
  <c r="BP8" i="84"/>
  <c r="BP14" i="84"/>
  <c r="BP13" i="84"/>
  <c r="BY315" i="73"/>
  <c r="BX314" i="73"/>
  <c r="BX316" i="73" s="1"/>
  <c r="BQ5" i="84"/>
  <c r="BR1" i="84"/>
  <c r="BQ8" i="84" l="1"/>
  <c r="BQ14" i="84"/>
  <c r="BQ11" i="84"/>
  <c r="BQ10" i="84"/>
  <c r="BQ7" i="84"/>
  <c r="BQ13" i="84"/>
  <c r="BZ315" i="73"/>
  <c r="BY314" i="73"/>
  <c r="BY316" i="73" s="1"/>
  <c r="BR5" i="84"/>
  <c r="BS1" i="84"/>
  <c r="BR11" i="84" l="1"/>
  <c r="BR7" i="84"/>
  <c r="BR10" i="84"/>
  <c r="BR13" i="84"/>
  <c r="BR14" i="84"/>
  <c r="BR8" i="84"/>
  <c r="BT1" i="84"/>
  <c r="BS5" i="84"/>
  <c r="BZ314" i="73"/>
  <c r="BZ316" i="73" s="1"/>
  <c r="CA315" i="73"/>
  <c r="BS10" i="84" l="1"/>
  <c r="BS7" i="84"/>
  <c r="BS14" i="84"/>
  <c r="BS8" i="84"/>
  <c r="BS13" i="84"/>
  <c r="BS11" i="84"/>
  <c r="BT5" i="84"/>
  <c r="BV5" i="84"/>
  <c r="CA314" i="73"/>
  <c r="CA316" i="73" s="1"/>
  <c r="CB315" i="73"/>
  <c r="BT10" i="84" l="1"/>
  <c r="BT8" i="84"/>
  <c r="BT7" i="84"/>
  <c r="BT11" i="84"/>
  <c r="BT14" i="84"/>
  <c r="BT13" i="84"/>
  <c r="BV10" i="84"/>
  <c r="BV8" i="84"/>
  <c r="BV7" i="84"/>
  <c r="BV11" i="84"/>
  <c r="BV14" i="84"/>
  <c r="BV13" i="84"/>
  <c r="CB314" i="73"/>
  <c r="CB316" i="73" s="1"/>
  <c r="CC315" i="73"/>
  <c r="BV9" i="84" l="1"/>
  <c r="BV6" i="84"/>
  <c r="CC314" i="73"/>
  <c r="CC316" i="73" s="1"/>
  <c r="CD315" i="73"/>
  <c r="BJ35" i="9" l="1"/>
  <c r="BI35" i="9"/>
  <c r="BV12" i="84"/>
  <c r="CD314" i="73"/>
  <c r="CD316" i="73" s="1"/>
  <c r="CE315" i="73"/>
  <c r="CE314" i="73" l="1"/>
  <c r="CE316" i="73" s="1"/>
  <c r="CF315" i="73"/>
  <c r="CG315" i="73" l="1"/>
  <c r="CF314" i="73"/>
  <c r="CF316" i="73" s="1"/>
  <c r="CG314" i="73" l="1"/>
  <c r="CG316" i="73" s="1"/>
  <c r="CH315" i="73"/>
  <c r="CI315" i="73" l="1"/>
  <c r="CH314" i="73"/>
  <c r="CH316" i="73" s="1"/>
  <c r="CJ315" i="73" l="1"/>
  <c r="CI314" i="73"/>
  <c r="CI316" i="73" s="1"/>
  <c r="CJ314" i="73" l="1"/>
  <c r="CJ316" i="73" s="1"/>
  <c r="CK315" i="73"/>
  <c r="CK314" i="73" l="1"/>
  <c r="CK316" i="73" s="1"/>
  <c r="CL315" i="73"/>
  <c r="CL314" i="73" l="1"/>
  <c r="CL316" i="73" s="1"/>
  <c r="CM315" i="73"/>
  <c r="CN315" i="73" l="1"/>
  <c r="CM314" i="73"/>
  <c r="CM316" i="73" s="1"/>
  <c r="CN314" i="73" l="1"/>
  <c r="CN316" i="73" s="1"/>
  <c r="CO315" i="73"/>
  <c r="CO314" i="73" l="1"/>
  <c r="CO316" i="73" s="1"/>
  <c r="CP315" i="73"/>
  <c r="CQ315" i="73" l="1"/>
  <c r="CP314" i="73"/>
  <c r="CP316" i="73" s="1"/>
  <c r="CR315" i="73" l="1"/>
  <c r="CQ314" i="73"/>
  <c r="CQ316" i="73" s="1"/>
  <c r="CR314" i="73" l="1"/>
  <c r="CR316" i="73" s="1"/>
  <c r="CS315" i="73"/>
  <c r="CS314" i="73" l="1"/>
  <c r="CS316" i="73" s="1"/>
  <c r="CT315" i="73"/>
  <c r="CU315" i="73" l="1"/>
  <c r="CT314" i="73"/>
  <c r="CT316" i="73" s="1"/>
  <c r="CV315" i="73" l="1"/>
  <c r="CU314" i="73"/>
  <c r="CU316" i="73" s="1"/>
  <c r="CV314" i="73" l="1"/>
  <c r="CV316" i="73" s="1"/>
  <c r="CW315" i="73"/>
  <c r="CW314" i="73" l="1"/>
  <c r="CW316" i="73" s="1"/>
  <c r="CX315" i="73"/>
  <c r="CX314" i="73" l="1"/>
  <c r="CX316" i="73" s="1"/>
  <c r="CY315" i="73"/>
  <c r="CY314" i="73" l="1"/>
  <c r="CY316" i="73" s="1"/>
  <c r="CZ315" i="73"/>
  <c r="DA315" i="73" l="1"/>
  <c r="CZ314" i="73"/>
  <c r="CZ316" i="73" s="1"/>
  <c r="DB315" i="73" l="1"/>
  <c r="DA314" i="73"/>
  <c r="DA316" i="73" s="1"/>
  <c r="DB314" i="73" l="1"/>
  <c r="DB316" i="73" s="1"/>
  <c r="DC315" i="73"/>
  <c r="DC314" i="73" l="1"/>
  <c r="DC316" i="73" s="1"/>
  <c r="DD315" i="73"/>
  <c r="DE315" i="73" l="1"/>
  <c r="DD314" i="73"/>
  <c r="DD316" i="73" s="1"/>
  <c r="DE314" i="73" l="1"/>
  <c r="DE316" i="73" s="1"/>
  <c r="DF315" i="73"/>
  <c r="DF314" i="73" l="1"/>
  <c r="DF316" i="73" s="1"/>
  <c r="DG315" i="73"/>
  <c r="DH315" i="73" l="1"/>
  <c r="DG314" i="73"/>
  <c r="DG316" i="73" s="1"/>
  <c r="DH314" i="73" l="1"/>
  <c r="DH316" i="73" s="1"/>
  <c r="DI315" i="73"/>
  <c r="DI314" i="73" l="1"/>
  <c r="DI316" i="73" s="1"/>
  <c r="DJ315" i="73"/>
  <c r="DK315" i="73" l="1"/>
  <c r="DK314" i="73" s="1"/>
  <c r="DK316" i="73" s="1"/>
  <c r="DL315" i="73"/>
  <c r="DL314" i="73" l="1"/>
  <c r="DL316" i="73" s="1"/>
  <c r="DM315" i="73"/>
  <c r="DN315" i="73" l="1"/>
  <c r="DN314" i="73" s="1"/>
  <c r="DN316" i="73" s="1"/>
  <c r="DM314" i="73"/>
  <c r="DM316" i="73" s="1"/>
  <c r="DO315" i="73"/>
  <c r="BI75" i="9" l="1"/>
  <c r="BI85" i="9"/>
  <c r="BI84" i="9"/>
  <c r="BI65" i="9" s="1"/>
  <c r="BI74" i="9"/>
  <c r="BI64" i="9" s="1"/>
  <c r="BH73" i="9"/>
  <c r="BH64" i="9" s="1"/>
  <c r="BF85" i="9"/>
  <c r="BF75" i="9"/>
  <c r="BG75" i="9"/>
  <c r="BH75" i="9"/>
  <c r="BG85" i="9"/>
  <c r="BH85" i="9"/>
  <c r="DO314" i="73"/>
  <c r="DO316" i="73" s="1"/>
  <c r="AO79" i="9"/>
  <c r="AL78" i="9"/>
  <c r="AD66" i="9"/>
  <c r="AO70" i="9"/>
  <c r="AO64" i="9" s="1"/>
  <c r="AJ77" i="9"/>
  <c r="AP70" i="9"/>
  <c r="AP64" i="9" s="1"/>
  <c r="AF77" i="9"/>
  <c r="AF65" i="9" s="1"/>
  <c r="AP79" i="9"/>
  <c r="AC77" i="9"/>
  <c r="AC65" i="9" s="1"/>
  <c r="AP69" i="9"/>
  <c r="AI77" i="9"/>
  <c r="AO69" i="9"/>
  <c r="AJ78" i="9"/>
  <c r="AJ65" i="9" s="1"/>
  <c r="AP80" i="9"/>
  <c r="AP65" i="9" s="1"/>
  <c r="AK69" i="9"/>
  <c r="AK64" i="9" s="1"/>
  <c r="AA66" i="9"/>
  <c r="AA64" i="9" s="1"/>
  <c r="AN70" i="9"/>
  <c r="AF76" i="9"/>
  <c r="AN68" i="9"/>
  <c r="AK79" i="9"/>
  <c r="AK65" i="9" s="1"/>
  <c r="AC67" i="9"/>
  <c r="AC64" i="9" s="1"/>
  <c r="AN78" i="9"/>
  <c r="Y66" i="9"/>
  <c r="Y64" i="9" s="1"/>
  <c r="AE66" i="9"/>
  <c r="AM79" i="9"/>
  <c r="AM65" i="9" s="1"/>
  <c r="AN79" i="9"/>
  <c r="AN65" i="9" s="1"/>
  <c r="AE78" i="9"/>
  <c r="AJ67" i="9"/>
  <c r="AA67" i="9"/>
  <c r="AC76" i="9"/>
  <c r="AJ69" i="9"/>
  <c r="AD77" i="9"/>
  <c r="AD65" i="9" s="1"/>
  <c r="AE77" i="9"/>
  <c r="AE65" i="9" s="1"/>
  <c r="AI79" i="9"/>
  <c r="AE67" i="9"/>
  <c r="AE64" i="9" s="1"/>
  <c r="AA76" i="9"/>
  <c r="AA65" i="9" s="1"/>
  <c r="AF68" i="9"/>
  <c r="AM78" i="9"/>
  <c r="AD78" i="9"/>
  <c r="AI68" i="9"/>
  <c r="AI64" i="9" s="1"/>
  <c r="Z67" i="9"/>
  <c r="AO80" i="9"/>
  <c r="AO65" i="9" s="1"/>
  <c r="AI78" i="9"/>
  <c r="AI65" i="9" s="1"/>
  <c r="AH79" i="9"/>
  <c r="AM68" i="9"/>
  <c r="AH68" i="9"/>
  <c r="AH64" i="9" s="1"/>
  <c r="AF78" i="9"/>
  <c r="AA77" i="9"/>
  <c r="AL79" i="9"/>
  <c r="AL65" i="9" s="1"/>
  <c r="AI69" i="9"/>
  <c r="AN80" i="9"/>
  <c r="AI67" i="9"/>
  <c r="AH69" i="9"/>
  <c r="AB76" i="9"/>
  <c r="AB65" i="9" s="1"/>
  <c r="AM69" i="9"/>
  <c r="AM64" i="9" s="1"/>
  <c r="AH67" i="9"/>
  <c r="AD67" i="9"/>
  <c r="AD64" i="9" s="1"/>
  <c r="AE68" i="9"/>
  <c r="AC66" i="9"/>
  <c r="AB67" i="9"/>
  <c r="AJ68" i="9"/>
  <c r="AJ64" i="9" s="1"/>
  <c r="Y76" i="9"/>
  <c r="Y65" i="9" s="1"/>
  <c r="AG69" i="9"/>
  <c r="AK78" i="9"/>
  <c r="Y67" i="9"/>
  <c r="AH78" i="9"/>
  <c r="AH65" i="9" s="1"/>
  <c r="AG79" i="9"/>
  <c r="AG67" i="9"/>
  <c r="Y77" i="9"/>
  <c r="Z76" i="9"/>
  <c r="Z65" i="9" s="1"/>
  <c r="AB77" i="9"/>
  <c r="AD68" i="9"/>
  <c r="AH77" i="9"/>
  <c r="AE76" i="9"/>
  <c r="AB66" i="9"/>
  <c r="AB64" i="9" s="1"/>
  <c r="Z77" i="9"/>
  <c r="AG78" i="9"/>
  <c r="AG65" i="9" s="1"/>
  <c r="AG68" i="9"/>
  <c r="AG64" i="9" s="1"/>
  <c r="AJ79" i="9"/>
  <c r="AL69" i="9"/>
  <c r="AL64" i="9" s="1"/>
  <c r="AG77" i="9"/>
  <c r="AL68" i="9"/>
  <c r="Z66" i="9"/>
  <c r="Z64" i="9" s="1"/>
  <c r="AD76" i="9"/>
  <c r="AF66" i="9"/>
  <c r="AF67" i="9"/>
  <c r="AF64" i="9" s="1"/>
  <c r="AK68" i="9"/>
  <c r="AN69" i="9"/>
  <c r="AN64" i="9" s="1"/>
  <c r="AQ80" i="9"/>
  <c r="AQ65" i="9" s="1"/>
  <c r="AQ79" i="9"/>
  <c r="AQ69" i="9"/>
  <c r="AQ70" i="9"/>
  <c r="AQ64" i="9" s="1"/>
  <c r="AR80" i="9"/>
  <c r="AR65" i="9" s="1"/>
  <c r="AU80" i="9"/>
  <c r="AR79" i="9"/>
  <c r="AR70" i="9"/>
  <c r="AR64" i="9" s="1"/>
  <c r="AU82" i="9"/>
  <c r="AS80" i="9"/>
  <c r="AS70" i="9"/>
  <c r="AT81" i="9"/>
  <c r="AT65" i="9" s="1"/>
  <c r="AU72" i="9"/>
  <c r="AR69" i="9"/>
  <c r="AS81" i="9"/>
  <c r="AS65" i="9" s="1"/>
  <c r="AS71" i="9"/>
  <c r="AS64" i="9" s="1"/>
  <c r="AV80" i="9"/>
  <c r="AU70" i="9"/>
  <c r="AU81" i="9"/>
  <c r="AU65" i="9" s="1"/>
  <c r="AU71" i="9"/>
  <c r="AU64" i="9" s="1"/>
  <c r="AV81" i="9"/>
  <c r="AV65" i="9" s="1"/>
  <c r="AV82" i="9"/>
  <c r="AT70" i="9"/>
  <c r="AT71" i="9"/>
  <c r="AT64" i="9" s="1"/>
  <c r="AX82" i="9"/>
  <c r="AX65" i="9" s="1"/>
  <c r="AW71" i="9"/>
  <c r="AV71" i="9"/>
  <c r="AV64" i="9" s="1"/>
  <c r="AT80" i="9"/>
  <c r="AW72" i="9"/>
  <c r="AW64" i="9" s="1"/>
  <c r="AV70" i="9"/>
  <c r="AV72" i="9"/>
  <c r="AW82" i="9"/>
  <c r="AW65" i="9" s="1"/>
  <c r="AX81" i="9"/>
  <c r="AX72" i="9"/>
  <c r="AX64" i="9" s="1"/>
  <c r="AY72" i="9"/>
  <c r="AY64" i="9" s="1"/>
  <c r="AY82" i="9"/>
  <c r="AY65" i="9" s="1"/>
  <c r="AW81" i="9"/>
  <c r="AX71" i="9"/>
  <c r="BA72" i="9"/>
  <c r="BA64" i="9" s="1"/>
  <c r="AY81" i="9"/>
  <c r="AZ71" i="9"/>
  <c r="AZ81" i="9"/>
  <c r="AY71" i="9"/>
  <c r="AZ72" i="9"/>
  <c r="AZ64" i="9" s="1"/>
  <c r="BB82" i="9"/>
  <c r="BB65" i="9" s="1"/>
  <c r="AZ82" i="9"/>
  <c r="AZ65" i="9" s="1"/>
  <c r="BD82" i="9"/>
  <c r="BA82" i="9"/>
  <c r="BA65" i="9" s="1"/>
  <c r="BC82" i="9"/>
  <c r="BC65" i="9" s="1"/>
  <c r="BB72" i="9"/>
  <c r="BB64" i="9" s="1"/>
  <c r="BD73" i="9"/>
  <c r="BD64" i="9" s="1"/>
  <c r="BF83" i="9"/>
  <c r="BF65" i="9" s="1"/>
  <c r="BD84" i="9"/>
  <c r="BD72" i="9"/>
  <c r="BF74" i="9"/>
  <c r="BG83" i="9"/>
  <c r="BG65" i="9" s="1"/>
  <c r="BD83" i="9"/>
  <c r="BD65" i="9" s="1"/>
  <c r="BF73" i="9"/>
  <c r="BF64" i="9" s="1"/>
  <c r="BD74" i="9"/>
  <c r="BE84" i="9"/>
  <c r="BF84" i="9"/>
  <c r="BG73" i="9"/>
  <c r="BG64" i="9" s="1"/>
  <c r="BE83" i="9"/>
  <c r="BE65" i="9" s="1"/>
  <c r="BE73" i="9"/>
  <c r="BE64" i="9" s="1"/>
  <c r="BE74" i="9"/>
  <c r="BG84" i="9"/>
  <c r="BG74" i="9"/>
  <c r="BH74" i="9"/>
  <c r="BH83" i="9"/>
  <c r="BH65" i="9" s="1"/>
  <c r="BH84" i="9"/>
  <c r="V291" i="77" l="1"/>
  <c r="AU291" i="77" l="1"/>
  <c r="AQ291" i="77"/>
  <c r="AC291" i="77"/>
  <c r="AB291" i="77"/>
  <c r="AA291" i="77"/>
  <c r="Z291" i="77"/>
  <c r="Y291" i="77"/>
  <c r="X291" i="77"/>
  <c r="W291" i="77"/>
  <c r="Q291" i="77"/>
  <c r="E291" i="77"/>
  <c r="BV15" i="84" s="1"/>
  <c r="AY45" i="83" l="1"/>
  <c r="AY61" i="83"/>
  <c r="AY59" i="83"/>
  <c r="AY55" i="83"/>
  <c r="AY57" i="83"/>
  <c r="AY48" i="83"/>
  <c r="AY53" i="83"/>
  <c r="AX61" i="83"/>
  <c r="AX48" i="83"/>
  <c r="AX50" i="83" s="1"/>
  <c r="AX59" i="83"/>
  <c r="AX55" i="83"/>
  <c r="AX57" i="83"/>
  <c r="AX53" i="83"/>
  <c r="AX45" i="83"/>
  <c r="AO208" i="77"/>
  <c r="AY42" i="83" l="1"/>
  <c r="AY47" i="83"/>
  <c r="AY50" i="83"/>
  <c r="AY51" i="83"/>
  <c r="AX51" i="83"/>
  <c r="AX42" i="83"/>
  <c r="AX47" i="83"/>
  <c r="AO209" i="77"/>
  <c r="AD291" i="77"/>
  <c r="AZ209" i="77"/>
  <c r="AT291" i="77"/>
  <c r="AG209" i="77"/>
  <c r="AN208" i="77"/>
  <c r="AM208" i="77"/>
  <c r="AK209" i="77"/>
  <c r="AL208" i="77"/>
  <c r="AL209" i="77"/>
  <c r="AY209" i="77"/>
  <c r="AG208" i="77"/>
  <c r="AW209" i="77"/>
  <c r="AH208" i="77"/>
  <c r="AJ209" i="77"/>
  <c r="AX209" i="77"/>
  <c r="AM209" i="77"/>
  <c r="AJ208" i="77"/>
  <c r="AK208" i="77"/>
  <c r="AH209" i="77"/>
  <c r="AI209" i="77"/>
  <c r="AN209" i="77"/>
  <c r="BA209" i="77"/>
  <c r="AI208" i="77"/>
  <c r="AY44" i="83" l="1"/>
  <c r="AY63" i="83"/>
  <c r="AX44" i="83"/>
  <c r="AX63" i="83"/>
  <c r="AO291" i="77"/>
  <c r="AI291" i="77"/>
  <c r="AJ291" i="77"/>
  <c r="AM291" i="77"/>
  <c r="AK291" i="77"/>
  <c r="AG291" i="77"/>
  <c r="AH291" i="77"/>
  <c r="AL291" i="77"/>
  <c r="AN291" i="77"/>
  <c r="AZ291" i="77"/>
  <c r="AW291" i="77"/>
  <c r="AX291" i="77"/>
  <c r="BA291" i="77"/>
  <c r="AY291" i="77"/>
  <c r="AZ208" i="77" l="1"/>
  <c r="BA208" i="77"/>
  <c r="AY208" i="77"/>
  <c r="AW208" i="77"/>
  <c r="AX208" i="77"/>
  <c r="AV55" i="83" l="1"/>
  <c r="AV48" i="83"/>
  <c r="AV50" i="83" l="1"/>
  <c r="AV45" i="83"/>
  <c r="BT6" i="84"/>
  <c r="BT9" i="84"/>
  <c r="AV53" i="83"/>
  <c r="AV59" i="83"/>
  <c r="AV61" i="83"/>
  <c r="AV42" i="83" l="1"/>
  <c r="AV47" i="83"/>
  <c r="BH35" i="9"/>
  <c r="BT12" i="84"/>
  <c r="AV57" i="83" s="1"/>
  <c r="AV51" i="83"/>
  <c r="AV44" i="83" l="1"/>
  <c r="AV63" i="83"/>
  <c r="BA207" i="77" l="1"/>
  <c r="AZ207" i="77"/>
  <c r="AX207" i="77"/>
  <c r="AY207" i="77"/>
  <c r="AW207" i="77"/>
  <c r="AQ290" i="77" l="1"/>
  <c r="E290" i="77" l="1"/>
  <c r="BT15" i="84" s="1"/>
  <c r="Q290" i="77"/>
  <c r="AT290" i="77" l="1"/>
  <c r="AY206" i="77" l="1"/>
  <c r="AS290" i="77"/>
  <c r="BA206" i="77"/>
  <c r="AU290" i="77"/>
  <c r="AZ206" i="77"/>
  <c r="AX206" i="77"/>
  <c r="AR290" i="77"/>
  <c r="AW206" i="77"/>
  <c r="BA290" i="77" l="1"/>
  <c r="AB290" i="77"/>
  <c r="Y290" i="77"/>
  <c r="AA290" i="77"/>
  <c r="AX290" i="77"/>
  <c r="AW290" i="77"/>
  <c r="AC290" i="77"/>
  <c r="AZ290" i="77"/>
  <c r="X290" i="77"/>
  <c r="W290" i="77"/>
  <c r="V290" i="77"/>
  <c r="AY290" i="77"/>
  <c r="Z290" i="77"/>
  <c r="AO207" i="77" l="1"/>
  <c r="AH207" i="77" l="1"/>
  <c r="AL207" i="77"/>
  <c r="AG207" i="77"/>
  <c r="AI207" i="77"/>
  <c r="AK207" i="77"/>
  <c r="AJ207" i="77"/>
  <c r="AO206" i="77"/>
  <c r="AD290" i="77"/>
  <c r="AM206" i="77"/>
  <c r="AI206" i="77"/>
  <c r="AH206" i="77"/>
  <c r="AG206" i="77"/>
  <c r="AJ206" i="77"/>
  <c r="AL206" i="77"/>
  <c r="AN206" i="77"/>
  <c r="AK206" i="77"/>
  <c r="AM207" i="77"/>
  <c r="AN207" i="77"/>
  <c r="AO290" i="77" l="1"/>
  <c r="AG290" i="77"/>
  <c r="AN290" i="77"/>
  <c r="AM290" i="77"/>
  <c r="AK290" i="77"/>
  <c r="AL290" i="77"/>
  <c r="AH290" i="77"/>
  <c r="AJ290" i="77"/>
  <c r="AI290" i="77"/>
  <c r="AW205" i="77" l="1"/>
  <c r="AX205" i="77"/>
  <c r="AY205" i="77"/>
  <c r="AZ205" i="77"/>
  <c r="BA205" i="77"/>
  <c r="AZ204" i="77" l="1"/>
  <c r="AY204" i="77"/>
  <c r="AT289" i="77"/>
  <c r="BA204" i="77"/>
  <c r="AX204" i="77"/>
  <c r="AU53" i="83"/>
  <c r="AW204" i="77"/>
  <c r="AO205" i="77"/>
  <c r="AN205" i="77" l="1"/>
  <c r="AI205" i="77"/>
  <c r="AL205" i="77"/>
  <c r="AK205" i="77"/>
  <c r="AG205" i="77"/>
  <c r="AH205" i="77"/>
  <c r="AJ205" i="77"/>
  <c r="AM205" i="77"/>
  <c r="AU48" i="83" l="1"/>
  <c r="AU55" i="83" l="1"/>
  <c r="BS9" i="84"/>
  <c r="AU50" i="83"/>
  <c r="BS6" i="84"/>
  <c r="AU45" i="83"/>
  <c r="AU61" i="83"/>
  <c r="AU59" i="83"/>
  <c r="AU47" i="83" l="1"/>
  <c r="AU42" i="83"/>
  <c r="BG35" i="9"/>
  <c r="BS12" i="84"/>
  <c r="AU57" i="83" s="1"/>
  <c r="AQ289" i="77"/>
  <c r="AU51" i="83"/>
  <c r="AO204" i="77"/>
  <c r="Q289" i="77"/>
  <c r="E289" i="77"/>
  <c r="BS15" i="84" s="1"/>
  <c r="AJ204" i="77" l="1"/>
  <c r="AG204" i="77"/>
  <c r="AK204" i="77"/>
  <c r="AH204" i="77"/>
  <c r="AI204" i="77"/>
  <c r="AU44" i="83"/>
  <c r="AU63" i="83"/>
  <c r="AL204" i="77"/>
  <c r="AN204" i="77"/>
  <c r="AM204" i="77"/>
  <c r="AC289" i="77"/>
  <c r="X289" i="77" l="1"/>
  <c r="Y289" i="77"/>
  <c r="AA289" i="77"/>
  <c r="Z289" i="77"/>
  <c r="W289" i="77"/>
  <c r="V289" i="77"/>
  <c r="AB289" i="77"/>
  <c r="AG203" i="77"/>
  <c r="AH203" i="77" l="1"/>
  <c r="AK203" i="77"/>
  <c r="AL203" i="77"/>
  <c r="AJ203" i="77"/>
  <c r="AM203" i="77"/>
  <c r="AI203" i="77"/>
  <c r="AN203" i="77"/>
  <c r="AO203" i="77"/>
  <c r="AD289" i="77"/>
  <c r="AO289" i="77" s="1"/>
  <c r="AN289" i="77" l="1"/>
  <c r="AG289" i="77"/>
  <c r="AK289" i="77"/>
  <c r="AI289" i="77"/>
  <c r="AM289" i="77"/>
  <c r="AJ289" i="77"/>
  <c r="AL289" i="77"/>
  <c r="AH289" i="77"/>
  <c r="AU289" i="77" l="1"/>
  <c r="BA203" i="77"/>
  <c r="AR289" i="77"/>
  <c r="AX203" i="77"/>
  <c r="AW203" i="77"/>
  <c r="AZ203" i="77"/>
  <c r="AS289" i="77"/>
  <c r="AY203" i="77"/>
  <c r="AY289" i="77" l="1"/>
  <c r="AX289" i="77"/>
  <c r="AW289" i="77"/>
  <c r="AZ289" i="77"/>
  <c r="BA289" i="77"/>
  <c r="AX202" i="77" l="1"/>
  <c r="AW202" i="77"/>
  <c r="AY202" i="77"/>
  <c r="AZ202" i="77"/>
  <c r="BA202" i="77"/>
  <c r="AT55" i="83" l="1"/>
  <c r="AY56" i="83" s="1"/>
  <c r="AT48" i="83"/>
  <c r="AY49" i="83" s="1"/>
  <c r="BR6" i="84" l="1"/>
  <c r="AT45" i="83"/>
  <c r="AY46" i="83" s="1"/>
  <c r="BR9" i="84"/>
  <c r="AT53" i="83"/>
  <c r="AY54" i="83" s="1"/>
  <c r="AT50" i="83"/>
  <c r="AO202" i="77"/>
  <c r="AT61" i="83"/>
  <c r="AY62" i="83" s="1"/>
  <c r="AT59" i="83"/>
  <c r="AY60" i="83" s="1"/>
  <c r="AJ202" i="77" l="1"/>
  <c r="AL202" i="77"/>
  <c r="AI202" i="77"/>
  <c r="AM202" i="77"/>
  <c r="BR12" i="84"/>
  <c r="AT57" i="83" s="1"/>
  <c r="AY58" i="83" s="1"/>
  <c r="BF35" i="9"/>
  <c r="AG202" i="77"/>
  <c r="AT42" i="83"/>
  <c r="AY43" i="83" s="1"/>
  <c r="AT47" i="83"/>
  <c r="AT51" i="83"/>
  <c r="AY52" i="83" s="1"/>
  <c r="AK202" i="77"/>
  <c r="AH202" i="77"/>
  <c r="AN202" i="77"/>
  <c r="AT63" i="83" l="1"/>
  <c r="AY64" i="83" s="1"/>
  <c r="AT44" i="83"/>
  <c r="E288" i="77"/>
  <c r="BR15" i="84" s="1"/>
  <c r="AX201" i="77" l="1"/>
  <c r="AW201" i="77"/>
  <c r="AY201" i="77"/>
  <c r="AZ201" i="77"/>
  <c r="BA201" i="77"/>
  <c r="AO201" i="77"/>
  <c r="AG201" i="77" l="1"/>
  <c r="AM201" i="77"/>
  <c r="AJ201" i="77"/>
  <c r="AL201" i="77"/>
  <c r="AN201" i="77"/>
  <c r="AI201" i="77"/>
  <c r="AH201" i="77"/>
  <c r="AK201" i="77"/>
  <c r="AW200" i="77" l="1"/>
  <c r="AQ288" i="77"/>
  <c r="AX200" i="77"/>
  <c r="AR288" i="77"/>
  <c r="AY200" i="77"/>
  <c r="AS288" i="77"/>
  <c r="AT288" i="77"/>
  <c r="AZ200" i="77"/>
  <c r="BA200" i="77"/>
  <c r="AU288" i="77"/>
  <c r="Q288" i="77"/>
  <c r="BA288" i="77" l="1"/>
  <c r="AC288" i="77"/>
  <c r="AZ288" i="77"/>
  <c r="AY288" i="77"/>
  <c r="Z288" i="77"/>
  <c r="X288" i="77"/>
  <c r="W288" i="77"/>
  <c r="AA288" i="77"/>
  <c r="AX288" i="77"/>
  <c r="V288" i="77"/>
  <c r="AB288" i="77"/>
  <c r="AW288" i="77"/>
  <c r="Y288" i="77"/>
  <c r="AH200" i="77"/>
  <c r="AL200" i="77" l="1"/>
  <c r="AO200" i="77"/>
  <c r="AD288" i="77"/>
  <c r="AO288" i="77" s="1"/>
  <c r="AI200" i="77"/>
  <c r="AJ200" i="77"/>
  <c r="AM200" i="77"/>
  <c r="AK200" i="77"/>
  <c r="AG200" i="77"/>
  <c r="AN200" i="77"/>
  <c r="AX165" i="83"/>
  <c r="AX163" i="83"/>
  <c r="AK288" i="77" l="1"/>
  <c r="AM288" i="77"/>
  <c r="AI288" i="77"/>
  <c r="AW162" i="83"/>
  <c r="AJ288" i="77"/>
  <c r="AL288" i="77"/>
  <c r="AN288" i="77"/>
  <c r="AW164" i="83"/>
  <c r="AH288" i="77"/>
  <c r="AG288" i="77"/>
  <c r="AS55" i="83"/>
  <c r="AX56" i="83" s="1"/>
  <c r="AS48" i="83"/>
  <c r="AX49" i="83" s="1"/>
  <c r="AW199" i="77" l="1"/>
  <c r="AW55" i="83"/>
  <c r="AX199" i="77"/>
  <c r="BQ9" i="84"/>
  <c r="AS53" i="83"/>
  <c r="AX54" i="83" s="1"/>
  <c r="BA199" i="77"/>
  <c r="AZ199" i="77"/>
  <c r="AY199" i="77"/>
  <c r="BQ6" i="84"/>
  <c r="AS45" i="83"/>
  <c r="AX46" i="83" s="1"/>
  <c r="AW48" i="83"/>
  <c r="AS50" i="83"/>
  <c r="AS59" i="83"/>
  <c r="AX60" i="83" s="1"/>
  <c r="AS61" i="83"/>
  <c r="AX62" i="83" s="1"/>
  <c r="AS42" i="83" l="1"/>
  <c r="AX43" i="83" s="1"/>
  <c r="AW45" i="83"/>
  <c r="AS47" i="83"/>
  <c r="AS51" i="83"/>
  <c r="AX52" i="83" s="1"/>
  <c r="AW53" i="83"/>
  <c r="BQ12" i="84"/>
  <c r="AS57" i="83" s="1"/>
  <c r="AX58" i="83" s="1"/>
  <c r="BE35" i="9"/>
  <c r="AW61" i="83"/>
  <c r="AW50" i="83"/>
  <c r="AC287" i="77" l="1"/>
  <c r="W287" i="77"/>
  <c r="AW59" i="83"/>
  <c r="X287" i="77"/>
  <c r="AW51" i="83"/>
  <c r="Z287" i="77"/>
  <c r="V287" i="77"/>
  <c r="AB287" i="77"/>
  <c r="Y287" i="77"/>
  <c r="AW47" i="83"/>
  <c r="AA287" i="77"/>
  <c r="AS63" i="83"/>
  <c r="AX64" i="83" s="1"/>
  <c r="AS44" i="83"/>
  <c r="AW42" i="83"/>
  <c r="AO199" i="77"/>
  <c r="AK199" i="77" l="1"/>
  <c r="AL199" i="77"/>
  <c r="AW57" i="83"/>
  <c r="AW63" i="83" s="1"/>
  <c r="AI199" i="77"/>
  <c r="AJ199" i="77"/>
  <c r="AM199" i="77"/>
  <c r="AH199" i="77"/>
  <c r="AW44" i="83"/>
  <c r="AG199" i="77"/>
  <c r="AN199" i="77"/>
  <c r="AG198" i="77" l="1"/>
  <c r="AN198" i="77"/>
  <c r="AM198" i="77"/>
  <c r="AJ198" i="77"/>
  <c r="AO198" i="77"/>
  <c r="AH198" i="77"/>
  <c r="AL198" i="77"/>
  <c r="AK198" i="77"/>
  <c r="AI198" i="77"/>
  <c r="AZ198" i="77" l="1"/>
  <c r="BA198" i="77"/>
  <c r="AW198" i="77"/>
  <c r="AX198" i="77"/>
  <c r="AY198" i="77"/>
  <c r="AI197" i="77" l="1"/>
  <c r="AK197" i="77"/>
  <c r="AJ197" i="77"/>
  <c r="AG197" i="77"/>
  <c r="AM197" i="77"/>
  <c r="AO197" i="77"/>
  <c r="AD287" i="77"/>
  <c r="AL197" i="77"/>
  <c r="AH197" i="77"/>
  <c r="AN197" i="77"/>
  <c r="E287" i="77"/>
  <c r="BQ15" i="84" s="1"/>
  <c r="AO287" i="77" l="1"/>
  <c r="AL287" i="77"/>
  <c r="AM287" i="77"/>
  <c r="AI287" i="77"/>
  <c r="AN287" i="77"/>
  <c r="AG287" i="77"/>
  <c r="AJ287" i="77"/>
  <c r="AK287" i="77"/>
  <c r="AH287" i="77"/>
  <c r="AX197" i="77" l="1"/>
  <c r="AR287" i="77"/>
  <c r="AY197" i="77"/>
  <c r="AS287" i="77"/>
  <c r="AT287" i="77"/>
  <c r="AZ197" i="77"/>
  <c r="BA197" i="77"/>
  <c r="AU287" i="77"/>
  <c r="AW197" i="77"/>
  <c r="AQ287" i="77"/>
  <c r="Q287" i="77"/>
  <c r="BA196" i="77" l="1"/>
  <c r="BA287" i="77"/>
  <c r="AZ196" i="77"/>
  <c r="AZ287" i="77"/>
  <c r="AY287" i="77"/>
  <c r="AX287" i="77"/>
  <c r="AW287" i="77"/>
  <c r="AW196" i="77"/>
  <c r="AX196" i="77"/>
  <c r="AY196" i="77"/>
  <c r="W286" i="77" l="1"/>
  <c r="V286" i="77"/>
  <c r="AN196" i="77"/>
  <c r="AQ55" i="83"/>
  <c r="AQ48" i="83"/>
  <c r="BP6" i="84" l="1"/>
  <c r="AQ45" i="83"/>
  <c r="AQ50" i="83"/>
  <c r="AV49" i="83"/>
  <c r="AV56" i="83"/>
  <c r="AL196" i="77"/>
  <c r="AO196" i="77"/>
  <c r="AV163" i="83"/>
  <c r="AG196" i="77"/>
  <c r="AV165" i="83"/>
  <c r="AI196" i="77"/>
  <c r="AJ196" i="77"/>
  <c r="AK196" i="77"/>
  <c r="AM196" i="77"/>
  <c r="AH196" i="77"/>
  <c r="AQ61" i="83"/>
  <c r="AV62" i="83" l="1"/>
  <c r="AQ47" i="83"/>
  <c r="AQ42" i="83"/>
  <c r="AV46" i="83"/>
  <c r="AO195" i="77" l="1"/>
  <c r="AM195" i="77"/>
  <c r="AH195" i="77"/>
  <c r="AK195" i="77"/>
  <c r="AJ195" i="77"/>
  <c r="AG195" i="77"/>
  <c r="AN195" i="77"/>
  <c r="AL195" i="77"/>
  <c r="AI195" i="77"/>
  <c r="AQ44" i="83"/>
  <c r="AV43" i="83"/>
  <c r="AZ195" i="77" l="1"/>
  <c r="BA195" i="77"/>
  <c r="AW195" i="77"/>
  <c r="AX195" i="77"/>
  <c r="AY195" i="77"/>
  <c r="E286" i="77" l="1"/>
  <c r="BP15" i="84" s="1"/>
  <c r="AW194" i="77" l="1"/>
  <c r="AQ286" i="77"/>
  <c r="AU286" i="77"/>
  <c r="BA194" i="77"/>
  <c r="AX194" i="77"/>
  <c r="AR286" i="77"/>
  <c r="AY194" i="77"/>
  <c r="AS286" i="77"/>
  <c r="AT286" i="77"/>
  <c r="AZ194" i="77"/>
  <c r="BP9" i="84"/>
  <c r="AQ53" i="83"/>
  <c r="AQ59" i="83"/>
  <c r="Q286" i="77"/>
  <c r="AX286" i="77" l="1"/>
  <c r="AV60" i="83"/>
  <c r="AA286" i="77"/>
  <c r="AC286" i="77"/>
  <c r="AZ286" i="77"/>
  <c r="BA286" i="77"/>
  <c r="Y286" i="77"/>
  <c r="AY286" i="77"/>
  <c r="AW286" i="77"/>
  <c r="X286" i="77"/>
  <c r="AQ51" i="83"/>
  <c r="AV54" i="83"/>
  <c r="BP12" i="84"/>
  <c r="AQ57" i="83" s="1"/>
  <c r="BD35" i="9"/>
  <c r="AB286" i="77"/>
  <c r="Z286" i="77"/>
  <c r="AN194" i="77"/>
  <c r="AV52" i="83" l="1"/>
  <c r="AD286" i="77"/>
  <c r="AO286" i="77" s="1"/>
  <c r="AO194" i="77"/>
  <c r="AJ194" i="77"/>
  <c r="AM194" i="77"/>
  <c r="AV58" i="83"/>
  <c r="AQ63" i="83"/>
  <c r="AG194" i="77"/>
  <c r="AH194" i="77"/>
  <c r="AL194" i="77"/>
  <c r="AI194" i="77"/>
  <c r="AK194" i="77"/>
  <c r="AN286" i="77" l="1"/>
  <c r="AJ286" i="77"/>
  <c r="AV64" i="83"/>
  <c r="AH286" i="77"/>
  <c r="AM286" i="77"/>
  <c r="AL286" i="77"/>
  <c r="AG286" i="77"/>
  <c r="AI286" i="77"/>
  <c r="AK286" i="77"/>
  <c r="AP55" i="83" l="1"/>
  <c r="AU163" i="83" l="1"/>
  <c r="AU165" i="83"/>
  <c r="AP45" i="83"/>
  <c r="AU56" i="83"/>
  <c r="AP48" i="83"/>
  <c r="AP47" i="83" l="1"/>
  <c r="AP42" i="83"/>
  <c r="AU46" i="83"/>
  <c r="BO6" i="84"/>
  <c r="BO9" i="84"/>
  <c r="AP53" i="83"/>
  <c r="AP50" i="83"/>
  <c r="AU49" i="83"/>
  <c r="AO193" i="77"/>
  <c r="AP59" i="83"/>
  <c r="AP61" i="83"/>
  <c r="AX193" i="77" l="1"/>
  <c r="AJ193" i="77"/>
  <c r="BO12" i="84"/>
  <c r="AP57" i="83" s="1"/>
  <c r="AP63" i="83" s="1"/>
  <c r="BC35" i="9"/>
  <c r="BA193" i="77"/>
  <c r="AH193" i="77"/>
  <c r="AI193" i="77"/>
  <c r="AU62" i="83"/>
  <c r="AG193" i="77"/>
  <c r="AY193" i="77"/>
  <c r="AM193" i="77"/>
  <c r="AU60" i="83"/>
  <c r="AP44" i="83"/>
  <c r="AU43" i="83"/>
  <c r="AZ193" i="77"/>
  <c r="AK193" i="77"/>
  <c r="AN193" i="77"/>
  <c r="AW193" i="77"/>
  <c r="AP51" i="83"/>
  <c r="AU54" i="83"/>
  <c r="AL193" i="77"/>
  <c r="AU64" i="83" l="1"/>
  <c r="AU52" i="83"/>
  <c r="AU58" i="83"/>
  <c r="AW192" i="77" l="1"/>
  <c r="AX192" i="77"/>
  <c r="AX191" i="77"/>
  <c r="AR285" i="77"/>
  <c r="AT285" i="77"/>
  <c r="AZ191" i="77"/>
  <c r="AY192" i="77"/>
  <c r="BA192" i="77"/>
  <c r="AZ192" i="77"/>
  <c r="AQ285" i="77"/>
  <c r="AW191" i="77"/>
  <c r="AY191" i="77"/>
  <c r="AS285" i="77"/>
  <c r="BA191" i="77"/>
  <c r="AU285" i="77"/>
  <c r="E285" i="77"/>
  <c r="BO15" i="84" s="1"/>
  <c r="Q285" i="77" l="1"/>
  <c r="AY285" i="77"/>
  <c r="AW285" i="77"/>
  <c r="AZ285" i="77"/>
  <c r="AX285" i="77"/>
  <c r="BA285" i="77"/>
  <c r="AO192" i="77"/>
  <c r="AN192" i="77" l="1"/>
  <c r="AJ192" i="77"/>
  <c r="X285" i="77"/>
  <c r="AA285" i="77"/>
  <c r="AM192" i="77"/>
  <c r="AK192" i="77"/>
  <c r="AB285" i="77"/>
  <c r="Y285" i="77"/>
  <c r="V285" i="77"/>
  <c r="AG192" i="77"/>
  <c r="AI192" i="77"/>
  <c r="AC285" i="77"/>
  <c r="Z285" i="77"/>
  <c r="AH192" i="77"/>
  <c r="W285" i="77"/>
  <c r="AL192" i="77"/>
  <c r="AH191" i="77"/>
  <c r="AO191" i="77" l="1"/>
  <c r="AD285" i="77"/>
  <c r="AO285" i="77" s="1"/>
  <c r="AJ191" i="77"/>
  <c r="AM191" i="77"/>
  <c r="AK191" i="77"/>
  <c r="AN191" i="77"/>
  <c r="AL191" i="77"/>
  <c r="AI191" i="77"/>
  <c r="AG191" i="77"/>
  <c r="AT165" i="83"/>
  <c r="AT163" i="83"/>
  <c r="AY190" i="77" l="1"/>
  <c r="AH100" i="77"/>
  <c r="AM100" i="77"/>
  <c r="AL100" i="77"/>
  <c r="AO100" i="77"/>
  <c r="AK100" i="77"/>
  <c r="AJ100" i="77"/>
  <c r="AI100" i="77"/>
  <c r="AG100" i="77"/>
  <c r="AM155" i="77"/>
  <c r="AD273" i="77"/>
  <c r="AG155" i="77"/>
  <c r="AK155" i="77"/>
  <c r="AO155" i="77"/>
  <c r="AL155" i="77"/>
  <c r="AI155" i="77"/>
  <c r="AJ155" i="77"/>
  <c r="AH155" i="77"/>
  <c r="AM170" i="77"/>
  <c r="AI170" i="77"/>
  <c r="AD278" i="77"/>
  <c r="AO170" i="77"/>
  <c r="AL170" i="77"/>
  <c r="AH170" i="77"/>
  <c r="AJ170" i="77"/>
  <c r="AK170" i="77"/>
  <c r="AG170" i="77"/>
  <c r="AC281" i="77"/>
  <c r="AK89" i="77"/>
  <c r="AL89" i="77"/>
  <c r="AI89" i="77"/>
  <c r="AM89" i="77"/>
  <c r="AD251" i="77"/>
  <c r="AG89" i="77"/>
  <c r="AO89" i="77"/>
  <c r="AJ89" i="77"/>
  <c r="AH89" i="77"/>
  <c r="AD255" i="77"/>
  <c r="AK101" i="77"/>
  <c r="AM101" i="77"/>
  <c r="AI101" i="77"/>
  <c r="AG101" i="77"/>
  <c r="AO101" i="77"/>
  <c r="AJ101" i="77"/>
  <c r="AL101" i="77"/>
  <c r="AH101" i="77"/>
  <c r="AO156" i="77"/>
  <c r="AH156" i="77"/>
  <c r="AL156" i="77"/>
  <c r="AJ156" i="77"/>
  <c r="AI156" i="77"/>
  <c r="AG156" i="77"/>
  <c r="AM156" i="77"/>
  <c r="AK156" i="77"/>
  <c r="AM171" i="77"/>
  <c r="AJ171" i="77"/>
  <c r="AG171" i="77"/>
  <c r="AI171" i="77"/>
  <c r="AH171" i="77"/>
  <c r="AO171" i="77"/>
  <c r="AK171" i="77"/>
  <c r="AL171" i="77"/>
  <c r="AK285" i="77"/>
  <c r="AM90" i="77"/>
  <c r="AL90" i="77"/>
  <c r="AI90" i="77"/>
  <c r="AH90" i="77"/>
  <c r="AG90" i="77"/>
  <c r="AJ90" i="77"/>
  <c r="AK90" i="77"/>
  <c r="AO90" i="77"/>
  <c r="AG102" i="77"/>
  <c r="AK102" i="77"/>
  <c r="AM102" i="77"/>
  <c r="AL102" i="77"/>
  <c r="AJ102" i="77"/>
  <c r="AO102" i="77"/>
  <c r="AH102" i="77"/>
  <c r="AI102" i="77"/>
  <c r="AL157" i="77"/>
  <c r="AI157" i="77"/>
  <c r="AJ157" i="77"/>
  <c r="AK157" i="77"/>
  <c r="AG157" i="77"/>
  <c r="AH157" i="77"/>
  <c r="AM157" i="77"/>
  <c r="AO157" i="77"/>
  <c r="AM172" i="77"/>
  <c r="AO172" i="77"/>
  <c r="AH172" i="77"/>
  <c r="AK172" i="77"/>
  <c r="AI172" i="77"/>
  <c r="AG172" i="77"/>
  <c r="AL172" i="77"/>
  <c r="AJ172" i="77"/>
  <c r="AM91" i="77"/>
  <c r="AJ91" i="77"/>
  <c r="AI91" i="77"/>
  <c r="AH91" i="77"/>
  <c r="AG91" i="77"/>
  <c r="AO91" i="77"/>
  <c r="AK91" i="77"/>
  <c r="AL91" i="77"/>
  <c r="AH103" i="77"/>
  <c r="AM103" i="77"/>
  <c r="AK103" i="77"/>
  <c r="AL103" i="77"/>
  <c r="AG103" i="77"/>
  <c r="AI103" i="77"/>
  <c r="AJ103" i="77"/>
  <c r="AO103" i="77"/>
  <c r="AM158" i="77"/>
  <c r="AD274" i="77"/>
  <c r="AH158" i="77"/>
  <c r="AJ158" i="77"/>
  <c r="AL158" i="77"/>
  <c r="AG158" i="77"/>
  <c r="AI158" i="77"/>
  <c r="AO158" i="77"/>
  <c r="AK158" i="77"/>
  <c r="AH173" i="77"/>
  <c r="AG173" i="77"/>
  <c r="AI173" i="77"/>
  <c r="AM173" i="77"/>
  <c r="AL173" i="77"/>
  <c r="AO173" i="77"/>
  <c r="AJ173" i="77"/>
  <c r="AK173" i="77"/>
  <c r="AM285" i="77"/>
  <c r="AL154" i="77"/>
  <c r="AO154" i="77"/>
  <c r="AM154" i="77"/>
  <c r="AK154" i="77"/>
  <c r="AH154" i="77"/>
  <c r="AJ154" i="77"/>
  <c r="AI154" i="77"/>
  <c r="AG154" i="77"/>
  <c r="AL167" i="77"/>
  <c r="AH167" i="77"/>
  <c r="AI167" i="77"/>
  <c r="AM167" i="77"/>
  <c r="AG167" i="77"/>
  <c r="AO167" i="77"/>
  <c r="AJ167" i="77"/>
  <c r="AK167" i="77"/>
  <c r="AC282" i="77"/>
  <c r="AI92" i="77"/>
  <c r="AM92" i="77"/>
  <c r="AH92" i="77"/>
  <c r="AO92" i="77"/>
  <c r="AG92" i="77"/>
  <c r="AK92" i="77"/>
  <c r="AL92" i="77"/>
  <c r="AD252" i="77"/>
  <c r="AJ92" i="77"/>
  <c r="AO104" i="77"/>
  <c r="AL104" i="77"/>
  <c r="AJ104" i="77"/>
  <c r="AD256" i="77"/>
  <c r="AH104" i="77"/>
  <c r="AK104" i="77"/>
  <c r="AM104" i="77"/>
  <c r="AI104" i="77"/>
  <c r="AG104" i="77"/>
  <c r="AK159" i="77"/>
  <c r="AH159" i="77"/>
  <c r="AL159" i="77"/>
  <c r="AG159" i="77"/>
  <c r="AM159" i="77"/>
  <c r="AO159" i="77"/>
  <c r="AJ159" i="77"/>
  <c r="AI159" i="77"/>
  <c r="AC279" i="77"/>
  <c r="AI99" i="77"/>
  <c r="AG99" i="77"/>
  <c r="AM99" i="77"/>
  <c r="AO99" i="77"/>
  <c r="AJ99" i="77"/>
  <c r="AH99" i="77"/>
  <c r="AL99" i="77"/>
  <c r="AK99" i="77"/>
  <c r="AK93" i="77"/>
  <c r="AG93" i="77"/>
  <c r="AL93" i="77"/>
  <c r="AI93" i="77"/>
  <c r="AH93" i="77"/>
  <c r="AO93" i="77"/>
  <c r="AM93" i="77"/>
  <c r="AJ93" i="77"/>
  <c r="AK105" i="77"/>
  <c r="AG105" i="77"/>
  <c r="AO105" i="77"/>
  <c r="AJ105" i="77"/>
  <c r="AH105" i="77"/>
  <c r="AL105" i="77"/>
  <c r="AI105" i="77"/>
  <c r="AM105" i="77"/>
  <c r="AM160" i="77"/>
  <c r="AG160" i="77"/>
  <c r="AL160" i="77"/>
  <c r="AJ160" i="77"/>
  <c r="AI160" i="77"/>
  <c r="AK160" i="77"/>
  <c r="AH160" i="77"/>
  <c r="AO160" i="77"/>
  <c r="AH285" i="77"/>
  <c r="AH94" i="77"/>
  <c r="AM94" i="77"/>
  <c r="AO94" i="77"/>
  <c r="AG94" i="77"/>
  <c r="AL94" i="77"/>
  <c r="AK94" i="77"/>
  <c r="AI94" i="77"/>
  <c r="AJ94" i="77"/>
  <c r="AG106" i="77"/>
  <c r="AH106" i="77"/>
  <c r="AK106" i="77"/>
  <c r="AJ106" i="77"/>
  <c r="AO106" i="77"/>
  <c r="AL106" i="77"/>
  <c r="AI106" i="77"/>
  <c r="AM106" i="77"/>
  <c r="AH161" i="77"/>
  <c r="AD275" i="77"/>
  <c r="AI161" i="77"/>
  <c r="AM161" i="77"/>
  <c r="AO161" i="77"/>
  <c r="AG161" i="77"/>
  <c r="AK161" i="77"/>
  <c r="AJ161" i="77"/>
  <c r="AL161" i="77"/>
  <c r="BA190" i="77"/>
  <c r="AJ285" i="77"/>
  <c r="AC283" i="77"/>
  <c r="AM95" i="77"/>
  <c r="AO95" i="77"/>
  <c r="AK95" i="77"/>
  <c r="AI95" i="77"/>
  <c r="AJ95" i="77"/>
  <c r="AD253" i="77"/>
  <c r="AL95" i="77"/>
  <c r="AG95" i="77"/>
  <c r="AH95" i="77"/>
  <c r="AG107" i="77"/>
  <c r="AM107" i="77"/>
  <c r="AH107" i="77"/>
  <c r="AJ107" i="77"/>
  <c r="AO107" i="77"/>
  <c r="AL107" i="77"/>
  <c r="AK107" i="77"/>
  <c r="AI107" i="77"/>
  <c r="AJ162" i="77"/>
  <c r="AK162" i="77"/>
  <c r="AG162" i="77"/>
  <c r="AO162" i="77"/>
  <c r="AM162" i="77"/>
  <c r="AL162" i="77"/>
  <c r="AI162" i="77"/>
  <c r="AH162" i="77"/>
  <c r="AZ190" i="77"/>
  <c r="AI285" i="77"/>
  <c r="AL96" i="77"/>
  <c r="AJ96" i="77"/>
  <c r="AI96" i="77"/>
  <c r="AM96" i="77"/>
  <c r="AO96" i="77"/>
  <c r="AG96" i="77"/>
  <c r="AH96" i="77"/>
  <c r="AK96" i="77"/>
  <c r="AO139" i="77"/>
  <c r="AH139" i="77"/>
  <c r="AK139" i="77"/>
  <c r="AI139" i="77"/>
  <c r="AG139" i="77"/>
  <c r="AJ139" i="77"/>
  <c r="AM139" i="77"/>
  <c r="AL139" i="77"/>
  <c r="AJ163" i="77"/>
  <c r="AH163" i="77"/>
  <c r="AG163" i="77"/>
  <c r="AK163" i="77"/>
  <c r="AM163" i="77"/>
  <c r="AI163" i="77"/>
  <c r="AO163" i="77"/>
  <c r="AL163" i="77"/>
  <c r="AM97" i="77"/>
  <c r="AH97" i="77"/>
  <c r="AJ97" i="77"/>
  <c r="AK97" i="77"/>
  <c r="AL97" i="77"/>
  <c r="AI97" i="77"/>
  <c r="AG97" i="77"/>
  <c r="AO97" i="77"/>
  <c r="AG140" i="77"/>
  <c r="AJ140" i="77"/>
  <c r="AM140" i="77"/>
  <c r="AI140" i="77"/>
  <c r="AL140" i="77"/>
  <c r="AK140" i="77"/>
  <c r="AO140" i="77"/>
  <c r="AH140" i="77"/>
  <c r="AG164" i="77"/>
  <c r="AJ164" i="77"/>
  <c r="AH164" i="77"/>
  <c r="AL164" i="77"/>
  <c r="AI164" i="77"/>
  <c r="AK164" i="77"/>
  <c r="AM164" i="77"/>
  <c r="AO164" i="77"/>
  <c r="AX190" i="77"/>
  <c r="AN285" i="77"/>
  <c r="AC280" i="77"/>
  <c r="AC284" i="77"/>
  <c r="AH98" i="77"/>
  <c r="AJ98" i="77"/>
  <c r="AK98" i="77"/>
  <c r="AM98" i="77"/>
  <c r="AO98" i="77"/>
  <c r="AI98" i="77"/>
  <c r="AG98" i="77"/>
  <c r="AL98" i="77"/>
  <c r="AD254" i="77"/>
  <c r="AG153" i="77"/>
  <c r="AI153" i="77"/>
  <c r="AL153" i="77"/>
  <c r="AM153" i="77"/>
  <c r="AJ153" i="77"/>
  <c r="AK153" i="77"/>
  <c r="AH153" i="77"/>
  <c r="AO153" i="77"/>
  <c r="AO165" i="77"/>
  <c r="AI165" i="77"/>
  <c r="AG165" i="77"/>
  <c r="AJ165" i="77"/>
  <c r="AH165" i="77"/>
  <c r="AL165" i="77"/>
  <c r="AK165" i="77"/>
  <c r="AM165" i="77"/>
  <c r="AW190" i="77"/>
  <c r="AL285" i="77"/>
  <c r="AG285" i="77"/>
  <c r="AN188" i="77"/>
  <c r="AO181" i="77"/>
  <c r="AO189" i="77"/>
  <c r="AG182" i="77"/>
  <c r="AO177" i="77"/>
  <c r="AI185" i="77"/>
  <c r="AN176" i="77"/>
  <c r="AO178" i="77"/>
  <c r="AO186" i="77"/>
  <c r="AH179" i="77"/>
  <c r="AO184" i="77"/>
  <c r="AO180" i="77"/>
  <c r="AI176" i="77" l="1"/>
  <c r="AL185" i="77"/>
  <c r="AM179" i="77"/>
  <c r="AN185" i="77"/>
  <c r="AH182" i="77"/>
  <c r="AG178" i="77"/>
  <c r="AG188" i="77"/>
  <c r="AL186" i="77"/>
  <c r="AL181" i="77"/>
  <c r="AG176" i="77"/>
  <c r="AM188" i="77"/>
  <c r="AH176" i="77"/>
  <c r="AH256" i="77"/>
  <c r="AL256" i="77"/>
  <c r="AI256" i="77"/>
  <c r="AJ256" i="77"/>
  <c r="AM256" i="77"/>
  <c r="AO256" i="77"/>
  <c r="AK256" i="77"/>
  <c r="AG256" i="77"/>
  <c r="AG181" i="77"/>
  <c r="AI179" i="77"/>
  <c r="AJ188" i="77"/>
  <c r="AN182" i="77"/>
  <c r="AM181" i="77"/>
  <c r="AI180" i="77"/>
  <c r="AJ179" i="77"/>
  <c r="AJ254" i="77"/>
  <c r="AG254" i="77"/>
  <c r="AM254" i="77"/>
  <c r="AH254" i="77"/>
  <c r="AO254" i="77"/>
  <c r="AK254" i="77"/>
  <c r="AI254" i="77"/>
  <c r="AL254" i="77"/>
  <c r="AH188" i="77"/>
  <c r="AI186" i="77"/>
  <c r="AH185" i="77"/>
  <c r="AL184" i="77"/>
  <c r="AI189" i="77"/>
  <c r="AN181" i="77"/>
  <c r="AN180" i="77"/>
  <c r="AN179" i="77"/>
  <c r="AK274" i="77"/>
  <c r="AG274" i="77"/>
  <c r="AL274" i="77"/>
  <c r="AO274" i="77"/>
  <c r="AM274" i="77"/>
  <c r="AH274" i="77"/>
  <c r="AJ274" i="77"/>
  <c r="AI274" i="77"/>
  <c r="AH181" i="77"/>
  <c r="AJ180" i="77"/>
  <c r="AH251" i="77"/>
  <c r="AO251" i="77"/>
  <c r="AG251" i="77"/>
  <c r="AJ251" i="77"/>
  <c r="AI251" i="77"/>
  <c r="AM251" i="77"/>
  <c r="AK251" i="77"/>
  <c r="AL251" i="77"/>
  <c r="AK177" i="77"/>
  <c r="AG184" i="77"/>
  <c r="AM189" i="77"/>
  <c r="AJ182" i="77"/>
  <c r="AO182" i="77"/>
  <c r="AI188" i="77"/>
  <c r="AN186" i="77"/>
  <c r="AJ185" i="77"/>
  <c r="AH184" i="77"/>
  <c r="AI182" i="77"/>
  <c r="AJ189" i="77"/>
  <c r="AK181" i="77"/>
  <c r="AK180" i="77"/>
  <c r="AM178" i="77"/>
  <c r="AJ273" i="77"/>
  <c r="AL273" i="77"/>
  <c r="AK273" i="77"/>
  <c r="AM273" i="77"/>
  <c r="AI273" i="77"/>
  <c r="AO273" i="77"/>
  <c r="AH273" i="77"/>
  <c r="AG273" i="77"/>
  <c r="AM177" i="77"/>
  <c r="AL188" i="77"/>
  <c r="AG186" i="77"/>
  <c r="AG185" i="77"/>
  <c r="AK184" i="77"/>
  <c r="AL252" i="77"/>
  <c r="AJ252" i="77"/>
  <c r="AK252" i="77"/>
  <c r="AI252" i="77"/>
  <c r="AO252" i="77"/>
  <c r="AH252" i="77"/>
  <c r="AG252" i="77"/>
  <c r="AM252" i="77"/>
  <c r="AK182" i="77"/>
  <c r="AL189" i="77"/>
  <c r="AH180" i="77"/>
  <c r="AI178" i="77"/>
  <c r="AG177" i="77"/>
  <c r="AM186" i="77"/>
  <c r="AK185" i="77"/>
  <c r="AM184" i="77"/>
  <c r="AM182" i="77"/>
  <c r="AK189" i="77"/>
  <c r="AL180" i="77"/>
  <c r="AL178" i="77"/>
  <c r="AO278" i="77"/>
  <c r="AI278" i="77"/>
  <c r="AG278" i="77"/>
  <c r="AK278" i="77"/>
  <c r="AJ278" i="77"/>
  <c r="AH278" i="77"/>
  <c r="AM278" i="77"/>
  <c r="AL278" i="77"/>
  <c r="AI177" i="77"/>
  <c r="AM176" i="77"/>
  <c r="AD280" i="77"/>
  <c r="AO280" i="77" s="1"/>
  <c r="AO176" i="77"/>
  <c r="AK176" i="77"/>
  <c r="AK186" i="77"/>
  <c r="AJ184" i="77"/>
  <c r="AL182" i="77"/>
  <c r="AG189" i="77"/>
  <c r="AM180" i="77"/>
  <c r="AJ178" i="77"/>
  <c r="AH177" i="77"/>
  <c r="AK188" i="77"/>
  <c r="AO188" i="77"/>
  <c r="AI275" i="77"/>
  <c r="AH275" i="77"/>
  <c r="AL275" i="77"/>
  <c r="AG275" i="77"/>
  <c r="AO275" i="77"/>
  <c r="AK275" i="77"/>
  <c r="AM275" i="77"/>
  <c r="AJ275" i="77"/>
  <c r="AN184" i="77"/>
  <c r="AH189" i="77"/>
  <c r="AG180" i="77"/>
  <c r="AH178" i="77"/>
  <c r="AJ177" i="77"/>
  <c r="AO253" i="77"/>
  <c r="AG253" i="77"/>
  <c r="AH253" i="77"/>
  <c r="AM253" i="77"/>
  <c r="AK253" i="77"/>
  <c r="AL253" i="77"/>
  <c r="AI253" i="77"/>
  <c r="AJ253" i="77"/>
  <c r="AL179" i="77"/>
  <c r="AD281" i="77"/>
  <c r="AO281" i="77" s="1"/>
  <c r="AO179" i="77"/>
  <c r="AO185" i="77"/>
  <c r="AL176" i="77"/>
  <c r="AJ186" i="77"/>
  <c r="AM185" i="77"/>
  <c r="AI184" i="77"/>
  <c r="AN189" i="77"/>
  <c r="AI181" i="77"/>
  <c r="AG179" i="77"/>
  <c r="AK178" i="77"/>
  <c r="AL177" i="77"/>
  <c r="AH186" i="77"/>
  <c r="AJ176" i="77"/>
  <c r="AJ181" i="77"/>
  <c r="AG255" i="77"/>
  <c r="AK255" i="77"/>
  <c r="AL255" i="77"/>
  <c r="AM255" i="77"/>
  <c r="AH255" i="77"/>
  <c r="AI255" i="77"/>
  <c r="AO255" i="77"/>
  <c r="AJ255" i="77"/>
  <c r="AK179" i="77"/>
  <c r="AN178" i="77"/>
  <c r="AN177" i="77"/>
  <c r="AI280" i="77" l="1"/>
  <c r="AJ280" i="77"/>
  <c r="AH280" i="77"/>
  <c r="AL281" i="77"/>
  <c r="AL280" i="77"/>
  <c r="AN281" i="77"/>
  <c r="AG280" i="77"/>
  <c r="AK281" i="77"/>
  <c r="AK280" i="77"/>
  <c r="AH281" i="77"/>
  <c r="AJ281" i="77"/>
  <c r="AM280" i="77"/>
  <c r="AM281" i="77"/>
  <c r="AN280" i="77"/>
  <c r="AI281" i="77"/>
  <c r="AG281" i="77"/>
  <c r="W284" i="77" l="1"/>
  <c r="V284" i="77"/>
  <c r="AB284" i="77"/>
  <c r="X284" i="77"/>
  <c r="AA284" i="77"/>
  <c r="Z284" i="77"/>
  <c r="Y284" i="77"/>
  <c r="AI190" i="77"/>
  <c r="AO55" i="83"/>
  <c r="AO48" i="83"/>
  <c r="AL190" i="77" l="1"/>
  <c r="AT56" i="83"/>
  <c r="AO190" i="77"/>
  <c r="AD284" i="77"/>
  <c r="AO284" i="77" s="1"/>
  <c r="AM190" i="77"/>
  <c r="BN6" i="84"/>
  <c r="AO45" i="83"/>
  <c r="BN9" i="84"/>
  <c r="AO53" i="83"/>
  <c r="AN190" i="77"/>
  <c r="AG190" i="77"/>
  <c r="AO50" i="83"/>
  <c r="AT49" i="83"/>
  <c r="AJ190" i="77"/>
  <c r="AH190" i="77"/>
  <c r="AK190" i="77"/>
  <c r="AO61" i="83"/>
  <c r="AO59" i="83"/>
  <c r="AO51" i="83" l="1"/>
  <c r="AT54" i="83"/>
  <c r="BN12" i="84"/>
  <c r="AO57" i="83" s="1"/>
  <c r="BB35" i="9"/>
  <c r="AM284" i="77"/>
  <c r="AO42" i="83"/>
  <c r="AO47" i="83"/>
  <c r="AT46" i="83"/>
  <c r="AJ284" i="77"/>
  <c r="AG284" i="77"/>
  <c r="AN284" i="77"/>
  <c r="AT60" i="83"/>
  <c r="AK284" i="77"/>
  <c r="AI284" i="77"/>
  <c r="AT62" i="83"/>
  <c r="AH284" i="77"/>
  <c r="AL284" i="77"/>
  <c r="AO44" i="83" l="1"/>
  <c r="AO63" i="83"/>
  <c r="AT43" i="83"/>
  <c r="AT58" i="83"/>
  <c r="AT52" i="83"/>
  <c r="BA189" i="77" l="1"/>
  <c r="AY189" i="77"/>
  <c r="AX189" i="77"/>
  <c r="AZ189" i="77"/>
  <c r="AW189" i="77"/>
  <c r="AT64" i="83"/>
  <c r="AX188" i="77" l="1"/>
  <c r="AR284" i="77"/>
  <c r="AY188" i="77"/>
  <c r="AS284" i="77"/>
  <c r="AT284" i="77"/>
  <c r="AZ188" i="77"/>
  <c r="AQ284" i="77"/>
  <c r="AW188" i="77"/>
  <c r="BA188" i="77"/>
  <c r="AU284" i="77"/>
  <c r="Q284" i="77"/>
  <c r="E284" i="77"/>
  <c r="BN15" i="84" s="1"/>
  <c r="AW284" i="77" l="1"/>
  <c r="BA284" i="77"/>
  <c r="AN187" i="77"/>
  <c r="AO187" i="77"/>
  <c r="AI187" i="77"/>
  <c r="AL187" i="77"/>
  <c r="AJ187" i="77"/>
  <c r="AK187" i="77"/>
  <c r="AH187" i="77"/>
  <c r="AM187" i="77"/>
  <c r="AG187" i="77"/>
  <c r="AD283" i="77"/>
  <c r="AZ284" i="77"/>
  <c r="AY284" i="77"/>
  <c r="AX284" i="77"/>
  <c r="AO283" i="77" l="1"/>
  <c r="AL283" i="77"/>
  <c r="AM283" i="77"/>
  <c r="AJ283" i="77"/>
  <c r="AI283" i="77"/>
  <c r="AK283" i="77"/>
  <c r="AN283" i="77"/>
  <c r="AH283" i="77"/>
  <c r="AG283" i="77"/>
  <c r="AN48" i="83" l="1"/>
  <c r="AN55" i="83"/>
  <c r="AR55" i="83" l="1"/>
  <c r="AS56" i="83"/>
  <c r="BM9" i="84"/>
  <c r="AN53" i="83"/>
  <c r="AN50" i="83"/>
  <c r="AR48" i="83"/>
  <c r="AS49" i="83"/>
  <c r="BM6" i="84"/>
  <c r="AN45" i="83"/>
  <c r="AR164" i="83"/>
  <c r="AS165" i="83"/>
  <c r="AR162" i="83"/>
  <c r="AS163" i="83"/>
  <c r="AN59" i="83"/>
  <c r="AN61" i="83"/>
  <c r="AR50" i="83" l="1"/>
  <c r="AW49" i="83"/>
  <c r="AN51" i="83"/>
  <c r="AR53" i="83"/>
  <c r="AS54" i="83"/>
  <c r="AN42" i="83"/>
  <c r="AN47" i="83"/>
  <c r="AR45" i="83"/>
  <c r="AS46" i="83"/>
  <c r="AW163" i="83"/>
  <c r="BM12" i="84"/>
  <c r="AN57" i="83" s="1"/>
  <c r="BA35" i="9"/>
  <c r="AS62" i="83"/>
  <c r="AS60" i="83"/>
  <c r="AR61" i="83"/>
  <c r="AW56" i="83"/>
  <c r="AW165" i="83"/>
  <c r="AW187" i="77" l="1"/>
  <c r="AN63" i="83"/>
  <c r="AN44" i="83"/>
  <c r="AR42" i="83"/>
  <c r="AS43" i="83"/>
  <c r="AR59" i="83"/>
  <c r="AW54" i="83"/>
  <c r="AR51" i="83"/>
  <c r="AS52" i="83"/>
  <c r="AR47" i="83"/>
  <c r="AW46" i="83"/>
  <c r="AS58" i="83"/>
  <c r="AY187" i="77"/>
  <c r="AZ187" i="77"/>
  <c r="AW62" i="83"/>
  <c r="AX187" i="77"/>
  <c r="BA187" i="77"/>
  <c r="AR57" i="83" l="1"/>
  <c r="AR63" i="83" s="1"/>
  <c r="AW52" i="83"/>
  <c r="AR44" i="83"/>
  <c r="AW43" i="83"/>
  <c r="AW60" i="83"/>
  <c r="AS64" i="83"/>
  <c r="AW64" i="83" l="1"/>
  <c r="AW58" i="83"/>
  <c r="AW186" i="77" l="1"/>
  <c r="AY186" i="77"/>
  <c r="AZ186" i="77"/>
  <c r="AX186" i="77"/>
  <c r="BA186" i="77"/>
  <c r="E283" i="77" l="1"/>
  <c r="BM15" i="84" s="1"/>
  <c r="AU283" i="77" l="1"/>
  <c r="BA185" i="77"/>
  <c r="AY185" i="77"/>
  <c r="AS283" i="77"/>
  <c r="AZ185" i="77"/>
  <c r="AT283" i="77"/>
  <c r="AW185" i="77"/>
  <c r="AQ283" i="77"/>
  <c r="AX185" i="77"/>
  <c r="AR283" i="77"/>
  <c r="Q283" i="77"/>
  <c r="AW283" i="77" l="1"/>
  <c r="AY283" i="77"/>
  <c r="AX283" i="77"/>
  <c r="AZ283" i="77"/>
  <c r="BA283" i="77"/>
  <c r="AW184" i="77" l="1"/>
  <c r="AZ184" i="77"/>
  <c r="AX184" i="77"/>
  <c r="AY184" i="77"/>
  <c r="BA184" i="77"/>
  <c r="AW183" i="77" l="1"/>
  <c r="AY183" i="77"/>
  <c r="AX183" i="77"/>
  <c r="AZ183" i="77"/>
  <c r="BA183" i="77"/>
  <c r="AL55" i="83"/>
  <c r="AL48" i="83"/>
  <c r="BL9" i="84" l="1"/>
  <c r="AL53" i="83"/>
  <c r="AQ56" i="83"/>
  <c r="AQ163" i="83"/>
  <c r="AQ165" i="83"/>
  <c r="BL6" i="84"/>
  <c r="AL45" i="83"/>
  <c r="AL50" i="83"/>
  <c r="AQ49" i="83"/>
  <c r="AL61" i="83"/>
  <c r="AL59" i="83"/>
  <c r="AQ62" i="83" l="1"/>
  <c r="AL42" i="83"/>
  <c r="AL47" i="83"/>
  <c r="AQ46" i="83"/>
  <c r="AL51" i="83"/>
  <c r="AQ54" i="83"/>
  <c r="AQ60" i="83"/>
  <c r="BL12" i="84"/>
  <c r="AL57" i="83" s="1"/>
  <c r="AZ35" i="9"/>
  <c r="AQ52" i="83" l="1"/>
  <c r="AL44" i="83"/>
  <c r="AL63" i="83"/>
  <c r="AQ43" i="83"/>
  <c r="AQ58" i="83"/>
  <c r="AI183" i="77" l="1"/>
  <c r="AO183" i="77"/>
  <c r="AM183" i="77"/>
  <c r="AG183" i="77"/>
  <c r="AK183" i="77"/>
  <c r="AL183" i="77"/>
  <c r="AJ183" i="77"/>
  <c r="AN183" i="77"/>
  <c r="AH183" i="77"/>
  <c r="AD282" i="77"/>
  <c r="AQ64" i="83"/>
  <c r="E282" i="77"/>
  <c r="BL15" i="84" s="1"/>
  <c r="AO282" i="77" l="1"/>
  <c r="AK282" i="77"/>
  <c r="AH282" i="77"/>
  <c r="AN282" i="77"/>
  <c r="AM282" i="77"/>
  <c r="AI282" i="77"/>
  <c r="AJ282" i="77"/>
  <c r="AG282" i="77"/>
  <c r="AL282" i="77"/>
  <c r="AW182" i="77" l="1"/>
  <c r="AQ282" i="77"/>
  <c r="AX182" i="77"/>
  <c r="AR282" i="77"/>
  <c r="AS282" i="77"/>
  <c r="AY182" i="77"/>
  <c r="AZ182" i="77"/>
  <c r="AT282" i="77"/>
  <c r="AU282" i="77"/>
  <c r="BA182" i="77"/>
  <c r="Q282" i="77"/>
  <c r="AW181" i="77" l="1"/>
  <c r="AZ282" i="77"/>
  <c r="AY282" i="77"/>
  <c r="AY181" i="77"/>
  <c r="AZ181" i="77"/>
  <c r="BA282" i="77"/>
  <c r="AX282" i="77"/>
  <c r="AX181" i="77"/>
  <c r="AW282" i="77"/>
  <c r="BA181" i="77"/>
  <c r="AK55" i="83"/>
  <c r="AK48" i="83"/>
  <c r="AP56" i="83" l="1"/>
  <c r="AP163" i="83"/>
  <c r="AP165" i="83"/>
  <c r="BK9" i="84"/>
  <c r="AK53" i="83"/>
  <c r="BK6" i="84"/>
  <c r="AK45" i="83"/>
  <c r="AK50" i="83"/>
  <c r="AP49" i="83"/>
  <c r="AK61" i="83"/>
  <c r="AK59" i="83"/>
  <c r="AK42" i="83" l="1"/>
  <c r="AK47" i="83"/>
  <c r="AP46" i="83"/>
  <c r="AK51" i="83"/>
  <c r="AP54" i="83"/>
  <c r="BK12" i="84"/>
  <c r="AK57" i="83" s="1"/>
  <c r="AY35" i="9"/>
  <c r="AP62" i="83"/>
  <c r="AP60" i="83"/>
  <c r="AP58" i="83" l="1"/>
  <c r="AP52" i="83"/>
  <c r="AK44" i="83"/>
  <c r="AK63" i="83"/>
  <c r="AP43" i="83"/>
  <c r="AP64" i="83" l="1"/>
  <c r="BA180" i="77" l="1"/>
  <c r="AZ180" i="77"/>
  <c r="AW180" i="77"/>
  <c r="AX180" i="77"/>
  <c r="AY180" i="77"/>
  <c r="BA179" i="77" l="1"/>
  <c r="AU281" i="77"/>
  <c r="AX179" i="77"/>
  <c r="AR281" i="77"/>
  <c r="AZ179" i="77"/>
  <c r="AT281" i="77"/>
  <c r="AW179" i="77"/>
  <c r="AQ281" i="77"/>
  <c r="AY179" i="77"/>
  <c r="AS281" i="77"/>
  <c r="Q281" i="77"/>
  <c r="AW281" i="77" l="1"/>
  <c r="AY281" i="77"/>
  <c r="AZ281" i="77"/>
  <c r="AX281" i="77"/>
  <c r="BA281" i="77"/>
  <c r="E281" i="77"/>
  <c r="BK15" i="84" s="1"/>
  <c r="AY178" i="77" l="1"/>
  <c r="AX178" i="77"/>
  <c r="BA178" i="77"/>
  <c r="AZ178" i="77"/>
  <c r="AW178" i="77"/>
  <c r="AJ55" i="83"/>
  <c r="AO163" i="83" l="1"/>
  <c r="AO165" i="83"/>
  <c r="AJ53" i="83"/>
  <c r="BJ9" i="84"/>
  <c r="AO56" i="83"/>
  <c r="AJ51" i="83" l="1"/>
  <c r="AO54" i="83"/>
  <c r="AX35" i="9"/>
  <c r="AJ48" i="83"/>
  <c r="AJ50" i="83" l="1"/>
  <c r="AO49" i="83"/>
  <c r="BJ6" i="84"/>
  <c r="AJ45" i="83"/>
  <c r="AO52" i="83"/>
  <c r="AJ61" i="83"/>
  <c r="AJ59" i="83"/>
  <c r="BA177" i="77" l="1"/>
  <c r="AZ177" i="77"/>
  <c r="AO62" i="83"/>
  <c r="AJ42" i="83"/>
  <c r="AJ47" i="83"/>
  <c r="AO46" i="83"/>
  <c r="AO60" i="83"/>
  <c r="BJ12" i="84"/>
  <c r="AJ57" i="83" s="1"/>
  <c r="AW177" i="77"/>
  <c r="AX177" i="77"/>
  <c r="AY177" i="77"/>
  <c r="AO58" i="83" l="1"/>
  <c r="AJ44" i="83"/>
  <c r="AJ63" i="83"/>
  <c r="AO43" i="83"/>
  <c r="AO64" i="83" l="1"/>
  <c r="E280" i="77"/>
  <c r="BJ15" i="84" s="1"/>
  <c r="AU280" i="77" l="1"/>
  <c r="BA176" i="77"/>
  <c r="AZ176" i="77"/>
  <c r="AT280" i="77"/>
  <c r="AW176" i="77"/>
  <c r="AQ280" i="77"/>
  <c r="AY176" i="77"/>
  <c r="AS280" i="77"/>
  <c r="AX176" i="77"/>
  <c r="AR280" i="77"/>
  <c r="Q280" i="77"/>
  <c r="AY280" i="77" l="1"/>
  <c r="AX280" i="77"/>
  <c r="AW280" i="77"/>
  <c r="AZ280" i="77"/>
  <c r="BA280" i="77"/>
  <c r="AW175" i="77" l="1"/>
  <c r="AZ175" i="77"/>
  <c r="AX175" i="77"/>
  <c r="AY175" i="77"/>
  <c r="BA175" i="77"/>
  <c r="AO175" i="77" l="1"/>
  <c r="AN175" i="77"/>
  <c r="AG175" i="77"/>
  <c r="AH175" i="77"/>
  <c r="AM175" i="77"/>
  <c r="AL175" i="77"/>
  <c r="AJ175" i="77"/>
  <c r="AI175" i="77"/>
  <c r="AK175" i="77"/>
  <c r="AX174" i="77" l="1"/>
  <c r="AY174" i="77"/>
  <c r="AZ174" i="77"/>
  <c r="AW174" i="77"/>
  <c r="BA174" i="77"/>
  <c r="AG174" i="77" l="1"/>
  <c r="AJ174" i="77"/>
  <c r="AI174" i="77"/>
  <c r="AK174" i="77"/>
  <c r="AL174" i="77"/>
  <c r="AM174" i="77"/>
  <c r="AH174" i="77"/>
  <c r="AO174" i="77"/>
  <c r="AD279" i="77"/>
  <c r="AO279" i="77" l="1"/>
  <c r="AG279" i="77"/>
  <c r="AN279" i="77"/>
  <c r="AH279" i="77"/>
  <c r="AI279" i="77"/>
  <c r="AL279" i="77"/>
  <c r="AJ279" i="77"/>
  <c r="AM279" i="77"/>
  <c r="AK279" i="77"/>
  <c r="AW173" i="77" l="1"/>
  <c r="AQ279" i="77"/>
  <c r="AX173" i="77"/>
  <c r="AR279" i="77"/>
  <c r="AS279" i="77"/>
  <c r="AY173" i="77"/>
  <c r="AT279" i="77"/>
  <c r="AZ173" i="77"/>
  <c r="AU279" i="77"/>
  <c r="BA173" i="77"/>
  <c r="AZ279" i="77" l="1"/>
  <c r="AX279" i="77"/>
  <c r="AW279" i="77"/>
  <c r="BA279" i="77"/>
  <c r="AY279" i="77"/>
  <c r="AI55" i="83"/>
  <c r="AI48" i="83"/>
  <c r="BI6" i="84" l="1"/>
  <c r="AI45" i="83"/>
  <c r="AI50" i="83"/>
  <c r="AM48" i="83"/>
  <c r="AN49" i="83"/>
  <c r="BI9" i="84"/>
  <c r="AI53" i="83"/>
  <c r="AM55" i="83"/>
  <c r="AN56" i="83"/>
  <c r="AM162" i="83"/>
  <c r="AN163" i="83"/>
  <c r="AM164" i="83"/>
  <c r="AN165" i="83"/>
  <c r="AI59" i="83"/>
  <c r="AI61" i="83"/>
  <c r="AN62" i="83" l="1"/>
  <c r="AN60" i="83"/>
  <c r="AR165" i="83"/>
  <c r="AR163" i="83"/>
  <c r="AM61" i="83"/>
  <c r="AR56" i="83"/>
  <c r="AI51" i="83"/>
  <c r="AM53" i="83"/>
  <c r="AN54" i="83"/>
  <c r="BI12" i="84"/>
  <c r="AI57" i="83" s="1"/>
  <c r="AW35" i="9"/>
  <c r="AM50" i="83"/>
  <c r="AR49" i="83"/>
  <c r="AI42" i="83"/>
  <c r="AI47" i="83"/>
  <c r="AM45" i="83"/>
  <c r="AN46" i="83"/>
  <c r="E279" i="77"/>
  <c r="BI15" i="84" s="1"/>
  <c r="AM47" i="83" l="1"/>
  <c r="AR46" i="83"/>
  <c r="AI44" i="83"/>
  <c r="AI63" i="83"/>
  <c r="AM42" i="83"/>
  <c r="AN43" i="83"/>
  <c r="AN58" i="83"/>
  <c r="AM59" i="83"/>
  <c r="AR54" i="83"/>
  <c r="AM51" i="83"/>
  <c r="AN52" i="83"/>
  <c r="AR62" i="83"/>
  <c r="AM57" i="83" l="1"/>
  <c r="AM63" i="83" s="1"/>
  <c r="AR52" i="83"/>
  <c r="AR60" i="83"/>
  <c r="AM44" i="83"/>
  <c r="AR43" i="83"/>
  <c r="AN64" i="83"/>
  <c r="Q279" i="77"/>
  <c r="AR64" i="83" l="1"/>
  <c r="AR58" i="83"/>
  <c r="BA172" i="77" l="1"/>
  <c r="AZ172" i="77"/>
  <c r="AW172" i="77"/>
  <c r="AX172" i="77"/>
  <c r="AY172" i="77"/>
  <c r="AG48" i="83"/>
  <c r="AG55" i="83"/>
  <c r="AL165" i="83" l="1"/>
  <c r="AL163" i="83"/>
  <c r="AL56" i="83"/>
  <c r="BH9" i="84"/>
  <c r="AG53" i="83"/>
  <c r="AG50" i="83"/>
  <c r="AL49" i="83"/>
  <c r="BH6" i="84"/>
  <c r="AG45" i="83"/>
  <c r="AG61" i="83"/>
  <c r="AG59" i="83"/>
  <c r="AL60" i="83" l="1"/>
  <c r="AL62" i="83"/>
  <c r="AG47" i="83"/>
  <c r="AG42" i="83"/>
  <c r="AL46" i="83"/>
  <c r="AG51" i="83"/>
  <c r="AL54" i="83"/>
  <c r="BH12" i="84"/>
  <c r="AG57" i="83" s="1"/>
  <c r="AV35" i="9"/>
  <c r="AL58" i="83" l="1"/>
  <c r="AL52" i="83"/>
  <c r="AG63" i="83"/>
  <c r="AG44" i="83"/>
  <c r="AL43" i="83"/>
  <c r="AL64" i="83" l="1"/>
  <c r="BA171" i="77" l="1"/>
  <c r="AZ171" i="77"/>
  <c r="AY171" i="77"/>
  <c r="AX171" i="77"/>
  <c r="AW171" i="77"/>
  <c r="Q278" i="77" l="1"/>
  <c r="AW170" i="77" l="1"/>
  <c r="AQ278" i="77"/>
  <c r="AX170" i="77"/>
  <c r="AR278" i="77"/>
  <c r="AY170" i="77"/>
  <c r="AS278" i="77"/>
  <c r="AZ170" i="77"/>
  <c r="AT278" i="77"/>
  <c r="BA170" i="77"/>
  <c r="AU278" i="77"/>
  <c r="AZ278" i="77" l="1"/>
  <c r="BA278" i="77"/>
  <c r="AY278" i="77"/>
  <c r="AX278" i="77"/>
  <c r="AW278" i="77"/>
  <c r="E278" i="77"/>
  <c r="BH15" i="84" s="1"/>
  <c r="AO169" i="77" l="1"/>
  <c r="AI169" i="77"/>
  <c r="AH169" i="77"/>
  <c r="AM169" i="77"/>
  <c r="AG169" i="77"/>
  <c r="AJ169" i="77"/>
  <c r="AL169" i="77"/>
  <c r="AK169" i="77"/>
  <c r="BA169" i="77" l="1"/>
  <c r="AX169" i="77"/>
  <c r="AW169" i="77"/>
  <c r="AY169" i="77"/>
  <c r="AZ169" i="77"/>
  <c r="AF55" i="83" l="1"/>
  <c r="AF48" i="83"/>
  <c r="BG6" i="84" l="1"/>
  <c r="AF45" i="83"/>
  <c r="AF50" i="83"/>
  <c r="AK49" i="83"/>
  <c r="BG9" i="84"/>
  <c r="AF53" i="83"/>
  <c r="AK56" i="83"/>
  <c r="AK163" i="83"/>
  <c r="AK165" i="83"/>
  <c r="AF61" i="83"/>
  <c r="AF59" i="83"/>
  <c r="AK60" i="83" l="1"/>
  <c r="AK62" i="83"/>
  <c r="AF51" i="83"/>
  <c r="AK54" i="83"/>
  <c r="BG12" i="84"/>
  <c r="AF57" i="83" s="1"/>
  <c r="AU35" i="9"/>
  <c r="AF47" i="83"/>
  <c r="AF42" i="83"/>
  <c r="AK46" i="83"/>
  <c r="AF44" i="83" l="1"/>
  <c r="AF63" i="83"/>
  <c r="AK43" i="83"/>
  <c r="AK58" i="83"/>
  <c r="AK52" i="83"/>
  <c r="AW168" i="77" l="1"/>
  <c r="AZ168" i="77"/>
  <c r="AY168" i="77"/>
  <c r="AX168" i="77"/>
  <c r="BA168" i="77"/>
  <c r="AG168" i="77"/>
  <c r="AM168" i="77"/>
  <c r="AI168" i="77"/>
  <c r="AJ168" i="77"/>
  <c r="AK168" i="77"/>
  <c r="AL168" i="77"/>
  <c r="AH168" i="77"/>
  <c r="AO168" i="77"/>
  <c r="AD277" i="77"/>
  <c r="AK64" i="83"/>
  <c r="AZ167" i="77" l="1"/>
  <c r="AT277" i="77"/>
  <c r="BA167" i="77"/>
  <c r="AU277" i="77"/>
  <c r="AS277" i="77"/>
  <c r="AY167" i="77"/>
  <c r="AX167" i="77"/>
  <c r="AR277" i="77"/>
  <c r="AW167" i="77"/>
  <c r="AQ277" i="77"/>
  <c r="AO277" i="77"/>
  <c r="AL277" i="77"/>
  <c r="AJ277" i="77"/>
  <c r="AK277" i="77"/>
  <c r="AI277" i="77"/>
  <c r="AG277" i="77"/>
  <c r="AH277" i="77"/>
  <c r="AM277" i="77"/>
  <c r="Q277" i="77"/>
  <c r="E277" i="77"/>
  <c r="BG15" i="84" s="1"/>
  <c r="AX277" i="77" l="1"/>
  <c r="AW277" i="77"/>
  <c r="AY277" i="77"/>
  <c r="BA277" i="77"/>
  <c r="AZ277" i="77"/>
  <c r="AW166" i="77" l="1"/>
  <c r="AY166" i="77"/>
  <c r="AX166" i="77"/>
  <c r="AZ166" i="77"/>
  <c r="BA166" i="77"/>
  <c r="AK166" i="77" l="1"/>
  <c r="AJ166" i="77"/>
  <c r="AI166" i="77"/>
  <c r="AG166" i="77"/>
  <c r="AL166" i="77"/>
  <c r="AM166" i="77"/>
  <c r="AH166" i="77"/>
  <c r="AO166" i="77"/>
  <c r="AD276" i="77"/>
  <c r="AO276" i="77" l="1"/>
  <c r="AH276" i="77"/>
  <c r="AL276" i="77"/>
  <c r="AM276" i="77"/>
  <c r="AI276" i="77"/>
  <c r="AK276" i="77"/>
  <c r="AJ276" i="77"/>
  <c r="AG276" i="77"/>
  <c r="AE48" i="83"/>
  <c r="AJ163" i="83" l="1"/>
  <c r="AJ165" i="83"/>
  <c r="BF6" i="84"/>
  <c r="AE45" i="83"/>
  <c r="AE50" i="83"/>
  <c r="AJ49" i="83"/>
  <c r="AE53" i="83"/>
  <c r="AE59" i="83"/>
  <c r="AJ60" i="83" l="1"/>
  <c r="AJ54" i="83"/>
  <c r="AE42" i="83"/>
  <c r="AE47" i="83"/>
  <c r="AJ46" i="83"/>
  <c r="AA48" i="83"/>
  <c r="AF49" i="83" s="1"/>
  <c r="AB48" i="83"/>
  <c r="AG49" i="83" s="1"/>
  <c r="AD48" i="83"/>
  <c r="AI49" i="83" s="1"/>
  <c r="O48" i="83"/>
  <c r="P48" i="83"/>
  <c r="Q48" i="83"/>
  <c r="R48" i="83"/>
  <c r="Y48" i="83"/>
  <c r="W48" i="83"/>
  <c r="V48" i="83"/>
  <c r="U48" i="83"/>
  <c r="T48" i="83"/>
  <c r="M48" i="83"/>
  <c r="L48" i="83"/>
  <c r="K48" i="83"/>
  <c r="J48" i="83"/>
  <c r="H48" i="83"/>
  <c r="H50" i="83" s="1"/>
  <c r="G48" i="83"/>
  <c r="G50" i="83" s="1"/>
  <c r="F48" i="83"/>
  <c r="F50" i="83" s="1"/>
  <c r="E48" i="83"/>
  <c r="AD55" i="83"/>
  <c r="AI56" i="83" s="1"/>
  <c r="AB55" i="83"/>
  <c r="AA55" i="83"/>
  <c r="Z55" i="83"/>
  <c r="Y55" i="83"/>
  <c r="V55" i="83"/>
  <c r="U55" i="83"/>
  <c r="T55" i="83"/>
  <c r="R55" i="83"/>
  <c r="Q55" i="83"/>
  <c r="P55" i="83"/>
  <c r="O55" i="83"/>
  <c r="M55" i="83"/>
  <c r="L55" i="83"/>
  <c r="K55" i="83"/>
  <c r="J55" i="83"/>
  <c r="H55" i="83"/>
  <c r="G55" i="83"/>
  <c r="F55" i="83"/>
  <c r="E55" i="83"/>
  <c r="Z48" i="83"/>
  <c r="AE49" i="83" s="1"/>
  <c r="AB267" i="77"/>
  <c r="W55" i="83"/>
  <c r="E259" i="77" l="1"/>
  <c r="E269" i="77"/>
  <c r="E271" i="77"/>
  <c r="E272" i="77"/>
  <c r="E264" i="77"/>
  <c r="P9" i="84"/>
  <c r="T9" i="84"/>
  <c r="AB9" i="84"/>
  <c r="P35" i="9" s="1"/>
  <c r="AW115" i="77"/>
  <c r="AW123" i="77"/>
  <c r="AX124" i="77"/>
  <c r="AY132" i="77"/>
  <c r="AW141" i="77"/>
  <c r="AW142" i="77"/>
  <c r="AW144" i="77"/>
  <c r="AW148" i="77"/>
  <c r="AW150" i="77"/>
  <c r="AW151" i="77"/>
  <c r="G9" i="84"/>
  <c r="AX157" i="77"/>
  <c r="AY163" i="77"/>
  <c r="W262" i="77"/>
  <c r="E276" i="77"/>
  <c r="BF15" i="84" s="1"/>
  <c r="E260" i="77"/>
  <c r="AW114" i="77"/>
  <c r="AX138" i="77"/>
  <c r="AX139" i="77"/>
  <c r="AX145" i="77"/>
  <c r="AX147" i="77"/>
  <c r="R6" i="84"/>
  <c r="R15" i="84" s="1"/>
  <c r="Z6" i="84"/>
  <c r="Z15" i="84" s="1"/>
  <c r="AY165" i="77"/>
  <c r="E261" i="77"/>
  <c r="E266" i="77"/>
  <c r="AW136" i="77"/>
  <c r="J6" i="84"/>
  <c r="J15" i="84" s="1"/>
  <c r="AX162" i="77"/>
  <c r="AW112" i="77"/>
  <c r="AW135" i="77"/>
  <c r="AW111" i="77"/>
  <c r="W259" i="77"/>
  <c r="AY121" i="77"/>
  <c r="AW126" i="77"/>
  <c r="AX127" i="77"/>
  <c r="AZ129" i="77"/>
  <c r="BA130" i="77"/>
  <c r="AZ153" i="77"/>
  <c r="AZ154" i="77"/>
  <c r="AZ159" i="77"/>
  <c r="AW118" i="77"/>
  <c r="AW133" i="77"/>
  <c r="W261" i="77"/>
  <c r="AZ120" i="77"/>
  <c r="AX117" i="77"/>
  <c r="E267" i="77"/>
  <c r="AW156" i="77"/>
  <c r="AZ160" i="77"/>
  <c r="T6" i="84"/>
  <c r="T15" i="84" s="1"/>
  <c r="V9" i="84"/>
  <c r="J35" i="9" s="1"/>
  <c r="W56" i="83"/>
  <c r="I9" i="84"/>
  <c r="N6" i="84"/>
  <c r="N15" i="84" s="1"/>
  <c r="W165" i="83"/>
  <c r="G6" i="84"/>
  <c r="G15" i="84" s="1"/>
  <c r="V6" i="84"/>
  <c r="V15" i="84" s="1"/>
  <c r="X9" i="84"/>
  <c r="L35" i="9" s="1"/>
  <c r="U56" i="83"/>
  <c r="M56" i="83"/>
  <c r="Q163" i="83"/>
  <c r="I55" i="83"/>
  <c r="M163" i="83"/>
  <c r="P56" i="83"/>
  <c r="U165" i="83"/>
  <c r="I6" i="84"/>
  <c r="I15" i="84" s="1"/>
  <c r="J9" i="84"/>
  <c r="P6" i="84"/>
  <c r="P15" i="84" s="1"/>
  <c r="R9" i="84"/>
  <c r="AB6" i="84"/>
  <c r="AB15" i="84" s="1"/>
  <c r="K163" i="83"/>
  <c r="P165" i="83"/>
  <c r="N9" i="84"/>
  <c r="X6" i="84"/>
  <c r="X15" i="84" s="1"/>
  <c r="Z9" i="84"/>
  <c r="N35" i="9" s="1"/>
  <c r="R163" i="83"/>
  <c r="Q56" i="83"/>
  <c r="R165" i="83"/>
  <c r="K6" i="84"/>
  <c r="K15" i="84" s="1"/>
  <c r="Q165" i="83"/>
  <c r="U163" i="83"/>
  <c r="AX123" i="77"/>
  <c r="AX126" i="77"/>
  <c r="BA120" i="77"/>
  <c r="AZ121" i="77"/>
  <c r="AZ132" i="77"/>
  <c r="AX133" i="77"/>
  <c r="AX135" i="77"/>
  <c r="AY127" i="77"/>
  <c r="BA129" i="77"/>
  <c r="AA56" i="83"/>
  <c r="AF56" i="83"/>
  <c r="BA121" i="77"/>
  <c r="AY123" i="77"/>
  <c r="AW124" i="77"/>
  <c r="E263" i="77"/>
  <c r="AY126" i="77"/>
  <c r="AZ127" i="77"/>
  <c r="X265" i="77"/>
  <c r="BA132" i="77"/>
  <c r="AY133" i="77"/>
  <c r="AY135" i="77"/>
  <c r="AX136" i="77"/>
  <c r="AW138" i="77"/>
  <c r="BA153" i="77"/>
  <c r="AY154" i="77"/>
  <c r="H9" i="84"/>
  <c r="L6" i="84"/>
  <c r="L15" i="84" s="1"/>
  <c r="M9" i="84"/>
  <c r="W6" i="84"/>
  <c r="W15" i="84" s="1"/>
  <c r="Y9" i="84"/>
  <c r="M35" i="9" s="1"/>
  <c r="AG6" i="84"/>
  <c r="AG15" i="84" s="1"/>
  <c r="AJ6" i="84"/>
  <c r="AJ15" i="84" s="1"/>
  <c r="AY159" i="77"/>
  <c r="AX159" i="77"/>
  <c r="AZ133" i="77"/>
  <c r="AZ135" i="77"/>
  <c r="AY136" i="77"/>
  <c r="BA133" i="77"/>
  <c r="BA135" i="77"/>
  <c r="AZ136" i="77"/>
  <c r="AY138" i="77"/>
  <c r="AW139" i="77"/>
  <c r="E268" i="77"/>
  <c r="BA154" i="77"/>
  <c r="L9" i="84"/>
  <c r="U6" i="84"/>
  <c r="U15" i="84" s="1"/>
  <c r="W9" i="84"/>
  <c r="K35" i="9" s="1"/>
  <c r="AF6" i="84"/>
  <c r="AF15" i="84" s="1"/>
  <c r="AG9" i="84"/>
  <c r="U35" i="9" s="1"/>
  <c r="AJ9" i="84"/>
  <c r="X35" i="9" s="1"/>
  <c r="V56" i="83"/>
  <c r="W163" i="83"/>
  <c r="AX156" i="77"/>
  <c r="AA163" i="83"/>
  <c r="AF163" i="83"/>
  <c r="AW159" i="77"/>
  <c r="AW165" i="77"/>
  <c r="Z56" i="83"/>
  <c r="AY156" i="77"/>
  <c r="AA165" i="83"/>
  <c r="AF165" i="83"/>
  <c r="AW163" i="77"/>
  <c r="AX165" i="77"/>
  <c r="BA136" i="77"/>
  <c r="AZ138" i="77"/>
  <c r="AZ111" i="77"/>
  <c r="AZ112" i="77"/>
  <c r="AY114" i="77"/>
  <c r="AX115" i="77"/>
  <c r="AW117" i="77"/>
  <c r="BA124" i="77"/>
  <c r="BA138" i="77"/>
  <c r="AY139" i="77"/>
  <c r="AX141" i="77"/>
  <c r="AX142" i="77"/>
  <c r="AX144" i="77"/>
  <c r="AW145" i="77"/>
  <c r="E270" i="77"/>
  <c r="AW147" i="77"/>
  <c r="F6" i="84"/>
  <c r="F15" i="84" s="1"/>
  <c r="K9" i="84"/>
  <c r="S6" i="84"/>
  <c r="S15" i="84" s="1"/>
  <c r="U9" i="84"/>
  <c r="I35" i="9" s="1"/>
  <c r="AE6" i="84"/>
  <c r="AE15" i="84" s="1"/>
  <c r="AF9" i="84"/>
  <c r="T35" i="9" s="1"/>
  <c r="AH6" i="84"/>
  <c r="AH15" i="84" s="1"/>
  <c r="L56" i="83"/>
  <c r="AZ156" i="77"/>
  <c r="AW157" i="77"/>
  <c r="AW162" i="77"/>
  <c r="AX163" i="77"/>
  <c r="AX112" i="77"/>
  <c r="AY124" i="77"/>
  <c r="AY111" i="77"/>
  <c r="AY112" i="77"/>
  <c r="AX114" i="77"/>
  <c r="BA111" i="77"/>
  <c r="AZ114" i="77"/>
  <c r="AY115" i="77"/>
  <c r="AZ139" i="77"/>
  <c r="AY141" i="77"/>
  <c r="AY142" i="77"/>
  <c r="AY144" i="77"/>
  <c r="V163" i="83"/>
  <c r="BA156" i="77"/>
  <c r="AB56" i="83"/>
  <c r="AG56" i="83"/>
  <c r="AZ165" i="77"/>
  <c r="AW130" i="77"/>
  <c r="E265" i="77"/>
  <c r="BA139" i="77"/>
  <c r="AZ141" i="77"/>
  <c r="AZ142" i="77"/>
  <c r="AZ144" i="77"/>
  <c r="AY145" i="77"/>
  <c r="AY147" i="77"/>
  <c r="F9" i="84"/>
  <c r="Q6" i="84"/>
  <c r="Q15" i="84" s="1"/>
  <c r="S9" i="84"/>
  <c r="G35" i="9" s="1"/>
  <c r="AD6" i="84"/>
  <c r="AD15" i="84" s="1"/>
  <c r="AE9" i="84"/>
  <c r="S35" i="9" s="1"/>
  <c r="AH9" i="84"/>
  <c r="V35" i="9" s="1"/>
  <c r="K56" i="83"/>
  <c r="M165" i="83"/>
  <c r="V165" i="83"/>
  <c r="Z163" i="83"/>
  <c r="AE163" i="83"/>
  <c r="AY157" i="77"/>
  <c r="AW160" i="77"/>
  <c r="E275" i="77"/>
  <c r="AY162" i="77"/>
  <c r="AZ163" i="77"/>
  <c r="BA165" i="77"/>
  <c r="BA114" i="77"/>
  <c r="AZ115" i="77"/>
  <c r="AY117" i="77"/>
  <c r="AX118" i="77"/>
  <c r="BA142" i="77"/>
  <c r="AZ145" i="77"/>
  <c r="AX148" i="77"/>
  <c r="AX150" i="77"/>
  <c r="L163" i="83"/>
  <c r="Z165" i="83"/>
  <c r="AE165" i="83"/>
  <c r="AZ157" i="77"/>
  <c r="AZ162" i="77"/>
  <c r="BA163" i="77"/>
  <c r="AE55" i="83"/>
  <c r="AE51" i="83" s="1"/>
  <c r="AJ52" i="83" s="1"/>
  <c r="BF9" i="84"/>
  <c r="AZ123" i="77"/>
  <c r="AZ126" i="77"/>
  <c r="BA127" i="77"/>
  <c r="BA115" i="77"/>
  <c r="AZ117" i="77"/>
  <c r="AY118" i="77"/>
  <c r="AW120" i="77"/>
  <c r="AW129" i="77"/>
  <c r="AX130" i="77"/>
  <c r="BA141" i="77"/>
  <c r="BA144" i="77"/>
  <c r="AZ147" i="77"/>
  <c r="AX151" i="77"/>
  <c r="AX160" i="77"/>
  <c r="E258" i="77"/>
  <c r="W260" i="77"/>
  <c r="BA117" i="77"/>
  <c r="AZ118" i="77"/>
  <c r="AX120" i="77"/>
  <c r="AW121" i="77"/>
  <c r="AX129" i="77"/>
  <c r="AY130" i="77"/>
  <c r="AW132" i="77"/>
  <c r="BA145" i="77"/>
  <c r="BA147" i="77"/>
  <c r="AY148" i="77"/>
  <c r="AY150" i="77"/>
  <c r="AY151" i="77"/>
  <c r="AW153" i="77"/>
  <c r="E6" i="84"/>
  <c r="E15" i="84" s="1"/>
  <c r="O6" i="84"/>
  <c r="O15" i="84" s="1"/>
  <c r="Q9" i="84"/>
  <c r="E35" i="9" s="1"/>
  <c r="AA6" i="84"/>
  <c r="AA15" i="84" s="1"/>
  <c r="AC6" i="84"/>
  <c r="AC15" i="84" s="1"/>
  <c r="AD9" i="84"/>
  <c r="AI6" i="84"/>
  <c r="AI15" i="84" s="1"/>
  <c r="I162" i="83"/>
  <c r="L165" i="83"/>
  <c r="P163" i="83"/>
  <c r="R56" i="83"/>
  <c r="BA157" i="77"/>
  <c r="AY160" i="77"/>
  <c r="AB163" i="83"/>
  <c r="AG163" i="83"/>
  <c r="BA162" i="77"/>
  <c r="AX111" i="77"/>
  <c r="BA123" i="77"/>
  <c r="BA126" i="77"/>
  <c r="W264" i="77"/>
  <c r="AZ124" i="77"/>
  <c r="BA112" i="77"/>
  <c r="BA118" i="77"/>
  <c r="AY120" i="77"/>
  <c r="AX121" i="77"/>
  <c r="E262" i="77"/>
  <c r="AW127" i="77"/>
  <c r="AY129" i="77"/>
  <c r="AZ130" i="77"/>
  <c r="AX132" i="77"/>
  <c r="AZ148" i="77"/>
  <c r="AZ150" i="77"/>
  <c r="AZ151" i="77"/>
  <c r="AX153" i="77"/>
  <c r="I164" i="83"/>
  <c r="AB165" i="83"/>
  <c r="AG165" i="83"/>
  <c r="BA148" i="77"/>
  <c r="BA150" i="77"/>
  <c r="BA151" i="77"/>
  <c r="AY153" i="77"/>
  <c r="AW154" i="77"/>
  <c r="E273" i="77"/>
  <c r="E9" i="84"/>
  <c r="H6" i="84"/>
  <c r="H15" i="84" s="1"/>
  <c r="M6" i="84"/>
  <c r="M15" i="84" s="1"/>
  <c r="O9" i="84"/>
  <c r="Y6" i="84"/>
  <c r="Y15" i="84" s="1"/>
  <c r="AA9" i="84"/>
  <c r="O35" i="9" s="1"/>
  <c r="AC9" i="84"/>
  <c r="Q35" i="9" s="1"/>
  <c r="AI9" i="84"/>
  <c r="W35" i="9" s="1"/>
  <c r="K165" i="83"/>
  <c r="E274" i="77"/>
  <c r="BA159" i="77"/>
  <c r="BA160" i="77"/>
  <c r="AX154" i="77"/>
  <c r="AZ9" i="84"/>
  <c r="W53" i="83"/>
  <c r="V257" i="77"/>
  <c r="W257" i="77"/>
  <c r="X257" i="77"/>
  <c r="Y257" i="77"/>
  <c r="Z257" i="77"/>
  <c r="AB257" i="77"/>
  <c r="AA257" i="77"/>
  <c r="V258" i="77"/>
  <c r="W258" i="77"/>
  <c r="X258" i="77"/>
  <c r="Y258" i="77"/>
  <c r="Z258" i="77"/>
  <c r="AB258" i="77"/>
  <c r="AA258" i="77"/>
  <c r="AQ258" i="77"/>
  <c r="AW110" i="77"/>
  <c r="AR258" i="77"/>
  <c r="AX110" i="77"/>
  <c r="AY110" i="77"/>
  <c r="AS258" i="77"/>
  <c r="AZ110" i="77"/>
  <c r="AT258" i="77"/>
  <c r="BA110" i="77"/>
  <c r="AU258" i="77"/>
  <c r="V259" i="77"/>
  <c r="X259" i="77"/>
  <c r="Y259" i="77"/>
  <c r="Z259" i="77"/>
  <c r="AB259" i="77"/>
  <c r="AA259" i="77"/>
  <c r="AQ259" i="77"/>
  <c r="AW113" i="77"/>
  <c r="AX113" i="77"/>
  <c r="AR259" i="77"/>
  <c r="AY113" i="77"/>
  <c r="AS259" i="77"/>
  <c r="AZ113" i="77"/>
  <c r="AT259" i="77"/>
  <c r="BA113" i="77"/>
  <c r="AU259" i="77"/>
  <c r="V260" i="77"/>
  <c r="X260" i="77"/>
  <c r="Y260" i="77"/>
  <c r="Z260" i="77"/>
  <c r="AB260" i="77"/>
  <c r="AA260" i="77"/>
  <c r="AW116" i="77"/>
  <c r="AQ260" i="77"/>
  <c r="AX116" i="77"/>
  <c r="AR260" i="77"/>
  <c r="AY116" i="77"/>
  <c r="AS260" i="77"/>
  <c r="AT260" i="77"/>
  <c r="AZ116" i="77"/>
  <c r="BA116" i="77"/>
  <c r="AU260" i="77"/>
  <c r="V261" i="77"/>
  <c r="X261" i="77"/>
  <c r="Y261" i="77"/>
  <c r="Z261" i="77"/>
  <c r="AB261" i="77"/>
  <c r="AA261" i="77"/>
  <c r="AW119" i="77"/>
  <c r="AQ261" i="77"/>
  <c r="AR261" i="77"/>
  <c r="AX119" i="77"/>
  <c r="AS261" i="77"/>
  <c r="AY119" i="77"/>
  <c r="AT261" i="77"/>
  <c r="AZ119" i="77"/>
  <c r="BA119" i="77"/>
  <c r="AU261" i="77"/>
  <c r="V262" i="77"/>
  <c r="X262" i="77"/>
  <c r="Y262" i="77"/>
  <c r="Z262" i="77"/>
  <c r="AB262" i="77"/>
  <c r="AA262" i="77"/>
  <c r="AW122" i="77"/>
  <c r="AQ262" i="77"/>
  <c r="AX122" i="77"/>
  <c r="AR262" i="77"/>
  <c r="AY122" i="77"/>
  <c r="AS262" i="77"/>
  <c r="AT262" i="77"/>
  <c r="AZ122" i="77"/>
  <c r="BA122" i="77"/>
  <c r="AU262" i="77"/>
  <c r="V263" i="77"/>
  <c r="W263" i="77"/>
  <c r="X263" i="77"/>
  <c r="Y263" i="77"/>
  <c r="Z263" i="77"/>
  <c r="AB263" i="77"/>
  <c r="AW125" i="77"/>
  <c r="AQ263" i="77"/>
  <c r="AX125" i="77"/>
  <c r="AR263" i="77"/>
  <c r="AY125" i="77"/>
  <c r="AS263" i="77"/>
  <c r="AZ125" i="77"/>
  <c r="AT263" i="77"/>
  <c r="AU263" i="77"/>
  <c r="BA125" i="77"/>
  <c r="AA263" i="77"/>
  <c r="V264" i="77"/>
  <c r="X264" i="77"/>
  <c r="Y264" i="77"/>
  <c r="Z264" i="77"/>
  <c r="AB264" i="77"/>
  <c r="AA264" i="77"/>
  <c r="AW128" i="77"/>
  <c r="AQ264" i="77"/>
  <c r="AR264" i="77"/>
  <c r="AX128" i="77"/>
  <c r="AY128" i="77"/>
  <c r="AS264" i="77"/>
  <c r="AZ128" i="77"/>
  <c r="AT264" i="77"/>
  <c r="BA128" i="77"/>
  <c r="AU264" i="77"/>
  <c r="V265" i="77"/>
  <c r="W265" i="77"/>
  <c r="Y265" i="77"/>
  <c r="Z265" i="77"/>
  <c r="AB265" i="77"/>
  <c r="AA265" i="77"/>
  <c r="AW131" i="77"/>
  <c r="AQ265" i="77"/>
  <c r="AX131" i="77"/>
  <c r="AR265" i="77"/>
  <c r="AY131" i="77"/>
  <c r="AS265" i="77"/>
  <c r="AT265" i="77"/>
  <c r="AZ131" i="77"/>
  <c r="BA131" i="77"/>
  <c r="AU265" i="77"/>
  <c r="V266" i="77"/>
  <c r="W266" i="77"/>
  <c r="X266" i="77"/>
  <c r="Y266" i="77"/>
  <c r="Z266" i="77"/>
  <c r="AB266" i="77"/>
  <c r="AA266" i="77"/>
  <c r="AQ266" i="77"/>
  <c r="AW134" i="77"/>
  <c r="AR266" i="77"/>
  <c r="AX134" i="77"/>
  <c r="AY134" i="77"/>
  <c r="AS266" i="77"/>
  <c r="AT266" i="77"/>
  <c r="AZ134" i="77"/>
  <c r="BA134" i="77"/>
  <c r="AU266" i="77"/>
  <c r="V267" i="77"/>
  <c r="W267" i="77"/>
  <c r="X267" i="77"/>
  <c r="Y267" i="77"/>
  <c r="Z267" i="77"/>
  <c r="AW137" i="77"/>
  <c r="AQ267" i="77"/>
  <c r="AX137" i="77"/>
  <c r="AR267" i="77"/>
  <c r="AY137" i="77"/>
  <c r="AS267" i="77"/>
  <c r="AZ137" i="77"/>
  <c r="AT267" i="77"/>
  <c r="AU267" i="77"/>
  <c r="BA137" i="77"/>
  <c r="AW140" i="77"/>
  <c r="AQ268" i="77"/>
  <c r="AX140" i="77"/>
  <c r="AR268" i="77"/>
  <c r="AY140" i="77"/>
  <c r="AS268" i="77"/>
  <c r="AT268" i="77"/>
  <c r="AZ140" i="77"/>
  <c r="BA140" i="77"/>
  <c r="AU268" i="77"/>
  <c r="AW143" i="77"/>
  <c r="AQ269" i="77"/>
  <c r="AX143" i="77"/>
  <c r="AR269" i="77"/>
  <c r="AY143" i="77"/>
  <c r="AS269" i="77"/>
  <c r="AZ143" i="77"/>
  <c r="AT269" i="77"/>
  <c r="BA143" i="77"/>
  <c r="AU269" i="77"/>
  <c r="AQ270" i="77"/>
  <c r="AW146" i="77"/>
  <c r="AX146" i="77"/>
  <c r="AR270" i="77"/>
  <c r="AY146" i="77"/>
  <c r="AS270" i="77"/>
  <c r="AZ146" i="77"/>
  <c r="AT270" i="77"/>
  <c r="AU270" i="77"/>
  <c r="BA146" i="77"/>
  <c r="AW149" i="77"/>
  <c r="AQ271" i="77"/>
  <c r="AR271" i="77"/>
  <c r="AX149" i="77"/>
  <c r="AY149" i="77"/>
  <c r="AS271" i="77"/>
  <c r="AT271" i="77"/>
  <c r="AZ149" i="77"/>
  <c r="BA149" i="77"/>
  <c r="AU271" i="77"/>
  <c r="AW152" i="77"/>
  <c r="AQ272" i="77"/>
  <c r="AR272" i="77"/>
  <c r="AX152" i="77"/>
  <c r="AS272" i="77"/>
  <c r="AY152" i="77"/>
  <c r="AZ152" i="77"/>
  <c r="AT272" i="77"/>
  <c r="AU272" i="77"/>
  <c r="BA152" i="77"/>
  <c r="Z49" i="83"/>
  <c r="Z50" i="83"/>
  <c r="AW155" i="77"/>
  <c r="AQ273" i="77"/>
  <c r="AX155" i="77"/>
  <c r="AR273" i="77"/>
  <c r="AY155" i="77"/>
  <c r="AS273" i="77"/>
  <c r="AZ155" i="77"/>
  <c r="AT273" i="77"/>
  <c r="BA155" i="77"/>
  <c r="AU273" i="77"/>
  <c r="AK9" i="84"/>
  <c r="E53" i="83"/>
  <c r="AL9" i="84"/>
  <c r="F53" i="83"/>
  <c r="F51" i="83" s="1"/>
  <c r="AM9" i="84"/>
  <c r="G53" i="83"/>
  <c r="G51" i="83" s="1"/>
  <c r="H53" i="83"/>
  <c r="H51" i="83" s="1"/>
  <c r="AN9" i="84"/>
  <c r="AO9" i="84"/>
  <c r="J53" i="83"/>
  <c r="J51" i="83" s="1"/>
  <c r="J56" i="83"/>
  <c r="N55" i="83"/>
  <c r="N162" i="83"/>
  <c r="J163" i="83"/>
  <c r="N164" i="83"/>
  <c r="J165" i="83"/>
  <c r="L53" i="83"/>
  <c r="AQ9" i="84"/>
  <c r="M53" i="83"/>
  <c r="AR9" i="84"/>
  <c r="O56" i="83"/>
  <c r="S55" i="83"/>
  <c r="S162" i="83"/>
  <c r="O163" i="83"/>
  <c r="O165" i="83"/>
  <c r="S164" i="83"/>
  <c r="R53" i="83"/>
  <c r="AV9" i="84"/>
  <c r="AW9" i="84"/>
  <c r="T53" i="83"/>
  <c r="T56" i="83"/>
  <c r="X55" i="83"/>
  <c r="X162" i="83"/>
  <c r="T163" i="83"/>
  <c r="T165" i="83"/>
  <c r="X164" i="83"/>
  <c r="AX9" i="84"/>
  <c r="U53" i="83"/>
  <c r="AY9" i="84"/>
  <c r="V53" i="83"/>
  <c r="BA9" i="84"/>
  <c r="Y53" i="83"/>
  <c r="AC55" i="83"/>
  <c r="Y56" i="83"/>
  <c r="AC162" i="83"/>
  <c r="Y163" i="83"/>
  <c r="Y165" i="83"/>
  <c r="AC164" i="83"/>
  <c r="BB9" i="84"/>
  <c r="Z53" i="83"/>
  <c r="AE54" i="83" s="1"/>
  <c r="BC9" i="84"/>
  <c r="AA53" i="83"/>
  <c r="AF54" i="83" s="1"/>
  <c r="AW158" i="77"/>
  <c r="AQ274" i="77"/>
  <c r="AR274" i="77"/>
  <c r="AX158" i="77"/>
  <c r="AY158" i="77"/>
  <c r="AS274" i="77"/>
  <c r="AZ158" i="77"/>
  <c r="AT274" i="77"/>
  <c r="AU274" i="77"/>
  <c r="BA158" i="77"/>
  <c r="BD9" i="84"/>
  <c r="AB53" i="83"/>
  <c r="AG54" i="83" s="1"/>
  <c r="BA161" i="77"/>
  <c r="AU275" i="77"/>
  <c r="AZ161" i="77"/>
  <c r="AT275" i="77"/>
  <c r="AY161" i="77"/>
  <c r="AS275" i="77"/>
  <c r="AX161" i="77"/>
  <c r="AR275" i="77"/>
  <c r="AQ275" i="77"/>
  <c r="AW161" i="77"/>
  <c r="AI163" i="83"/>
  <c r="AD163" i="83"/>
  <c r="AH162" i="83"/>
  <c r="AI165" i="83"/>
  <c r="AH164" i="83"/>
  <c r="AD165" i="83"/>
  <c r="BE9" i="84"/>
  <c r="AD53" i="83"/>
  <c r="AI54" i="83" s="1"/>
  <c r="AD56" i="83"/>
  <c r="AW164" i="77"/>
  <c r="AQ276" i="77"/>
  <c r="AR276" i="77"/>
  <c r="AX164" i="77"/>
  <c r="AY164" i="77"/>
  <c r="AS276" i="77"/>
  <c r="AZ164" i="77"/>
  <c r="AT276" i="77"/>
  <c r="AU276" i="77"/>
  <c r="BA164" i="77"/>
  <c r="E45" i="83"/>
  <c r="AK6" i="84"/>
  <c r="AK15" i="84" s="1"/>
  <c r="I48" i="83"/>
  <c r="I50" i="83" s="1"/>
  <c r="E50" i="83"/>
  <c r="AL6" i="84"/>
  <c r="AL15" i="84" s="1"/>
  <c r="F45" i="83"/>
  <c r="AM6" i="84"/>
  <c r="AM15" i="84" s="1"/>
  <c r="G45" i="83"/>
  <c r="H45" i="83"/>
  <c r="AN6" i="84"/>
  <c r="AO6" i="84"/>
  <c r="AO15" i="84" s="1"/>
  <c r="J45" i="83"/>
  <c r="J49" i="83"/>
  <c r="J50" i="83"/>
  <c r="N48" i="83"/>
  <c r="AP6" i="84"/>
  <c r="K45" i="83"/>
  <c r="K50" i="83"/>
  <c r="K49" i="83"/>
  <c r="L45" i="83"/>
  <c r="AQ6" i="84"/>
  <c r="L50" i="83"/>
  <c r="L49" i="83"/>
  <c r="M45" i="83"/>
  <c r="AR6" i="84"/>
  <c r="M50" i="83"/>
  <c r="M49" i="83"/>
  <c r="AW6" i="84"/>
  <c r="T45" i="83"/>
  <c r="T49" i="83"/>
  <c r="X48" i="83"/>
  <c r="T50" i="83"/>
  <c r="AX6" i="84"/>
  <c r="U45" i="83"/>
  <c r="U50" i="83"/>
  <c r="U49" i="83"/>
  <c r="AY6" i="84"/>
  <c r="V45" i="83"/>
  <c r="V49" i="83"/>
  <c r="V50" i="83"/>
  <c r="AZ6" i="84"/>
  <c r="W45" i="83"/>
  <c r="W50" i="83"/>
  <c r="W49" i="83"/>
  <c r="BA6" i="84"/>
  <c r="Y45" i="83"/>
  <c r="AC48" i="83"/>
  <c r="Y49" i="83"/>
  <c r="Y50" i="83"/>
  <c r="S48" i="83"/>
  <c r="R50" i="83"/>
  <c r="R49" i="83"/>
  <c r="Q50" i="83"/>
  <c r="Q49" i="83"/>
  <c r="P49" i="83"/>
  <c r="P50" i="83"/>
  <c r="O49" i="83"/>
  <c r="O50" i="83"/>
  <c r="AV6" i="84"/>
  <c r="R45" i="83"/>
  <c r="Q45" i="83"/>
  <c r="AU6" i="84"/>
  <c r="AD50" i="83"/>
  <c r="AH48" i="83"/>
  <c r="AM49" i="83" s="1"/>
  <c r="AD49" i="83"/>
  <c r="BE6" i="84"/>
  <c r="AD45" i="83"/>
  <c r="AI46" i="83" s="1"/>
  <c r="AB49" i="83"/>
  <c r="AB50" i="83"/>
  <c r="BD6" i="84"/>
  <c r="AB45" i="83"/>
  <c r="AG46" i="83" s="1"/>
  <c r="AA50" i="83"/>
  <c r="AA49" i="83"/>
  <c r="BC6" i="84"/>
  <c r="AA45" i="83"/>
  <c r="AF46" i="83" s="1"/>
  <c r="BB6" i="84"/>
  <c r="Z45" i="83"/>
  <c r="AE46" i="83" s="1"/>
  <c r="AE44" i="83"/>
  <c r="AJ43" i="83"/>
  <c r="AJ134" i="77"/>
  <c r="AI114" i="77"/>
  <c r="AO133" i="77"/>
  <c r="AO117" i="77"/>
  <c r="AO118" i="77"/>
  <c r="AO115" i="77"/>
  <c r="AL119" i="77"/>
  <c r="AO136" i="77"/>
  <c r="AO121" i="77"/>
  <c r="AO124" i="77"/>
  <c r="AK108" i="77"/>
  <c r="AG122" i="77"/>
  <c r="AH125" i="77"/>
  <c r="AO126" i="77"/>
  <c r="AO127" i="77"/>
  <c r="AI128" i="77"/>
  <c r="AM129" i="77"/>
  <c r="AO130" i="77"/>
  <c r="AJ131" i="77"/>
  <c r="AO135" i="77"/>
  <c r="AO109" i="77"/>
  <c r="AJ110" i="77"/>
  <c r="AO112" i="77"/>
  <c r="AM116" i="77"/>
  <c r="AO123" i="77"/>
  <c r="AO132" i="77"/>
  <c r="AI137" i="77"/>
  <c r="AO111" i="77"/>
  <c r="AK113" i="77"/>
  <c r="AO120" i="77"/>
  <c r="AE61" i="83"/>
  <c r="W61" i="83"/>
  <c r="H59" i="83"/>
  <c r="L61" i="83"/>
  <c r="M61" i="83"/>
  <c r="J61" i="83"/>
  <c r="W59" i="83"/>
  <c r="Q61" i="83"/>
  <c r="K61" i="83"/>
  <c r="F59" i="83"/>
  <c r="Y61" i="83"/>
  <c r="P61" i="83"/>
  <c r="E61" i="83"/>
  <c r="G61" i="83"/>
  <c r="AB61" i="83"/>
  <c r="Z61" i="83"/>
  <c r="Y59" i="83"/>
  <c r="O61" i="83"/>
  <c r="V59" i="83"/>
  <c r="R59" i="83"/>
  <c r="AB59" i="83"/>
  <c r="Z59" i="83"/>
  <c r="U59" i="83"/>
  <c r="E59" i="83"/>
  <c r="V61" i="83"/>
  <c r="T59" i="83"/>
  <c r="J59" i="83"/>
  <c r="R61" i="83"/>
  <c r="G59" i="83"/>
  <c r="U61" i="83"/>
  <c r="T61" i="83"/>
  <c r="AD61" i="83"/>
  <c r="AA61" i="83"/>
  <c r="L59" i="83"/>
  <c r="H61" i="83"/>
  <c r="F61" i="83"/>
  <c r="M59" i="83"/>
  <c r="AD59" i="83"/>
  <c r="AA59" i="83"/>
  <c r="F35" i="9" l="1"/>
  <c r="BB15" i="84"/>
  <c r="AY15" i="84"/>
  <c r="BA15" i="84"/>
  <c r="AV15" i="84"/>
  <c r="T12" i="84"/>
  <c r="H35" i="9"/>
  <c r="R12" i="84"/>
  <c r="AX15" i="84"/>
  <c r="AR15" i="84"/>
  <c r="Q272" i="77"/>
  <c r="BC15" i="84"/>
  <c r="AN15" i="84"/>
  <c r="AP15" i="84"/>
  <c r="AC163" i="83"/>
  <c r="AQ15" i="84"/>
  <c r="V12" i="84"/>
  <c r="J12" i="84"/>
  <c r="F12" i="84"/>
  <c r="Z12" i="84"/>
  <c r="BE15" i="84"/>
  <c r="Q260" i="77"/>
  <c r="AE12" i="84"/>
  <c r="AC165" i="83"/>
  <c r="Q266" i="77"/>
  <c r="AX274" i="77"/>
  <c r="AA12" i="84"/>
  <c r="AW272" i="77"/>
  <c r="S12" i="84"/>
  <c r="AZ15" i="84"/>
  <c r="AH12" i="84"/>
  <c r="Q261" i="77"/>
  <c r="BA271" i="77"/>
  <c r="AU15" i="84"/>
  <c r="AB12" i="84"/>
  <c r="K12" i="84"/>
  <c r="AW15" i="84"/>
  <c r="N12" i="84"/>
  <c r="AY269" i="77"/>
  <c r="AW267" i="77"/>
  <c r="AW266" i="77"/>
  <c r="AX261" i="77"/>
  <c r="R60" i="83"/>
  <c r="Q273" i="77"/>
  <c r="Q265" i="77"/>
  <c r="BA276" i="77"/>
  <c r="BA260" i="77"/>
  <c r="BA259" i="77"/>
  <c r="V62" i="83"/>
  <c r="Q267" i="77"/>
  <c r="BD15" i="84"/>
  <c r="AW273" i="77"/>
  <c r="BA263" i="77"/>
  <c r="BA275" i="77"/>
  <c r="AZ265" i="77"/>
  <c r="AZ258" i="77"/>
  <c r="AZ270" i="77"/>
  <c r="AX268" i="77"/>
  <c r="AY264" i="77"/>
  <c r="AZ262" i="77"/>
  <c r="Q274" i="77"/>
  <c r="AF12" i="84"/>
  <c r="K62" i="83"/>
  <c r="AD12" i="84"/>
  <c r="O12" i="84"/>
  <c r="Y12" i="84"/>
  <c r="X12" i="84"/>
  <c r="P12" i="84"/>
  <c r="W12" i="84"/>
  <c r="N165" i="83"/>
  <c r="AC12" i="84"/>
  <c r="U12" i="84"/>
  <c r="L62" i="83"/>
  <c r="G12" i="84"/>
  <c r="N163" i="83"/>
  <c r="AJ56" i="83"/>
  <c r="AH55" i="83"/>
  <c r="AM56" i="83" s="1"/>
  <c r="AJ12" i="84"/>
  <c r="R35" i="9"/>
  <c r="AE56" i="83"/>
  <c r="AI12" i="84"/>
  <c r="X163" i="83"/>
  <c r="I12" i="84"/>
  <c r="AG12" i="84"/>
  <c r="L12" i="84"/>
  <c r="S163" i="83"/>
  <c r="Q62" i="83"/>
  <c r="Y60" i="83"/>
  <c r="E12" i="84"/>
  <c r="W62" i="83"/>
  <c r="P62" i="83"/>
  <c r="T62" i="83"/>
  <c r="X165" i="83"/>
  <c r="Q12" i="84"/>
  <c r="Q268" i="77"/>
  <c r="AW276" i="77"/>
  <c r="S165" i="83"/>
  <c r="AY272" i="77"/>
  <c r="AX271" i="77"/>
  <c r="AW270" i="77"/>
  <c r="AI134" i="77"/>
  <c r="AX265" i="77"/>
  <c r="AH131" i="77"/>
  <c r="AW264" i="77"/>
  <c r="AG128" i="77"/>
  <c r="AW263" i="77"/>
  <c r="AL125" i="77"/>
  <c r="AL122" i="77"/>
  <c r="BA261" i="77"/>
  <c r="AM119" i="77"/>
  <c r="AK116" i="77"/>
  <c r="AY259" i="77"/>
  <c r="AJ113" i="77"/>
  <c r="AI110" i="77"/>
  <c r="AJ108" i="77"/>
  <c r="AH117" i="77"/>
  <c r="AK120" i="77"/>
  <c r="AL127" i="77"/>
  <c r="AJ112" i="77"/>
  <c r="AH109" i="77"/>
  <c r="AH129" i="77"/>
  <c r="AL129" i="77"/>
  <c r="AM130" i="77"/>
  <c r="AG121" i="77"/>
  <c r="AK115" i="77"/>
  <c r="AW275" i="77"/>
  <c r="BA274" i="77"/>
  <c r="AX273" i="77"/>
  <c r="AW271" i="77"/>
  <c r="BA269" i="77"/>
  <c r="AY267" i="77"/>
  <c r="AH137" i="77"/>
  <c r="AX266" i="77"/>
  <c r="AZ260" i="77"/>
  <c r="AX258" i="77"/>
  <c r="AL136" i="77"/>
  <c r="AI115" i="77"/>
  <c r="AL118" i="77"/>
  <c r="AM126" i="77"/>
  <c r="AM127" i="77"/>
  <c r="AI124" i="77"/>
  <c r="AK127" i="77"/>
  <c r="AI136" i="77"/>
  <c r="AK129" i="77"/>
  <c r="AG135" i="77"/>
  <c r="AH120" i="77"/>
  <c r="AM109" i="77"/>
  <c r="AJ117" i="77"/>
  <c r="M60" i="83"/>
  <c r="R62" i="83"/>
  <c r="O62" i="83"/>
  <c r="W60" i="83"/>
  <c r="Q262" i="77"/>
  <c r="Q271" i="77"/>
  <c r="AX275" i="77"/>
  <c r="AZ274" i="77"/>
  <c r="AX272" i="77"/>
  <c r="AZ268" i="77"/>
  <c r="AH134" i="77"/>
  <c r="AW265" i="77"/>
  <c r="AG131" i="77"/>
  <c r="AL128" i="77"/>
  <c r="AL126" i="77"/>
  <c r="AM125" i="77"/>
  <c r="BA262" i="77"/>
  <c r="AM122" i="77"/>
  <c r="AK119" i="77"/>
  <c r="AY260" i="77"/>
  <c r="AJ116" i="77"/>
  <c r="AX259" i="77"/>
  <c r="AI113" i="77"/>
  <c r="AH110" i="77"/>
  <c r="AI108" i="77"/>
  <c r="AJ114" i="77"/>
  <c r="AK124" i="77"/>
  <c r="AI109" i="77"/>
  <c r="AK126" i="77"/>
  <c r="AK123" i="77"/>
  <c r="AJ126" i="77"/>
  <c r="AI126" i="77"/>
  <c r="AJ111" i="77"/>
  <c r="AI127" i="77"/>
  <c r="AK111" i="77"/>
  <c r="AG132" i="77"/>
  <c r="AJ118" i="77"/>
  <c r="Z60" i="83"/>
  <c r="AE60" i="83"/>
  <c r="AA60" i="83"/>
  <c r="AF60" i="83"/>
  <c r="J62" i="83"/>
  <c r="AZ269" i="77"/>
  <c r="AY268" i="77"/>
  <c r="AX267" i="77"/>
  <c r="AL137" i="77"/>
  <c r="AZ261" i="77"/>
  <c r="AW258" i="77"/>
  <c r="AK112" i="77"/>
  <c r="AL123" i="77"/>
  <c r="AJ124" i="77"/>
  <c r="AH112" i="77"/>
  <c r="AH124" i="77"/>
  <c r="AI129" i="77"/>
  <c r="AH126" i="77"/>
  <c r="AJ132" i="77"/>
  <c r="AG133" i="77"/>
  <c r="AK117" i="77"/>
  <c r="AH118" i="77"/>
  <c r="AI117" i="77"/>
  <c r="AA62" i="83"/>
  <c r="AF62" i="83"/>
  <c r="Z62" i="83"/>
  <c r="M62" i="83"/>
  <c r="Q275" i="77"/>
  <c r="Q263" i="77"/>
  <c r="AY275" i="77"/>
  <c r="AY274" i="77"/>
  <c r="BA270" i="77"/>
  <c r="AG137" i="77"/>
  <c r="AL134" i="77"/>
  <c r="AG134" i="77"/>
  <c r="AL131" i="77"/>
  <c r="BA264" i="77"/>
  <c r="AM128" i="77"/>
  <c r="AK125" i="77"/>
  <c r="AK122" i="77"/>
  <c r="AJ119" i="77"/>
  <c r="AX260" i="77"/>
  <c r="AI116" i="77"/>
  <c r="AG113" i="77"/>
  <c r="AL110" i="77"/>
  <c r="AG110" i="77"/>
  <c r="AH108" i="77"/>
  <c r="AJ109" i="77"/>
  <c r="AM123" i="77"/>
  <c r="AL111" i="77"/>
  <c r="AH121" i="77"/>
  <c r="AG114" i="77"/>
  <c r="AJ123" i="77"/>
  <c r="AG127" i="77"/>
  <c r="AK130" i="77"/>
  <c r="AI132" i="77"/>
  <c r="M12" i="84"/>
  <c r="AH130" i="77"/>
  <c r="AM115" i="77"/>
  <c r="AJ115" i="77"/>
  <c r="AM112" i="77"/>
  <c r="AY261" i="77"/>
  <c r="AW259" i="77"/>
  <c r="AG109" i="77"/>
  <c r="AI120" i="77"/>
  <c r="AM121" i="77"/>
  <c r="AG124" i="77"/>
  <c r="AJ129" i="77"/>
  <c r="AJ130" i="77"/>
  <c r="AG129" i="77"/>
  <c r="AL114" i="77"/>
  <c r="AH111" i="77"/>
  <c r="AM114" i="77"/>
  <c r="U62" i="83"/>
  <c r="AD60" i="83"/>
  <c r="AI60" i="83"/>
  <c r="J60" i="83"/>
  <c r="L60" i="83"/>
  <c r="AB62" i="83"/>
  <c r="AG62" i="83"/>
  <c r="Q270" i="77"/>
  <c r="Q257" i="77"/>
  <c r="AZ276" i="77"/>
  <c r="AZ275" i="77"/>
  <c r="BA266" i="77"/>
  <c r="AM134" i="77"/>
  <c r="BA265" i="77"/>
  <c r="AM131" i="77"/>
  <c r="AZ264" i="77"/>
  <c r="AK128" i="77"/>
  <c r="AZ263" i="77"/>
  <c r="AJ125" i="77"/>
  <c r="AY262" i="77"/>
  <c r="AJ122" i="77"/>
  <c r="AI119" i="77"/>
  <c r="AW260" i="77"/>
  <c r="AG116" i="77"/>
  <c r="AL113" i="77"/>
  <c r="BA258" i="77"/>
  <c r="AM110" i="77"/>
  <c r="AL108" i="77"/>
  <c r="AG108" i="77"/>
  <c r="AM124" i="77"/>
  <c r="AM111" i="77"/>
  <c r="AM136" i="77"/>
  <c r="AJ133" i="77"/>
  <c r="AK118" i="77"/>
  <c r="AJ135" i="77"/>
  <c r="AJ136" i="77"/>
  <c r="AL120" i="77"/>
  <c r="AG123" i="77"/>
  <c r="AI123" i="77"/>
  <c r="AG136" i="77"/>
  <c r="H12" i="84"/>
  <c r="AG111" i="77"/>
  <c r="AG130" i="77"/>
  <c r="AH165" i="83"/>
  <c r="AM165" i="83"/>
  <c r="BA273" i="77"/>
  <c r="AY270" i="77"/>
  <c r="AX269" i="77"/>
  <c r="AW268" i="77"/>
  <c r="AK137" i="77"/>
  <c r="AH127" i="77"/>
  <c r="AI111" i="77"/>
  <c r="AL135" i="77"/>
  <c r="AM132" i="77"/>
  <c r="AM117" i="77"/>
  <c r="AK135" i="77"/>
  <c r="AI121" i="77"/>
  <c r="AK121" i="77"/>
  <c r="AH135" i="77"/>
  <c r="AL109" i="77"/>
  <c r="AK114" i="77"/>
  <c r="AD62" i="83"/>
  <c r="AI62" i="83"/>
  <c r="Q259" i="77"/>
  <c r="AY276" i="77"/>
  <c r="AW274" i="77"/>
  <c r="BA272" i="77"/>
  <c r="AZ271" i="77"/>
  <c r="AK134" i="77"/>
  <c r="AK131" i="77"/>
  <c r="AJ128" i="77"/>
  <c r="AY263" i="77"/>
  <c r="AI125" i="77"/>
  <c r="AX262" i="77"/>
  <c r="AI122" i="77"/>
  <c r="AW261" i="77"/>
  <c r="AG119" i="77"/>
  <c r="AL116" i="77"/>
  <c r="AM113" i="77"/>
  <c r="AK110" i="77"/>
  <c r="AM108" i="77"/>
  <c r="AG126" i="77"/>
  <c r="AL133" i="77"/>
  <c r="AG117" i="77"/>
  <c r="AK136" i="77"/>
  <c r="AL130" i="77"/>
  <c r="AL115" i="77"/>
  <c r="AK133" i="77"/>
  <c r="I61" i="83"/>
  <c r="AJ120" i="77"/>
  <c r="AH136" i="77"/>
  <c r="AM120" i="77"/>
  <c r="AH133" i="77"/>
  <c r="AK109" i="77"/>
  <c r="AI118" i="77"/>
  <c r="Q276" i="77"/>
  <c r="Q269" i="77"/>
  <c r="AH163" i="83"/>
  <c r="AM163" i="83"/>
  <c r="AZ273" i="77"/>
  <c r="AZ272" i="77"/>
  <c r="AY271" i="77"/>
  <c r="AX270" i="77"/>
  <c r="AW269" i="77"/>
  <c r="AJ137" i="77"/>
  <c r="AZ266" i="77"/>
  <c r="AM135" i="77"/>
  <c r="AG115" i="77"/>
  <c r="AL132" i="77"/>
  <c r="AG112" i="77"/>
  <c r="AM118" i="77"/>
  <c r="AI135" i="77"/>
  <c r="AH132" i="77"/>
  <c r="AL112" i="77"/>
  <c r="Q264" i="77"/>
  <c r="BA267" i="77"/>
  <c r="AY266" i="77"/>
  <c r="AY265" i="77"/>
  <c r="AX263" i="77"/>
  <c r="AW262" i="77"/>
  <c r="AZ259" i="77"/>
  <c r="AY258" i="77"/>
  <c r="AH123" i="77"/>
  <c r="AH115" i="77"/>
  <c r="AM133" i="77"/>
  <c r="AH114" i="77"/>
  <c r="AJ127" i="77"/>
  <c r="BF12" i="84"/>
  <c r="AE57" i="83" s="1"/>
  <c r="AT35" i="9"/>
  <c r="AL117" i="77"/>
  <c r="AI133" i="77"/>
  <c r="Y62" i="83"/>
  <c r="AB60" i="83"/>
  <c r="AG60" i="83"/>
  <c r="Q258" i="77"/>
  <c r="AX276" i="77"/>
  <c r="AY273" i="77"/>
  <c r="BA268" i="77"/>
  <c r="AZ267" i="77"/>
  <c r="AX264" i="77"/>
  <c r="AG118" i="77"/>
  <c r="AJ121" i="77"/>
  <c r="AI112" i="77"/>
  <c r="AI130" i="77"/>
  <c r="AL121" i="77"/>
  <c r="AK132" i="77"/>
  <c r="AG120" i="77"/>
  <c r="AL124" i="77"/>
  <c r="AS6" i="84"/>
  <c r="AS15" i="84" s="1"/>
  <c r="O45" i="83"/>
  <c r="T46" i="83" s="1"/>
  <c r="AU9" i="84"/>
  <c r="Q53" i="83"/>
  <c r="V54" i="83" s="1"/>
  <c r="P45" i="83"/>
  <c r="U46" i="83" s="1"/>
  <c r="AT6" i="84"/>
  <c r="AT15" i="84" s="1"/>
  <c r="AS9" i="84"/>
  <c r="O53" i="83"/>
  <c r="T54" i="83" s="1"/>
  <c r="AP9" i="84"/>
  <c r="K53" i="83"/>
  <c r="N53" i="83" s="1"/>
  <c r="AE62" i="83"/>
  <c r="AJ62" i="83"/>
  <c r="P53" i="83"/>
  <c r="U54" i="83" s="1"/>
  <c r="AT9" i="84"/>
  <c r="AO145" i="77"/>
  <c r="AJ145" i="77"/>
  <c r="AI145" i="77"/>
  <c r="AL145" i="77"/>
  <c r="AH145" i="77"/>
  <c r="AG145" i="77"/>
  <c r="AM145" i="77"/>
  <c r="AK145" i="77"/>
  <c r="AK141" i="77"/>
  <c r="AI141" i="77"/>
  <c r="AJ141" i="77"/>
  <c r="AG141" i="77"/>
  <c r="AO141" i="77"/>
  <c r="AL141" i="77"/>
  <c r="AH141" i="77"/>
  <c r="AM141" i="77"/>
  <c r="AD268" i="77"/>
  <c r="AO138" i="77"/>
  <c r="AG138" i="77"/>
  <c r="AJ138" i="77"/>
  <c r="AI138" i="77"/>
  <c r="AH138" i="77"/>
  <c r="AK138" i="77"/>
  <c r="AL138" i="77"/>
  <c r="AM138" i="77"/>
  <c r="AH113" i="77"/>
  <c r="AO113" i="77"/>
  <c r="AK152" i="77"/>
  <c r="AJ152" i="77"/>
  <c r="AG152" i="77"/>
  <c r="AH152" i="77"/>
  <c r="AM152" i="77"/>
  <c r="AD272" i="77"/>
  <c r="AL152" i="77"/>
  <c r="AO152" i="77"/>
  <c r="AI152" i="77"/>
  <c r="AM137" i="77"/>
  <c r="AD267" i="77"/>
  <c r="AO267" i="77" s="1"/>
  <c r="AO137" i="77"/>
  <c r="AO144" i="77"/>
  <c r="AL144" i="77"/>
  <c r="AI144" i="77"/>
  <c r="AH144" i="77"/>
  <c r="AM144" i="77"/>
  <c r="AG144" i="77"/>
  <c r="AK144" i="77"/>
  <c r="AJ144" i="77"/>
  <c r="AH116" i="77"/>
  <c r="AO116" i="77"/>
  <c r="AD260" i="77"/>
  <c r="AO260" i="77" s="1"/>
  <c r="AD258" i="77"/>
  <c r="AO258" i="77" s="1"/>
  <c r="AO110" i="77"/>
  <c r="AI131" i="77"/>
  <c r="AD265" i="77"/>
  <c r="AK265" i="77" s="1"/>
  <c r="AO131" i="77"/>
  <c r="AD264" i="77"/>
  <c r="AO264" i="77" s="1"/>
  <c r="AO129" i="77"/>
  <c r="AH128" i="77"/>
  <c r="AO128" i="77"/>
  <c r="AG125" i="77"/>
  <c r="AD263" i="77"/>
  <c r="AO263" i="77" s="1"/>
  <c r="AO125" i="77"/>
  <c r="AH122" i="77"/>
  <c r="AO122" i="77"/>
  <c r="AD262" i="77"/>
  <c r="AO262" i="77" s="1"/>
  <c r="AO108" i="77"/>
  <c r="AD257" i="77"/>
  <c r="AO257" i="77" s="1"/>
  <c r="AO142" i="77"/>
  <c r="AM142" i="77"/>
  <c r="AH142" i="77"/>
  <c r="AJ142" i="77"/>
  <c r="AG142" i="77"/>
  <c r="AL142" i="77"/>
  <c r="AK142" i="77"/>
  <c r="AI142" i="77"/>
  <c r="AO151" i="77"/>
  <c r="AM151" i="77"/>
  <c r="AH151" i="77"/>
  <c r="AK151" i="77"/>
  <c r="AL151" i="77"/>
  <c r="AJ151" i="77"/>
  <c r="AG151" i="77"/>
  <c r="AI151" i="77"/>
  <c r="AH119" i="77"/>
  <c r="AD261" i="77"/>
  <c r="AO261" i="77" s="1"/>
  <c r="AO119" i="77"/>
  <c r="AO150" i="77"/>
  <c r="AM150" i="77"/>
  <c r="AL150" i="77"/>
  <c r="AK150" i="77"/>
  <c r="AG150" i="77"/>
  <c r="AJ150" i="77"/>
  <c r="AI150" i="77"/>
  <c r="AH150" i="77"/>
  <c r="AG146" i="77"/>
  <c r="AI146" i="77"/>
  <c r="AH146" i="77"/>
  <c r="AJ146" i="77"/>
  <c r="AD270" i="77"/>
  <c r="AO146" i="77"/>
  <c r="AK146" i="77"/>
  <c r="AL146" i="77"/>
  <c r="AM146" i="77"/>
  <c r="AG149" i="77"/>
  <c r="AL149" i="77"/>
  <c r="AI149" i="77"/>
  <c r="AK149" i="77"/>
  <c r="AM149" i="77"/>
  <c r="AH149" i="77"/>
  <c r="AO149" i="77"/>
  <c r="AJ149" i="77"/>
  <c r="AD271" i="77"/>
  <c r="AO147" i="77"/>
  <c r="AG147" i="77"/>
  <c r="AK147" i="77"/>
  <c r="AH147" i="77"/>
  <c r="AI147" i="77"/>
  <c r="AJ147" i="77"/>
  <c r="AL147" i="77"/>
  <c r="AM147" i="77"/>
  <c r="AD259" i="77"/>
  <c r="AO259" i="77" s="1"/>
  <c r="AO114" i="77"/>
  <c r="AO148" i="77"/>
  <c r="AJ148" i="77"/>
  <c r="AM148" i="77"/>
  <c r="AK148" i="77"/>
  <c r="AL148" i="77"/>
  <c r="AH148" i="77"/>
  <c r="AG148" i="77"/>
  <c r="AI148" i="77"/>
  <c r="AD266" i="77"/>
  <c r="AO266" i="77" s="1"/>
  <c r="AO134" i="77"/>
  <c r="AJ143" i="77"/>
  <c r="AL143" i="77"/>
  <c r="AH143" i="77"/>
  <c r="AM143" i="77"/>
  <c r="AK143" i="77"/>
  <c r="AO143" i="77"/>
  <c r="AG143" i="77"/>
  <c r="AD269" i="77"/>
  <c r="AI143" i="77"/>
  <c r="Z47" i="83"/>
  <c r="Z46" i="83"/>
  <c r="Z42" i="83"/>
  <c r="AE43" i="83" s="1"/>
  <c r="AA47" i="83"/>
  <c r="AA42" i="83"/>
  <c r="AF43" i="83" s="1"/>
  <c r="AA46" i="83"/>
  <c r="AB42" i="83"/>
  <c r="AG43" i="83" s="1"/>
  <c r="AB46" i="83"/>
  <c r="AB47" i="83"/>
  <c r="AH45" i="83"/>
  <c r="AM46" i="83" s="1"/>
  <c r="AD46" i="83"/>
  <c r="AD47" i="83"/>
  <c r="AD42" i="83"/>
  <c r="AI43" i="83" s="1"/>
  <c r="AH50" i="83"/>
  <c r="AH49" i="83"/>
  <c r="Q46" i="83"/>
  <c r="Q47" i="83"/>
  <c r="Q42" i="83"/>
  <c r="R42" i="83"/>
  <c r="R46" i="83"/>
  <c r="R47" i="83"/>
  <c r="S50" i="83"/>
  <c r="S49" i="83"/>
  <c r="AC50" i="83"/>
  <c r="AC49" i="83"/>
  <c r="AC45" i="83"/>
  <c r="Y42" i="83"/>
  <c r="Y47" i="83"/>
  <c r="Y46" i="83"/>
  <c r="W46" i="83"/>
  <c r="W42" i="83"/>
  <c r="W47" i="83"/>
  <c r="V47" i="83"/>
  <c r="V46" i="83"/>
  <c r="V42" i="83"/>
  <c r="U42" i="83"/>
  <c r="U47" i="83"/>
  <c r="X50" i="83"/>
  <c r="X49" i="83"/>
  <c r="T47" i="83"/>
  <c r="X45" i="83"/>
  <c r="T42" i="83"/>
  <c r="M46" i="83"/>
  <c r="M42" i="83"/>
  <c r="M47" i="83"/>
  <c r="L46" i="83"/>
  <c r="L42" i="83"/>
  <c r="L47" i="83"/>
  <c r="K47" i="83"/>
  <c r="K42" i="83"/>
  <c r="K46" i="83"/>
  <c r="N49" i="83"/>
  <c r="N50" i="83"/>
  <c r="J42" i="83"/>
  <c r="J47" i="83"/>
  <c r="J46" i="83"/>
  <c r="N45" i="83"/>
  <c r="H47" i="83"/>
  <c r="H42" i="83"/>
  <c r="G42" i="83"/>
  <c r="G47" i="83"/>
  <c r="F42" i="83"/>
  <c r="F47" i="83"/>
  <c r="E42" i="83"/>
  <c r="I45" i="83"/>
  <c r="I47" i="83" s="1"/>
  <c r="E47" i="83"/>
  <c r="AD54" i="83"/>
  <c r="AD51" i="83"/>
  <c r="AI52" i="83" s="1"/>
  <c r="AH53" i="83"/>
  <c r="AM54" i="83" s="1"/>
  <c r="BE12" i="84"/>
  <c r="AD57" i="83" s="1"/>
  <c r="AS35" i="9"/>
  <c r="AB54" i="83"/>
  <c r="AB51" i="83"/>
  <c r="BD12" i="84"/>
  <c r="AB57" i="83" s="1"/>
  <c r="AR35" i="9"/>
  <c r="AA54" i="83"/>
  <c r="AA51" i="83"/>
  <c r="BC12" i="84"/>
  <c r="AA57" i="83" s="1"/>
  <c r="AQ35" i="9"/>
  <c r="Z51" i="83"/>
  <c r="Z54" i="83"/>
  <c r="BB12" i="84"/>
  <c r="Z57" i="83" s="1"/>
  <c r="AP35" i="9"/>
  <c r="AC56" i="83"/>
  <c r="AC61" i="83"/>
  <c r="AC53" i="83"/>
  <c r="Y54" i="83"/>
  <c r="Y51" i="83"/>
  <c r="BA12" i="84"/>
  <c r="Y57" i="83" s="1"/>
  <c r="AO35" i="9"/>
  <c r="V51" i="83"/>
  <c r="AY12" i="84"/>
  <c r="V57" i="83" s="1"/>
  <c r="AM35" i="9"/>
  <c r="U51" i="83"/>
  <c r="AX12" i="84"/>
  <c r="U57" i="83" s="1"/>
  <c r="AL35" i="9"/>
  <c r="X61" i="83"/>
  <c r="X56" i="83"/>
  <c r="T51" i="83"/>
  <c r="X53" i="83"/>
  <c r="AK35" i="9"/>
  <c r="AW12" i="84"/>
  <c r="T57" i="83" s="1"/>
  <c r="AV12" i="84"/>
  <c r="R57" i="83" s="1"/>
  <c r="AJ35" i="9"/>
  <c r="R54" i="83"/>
  <c r="R51" i="83"/>
  <c r="S56" i="83"/>
  <c r="S61" i="83"/>
  <c r="AF35" i="9"/>
  <c r="AR12" i="84"/>
  <c r="M57" i="83" s="1"/>
  <c r="M54" i="83"/>
  <c r="M51" i="83"/>
  <c r="M52" i="83" s="1"/>
  <c r="AE35" i="9"/>
  <c r="AQ12" i="84"/>
  <c r="L57" i="83" s="1"/>
  <c r="L54" i="83"/>
  <c r="L51" i="83"/>
  <c r="L52" i="83" s="1"/>
  <c r="N56" i="83"/>
  <c r="N61" i="83"/>
  <c r="J54" i="83"/>
  <c r="AO12" i="84"/>
  <c r="J57" i="83" s="1"/>
  <c r="AC35" i="9"/>
  <c r="AN12" i="84"/>
  <c r="H57" i="83" s="1"/>
  <c r="AB35" i="9"/>
  <c r="AA35" i="9"/>
  <c r="AM12" i="84"/>
  <c r="G57" i="83" s="1"/>
  <c r="AL12" i="84"/>
  <c r="F57" i="83" s="1"/>
  <c r="Z35" i="9"/>
  <c r="I53" i="83"/>
  <c r="E51" i="83"/>
  <c r="I51" i="83" s="1"/>
  <c r="Y35" i="9"/>
  <c r="AK12" i="84"/>
  <c r="E57" i="83" s="1"/>
  <c r="W54" i="83"/>
  <c r="W51" i="83"/>
  <c r="AZ12" i="84"/>
  <c r="W57" i="83" s="1"/>
  <c r="AN35" i="9"/>
  <c r="P59" i="83"/>
  <c r="K59" i="83"/>
  <c r="K60" i="83" s="1"/>
  <c r="Q59" i="83"/>
  <c r="Q60" i="83" s="1"/>
  <c r="O59" i="83"/>
  <c r="O60" i="83" s="1"/>
  <c r="AS36" i="9" l="1"/>
  <c r="AL267" i="77"/>
  <c r="AG267" i="77"/>
  <c r="AH263" i="77"/>
  <c r="AM260" i="77"/>
  <c r="AI259" i="77"/>
  <c r="AJ265" i="77"/>
  <c r="AM264" i="77"/>
  <c r="AI262" i="77"/>
  <c r="AJ257" i="77"/>
  <c r="N62" i="83"/>
  <c r="W58" i="83"/>
  <c r="AH56" i="83"/>
  <c r="AH61" i="83"/>
  <c r="AM62" i="83" s="1"/>
  <c r="I59" i="83"/>
  <c r="Z58" i="83"/>
  <c r="R52" i="83"/>
  <c r="S62" i="83"/>
  <c r="J52" i="83"/>
  <c r="Y58" i="83"/>
  <c r="AK258" i="77"/>
  <c r="AJ262" i="77"/>
  <c r="AJ261" i="77"/>
  <c r="AH266" i="77"/>
  <c r="AG263" i="77"/>
  <c r="AK257" i="77"/>
  <c r="AM259" i="77"/>
  <c r="AJ263" i="77"/>
  <c r="AI257" i="77"/>
  <c r="AG264" i="77"/>
  <c r="P60" i="83"/>
  <c r="R58" i="83"/>
  <c r="AD58" i="83"/>
  <c r="AI58" i="83"/>
  <c r="AJ258" i="77"/>
  <c r="AL260" i="77"/>
  <c r="AK264" i="77"/>
  <c r="AK262" i="77"/>
  <c r="AH258" i="77"/>
  <c r="AH265" i="77"/>
  <c r="AI267" i="77"/>
  <c r="W52" i="83"/>
  <c r="L58" i="83"/>
  <c r="AK259" i="77"/>
  <c r="AG261" i="77"/>
  <c r="AM265" i="77"/>
  <c r="AH259" i="77"/>
  <c r="AK263" i="77"/>
  <c r="AI265" i="77"/>
  <c r="AH267" i="77"/>
  <c r="AI266" i="77"/>
  <c r="Z52" i="83"/>
  <c r="AE52" i="83"/>
  <c r="AM266" i="77"/>
  <c r="AL261" i="77"/>
  <c r="AI263" i="77"/>
  <c r="AL265" i="77"/>
  <c r="AJ260" i="77"/>
  <c r="AI258" i="77"/>
  <c r="J58" i="83"/>
  <c r="AA58" i="83"/>
  <c r="AF58" i="83"/>
  <c r="AG262" i="77"/>
  <c r="AJ264" i="77"/>
  <c r="AG257" i="77"/>
  <c r="AH257" i="77"/>
  <c r="AG266" i="77"/>
  <c r="AK261" i="77"/>
  <c r="V60" i="83"/>
  <c r="I57" i="83"/>
  <c r="M58" i="83"/>
  <c r="AA52" i="83"/>
  <c r="AF52" i="83"/>
  <c r="AL257" i="77"/>
  <c r="AG258" i="77"/>
  <c r="AL266" i="77"/>
  <c r="AJ259" i="77"/>
  <c r="AI264" i="77"/>
  <c r="AK266" i="77"/>
  <c r="AM258" i="77"/>
  <c r="AL258" i="77"/>
  <c r="U60" i="83"/>
  <c r="AM262" i="77"/>
  <c r="AK260" i="77"/>
  <c r="X62" i="83"/>
  <c r="AL259" i="77"/>
  <c r="AG259" i="77"/>
  <c r="T60" i="83"/>
  <c r="AM263" i="77"/>
  <c r="AH261" i="77"/>
  <c r="AB58" i="83"/>
  <c r="AG58" i="83"/>
  <c r="AH260" i="77"/>
  <c r="AG260" i="77"/>
  <c r="AL263" i="77"/>
  <c r="AH264" i="77"/>
  <c r="AM261" i="77"/>
  <c r="AM267" i="77"/>
  <c r="AC62" i="83"/>
  <c r="AB52" i="83"/>
  <c r="AG52" i="83"/>
  <c r="AJ266" i="77"/>
  <c r="AE63" i="83"/>
  <c r="AE58" i="83"/>
  <c r="AJ58" i="83"/>
  <c r="AJ267" i="77"/>
  <c r="AM257" i="77"/>
  <c r="AK267" i="77"/>
  <c r="AI261" i="77"/>
  <c r="AI260" i="77"/>
  <c r="AL264" i="77"/>
  <c r="AL262" i="77"/>
  <c r="AH262" i="77"/>
  <c r="N54" i="83"/>
  <c r="N59" i="83"/>
  <c r="X59" i="83"/>
  <c r="X51" i="83"/>
  <c r="Y52" i="83"/>
  <c r="AC51" i="83"/>
  <c r="AC54" i="83"/>
  <c r="AC59" i="83"/>
  <c r="AH54" i="83"/>
  <c r="AH59" i="83"/>
  <c r="AD52" i="83"/>
  <c r="AH51" i="83"/>
  <c r="AM52" i="83" s="1"/>
  <c r="E44" i="83"/>
  <c r="I42" i="83"/>
  <c r="E63" i="83"/>
  <c r="F44" i="83"/>
  <c r="F63" i="83"/>
  <c r="G44" i="83"/>
  <c r="G63" i="83"/>
  <c r="H44" i="83"/>
  <c r="H63" i="83"/>
  <c r="N46" i="83"/>
  <c r="N47" i="83"/>
  <c r="J44" i="83"/>
  <c r="J43" i="83"/>
  <c r="N42" i="83"/>
  <c r="J63" i="83"/>
  <c r="K44" i="83"/>
  <c r="K43" i="83"/>
  <c r="L43" i="83"/>
  <c r="L44" i="83"/>
  <c r="L63" i="83"/>
  <c r="M43" i="83"/>
  <c r="M44" i="83"/>
  <c r="M63" i="83"/>
  <c r="X42" i="83"/>
  <c r="T44" i="83"/>
  <c r="T63" i="83"/>
  <c r="X47" i="83"/>
  <c r="U63" i="83"/>
  <c r="U44" i="83"/>
  <c r="V44" i="83"/>
  <c r="V43" i="83"/>
  <c r="V63" i="83"/>
  <c r="W63" i="83"/>
  <c r="W44" i="83"/>
  <c r="W43" i="83"/>
  <c r="Y63" i="83"/>
  <c r="AC42" i="83"/>
  <c r="Y44" i="83"/>
  <c r="Y43" i="83"/>
  <c r="AC47" i="83"/>
  <c r="AC46" i="83"/>
  <c r="R44" i="83"/>
  <c r="R43" i="83"/>
  <c r="R63" i="83"/>
  <c r="Q43" i="83"/>
  <c r="Q44" i="83"/>
  <c r="AD43" i="83"/>
  <c r="AD44" i="83"/>
  <c r="AH42" i="83"/>
  <c r="AM43" i="83" s="1"/>
  <c r="AD63" i="83"/>
  <c r="AH47" i="83"/>
  <c r="AH46" i="83"/>
  <c r="AB44" i="83"/>
  <c r="AB43" i="83"/>
  <c r="AB63" i="83"/>
  <c r="AA44" i="83"/>
  <c r="AA43" i="83"/>
  <c r="AA63" i="83"/>
  <c r="Z43" i="83"/>
  <c r="Z44" i="83"/>
  <c r="Z63" i="83"/>
  <c r="AO269" i="77"/>
  <c r="AJ269" i="77"/>
  <c r="AH269" i="77"/>
  <c r="AI269" i="77"/>
  <c r="AG269" i="77"/>
  <c r="AM269" i="77"/>
  <c r="AL269" i="77"/>
  <c r="AK269" i="77"/>
  <c r="AJ271" i="77"/>
  <c r="AG271" i="77"/>
  <c r="AO271" i="77"/>
  <c r="AK271" i="77"/>
  <c r="AL271" i="77"/>
  <c r="AI271" i="77"/>
  <c r="AM271" i="77"/>
  <c r="AH271" i="77"/>
  <c r="AO270" i="77"/>
  <c r="AI270" i="77"/>
  <c r="AH270" i="77"/>
  <c r="AM270" i="77"/>
  <c r="AK270" i="77"/>
  <c r="AJ270" i="77"/>
  <c r="AG270" i="77"/>
  <c r="AL270" i="77"/>
  <c r="AG265" i="77"/>
  <c r="AO265" i="77"/>
  <c r="AO272" i="77"/>
  <c r="AK272" i="77"/>
  <c r="AG272" i="77"/>
  <c r="AL272" i="77"/>
  <c r="AM272" i="77"/>
  <c r="AJ272" i="77"/>
  <c r="AI272" i="77"/>
  <c r="AH272" i="77"/>
  <c r="AO268" i="77"/>
  <c r="AK268" i="77"/>
  <c r="AG268" i="77"/>
  <c r="AH268" i="77"/>
  <c r="AL268" i="77"/>
  <c r="AI268" i="77"/>
  <c r="AJ268" i="77"/>
  <c r="AM268" i="77"/>
  <c r="AT12" i="84"/>
  <c r="P57" i="83" s="1"/>
  <c r="AH35" i="9"/>
  <c r="P54" i="83"/>
  <c r="P51" i="83"/>
  <c r="K54" i="83"/>
  <c r="K51" i="83"/>
  <c r="AD35" i="9"/>
  <c r="AP12" i="84"/>
  <c r="K57" i="83" s="1"/>
  <c r="K58" i="83" s="1"/>
  <c r="O54" i="83"/>
  <c r="O51" i="83"/>
  <c r="T52" i="83" s="1"/>
  <c r="S53" i="83"/>
  <c r="S54" i="83" s="1"/>
  <c r="AS12" i="84"/>
  <c r="O57" i="83" s="1"/>
  <c r="O58" i="83" s="1"/>
  <c r="AG35" i="9"/>
  <c r="P46" i="83"/>
  <c r="P47" i="83"/>
  <c r="P42" i="83"/>
  <c r="U43" i="83" s="1"/>
  <c r="Q54" i="83"/>
  <c r="Q51" i="83"/>
  <c r="Q52" i="83" s="1"/>
  <c r="AU12" i="84"/>
  <c r="Q57" i="83" s="1"/>
  <c r="Q58" i="83" s="1"/>
  <c r="AI35" i="9"/>
  <c r="O46" i="83"/>
  <c r="O47" i="83"/>
  <c r="O42" i="83"/>
  <c r="T43" i="83" s="1"/>
  <c r="S45" i="83"/>
  <c r="X46" i="83" s="1"/>
  <c r="AH36" i="9" l="1"/>
  <c r="AI36" i="9"/>
  <c r="N60" i="83"/>
  <c r="AH62" i="83"/>
  <c r="J64" i="83"/>
  <c r="R64" i="83"/>
  <c r="Z64" i="83"/>
  <c r="L64" i="83"/>
  <c r="AC60" i="83"/>
  <c r="Y64" i="83"/>
  <c r="P52" i="83"/>
  <c r="M64" i="83"/>
  <c r="AA64" i="83"/>
  <c r="AF64" i="83"/>
  <c r="Q63" i="83"/>
  <c r="Q64" i="83" s="1"/>
  <c r="V52" i="83"/>
  <c r="P58" i="83"/>
  <c r="W64" i="83"/>
  <c r="X54" i="83"/>
  <c r="AB64" i="83"/>
  <c r="AG64" i="83"/>
  <c r="AH60" i="83"/>
  <c r="AM60" i="83"/>
  <c r="AE64" i="83"/>
  <c r="AJ64" i="83"/>
  <c r="U52" i="83"/>
  <c r="AD64" i="83"/>
  <c r="AI64" i="83"/>
  <c r="K52" i="83"/>
  <c r="N51" i="83"/>
  <c r="K63" i="83"/>
  <c r="K64" i="83" s="1"/>
  <c r="V58" i="83"/>
  <c r="U58" i="83"/>
  <c r="T58" i="83"/>
  <c r="S59" i="83"/>
  <c r="S60" i="83" s="1"/>
  <c r="S46" i="83"/>
  <c r="S47" i="83"/>
  <c r="O43" i="83"/>
  <c r="O44" i="83"/>
  <c r="S42" i="83"/>
  <c r="X43" i="83" s="1"/>
  <c r="O63" i="83"/>
  <c r="O64" i="83" s="1"/>
  <c r="P44" i="83"/>
  <c r="P43" i="83"/>
  <c r="P63" i="83"/>
  <c r="U64" i="83" s="1"/>
  <c r="O52" i="83"/>
  <c r="S51" i="83"/>
  <c r="X52" i="83" s="1"/>
  <c r="AH43" i="83"/>
  <c r="AH44" i="83"/>
  <c r="AC44" i="83"/>
  <c r="AC43" i="83"/>
  <c r="X44" i="83"/>
  <c r="N44" i="83"/>
  <c r="N43" i="83"/>
  <c r="I44" i="83"/>
  <c r="I63" i="83"/>
  <c r="AH57" i="83"/>
  <c r="AH63" i="83" s="1"/>
  <c r="AH52" i="83"/>
  <c r="AC52" i="83"/>
  <c r="AC57" i="83"/>
  <c r="X57" i="83"/>
  <c r="X63" i="83" s="1"/>
  <c r="X60" i="83" l="1"/>
  <c r="P64" i="83"/>
  <c r="V64" i="83"/>
  <c r="AC58" i="83"/>
  <c r="AM64" i="83"/>
  <c r="N52" i="83"/>
  <c r="N57" i="83"/>
  <c r="AC63" i="83"/>
  <c r="AC64" i="83" s="1"/>
  <c r="AH58" i="83"/>
  <c r="AM58" i="83"/>
  <c r="S52" i="83"/>
  <c r="T64" i="83"/>
  <c r="S57" i="83"/>
  <c r="S43" i="83"/>
  <c r="S44" i="83"/>
  <c r="S58" i="83" l="1"/>
  <c r="N58" i="83"/>
  <c r="N63" i="83"/>
  <c r="N64" i="83" s="1"/>
  <c r="X58" i="83"/>
  <c r="S63" i="83"/>
  <c r="AH64" i="83"/>
  <c r="S64" i="83" l="1"/>
  <c r="X64" i="83"/>
  <c r="AW92" i="68" l="1"/>
  <c r="AY92" i="68" l="1"/>
  <c r="AY54" i="68"/>
  <c r="AY59" i="68" l="1"/>
  <c r="AY60" i="68" s="1"/>
  <c r="AY50" i="68"/>
  <c r="AY31" i="68"/>
  <c r="AY23" i="68"/>
  <c r="AY32" i="68" l="1"/>
  <c r="AA451" i="36" l="1"/>
  <c r="FA8" i="34"/>
  <c r="EZ24" i="34"/>
  <c r="EZ21" i="34"/>
  <c r="EZ27" i="34" s="1"/>
  <c r="FA14" i="34"/>
  <c r="FA11" i="34"/>
  <c r="FA10" i="34"/>
  <c r="FA12" i="34"/>
  <c r="FA9" i="34"/>
  <c r="V451" i="36" l="1"/>
  <c r="FA7" i="34"/>
  <c r="FA21" i="34" s="1"/>
  <c r="EY21" i="34"/>
  <c r="FA25" i="34"/>
  <c r="FA24" i="34" s="1"/>
  <c r="EY24" i="34"/>
  <c r="V447" i="36"/>
  <c r="V444" i="36"/>
  <c r="AA444" i="36"/>
  <c r="AA454" i="36" s="1"/>
  <c r="V454" i="36" l="1"/>
  <c r="EY27" i="34"/>
  <c r="FA27" i="34"/>
  <c r="H219" i="80" l="1"/>
  <c r="H222" i="80"/>
  <c r="H218" i="80"/>
  <c r="H221" i="80"/>
  <c r="H220" i="80"/>
  <c r="P217" i="80" l="1"/>
  <c r="H217" i="80"/>
  <c r="H223" i="80" s="1"/>
  <c r="G223" i="80"/>
  <c r="HK18" i="85" l="1"/>
  <c r="HK38" i="85" s="1"/>
  <c r="AI18" i="81" l="1"/>
  <c r="BC72" i="9" s="1"/>
  <c r="BC64" i="9" s="1"/>
  <c r="AI15" i="81" l="1"/>
  <c r="AS92" i="68" l="1"/>
  <c r="P11" i="23" l="1"/>
  <c r="H11" i="23"/>
  <c r="BC32" i="44" l="1"/>
  <c r="BC38" i="44" s="1"/>
  <c r="AX13" i="63"/>
  <c r="O11" i="23"/>
  <c r="AL39" i="49"/>
  <c r="AO39" i="49"/>
  <c r="AH39" i="49"/>
  <c r="AP39" i="49"/>
  <c r="AY39" i="49"/>
  <c r="AX39" i="49"/>
  <c r="AS39" i="49"/>
  <c r="AG39" i="49"/>
  <c r="AR39" i="49"/>
  <c r="AQ39" i="49"/>
  <c r="AZ39" i="49"/>
  <c r="AN39" i="49"/>
  <c r="I11" i="23"/>
  <c r="AY45" i="68"/>
  <c r="AY51" i="68" s="1"/>
  <c r="AY61" i="68" s="1"/>
  <c r="AI45" i="68"/>
  <c r="AI51" i="68" s="1"/>
  <c r="AI61" i="68" s="1"/>
  <c r="HL18" i="85"/>
  <c r="HL38" i="85" s="1"/>
  <c r="AS78" i="68"/>
  <c r="BB46" i="49"/>
  <c r="AX139" i="83"/>
  <c r="BB54" i="49" l="1"/>
  <c r="AS54" i="49"/>
  <c r="AS57" i="49" s="1"/>
  <c r="AS21" i="49"/>
  <c r="AS22" i="49" s="1"/>
  <c r="AX54" i="49"/>
  <c r="AX57" i="49" s="1"/>
  <c r="AX21" i="49"/>
  <c r="AX22" i="49" s="1"/>
  <c r="HK11" i="85"/>
  <c r="AB59" i="42"/>
  <c r="AN54" i="49"/>
  <c r="AN57" i="49" s="1"/>
  <c r="AN21" i="49"/>
  <c r="AN22" i="49" s="1"/>
  <c r="AX21" i="72"/>
  <c r="AG54" i="49"/>
  <c r="AG57" i="49" s="1"/>
  <c r="AG21" i="49"/>
  <c r="AG22" i="49" s="1"/>
  <c r="AX87" i="63"/>
  <c r="AL54" i="49"/>
  <c r="AL57" i="49" s="1"/>
  <c r="AL21" i="49"/>
  <c r="AL22" i="49" s="1"/>
  <c r="AO54" i="49"/>
  <c r="AO57" i="49" s="1"/>
  <c r="AO21" i="49"/>
  <c r="AO22" i="49" s="1"/>
  <c r="AY54" i="49"/>
  <c r="AY57" i="49" s="1"/>
  <c r="AY21" i="49"/>
  <c r="AY22" i="49" s="1"/>
  <c r="AR54" i="49"/>
  <c r="AR57" i="49" s="1"/>
  <c r="AR21" i="49"/>
  <c r="AR22" i="49" s="1"/>
  <c r="AP21" i="49"/>
  <c r="AP22" i="49" s="1"/>
  <c r="AP54" i="49"/>
  <c r="AP57" i="49" s="1"/>
  <c r="AH54" i="49"/>
  <c r="AH57" i="49" s="1"/>
  <c r="AH21" i="49"/>
  <c r="AH22" i="49" s="1"/>
  <c r="AZ21" i="49"/>
  <c r="AZ22" i="49" s="1"/>
  <c r="AZ54" i="49"/>
  <c r="AZ57" i="49" s="1"/>
  <c r="BF111" i="46"/>
  <c r="HI11" i="85"/>
  <c r="AQ21" i="49"/>
  <c r="AQ22" i="49" s="1"/>
  <c r="AQ54" i="49"/>
  <c r="AQ57" i="49" s="1"/>
  <c r="AO47" i="52"/>
  <c r="AO35" i="52"/>
  <c r="AO51" i="52" s="1"/>
  <c r="AN47" i="52"/>
  <c r="AN35" i="52"/>
  <c r="AN51" i="52" s="1"/>
  <c r="BB49" i="49"/>
  <c r="BB50" i="49"/>
  <c r="BB52" i="49"/>
  <c r="BB51" i="49"/>
  <c r="BC12" i="44"/>
  <c r="AX138" i="83"/>
  <c r="AX24" i="72" l="1"/>
  <c r="HN11" i="85"/>
  <c r="BB45" i="49"/>
  <c r="BB39" i="49"/>
  <c r="L11" i="23"/>
  <c r="BC26" i="32"/>
  <c r="BF103" i="46"/>
  <c r="BF104" i="46" s="1"/>
  <c r="BC24" i="48"/>
  <c r="BC30" i="48" s="1"/>
  <c r="BF112" i="46"/>
  <c r="AA50" i="42"/>
  <c r="HI18" i="85"/>
  <c r="HI38" i="85" s="1"/>
  <c r="HN38" i="85" s="1"/>
  <c r="AA59" i="42"/>
  <c r="N62" i="36"/>
  <c r="BF110" i="46"/>
  <c r="BB42" i="49"/>
  <c r="BF107" i="46"/>
  <c r="BC25" i="32"/>
  <c r="BC18" i="44"/>
  <c r="BC22" i="44"/>
  <c r="BC23" i="44" s="1"/>
  <c r="AX12" i="63"/>
  <c r="BB77" i="71"/>
  <c r="BB83" i="71"/>
  <c r="BB78" i="71"/>
  <c r="BB65" i="71"/>
  <c r="BB86" i="71"/>
  <c r="BB74" i="71"/>
  <c r="BB82" i="71"/>
  <c r="BB73" i="71"/>
  <c r="BB71" i="71"/>
  <c r="BB66" i="71"/>
  <c r="AP47" i="52"/>
  <c r="AP35" i="52"/>
  <c r="AP51" i="52" s="1"/>
  <c r="BB76" i="71"/>
  <c r="BB80" i="71"/>
  <c r="BB79" i="71"/>
  <c r="BB67" i="71"/>
  <c r="BB72" i="71"/>
  <c r="BB81" i="71"/>
  <c r="BB75" i="71"/>
  <c r="BC20" i="26"/>
  <c r="BB43" i="49"/>
  <c r="BB47" i="49"/>
  <c r="BB53" i="49"/>
  <c r="BB48" i="49"/>
  <c r="BB44" i="49"/>
  <c r="AX124" i="83"/>
  <c r="AY134" i="83" s="1"/>
  <c r="AY135" i="83" s="1"/>
  <c r="AY141" i="83" s="1"/>
  <c r="AY144" i="83" s="1"/>
  <c r="BC30" i="32" l="1"/>
  <c r="BF91" i="46"/>
  <c r="BF92" i="46" s="1"/>
  <c r="AX134" i="83"/>
  <c r="AX135" i="83" s="1"/>
  <c r="AX125" i="83"/>
  <c r="BB57" i="49"/>
  <c r="BR42" i="3"/>
  <c r="BB25" i="31"/>
  <c r="BB21" i="49"/>
  <c r="BB22" i="49" s="1"/>
  <c r="N11" i="23"/>
  <c r="M11" i="23"/>
  <c r="BB28" i="31"/>
  <c r="BB27" i="31"/>
  <c r="BB26" i="31"/>
  <c r="BB64" i="71"/>
  <c r="BB69" i="71"/>
  <c r="BB68" i="71"/>
  <c r="BC10" i="26"/>
  <c r="AX45" i="63"/>
  <c r="AX140" i="83"/>
  <c r="BJ7" i="9" l="1"/>
  <c r="BJ6" i="9"/>
  <c r="BJ8" i="9"/>
  <c r="BF113" i="46"/>
  <c r="BC13" i="32"/>
  <c r="BB21" i="31"/>
  <c r="BB20" i="31" s="1"/>
  <c r="AX79" i="63"/>
  <c r="BB13" i="24"/>
  <c r="BB24" i="31"/>
  <c r="BB30" i="31" s="1"/>
  <c r="BB29" i="31" s="1"/>
  <c r="BB12" i="31"/>
  <c r="AX141" i="83"/>
  <c r="AX144" i="83" s="1"/>
  <c r="BB26" i="65"/>
  <c r="BB27" i="65" s="1"/>
  <c r="BB19" i="65"/>
  <c r="BA17" i="67"/>
  <c r="BA20" i="67" s="1"/>
  <c r="BB70" i="71"/>
  <c r="BB11" i="31" l="1"/>
  <c r="BB13" i="31"/>
  <c r="G11" i="23"/>
  <c r="E11" i="23"/>
  <c r="BB85" i="71"/>
  <c r="F11" i="23" l="1"/>
  <c r="AX54" i="63"/>
  <c r="AX63" i="63" s="1"/>
  <c r="BB90" i="71"/>
  <c r="BA33" i="67" l="1"/>
  <c r="BA39" i="67" s="1"/>
  <c r="R393" i="79"/>
  <c r="AX6" i="63"/>
  <c r="AX11" i="63" s="1"/>
  <c r="AX14" i="63" s="1"/>
  <c r="AX92" i="63"/>
  <c r="AX96" i="63" s="1"/>
  <c r="T393" i="79" l="1"/>
  <c r="R398" i="79" l="1"/>
  <c r="R400" i="79" s="1"/>
  <c r="T398" i="79" l="1"/>
  <c r="BR78" i="3"/>
  <c r="BJ17" i="9" s="1"/>
  <c r="AX128" i="83"/>
  <c r="AY128" i="83" l="1"/>
  <c r="BJ25" i="9"/>
  <c r="BI30" i="9"/>
  <c r="BJ30" i="9"/>
  <c r="T399" i="79"/>
  <c r="T400" i="79" s="1"/>
  <c r="BH30" i="9"/>
  <c r="BR90" i="3"/>
  <c r="BR91" i="3" s="1"/>
  <c r="BI138" i="9" l="1"/>
  <c r="BI136" i="9" s="1"/>
  <c r="BJ138" i="9"/>
  <c r="BJ136" i="9" s="1"/>
  <c r="BI28" i="9"/>
  <c r="BI26" i="9" s="1"/>
  <c r="BJ28" i="9"/>
  <c r="BH28" i="9"/>
  <c r="BH26" i="9" s="1"/>
  <c r="BH138" i="9"/>
  <c r="BH136" i="9" s="1"/>
  <c r="BJ26" i="9" l="1"/>
  <c r="BI141" i="9"/>
  <c r="BI140" i="9"/>
  <c r="BJ141" i="9"/>
  <c r="BJ140" i="9"/>
  <c r="BC22" i="26"/>
  <c r="BC23" i="26" s="1"/>
  <c r="BC12" i="26"/>
  <c r="BC13" i="26" s="1"/>
  <c r="BH141" i="9"/>
  <c r="BH14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Felipe Augusto Fogaça da Silva</author>
    <author>Ian Nunes Costa e Costa</author>
    <author>Felipe Silva</author>
    <author>Rodolpho Magdaloni Agria</author>
    <author>Ian Nunes</author>
    <author>William Estrela Dantas dos Santos</author>
    <author>Heloise fernandes Sanchez</author>
  </authors>
  <commentList>
    <comment ref="F9" authorId="0" shapeId="0" xr:uid="{00000000-0006-0000-0100-000001000000}">
      <text>
        <r>
          <rPr>
            <sz val="9"/>
            <color indexed="81"/>
            <rFont val="Segoe UI"/>
            <family val="2"/>
          </rPr>
          <t>PT - Crédito de R$ 9,8 milhões por ganho de causa contra o recolhimento do Fundaf
EN - R$ 9.8 million credit from Fundaf dispute gain</t>
        </r>
      </text>
    </comment>
    <comment ref="I9" authorId="0" shapeId="0" xr:uid="{00000000-0006-0000-0100-000002000000}">
      <text>
        <r>
          <rPr>
            <sz val="9"/>
            <color indexed="81"/>
            <rFont val="Segoe UI"/>
            <family val="2"/>
          </rPr>
          <t xml:space="preserve">PT - Crédito de R$ 9,8 milhões por ganho de causa contra o recolhimento do Fundaf
EN - R$ 9.8 million credit from Fundaf dispute gain
</t>
        </r>
      </text>
    </comment>
    <comment ref="L9" authorId="1" shapeId="0" xr:uid="{00000000-0006-0000-0100-000003000000}">
      <text>
        <r>
          <rPr>
            <sz val="9"/>
            <color indexed="81"/>
            <rFont val="Segoe UI"/>
            <family val="2"/>
          </rPr>
          <t xml:space="preserve">PT - Denúncia espontânea imposto ICMS R$ 5,252 M
</t>
        </r>
        <r>
          <rPr>
            <sz val="9"/>
            <color indexed="81"/>
            <rFont val="Segoe UI"/>
            <family val="2"/>
          </rPr>
          <t>Eng - Spontaneous denouncement on fiscal payment R$ 5.252 M</t>
        </r>
      </text>
    </comment>
    <comment ref="M9" authorId="1" shapeId="0" xr:uid="{00000000-0006-0000-0100-000004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N9" authorId="2" shapeId="0" xr:uid="{00000000-0006-0000-0100-000005000000}">
      <text>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t>
        </r>
        <r>
          <rPr>
            <sz val="9"/>
            <color indexed="81"/>
            <rFont val="Segoe UI"/>
            <family val="2"/>
          </rPr>
          <t xml:space="preserve">Eng - Spontaneous denouncement on fiscal payment R$ 5.252 M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AJ9" authorId="1" shapeId="0" xr:uid="{00000000-0006-0000-0100-000006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L9" authorId="1" shapeId="0" xr:uid="{00000000-0006-0000-0100-000007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AM9" authorId="1" shapeId="0" xr:uid="{00000000-0006-0000-0100-000008000000}">
      <text>
        <r>
          <rPr>
            <sz val="9"/>
            <color indexed="81"/>
            <rFont val="Segoe UI"/>
            <family val="2"/>
          </rPr>
          <t>PT - Desconto a clientes foram concedidos relacionado a descasamento do repasse da queda do preço do Diesel de períodos anteriores (R$ 5,3 milhão)
Eng: Discounts were granted to customers related to the mismatch of passing on the drop in Diesel prices from previous periods (R$ 5.3 million)</t>
        </r>
      </text>
    </comment>
    <comment ref="I11" authorId="0" shapeId="0" xr:uid="{00000000-0006-0000-0100-000009000000}">
      <text>
        <r>
          <rPr>
            <sz val="9"/>
            <color indexed="81"/>
            <rFont val="Segoe UI"/>
            <family val="2"/>
          </rPr>
          <t>PT - Crédito de R$ 9,8 milhões por ganho de causa contra o recolhimento do Fundaf
EN - R$ 9.8 million credit from Fundaf dispute gain</t>
        </r>
        <r>
          <rPr>
            <b/>
            <sz val="9"/>
            <color indexed="81"/>
            <rFont val="Segoe UI"/>
            <family val="2"/>
          </rPr>
          <t xml:space="preserve">
</t>
        </r>
      </text>
    </comment>
    <comment ref="L11" authorId="2" shapeId="0" xr:uid="{00000000-0006-0000-0100-00000A000000}">
      <text>
        <r>
          <rPr>
            <sz val="9"/>
            <color indexed="81"/>
            <rFont val="Segoe UI"/>
            <family val="2"/>
          </rPr>
          <t xml:space="preserve">PT - Denúncia espontânea imposto ICMS R$ 5,252 M
</t>
        </r>
        <r>
          <rPr>
            <sz val="9"/>
            <color indexed="81"/>
            <rFont val="Segoe UI"/>
            <family val="2"/>
          </rPr>
          <t xml:space="preserve">Eng - Spontaneous denouncement on fiscal payment R$ 5.252 M
</t>
        </r>
      </text>
    </comment>
    <comment ref="M11" authorId="2" shapeId="0" xr:uid="{00000000-0006-0000-0100-00000B000000}">
      <text>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 xml:space="preserve">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t>
        </r>
      </text>
    </comment>
    <comment ref="N11" authorId="2" shapeId="0" xr:uid="{00000000-0006-0000-0100-00000C000000}">
      <text>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t>
        </r>
        <r>
          <rPr>
            <sz val="9"/>
            <color indexed="81"/>
            <rFont val="Segoe UI"/>
            <family val="2"/>
          </rPr>
          <t xml:space="preserve">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t>
        </r>
      </text>
    </comment>
    <comment ref="H12" authorId="1" shapeId="0" xr:uid="{00000000-0006-0000-0100-00000D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I12" authorId="2" shapeId="0" xr:uid="{00000000-0006-0000-0100-00000E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Q12" authorId="1" shapeId="0" xr:uid="{00000000-0006-0000-0100-00000F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S12" authorId="2" shapeId="0" xr:uid="{00000000-0006-0000-0100-000010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t>
        </r>
      </text>
    </comment>
    <comment ref="W12" authorId="1" shapeId="0" xr:uid="{00000000-0006-0000-0100-000011000000}">
      <text>
        <r>
          <rPr>
            <b/>
            <sz val="9"/>
            <color indexed="81"/>
            <rFont val="Segoe UI"/>
            <family val="2"/>
          </rPr>
          <t>NÚMERO AJUSTADO!</t>
        </r>
        <r>
          <rPr>
            <sz val="9"/>
            <color indexed="81"/>
            <rFont val="Segoe UI"/>
            <family val="2"/>
          </rPr>
          <t xml:space="preserve">
PT: Custos relacionados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R$ 2.3 M</t>
        </r>
      </text>
    </comment>
    <comment ref="X12" authorId="2" shapeId="0" xr:uid="{00000000-0006-0000-0100-000012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R$ 2.3 M</t>
        </r>
      </text>
    </comment>
    <comment ref="H14" authorId="2" shapeId="0" xr:uid="{00000000-0006-0000-0100-000013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I14" authorId="2" shapeId="0" xr:uid="{00000000-0006-0000-0100-000014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L14" authorId="2" shapeId="0" xr:uid="{00000000-0006-0000-0100-000015000000}">
      <text>
        <r>
          <rPr>
            <b/>
            <sz val="9"/>
            <color indexed="81"/>
            <rFont val="Segoe UI"/>
            <family val="2"/>
          </rPr>
          <t xml:space="preserve">NÚMERO AJUSTADO!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 xml:space="preserve">Eng - Spontaneous denouncement on fiscal payment R$ 5.252 M
</t>
        </r>
      </text>
    </comment>
    <comment ref="M14" authorId="2" shapeId="0" xr:uid="{00000000-0006-0000-0100-000016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ADJUSTED NUMBER!</t>
        </r>
        <r>
          <rPr>
            <sz val="9"/>
            <color indexed="81"/>
            <rFont val="Segoe UI"/>
            <family val="2"/>
          </rPr>
          <t xml:space="preserve">
Eng - PIS and COFINS credits referring to the right to exclude the ICMS tax value from the calculation bases of these two contributions - R$ 10.6 M [R$ 4.5 M for the year 2017 and R$ 6.1 M for the year 2018. Only the 2017 amount was adjusted in EBITDA.
</t>
        </r>
      </text>
    </comment>
    <comment ref="N14" authorId="2" shapeId="0" xr:uid="{00000000-0006-0000-0100-000017000000}">
      <text>
        <r>
          <rPr>
            <b/>
            <sz val="9"/>
            <color indexed="81"/>
            <rFont val="Segoe UI"/>
            <family val="2"/>
          </rPr>
          <t xml:space="preserve">NÚMERO AJUSTADO!
</t>
        </r>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 xml:space="preserve">
ADJUSTED NUMBER!
</t>
        </r>
        <r>
          <rPr>
            <sz val="9"/>
            <color indexed="81"/>
            <rFont val="Segoe UI"/>
            <family val="2"/>
          </rPr>
          <t>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t>
        </r>
        <r>
          <rPr>
            <b/>
            <sz val="9"/>
            <color indexed="81"/>
            <rFont val="Segoe UI"/>
            <family val="2"/>
          </rPr>
          <t xml:space="preserve">
</t>
        </r>
      </text>
    </comment>
    <comment ref="Q14" authorId="2" shapeId="0" xr:uid="{00000000-0006-0000-0100-000018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S14" authorId="2" shapeId="0" xr:uid="{00000000-0006-0000-0100-000019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t>
        </r>
        <r>
          <rPr>
            <sz val="9"/>
            <color indexed="81"/>
            <rFont val="Segoe UI"/>
            <family val="2"/>
          </rPr>
          <t xml:space="preserve">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W14" authorId="2" shapeId="0" xr:uid="{00000000-0006-0000-0100-00001A000000}">
      <text>
        <r>
          <rPr>
            <b/>
            <sz val="9"/>
            <color indexed="81"/>
            <rFont val="Segoe UI"/>
            <family val="2"/>
          </rPr>
          <t xml:space="preserve">NÚMERO AJUSTADO!
</t>
        </r>
        <r>
          <rPr>
            <sz val="9"/>
            <color indexed="81"/>
            <rFont val="Segoe UI"/>
            <family val="2"/>
          </rPr>
          <t>PT: Custos relacionados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R$ 2.3 M</t>
        </r>
      </text>
    </comment>
    <comment ref="X14" authorId="2" shapeId="0" xr:uid="{00000000-0006-0000-0100-00001B000000}">
      <text>
        <r>
          <rPr>
            <b/>
            <sz val="9"/>
            <color indexed="81"/>
            <rFont val="Segoe UI"/>
            <family val="2"/>
          </rPr>
          <t xml:space="preserve">NÚMERO AJUSTADO!
</t>
        </r>
        <r>
          <rPr>
            <sz val="9"/>
            <color indexed="81"/>
            <rFont val="Segoe UI"/>
            <family val="2"/>
          </rPr>
          <t>PT: Custos relacionados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R$ 2.3 M</t>
        </r>
      </text>
    </comment>
    <comment ref="F16" authorId="3" shapeId="0" xr:uid="{00000000-0006-0000-0100-00001C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(-R$ 1,4 milhão)
- Baixa de R$ 1,8 milhão da conta escrow de indenizações de combinação de  negócios
</t>
        </r>
        <r>
          <rPr>
            <b/>
            <sz val="9"/>
            <color indexed="81"/>
            <rFont val="Segoe UI"/>
            <family val="2"/>
          </rPr>
          <t>ADJUSTED NUMBER!</t>
        </r>
        <r>
          <rPr>
            <sz val="9"/>
            <color indexed="81"/>
            <rFont val="Segoe UI"/>
            <family val="2"/>
          </rPr>
          <t xml:space="preserve">
EN - Civil contingency of the former subsidiary Direct Express of - R $ 15 million
- Write-off of the goodwill of the Catlog subsidiary (-R $ 1.4 million)
- Reduction of R $ 1.8 million from the escrow account for business combination indemnities</t>
        </r>
      </text>
    </comment>
    <comment ref="G16" authorId="1" shapeId="0" xr:uid="{00000000-0006-0000-0100-00001D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H16" authorId="4" shapeId="0" xr:uid="{00000000-0006-0000-0100-00001E000000}">
      <text>
        <r>
          <rPr>
            <b/>
            <sz val="9"/>
            <color indexed="81"/>
            <rFont val="Segoe UI"/>
            <family val="2"/>
          </rPr>
          <t>NÚMERO AJUSTADO!</t>
        </r>
        <r>
          <rPr>
            <sz val="9"/>
            <color indexed="81"/>
            <rFont val="Segoe UI"/>
            <family val="2"/>
          </rPr>
          <t xml:space="preserve">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ADJUSTED NUMBER!</t>
        </r>
        <r>
          <rPr>
            <sz val="9"/>
            <color indexed="81"/>
            <rFont val="Segoe UI"/>
            <family val="2"/>
          </rPr>
          <t xml:space="preserve">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I16" authorId="2" shapeId="0" xr:uid="{00000000-0006-0000-0100-00001F000000}">
      <text>
        <r>
          <rPr>
            <b/>
            <sz val="9"/>
            <color indexed="81"/>
            <rFont val="Segoe UI"/>
            <family val="2"/>
          </rPr>
          <t xml:space="preserve">NÚMERO AJUSTADO!
</t>
        </r>
        <r>
          <rPr>
            <sz val="9"/>
            <color indexed="81"/>
            <rFont val="Segoe UI"/>
            <family val="2"/>
          </rPr>
          <t xml:space="preserve">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 xml:space="preserve">
ADJUSTED NUMBER!
</t>
        </r>
        <r>
          <rPr>
            <sz val="9"/>
            <color indexed="81"/>
            <rFont val="Segoe UI"/>
            <family val="2"/>
          </rPr>
          <t xml:space="preserve">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M16" authorId="1" shapeId="0" xr:uid="{00000000-0006-0000-0100-000020000000}">
      <text>
        <r>
          <rPr>
            <b/>
            <sz val="9"/>
            <color indexed="81"/>
            <rFont val="Segoe UI"/>
            <family val="2"/>
          </rPr>
          <t>NÚMERO AJUSTADO!</t>
        </r>
        <r>
          <rPr>
            <sz val="9"/>
            <color indexed="81"/>
            <rFont val="Segoe UI"/>
            <family val="2"/>
          </rPr>
          <t xml:space="preserve">
PT- Custos de sucumbência de processo judicial de operação descontinuada: R$2,0M
PT- Contingência cívil da ex controlada Direct Express de - R$ 14,5 milhões
</t>
        </r>
        <r>
          <rPr>
            <b/>
            <sz val="9"/>
            <color indexed="81"/>
            <rFont val="Segoe UI"/>
            <family val="2"/>
          </rPr>
          <t>ADJUSTED NUMBER!</t>
        </r>
        <r>
          <rPr>
            <sz val="9"/>
            <color indexed="81"/>
            <rFont val="Segoe UI"/>
            <family val="2"/>
          </rPr>
          <t xml:space="preserve">
Eng - Defeat legal fee for discontinued operation: R$ 2.0M
Eng - Civil contingency of the former subsidiary Direct Express - R$ 14.5 million;</t>
        </r>
      </text>
    </comment>
    <comment ref="N16" authorId="2" shapeId="0" xr:uid="{00000000-0006-0000-0100-000021000000}">
      <text>
        <r>
          <rPr>
            <b/>
            <sz val="9"/>
            <color indexed="81"/>
            <rFont val="Segoe UI"/>
            <family val="2"/>
          </rPr>
          <t>NÚMERO AJUSTADO!</t>
        </r>
        <r>
          <rPr>
            <sz val="9"/>
            <color indexed="81"/>
            <rFont val="Segoe UI"/>
            <family val="2"/>
          </rPr>
          <t xml:space="preserve">
PT- Custos de sucumbência de processo judicial de operação descontinuada: R$2,0M
PT- Contingência cívil da ex controlada Direct Express de - R$ 14,5 milhões
</t>
        </r>
        <r>
          <rPr>
            <b/>
            <sz val="9"/>
            <color indexed="81"/>
            <rFont val="Segoe UI"/>
            <family val="2"/>
          </rPr>
          <t>ADJUSTED NUMBER!</t>
        </r>
        <r>
          <rPr>
            <sz val="9"/>
            <color indexed="81"/>
            <rFont val="Segoe UI"/>
            <family val="2"/>
          </rPr>
          <t xml:space="preserve">
Eng - Defeat legal fee for discontinued operation: R$ 2.0M
Eng - Civil contingency of the former subsidiary Direct Express - R$ 14.5 million;
</t>
        </r>
      </text>
    </comment>
    <comment ref="Q16" authorId="1" shapeId="0" xr:uid="{00000000-0006-0000-0100-000022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t>
        </r>
      </text>
    </comment>
    <comment ref="R16" authorId="2" shapeId="0" xr:uid="{00000000-0006-0000-0100-000023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S16" authorId="2" shapeId="0" xr:uid="{00000000-0006-0000-0100-000024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
Eng - Attorney’s fees expenses related to the Operação Pacto: R$ 2.2 million</t>
        </r>
      </text>
    </comment>
    <comment ref="T16" authorId="5" shapeId="0" xr:uid="{00000000-0006-0000-0100-000025000000}">
      <text>
        <r>
          <rPr>
            <b/>
            <sz val="9"/>
            <color indexed="81"/>
            <rFont val="Segoe UI"/>
            <family val="2"/>
          </rPr>
          <t xml:space="preserve">NÚMERO AJUSTADO!
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ADJUSTED NUMBER!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W16" authorId="1" shapeId="0" xr:uid="{00000000-0006-0000-0100-000026000000}">
      <text>
        <r>
          <rPr>
            <b/>
            <sz val="9"/>
            <color indexed="81"/>
            <rFont val="Segoe UI"/>
            <family val="2"/>
          </rPr>
          <t>NÚMERO AJUSTADO!</t>
        </r>
        <r>
          <rPr>
            <sz val="9"/>
            <color indexed="81"/>
            <rFont val="Segoe UI"/>
            <family val="2"/>
          </rPr>
          <t xml:space="preserve">
PT: Despesas relacionadas à desmobilização de um armazém em Barueri-SP no montante de R$ 2,9 M
</t>
        </r>
        <r>
          <rPr>
            <b/>
            <sz val="9"/>
            <color indexed="81"/>
            <rFont val="Segoe UI"/>
            <family val="2"/>
          </rPr>
          <t>ADJUSTED NUMBER!</t>
        </r>
        <r>
          <rPr>
            <sz val="9"/>
            <color indexed="81"/>
            <rFont val="Segoe UI"/>
            <family val="2"/>
          </rPr>
          <t xml:space="preserve">
Eng: Expenses related to demobilization of a warehouse in Barueri-SP amounting R$ 2.9 M
</t>
        </r>
      </text>
    </comment>
    <comment ref="X16" authorId="2" shapeId="0" xr:uid="{00000000-0006-0000-0100-000027000000}">
      <text>
        <r>
          <rPr>
            <b/>
            <sz val="9"/>
            <color indexed="81"/>
            <rFont val="Segoe UI"/>
            <family val="2"/>
          </rPr>
          <t xml:space="preserve">NÚMERO AJUSTADO!
</t>
        </r>
        <r>
          <rPr>
            <sz val="9"/>
            <color indexed="81"/>
            <rFont val="Segoe UI"/>
            <family val="2"/>
          </rPr>
          <t>PT -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t>
        </r>
        <r>
          <rPr>
            <sz val="9"/>
            <color indexed="81"/>
            <rFont val="Segoe UI"/>
            <family val="2"/>
          </rPr>
          <t xml:space="preserve">PT: Despesas relacionadas à desmobilização de um armazém em Barueri-SP no montante de R$ 2,9 M
</t>
        </r>
        <r>
          <rPr>
            <b/>
            <sz val="9"/>
            <color indexed="81"/>
            <rFont val="Segoe UI"/>
            <family val="2"/>
          </rPr>
          <t xml:space="preserve">ADJUSTED NUMBER!
</t>
        </r>
        <r>
          <rPr>
            <sz val="9"/>
            <color indexed="81"/>
            <rFont val="Segoe UI"/>
            <family val="2"/>
          </rPr>
          <t>Eng - 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r>
          <rPr>
            <sz val="9"/>
            <color indexed="81"/>
            <rFont val="Segoe UI"/>
            <family val="2"/>
          </rPr>
          <t xml:space="preserve">
Eng: Expenses related to demobilization of a warehouse in Barueri-SP amounting R$ 2.9 M
</t>
        </r>
      </text>
    </comment>
    <comment ref="Y16" authorId="1" shapeId="0" xr:uid="{00000000-0006-0000-0100-000028000000}">
      <text>
        <r>
          <rPr>
            <sz val="9"/>
            <color indexed="81"/>
            <rFont val="Segoe UI"/>
            <family val="2"/>
          </rPr>
          <t>Pt) recebimento referente ao direito de administração da folha de pagamento dos colaboradores e ii) ressarcimento em função da modificação de condições de contrato comercial. Ambos impactos somaram R$ 6,7 milhões positivos.
Eng) i) the receipt of an amount related to the right to manage the payroll of employees and ii) the reimbursement due to a commercial contract conditions change. Both impacts amounted positive R$ 6.7 million</t>
        </r>
      </text>
    </comment>
    <comment ref="Z16" authorId="1" shapeId="0" xr:uid="{00000000-0006-0000-0100-000029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t>
        </r>
      </text>
    </comment>
    <comment ref="AA16" authorId="1" shapeId="0" xr:uid="{00000000-0006-0000-0100-00002A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
</t>
        </r>
      </text>
    </comment>
    <comment ref="AB16" authorId="2" shapeId="0" xr:uid="{00000000-0006-0000-0100-00002B000000}">
      <text>
        <r>
          <rPr>
            <b/>
            <sz val="9"/>
            <color indexed="81"/>
            <rFont val="Segoe UI"/>
            <family val="2"/>
          </rPr>
          <t xml:space="preserve">NÚMERO AJUSTADO!
</t>
        </r>
        <r>
          <rPr>
            <sz val="9"/>
            <color indexed="81"/>
            <rFont val="Segoe UI"/>
            <family val="2"/>
          </rPr>
          <t xml:space="preserve">PT - Ganhos com a venda da participação acionária na controlada Frete Rápido: R$ 2,6 milhões.
</t>
        </r>
        <r>
          <rPr>
            <b/>
            <sz val="9"/>
            <color indexed="81"/>
            <rFont val="Segoe UI"/>
            <family val="2"/>
          </rPr>
          <t xml:space="preserve">
ADJUSTED NUMBER!
</t>
        </r>
        <r>
          <rPr>
            <sz val="9"/>
            <color indexed="81"/>
            <rFont val="Segoe UI"/>
            <family val="2"/>
          </rPr>
          <t>Eng - Gains from the sale of equity interest in the subsidiary Frete Rápido: R$ 2.6 million.</t>
        </r>
      </text>
    </comment>
    <comment ref="AC16" authorId="1" shapeId="0" xr:uid="{00000000-0006-0000-0100-00002C000000}">
      <text>
        <r>
          <rPr>
            <b/>
            <sz val="9"/>
            <color indexed="81"/>
            <rFont val="Segoe UI"/>
            <family val="2"/>
          </rPr>
          <t>NÚMERO AJUSTADO!</t>
        </r>
        <r>
          <rPr>
            <sz val="9"/>
            <color indexed="81"/>
            <rFont val="Segoe UI"/>
            <family val="2"/>
          </rPr>
          <t xml:space="preserve">
- Recebimento referente ao direito de administração da folha de pagamento dos colaboradores e ressarcimento em função da modificação de condições de contrato comercial. Ambos impactos somaram R$ 6,7 milhões positivos.
- Crédito de PIS e COFINS proveniente da Exclusão de ICMS na Base de Cálculo: R$5,7 milhões
- Despesas com assessorias financeiras e jurídicas relacionadas à oferta de combinação de negóciosrecebida no trimestre: R$ 1,1 milhão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Financial and legal advisory expenses related to the tender offer of business combination received in the quarter: R$1.1 million
- Gains from the sale of equity interest in the subsidiary Frete Rápido: R$ 2.6 million.
-vthe receipt of an amount related to the right to manage the payroll of employees and the reimbursement due to a commercial contract conditions change. Both impacts amounted positive R$ 6.7 million</t>
        </r>
      </text>
    </comment>
    <comment ref="AF16" authorId="0" shapeId="0" xr:uid="{00000000-0006-0000-0100-00002D000000}">
      <text>
        <r>
          <rPr>
            <b/>
            <sz val="9"/>
            <color indexed="81"/>
            <rFont val="Segoe UI"/>
            <family val="2"/>
          </rPr>
          <t xml:space="preserve">NÚMERO AJUSTADO!
PT- </t>
        </r>
        <r>
          <rPr>
            <sz val="9"/>
            <color indexed="81"/>
            <rFont val="Segoe UI"/>
            <family val="2"/>
          </rPr>
          <t>Contingência cívil da ex controlada Direct Express de - R$ 6,6 milhões</t>
        </r>
        <r>
          <rPr>
            <b/>
            <sz val="9"/>
            <color indexed="81"/>
            <rFont val="Segoe UI"/>
            <family val="2"/>
          </rPr>
          <t xml:space="preserve">
ADJUSTED NUMBER!
Eng - </t>
        </r>
        <r>
          <rPr>
            <sz val="9"/>
            <color indexed="81"/>
            <rFont val="Segoe UI"/>
            <family val="2"/>
          </rPr>
          <t>Civil contingency of the former subsidiary Direct Express - R$ 6.6 million;</t>
        </r>
      </text>
    </comment>
    <comment ref="AG16" authorId="0" shapeId="0" xr:uid="{00000000-0006-0000-0100-00002E000000}">
      <text>
        <r>
          <rPr>
            <b/>
            <sz val="9"/>
            <color indexed="81"/>
            <rFont val="Segoe UI"/>
            <family val="2"/>
          </rPr>
          <t xml:space="preserve">NÚMERO AJUSTADO!
</t>
        </r>
        <r>
          <rPr>
            <sz val="9"/>
            <color indexed="81"/>
            <rFont val="Segoe UI"/>
            <family val="2"/>
          </rPr>
          <t xml:space="preserve">PT- Créditos de PIS/ COFINS da controlada Catlog  (líquido de honorários advocatícios) - R$ 5,5 milhões
</t>
        </r>
        <r>
          <rPr>
            <b/>
            <sz val="9"/>
            <color indexed="81"/>
            <rFont val="Segoe UI"/>
            <family val="2"/>
          </rPr>
          <t xml:space="preserve">ADJUSTED NUMBER!
</t>
        </r>
        <r>
          <rPr>
            <sz val="9"/>
            <color indexed="81"/>
            <rFont val="Segoe UI"/>
            <family val="2"/>
          </rPr>
          <t>Eng - PIS/ COFINS tax credits from the subsidiary Catlog (net of lawyer fee) - R$ 5.5 million;</t>
        </r>
      </text>
    </comment>
    <comment ref="AH16" authorId="1" shapeId="0" xr:uid="{00000000-0006-0000-0100-00002F000000}">
      <text>
        <r>
          <rPr>
            <b/>
            <sz val="9"/>
            <color indexed="81"/>
            <rFont val="Segoe UI"/>
            <family val="2"/>
          </rPr>
          <t xml:space="preserve">NÚMERO AJUSTADO!
</t>
        </r>
        <r>
          <rPr>
            <sz val="9"/>
            <color indexed="81"/>
            <rFont val="Segoe UI"/>
            <family val="2"/>
          </rPr>
          <t xml:space="preserve">PT- Contingência cívil da ex controlada Direct Express de - R$ 6,6 milhões
PT- Créditos de PIS/ COFINS da controlada Catlog Express (net of lawyer fee) - R$ 5,5 milhões
</t>
        </r>
        <r>
          <rPr>
            <b/>
            <sz val="9"/>
            <color indexed="81"/>
            <rFont val="Segoe UI"/>
            <family val="2"/>
          </rPr>
          <t xml:space="preserve">
ADJUSTED NUMBER!
</t>
        </r>
        <r>
          <rPr>
            <sz val="9"/>
            <color indexed="81"/>
            <rFont val="Segoe UI"/>
            <family val="2"/>
          </rPr>
          <t>Eng - Civil contingency of the former subsidiary Direct Express - R$ 6.6 million;
Eng - PIS/ COFINS tax credits from the subsidiary Catlog (net of lawyer fee) - R$ 5,5 million;</t>
        </r>
      </text>
    </comment>
    <comment ref="AX16" authorId="1" shapeId="0" xr:uid="{DA7AEA0F-4208-4168-A71B-B056D730B2F9}">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r>
          <rPr>
            <sz val="9"/>
            <color indexed="81"/>
            <rFont val="Segoe UI"/>
            <family val="2"/>
          </rPr>
          <t xml:space="preserve">
</t>
        </r>
      </text>
    </comment>
    <comment ref="AY16" authorId="1" shapeId="0" xr:uid="{70E55458-4E69-4477-A7FB-4E42FADE80E3}">
      <text>
        <r>
          <rPr>
            <b/>
            <sz val="9"/>
            <color indexed="81"/>
            <rFont val="Segoe UI"/>
            <family val="2"/>
          </rPr>
          <t>VALOR AJUSTADO
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t>
        </r>
      </text>
    </comment>
    <comment ref="F18" authorId="2" shapeId="0" xr:uid="{00000000-0006-0000-0100-000030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(-R$ 1,4 milhão)
- Baixa de R$ 1,8 milhão da conta escrow de indenizações de combinação de  negócios
</t>
        </r>
        <r>
          <rPr>
            <b/>
            <sz val="9"/>
            <color indexed="81"/>
            <rFont val="Segoe UI"/>
            <family val="2"/>
          </rPr>
          <t xml:space="preserve">
ADJUSTED NUMBER!</t>
        </r>
        <r>
          <rPr>
            <sz val="9"/>
            <color indexed="81"/>
            <rFont val="Segoe UI"/>
            <family val="2"/>
          </rPr>
          <t xml:space="preserve">
EN - Civil contingency of the former subsidiary Direct Express of - R $ 15 million
- Write-off of the goodwill of the Catlog subsidiary (-R $ 1.4 million)
- Reduction of R $ 1.8 million from the escrow account for business combination indemnities
</t>
        </r>
      </text>
    </comment>
    <comment ref="G18" authorId="2" shapeId="0" xr:uid="{00000000-0006-0000-0100-000031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 xml:space="preserve">
ADJUSTED NUMBER!
</t>
        </r>
        <r>
          <rPr>
            <sz val="9"/>
            <color indexed="81"/>
            <rFont val="Segoe UI"/>
            <family val="2"/>
          </rPr>
          <t xml:space="preserve">EN - Write off of Direct account receivable amounting R$ 5.7 million </t>
        </r>
      </text>
    </comment>
    <comment ref="H18" authorId="2" shapeId="0" xr:uid="{00000000-0006-0000-0100-000032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 xml:space="preserve">
ADJUSTED NUMBER!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I18" authorId="2" shapeId="0" xr:uid="{00000000-0006-0000-0100-000033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L18" authorId="2" shapeId="0" xr:uid="{00000000-0006-0000-0100-000034000000}">
      <text>
        <r>
          <rPr>
            <b/>
            <sz val="9"/>
            <color indexed="81"/>
            <rFont val="Segoe UI"/>
            <family val="2"/>
          </rPr>
          <t xml:space="preserve">NÚMERO AJUSTADO!
</t>
        </r>
        <r>
          <rPr>
            <sz val="9"/>
            <color indexed="81"/>
            <rFont val="Segoe UI"/>
            <family val="2"/>
          </rPr>
          <t xml:space="preserve">PT - Denúncia espontânea imposto ICMS R$ 5,252 M
</t>
        </r>
        <r>
          <rPr>
            <b/>
            <sz val="9"/>
            <color indexed="81"/>
            <rFont val="Segoe UI"/>
            <family val="2"/>
          </rPr>
          <t xml:space="preserve">
ADJUSTED NUMBER!
</t>
        </r>
        <r>
          <rPr>
            <sz val="9"/>
            <color indexed="81"/>
            <rFont val="Segoe UI"/>
            <family val="2"/>
          </rPr>
          <t>Eng - Spontaneous denouncement on fiscal payment R$ 5.252 M</t>
        </r>
      </text>
    </comment>
    <comment ref="M18" authorId="2" shapeId="0" xr:uid="{00000000-0006-0000-0100-000035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t>
        </r>
        <r>
          <rPr>
            <b/>
            <sz val="9"/>
            <color indexed="81"/>
            <rFont val="Segoe UI"/>
            <family val="2"/>
          </rPr>
          <t xml:space="preserve">
ADJUSTED NUMBER!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t>
        </r>
        <r>
          <rPr>
            <b/>
            <sz val="9"/>
            <color indexed="81"/>
            <rFont val="Segoe UI"/>
            <family val="2"/>
          </rPr>
          <t xml:space="preserve">
</t>
        </r>
        <r>
          <rPr>
            <sz val="9"/>
            <color indexed="81"/>
            <rFont val="Segoe UI"/>
            <family val="2"/>
          </rPr>
          <t>Eng - Defeat legal fee for discontinued operation: R$ 2.0M
Eng - Civil contingency of the former subsidiary Direct Express - R$ 14.5 million;</t>
        </r>
      </text>
    </comment>
    <comment ref="N18" authorId="2" shapeId="0" xr:uid="{00000000-0006-0000-0100-000036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
</t>
        </r>
        <r>
          <rPr>
            <b/>
            <sz val="9"/>
            <color indexed="81"/>
            <rFont val="Segoe UI"/>
            <family val="2"/>
          </rPr>
          <t xml:space="preserve">
ADJUSTED NUMBER!</t>
        </r>
        <r>
          <rPr>
            <sz val="9"/>
            <color indexed="81"/>
            <rFont val="Segoe UI"/>
            <family val="2"/>
          </rPr>
          <t xml:space="preserve">
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Q18" authorId="2" shapeId="0" xr:uid="{00000000-0006-0000-0100-000037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R18" authorId="2" shapeId="0" xr:uid="{00000000-0006-0000-0100-000038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S18" authorId="2" shapeId="0" xr:uid="{00000000-0006-0000-0100-000039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T18" authorId="2" shapeId="0" xr:uid="{00000000-0006-0000-0100-00003A000000}">
      <text>
        <r>
          <rPr>
            <b/>
            <sz val="9"/>
            <color indexed="81"/>
            <rFont val="Segoe UI"/>
            <family val="2"/>
          </rPr>
          <t>NÚMERO AJUSTADO!</t>
        </r>
        <r>
          <rPr>
            <sz val="9"/>
            <color indexed="81"/>
            <rFont val="Segoe UI"/>
            <family val="2"/>
          </rPr>
          <t xml:space="preserve">
Pt: Despesas com honorários advocatícios relacionadas a Operação Pacto: R$ 3,3 milhões;</t>
        </r>
        <r>
          <rPr>
            <b/>
            <sz val="9"/>
            <color indexed="81"/>
            <rFont val="Segoe UI"/>
            <family val="2"/>
          </rPr>
          <t xml:space="preserve">
ADJUSTED NUMBER!
</t>
        </r>
        <r>
          <rPr>
            <sz val="9"/>
            <color indexed="81"/>
            <rFont val="Segoe UI"/>
            <family val="2"/>
          </rPr>
          <t>Eng: Expenses with legal fees related to Operação Pacto: R$3.3 million;</t>
        </r>
      </text>
    </comment>
    <comment ref="W18" authorId="2" shapeId="0" xr:uid="{00000000-0006-0000-0100-00003B000000}">
      <text>
        <r>
          <rPr>
            <b/>
            <sz val="9"/>
            <color indexed="81"/>
            <rFont val="Segoe UI"/>
            <family val="2"/>
          </rPr>
          <t>NÚMERO AJUSTADO!</t>
        </r>
        <r>
          <rPr>
            <sz val="9"/>
            <color indexed="81"/>
            <rFont val="Segoe UI"/>
            <family val="2"/>
          </rPr>
          <t xml:space="preserve">
PT: Custos relacionados à desmobilização de um armazém em Barueri-SP no montante de R$ 2,3 M
PT: Despesas relacionadas à desmobilização de um armazém em Barueri-SP no montante de R$ 2,9 M
</t>
        </r>
        <r>
          <rPr>
            <b/>
            <sz val="9"/>
            <color indexed="81"/>
            <rFont val="Segoe UI"/>
            <family val="2"/>
          </rPr>
          <t xml:space="preserve">
ADJUSTED NUMBER!</t>
        </r>
        <r>
          <rPr>
            <sz val="9"/>
            <color indexed="81"/>
            <rFont val="Segoe UI"/>
            <family val="2"/>
          </rPr>
          <t xml:space="preserve">
Eng: Costs related to demobilization of a warehouse in Barueri-SP amounting R$ 2.3 M
Eng: Expenses related to demobilization of a warehouse in Barueri-SP amounting R$ 2.9 M
</t>
        </r>
      </text>
    </comment>
    <comment ref="X18" authorId="2" shapeId="0" xr:uid="{00000000-0006-0000-0100-00003C000000}">
      <text>
        <r>
          <rPr>
            <b/>
            <sz val="9"/>
            <color indexed="81"/>
            <rFont val="Segoe UI"/>
            <family val="2"/>
          </rPr>
          <t xml:space="preserve">NÚMERO AJUSTADO!
</t>
        </r>
        <r>
          <rPr>
            <sz val="9"/>
            <color indexed="81"/>
            <rFont val="Segoe UI"/>
            <family val="2"/>
          </rPr>
          <t xml:space="preserve">PT - Despesas com honorários advocatícios relacionadas a Operação Pacto: R$ 3,3 milhões;
PT: Custos relacionados à desmobilização de um armazém em Barueri-SP no montante de R$ 2,3 M
PT: Despesas relacionadas à desmobilização de um armazém em Barueri-SP no montante de R$ 2,9 M
</t>
        </r>
        <r>
          <rPr>
            <b/>
            <sz val="9"/>
            <color indexed="81"/>
            <rFont val="Segoe UI"/>
            <family val="2"/>
          </rPr>
          <t xml:space="preserve">ADJUSTED NUMBER!
</t>
        </r>
        <r>
          <rPr>
            <sz val="9"/>
            <color indexed="81"/>
            <rFont val="Segoe UI"/>
            <family val="2"/>
          </rPr>
          <t xml:space="preserve">Eng - Attorney’s fees expenses related to the Operação Pacto: R$ 3.3 million;
Eng: Costs related to demobilization of a warehouse in Barueri-SP amounting R$ 2.3 M
Eng: Expenses related to demobilization of a warehouse in Barueri-SP amounting R$ 2.9 M
</t>
        </r>
        <r>
          <rPr>
            <b/>
            <sz val="9"/>
            <color indexed="81"/>
            <rFont val="Segoe UI"/>
            <family val="2"/>
          </rPr>
          <t xml:space="preserve">
</t>
        </r>
      </text>
    </comment>
    <comment ref="Z18" authorId="2" shapeId="0" xr:uid="{00000000-0006-0000-0100-00003D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
</t>
        </r>
      </text>
    </comment>
    <comment ref="AA18" authorId="2" shapeId="0" xr:uid="{00000000-0006-0000-0100-00003E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t>
        </r>
      </text>
    </comment>
    <comment ref="AB18" authorId="1" shapeId="0" xr:uid="{00000000-0006-0000-0100-00003F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Eng - Gains from the sale of equity interest in the subsidiary Frete Rápido: R$ 2.6 million.</t>
        </r>
      </text>
    </comment>
    <comment ref="AC18" authorId="1" shapeId="0" xr:uid="{00000000-0006-0000-0100-000040000000}">
      <text>
        <r>
          <rPr>
            <b/>
            <sz val="9"/>
            <color indexed="81"/>
            <rFont val="Segoe UI"/>
            <family val="2"/>
          </rPr>
          <t xml:space="preserve">NÚMERO AJUSTADO!
</t>
        </r>
        <r>
          <rPr>
            <sz val="9"/>
            <color indexed="81"/>
            <rFont val="Segoe UI"/>
            <family val="2"/>
          </rPr>
          <t xml:space="preserve">- Crédito de PIS e COFINS proveniente da Exclusão de ICMS na Base de Cálculo: R$5,7 milhões
- Despesas com assessorias financeiras e jurídicas relacionadas à oferta de combinação de negóciosrecebida no trimestre: R$ 1,1 milhão
- Ganhos com a venda da participação acionária na controlada Frete Rápido: R$ 2,6 milhões.
</t>
        </r>
        <r>
          <rPr>
            <b/>
            <sz val="9"/>
            <color indexed="81"/>
            <rFont val="Segoe UI"/>
            <family val="2"/>
          </rPr>
          <t xml:space="preserve">ADJUSTED NUMBER!
</t>
        </r>
        <r>
          <rPr>
            <sz val="9"/>
            <color indexed="81"/>
            <rFont val="Segoe UI"/>
            <family val="2"/>
          </rPr>
          <t xml:space="preserve">-  PIS and COFINS credit arising from the Exclusion of ICMS in the calculation Base: R$5,7 million
-  Financial and legal advisory expenses related to the tender offer of business combination received in the quarter: R$1.1 million
- Gains from the sale of equity interest in the subsidiary </t>
        </r>
      </text>
    </comment>
    <comment ref="AF18" authorId="1" shapeId="0" xr:uid="{00000000-0006-0000-0100-000041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
ADJUSTED NUMBER!</t>
        </r>
        <r>
          <rPr>
            <sz val="9"/>
            <color indexed="81"/>
            <rFont val="Segoe UI"/>
            <family val="2"/>
          </rPr>
          <t xml:space="preserve">
Eng - Civil contingency of the former subsidiary Direct Express - R$ 6.6 million;
</t>
        </r>
      </text>
    </comment>
    <comment ref="AG18" authorId="1" shapeId="0" xr:uid="{00000000-0006-0000-0100-000042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 PIS/ COFINS tax credits from the subsidiary Catlog (net of lawyer fees) - R$ 5.5 million;</t>
        </r>
      </text>
    </comment>
    <comment ref="AH18" authorId="1" shapeId="0" xr:uid="{00000000-0006-0000-0100-000043000000}">
      <text>
        <r>
          <rPr>
            <b/>
            <sz val="9"/>
            <color indexed="81"/>
            <rFont val="Segoe UI"/>
            <family val="2"/>
          </rPr>
          <t xml:space="preserve">NÚMERO AJUSTADO!
</t>
        </r>
        <r>
          <rPr>
            <sz val="9"/>
            <color indexed="81"/>
            <rFont val="Segoe UI"/>
            <family val="2"/>
          </rPr>
          <t>PT- Contingência cívil da ex controlada Direct Express de - R$ 6,6 milhões
PT- Créditos de PIS/ COFINS da controlada Catlog Express (net of lawyer fee) - R$ 5,5 milhões</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(net of lawyer fee) - R$ 5,5 million;</t>
        </r>
      </text>
    </comment>
    <comment ref="F21" authorId="2" shapeId="0" xr:uid="{00000000-0006-0000-0100-000044000000}">
      <text>
        <r>
          <rPr>
            <b/>
            <sz val="9"/>
            <color indexed="81"/>
            <rFont val="Segoe UI"/>
            <family val="2"/>
          </rPr>
          <t xml:space="preserve">NÚMERO AJUSTADO!
</t>
        </r>
        <r>
          <rPr>
            <sz val="9"/>
            <color indexed="81"/>
            <rFont val="Segoe UI"/>
            <family val="2"/>
          </rPr>
          <t>PT - Contingência cívil da ex controlada Direct Express de - R$ 15 milhões
- Baixa do ágio da Controlada Catlog (-R$ 1,4 milhão)
- Baixa de R$ 1,8 milhão da conta escrow de indenizações de combinação de  negócios</t>
        </r>
        <r>
          <rPr>
            <b/>
            <sz val="9"/>
            <color indexed="81"/>
            <rFont val="Segoe UI"/>
            <family val="2"/>
          </rPr>
          <t xml:space="preserve">
ADJUSTED NUMBER!
</t>
        </r>
        <r>
          <rPr>
            <sz val="9"/>
            <color indexed="81"/>
            <rFont val="Segoe UI"/>
            <family val="2"/>
          </rPr>
          <t>EN - Civil contingency of the former subsidiary Direct Express of - R $ 15 million
- Write-off of the goodwill of the Catlog subsidiary (-R $ 1.4 million)
- Reduction of R $ 1.8 million from the escrow account for business combination indemnities</t>
        </r>
      </text>
    </comment>
    <comment ref="G21" authorId="2" shapeId="0" xr:uid="{00000000-0006-0000-0100-000045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H21" authorId="2" shapeId="0" xr:uid="{00000000-0006-0000-0100-000046000000}">
      <text>
        <r>
          <rPr>
            <b/>
            <sz val="9"/>
            <color indexed="81"/>
            <rFont val="Segoe UI"/>
            <family val="2"/>
          </rPr>
          <t xml:space="preserve">NÚMERO AJUSTADO!
</t>
        </r>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t>
        </r>
        <r>
          <rPr>
            <b/>
            <sz val="9"/>
            <color indexed="81"/>
            <rFont val="Segoe UI"/>
            <family val="2"/>
          </rPr>
          <t xml:space="preserve">
ADJUSTED NUMBER!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I21" authorId="2" shapeId="0" xr:uid="{00000000-0006-0000-0100-000047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L21" authorId="2" shapeId="0" xr:uid="{00000000-0006-0000-0100-000048000000}">
      <text>
        <r>
          <rPr>
            <b/>
            <sz val="9"/>
            <color indexed="81"/>
            <rFont val="Segoe UI"/>
            <family val="2"/>
          </rPr>
          <t xml:space="preserve">NÚMERO AJUSTADO!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Eng - Spontaneous denouncement on fiscal payment R$ 5.252 M</t>
        </r>
      </text>
    </comment>
    <comment ref="M21" authorId="2" shapeId="0" xr:uid="{00000000-0006-0000-0100-000049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
</t>
        </r>
        <r>
          <rPr>
            <b/>
            <sz val="9"/>
            <color indexed="81"/>
            <rFont val="Segoe UI"/>
            <family val="2"/>
          </rPr>
          <t xml:space="preserve">
ADJUSTED NUMBER!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N21" authorId="2" shapeId="0" xr:uid="{00000000-0006-0000-0100-00004A000000}">
      <text>
        <r>
          <rPr>
            <b/>
            <sz val="9"/>
            <color indexed="81"/>
            <rFont val="Segoe UI"/>
            <family val="2"/>
          </rPr>
          <t xml:space="preserve">NÚMERO AJUSTADO!
</t>
        </r>
        <r>
          <rPr>
            <sz val="9"/>
            <color indexed="81"/>
            <rFont val="Segoe UI"/>
            <family val="2"/>
          </rPr>
          <t>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t>
        </r>
        <r>
          <rPr>
            <b/>
            <sz val="9"/>
            <color indexed="81"/>
            <rFont val="Segoe UI"/>
            <family val="2"/>
          </rPr>
          <t xml:space="preserve">
ADJUSTED NUMBER!
</t>
        </r>
        <r>
          <rPr>
            <sz val="9"/>
            <color indexed="81"/>
            <rFont val="Segoe UI"/>
            <family val="2"/>
          </rPr>
          <t>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Q21" authorId="2" shapeId="0" xr:uid="{00000000-0006-0000-0100-00004B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R21" authorId="2" shapeId="0" xr:uid="{00000000-0006-0000-0100-00004C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S21" authorId="2" shapeId="0" xr:uid="{00000000-0006-0000-0100-00004D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Despesas com honorários advocatícios relacionadas a Operação Pacto: R$ 2,2 milhões;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T21" authorId="2" shapeId="0" xr:uid="{00000000-0006-0000-0100-00004E000000}">
      <text>
        <r>
          <rPr>
            <b/>
            <sz val="9"/>
            <color indexed="81"/>
            <rFont val="Segoe UI"/>
            <family val="2"/>
          </rPr>
          <t xml:space="preserve">NÚMERO AJUSTADO!
</t>
        </r>
        <r>
          <rPr>
            <sz val="9"/>
            <color indexed="81"/>
            <rFont val="Segoe UI"/>
            <family val="2"/>
          </rPr>
          <t>Pt: Despesas com honorários advocatícios relacionadas a Operação Pacto: R$ 3,3 milhões;</t>
        </r>
        <r>
          <rPr>
            <b/>
            <sz val="9"/>
            <color indexed="81"/>
            <rFont val="Segoe UI"/>
            <family val="2"/>
          </rPr>
          <t xml:space="preserve">
ADJUSTED NUMBER!
</t>
        </r>
        <r>
          <rPr>
            <sz val="9"/>
            <color indexed="81"/>
            <rFont val="Segoe UI"/>
            <family val="2"/>
          </rPr>
          <t xml:space="preserve">Eng: Expenses with legal fees related to Operação Pacto: R$3.3 million;
</t>
        </r>
      </text>
    </comment>
    <comment ref="W21" authorId="2" shapeId="0" xr:uid="{00000000-0006-0000-0100-00004F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R$ 2,3 M
PT: Despesas relacionadas à desmobilização de um armazém em Barueri-SP no montante de R$ 2,9 M
</t>
        </r>
        <r>
          <rPr>
            <b/>
            <sz val="9"/>
            <color indexed="81"/>
            <rFont val="Segoe UI"/>
            <family val="2"/>
          </rPr>
          <t xml:space="preserve">
ADJUSTED NUMBER!
</t>
        </r>
        <r>
          <rPr>
            <sz val="9"/>
            <color indexed="81"/>
            <rFont val="Segoe UI"/>
            <family val="2"/>
          </rPr>
          <t>Eng: Costs related to demobilization of a warehouse in Barueri-SP amounting R$ 2.3 M
Eng: Expenses related to demobilization of a warehouse in Barueri-SP amounting R$ 2.9 M</t>
        </r>
        <r>
          <rPr>
            <b/>
            <sz val="9"/>
            <color indexed="81"/>
            <rFont val="Segoe UI"/>
            <family val="2"/>
          </rPr>
          <t xml:space="preserve">
</t>
        </r>
      </text>
    </comment>
    <comment ref="X21" authorId="2" shapeId="0" xr:uid="{00000000-0006-0000-0100-000050000000}">
      <text>
        <r>
          <rPr>
            <b/>
            <sz val="9"/>
            <color indexed="81"/>
            <rFont val="Segoe UI"/>
            <family val="2"/>
          </rPr>
          <t>NÚMERO AJUSTADO!</t>
        </r>
        <r>
          <rPr>
            <sz val="9"/>
            <color indexed="81"/>
            <rFont val="Segoe UI"/>
            <family val="2"/>
          </rPr>
          <t xml:space="preserve">
PT - Despesas com honorários advocatícios relacionadas a Operação Pacto: R$ 3,3 milhões;
PT: Custos relacionados à desmobilização de um armazém em Barueri-SP no montante de R$ 2,3 M
PT: Despesas relacionadas à desmobilização de um armazém em Barueri-SP no montante de R$ 2,9 M
</t>
        </r>
        <r>
          <rPr>
            <b/>
            <sz val="9"/>
            <color indexed="81"/>
            <rFont val="Segoe UI"/>
            <family val="2"/>
          </rPr>
          <t>ADJUSTED NUMBER!</t>
        </r>
        <r>
          <rPr>
            <sz val="9"/>
            <color indexed="81"/>
            <rFont val="Segoe UI"/>
            <family val="2"/>
          </rPr>
          <t xml:space="preserve">
Eng - Attorney’s fees expenses related to the Operação Pacto: R$ 3.3 million;
Eng: Costs related to demobilization of a warehouse in Barueri-SP amounting R$ 2.3 M
Eng: Expenses related to demobilization of a warehouse in Barueri-SP amounting R$ 2.9 M
</t>
        </r>
      </text>
    </comment>
    <comment ref="Z21" authorId="2" shapeId="0" xr:uid="{00000000-0006-0000-0100-000051000000}">
      <text>
        <r>
          <rPr>
            <b/>
            <sz val="9"/>
            <color indexed="81"/>
            <rFont val="Segoe UI"/>
            <family val="2"/>
          </rPr>
          <t xml:space="preserve">NÚMERO AJUSTADO!
</t>
        </r>
        <r>
          <rPr>
            <sz val="9"/>
            <color indexed="81"/>
            <rFont val="Segoe UI"/>
            <family val="2"/>
          </rPr>
          <t xml:space="preserve">Pt - Crédito de PIS e COFINS proveniente da Exclusão de ICMS na Base de Cálculo: R$5,7 milhões
</t>
        </r>
        <r>
          <rPr>
            <b/>
            <sz val="9"/>
            <color indexed="81"/>
            <rFont val="Segoe UI"/>
            <family val="2"/>
          </rPr>
          <t xml:space="preserve">
ADJUSTED NUMBER!
</t>
        </r>
        <r>
          <rPr>
            <sz val="9"/>
            <color indexed="81"/>
            <rFont val="Segoe UI"/>
            <family val="2"/>
          </rPr>
          <t>Eng: PIS and COFINS credit arising from the Exclusion of ICMS in the calculation Base: R$5,7 million</t>
        </r>
      </text>
    </comment>
    <comment ref="AA21" authorId="2" shapeId="0" xr:uid="{00000000-0006-0000-0100-000052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B21" authorId="1" shapeId="0" xr:uid="{00000000-0006-0000-0100-000053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C21" authorId="1" shapeId="0" xr:uid="{00000000-0006-0000-0100-000054000000}">
      <text>
        <r>
          <rPr>
            <b/>
            <sz val="9"/>
            <color indexed="81"/>
            <rFont val="Segoe UI"/>
            <family val="2"/>
          </rPr>
          <t>NÚMERO AJUSTADO!</t>
        </r>
        <r>
          <rPr>
            <sz val="9"/>
            <color indexed="81"/>
            <rFont val="Segoe UI"/>
            <family val="2"/>
          </rPr>
          <t xml:space="preserve">
- Crédito de PIS e COFINS proveniente da Exclusão de ICMS na Base de Cálculo: R$5,7 milhões
- Despesas com assessorias financeiras e jurídicas relacionadas à oferta de combinação de negócios recebida no trimestre: R$ 1,1 milhão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Financial and legal advisory expenses related to the tender business combination bid received in the quarter: R$1.1 million
- Gains from the sale of equity interest in the subsidiary Frete Rápido: R$ 2.6 million.
</t>
        </r>
      </text>
    </comment>
    <comment ref="AF21" authorId="1" shapeId="0" xr:uid="{00000000-0006-0000-0100-000055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ADJUSTED NUMBER!
</t>
        </r>
        <r>
          <rPr>
            <sz val="9"/>
            <color indexed="81"/>
            <rFont val="Segoe UI"/>
            <family val="2"/>
          </rPr>
          <t xml:space="preserve">Eng - Civil contingency of the former subsidiary Direct Express - R$ 6.6 million;
</t>
        </r>
      </text>
    </comment>
    <comment ref="AG21" authorId="1" shapeId="0" xr:uid="{00000000-0006-0000-0100-000056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-PIS/ COFINS tax credits from the subsidiary Catlog (net of lawyer fees) - R$ 5.5 million;
</t>
        </r>
      </text>
    </comment>
    <comment ref="AH21" authorId="1" shapeId="0" xr:uid="{00000000-0006-0000-0100-000057000000}">
      <text>
        <r>
          <rPr>
            <b/>
            <sz val="9"/>
            <color indexed="81"/>
            <rFont val="Segoe UI"/>
            <family val="2"/>
          </rPr>
          <t xml:space="preserve">NÚMERO AJUSTADO!
</t>
        </r>
        <r>
          <rPr>
            <sz val="9"/>
            <color indexed="81"/>
            <rFont val="Segoe UI"/>
            <family val="2"/>
          </rPr>
          <t>PT- Contingência cívil da ex controlada Direct Express de - R$ 6,6 milhões
PT- Créditos de PIS/ COFINS da controlada Catlog Express (net of lawyer fee) - R$ 5,5 milhões</t>
        </r>
        <r>
          <rPr>
            <b/>
            <sz val="9"/>
            <color indexed="81"/>
            <rFont val="Segoe UI"/>
            <family val="2"/>
          </rPr>
          <t xml:space="preserve">
ADJUSTED NUMBER!
</t>
        </r>
        <r>
          <rPr>
            <sz val="9"/>
            <color indexed="81"/>
            <rFont val="Segoe UI"/>
            <family val="2"/>
          </rPr>
          <t xml:space="preserve">Eng - Civil contingency of the former subsidiary Direct Express - R$ 6.6 million;
Eng - PIS/ COFINS tax credits from the subsidiary Catlog (net of lawyer fee) - R$ 5,5 million
</t>
        </r>
      </text>
    </comment>
    <comment ref="F23" authorId="3" shapeId="0" xr:uid="{00000000-0006-0000-0100-000058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G23" authorId="1" shapeId="0" xr:uid="{00000000-0006-0000-0100-000059000000}">
      <text>
        <r>
          <rPr>
            <sz val="9"/>
            <color indexed="81"/>
            <rFont val="Segoe UI"/>
            <family val="2"/>
          </rPr>
          <t xml:space="preserve">PT - Baixa no valo de R$ 5,7 milhões referente a contas a receber da Direct
EN - Write off of Direct account receivable amounting R$ 5.7 million </t>
        </r>
      </text>
    </comment>
    <comment ref="H23" authorId="4" shapeId="0" xr:uid="{00000000-0006-0000-0100-00005A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I23" authorId="2" shapeId="0" xr:uid="{00000000-0006-0000-0100-00005B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L23" authorId="1" shapeId="0" xr:uid="{00000000-0006-0000-0100-00005C000000}">
      <text>
        <r>
          <rPr>
            <sz val="9"/>
            <color indexed="81"/>
            <rFont val="Segoe UI"/>
            <family val="2"/>
          </rPr>
          <t>PT - Denúncia espontânea imposto ICMS R$ 5,252 M
Eng - Spontaneous denouncement on fiscal payment R$ 5.252 M</t>
        </r>
      </text>
    </comment>
    <comment ref="M23" authorId="6" shapeId="0" xr:uid="{00000000-0006-0000-0100-00005D000000}">
      <text>
        <r>
          <rPr>
            <sz val="9"/>
            <color indexed="81"/>
            <rFont val="Segoe UI"/>
            <family val="2"/>
          </rPr>
          <t xml:space="preserve">PT- Contingência cívil da ex controlada Direct Express de - R$ 14,5 milhões
PT- Custos de sucumbência de processo judicial de operação descontinuada: R$2,9M
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r>
          <rPr>
            <sz val="9"/>
            <color indexed="81"/>
            <rFont val="Segoe UI"/>
            <family val="2"/>
          </rPr>
          <t xml:space="preserve">
Eng - Civil contingency of the former subsidiary Direct Express - R$ 14.5 million;
Eng - Costs of defead legal fee for discontinued operation: R$ 2.9M</t>
        </r>
      </text>
    </comment>
    <comment ref="N23" authorId="2" shapeId="0" xr:uid="{00000000-0006-0000-0100-00005E000000}">
      <text>
        <r>
          <rPr>
            <sz val="9"/>
            <color indexed="81"/>
            <rFont val="Segoe UI"/>
            <family val="2"/>
          </rPr>
          <t xml:space="preserve">PT - Denúncia espontânea imposto ICMS R$ 5,252 M
PT- Contingência cívil da ex controlada Direct Express de - R$ 14,5 milhões
PT- Custos de sucumbência de processo judicial de operação descontinuada: R$2,9M
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sz val="9"/>
            <color indexed="81"/>
            <rFont val="Segoe UI"/>
            <family val="2"/>
          </rPr>
          <t xml:space="preserve">
Eng - Spontaneous denouncement on fiscal payment R$ 5.252 M
Eng - Civil contingency of the former subsidiary Direct Express - R$ 14.5 million;
Eng - Costs of defead legal fee for discontinued operation: R$ 2.9M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Q23" authorId="1" shapeId="0" xr:uid="{00000000-0006-0000-0100-00005F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R23" authorId="5" shapeId="0" xr:uid="{00000000-0006-0000-0100-000060000000}">
      <text>
        <r>
          <rPr>
            <b/>
            <sz val="9"/>
            <color indexed="81"/>
            <rFont val="Segoe UI"/>
            <family val="2"/>
          </rPr>
          <t xml:space="preserve">PT - </t>
        </r>
        <r>
          <rPr>
            <sz val="9"/>
            <color indexed="81"/>
            <rFont val="Segoe UI"/>
            <family val="2"/>
          </rPr>
          <t xml:space="preserve">Despesas com honorários advocatícios relacionadas a Operação Pacto: R$ 2,2 milhões;
</t>
        </r>
        <r>
          <rPr>
            <b/>
            <sz val="9"/>
            <color indexed="81"/>
            <rFont val="Segoe UI"/>
            <family val="2"/>
          </rPr>
          <t xml:space="preserve">
Eng - </t>
        </r>
        <r>
          <rPr>
            <sz val="9"/>
            <color indexed="81"/>
            <rFont val="Segoe UI"/>
            <family val="2"/>
          </rPr>
          <t>Attorney’s fees expenses related to the Operação Pacto: R$ 2.2 million</t>
        </r>
      </text>
    </comment>
    <comment ref="S23" authorId="2" shapeId="0" xr:uid="{00000000-0006-0000-0100-000061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Despesas com honorários advocatícios relacionadas a Operação Pacto: R$ 2,2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T23" authorId="5" shapeId="0" xr:uid="{00000000-0006-0000-0100-000062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 xml:space="preserve">Attorney’s fees expenses related to the Operação Pacto: R$ 3.3 million;
</t>
        </r>
        <r>
          <rPr>
            <b/>
            <sz val="9"/>
            <color indexed="81"/>
            <rFont val="Segoe UI"/>
            <family val="2"/>
          </rPr>
          <t xml:space="preserve">
</t>
        </r>
      </text>
    </comment>
    <comment ref="W23" authorId="2" shapeId="0" xr:uid="{00000000-0006-0000-0100-000063000000}">
      <text>
        <r>
          <rPr>
            <sz val="9"/>
            <color indexed="81"/>
            <rFont val="Segoe UI"/>
            <family val="2"/>
          </rPr>
          <t>PT: Custos relacionados à desmobilização de um armazém em Barueri-SP no montante de R$ 2,3 M
PT: Despesas relacionadas à desmobilização de um armazém em Barueri-SP no montante de R$ 2,9 M
Eng: Costs related to demobilization of a warehouse in Barueri-SP amounting R$ 2.3 M
Eng: Expenses related to demobilization of a warehouse in Barueri-SP amounting for R$ 2.9 M</t>
        </r>
      </text>
    </comment>
    <comment ref="X23" authorId="2" shapeId="0" xr:uid="{00000000-0006-0000-0100-000064000000}">
      <text>
        <r>
          <rPr>
            <sz val="9"/>
            <color indexed="81"/>
            <rFont val="Segoe UI"/>
            <family val="2"/>
          </rPr>
          <t>PT - Despesas com honorários advocatícios relacionadas a Operação Pacto: R$ 3,3 milhões;
PT: Custos relacionados à desmobilização de um armazém em Barueri-SP no montante de R$ 2,3 M
PT: Despesas relacionadas à desmobilização de um armazém em Barueri-SP no montante de R$ 2,9 M
Eng - Attorney’s fees expenses related to the Operação Pacto: R$ 3.3 million;
Eng: Costs related to demobilization of a warehouse in Barueri-SP amounting R$ 2.3 M
Eng: Expenses related to demobilization of a warehouse in Barueri-SP amounting for R$ 2.9 M</t>
        </r>
      </text>
    </comment>
    <comment ref="Z23" authorId="0" shapeId="0" xr:uid="{00000000-0006-0000-0100-000065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A23" authorId="0" shapeId="0" xr:uid="{00000000-0006-0000-0100-000066000000}">
      <text>
        <r>
          <rPr>
            <sz val="9"/>
            <color indexed="81"/>
            <rFont val="Segoe UI"/>
            <family val="2"/>
          </rPr>
          <t xml:space="preserve">PT - Despesas com assessorias financeiras e jurídicas relacionadas à oferta de combinação de negócios recebida no trimestre: R$ 1,1 milhão
Eng - Financial and legal advisory expenses related to the Tender offer of  business combination in the quarter: R$1.1 million
</t>
        </r>
      </text>
    </comment>
    <comment ref="AB23" authorId="0" shapeId="0" xr:uid="{00000000-0006-0000-0100-000067000000}">
      <text>
        <r>
          <rPr>
            <sz val="9"/>
            <color indexed="81"/>
            <rFont val="Segoe UI"/>
            <family val="2"/>
          </rPr>
          <t xml:space="preserve">PT - Ganhos com a venda da participação acionária na controlada Frete Rápido: R$ 2,6 milhões.
Eng - Gains from the sale of equity interest in the subsidiary Frete Rápido: R$ 2.6 million.
</t>
        </r>
      </text>
    </comment>
    <comment ref="AC23" authorId="0" shapeId="0" xr:uid="{00000000-0006-0000-0100-000068000000}">
      <text>
        <r>
          <rPr>
            <sz val="9"/>
            <color indexed="81"/>
            <rFont val="Segoe UI"/>
            <family val="2"/>
          </rPr>
          <t xml:space="preserve">PT: - Crédito de PIS e COFINS proveniente da Exclusão de ICMS na Base de Cálculo: R$5,7 milhões
- Despesas com assessorias financeiras e jurídicas relacionadas à oferta de combinação de negócios recebida no trimestre: R$ 1,1 milhão
- Ganhos com a venda da participação acionária na controlada Frete Rápido: R$ 2,6 milhões.
Eng: -  PIS and COFINS credit arising from the Exclusion of ICMS in the calculation Base: R$5,7 million
-  Financial and legal advisory expenses related to the tender business combination bid received in the quarter: R$1.1 million
- Gains from the sale of equity interest in the subsidiary Frete Rápido: R$ 2.6 million.
</t>
        </r>
      </text>
    </comment>
    <comment ref="Q28" authorId="1" shapeId="0" xr:uid="{00000000-0006-0000-0100-000069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t>
        </r>
      </text>
    </comment>
    <comment ref="S28" authorId="2" shapeId="0" xr:uid="{00000000-0006-0000-0100-00006A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Z28" authorId="1" shapeId="0" xr:uid="{00000000-0006-0000-0100-00006B000000}">
      <text>
        <r>
          <rPr>
            <sz val="9"/>
            <color indexed="81"/>
            <rFont val="Segoe UI"/>
            <family val="2"/>
          </rPr>
          <t xml:space="preserve">Pt - Correção monetária do Crédito de PIS e COFINS priveniente da Exclusão de ICMS na Base de Cálculo: R$3,4 milhões
</t>
        </r>
        <r>
          <rPr>
            <sz val="9"/>
            <color indexed="81"/>
            <rFont val="Segoe UI"/>
            <family val="2"/>
          </rPr>
          <t xml:space="preserve">
Eng - Pt - Monetary adjustment of the PIS and COFINS Credit arising from the Exclusion of ICMS in the Calculation Base: R$3.4 million
</t>
        </r>
      </text>
    </comment>
    <comment ref="AC28" authorId="1" shapeId="0" xr:uid="{00000000-0006-0000-0100-00006C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r>
          <rPr>
            <sz val="9"/>
            <color indexed="81"/>
            <rFont val="Segoe UI"/>
            <family val="2"/>
          </rPr>
          <t xml:space="preserve">
</t>
        </r>
      </text>
    </comment>
    <comment ref="AG28" authorId="1" shapeId="0" xr:uid="{00000000-0006-0000-0100-00006D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H28" authorId="1" shapeId="0" xr:uid="{00000000-0006-0000-0100-00006E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J28" authorId="1" shapeId="0" xr:uid="{00000000-0006-0000-0100-00006F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AM28" authorId="1" shapeId="0" xr:uid="{00000000-0006-0000-0100-000070000000}">
      <text>
        <r>
          <rPr>
            <sz val="9"/>
            <color indexed="81"/>
            <rFont val="Segoe UI"/>
            <family val="2"/>
          </rPr>
          <t xml:space="preserve">Pt - Correção monetária do Crédito de PIS e COFINS priveniente da Exclusão de ICMS na Base de Cálculo: R$2,4 milhões
Eng - Pt - Monetary adjustment of the PIS and COFINS Credit arising from the Exclusion of ICMS in the Calculation Base: R$2.4 million
</t>
        </r>
      </text>
    </comment>
    <comment ref="AO28" authorId="1" shapeId="0" xr:uid="{00000000-0006-0000-0100-000071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AR28" authorId="1" shapeId="0" xr:uid="{00000000-0006-0000-0100-000072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F31" authorId="0" shapeId="0" xr:uid="{00000000-0006-0000-0100-000073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negativos
EN - LALUR rectification of 2014 impacted positive R $ 10.9 million
- Payment of income tax on the gain of Fundaf's cause R $ 1.9 million
- Deferred Income tax constitution on the civil contingency of the former subsidiary Direct negative R $ 5.1 million</t>
        </r>
      </text>
    </comment>
    <comment ref="H31" authorId="0" shapeId="0" xr:uid="{00000000-0006-0000-0100-000074000000}">
      <text>
        <r>
          <rPr>
            <sz val="9"/>
            <color indexed="81"/>
            <rFont val="Segoe UI"/>
            <family val="2"/>
          </rPr>
          <t>PT - Impacto no imposto de renda dos seguintes eventos: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Adicionalmente, hove os seguintes eventos: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EN - Impact on income tax of the following events: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t>
        </r>
        <r>
          <rPr>
            <b/>
            <sz val="9"/>
            <color indexed="81"/>
            <rFont val="Segoe UI"/>
            <family val="2"/>
          </rPr>
          <t xml:space="preserve">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Additionally, there was the following events: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I31" authorId="0" shapeId="0" xr:uid="{00000000-0006-0000-0100-000075000000}">
      <text>
        <r>
          <rPr>
            <sz val="9"/>
            <color indexed="81"/>
            <rFont val="Segoe UI"/>
            <family val="2"/>
          </rPr>
          <t xml:space="preserve">PT - Impacto no imposto de renda dos seguintes eventos: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Adicionalmente, hove os seguintes eventos: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PT - Retificação do LALUR de 2014 impactou em R$ 10,9 milhões positivos
- Pagamento de IR sobre o ganho de causa Fundaf R$ 1,9 milhão
- Constituição de  IR diferido sobre a contingência cívil da ex controlada Direct R$ 5,1 milhões negativos
EN - Impact on income tax of the following events: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Additionally, there was the following events: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EN - LALUR rectification of 2014 impacted positive R $ 10.9 million
- Payment of income tax on the gain of Fundaf's cause R $ 1.9 million
- Deferred Income tax constitution on the civil contingency of the former subsidiary Direct negative R $ 5.1 million
</t>
        </r>
      </text>
    </comment>
    <comment ref="M31" authorId="1" shapeId="0" xr:uid="{00000000-0006-0000-0100-000076000000}">
      <text>
        <r>
          <rPr>
            <sz val="9"/>
            <color indexed="81"/>
            <rFont val="Segoe UI"/>
            <family val="2"/>
          </rPr>
          <t xml:space="preserve">PT - Constituição de  IR diferido sobre a contingência cívil da ex controlada Direct R$ 4.8 milhões negativos
EN - Deferred Income tax constitution on the civil contingency of the former subsidiary Direct negative R$ 4.9 million
</t>
        </r>
      </text>
    </comment>
    <comment ref="N31" authorId="1" shapeId="0" xr:uid="{00000000-0006-0000-0100-000077000000}">
      <text>
        <r>
          <rPr>
            <sz val="9"/>
            <color indexed="81"/>
            <rFont val="Segoe UI"/>
            <family val="2"/>
          </rPr>
          <t xml:space="preserve">PT - Constituição de  IR diferido sobre a contingência cívil da ex controlada Direct R$ 4.8 milhões negativos
EN - Deferred Income tax constitution on the civil contingency of the former subsidiary Direct negative R$ 4.9 million
</t>
        </r>
      </text>
    </comment>
    <comment ref="Q31" authorId="1" shapeId="0" xr:uid="{00000000-0006-0000-0100-00007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S31" authorId="1" shapeId="0" xr:uid="{00000000-0006-0000-0100-000079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AA31" authorId="1" shapeId="0" xr:uid="{00000000-0006-0000-0100-00007A000000}">
      <text>
        <r>
          <rPr>
            <sz val="9"/>
            <color indexed="81"/>
            <rFont val="Segoe UI"/>
            <family val="2"/>
          </rPr>
          <t>Pt - Crédito tributário extraordinário referente a imposto pago a maior R$12,9 milhões
Eng- Extraordinary tax credit regarding overpaid tax collection amounting R$ 12.9 million</t>
        </r>
      </text>
    </comment>
    <comment ref="AC31" authorId="1" shapeId="0" xr:uid="{00000000-0006-0000-0100-00007B000000}">
      <text>
        <r>
          <rPr>
            <sz val="9"/>
            <color indexed="81"/>
            <rFont val="Segoe UI"/>
            <family val="2"/>
          </rPr>
          <t>Pt - Crédito tributário extraordinário referente a imposto pago a maior R$12,9 milhões
Eng- Extraordinary tax credit regarding overpaid tax collection amounting R$ 12.9 million</t>
        </r>
      </text>
    </comment>
    <comment ref="M68" authorId="1" shapeId="0" xr:uid="{00000000-0006-0000-0100-00007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t>
        </r>
        <r>
          <rPr>
            <b/>
            <sz val="9"/>
            <color indexed="81"/>
            <rFont val="Segoe UI"/>
            <family val="2"/>
          </rPr>
          <t>ADJUSTED NUMBER!</t>
        </r>
        <r>
          <rPr>
            <sz val="9"/>
            <color indexed="81"/>
            <rFont val="Segoe UI"/>
            <family val="2"/>
          </rPr>
          <t xml:space="preserve">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N68" authorId="1" shapeId="0" xr:uid="{00000000-0006-0000-0100-00007D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R$ 10,6 M [R$ 4,5 M referente ao ano de 2017 e R$ 6,1 M referente ao ano de 2018.</t>
        </r>
        <r>
          <rPr>
            <u/>
            <sz val="9"/>
            <color indexed="81"/>
            <rFont val="Segoe UI"/>
            <family val="2"/>
          </rPr>
          <t xml:space="preserve"> 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AJ68" authorId="1" shapeId="0" xr:uid="{00000000-0006-0000-0100-00007E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L68" authorId="1" shapeId="0" xr:uid="{00000000-0006-0000-0100-00007F000000}">
      <text>
        <r>
          <rPr>
            <sz val="9"/>
            <color indexed="81"/>
            <rFont val="Segoe UI"/>
            <family val="2"/>
          </rPr>
          <t>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t>
        </r>
      </text>
    </comment>
    <comment ref="AM68" authorId="0" shapeId="0" xr:uid="{00000000-0006-0000-0100-000080000000}">
      <text>
        <r>
          <rPr>
            <sz val="9"/>
            <color indexed="81"/>
            <rFont val="Segoe UI"/>
            <family val="2"/>
          </rPr>
          <t xml:space="preserve">PT - Desconto a clientes foram concedidos relacionado a descasamento do repasse da queda do preço do Diesel de períodos anteriores (R$ 5,3 milhão)
Eng: Discounts were granted to customers related to the mismatch of passing on the drop in Diesel prices from previous periods (R$ 5.3 million)
</t>
        </r>
      </text>
    </comment>
    <comment ref="M70" authorId="1" shapeId="0" xr:uid="{00000000-0006-0000-0100-000081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N70" authorId="1" shapeId="0" xr:uid="{00000000-0006-0000-0100-000082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H71" authorId="1" shapeId="0" xr:uid="{00000000-0006-0000-0100-000083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I71" authorId="1" shapeId="0" xr:uid="{00000000-0006-0000-0100-000084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Q71" authorId="1" shapeId="0" xr:uid="{00000000-0006-0000-0100-000085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xml:space="preserve">, R$ 1.6 million of PIS/COFINS tax on financial income and provision of R$ 27.5 million of income tax on book entry.
</t>
        </r>
      </text>
    </comment>
    <comment ref="S71" authorId="2" shapeId="0" xr:uid="{00000000-0006-0000-0100-000086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H72" authorId="1" shapeId="0" xr:uid="{00000000-0006-0000-0100-000087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I72" authorId="1" shapeId="0" xr:uid="{00000000-0006-0000-0100-000088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Q74" authorId="1" shapeId="0" xr:uid="{00000000-0006-0000-0100-00008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R$ 1.6 million of PIS/COFINS tax on financial income and provision of R$ 27.5 million of income tax on book entry.</t>
        </r>
      </text>
    </comment>
    <comment ref="S74" authorId="2" shapeId="0" xr:uid="{00000000-0006-0000-0100-00008A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H76" authorId="1" shapeId="0" xr:uid="{00000000-0006-0000-0100-00008B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I76" authorId="1" shapeId="0" xr:uid="{00000000-0006-0000-0100-00008C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M76" authorId="2" shapeId="0" xr:uid="{00000000-0006-0000-0100-00008D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text>
    </comment>
    <comment ref="N76" authorId="1" shapeId="0" xr:uid="{00000000-0006-0000-0100-00008E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t>
        </r>
        <r>
          <rPr>
            <b/>
            <sz val="9"/>
            <color indexed="81"/>
            <rFont val="Segoe UI"/>
            <family val="2"/>
          </rPr>
          <t xml:space="preserve">
ADJUSTED NUMBER!
Eng - PIS and COFINS credits </t>
        </r>
        <r>
          <rPr>
            <sz val="9"/>
            <color indexed="81"/>
            <rFont val="Segoe UI"/>
            <family val="2"/>
          </rPr>
          <t xml:space="preserve">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Q76" authorId="2" shapeId="0" xr:uid="{00000000-0006-0000-0100-00008F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S76" authorId="2" shapeId="0" xr:uid="{00000000-0006-0000-0100-000090000000}">
      <text>
        <r>
          <rPr>
            <b/>
            <sz val="9"/>
            <color indexed="81"/>
            <rFont val="Segoe UI"/>
            <family val="2"/>
          </rPr>
          <t xml:space="preserve">NÚMERO AJUSTADO!
PT - </t>
        </r>
        <r>
          <rPr>
            <sz val="9"/>
            <color indexed="81"/>
            <rFont val="Segoe UI"/>
            <family val="2"/>
          </rPr>
          <t>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
Eng -</t>
        </r>
        <r>
          <rPr>
            <sz val="9"/>
            <color indexed="81"/>
            <rFont val="Segoe UI"/>
            <family val="2"/>
          </rPr>
          <t xml:space="preserve">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F78" authorId="1" shapeId="0" xr:uid="{00000000-0006-0000-0100-000091000000}">
      <text>
        <r>
          <rPr>
            <b/>
            <sz val="9"/>
            <color indexed="81"/>
            <rFont val="Segoe UI"/>
            <family val="2"/>
          </rPr>
          <t>NÚMERO AJUSTADO!</t>
        </r>
        <r>
          <rPr>
            <sz val="9"/>
            <color indexed="81"/>
            <rFont val="Segoe UI"/>
            <family val="2"/>
          </rPr>
          <t xml:space="preserve">
PT - Contingência cívil da ex controlada Direct Express de - R$ 15 milhões
</t>
        </r>
        <r>
          <rPr>
            <b/>
            <sz val="9"/>
            <color indexed="81"/>
            <rFont val="Segoe UI"/>
            <family val="2"/>
          </rPr>
          <t>ADJUSTED NUMBER!</t>
        </r>
        <r>
          <rPr>
            <sz val="9"/>
            <color indexed="81"/>
            <rFont val="Segoe UI"/>
            <family val="2"/>
          </rPr>
          <t xml:space="preserve">
EN - Civil contingency of the former subsidiary Direct Express of - R $ 15 million
</t>
        </r>
      </text>
    </comment>
    <comment ref="I78" authorId="1" shapeId="0" xr:uid="{00000000-0006-0000-0100-000092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(-R$ 1.365 milhão)
</t>
        </r>
        <r>
          <rPr>
            <b/>
            <sz val="9"/>
            <color indexed="81"/>
            <rFont val="Segoe UI"/>
            <family val="2"/>
          </rPr>
          <t>ADJUSTED NUMBER!</t>
        </r>
        <r>
          <rPr>
            <sz val="9"/>
            <color indexed="81"/>
            <rFont val="Segoe UI"/>
            <family val="2"/>
          </rPr>
          <t xml:space="preserve">
EN - Civil contingency of the former subsidiary Direct Express of - R $ 15 million
- Write-off of the goodwill of the CatLog subsidiary (-R $ 1,365 million)
</t>
        </r>
      </text>
    </comment>
    <comment ref="M78" authorId="6" shapeId="0" xr:uid="{00000000-0006-0000-0100-000093000000}">
      <text>
        <r>
          <rPr>
            <b/>
            <sz val="9"/>
            <color indexed="81"/>
            <rFont val="Segoe UI"/>
            <family val="2"/>
          </rPr>
          <t>NÚMERO AJUSTADO!</t>
        </r>
        <r>
          <rPr>
            <sz val="9"/>
            <color indexed="81"/>
            <rFont val="Segoe UI"/>
            <family val="2"/>
          </rPr>
          <t xml:space="preserve">
PT- Contingência cívil da ex controlada Direct Express de - R$ 14,5 milhões
</t>
        </r>
        <r>
          <rPr>
            <b/>
            <sz val="9"/>
            <color indexed="81"/>
            <rFont val="Segoe UI"/>
            <family val="2"/>
          </rPr>
          <t>ADJUSTED NUMBER!</t>
        </r>
        <r>
          <rPr>
            <sz val="9"/>
            <color indexed="81"/>
            <rFont val="Segoe UI"/>
            <family val="2"/>
          </rPr>
          <t xml:space="preserve">
Eng - Civil contingency of the former subsidiary Direct Express - R$ 14.5 million;</t>
        </r>
      </text>
    </comment>
    <comment ref="N78" authorId="1" shapeId="0" xr:uid="{00000000-0006-0000-0100-000094000000}">
      <text>
        <r>
          <rPr>
            <b/>
            <sz val="9"/>
            <color indexed="81"/>
            <rFont val="Segoe UI"/>
            <family val="2"/>
          </rPr>
          <t>NÚMERO AJUSTADO!</t>
        </r>
        <r>
          <rPr>
            <sz val="9"/>
            <color indexed="81"/>
            <rFont val="Segoe UI"/>
            <family val="2"/>
          </rPr>
          <t xml:space="preserve">
PT- Contingência cívil da ex controlada Direct Express de - R$ 14,5 milhões
</t>
        </r>
        <r>
          <rPr>
            <b/>
            <sz val="9"/>
            <color indexed="81"/>
            <rFont val="Segoe UI"/>
            <family val="2"/>
          </rPr>
          <t xml:space="preserve">
ADJUSTED NUMBER!</t>
        </r>
        <r>
          <rPr>
            <sz val="9"/>
            <color indexed="81"/>
            <rFont val="Segoe UI"/>
            <family val="2"/>
          </rPr>
          <t xml:space="preserve">
Eng - Civil contingency of the former subsidiary Direct Express - R$ 14.5 million;
</t>
        </r>
      </text>
    </comment>
    <comment ref="Q78" authorId="1" shapeId="0" xr:uid="{00000000-0006-0000-0100-000095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(R$ 54,7 milhões em outras receitas e despesas e R$ 33,8 milhões em receitas financeiras referente à correção monetária)</t>
        </r>
        <r>
          <rPr>
            <sz val="9"/>
            <color indexed="81"/>
            <rFont val="Segoe UI"/>
            <family val="2"/>
          </rPr>
          <t xml:space="preserve">,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(R$ 54.7 million in other revenues and expenses and R$ 33.8 million in financial result relating to monetary correction)</t>
        </r>
        <r>
          <rPr>
            <sz val="9"/>
            <color indexed="81"/>
            <rFont val="Segoe UI"/>
            <family val="2"/>
          </rPr>
          <t xml:space="preserve">, in addition to a cost of R$ 5.9 million related to attorney’s fees as a result lawsuit brought upon (other costs), R$ 1.6 million of PIS/COFINS tax on financial income and provision of R$ 27.5 million of income tax on book entry.
</t>
        </r>
      </text>
    </comment>
    <comment ref="R78" authorId="2" shapeId="0" xr:uid="{00000000-0006-0000-0100-000096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S78" authorId="2" shapeId="0" xr:uid="{00000000-0006-0000-0100-000097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T78" authorId="1" shapeId="0" xr:uid="{00000000-0006-0000-0100-000098000000}">
      <text>
        <r>
          <rPr>
            <b/>
            <sz val="9"/>
            <color indexed="81"/>
            <rFont val="Segoe UI"/>
            <family val="2"/>
          </rPr>
          <t>NÚMERO AJUSTADO!</t>
        </r>
        <r>
          <rPr>
            <sz val="9"/>
            <color indexed="81"/>
            <rFont val="Segoe UI"/>
            <family val="2"/>
          </rPr>
          <t xml:space="preserve">
Pt: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ADJUSTED NUMBER!
Eng: </t>
        </r>
        <r>
          <rPr>
            <sz val="9"/>
            <color indexed="81"/>
            <rFont val="Segoe UI"/>
            <family val="2"/>
          </rPr>
          <t xml:space="preserve">Expenses with legal fees related to Operação Pacto: R$3.3 million;
Expenses due to the audit change announced in 1Q20 (contract termination and hiring): R$1.4 million;
Increase in the provision for civil contingencies: R$1.6 million;
Expense for the dismissal of the Company's executive: R$2.1 million.
</t>
        </r>
      </text>
    </comment>
    <comment ref="X78" authorId="2" shapeId="0" xr:uid="{00000000-0006-0000-0100-000099000000}">
      <text>
        <r>
          <rPr>
            <b/>
            <sz val="9"/>
            <color indexed="81"/>
            <rFont val="Segoe UI"/>
            <family val="2"/>
          </rPr>
          <t xml:space="preserve">NÚMERO AJUSTADO!
</t>
        </r>
        <r>
          <rPr>
            <sz val="9"/>
            <color indexed="81"/>
            <rFont val="Segoe UI"/>
            <family val="2"/>
          </rPr>
          <t xml:space="preserve">Pt: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
ADJUSTED NUMBER!
</t>
        </r>
        <r>
          <rPr>
            <sz val="9"/>
            <color indexed="81"/>
            <rFont val="Segoe UI"/>
            <family val="2"/>
          </rPr>
          <t xml:space="preserve">Eng: Expenses with legal fees related to Operação Pacto: R$3.3 million;
Expenses due to the audit change announced in 1Q20 (contract termination and hiring): R$1.4 million;
Increase in the provision for civil contingencies: R$1.6 million;
Expense for the dismissal of the Company's executive: R$2.1 million.
</t>
        </r>
      </text>
    </comment>
    <comment ref="Y78" authorId="1" shapeId="0" xr:uid="{00000000-0006-0000-0100-00009A000000}">
      <text>
        <r>
          <rPr>
            <sz val="9"/>
            <color indexed="81"/>
            <rFont val="Segoe UI"/>
            <family val="2"/>
          </rPr>
          <t xml:space="preserve">Pt) recebimento referente ao direito de administração da folha de pagamento dos colaboradores e ii) ressarcimento em função da modificação de condições de contrato comercial. Ambos impactos somaram R$ 6,7 milhões positivos.
Eng) i) the receipt of an amount related to the right to manage the payroll of employees and ii) the reimbursement due to a commercial contract conditions change. Both impacts amounted positive R$ 6.7 million
</t>
        </r>
      </text>
    </comment>
    <comment ref="AA78" authorId="2" shapeId="0" xr:uid="{00000000-0006-0000-0100-00009B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C78" authorId="1" shapeId="0" xr:uid="{00000000-0006-0000-0100-00009C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
</t>
        </r>
      </text>
    </comment>
    <comment ref="AF78" authorId="0" shapeId="0" xr:uid="{00000000-0006-0000-0100-00009D000000}">
      <text>
        <r>
          <rPr>
            <b/>
            <sz val="9"/>
            <color indexed="81"/>
            <rFont val="Segoe UI"/>
            <family val="2"/>
          </rPr>
          <t xml:space="preserve">NÚMERO AJUSTADO!
PT- </t>
        </r>
        <r>
          <rPr>
            <sz val="9"/>
            <color indexed="81"/>
            <rFont val="Segoe UI"/>
            <family val="2"/>
          </rPr>
          <t>Contingência cívil da ex controlada Direct Express de - R$ 6,6 milhões</t>
        </r>
        <r>
          <rPr>
            <b/>
            <sz val="9"/>
            <color indexed="81"/>
            <rFont val="Segoe UI"/>
            <family val="2"/>
          </rPr>
          <t xml:space="preserve">
ADJUSTED NUMBER!
Eng - </t>
        </r>
        <r>
          <rPr>
            <sz val="9"/>
            <color indexed="81"/>
            <rFont val="Segoe UI"/>
            <family val="2"/>
          </rPr>
          <t>Civil contingency of the former subsidiary Direct Express - R$ 6.6 million;</t>
        </r>
      </text>
    </comment>
    <comment ref="AG78" authorId="0" shapeId="0" xr:uid="{00000000-0006-0000-0100-00009E000000}">
      <text>
        <r>
          <rPr>
            <b/>
            <sz val="9"/>
            <color indexed="81"/>
            <rFont val="Segoe UI"/>
            <family val="2"/>
          </rPr>
          <t xml:space="preserve">NÚMERO AJUSTADO!
</t>
        </r>
        <r>
          <rPr>
            <sz val="9"/>
            <color indexed="81"/>
            <rFont val="Segoe UI"/>
            <family val="2"/>
          </rPr>
          <t xml:space="preserve">PT- Créditos de PIS/ COFINS da controlada Catlog (líquido de honorários advocatícios) - R$ 5,5 milhões
</t>
        </r>
        <r>
          <rPr>
            <b/>
            <sz val="9"/>
            <color indexed="81"/>
            <rFont val="Segoe UI"/>
            <family val="2"/>
          </rPr>
          <t xml:space="preserve">
ADJUSTED NUMBER!</t>
        </r>
        <r>
          <rPr>
            <sz val="9"/>
            <color indexed="81"/>
            <rFont val="Segoe UI"/>
            <family val="2"/>
          </rPr>
          <t xml:space="preserve">
Eng - PIS/ COFINS tax credits from the subsidiary Catlog (net of lawyer fees) - R$ 5.5 million</t>
        </r>
      </text>
    </comment>
    <comment ref="AH78" authorId="1" shapeId="0" xr:uid="{00000000-0006-0000-0100-00009F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(líquido de honorários advocatícios) - R$ 5,5 milhões
</t>
        </r>
        <r>
          <rPr>
            <b/>
            <sz val="9"/>
            <color indexed="81"/>
            <rFont val="Segoe UI"/>
            <family val="2"/>
          </rPr>
          <t>ADJUSTED NUMBER!</t>
        </r>
        <r>
          <rPr>
            <sz val="9"/>
            <color indexed="81"/>
            <rFont val="Segoe UI"/>
            <family val="2"/>
          </rPr>
          <t xml:space="preserve">
Eng - Civil contingency of the former subsidiary Direct Express - R$ 6.6 million;
Eng - PIS/ COFINS tax credits from the subsidiary Catlog (net of lawyer fee)- R$ 5,8 million</t>
        </r>
      </text>
    </comment>
    <comment ref="AN78" authorId="1" shapeId="0" xr:uid="{00000000-0006-0000-0100-0000A0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O78" authorId="1" shapeId="0" xr:uid="{00000000-0006-0000-0100-0000A1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P78" authorId="1" shapeId="0" xr:uid="{00000000-0006-0000-0100-0000A2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Q78" authorId="1" shapeId="0" xr:uid="{00000000-0006-0000-0100-0000A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R78" authorId="1" shapeId="0" xr:uid="{00000000-0006-0000-0100-0000A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X78" authorId="1" shapeId="0" xr:uid="{F9558A5B-187B-4429-82B4-3DD6B2ADF311}">
      <text>
        <r>
          <rPr>
            <b/>
            <sz val="9"/>
            <color indexed="81"/>
            <rFont val="Segoe UI"/>
            <family val="2"/>
          </rPr>
          <t>Pt: Recebimento de valor (R$ 2,3 milhões) referente ao direito de administração da folha de pagamento dos colaboradores por uma das instituições financeiras parceiras.
Eng: Receipt of R$2.3 million related to the right to manage employee payroll by one of its partner financial institution.</t>
        </r>
      </text>
    </comment>
    <comment ref="AY78" authorId="1" shapeId="0" xr:uid="{FA6F6D5E-D2CC-47DD-BE84-C73C6CE5F36D}">
      <text>
        <r>
          <rPr>
            <b/>
            <sz val="9"/>
            <color indexed="81"/>
            <rFont val="Segoe UI"/>
            <family val="2"/>
          </rPr>
          <t xml:space="preserve">VALOR AJUSTADO
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
</t>
        </r>
      </text>
    </comment>
    <comment ref="F80" authorId="2" shapeId="0" xr:uid="{00000000-0006-0000-0100-0000A5000000}">
      <text>
        <r>
          <rPr>
            <b/>
            <sz val="9"/>
            <color indexed="81"/>
            <rFont val="Segoe UI"/>
            <family val="2"/>
          </rPr>
          <t xml:space="preserve">NÚMERO AJUSTADO!
</t>
        </r>
        <r>
          <rPr>
            <sz val="9"/>
            <color indexed="81"/>
            <rFont val="Segoe UI"/>
            <family val="2"/>
          </rPr>
          <t xml:space="preserve">PT - Contingência cívil da ex controlada Direct Express de - R$ 15 milhões
</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I80" authorId="2" shapeId="0" xr:uid="{00000000-0006-0000-0100-0000A6000000}">
      <text>
        <r>
          <rPr>
            <b/>
            <sz val="9"/>
            <color indexed="81"/>
            <rFont val="Segoe UI"/>
            <family val="2"/>
          </rPr>
          <t xml:space="preserve">NÚMERO AJUSTADO!
</t>
        </r>
        <r>
          <rPr>
            <sz val="9"/>
            <color indexed="81"/>
            <rFont val="Segoe UI"/>
            <family val="2"/>
          </rPr>
          <t>PT - Contingência cívil da ex controlada Direct Express de - R$ 15 milhões</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M80" authorId="2" shapeId="0" xr:uid="{00000000-0006-0000-0100-0000A7000000}">
      <text>
        <r>
          <rPr>
            <b/>
            <sz val="9"/>
            <color indexed="81"/>
            <rFont val="Segoe UI"/>
            <family val="2"/>
          </rPr>
          <t xml:space="preserve">NÚMERO AJUSTADO!
</t>
        </r>
        <r>
          <rPr>
            <sz val="9"/>
            <color indexed="81"/>
            <rFont val="Segoe UI"/>
            <family val="2"/>
          </rPr>
          <t>PT- Contingência cívil da ex controlada Direct Express de - R$ 14,5 milhões</t>
        </r>
        <r>
          <rPr>
            <b/>
            <sz val="9"/>
            <color indexed="81"/>
            <rFont val="Segoe UI"/>
            <family val="2"/>
          </rPr>
          <t xml:space="preserve">
ADJUSTED NUMBER!
</t>
        </r>
        <r>
          <rPr>
            <sz val="9"/>
            <color indexed="81"/>
            <rFont val="Segoe UI"/>
            <family val="2"/>
          </rPr>
          <t>Eng - Civil contingency of the former subsidiary Direct Express - R$ 14.5 million;</t>
        </r>
      </text>
    </comment>
    <comment ref="N80" authorId="2" shapeId="0" xr:uid="{00000000-0006-0000-0100-0000A8000000}">
      <text>
        <r>
          <rPr>
            <b/>
            <sz val="9"/>
            <color indexed="81"/>
            <rFont val="Segoe UI"/>
            <family val="2"/>
          </rPr>
          <t xml:space="preserve">NÚMERO AJUSTADO!
</t>
        </r>
        <r>
          <rPr>
            <sz val="9"/>
            <color indexed="81"/>
            <rFont val="Segoe UI"/>
            <family val="2"/>
          </rPr>
          <t>PT- Contingência cívil da ex controlada Direct Express de - R$ 14,5 milhões</t>
        </r>
        <r>
          <rPr>
            <b/>
            <sz val="9"/>
            <color indexed="81"/>
            <rFont val="Segoe UI"/>
            <family val="2"/>
          </rPr>
          <t xml:space="preserve">
ADJUSTED NUMBER!
</t>
        </r>
        <r>
          <rPr>
            <sz val="9"/>
            <color indexed="81"/>
            <rFont val="Segoe UI"/>
            <family val="2"/>
          </rPr>
          <t>Eng - Civil contingency of the former subsidiary Direct Express - R$ 14.5 million</t>
        </r>
        <r>
          <rPr>
            <b/>
            <sz val="9"/>
            <color indexed="81"/>
            <rFont val="Segoe UI"/>
            <family val="2"/>
          </rPr>
          <t>;</t>
        </r>
      </text>
    </comment>
    <comment ref="Q80" authorId="2" shapeId="0" xr:uid="{00000000-0006-0000-0100-0000A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R80" authorId="2" shapeId="0" xr:uid="{00000000-0006-0000-0100-0000AA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S80" authorId="2" shapeId="0" xr:uid="{00000000-0006-0000-0100-0000AB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T80" authorId="2" shapeId="0" xr:uid="{00000000-0006-0000-0100-0000AC000000}">
      <text>
        <r>
          <rPr>
            <b/>
            <sz val="9"/>
            <color indexed="81"/>
            <rFont val="Segoe UI"/>
            <family val="2"/>
          </rPr>
          <t>NÚMERO AJUSTADO!</t>
        </r>
        <r>
          <rPr>
            <sz val="9"/>
            <color indexed="81"/>
            <rFont val="Segoe UI"/>
            <family val="2"/>
          </rPr>
          <t xml:space="preserve">
Pt: Despesas com honorários advocatícios relacionadas a Operação Pacto: R$ 3,3 milhões;
</t>
        </r>
        <r>
          <rPr>
            <b/>
            <sz val="9"/>
            <color indexed="81"/>
            <rFont val="Segoe UI"/>
            <family val="2"/>
          </rPr>
          <t>ADJUSTED NUMBER!</t>
        </r>
        <r>
          <rPr>
            <sz val="9"/>
            <color indexed="81"/>
            <rFont val="Segoe UI"/>
            <family val="2"/>
          </rPr>
          <t xml:space="preserve">
Eng: Expenses with legal fees related to Operação Pacto: R$3.3 million;
</t>
        </r>
      </text>
    </comment>
    <comment ref="X80" authorId="2" shapeId="0" xr:uid="{00000000-0006-0000-0100-0000AD000000}">
      <text>
        <r>
          <rPr>
            <b/>
            <sz val="9"/>
            <color indexed="81"/>
            <rFont val="Segoe UI"/>
            <family val="2"/>
          </rPr>
          <t xml:space="preserve">NÚMERO AJUSTADO!
</t>
        </r>
        <r>
          <rPr>
            <sz val="9"/>
            <color indexed="81"/>
            <rFont val="Segoe UI"/>
            <family val="2"/>
          </rPr>
          <t xml:space="preserve">Pt: Despesas com honorários advocatícios relacionadas a Operação Pacto: R$ 3,3 milhões;
</t>
        </r>
        <r>
          <rPr>
            <b/>
            <sz val="9"/>
            <color indexed="81"/>
            <rFont val="Segoe UI"/>
            <family val="2"/>
          </rPr>
          <t xml:space="preserve">
ADJUSTED NUMBER!
</t>
        </r>
        <r>
          <rPr>
            <sz val="9"/>
            <color indexed="81"/>
            <rFont val="Segoe UI"/>
            <family val="2"/>
          </rPr>
          <t xml:space="preserve">Eng: Expenses with legal fees related to Operação Pacto: R$3.3 million;
</t>
        </r>
      </text>
    </comment>
    <comment ref="AA80" authorId="2" shapeId="0" xr:uid="{00000000-0006-0000-0100-0000AE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C80" authorId="1" shapeId="0" xr:uid="{00000000-0006-0000-0100-0000AF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 xml:space="preserve">Eng - Financial and legal advisory expenses related to the Tender offer of  business combination in the quarter: R$1.1 million
</t>
        </r>
      </text>
    </comment>
    <comment ref="AF80" authorId="1" shapeId="0" xr:uid="{00000000-0006-0000-0100-0000B0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ADJUSTED NUMBER!</t>
        </r>
        <r>
          <rPr>
            <sz val="9"/>
            <color indexed="81"/>
            <rFont val="Segoe UI"/>
            <family val="2"/>
          </rPr>
          <t xml:space="preserve">
Eng - Civil contingency of the former subsidiary Direct Express - R$ 6.6 million;
</t>
        </r>
      </text>
    </comment>
    <comment ref="AG80" authorId="1" shapeId="0" xr:uid="{00000000-0006-0000-0100-0000B1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 PIS/ COFINS tax credits from the subsidiary Catlog (net of lawyer fees) - R$ 5.5 million</t>
        </r>
      </text>
    </comment>
    <comment ref="AH80" authorId="1" shapeId="0" xr:uid="{00000000-0006-0000-0100-0000B2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 R$ 6,7 milhões
PT- Honorários devidos pelos Créditos de PIS/ COFINS da controlada Catlog  - R$ 0,9 milhões
</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 R$ 6.7 million;
Eng - PIS/ COFINS tax credits from the subsidiary Catlog (Lawyer fee) - R$ 0.9 million;
</t>
        </r>
      </text>
    </comment>
    <comment ref="F83" authorId="2" shapeId="0" xr:uid="{00000000-0006-0000-0100-0000B3000000}">
      <text>
        <r>
          <rPr>
            <b/>
            <sz val="9"/>
            <color indexed="81"/>
            <rFont val="Segoe UI"/>
            <family val="2"/>
          </rPr>
          <t>NÚMERO AJUSTADO!</t>
        </r>
        <r>
          <rPr>
            <sz val="9"/>
            <color indexed="81"/>
            <rFont val="Segoe UI"/>
            <family val="2"/>
          </rPr>
          <t xml:space="preserve">
PT - Contingência cívil da ex controlada Direct Express de - R$ 15 milhões
</t>
        </r>
        <r>
          <rPr>
            <b/>
            <sz val="9"/>
            <color indexed="81"/>
            <rFont val="Segoe UI"/>
            <family val="2"/>
          </rPr>
          <t xml:space="preserve">
ADJUSTED NUMBER!</t>
        </r>
        <r>
          <rPr>
            <sz val="9"/>
            <color indexed="81"/>
            <rFont val="Segoe UI"/>
            <family val="2"/>
          </rPr>
          <t xml:space="preserve">
EN - Civil contingency of the former subsidiary Direct Express of - R $ 15 million
</t>
        </r>
      </text>
    </comment>
    <comment ref="I83" authorId="2" shapeId="0" xr:uid="{00000000-0006-0000-0100-0000B4000000}">
      <text>
        <r>
          <rPr>
            <b/>
            <sz val="9"/>
            <color indexed="81"/>
            <rFont val="Segoe UI"/>
            <family val="2"/>
          </rPr>
          <t xml:space="preserve">NÚMERO AJUSTADO!
</t>
        </r>
        <r>
          <rPr>
            <sz val="9"/>
            <color indexed="81"/>
            <rFont val="Segoe UI"/>
            <family val="2"/>
          </rPr>
          <t>PT - Contingência cívil da ex controlada Direct Express de - R$ 15 milhões</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M83" authorId="2" shapeId="0" xr:uid="{00000000-0006-0000-0100-0000B5000000}">
      <text>
        <r>
          <rPr>
            <b/>
            <sz val="9"/>
            <color indexed="81"/>
            <rFont val="Segoe UI"/>
            <family val="2"/>
          </rPr>
          <t xml:space="preserve">NÚMERO AJUSTADO!
</t>
        </r>
        <r>
          <rPr>
            <sz val="9"/>
            <color indexed="81"/>
            <rFont val="Segoe UI"/>
            <family val="2"/>
          </rPr>
          <t xml:space="preserve">PT- Contingência cívil da ex controlada Direct Express de - R$ 14,5 milhões
</t>
        </r>
        <r>
          <rPr>
            <b/>
            <sz val="9"/>
            <color indexed="81"/>
            <rFont val="Segoe UI"/>
            <family val="2"/>
          </rPr>
          <t xml:space="preserve">
ADJUSTED NUMBER!
</t>
        </r>
        <r>
          <rPr>
            <sz val="9"/>
            <color indexed="81"/>
            <rFont val="Segoe UI"/>
            <family val="2"/>
          </rPr>
          <t>Eng - Civil contingency of the former subsidiary Direct Express - R$ 14.5 million;</t>
        </r>
      </text>
    </comment>
    <comment ref="N83" authorId="2" shapeId="0" xr:uid="{00000000-0006-0000-0100-0000B6000000}">
      <text>
        <r>
          <rPr>
            <b/>
            <sz val="9"/>
            <color indexed="81"/>
            <rFont val="Segoe UI"/>
            <family val="2"/>
          </rPr>
          <t xml:space="preserve">NÚMERO AJUSTADO!
</t>
        </r>
        <r>
          <rPr>
            <sz val="9"/>
            <color indexed="81"/>
            <rFont val="Segoe UI"/>
            <family val="2"/>
          </rPr>
          <t xml:space="preserve">PT- Contingência cívil da ex controlada Direct Express de - R$ 14,5 milhões
</t>
        </r>
        <r>
          <rPr>
            <b/>
            <sz val="9"/>
            <color indexed="81"/>
            <rFont val="Segoe UI"/>
            <family val="2"/>
          </rPr>
          <t xml:space="preserve">
ADJUSTED NUMBER!
</t>
        </r>
        <r>
          <rPr>
            <sz val="9"/>
            <color indexed="81"/>
            <rFont val="Segoe UI"/>
            <family val="2"/>
          </rPr>
          <t>Eng - Civil contingency of the former subsidiary Direct Express - R$ 14.5 million;</t>
        </r>
      </text>
    </comment>
    <comment ref="Q83" authorId="2" shapeId="0" xr:uid="{00000000-0006-0000-0100-0000B7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R83" authorId="2" shapeId="0" xr:uid="{00000000-0006-0000-0100-0000B8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S83" authorId="2" shapeId="0" xr:uid="{00000000-0006-0000-0100-0000B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T83" authorId="2" shapeId="0" xr:uid="{00000000-0006-0000-0100-0000BA000000}">
      <text>
        <r>
          <rPr>
            <b/>
            <sz val="9"/>
            <color indexed="81"/>
            <rFont val="Segoe UI"/>
            <family val="2"/>
          </rPr>
          <t>NÚMERO AJUSTADO!</t>
        </r>
        <r>
          <rPr>
            <sz val="9"/>
            <color indexed="81"/>
            <rFont val="Segoe UI"/>
            <family val="2"/>
          </rPr>
          <t xml:space="preserve">
Pt: Despesas com honorários advocatícios relacionadas a Operação Pacto: R$ 3,3 milhões;</t>
        </r>
        <r>
          <rPr>
            <b/>
            <sz val="9"/>
            <color indexed="81"/>
            <rFont val="Segoe UI"/>
            <family val="2"/>
          </rPr>
          <t xml:space="preserve">
ADJUSTED NUMBER!
</t>
        </r>
        <r>
          <rPr>
            <sz val="9"/>
            <color indexed="81"/>
            <rFont val="Segoe UI"/>
            <family val="2"/>
          </rPr>
          <t>Eng: Expenses with legal fees related to Operação Pacto: R$3.3 million;</t>
        </r>
      </text>
    </comment>
    <comment ref="X83" authorId="2" shapeId="0" xr:uid="{00000000-0006-0000-0100-0000BB000000}">
      <text>
        <r>
          <rPr>
            <b/>
            <sz val="9"/>
            <color indexed="81"/>
            <rFont val="Segoe UI"/>
            <family val="2"/>
          </rPr>
          <t>NÚMERO AJUSTADO!</t>
        </r>
        <r>
          <rPr>
            <sz val="9"/>
            <color indexed="81"/>
            <rFont val="Segoe UI"/>
            <family val="2"/>
          </rPr>
          <t xml:space="preserve">
Pt: Despesas com honorários advocatícios relacionadas a Operação Pacto: R$ 3,3 milhões;
</t>
        </r>
        <r>
          <rPr>
            <b/>
            <sz val="9"/>
            <color indexed="81"/>
            <rFont val="Segoe UI"/>
            <family val="2"/>
          </rPr>
          <t>ADJUSTED NUMBER!</t>
        </r>
        <r>
          <rPr>
            <sz val="9"/>
            <color indexed="81"/>
            <rFont val="Segoe UI"/>
            <family val="2"/>
          </rPr>
          <t xml:space="preserve">
Eng: Expenses with legal fees related to Operação Pacto: R$3.3 million;
</t>
        </r>
      </text>
    </comment>
    <comment ref="AA83" authorId="2" shapeId="0" xr:uid="{00000000-0006-0000-0100-0000BC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C83" authorId="1" shapeId="0" xr:uid="{00000000-0006-0000-0100-0000BD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 xml:space="preserve">Eng - Financial and legal advisory expenses related to the Tender offer of  business combination in the quarter: R$1.1 million
</t>
        </r>
      </text>
    </comment>
    <comment ref="AF83" authorId="1" shapeId="0" xr:uid="{00000000-0006-0000-0100-0000BE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
ADJUSTED NUMBER!</t>
        </r>
        <r>
          <rPr>
            <sz val="9"/>
            <color indexed="81"/>
            <rFont val="Segoe UI"/>
            <family val="2"/>
          </rPr>
          <t xml:space="preserve">
Eng - Civil contingency of the former subsidiary Direct Express - R$ 6.6 million;
</t>
        </r>
      </text>
    </comment>
    <comment ref="AG83" authorId="1" shapeId="0" xr:uid="{00000000-0006-0000-0100-0000BF000000}">
      <text>
        <r>
          <rPr>
            <b/>
            <sz val="9"/>
            <color indexed="81"/>
            <rFont val="Segoe UI"/>
            <family val="2"/>
          </rPr>
          <t>NÚMERO AJUSTADO!</t>
        </r>
        <r>
          <rPr>
            <sz val="9"/>
            <color indexed="81"/>
            <rFont val="Segoe UI"/>
            <family val="2"/>
          </rPr>
          <t xml:space="preserve">
PT- Honorários devidos pelos Créditos de PIS/ COFINS da controlada Catlog  - R$ 0,9 milhões
Créditos de PIS/ COFINS da controlada Catlog  - R$ 5,8 milhões
</t>
        </r>
        <r>
          <rPr>
            <b/>
            <sz val="9"/>
            <color indexed="81"/>
            <rFont val="Segoe UI"/>
            <family val="2"/>
          </rPr>
          <t>ADJUSTED NUMBER!</t>
        </r>
        <r>
          <rPr>
            <sz val="9"/>
            <color indexed="81"/>
            <rFont val="Segoe UI"/>
            <family val="2"/>
          </rPr>
          <t xml:space="preserve">
Eng - PIS/ COFINS tax credits from the subsidiary Catlog (Lawyer fee) - R$ 0.9 million;
PIS/ COFINS tax credits from the subsidiary Catlog - R$ 5.8 million;
</t>
        </r>
      </text>
    </comment>
    <comment ref="AH83" authorId="1" shapeId="0" xr:uid="{00000000-0006-0000-0100-0000C0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 R$ 5,8 milhões
PT- Honorários devidos pelos Créditos de PIS/ COFINS da controlada Catlog  - R$ 0,9 milhões
</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 R$ 5.8 million;
Eng - PIS/ COFINS tax credits from the subsidiary Catlog (Lawyer fee) - R$ 0.9 million;
</t>
        </r>
      </text>
    </comment>
    <comment ref="F85" authorId="2" shapeId="0" xr:uid="{00000000-0006-0000-0100-0000C1000000}">
      <text>
        <r>
          <rPr>
            <sz val="9"/>
            <color indexed="81"/>
            <rFont val="Segoe UI"/>
            <family val="2"/>
          </rPr>
          <t>PT - Contingência cívil da ex controlada Direct Express de - R$ 15 milhões
- Baixa do ágio da Controlada Catlog (-R$ 1.365 milhão)</t>
        </r>
        <r>
          <rPr>
            <b/>
            <sz val="9"/>
            <color indexed="81"/>
            <rFont val="Segoe UI"/>
            <family val="2"/>
          </rPr>
          <t xml:space="preserve">
E</t>
        </r>
        <r>
          <rPr>
            <sz val="9"/>
            <color indexed="81"/>
            <rFont val="Segoe UI"/>
            <family val="2"/>
          </rPr>
          <t>N - Civil contingency of the former subsidiary Direct Express of - R $ 15 million
- Write-off of the goodwill of the CatLog subsidiary (-R $ 1,365 million)</t>
        </r>
      </text>
    </comment>
    <comment ref="H85" authorId="2" shapeId="0" xr:uid="{00000000-0006-0000-0100-0000C2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t>
        </r>
        <r>
          <rPr>
            <b/>
            <sz val="9"/>
            <color indexed="81"/>
            <rFont val="Segoe UI"/>
            <family val="2"/>
          </rPr>
          <t xml:space="preserve">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I85" authorId="2" shapeId="0" xr:uid="{00000000-0006-0000-0100-0000C3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(-R$ 1.365 milhão)
</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$ 1,365 million)
</t>
        </r>
      </text>
    </comment>
    <comment ref="M85" authorId="1" shapeId="0" xr:uid="{00000000-0006-0000-0100-0000C4000000}">
      <text>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Eng - Civil contingency of the former subsidiary Direct Express - R$ 14.5 million;
</t>
        </r>
      </text>
    </comment>
    <comment ref="N85" authorId="1" shapeId="0" xr:uid="{00000000-0006-0000-0100-0000C5000000}">
      <text>
        <r>
          <rPr>
            <sz val="9"/>
            <color indexed="81"/>
            <rFont val="Segoe UI"/>
            <family val="2"/>
          </rPr>
          <t>PT- Créditos de PIS e COFINS referentes ao direito de excluir o valor do ICMS das bases de cálculo dessas duas contribuições - R$ 10,6 M [R$ 4,5 M referente ao ano de 2017 e R$ 6,1 M referente ao ano de 2018.</t>
        </r>
        <r>
          <rPr>
            <u/>
            <sz val="9"/>
            <color indexed="81"/>
            <rFont val="Segoe UI"/>
            <family val="2"/>
          </rPr>
          <t xml:space="preserve"> Ao EBITDA foi somente ajustado o valor de 2017.</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r>
          <rPr>
            <sz val="9"/>
            <color indexed="81"/>
            <rFont val="Segoe UI"/>
            <family val="2"/>
          </rPr>
          <t xml:space="preserve">
Eng - Civil contingency of the former subsidiary Direct Express - R$ 14.5 million;
</t>
        </r>
      </text>
    </comment>
    <comment ref="Q85" authorId="2" shapeId="0" xr:uid="{00000000-0006-0000-0100-0000C6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 xml:space="preserve">R$ 54,7 milhões em outras receitas e despesas </t>
        </r>
        <r>
          <rPr>
            <sz val="9"/>
            <color indexed="81"/>
            <rFont val="Segoe UI"/>
            <family val="2"/>
          </rPr>
          <t xml:space="preserve">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R$ 54.7 million in other revenues and expenses</t>
        </r>
        <r>
          <rPr>
            <sz val="9"/>
            <color indexed="81"/>
            <rFont val="Segoe UI"/>
            <family val="2"/>
          </rPr>
          <t xml:space="preserve"> and R$ 33.8 million in financial result relating to monetary correction), </t>
        </r>
        <r>
          <rPr>
            <b/>
            <sz val="9"/>
            <color indexed="81"/>
            <rFont val="Segoe UI"/>
            <family val="2"/>
          </rPr>
          <t>in addition to a cost of R$ 5.9 million related to attorney’s fees as a result lawsuit brought upon (other costs)</t>
        </r>
        <r>
          <rPr>
            <sz val="9"/>
            <color indexed="81"/>
            <rFont val="Segoe UI"/>
            <family val="2"/>
          </rPr>
          <t>, R$ 1.6 million of PIS/COFINS tax on financial income and provision of R$ 27.5 million of income tax on book entry.</t>
        </r>
      </text>
    </comment>
    <comment ref="R85" authorId="5" shapeId="0" xr:uid="{00000000-0006-0000-0100-0000C7000000}">
      <text>
        <r>
          <rPr>
            <b/>
            <sz val="9"/>
            <color indexed="81"/>
            <rFont val="Segoe UI"/>
            <family val="2"/>
          </rPr>
          <t xml:space="preserve">PT - </t>
        </r>
        <r>
          <rPr>
            <sz val="9"/>
            <color indexed="81"/>
            <rFont val="Segoe UI"/>
            <family val="2"/>
          </rPr>
          <t xml:space="preserve">Despesas com honorários advocatícios relacionadas a Operação Pacto: R$ 2,2 milhões;
</t>
        </r>
        <r>
          <rPr>
            <b/>
            <sz val="9"/>
            <color indexed="81"/>
            <rFont val="Segoe UI"/>
            <family val="2"/>
          </rPr>
          <t xml:space="preserve">
Eng - </t>
        </r>
        <r>
          <rPr>
            <sz val="9"/>
            <color indexed="81"/>
            <rFont val="Segoe UI"/>
            <family val="2"/>
          </rPr>
          <t>Attorney’s fees expenses related to the Operação Pacto: R$ 2.2 million</t>
        </r>
      </text>
    </comment>
    <comment ref="S85" authorId="2" shapeId="0" xr:uid="{00000000-0006-0000-0100-0000C8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T85" authorId="2" shapeId="0" xr:uid="{00000000-0006-0000-0100-0000C9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Attorney’s fees expenses related to the Operação Pacto: R$ 3.3 million;</t>
        </r>
      </text>
    </comment>
    <comment ref="X85" authorId="2" shapeId="0" xr:uid="{00000000-0006-0000-0100-0000CA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 xml:space="preserve">Attorney’s fees expenses related to the Operação Pacto: R$ 3.3 million;
</t>
        </r>
      </text>
    </comment>
    <comment ref="L98" authorId="1" shapeId="0" xr:uid="{00000000-0006-0000-0100-0000CB000000}">
      <text>
        <r>
          <rPr>
            <b/>
            <sz val="9"/>
            <color indexed="81"/>
            <rFont val="Segoe UI"/>
            <family val="2"/>
          </rPr>
          <t>NÚMERO AJUSTADO!</t>
        </r>
        <r>
          <rPr>
            <sz val="9"/>
            <color indexed="81"/>
            <rFont val="Segoe UI"/>
            <family val="2"/>
          </rPr>
          <t xml:space="preserve">
PT - Denúncia espontânea imposto ICMS R$ 5,252 M
</t>
        </r>
        <r>
          <rPr>
            <b/>
            <sz val="9"/>
            <color indexed="81"/>
            <rFont val="Segoe UI"/>
            <family val="2"/>
          </rPr>
          <t>ADJUSTED NUMBER!</t>
        </r>
        <r>
          <rPr>
            <sz val="9"/>
            <color indexed="81"/>
            <rFont val="Segoe UI"/>
            <family val="2"/>
          </rPr>
          <t xml:space="preserve">
Eng - Spontaneous denouncement on fiscal payment R$ 5.252 M
</t>
        </r>
      </text>
    </comment>
    <comment ref="M98" authorId="1" shapeId="0" xr:uid="{00000000-0006-0000-0100-0000C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R$ 0,9 M [R$ 0,4 M - 2017 | R$ 0,5 M - 2018]
</t>
        </r>
        <r>
          <rPr>
            <b/>
            <sz val="9"/>
            <color indexed="81"/>
            <rFont val="Segoe UI"/>
            <family val="2"/>
          </rPr>
          <t>ADJUSTED NUMBER!</t>
        </r>
        <r>
          <rPr>
            <sz val="9"/>
            <color indexed="81"/>
            <rFont val="Segoe UI"/>
            <family val="2"/>
          </rPr>
          <t xml:space="preserve">
Eng - PIS and COFINS taxes credits referring to the right to exclude the ICMS tax value from the calculation bases of these two contributions - R$ 0.9 M [R$ 0.4 M - 2017 | R$ 0.5 M - 2018]
</t>
        </r>
      </text>
    </comment>
    <comment ref="N98" authorId="2" shapeId="0" xr:uid="{00000000-0006-0000-0100-0000CD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t>
        </r>
        <r>
          <rPr>
            <b/>
            <sz val="9"/>
            <color indexed="81"/>
            <rFont val="Segoe UI"/>
            <family val="2"/>
          </rPr>
          <t xml:space="preserve">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Eng</t>
        </r>
        <r>
          <rPr>
            <b/>
            <sz val="9"/>
            <color indexed="81"/>
            <rFont val="Segoe UI"/>
            <family val="2"/>
          </rPr>
          <t xml:space="preserve"> - </t>
        </r>
        <r>
          <rPr>
            <sz val="9"/>
            <color indexed="81"/>
            <rFont val="Segoe UI"/>
            <family val="2"/>
          </rPr>
          <t>PIS and COFINS taxes credits referring to the right to exclude the ICMS tax value from the calculation bases of these two contributions - R$ 0.9 M [R$ 0.4 M - 2017 | R$ 0.5 M - 2018]</t>
        </r>
        <r>
          <rPr>
            <b/>
            <sz val="9"/>
            <color indexed="81"/>
            <rFont val="Segoe UI"/>
            <family val="2"/>
          </rPr>
          <t xml:space="preserve">
</t>
        </r>
        <r>
          <rPr>
            <sz val="9"/>
            <color indexed="81"/>
            <rFont val="Segoe UI"/>
            <family val="2"/>
          </rPr>
          <t>Eng - Spontaneous denouncement on fiscal payment R$ 5.252 M</t>
        </r>
      </text>
    </comment>
    <comment ref="L100" authorId="2" shapeId="0" xr:uid="{00000000-0006-0000-0100-0000CE000000}">
      <text>
        <r>
          <rPr>
            <b/>
            <sz val="9"/>
            <color indexed="81"/>
            <rFont val="Segoe UI"/>
            <family val="2"/>
          </rPr>
          <t xml:space="preserve">NÚMERO AJUSTADO!
</t>
        </r>
        <r>
          <rPr>
            <sz val="9"/>
            <color indexed="81"/>
            <rFont val="Segoe UI"/>
            <family val="2"/>
          </rPr>
          <t>PT</t>
        </r>
        <r>
          <rPr>
            <b/>
            <sz val="9"/>
            <color indexed="81"/>
            <rFont val="Segoe UI"/>
            <family val="2"/>
          </rPr>
          <t xml:space="preserve"> -</t>
        </r>
        <r>
          <rPr>
            <sz val="9"/>
            <color indexed="81"/>
            <rFont val="Segoe UI"/>
            <family val="2"/>
          </rPr>
          <t xml:space="preserve"> Denúncia espontânea imposto ICMS R$ 5,252 M</t>
        </r>
        <r>
          <rPr>
            <b/>
            <sz val="9"/>
            <color indexed="81"/>
            <rFont val="Segoe UI"/>
            <family val="2"/>
          </rPr>
          <t xml:space="preserve">
ADJUSTED NUMBER!
</t>
        </r>
        <r>
          <rPr>
            <sz val="9"/>
            <color indexed="81"/>
            <rFont val="Segoe UI"/>
            <family val="2"/>
          </rPr>
          <t>Eng</t>
        </r>
        <r>
          <rPr>
            <b/>
            <sz val="9"/>
            <color indexed="81"/>
            <rFont val="Segoe UI"/>
            <family val="2"/>
          </rPr>
          <t xml:space="preserve"> - </t>
        </r>
        <r>
          <rPr>
            <sz val="9"/>
            <color indexed="81"/>
            <rFont val="Segoe UI"/>
            <family val="2"/>
          </rPr>
          <t>Spontaneous denouncement on fiscal payment R$ 5.252 M</t>
        </r>
      </text>
    </comment>
    <comment ref="M100" authorId="2" shapeId="0" xr:uid="{00000000-0006-0000-0100-0000CF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R$ 0.9 M [R$ 0.4 M - 2017 | R$ 0.5 M - 2018]</t>
        </r>
        <r>
          <rPr>
            <b/>
            <sz val="9"/>
            <color indexed="81"/>
            <rFont val="Segoe UI"/>
            <family val="2"/>
          </rPr>
          <t xml:space="preserve">
</t>
        </r>
      </text>
    </comment>
    <comment ref="N100" authorId="2" shapeId="0" xr:uid="{00000000-0006-0000-0100-0000D0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
PT - Denúncia espontânea imposto ICMS R$ 5,252 M</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R$ 0.9 M [R$ 0.4 M - 2017 | R$ 0.5 M - 2018]
Eng - Spontaneous denouncement on fiscal payment R$ 5.252 M</t>
        </r>
      </text>
    </comment>
    <comment ref="H101" authorId="4" shapeId="0" xr:uid="{00000000-0006-0000-0100-0000D1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t>
        </r>
        <r>
          <rPr>
            <b/>
            <sz val="9"/>
            <color indexed="81"/>
            <rFont val="Segoe UI"/>
            <family val="2"/>
          </rPr>
          <t>ADJUSTED NUMBER!</t>
        </r>
        <r>
          <rPr>
            <sz val="9"/>
            <color indexed="81"/>
            <rFont val="Segoe UI"/>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I101" authorId="2" shapeId="0" xr:uid="{00000000-0006-0000-0100-0000D2000000}">
      <text>
        <r>
          <rPr>
            <b/>
            <sz val="9"/>
            <color indexed="81"/>
            <rFont val="Segoe UI"/>
            <family val="2"/>
          </rPr>
          <t xml:space="preserve">NÚMERO AJUSTADO!
</t>
        </r>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t>
        </r>
        <r>
          <rPr>
            <b/>
            <sz val="9"/>
            <color indexed="81"/>
            <rFont val="Segoe UI"/>
            <family val="2"/>
          </rPr>
          <t xml:space="preserve">
ADJUSTED NUMBER!
</t>
        </r>
        <r>
          <rPr>
            <sz val="9"/>
            <color indexed="81"/>
            <rFont val="Segoe UI"/>
            <family val="2"/>
          </rPr>
          <t>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Q101" authorId="1" shapeId="0" xr:uid="{00000000-0006-0000-0100-0000D3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t>
        </r>
        <r>
          <rPr>
            <b/>
            <sz val="9"/>
            <color indexed="81"/>
            <rFont val="Segoe UI"/>
            <family val="2"/>
          </rPr>
          <t>R$ 0,2 milhão referente aos honorários advocatícios da causa em questão (outros custos)</t>
        </r>
        <r>
          <rPr>
            <sz val="9"/>
            <color indexed="81"/>
            <rFont val="Segoe UI"/>
            <family val="2"/>
          </rPr>
          <t xml:space="preserve">,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t>
        </r>
        <r>
          <rPr>
            <b/>
            <sz val="9"/>
            <color indexed="81"/>
            <rFont val="Segoe UI"/>
            <family val="2"/>
          </rPr>
          <t>R$ 0.2 million related to attorney’s fees as a result lawsuit brought upon (other costs)</t>
        </r>
        <r>
          <rPr>
            <sz val="9"/>
            <color indexed="81"/>
            <rFont val="Segoe UI"/>
            <family val="2"/>
          </rPr>
          <t xml:space="preserve">, R$ 0.1 million of PIS/COFINS tax on financial income and provision of R$ 0.9 million of income tax on book entry.
</t>
        </r>
      </text>
    </comment>
    <comment ref="S101" authorId="2" shapeId="0" xr:uid="{00000000-0006-0000-0100-0000D4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r>
          <rPr>
            <b/>
            <sz val="9"/>
            <color indexed="81"/>
            <rFont val="Segoe UI"/>
            <family val="2"/>
          </rPr>
          <t xml:space="preserve">
</t>
        </r>
      </text>
    </comment>
    <comment ref="W101" authorId="1" shapeId="0" xr:uid="{00000000-0006-0000-0100-0000D5000000}">
      <text>
        <r>
          <rPr>
            <b/>
            <sz val="9"/>
            <color indexed="81"/>
            <rFont val="Segoe UI"/>
            <family val="2"/>
          </rPr>
          <t>NÚMERO AJUSTADO!</t>
        </r>
        <r>
          <rPr>
            <sz val="9"/>
            <color indexed="81"/>
            <rFont val="Segoe UI"/>
            <family val="2"/>
          </rPr>
          <t xml:space="preserve">
PT: Custos relacionados à desmobilização de um armazém em Barueri-SP no montante de R$ 2,9 M
</t>
        </r>
        <r>
          <rPr>
            <b/>
            <sz val="9"/>
            <color indexed="81"/>
            <rFont val="Segoe UI"/>
            <family val="2"/>
          </rPr>
          <t>ADJUSTED NUMBER!</t>
        </r>
        <r>
          <rPr>
            <sz val="9"/>
            <color indexed="81"/>
            <rFont val="Segoe UI"/>
            <family val="2"/>
          </rPr>
          <t xml:space="preserve">
Eng: Costs related to demobilization of a warehouse in Barueri-SP amounting R$ 2.9 M
</t>
        </r>
      </text>
    </comment>
    <comment ref="X101" authorId="2" shapeId="0" xr:uid="{00000000-0006-0000-0100-0000D6000000}">
      <text>
        <r>
          <rPr>
            <b/>
            <sz val="9"/>
            <color indexed="81"/>
            <rFont val="Segoe UI"/>
            <family val="2"/>
          </rPr>
          <t xml:space="preserve">NÚMERO AJUSTADO!
</t>
        </r>
        <r>
          <rPr>
            <sz val="9"/>
            <color indexed="81"/>
            <rFont val="Segoe UI"/>
            <family val="2"/>
          </rPr>
          <t>PT: Custos relacionados à desmobilização de um armazém em Barueri-SP no montante de R$ 2,9 M</t>
        </r>
        <r>
          <rPr>
            <b/>
            <sz val="9"/>
            <color indexed="81"/>
            <rFont val="Segoe UI"/>
            <family val="2"/>
          </rPr>
          <t xml:space="preserve">
ADJUSTED NUMBER!
</t>
        </r>
        <r>
          <rPr>
            <sz val="9"/>
            <color indexed="81"/>
            <rFont val="Segoe UI"/>
            <family val="2"/>
          </rPr>
          <t>Eng: Costs related to demobilization of a warehouse in Barueri-SP amounting R$ 2.9 M</t>
        </r>
        <r>
          <rPr>
            <b/>
            <sz val="9"/>
            <color indexed="81"/>
            <rFont val="Segoe UI"/>
            <family val="2"/>
          </rPr>
          <t xml:space="preserve">
</t>
        </r>
      </text>
    </comment>
    <comment ref="G103" authorId="4" shapeId="0" xr:uid="{00000000-0006-0000-0100-0000D7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H103" authorId="4" shapeId="0" xr:uid="{00000000-0006-0000-0100-0000D8000000}">
      <text>
        <r>
          <rPr>
            <b/>
            <sz val="9"/>
            <color indexed="81"/>
            <rFont val="Segoe UI"/>
            <family val="2"/>
          </rPr>
          <t>NÚMERO AJUSTADO!</t>
        </r>
        <r>
          <rPr>
            <sz val="9"/>
            <color indexed="81"/>
            <rFont val="Segoe UI"/>
            <family val="2"/>
          </rPr>
          <t xml:space="preserve">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I103" authorId="2" shapeId="0" xr:uid="{00000000-0006-0000-0100-0000D9000000}">
      <text>
        <r>
          <rPr>
            <b/>
            <sz val="9"/>
            <color indexed="81"/>
            <rFont val="Segoe UI"/>
            <family val="2"/>
          </rPr>
          <t>NÚMERO AJUSTADO!</t>
        </r>
        <r>
          <rPr>
            <sz val="9"/>
            <color indexed="81"/>
            <rFont val="Segoe UI"/>
            <family val="2"/>
          </rPr>
          <t xml:space="preserve">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Baixa no valo de R$ 5,7 milhões referente a contas a receber da Direct
</t>
        </r>
        <r>
          <rPr>
            <b/>
            <sz val="9"/>
            <color indexed="81"/>
            <rFont val="Segoe UI"/>
            <family val="2"/>
          </rPr>
          <t xml:space="preserve">
ADJUSTED NUMBER!</t>
        </r>
        <r>
          <rPr>
            <sz val="9"/>
            <color indexed="81"/>
            <rFont val="Segoe UI"/>
            <family val="2"/>
          </rPr>
          <t xml:space="preserve">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
EN - Write off of Direct account receivable amounting R$ 5.7 million </t>
        </r>
      </text>
    </comment>
    <comment ref="M103" authorId="1" shapeId="0" xr:uid="{00000000-0006-0000-0100-0000DA000000}">
      <text>
        <r>
          <rPr>
            <b/>
            <sz val="9"/>
            <color indexed="81"/>
            <rFont val="Segoe UI"/>
            <family val="2"/>
          </rPr>
          <t>NÚMERO AJUSTADO!</t>
        </r>
        <r>
          <rPr>
            <sz val="9"/>
            <color indexed="81"/>
            <rFont val="Segoe UI"/>
            <family val="2"/>
          </rPr>
          <t xml:space="preserve">
PT- Custos de sucumbência de processo judicial de operação descontinuada: R$2,9M
</t>
        </r>
        <r>
          <rPr>
            <b/>
            <sz val="9"/>
            <color indexed="81"/>
            <rFont val="Segoe UI"/>
            <family val="2"/>
          </rPr>
          <t>ADJUSTED NUMBER!</t>
        </r>
        <r>
          <rPr>
            <sz val="9"/>
            <color indexed="81"/>
            <rFont val="Segoe UI"/>
            <family val="2"/>
          </rPr>
          <t xml:space="preserve">
Eng - Defeat legal fee for discontinued operation: R$ 2.9M</t>
        </r>
      </text>
    </comment>
    <comment ref="N103" authorId="2" shapeId="0" xr:uid="{00000000-0006-0000-0100-0000DB000000}">
      <text>
        <r>
          <rPr>
            <b/>
            <sz val="9"/>
            <color indexed="81"/>
            <rFont val="Segoe UI"/>
            <family val="2"/>
          </rPr>
          <t xml:space="preserve">VALOR AJUSTADO!
</t>
        </r>
        <r>
          <rPr>
            <sz val="9"/>
            <color indexed="81"/>
            <rFont val="Segoe UI"/>
            <family val="2"/>
          </rPr>
          <t>PT- Custos de sucumbência de processo judicial de operação descontinuada: R$2,9M</t>
        </r>
        <r>
          <rPr>
            <b/>
            <sz val="9"/>
            <color indexed="81"/>
            <rFont val="Segoe UI"/>
            <family val="2"/>
          </rPr>
          <t xml:space="preserve">
ADJUSTED VALUE!
</t>
        </r>
        <r>
          <rPr>
            <sz val="9"/>
            <color indexed="81"/>
            <rFont val="Segoe UI"/>
            <family val="2"/>
          </rPr>
          <t>Eng - Defeat legal fee for discontinued operation: R$ 2.9M</t>
        </r>
      </text>
    </comment>
    <comment ref="Q103" authorId="1" shapeId="0" xr:uid="{00000000-0006-0000-0100-0000DC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t>
        </r>
        <r>
          <rPr>
            <b/>
            <sz val="9"/>
            <color indexed="81"/>
            <rFont val="Segoe UI"/>
            <family val="2"/>
          </rPr>
          <t>(R$ 1,8 milhão em outras receitas e despesas</t>
        </r>
        <r>
          <rPr>
            <sz val="9"/>
            <color indexed="81"/>
            <rFont val="Segoe UI"/>
            <family val="2"/>
          </rPr>
          <t xml:space="preserve">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t>
        </r>
        <r>
          <rPr>
            <b/>
            <sz val="9"/>
            <color indexed="81"/>
            <rFont val="Segoe UI"/>
            <family val="2"/>
          </rPr>
          <t xml:space="preserve">(R$ 1.8 million in other revenues and expenses </t>
        </r>
        <r>
          <rPr>
            <sz val="9"/>
            <color indexed="81"/>
            <rFont val="Segoe UI"/>
            <family val="2"/>
          </rPr>
          <t xml:space="preserve">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S103" authorId="2" shapeId="0" xr:uid="{00000000-0006-0000-0100-0000DD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W103" authorId="1" shapeId="0" xr:uid="{00000000-0006-0000-0100-0000DE000000}">
      <text>
        <r>
          <rPr>
            <b/>
            <sz val="9"/>
            <color indexed="81"/>
            <rFont val="Segoe UI"/>
            <family val="2"/>
          </rPr>
          <t>NÚMERO AJUSTADO!</t>
        </r>
        <r>
          <rPr>
            <sz val="9"/>
            <color indexed="81"/>
            <rFont val="Segoe UI"/>
            <family val="2"/>
          </rPr>
          <t xml:space="preserve">
PT: Despesas relacionadas à desmobilização de um armazém em Barueri-SP no montante de R$ 2,3 M
</t>
        </r>
        <r>
          <rPr>
            <b/>
            <sz val="9"/>
            <color indexed="81"/>
            <rFont val="Segoe UI"/>
            <family val="2"/>
          </rPr>
          <t>ADJUSTED NUMBER!</t>
        </r>
        <r>
          <rPr>
            <sz val="9"/>
            <color indexed="81"/>
            <rFont val="Segoe UI"/>
            <family val="2"/>
          </rPr>
          <t xml:space="preserve">
Eng: Expenses related to demobilization of a warehouse in Barueri-SP amounting R$ 2.3 M
</t>
        </r>
      </text>
    </comment>
    <comment ref="X103" authorId="2" shapeId="0" xr:uid="{00000000-0006-0000-0100-0000DF000000}">
      <text>
        <r>
          <rPr>
            <b/>
            <sz val="9"/>
            <color indexed="81"/>
            <rFont val="Segoe UI"/>
            <family val="2"/>
          </rPr>
          <t>NÚMERO AJUSTADO!</t>
        </r>
        <r>
          <rPr>
            <sz val="9"/>
            <color indexed="81"/>
            <rFont val="Segoe UI"/>
            <family val="2"/>
          </rPr>
          <t xml:space="preserve">
PT: Despesas relacionadas à desmobilização de um armazém em Barueri-SP no montante de R$ 2,3 M
</t>
        </r>
        <r>
          <rPr>
            <b/>
            <sz val="9"/>
            <color indexed="81"/>
            <rFont val="Segoe UI"/>
            <family val="2"/>
          </rPr>
          <t xml:space="preserve">
ADJUSTED NUMBER!</t>
        </r>
        <r>
          <rPr>
            <sz val="9"/>
            <color indexed="81"/>
            <rFont val="Segoe UI"/>
            <family val="2"/>
          </rPr>
          <t xml:space="preserve">
Eng: Expenses related to demobilization of a warehouse in Barueri-SP amounting R$ 2.3 M</t>
        </r>
        <r>
          <rPr>
            <b/>
            <sz val="9"/>
            <color indexed="81"/>
            <rFont val="Segoe UI"/>
            <family val="2"/>
          </rPr>
          <t xml:space="preserve">
</t>
        </r>
      </text>
    </comment>
    <comment ref="Z103" authorId="1" shapeId="0" xr:uid="{00000000-0006-0000-0100-0000E0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t>
        </r>
      </text>
    </comment>
    <comment ref="AB103" authorId="1" shapeId="0" xr:uid="{00000000-0006-0000-0100-0000E1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C103" authorId="1" shapeId="0" xr:uid="{00000000-0006-0000-0100-0000E200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AN103" authorId="1" shapeId="0" xr:uid="{00000000-0006-0000-0100-0000E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O103" authorId="1" shapeId="0" xr:uid="{00000000-0006-0000-0100-0000E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P103" authorId="1" shapeId="0" xr:uid="{00000000-0006-0000-0100-0000E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Q103" authorId="1" shapeId="0" xr:uid="{00000000-0006-0000-0100-0000E6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R103" authorId="1" shapeId="0" xr:uid="{00000000-0006-0000-0100-0000E7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G105" authorId="2" shapeId="0" xr:uid="{00000000-0006-0000-0100-0000E8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H105" authorId="2" shapeId="0" xr:uid="{00000000-0006-0000-0100-0000E9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I105" authorId="2" shapeId="0" xr:uid="{00000000-0006-0000-0100-0000EA000000}">
      <text>
        <r>
          <rPr>
            <b/>
            <sz val="9"/>
            <color indexed="81"/>
            <rFont val="Segoe UI"/>
            <family val="2"/>
          </rPr>
          <t>NÚMERO AJUSTADO!</t>
        </r>
        <r>
          <rPr>
            <sz val="9"/>
            <color indexed="81"/>
            <rFont val="Segoe UI"/>
            <family val="2"/>
          </rPr>
          <t xml:space="preserve">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L105" authorId="2" shapeId="0" xr:uid="{00000000-0006-0000-0100-0000EB000000}">
      <text>
        <r>
          <rPr>
            <b/>
            <sz val="9"/>
            <color indexed="81"/>
            <rFont val="Segoe UI"/>
            <family val="2"/>
          </rPr>
          <t xml:space="preserve">NÚMERO AJUSTADO!
</t>
        </r>
        <r>
          <rPr>
            <sz val="9"/>
            <color indexed="81"/>
            <rFont val="Segoe UI"/>
            <family val="2"/>
          </rPr>
          <t xml:space="preserve">PT - Denúncia espontânea imposto ICMS R$ 5,252 M
</t>
        </r>
        <r>
          <rPr>
            <b/>
            <sz val="9"/>
            <color indexed="81"/>
            <rFont val="Segoe UI"/>
            <family val="2"/>
          </rPr>
          <t xml:space="preserve">
ADJUSTED NUMBER!
</t>
        </r>
        <r>
          <rPr>
            <sz val="9"/>
            <color indexed="81"/>
            <rFont val="Segoe UI"/>
            <family val="2"/>
          </rPr>
          <t>Eng - Spontaneous denouncement on fiscal payment R$ 5.252 M</t>
        </r>
      </text>
    </comment>
    <comment ref="M105" authorId="2" shapeId="0" xr:uid="{00000000-0006-0000-0100-0000E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R$ 10.3 M [R$ 4.5 M - 2017 | R$ 6.1 M - 2018]
Eng - Defeat legal fee for discontinued operation: R$ 2.9M</t>
        </r>
      </text>
    </comment>
    <comment ref="N105" authorId="2" shapeId="0" xr:uid="{00000000-0006-0000-0100-0000ED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ADJUSTED NUMBER!</t>
        </r>
        <r>
          <rPr>
            <sz val="9"/>
            <color indexed="81"/>
            <rFont val="Segoe UI"/>
            <family val="2"/>
          </rPr>
          <t xml:space="preserve">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Q105" authorId="2" shapeId="0" xr:uid="{00000000-0006-0000-0100-0000EE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S105" authorId="2" shapeId="0" xr:uid="{00000000-0006-0000-0100-0000EF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 xml:space="preserve">
ADJUSTED NUMBER!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W105" authorId="2" shapeId="0" xr:uid="{00000000-0006-0000-0100-0000F0000000}">
      <text>
        <r>
          <rPr>
            <b/>
            <sz val="9"/>
            <color indexed="81"/>
            <rFont val="Segoe UI"/>
            <family val="2"/>
          </rPr>
          <t>NÚMERO AJUSTADO!</t>
        </r>
        <r>
          <rPr>
            <sz val="9"/>
            <color indexed="81"/>
            <rFont val="Segoe UI"/>
            <family val="2"/>
          </rPr>
          <t xml:space="preserve">
PT: Custos relacionados à desmobilização de um armazém em Barueri-SP no montante de R$ 2,9 M
PT: Despesas relacionadas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R$ 2.9 M
Eng: Expenses related to demobilization of a warehouse in Barueri-SP amounting R$ 2.3 M</t>
        </r>
      </text>
    </comment>
    <comment ref="X105" authorId="2" shapeId="0" xr:uid="{00000000-0006-0000-0100-0000F1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 xml:space="preserve">
ADJUSTED NUMBER</t>
        </r>
        <r>
          <rPr>
            <sz val="9"/>
            <color indexed="81"/>
            <rFont val="Segoe UI"/>
            <family val="2"/>
          </rPr>
          <t>!
Eng: Costs related to demobilization of a warehouse in Barueri-SP amounting R$ 2.9 M
Eng: Expenses related to demobilization of a warehouse in Barueri-SP amounting R$ 2.3 M</t>
        </r>
      </text>
    </comment>
    <comment ref="Z105" authorId="2" shapeId="0" xr:uid="{00000000-0006-0000-0100-0000F2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 xml:space="preserve">
ADJUSTED NUMBER!</t>
        </r>
        <r>
          <rPr>
            <sz val="9"/>
            <color indexed="81"/>
            <rFont val="Segoe UI"/>
            <family val="2"/>
          </rPr>
          <t xml:space="preserve">
Eng: PIS and COFINS credit arising from the Exclusion of ICMS in the calculation Base: R$5.7 million
</t>
        </r>
      </text>
    </comment>
    <comment ref="AB105" authorId="1" shapeId="0" xr:uid="{00000000-0006-0000-0100-0000F3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C105" authorId="1" shapeId="0" xr:uid="{00000000-0006-0000-0100-0000F400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G108" authorId="2" shapeId="0" xr:uid="{00000000-0006-0000-0100-0000F5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H108" authorId="2" shapeId="0" xr:uid="{00000000-0006-0000-0100-0000F6000000}">
      <text>
        <r>
          <rPr>
            <b/>
            <sz val="10"/>
            <color indexed="81"/>
            <rFont val="Arial"/>
            <family val="2"/>
          </rPr>
          <t>NÚMERO AJUSTADO!</t>
        </r>
        <r>
          <rPr>
            <sz val="10"/>
            <rFont val="Arial"/>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10"/>
            <color indexed="81"/>
            <rFont val="Arial"/>
            <family val="2"/>
          </rPr>
          <t>ADJUSTED NUMBER!</t>
        </r>
        <r>
          <rPr>
            <sz val="10"/>
            <rFont val="Arial"/>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I108" authorId="2" shapeId="0" xr:uid="{00000000-0006-0000-0100-0000F7000000}">
      <text>
        <r>
          <rPr>
            <b/>
            <sz val="9"/>
            <color indexed="81"/>
            <rFont val="Segoe UI"/>
            <family val="2"/>
          </rPr>
          <t>NÚMERO AJUSTADO!</t>
        </r>
        <r>
          <rPr>
            <sz val="9"/>
            <color indexed="81"/>
            <rFont val="Segoe UI"/>
            <family val="2"/>
          </rPr>
          <t xml:space="preserve">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
</t>
        </r>
      </text>
    </comment>
    <comment ref="L108" authorId="2" shapeId="0" xr:uid="{00000000-0006-0000-0100-0000F8000000}">
      <text>
        <r>
          <rPr>
            <b/>
            <sz val="9"/>
            <color indexed="81"/>
            <rFont val="Segoe UI"/>
            <family val="2"/>
          </rPr>
          <t>NÚMERO AJUSTADO</t>
        </r>
        <r>
          <rPr>
            <sz val="9"/>
            <color indexed="81"/>
            <rFont val="Segoe UI"/>
            <family val="2"/>
          </rPr>
          <t xml:space="preserve">!
PT - Denúncia espontânea imposto ICMS R$ 5,252 M
</t>
        </r>
        <r>
          <rPr>
            <b/>
            <sz val="9"/>
            <color indexed="81"/>
            <rFont val="Segoe UI"/>
            <family val="2"/>
          </rPr>
          <t xml:space="preserve">
ADJUSTED NUMBER!</t>
        </r>
        <r>
          <rPr>
            <sz val="9"/>
            <color indexed="81"/>
            <rFont val="Segoe UI"/>
            <family val="2"/>
          </rPr>
          <t xml:space="preserve">
Eng - Spontaneous denouncement on fiscal payment R$ 5.252 M</t>
        </r>
      </text>
    </comment>
    <comment ref="M108" authorId="2" shapeId="0" xr:uid="{00000000-0006-0000-0100-0000F9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R$ 10.3 M [R$ 4.5 M - 2017 | R$ 6.1 M - 2018]
Eng - Defeat legal fee for discontinued operation: R$ 2.9M</t>
        </r>
      </text>
    </comment>
    <comment ref="N108" authorId="2" shapeId="0" xr:uid="{00000000-0006-0000-0100-0000FA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t>
        </r>
        <r>
          <rPr>
            <sz val="9"/>
            <color indexed="81"/>
            <rFont val="Segoe UI"/>
            <family val="2"/>
          </rPr>
          <t xml:space="preserve">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Q108" authorId="2" shapeId="0" xr:uid="{00000000-0006-0000-0100-0000FB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text>
    </comment>
    <comment ref="S108" authorId="2" shapeId="0" xr:uid="{00000000-0006-0000-0100-0000FC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 xml:space="preserve">
ADJUSTED NUMBER!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W108" authorId="2" shapeId="0" xr:uid="{00000000-0006-0000-0100-0000FD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R$ 2.9 M
Eng: Expenses related to demobilization of a warehouse in Barueri-SP amounting R$ 2.3 M</t>
        </r>
      </text>
    </comment>
    <comment ref="X108" authorId="2" shapeId="0" xr:uid="{00000000-0006-0000-0100-0000FE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R$ 2.9 M
Eng: Expenses related to demobilization of a warehouse in Barueri-SP amounting R$ 2.3 M
</t>
        </r>
      </text>
    </comment>
    <comment ref="Z108" authorId="2" shapeId="0" xr:uid="{00000000-0006-0000-0100-0000FF000000}">
      <text>
        <r>
          <rPr>
            <b/>
            <sz val="9"/>
            <color indexed="81"/>
            <rFont val="Segoe UI"/>
            <family val="2"/>
          </rPr>
          <t xml:space="preserve">NÚMERO AJUSTADO!
</t>
        </r>
        <r>
          <rPr>
            <sz val="9"/>
            <color indexed="81"/>
            <rFont val="Segoe UI"/>
            <family val="2"/>
          </rPr>
          <t>Pt - Crédito de PIS e COFINS proveniente da Exclusão de ICMS na Base de Cálculo: R$5,7 milhões</t>
        </r>
        <r>
          <rPr>
            <b/>
            <sz val="9"/>
            <color indexed="81"/>
            <rFont val="Segoe UI"/>
            <family val="2"/>
          </rPr>
          <t xml:space="preserve">
ADJUSTED NUMBER!
</t>
        </r>
        <r>
          <rPr>
            <sz val="9"/>
            <color indexed="81"/>
            <rFont val="Segoe UI"/>
            <family val="2"/>
          </rPr>
          <t>Eng: PIS and COFINS credit arising from the Exclusion of ICMS in the calculation Base: R$5.7 million</t>
        </r>
      </text>
    </comment>
    <comment ref="AB108" authorId="1" shapeId="0" xr:uid="{00000000-0006-0000-0100-00000001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Eng - Gains from the sale of equity interest in the subsidiary Frete Rápido: R$ 2.6 million.
</t>
        </r>
      </text>
    </comment>
    <comment ref="AC108" authorId="1" shapeId="0" xr:uid="{00000000-0006-0000-0100-00000101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G110" authorId="2" shapeId="0" xr:uid="{00000000-0006-0000-0100-000002010000}">
      <text>
        <r>
          <rPr>
            <sz val="9"/>
            <color indexed="81"/>
            <rFont val="Segoe UI"/>
            <family val="2"/>
          </rPr>
          <t xml:space="preserve">PT - Baixa no valo de R$ 5,7 milhões referente a contas a receber da Direct
EN - Write off of Direct account receivable amounting R$ 5.7 million </t>
        </r>
      </text>
    </comment>
    <comment ref="H110" authorId="2" shapeId="0" xr:uid="{00000000-0006-0000-0100-00000301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I110" authorId="2" shapeId="0" xr:uid="{00000000-0006-0000-0100-000004010000}">
      <text>
        <r>
          <rPr>
            <sz val="9"/>
            <color indexed="81"/>
            <rFont val="Segoe UI"/>
            <family val="2"/>
          </rPr>
          <t>PT - Baixa no valo de R$ 5,7 milhões referente a contas a receber da Direct
PT</t>
        </r>
        <r>
          <rPr>
            <b/>
            <sz val="9"/>
            <color indexed="81"/>
            <rFont val="Segoe UI"/>
            <family val="2"/>
          </rPr>
          <t xml:space="preserve"> -</t>
        </r>
        <r>
          <rPr>
            <sz val="9"/>
            <color indexed="81"/>
            <rFont val="Segoe UI"/>
            <family val="2"/>
          </rPr>
          <t xml:space="preserve">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L110" authorId="2" shapeId="0" xr:uid="{00000000-0006-0000-0100-000005010000}">
      <text>
        <r>
          <rPr>
            <sz val="9"/>
            <color indexed="81"/>
            <rFont val="Segoe UI"/>
            <family val="2"/>
          </rPr>
          <t>PT - Denúncia espontânea imposto ICMS R$ 5,252 M
Eng - Spontaneous denouncement on fiscal payment R$ 5.252 M</t>
        </r>
        <r>
          <rPr>
            <b/>
            <sz val="9"/>
            <color indexed="81"/>
            <rFont val="Segoe UI"/>
            <family val="2"/>
          </rPr>
          <t xml:space="preserve">
</t>
        </r>
      </text>
    </comment>
    <comment ref="M110" authorId="1" shapeId="0" xr:uid="{00000000-0006-0000-0100-000006010000}">
      <text>
        <r>
          <rPr>
            <sz val="9"/>
            <color indexed="81"/>
            <rFont val="Segoe UI"/>
            <family val="2"/>
          </rPr>
          <t>PT- Créditos de PIS e COFINS referentes ao direito de excluir o valor do ICMS das bases de cálculo dessas duas contribuições - R$ 10,6 M [R$ 4,5 M - 2017 | R$ 6,1 M - 2018]
PT- Custos de sucumbência de processo judicial de operação descontinuada: R$2,9M
Eng - PIS and COFINS taxes credits referring to the right to exclude the ICMS tax value from the calculation bases of these two contributions - R$ 10.3 M [R$ 4.5 M - 2017 | R$ 6.1 M - 2018]
Eng - Defeat legal fee for discontinued operation: R$ 2.9M</t>
        </r>
      </text>
    </comment>
    <comment ref="N110" authorId="1" shapeId="0" xr:uid="{00000000-0006-0000-0100-000007010000}">
      <text>
        <r>
          <rPr>
            <sz val="9"/>
            <color indexed="81"/>
            <rFont val="Segoe UI"/>
            <family val="2"/>
          </rPr>
          <t>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Q110" authorId="2" shapeId="0" xr:uid="{00000000-0006-0000-0100-00000801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S110" authorId="2" shapeId="0" xr:uid="{00000000-0006-0000-0100-00000901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W110" authorId="2" shapeId="0" xr:uid="{00000000-0006-0000-0100-00000A010000}">
      <text>
        <r>
          <rPr>
            <sz val="9"/>
            <color indexed="81"/>
            <rFont val="Segoe UI"/>
            <family val="2"/>
          </rPr>
          <t xml:space="preserve">PT: Custos relacionados à desmobilização de um armazém em Barueri-SP no montante de R$ 2,9 M
PT: Despesas relacionadas à desmobilização de um armazém em Barueri-SP no montante de R$ 2,3 M
Eng: Costs related to demobilization of a warehouse in Barueri-SP amounting R$ 2.9 M
Eng: Expenses related to demobilization of a warehouse in Barueri-SP amounting R$ 2.3 M
</t>
        </r>
      </text>
    </comment>
    <comment ref="X110" authorId="2" shapeId="0" xr:uid="{00000000-0006-0000-0100-00000B010000}">
      <text>
        <r>
          <rPr>
            <sz val="9"/>
            <color indexed="81"/>
            <rFont val="Segoe UI"/>
            <family val="2"/>
          </rPr>
          <t xml:space="preserve">PT: Custos relacionados à desmobilização de um armazém em Barueri-SP no montante de R$ 2,9 M
PT: Despesas relacionadas à desmobilização de um armazém em Barueri-SP no montante de R$ 2,3 M
Eng: Costs related to demobilization of a warehouse in Barueri-SP amounting R$ 2.9 M
Eng: Expenses related to demobilization of a warehouse in Barueri-SP amounting R$ 2.3 M
</t>
        </r>
      </text>
    </comment>
    <comment ref="Z118" authorId="1" shapeId="0" xr:uid="{00000000-0006-0000-0100-00000C010000}">
      <text>
        <r>
          <rPr>
            <sz val="9"/>
            <color indexed="81"/>
            <rFont val="Segoe UI"/>
            <family val="2"/>
          </rPr>
          <t>PT- R$ 17,3 milhões de atraso referente a acordo comercial
Eng- R$ 17.3 million referring Commercial discution</t>
        </r>
      </text>
    </comment>
    <comment ref="AA118" authorId="1" shapeId="0" xr:uid="{00000000-0006-0000-0100-00000D010000}">
      <text>
        <r>
          <rPr>
            <sz val="9"/>
            <color indexed="81"/>
            <rFont val="Segoe UI"/>
            <family val="2"/>
          </rPr>
          <t>PT- R$ 39,5 milhões de atraso referente a acordo comercial
Eng- R$ 39.5 million referring Commercial discussion</t>
        </r>
      </text>
    </comment>
    <comment ref="AB118" authorId="1" shapeId="0" xr:uid="{00000000-0006-0000-0100-00000E010000}">
      <text>
        <r>
          <rPr>
            <sz val="9"/>
            <color indexed="81"/>
            <rFont val="Segoe UI"/>
            <family val="2"/>
          </rPr>
          <t>PT- R$ 56,8 milhões de atraso referente a acordo comercial
Eng- R$ 56.8 million referring Commercial discussion</t>
        </r>
      </text>
    </comment>
    <comment ref="AC118" authorId="1" shapeId="0" xr:uid="{00000000-0006-0000-0100-00000F010000}">
      <text>
        <r>
          <rPr>
            <sz val="9"/>
            <color indexed="81"/>
            <rFont val="Segoe UI"/>
            <family val="2"/>
          </rPr>
          <t>PT- R$ 56,8 milhões de atraso referente a acordo comercial
Eng- R$ 56.8 million referring Commercial discussion</t>
        </r>
      </text>
    </comment>
    <comment ref="AD118" authorId="1" shapeId="0" xr:uid="{00000000-0006-0000-0100-000010010000}">
      <text>
        <r>
          <rPr>
            <sz val="9"/>
            <color indexed="81"/>
            <rFont val="Segoe UI"/>
            <family val="2"/>
          </rPr>
          <t xml:space="preserve">PT- R$ 43,9 milhões de atraso referente a acordo comercial
Eng- R$ 43.9 million referring Commercial discussion
</t>
        </r>
      </text>
    </comment>
    <comment ref="AE118" authorId="1" shapeId="0" xr:uid="{00000000-0006-0000-0100-000011010000}">
      <text>
        <r>
          <rPr>
            <sz val="9"/>
            <color indexed="81"/>
            <rFont val="Segoe UI"/>
            <family val="2"/>
          </rPr>
          <t xml:space="preserve">PT- R$ 21 milhões de atraso referente a acordo comercial
Eng- R$ 21 million referring Commercial discution
</t>
        </r>
      </text>
    </comment>
    <comment ref="Z119" authorId="1" shapeId="0" xr:uid="{00000000-0006-0000-0100-000012010000}">
      <text>
        <r>
          <rPr>
            <sz val="9"/>
            <color indexed="81"/>
            <rFont val="Segoe UI"/>
            <family val="2"/>
          </rPr>
          <t xml:space="preserve">PT- 5 dias de aumento referente a acordo comercial pendente
Eng- 5 days referring pending Commercial discution
</t>
        </r>
      </text>
    </comment>
    <comment ref="AA119" authorId="1" shapeId="0" xr:uid="{00000000-0006-0000-0100-000013010000}">
      <text>
        <r>
          <rPr>
            <sz val="9"/>
            <color indexed="81"/>
            <rFont val="Segoe UI"/>
            <family val="2"/>
          </rPr>
          <t xml:space="preserve">PT- 12 dias de aumento referente a acordo comercial pendente
Eng- 12 days referring pending Commercial discussion
</t>
        </r>
      </text>
    </comment>
    <comment ref="AB119" authorId="1" shapeId="0" xr:uid="{00000000-0006-0000-0100-000014010000}">
      <text>
        <r>
          <rPr>
            <sz val="9"/>
            <color indexed="81"/>
            <rFont val="Segoe UI"/>
            <family val="2"/>
          </rPr>
          <t xml:space="preserve">PT- 13 dias de aumento referente a acordo comercial pendente
Eng- 13 days referring pending Commercial discussion
</t>
        </r>
      </text>
    </comment>
    <comment ref="AC119" authorId="1" shapeId="0" xr:uid="{00000000-0006-0000-0100-000015010000}">
      <text>
        <r>
          <rPr>
            <sz val="9"/>
            <color indexed="81"/>
            <rFont val="Segoe UI"/>
            <family val="2"/>
          </rPr>
          <t xml:space="preserve">PT- 16 dias de aumento referente a acordo comercial pendente
Eng- 16 days referring pending Commercial discussion
</t>
        </r>
      </text>
    </comment>
    <comment ref="AD119" authorId="1" shapeId="0" xr:uid="{00000000-0006-0000-0100-000016010000}">
      <text>
        <r>
          <rPr>
            <sz val="9"/>
            <color indexed="81"/>
            <rFont val="Segoe UI"/>
            <family val="2"/>
          </rPr>
          <t xml:space="preserve">PT- 13 dias de aumento referente a acordo comercial pendente
Eng- 13 days referring pending Commercial discussion
</t>
        </r>
      </text>
    </comment>
    <comment ref="AE119" authorId="1" shapeId="0" xr:uid="{00000000-0006-0000-0100-000017010000}">
      <text>
        <r>
          <rPr>
            <sz val="9"/>
            <color indexed="81"/>
            <rFont val="Segoe UI"/>
            <family val="2"/>
          </rPr>
          <t xml:space="preserve">PT- 5 dias de aumento referente a acordo comercial pendente
Eng- 5 days referring pending Commercial discussion
</t>
        </r>
      </text>
    </comment>
    <comment ref="Z124" authorId="0" shapeId="0" xr:uid="{00000000-0006-0000-0100-000018010000}">
      <text>
        <r>
          <rPr>
            <sz val="9"/>
            <color indexed="81"/>
            <rFont val="Segoe UI"/>
            <family val="2"/>
          </rPr>
          <t xml:space="preserve">PT- R$ 6 milhões retidos referente a acordo comercial
Eng- R$ 6 million retained referring to Commercial discution
</t>
        </r>
      </text>
    </comment>
    <comment ref="AA124" authorId="0" shapeId="0" xr:uid="{00000000-0006-0000-0100-000019010000}">
      <text>
        <r>
          <rPr>
            <sz val="9"/>
            <color indexed="81"/>
            <rFont val="Segoe UI"/>
            <family val="2"/>
          </rPr>
          <t>PT- R$ 13,2  milhões retidos referente a acordo comercial
Eng- R$ 13,2 million retained referring to Commercial discussion</t>
        </r>
      </text>
    </comment>
    <comment ref="AB124" authorId="0" shapeId="0" xr:uid="{00000000-0006-0000-0100-00001A010000}">
      <text>
        <r>
          <rPr>
            <sz val="9"/>
            <color indexed="81"/>
            <rFont val="Segoe UI"/>
            <family val="2"/>
          </rPr>
          <t>PT- R$ 19,8  milhões retidos referente a acordo comercial
Eng- R$ 19,8 million retained referring to Commercial discussion</t>
        </r>
      </text>
    </comment>
    <comment ref="AC124" authorId="0" shapeId="0" xr:uid="{00000000-0006-0000-0100-00001B010000}">
      <text>
        <r>
          <rPr>
            <sz val="9"/>
            <color indexed="81"/>
            <rFont val="Segoe UI"/>
            <family val="2"/>
          </rPr>
          <t>PT- R$ 19,8  milhões retidos referente a acordo comercial
Eng- R$ 19,8 million retained referring to Commercial discussion</t>
        </r>
      </text>
    </comment>
    <comment ref="AD124" authorId="0" shapeId="0" xr:uid="{00000000-0006-0000-0100-00001C010000}">
      <text>
        <r>
          <rPr>
            <sz val="9"/>
            <color indexed="81"/>
            <rFont val="Segoe UI"/>
            <family val="2"/>
          </rPr>
          <t xml:space="preserve">PT- R$ 15 milhões retidos referente a acordo comercial
Eng- R$ 15 million retained referring to Commercial discussion
</t>
        </r>
      </text>
    </comment>
    <comment ref="AE124" authorId="0" shapeId="0" xr:uid="{00000000-0006-0000-0100-00001D010000}">
      <text>
        <r>
          <rPr>
            <sz val="9"/>
            <color indexed="81"/>
            <rFont val="Segoe UI"/>
            <family val="2"/>
          </rPr>
          <t>PT- R$ 7,5 milhões retidos referente a acordo comercial
Eng- R$ 7.5 million retained referring to Commercial discussion</t>
        </r>
      </text>
    </comment>
    <comment ref="Z125" authorId="0" shapeId="0" xr:uid="{00000000-0006-0000-0100-00001E010000}">
      <text>
        <r>
          <rPr>
            <sz val="9"/>
            <color indexed="81"/>
            <rFont val="Segoe UI"/>
            <family val="2"/>
          </rPr>
          <t xml:space="preserve">PT- 3 dias de aumento referente a acordo comercial pendente
Eng- 3 days referring pending Commercial discution
</t>
        </r>
      </text>
    </comment>
    <comment ref="AA125" authorId="0" shapeId="0" xr:uid="{00000000-0006-0000-0100-00001F010000}">
      <text>
        <r>
          <rPr>
            <sz val="9"/>
            <color indexed="81"/>
            <rFont val="Segoe UI"/>
            <family val="2"/>
          </rPr>
          <t>PT- 6 dias de aumento referente a acordo comercial pendente
Eng- 6 days referring pending Commercial discussion</t>
        </r>
      </text>
    </comment>
    <comment ref="AB125" authorId="0" shapeId="0" xr:uid="{00000000-0006-0000-0100-000020010000}">
      <text>
        <r>
          <rPr>
            <sz val="9"/>
            <color indexed="81"/>
            <rFont val="Segoe UI"/>
            <family val="2"/>
          </rPr>
          <t>PT- 7 dias de aumento referente a acordo comercial pendente
Eng- 7 days referring pending Commercial discussion</t>
        </r>
      </text>
    </comment>
    <comment ref="AC125" authorId="0" shapeId="0" xr:uid="{00000000-0006-0000-0100-000021010000}">
      <text>
        <r>
          <rPr>
            <sz val="9"/>
            <color indexed="81"/>
            <rFont val="Segoe UI"/>
            <family val="2"/>
          </rPr>
          <t>PT- 9 dias de aumento referente a acordo comercial pendente
Eng- 9 days referring pending Commercial discussion</t>
        </r>
      </text>
    </comment>
    <comment ref="AD125" authorId="0" shapeId="0" xr:uid="{00000000-0006-0000-0100-000022010000}">
      <text>
        <r>
          <rPr>
            <sz val="9"/>
            <color indexed="81"/>
            <rFont val="Segoe UI"/>
            <family val="2"/>
          </rPr>
          <t>PT- 7 dias de aumento referente a acordo comercial pendente
Eng- 7 days referring pending Commercial discussion</t>
        </r>
      </text>
    </comment>
    <comment ref="AE125" authorId="0" shapeId="0" xr:uid="{00000000-0006-0000-0100-000023010000}">
      <text>
        <r>
          <rPr>
            <sz val="9"/>
            <color indexed="81"/>
            <rFont val="Segoe UI"/>
            <family val="2"/>
          </rPr>
          <t>PT- 3 dias de aumento referente a acordo comercial pendente
Eng- 3 days referring pending Commercial discussion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V3" authorId="0" shapeId="0" xr:uid="{00000000-0006-0000-0E00-000001000000}">
      <text>
        <r>
          <rPr>
            <sz val="9"/>
            <color indexed="81"/>
            <rFont val="Segoe UI"/>
            <family val="2"/>
          </rPr>
          <t xml:space="preserve">Fonte: Source: http://www.anfavea.com.br/estatisticas.html
</t>
        </r>
      </text>
    </comment>
    <comment ref="AQ3" authorId="0" shapeId="0" xr:uid="{00000000-0006-0000-0E00-000002000000}">
      <text>
        <r>
          <rPr>
            <sz val="9"/>
            <color indexed="81"/>
            <rFont val="Segoe UI"/>
            <family val="2"/>
          </rPr>
          <t xml:space="preserve">http://www3.fenabrave.org.br:8082/plus/modulos/listas/index.php?tac=indices-e-numeros&amp;idtipo=2&amp;layout=indices-e-numeros
</t>
        </r>
      </text>
    </comment>
    <comment ref="F4" authorId="0" shapeId="0" xr:uid="{00000000-0006-0000-0E00-000003000000}">
      <text>
        <r>
          <rPr>
            <sz val="9"/>
            <color indexed="81"/>
            <rFont val="Segoe UI"/>
            <family val="2"/>
          </rPr>
          <t xml:space="preserve">Fonte: Source: http://www.anfavea.com.br/estatisticas.html
</t>
        </r>
      </text>
    </comment>
    <comment ref="G4" authorId="0" shapeId="0" xr:uid="{00000000-0006-0000-0E00-000004000000}">
      <text>
        <r>
          <rPr>
            <sz val="9"/>
            <color indexed="81"/>
            <rFont val="Segoe UI"/>
            <family val="2"/>
          </rPr>
          <t xml:space="preserve">Fonte: Source: http://www.anfavea.com.br/estatisticas.html
</t>
        </r>
      </text>
    </comment>
    <comment ref="I4" authorId="0" shapeId="0" xr:uid="{00000000-0006-0000-0E00-000005000000}">
      <text>
        <r>
          <rPr>
            <sz val="9"/>
            <color indexed="81"/>
            <rFont val="Segoe UI"/>
            <family val="2"/>
          </rPr>
          <t>Fonte: Source: https://anfavea.com.br/site/coletiva-de-imprensa-2/</t>
        </r>
      </text>
    </comment>
    <comment ref="J4" authorId="0" shapeId="0" xr:uid="{00000000-0006-0000-0E00-000006000000}">
      <text>
        <r>
          <rPr>
            <sz val="9"/>
            <color indexed="81"/>
            <rFont val="Segoe UI"/>
            <family val="2"/>
          </rPr>
          <t xml:space="preserve">Fonte: Source: https://anfavea.com.br/site/coletiva-de-imprensa-2/
</t>
        </r>
      </text>
    </comment>
    <comment ref="K4" authorId="0" shapeId="0" xr:uid="{00000000-0006-0000-0E00-000007000000}">
      <text>
        <r>
          <rPr>
            <sz val="9"/>
            <color indexed="81"/>
            <rFont val="Segoe UI"/>
            <family val="2"/>
          </rPr>
          <t>Fonte: Source: https://anfavea.com.br/site/coletiva-de-imprensa-2/</t>
        </r>
      </text>
    </comment>
    <comment ref="M4" authorId="0" shapeId="0" xr:uid="{00000000-0006-0000-0E00-000008000000}">
      <text>
        <r>
          <rPr>
            <sz val="9"/>
            <color indexed="81"/>
            <rFont val="Segoe UI"/>
            <family val="2"/>
          </rPr>
          <t xml:space="preserve">Fonte: Source: http://www.anfavea.com.br/estatisticas.html
</t>
        </r>
      </text>
    </comment>
    <comment ref="N4" authorId="0" shapeId="0" xr:uid="{00000000-0006-0000-0E00-000009000000}">
      <text>
        <r>
          <rPr>
            <sz val="9"/>
            <color indexed="81"/>
            <rFont val="Segoe UI"/>
            <family val="2"/>
          </rPr>
          <t xml:space="preserve">Fonte: Source: http://www.anfavea.com.br/estatisticas.html
</t>
        </r>
      </text>
    </comment>
    <comment ref="P4" authorId="0" shapeId="0" xr:uid="{00000000-0006-0000-0E00-00000A000000}">
      <text>
        <r>
          <rPr>
            <sz val="9"/>
            <color indexed="81"/>
            <rFont val="Segoe UI"/>
            <family val="2"/>
          </rPr>
          <t xml:space="preserve">Fonte: Source: http://www3.fenabrave.org.br:8082/plus/modulos/listas/index.php?tac=indices-e-numeros&amp;idtipo=2&amp;layout=indices-e-numeros
</t>
        </r>
      </text>
    </comment>
    <comment ref="Q4" authorId="0" shapeId="0" xr:uid="{00000000-0006-0000-0E00-00000B000000}">
      <text>
        <r>
          <rPr>
            <sz val="9"/>
            <color indexed="81"/>
            <rFont val="Segoe UI"/>
            <family val="2"/>
          </rPr>
          <t xml:space="preserve">http://www3.fenabrave.org.br:8082/plus/modulos/listas/index.php?tac=indices-e-numeros&amp;idtipo=2&amp;layout=indices-e-numeros
</t>
        </r>
      </text>
    </comment>
    <comment ref="S4" authorId="0" shapeId="0" xr:uid="{00000000-0006-0000-0E00-00000C000000}">
      <text>
        <r>
          <rPr>
            <sz val="9"/>
            <color indexed="81"/>
            <rFont val="Segoe UI"/>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R7" authorId="0" shapeId="0" xr:uid="{00000000-0006-0000-1000-000001000000}">
      <text>
        <r>
          <rPr>
            <sz val="10"/>
            <rFont val="Arial"/>
            <family val="2"/>
          </rPr>
          <t>NCE - Notas de crédito de exportação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S6" authorId="0" shapeId="0" xr:uid="{00000000-0006-0000-1200-000001000000}">
      <text>
        <r>
          <rPr>
            <sz val="10"/>
            <rFont val="Arial"/>
            <family val="2"/>
          </rPr>
          <t>NOTA DE CRÉDITO DE EXPORTAÇÃO
EXPORT CREDIT NOTES</t>
        </r>
      </text>
    </comment>
    <comment ref="S16" authorId="0" shapeId="0" xr:uid="{00000000-0006-0000-1200-000002000000}">
      <text>
        <r>
          <rPr>
            <sz val="10"/>
            <rFont val="Arial"/>
            <family val="2"/>
          </rPr>
          <t>NOTA DE CRÉDITO DE EXPORTAÇÃO
EXPORT CREDIT NOTES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U9" authorId="0" shapeId="0" xr:uid="{00000000-0006-0000-1400-000001000000}">
      <text>
        <r>
          <rPr>
            <sz val="9"/>
            <color indexed="81"/>
            <rFont val="Segoe UI"/>
            <family val="2"/>
          </rPr>
          <t>PT - No 4T17 realizamos a baixa de títulos a receber (já provisionados) oriundos da venda de Controlada Direct Express no valor de R$ 16,2 milhões.
EN - In 4Q17 we made an account receivables write-off (already provisioned) arising from the disposal of the former subsidiary Direct Express in the amount of R$ 16.2 million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T10" authorId="0" shapeId="0" xr:uid="{00000000-0006-0000-1500-000001000000}">
      <text>
        <r>
          <rPr>
            <sz val="9"/>
            <color indexed="81"/>
            <rFont val="Segoe UI"/>
            <family val="2"/>
          </rPr>
          <t>PT - No 4T17 realizamos a baixa de R$ 16 mi de títulos a receber oriundos da venda da controlada Direct, que já estavam provisionados
EN - In 4Q17 we made an account receivables write-off (already provisioned) arising from the disposal of the former subsidiary Direct Express in the amount of R$ 16.2 million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U11" authorId="0" shapeId="0" xr:uid="{00000000-0006-0000-1600-000001000000}">
      <text>
        <r>
          <rPr>
            <sz val="9"/>
            <color indexed="81"/>
            <rFont val="Segoe UI"/>
            <family val="2"/>
          </rPr>
          <t>PT - No 4T17 realizamos a baixa de R$ 16 mi de títulos a receber oriundos da venda da controlada Direct, que já estavam provisionados
EN - In 4Q17 we made an account receivables write-off (already provisioned) arising from the disposal of the former subsidiary Direct Express in the amount of R$ 16.2 million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s>
  <commentList>
    <comment ref="AB6" authorId="0" shapeId="0" xr:uid="{00000000-0006-0000-1700-000001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U9" authorId="1" shapeId="0" xr:uid="{00000000-0006-0000-1700-000002000000}">
      <text>
        <r>
          <rPr>
            <sz val="9"/>
            <color indexed="81"/>
            <rFont val="Segoe UI"/>
            <family val="2"/>
          </rPr>
          <t>PT - Baixa de R$ 5,7 milhões de contas a receber da antiga controlada Direct
EN - Write-off of account receivables from Direct Express amounting  R$ 5.7 million</t>
        </r>
      </text>
    </comment>
    <comment ref="S13" authorId="1" shapeId="0" xr:uid="{00000000-0006-0000-1700-000003000000}">
      <text>
        <r>
          <rPr>
            <sz val="10"/>
            <rFont val="Arial"/>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accounts receivable / indemnities of business combination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 ref="AB38" authorId="0" shapeId="0" xr:uid="{00000000-0006-0000-1700-000004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S45" authorId="1" shapeId="0" xr:uid="{00000000-0006-0000-1700-000005000000}">
      <text>
        <r>
          <rPr>
            <sz val="10"/>
            <rFont val="Arial"/>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accounts receivable / indemnities of business combination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Felipe Silva</author>
  </authors>
  <commentList>
    <comment ref="U9" authorId="0" shapeId="0" xr:uid="{00000000-0006-0000-1800-000001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t>
        </r>
      </text>
    </comment>
    <comment ref="AB9" authorId="1" shapeId="0" xr:uid="{00000000-0006-0000-1800-000002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t>
        </r>
      </text>
    </comment>
    <comment ref="AI9" authorId="2" shapeId="0" xr:uid="{00000000-0006-0000-1800-000003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 ref="S11" authorId="0" shapeId="0" xr:uid="{00000000-0006-0000-1800-000004000000}">
      <text>
        <r>
          <rPr>
            <sz val="10"/>
            <rFont val="Arial"/>
            <family val="2"/>
          </rPr>
          <t>PT - Retificação LALUR 2014 (R$ 10,9 mi)
EN - 2014 LALUR rectification (R$ 10,9 mi)</t>
        </r>
      </text>
    </comment>
    <comment ref="S12" authorId="0" shapeId="0" xr:uid="{00000000-0006-0000-1800-000005000000}">
      <text>
        <r>
          <rPr>
            <sz val="9"/>
            <color indexed="81"/>
            <rFont val="Segoe UI"/>
            <family val="2"/>
          </rPr>
          <t>PT - Ganho de causa do FUNDAF
EN - FUNDAF dispute gain</t>
        </r>
      </text>
    </comment>
    <comment ref="U22" authorId="0" shapeId="0" xr:uid="{00000000-0006-0000-1800-000006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AB22" authorId="1" shapeId="0" xr:uid="{00000000-0006-0000-1800-000007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t>
        </r>
      </text>
    </comment>
    <comment ref="S27" authorId="0" shapeId="0" xr:uid="{00000000-0006-0000-1800-000008000000}">
      <text>
        <r>
          <rPr>
            <sz val="10"/>
            <rFont val="Arial"/>
            <family val="2"/>
          </rPr>
          <t>PT - Retificação LALUR 2014 (R$ 10,9 mi)
EN - 2014 LALUR rectification (R$ 10,9 mi)</t>
        </r>
      </text>
    </comment>
    <comment ref="U37" authorId="0" shapeId="0" xr:uid="{00000000-0006-0000-1800-000009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R$ 5,15 milhões.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R$ 5.15 million.</t>
        </r>
      </text>
    </comment>
    <comment ref="AI37" authorId="2" shapeId="0" xr:uid="{00000000-0006-0000-1800-00000A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H143" authorId="0" shapeId="0" xr:uid="{00000000-0006-0000-1A00-000001000000}">
      <text>
        <r>
          <rPr>
            <sz val="9"/>
            <color indexed="81"/>
            <rFont val="Segoe UI"/>
            <family val="2"/>
          </rPr>
          <t xml:space="preserve">Pt - Aporte de capital à controlada  para emitir debêntures conversíveis à startup Frete Rapido
Eng - Capital contribution to subsidiary to issue convertible debentures to startup Frete Rapido
</t>
        </r>
      </text>
    </comment>
    <comment ref="H178" authorId="0" shapeId="0" xr:uid="{00000000-0006-0000-1A00-000002000000}">
      <text>
        <r>
          <rPr>
            <sz val="9"/>
            <color indexed="81"/>
            <rFont val="Segoe UI"/>
            <family val="2"/>
          </rPr>
          <t>Pt - Aporte de capital à controlada  para emitir debêntures conversíveis à startup Rabbot
Eng: Capital contribution to subsidiary to issue convertible debentures to startup Rabbot</t>
        </r>
      </text>
    </comment>
    <comment ref="G435" authorId="0" shapeId="0" xr:uid="{0A4E523B-420A-4AFF-8BE2-3AFBD578DB51}">
      <text>
        <r>
          <rPr>
            <b/>
            <sz val="9"/>
            <color indexed="81"/>
            <rFont val="Segoe UI"/>
            <family val="2"/>
          </rPr>
          <t>Pt: (i) A Companhia realizou o aumento de capital na controlada Niyati Empreendimentos Participações Ltda. com aporte financeiro, para aquisição de terreno estratégico
Eng: The Company increased capital in subsidiary Niyati Empreendimentos Participações Ltda. through a cash contribution to acquire strategic land</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S6" authorId="0" shapeId="0" xr:uid="{00000000-0006-0000-1E00-000001000000}">
      <text>
        <r>
          <rPr>
            <sz val="10"/>
            <rFont val="Arial"/>
            <family val="2"/>
          </rPr>
          <t>PT - NCE - Nota de crédito de exportação
EN - Export credit note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William Estrela Dantas dos Santos</author>
    <author>Felipe Silva</author>
    <author>Ian Nunes</author>
  </authors>
  <commentList>
    <comment ref="AH12" authorId="0" shapeId="0" xr:uid="{00000000-0006-0000-0300-000001000000}">
      <text>
        <r>
          <rPr>
            <sz val="9"/>
            <color indexed="81"/>
            <rFont val="Segoe UI"/>
            <family val="2"/>
          </rPr>
          <t>PT - Retificação do LALUR de 2014 no valor de R$12,2 milhões 
Ganho de R$5,86 milhões devido a disputa do Fundaf
EN - 2014 LALUR rectification, amounting R$ 12,202 thousand
Fundaf dispute gain of R$ 5,860 thousand</t>
        </r>
      </text>
    </comment>
    <comment ref="AJ12" authorId="0" shapeId="0" xr:uid="{00000000-0006-0000-0300-000002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Both tax credits will be used to compensate federal taxes payments.
</t>
        </r>
      </text>
    </comment>
    <comment ref="AN12" authorId="1" shapeId="0" xr:uid="{00000000-0006-0000-03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R$ 10.3 M [R$ 4.5 M - 2017 | R$ 6.1 M - 2018]
</t>
        </r>
      </text>
    </comment>
    <comment ref="AQ12" authorId="1" shapeId="0" xr:uid="{00000000-0006-0000-0300-000004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t>
        </r>
      </text>
    </comment>
    <comment ref="AS12" authorId="2" shapeId="0" xr:uid="{00000000-0006-0000-0300-000005000000}">
      <text>
        <r>
          <rPr>
            <b/>
            <sz val="9"/>
            <color indexed="81"/>
            <rFont val="Segoe UI"/>
            <family val="2"/>
          </rPr>
          <t xml:space="preserve">PT - </t>
        </r>
        <r>
          <rPr>
            <sz val="9"/>
            <color indexed="81"/>
            <rFont val="Segoe UI"/>
            <family val="2"/>
          </rPr>
          <t xml:space="preserve">Aproveitamento de parte do crédito de PIS/COFINS registrado no 3T19.
</t>
        </r>
        <r>
          <rPr>
            <b/>
            <sz val="9"/>
            <color indexed="81"/>
            <rFont val="Segoe UI"/>
            <family val="2"/>
          </rPr>
          <t>Eng</t>
        </r>
        <r>
          <rPr>
            <sz val="9"/>
            <color indexed="81"/>
            <rFont val="Segoe UI"/>
            <family val="2"/>
          </rPr>
          <t xml:space="preserve"> -  Use of part of the PIS/COFINS credit recognized in 3Q19.</t>
        </r>
      </text>
    </comment>
    <comment ref="AX12" authorId="3" shapeId="0" xr:uid="{00000000-0006-0000-0300-000006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 ref="AG24" authorId="4" shapeId="0" xr:uid="{00000000-0006-0000-0300-000007000000}">
      <text>
        <r>
          <rPr>
            <sz val="9"/>
            <color indexed="81"/>
            <rFont val="Segoe UI"/>
            <family val="2"/>
          </rPr>
          <t>PT - Efetuamos a reclassificação no 1T17 para impostos a recuperar não circulante referente ao crédito de INSS a restituir (cooperativa e verbas indenizatórias), no montante de R$ 9 milhões.</t>
        </r>
      </text>
    </comment>
    <comment ref="AH24" authorId="0" shapeId="0" xr:uid="{00000000-0006-0000-0300-000008000000}">
      <text>
        <r>
          <rPr>
            <sz val="9"/>
            <color indexed="81"/>
            <rFont val="Segoe UI"/>
            <family val="2"/>
          </rPr>
          <t>PT - Ganho de R$ 5,86 milhões da disputa do FUNDAF
EN - Fundaf dispute gain of R$ 5,860 thousand</t>
        </r>
      </text>
    </comment>
    <comment ref="AY25" authorId="3" shapeId="0" xr:uid="{00000000-0006-0000-0300-000009000000}">
      <text>
        <r>
          <rPr>
            <sz val="9"/>
            <color indexed="81"/>
            <rFont val="Segoe UI"/>
            <family val="2"/>
          </rPr>
          <t>Pt - Crédito tributário extraordinário referente a imposto pago a maior R$12,9 milhões
Eng- Extraordinary tax credit regarding overpaid tax collection amounting R$ 12.9 million</t>
        </r>
      </text>
    </comment>
    <comment ref="AI26" authorId="0" shapeId="0" xr:uid="{00000000-0006-0000-0300-00000A000000}">
      <text>
        <r>
          <rPr>
            <sz val="9"/>
            <color indexed="81"/>
            <rFont val="Segoe UI"/>
            <family val="2"/>
          </rPr>
          <t>PT - Baixa de R$ 5,7 milhões de contas a receber da antiga controlada Direct
EN - Write-off of account receivables from Direct Express amounting  R$ 5.7 million</t>
        </r>
      </text>
    </comment>
    <comment ref="AJ26" authorId="4" shapeId="0" xr:uid="{00000000-0006-0000-0300-00000B000000}">
      <text>
        <r>
          <rPr>
            <sz val="9"/>
            <color indexed="81"/>
            <rFont val="Segoe UI"/>
            <family val="2"/>
          </rPr>
          <t>PT - Baixa de R$ 5,7 milhões de contas a receber da antiga controlada Direct
EN - Write-off of account receivables from Direct Express amounting  R$ 5.7 million</t>
        </r>
      </text>
    </comment>
    <comment ref="AQ26" authorId="1" shapeId="0" xr:uid="{00000000-0006-0000-0300-00000C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 ref="AJ27" authorId="4" shapeId="0" xr:uid="{00000000-0006-0000-0300-00000D000000}">
      <text>
        <r>
          <rPr>
            <sz val="9"/>
            <color indexed="81"/>
            <rFont val="Segoe UI"/>
            <family val="2"/>
          </rPr>
          <t xml:space="preserve">PT- Após revisão do imposto de renda diferido da companhia, identificou-se um saldo não constituído contabilmente no montante de R$ 6,4 milhões da controlada Tegma Cargas Especiais (operação de químicos). Com isso, foi reconhecido um ativo fiscal diferido. 
- Em 2015 e 2016 constituímos uma provisão de parcelamento de dívidas tributárias que seria liquidado através do PRORELIT (Programa de redução de litígios tributários). Em outubro de 2017, recebemos o indeferimento do PRORELIT, na qual ocasionou a devolução imposto diferido no valor de R$ 7 milhões indicado no parcelamento.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 After reviewing the company’s deferred income tax, an unrecorded balance was indentified for the amount of R$ 6.4 million in the subsidiary Tegma Cargas Especiais (chemical operations). As a result, a deferred tax asset was recognized, which positively impacted the income tax for the same amount. 
</t>
        </r>
      </text>
    </comment>
    <comment ref="AM30" authorId="1" shapeId="0" xr:uid="{00000000-0006-0000-0300-00000E000000}">
      <text>
        <r>
          <rPr>
            <sz val="9"/>
            <color indexed="81"/>
            <rFont val="Segoe UI"/>
            <family val="2"/>
          </rPr>
          <t>PT - Nova dívida res 4.131 em USD 100% swapada
Eng - New USD debt, 100% swapped</t>
        </r>
      </text>
    </comment>
    <comment ref="AH49" authorId="0" shapeId="0" xr:uid="{00000000-0006-0000-0300-00000F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H52" authorId="0" shapeId="0" xr:uid="{00000000-0006-0000-0300-000010000000}">
      <text>
        <r>
          <rPr>
            <sz val="9"/>
            <color indexed="81"/>
            <rFont val="Segoe UI"/>
            <family val="2"/>
          </rPr>
          <t>PT - R$1,9 milhões do Fundaf
EN - R$1.9 million from Fundaf dispute</t>
        </r>
      </text>
    </comment>
    <comment ref="AJ52" authorId="0" shapeId="0" xr:uid="{00000000-0006-0000-0300-000011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com suas respectivas suas respectivas atualizações monetárias de R$ 37,5 milhões. Sobre esse valor foi constituído 34% (R$ 13 milhões).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uma redução do imposto de renda a pagar/CSLL de R$ 4,5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t>
        </r>
      </text>
    </comment>
    <comment ref="AQ52" authorId="1" shapeId="0" xr:uid="{00000000-0006-0000-0300-000012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t>
        </r>
        <r>
          <rPr>
            <b/>
            <sz val="9"/>
            <color indexed="81"/>
            <rFont val="Segoe UI"/>
            <family val="2"/>
          </rPr>
          <t>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t>
        </r>
        <r>
          <rPr>
            <b/>
            <sz val="9"/>
            <color indexed="81"/>
            <rFont val="Segoe UI"/>
            <family val="2"/>
          </rPr>
          <t xml:space="preserve"> R$ 28.4 million of income tax on book entry.</t>
        </r>
        <r>
          <rPr>
            <sz val="9"/>
            <color indexed="81"/>
            <rFont val="Segoe UI"/>
            <family val="2"/>
          </rPr>
          <t xml:space="preserve">
</t>
        </r>
      </text>
    </comment>
    <comment ref="AJ55" authorId="0" shapeId="0" xr:uid="{00000000-0006-0000-0300-000013000000}">
      <text>
        <r>
          <rPr>
            <sz val="9"/>
            <color indexed="81"/>
            <rFont val="Segoe UI"/>
            <family val="2"/>
          </rPr>
          <t>PT - Em 2017 o governo disponibilizou o Programa Especial de Regularização Tributária (PERT) para liquidação de débitos constituídos referentes à processos em discussão administrativa. Por ser mais benéfico em comparação com o PRORELIT, fizemos a adesão ao PERT de valor de R$ 6 milhões.
EN - In 2017 the government made available the Special Tax Regularization Program (PERT) to settle debts constituted referring to the processes under administrative discussion. Because it is more beneficial compared to PRORELIT, we made the adhesion to the PERT in the amount of R$ 6 million.</t>
        </r>
      </text>
    </comment>
    <comment ref="AH62" authorId="0" shapeId="0" xr:uid="{00000000-0006-0000-0300-000014000000}">
      <text>
        <r>
          <rPr>
            <sz val="9"/>
            <color indexed="81"/>
            <rFont val="Segoe UI"/>
            <family val="2"/>
          </rPr>
          <t>PT - Em junho de 2017 fizemos a contratação de R$ 50 milhões em notas de crédito de exportação, com um prazo médio de pouco mais de dois anos e um custo de CDI + 2,6% a.a. Com isso, conseguimos alongar parte da nossa dívida para 2019 e, segundo nossas estimativas atuais, eliminar uma eventual necessidade de caixa em 2018.
EN - In June 2017 we contracted R $ 50 million in export credit notes, with an average term of just over two years and a interest rate of CDI + 2.6% a.a. As a result, we were able to stretch part of our debt to 2019 and, according to our current estimates, eliminate any cash requirement in 2018.</t>
        </r>
      </text>
    </comment>
    <comment ref="AH67" authorId="0" shapeId="0" xr:uid="{00000000-0006-0000-0300-000015000000}">
      <text>
        <r>
          <rPr>
            <sz val="9"/>
            <color indexed="81"/>
            <rFont val="Segoe UI"/>
            <family val="2"/>
          </rPr>
          <t>PT - Diferido Retificação LALUR 2014 R$ 5,1 M
EN - Deffered LALUR rectification amounting R$ 5.1 million</t>
        </r>
      </text>
    </comment>
    <comment ref="AH68" authorId="0" shapeId="0" xr:uid="{00000000-0006-0000-0300-000016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N68" authorId="1" shapeId="0" xr:uid="{00000000-0006-0000-0300-000017000000}">
      <text>
        <r>
          <rPr>
            <sz val="9"/>
            <color indexed="81"/>
            <rFont val="Segoe UI"/>
            <family val="2"/>
          </rPr>
          <t>PT- Contingência cívil da ex controlada Direct Express de - R$ 14,5 milhões
Eng - Civil contingency of the former subsidiary Direct Express - R$ 14.5 million;</t>
        </r>
      </text>
    </comment>
    <comment ref="AQ68" authorId="1" shapeId="0" xr:uid="{00000000-0006-0000-0300-000018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H69" authorId="0" shapeId="0" xr:uid="{00000000-0006-0000-0300-000019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N69" authorId="1" shapeId="0" xr:uid="{00000000-0006-0000-0300-00001A000000}">
      <text>
        <r>
          <rPr>
            <sz val="9"/>
            <color indexed="81"/>
            <rFont val="Segoe UI"/>
            <family val="2"/>
          </rPr>
          <t>PT- Contingência cívil da ex controlada Direct Express de - R$ 14,5 milhões
Eng - Civil contingency of the former subsidiary Direct Express - R$ 14.5 million;</t>
        </r>
      </text>
    </comment>
    <comment ref="AQ69" authorId="1" shapeId="0" xr:uid="{00000000-0006-0000-0300-00001B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H70" authorId="0" shapeId="0" xr:uid="{00000000-0006-0000-0300-00001C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N70" authorId="1" shapeId="0" xr:uid="{00000000-0006-0000-0300-00001D000000}">
      <text>
        <r>
          <rPr>
            <sz val="9"/>
            <color indexed="81"/>
            <rFont val="Segoe UI"/>
            <family val="2"/>
          </rPr>
          <t>PT- Contingência cívil da ex controlada Direct Express de - R$ 14,5 milhões
Eng - Civil contingency of the former subsidiary Direct Express - R$ 14.5 million;</t>
        </r>
      </text>
    </comment>
    <comment ref="AQ70" authorId="1" shapeId="0" xr:uid="{00000000-0006-0000-0300-00001E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BN31" authorId="0" shapeId="0" xr:uid="{00000000-0006-0000-1F00-000001000000}">
      <text>
        <r>
          <rPr>
            <sz val="9"/>
            <color indexed="81"/>
            <rFont val="Segoe UI"/>
            <family val="2"/>
          </rPr>
          <t>3. Em 2015, a Catlog, uma controlada em conjunto da Tegma que prestava serviços logísticos para a montadora Renault-Nissan, teve suas operações descontinuadas. Nosso balanço apresentava o registro de ágio relacionado à Catlog no valor de R$ 1,4 milhão. Como não existe a perspectiva de retomada de operações ou de recuperação desse ágio, optou-se pela sua amortização, o que impactou negativamente a linha de outras receitas (despesas) líquidas da divisão automotiva.</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S8" authorId="0" shapeId="0" xr:uid="{00000000-0006-0000-2000-000001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S18" authorId="0" shapeId="0" xr:uid="{00000000-0006-0000-2000-000002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S28" authorId="0" shapeId="0" xr:uid="{00000000-0006-0000-2000-000003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William Estrela Dantas dos Santos</author>
  </authors>
  <commentList>
    <comment ref="V7" authorId="0" shapeId="0" xr:uid="{00000000-0006-0000-2100-000001000000}">
      <text>
        <r>
          <rPr>
            <sz val="8"/>
            <color indexed="81"/>
            <rFont val="Segoe UI"/>
            <family val="2"/>
          </rPr>
          <t xml:space="preserve">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t>
        </r>
        <r>
          <rPr>
            <sz val="9"/>
            <color indexed="81"/>
            <rFont val="Segoe UI"/>
            <family val="2"/>
          </rPr>
          <t>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AS7" authorId="1" shapeId="0" xr:uid="{00000000-0006-0000-2100-000002000000}">
      <text>
        <r>
          <rPr>
            <sz val="9"/>
            <color indexed="81"/>
            <rFont val="Segoe UI"/>
            <family val="2"/>
          </rPr>
          <t xml:space="preserve">PT: R$ 17 MM, referente a parte não homologada dos creditos sobre a exclusão do ICMA da base de calculo do Pis e Cofins da Controladora
ENG: R$ 17 MM, referring to the unapproved part of the credits on the exclusion of ICMA from the Parent Company's Pis and Cofins calculation base
</t>
        </r>
      </text>
    </comment>
    <comment ref="AT7" authorId="1" shapeId="0" xr:uid="{00000000-0006-0000-2100-000003000000}">
      <text>
        <r>
          <rPr>
            <sz val="9"/>
            <color indexed="81"/>
            <rFont val="Segoe UI"/>
            <family val="2"/>
          </rPr>
          <t xml:space="preserve">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
</t>
        </r>
      </text>
    </comment>
    <comment ref="V8" authorId="0" shapeId="0" xr:uid="{00000000-0006-0000-2100-000004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BD8" authorId="1" shapeId="0" xr:uid="{00000000-0006-0000-2100-000005000000}">
      <text>
        <r>
          <rPr>
            <b/>
            <sz val="9"/>
            <color indexed="81"/>
            <rFont val="Segoe UI"/>
            <family val="2"/>
          </rPr>
          <t>Pt: A empresa tomou conhecimento do julgamento do Processo nº 5603/2017, pela Comissão de Julgamento da Prefeitura de Mauá – órgão de segunda instância administrativa, proveniente dos Autos de Infração nº 2.636/2017 e 24/2018, que julgou parcialmente procedente o recurso apresentado pela Companhia, em face da manutenção das autuações pelo órgão julgador administrativo de primeira instância.
Eng: The company has been notified of the ruling issued in Proceeding No. 5603/2017 by the Judgment Commission of the Municipality of Mauá (State of São Paulo), the second-level administrative authority, arising from Notices of Infraction Nos. 2,636/2017 and 24/2018. The Commission partially upheld the appeal filed by the Company, following the first-level administrative authority’s decision to maintain the tax assessments.</t>
        </r>
        <r>
          <rPr>
            <sz val="9"/>
            <color indexed="81"/>
            <rFont val="Segoe UI"/>
            <family val="2"/>
          </rPr>
          <t xml:space="preserve">
</t>
        </r>
      </text>
    </comment>
    <comment ref="AS13" authorId="1" shapeId="0" xr:uid="{00000000-0006-0000-2100-000006000000}">
      <text>
        <r>
          <rPr>
            <sz val="9"/>
            <color indexed="81"/>
            <rFont val="Segoe UI"/>
            <family val="2"/>
          </rPr>
          <t>PT: R$ 17 MM, referente a parte não homologada dos creditos sobre a exclusão do ICMA da base de calculo do Pis e Cofins da Controladora
ENG: R$ 17 MM, referring to the unapproved part of the credits on the exclusion of ICMA from the Parent Company's Pis and Cofins calculation base</t>
        </r>
      </text>
    </comment>
    <comment ref="AT13" authorId="1" shapeId="0" xr:uid="{00000000-0006-0000-2100-000007000000}">
      <text>
        <r>
          <rPr>
            <sz val="9"/>
            <color indexed="81"/>
            <rFont val="Segoe UI"/>
            <family val="2"/>
          </rPr>
          <t>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t>
        </r>
      </text>
    </comment>
    <comment ref="V19" authorId="0" shapeId="0" xr:uid="{00000000-0006-0000-2100-000008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V20" authorId="0" shapeId="0" xr:uid="{00000000-0006-0000-2100-000009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X26" authorId="0" shapeId="0" xr:uid="{00000000-0006-0000-2100-00000A000000}">
      <text>
        <r>
          <rPr>
            <sz val="9"/>
            <color indexed="81"/>
            <rFont val="Segoe UI"/>
            <family val="2"/>
          </rPr>
          <t>PT - No 2T17 tivemos a ganha de causa do FUNDAF e dessa forma houve o estorno do depósito de R$ 2,1 milhões referente a esse processo
EN - Since we had a lawsuit success regarding the FUNDAF dispute, there was a reversal of the R$ 2.1 million deposit</t>
        </r>
      </text>
    </comment>
    <comment ref="AE27" authorId="2" shapeId="0" xr:uid="{00000000-0006-0000-2100-00000B000000}">
      <text>
        <r>
          <rPr>
            <sz val="9"/>
            <color indexed="81"/>
            <rFont val="Segoe UI"/>
            <family val="2"/>
          </rPr>
          <t>PT - Inclui depósito judicial sobre a contingência cível relativa a demanda judicial contra um prestador de serviços na área de benefícios
EN - Includes judicial deposit on the civil contingency related to the legal claim against a benefits service provider</t>
        </r>
      </text>
    </comment>
    <comment ref="AE33" authorId="2" shapeId="0" xr:uid="{00000000-0006-0000-2100-00000C000000}">
      <text>
        <r>
          <rPr>
            <sz val="9"/>
            <color indexed="81"/>
            <rFont val="Segoe UI"/>
            <family val="2"/>
          </rPr>
          <t>PT - Inclui depósito judicial sobre a contingência cível relativa a demanda judicial contra um prestador de serviços na área de benefícios
EN - Includes judicial deposit on the civil contingency related to the legal claim against a benefits service provider</t>
        </r>
      </text>
    </comment>
    <comment ref="AE46" authorId="1" shapeId="0" xr:uid="{00000000-0006-0000-2100-00000D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 ref="AE58" authorId="1" shapeId="0" xr:uid="{00000000-0006-0000-2100-00000E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S64" authorId="1" shapeId="0" xr:uid="{00000000-0006-0000-2100-00000F000000}">
      <text>
        <r>
          <rPr>
            <sz val="9"/>
            <color indexed="81"/>
            <rFont val="Segoe UI"/>
            <family val="2"/>
          </rPr>
          <t>PT: R$ 17 MM, referente a parte não homologada dos creditos sobre a exclusão do ICMA da base de calculo do Pis e Cofins da Controladora</t>
        </r>
        <r>
          <rPr>
            <sz val="9"/>
            <color indexed="81"/>
            <rFont val="Segoe UI"/>
            <family val="2"/>
          </rPr>
          <t xml:space="preserve">
ENG: R$ 17 MM, referring to the unapproved part of the credits on the exclusion of ICMA from the Parent Company's Pis and Cofins calculation base</t>
        </r>
      </text>
    </comment>
    <comment ref="AT64" authorId="1" shapeId="0" xr:uid="{00000000-0006-0000-2100-000010000000}">
      <text>
        <r>
          <rPr>
            <sz val="9"/>
            <color indexed="81"/>
            <rFont val="Segoe UI"/>
            <family val="2"/>
          </rPr>
          <t xml:space="preserve">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
</t>
        </r>
      </text>
    </comment>
    <comment ref="AT70" authorId="1" shapeId="0" xr:uid="{00000000-0006-0000-2100-000011000000}">
      <text>
        <r>
          <rPr>
            <sz val="9"/>
            <color indexed="81"/>
            <rFont val="Segoe UI"/>
            <family val="2"/>
          </rPr>
          <t>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t>
        </r>
      </text>
    </comment>
    <comment ref="X83" authorId="0" shapeId="0" xr:uid="{00000000-0006-0000-2100-000012000000}">
      <text>
        <r>
          <rPr>
            <sz val="9"/>
            <color indexed="81"/>
            <rFont val="Segoe UI"/>
            <family val="2"/>
          </rPr>
          <t>PT - 8.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t>
        </r>
      </text>
    </comment>
    <comment ref="AQ83" authorId="1" shapeId="0" xr:uid="{00000000-0006-0000-2100-000013000000}">
      <text>
        <r>
          <rPr>
            <sz val="9"/>
            <color indexed="81"/>
            <rFont val="Segoe UI"/>
            <family val="2"/>
          </rPr>
          <t>PT- Contingência cívil da ex controlada Direct Express de - R$ 6,6 milhões
Eng - Civil contingency of the former subsidiary Direct Express - R$ 6.6 million;</t>
        </r>
      </text>
    </comment>
    <comment ref="AE90" authorId="1" shapeId="0" xr:uid="{00000000-0006-0000-2100-000014000000}">
      <text>
        <r>
          <rPr>
            <sz val="9"/>
            <color indexed="81"/>
            <rFont val="Segoe UI"/>
            <family val="2"/>
          </rPr>
          <t xml:space="preserve">Pt - Ativo indenizatório recebido no valor de $ 4.857 e </t>
        </r>
        <r>
          <rPr>
            <b/>
            <sz val="9"/>
            <color indexed="81"/>
            <rFont val="Segoe UI"/>
            <family val="2"/>
          </rPr>
          <t>demanda judicial quitada $ 5.074</t>
        </r>
        <r>
          <rPr>
            <sz val="9"/>
            <color indexed="81"/>
            <rFont val="Segoe UI"/>
            <family val="2"/>
          </rPr>
          <t xml:space="preserve">, o montante de $ 217 foi registrado no resultado em Setembro.2019.
Eng - Indemnity asset received in the amount of $ 4,857 and </t>
        </r>
        <r>
          <rPr>
            <b/>
            <sz val="9"/>
            <color indexed="81"/>
            <rFont val="Segoe UI"/>
            <family val="2"/>
          </rPr>
          <t>settled court demand $ 5,074;</t>
        </r>
        <r>
          <rPr>
            <sz val="9"/>
            <color indexed="81"/>
            <rFont val="Segoe UI"/>
            <family val="2"/>
          </rPr>
          <t xml:space="preserve"> the amount of $ 217 was recorded in income in September.2019.</t>
        </r>
        <r>
          <rPr>
            <b/>
            <sz val="9"/>
            <color indexed="81"/>
            <rFont val="Segoe UI"/>
            <family val="2"/>
          </rPr>
          <t xml:space="preserve">
</t>
        </r>
        <r>
          <rPr>
            <sz val="9"/>
            <color indexed="81"/>
            <rFont val="Segoe UI"/>
            <family val="2"/>
          </rPr>
          <t xml:space="preserve">
</t>
        </r>
      </text>
    </comment>
    <comment ref="V95" authorId="0" shapeId="0" xr:uid="{00000000-0006-0000-2100-000015000000}">
      <text>
        <r>
          <rPr>
            <sz val="9"/>
            <color indexed="81"/>
            <rFont val="Segoe UI"/>
            <family val="2"/>
          </rPr>
          <t>PT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R$ 15 milhões, impactando a linha de outras receitas (despesas) líquidas, assim como o correspondente impacto no imposto de renda diferido
EN - The sale agreement of the former subsidiary Direct Express, signed between Tegma and 8M Participações, provided that Tegma would be liable to indemnify 8M Participações for any lawsuits corresponding to events prior to the date of purchase that exceeded R$ 40 million. Considering that the analysis of potential future demands, based on the best estimates, shows that the amount has exceeded it, Tegma decided to make an extraordinary provision for possible future liabilities relating to Direct in the amount of R$ 15 million, which impacted other expenses and revenues of the automotive division, as well as the corresponding impact on deferred income tax.</t>
        </r>
      </text>
    </comment>
    <comment ref="AQ95" authorId="1" shapeId="0" xr:uid="{00000000-0006-0000-2100-000016000000}">
      <text>
        <r>
          <rPr>
            <sz val="9"/>
            <color indexed="81"/>
            <rFont val="Segoe UI"/>
            <family val="2"/>
          </rPr>
          <t xml:space="preserve">PT- Contingência cívil da ex controlada Direct Express de - R$ 6,6 milhões
Eng - Civil contingency of the former subsidiary Direct Express - R$ 6.6 million;
</t>
        </r>
      </text>
    </comment>
    <comment ref="BF95" authorId="1" shapeId="0" xr:uid="{F2EAAACE-6DAD-477C-8E85-F21998393B76}">
      <text>
        <r>
          <rPr>
            <b/>
            <sz val="9"/>
            <color indexed="81"/>
            <rFont val="Segoe UI"/>
            <family val="2"/>
          </rPr>
          <t>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t>
        </r>
      </text>
    </comment>
    <comment ref="AE112" authorId="1" shapeId="0" xr:uid="{00000000-0006-0000-2100-000017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s>
  <commentList>
    <comment ref="P11" authorId="0" shapeId="0" xr:uid="{00000000-0006-0000-2200-000001000000}">
      <text>
        <r>
          <rPr>
            <sz val="9"/>
            <color indexed="81"/>
            <rFont val="Segoe UI"/>
            <family val="2"/>
          </rPr>
          <t>PT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EN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t>
        </r>
      </text>
    </comment>
    <comment ref="AE13" authorId="1" shapeId="0" xr:uid="{00000000-0006-0000-2200-000002000000}">
      <text>
        <r>
          <rPr>
            <sz val="9"/>
            <color indexed="81"/>
            <rFont val="Segoe UI"/>
            <family val="2"/>
          </rPr>
          <t>Pt - Crédito tributário extraordinário referente a imposto pago a maior R$12,9 milhões
Eng- Extraordinary tax credit regarding overpaid tax collection amounting R$ 12.9 million</t>
        </r>
      </text>
    </comment>
    <comment ref="P15" authorId="0" shapeId="0" xr:uid="{00000000-0006-0000-2200-000003000000}">
      <text>
        <r>
          <rPr>
            <sz val="9"/>
            <color indexed="81"/>
            <rFont val="Segoe UI"/>
            <family val="2"/>
          </rPr>
          <t xml:space="preserve">PT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EN - After reviewing the company’s deferred income tax, an unrecorded balance was indentified for the amount of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AZ17" authorId="0" shapeId="0" xr:uid="{00000000-0006-0000-2400-000001000000}">
      <text>
        <r>
          <rPr>
            <b/>
            <sz val="9"/>
            <color indexed="81"/>
            <rFont val="Segoe UI"/>
            <family val="2"/>
          </rPr>
          <t>Pt: (i) Inclui o montante de R$ 22.840 referente a parcela a ser paga de um terreno na cidade de Camaçari – BA, que foi negociado pelo valor total de R$ 40.000 em 2025, por meio da controlada Niyati Empreendimentos e Participações Ltda
Eng: (i) Includes the amount of BRL 22.840 related to an installment payable for land in the city of Camaçari – BA, through subsidiary Niyati Empreendimentos e Participações Ltda</t>
        </r>
      </text>
    </comment>
    <comment ref="BA17" authorId="0" shapeId="0" xr:uid="{3AECF96D-EDA8-4C39-A907-153DC23C9D89}">
      <text>
        <r>
          <rPr>
            <b/>
            <sz val="9"/>
            <color indexed="81"/>
            <rFont val="Segoe UI"/>
            <family val="2"/>
          </rPr>
          <t>Pt: (i) Inclui o montante de R$ 22.840 referente a parcela a ser paga de um terreno na cidade de Camaçari – BA, que foi negociado pelo valor total de R$ 40.000 em 2025, por meio da controlada Niyati Empreendimentos e Participações Ltda
Eng: (i) Includes the amount of BRL 22.840 related to an installment payable for land in the city of Camaçari – BA, through subsidiary Niyati Empreendimentos e Participações Ltda</t>
        </r>
      </text>
    </comment>
    <comment ref="BB17" authorId="0" shapeId="0" xr:uid="{00000000-0006-0000-2400-000002000000}">
      <text>
        <r>
          <rPr>
            <b/>
            <sz val="9"/>
            <color indexed="81"/>
            <rFont val="Segoe UI"/>
            <family val="2"/>
          </rPr>
          <t>Pt: (i) Inclui o montante de R$ 22.840 referente a parcela a ser paga de um terreno na cidade de Camaçari – BA, que foi negociado pelo valor total de R$ 40.000 em 2025, por meio da controlada Niyati Empreendimentos e Participações Ltda
Eng: (i) Includes the amount of BRL 22.840 related to an installment payable for land in the city of Camaçari – BA, through subsidiary Niyati Empreendimentos e Participações Ltda</t>
        </r>
        <r>
          <rPr>
            <sz val="9"/>
            <color indexed="81"/>
            <rFont val="Segoe UI"/>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Ian Nunes</author>
    <author>Rodolpho Magdaloni Agria</author>
    <author>Felipe Augusto Fogaça da Silva</author>
    <author>Ian Nunes Costa e Costa</author>
    <author>Felipe Silva</author>
  </authors>
  <commentList>
    <comment ref="P8" authorId="0" shapeId="0" xr:uid="{00000000-0006-0000-2500-000001000000}">
      <text>
        <r>
          <rPr>
            <sz val="9"/>
            <color indexed="81"/>
            <rFont val="Segoe UI"/>
            <family val="2"/>
          </rPr>
          <t>PT - Decisão de não prosseguir com a aquisição de um imóvel localizado em Resende-RJ destinado originalmente para de operação de logística de veículos, resultou em uma baixa com impacto negativo de R$ 1,031 milhão
EN - Decision not to proceed with the acquisition of a property located in Resende-RJ originally intended for vehicle logistics operation, resulted in a downturn with a negative impact of R $ 1,031 million</t>
        </r>
      </text>
    </comment>
    <comment ref="R9" authorId="1" shapeId="0" xr:uid="{00000000-0006-0000-2500-000002000000}">
      <text>
        <r>
          <rPr>
            <sz val="9"/>
            <color indexed="81"/>
            <rFont val="Segoe UI"/>
            <family val="2"/>
          </rPr>
          <t>PT - Contingência cívil da ex controlada Direct Express de R$ 15 milhões
EN - Civil contingency of the former subsidiary Direct Express of R $ 15 million</t>
        </r>
      </text>
    </comment>
    <comment ref="T9" authorId="1" shapeId="0" xr:uid="{00000000-0006-0000-2500-000003000000}">
      <text>
        <r>
          <rPr>
            <sz val="9"/>
            <color indexed="81"/>
            <rFont val="Segoe UI"/>
            <family val="2"/>
          </rPr>
          <t>PT - 8.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t>
        </r>
      </text>
    </comment>
    <comment ref="AM9" authorId="2" shapeId="0" xr:uid="{00000000-0006-0000-2500-000004000000}">
      <text>
        <r>
          <rPr>
            <sz val="9"/>
            <color indexed="81"/>
            <rFont val="Segoe UI"/>
            <family val="2"/>
          </rPr>
          <t xml:space="preserve">PT- Contingência cívil da ex controlada Direct Express de - R$ 6,6 milhões
Eng - Civil contingency of the former subsidiary Direct Express - R$ 6.6 million;
</t>
        </r>
      </text>
    </comment>
    <comment ref="BB9" authorId="3" shapeId="0" xr:uid="{E7E96BFB-37C3-47B2-A179-46B6E6287823}">
      <text>
        <r>
          <rPr>
            <b/>
            <sz val="9"/>
            <color indexed="81"/>
            <rFont val="Segoe UI"/>
            <family val="2"/>
          </rPr>
          <t>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t>
        </r>
      </text>
    </comment>
    <comment ref="AA10" authorId="3" shapeId="0" xr:uid="{00000000-0006-0000-2500-000005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R$ 56,5 milhões em outras receitas e despesas.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R$ 56.5 million in other revenues and expenses.</t>
        </r>
      </text>
    </comment>
    <comment ref="AH10" authorId="4" shapeId="0" xr:uid="{00000000-0006-0000-2500-000006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N10" authorId="3" shapeId="0" xr:uid="{00000000-0006-0000-2500-000007000000}">
      <text>
        <r>
          <rPr>
            <sz val="9"/>
            <color indexed="81"/>
            <rFont val="Segoe UI"/>
            <family val="2"/>
          </rPr>
          <t>PT- Créditos de PIS/ COFINS da controlada Catlog  - R$ 9,2 milhões
Eng - PIS/ COFINS tax credits from the subsidiary Catlog - R$ 9.2 million;</t>
        </r>
      </text>
    </comment>
    <comment ref="AJ12" authorId="3" shapeId="0" xr:uid="{00000000-0006-0000-2500-000008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G13" authorId="4" shapeId="0" xr:uid="{00000000-0006-0000-2500-000009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N13" authorId="3" shapeId="0" xr:uid="{00000000-0006-0000-2500-00000A000000}">
      <text>
        <r>
          <rPr>
            <sz val="9"/>
            <color indexed="81"/>
            <rFont val="Segoe UI"/>
            <family val="2"/>
          </rPr>
          <t>PT- Provisão para antiga controlada referente ao Créditos de PIS/ COFINS da controlada Catlog  - R$ 2,9 milhões
Eng - Former Controlling Company provision reffering to PIS/ COFINS tax credits from the subsidiary Catlog - R$ 2.9 million;</t>
        </r>
      </text>
    </comment>
    <comment ref="BA13" authorId="3" shapeId="0" xr:uid="{DA627064-3A62-4C2F-8A4B-9B7866337192}">
      <text>
        <r>
          <rPr>
            <b/>
            <sz val="9"/>
            <color indexed="81"/>
            <rFont val="Segoe UI"/>
            <family val="2"/>
          </rPr>
          <t xml:space="preserve">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
</t>
        </r>
        <r>
          <rPr>
            <sz val="9"/>
            <color indexed="81"/>
            <rFont val="Segoe UI"/>
            <family val="2"/>
          </rPr>
          <t xml:space="preserve">
</t>
        </r>
      </text>
    </comment>
    <comment ref="R18" authorId="1" shapeId="0" xr:uid="{00000000-0006-0000-2500-00000C000000}">
      <text>
        <r>
          <rPr>
            <sz val="9"/>
            <color indexed="81"/>
            <rFont val="Segoe UI"/>
            <family val="2"/>
          </rPr>
          <t>PT - Baixa do ágio da Controlada Catlog
EN - controlled Catlog Goodwill impairment</t>
        </r>
      </text>
    </comment>
    <comment ref="R25" authorId="1" shapeId="0" xr:uid="{00000000-0006-0000-2500-00000D000000}">
      <text>
        <r>
          <rPr>
            <sz val="9"/>
            <color indexed="81"/>
            <rFont val="Segoe UI"/>
            <family val="2"/>
          </rPr>
          <t>PT - Contingência cívil da ex controlada Direct Express de R$ 15 milhões
EN - Civil contingency of the former subsidiary Direct Express of R $ 15 million</t>
        </r>
      </text>
    </comment>
    <comment ref="AM25" authorId="2" shapeId="0" xr:uid="{00000000-0006-0000-2500-00000E000000}">
      <text>
        <r>
          <rPr>
            <sz val="9"/>
            <color indexed="81"/>
            <rFont val="Segoe UI"/>
            <family val="2"/>
          </rPr>
          <t>PT- Contingência cívil da ex controlada Direct Express de - R$ 6,6 milhões
Eng - Civil contingency of the former subsidiary Direct Express - R$ 6.6 million;</t>
        </r>
      </text>
    </comment>
    <comment ref="BB25" authorId="3" shapeId="0" xr:uid="{6BB8C556-E0E5-4689-A8E7-D32D2C412EB5}">
      <text>
        <r>
          <rPr>
            <b/>
            <sz val="9"/>
            <color indexed="81"/>
            <rFont val="Segoe UI"/>
            <family val="2"/>
          </rPr>
          <t>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t>
        </r>
        <r>
          <rPr>
            <sz val="9"/>
            <color indexed="81"/>
            <rFont val="Segoe UI"/>
            <family val="2"/>
          </rPr>
          <t xml:space="preserve">
</t>
        </r>
      </text>
    </comment>
    <comment ref="AA26" authorId="3" shapeId="0" xr:uid="{00000000-0006-0000-2500-00000F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R$ 56,5 milhões em outras receitas e despesas.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R$ 56.5 million in other revenues and expenses.</t>
        </r>
      </text>
    </comment>
    <comment ref="AG29" authorId="3" shapeId="0" xr:uid="{00000000-0006-0000-2500-000010000000}">
      <text>
        <r>
          <rPr>
            <sz val="9"/>
            <color indexed="81"/>
            <rFont val="Segoe UI"/>
            <family val="2"/>
          </rPr>
          <t xml:space="preserve">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
</t>
        </r>
      </text>
    </comment>
    <comment ref="R34" authorId="1" shapeId="0" xr:uid="{00000000-0006-0000-2500-000011000000}">
      <text>
        <r>
          <rPr>
            <sz val="9"/>
            <color indexed="81"/>
            <rFont val="Segoe UI"/>
            <family val="2"/>
          </rPr>
          <t>PT - Baixa do ágio da Controlada Catlog
EN - controlled Catlog Goodwill impairment</t>
        </r>
      </text>
    </comment>
    <comment ref="AH42" authorId="3" shapeId="0" xr:uid="{00000000-0006-0000-2500-000012000000}">
      <text>
        <r>
          <rPr>
            <sz val="9"/>
            <color indexed="81"/>
            <rFont val="Segoe UI"/>
            <family val="2"/>
          </rPr>
          <t xml:space="preserve">Pt - Crédito de PIS e COFINS proveniente da Exclusão de ICMS na Base de Cálculo: R$5,7 milhões
Eng: PIS and COFINS credit arising from the Exclusion of ICMS in the calculation Base: R$5,7 million
</t>
        </r>
      </text>
    </comment>
    <comment ref="AN42" authorId="3" shapeId="0" xr:uid="{00000000-0006-0000-2500-000013000000}">
      <text>
        <r>
          <rPr>
            <sz val="9"/>
            <color indexed="81"/>
            <rFont val="Segoe UI"/>
            <family val="2"/>
          </rPr>
          <t>PT- Créditos de PIS/ COFINS da controlada Catlog  - R$ 9,2 milhões
Eng - PIS/ COFINS tax credits from the subsidiary Catlog - R$ 9.2 million;</t>
        </r>
      </text>
    </comment>
    <comment ref="AJ44" authorId="3" shapeId="0" xr:uid="{00000000-0006-0000-2500-000014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N45" authorId="3" shapeId="0" xr:uid="{00000000-0006-0000-2500-000015000000}">
      <text>
        <r>
          <rPr>
            <sz val="9"/>
            <color indexed="81"/>
            <rFont val="Segoe UI"/>
            <family val="2"/>
          </rPr>
          <t xml:space="preserve">PT- Provisão para antiga controlada referente ao Créditos de PIS/ COFINS da controlada Catlog  - R$ 2,9 milhões
Eng - Former Controlling Company provision reffering to PIS/ COFINS tax credits from the subsidiary Catlog - R$ 2.9 million;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s>
  <commentList>
    <comment ref="AP7" authorId="0" shapeId="0" xr:uid="{00000000-0006-0000-2600-000001000000}">
      <text>
        <r>
          <rPr>
            <sz val="9"/>
            <color indexed="81"/>
            <rFont val="Segoe UI"/>
            <family val="2"/>
          </rPr>
          <t xml:space="preserve">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
</t>
        </r>
      </text>
    </comment>
    <comment ref="AR7" authorId="0" shapeId="0" xr:uid="{00000000-0006-0000-2600-000002000000}">
      <text>
        <r>
          <rPr>
            <sz val="9"/>
            <color indexed="81"/>
            <rFont val="Segoe UI"/>
            <family val="2"/>
          </rPr>
          <t>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t>
        </r>
      </text>
    </comment>
    <comment ref="R9" authorId="1" shapeId="0" xr:uid="{00000000-0006-0000-2600-000003000000}">
      <text>
        <r>
          <rPr>
            <sz val="9"/>
            <color indexed="81"/>
            <rFont val="Segoe UI"/>
            <family val="2"/>
          </rPr>
          <t>Crédito de R$ 9,8 milhões por ganho de causa contra o recolhimento do Fundaf
EN - Credit of R $ 9.8 million due to gain of cause against the payment of Fundaf</t>
        </r>
      </text>
    </comment>
    <comment ref="AP14" authorId="0" shapeId="0" xr:uid="{00000000-0006-0000-2600-000004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R23" authorId="1" shapeId="0" xr:uid="{00000000-0006-0000-2600-000005000000}">
      <text>
        <r>
          <rPr>
            <sz val="9"/>
            <color indexed="81"/>
            <rFont val="Segoe UI"/>
            <family val="2"/>
          </rPr>
          <t>Crédito de R$ 9,8 milhões por ganho de causa contra o recolhimento do Fundaf
EN - Credit of R $ 9.8 million due to gain of cause against the payment of Fundaf</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AA8" authorId="0" shapeId="0" xr:uid="{00000000-0006-0000-2700-000001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t>
        </r>
        <r>
          <rPr>
            <b/>
            <sz val="9"/>
            <color indexed="81"/>
            <rFont val="Segoe UI"/>
            <family val="2"/>
          </rPr>
          <t>além de um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t>
        </r>
        <r>
          <rPr>
            <b/>
            <sz val="9"/>
            <color indexed="81"/>
            <rFont val="Segoe UI"/>
            <family val="2"/>
          </rPr>
          <t>in addition to a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AA11" authorId="0" shapeId="0" xr:uid="{00000000-0006-0000-2700-000002000000}">
      <text>
        <r>
          <rPr>
            <sz val="9"/>
            <color indexed="81"/>
            <rFont val="Segoe UI"/>
            <family val="2"/>
          </rPr>
          <t xml:space="preserve">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
</t>
        </r>
      </text>
    </comment>
    <comment ref="AA22" authorId="0" shapeId="0" xr:uid="{00000000-0006-0000-2700-000003000000}">
      <text>
        <r>
          <rPr>
            <sz val="9"/>
            <color indexed="81"/>
            <rFont val="Segoe UI"/>
            <family val="2"/>
          </rPr>
          <t xml:space="preserve">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Ian Nunes Costa e Costa</author>
    <author>William Estrela Dantas dos Santos</author>
  </authors>
  <commentList>
    <comment ref="AN7" authorId="0" shapeId="0" xr:uid="{00000000-0006-0000-2800-000001000000}">
      <text>
        <r>
          <rPr>
            <sz val="9"/>
            <color indexed="81"/>
            <rFont val="Segoe UI"/>
            <family val="2"/>
          </rPr>
          <t xml:space="preserve">PT- Honorários devidos pelos Créditos de PIS/ COFINS da controlada Catlog  - R$ 0,9 milhões
Eng - PIS/ COFINS tax credits from the subsidiary Catlog (Lawyer fee) - R$ 0.9 million;
</t>
        </r>
      </text>
    </comment>
    <comment ref="AC8" authorId="1" shapeId="0" xr:uid="{00000000-0006-0000-2800-000002000000}">
      <text>
        <r>
          <rPr>
            <b/>
            <sz val="9"/>
            <color indexed="81"/>
            <rFont val="Segoe UI"/>
            <family val="2"/>
          </rPr>
          <t xml:space="preserve">PT- </t>
        </r>
        <r>
          <rPr>
            <sz val="9"/>
            <color indexed="81"/>
            <rFont val="Segoe UI"/>
            <family val="2"/>
          </rPr>
          <t>A remuneração da administração passa a integrar as "Despesas gerais e administrativas"</t>
        </r>
        <r>
          <rPr>
            <b/>
            <sz val="9"/>
            <color indexed="81"/>
            <rFont val="Segoe UI"/>
            <family val="2"/>
          </rPr>
          <t xml:space="preserve">
Eng - </t>
        </r>
        <r>
          <rPr>
            <sz val="9"/>
            <color indexed="81"/>
            <rFont val="Segoe UI"/>
            <family val="2"/>
          </rPr>
          <t>Key management personnel compensation is now included in "General and administrative expenses"</t>
        </r>
      </text>
    </comment>
    <comment ref="AN15" authorId="0" shapeId="0" xr:uid="{00000000-0006-0000-2800-000003000000}">
      <text>
        <r>
          <rPr>
            <sz val="9"/>
            <color indexed="81"/>
            <rFont val="Segoe UI"/>
            <family val="2"/>
          </rPr>
          <t xml:space="preserve">PT- Honorários devidos pelos Créditos de PIS/ COFINS da controlada Catlog  - R$ 0,9 milhões
Eng - PIS/ COFINS tax credits from the subsidiary Catlog (Lawyer fee) - R$ 0.9 million;
</t>
        </r>
      </text>
    </comment>
    <comment ref="AC16" authorId="1" shapeId="0" xr:uid="{00000000-0006-0000-2800-000004000000}">
      <text>
        <r>
          <rPr>
            <b/>
            <sz val="9"/>
            <color indexed="81"/>
            <rFont val="Segoe UI"/>
            <family val="2"/>
          </rPr>
          <t xml:space="preserve">PT- </t>
        </r>
        <r>
          <rPr>
            <sz val="9"/>
            <color indexed="81"/>
            <rFont val="Segoe UI"/>
            <family val="2"/>
          </rPr>
          <t>A remuneração da administração passa a integrar as "Despesas gerais e administrativas"</t>
        </r>
        <r>
          <rPr>
            <b/>
            <sz val="9"/>
            <color indexed="81"/>
            <rFont val="Segoe UI"/>
            <family val="2"/>
          </rPr>
          <t xml:space="preserve">
Eng</t>
        </r>
        <r>
          <rPr>
            <sz val="9"/>
            <color indexed="81"/>
            <rFont val="Segoe UI"/>
            <family val="2"/>
          </rPr>
          <t xml:space="preserve"> - Key management personnel compensation is now included in "General and administrative expenses"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Felipe Silva</author>
    <author>Felipe Augusto Fogaça da Silva</author>
  </authors>
  <commentList>
    <comment ref="R7" authorId="0" shapeId="0" xr:uid="{00000000-0006-0000-2900-000001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adjustment of LALUR Rectification of 2014 (positive R $ 3.8 million) and monetary adjustment of FUNDAF Rectification (positive R $ 3.9 million)</t>
        </r>
      </text>
    </comment>
    <comment ref="T7" authorId="0" shapeId="0" xr:uid="{00000000-0006-0000-2900-000002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EN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
</t>
        </r>
      </text>
    </comment>
    <comment ref="AA7" authorId="1" shapeId="0" xr:uid="{00000000-0006-0000-2900-000003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t>
        </r>
        <r>
          <rPr>
            <b/>
            <sz val="9"/>
            <color indexed="81"/>
            <rFont val="Segoe UI"/>
            <family val="2"/>
          </rPr>
          <t>R$ 34,9 milhões em receitas financeiras referente à correção monetária)</t>
        </r>
        <r>
          <rPr>
            <sz val="9"/>
            <color indexed="81"/>
            <rFont val="Segoe UI"/>
            <family val="2"/>
          </rPr>
          <t xml:space="preserve">,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R$ 1.6 million of PIS/COFINS tax on financial income and provision of R$ 28.4 million of income tax on book entry.
</t>
        </r>
      </text>
    </comment>
    <comment ref="AH7" authorId="2" shapeId="0" xr:uid="{00000000-0006-0000-2900-000004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text>
    </comment>
    <comment ref="AN7" authorId="1" shapeId="0" xr:uid="{00000000-0006-0000-2900-000005000000}">
      <text>
        <r>
          <rPr>
            <sz val="9"/>
            <color indexed="81"/>
            <rFont val="Segoe UI"/>
            <family val="2"/>
          </rPr>
          <t>PT- Correção mpnetária dos Créditos de PIS/ COFINS da controlada Catlog  - R$ 6,1 milhões
Eng - PIS/ COFINS tax credits from the subsidiary Catlog monetary Correction - R$ 6.1 million;</t>
        </r>
      </text>
    </comment>
    <comment ref="AP7" authorId="3" shapeId="0" xr:uid="{00000000-0006-0000-2900-000006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text>
    </comment>
    <comment ref="AQ7" authorId="3" shapeId="0" xr:uid="{00000000-0006-0000-2900-000007000000}">
      <text>
        <r>
          <rPr>
            <sz val="9"/>
            <color indexed="81"/>
            <rFont val="Segoe UI"/>
            <family val="2"/>
          </rPr>
          <t>Pt - Correção monetária do Crédito de PIS e COFINS priveniente da Exclusão de ICMS na Base de Cálculo: R$ 0,4 milhões
Eng - Pt - Monetary adjustment of the PIS and COFINS Credit arising from the Exclusion of ICMS in the Calculation Base: R$ 0.4 million</t>
        </r>
        <r>
          <rPr>
            <sz val="9"/>
            <color indexed="81"/>
            <rFont val="Segoe UI"/>
            <family val="2"/>
          </rPr>
          <t xml:space="preserve">
</t>
        </r>
      </text>
    </comment>
    <comment ref="AT7" authorId="1" shapeId="0" xr:uid="{00000000-0006-0000-2900-000008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T12" authorId="0" shapeId="0" xr:uid="{00000000-0006-0000-2900-000009000000}">
      <text>
        <r>
          <rPr>
            <sz val="9"/>
            <color indexed="81"/>
            <rFont val="Segoe UI"/>
            <family val="2"/>
          </rPr>
          <t xml:space="preserve">PT - 9.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t>
        </r>
      </text>
    </comment>
    <comment ref="W18" authorId="1" shapeId="0" xr:uid="{00000000-0006-0000-2900-00000A000000}">
      <text>
        <r>
          <rPr>
            <sz val="9"/>
            <color indexed="81"/>
            <rFont val="Segoe UI"/>
            <family val="2"/>
          </rPr>
          <t xml:space="preserve">PT - Juros e multa denúncia espontânea TCE R$ 2,030 M
Eng - Fine and interest upon spontaneous denouncement TCE R$ 2.030 M
</t>
        </r>
      </text>
    </comment>
    <comment ref="AA20" authorId="1" shapeId="0" xr:uid="{00000000-0006-0000-2900-00000B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t>
        </r>
        <r>
          <rPr>
            <b/>
            <sz val="9"/>
            <color indexed="81"/>
            <rFont val="Segoe UI"/>
            <family val="2"/>
          </rPr>
          <t xml:space="preserve">R$ 1,6 milhão de PIS/COFINS sobre a receita financeira </t>
        </r>
        <r>
          <rPr>
            <sz val="9"/>
            <color indexed="81"/>
            <rFont val="Segoe UI"/>
            <family val="2"/>
          </rPr>
          <t xml:space="preserve">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t>
        </r>
        <r>
          <rPr>
            <b/>
            <sz val="9"/>
            <color indexed="81"/>
            <rFont val="Segoe UI"/>
            <family val="2"/>
          </rPr>
          <t>R$ 1.6 million of PIS/COFINS tax on financial income</t>
        </r>
        <r>
          <rPr>
            <sz val="9"/>
            <color indexed="81"/>
            <rFont val="Segoe UI"/>
            <family val="2"/>
          </rPr>
          <t xml:space="preserve"> and provision of R$ 28.4 million of income tax on book entry.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Ian Nunes</author>
    <author>William Estrela Dantas dos Santos</author>
    <author>Felipe Silva</author>
    <author>Felipe Augusto Fogaça da Silva</author>
  </authors>
  <commentList>
    <comment ref="AE9" authorId="0" shapeId="0" xr:uid="{00000000-0006-0000-0400-000001000000}">
      <text>
        <r>
          <rPr>
            <sz val="9"/>
            <color indexed="81"/>
            <rFont val="Segoe UI"/>
            <family val="2"/>
          </rPr>
          <t>PT - Crédito de R$ 9,8 milhões por ganho de causa contra o recolhimento do Fundaf
EN - R$ 9.8 million credit from Fundaf dispute gain</t>
        </r>
      </text>
    </comment>
    <comment ref="AJ9" authorId="1" shapeId="0" xr:uid="{00000000-0006-0000-0400-000002000000}">
      <text>
        <r>
          <rPr>
            <sz val="9"/>
            <color indexed="81"/>
            <rFont val="Segoe UI"/>
            <family val="2"/>
          </rPr>
          <t>PT - Denúncia espontânea imposto ICMS R$ 5,252 M
Eng - Spontaneous denouncement on fiscal payment R$ 5.252 M</t>
        </r>
      </text>
    </comment>
    <comment ref="AK9" authorId="1" shapeId="0" xr:uid="{00000000-0006-0000-04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R$ 10.3 M [R$ 4.5 M - 2017 | R$ 6.1 M - 2018]
</t>
        </r>
      </text>
    </comment>
    <comment ref="BC9" authorId="1" shapeId="0" xr:uid="{00000000-0006-0000-0400-000004000000}">
      <text>
        <r>
          <rPr>
            <sz val="9"/>
            <color indexed="81"/>
            <rFont val="Segoe UI"/>
            <family val="2"/>
          </rPr>
          <t xml:space="preserve">Desconto a clientes foram concedidos relacionado a descasamento do repasse da queda do preço do Diesel de períodos anteriores (R$ 1,8 milhão)
</t>
        </r>
      </text>
    </comment>
    <comment ref="BE9" authorId="1" shapeId="0" xr:uid="{00000000-0006-0000-0400-000005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AC11" authorId="2" shapeId="0" xr:uid="{00000000-0006-0000-0400-000006000000}">
      <text>
        <r>
          <rPr>
            <sz val="9"/>
            <color indexed="81"/>
            <rFont val="Segoe UI"/>
            <family val="2"/>
          </rPr>
          <t>PT - Crédito de R$ 2.638 milhões relacionado ao recolhimento de INSS sobre verbas indenizatórias.
EN - Credit of R $ 2,638 million related to the collection of INSS on indemnification funds.</t>
        </r>
      </text>
    </comment>
    <comment ref="AG11" authorId="2" shapeId="0" xr:uid="{00000000-0006-0000-0400-000007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t>
        </r>
      </text>
    </comment>
    <comment ref="AC12" authorId="0" shapeId="0" xr:uid="{00000000-0006-0000-0400-000008000000}">
      <text>
        <r>
          <rPr>
            <sz val="9"/>
            <color indexed="81"/>
            <rFont val="Segoe UI"/>
            <family val="2"/>
          </rPr>
          <t>PT - Crédito de R$ 2.638 milhões relacionado ao recolhimento de INSS sobre verbas indenizatórias.
EN - Credit of R $ 2,638 million related to the collection of INSS on indemnification funds.</t>
        </r>
      </text>
    </comment>
    <comment ref="W14" authorId="2" shapeId="0" xr:uid="{00000000-0006-0000-0400-000009000000}">
      <text>
        <r>
          <rPr>
            <sz val="9"/>
            <color indexed="81"/>
            <rFont val="Segoe UI"/>
            <family val="2"/>
          </rPr>
          <t>Custos de reestruturação da operação de armazenagem, no valor de R$ 3.704 mil
EN - Restructuring costs of the warehousing operation, in the amount of R$ 3,704 thousand</t>
        </r>
      </text>
    </comment>
    <comment ref="Y14" authorId="2" shapeId="0" xr:uid="{00000000-0006-0000-0400-00000A000000}">
      <text>
        <r>
          <rPr>
            <sz val="9"/>
            <color indexed="81"/>
            <rFont val="Segoe UI"/>
            <family val="2"/>
          </rPr>
          <t>PT - Custos de reestruturação da operação de armazenagem, no valor de R$ 6.697 mil
EN - Restructuring costs of the warehousing operation, in the amount of R$ 6,697 thousand</t>
        </r>
      </text>
    </comment>
    <comment ref="AN14" authorId="1" shapeId="0" xr:uid="{00000000-0006-0000-0400-00000B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t>
        </r>
      </text>
    </comment>
    <comment ref="AS14" authorId="1" shapeId="0" xr:uid="{00000000-0006-0000-0400-00000C000000}">
      <text>
        <r>
          <rPr>
            <sz val="9"/>
            <color indexed="81"/>
            <rFont val="Segoe UI"/>
            <family val="2"/>
          </rPr>
          <t>PT: Custos relacionados à desmobilização de um armazém em Barueri-SP no montante de R$ 2,9 M
Eng: Costs related to demobilization of a warehouse in Barueri-SP amounting R$ 2.9 M</t>
        </r>
      </text>
    </comment>
    <comment ref="AG15" authorId="2" shapeId="0" xr:uid="{00000000-0006-0000-0400-00000D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t>
        </r>
      </text>
    </comment>
    <comment ref="AN15" authorId="1" shapeId="0" xr:uid="{00000000-0006-0000-0400-00000E000000}">
      <text>
        <r>
          <rPr>
            <sz val="9"/>
            <color indexed="81"/>
            <rFont val="Segoe UI"/>
            <family val="2"/>
          </rPr>
          <t>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t>
        </r>
      </text>
    </comment>
    <comment ref="AC17" authorId="2" shapeId="0" xr:uid="{00000000-0006-0000-0400-00000F000000}">
      <text>
        <r>
          <rPr>
            <sz val="9"/>
            <color indexed="81"/>
            <rFont val="Segoe UI"/>
            <family val="2"/>
          </rPr>
          <t>PT - Crédito de R$ 532 mil relacionado ao recolhimento de INSS sobre verbas indenizatórias 
- Perda de R$ 1,5 milhão no 4T16 referente à decisão de não prosseguir com aquisição de um imóvel para pátio de operação de logística de veículos em São José dos Campos-SP.
EN - Credit of R $ 532 thousand related to the collection of INSS on indemnification amounts
- Loss of R $ 1.5 million in 4Q16 referring to the decision not to proceed with the acquisition of a property for a vehicle logistics operation yard in São José dos Campos-SP.</t>
        </r>
      </text>
    </comment>
    <comment ref="AK17" authorId="1" shapeId="0" xr:uid="{00000000-0006-0000-0400-000010000000}">
      <text>
        <r>
          <rPr>
            <sz val="9"/>
            <color indexed="81"/>
            <rFont val="Segoe UI"/>
            <family val="2"/>
          </rPr>
          <t>PT- Custos de sucumbência de processo judicial de operação descontinuada: R$2,0M
Eng - Defeat legal fee for discontinued operation: R$ 2.0M</t>
        </r>
      </text>
    </comment>
    <comment ref="AP17" authorId="3" shapeId="0" xr:uid="{00000000-0006-0000-0400-000011000000}">
      <text>
        <r>
          <rPr>
            <b/>
            <sz val="9"/>
            <color indexed="81"/>
            <rFont val="Segoe UI"/>
            <family val="2"/>
          </rPr>
          <t xml:space="preserve">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BA17" authorId="1" shapeId="0" xr:uid="{00000000-0006-0000-0400-000012000000}">
      <text>
        <r>
          <rPr>
            <sz val="9"/>
            <color indexed="81"/>
            <rFont val="Segoe UI"/>
            <family val="2"/>
          </rPr>
          <t>PT- Honorários devidos pelos Créditos de PIS/ COFINS da controlada Catlog  - R$ 0,9 milhões
Eng - PIS/ COFINS tax credits from the subsidiary Catlog (Lawyer fee) - R$ 0.9 million;</t>
        </r>
        <r>
          <rPr>
            <sz val="9"/>
            <color indexed="81"/>
            <rFont val="Segoe UI"/>
            <family val="2"/>
          </rPr>
          <t xml:space="preserve">
</t>
        </r>
      </text>
    </comment>
    <comment ref="Y18" authorId="2" shapeId="0" xr:uid="{00000000-0006-0000-0400-000013000000}">
      <text>
        <r>
          <rPr>
            <sz val="9"/>
            <color indexed="81"/>
            <rFont val="Segoe UI"/>
            <family val="2"/>
          </rPr>
          <t>PT - A companhia realizou um reforço de provisão para contingências trabalhistas que impactou o resultado no montante de R$ 12.744.
Adicionalmente, foram detectadas inconsistências em saldos de depósitos judiciais que apontava para baixa de R$ 5.617 no resultado.
EN - The company made a reinforcement of the provision for labor contingencies that impacted the result in the amount of R $ 12,744.
In addition, inconsistencies were detected in escrow balances that indicated a decrease of R $ 5,617 in the result.</t>
        </r>
      </text>
    </comment>
    <comment ref="Z18" authorId="2" shapeId="0" xr:uid="{00000000-0006-0000-0400-000014000000}">
      <text>
        <r>
          <rPr>
            <sz val="9"/>
            <color indexed="81"/>
            <rFont val="Segoe UI"/>
            <family val="2"/>
          </rPr>
          <t>PT - Impacto de positivo de R$ 1.270 referente à negociação da administração da folha de pagamentos da Tegma
EN - Positive impact of R$ 1,270 referring to the negotiation of the administration  payroll</t>
        </r>
      </text>
    </comment>
    <comment ref="AC18" authorId="2" shapeId="0" xr:uid="{00000000-0006-0000-0400-000015000000}">
      <text>
        <r>
          <rPr>
            <sz val="9"/>
            <color indexed="81"/>
            <rFont val="Segoe UI"/>
            <family val="2"/>
          </rPr>
          <t>PT - Decisão de não prosseguir com a aquisição de um imóvel localizado em Resende-RJ destinado originalmente para de operação de logística de veículos, resultou em uma baixa com impacto negativo de R$ 1,031 milhão
EN - Decision not to proceed with the acquisition of a property located in Resende-RJ originally intended for vehicle logistics operation, resulted in a downturn with a negative impact of R $ 1,031 million</t>
        </r>
      </text>
    </comment>
    <comment ref="AE18" authorId="0" shapeId="0" xr:uid="{00000000-0006-0000-0400-000016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AF18" authorId="1" shapeId="0" xr:uid="{00000000-0006-0000-0400-000017000000}">
      <text>
        <r>
          <rPr>
            <sz val="9"/>
            <color indexed="81"/>
            <rFont val="Segoe UI"/>
            <family val="2"/>
          </rPr>
          <t xml:space="preserve">PT - Baixa no valo de R$ 5,7 milhões referente a contas a receber da Direct
EN - Write off of Direct account receivable amounting R$ 5.7 million </t>
        </r>
      </text>
    </comment>
    <comment ref="AG18" authorId="2" shapeId="0" xr:uid="{00000000-0006-0000-0400-000018000000}">
      <text>
        <r>
          <rPr>
            <sz val="9"/>
            <color indexed="81"/>
            <rFont val="Segoe UI"/>
            <family val="2"/>
          </rPr>
          <t xml:space="preserve">PT -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AK18" authorId="1" shapeId="0" xr:uid="{00000000-0006-0000-0400-000019000000}">
      <text>
        <r>
          <rPr>
            <sz val="9"/>
            <color indexed="81"/>
            <rFont val="Segoe UI"/>
            <family val="2"/>
          </rPr>
          <t xml:space="preserve">PT- Contingência cívil da ex controlada Direct Express de - R$ 14,5 milhões
PT- Custos de sucumbência de processo judicial de operação descontinuada: R$0,9M
Eng - Civil contingency of the former subsidiary Direct Express - R$ 14.5 million;
Eng - Defeat legal fee for discontinued operation: R$ 0.9M
</t>
        </r>
      </text>
    </comment>
    <comment ref="AN18" authorId="1" shapeId="0" xr:uid="{00000000-0006-0000-0400-00001A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t>
        </r>
        <r>
          <rPr>
            <b/>
            <sz val="9"/>
            <color indexed="81"/>
            <rFont val="Segoe UI"/>
            <family val="2"/>
          </rPr>
          <t xml:space="preserve">R$ 56,5 milhões em outras receitas e despesas </t>
        </r>
        <r>
          <rPr>
            <sz val="9"/>
            <color indexed="81"/>
            <rFont val="Segoe UI"/>
            <family val="2"/>
          </rPr>
          <t>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r>
          <rPr>
            <b/>
            <sz val="9"/>
            <color indexed="81"/>
            <rFont val="Segoe UI"/>
            <family val="2"/>
          </rPr>
          <t>R$ 56.5 million in other revenues and expenses</t>
        </r>
        <r>
          <rPr>
            <sz val="9"/>
            <color indexed="81"/>
            <rFont val="Segoe UI"/>
            <family val="2"/>
          </rPr>
          <t xml:space="preserve">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AS18" authorId="1" shapeId="0" xr:uid="{00000000-0006-0000-0400-00001B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T18" authorId="1" shapeId="0" xr:uid="{00000000-0006-0000-0400-00001C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U18" authorId="4" shapeId="0" xr:uid="{00000000-0006-0000-0400-00001D000000}">
      <text>
        <r>
          <rPr>
            <sz val="9"/>
            <color indexed="81"/>
            <rFont val="Segoe UI"/>
            <family val="2"/>
          </rPr>
          <t xml:space="preserve">Pt - Crédito de PIS e COFINS proveniente da Exclusão de ICMS na Base de Cálculo: R$5.7 milhões
Eng: PIS and COFINS credit arising from the Exclusion of ICMS in the calculation Base: R$5.7 million
</t>
        </r>
      </text>
    </comment>
    <comment ref="AV18" authorId="5" shapeId="0" xr:uid="{00000000-0006-0000-0400-00001E000000}">
      <text>
        <r>
          <rPr>
            <sz val="9"/>
            <color indexed="81"/>
            <rFont val="Segoe UI"/>
            <family val="2"/>
          </rPr>
          <t>PT - Despesas com assessorias financeiras e jurídicas relacionadas à oferta de combinação de negócios de combinação de negócios recebida no trimestre: R$ 1,1 milhão
Eng - Financial and legal advisory expenses related to the Tender offer of  business combination in the quarter: R$1.1 million</t>
        </r>
        <r>
          <rPr>
            <b/>
            <sz val="9"/>
            <color indexed="81"/>
            <rFont val="Segoe UI"/>
            <family val="2"/>
          </rPr>
          <t xml:space="preserve">
</t>
        </r>
      </text>
    </comment>
    <comment ref="AW18" authorId="4" shapeId="0" xr:uid="{00000000-0006-0000-0400-00001F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Z18" authorId="5" shapeId="0" xr:uid="{00000000-0006-0000-0400-000020000000}">
      <text>
        <r>
          <rPr>
            <sz val="9"/>
            <color indexed="81"/>
            <rFont val="Segoe UI"/>
            <family val="2"/>
          </rPr>
          <t>PT- Contingência cívil da ex controlada Direct Express de - R$ 6,6 milhões
Eng - Civil contingency of the former subsidiary Direct Express - R$ 6.6 million;</t>
        </r>
      </text>
    </comment>
    <comment ref="BA18" authorId="5" shapeId="0" xr:uid="{00000000-0006-0000-0400-000021000000}">
      <text>
        <r>
          <rPr>
            <sz val="9"/>
            <color indexed="81"/>
            <rFont val="Segoe UI"/>
            <family val="2"/>
          </rPr>
          <t xml:space="preserve">PT- Créditos de PIS/ COFINS da controlada Catlog (líquido de honorários advocatícios)  - R$ 5,5 milhões
Eng - PIS/ COFINS tax credits from the subsidiary Catlog (net of lawyer fees) - R$ 5.5 million;
</t>
        </r>
      </text>
    </comment>
    <comment ref="BN18" authorId="1" shapeId="0" xr:uid="{349ED43A-971B-465C-8449-AA63575E938C}">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r>
          <rPr>
            <sz val="9"/>
            <color indexed="81"/>
            <rFont val="Segoe UI"/>
            <family val="2"/>
          </rPr>
          <t xml:space="preserve">
</t>
        </r>
      </text>
    </comment>
    <comment ref="BO18" authorId="1" shapeId="0" xr:uid="{00000000-0006-0000-0400-000022000000}">
      <text>
        <r>
          <rPr>
            <b/>
            <sz val="9"/>
            <color indexed="81"/>
            <rFont val="Segoe UI"/>
            <family val="2"/>
          </rPr>
          <t>Pt: Em maio de 2026, a Companhia reconheceu o montante de R$ 7.212 referente a contingências judiciais cíveis relacionada à antiga controlada Direct Express, conforme nota explicativa nº 16 item (i).
Eng: In May 2026, the Company recognized an amount of R$ 7,212 regarding civil legal contingencies related to its former subsidiary Direct Express, as per explanatory note No. 16, item (i).</t>
        </r>
        <r>
          <rPr>
            <sz val="9"/>
            <color indexed="81"/>
            <rFont val="Segoe UI"/>
            <family val="2"/>
          </rPr>
          <t xml:space="preserve">
</t>
        </r>
      </text>
    </comment>
    <comment ref="Y21" authorId="2" shapeId="0" xr:uid="{00000000-0006-0000-0400-000023000000}">
      <text>
        <r>
          <rPr>
            <sz val="9"/>
            <color indexed="81"/>
            <rFont val="Segoe UI"/>
            <family val="2"/>
          </rPr>
          <t>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t>
        </r>
      </text>
    </comment>
    <comment ref="Z21" authorId="2" shapeId="0" xr:uid="{00000000-0006-0000-0400-000024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 $ 2,283.</t>
        </r>
      </text>
    </comment>
    <comment ref="AB21" authorId="2" shapeId="0" xr:uid="{00000000-0006-0000-0400-000025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R$ 4,619</t>
        </r>
      </text>
    </comment>
    <comment ref="AC21" authorId="2" shapeId="0" xr:uid="{00000000-0006-0000-0400-000026000000}">
      <text>
        <r>
          <rPr>
            <sz val="9"/>
            <color indexed="81"/>
            <rFont val="Segoe UI"/>
            <family val="2"/>
          </rPr>
          <t>PT - Atualização monetária do saldo recolhido de INSS sobre verbas indenizatórias entre 2011 e 2014 no montante de R$ 1.214 milhão positivo;
EN - Monetary updating of the balance collected from INSS on indemnity amounts between 2011 and 2014 in the amount of R $ 1,214 million positive;</t>
        </r>
      </text>
    </comment>
    <comment ref="AE21" authorId="0" shapeId="0" xr:uid="{00000000-0006-0000-0400-000027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AG21" authorId="0" shapeId="0" xr:uid="{00000000-0006-0000-0400-000028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t>
        </r>
      </text>
    </comment>
    <comment ref="AJ21" authorId="1" shapeId="0" xr:uid="{00000000-0006-0000-0400-000029000000}">
      <text>
        <r>
          <rPr>
            <sz val="9"/>
            <color indexed="81"/>
            <rFont val="Segoe UI"/>
            <family val="2"/>
          </rPr>
          <t xml:space="preserve">PT - Juros e multa denúncia espontânea TCE R$ 2,030 M
Eng - Fine and interest upon spontaneous denouncement TCE R$ 2.030 M </t>
        </r>
      </text>
    </comment>
    <comment ref="BG21" authorId="1" shapeId="0" xr:uid="{00000000-0006-0000-0400-00002A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r>
          <rPr>
            <sz val="9"/>
            <color indexed="81"/>
            <rFont val="Segoe UI"/>
            <family val="2"/>
          </rPr>
          <t xml:space="preserve">
</t>
        </r>
      </text>
    </comment>
    <comment ref="Y22" authorId="2" shapeId="0" xr:uid="{00000000-0006-0000-0400-00002B000000}">
      <text>
        <r>
          <rPr>
            <sz val="9"/>
            <color indexed="81"/>
            <rFont val="Segoe UI"/>
            <family val="2"/>
          </rPr>
          <t xml:space="preserve">A Companhia aderiu ao Programa de Recuperação Fiscal (PRORELIT) para quitação de débitos gerados por aproveitamento fiscal de ágios gerados por aquisições no valor de R$ 4.811 </t>
        </r>
      </text>
    </comment>
    <comment ref="Z22" authorId="2" shapeId="0" xr:uid="{00000000-0006-0000-0400-00002C000000}">
      <text>
        <r>
          <rPr>
            <sz val="9"/>
            <color indexed="81"/>
            <rFont val="Segoe UI"/>
            <family val="2"/>
          </rPr>
          <t>A Companhia aderiu ao Programa de Recuperação Fiscal (PRORELIT) para quitação de débitos gerados por aproveitamento fiscal de ágios gerados por aquisições no valor de R$ 2.283.</t>
        </r>
      </text>
    </comment>
    <comment ref="AB22" authorId="2" shapeId="0" xr:uid="{00000000-0006-0000-0400-00002D000000}">
      <text>
        <r>
          <rPr>
            <sz val="9"/>
            <color indexed="81"/>
            <rFont val="Segoe UI"/>
            <family val="2"/>
          </rPr>
          <t xml:space="preserve">A Companhia aderiu ao Programa de Recuperação Fiscal (PRORELIT) para quitação de débitos gerados por aproveitamento fiscal de ágios gerados por aquisições no valor de R$ 4.619 </t>
        </r>
      </text>
    </comment>
    <comment ref="AN22" authorId="1" shapeId="0" xr:uid="{00000000-0006-0000-0400-00002E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t>
        </r>
        <r>
          <rPr>
            <b/>
            <sz val="9"/>
            <color indexed="81"/>
            <rFont val="Segoe UI"/>
            <family val="2"/>
          </rPr>
          <t>R$ 1,6 milhão de PIS/COFINS sobre a receita financeira</t>
        </r>
        <r>
          <rPr>
            <sz val="9"/>
            <color indexed="81"/>
            <rFont val="Segoe UI"/>
            <family val="2"/>
          </rPr>
          <t xml:space="preserve">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t>
        </r>
        <r>
          <rPr>
            <b/>
            <sz val="9"/>
            <color indexed="81"/>
            <rFont val="Segoe UI"/>
            <family val="2"/>
          </rPr>
          <t>R$ 1.6 million of PIS/COFINS tax on financial income</t>
        </r>
        <r>
          <rPr>
            <sz val="9"/>
            <color indexed="81"/>
            <rFont val="Segoe UI"/>
            <family val="2"/>
          </rPr>
          <t xml:space="preserve"> and provision of R$ 28.4 million of income tax on book entry.</t>
        </r>
      </text>
    </comment>
    <comment ref="AN23" authorId="1" shapeId="0" xr:uid="{00000000-0006-0000-0400-00002F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t>
        </r>
        <r>
          <rPr>
            <b/>
            <sz val="9"/>
            <color indexed="81"/>
            <rFont val="Segoe UI"/>
            <family val="2"/>
          </rPr>
          <t xml:space="preserve"> R$ 34,9 milhões em receitas financeiras referente à correção monetária</t>
        </r>
        <r>
          <rPr>
            <sz val="9"/>
            <color indexed="81"/>
            <rFont val="Segoe UI"/>
            <family val="2"/>
          </rPr>
          <t xml:space="preserve">),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R$ 1.6 million of PIS/COFINS tax on financial income and provision of R$ 28.4 million of income tax on book entry.
</t>
        </r>
      </text>
    </comment>
    <comment ref="AU23" authorId="4" shapeId="0" xr:uid="{00000000-0006-0000-0400-000030000000}">
      <text>
        <r>
          <rPr>
            <sz val="9"/>
            <color indexed="81"/>
            <rFont val="Segoe UI"/>
            <family val="2"/>
          </rPr>
          <t xml:space="preserve">Pt - Correção monetária do Crédito de PIS e COFINS priveniente da Exclusão de ICMS na Base de Cálculo: R$3,4 milhões
Eng - Pt - Monetary adjustment of the PIS and COFINS Credit arising from the Exclusion of ICMS in the Calculation Base: R$3.4 million
</t>
        </r>
      </text>
    </comment>
    <comment ref="BA23" authorId="5" shapeId="0" xr:uid="{00000000-0006-0000-0400-000031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BC23" authorId="5" shapeId="0" xr:uid="{00000000-0006-0000-0400-000032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BG23" authorId="1" shapeId="0" xr:uid="{00000000-0006-0000-0400-000033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Y25" authorId="2" shapeId="0" xr:uid="{00000000-0006-0000-0400-000034000000}">
      <text>
        <r>
          <rPr>
            <sz val="9"/>
            <color indexed="81"/>
            <rFont val="Segoe UI"/>
            <family val="2"/>
          </rPr>
          <t>PT - No trimestre houve o impacto no IRCSLL do seguintes eventos:
- PRORELIT (MP 685/15) e efeitos de IRCS diferidos: R$ 5.013
- Reconhecimento de diferidos passados (TCE): -R$ 5.442
- Baixa de diferidos (Ágio da Achyntia e Boni): -R$ 4,066
EN - In the quarter there was the impact on IRCSLL of the following events:
- PRORELIT (MP 685/15) and effects of deferred IRCS: R $ 5,013
- Recognition of past deferrals (TCE): -R $ 5,442
- Write-off of deferred charges (Goodwill of Achyntia and Boni): -R $ 4,066</t>
        </r>
      </text>
    </comment>
    <comment ref="AE25" authorId="0" shapeId="0" xr:uid="{00000000-0006-0000-0400-000035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negativos
EN - LALUR rectification of 2014 impacted positive R $ 10.9 million
- Payment of income tax on the gain of Fundaf's cause R $ 1.9 million
- Deferred Income tax constitution on the civil contingency of the former subsidiary Direct negative R $ 5.1 million</t>
        </r>
      </text>
    </comment>
    <comment ref="AG25" authorId="2" shapeId="0" xr:uid="{00000000-0006-0000-0400-000036000000}">
      <text>
        <r>
          <rPr>
            <b/>
            <sz val="9"/>
            <color indexed="81"/>
            <rFont val="Segoe UI"/>
            <family val="2"/>
          </rPr>
          <t>PT - Impacto no imposto de renda dos seguintes eventos:</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t>
        </r>
        <r>
          <rPr>
            <b/>
            <sz val="9"/>
            <color indexed="81"/>
            <rFont val="Segoe UI"/>
            <family val="2"/>
          </rPr>
          <t>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K25" authorId="1" shapeId="0" xr:uid="{00000000-0006-0000-0400-000037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N25" authorId="1" shapeId="0" xr:uid="{00000000-0006-0000-0400-00003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t>
        </r>
        <r>
          <rPr>
            <b/>
            <sz val="9"/>
            <color indexed="81"/>
            <rFont val="Segoe UI"/>
            <family val="2"/>
          </rPr>
          <t>e provisão de 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t>
        </r>
        <r>
          <rPr>
            <b/>
            <sz val="9"/>
            <color indexed="81"/>
            <rFont val="Segoe UI"/>
            <family val="2"/>
          </rPr>
          <t>provision of R$ 28.4 million of income tax on book entry.</t>
        </r>
        <r>
          <rPr>
            <sz val="9"/>
            <color indexed="81"/>
            <rFont val="Segoe UI"/>
            <family val="2"/>
          </rPr>
          <t xml:space="preserve">
</t>
        </r>
      </text>
    </comment>
    <comment ref="AV25" authorId="1" shapeId="0" xr:uid="{00000000-0006-0000-0400-000039000000}">
      <text>
        <r>
          <rPr>
            <sz val="9"/>
            <color indexed="81"/>
            <rFont val="Segoe UI"/>
            <family val="2"/>
          </rPr>
          <t>Pt - Crédito tributário extraordinário referente a imposto pago a maior R$12,9 milhões
Eng- Extraordinary tax credit regarding overpaid tax collection amounting R$ 12.9 million</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William Estrela Dantas dos Santos</author>
  </authors>
  <commentList>
    <comment ref="AC6" authorId="0" shapeId="0" xr:uid="{00000000-0006-0000-2A00-000001000000}">
      <text>
        <r>
          <rPr>
            <b/>
            <sz val="9"/>
            <color indexed="81"/>
            <rFont val="Segoe UI"/>
            <family val="2"/>
          </rPr>
          <t>PT-</t>
        </r>
        <r>
          <rPr>
            <sz val="9"/>
            <color indexed="81"/>
            <rFont val="Segoe UI"/>
            <family val="2"/>
          </rPr>
          <t xml:space="preserve"> Despesa de rescisão de executivo da Companhia no montante de R$ 2,1 milhões.
Eng - R$2.1 million severance expense for a Company's executive.</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W22" authorId="0" shapeId="0" xr:uid="{00000000-0006-0000-2C00-000001000000}">
      <text>
        <r>
          <rPr>
            <sz val="9"/>
            <color indexed="81"/>
            <rFont val="Segoe UI"/>
            <family val="2"/>
          </rPr>
          <t xml:space="preserve">PT - No 2T19 recebemos R$ 12,3 milhões relacionado ao ganho de causa que questionou o recolhimento da contribuição ao FUNDAF sobre as receitas de serviços alfandegários da sua operação em Cariacica-ES.
Eng - In 2Q19, we received R$ 12.3 million from the lawsuit which Tegma requested to be exempted from contributing to FUNDAF regarding a tax on revenue from customs bonded services at its operation in Cariacica-ES.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Ian Nunes Costa e Costa</author>
    <author>Ian Nunes</author>
    <author>Rodolpho Magdaloni Agria</author>
    <author>Heloise fernandes Sanchez</author>
    <author>William Estrela Dantas dos Santos</author>
    <author>Felipe Silva</author>
    <author>Felipe Augusto Fogaça da Silva</author>
  </authors>
  <commentList>
    <comment ref="AF10" authorId="0" shapeId="0" xr:uid="{00000000-0006-0000-0500-000001000000}">
      <text>
        <r>
          <rPr>
            <sz val="9"/>
            <color indexed="81"/>
            <rFont val="Segoe UI"/>
            <family val="2"/>
          </rPr>
          <t>PT- Créditos de PIS e COFINS referentes ao direito de excluir o valor do ICMS das bases de cálculo dessas duas contribuições - R$ 9,7 M [R$ 4,1 M - 2017 | R$ 5,6 M - 2018]
Eng - PIS and COFINS taxes credits referring to the right to exclude the ICMS tax value from the calculation bases of these two contributions - R$ 9.7 M [R$ 4.1 M - 2017 | R$ 5.6 M - 2018]</t>
        </r>
      </text>
    </comment>
    <comment ref="AX10" authorId="0" shapeId="0" xr:uid="{00000000-0006-0000-0500-000002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Z10" authorId="0" shapeId="0" xr:uid="{00000000-0006-0000-0500-000003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X12" authorId="1" shapeId="0" xr:uid="{00000000-0006-0000-0500-000004000000}">
      <text>
        <r>
          <rPr>
            <sz val="9"/>
            <color indexed="81"/>
            <rFont val="Segoe UI"/>
            <family val="2"/>
          </rPr>
          <t>PT - Crédito de R$ 1.704 milhões relacionado ao recolhimento de INSS sobre verbas indenizatórias.
EN - Credit of R $ 1,704 million related to the collection of INSS on indemnification amounts.</t>
        </r>
      </text>
    </comment>
    <comment ref="AB12" authorId="1" shapeId="0" xr:uid="{00000000-0006-0000-0500-000005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AI12" authorId="0" shapeId="0" xr:uid="{00000000-0006-0000-0500-000006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R$ 1,6 milhão de PIS/COFINS sobre a receita financeira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xml:space="preserve">, R$ 1.6 million of PIS/COFINS tax on financial income and provision of R$ 27.5 million of income tax on book entry.
</t>
        </r>
      </text>
    </comment>
    <comment ref="T14" authorId="1" shapeId="0" xr:uid="{00000000-0006-0000-0500-000007000000}">
      <text>
        <r>
          <rPr>
            <sz val="9"/>
            <color indexed="81"/>
            <rFont val="Segoe UI"/>
            <family val="2"/>
          </rPr>
          <t>PT - A companhia realizou um reforço de provisão para contingências trabalhistas que impactou o resultado no montante de R$ 2.476.
Adicionalmente, foram detectadas inconsistências em saldos de depósitos judiciais que apontava para baixa de R$ 1.281 no resultado.
EN - The company made a reinforcement of the provision for labor contingencies that impacted the result in the amount of R$2,476.
In addition, inconsistencies were detected in judicial deposit balances that indicated a decrease of R$1,281 in the result.</t>
        </r>
      </text>
    </comment>
    <comment ref="U14" authorId="1" shapeId="0" xr:uid="{00000000-0006-0000-0500-000008000000}">
      <text>
        <r>
          <rPr>
            <sz val="9"/>
            <color indexed="81"/>
            <rFont val="Segoe UI"/>
            <family val="2"/>
          </rPr>
          <t>PT - Impacto de positivo de R$ 1.270 referente à negociação da administração da folha de pagamentos da Tegma
EN - Impact of positive of R$1,270 referring to the negotiation of the administration of the payroll of Tegma</t>
        </r>
      </text>
    </comment>
    <comment ref="X14" authorId="1" shapeId="0" xr:uid="{00000000-0006-0000-0500-000009000000}">
      <text>
        <r>
          <rPr>
            <sz val="9"/>
            <color indexed="81"/>
            <rFont val="Segoe UI"/>
            <family val="2"/>
          </rPr>
          <t xml:space="preserve"> PT -Decisão de não prosseguir com a aquisição de um imóvel localizado em Resende-RJ destinado originalmente para de operação de logística de veículos, resultou em uma baixa com impacto negativo de R$ 1,031 milhão.
- Perda de R$ 1,5 milhão no 4T16 referente à decisão de não prosseguir com aquisição de um imóvel para pátio de operação de logística de veículos em São José dos Campos-SP.
- Crédito de R$ 532 mil relacionado ao recolhimento de INSS sobre verbas indenizatórias 
EN - Decision not to proceed with the acquisition of a property located in Resende-RJ originally intended for vehicle logistics operation, resulted in a downturn with a negative impact of R $ 1.031 million.
- Loss of R $ 1.5 million in 4Q16 referring to the decision not to proceed with the acquisition of a property for a vehicle logistics operation yard in São José dos Campos-SP.
- Credit of R $ 532 thousand related to the collection of INSS on indemnification amounts</t>
        </r>
      </text>
    </comment>
    <comment ref="Z14" authorId="2" shapeId="0" xr:uid="{00000000-0006-0000-0500-00000A000000}">
      <text>
        <r>
          <rPr>
            <sz val="9"/>
            <color indexed="81"/>
            <rFont val="Segoe UI"/>
            <family val="2"/>
          </rPr>
          <t>PT - Contingência cívil da ex controlada Direct Express de - R$ 15 milhões
- Baixa do ágio da Controlada Catlog (-R$ 1.365 milhão)
EN - Civil contingency of the former subsidiary Direct Express of - R $ 15 million
- Write-off of the goodwill of the CatLog subsidiary (-R $ 1,365 million)</t>
        </r>
      </text>
    </comment>
    <comment ref="AB14" authorId="1" shapeId="0" xr:uid="{00000000-0006-0000-0500-00000B000000}">
      <text>
        <r>
          <rPr>
            <sz val="9"/>
            <color indexed="81"/>
            <rFont val="Segoe UI"/>
            <family val="2"/>
          </rPr>
          <t>PT - Em dezembro de 2017, foi concluído o trabalho de reavaliação da metodologia de cálculo das provisões de demandas judiciais trabalhistas, resultando em um acréscimo de R$ 5,0 milhões nas provisões.
EN - In December 2017, we concluded the revaluation work over the methodology used to calculate provisions for labor claims, resulting in an increase of R$ 5.0 million in provisions.</t>
        </r>
      </text>
    </comment>
    <comment ref="AF14" authorId="3" shapeId="0" xr:uid="{00000000-0006-0000-0500-00000C000000}">
      <text>
        <r>
          <rPr>
            <sz val="9"/>
            <color indexed="81"/>
            <rFont val="Segoe UI"/>
            <family val="2"/>
          </rPr>
          <t>PT- Contingência cívil da ex controlada Direct Express de - R$ 14,5 milhões
Eng - Civil contingency of the former subsidiary Direct Express - R$ 14.5 million;</t>
        </r>
      </text>
    </comment>
    <comment ref="AI14" authorId="0" shapeId="0" xr:uid="{00000000-0006-0000-0500-00000D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R$ 54,7 milhões em outras receitas e despesas</t>
        </r>
        <r>
          <rPr>
            <sz val="9"/>
            <color indexed="81"/>
            <rFont val="Segoe UI"/>
            <family val="2"/>
          </rPr>
          <t xml:space="preserve">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 xml:space="preserve">R$ 54.7 million in other revenues and expenses </t>
        </r>
        <r>
          <rPr>
            <sz val="9"/>
            <color indexed="81"/>
            <rFont val="Segoe UI"/>
            <family val="2"/>
          </rPr>
          <t xml:space="preserve">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AK14" authorId="4" shapeId="0" xr:uid="{00000000-0006-0000-0500-00000E000000}">
      <text>
        <r>
          <rPr>
            <b/>
            <sz val="9"/>
            <color indexed="81"/>
            <rFont val="Segoe UI"/>
            <family val="2"/>
          </rPr>
          <t xml:space="preserve">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AO14" authorId="5" shapeId="0" xr:uid="{00000000-0006-0000-0500-00000F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Q14" authorId="5" shapeId="0" xr:uid="{00000000-0006-0000-0500-000010000000}">
      <text>
        <r>
          <rPr>
            <sz val="9"/>
            <color indexed="81"/>
            <rFont val="Segoe UI"/>
            <family val="2"/>
          </rPr>
          <t>NÚMERO AJUSTADO!
PT - Despesas com assessorias financeiras e jurídicas relacionadas à oferta hostil de combinação de negócios recebida no trimestre: R$ 1,1 milhão
ADJUSTED NUMBER!
Eng - Financial and legal advisory expenses related to the hostile business combination bid received in the quarter: R$1.1 million</t>
        </r>
      </text>
    </comment>
    <comment ref="AU14" authorId="6" shapeId="0" xr:uid="{00000000-0006-0000-0500-000011000000}">
      <text>
        <r>
          <rPr>
            <sz val="9"/>
            <color indexed="81"/>
            <rFont val="Segoe UI"/>
            <family val="2"/>
          </rPr>
          <t>PT- Contingência cívil da ex controlada Direct Express de - R$ 6,6 milhões
Eng - Civil contingency of the former subsidiary Direct Express - R$ 6.6 million;</t>
        </r>
      </text>
    </comment>
    <comment ref="AV14" authorId="0" shapeId="0" xr:uid="{00000000-0006-0000-0500-000012000000}">
      <text>
        <r>
          <rPr>
            <sz val="9"/>
            <color indexed="81"/>
            <rFont val="Segoe UI"/>
            <family val="2"/>
          </rPr>
          <t>PT- Créditos de PIS/ COFINS da controlada Catlog (líquido de honorários advocatícios) - R$ 5,5 milhões
Eng - PIS/ COFINS tax credits from the subsidiary Catlog (net of lawyer fees) - R$ 5.5 million</t>
        </r>
      </text>
    </comment>
    <comment ref="BA14" authorId="0" shapeId="0" xr:uid="{00000000-0006-0000-0500-000013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r>
          <rPr>
            <sz val="9"/>
            <color indexed="81"/>
            <rFont val="Segoe UI"/>
            <family val="2"/>
          </rPr>
          <t xml:space="preserve">
</t>
        </r>
      </text>
    </comment>
    <comment ref="BB14" authorId="0" shapeId="0" xr:uid="{00000000-0006-0000-0500-000014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BC14" authorId="0" shapeId="0" xr:uid="{00000000-0006-0000-0500-00001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D14" authorId="0" shapeId="0" xr:uid="{00000000-0006-0000-0500-000016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BI14" authorId="0" shapeId="0" xr:uid="{A89C54B7-5188-479F-8F30-2D06CEA93EF5}">
      <text>
        <r>
          <rPr>
            <b/>
            <sz val="9"/>
            <color indexed="81"/>
            <rFont val="Segoe UI"/>
            <family val="2"/>
          </rPr>
          <t>Pt: Recebimento de valor (R$ 2,3 milhões) referente ao direito de administração da folha de pagamento dos colaboradores por uma das instituições financeiras parceiras.
Eng: Receipt of R$2.3 million related to the right to manage employee payroll by one of its partner financial institution.</t>
        </r>
        <r>
          <rPr>
            <sz val="9"/>
            <color indexed="81"/>
            <rFont val="Segoe UI"/>
            <family val="2"/>
          </rPr>
          <t xml:space="preserve">
</t>
        </r>
      </text>
    </comment>
    <comment ref="BJ14" authorId="0" shapeId="0" xr:uid="{00000000-0006-0000-0500-000017000000}">
      <text>
        <r>
          <rPr>
            <b/>
            <sz val="9"/>
            <color indexed="81"/>
            <rFont val="Segoe UI"/>
            <family val="2"/>
          </rPr>
          <t>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t>
        </r>
        <r>
          <rPr>
            <sz val="9"/>
            <color indexed="81"/>
            <rFont val="Segoe UI"/>
            <family val="2"/>
          </rPr>
          <t xml:space="preserve">
</t>
        </r>
      </text>
    </comment>
    <comment ref="AB20" authorId="1" shapeId="0" xr:uid="{00000000-0006-0000-0500-000018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Menção na nota 8 de impostos a recuperar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Mentin on taxes to recover note 8</t>
        </r>
      </text>
    </comment>
    <comment ref="Z21" authorId="2" shapeId="0" xr:uid="{00000000-0006-0000-0500-000019000000}">
      <text>
        <r>
          <rPr>
            <sz val="9"/>
            <color indexed="81"/>
            <rFont val="Segoe UI"/>
            <family val="2"/>
          </rPr>
          <t>PT - Nota 14 - Depósitos judiciais e provisão para demandas judiciais /
Passivo contingente decorrente de combinação de negócios
EN - Note 14 - Judicial deposits and provision for lawsuits /
Contingent liability arising from a business combination</t>
        </r>
      </text>
    </comment>
    <comment ref="AB27" authorId="1" shapeId="0" xr:uid="{00000000-0006-0000-0500-00001A000000}">
      <text>
        <r>
          <rPr>
            <sz val="9"/>
            <color indexed="81"/>
            <rFont val="Segoe UI"/>
            <family val="2"/>
          </rPr>
          <t>PT - Em dezembro de 2017, foi concluído o trabalho de reavaliação da metodologia de cálculo das provisões de demandas judiciais trabalhistas, resultando em um acréscimo de R$ 6,6 milhões nas provisões.
Menção na nota 14 de Depósitos judiciais e provisão para demandas judiciais
EN - In December 2017, we concluded the revaluation work over the methodology used to calculate provisions for labor claims, resulting in an increase of R$ 6.6 million in provisions. 
Mention on note 14 - judicial depósits and legal provisions</t>
        </r>
      </text>
    </comment>
    <comment ref="P41" authorId="1" shapeId="0" xr:uid="{00000000-0006-0000-0500-00001B000000}">
      <text>
        <r>
          <rPr>
            <sz val="9"/>
            <color indexed="81"/>
            <rFont val="Segoe UI"/>
            <family val="2"/>
          </rPr>
          <t>PT - A Companhia aderiu ao Programa de Recuperação Fiscal (REFIS) para quitação de débitos gerados por aproveitamento fiscal de ágios gerados por aquisições no valor de R$ 2.836
EN - The Company adhered to the Tax Recovery Program (REFIS) for the discharge of debts generated by the tax benefit of goodwill generated by acquisitions in the amount of R$2,836</t>
        </r>
      </text>
    </comment>
    <comment ref="T41" authorId="1" shapeId="0" xr:uid="{00000000-0006-0000-0500-00001C000000}">
      <text>
        <r>
          <rPr>
            <sz val="9"/>
            <color indexed="81"/>
            <rFont val="Segoe UI"/>
            <family val="2"/>
          </rPr>
          <t xml:space="preserve">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 </t>
        </r>
      </text>
    </comment>
    <comment ref="U41" authorId="1" shapeId="0" xr:uid="{00000000-0006-0000-0500-00001D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R$2,283.</t>
        </r>
      </text>
    </comment>
    <comment ref="W41" authorId="1" shapeId="0" xr:uid="{00000000-0006-0000-0500-00001E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R$4,619</t>
        </r>
      </text>
    </comment>
    <comment ref="X41" authorId="1" shapeId="0" xr:uid="{00000000-0006-0000-0500-00001F000000}">
      <text>
        <r>
          <rPr>
            <sz val="9"/>
            <color indexed="81"/>
            <rFont val="Segoe UI"/>
            <family val="2"/>
          </rPr>
          <t>PT - Atualização monetária do saldo recolhido de INSS sobre verbas indenizatórias entre 2011 e 2014 no montante de R$ 831 mil positivo;
EN - The Company adhered to the Tax Recovery Program (PRORELIT) for the discharge of debts generated by the tax benefit of goodwill generated by acquisitions in the amount of R$4,619</t>
        </r>
      </text>
    </comment>
    <comment ref="Z41" authorId="2" shapeId="0" xr:uid="{00000000-0006-0000-0500-000020000000}">
      <text>
        <r>
          <rPr>
            <sz val="9"/>
            <color indexed="81"/>
            <rFont val="Segoe UI"/>
            <family val="2"/>
          </rPr>
          <t>PT - Atualização monetária da Retificação do LALUR de 2014 (R$ 3,8 milhões positivos) 
EN - Monetary adjustment of LALUR Rectification of 2014 (positive R $ 3.8 million)</t>
        </r>
      </text>
    </comment>
    <comment ref="AB41" authorId="1" shapeId="0" xr:uid="{00000000-0006-0000-0500-000021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R$ 7,2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R$ 4,4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R$ 4.4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R$ 7.2 million, positive.</t>
        </r>
      </text>
    </comment>
    <comment ref="AI41" authorId="0" shapeId="0" xr:uid="{00000000-0006-0000-0500-000022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t>
        </r>
        <r>
          <rPr>
            <b/>
            <sz val="9"/>
            <color indexed="81"/>
            <rFont val="Segoe UI"/>
            <family val="2"/>
          </rPr>
          <t xml:space="preserve"> R$ 33,8 milhões em receitas financeiras referente à correção monetária</t>
        </r>
        <r>
          <rPr>
            <sz val="9"/>
            <color indexed="81"/>
            <rFont val="Segoe UI"/>
            <family val="2"/>
          </rPr>
          <t xml:space="preserve">), além de um custo de R$ 5,9 milhões referente aos honorários advocatícios da causa em questão (outros custos), </t>
        </r>
        <r>
          <rPr>
            <b/>
            <sz val="9"/>
            <color indexed="81"/>
            <rFont val="Segoe UI"/>
            <family val="2"/>
          </rPr>
          <t>R$ 1,6 milhão de PIS/COFINS sobre a receita financeira</t>
        </r>
        <r>
          <rPr>
            <sz val="9"/>
            <color indexed="81"/>
            <rFont val="Segoe UI"/>
            <family val="2"/>
          </rPr>
          <t xml:space="preserve">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t>
        </r>
        <r>
          <rPr>
            <b/>
            <sz val="9"/>
            <color indexed="81"/>
            <rFont val="Segoe UI"/>
            <family val="2"/>
          </rPr>
          <t>R$ 33.8 million in financial result relating to monetary correction</t>
        </r>
        <r>
          <rPr>
            <sz val="9"/>
            <color indexed="81"/>
            <rFont val="Segoe UI"/>
            <family val="2"/>
          </rPr>
          <t xml:space="preserve">), in addition to a cost of R$ 5.9 million related to attorney’s fees as a result lawsuit brought upon (other costs), </t>
        </r>
        <r>
          <rPr>
            <b/>
            <sz val="9"/>
            <color indexed="81"/>
            <rFont val="Segoe UI"/>
            <family val="2"/>
          </rPr>
          <t xml:space="preserve">R$ 1.6 million of PIS/COFINS tax on financial income </t>
        </r>
        <r>
          <rPr>
            <sz val="9"/>
            <color indexed="81"/>
            <rFont val="Segoe UI"/>
            <family val="2"/>
          </rPr>
          <t xml:space="preserve">and provision of R$ 27.5 million of income tax on book entry.
</t>
        </r>
      </text>
    </comment>
    <comment ref="AV41" authorId="0" shapeId="0" xr:uid="{00000000-0006-0000-0500-000023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X41" authorId="6" shapeId="0" xr:uid="{00000000-0006-0000-0500-000024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text>
    </comment>
    <comment ref="BB41" authorId="0" shapeId="0" xr:uid="{00000000-0006-0000-0500-000025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Z44" authorId="2" shapeId="0" xr:uid="{00000000-0006-0000-0500-000026000000}">
      <text>
        <r>
          <rPr>
            <sz val="9"/>
            <color indexed="81"/>
            <rFont val="Segoe UI"/>
            <family val="2"/>
          </rPr>
          <t>PT - Retificação do LALUR de 2014 impactou em R$ 10,9 milhões positivos
- Constituição de  IR diferido sobre a contingência cívil da ex controlada Direct R$ 5,1 milhões
EN - LALUR rectification of 2014 impacted positive R $ 10.9 million
- Constitution of deferred income tax on the civil contingency of the former subsidiary Direct  R$ 5.1 million</t>
        </r>
      </text>
    </comment>
    <comment ref="AB44" authorId="1" shapeId="0" xr:uid="{00000000-0006-0000-0500-000027000000}">
      <text>
        <r>
          <rPr>
            <b/>
            <sz val="9"/>
            <color indexed="81"/>
            <rFont val="Segoe UI"/>
            <family val="2"/>
          </rPr>
          <t xml:space="preserve">PT - Impacto no imposto de renda dos seguintes eventos: </t>
        </r>
        <r>
          <rPr>
            <sz val="9"/>
            <color indexed="81"/>
            <rFont val="Segoe UI"/>
            <family val="2"/>
          </rPr>
          <t xml:space="preserve">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R$ 31,3 milhões e suas respectivas atualizações monetárias.
- Em dezembro de 2017, foi concluído o trabalho de reavaliação da metodologia de cálculo das provisões de demandas judiciais trabalhistas, resultando em um acréscimo de R$ 5,0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R$ 4,4 milhões. </t>
        </r>
        <r>
          <rPr>
            <b/>
            <sz val="9"/>
            <color indexed="81"/>
            <rFont val="Segoe UI"/>
            <family val="2"/>
          </rPr>
          <t xml:space="preserve">
Adicionalmente, houve os seguintes eventos:</t>
        </r>
        <r>
          <rPr>
            <sz val="9"/>
            <color indexed="81"/>
            <rFont val="Segoe UI"/>
            <family val="2"/>
          </rPr>
          <t xml:space="preserv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R$ 4,1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
EN - Impact on income tax of the following events: </t>
        </r>
        <r>
          <rPr>
            <sz val="9"/>
            <color indexed="81"/>
            <rFont val="Segoe UI"/>
            <family val="2"/>
          </rPr>
          <t xml:space="preserve">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R$ 31.3 million and the respective monetary update.
- In December 2017, we concluded the revaluation work over the methodology used to calculate provisions for labor claims, resulting in an increase of R$ 5.0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R$ 4.4 million. 
Additionally, there was the following events: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R$ 4.1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F44" authorId="3" shapeId="0" xr:uid="{00000000-0006-0000-0500-000028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I44" authorId="0" shapeId="0" xr:uid="{00000000-0006-0000-0500-000029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t>
        </r>
        <r>
          <rPr>
            <b/>
            <sz val="9"/>
            <color indexed="81"/>
            <rFont val="Segoe UI"/>
            <family val="2"/>
          </rPr>
          <t>R$ 27,5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t>
        </r>
        <r>
          <rPr>
            <b/>
            <sz val="9"/>
            <color indexed="81"/>
            <rFont val="Segoe UI"/>
            <family val="2"/>
          </rPr>
          <t>R$ 27.5 million of income tax on book entry.</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Ian Nunes</author>
    <author>Heloise fernandes Sanchez</author>
    <author>Felipe Silva</author>
  </authors>
  <commentList>
    <comment ref="AE11" authorId="0" shapeId="0" xr:uid="{00000000-0006-0000-0600-000001000000}">
      <text>
        <r>
          <rPr>
            <sz val="9"/>
            <color indexed="81"/>
            <rFont val="Segoe UI"/>
            <family val="2"/>
          </rPr>
          <t xml:space="preserve">PT - Denúncia espontânea imposto ICMS R$ 5,252 M
Eng - Spontaneous denouncement on fiscal payment R$ 5.252 M
</t>
        </r>
      </text>
    </comment>
    <comment ref="AF11" authorId="0" shapeId="0" xr:uid="{00000000-0006-0000-0600-000002000000}">
      <text>
        <r>
          <rPr>
            <sz val="9"/>
            <color indexed="81"/>
            <rFont val="Segoe UI"/>
            <family val="2"/>
          </rPr>
          <t>PT- Créditos de PIS e COFINS referentes ao direito de excluir o valor do ICMS das bases de cálculo dessas duas contribuições - R$ 0,9 M [R$ 0,4 M - 2017 | R$ 0,5 M - 2018]
Eng - PIS and COFINS taxes credits referring to the right to exclude the ICMS tax value from the calculation bases of these two contributions - R$ 0.9 M [R$ 0.4 M - 2017 | R$ 0.5 M - 2018]</t>
        </r>
      </text>
    </comment>
    <comment ref="Z12" authorId="1" shapeId="0" xr:uid="{00000000-0006-0000-0600-000003000000}">
      <text>
        <r>
          <rPr>
            <sz val="9"/>
            <color indexed="81"/>
            <rFont val="Segoe UI"/>
            <family val="2"/>
          </rPr>
          <t>PT - Crédito de R$ 9,8 milhões por ganho de causa contra o recolhimento do Fundaf
EN  - Credit of R $ 9.8 million from gain of cause against the Fundaf payment</t>
        </r>
      </text>
    </comment>
    <comment ref="R13" authorId="2" shapeId="0" xr:uid="{00000000-0006-0000-0600-000004000000}">
      <text>
        <r>
          <rPr>
            <sz val="9"/>
            <color indexed="81"/>
            <rFont val="Segoe UI"/>
            <family val="2"/>
          </rPr>
          <t>PT - Custos de reestruturação da operação de armazenagem, no valor de R$ 3.704 mil
EN - Restructuring costs of the warehousing operation, in the amount of R$ 3,704 thousand</t>
        </r>
      </text>
    </comment>
    <comment ref="T13" authorId="2" shapeId="0" xr:uid="{00000000-0006-0000-0600-000005000000}">
      <text>
        <r>
          <rPr>
            <sz val="9"/>
            <color indexed="81"/>
            <rFont val="Segoe UI"/>
            <family val="2"/>
          </rPr>
          <t>PT - Custos de reestruturação da operação de armazenagem, no valor de R$ 6.697 mil
EN - Restructuring costs of the warehousing operation, in the amount of R$ 6,697 thousand</t>
        </r>
      </text>
    </comment>
    <comment ref="X13" authorId="2" shapeId="0" xr:uid="{00000000-0006-0000-0600-000006000000}">
      <text>
        <r>
          <rPr>
            <sz val="9"/>
            <color indexed="81"/>
            <rFont val="Segoe UI"/>
            <family val="2"/>
          </rPr>
          <t>PT - Crédito de R$ 934 mil relacionado ao recolhimento de INSS sobre verbas indenizatórias.
EN - Credit of R $ 934 thousand related to the collection of INSS on indemnification amounts.</t>
        </r>
      </text>
    </comment>
    <comment ref="AB13" authorId="2" shapeId="0" xr:uid="{00000000-0006-0000-0600-000007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AI13" authorId="0" shapeId="0" xr:uid="{00000000-0006-0000-0600-00000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t>
        </r>
        <r>
          <rPr>
            <b/>
            <sz val="9"/>
            <color indexed="81"/>
            <rFont val="Segoe UI"/>
            <family val="2"/>
          </rPr>
          <t>R$ 0,2 milhão referente aos honorários advocatícios da causa em questão (outros custos)</t>
        </r>
        <r>
          <rPr>
            <sz val="9"/>
            <color indexed="81"/>
            <rFont val="Segoe UI"/>
            <family val="2"/>
          </rPr>
          <t xml:space="preserve">,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t>
        </r>
        <r>
          <rPr>
            <b/>
            <sz val="9"/>
            <color indexed="81"/>
            <rFont val="Segoe UI"/>
            <family val="2"/>
          </rPr>
          <t>R$ 0.2 million related to attorney’s fees as a result lawsuit brought upon (other costs)</t>
        </r>
        <r>
          <rPr>
            <sz val="9"/>
            <color indexed="81"/>
            <rFont val="Segoe UI"/>
            <family val="2"/>
          </rPr>
          <t xml:space="preserve">, R$ 0.1 million of PIS/COFINS tax on financial income and provision of R$ 0.9 million of income tax on book entry.
</t>
        </r>
      </text>
    </comment>
    <comment ref="AN13" authorId="0" shapeId="0" xr:uid="{00000000-0006-0000-0600-000009000000}">
      <text>
        <r>
          <rPr>
            <sz val="9"/>
            <color indexed="81"/>
            <rFont val="Segoe UI"/>
            <family val="2"/>
          </rPr>
          <t>PT: Custos relacionados à desmobilização de um armazém em Barueri-SP no montante de R$ 2,9 M
Eng: Costs related to demobilization of a warehouse in Barueri-SP amounting R$ 2.9 M</t>
        </r>
      </text>
    </comment>
    <comment ref="T15" authorId="2" shapeId="0" xr:uid="{00000000-0006-0000-0600-00000A000000}">
      <text>
        <r>
          <rPr>
            <sz val="9"/>
            <color indexed="81"/>
            <rFont val="Segoe UI"/>
            <family val="2"/>
          </rPr>
          <t>PT - A companhia realizou um reforço de provisão para contingências trabalhistas que impactou o resultado no montante de R$ 10.268.
Adicionalmente, foram detectadas inconsistências em saldos de depósitos judiciais que apontava para baixa de R$ 4.336 no resultado.
EN - The company increased its provision for labor contingencies, which impacted the result in the amount of R$ 10 million.
In addition, inconsistencies were detected in judicial deposits that indicated the necessity of a R$ 5 million write-down</t>
        </r>
      </text>
    </comment>
    <comment ref="Z15" authorId="1" shapeId="0" xr:uid="{00000000-0006-0000-0600-00000B000000}">
      <text>
        <r>
          <rPr>
            <sz val="9"/>
            <color indexed="81"/>
            <rFont val="Segoe UI"/>
            <family val="2"/>
          </rPr>
          <t>PT - Baixa de R$ 1,8 milhão da conta escrow de indenizações de combinação de  negócios
EN - Reduction of R $ 1.8 million from the escrow account for business combination indemnities</t>
        </r>
      </text>
    </comment>
    <comment ref="AA15" authorId="2" shapeId="0" xr:uid="{00000000-0006-0000-0600-00000C000000}">
      <text>
        <r>
          <rPr>
            <sz val="9"/>
            <color indexed="81"/>
            <rFont val="Segoe UI"/>
            <family val="2"/>
          </rPr>
          <t xml:space="preserve">PT - Baixa no valo de R$ 5,7 milhões referente a contas a receber da Direct
EN - Write off of Direct account receivable amounting R$ 5.7 million </t>
        </r>
      </text>
    </comment>
    <comment ref="AB15" authorId="2" shapeId="0" xr:uid="{00000000-0006-0000-0600-00000D000000}">
      <text>
        <r>
          <rPr>
            <sz val="9"/>
            <color indexed="81"/>
            <rFont val="Segoe UI"/>
            <family val="2"/>
          </rPr>
          <t>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AF15" authorId="3" shapeId="0" xr:uid="{00000000-0006-0000-0600-00000E000000}">
      <text>
        <r>
          <rPr>
            <sz val="9"/>
            <color indexed="81"/>
            <rFont val="Segoe UI"/>
            <family val="2"/>
          </rPr>
          <t>PT- Custos de sucumbência de processo judicial de operação descontinuada: R$2,9M
Eng - Defeat legal fee for discontinued operation: R$ 2.9M</t>
        </r>
      </text>
    </comment>
    <comment ref="AI15" authorId="0" shapeId="0" xr:uid="{00000000-0006-0000-0600-00000F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t>
        </r>
        <r>
          <rPr>
            <b/>
            <sz val="9"/>
            <color indexed="81"/>
            <rFont val="Segoe UI"/>
            <family val="2"/>
          </rPr>
          <t>(R$ 1,8 milhão em outras receitas e despesas</t>
        </r>
        <r>
          <rPr>
            <sz val="9"/>
            <color indexed="81"/>
            <rFont val="Segoe UI"/>
            <family val="2"/>
          </rPr>
          <t xml:space="preserve">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t>
        </r>
        <r>
          <rPr>
            <b/>
            <sz val="9"/>
            <color indexed="81"/>
            <rFont val="Segoe UI"/>
            <family val="2"/>
          </rPr>
          <t xml:space="preserve">(R$ 1.8 million in other revenues and expenses </t>
        </r>
        <r>
          <rPr>
            <sz val="9"/>
            <color indexed="81"/>
            <rFont val="Segoe UI"/>
            <family val="2"/>
          </rPr>
          <t xml:space="preserve">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AN15" authorId="0" shapeId="0" xr:uid="{00000000-0006-0000-0600-000010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P15" authorId="4" shapeId="0" xr:uid="{00000000-0006-0000-0600-000011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R15" authorId="4" shapeId="0" xr:uid="{00000000-0006-0000-0600-000012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BA15" authorId="0" shapeId="0" xr:uid="{00000000-0006-0000-0600-00001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B15" authorId="0" shapeId="0" xr:uid="{00000000-0006-0000-0600-00001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C15" authorId="0" shapeId="0" xr:uid="{00000000-0006-0000-0600-00001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D15" authorId="0" shapeId="0" xr:uid="{00000000-0006-0000-0600-000016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AB21" authorId="2" shapeId="0" xr:uid="{00000000-0006-0000-0600-000017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R$ 5,15 milhões.
Menção na nota 8 de impostos a recuperar</t>
        </r>
        <r>
          <rPr>
            <b/>
            <sz val="9"/>
            <color indexed="81"/>
            <rFont val="Segoe UI"/>
            <family val="2"/>
          </rPr>
          <t xml:space="preserve">
E</t>
        </r>
        <r>
          <rPr>
            <sz val="9"/>
            <color indexed="81"/>
            <rFont val="Segoe UI"/>
            <family val="2"/>
          </rPr>
          <t>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R$ 5.15 million.
Mentin on taxes to recover note 8</t>
        </r>
      </text>
    </comment>
    <comment ref="AN24" authorId="0" shapeId="0" xr:uid="{00000000-0006-0000-0600-000018000000}">
      <text>
        <r>
          <rPr>
            <sz val="9"/>
            <color indexed="81"/>
            <rFont val="Segoe UI"/>
            <family val="2"/>
          </rPr>
          <t>PT: Custos e despesas relacionados à desmobilização de um armazém em Barueri-SP no montante de R$ 5,2 M
Eng: Costs and expenses related to demobilization of a warehouse in Barueri-SP amounting R$ 5.2 M</t>
        </r>
      </text>
    </comment>
    <comment ref="AB28" authorId="2" shapeId="0" xr:uid="{00000000-0006-0000-0600-000019000000}">
      <text>
        <r>
          <rPr>
            <sz val="9"/>
            <color indexed="81"/>
            <rFont val="Segoe UI"/>
            <family val="2"/>
          </rPr>
          <t>PT - Menção na nota 14 de Depósitos judiciais e provisão para demandas judiciais
EN - Mention on note 14 - judicial deposits and legal provisions</t>
        </r>
      </text>
    </comment>
    <comment ref="Z30" authorId="1" shapeId="0" xr:uid="{00000000-0006-0000-0600-00001A000000}">
      <text>
        <r>
          <rPr>
            <sz val="9"/>
            <color indexed="81"/>
            <rFont val="Segoe UI"/>
            <family val="2"/>
          </rPr>
          <t>PT - Menção ao crédito na nota 20 - Receita líquida dos serviços prestados 
EN - Mention to credit in note 20 - Net revenue from services rendered</t>
        </r>
      </text>
    </comment>
    <comment ref="X41" authorId="2" shapeId="0" xr:uid="{00000000-0006-0000-0600-00001B000000}">
      <text>
        <r>
          <rPr>
            <sz val="9"/>
            <color indexed="81"/>
            <rFont val="Segoe UI"/>
            <family val="2"/>
          </rPr>
          <t>PT - Atualização monetária do saldo recolhido de INSS sobre verbas indenizatórias entre 2011 e 2014 no montante de R$ 383 mil positivo.
EN - Monetary updating of the INSS collected balance on indemnity amounts between 2011 and 2014 in the amount of R $ 383 thousand positive.</t>
        </r>
      </text>
    </comment>
    <comment ref="Z41" authorId="1" shapeId="0" xr:uid="{00000000-0006-0000-0600-00001C000000}">
      <text>
        <r>
          <rPr>
            <sz val="9"/>
            <color indexed="81"/>
            <rFont val="Segoe UI"/>
            <family val="2"/>
          </rPr>
          <t>PT - Atualização monetária do ganho de causa do FUNDAF (sobre valores recolhidos) de R$ 3,9 milhões positivos.
EN - Monetary adjustment of the FUNDAF lawsuit success (on amounts collected) of positive R $ 3.9 million.</t>
        </r>
      </text>
    </comment>
    <comment ref="AB41" authorId="2" shapeId="0" xr:uid="{00000000-0006-0000-0600-00001D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R$ 1,1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R$ 0,4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R$ 0.4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R$ 1.1 million, positive.</t>
        </r>
      </text>
    </comment>
    <comment ref="AE41" authorId="0" shapeId="0" xr:uid="{00000000-0006-0000-0600-00001E000000}">
      <text>
        <r>
          <rPr>
            <sz val="9"/>
            <color indexed="81"/>
            <rFont val="Segoe UI"/>
            <family val="2"/>
          </rPr>
          <t xml:space="preserve">PT - Juros e multa denúncia espontânea TCE R$ 2,030 M
Eng - Fine and interest upon spontaneous denouncement TCE R$ 2.030 M
</t>
        </r>
      </text>
    </comment>
    <comment ref="AI41" authorId="0" shapeId="0" xr:uid="{00000000-0006-0000-0600-00001F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t>
        </r>
        <r>
          <rPr>
            <b/>
            <sz val="9"/>
            <color indexed="81"/>
            <rFont val="Segoe UI"/>
            <family val="2"/>
          </rPr>
          <t>R$ 1,1 milhão em receitas financeiras referente à correção monetária</t>
        </r>
        <r>
          <rPr>
            <sz val="9"/>
            <color indexed="81"/>
            <rFont val="Segoe UI"/>
            <family val="2"/>
          </rPr>
          <t xml:space="preserve">), além de um custo de R$ 0,2 milhão referente aos honorários advocatícios da causa em questão (outros custos), </t>
        </r>
        <r>
          <rPr>
            <b/>
            <sz val="9"/>
            <color indexed="81"/>
            <rFont val="Segoe UI"/>
            <family val="2"/>
          </rPr>
          <t xml:space="preserve">R$ 0,1 milhão de PIS/COFINS sobre a receita financeira </t>
        </r>
        <r>
          <rPr>
            <sz val="9"/>
            <color indexed="81"/>
            <rFont val="Segoe UI"/>
            <family val="2"/>
          </rPr>
          <t xml:space="preserve">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t>
        </r>
        <r>
          <rPr>
            <b/>
            <sz val="9"/>
            <color indexed="81"/>
            <rFont val="Segoe UI"/>
            <family val="2"/>
          </rPr>
          <t>R$ 1.1 million in financial result relating to monetary correction</t>
        </r>
        <r>
          <rPr>
            <sz val="9"/>
            <color indexed="81"/>
            <rFont val="Segoe UI"/>
            <family val="2"/>
          </rPr>
          <t xml:space="preserve">), in addition to a cost of R$ 0.2 million related to attorney’s fees as a result lawsuit brought upon (other costs), </t>
        </r>
        <r>
          <rPr>
            <b/>
            <sz val="9"/>
            <color indexed="81"/>
            <rFont val="Segoe UI"/>
            <family val="2"/>
          </rPr>
          <t>R$ 0.1 million of PIS/COFINS tax on financial income</t>
        </r>
        <r>
          <rPr>
            <sz val="9"/>
            <color indexed="81"/>
            <rFont val="Segoe UI"/>
            <family val="2"/>
          </rPr>
          <t xml:space="preserve"> and provision of R$ 0.9 million of income tax on book entry.
</t>
        </r>
      </text>
    </comment>
    <comment ref="AP41" authorId="4" shapeId="0" xr:uid="{00000000-0006-0000-0600-000020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r>
          <rPr>
            <b/>
            <sz val="9"/>
            <color indexed="81"/>
            <rFont val="Segoe UI"/>
            <family val="2"/>
          </rPr>
          <t xml:space="preserve">
</t>
        </r>
      </text>
    </comment>
    <comment ref="Z44" authorId="1" shapeId="0" xr:uid="{00000000-0006-0000-0600-000021000000}">
      <text>
        <r>
          <rPr>
            <sz val="9"/>
            <color indexed="81"/>
            <rFont val="Segoe UI"/>
            <family val="2"/>
          </rPr>
          <t>PT - Pagamento de IR sobre o ganho de causa Fundaf R$ 1,9 milhão
EN - Payment of income tax on the gain from the Fundaf's dispute, amounting R$ 1.9 million</t>
        </r>
      </text>
    </comment>
    <comment ref="AB44" authorId="2" shapeId="0" xr:uid="{00000000-0006-0000-0600-000022000000}">
      <text>
        <r>
          <rPr>
            <b/>
            <sz val="9"/>
            <color indexed="81"/>
            <rFont val="Segoe UI"/>
            <family val="2"/>
          </rPr>
          <t>PT -</t>
        </r>
        <r>
          <rPr>
            <sz val="9"/>
            <color indexed="81"/>
            <rFont val="Segoe UI"/>
            <family val="2"/>
          </rPr>
          <t xml:space="preserve"> </t>
        </r>
        <r>
          <rPr>
            <b/>
            <sz val="9"/>
            <color indexed="81"/>
            <rFont val="Segoe UI"/>
            <family val="2"/>
          </rPr>
          <t xml:space="preserve">Impacto no imposto de renda dos seguintes eventos: </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R$ 6,2 milhões com suas respectivas atualizações monetárias .
- Em dezembro de 2017, foi concluído o trabalho de reavaliação da metodologia de cálculo das provisões de demandas judiciais trabalhistas, resultando em um acréscimo de R$ 1,7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R$ 0,4 milhões. </t>
        </r>
        <r>
          <rPr>
            <b/>
            <sz val="9"/>
            <color indexed="81"/>
            <rFont val="Segoe UI"/>
            <family val="2"/>
          </rPr>
          <t xml:space="preserve">
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R$ 0,4 milhões. 
</t>
        </r>
        <r>
          <rPr>
            <b/>
            <sz val="9"/>
            <color indexed="81"/>
            <rFont val="Segoe UI"/>
            <family val="2"/>
          </rPr>
          <t xml:space="preserve">
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R$ 6.2 million and the respective monetary update.
- In December 2017, we concluded the revaluation work over the methodology used to calculate provisions for labor claims, resulting in an increase of R$ 1.7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R$ 0.4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R$ 0.4 million. 
</t>
        </r>
      </text>
    </comment>
    <comment ref="AF44" authorId="3" shapeId="0" xr:uid="{00000000-0006-0000-0600-000023000000}">
      <text>
        <r>
          <rPr>
            <sz val="9"/>
            <color indexed="81"/>
            <rFont val="Segoe UI"/>
            <family val="2"/>
          </rPr>
          <t xml:space="preserve">PT - IR sobre crédito de PIS COFINS: -R$ 0,4 M
</t>
        </r>
      </text>
    </comment>
    <comment ref="AI44" authorId="0" shapeId="0" xr:uid="{00000000-0006-0000-0600-000024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r>
          <rPr>
            <b/>
            <sz val="9"/>
            <color indexed="81"/>
            <rFont val="Segoe UI"/>
            <family val="2"/>
          </rPr>
          <t xml:space="preserve">
</t>
        </r>
        <r>
          <rPr>
            <sz val="9"/>
            <color indexed="81"/>
            <rFont val="Segoe UI"/>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Ian Nunes</author>
    <author>Rodolpho Magdaloni Agria</author>
    <author>Heloise fernandes Sanchez</author>
    <author>William Estrela Dantas dos Santos</author>
    <author>Felipe Silva</author>
    <author>Felipe Augusto Fogaça da Silva</author>
  </authors>
  <commentList>
    <comment ref="Z9" authorId="0" shapeId="0" xr:uid="{00000000-0006-0000-0700-000001000000}">
      <text>
        <r>
          <rPr>
            <sz val="9"/>
            <color indexed="81"/>
            <rFont val="Segoe UI"/>
            <family val="2"/>
          </rPr>
          <t>PT - Crédito de R$ 9,8 milhões por ganho de causa contra o recolhimento do Fundaf
EN - Credit of R $ 9.8 million from the gain of cause against the payment of Fundaf</t>
        </r>
      </text>
    </comment>
    <comment ref="AE9" authorId="0" shapeId="0" xr:uid="{00000000-0006-0000-0700-000002000000}">
      <text>
        <r>
          <rPr>
            <sz val="9"/>
            <color indexed="81"/>
            <rFont val="Segoe UI"/>
            <family val="2"/>
          </rPr>
          <t xml:space="preserve">PT - Denúncia espontânea imposto ICMS R$ 5,252 M
Eng - Spontaneous denouncement on fiscal payment R$ 5.252 M
</t>
        </r>
      </text>
    </comment>
    <comment ref="AF9" authorId="0" shapeId="0" xr:uid="{00000000-0006-0000-07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R$ 10.6 M [R$ 4.5 M - 2017 | R$ 6.1 M - 2018]
</t>
        </r>
      </text>
    </comment>
    <comment ref="AX9" authorId="0" shapeId="0" xr:uid="{00000000-0006-0000-0700-000004000000}">
      <text>
        <r>
          <rPr>
            <sz val="9"/>
            <color indexed="81"/>
            <rFont val="Segoe UI"/>
            <family val="2"/>
          </rPr>
          <t xml:space="preserve">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
</t>
        </r>
      </text>
    </comment>
    <comment ref="AZ9" authorId="0" shapeId="0" xr:uid="{00000000-0006-0000-0700-000005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r>
          <rPr>
            <sz val="9"/>
            <color indexed="81"/>
            <rFont val="Segoe UI"/>
            <family val="2"/>
          </rPr>
          <t xml:space="preserve">
</t>
        </r>
      </text>
    </comment>
    <comment ref="R11" authorId="1" shapeId="0" xr:uid="{00000000-0006-0000-0700-000006000000}">
      <text>
        <r>
          <rPr>
            <sz val="9"/>
            <color indexed="81"/>
            <rFont val="Segoe UI"/>
            <family val="2"/>
          </rPr>
          <t>PT - Custos de reestruturação da operação de armazenagem, no valor de R$ 3.704 mil
EN - Restructuring costs of the warehousing operation, in the amount of R$ 3,704 thousand</t>
        </r>
      </text>
    </comment>
    <comment ref="T11" authorId="1" shapeId="0" xr:uid="{00000000-0006-0000-0700-000007000000}">
      <text>
        <r>
          <rPr>
            <sz val="9"/>
            <color indexed="81"/>
            <rFont val="Segoe UI"/>
            <family val="2"/>
          </rPr>
          <t>PT - Custos de reestruturação da operação de armazenagem, no valor de R$ 6.697 mil
EN - Restructuring costs of the warehousing operation, in the amount of R$ 6,697 thousand</t>
        </r>
      </text>
    </comment>
    <comment ref="X11" authorId="1" shapeId="0" xr:uid="{00000000-0006-0000-0700-000008000000}">
      <text>
        <r>
          <rPr>
            <sz val="9"/>
            <color indexed="81"/>
            <rFont val="Segoe UI"/>
            <family val="2"/>
          </rPr>
          <t>PT - Crédito de R$ 2,7 milhões relacionado ao recolhimento de INSS sobre verbas indenizatórias.
EN -  Cedit of 2.7 million related to the colection from INSS</t>
        </r>
      </text>
    </comment>
    <comment ref="AB11" authorId="1" shapeId="0" xr:uid="{00000000-0006-0000-0700-000009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t>
        </r>
      </text>
    </comment>
    <comment ref="AI11" authorId="0" shapeId="0" xr:uid="{00000000-0006-0000-0700-00000A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t>
        </r>
        <r>
          <rPr>
            <b/>
            <sz val="9"/>
            <color indexed="81"/>
            <rFont val="Segoe UI"/>
            <family val="2"/>
          </rPr>
          <t>além de um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t>
        </r>
        <r>
          <rPr>
            <b/>
            <sz val="9"/>
            <color indexed="81"/>
            <rFont val="Segoe UI"/>
            <family val="2"/>
          </rPr>
          <t>in addition to a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AN11" authorId="0" shapeId="0" xr:uid="{00000000-0006-0000-0700-00000B000000}">
      <text>
        <r>
          <rPr>
            <sz val="9"/>
            <color indexed="81"/>
            <rFont val="Segoe UI"/>
            <family val="2"/>
          </rPr>
          <t>PT: Custos relacionados à desmobilização de um armazém em Barueri-SP no montante de R$ 2,9 M
Eng: Costs related to demobilization of a warehouse in Barueri-SP amounting R$ 2.9 M</t>
        </r>
      </text>
    </comment>
    <comment ref="T13" authorId="1" shapeId="0" xr:uid="{00000000-0006-0000-0700-00000C000000}">
      <text>
        <r>
          <rPr>
            <sz val="9"/>
            <color indexed="81"/>
            <rFont val="Segoe UI"/>
            <family val="2"/>
          </rPr>
          <t>PT - A companhia realizou um reforço de provisão para contingências trabalhistas que impactou o resultado no montante de R$ 12.744.
Adicionalmente, foram detectadas inconsistências em saldos de depósitos judiciais que apontava para baixa de R$ 5.617 no resultado.
EN - The company made a provision for labor contingencies which affected the result in R$ 13 million.
In addition, inconsistencies were found in judicial deposits that pointed the necessity of a R$ 6 million write-down.</t>
        </r>
      </text>
    </comment>
    <comment ref="U13" authorId="1" shapeId="0" xr:uid="{00000000-0006-0000-0700-00000D000000}">
      <text>
        <r>
          <rPr>
            <sz val="9"/>
            <color indexed="81"/>
            <rFont val="Segoe UI"/>
            <family val="2"/>
          </rPr>
          <t>PT - Impacto de positivo de R$ 1.270 referente à negociação da administração da folha de pagamentos da Tegma
EN - Impact of positive of R$1,270 referring to the negotiation of the administration of the payroll of Tegma</t>
        </r>
      </text>
    </comment>
    <comment ref="X13" authorId="1" shapeId="0" xr:uid="{00000000-0006-0000-0700-00000E000000}">
      <text>
        <r>
          <rPr>
            <sz val="9"/>
            <color indexed="81"/>
            <rFont val="Segoe UI"/>
            <family val="2"/>
          </rPr>
          <t>PT - Crédito de R$ 532 mil relacionado ao recolhimento de INSS sobre verbas indenizatórias 
- Perda de R$ 1,5 milhão no 4T16 referente à decisão de não prosseguir com aquisição de um imóvel para pátio de operação de logística de veículos em São José dos Campos-SP.
- Decisão de não prosseguir com a aquisição de um imóvel localizado em Resende-RJ destinado originalmente para de operação de logística de veículos, resultou em uma baixa com impacto negativo de R$ 1,031 milhão
EN - Credit of R $ 532k related to the collection of INSS on indemnification amounts;
- Loss of R $ 1.5 million in 4Q16 referring to the decision not to proceed with the acquisition of a property for a vehicle logistics operation yard in São José dos Campos-SP.
- Decision not to proceed with the acquisition of a property located in Resende-RJ originally intended for the vehicle logistics operation, resulted in a downturn with a negative impact of R $ 1.031 million</t>
        </r>
      </text>
    </comment>
    <comment ref="Z13" authorId="2" shapeId="0" xr:uid="{00000000-0006-0000-0700-00000F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AA13" authorId="1" shapeId="0" xr:uid="{00000000-0006-0000-0700-000010000000}">
      <text>
        <r>
          <rPr>
            <sz val="10"/>
            <rFont val="Arial"/>
            <family val="2"/>
          </rPr>
          <t xml:space="preserve">PT - Baixa no valo de R$ 5,7 milhões referente a contas a receber da Direct
EN - Write off of Direct account receivable amounting R$ 5.7 million </t>
        </r>
      </text>
    </comment>
    <comment ref="AB13" authorId="1" shapeId="0" xr:uid="{00000000-0006-0000-0700-000011000000}">
      <text>
        <r>
          <rPr>
            <sz val="9"/>
            <color indexed="81"/>
            <rFont val="Segoe UI"/>
            <family val="2"/>
          </rPr>
          <t>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R$ 6,6 milhões nas provisões.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 In December 2017, we concluded the revaluation work over the methodology used to calculate provisions for labor claims, resulting in an increase of R$ 6.6 million in provisions.</t>
        </r>
      </text>
    </comment>
    <comment ref="AF13" authorId="3" shapeId="0" xr:uid="{00000000-0006-0000-0700-000012000000}">
      <text>
        <r>
          <rPr>
            <sz val="9"/>
            <color indexed="81"/>
            <rFont val="Segoe UI"/>
            <family val="2"/>
          </rPr>
          <t>PT- Contingência cívil da ex controlada Direct Express de - R$ 14,5 milhões
PT- Custos de sucumbência de processo judicial de operação descontinuada: R$2,9M
Eng - Civil contingency of the former subsidiary Direct Express - R$ 14.5 million;
Eng - Costs of defead legal fee for discontinued operation: R$ 2.9M</t>
        </r>
      </text>
    </comment>
    <comment ref="AI13" authorId="0" shapeId="0" xr:uid="{00000000-0006-0000-0700-000013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t>
        </r>
        <r>
          <rPr>
            <b/>
            <sz val="9"/>
            <color indexed="81"/>
            <rFont val="Segoe UI"/>
            <family val="2"/>
          </rPr>
          <t>(R$ 56,5 milhões em outras receitas e despesas</t>
        </r>
        <r>
          <rPr>
            <sz val="9"/>
            <color indexed="81"/>
            <rFont val="Segoe UI"/>
            <family val="2"/>
          </rPr>
          <t xml:space="preserve">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r>
          <rPr>
            <b/>
            <sz val="9"/>
            <color indexed="81"/>
            <rFont val="Segoe UI"/>
            <family val="2"/>
          </rPr>
          <t xml:space="preserve">R$ 56.5 million in other revenues and expenses </t>
        </r>
        <r>
          <rPr>
            <sz val="9"/>
            <color indexed="81"/>
            <rFont val="Segoe UI"/>
            <family val="2"/>
          </rPr>
          <t>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t>
        </r>
      </text>
    </comment>
    <comment ref="AK13" authorId="4" shapeId="0" xr:uid="{00000000-0006-0000-0700-000014000000}">
      <text>
        <r>
          <rPr>
            <b/>
            <sz val="9"/>
            <color indexed="81"/>
            <rFont val="Segoe UI"/>
            <family val="2"/>
          </rPr>
          <t xml:space="preserve">PT - </t>
        </r>
        <r>
          <rPr>
            <sz val="9"/>
            <color indexed="81"/>
            <rFont val="Segoe UI"/>
            <family val="2"/>
          </rPr>
          <t xml:space="preserve">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AN13" authorId="0" shapeId="0" xr:uid="{00000000-0006-0000-0700-000015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O13" authorId="0" shapeId="0" xr:uid="{00000000-0006-0000-0700-000016000000}">
      <text>
        <r>
          <rPr>
            <sz val="9"/>
            <color indexed="81"/>
            <rFont val="Segoe UI"/>
            <family val="2"/>
          </rPr>
          <t xml:space="preserve">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
</t>
        </r>
      </text>
    </comment>
    <comment ref="AP13" authorId="5" shapeId="0" xr:uid="{00000000-0006-0000-0700-000017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Q13" authorId="0" shapeId="0" xr:uid="{00000000-0006-0000-0700-000018000000}">
      <text>
        <r>
          <rPr>
            <sz val="9"/>
            <color indexed="81"/>
            <rFont val="Segoe UI"/>
            <family val="2"/>
          </rPr>
          <t xml:space="preserve">NÚMERO AJUSTADO!
PT - Despesas com assessorias financeiras e jurídicas relacionadas à oferta hostil de combinação de negócios recebida no trimestre: R$ 1,1 milhão
ADJUSTED NUMBER!
Eng - Financial and legal advisory expenses related to the hostile business combination bid received in the quarter: R$1.1 million
</t>
        </r>
      </text>
    </comment>
    <comment ref="AR13" authorId="5" shapeId="0" xr:uid="{00000000-0006-0000-0700-000019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U13" authorId="6" shapeId="0" xr:uid="{00000000-0006-0000-0700-00001A000000}">
      <text>
        <r>
          <rPr>
            <sz val="9"/>
            <color indexed="81"/>
            <rFont val="Segoe UI"/>
            <family val="2"/>
          </rPr>
          <t>PT- Contingência cívil da ex controlada Direct Express de - R$ 6,6 milhões
Eng - Civil contingency of the former subsidiary Direct Express - R$ 6.6 million;</t>
        </r>
      </text>
    </comment>
    <comment ref="AV13" authorId="0" shapeId="0" xr:uid="{00000000-0006-0000-0700-00001B000000}">
      <text>
        <r>
          <rPr>
            <sz val="9"/>
            <color indexed="81"/>
            <rFont val="Segoe UI"/>
            <family val="2"/>
          </rPr>
          <t xml:space="preserve">PT- Créditos de PIS/ COFINS da controlada Catlog (líquido de honorários advocatícios) - R$ 5,5 milhões
Eng - PIS/ COFINS tax credits from the subsidiary Catlog (net of lawyer fees) - R$ 5.5 million
</t>
        </r>
      </text>
    </comment>
    <comment ref="BI13" authorId="0" shapeId="0" xr:uid="{48952142-E0AE-4A48-B08B-DB4F46FD44E7}">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text>
    </comment>
    <comment ref="BJ13" authorId="0" shapeId="0" xr:uid="{00000000-0006-0000-0700-00001C000000}">
      <text>
        <r>
          <rPr>
            <b/>
            <sz val="9"/>
            <color indexed="81"/>
            <rFont val="Segoe UI"/>
            <family val="2"/>
          </rPr>
          <t>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t>
        </r>
      </text>
    </comment>
    <comment ref="AB19" authorId="1" shapeId="0" xr:uid="{00000000-0006-0000-0700-00001D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Menção na nota 8 de impostos a recuperar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Mentin on taxes to recover note 8</t>
        </r>
      </text>
    </comment>
    <comment ref="Z20" authorId="1" shapeId="0" xr:uid="{00000000-0006-0000-0700-00001E000000}">
      <text>
        <r>
          <rPr>
            <sz val="9"/>
            <color indexed="81"/>
            <rFont val="Segoe UI"/>
            <family val="2"/>
          </rPr>
          <t>PT - Nota 14 - Depósitos judiciais e provisão para demandas judiciais /
Passivo contingente decorrente de combinação de negócios
EN - Note 14 - Judicial deposits and provision for lawsuits /
Contingent liability arising from a business combination</t>
        </r>
      </text>
    </comment>
    <comment ref="AN22" authorId="0" shapeId="0" xr:uid="{00000000-0006-0000-0700-00001F000000}">
      <text>
        <r>
          <rPr>
            <sz val="9"/>
            <color indexed="81"/>
            <rFont val="Segoe UI"/>
            <family val="2"/>
          </rPr>
          <t xml:space="preserve">PT: Custos e despesas relacionados à desmobilização de um armazém em Barueri-SP no montante de R$ 5,2 M
Eng: Costs and expenses related to demobilization of a warehouse in Barueri-SP amounting R$ 5.2 M
</t>
        </r>
      </text>
    </comment>
    <comment ref="AB26" authorId="1" shapeId="0" xr:uid="{00000000-0006-0000-0700-000020000000}">
      <text>
        <r>
          <rPr>
            <sz val="9"/>
            <color indexed="81"/>
            <rFont val="Segoe UI"/>
            <family val="2"/>
          </rPr>
          <t>PT - Menção na nota 14 de Depósitos judiciais e provisão para demandas judiciais
EN - Mention on note 14 - judicial deposits and legal provisions</t>
        </r>
      </text>
    </comment>
    <comment ref="P40" authorId="1" shapeId="0" xr:uid="{00000000-0006-0000-0700-000021000000}">
      <text>
        <r>
          <rPr>
            <sz val="9"/>
            <color indexed="81"/>
            <rFont val="Segoe UI"/>
            <family val="2"/>
          </rPr>
          <t>PT - A Companhia aderiu ao Programa de Recuperação Fiscal (REFIS) para quitação de débitos gerados por aproveitamento fiscal de ágios gerados por aquisições no valor de R$ 2.836
EN - The Company adhered to the Tax Recovery Program (REFIS) for the discharge of debts generated by the tax benefit of goodwill generated by acquisitions in the amount of R$2,836</t>
        </r>
      </text>
    </comment>
    <comment ref="T40" authorId="1" shapeId="0" xr:uid="{00000000-0006-0000-0700-000022000000}">
      <text>
        <r>
          <rPr>
            <sz val="9"/>
            <color indexed="81"/>
            <rFont val="Segoe UI"/>
            <family val="2"/>
          </rPr>
          <t>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t>
        </r>
      </text>
    </comment>
    <comment ref="U40" authorId="1" shapeId="0" xr:uid="{00000000-0006-0000-0700-000023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 $ 2,283.</t>
        </r>
      </text>
    </comment>
    <comment ref="W40" authorId="1" shapeId="0" xr:uid="{00000000-0006-0000-0700-000024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 $ 4,619</t>
        </r>
      </text>
    </comment>
    <comment ref="X40" authorId="1" shapeId="0" xr:uid="{00000000-0006-0000-0700-000025000000}">
      <text>
        <r>
          <rPr>
            <sz val="9"/>
            <color indexed="81"/>
            <rFont val="Segoe UI"/>
            <family val="2"/>
          </rPr>
          <t>PT - Atualização monetária do saldo recolhido de INSS sobre verbas indenizatórias entre 2011 e 2014 no montante de R$ 1.214 milhão positivo;
EN - Monetary updating of the balance collected from INSS on indemnity amounts between 2011 and 2014 in the amount of R $ 1,214 million positive;</t>
        </r>
      </text>
    </comment>
    <comment ref="Z40" authorId="2" shapeId="0" xr:uid="{00000000-0006-0000-0700-000026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AB40" authorId="1" shapeId="0" xr:uid="{00000000-0006-0000-0700-000027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
</t>
        </r>
      </text>
    </comment>
    <comment ref="AE40" authorId="0" shapeId="0" xr:uid="{00000000-0006-0000-0700-000028000000}">
      <text>
        <r>
          <rPr>
            <sz val="9"/>
            <color indexed="81"/>
            <rFont val="Segoe UI"/>
            <family val="2"/>
          </rPr>
          <t>PT - Juros e multa denúncia espontânea TCE R$ 2,030 M
Eng - Fine and interest upon spontaneous denouncement TCE R$ 2.030 M</t>
        </r>
      </text>
    </comment>
    <comment ref="AI40" authorId="0" shapeId="0" xr:uid="{00000000-0006-0000-0700-000029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t>
        </r>
        <r>
          <rPr>
            <b/>
            <sz val="9"/>
            <color indexed="81"/>
            <rFont val="Segoe UI"/>
            <family val="2"/>
          </rPr>
          <t>R$ 34,9 milhões em receitas financeiras referente à correção monetária</t>
        </r>
        <r>
          <rPr>
            <sz val="9"/>
            <color indexed="81"/>
            <rFont val="Segoe UI"/>
            <family val="2"/>
          </rPr>
          <t xml:space="preserve">), além de um custo de R$ 6,1 milhões referente aos honorários advocatícios da causa em questão (outros custos), </t>
        </r>
        <r>
          <rPr>
            <b/>
            <sz val="9"/>
            <color indexed="81"/>
            <rFont val="Segoe UI"/>
            <family val="2"/>
          </rPr>
          <t xml:space="preserve">R$ 1,6 milhão de PIS/COFINS sobre a receita financeira </t>
        </r>
        <r>
          <rPr>
            <sz val="9"/>
            <color indexed="81"/>
            <rFont val="Segoe UI"/>
            <family val="2"/>
          </rPr>
          <t xml:space="preserve">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t>
        </r>
        <r>
          <rPr>
            <b/>
            <sz val="9"/>
            <color indexed="81"/>
            <rFont val="Segoe UI"/>
            <family val="2"/>
          </rPr>
          <t xml:space="preserve">R$ 1.6 million of PIS/COFINS tax on financial income </t>
        </r>
        <r>
          <rPr>
            <sz val="9"/>
            <color indexed="81"/>
            <rFont val="Segoe UI"/>
            <family val="2"/>
          </rPr>
          <t>and provision of R$ 28.4 million of income tax on book entry.</t>
        </r>
      </text>
    </comment>
    <comment ref="AP40" authorId="0" shapeId="0" xr:uid="{00000000-0006-0000-0700-00002A000000}">
      <text>
        <r>
          <rPr>
            <sz val="9"/>
            <color indexed="81"/>
            <rFont val="Segoe UI"/>
            <family val="2"/>
          </rPr>
          <t xml:space="preserve">Pt - Correção monetária do Crédito de PIS e COFINS priveniente da Exclusão de ICMS na Base de Cálculo: R$3,4 milhões
Eng - Pt - Monetary adjustment of the PIS and COFINS Credit arising from the Exclusion of ICMS in the Calculation Base: R$3.4 million
</t>
        </r>
      </text>
    </comment>
    <comment ref="AV40" authorId="0" shapeId="0" xr:uid="{00000000-0006-0000-0700-00002B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r>
          <rPr>
            <sz val="9"/>
            <color indexed="81"/>
            <rFont val="Segoe UI"/>
            <family val="2"/>
          </rPr>
          <t xml:space="preserve">
</t>
        </r>
      </text>
    </comment>
    <comment ref="AX40" authorId="6" shapeId="0" xr:uid="{00000000-0006-0000-0700-00002C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BB40" authorId="0" shapeId="0" xr:uid="{00000000-0006-0000-0700-00002D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Z43" authorId="2" shapeId="0" xr:uid="{00000000-0006-0000-0700-00002E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EN - 2014 LALUR correction impacted by R $ 10.9 million 
- Payment of income tax on the Fundaf's lawsuit success R $ 1.9 million
- Deferred income tax constitution on a contingency of controlled capital Direct  R$ 5.1 million</t>
        </r>
      </text>
    </comment>
    <comment ref="AB43" authorId="1" shapeId="0" xr:uid="{00000000-0006-0000-0700-00002F000000}">
      <text>
        <r>
          <rPr>
            <b/>
            <sz val="9"/>
            <color indexed="81"/>
            <rFont val="Segoe UI"/>
            <family val="2"/>
          </rPr>
          <t xml:space="preserve">PT - Impacto no imposto de renda dos seguintes eventos: </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t>
        </r>
        <r>
          <rPr>
            <b/>
            <sz val="9"/>
            <color indexed="81"/>
            <rFont val="Segoe UI"/>
            <family val="2"/>
          </rPr>
          <t>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F43" authorId="3" shapeId="0" xr:uid="{00000000-0006-0000-0700-000030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I43" authorId="0" shapeId="0" xr:uid="{00000000-0006-0000-0700-000031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t>
        </r>
        <r>
          <rPr>
            <b/>
            <sz val="9"/>
            <color indexed="81"/>
            <rFont val="Segoe UI"/>
            <family val="2"/>
          </rPr>
          <t>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t>
        </r>
        <r>
          <rPr>
            <b/>
            <sz val="9"/>
            <color indexed="81"/>
            <rFont val="Segoe UI"/>
            <family val="2"/>
          </rPr>
          <t xml:space="preserve">R$ 28.4 million of income tax on book entry.
</t>
        </r>
      </text>
    </comment>
    <comment ref="AQ43" authorId="0" shapeId="0" xr:uid="{00000000-0006-0000-0700-000032000000}">
      <text>
        <r>
          <rPr>
            <sz val="9"/>
            <color indexed="81"/>
            <rFont val="Segoe UI"/>
            <family val="2"/>
          </rPr>
          <t xml:space="preserve">Pt - Crédito tributário extraordinário referente a imposto pago a maior R$12,9 milhões
Eng- Extraordinary tax credit regarding overpaid tax collection amounting R$ 12.9 million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Estrela Dantas dos Santos</author>
    <author>Rodolpho Magdaloni Agria</author>
    <author>Ian Nunes Costa e Costa</author>
  </authors>
  <commentList>
    <comment ref="Y11" authorId="0" shapeId="0" xr:uid="{00000000-0006-0000-0800-000001000000}">
      <text>
        <r>
          <rPr>
            <b/>
            <sz val="9"/>
            <color indexed="81"/>
            <rFont val="Segoe UI"/>
            <family val="2"/>
          </rPr>
          <t xml:space="preserve">PT- </t>
        </r>
        <r>
          <rPr>
            <sz val="9"/>
            <color indexed="81"/>
            <rFont val="Segoe UI"/>
            <family val="2"/>
          </rPr>
          <t>O fluxo operacional do 1T20 foi impactado pelo aproveitamento do crédito de PIS COFINS (R$ 18 milhões líquido de IR/CS.</t>
        </r>
        <r>
          <rPr>
            <b/>
            <sz val="9"/>
            <color indexed="81"/>
            <rFont val="Segoe UI"/>
            <family val="2"/>
          </rPr>
          <t xml:space="preserve">
Eng - </t>
        </r>
        <r>
          <rPr>
            <sz val="9"/>
            <color indexed="81"/>
            <rFont val="Segoe UI"/>
            <family val="2"/>
          </rPr>
          <t>The operating flow in 1Q20 was impacted by the use of the PIS COFINS tax credit (R$ 18 million, net of income tax).</t>
        </r>
        <r>
          <rPr>
            <b/>
            <sz val="9"/>
            <color indexed="81"/>
            <rFont val="Segoe UI"/>
            <family val="2"/>
          </rPr>
          <t xml:space="preserve"> </t>
        </r>
      </text>
    </comment>
    <comment ref="N21" authorId="1" shapeId="0" xr:uid="{00000000-0006-0000-0800-000002000000}">
      <text>
        <r>
          <rPr>
            <sz val="9"/>
            <color indexed="81"/>
            <rFont val="Segoe UI"/>
            <family val="2"/>
          </rPr>
          <t>PT - Contingência cívil da ex controlada Direct Express de R$ 16,9 milhões.
EN - Tax contingency of the former subsidiary Direct Express of R $ 16.9 million</t>
        </r>
      </text>
    </comment>
    <comment ref="T28" authorId="2" shapeId="0" xr:uid="{00000000-0006-0000-0800-000003000000}">
      <text>
        <r>
          <rPr>
            <b/>
            <sz val="9"/>
            <color indexed="81"/>
            <rFont val="Segoe UI"/>
            <family val="2"/>
          </rPr>
          <t>Ian Nunes Costa e Costa:</t>
        </r>
        <r>
          <rPr>
            <sz val="9"/>
            <color indexed="81"/>
            <rFont val="Segoe UI"/>
            <family val="2"/>
          </rPr>
          <t xml:space="preserve">
</t>
        </r>
      </text>
    </comment>
    <comment ref="W28" authorId="2" shapeId="0" xr:uid="{00000000-0006-0000-0800-000004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text>
    </comment>
    <comment ref="P40" authorId="1" shapeId="0" xr:uid="{00000000-0006-0000-0800-000005000000}">
      <text>
        <r>
          <rPr>
            <sz val="9"/>
            <color indexed="81"/>
            <rFont val="Segoe UI"/>
            <family val="2"/>
          </rPr>
          <t xml:space="preserve">PT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impactando positivamente o imposto de renda do 4T17 em R$ 0,8 milhão. Vide nota 9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text>
    </comment>
    <comment ref="N47" authorId="1" shapeId="0" xr:uid="{00000000-0006-0000-0800-000006000000}">
      <text>
        <r>
          <rPr>
            <sz val="9"/>
            <color indexed="81"/>
            <rFont val="Segoe UI"/>
            <family val="2"/>
          </rPr>
          <t>PT - Ganho de causa Fundaf R$ 13,7 mi
EN - Fundaf Dispute gain (R$ 13.7 million)</t>
        </r>
      </text>
    </comment>
    <comment ref="O49" authorId="1" shapeId="0" xr:uid="{00000000-0006-0000-0800-000007000000}">
      <text>
        <r>
          <rPr>
            <sz val="9"/>
            <color indexed="81"/>
            <rFont val="Segoe UI"/>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trade combination receivables / indemnities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 ref="W49" authorId="2" shapeId="0" xr:uid="{00000000-0006-0000-0800-000008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V52" authorId="2" shapeId="0" xr:uid="{00000000-0006-0000-0800-000009000000}">
      <text>
        <r>
          <rPr>
            <sz val="9"/>
            <color indexed="81"/>
            <rFont val="Segoe UI"/>
            <family val="2"/>
          </rPr>
          <t>PT - No 2T19 recebemos R$ 12,3 milhões relacionado ao ganho de causa que questionou o recolhimento da contribuição ao FUNDAF sobre as receitas de serviços alfandegários da sua operação em Cariacica-ES.
Eng - In 2Q19, we received R$ 12.3 million from the lawsuit which Tegma requested to be exempted from contributing to FUNDAF regarding a tax on revenue from customs bonded services at its operation in Cariacica-ES.</t>
        </r>
      </text>
    </comment>
    <comment ref="W58" authorId="2" shapeId="0" xr:uid="{00000000-0006-0000-0800-00000A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Q19" authorId="0" shapeId="0" xr:uid="{00000000-0006-0000-0900-000001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S19" authorId="0" shapeId="0" xr:uid="{00000000-0006-0000-0900-000002000000}">
      <text>
        <r>
          <rPr>
            <sz val="9"/>
            <color indexed="81"/>
            <rFont val="Segoe UI"/>
            <family val="2"/>
          </rPr>
          <t>PT - Atualização monetária do reconhecimento do crédito de PIS/COFINS e da adesão ao PERT resultaram numa receita positiva de R$ 13,0 milhões
ENN - PIS/COFINS credit recognition' monetary update and the PERT adhesion resulted in a positive financial result of R$ 13.0 million</t>
        </r>
      </text>
    </comment>
    <comment ref="Q30" authorId="0" shapeId="0" xr:uid="{00000000-0006-0000-0900-000003000000}">
      <text>
        <r>
          <rPr>
            <sz val="9"/>
            <color indexed="81"/>
            <rFont val="Segoe UI"/>
            <family val="2"/>
          </rPr>
          <t xml:space="preserve">
</t>
        </r>
      </text>
    </comment>
    <comment ref="S30" authorId="0" shapeId="0" xr:uid="{00000000-0006-0000-0900-000004000000}">
      <text>
        <r>
          <rPr>
            <sz val="9"/>
            <color indexed="81"/>
            <rFont val="Segoe UI"/>
            <family val="2"/>
          </rPr>
          <t>PT -Crédito de PIS/COFINS resultou num ganho de R$ 29,2 milhões
EN - PIS/COFINS tax credit recognition in the amount of R$ 29.2 million</t>
        </r>
      </text>
    </comment>
    <comment ref="Q31" authorId="0" shapeId="0" xr:uid="{00000000-0006-0000-0900-000005000000}">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Ian Nunes Costa e Costa</author>
    <author>William Estrela Dantas dos Santos</author>
  </authors>
  <commentList>
    <comment ref="AI25" authorId="0" shapeId="0" xr:uid="{00000000-0006-0000-0B00-000001000000}">
      <text>
        <r>
          <rPr>
            <sz val="9"/>
            <color indexed="81"/>
            <rFont val="Segoe UI"/>
            <family val="2"/>
          </rPr>
          <t xml:space="preserve">PT: Sem considerar Crédito de PIS/Cofins, ROE Seria de 26,3%.
Eng: Not considering Pis/Cofins tax credit RoE would be 26.3%
</t>
        </r>
      </text>
    </comment>
    <comment ref="AJ25" authorId="0" shapeId="0" xr:uid="{00000000-0006-0000-0B00-000002000000}">
      <text>
        <r>
          <rPr>
            <sz val="9"/>
            <color indexed="81"/>
            <rFont val="Segoe UI"/>
            <family val="2"/>
          </rPr>
          <t xml:space="preserve">PT: Sem considerar Crédito de PIS/Cofins, ROE Seria de 27,9%.
Eng: Not considering Pis/Cofins tax credit RoE would be 27.9%
</t>
        </r>
      </text>
    </comment>
    <comment ref="AK25" authorId="0" shapeId="0" xr:uid="{00000000-0006-0000-0B00-000003000000}">
      <text>
        <r>
          <rPr>
            <sz val="9"/>
            <color indexed="81"/>
            <rFont val="Segoe UI"/>
            <family val="2"/>
          </rPr>
          <t>PT: Sem considerar Crédito de PIS/Cofins, ROE Seria de 25,8%.
Eng: Not considering Pis/Cofins tax credit RoE would be 25.8%</t>
        </r>
      </text>
    </comment>
    <comment ref="AL25" authorId="0" shapeId="0" xr:uid="{00000000-0006-0000-0B00-000004000000}">
      <text>
        <r>
          <rPr>
            <sz val="9"/>
            <color indexed="81"/>
            <rFont val="Segoe UI"/>
            <family val="2"/>
          </rPr>
          <t>PT: Sem considerar Crédito de PIS/Cofins, ROE Seria de 19,7%.
Eng: Not considering Pis/Cofins tax credit RoE would be 19.7%</t>
        </r>
      </text>
    </comment>
    <comment ref="AI26" authorId="0" shapeId="0" xr:uid="{00000000-0006-0000-0B00-000005000000}">
      <text>
        <r>
          <rPr>
            <sz val="9"/>
            <color indexed="81"/>
            <rFont val="Segoe UI"/>
            <family val="2"/>
          </rPr>
          <t>PT: Sem considerar Crédito de PIS/Cofins, ROIC Seria de 29,5%.
Eng: Not considering Pis/Cofins tax credit Roic would be 29.5%</t>
        </r>
      </text>
    </comment>
    <comment ref="AJ26" authorId="1" shapeId="0" xr:uid="{00000000-0006-0000-0B00-000006000000}">
      <text>
        <r>
          <rPr>
            <sz val="9"/>
            <color indexed="81"/>
            <rFont val="Segoe UI"/>
            <family val="2"/>
          </rPr>
          <t>PT: Sem considerar Crédito de PIS/Cofins, ROIC Seria de 29,4%.
Eng: Not considering Pis/Cofins tax credit Roic would be 29.4%</t>
        </r>
      </text>
    </comment>
    <comment ref="AK26" authorId="0" shapeId="0" xr:uid="{00000000-0006-0000-0B00-000007000000}">
      <text>
        <r>
          <rPr>
            <sz val="9"/>
            <color indexed="81"/>
            <rFont val="Segoe UI"/>
            <family val="2"/>
          </rPr>
          <t>PT: Sem considerar Crédito de PIS/Cofins, ROIC Seria de 26,9%.
Eng: Not considering Pis/Cofins tax credit Roic would be 26.9%</t>
        </r>
      </text>
    </comment>
    <comment ref="AL26" authorId="0" shapeId="0" xr:uid="{00000000-0006-0000-0B00-000008000000}">
      <text>
        <r>
          <rPr>
            <sz val="9"/>
            <color indexed="81"/>
            <rFont val="Segoe UI"/>
            <family val="2"/>
          </rPr>
          <t>PT: Sem considerar Crédito de PIS/Cofins, ROIC Seria de 18,3%.
Eng: Not considering Pis/Cofins tax credit Roic would be 18,3%</t>
        </r>
      </text>
    </comment>
  </commentList>
</comments>
</file>

<file path=xl/sharedStrings.xml><?xml version="1.0" encoding="utf-8"?>
<sst xmlns="http://schemas.openxmlformats.org/spreadsheetml/2006/main" count="34258" uniqueCount="2402">
  <si>
    <t>4T13</t>
  </si>
  <si>
    <t>3T13</t>
  </si>
  <si>
    <t>2T13</t>
  </si>
  <si>
    <t>1T13</t>
  </si>
  <si>
    <t>4T12</t>
  </si>
  <si>
    <t>3T12</t>
  </si>
  <si>
    <t>2T12</t>
  </si>
  <si>
    <t>1T12</t>
  </si>
  <si>
    <t>EBITDA</t>
  </si>
  <si>
    <t>Lucro operacional</t>
  </si>
  <si>
    <t>(-) Imposto de renda e contribuição social</t>
  </si>
  <si>
    <t>Logística de Veículos</t>
  </si>
  <si>
    <t>Armazenagem</t>
  </si>
  <si>
    <t>Lucro bruto</t>
  </si>
  <si>
    <t>Lucro antes do IR e da CS</t>
  </si>
  <si>
    <t>Imposto de renda e contribuição social</t>
  </si>
  <si>
    <t>Empréstimos e financiamentos</t>
  </si>
  <si>
    <t>Aplicações financeiras</t>
  </si>
  <si>
    <t>Parcelamento de tributos</t>
  </si>
  <si>
    <t>Impostos a recuperar</t>
  </si>
  <si>
    <t>Salários e encargos sociais</t>
  </si>
  <si>
    <t>Instrumentos financeiros derivativos - Swap</t>
  </si>
  <si>
    <t>Despesas antecipadas</t>
  </si>
  <si>
    <t>Debêntures</t>
  </si>
  <si>
    <t>Demais contas a pagar</t>
  </si>
  <si>
    <t>Partes relacionadas</t>
  </si>
  <si>
    <t>Demais contas a receber</t>
  </si>
  <si>
    <t>Depósitos judiciais</t>
  </si>
  <si>
    <t>Investimentos</t>
  </si>
  <si>
    <t>Imobilizado</t>
  </si>
  <si>
    <t>Intangível</t>
  </si>
  <si>
    <t>Capital social</t>
  </si>
  <si>
    <t>Ações em tesouraria</t>
  </si>
  <si>
    <t>Logística automotiva</t>
  </si>
  <si>
    <t>Logística integrada</t>
  </si>
  <si>
    <t>Ativo circulante</t>
  </si>
  <si>
    <t>Contas a receber</t>
  </si>
  <si>
    <t>Ativo não circulante</t>
  </si>
  <si>
    <t>Total do ativo</t>
  </si>
  <si>
    <t>Passivo circulante</t>
  </si>
  <si>
    <t>Tributos a recolher</t>
  </si>
  <si>
    <t>Opção de compra em controlada</t>
  </si>
  <si>
    <t>Passivo não circulante</t>
  </si>
  <si>
    <t>Patrimônio líquido</t>
  </si>
  <si>
    <t>Total do passivo e do patrimônio líquido</t>
  </si>
  <si>
    <t>1T14</t>
  </si>
  <si>
    <t>(-) Resultado financeiro</t>
  </si>
  <si>
    <t>(-) Equivalência patrimonial</t>
  </si>
  <si>
    <t>Com pessoal</t>
  </si>
  <si>
    <t>Outros</t>
  </si>
  <si>
    <t>Baixa preço variável</t>
  </si>
  <si>
    <t>(Ganho)/Prejui. venda de ativo</t>
  </si>
  <si>
    <t>Desmobilização de Operações</t>
  </si>
  <si>
    <t>Custo de Indenização</t>
  </si>
  <si>
    <t>Dividendos a Receber</t>
  </si>
  <si>
    <t>2T14</t>
  </si>
  <si>
    <t>Receita líquida</t>
  </si>
  <si>
    <t>Lucro líquido sem operação descontinuada</t>
  </si>
  <si>
    <t>Ativos de operação descontinuada</t>
  </si>
  <si>
    <t>Passivos de operação descontinuada</t>
  </si>
  <si>
    <t>1T11</t>
  </si>
  <si>
    <t>2T11</t>
  </si>
  <si>
    <t>3T11</t>
  </si>
  <si>
    <t>4T11</t>
  </si>
  <si>
    <t>CAPEX</t>
  </si>
  <si>
    <t>* Sem depreciação e amortização</t>
  </si>
  <si>
    <t>Receita bruta</t>
  </si>
  <si>
    <t>EBITDA ajustado</t>
  </si>
  <si>
    <t>Margem EBITDA ajustado</t>
  </si>
  <si>
    <t>Logística Automotiva</t>
  </si>
  <si>
    <t>Logística Integrada</t>
  </si>
  <si>
    <t>3T14</t>
  </si>
  <si>
    <t>Lucro líquido</t>
  </si>
  <si>
    <t>TOTAL</t>
  </si>
  <si>
    <t>² Informações ajustadas dos efeitos extraordinários relacionados à venda da Direct, detalhada na aba "Anexos"</t>
  </si>
  <si>
    <t>Caixa e equivalentes de caixa</t>
  </si>
  <si>
    <t>Dívida líquida</t>
  </si>
  <si>
    <t>4T14</t>
  </si>
  <si>
    <t>Imposto de renda e contribuição social a recuperar</t>
  </si>
  <si>
    <t>Ativos não circulantes mantidos para venda</t>
  </si>
  <si>
    <t>Imposto de renda e contribuição social diferidos</t>
  </si>
  <si>
    <t xml:space="preserve">Seguros e aluguéis a pagar </t>
  </si>
  <si>
    <t>Provisões para demandas judiciais</t>
  </si>
  <si>
    <t>Outros exigiveis a longo prazo</t>
  </si>
  <si>
    <t>Reservas de capital</t>
  </si>
  <si>
    <t>Reservas de lucros</t>
  </si>
  <si>
    <t>Participação dos não controladores</t>
  </si>
  <si>
    <t>1T15</t>
  </si>
  <si>
    <t>2T15</t>
  </si>
  <si>
    <t xml:space="preserve"> </t>
  </si>
  <si>
    <t>Títulos a vencer</t>
  </si>
  <si>
    <t>Títulos vencidos até 30 dias</t>
  </si>
  <si>
    <t>Títulos vencidos de 31 até 90 dias</t>
  </si>
  <si>
    <t>Títulos vencidos de 91 até 180 dias</t>
  </si>
  <si>
    <t>Contas a Receber</t>
  </si>
  <si>
    <t>Títulos vencidos a mais de 180 dias</t>
  </si>
  <si>
    <t>Consolidado</t>
  </si>
  <si>
    <t>Controladora</t>
  </si>
  <si>
    <t>Controladas</t>
  </si>
  <si>
    <t>IRRF sobre serviços e outros</t>
  </si>
  <si>
    <t>INSS a recuperar</t>
  </si>
  <si>
    <t>IRRF sobre aplicações financeiras</t>
  </si>
  <si>
    <t>PIS e Cofins</t>
  </si>
  <si>
    <t>ICMS a recuperar</t>
  </si>
  <si>
    <t>CONSOLIDADO</t>
  </si>
  <si>
    <t>Terrenos</t>
  </si>
  <si>
    <t>Edifícios</t>
  </si>
  <si>
    <t>Computadores e periféricos</t>
  </si>
  <si>
    <t>Instalações</t>
  </si>
  <si>
    <t>Veículos</t>
  </si>
  <si>
    <t>Imobilizado andamento</t>
  </si>
  <si>
    <t>Software</t>
  </si>
  <si>
    <t>Total</t>
  </si>
  <si>
    <t>CONTROLADORA</t>
  </si>
  <si>
    <t>CONTROLADAS</t>
  </si>
  <si>
    <t>Perda provável</t>
  </si>
  <si>
    <t xml:space="preserve">Perda possível </t>
  </si>
  <si>
    <t xml:space="preserve">Perda remota </t>
  </si>
  <si>
    <t>Pedágio</t>
  </si>
  <si>
    <t>Aluguel</t>
  </si>
  <si>
    <t>Seguros</t>
  </si>
  <si>
    <t>Serviços de consultoria</t>
  </si>
  <si>
    <t>Manutenções diversas</t>
  </si>
  <si>
    <t>Combustível</t>
  </si>
  <si>
    <t>Indenizações a Pagar</t>
  </si>
  <si>
    <t>Assessoria técnica / terraplanagem</t>
  </si>
  <si>
    <t>Perdas com créditos incobráveis</t>
  </si>
  <si>
    <t>Ajustes de estoques</t>
  </si>
  <si>
    <t>Outras</t>
  </si>
  <si>
    <t>Outras receitas (despesas), líquidas</t>
  </si>
  <si>
    <t>Direct</t>
  </si>
  <si>
    <t>Serviços de fretes – agregados</t>
  </si>
  <si>
    <t>Salários</t>
  </si>
  <si>
    <t>Serviços terceirizados</t>
  </si>
  <si>
    <t>Encargos sociais</t>
  </si>
  <si>
    <t>Alugueis e leasing</t>
  </si>
  <si>
    <t>Benefícios a empregados</t>
  </si>
  <si>
    <t>Depreciação e amortização</t>
  </si>
  <si>
    <t>Outros gastos com pessoal</t>
  </si>
  <si>
    <t>Manutenção</t>
  </si>
  <si>
    <t>Outros gastos gerais</t>
  </si>
  <si>
    <t>Comunicação</t>
  </si>
  <si>
    <t>Combustiveis e lubrificantes</t>
  </si>
  <si>
    <t>Utilidades</t>
  </si>
  <si>
    <t>Materiais</t>
  </si>
  <si>
    <t>Contribuições e doações</t>
  </si>
  <si>
    <t>Despesa de viagem</t>
  </si>
  <si>
    <t>Indenização de extravio</t>
  </si>
  <si>
    <t>Custo do serviços prestados, despesas gerais e administrativas e despesas comerciais</t>
  </si>
  <si>
    <t xml:space="preserve"> -</t>
  </si>
  <si>
    <t>Resultado positivo de operação de Swap</t>
  </si>
  <si>
    <t>Ganhos cambiais</t>
  </si>
  <si>
    <t>Juros ativos</t>
  </si>
  <si>
    <t>Receitas  financeiras</t>
  </si>
  <si>
    <t>Juros sobre financiamentos bancários</t>
  </si>
  <si>
    <t>Perdas cambiais</t>
  </si>
  <si>
    <t>Resultado negativo de operação de Swap</t>
  </si>
  <si>
    <t>Despesas bancárias</t>
  </si>
  <si>
    <t>Juros passivos</t>
  </si>
  <si>
    <t>Despesas  financeiras</t>
  </si>
  <si>
    <t>-</t>
  </si>
  <si>
    <t>Menos de 1 ano</t>
  </si>
  <si>
    <t>Entre 1 e 2 anos</t>
  </si>
  <si>
    <t>Em 30 de junho de 2015</t>
  </si>
  <si>
    <t>Fornecedores e fretes a pagar</t>
  </si>
  <si>
    <t>Seguros e aluguéis a pagar</t>
  </si>
  <si>
    <t>Em 31 de março de 2015</t>
  </si>
  <si>
    <t>Em 31 de dezembro de 2014</t>
  </si>
  <si>
    <t>Em 30 de setembro de 2014</t>
  </si>
  <si>
    <t>Em 30 de junho de 2014</t>
  </si>
  <si>
    <t>Em 31 de março de 2014</t>
  </si>
  <si>
    <t>Em 31 de dezembro de 2013</t>
  </si>
  <si>
    <t>Contas a pagar - Preço variável</t>
  </si>
  <si>
    <t>31 de março de 2014</t>
  </si>
  <si>
    <t>30 de junho de 2014</t>
  </si>
  <si>
    <t>30 de setembro de 2014</t>
  </si>
  <si>
    <t>31 de dezembro de 2014</t>
  </si>
  <si>
    <t>31 de março de 2015</t>
  </si>
  <si>
    <t>30 de junho de 2015</t>
  </si>
  <si>
    <t>Exposição líquida</t>
  </si>
  <si>
    <t>Despesa</t>
  </si>
  <si>
    <t>Total do patrimônio líquido</t>
  </si>
  <si>
    <t>Índice de alavancagem financeira</t>
  </si>
  <si>
    <t>Recursos em banco e em caixa</t>
  </si>
  <si>
    <t>Contas a receber da venda de produtos e serviços:</t>
  </si>
  <si>
    <t xml:space="preserve">Contas a receber no Brasil </t>
  </si>
  <si>
    <t xml:space="preserve"> Circulante</t>
  </si>
  <si>
    <t>Não circulante</t>
  </si>
  <si>
    <t>Saldo inicial</t>
  </si>
  <si>
    <t>Adições</t>
  </si>
  <si>
    <t xml:space="preserve">Reversões </t>
  </si>
  <si>
    <t>Saldo final</t>
  </si>
  <si>
    <t>Transferencia operação descontinuada (i)</t>
  </si>
  <si>
    <t>Valor a receber venda Direct</t>
  </si>
  <si>
    <t>Sinistros a Recuperar</t>
  </si>
  <si>
    <t>Adiantamento funcionários</t>
  </si>
  <si>
    <t>Adiantamento a Fornecedores</t>
  </si>
  <si>
    <t>Recuperação de despesas a receber</t>
  </si>
  <si>
    <t>Recuperação de extravio, furtos e roubos</t>
  </si>
  <si>
    <t>Valores a receber</t>
  </si>
  <si>
    <t>Outros creditos</t>
  </si>
  <si>
    <t>Circulante</t>
  </si>
  <si>
    <t>Controle integral</t>
  </si>
  <si>
    <t>Direct Express Logística Integrada S.A. (Direct)</t>
  </si>
  <si>
    <t xml:space="preserve">Tegma Cargas Especiais Ltda. (TCE) </t>
  </si>
  <si>
    <t xml:space="preserve">Tegma Logística Integrada S.A. (TLI) </t>
  </si>
  <si>
    <t>Niyati Empreendimentos e Participações Ltda (Niyati)</t>
  </si>
  <si>
    <t>PDI Comércio e Indústria e Serviços Ltda. (PDI)</t>
  </si>
  <si>
    <t>Tegmax Comércio e Serviços Automotivos Ltda. (Tegmax)</t>
  </si>
  <si>
    <t>Controle proporcional sem consolidação</t>
  </si>
  <si>
    <t>Catlog Logística de Transportes S.A. (Catlog)</t>
  </si>
  <si>
    <t>Tegma Venezuela S.A. (TV)</t>
  </si>
  <si>
    <t>Total de investimento controladora</t>
  </si>
  <si>
    <t>TCE</t>
  </si>
  <si>
    <t>TLI</t>
  </si>
  <si>
    <t>Niyati</t>
  </si>
  <si>
    <t>PDI</t>
  </si>
  <si>
    <t>Catlog</t>
  </si>
  <si>
    <t>Tegmax</t>
  </si>
  <si>
    <t>TGI</t>
  </si>
  <si>
    <t>TV</t>
  </si>
  <si>
    <t>Guriel</t>
  </si>
  <si>
    <t>Em 31 de dezembro de 2012</t>
  </si>
  <si>
    <t>Aumento de investimento</t>
  </si>
  <si>
    <t>Adiantamento para futuro aumento de capital</t>
  </si>
  <si>
    <t>Equivalência patrimonial</t>
  </si>
  <si>
    <t>Provisão para passivo a descoberto</t>
  </si>
  <si>
    <t>Dividendos distribuídos</t>
  </si>
  <si>
    <t>Transferência para passivo a descoberto</t>
  </si>
  <si>
    <t>Transferência incorporação</t>
  </si>
  <si>
    <t>Variação cambial de investimento</t>
  </si>
  <si>
    <t>Transferência para operações descontinuadas</t>
  </si>
  <si>
    <t>Incorporação</t>
  </si>
  <si>
    <t>Guriel Empreendimentos e Participações Ltda. (Guriel)</t>
  </si>
  <si>
    <t>Ativo</t>
  </si>
  <si>
    <t>Direct (Consolidado)</t>
  </si>
  <si>
    <t>31 de dezembro de 2013</t>
  </si>
  <si>
    <t xml:space="preserve">     </t>
  </si>
  <si>
    <t xml:space="preserve"> Imobilizado</t>
  </si>
  <si>
    <t>Passivo e patrimônio líquido</t>
  </si>
  <si>
    <t xml:space="preserve"> Patrimônio líquido</t>
  </si>
  <si>
    <t xml:space="preserve"> Receita líquida</t>
  </si>
  <si>
    <t>Custo dos serviços prestados</t>
  </si>
  <si>
    <t>Despesas gerais e administrativas</t>
  </si>
  <si>
    <t>Receitas financeiras, líquidas</t>
  </si>
  <si>
    <t>Outras (despesas) receitas, líquidas</t>
  </si>
  <si>
    <t>Lucro líquido/(prejuízo) do exercício</t>
  </si>
  <si>
    <t>Amortização</t>
  </si>
  <si>
    <t>Adição</t>
  </si>
  <si>
    <t xml:space="preserve">    Direct Logística Integrada S.A.</t>
  </si>
  <si>
    <t xml:space="preserve">   Trans Commerce Transportes de Cargas Ltda.</t>
  </si>
  <si>
    <t xml:space="preserve">   Tegma Logística Integrada S.A.</t>
  </si>
  <si>
    <t xml:space="preserve">   Tegma Cargas Expecias Ltda.</t>
  </si>
  <si>
    <t xml:space="preserve">   Catlog Logística de Transportes S.A.</t>
  </si>
  <si>
    <t xml:space="preserve">   PDI comércio, Indústria e Serviços Ltda.</t>
  </si>
  <si>
    <t>Transferência (i)</t>
  </si>
  <si>
    <t>Baixa</t>
  </si>
  <si>
    <t>Baixa (i)</t>
  </si>
  <si>
    <t>Transferência (ii)</t>
  </si>
  <si>
    <t>Ágio pago na aquisição de investimentos</t>
  </si>
  <si>
    <t>Projeto Implantação TLI</t>
  </si>
  <si>
    <t>Intangível pago na aquisição de investimentos</t>
  </si>
  <si>
    <t xml:space="preserve"> Aquisição Trans Commerce</t>
  </si>
  <si>
    <t xml:space="preserve">    Carteira de agregrados </t>
  </si>
  <si>
    <t xml:space="preserve">    Relacionamento com clientes</t>
  </si>
  <si>
    <t xml:space="preserve"> Aquisição Direct</t>
  </si>
  <si>
    <t xml:space="preserve">   Marcas registradas e licenças </t>
  </si>
  <si>
    <t xml:space="preserve">   Relações contratuais com clientes </t>
  </si>
  <si>
    <t xml:space="preserve">   Custos de desenvolvimento de softwares </t>
  </si>
  <si>
    <t xml:space="preserve">      Nortev</t>
  </si>
  <si>
    <t xml:space="preserve">      Boni Amazon</t>
  </si>
  <si>
    <t>Líquido</t>
  </si>
  <si>
    <t>30/06/2014</t>
  </si>
  <si>
    <t xml:space="preserve">Finame </t>
  </si>
  <si>
    <t>Total dos empréstimos e financiamentos</t>
  </si>
  <si>
    <t>(-) Circulante</t>
  </si>
  <si>
    <t>Instrumentos financeiros derivativos - swap</t>
  </si>
  <si>
    <t>Total contratos de swap</t>
  </si>
  <si>
    <t>Total de debêntures</t>
  </si>
  <si>
    <t>Empréstimo e financiamento líquido de swap e debêntures</t>
  </si>
  <si>
    <t>INSS</t>
  </si>
  <si>
    <t>FGTS</t>
  </si>
  <si>
    <t>Salários a pagar</t>
  </si>
  <si>
    <t>Provisão para 13° salário</t>
  </si>
  <si>
    <t>Base negativa da contribuição social</t>
  </si>
  <si>
    <t>Ajuste projeção de alíquota efetiva</t>
  </si>
  <si>
    <t>Diferenças temporárias</t>
  </si>
  <si>
    <t xml:space="preserve">    Provisões para PLR e gratificação</t>
  </si>
  <si>
    <t xml:space="preserve">    Provisões para demandas judiciais</t>
  </si>
  <si>
    <t xml:space="preserve">    Provisões para fretes a pagar</t>
  </si>
  <si>
    <t xml:space="preserve">    Provisões para indenizações</t>
  </si>
  <si>
    <t xml:space="preserve">    Outras</t>
  </si>
  <si>
    <t>Subtotal</t>
  </si>
  <si>
    <t>Swap</t>
  </si>
  <si>
    <t>Despesas financeiras</t>
  </si>
  <si>
    <t>Receitas financeiras</t>
  </si>
  <si>
    <t>Total do passivo</t>
  </si>
  <si>
    <t>Receita bruta de serviços</t>
  </si>
  <si>
    <t>Descontos, seguros e pedágio</t>
  </si>
  <si>
    <t>Impostos incidentes</t>
  </si>
  <si>
    <t>Receita líquida de serviços</t>
  </si>
  <si>
    <t>Obrigações brutas de arrendamento operacional - Pagamentos mínimos de arrendamento</t>
  </si>
  <si>
    <t>Até um ano</t>
  </si>
  <si>
    <t>De dois a cinco anos</t>
  </si>
  <si>
    <t>Acima de cinco anos</t>
  </si>
  <si>
    <t>31/08/2014</t>
  </si>
  <si>
    <t>Jan/2013 a Set/2013</t>
  </si>
  <si>
    <t>Out/2013 a Dez/2013</t>
  </si>
  <si>
    <t>Jan/2013 a Dez/2013</t>
  </si>
  <si>
    <t>Jan/2014 a Mar/2014</t>
  </si>
  <si>
    <t>Jan/2014 a Jun/2014</t>
  </si>
  <si>
    <t>Jul/2014 a Ago/2014</t>
  </si>
  <si>
    <t>Jan/2014 a Ago/2014</t>
  </si>
  <si>
    <t>Jan/2013 a Jun/2013</t>
  </si>
  <si>
    <t>Atividades operacionais</t>
  </si>
  <si>
    <t>31/12/2014</t>
  </si>
  <si>
    <t xml:space="preserve">Circulante </t>
  </si>
  <si>
    <t>Receita líquida dos serviços prestados</t>
  </si>
  <si>
    <t>Atividades de investimentos</t>
  </si>
  <si>
    <t>Atividades de financiamento</t>
  </si>
  <si>
    <t>Ativos líquidos Direct</t>
  </si>
  <si>
    <t>Investimento - baixa ágio (Nota 11 e 13)</t>
  </si>
  <si>
    <t>Prejuízo bruto</t>
  </si>
  <si>
    <t>Caixa líquido (utilizado)</t>
  </si>
  <si>
    <t>Intángivel (Nota 13)</t>
  </si>
  <si>
    <t>Perda por redução ao valor recuperável (i)</t>
  </si>
  <si>
    <t>Total ativos de operação descontinuada</t>
  </si>
  <si>
    <t>Passivos líquidos Direct</t>
  </si>
  <si>
    <t xml:space="preserve">Não circulante </t>
  </si>
  <si>
    <t>Realizável a longo prazo</t>
  </si>
  <si>
    <t>Total passivos de operação descontinuada</t>
  </si>
  <si>
    <t>Resultado financeiro</t>
  </si>
  <si>
    <t xml:space="preserve">Imposto de renda e contribuição social </t>
  </si>
  <si>
    <t>Prejuízo líquido do período</t>
  </si>
  <si>
    <t>Total do passivo e patrimônio líquido</t>
  </si>
  <si>
    <t>Perda por redução ao valor recuperável</t>
  </si>
  <si>
    <t>Prejuízo do período das operações descontinuadas</t>
  </si>
  <si>
    <t>(Em R$ Mil)</t>
  </si>
  <si>
    <t>Provisão (reversão) para perdas em ativos</t>
  </si>
  <si>
    <t>Encargos financeiros de parcelamentos de tributos e títulos a pagar</t>
  </si>
  <si>
    <t xml:space="preserve">Juros aquisição / opção de compra </t>
  </si>
  <si>
    <t>Juros sobre a venda do investimento</t>
  </si>
  <si>
    <t>Despesas (receitas) que não afetam o fluxo de caixa</t>
  </si>
  <si>
    <t>Demais ativos</t>
  </si>
  <si>
    <t>Aumento (redução) de partes relacionadas</t>
  </si>
  <si>
    <t>Variações nos ativos e passivos</t>
  </si>
  <si>
    <t>Juros pagos sobre debêntures</t>
  </si>
  <si>
    <t>Juros recebidos sobre aplicações financerias</t>
  </si>
  <si>
    <t>Imposto de renda e contribuição social pagos</t>
  </si>
  <si>
    <t>(A) Caixa líquido proveniente das atividades operacionais</t>
  </si>
  <si>
    <t>Transferência para caixa e equivalentes de caixa</t>
  </si>
  <si>
    <t>Redução (aumento) das aplicações financeiras</t>
  </si>
  <si>
    <t xml:space="preserve">Recebimento pela venda de bens </t>
  </si>
  <si>
    <t>Valor recebido na venda de investimento</t>
  </si>
  <si>
    <t>(B) Caixa líquido proveniente das (aplicado nas) atividades de investimentos</t>
  </si>
  <si>
    <t>Pagamentos de títulos a pagar e tributos parcelados</t>
  </si>
  <si>
    <t>(C) Caixa líquido proveniente das (aplicado nas) atividades de financiamento</t>
  </si>
  <si>
    <t>Prejuízo antes do imposto de renda e da contribuição social das operações descontinuadas</t>
  </si>
  <si>
    <t>Variação dos ativos e passivos de operação descontinuada</t>
  </si>
  <si>
    <t>Perda na venda de investimento</t>
  </si>
  <si>
    <t>(D) Caixa líquido de operações descontinuadas</t>
  </si>
  <si>
    <t>Caixa no início do período</t>
  </si>
  <si>
    <t>Caixa no final do período</t>
  </si>
  <si>
    <t>Receitas</t>
  </si>
  <si>
    <t>No Brasil</t>
  </si>
  <si>
    <t xml:space="preserve">Empréstimos e financiamentos </t>
  </si>
  <si>
    <t xml:space="preserve">Debêntures </t>
  </si>
  <si>
    <t xml:space="preserve">Demais contas a pagar </t>
  </si>
  <si>
    <t xml:space="preserve">Partes relacionadas </t>
  </si>
  <si>
    <t xml:space="preserve">Contas a pagar - preço variável </t>
  </si>
  <si>
    <t xml:space="preserve">Contas a pagar - Preço variável </t>
  </si>
  <si>
    <t>Aquisição de controlada</t>
  </si>
  <si>
    <t>Prejuízo antes do imposto de renda e da contribuição social</t>
  </si>
  <si>
    <t>Prejuízo operacional antes do resultado financeiro e do imposto de renda e contribuição social</t>
  </si>
  <si>
    <t>Ativos líquidos diretamente associados ao grupo de operação descontinuada</t>
  </si>
  <si>
    <t>Receita antes de impostos</t>
  </si>
  <si>
    <t>Em 30 de setembro de 2015</t>
  </si>
  <si>
    <t xml:space="preserve">Contas a pagar - aquisição de controlada </t>
  </si>
  <si>
    <t>3T15</t>
  </si>
  <si>
    <t xml:space="preserve">Operações com derivativos atrelados ao CDI </t>
  </si>
  <si>
    <t xml:space="preserve">Total dos empréstimos </t>
  </si>
  <si>
    <t>Derivativos - Swap</t>
  </si>
  <si>
    <t xml:space="preserve">Caixa e equivalentes de caixa </t>
  </si>
  <si>
    <t>Dividendos distribuidos</t>
  </si>
  <si>
    <t>30 de setembro de 2015</t>
  </si>
  <si>
    <t>Ganho (perda) na venda de ativo imobilizado líquido</t>
  </si>
  <si>
    <t>Outras receitas (despesas) líquidas</t>
  </si>
  <si>
    <t>Outras despesas financeiras</t>
  </si>
  <si>
    <t>Crédito de PIS/COFINS</t>
  </si>
  <si>
    <t>Caixa líquido proveniente das atividades operacionais (ITR)</t>
  </si>
  <si>
    <t>(-) Prejuízo antes do imposto de renda e da contribuição social das operações descontinuadas</t>
  </si>
  <si>
    <t>(-) Variação dos ativos e passivos de operação descontinuada</t>
  </si>
  <si>
    <t>(-) Perda na venda de investimento</t>
  </si>
  <si>
    <t>Lucro bruto*</t>
  </si>
  <si>
    <t>Remuneração da administração</t>
  </si>
  <si>
    <t>Despesas comerciais</t>
  </si>
  <si>
    <t>Consolidado e Controladora</t>
  </si>
  <si>
    <t>Salários e encargos (Diretores)</t>
  </si>
  <si>
    <t>Participação nos lucros</t>
  </si>
  <si>
    <t>Fluxo de caixa livre (A + B)</t>
  </si>
  <si>
    <t>(-) Recebimento do ativo cindido/cedido de operações descontinuadas¹</t>
  </si>
  <si>
    <t>Movimentação de veículos e cargas</t>
  </si>
  <si>
    <t>IRPJ e CSLL</t>
  </si>
  <si>
    <t>Máquinas e equipamentos</t>
  </si>
  <si>
    <t>Provisões para crédito de liquidação duvidosa</t>
  </si>
  <si>
    <t>4T15</t>
  </si>
  <si>
    <t>Depósitos Judiciais</t>
  </si>
  <si>
    <t>Trabalhistas e previdenciárias</t>
  </si>
  <si>
    <t>Tributárias</t>
  </si>
  <si>
    <t>Cíveis</t>
  </si>
  <si>
    <t>Multas contratuais</t>
  </si>
  <si>
    <t>Em 30 de dezembro de 2015</t>
  </si>
  <si>
    <t>Em 31 de dezembro de 2015</t>
  </si>
  <si>
    <t>Vendas brutas de serviços, líquidos dos descontos</t>
  </si>
  <si>
    <t>Insumos adquiridos de terceiros</t>
  </si>
  <si>
    <t>Valor adicionado bruto</t>
  </si>
  <si>
    <t xml:space="preserve">Depreciação e amortização </t>
  </si>
  <si>
    <t>Valor adicionado líquido produzido pela Companhia</t>
  </si>
  <si>
    <t xml:space="preserve">Receitas financeiras </t>
  </si>
  <si>
    <t>Valor adicionado total a distribuir</t>
  </si>
  <si>
    <t>Pessoal e encargos</t>
  </si>
  <si>
    <t xml:space="preserve">Salários e encargos </t>
  </si>
  <si>
    <t>Participação dos empregados nos lucros</t>
  </si>
  <si>
    <t>Impostos, taxas e contribuições</t>
  </si>
  <si>
    <t xml:space="preserve">Federais </t>
  </si>
  <si>
    <t>Estaduais</t>
  </si>
  <si>
    <t>Municipais</t>
  </si>
  <si>
    <t>Financiadores</t>
  </si>
  <si>
    <t>Juros e variações cambiais</t>
  </si>
  <si>
    <t>Aluguéis</t>
  </si>
  <si>
    <t>Dividendos</t>
  </si>
  <si>
    <t>Valor adicionado distribuído</t>
  </si>
  <si>
    <t>Ativo Circulante</t>
  </si>
  <si>
    <t>Niyati Empreendimentos e Participações Ltda.</t>
  </si>
  <si>
    <t>Tegma Logística Integrada S.A.</t>
  </si>
  <si>
    <t>Tegma Cargas Especiais Ltda.</t>
  </si>
  <si>
    <t>Tegma Logística de Veículos Ltda</t>
  </si>
  <si>
    <t>Coimex Empreendimentos e Participações Ltda.</t>
  </si>
  <si>
    <t>Promotora Quinta Rueda, C.A.</t>
  </si>
  <si>
    <t>Tegmax Comercio e Serviços Automotivos Ltda.</t>
  </si>
  <si>
    <t>Balanço patrimonial</t>
  </si>
  <si>
    <t>Cisa Trading S.A.</t>
  </si>
  <si>
    <t>Catlog Logística de Transportes S.A.</t>
  </si>
  <si>
    <t>Pactus Empreendimentos e Participações Ltda.</t>
  </si>
  <si>
    <t>Coimex Empreendimentos e Participações Ltda.</t>
  </si>
  <si>
    <t xml:space="preserve">Grupo Itavema </t>
  </si>
  <si>
    <t xml:space="preserve">Tegma Cargas Especiais Ltda </t>
  </si>
  <si>
    <t>Sinimbu Participações Societarias e Empreendimentos S.A.</t>
  </si>
  <si>
    <t>Riscos possíveis</t>
  </si>
  <si>
    <t>Balanço patrimonial consolidado</t>
  </si>
  <si>
    <t>Logística industrial</t>
  </si>
  <si>
    <t>Resultado de equivalência patrimonial</t>
  </si>
  <si>
    <t>Materiais, energia, serviços de terceiros e outros operacionais</t>
  </si>
  <si>
    <t>Provisão trabalhista e ajuste de deposito judicial</t>
  </si>
  <si>
    <t>Demonstrativo de fluxo de caixa consolidado</t>
  </si>
  <si>
    <t>Demonstração de resultado consolidado</t>
  </si>
  <si>
    <t>Provisão trabalhista / ajuste depósitos judiciais</t>
  </si>
  <si>
    <t>Custo de indenização</t>
  </si>
  <si>
    <t>Conciliação do fluxo de caixa livre consolidado</t>
  </si>
  <si>
    <t>Variação de caixa (A + B + C +D)</t>
  </si>
  <si>
    <t>Liquidez corrente</t>
  </si>
  <si>
    <t>Liquidez imediata</t>
  </si>
  <si>
    <t>Liquidez geral</t>
  </si>
  <si>
    <t>Indicadores de liquidez</t>
  </si>
  <si>
    <t>ROA</t>
  </si>
  <si>
    <t>ROE</t>
  </si>
  <si>
    <t>1T16</t>
  </si>
  <si>
    <t>GENERAL MOTORS</t>
  </si>
  <si>
    <t>VOLKSWAGEN</t>
  </si>
  <si>
    <t>TOYOTA</t>
  </si>
  <si>
    <t>RENAULT/NISSAN</t>
  </si>
  <si>
    <t>HONDA</t>
  </si>
  <si>
    <t>HYUNDAI</t>
  </si>
  <si>
    <t>OUTROS</t>
  </si>
  <si>
    <t>Em 31 de março de 2016</t>
  </si>
  <si>
    <t>31 de março de 2016</t>
  </si>
  <si>
    <t>TLV</t>
  </si>
  <si>
    <t>Tegma Logística de Veículos Ltda. (TLV)</t>
  </si>
  <si>
    <t>Custos variáveis</t>
  </si>
  <si>
    <t>Crédito PIS/COFINS</t>
  </si>
  <si>
    <t>Fornecedores e fretes</t>
  </si>
  <si>
    <t>(consolidado, em milhares)</t>
  </si>
  <si>
    <t>(consolidado)</t>
  </si>
  <si>
    <t>2011</t>
  </si>
  <si>
    <t>2010</t>
  </si>
  <si>
    <t>Custos rescisórios</t>
  </si>
  <si>
    <t>Encargos Sociais</t>
  </si>
  <si>
    <t>Outras receitas</t>
  </si>
  <si>
    <t>Reestruturação armazéns</t>
  </si>
  <si>
    <t>Processos trabalhistas</t>
  </si>
  <si>
    <t>Perda estimada para créditos de liquidação duvidosa</t>
  </si>
  <si>
    <t>Transferência / Outros</t>
  </si>
  <si>
    <t>Férias a pagar</t>
  </si>
  <si>
    <t>Gratificações e participação nos lucros a pagar</t>
  </si>
  <si>
    <t>Dívida bruta / EBITDA ajustado</t>
  </si>
  <si>
    <t>Indicadores de endividamento</t>
  </si>
  <si>
    <t>(consolidado em R$ mil)</t>
  </si>
  <si>
    <t>Cotação média</t>
  </si>
  <si>
    <t>Indicadores TGMA3</t>
  </si>
  <si>
    <t>Volume total de negociação</t>
  </si>
  <si>
    <t>2T16</t>
  </si>
  <si>
    <t>Em 30 de junho de 2016</t>
  </si>
  <si>
    <t>30 de junho de 2016</t>
  </si>
  <si>
    <t>Dívida bruta</t>
  </si>
  <si>
    <t>Caixa e aplicações</t>
  </si>
  <si>
    <t xml:space="preserve">    Benefício fiscal do ágio na incorporação</t>
  </si>
  <si>
    <t xml:space="preserve">Amortização de ágio fiscal </t>
  </si>
  <si>
    <t>Diferença de taxa de depreciação</t>
  </si>
  <si>
    <t>Dívida bruta / Patrimônio Líquido</t>
  </si>
  <si>
    <t>Benfeitorias  em propriedade de terceiros</t>
  </si>
  <si>
    <t>3T16</t>
  </si>
  <si>
    <t>Indices de retorno</t>
  </si>
  <si>
    <t>Logística de veículos</t>
  </si>
  <si>
    <t>Logística de autopeças</t>
  </si>
  <si>
    <t>Leilão automotivo</t>
  </si>
  <si>
    <t>Operações descontinuadas</t>
  </si>
  <si>
    <t>(consolidado, em R$ mil)</t>
  </si>
  <si>
    <t>¹ Número isoladamente não auditado. Contas a receber provenientes da venda da antiga controlada Direct Express no 2T14</t>
  </si>
  <si>
    <t>Em 30 de setembro de 2016</t>
  </si>
  <si>
    <t>30 de setembro de 2016</t>
  </si>
  <si>
    <t>Dívida líquida / EBITDA ajustado (&lt; 2,5)</t>
  </si>
  <si>
    <t>Remuneração do pessoal-chave da Administração</t>
  </si>
  <si>
    <t>EBITDA ajustado / Juros de empréstimos</t>
  </si>
  <si>
    <t>Lucro (prejuízo) antes do imposto sobre a renda e da contribuição social</t>
  </si>
  <si>
    <t>Alíquota nominal combinada imposto sobre a renda e contribuição social</t>
  </si>
  <si>
    <t>Imposto sobre a renda e contribuição social pela alíquota nominal</t>
  </si>
  <si>
    <t>Efeito do IRPJ e da CSLL sobre as diferenças permanentes</t>
  </si>
  <si>
    <t>Reconhecimento de diferidos sobre Prejuízo fiscal e Base negativa da contribuição social</t>
  </si>
  <si>
    <t>Imposto sobre a renda e contribuição social no resultado</t>
  </si>
  <si>
    <t>Corrente</t>
  </si>
  <si>
    <t>Diferido</t>
  </si>
  <si>
    <t>Taxa efetiva</t>
  </si>
  <si>
    <t>REFIS</t>
  </si>
  <si>
    <t>Baixa de diferido referente ágio</t>
  </si>
  <si>
    <t>i</t>
  </si>
  <si>
    <t>Dias a receber</t>
  </si>
  <si>
    <t>Aquisições de terrenos a pagar</t>
  </si>
  <si>
    <t>Benefícios</t>
  </si>
  <si>
    <t>4T16</t>
  </si>
  <si>
    <t>2007</t>
  </si>
  <si>
    <t>2008</t>
  </si>
  <si>
    <t>2009</t>
  </si>
  <si>
    <t>SANTANDER</t>
  </si>
  <si>
    <t>BRASIL PLURAL</t>
  </si>
  <si>
    <t>VOTORANTIM</t>
  </si>
  <si>
    <t>BAML</t>
  </si>
  <si>
    <t>BTG PACTUAL</t>
  </si>
  <si>
    <t>ITAÚ</t>
  </si>
  <si>
    <t>EBITDA 2018</t>
  </si>
  <si>
    <t>Lucro Líquido 2018</t>
  </si>
  <si>
    <t>EBITDA ajustado / resultado financeiro (&gt; 1,5)</t>
  </si>
  <si>
    <t>Custo</t>
  </si>
  <si>
    <t>Depreciação</t>
  </si>
  <si>
    <t>Móveis, utensílios e embalagens e outros</t>
  </si>
  <si>
    <t>Em 31 de dezembro de 2016</t>
  </si>
  <si>
    <t>31 de dezembro de 2016</t>
  </si>
  <si>
    <t>Comunicação dados e voz</t>
  </si>
  <si>
    <t>Média</t>
  </si>
  <si>
    <t>Quantidade de ações (total mil)</t>
  </si>
  <si>
    <t>Dívida bruta / Market cap</t>
  </si>
  <si>
    <t>Proventos em Dinheiro</t>
  </si>
  <si>
    <t>Montante (R$ mil)</t>
  </si>
  <si>
    <t>Cotação Data da Deliberação</t>
  </si>
  <si>
    <t xml:space="preserve">Dividendo </t>
  </si>
  <si>
    <t>Dividendo</t>
  </si>
  <si>
    <t>Juros</t>
  </si>
  <si>
    <t>Dividendos a pagar</t>
  </si>
  <si>
    <t>1T17</t>
  </si>
  <si>
    <t>Em 31 de março de 2017</t>
  </si>
  <si>
    <t>Volume diário médio de negociação</t>
  </si>
  <si>
    <t xml:space="preserve">    Provisão de pedágios a pagar</t>
  </si>
  <si>
    <t xml:space="preserve">    Provisão cut-off</t>
  </si>
  <si>
    <t>Impostos e taxas</t>
  </si>
  <si>
    <t>Contas a pagar - aquisição de controlada</t>
  </si>
  <si>
    <t>SAFRA</t>
  </si>
  <si>
    <t>2T17</t>
  </si>
  <si>
    <t>30 de junho de 2017</t>
  </si>
  <si>
    <t>Em 30 de junho de 2017</t>
  </si>
  <si>
    <t>Juros pagos sobre empréstimos e financiamentos</t>
  </si>
  <si>
    <t>Juros pagos sobre títulos a pagar e parcelamentos de tributos</t>
  </si>
  <si>
    <t>Provisão para perda de investimento</t>
  </si>
  <si>
    <t>Perda alienação de investimento</t>
  </si>
  <si>
    <t>Vigilância</t>
  </si>
  <si>
    <t xml:space="preserve">Perda alienação de investimento </t>
  </si>
  <si>
    <t>Indenizações de combinação de negócios</t>
  </si>
  <si>
    <t>Baixa ágio controlada</t>
  </si>
  <si>
    <t>Indenizações combinação de negócios</t>
  </si>
  <si>
    <t>Ganho causa Fundaf</t>
  </si>
  <si>
    <t>Constituição de provisões para demandas judiciais e indenizações pagas</t>
  </si>
  <si>
    <t>Retificação LALUR 2014</t>
  </si>
  <si>
    <t>PREÇO ALVO YE18</t>
  </si>
  <si>
    <t>EBITDA 2019</t>
  </si>
  <si>
    <t>Lucro Líquido 2019</t>
  </si>
  <si>
    <t>Receita líquida 2019</t>
  </si>
  <si>
    <t>Receita líquida 2018</t>
  </si>
  <si>
    <t>3T17</t>
  </si>
  <si>
    <t>4T17</t>
  </si>
  <si>
    <t>30 de setembro de 2017</t>
  </si>
  <si>
    <t>Em 30 de setembro de 2017</t>
  </si>
  <si>
    <t>TLA</t>
  </si>
  <si>
    <t>Reversão de patrimônio líquido negativo</t>
  </si>
  <si>
    <t>Honorários de Diretoria (Conselheiros)</t>
  </si>
  <si>
    <t>Período</t>
  </si>
  <si>
    <t>Estoques total</t>
  </si>
  <si>
    <t>Estoques Conces</t>
  </si>
  <si>
    <t>Estoques Fábrica</t>
  </si>
  <si>
    <t>Vendas usados / novos</t>
  </si>
  <si>
    <t>Fiat FCA</t>
  </si>
  <si>
    <t xml:space="preserve">Norte </t>
  </si>
  <si>
    <t>Nordeste</t>
  </si>
  <si>
    <t>CO</t>
  </si>
  <si>
    <t>Sudeste</t>
  </si>
  <si>
    <t>Sul</t>
  </si>
  <si>
    <t>Exportação/produção</t>
  </si>
  <si>
    <t>Importação/vendas domésticas</t>
  </si>
  <si>
    <t>1T09</t>
  </si>
  <si>
    <t>2T09</t>
  </si>
  <si>
    <t>3T09</t>
  </si>
  <si>
    <t>4T09</t>
  </si>
  <si>
    <t>1T10</t>
  </si>
  <si>
    <t>2T10</t>
  </si>
  <si>
    <t>3T10</t>
  </si>
  <si>
    <t>4T10</t>
  </si>
  <si>
    <t>1T18</t>
  </si>
  <si>
    <t>2T18</t>
  </si>
  <si>
    <t>3T18</t>
  </si>
  <si>
    <t>4T18</t>
  </si>
  <si>
    <t>Mkt Share Tegma</t>
  </si>
  <si>
    <t>CDI +   %</t>
  </si>
  <si>
    <t>Dívida circulante</t>
  </si>
  <si>
    <t>Baixa contas a receber operação descontinuada</t>
  </si>
  <si>
    <t>Receita média por km (Div automotiva)</t>
  </si>
  <si>
    <t>* Esse indicador não reflete exatamente o valor cobrado dos clientes porque a receita bruta inclui outros serviços que não transporte</t>
  </si>
  <si>
    <t>Cronograma de pagamento da dívida (PRINCIPAL)</t>
  </si>
  <si>
    <t>Provisão para perda de valores com vendas de controladas</t>
  </si>
  <si>
    <t>Pagamento de aquisição de investimentos</t>
  </si>
  <si>
    <t>Estoques (almoxarifado)</t>
  </si>
  <si>
    <t>Consolidated balance sheet</t>
  </si>
  <si>
    <t>Assets</t>
  </si>
  <si>
    <t>Cash and equivalents</t>
  </si>
  <si>
    <t>Accounts receivable</t>
  </si>
  <si>
    <t>Related parties</t>
  </si>
  <si>
    <t>Inventories</t>
  </si>
  <si>
    <t>Taxes to recover</t>
  </si>
  <si>
    <t>Other receivables</t>
  </si>
  <si>
    <t>Prepaid expenses</t>
  </si>
  <si>
    <t>Assets of discontinued operations</t>
  </si>
  <si>
    <t>Deferred income tax and social contribution</t>
  </si>
  <si>
    <t>Dividends</t>
  </si>
  <si>
    <t>Fair value hedge</t>
  </si>
  <si>
    <t>Banking Investments</t>
  </si>
  <si>
    <t>Assets for sale</t>
  </si>
  <si>
    <t>Non-current assets</t>
  </si>
  <si>
    <t>Other accounts receivable</t>
  </si>
  <si>
    <t>Judicial deposits</t>
  </si>
  <si>
    <t>Investments</t>
  </si>
  <si>
    <t>Property and equipment</t>
  </si>
  <si>
    <t>Intangible assets</t>
  </si>
  <si>
    <t>Total assets</t>
  </si>
  <si>
    <t>Total liabilities and shareholders' equity</t>
  </si>
  <si>
    <t>Current Liabilities</t>
  </si>
  <si>
    <t>Loans and financing</t>
  </si>
  <si>
    <t>Bonds</t>
  </si>
  <si>
    <t>Suppliers</t>
  </si>
  <si>
    <t>Taxes payable</t>
  </si>
  <si>
    <t>Taxes payable in  installments</t>
  </si>
  <si>
    <t>Salaries and social charges</t>
  </si>
  <si>
    <t>Other accounts payable</t>
  </si>
  <si>
    <t>Acquisition of subsidiary</t>
  </si>
  <si>
    <t>Income tax and social contribution</t>
  </si>
  <si>
    <t>Dividends Payable</t>
  </si>
  <si>
    <t>Insurance and rents payable</t>
  </si>
  <si>
    <t>Option Call on Subsidiary</t>
  </si>
  <si>
    <t>Liabilities of discontinued operations</t>
  </si>
  <si>
    <t>Non-current liabilities</t>
  </si>
  <si>
    <t>Provision for overdraft liabilities</t>
  </si>
  <si>
    <t>Provision for contingencies and other liabilities</t>
  </si>
  <si>
    <t>Taxes payable in installments</t>
  </si>
  <si>
    <t>Acquisition of subsidiary - variable price</t>
  </si>
  <si>
    <t>Shareholders Equity</t>
  </si>
  <si>
    <t>Capital stock</t>
  </si>
  <si>
    <t>Capital reserve</t>
  </si>
  <si>
    <t>Profit reserve</t>
  </si>
  <si>
    <t>Retained earnings</t>
  </si>
  <si>
    <t>Treasury shares</t>
  </si>
  <si>
    <t>Assets valuation adjustment</t>
  </si>
  <si>
    <t>Minority interest</t>
  </si>
  <si>
    <t>¹ With Catlog and Venezuela</t>
  </si>
  <si>
    <t>² With Direct Express</t>
  </si>
  <si>
    <t>(In R$ thousand)</t>
  </si>
  <si>
    <t>Consolidated income statement</t>
  </si>
  <si>
    <t>Gross revenue</t>
  </si>
  <si>
    <t>Automotive logistics</t>
  </si>
  <si>
    <t>Integrated logistics</t>
  </si>
  <si>
    <t>Taxes and deductions</t>
  </si>
  <si>
    <t>Net revenue</t>
  </si>
  <si>
    <t>Cost of services</t>
  </si>
  <si>
    <t>Personnel</t>
  </si>
  <si>
    <t>Freight</t>
  </si>
  <si>
    <t>Others</t>
  </si>
  <si>
    <t>Taxes credit (PIS and COFINS)</t>
  </si>
  <si>
    <t>Gross profit</t>
  </si>
  <si>
    <t>General and administrative expenses</t>
  </si>
  <si>
    <t>Other expenses and revenues</t>
  </si>
  <si>
    <t>Operating income</t>
  </si>
  <si>
    <t>Financial result</t>
  </si>
  <si>
    <t>Finalcial Debt</t>
  </si>
  <si>
    <t>Financial Revenue</t>
  </si>
  <si>
    <t>Equity</t>
  </si>
  <si>
    <t>Income before tax</t>
  </si>
  <si>
    <t>Income Tax</t>
  </si>
  <si>
    <t>Net income before discontinued operation</t>
  </si>
  <si>
    <t>Discontinued operation net income</t>
  </si>
  <si>
    <t xml:space="preserve">Extraordinary effects related to the Direct Express sale </t>
  </si>
  <si>
    <t>Net income</t>
  </si>
  <si>
    <t>² Informations adjusted from the Extraordinary effects related to the Direct Express sale , detailed in spreadsheet "Attachments"</t>
  </si>
  <si>
    <t>Automotive income statement</t>
  </si>
  <si>
    <t>Vehicle logistics</t>
  </si>
  <si>
    <t>Auto parts logistics</t>
  </si>
  <si>
    <t>Automotive auction</t>
  </si>
  <si>
    <t xml:space="preserve">Subsidiary goodwill write-off </t>
  </si>
  <si>
    <t>Discontinued operation account receivables write-off</t>
  </si>
  <si>
    <t>Escrow account write-off</t>
  </si>
  <si>
    <t>Fundaf lawsuit success</t>
  </si>
  <si>
    <t>Variable Price</t>
  </si>
  <si>
    <t>(Gain)/loss on asset Sales</t>
  </si>
  <si>
    <t>Discontinued operations</t>
  </si>
  <si>
    <t>Rescission costs</t>
  </si>
  <si>
    <t>Other</t>
  </si>
  <si>
    <t>Accrual for labor contingencies</t>
  </si>
  <si>
    <t xml:space="preserve">Adjusted EBITDA </t>
  </si>
  <si>
    <t>Adjusted EBITDA Margin</t>
  </si>
  <si>
    <t>(-) Income Tax</t>
  </si>
  <si>
    <t xml:space="preserve">Net income </t>
  </si>
  <si>
    <t>* without depreciation and amortization</t>
  </si>
  <si>
    <t>*Without depreciation and amortization</t>
  </si>
  <si>
    <t>Demonstração de resultado - automotivo</t>
  </si>
  <si>
    <t>Warehouse</t>
  </si>
  <si>
    <t>Industrial logistics</t>
  </si>
  <si>
    <t>Discontinuated operations</t>
  </si>
  <si>
    <t>Gross profit*</t>
  </si>
  <si>
    <t>A - Caixa líquido proveniente das atividades operacionais (sem descontinuadas)</t>
  </si>
  <si>
    <t>B - Aquisições de bens do ativo imobilizado/intangível (a partir do 1T17)</t>
  </si>
  <si>
    <t>Consolidated free cash flow statement</t>
  </si>
  <si>
    <t>Net cash generated by (used in) operating activities (as QFS)</t>
  </si>
  <si>
    <t>(-) Loss before income and social contribution taxes - discontinued operations</t>
  </si>
  <si>
    <t>(-) Changes in assets and liabilities - discontinued operations</t>
  </si>
  <si>
    <t>Loss (gains) on assets</t>
  </si>
  <si>
    <t>(-) Receivables transfered/spin-off from descontinued operations¹</t>
  </si>
  <si>
    <t>A - Net cash generated by (used in) operating activities (less discontinued op.)</t>
  </si>
  <si>
    <t>B - Acquisitions of fixed assetes</t>
  </si>
  <si>
    <t>Free cash flow (A + B)</t>
  </si>
  <si>
    <t>¹ Non audited data. Accounts receivable transfered from the former controlled Direct Express in 2Q14.</t>
  </si>
  <si>
    <t>Consolidated statements of cash flow</t>
  </si>
  <si>
    <t>Depreciation and amortization</t>
  </si>
  <si>
    <t>Loss (gains) on disposal of assets</t>
  </si>
  <si>
    <t>Provision for investment loss</t>
  </si>
  <si>
    <t>Provision (reversal) for losses on assets</t>
  </si>
  <si>
    <t>Allowance for (reversal of) doubtful accounts</t>
  </si>
  <si>
    <t>Provission for loss of value on sales of controled company</t>
  </si>
  <si>
    <t>Equity pickup</t>
  </si>
  <si>
    <t>Financial charges on tax installments and notes payable</t>
  </si>
  <si>
    <t>Interest and exchange variation on unpaid loans, debentures and swap operations</t>
  </si>
  <si>
    <t>Interest on acquisition/stock option</t>
  </si>
  <si>
    <t>Interest on sale of investment</t>
  </si>
  <si>
    <t>Options granted</t>
  </si>
  <si>
    <t>Reversal (provision) for losses - assets</t>
  </si>
  <si>
    <t>Expenses (revenues) not affecting cash flows</t>
  </si>
  <si>
    <t>Taxes recoverable</t>
  </si>
  <si>
    <t>Other assets</t>
  </si>
  <si>
    <t>Trade accounts and freight payable</t>
  </si>
  <si>
    <t>Salaries and related charges</t>
  </si>
  <si>
    <t>Increase (decrease) in related parties</t>
  </si>
  <si>
    <t>Changes in assets and liabilities</t>
  </si>
  <si>
    <t>Interest paid on loans, financing and swaps</t>
  </si>
  <si>
    <t>Interest paid on debentures</t>
  </si>
  <si>
    <t>Interest paid on notes payable and tax installments</t>
  </si>
  <si>
    <t>Indemnities paied</t>
  </si>
  <si>
    <t>Income and social contribution taxes paid</t>
  </si>
  <si>
    <t>A - Net cash from operating activities</t>
  </si>
  <si>
    <t>Dividends received</t>
  </si>
  <si>
    <t>Acquisition of intangible assets</t>
  </si>
  <si>
    <t>Acquisition of property and equipment and intangible assets</t>
  </si>
  <si>
    <t>Proceeds from sale of assets</t>
  </si>
  <si>
    <t>Payment for acquisition of investments</t>
  </si>
  <si>
    <t>Sale value of investment</t>
  </si>
  <si>
    <t>Decrease (increase) in short-term investments</t>
  </si>
  <si>
    <t>Transfer of cash and cash equivalents</t>
  </si>
  <si>
    <t>Dividend paid</t>
  </si>
  <si>
    <t>Loans raised</t>
  </si>
  <si>
    <t>Loans, financing and debentures settled</t>
  </si>
  <si>
    <t>Swap operations</t>
  </si>
  <si>
    <t>Loss before income and social contribution taxes - discontinued operations</t>
  </si>
  <si>
    <t>Changes in assets and liabilities - discontinued operations</t>
  </si>
  <si>
    <t>D - Net cash generated from discontinued operations</t>
  </si>
  <si>
    <t>Cash variation (A + B + C + D)</t>
  </si>
  <si>
    <t>Cash and cash equivalents at beginning of period</t>
  </si>
  <si>
    <t>Cash and cash equivalents at end of period</t>
  </si>
  <si>
    <t xml:space="preserve">Gross sale of services, net </t>
  </si>
  <si>
    <t>Other income</t>
  </si>
  <si>
    <t xml:space="preserve">(Reversal of) allowance for doubtful accounts </t>
  </si>
  <si>
    <t>Revenues</t>
  </si>
  <si>
    <t>Cost of services provided</t>
  </si>
  <si>
    <t>Materials, energy, third-party services and other operating expenses</t>
  </si>
  <si>
    <t>Input products acquired from third parties</t>
  </si>
  <si>
    <t>Net value added produced by the Company</t>
  </si>
  <si>
    <t xml:space="preserve">Depreciation and amortization </t>
  </si>
  <si>
    <t>Gross value added</t>
  </si>
  <si>
    <t xml:space="preserve">Financial income </t>
  </si>
  <si>
    <t>Total value added to be distributed</t>
  </si>
  <si>
    <t>Personnel and related charges</t>
  </si>
  <si>
    <t>Payroll and related charges</t>
  </si>
  <si>
    <t>Key management personnel compensation</t>
  </si>
  <si>
    <t>Employees’ profit sharing</t>
  </si>
  <si>
    <t>Taxes, charges and contributions</t>
  </si>
  <si>
    <t>Federal</t>
  </si>
  <si>
    <t>State</t>
  </si>
  <si>
    <t>Local</t>
  </si>
  <si>
    <t xml:space="preserve">Financing agents </t>
  </si>
  <si>
    <t>Interest and exchange variations</t>
  </si>
  <si>
    <t>Rent</t>
  </si>
  <si>
    <t>Retained profits (losses)</t>
  </si>
  <si>
    <t>Value added distributed</t>
  </si>
  <si>
    <t>(consolidated, in thousand)</t>
  </si>
  <si>
    <t>Outsourced services</t>
  </si>
  <si>
    <t>(consolidated)</t>
  </si>
  <si>
    <t>Liquidity indexes</t>
  </si>
  <si>
    <t>Current liquidity</t>
  </si>
  <si>
    <t>Immediate liquidity</t>
  </si>
  <si>
    <t>General liquidity</t>
  </si>
  <si>
    <t>Debt indicators</t>
  </si>
  <si>
    <t>Gross debt</t>
  </si>
  <si>
    <t>Cash and Equivalents</t>
  </si>
  <si>
    <t>Net Debt</t>
  </si>
  <si>
    <t>Interest / Adj. EBITDA</t>
  </si>
  <si>
    <t>Gross debt / Adj. EBITDA</t>
  </si>
  <si>
    <t>Gross debt/ Equity</t>
  </si>
  <si>
    <t>Gross debt/ Market cap</t>
  </si>
  <si>
    <t>Ajusted EBITDA / Financial Result (&gt; 1,5)</t>
  </si>
  <si>
    <t>Net Debt / Ajusted EBITDA (&lt; 2,5)</t>
  </si>
  <si>
    <t>Profitability Index</t>
  </si>
  <si>
    <t>(consolidated in R$ thou)</t>
  </si>
  <si>
    <t>Daily volume traded</t>
  </si>
  <si>
    <t>Total volume trades</t>
  </si>
  <si>
    <t>Average quote</t>
  </si>
  <si>
    <t>Total shares</t>
  </si>
  <si>
    <t>2Q16</t>
  </si>
  <si>
    <t>3Q16</t>
  </si>
  <si>
    <t>4Q16</t>
  </si>
  <si>
    <t>1Q17</t>
  </si>
  <si>
    <t>2Q17</t>
  </si>
  <si>
    <t>3Q17</t>
  </si>
  <si>
    <t>Current debt</t>
  </si>
  <si>
    <t>(consolidated in R$ thousand)</t>
  </si>
  <si>
    <t>Average  revenue by Km  (Automotive division)</t>
  </si>
  <si>
    <t>Target price YE18</t>
  </si>
  <si>
    <t>Average</t>
  </si>
  <si>
    <t>2018 net revenue</t>
  </si>
  <si>
    <t xml:space="preserve">2018 EBITDA </t>
  </si>
  <si>
    <t>2018 net income</t>
  </si>
  <si>
    <t>2019 net revenue</t>
  </si>
  <si>
    <t xml:space="preserve">2019 EBITDA </t>
  </si>
  <si>
    <t>2019 net income</t>
  </si>
  <si>
    <t>Type</t>
  </si>
  <si>
    <t>Interest on capital</t>
  </si>
  <si>
    <t xml:space="preserve">Dividends </t>
  </si>
  <si>
    <t>Consolidated</t>
  </si>
  <si>
    <t>Debentures</t>
  </si>
  <si>
    <t>Accounts payable - subsidiary acquisition</t>
  </si>
  <si>
    <t>Dividends payable</t>
  </si>
  <si>
    <t>Loans and financings</t>
  </si>
  <si>
    <t>Insurance and rental payable</t>
  </si>
  <si>
    <t>Company</t>
  </si>
  <si>
    <t>Derivative transactions pegged to CDI</t>
  </si>
  <si>
    <t>Cash and cash equivalents</t>
  </si>
  <si>
    <t>Net exposure</t>
  </si>
  <si>
    <t>Controlled</t>
  </si>
  <si>
    <t>Total loans</t>
  </si>
  <si>
    <t>Derivatives - Swap</t>
  </si>
  <si>
    <t>Total equity</t>
  </si>
  <si>
    <t>Financial leverage ratio</t>
  </si>
  <si>
    <t>Cash at bank and on hand</t>
  </si>
  <si>
    <t>Short-term investments</t>
  </si>
  <si>
    <t>In Brazil</t>
  </si>
  <si>
    <t>Accounts receivable in Brazil</t>
  </si>
  <si>
    <t>Allowance for doubtful accounts</t>
  </si>
  <si>
    <t>Accounts receivable from sale of goods and services</t>
  </si>
  <si>
    <t>Days to receive</t>
  </si>
  <si>
    <t>Trade notes falling due</t>
  </si>
  <si>
    <t>Overdue up to 30 days</t>
  </si>
  <si>
    <t>Overdue from 31 to 90 days</t>
  </si>
  <si>
    <t>Overdue from 91 to 180 days</t>
  </si>
  <si>
    <t>Overdue for more than 180 days</t>
  </si>
  <si>
    <t>Account Receivable</t>
  </si>
  <si>
    <t>Opening balance</t>
  </si>
  <si>
    <t>Additions</t>
  </si>
  <si>
    <t>Reversals</t>
  </si>
  <si>
    <t>Transfer - discontinued operation</t>
  </si>
  <si>
    <t>Closing balance</t>
  </si>
  <si>
    <t>Claims recoverable</t>
  </si>
  <si>
    <t>Prepayment to employees</t>
  </si>
  <si>
    <t>Advances to suppliers</t>
  </si>
  <si>
    <t>Amount receivable - Escrow Account</t>
  </si>
  <si>
    <t>Recovery of expenses receivable</t>
  </si>
  <si>
    <t>Receivables</t>
  </si>
  <si>
    <t>Recovery of items lost, stolen and robbed</t>
  </si>
  <si>
    <t>Amount receivable from sale of Direct</t>
  </si>
  <si>
    <t>Current</t>
  </si>
  <si>
    <t>Noncurrent</t>
  </si>
  <si>
    <t>INSS recoverable</t>
  </si>
  <si>
    <t>IRRF on short-term investments</t>
  </si>
  <si>
    <t>ICMS recoverable</t>
  </si>
  <si>
    <t>IRRF on services and other</t>
  </si>
  <si>
    <t>PIS and Cofins</t>
  </si>
  <si>
    <t>IRPJ and CSLL</t>
  </si>
  <si>
    <t>Wholly-owned subsidiaries</t>
  </si>
  <si>
    <t>Proportional interest not consolidated</t>
  </si>
  <si>
    <t>Total investment in subsidiaries</t>
  </si>
  <si>
    <t>September 30, 2017</t>
  </si>
  <si>
    <t>June 30, 2017</t>
  </si>
  <si>
    <t>March 31, 2017</t>
  </si>
  <si>
    <t>December 31, 2016</t>
  </si>
  <si>
    <t>September 30, 2016</t>
  </si>
  <si>
    <t>June 30, 2016</t>
  </si>
  <si>
    <t>March 31, 2016</t>
  </si>
  <si>
    <t>September 30, 2015</t>
  </si>
  <si>
    <t>June 30, 2015</t>
  </si>
  <si>
    <t>March 31, 2015</t>
  </si>
  <si>
    <t>December 31, 2014</t>
  </si>
  <si>
    <t>September 30, 2014</t>
  </si>
  <si>
    <t>June 30, 2014</t>
  </si>
  <si>
    <t>March 31, 2014</t>
  </si>
  <si>
    <t>December 31, 2013</t>
  </si>
  <si>
    <t>Current assets</t>
  </si>
  <si>
    <t>Noncurrent assets</t>
  </si>
  <si>
    <t>Current liabilities</t>
  </si>
  <si>
    <t>Noncurrent liabilities</t>
  </si>
  <si>
    <t>Liabilities and equity</t>
  </si>
  <si>
    <t>Financial income, net</t>
  </si>
  <si>
    <t>Other income (expenses), net</t>
  </si>
  <si>
    <t>Income and social contribution taxes</t>
  </si>
  <si>
    <t>Net income (loss) for the period</t>
  </si>
  <si>
    <t>1Q13</t>
  </si>
  <si>
    <t>2Q13</t>
  </si>
  <si>
    <t>3Q13</t>
  </si>
  <si>
    <t>4Q13</t>
  </si>
  <si>
    <t>1Q14</t>
  </si>
  <si>
    <t>2Q14</t>
  </si>
  <si>
    <t>3Q14</t>
  </si>
  <si>
    <t>4Q14</t>
  </si>
  <si>
    <t>1Q15</t>
  </si>
  <si>
    <t>2Q15</t>
  </si>
  <si>
    <t>3Q15</t>
  </si>
  <si>
    <t>4Q15</t>
  </si>
  <si>
    <t>1Q16</t>
  </si>
  <si>
    <t>Goodwill paid on investment acquisition</t>
  </si>
  <si>
    <t>Project Implementation TLI</t>
  </si>
  <si>
    <t>Acquisition of Trans Commerce</t>
  </si>
  <si>
    <t>Aggregated portfolios</t>
  </si>
  <si>
    <t>Relationship with costumers</t>
  </si>
  <si>
    <t>Acquisition of Direct</t>
  </si>
  <si>
    <t>Trademarks and licenses</t>
  </si>
  <si>
    <t>Contractual customer relationships</t>
  </si>
  <si>
    <t>Software development costs</t>
  </si>
  <si>
    <t>Intangible asset paid on investment acquisition</t>
  </si>
  <si>
    <t>Net</t>
  </si>
  <si>
    <t>Total loans and financing</t>
  </si>
  <si>
    <t>(-) Current</t>
  </si>
  <si>
    <t>Total swap contracts</t>
  </si>
  <si>
    <t>Total debentures</t>
  </si>
  <si>
    <t>Loans and financing, net of swaps and debentures</t>
  </si>
  <si>
    <t>Vacation accrual</t>
  </si>
  <si>
    <t>Provision for bonuses and profit sharing</t>
  </si>
  <si>
    <t>13th monthly salary pay accrual</t>
  </si>
  <si>
    <t>Salaries payable</t>
  </si>
  <si>
    <t>Probable loss</t>
  </si>
  <si>
    <t>Possible loss</t>
  </si>
  <si>
    <t>Remote loss</t>
  </si>
  <si>
    <t>Subsidiaries</t>
  </si>
  <si>
    <t>Labor and social security</t>
  </si>
  <si>
    <t>Tax claims</t>
  </si>
  <si>
    <t>Civil</t>
  </si>
  <si>
    <t>Provisions for contingencies</t>
  </si>
  <si>
    <t>Possible risks</t>
  </si>
  <si>
    <t>Income before income and social contribution taxes</t>
  </si>
  <si>
    <t>Combined nominal rate - income and social contribution taxes</t>
  </si>
  <si>
    <t>Income and social contribution taxes at nominal rate</t>
  </si>
  <si>
    <t>Effect of income and social contribution taxes on permanent differences</t>
  </si>
  <si>
    <t>Equity income</t>
  </si>
  <si>
    <t>2014 yr LALUR correction</t>
  </si>
  <si>
    <t>Recognition of deferred on income and social contribution tax losses</t>
  </si>
  <si>
    <t>Written off deferred goodwill</t>
  </si>
  <si>
    <t>Loss on sale of investment</t>
  </si>
  <si>
    <t>Income and social contribution taxes in P&amp;L</t>
  </si>
  <si>
    <t>Deferred</t>
  </si>
  <si>
    <t>Effective Rate</t>
  </si>
  <si>
    <t>Social contribution tax losses</t>
  </si>
  <si>
    <t>Adjust effective rate projection</t>
  </si>
  <si>
    <t>Temporary differences</t>
  </si>
  <si>
    <t>Provision for freight payable</t>
  </si>
  <si>
    <t>Provision for tolls</t>
  </si>
  <si>
    <t>Cut-off provision</t>
  </si>
  <si>
    <t>Provision for indemnifications</t>
  </si>
  <si>
    <t>Tax benefit from goodwill</t>
  </si>
  <si>
    <t>Amortization of tax goodwill</t>
  </si>
  <si>
    <t>Difference in depreciation rate</t>
  </si>
  <si>
    <t>Vehicles and cargo transportation</t>
  </si>
  <si>
    <t>Toll fees</t>
  </si>
  <si>
    <t>Insurance</t>
  </si>
  <si>
    <t>Data and voice communication</t>
  </si>
  <si>
    <t>Benefits</t>
  </si>
  <si>
    <t>Advisory services</t>
  </si>
  <si>
    <t>Sundry maintenance</t>
  </si>
  <si>
    <t>Fuel</t>
  </si>
  <si>
    <t>Indemnification payable</t>
  </si>
  <si>
    <t>Taxes and rates</t>
  </si>
  <si>
    <t>Surveillance</t>
  </si>
  <si>
    <t>Land acquisition installment</t>
  </si>
  <si>
    <t>Technical advisory/earthwork</t>
  </si>
  <si>
    <t>Recovery of expenses</t>
  </si>
  <si>
    <t>Inventory adjustment</t>
  </si>
  <si>
    <t>Gain on disposal of net PPE</t>
  </si>
  <si>
    <t>Loss from uncollectible accounts</t>
  </si>
  <si>
    <t>Set up of provision for contingencies and indemnification paid</t>
  </si>
  <si>
    <t>Provision for loss of investment</t>
  </si>
  <si>
    <t>Other revenues/(expenses), net</t>
  </si>
  <si>
    <t>Gross revenue from services</t>
  </si>
  <si>
    <t>Discounts, insurance and toll fees</t>
  </si>
  <si>
    <t>Revenue before taxes</t>
  </si>
  <si>
    <t>Taxes levied</t>
  </si>
  <si>
    <t>Net revenue from services</t>
  </si>
  <si>
    <t>Cost of services rendered</t>
  </si>
  <si>
    <t>Selling expenses</t>
  </si>
  <si>
    <t>Freight services – aggregated</t>
  </si>
  <si>
    <t>Salaries</t>
  </si>
  <si>
    <t>Social charges</t>
  </si>
  <si>
    <t>Employee benefits</t>
  </si>
  <si>
    <t>Rent and lease</t>
  </si>
  <si>
    <t>Maintenance</t>
  </si>
  <si>
    <t>Utilities</t>
  </si>
  <si>
    <t>Communications</t>
  </si>
  <si>
    <t>Fuel and lubricants</t>
  </si>
  <si>
    <t>Other personnel expenses</t>
  </si>
  <si>
    <t>Other general expenses</t>
  </si>
  <si>
    <t>Materials</t>
  </si>
  <si>
    <t>Contributions and donations</t>
  </si>
  <si>
    <t>Compensation for loss</t>
  </si>
  <si>
    <t>Travel expenses</t>
  </si>
  <si>
    <t>Severance costs</t>
  </si>
  <si>
    <t>Warehouse restructuring</t>
  </si>
  <si>
    <t>Contractual penalties</t>
  </si>
  <si>
    <t>Variable cost</t>
  </si>
  <si>
    <t>Labor Claims</t>
  </si>
  <si>
    <t>Interest receivable</t>
  </si>
  <si>
    <t>Exchange gains</t>
  </si>
  <si>
    <t>Gain on swap transaction</t>
  </si>
  <si>
    <t>Financial Income</t>
  </si>
  <si>
    <t>Interest on bank loans</t>
  </si>
  <si>
    <t>Banking expenses</t>
  </si>
  <si>
    <t>Exchange losses</t>
  </si>
  <si>
    <t>Interest payable</t>
  </si>
  <si>
    <t>Loss on swap transaction</t>
  </si>
  <si>
    <t>Other financial expenses</t>
  </si>
  <si>
    <t>Financial expenses</t>
  </si>
  <si>
    <t>Financial income (expenses), net</t>
  </si>
  <si>
    <t>Consolidated and Company</t>
  </si>
  <si>
    <t>Salaries and charges (Officers)</t>
  </si>
  <si>
    <t>Officers’ fees</t>
  </si>
  <si>
    <t>Profit sharing</t>
  </si>
  <si>
    <t>Within 1 year</t>
  </si>
  <si>
    <t>From 2 to 5 years</t>
  </si>
  <si>
    <t>Over 5 years</t>
  </si>
  <si>
    <t>Gross operating lease liabilities - minimum lease payments</t>
  </si>
  <si>
    <t>Balance sheet</t>
  </si>
  <si>
    <t>Current Assets</t>
  </si>
  <si>
    <t>Non-current Assets</t>
  </si>
  <si>
    <t>Total liabilities</t>
  </si>
  <si>
    <t>Amount p/ share (BRL)</t>
  </si>
  <si>
    <t>Amount (BRL Thou)</t>
  </si>
  <si>
    <t>Period</t>
  </si>
  <si>
    <t>Domestic Vehicles</t>
  </si>
  <si>
    <t>Domestic Sales</t>
  </si>
  <si>
    <t>Exports sales</t>
  </si>
  <si>
    <t>Total inventory</t>
  </si>
  <si>
    <t>Dealership inventory</t>
  </si>
  <si>
    <t>Factory inventory</t>
  </si>
  <si>
    <t>sales  used / new</t>
  </si>
  <si>
    <t>North</t>
  </si>
  <si>
    <t>Northeast</t>
  </si>
  <si>
    <t>CentralWest</t>
  </si>
  <si>
    <t>Southeast</t>
  </si>
  <si>
    <t>South</t>
  </si>
  <si>
    <t>Export/ production</t>
  </si>
  <si>
    <t>Import/ domestic sales</t>
  </si>
  <si>
    <t>From 1 to 2 years</t>
  </si>
  <si>
    <t>2013</t>
  </si>
  <si>
    <t>At December 31, 2012</t>
  </si>
  <si>
    <t>Increase in investments</t>
  </si>
  <si>
    <t>Transfer of capital deficiency</t>
  </si>
  <si>
    <t>Transfer - merger</t>
  </si>
  <si>
    <t>Call option in subsidiary</t>
  </si>
  <si>
    <t>At December 31, 2013</t>
  </si>
  <si>
    <t>Future capital contribution</t>
  </si>
  <si>
    <t>Merger</t>
  </si>
  <si>
    <t>At December 31, 2014</t>
  </si>
  <si>
    <t>At December 30, 2015</t>
  </si>
  <si>
    <t>At March 31, 2016</t>
  </si>
  <si>
    <t>At June 30, 2016</t>
  </si>
  <si>
    <t>At September 30, 2016</t>
  </si>
  <si>
    <t>Transfer to uncovered liability</t>
  </si>
  <si>
    <t>At December 31, 2016</t>
  </si>
  <si>
    <t>At March 31, 2017</t>
  </si>
  <si>
    <t>At June 30, 2017</t>
  </si>
  <si>
    <t>At September 30, 2017</t>
  </si>
  <si>
    <t>Land</t>
  </si>
  <si>
    <t>Buildings</t>
  </si>
  <si>
    <t>Computers and peripherals</t>
  </si>
  <si>
    <t>Facilities</t>
  </si>
  <si>
    <t>Vehicles</t>
  </si>
  <si>
    <t>Machinery and equipment/tools</t>
  </si>
  <si>
    <t>Leasehold improvements</t>
  </si>
  <si>
    <t>Construction in progress</t>
  </si>
  <si>
    <t>Intangible</t>
  </si>
  <si>
    <t>Addition</t>
  </si>
  <si>
    <t>Amortization</t>
  </si>
  <si>
    <t>Transfer</t>
  </si>
  <si>
    <t>Write-off</t>
  </si>
  <si>
    <t>Trade accounts receivable</t>
  </si>
  <si>
    <t>Derivative financial instruments - swap</t>
  </si>
  <si>
    <t>Deferred income and social contribution taxes</t>
  </si>
  <si>
    <t>Long-term receivables</t>
  </si>
  <si>
    <t>Property, plant and equipment</t>
  </si>
  <si>
    <t xml:space="preserve">Freight payable </t>
  </si>
  <si>
    <t>Trade accounts payable</t>
  </si>
  <si>
    <t>Tax installments</t>
  </si>
  <si>
    <t xml:space="preserve">Insurance and rental payable </t>
  </si>
  <si>
    <t>Total liabilities and equity</t>
  </si>
  <si>
    <t>Service revenue, net</t>
  </si>
  <si>
    <t>Gross loss</t>
  </si>
  <si>
    <t>Operating loss before financial income (expenses)and income and social contribution taxes</t>
  </si>
  <si>
    <t>Financial income</t>
  </si>
  <si>
    <t>Financial income (expenses)</t>
  </si>
  <si>
    <t>Loss before income and social contribution tax</t>
  </si>
  <si>
    <t>Income and social contributions taxes</t>
  </si>
  <si>
    <t>Net loss for the period</t>
  </si>
  <si>
    <t>Impairment loss</t>
  </si>
  <si>
    <t>Net loss for the period – discontinued operations</t>
  </si>
  <si>
    <t>Operating activities</t>
  </si>
  <si>
    <t>Investing activities</t>
  </si>
  <si>
    <t>Financing activities</t>
  </si>
  <si>
    <t>Net cash (used)</t>
  </si>
  <si>
    <t>Net assets - Direct</t>
  </si>
  <si>
    <t>Investment - reverse of goodwill</t>
  </si>
  <si>
    <t>Impairment of assets</t>
  </si>
  <si>
    <t>Total assets from discontinued operations</t>
  </si>
  <si>
    <t>Net liabilities -Direct</t>
  </si>
  <si>
    <t>Total liabilities from discontinued operation</t>
  </si>
  <si>
    <t>Net assets directly related to the group of discontinued operations</t>
  </si>
  <si>
    <t>DATAS</t>
  </si>
  <si>
    <t>Jan/2013 to Sep/2013</t>
  </si>
  <si>
    <t>Oct/2013 to Dec/2013</t>
  </si>
  <si>
    <t>Jan/2013 to Dec/2013</t>
  </si>
  <si>
    <t>Jan/2014 to Mar/2014</t>
  </si>
  <si>
    <t>Jan/2014 to Jun/2014</t>
  </si>
  <si>
    <t>Jul/2014 to Aug/2014</t>
  </si>
  <si>
    <t>Jan/2014 to Aug/2014</t>
  </si>
  <si>
    <t>Jan/2013 to Jun/2013</t>
  </si>
  <si>
    <t>Em 30 de dezembro de 2017</t>
  </si>
  <si>
    <t>At December 30, 2017</t>
  </si>
  <si>
    <t>4Q17</t>
  </si>
  <si>
    <t>Tegma Logística de Armazéns Ltda. (TLA)</t>
  </si>
  <si>
    <t>Redução de capital</t>
  </si>
  <si>
    <t>Capital reduction</t>
  </si>
  <si>
    <t>Provisão para patrimônio líquido negativo</t>
  </si>
  <si>
    <t>Juros sobre capital próprio</t>
  </si>
  <si>
    <t>Diferido de Períodos anteriores</t>
  </si>
  <si>
    <t>Interest on own capital</t>
  </si>
  <si>
    <t>Deffered from previous periods</t>
  </si>
  <si>
    <t>Mudança critério contingência</t>
  </si>
  <si>
    <t>Quantidade de ações tesouraria</t>
  </si>
  <si>
    <t>Movimentação contingências</t>
  </si>
  <si>
    <t>Constituição</t>
  </si>
  <si>
    <t>Transferência obrigação tributária</t>
  </si>
  <si>
    <t>Baixa por deposito judicial</t>
  </si>
  <si>
    <t>Pagamento</t>
  </si>
  <si>
    <t>Contingencies changes</t>
  </si>
  <si>
    <t>Balance at beginning of period</t>
  </si>
  <si>
    <t>Constitution</t>
  </si>
  <si>
    <t>Tax liability transfer</t>
  </si>
  <si>
    <t>Judicial Write-off</t>
  </si>
  <si>
    <t>Payment</t>
  </si>
  <si>
    <t>Balance at end of period</t>
  </si>
  <si>
    <t>Opções de ações outorgadas</t>
  </si>
  <si>
    <t>Reserva legal</t>
  </si>
  <si>
    <t>Retenção de lucros</t>
  </si>
  <si>
    <t xml:space="preserve">Lucros (prejuízos)
acumulados </t>
  </si>
  <si>
    <t xml:space="preserve">Total </t>
  </si>
  <si>
    <t>Capital</t>
  </si>
  <si>
    <t>Stock option granted</t>
  </si>
  <si>
    <t>Legal reserve</t>
  </si>
  <si>
    <t>Retained profit</t>
  </si>
  <si>
    <t>Treasury stock</t>
  </si>
  <si>
    <t>Retained earnings (accumulated losses)</t>
  </si>
  <si>
    <t>Non-controlling interest</t>
  </si>
  <si>
    <t>Lucro líquido do exercício</t>
  </si>
  <si>
    <t>Net income for the year</t>
  </si>
  <si>
    <t>Dividendos e Juros sobre Capital Proprio</t>
  </si>
  <si>
    <t>Dividends and Interest on Own Capital</t>
  </si>
  <si>
    <t>Aquisição de participação dos não controladores</t>
  </si>
  <si>
    <t>Acquisition of non-controlling interest</t>
  </si>
  <si>
    <t>Destinação:</t>
  </si>
  <si>
    <t>Constituição de Reservas</t>
  </si>
  <si>
    <t>Constitution of capital reserve</t>
  </si>
  <si>
    <t>Constituição de Reserva Legal</t>
  </si>
  <si>
    <t>Constitution of Legal Reserve</t>
  </si>
  <si>
    <t xml:space="preserve">Variação cambial de investida localizada no exterior </t>
  </si>
  <si>
    <t>Foreign exchange variation of investee located abroad</t>
  </si>
  <si>
    <t>Plano de opções de ações</t>
  </si>
  <si>
    <t>Stock Option Plan</t>
  </si>
  <si>
    <t>Prejuízo do exercício</t>
  </si>
  <si>
    <t>Loss for the year</t>
  </si>
  <si>
    <t>Absorção de prejuízo do exercício</t>
  </si>
  <si>
    <t>Absorption of loss for the year</t>
  </si>
  <si>
    <t>Destination:</t>
  </si>
  <si>
    <t>Prejuízo do período</t>
  </si>
  <si>
    <t>Net income for the period</t>
  </si>
  <si>
    <t>Lucro líquido do período</t>
  </si>
  <si>
    <t xml:space="preserve">Exchange variation of investee located abroad </t>
  </si>
  <si>
    <t>Stock option plan</t>
  </si>
  <si>
    <t>Allocation</t>
  </si>
  <si>
    <t>Set up of reserves</t>
  </si>
  <si>
    <t>Set up of legal reserves</t>
  </si>
  <si>
    <t>Remuneração direta</t>
  </si>
  <si>
    <t>Direct compensation</t>
  </si>
  <si>
    <t>Benefits and allowances</t>
  </si>
  <si>
    <t>(+)Net debt</t>
  </si>
  <si>
    <t>(+)Patrimônio Líquido</t>
  </si>
  <si>
    <t>(+)Shareholders' equity</t>
  </si>
  <si>
    <t>(-)Ágios de aquisição</t>
  </si>
  <si>
    <t>(-)Acquisition goodwill</t>
  </si>
  <si>
    <t xml:space="preserve">(+)Dívida líquida </t>
  </si>
  <si>
    <t>NOPAT (soma 4 trimestres) (A)</t>
  </si>
  <si>
    <t>NOPAT TTM (A)</t>
  </si>
  <si>
    <t>ROIC (A/B)</t>
  </si>
  <si>
    <t>(consolidado, R$ milhões, exceto %)</t>
  </si>
  <si>
    <t>(consolidated, R$ million, except %)</t>
  </si>
  <si>
    <t>Provision for contingencies</t>
  </si>
  <si>
    <t>Loss/Gain on investment sale</t>
  </si>
  <si>
    <t>Juros parcelamento (REFIS)</t>
  </si>
  <si>
    <t>Juros ativos parcelamento (REFIS)</t>
  </si>
  <si>
    <t>Interest receivables instalments (REFIS)</t>
  </si>
  <si>
    <t>Interest Payable instalments (REFIS)</t>
  </si>
  <si>
    <t>Lawsuits to be paid</t>
  </si>
  <si>
    <t>Demandas judiciais a pagar</t>
  </si>
  <si>
    <t>FUNDAF</t>
  </si>
  <si>
    <t>Contas a receber de clientes</t>
  </si>
  <si>
    <t>Ativo fiscal diferido</t>
  </si>
  <si>
    <t>Passivo fiscal diferido</t>
  </si>
  <si>
    <t>Deferred fiscal liabilities</t>
  </si>
  <si>
    <t>Deffered fiscal asset</t>
  </si>
  <si>
    <t>Dividendos adicionais propostos</t>
  </si>
  <si>
    <t>Impostos e contribuições a recuperar</t>
  </si>
  <si>
    <t xml:space="preserve">Creditos fiscais extemporâneos </t>
  </si>
  <si>
    <t>Extemporaneous tax credits</t>
  </si>
  <si>
    <t>Provision for loss on sales of subsidiaries</t>
  </si>
  <si>
    <t>Notes payable and tax instalments</t>
  </si>
  <si>
    <t>Provisão para demandas judiciais</t>
  </si>
  <si>
    <t>Opções outorgadas</t>
  </si>
  <si>
    <t>Outras obrigações e tributos a recolher</t>
  </si>
  <si>
    <t>Other liabilities and tax recoverable</t>
  </si>
  <si>
    <t>Demandas judiciais pagas</t>
  </si>
  <si>
    <t>Dividendos recebidos</t>
  </si>
  <si>
    <t>Aquisição de intangível</t>
  </si>
  <si>
    <t>Aquisições de bens do ativo imobilizado</t>
  </si>
  <si>
    <t>Captação empréstimos e financiamentos</t>
  </si>
  <si>
    <t>Dividendos e juros sobre capital próprio pagos</t>
  </si>
  <si>
    <t>Dividend and interest on capital paid</t>
  </si>
  <si>
    <t xml:space="preserve">Provisão para perda de investimento </t>
  </si>
  <si>
    <t>HIPERLINKS</t>
  </si>
  <si>
    <t>Reversão (baixa) de patrimônio líquido negativo</t>
  </si>
  <si>
    <t>Dividendos e juros sobre capital próprio</t>
  </si>
  <si>
    <t>Dividends and interest on capital</t>
  </si>
  <si>
    <t>Receita líquida 2020</t>
  </si>
  <si>
    <t>2020 net revenue</t>
  </si>
  <si>
    <t>EBITDA 2020</t>
  </si>
  <si>
    <t xml:space="preserve">2020 EBITDA </t>
  </si>
  <si>
    <t>Lucro Líquido 2020</t>
  </si>
  <si>
    <t>2020 net income</t>
  </si>
  <si>
    <t>At March 30, 2018</t>
  </si>
  <si>
    <t>Em 30 de março de 2018</t>
  </si>
  <si>
    <t>1Q18</t>
  </si>
  <si>
    <t>Perda na baixa de ágio</t>
  </si>
  <si>
    <t xml:space="preserve">Crédito PIS/COFINS </t>
  </si>
  <si>
    <t>Deduções da receita bruta</t>
  </si>
  <si>
    <t>2017</t>
  </si>
  <si>
    <t>Valor justo na transferencia de investimento</t>
  </si>
  <si>
    <t>Lucros acumulados</t>
  </si>
  <si>
    <t>Empreendimento controlado em conjunto</t>
  </si>
  <si>
    <t xml:space="preserve">  Gestão de Desenvolvimento em Logística S.A. (“GDL”)</t>
  </si>
  <si>
    <t>Perda na baixa de ágio (ii)</t>
  </si>
  <si>
    <t>Valor justo na transferência de investimento (iii)</t>
  </si>
  <si>
    <t>Caixa e equivalentes de caixa - Tegma Logistica Integrada S.A.</t>
  </si>
  <si>
    <t>Loss in goodwill withdraw</t>
  </si>
  <si>
    <t>Fair value in investment transfer</t>
  </si>
  <si>
    <t>Cash in Tegma Logistica Integrada SA</t>
  </si>
  <si>
    <t>*This indicator doesn´t reflect´s exactly the value charged for our clients because it includes revenues from other services, not only transport</t>
  </si>
  <si>
    <t>Em 30 de junho de 2018</t>
  </si>
  <si>
    <t>At June 30, 2018</t>
  </si>
  <si>
    <t>June 30, 2018</t>
  </si>
  <si>
    <t>30 de junho de 2018</t>
  </si>
  <si>
    <t>GDL</t>
  </si>
  <si>
    <t>Reestruturação societária</t>
  </si>
  <si>
    <t>2Q18</t>
  </si>
  <si>
    <t>Novas operações</t>
  </si>
  <si>
    <t>TI</t>
  </si>
  <si>
    <t>Renovação de contratos</t>
  </si>
  <si>
    <t>New operations</t>
  </si>
  <si>
    <t>IT</t>
  </si>
  <si>
    <t>Contract renewal</t>
  </si>
  <si>
    <t>Ativo indenizatório</t>
  </si>
  <si>
    <t>Tegup Inovação e Tecnologia Ltda. (“Tegup”)</t>
  </si>
  <si>
    <t>Investment in Controlled Joint Venture</t>
  </si>
  <si>
    <t>Gestão de Desenvolvimento em Logística S.A. (“GDL”)</t>
  </si>
  <si>
    <t>Capital increase</t>
  </si>
  <si>
    <t>Aumento de capital</t>
  </si>
  <si>
    <t>Subsidiary Acquisition</t>
  </si>
  <si>
    <t>Aumento de Capital</t>
  </si>
  <si>
    <t>Tegup</t>
  </si>
  <si>
    <t>GDL (100%)</t>
  </si>
  <si>
    <t>Average revenue by Km  (Automotive division)</t>
  </si>
  <si>
    <t xml:space="preserve">    Provisão perda com antiga controlada</t>
  </si>
  <si>
    <t>Provision for former subsidiary loss</t>
  </si>
  <si>
    <t>Change provisions criteria</t>
  </si>
  <si>
    <t>Target price YE19</t>
  </si>
  <si>
    <t>PREÇO ALVO YE19</t>
  </si>
  <si>
    <t>3Q18</t>
  </si>
  <si>
    <t>September 30, 2018</t>
  </si>
  <si>
    <t>30 de setembro de 2018</t>
  </si>
  <si>
    <t>At September 30, 2018</t>
  </si>
  <si>
    <t>Em 30 de setembro de 2018</t>
  </si>
  <si>
    <t>Instrumentos financeiros derivativos</t>
  </si>
  <si>
    <t>Ajuste de avaliação patrimonial</t>
  </si>
  <si>
    <t>Denúncia espontãnea TCE</t>
  </si>
  <si>
    <t>Resultado da operação de swap</t>
  </si>
  <si>
    <t xml:space="preserve">Perda na venda de investimento </t>
  </si>
  <si>
    <t>Redução de capital em controladas</t>
  </si>
  <si>
    <t>Denúncia espontânea TCE</t>
  </si>
  <si>
    <t>Resultado líquido com instrumentos financeiros designados como hedge accounting</t>
  </si>
  <si>
    <t>On September 30, 2018</t>
  </si>
  <si>
    <t>RelOned Parties</t>
  </si>
  <si>
    <t>On June, 2018</t>
  </si>
  <si>
    <t>On March, 2018</t>
  </si>
  <si>
    <t>On December, 2017</t>
  </si>
  <si>
    <t>On September, 2017</t>
  </si>
  <si>
    <t>On June, 2017</t>
  </si>
  <si>
    <t>On March, 2017</t>
  </si>
  <si>
    <t>On December, 2016</t>
  </si>
  <si>
    <t>On September, 2016</t>
  </si>
  <si>
    <t>On June, 2016</t>
  </si>
  <si>
    <t>On March, 2016</t>
  </si>
  <si>
    <t>On December 2015</t>
  </si>
  <si>
    <t>On September, 2015</t>
  </si>
  <si>
    <t>Accounts payable - floOning price</t>
  </si>
  <si>
    <t>On June, 2015</t>
  </si>
  <si>
    <t>On March, 2015</t>
  </si>
  <si>
    <t>On December, 2014</t>
  </si>
  <si>
    <t>On September, 2014</t>
  </si>
  <si>
    <t>RelOned parties</t>
  </si>
  <si>
    <t>On June, 2014</t>
  </si>
  <si>
    <t>On March, 2014</t>
  </si>
  <si>
    <t>On December, 2013</t>
  </si>
  <si>
    <t>Juros, variações monetarias e cambiais sobre empréstimos e debêntures</t>
  </si>
  <si>
    <t>Compra e benfeitorias em terrenos</t>
  </si>
  <si>
    <t>Land improvements and purchases</t>
  </si>
  <si>
    <t>Ciclo de caixa</t>
  </si>
  <si>
    <t>Cash to cash</t>
  </si>
  <si>
    <t>Dias a pagar</t>
  </si>
  <si>
    <t>Cost of services*</t>
  </si>
  <si>
    <t>Total Assets</t>
  </si>
  <si>
    <t>Accounts receivables</t>
  </si>
  <si>
    <t>Days receivables</t>
  </si>
  <si>
    <t>Accounts payable</t>
  </si>
  <si>
    <t>Days payable</t>
  </si>
  <si>
    <t xml:space="preserve">Spontaneous denunciation </t>
  </si>
  <si>
    <t>Derivatives results</t>
  </si>
  <si>
    <t>Equity reduction in subsidiaries</t>
  </si>
  <si>
    <t>Net income from financial instruments designated as hedge accounting</t>
  </si>
  <si>
    <t>Recomendação</t>
  </si>
  <si>
    <t>Reccomendation</t>
  </si>
  <si>
    <t>Buy</t>
  </si>
  <si>
    <t>ELEVEN</t>
  </si>
  <si>
    <t>Outperform</t>
  </si>
  <si>
    <t>Neutral</t>
  </si>
  <si>
    <t>Em 30 de dezembro de 2018</t>
  </si>
  <si>
    <t>4Q18</t>
  </si>
  <si>
    <t>At December 30, 2018</t>
  </si>
  <si>
    <t>Empréstimos e financiamentos - moeda estrangeira</t>
  </si>
  <si>
    <t>Loans and financing in foreing currency</t>
  </si>
  <si>
    <t>Instrumento financeiros derivativos</t>
  </si>
  <si>
    <t>Derivatives</t>
  </si>
  <si>
    <t>Instrumento financeiros derivativos - valor justo</t>
  </si>
  <si>
    <t>Derivatives fair value</t>
  </si>
  <si>
    <t>NCE - Nota de crédito de exportação</t>
  </si>
  <si>
    <t>NCE - Exports bill notes</t>
  </si>
  <si>
    <t>Provisão para perda de valores com vendas de controladas (i)</t>
  </si>
  <si>
    <t>Dividendos e juros sobre capital proprio</t>
  </si>
  <si>
    <t>Direct sales</t>
  </si>
  <si>
    <t>Vendas Diretas</t>
  </si>
  <si>
    <t>1T19</t>
  </si>
  <si>
    <t>2T19</t>
  </si>
  <si>
    <t>3T19</t>
  </si>
  <si>
    <t>4T19</t>
  </si>
  <si>
    <t>Constituição/baixa ágio (GDL-TLI)</t>
  </si>
  <si>
    <t>(GDL/TLI) goodwill</t>
  </si>
  <si>
    <t>Receita líquida 2021</t>
  </si>
  <si>
    <t>2021 net revenue</t>
  </si>
  <si>
    <t>EBITDA 2021</t>
  </si>
  <si>
    <t xml:space="preserve">2021 EBITDA </t>
  </si>
  <si>
    <t>Lucro Líquido 2021</t>
  </si>
  <si>
    <t>2021 net income</t>
  </si>
  <si>
    <t>1Q19</t>
  </si>
  <si>
    <t>Custos de amortização de arrendamento</t>
  </si>
  <si>
    <t>Juros sobre arrendamento</t>
  </si>
  <si>
    <t>IFRS 16 ==&gt;</t>
  </si>
  <si>
    <t>Em 31 de março de 2019</t>
  </si>
  <si>
    <t>On March 31, 2019</t>
  </si>
  <si>
    <t>Direito de uso</t>
  </si>
  <si>
    <t>Arrendamento mercantil</t>
  </si>
  <si>
    <t>Juros sobre arrendamento mercantil</t>
  </si>
  <si>
    <t>Receita de aplicação financeira</t>
  </si>
  <si>
    <t>Income from financial investments</t>
  </si>
  <si>
    <t>Interest on leasing</t>
  </si>
  <si>
    <t>Amortização direito de uso</t>
  </si>
  <si>
    <t>Cia de Transportes e Armazéns Gerais</t>
  </si>
  <si>
    <t>Tech Cargo Plataforma de Transportes Ltda (Tech Cargo) (i)</t>
  </si>
  <si>
    <t>Tech Cargo</t>
  </si>
  <si>
    <t>Tech cargo</t>
  </si>
  <si>
    <t>Imóveis</t>
  </si>
  <si>
    <t>Maquinas e equipamentos</t>
  </si>
  <si>
    <t xml:space="preserve">Movimentações </t>
  </si>
  <si>
    <t>Baixas</t>
  </si>
  <si>
    <t>Juros apropriados</t>
  </si>
  <si>
    <t>Pagamento do principal</t>
  </si>
  <si>
    <t>Pagamento de juros</t>
  </si>
  <si>
    <t>Saldo com terceiros</t>
  </si>
  <si>
    <t>Saldo com partes relacionadas</t>
  </si>
  <si>
    <t>Right of use assets</t>
  </si>
  <si>
    <t>Lease liabilities</t>
  </si>
  <si>
    <t>Lease payments</t>
  </si>
  <si>
    <t>Interest paid on leasing</t>
  </si>
  <si>
    <t>Right of use assets amortization</t>
  </si>
  <si>
    <t>Indemnity asset</t>
  </si>
  <si>
    <t>On December 30, 2018</t>
  </si>
  <si>
    <t>Changes</t>
  </si>
  <si>
    <t>Real estate</t>
  </si>
  <si>
    <t>Machines and equipments</t>
  </si>
  <si>
    <t>Interest</t>
  </si>
  <si>
    <t>Principal paid</t>
  </si>
  <si>
    <t>Interest paid</t>
  </si>
  <si>
    <t>Balance with third parties</t>
  </si>
  <si>
    <t>Balance with related parties</t>
  </si>
  <si>
    <t xml:space="preserve">Indemnification asset
</t>
  </si>
  <si>
    <t>On December 31, 2012</t>
  </si>
  <si>
    <t>Exchange variOnion of investments</t>
  </si>
  <si>
    <t>On December 31, 2013</t>
  </si>
  <si>
    <t>On March 31, 2014</t>
  </si>
  <si>
    <t>Transfer to discontinued operOnions</t>
  </si>
  <si>
    <t>On June 30, 2014</t>
  </si>
  <si>
    <t>On September 30, 2014</t>
  </si>
  <si>
    <t>On December 31, 2014</t>
  </si>
  <si>
    <t>On March 31, 2015</t>
  </si>
  <si>
    <t>On June 30, 2015</t>
  </si>
  <si>
    <t>On September 30, 2015</t>
  </si>
  <si>
    <t>On March 31, 2016</t>
  </si>
  <si>
    <t>On June 30, 2016</t>
  </si>
  <si>
    <t>On September 30, 2016</t>
  </si>
  <si>
    <t>On December 31, 2016</t>
  </si>
  <si>
    <t>On March 31, 2017</t>
  </si>
  <si>
    <t>On June 30, 2017</t>
  </si>
  <si>
    <t>On September 30, 2017</t>
  </si>
  <si>
    <t>CorporOne reestructuring</t>
  </si>
  <si>
    <t>On June 30, 2018</t>
  </si>
  <si>
    <t>On December 31, 2015</t>
  </si>
  <si>
    <t>On December 31, 2017</t>
  </si>
  <si>
    <t>Em 31 de dezembro de 2017</t>
  </si>
  <si>
    <t>On March 31, 2018</t>
  </si>
  <si>
    <t>Em 31 de março de 2018</t>
  </si>
  <si>
    <t>On December 31, 2018</t>
  </si>
  <si>
    <t>Em 31 de dezembro de 2018</t>
  </si>
  <si>
    <t>March 31, 2019</t>
  </si>
  <si>
    <t>31 de março de 2019</t>
  </si>
  <si>
    <t>December 31, 2018</t>
  </si>
  <si>
    <t>31 de dezembro de 2018</t>
  </si>
  <si>
    <t>March 31, 2018</t>
  </si>
  <si>
    <t>31 de março de 2018</t>
  </si>
  <si>
    <t>December 31, 2017</t>
  </si>
  <si>
    <t>31 de dezembro de 2017</t>
  </si>
  <si>
    <t>31 de março de 2017</t>
  </si>
  <si>
    <t>December 31, 2015</t>
  </si>
  <si>
    <t>31 de dezembro de 2015</t>
  </si>
  <si>
    <t xml:space="preserve"> Passivo Circulante</t>
  </si>
  <si>
    <t xml:space="preserve"> Passivo Não circulante</t>
  </si>
  <si>
    <t xml:space="preserve"> AtivoCirculante</t>
  </si>
  <si>
    <t xml:space="preserve"> AtivoNão circulante</t>
  </si>
  <si>
    <t>Right of use amortization</t>
  </si>
  <si>
    <t>Recuperação de despesas (i)</t>
  </si>
  <si>
    <t>Rental costs (IAS 17)</t>
  </si>
  <si>
    <t>Amortização do direito de uso (custo) IFRS 16</t>
  </si>
  <si>
    <t>Amortização do direito de uso (despesa) IFRS 16</t>
  </si>
  <si>
    <t>Amortization of the right of use (SG&amp;A)</t>
  </si>
  <si>
    <t>DRE</t>
  </si>
  <si>
    <t>Consolidated Income Statement</t>
  </si>
  <si>
    <t>2Q19</t>
  </si>
  <si>
    <t>3Q19</t>
  </si>
  <si>
    <t>4Q19</t>
  </si>
  <si>
    <t>Em 30 de junho de 2019</t>
  </si>
  <si>
    <t>On June 30, 2019</t>
  </si>
  <si>
    <t>On Dezembro 31, 2018</t>
  </si>
  <si>
    <t>30 de junho de 2019</t>
  </si>
  <si>
    <t>June 30, 2019</t>
  </si>
  <si>
    <t>3/30/19</t>
  </si>
  <si>
    <t>Juros sobre arrendamento IFRS 16</t>
  </si>
  <si>
    <t>Interest on leasing IFRS 16</t>
  </si>
  <si>
    <t>CATLOG (100%)</t>
  </si>
  <si>
    <t>Fluxo de caixa operacional</t>
  </si>
  <si>
    <t>Fluxo de caixa de financiamento</t>
  </si>
  <si>
    <t>Fluxo de caixa</t>
  </si>
  <si>
    <t>Cash flow</t>
  </si>
  <si>
    <t>Net cash from operating activities</t>
  </si>
  <si>
    <t>Net cash flow from financial activities</t>
  </si>
  <si>
    <t>C - Net cash flow from financial activities</t>
  </si>
  <si>
    <t>B - Net cash generated by investing activities</t>
  </si>
  <si>
    <t>Frete Rápido Desenvolvimento de Tecnologia Logística S.A.</t>
  </si>
  <si>
    <t>Adoção Inicial</t>
  </si>
  <si>
    <t>Initial formation</t>
  </si>
  <si>
    <t>Lowering</t>
  </si>
  <si>
    <t>Passivo Circulante</t>
  </si>
  <si>
    <t>Arrendamento Mercantil</t>
  </si>
  <si>
    <t>Leasing</t>
  </si>
  <si>
    <t>PREÇO ALVO YE20</t>
  </si>
  <si>
    <t>Target price YE20</t>
  </si>
  <si>
    <t>Comprar</t>
  </si>
  <si>
    <t>Em 30 de setembro de 2019</t>
  </si>
  <si>
    <t>in September 30, 2019</t>
  </si>
  <si>
    <t>30 de setembro de 2019</t>
  </si>
  <si>
    <t>September 30, 2019</t>
  </si>
  <si>
    <t>On September 30, 2019</t>
  </si>
  <si>
    <t>PIS/COFINS tax credit</t>
  </si>
  <si>
    <t>Revisão base PIS/Cofins</t>
  </si>
  <si>
    <t>PIS/COFINS tax base revision</t>
  </si>
  <si>
    <t>Títulos e valores mobiliários</t>
  </si>
  <si>
    <t>Outras despesas e receitas</t>
  </si>
  <si>
    <t>Prejuízo da operação descontinuada</t>
  </si>
  <si>
    <t>Efeitos extraordinários relacionados à venda da direct</t>
  </si>
  <si>
    <t>Participação dos minoritários</t>
  </si>
  <si>
    <t>Custos de serviços prestados*</t>
  </si>
  <si>
    <t>Despesas*</t>
  </si>
  <si>
    <t>General and administrative expenses*</t>
  </si>
  <si>
    <t>Depreciação e amortização (custo)</t>
  </si>
  <si>
    <t>Depreciation and amortization (COGS)</t>
  </si>
  <si>
    <t>Depreciação e amortização (despesa)</t>
  </si>
  <si>
    <t>Depreciation and amortization (SG&amp;A)</t>
  </si>
  <si>
    <t>Efeitos extraordinários relacionados à venda da Direct</t>
  </si>
  <si>
    <t>Gross revenue deductions</t>
  </si>
  <si>
    <t>Expenses*</t>
  </si>
  <si>
    <t>Baixa direito de uso / arrendamento</t>
  </si>
  <si>
    <t>Right of use of assets withdrawn</t>
  </si>
  <si>
    <t>Marketable securities</t>
  </si>
  <si>
    <t>Long-term assets</t>
  </si>
  <si>
    <t>Ativo realizável a longo prazo</t>
  </si>
  <si>
    <t>Créditos fiscais extemporâneos</t>
  </si>
  <si>
    <t>Payment date</t>
  </si>
  <si>
    <t>Data de pagamento</t>
  </si>
  <si>
    <t>Deliberado em</t>
  </si>
  <si>
    <t>Valor (R$ por ação)</t>
  </si>
  <si>
    <t>Relativo a</t>
  </si>
  <si>
    <t>3T19/3Q19</t>
  </si>
  <si>
    <t>1S19</t>
  </si>
  <si>
    <t>Approved on</t>
  </si>
  <si>
    <t>Last Date Prior to "EX"</t>
  </si>
  <si>
    <t>Related to</t>
  </si>
  <si>
    <t>TGMA3 Quote on approval date</t>
  </si>
  <si>
    <t>1S18</t>
  </si>
  <si>
    <t>3T18/3Q18</t>
  </si>
  <si>
    <t>Última data antes EX</t>
  </si>
  <si>
    <t>Payout</t>
  </si>
  <si>
    <t>Em 30 de dezembro de 2019</t>
  </si>
  <si>
    <t>At December 30, 2019</t>
  </si>
  <si>
    <t>in december 30, 2019</t>
  </si>
  <si>
    <t>On December 30, 2019</t>
  </si>
  <si>
    <t>30 de dezembro de 2019</t>
  </si>
  <si>
    <t>December 30, 2019</t>
  </si>
  <si>
    <t>Com fretes</t>
  </si>
  <si>
    <t>Pacto operation investigation costs</t>
  </si>
  <si>
    <t>Custo da investigação Operação Pacto</t>
  </si>
  <si>
    <t>Reserva de subvenções governamentais</t>
  </si>
  <si>
    <t>Reserva de Incentivos fiscais</t>
  </si>
  <si>
    <t>Reserve government grants</t>
  </si>
  <si>
    <t>Tax Incentive Reserve</t>
  </si>
  <si>
    <t>Incentivos fiscais</t>
  </si>
  <si>
    <t>Tax breaks</t>
  </si>
  <si>
    <t>Perda na venda de bens</t>
  </si>
  <si>
    <t>Constituição INSS FAP</t>
  </si>
  <si>
    <t>INSS FAP Constitution</t>
  </si>
  <si>
    <t>Rabbot Serviços de Tecnologia Ltda</t>
  </si>
  <si>
    <t>Ganho (perda) por redução ao valor recuperável de contas a receber</t>
  </si>
  <si>
    <t>Captação</t>
  </si>
  <si>
    <t>Pagamento de principal</t>
  </si>
  <si>
    <t>Juros pagos</t>
  </si>
  <si>
    <t>Funding</t>
  </si>
  <si>
    <t>Interest appropriated</t>
  </si>
  <si>
    <t>Principal payment</t>
  </si>
  <si>
    <t>Saldo Inicial - Emprestimos e Financiamentos</t>
  </si>
  <si>
    <t>Saldo Final - Emprestimos e Financiamentos</t>
  </si>
  <si>
    <t>Saldo Inicial - Debêntures</t>
  </si>
  <si>
    <t>Saldo Final - Debêntures</t>
  </si>
  <si>
    <t>Variação cambial</t>
  </si>
  <si>
    <t>Exchange variation</t>
  </si>
  <si>
    <t>Movimentação consolidado</t>
  </si>
  <si>
    <t>Rabbot Serviços de Tecnologia S.A.</t>
  </si>
  <si>
    <t>Baixa de direito de uso (liquido) IFRS 16</t>
  </si>
  <si>
    <t>Write-off of right of use (IFRS 16)</t>
  </si>
  <si>
    <t>Outros resultados abrangentes</t>
  </si>
  <si>
    <t>Other comprehensive income</t>
  </si>
  <si>
    <t>Tributos diferidos sobre hedge accounting</t>
  </si>
  <si>
    <t>Deferred taxes on hedge accounting</t>
  </si>
  <si>
    <t>1T20</t>
  </si>
  <si>
    <t>2T20</t>
  </si>
  <si>
    <t>4Q20</t>
  </si>
  <si>
    <t>Em 31 de março de 2020</t>
  </si>
  <si>
    <t>At March 31, 2020</t>
  </si>
  <si>
    <t>1Q20</t>
  </si>
  <si>
    <t>In March 31, 2019</t>
  </si>
  <si>
    <t>On March 30, 2020</t>
  </si>
  <si>
    <t/>
  </si>
  <si>
    <t>Efeitos IFRS 16</t>
  </si>
  <si>
    <t>IFRS16 effects</t>
  </si>
  <si>
    <t>C - Pagamento de arrendamento mercantil</t>
  </si>
  <si>
    <t>C - Lease payments</t>
  </si>
  <si>
    <t>Manutenção &amp; Benfeitorias gerais</t>
  </si>
  <si>
    <t>Maintenance &amp; General improvements</t>
  </si>
  <si>
    <t>Stork Express Logística de Emplacados Ltda (Stork)</t>
  </si>
  <si>
    <t>3T20</t>
  </si>
  <si>
    <t>4T20</t>
  </si>
  <si>
    <t>On March 31, 2020</t>
  </si>
  <si>
    <t>9M19</t>
  </si>
  <si>
    <t>9M18</t>
  </si>
  <si>
    <t>9M20</t>
  </si>
  <si>
    <t>1S20</t>
  </si>
  <si>
    <t>Custos total de aluguel (IAS 17)</t>
  </si>
  <si>
    <t>Furniture, fixtures and packages</t>
  </si>
  <si>
    <t>1Q09</t>
  </si>
  <si>
    <t>2Q09</t>
  </si>
  <si>
    <t>3Q09</t>
  </si>
  <si>
    <t>4Q09</t>
  </si>
  <si>
    <t>1Q10</t>
  </si>
  <si>
    <t>2Q10</t>
  </si>
  <si>
    <t>3Q10</t>
  </si>
  <si>
    <t>4Q10</t>
  </si>
  <si>
    <t>1Q11</t>
  </si>
  <si>
    <t>2Q11</t>
  </si>
  <si>
    <t>3Q11</t>
  </si>
  <si>
    <t>4Q11</t>
  </si>
  <si>
    <t>1Q12</t>
  </si>
  <si>
    <t>2Q12</t>
  </si>
  <si>
    <t>3Q12</t>
  </si>
  <si>
    <t>4Q12</t>
  </si>
  <si>
    <t>2Q20</t>
  </si>
  <si>
    <t>3Q20</t>
  </si>
  <si>
    <t>C</t>
  </si>
  <si>
    <t>Em 30 de junho de 2020</t>
  </si>
  <si>
    <t>On June 30, 2020</t>
  </si>
  <si>
    <t>31 de março de 2020</t>
  </si>
  <si>
    <t>March 31, 2020</t>
  </si>
  <si>
    <t>30 de junho de 2020</t>
  </si>
  <si>
    <t>June 30, 2020</t>
  </si>
  <si>
    <t>31/06/2020</t>
  </si>
  <si>
    <t xml:space="preserve">              -   </t>
  </si>
  <si>
    <t>Change %</t>
  </si>
  <si>
    <t>Variação %</t>
  </si>
  <si>
    <t>Exports</t>
  </si>
  <si>
    <t>Exportação</t>
  </si>
  <si>
    <t>Mkt share Tegma %</t>
  </si>
  <si>
    <t>Imports</t>
  </si>
  <si>
    <t>Importação</t>
  </si>
  <si>
    <t>Vehicles Production</t>
  </si>
  <si>
    <t>Produção de veículos</t>
  </si>
  <si>
    <t>Automotive Market</t>
  </si>
  <si>
    <t>Mercado automotivo</t>
  </si>
  <si>
    <t>Investimentos F'!</t>
  </si>
  <si>
    <t>Investments F'!</t>
  </si>
  <si>
    <t>$17</t>
  </si>
  <si>
    <t>% EBT</t>
  </si>
  <si>
    <t>% Lair</t>
  </si>
  <si>
    <t>Income tax</t>
  </si>
  <si>
    <t>% Receita bruta</t>
  </si>
  <si>
    <t>Expenses and financial result</t>
  </si>
  <si>
    <t>Despesas e resultado financeiro</t>
  </si>
  <si>
    <t>% Gross Revenue</t>
  </si>
  <si>
    <t>Cash change</t>
  </si>
  <si>
    <t>Variação do caixa</t>
  </si>
  <si>
    <t>Other effects in cash</t>
  </si>
  <si>
    <t>Outros efeitos caixa</t>
  </si>
  <si>
    <t>DFC'!</t>
  </si>
  <si>
    <t>Cash Flow Stat'!</t>
  </si>
  <si>
    <t>Free cash flow to equity</t>
  </si>
  <si>
    <t>Debt borrowing</t>
  </si>
  <si>
    <t>Captação de dívida</t>
  </si>
  <si>
    <t>Debt payment</t>
  </si>
  <si>
    <t>Pagamento de dívida</t>
  </si>
  <si>
    <t>$5</t>
  </si>
  <si>
    <t>Financial Result</t>
  </si>
  <si>
    <t>Free cash flow to firm</t>
  </si>
  <si>
    <t>Working capital</t>
  </si>
  <si>
    <t>Capital de giro</t>
  </si>
  <si>
    <t>Imposto de Renda</t>
  </si>
  <si>
    <t>BP'!</t>
  </si>
  <si>
    <t>BalSheet'!</t>
  </si>
  <si>
    <t>Empréstimos e financiamentos (Circulante e não circulante)</t>
  </si>
  <si>
    <t>Indicadores'!</t>
  </si>
  <si>
    <t>Qtrl Fig'!</t>
  </si>
  <si>
    <t>Adjusted EBITDA Margin ex-IFRS-16</t>
  </si>
  <si>
    <t>Margem EBITDA Ajustado ex-IFRS-16</t>
  </si>
  <si>
    <t>Adjusted EBITDA ex-IFRS 16 (a-b-c+d)</t>
  </si>
  <si>
    <t>EBITDA ajustado ex-IFRS-16 (a-b-c+d)</t>
  </si>
  <si>
    <t>Anexos'!</t>
  </si>
  <si>
    <t>Attachments'!</t>
  </si>
  <si>
    <t>(d) Rental costs (IFRS-16)</t>
  </si>
  <si>
    <t>(d) Custos com aluguel (IFRS-16)</t>
  </si>
  <si>
    <t>Margem EBITDA Ajustado</t>
  </si>
  <si>
    <t>Adjusted EBITDA (a-b-c)</t>
  </si>
  <si>
    <t>EBITDA ajustado (a-b-c)</t>
  </si>
  <si>
    <t>Operacional margin</t>
  </si>
  <si>
    <t>Margem operacional</t>
  </si>
  <si>
    <t>(c) Amortization IFRS 16</t>
  </si>
  <si>
    <t>(c) Amortização (IFRS-16)</t>
  </si>
  <si>
    <t>LI'!</t>
  </si>
  <si>
    <t>IncSIntLog'!</t>
  </si>
  <si>
    <t>(b) Depreciation</t>
  </si>
  <si>
    <t>(b) Depreciação</t>
  </si>
  <si>
    <t>% Net revenue</t>
  </si>
  <si>
    <t>% Receita líquida</t>
  </si>
  <si>
    <t>Income Statement Integrated Logistics Division</t>
  </si>
  <si>
    <t>DRE Divisão Logística integrada</t>
  </si>
  <si>
    <t>(c) Amortização (IFRS 16)</t>
  </si>
  <si>
    <t>Auto'!</t>
  </si>
  <si>
    <t>IncSAuto'!</t>
  </si>
  <si>
    <t xml:space="preserve">(b) Depreciação </t>
  </si>
  <si>
    <t>Vehicle Logistics</t>
  </si>
  <si>
    <t>Domestic Market</t>
  </si>
  <si>
    <t>Doméstico</t>
  </si>
  <si>
    <t>Average Km</t>
  </si>
  <si>
    <t>Km média</t>
  </si>
  <si>
    <t>Total Km</t>
  </si>
  <si>
    <t>Km total</t>
  </si>
  <si>
    <t># Vehicles transported</t>
  </si>
  <si>
    <t># veículos Total</t>
  </si>
  <si>
    <t>Income Statement Automotive Division</t>
  </si>
  <si>
    <t>DRE Divisão automotiva</t>
  </si>
  <si>
    <t>DRE'!</t>
  </si>
  <si>
    <t>IncS'!</t>
  </si>
  <si>
    <t>(-) Financial Result</t>
  </si>
  <si>
    <t>Non-recurring</t>
  </si>
  <si>
    <t>Não recorrentes</t>
  </si>
  <si>
    <t>2019</t>
  </si>
  <si>
    <t>2018</t>
  </si>
  <si>
    <t>Resultado (Em R$ Mil)</t>
  </si>
  <si>
    <t>Resolução 4131 - moeda estrangeira</t>
  </si>
  <si>
    <t>4,131 Loan - foreing currency</t>
  </si>
  <si>
    <t>Integralização do capital</t>
  </si>
  <si>
    <t>Vendas</t>
  </si>
  <si>
    <t>Sales</t>
  </si>
  <si>
    <t>Stork Express</t>
  </si>
  <si>
    <t>Resolução 4131 - moeda local</t>
  </si>
  <si>
    <t>4,131 Loan - local currency</t>
  </si>
  <si>
    <t>Pagamento de arrendamento</t>
  </si>
  <si>
    <t>Juros pagos sobre arrendamento</t>
  </si>
  <si>
    <t>(Ganho)  por redução ao valor recuperável de contas a receber</t>
  </si>
  <si>
    <t>a</t>
  </si>
  <si>
    <t>Arrendamento</t>
  </si>
  <si>
    <t>Em 30 de setembro de 2020</t>
  </si>
  <si>
    <t>On September 30, 2020</t>
  </si>
  <si>
    <t>30 de setembro de 2020</t>
  </si>
  <si>
    <t>September 30, 2020</t>
  </si>
  <si>
    <t>31/09/2020</t>
  </si>
  <si>
    <t>2T21</t>
  </si>
  <si>
    <t>3T21</t>
  </si>
  <si>
    <t>3T20/3Q20</t>
  </si>
  <si>
    <t>2022 net revenue</t>
  </si>
  <si>
    <t xml:space="preserve">2022 EBITDA </t>
  </si>
  <si>
    <t>EBITDA 2022</t>
  </si>
  <si>
    <t>Lucro Líquido 2022</t>
  </si>
  <si>
    <t>2022 net income</t>
  </si>
  <si>
    <t>Receita líquida 2022</t>
  </si>
  <si>
    <t>COVID- 19 =&gt;</t>
  </si>
  <si>
    <t>PREÇO ALVO YE21</t>
  </si>
  <si>
    <t>Target price YE21</t>
  </si>
  <si>
    <t>EV/EBITDA 18</t>
  </si>
  <si>
    <t>EV/EBITDA 19</t>
  </si>
  <si>
    <t>EV/EBITDA 20</t>
  </si>
  <si>
    <t>EV/EBITDA 21</t>
  </si>
  <si>
    <t>EV/EBITDA 22</t>
  </si>
  <si>
    <t>Price/Earnings 18</t>
  </si>
  <si>
    <t>Price/Earnings 19</t>
  </si>
  <si>
    <t>Price/Earnings 20</t>
  </si>
  <si>
    <t>Price/Earnings 21</t>
  </si>
  <si>
    <t>Price/Earnings 22</t>
  </si>
  <si>
    <t>Preço/Lucro 18</t>
  </si>
  <si>
    <t>Preço/Lucro 19</t>
  </si>
  <si>
    <t>Preço/Lucro 20</t>
  </si>
  <si>
    <t>Preço/Lucro 21</t>
  </si>
  <si>
    <t>Preço/Lucro 22</t>
  </si>
  <si>
    <t>EV/EBITDA (ano seguinte)</t>
  </si>
  <si>
    <t>EV/EBITDA (following yr)</t>
  </si>
  <si>
    <t>Price/Earnings (following yr)</t>
  </si>
  <si>
    <t>Preço/Lucro (ano seguinte)</t>
  </si>
  <si>
    <t>Multiplos TGMA3 (estimativas sell side)</t>
  </si>
  <si>
    <t>TGMA3 multiples (sell side estimates)</t>
  </si>
  <si>
    <t>Hold</t>
  </si>
  <si>
    <t>Em 30 de dezembro de 2020</t>
  </si>
  <si>
    <t>On December 30, 2020</t>
  </si>
  <si>
    <t>30 de dezembro de 2020</t>
  </si>
  <si>
    <t>December 30, 2020</t>
  </si>
  <si>
    <t>CCB</t>
  </si>
  <si>
    <t>Participação de não controladores</t>
  </si>
  <si>
    <t>1T21</t>
  </si>
  <si>
    <t>4T21</t>
  </si>
  <si>
    <t>1Q21</t>
  </si>
  <si>
    <t>2Q21</t>
  </si>
  <si>
    <t>3Q21</t>
  </si>
  <si>
    <t>4Q21</t>
  </si>
  <si>
    <t>Aumento (Redução) de capital</t>
  </si>
  <si>
    <t>Capital increase (decrease)</t>
  </si>
  <si>
    <t>Constituição de controlada</t>
  </si>
  <si>
    <t>Subsidiary Constitution</t>
  </si>
  <si>
    <t>2020</t>
  </si>
  <si>
    <t>Capital empregado (média 4 trimestres) (B)</t>
  </si>
  <si>
    <t>Capital employed (last 4 qtrs) (B)</t>
  </si>
  <si>
    <t>Frete Rápido (100%)</t>
  </si>
  <si>
    <t>Atribuível aos acionistas controladores</t>
  </si>
  <si>
    <t>Atribuível aos acionistas não controladores</t>
  </si>
  <si>
    <t>Passivo atuarial</t>
  </si>
  <si>
    <t>Actuarial liabilities</t>
  </si>
  <si>
    <t>Constituição de passivo atuarial</t>
  </si>
  <si>
    <t>Tributos diferidos sobre passivo atuarial</t>
  </si>
  <si>
    <t xml:space="preserve">    Passivo atuarial</t>
  </si>
  <si>
    <t>Lucro retidos dos acionistas controladores</t>
  </si>
  <si>
    <t>Participação dos acionistas não controladores</t>
  </si>
  <si>
    <t>Constitution of actuarial liabilities</t>
  </si>
  <si>
    <t>Deferred taxes on actuarial liabilities</t>
  </si>
  <si>
    <t>Em 31 de março de 2021</t>
  </si>
  <si>
    <t>On March 31, 2021</t>
  </si>
  <si>
    <t>31 de março de 2021</t>
  </si>
  <si>
    <t>March 31, 2021</t>
  </si>
  <si>
    <t>On  March 31, 2021</t>
  </si>
  <si>
    <t>Dívida (caixa) líquido</t>
  </si>
  <si>
    <t>Net Debt (Cash)</t>
  </si>
  <si>
    <t>Prejuízo da operação descontinuada e Participação de minoritários</t>
  </si>
  <si>
    <t>Discontinued operation net income and Minority interest</t>
  </si>
  <si>
    <t>Em 30 de junho de 2021</t>
  </si>
  <si>
    <t>On June 30, 2021</t>
  </si>
  <si>
    <t>June 30, 2021</t>
  </si>
  <si>
    <t>30 de junho de 2021</t>
  </si>
  <si>
    <t>On  June 30, 2021</t>
  </si>
  <si>
    <t>1S21</t>
  </si>
  <si>
    <t>9M21</t>
  </si>
  <si>
    <t xml:space="preserve">Aquisição de equipamentos logísticos </t>
  </si>
  <si>
    <t>Logistics equipment purchases</t>
  </si>
  <si>
    <t>Pagamento de empréstimos e financiamentos</t>
  </si>
  <si>
    <t xml:space="preserve">GDL Gestão de Desenvolvimento em Logística Participações S.A. </t>
  </si>
  <si>
    <t>EBITDA ajustado (a+b)</t>
  </si>
  <si>
    <t xml:space="preserve">Depreciação </t>
  </si>
  <si>
    <t>Amortização (IFRS 16)</t>
  </si>
  <si>
    <t>(c) Custos com aluguel (IFRS-16)</t>
  </si>
  <si>
    <t>EBITDA ajustado ex-IFRS-16 (a+b+c)</t>
  </si>
  <si>
    <t>(a) Lucro operacional</t>
  </si>
  <si>
    <t>(a) Operating income</t>
  </si>
  <si>
    <t>Adjusted EBITDA ex-IFRS 16 (a-b-c)</t>
  </si>
  <si>
    <t>EBITDA ajustado ex-IFRS-16 (a-b-c)</t>
  </si>
  <si>
    <t>EBITDA ajustado (a-b)</t>
  </si>
  <si>
    <t>Adjusted EBITDA (a-b)</t>
  </si>
  <si>
    <r>
      <t>Deduções da receita bruta</t>
    </r>
    <r>
      <rPr>
        <sz val="8"/>
        <rFont val="Times New Roman"/>
        <family val="1"/>
      </rPr>
      <t xml:space="preserve"> (ajustado eventos ñ recorr)</t>
    </r>
  </si>
  <si>
    <t>Receita líquida (ajustado eventos ñ recorr)</t>
  </si>
  <si>
    <t>% Receita bruta  (ajustado eventos ñ recorr)</t>
  </si>
  <si>
    <t>Custo dos serviços prestados (sem deprec/amort e ajustado eventos ñ recorr)</t>
  </si>
  <si>
    <t>% Receita líquida (sem deprec/amort e ajustado eventos ñ recorr)</t>
  </si>
  <si>
    <t>Lucro bruto (sem deprec/amort e ajustado eventos ñ recorr)</t>
  </si>
  <si>
    <t>Margem bruta (sem deprec/amort e ajustado eventos ñ recorr)</t>
  </si>
  <si>
    <t>(d) Custos com aluguel (IAS-17)</t>
  </si>
  <si>
    <t>Cost of services (wo depre and amortiz; adj by non recurr events)</t>
  </si>
  <si>
    <t>Net revenue (adj by non recurr events)</t>
  </si>
  <si>
    <t>% Gross revenue (adj by non recurr events)</t>
  </si>
  <si>
    <t>Gross revenue deductions (adj by non recurr events)</t>
  </si>
  <si>
    <t>% Net revenue (wo depre and amortiz; adj by non recurr events)</t>
  </si>
  <si>
    <t>Gross profit (wo depre and amortiz; adj by non recurr events)</t>
  </si>
  <si>
    <t>Gross Margin (wo depre and amortiz; adj by non recurr events)</t>
  </si>
  <si>
    <t>Custos fixos (sem deprec/amort e ajustado eventos ñ recorr)</t>
  </si>
  <si>
    <t>Fixed costs (wo depre and amortiz; adj by non recurr events)</t>
  </si>
  <si>
    <t>(a) Lucro bruto (sem deprec/amort e ajustado eventos ñ recorr)</t>
  </si>
  <si>
    <t>Receita líquida 2023</t>
  </si>
  <si>
    <t>2023 net revenue</t>
  </si>
  <si>
    <t xml:space="preserve">2023 EBITDA </t>
  </si>
  <si>
    <t>EBITDA 2023</t>
  </si>
  <si>
    <t>2023 net income</t>
  </si>
  <si>
    <t>Lucro Líquido 2023</t>
  </si>
  <si>
    <t>Em 30 de setembro de 2021</t>
  </si>
  <si>
    <t>On September 30, 2021</t>
  </si>
  <si>
    <t>30 de setembro de 2021</t>
  </si>
  <si>
    <t>September 30, 2021</t>
  </si>
  <si>
    <t>On  September 30, 2021</t>
  </si>
  <si>
    <t>Pagamento de debêntures</t>
  </si>
  <si>
    <t>Payment of debentures</t>
  </si>
  <si>
    <t>Despesas da oferta hostil</t>
  </si>
  <si>
    <t>Tender offer expenses</t>
  </si>
  <si>
    <t>Current income and social contribution taxes</t>
  </si>
  <si>
    <t xml:space="preserve">Pagamentos de IRPJ/CSLL correntes efetuado a maior </t>
  </si>
  <si>
    <t>Overpaid current IRPJ/CSLL payments</t>
  </si>
  <si>
    <t>Imposto de renda e contribuição social correntes</t>
  </si>
  <si>
    <t>PREÇO ALVO YE22</t>
  </si>
  <si>
    <t>Target price YE22</t>
  </si>
  <si>
    <t>On December 31, 2021</t>
  </si>
  <si>
    <t>Em 31 de dezembro de 2021</t>
  </si>
  <si>
    <t>Investimento</t>
  </si>
  <si>
    <t>Ágio líquido</t>
  </si>
  <si>
    <t>31 de dezembro de 2021</t>
  </si>
  <si>
    <t>December 31, 2021</t>
  </si>
  <si>
    <t>9/30/21</t>
  </si>
  <si>
    <t>On  December 31, 2021</t>
  </si>
  <si>
    <t>2021</t>
  </si>
  <si>
    <t>Ganho na venda de participação acionária</t>
  </si>
  <si>
    <t>Gain on sale of equity investments</t>
  </si>
  <si>
    <t>1Q22</t>
  </si>
  <si>
    <t>1T22</t>
  </si>
  <si>
    <t>Gains on sale of investiment</t>
  </si>
  <si>
    <t>Alienação de investimentos</t>
  </si>
  <si>
    <t>Disposal of investments</t>
  </si>
  <si>
    <t>Ganho na alienação de investimento</t>
  </si>
  <si>
    <t>Gain on disposal of investiment</t>
  </si>
  <si>
    <t>Atualização monetária INSS FAP</t>
  </si>
  <si>
    <t>INSS FAP monetary restatement</t>
  </si>
  <si>
    <t>Pagamento de dividendos adicionais</t>
  </si>
  <si>
    <t>Payment of additional dividends</t>
  </si>
  <si>
    <t>2T22</t>
  </si>
  <si>
    <t>2Q22</t>
  </si>
  <si>
    <t>3T22</t>
  </si>
  <si>
    <t>3Q22</t>
  </si>
  <si>
    <t>4T22</t>
  </si>
  <si>
    <t>4Q22</t>
  </si>
  <si>
    <t>Despesas da oferta de combinação de negócios</t>
  </si>
  <si>
    <t xml:space="preserve"> Business combination proposal expenses</t>
  </si>
  <si>
    <t>9M22</t>
  </si>
  <si>
    <t>EV/EBITDA 23</t>
  </si>
  <si>
    <t>Preço/Lucro 23</t>
  </si>
  <si>
    <t>Price/Earnings 23</t>
  </si>
  <si>
    <t>Em 31 de março de 2022</t>
  </si>
  <si>
    <t>On March 31, 2022</t>
  </si>
  <si>
    <t>31 de março de 2022</t>
  </si>
  <si>
    <t>March 31, 2022</t>
  </si>
  <si>
    <t>On  March 31, 2022</t>
  </si>
  <si>
    <t>Ex subsidiary Direct Express' civil contingency</t>
  </si>
  <si>
    <t>Contingência cívil ex controlada Direct</t>
  </si>
  <si>
    <t>GDL Logística Integrada S.A.</t>
  </si>
  <si>
    <t>EBITDA ajustado ex-IFRS-16</t>
  </si>
  <si>
    <t>Adjusted EBITDA ex-IFRS 16</t>
  </si>
  <si>
    <t>1S22</t>
  </si>
  <si>
    <t>Em 30 de junho de 2022</t>
  </si>
  <si>
    <t>On June 30, 2022</t>
  </si>
  <si>
    <t>Em 30 de Junho de 2022</t>
  </si>
  <si>
    <t>30 de junho de 2022</t>
  </si>
  <si>
    <t>June 30, 2022</t>
  </si>
  <si>
    <t>Custos variáveis¹</t>
  </si>
  <si>
    <t>Variable costs¹</t>
  </si>
  <si>
    <t>¹ Custos com fretes, combustíveis, com movimentação, crédito de PIS/COFINS</t>
  </si>
  <si>
    <t>¹ Cost with freight, fuel, vehicles handling, PIS/COFINS tax credit</t>
  </si>
  <si>
    <t>1s20</t>
  </si>
  <si>
    <t>1s22</t>
  </si>
  <si>
    <t xml:space="preserve">Aumento na participação societária </t>
  </si>
  <si>
    <t>PREÇO ALVO YE23</t>
  </si>
  <si>
    <t>Target price YE23</t>
  </si>
  <si>
    <t>Lucro Líquido</t>
  </si>
  <si>
    <t>Mês</t>
  </si>
  <si>
    <t>Ano</t>
  </si>
  <si>
    <t>Receita líquida 2024</t>
  </si>
  <si>
    <t>EBITDA 2024</t>
  </si>
  <si>
    <t>Lucro Líquido 2024</t>
  </si>
  <si>
    <t>ELEVEN RESEACH</t>
  </si>
  <si>
    <t>Em 30 de setembro de 2022</t>
  </si>
  <si>
    <t>On September 30, 2022</t>
  </si>
  <si>
    <t>Em 30 de Setembro de 2022</t>
  </si>
  <si>
    <t>September 30, 2022</t>
  </si>
  <si>
    <t>30 de setembro de 2022</t>
  </si>
  <si>
    <t>% Vencidos &gt;180 dias / TOTAL</t>
  </si>
  <si>
    <t>% Overdue &gt;180 days / Total</t>
  </si>
  <si>
    <t>Caixa e equivalentes de caixa - Catlog Logística de Transportes S.A</t>
  </si>
  <si>
    <t>Cash &amp; cash equivalents - Catlog Logística</t>
  </si>
  <si>
    <t>Acquisition of equity interest</t>
  </si>
  <si>
    <t xml:space="preserve">Compra de participação acionária </t>
  </si>
  <si>
    <t>* Do not consider Depreciation &amp; Amortization</t>
  </si>
  <si>
    <t>(-) Equity pickup</t>
  </si>
  <si>
    <t>2022</t>
  </si>
  <si>
    <t>Em 31 de dezembro de 2022</t>
  </si>
  <si>
    <t>On December 31, 2022</t>
  </si>
  <si>
    <t>Crédito tributário Catlog</t>
  </si>
  <si>
    <t>Catlog's tax credit</t>
  </si>
  <si>
    <t>Em 31 de Dezembro de 2022</t>
  </si>
  <si>
    <t>31 de dezembro de 2022</t>
  </si>
  <si>
    <t>December 31, 2022</t>
  </si>
  <si>
    <t>Despesas e não operacionais (sem deprec/amort e ajustado eventos ñ recorr)</t>
  </si>
  <si>
    <t>Expenses and non operational (w/o depre and amortiz; adj by non recurr events)</t>
  </si>
  <si>
    <t>1Q23</t>
  </si>
  <si>
    <t xml:space="preserve">Ganho na venda de investimento </t>
  </si>
  <si>
    <t>Fastline Logística Automotiva Ltda.</t>
  </si>
  <si>
    <t xml:space="preserve">GDL Logística Integrada S.A. </t>
  </si>
  <si>
    <t>Investimento em instrumentos patrimoniais</t>
  </si>
  <si>
    <t>Economic Value Added (EVA)</t>
  </si>
  <si>
    <t>NOPAT (soma 4 trimestres)</t>
  </si>
  <si>
    <t>(-) Eventos não recorrentes</t>
  </si>
  <si>
    <t>(=) NOPAT Ajustado (soma 4 trimestres) (A)</t>
  </si>
  <si>
    <t>NOPAT (LTM)</t>
  </si>
  <si>
    <t>(-) Non-recurring events</t>
  </si>
  <si>
    <t>(=) Adjusted NOPAT (LTM) (A)</t>
  </si>
  <si>
    <t>EVA (WACC= 17%)</t>
  </si>
  <si>
    <t>EVA (WACC=12%)</t>
  </si>
  <si>
    <t>Obs: Considera o range de WACC utilizado nas projeções dos analistas de sell-side</t>
  </si>
  <si>
    <t>Note: Considers the WACC range used by sell-side analysts in their projections</t>
  </si>
  <si>
    <t>(=) Capital empregado (média 4 trimestres) (B)</t>
  </si>
  <si>
    <t>(=) Capital employed (last 4 qtrs) (B)</t>
  </si>
  <si>
    <t>1T23</t>
  </si>
  <si>
    <t>2T23</t>
  </si>
  <si>
    <t>2Q23</t>
  </si>
  <si>
    <t>3T23</t>
  </si>
  <si>
    <t>3Q23</t>
  </si>
  <si>
    <t>4T23</t>
  </si>
  <si>
    <t>4Q23</t>
  </si>
  <si>
    <t>Spontaneus Denouncement</t>
  </si>
  <si>
    <t>Em 31 de março de 2023</t>
  </si>
  <si>
    <t>On March 31, 2023</t>
  </si>
  <si>
    <t>Em 31 de Março de 2023</t>
  </si>
  <si>
    <t>31 de março de 2023</t>
  </si>
  <si>
    <t>March 31, 2023</t>
  </si>
  <si>
    <t>EV/EBITDA 24</t>
  </si>
  <si>
    <t>Preço/Lucro 24</t>
  </si>
  <si>
    <t>Price/Earnings 24</t>
  </si>
  <si>
    <t>Resultado</t>
  </si>
  <si>
    <t>Grupo Itavema</t>
  </si>
  <si>
    <t>Fastcar Transporte de Veículos e cargas Ltda.</t>
  </si>
  <si>
    <t>Receita de serviços prestados</t>
  </si>
  <si>
    <t>Tegma Cargas Especiais Ltda</t>
  </si>
  <si>
    <t>Tegmax Comércio e serviço automotivos Ltda</t>
  </si>
  <si>
    <t>Outras receitas operacionais</t>
  </si>
  <si>
    <t>GDL Logística Integrada S/A</t>
  </si>
  <si>
    <t xml:space="preserve">Sinimbu Participações Societarias e Empreendimentos S.A. </t>
  </si>
  <si>
    <t>Fundação Otacilio Coser (vii)</t>
  </si>
  <si>
    <t>Oddone Consultoria Financeira</t>
  </si>
  <si>
    <t>Km Média Exportação</t>
  </si>
  <si>
    <t>Km Média Doméstica</t>
  </si>
  <si>
    <t>Km Média Total (b/a)</t>
  </si>
  <si>
    <t>Km Exportação</t>
  </si>
  <si>
    <t>Km Doméstica</t>
  </si>
  <si>
    <t>Km Total (b)</t>
  </si>
  <si>
    <t>Veículos Exportação</t>
  </si>
  <si>
    <t>Veículos Doméstico</t>
  </si>
  <si>
    <t>Veículos Total (a)</t>
  </si>
  <si>
    <t>Total Vehicles (a)</t>
  </si>
  <si>
    <t>Exports Vehicles</t>
  </si>
  <si>
    <t>Total Km (b)</t>
  </si>
  <si>
    <t>Domestic Km</t>
  </si>
  <si>
    <t>Exports Km</t>
  </si>
  <si>
    <t>Domestic Avg Km</t>
  </si>
  <si>
    <t>Exports Avg Km</t>
  </si>
  <si>
    <t>Tegma's Mkt Share</t>
  </si>
  <si>
    <t>1S23</t>
  </si>
  <si>
    <t>9M23</t>
  </si>
  <si>
    <t>On June 30, 2023</t>
  </si>
  <si>
    <t>Em 30 de junho de 2023</t>
  </si>
  <si>
    <t>Em 30 de Junho de 2023</t>
  </si>
  <si>
    <t>June 30, 2023</t>
  </si>
  <si>
    <t>30 de junho de 2023</t>
  </si>
  <si>
    <t>1s23</t>
  </si>
  <si>
    <t>Mercado Automotivo</t>
  </si>
  <si>
    <t>------------------</t>
  </si>
  <si>
    <t>Vendas domésticas (ANFAVEA)</t>
  </si>
  <si>
    <t>Exportação (ANFAVEA)</t>
  </si>
  <si>
    <t>Exports  (ANFAVEA)</t>
  </si>
  <si>
    <t>Domestic Sales (ANFAVEA)</t>
  </si>
  <si>
    <t>-----------------</t>
  </si>
  <si>
    <t>Domestic Mkt share %</t>
  </si>
  <si>
    <t>Exports Mkt share  %</t>
  </si>
  <si>
    <t>Mkt share Exportação %</t>
  </si>
  <si>
    <t>Mkt share Doméstico %</t>
  </si>
  <si>
    <t>Receita por km*</t>
  </si>
  <si>
    <t>Revenue per Km*</t>
  </si>
  <si>
    <t>Dividends from subsidiaries</t>
  </si>
  <si>
    <t>Em 30 de setembro de 2023</t>
  </si>
  <si>
    <t>On September 30, 2023</t>
  </si>
  <si>
    <t>Em 30 de setembros de 2023</t>
  </si>
  <si>
    <t>Em 30 de Setembro de 2023</t>
  </si>
  <si>
    <t>30 de setembro de 2023</t>
  </si>
  <si>
    <t>September 30, 2023</t>
  </si>
  <si>
    <t>Addicional dividends proposed</t>
  </si>
  <si>
    <t>Asset valuation adjustment</t>
  </si>
  <si>
    <t>Resultados abrangentes</t>
  </si>
  <si>
    <t>Comprehensive income</t>
  </si>
  <si>
    <t>Leases</t>
  </si>
  <si>
    <t>Entre 2 e 16 anos</t>
  </si>
  <si>
    <t>From 2 to 16 years</t>
  </si>
  <si>
    <t>Total das fontes de capital</t>
  </si>
  <si>
    <t>Total sources of capital</t>
  </si>
  <si>
    <t>Liabilities</t>
  </si>
  <si>
    <t xml:space="preserve"> Passivo</t>
  </si>
  <si>
    <t>Transferências</t>
  </si>
  <si>
    <t>Financial investments</t>
  </si>
  <si>
    <t>Imposto de renda com prejuízos fiscais</t>
  </si>
  <si>
    <t>Income tax losses</t>
  </si>
  <si>
    <t>Perda por redução ao valor
   recuperável de contas a receber</t>
  </si>
  <si>
    <t>Perda por redução ao valor recuperável de contas a receber</t>
  </si>
  <si>
    <t>Accounts receivable impairment</t>
  </si>
  <si>
    <t>Other financial revenues</t>
  </si>
  <si>
    <t>Outras receitas financeiras</t>
  </si>
  <si>
    <t>$11</t>
  </si>
  <si>
    <t>$12</t>
  </si>
  <si>
    <t>$13</t>
  </si>
  <si>
    <t>$14</t>
  </si>
  <si>
    <t>$15</t>
  </si>
  <si>
    <t>Div yield últimos 12 meses</t>
  </si>
  <si>
    <t>Div yield LTM</t>
  </si>
  <si>
    <t>PREÇO ALVO YE24</t>
  </si>
  <si>
    <t>Target price YE24</t>
  </si>
  <si>
    <t>1Q24</t>
  </si>
  <si>
    <t>1T24</t>
  </si>
  <si>
    <t>$16</t>
  </si>
  <si>
    <t>Em 31 de dezembro de 2023</t>
  </si>
  <si>
    <t>On December 31, 2023</t>
  </si>
  <si>
    <t>Em 31 de Dezembro de 2023</t>
  </si>
  <si>
    <t>31 de dezembro de 2023</t>
  </si>
  <si>
    <t>December 31, 2023</t>
  </si>
  <si>
    <t>2023</t>
  </si>
  <si>
    <t>Dividendos pagos</t>
  </si>
  <si>
    <t>Dividends Payed</t>
  </si>
  <si>
    <t>2T24</t>
  </si>
  <si>
    <t>3T24</t>
  </si>
  <si>
    <t>4T24</t>
  </si>
  <si>
    <t>2Q24</t>
  </si>
  <si>
    <t>3Q24</t>
  </si>
  <si>
    <t>4Q24</t>
  </si>
  <si>
    <t>P&amp;L</t>
  </si>
  <si>
    <t>Other Revenues &amp; Expenses</t>
  </si>
  <si>
    <t>Financial Results</t>
  </si>
  <si>
    <t>S&amp;A</t>
  </si>
  <si>
    <t>Equity Investments</t>
  </si>
  <si>
    <t>Right of use</t>
  </si>
  <si>
    <t>Total do Ativo</t>
  </si>
  <si>
    <t>Rabbot</t>
  </si>
  <si>
    <t>1t23</t>
  </si>
  <si>
    <t>1S24</t>
  </si>
  <si>
    <t>9M24</t>
  </si>
  <si>
    <t>31 de março de 2024</t>
  </si>
  <si>
    <t>March 31, 2024</t>
  </si>
  <si>
    <t>Em 31 de março de 2024</t>
  </si>
  <si>
    <t>On March 31, 2024</t>
  </si>
  <si>
    <t>1s24</t>
  </si>
  <si>
    <t>Intangível em andamento</t>
  </si>
  <si>
    <t>Intangible in process</t>
  </si>
  <si>
    <t>Paying in of capital</t>
  </si>
  <si>
    <t>Integralização de capital</t>
  </si>
  <si>
    <t>BYD</t>
  </si>
  <si>
    <t>Quantidade</t>
  </si>
  <si>
    <t>Quantity</t>
  </si>
  <si>
    <t>Final consumer</t>
  </si>
  <si>
    <t>Consumidor final</t>
  </si>
  <si>
    <t>Licenciamento doméstico</t>
  </si>
  <si>
    <t>Produção</t>
  </si>
  <si>
    <t>Prodution</t>
  </si>
  <si>
    <t>Imported</t>
  </si>
  <si>
    <t>Importados</t>
  </si>
  <si>
    <t>OTHER</t>
  </si>
  <si>
    <t>On June 30, 2024</t>
  </si>
  <si>
    <t>Em 30 de junho de 2024</t>
  </si>
  <si>
    <t>30 de junho de 2024</t>
  </si>
  <si>
    <t>June 30, 2024</t>
  </si>
  <si>
    <t>2033-40</t>
  </si>
  <si>
    <t>Fastline Logística Automotiva Ltda. (FLL)</t>
  </si>
  <si>
    <t>Alteração de participação societária</t>
  </si>
  <si>
    <t>Change in Equity</t>
  </si>
  <si>
    <t>----------------</t>
  </si>
  <si>
    <t>Ecommerce</t>
  </si>
  <si>
    <t>Valor contábil</t>
  </si>
  <si>
    <t>Accounting Value</t>
  </si>
  <si>
    <t>Fluxo financeiro</t>
  </si>
  <si>
    <t>Financial Flow</t>
  </si>
  <si>
    <t>**</t>
  </si>
  <si>
    <t xml:space="preserve">** Consultar DFP e ITR / </t>
  </si>
  <si>
    <t>Outros/Others</t>
  </si>
  <si>
    <t>Outros¹</t>
  </si>
  <si>
    <t>Other¹</t>
  </si>
  <si>
    <t>¹ Refere-se às controladas Fastline Logística Automotiva Ltda, Tech Cargo Plataforma de Transportes Ltda e Tegmax Comércio e Serviços Automotivos Ltda</t>
  </si>
  <si>
    <t>¹ Subsidiaries: Fastline Logística Automotiva Ltda, Tech Cargo Plataforma de Transportes Ltda e Tegmax Comércio e Serviços Automotivos Ltda</t>
  </si>
  <si>
    <t>Intangible (Software)</t>
  </si>
  <si>
    <t>Ágio pago na aquisição de investimentos -Nortev</t>
  </si>
  <si>
    <t>Ágio pago na aquisição de investimentos - Boni Amazon</t>
  </si>
  <si>
    <t>Goodwill paid on investment acquisition - Nortev</t>
  </si>
  <si>
    <t>Goodwill paid on investment acquisition - Boni Amazon</t>
  </si>
  <si>
    <t>Transferência</t>
  </si>
  <si>
    <t>Em 30 de Setembro de 2024</t>
  </si>
  <si>
    <t>On September 30, 2024</t>
  </si>
  <si>
    <t>Em 30 de setembro de 2024</t>
  </si>
  <si>
    <t>30 de setembro de 2024</t>
  </si>
  <si>
    <t>September 30, 2024</t>
  </si>
  <si>
    <t>31/06/2024</t>
  </si>
  <si>
    <t>On September30, 2024</t>
  </si>
  <si>
    <t xml:space="preserve">Aquisição na participação societária </t>
  </si>
  <si>
    <t>Shareholding acquisition</t>
  </si>
  <si>
    <t>Aquisição/Aumento de capital em controladas</t>
  </si>
  <si>
    <t>Investments in subsidiaries</t>
  </si>
  <si>
    <t>Receita líquida 2025</t>
  </si>
  <si>
    <t>2025 net revenue</t>
  </si>
  <si>
    <t>EBITDA 2025</t>
  </si>
  <si>
    <t xml:space="preserve">2025 EBITDA </t>
  </si>
  <si>
    <t>2025 net income</t>
  </si>
  <si>
    <t>Lucro Líquido 2025</t>
  </si>
  <si>
    <t>PREÇO ALVO YE25</t>
  </si>
  <si>
    <t>Target price YE25</t>
  </si>
  <si>
    <t>Receita líquida 2026</t>
  </si>
  <si>
    <t>2026 net revenue</t>
  </si>
  <si>
    <t>EBITDA 2026</t>
  </si>
  <si>
    <t xml:space="preserve">2026 EBITDA </t>
  </si>
  <si>
    <t>2026 net income</t>
  </si>
  <si>
    <t>Lucro Líquido 2026</t>
  </si>
  <si>
    <t>On December 31, 2024</t>
  </si>
  <si>
    <t>Em 31 de dezembro de 2024</t>
  </si>
  <si>
    <t>EV/EBITDA 25</t>
  </si>
  <si>
    <t>Preço/Lucro 25</t>
  </si>
  <si>
    <t>Price/Earnings 25</t>
  </si>
  <si>
    <t>On December 30, 2024</t>
  </si>
  <si>
    <t>Em 30 de dezembro de 2024</t>
  </si>
  <si>
    <t>31 de dezembro de 2024</t>
  </si>
  <si>
    <t>December 31, 2024</t>
  </si>
  <si>
    <t>2024</t>
  </si>
  <si>
    <t>1T25</t>
  </si>
  <si>
    <t>1Q25</t>
  </si>
  <si>
    <t>2T25</t>
  </si>
  <si>
    <t>2Q25</t>
  </si>
  <si>
    <t>3T25</t>
  </si>
  <si>
    <t>3Q25</t>
  </si>
  <si>
    <t>4T25</t>
  </si>
  <si>
    <t>4Q25</t>
  </si>
  <si>
    <t>Transação de Capital</t>
  </si>
  <si>
    <t>Capital Transaction</t>
  </si>
  <si>
    <t>Clientes exterior</t>
  </si>
  <si>
    <t>Foreign clients</t>
  </si>
  <si>
    <t>Transfers</t>
  </si>
  <si>
    <t>Ativação</t>
  </si>
  <si>
    <t>Activation</t>
  </si>
  <si>
    <t>Whiteoff</t>
  </si>
  <si>
    <t>9M25</t>
  </si>
  <si>
    <t>1S25</t>
  </si>
  <si>
    <t>Em 31 de março de 2025</t>
  </si>
  <si>
    <t>On March 31, 2025</t>
  </si>
  <si>
    <t>Em 31 março de 2025</t>
  </si>
  <si>
    <t>Intangível (Software e em andamento)</t>
  </si>
  <si>
    <t>Provisão de Benefícios</t>
  </si>
  <si>
    <t>Provision for Benefits</t>
  </si>
  <si>
    <t>Provisão de Seguros</t>
  </si>
  <si>
    <t>Provision for Insurance</t>
  </si>
  <si>
    <t>FLL</t>
  </si>
  <si>
    <t>31 de março de 2025</t>
  </si>
  <si>
    <t>March 31, 2025</t>
  </si>
  <si>
    <t>1Q26</t>
  </si>
  <si>
    <t>Em 30 de junho de 2025</t>
  </si>
  <si>
    <t>On June 30, 2025</t>
  </si>
  <si>
    <t>Em 30 junho de 2025</t>
  </si>
  <si>
    <t>30 de junho de 2025</t>
  </si>
  <si>
    <t>June 30, 2025</t>
  </si>
  <si>
    <t>Fastline</t>
  </si>
  <si>
    <t>EV/EBITDA 26</t>
  </si>
  <si>
    <t>Preço/Lucro 26</t>
  </si>
  <si>
    <t>Price/Earnings 26</t>
  </si>
  <si>
    <t>¹ Subsidiaries:Tech Cargo Plataforma de Transportes Ltda e Tegmax Comércio e Serviços Automotivos Ltda</t>
  </si>
  <si>
    <t>¹ Refere-se às controladas Tech Cargo Plataforma de Transportes Ltda e Tegmax Comércio e Serviços Automotivos Ltda</t>
  </si>
  <si>
    <t>Em 30 de setembro de 2025</t>
  </si>
  <si>
    <t>On September 30, 2025</t>
  </si>
  <si>
    <t>Em 30 setembro de 2025</t>
  </si>
  <si>
    <t>30 de setembro de 2025</t>
  </si>
  <si>
    <t>September 30, 2025</t>
  </si>
  <si>
    <t>1T26</t>
  </si>
  <si>
    <t>2T26</t>
  </si>
  <si>
    <t>3T26</t>
  </si>
  <si>
    <t>4T26</t>
  </si>
  <si>
    <t>Pronampe</t>
  </si>
  <si>
    <t>BUSKAR.ME Logística e Tecnologia S.A.</t>
  </si>
  <si>
    <t>Niyati Empreendimentos e Participações Ltda</t>
  </si>
  <si>
    <t>Caixa e equivalentes de caixa - Buskar-me Logística e Tecnologia S.A.</t>
  </si>
  <si>
    <t>Cash and cash equivalents - Buskar-me Logística e Tecnologia S.A.</t>
  </si>
  <si>
    <t>Outros (a.i)</t>
  </si>
  <si>
    <t xml:space="preserve">    Buskar-Me</t>
  </si>
  <si>
    <t>Buskar.Me</t>
  </si>
  <si>
    <t>Complementar</t>
  </si>
  <si>
    <t>Em 31 de dezembro de 2025</t>
  </si>
  <si>
    <t>On December 31, 2025</t>
  </si>
  <si>
    <t>Em 31 dezembro de 2025</t>
  </si>
  <si>
    <t>2025</t>
  </si>
  <si>
    <t>Receita líquida 2027</t>
  </si>
  <si>
    <t>2027 net revenue</t>
  </si>
  <si>
    <t xml:space="preserve">2027 EBITDA </t>
  </si>
  <si>
    <t>EBITDA 2027</t>
  </si>
  <si>
    <t>Lucro Líquido 2027</t>
  </si>
  <si>
    <t>2027 net income</t>
  </si>
  <si>
    <t>31 de dezembro de 2025</t>
  </si>
  <si>
    <t>December 31, 2025</t>
  </si>
  <si>
    <t>Intelgralização de capital</t>
  </si>
  <si>
    <t>Aquisição de terrenos</t>
  </si>
  <si>
    <t>Reserva de Investimentos</t>
  </si>
  <si>
    <t>2Q26</t>
  </si>
  <si>
    <t>3Q26</t>
  </si>
  <si>
    <t>4Q26</t>
  </si>
  <si>
    <t>LMFSP Gestão Empresarial  Ltda</t>
  </si>
  <si>
    <t>EV/EBITDA 27</t>
  </si>
  <si>
    <t>Preço/Lucro 27</t>
  </si>
  <si>
    <t>Price/Earnings 27</t>
  </si>
  <si>
    <t>PREÇO ALVO YE26</t>
  </si>
  <si>
    <t>Target price YE26</t>
  </si>
  <si>
    <t>Em 31 de março de 2026</t>
  </si>
  <si>
    <t>On March 31, 2026</t>
  </si>
  <si>
    <t>Em 31 março de 2026</t>
  </si>
  <si>
    <t>31 de março de 2026</t>
  </si>
  <si>
    <t>March 31, 2026</t>
  </si>
  <si>
    <t>1S26</t>
  </si>
  <si>
    <t>9M26</t>
  </si>
  <si>
    <t>Constituição (reversão)</t>
  </si>
  <si>
    <t>Constitution (withdrawal)</t>
  </si>
  <si>
    <t>Pasta de trabalho</t>
  </si>
  <si>
    <t>Ajustar (Sim/Não)</t>
  </si>
  <si>
    <t>Tipo (Fluxo/Saldo)</t>
  </si>
  <si>
    <t>Observação</t>
  </si>
  <si>
    <t>Análise Rápida</t>
  </si>
  <si>
    <t>Não</t>
  </si>
  <si>
    <t>Dados Operacionais Auto</t>
  </si>
  <si>
    <t>BP</t>
  </si>
  <si>
    <t>Sim</t>
  </si>
  <si>
    <t>saldo</t>
  </si>
  <si>
    <t>Fluxo</t>
  </si>
  <si>
    <t>7 e 8, lembrar de copiar a célula da antipenúltima até a última.</t>
  </si>
  <si>
    <t>Auto</t>
  </si>
  <si>
    <t>LI</t>
  </si>
  <si>
    <t>DFC</t>
  </si>
  <si>
    <t>DVA</t>
  </si>
  <si>
    <t>DMPL</t>
  </si>
  <si>
    <t>Indicadores</t>
  </si>
  <si>
    <t>Estimativas</t>
  </si>
  <si>
    <t>Dados Mercado</t>
  </si>
  <si>
    <t>Anexos</t>
  </si>
  <si>
    <t>Análise de Sensibilidade</t>
  </si>
  <si>
    <t>Risco de Liquidez</t>
  </si>
  <si>
    <t>Gestão de Capital</t>
  </si>
  <si>
    <t>Caixa e Equivalente de Caixa</t>
  </si>
  <si>
    <t>Linha 11 tem uma conciliação com a aba DRE, que é só copiar da célula anterior</t>
  </si>
  <si>
    <t>Contas a Receber Aging</t>
  </si>
  <si>
    <t>Linhas 11, 20 e 29 tem uma fórmula, que é só copiar da célula anterior</t>
  </si>
  <si>
    <t>Contas a Receber Mov PDD</t>
  </si>
  <si>
    <t>Fluxo*</t>
  </si>
  <si>
    <t>As linhas 6, 15 e 24 são sempre respectivamente a célula da coluna anterior das linhas 12, 21 e 30. As células intermediárias delas são fluxo, ou seja, demandam a diferença vs o acumulado anterior</t>
  </si>
  <si>
    <t>Demais Contas a Receber</t>
  </si>
  <si>
    <t>Impostos a Recuperar</t>
  </si>
  <si>
    <t>Investimentos A</t>
  </si>
  <si>
    <t>Investimentos C</t>
  </si>
  <si>
    <t>Investimentos E</t>
  </si>
  <si>
    <t>Investimentos F</t>
  </si>
  <si>
    <t xml:space="preserve">Imobilizado </t>
  </si>
  <si>
    <t>Empréstimos e Financiamentos</t>
  </si>
  <si>
    <t>Saldo</t>
  </si>
  <si>
    <t>Salários e Encargos Sociais</t>
  </si>
  <si>
    <t>Riscos Judiciais</t>
  </si>
  <si>
    <t>Misto</t>
  </si>
  <si>
    <t>Essa pasta de trabalho tem muitas abas. Até a linha 78, são blocos de saldo. Os últimos três blocos têm a mesma observação da pasta de trabalho Contas a receber mov PDD</t>
  </si>
  <si>
    <t>Despesas de IR e CSLL</t>
  </si>
  <si>
    <t>IR e CS Diferidos</t>
  </si>
  <si>
    <t>Demais Contas a Pagar</t>
  </si>
  <si>
    <t>Outras receitas e despesas</t>
  </si>
  <si>
    <t>fluxo</t>
  </si>
  <si>
    <t>Receita</t>
  </si>
  <si>
    <t>Despesas por Natureza</t>
  </si>
  <si>
    <t>Despesas por Natureza 1</t>
  </si>
  <si>
    <t>Resultado Financeiro</t>
  </si>
  <si>
    <t>Check da linha 25, pode replicar da célula anterior</t>
  </si>
  <si>
    <t>Remuneração Administração</t>
  </si>
  <si>
    <t>Arrendamento Operacional</t>
  </si>
  <si>
    <t>Partes Relacionadas</t>
  </si>
  <si>
    <t>Direito de Uso</t>
  </si>
  <si>
    <t>Operações Descontinuadas</t>
  </si>
  <si>
    <t>As linhas 6 a 11 são fluxo. A linha 12 é o saldo da mesma linha da coluna anterior somado às linhas 6-11 da coluna atual. As linhas 13-14 e 15-16 são saldo.</t>
  </si>
  <si>
    <t>Check da linha 11, pode replicar da célula anterior</t>
  </si>
  <si>
    <t>Em 30 de junho de 2026</t>
  </si>
  <si>
    <t>On June 30, 2026</t>
  </si>
  <si>
    <t>Em 30 junho de 2026</t>
  </si>
  <si>
    <t>30 de junho de 2026</t>
  </si>
  <si>
    <t>June 30, 2026</t>
  </si>
  <si>
    <t>Linhas 6-9 são saldo, linhas 12-17 são fluxo. Linhas 12 e 18 são subtotais Desconsiderar tabelas abaixo da linha 21</t>
  </si>
  <si>
    <t>3/31/26</t>
  </si>
  <si>
    <t>31/06/2026</t>
  </si>
  <si>
    <t>1s26</t>
  </si>
  <si>
    <t>Créditos presumidos de ICMS</t>
  </si>
  <si>
    <t>Presumed ICMS tax credit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</si>
</sst>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3" formatCode="_-* #,##0.00_-;\-* #,##0.00_-;_-* &quot;-&quot;??_-;_-@_-"/>
    <numFmt numFmtId="164" formatCode="_(* #,##0.00_);_(* \(#,##0.00\);_(* &quot;-&quot;??_);_(@_)"/>
    <numFmt numFmtId="165" formatCode="_([$€]* #,##0.00_);_([$€]* \(#,##0.00\);_([$€]* &quot;-&quot;??_);_(@_)"/>
    <numFmt numFmtId="166" formatCode="#,##0;\(#,##0\);\-"/>
    <numFmt numFmtId="167" formatCode="0.0%"/>
    <numFmt numFmtId="168" formatCode="_(* #,##0_);_(* \(#,##0\);_(* &quot;-&quot;??_);_(@_)"/>
    <numFmt numFmtId="169" formatCode="_(&quot;$&quot;* #,##0.00_);_(&quot;$&quot;* \(#,##0.00\);_(&quot;$&quot;* &quot;-&quot;??_);_(@_)"/>
    <numFmt numFmtId="170" formatCode="00,000"/>
    <numFmt numFmtId="171" formatCode="@&quot;²&quot;"/>
    <numFmt numFmtId="172" formatCode="#,##0.0;\(#,##0.0\);\-"/>
    <numFmt numFmtId="173" formatCode="[$-409]mmm\-yy;@"/>
    <numFmt numFmtId="174" formatCode="_-* #,##0_-;\-* #,##0_-;_-* &quot;-&quot;??_-;_-@_-"/>
    <numFmt numFmtId="175" formatCode="#,##0_ ;\-#,##0\ "/>
    <numFmt numFmtId="176" formatCode="[$-416]mmm\-yy;@"/>
    <numFmt numFmtId="177" formatCode="@&quot;¹&quot;"/>
    <numFmt numFmtId="178" formatCode="#,##0;\(#,##0\);"/>
    <numFmt numFmtId="179" formatCode="dd/mm/yy;@"/>
    <numFmt numFmtId="180" formatCode="#,##0.000"/>
    <numFmt numFmtId="181" formatCode="0.0"/>
    <numFmt numFmtId="182" formatCode="#,##0.0"/>
    <numFmt numFmtId="183" formatCode="d/m/yy;@"/>
    <numFmt numFmtId="184" formatCode="0.000%"/>
    <numFmt numFmtId="185" formatCode="#,##0.00;\(#,##0.00\);\-"/>
    <numFmt numFmtId="186" formatCode="_([$€]* #,##0.0000000000_);_([$€]* \(#,##0.0000000000\);_([$€]* &quot;-&quot;??_);_(@_)"/>
    <numFmt numFmtId="187" formatCode="[$-416]d\-mmm\-yy;@"/>
    <numFmt numFmtId="188" formatCode="_([$€]* #,##0.000_);_([$€]* \(#,##0.000\);_([$€]* &quot;-&quot;??_);_(@_)"/>
    <numFmt numFmtId="189" formatCode="[$-416]yyyy;@"/>
  </numFmts>
  <fonts count="19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Times New Roman"/>
      <family val="1"/>
    </font>
    <font>
      <sz val="10"/>
      <name val="Times New Roman"/>
      <family val="1"/>
    </font>
    <font>
      <i/>
      <sz val="10"/>
      <name val="Times New Roman"/>
      <family val="1"/>
    </font>
    <font>
      <sz val="12"/>
      <color theme="1"/>
      <name val="Georgia"/>
      <family val="2"/>
    </font>
    <font>
      <sz val="10"/>
      <color theme="1"/>
      <name val="Times New Roman"/>
      <family val="1"/>
    </font>
    <font>
      <sz val="11"/>
      <color indexed="8"/>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0"/>
      <color indexed="8"/>
      <name val="Arial"/>
      <family val="2"/>
    </font>
    <font>
      <i/>
      <sz val="6"/>
      <color indexed="8"/>
      <name val="Arial"/>
      <family val="2"/>
    </font>
    <font>
      <b/>
      <i/>
      <strike/>
      <u/>
      <sz val="10"/>
      <color indexed="8"/>
      <name val="Arial"/>
      <family val="2"/>
    </font>
    <font>
      <sz val="10"/>
      <color theme="0"/>
      <name val="Times New Roman"/>
      <family val="1"/>
    </font>
    <font>
      <sz val="12"/>
      <color theme="1"/>
      <name val="Calibri"/>
      <family val="2"/>
      <scheme val="minor"/>
    </font>
    <font>
      <u/>
      <sz val="11"/>
      <color theme="10"/>
      <name val="Calibri"/>
      <family val="2"/>
      <scheme val="minor"/>
    </font>
    <font>
      <u/>
      <sz val="10"/>
      <color theme="10"/>
      <name val="Times New Roman"/>
      <family val="1"/>
    </font>
    <font>
      <sz val="8"/>
      <color theme="1"/>
      <name val="Times New Roman"/>
      <family val="1"/>
    </font>
    <font>
      <b/>
      <sz val="10"/>
      <color indexed="8"/>
      <name val="Times New Roman"/>
      <family val="1"/>
    </font>
    <font>
      <sz val="10"/>
      <color indexed="8"/>
      <name val="Times New Roman"/>
      <family val="1"/>
    </font>
    <font>
      <b/>
      <sz val="10"/>
      <color theme="1"/>
      <name val="Times New Roman"/>
      <family val="1"/>
    </font>
    <font>
      <b/>
      <sz val="8"/>
      <color theme="1"/>
      <name val="Times New Roman"/>
      <family val="1"/>
    </font>
    <font>
      <sz val="11"/>
      <color theme="1"/>
      <name val="Century Gothic"/>
      <family val="2"/>
    </font>
    <font>
      <u/>
      <sz val="11"/>
      <color theme="10"/>
      <name val="Times New Roman"/>
      <family val="1"/>
    </font>
    <font>
      <sz val="11"/>
      <color theme="1"/>
      <name val="Georgia"/>
      <family val="1"/>
    </font>
    <font>
      <b/>
      <sz val="9"/>
      <color theme="1"/>
      <name val="Georgia"/>
      <family val="1"/>
    </font>
    <font>
      <b/>
      <sz val="11"/>
      <color theme="1"/>
      <name val="Georgia"/>
      <family val="1"/>
    </font>
    <font>
      <sz val="9"/>
      <color theme="1"/>
      <name val="Georgia"/>
      <family val="1"/>
    </font>
    <font>
      <sz val="9"/>
      <color rgb="FF000000"/>
      <name val="Georgia"/>
      <family val="1"/>
    </font>
    <font>
      <b/>
      <sz val="9"/>
      <color rgb="FF000000"/>
      <name val="Georgia"/>
      <family val="1"/>
    </font>
    <font>
      <b/>
      <sz val="10"/>
      <color theme="1"/>
      <name val="Georgia"/>
      <family val="1"/>
    </font>
    <font>
      <sz val="8"/>
      <color theme="1"/>
      <name val="Georgia"/>
      <family val="1"/>
    </font>
    <font>
      <b/>
      <sz val="8"/>
      <color theme="1"/>
      <name val="Georgia"/>
      <family val="1"/>
    </font>
    <font>
      <sz val="8"/>
      <color rgb="FF000000"/>
      <name val="Georgia"/>
      <family val="1"/>
    </font>
    <font>
      <i/>
      <sz val="11"/>
      <color theme="1"/>
      <name val="Georgia"/>
      <family val="1"/>
    </font>
    <font>
      <i/>
      <sz val="9"/>
      <color rgb="FF000000"/>
      <name val="Georgia"/>
      <family val="1"/>
    </font>
    <font>
      <i/>
      <sz val="9"/>
      <color theme="1"/>
      <name val="Georgia"/>
      <family val="1"/>
    </font>
    <font>
      <b/>
      <sz val="10"/>
      <color theme="1"/>
      <name val="Arial"/>
      <family val="2"/>
    </font>
    <font>
      <sz val="10"/>
      <color theme="1"/>
      <name val="Arial"/>
      <family val="2"/>
    </font>
    <font>
      <b/>
      <sz val="10"/>
      <color indexed="8"/>
      <name val="Arial"/>
      <family val="2"/>
    </font>
    <font>
      <sz val="10"/>
      <color rgb="FF000000"/>
      <name val="Arial"/>
      <family val="2"/>
    </font>
    <font>
      <b/>
      <sz val="10"/>
      <color rgb="FF000000"/>
      <name val="Arial"/>
      <family val="2"/>
    </font>
    <font>
      <b/>
      <sz val="10"/>
      <name val="Arial"/>
      <family val="2"/>
    </font>
    <font>
      <b/>
      <sz val="10"/>
      <color theme="0" tint="-0.499984740745262"/>
      <name val="Arial"/>
      <family val="2"/>
    </font>
    <font>
      <sz val="10"/>
      <color theme="0"/>
      <name val="Arial"/>
      <family val="2"/>
    </font>
    <font>
      <sz val="10"/>
      <color theme="1"/>
      <name val="Calibri"/>
      <family val="2"/>
      <scheme val="minor"/>
    </font>
    <font>
      <b/>
      <sz val="12"/>
      <color rgb="FF000000"/>
      <name val="Arial"/>
      <family val="2"/>
    </font>
    <font>
      <sz val="14"/>
      <color theme="1"/>
      <name val="Georgia"/>
      <family val="1"/>
    </font>
    <font>
      <sz val="12"/>
      <color theme="1"/>
      <name val="Georgia"/>
      <family val="1"/>
    </font>
    <font>
      <u/>
      <sz val="14"/>
      <color theme="1"/>
      <name val="Georgia"/>
      <family val="1"/>
    </font>
    <font>
      <sz val="8"/>
      <color theme="1"/>
      <name val="Arial"/>
      <family val="2"/>
    </font>
    <font>
      <b/>
      <sz val="10"/>
      <name val="Calibri"/>
      <family val="2"/>
      <scheme val="minor"/>
    </font>
    <font>
      <sz val="10"/>
      <color theme="0" tint="-0.499984740745262"/>
      <name val="Arial"/>
      <family val="2"/>
    </font>
    <font>
      <sz val="10"/>
      <color rgb="FFFF0000"/>
      <name val="Arial"/>
      <family val="2"/>
    </font>
    <font>
      <i/>
      <sz val="10"/>
      <color indexed="8"/>
      <name val="Times New Roman"/>
      <family val="1"/>
    </font>
    <font>
      <sz val="11"/>
      <color theme="0"/>
      <name val="Georgia"/>
      <family val="1"/>
    </font>
    <font>
      <b/>
      <u/>
      <sz val="10"/>
      <color theme="10"/>
      <name val="Times New Roman"/>
      <family val="1"/>
    </font>
    <font>
      <sz val="10"/>
      <color theme="0" tint="-0.34998626667073579"/>
      <name val="Times New Roman"/>
      <family val="1"/>
    </font>
    <font>
      <u/>
      <sz val="10"/>
      <color theme="0" tint="-0.34998626667073579"/>
      <name val="Times New Roman"/>
      <family val="1"/>
    </font>
    <font>
      <b/>
      <sz val="10"/>
      <color theme="0" tint="-0.34998626667073579"/>
      <name val="Times New Roman"/>
      <family val="1"/>
    </font>
    <font>
      <sz val="10"/>
      <color theme="0" tint="-0.34998626667073579"/>
      <name val="Arial"/>
      <family val="2"/>
    </font>
    <font>
      <sz val="11"/>
      <color theme="0" tint="-0.34998626667073579"/>
      <name val="Georgia"/>
      <family val="1"/>
    </font>
    <font>
      <i/>
      <sz val="10"/>
      <name val="Arial"/>
      <family val="2"/>
    </font>
    <font>
      <b/>
      <sz val="10"/>
      <color theme="0"/>
      <name val="Times New Roman"/>
      <family val="1"/>
    </font>
    <font>
      <sz val="10"/>
      <color rgb="FFFF0000"/>
      <name val="Times New Roman"/>
      <family val="1"/>
    </font>
    <font>
      <b/>
      <sz val="10"/>
      <color rgb="FFFF0000"/>
      <name val="Times New Roman"/>
      <family val="1"/>
    </font>
    <font>
      <sz val="9"/>
      <color indexed="81"/>
      <name val="Segoe UI"/>
      <family val="2"/>
    </font>
    <font>
      <sz val="11"/>
      <color theme="1"/>
      <name val="Times New Roman"/>
      <family val="1"/>
    </font>
    <font>
      <b/>
      <i/>
      <sz val="10"/>
      <color indexed="8"/>
      <name val="Times New Roman"/>
      <family val="1"/>
    </font>
    <font>
      <b/>
      <i/>
      <sz val="10"/>
      <name val="Times New Roman"/>
      <family val="1"/>
    </font>
    <font>
      <b/>
      <u/>
      <sz val="10"/>
      <name val="Times New Roman"/>
      <family val="1"/>
    </font>
    <font>
      <b/>
      <sz val="10"/>
      <color rgb="FF585A5B"/>
      <name val="Times New Roman"/>
      <family val="1"/>
    </font>
    <font>
      <sz val="10"/>
      <color rgb="FF585A5B"/>
      <name val="Times New Roman"/>
      <family val="1"/>
    </font>
    <font>
      <sz val="10"/>
      <color theme="0" tint="-0.249977111117893"/>
      <name val="Arial"/>
      <family val="2"/>
    </font>
    <font>
      <sz val="10"/>
      <color theme="0" tint="-0.249977111117893"/>
      <name val="Times New Roman"/>
      <family val="1"/>
    </font>
    <font>
      <b/>
      <sz val="10"/>
      <color theme="0" tint="-0.499984740745262"/>
      <name val="Times New Roman"/>
      <family val="1"/>
    </font>
    <font>
      <sz val="10"/>
      <color theme="0" tint="-0.499984740745262"/>
      <name val="Times New Roman"/>
      <family val="1"/>
    </font>
    <font>
      <sz val="10"/>
      <color rgb="FF00B0F0"/>
      <name val="Times New Roman"/>
      <family val="1"/>
    </font>
    <font>
      <b/>
      <sz val="9"/>
      <color indexed="81"/>
      <name val="Segoe UI"/>
      <family val="2"/>
    </font>
    <font>
      <sz val="11"/>
      <color rgb="FFFF0000"/>
      <name val="Georgia"/>
      <family val="1"/>
    </font>
    <font>
      <sz val="8"/>
      <color indexed="81"/>
      <name val="Segoe UI"/>
      <family val="2"/>
    </font>
    <font>
      <i/>
      <sz val="10"/>
      <color theme="1"/>
      <name val="Times New Roman"/>
      <family val="1"/>
    </font>
    <font>
      <b/>
      <sz val="10"/>
      <color theme="0"/>
      <name val="Arial"/>
      <family val="2"/>
    </font>
    <font>
      <sz val="8"/>
      <name val="Times New Roman"/>
      <family val="1"/>
    </font>
    <font>
      <sz val="14"/>
      <name val="Times New Roman"/>
      <family val="1"/>
    </font>
    <font>
      <sz val="12"/>
      <color theme="0"/>
      <name val="Calibri"/>
      <family val="2"/>
      <scheme val="minor"/>
    </font>
    <font>
      <sz val="14"/>
      <color rgb="FFED7D31"/>
      <name val="Times New Roman"/>
      <family val="1"/>
    </font>
    <font>
      <sz val="12"/>
      <color rgb="FFED7D31"/>
      <name val="Calibri"/>
      <family val="2"/>
      <scheme val="minor"/>
    </font>
    <font>
      <sz val="10"/>
      <color theme="5"/>
      <name val="Times New Roman"/>
      <family val="1"/>
    </font>
    <font>
      <i/>
      <sz val="10"/>
      <color theme="5"/>
      <name val="Times New Roman"/>
      <family val="1"/>
    </font>
    <font>
      <i/>
      <sz val="10"/>
      <color theme="0"/>
      <name val="Times New Roman"/>
      <family val="1"/>
    </font>
    <font>
      <b/>
      <sz val="10"/>
      <color theme="0"/>
      <name val="Calibri"/>
      <family val="2"/>
      <scheme val="minor"/>
    </font>
    <font>
      <b/>
      <sz val="12"/>
      <color theme="0"/>
      <name val="Arial"/>
      <family val="2"/>
    </font>
    <font>
      <sz val="14"/>
      <color theme="0"/>
      <name val="Georgia"/>
      <family val="1"/>
    </font>
    <font>
      <sz val="12"/>
      <color theme="0"/>
      <name val="Georgia"/>
      <family val="1"/>
    </font>
    <font>
      <sz val="9"/>
      <color theme="0"/>
      <name val="Georgia"/>
      <family val="1"/>
    </font>
    <font>
      <u/>
      <sz val="11"/>
      <color theme="0"/>
      <name val="Calibri"/>
      <family val="2"/>
      <scheme val="minor"/>
    </font>
    <font>
      <u/>
      <sz val="11"/>
      <color rgb="FFFF0000"/>
      <name val="Calibri"/>
      <family val="2"/>
      <scheme val="minor"/>
    </font>
    <font>
      <sz val="12"/>
      <color rgb="FFFF0000"/>
      <name val="Calibri"/>
      <family val="2"/>
      <scheme val="minor"/>
    </font>
    <font>
      <sz val="14"/>
      <color theme="0"/>
      <name val="Times New Roman"/>
      <family val="1"/>
    </font>
    <font>
      <sz val="11"/>
      <color theme="0"/>
      <name val="Times New Roman"/>
      <family val="1"/>
    </font>
    <font>
      <sz val="9"/>
      <color theme="0"/>
      <name val="Arial"/>
      <family val="2"/>
    </font>
    <font>
      <b/>
      <sz val="8"/>
      <color theme="0"/>
      <name val="Arial"/>
      <family val="2"/>
    </font>
    <font>
      <b/>
      <sz val="9"/>
      <color theme="0"/>
      <name val="Arial"/>
      <family val="2"/>
    </font>
    <font>
      <sz val="8"/>
      <color theme="0" tint="-0.249977111117893"/>
      <name val="Arial"/>
      <family val="2"/>
    </font>
    <font>
      <b/>
      <sz val="10"/>
      <color rgb="FFFF0000"/>
      <name val="Arial"/>
      <family val="2"/>
    </font>
    <font>
      <sz val="8"/>
      <color theme="0"/>
      <name val="Georgia"/>
      <family val="1"/>
    </font>
    <font>
      <sz val="9"/>
      <name val="Arial"/>
      <family val="2"/>
    </font>
    <font>
      <sz val="10"/>
      <color theme="4"/>
      <name val="Times New Roman"/>
      <family val="1"/>
    </font>
    <font>
      <i/>
      <sz val="10"/>
      <color rgb="FFFF0000"/>
      <name val="Times New Roman"/>
      <family val="1"/>
    </font>
    <font>
      <sz val="9"/>
      <color rgb="FF000000"/>
      <name val="Times New Roman"/>
      <family val="1"/>
    </font>
    <font>
      <sz val="11"/>
      <color indexed="8"/>
      <name val="Times New Roman"/>
      <family val="1"/>
    </font>
    <font>
      <sz val="8"/>
      <color theme="0" tint="-0.34998626667073579"/>
      <name val="Arial"/>
      <family val="2"/>
    </font>
    <font>
      <sz val="11"/>
      <name val="Georgia"/>
      <family val="1"/>
    </font>
    <font>
      <sz val="9"/>
      <color theme="0" tint="-0.34998626667073579"/>
      <name val="Georgia"/>
      <family val="1"/>
    </font>
    <font>
      <sz val="11"/>
      <name val="Times New Roman"/>
      <family val="1"/>
    </font>
    <font>
      <b/>
      <sz val="10"/>
      <color theme="0" tint="-0.249977111117893"/>
      <name val="Times New Roman"/>
      <family val="1"/>
    </font>
    <font>
      <b/>
      <sz val="9"/>
      <color theme="1"/>
      <name val="Times New Roman"/>
      <family val="1"/>
    </font>
    <font>
      <sz val="10"/>
      <color rgb="FF000000"/>
      <name val="Times New Roman"/>
      <family val="1"/>
    </font>
    <font>
      <sz val="10"/>
      <color rgb="FFC00000"/>
      <name val="Arial"/>
      <family val="2"/>
    </font>
    <font>
      <sz val="14"/>
      <color rgb="FFFF0000"/>
      <name val="Georgia"/>
      <family val="1"/>
    </font>
    <font>
      <sz val="11"/>
      <color rgb="FFFF0000"/>
      <name val="Times New Roman"/>
      <family val="1"/>
    </font>
    <font>
      <i/>
      <sz val="8"/>
      <name val="Times New Roman"/>
      <family val="1"/>
    </font>
    <font>
      <i/>
      <sz val="8"/>
      <color theme="0"/>
      <name val="Times New Roman"/>
      <family val="1"/>
    </font>
    <font>
      <i/>
      <sz val="8"/>
      <color indexed="8"/>
      <name val="Times New Roman"/>
      <family val="1"/>
    </font>
    <font>
      <sz val="9"/>
      <name val="Times New Roman"/>
      <family val="1"/>
    </font>
    <font>
      <sz val="9"/>
      <color theme="0"/>
      <name val="Times New Roman"/>
      <family val="1"/>
    </font>
    <font>
      <sz val="8"/>
      <color rgb="FFFF0000"/>
      <name val="Times New Roman"/>
      <family val="1"/>
    </font>
    <font>
      <b/>
      <sz val="9"/>
      <name val="Arial"/>
      <family val="2"/>
    </font>
    <font>
      <b/>
      <sz val="11"/>
      <color rgb="FFFF0000"/>
      <name val="Georgia"/>
      <family val="1"/>
    </font>
    <font>
      <sz val="10"/>
      <color theme="2"/>
      <name val="Arial"/>
      <family val="2"/>
    </font>
    <font>
      <sz val="10"/>
      <color theme="2"/>
      <name val="Times New Roman"/>
      <family val="1"/>
    </font>
    <font>
      <b/>
      <sz val="10"/>
      <color theme="2"/>
      <name val="Calibri"/>
      <family val="2"/>
      <scheme val="minor"/>
    </font>
    <font>
      <u/>
      <sz val="9"/>
      <color indexed="81"/>
      <name val="Segoe UI"/>
      <family val="2"/>
    </font>
    <font>
      <b/>
      <sz val="10"/>
      <color indexed="81"/>
      <name val="Arial"/>
      <family val="2"/>
    </font>
    <font>
      <b/>
      <sz val="10"/>
      <color theme="2" tint="-9.9978637043366805E-2"/>
      <name val="Calibri"/>
      <family val="2"/>
      <scheme val="minor"/>
    </font>
    <font>
      <sz val="10"/>
      <color rgb="FFFEF1E2"/>
      <name val="Times New Roman"/>
      <family val="1"/>
    </font>
    <font>
      <sz val="10"/>
      <color theme="2" tint="-0.249977111117893"/>
      <name val="Arial"/>
      <family val="2"/>
    </font>
    <font>
      <sz val="10"/>
      <color theme="5" tint="-0.249977111117893"/>
      <name val="Arial"/>
      <family val="2"/>
    </font>
    <font>
      <sz val="10"/>
      <color theme="5" tint="0.39997558519241921"/>
      <name val="Arial"/>
      <family val="2"/>
    </font>
    <font>
      <b/>
      <sz val="9"/>
      <color rgb="FF656565"/>
      <name val="Calibri"/>
      <family val="2"/>
    </font>
    <font>
      <sz val="8"/>
      <color theme="0"/>
      <name val="Times New Roman"/>
      <family val="1"/>
    </font>
    <font>
      <sz val="11"/>
      <color theme="0" tint="-0.249977111117893"/>
      <name val="Times New Roman"/>
      <family val="1"/>
    </font>
    <font>
      <b/>
      <sz val="10"/>
      <color rgb="FFFF0000"/>
      <name val="Calibri"/>
      <family val="2"/>
      <scheme val="minor"/>
    </font>
    <font>
      <sz val="8"/>
      <name val="Arial"/>
      <family val="2"/>
    </font>
    <font>
      <sz val="9"/>
      <color rgb="FF000000"/>
      <name val="Arial"/>
      <family val="2"/>
    </font>
    <font>
      <sz val="10"/>
      <color rgb="FFFFC000"/>
      <name val="Arial"/>
      <family val="2"/>
    </font>
    <font>
      <i/>
      <sz val="8"/>
      <color rgb="FFFF0000"/>
      <name val="Times New Roman"/>
      <family val="1"/>
    </font>
    <font>
      <sz val="8"/>
      <color rgb="FFFF0000"/>
      <name val="Arial"/>
      <family val="2"/>
    </font>
  </fonts>
  <fills count="5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7931D"/>
        <bgColor indexed="64"/>
      </patternFill>
    </fill>
    <fill>
      <patternFill patternType="solid">
        <fgColor rgb="FFFEF1E2"/>
        <bgColor indexed="64"/>
      </patternFill>
    </fill>
    <fill>
      <patternFill patternType="solid">
        <fgColor rgb="FFFCDBB2"/>
        <bgColor indexed="64"/>
      </patternFill>
    </fill>
    <fill>
      <patternFill patternType="solid">
        <fgColor rgb="FFFFFFFF"/>
        <bgColor rgb="FFFFFFFF"/>
      </patternFill>
    </fill>
    <fill>
      <patternFill patternType="solid">
        <fgColor theme="5"/>
        <bgColor rgb="FFFFFFFF"/>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rgb="FFFFFFFF"/>
      </patternFill>
    </fill>
    <fill>
      <patternFill patternType="solid">
        <fgColor theme="5"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00"/>
        <bgColor indexed="64"/>
      </patternFill>
    </fill>
  </fills>
  <borders count="82">
    <border>
      <left/>
      <right/>
      <top/>
      <bottom/>
      <diagonal/>
    </border>
    <border>
      <left/>
      <right/>
      <top style="medium">
        <color auto="1"/>
      </top>
      <bottom/>
      <diagonal/>
    </border>
    <border>
      <left/>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bottom/>
      <diagonal/>
    </border>
    <border>
      <left style="thin">
        <color theme="0"/>
      </left>
      <right/>
      <top/>
      <bottom/>
      <diagonal/>
    </border>
    <border>
      <left style="thin">
        <color auto="1"/>
      </left>
      <right/>
      <top/>
      <bottom/>
      <diagonal/>
    </border>
    <border>
      <left/>
      <right style="thin">
        <color auto="1"/>
      </right>
      <top/>
      <bottom/>
      <diagonal/>
    </border>
    <border>
      <left style="medium">
        <color auto="1"/>
      </left>
      <right style="medium">
        <color auto="1"/>
      </right>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indexed="64"/>
      </bottom>
      <diagonal/>
    </border>
    <border>
      <left/>
      <right style="thin">
        <color auto="1"/>
      </right>
      <top/>
      <bottom style="thin">
        <color indexed="64"/>
      </bottom>
      <diagonal/>
    </border>
    <border>
      <left style="thick">
        <color auto="1"/>
      </left>
      <right/>
      <top/>
      <bottom/>
      <diagonal/>
    </border>
    <border>
      <left/>
      <right style="thick">
        <color auto="1"/>
      </right>
      <top/>
      <bottom/>
      <diagonal/>
    </border>
    <border>
      <left style="thin">
        <color indexed="64"/>
      </left>
      <right/>
      <top style="medium">
        <color auto="1"/>
      </top>
      <bottom/>
      <diagonal/>
    </border>
    <border>
      <left style="thin">
        <color theme="0"/>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FFFFFF"/>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CCCFD1"/>
      </bottom>
      <diagonal/>
    </border>
    <border>
      <left style="medium">
        <color rgb="FFE6E9EB"/>
      </left>
      <right/>
      <top/>
      <bottom style="medium">
        <color rgb="FFCCCFD1"/>
      </bottom>
      <diagonal/>
    </border>
    <border>
      <left style="medium">
        <color rgb="FF000000"/>
      </left>
      <right style="medium">
        <color rgb="FFE6E9EB"/>
      </right>
      <top/>
      <bottom style="medium">
        <color rgb="FFCCCFD1"/>
      </bottom>
      <diagonal/>
    </border>
    <border>
      <left style="medium">
        <color rgb="FFE6E9EB"/>
      </left>
      <right style="medium">
        <color rgb="FF000000"/>
      </right>
      <top/>
      <bottom style="medium">
        <color rgb="FFCCCFD1"/>
      </bottom>
      <diagonal/>
    </border>
    <border>
      <left style="medium">
        <color rgb="FF000000"/>
      </left>
      <right style="medium">
        <color rgb="FFE6E9EB"/>
      </right>
      <top style="medium">
        <color rgb="FF000000"/>
      </top>
      <bottom style="medium">
        <color rgb="FF000000"/>
      </bottom>
      <diagonal/>
    </border>
    <border>
      <left style="medium">
        <color rgb="FFE6E9EB"/>
      </left>
      <right style="medium">
        <color rgb="FF000000"/>
      </right>
      <top style="medium">
        <color rgb="FF000000"/>
      </top>
      <bottom style="medium">
        <color rgb="FF000000"/>
      </bottom>
      <diagonal/>
    </border>
    <border>
      <left style="medium">
        <color rgb="FF000000"/>
      </left>
      <right/>
      <top style="medium">
        <color rgb="FFCCCFD1"/>
      </top>
      <bottom style="medium">
        <color rgb="FFCCCFD1"/>
      </bottom>
      <diagonal/>
    </border>
    <border>
      <left style="medium">
        <color rgb="FFE6E9EB"/>
      </left>
      <right/>
      <top style="medium">
        <color rgb="FFCCCFD1"/>
      </top>
      <bottom style="medium">
        <color rgb="FFCCCFD1"/>
      </bottom>
      <diagonal/>
    </border>
    <border>
      <left style="medium">
        <color rgb="FFE6E9EB"/>
      </left>
      <right style="medium">
        <color rgb="FF000000"/>
      </right>
      <top style="medium">
        <color rgb="FFCCCFD1"/>
      </top>
      <bottom style="medium">
        <color rgb="FFCCCFD1"/>
      </bottom>
      <diagonal/>
    </border>
    <border>
      <left style="medium">
        <color rgb="FF000000"/>
      </left>
      <right/>
      <top style="medium">
        <color rgb="FFCCCFD1"/>
      </top>
      <bottom style="medium">
        <color rgb="FF000000"/>
      </bottom>
      <diagonal/>
    </border>
    <border>
      <left style="medium">
        <color rgb="FFE6E9EB"/>
      </left>
      <right/>
      <top style="medium">
        <color rgb="FFCCCFD1"/>
      </top>
      <bottom style="medium">
        <color rgb="FF000000"/>
      </bottom>
      <diagonal/>
    </border>
    <border>
      <left style="medium">
        <color rgb="FF000000"/>
      </left>
      <right style="medium">
        <color rgb="FFE6E9EB"/>
      </right>
      <top style="medium">
        <color rgb="FFCCCFD1"/>
      </top>
      <bottom style="medium">
        <color rgb="FF000000"/>
      </bottom>
      <diagonal/>
    </border>
    <border>
      <left style="medium">
        <color rgb="FFE6E9EB"/>
      </left>
      <right style="medium">
        <color rgb="FF000000"/>
      </right>
      <top style="medium">
        <color rgb="FFCCCFD1"/>
      </top>
      <bottom style="medium">
        <color rgb="FF000000"/>
      </bottom>
      <diagonal/>
    </border>
    <border>
      <left style="medium">
        <color rgb="FF000000"/>
      </left>
      <right/>
      <top style="medium">
        <color rgb="FF000000"/>
      </top>
      <bottom style="medium">
        <color rgb="FFCCCFD1"/>
      </bottom>
      <diagonal/>
    </border>
    <border>
      <left style="medium">
        <color rgb="FFE6E9EB"/>
      </left>
      <right/>
      <top style="medium">
        <color rgb="FF000000"/>
      </top>
      <bottom style="medium">
        <color rgb="FFCCCFD1"/>
      </bottom>
      <diagonal/>
    </border>
    <border>
      <left style="medium">
        <color rgb="FF000000"/>
      </left>
      <right style="medium">
        <color rgb="FFE6E9EB"/>
      </right>
      <top style="medium">
        <color rgb="FF000000"/>
      </top>
      <bottom style="medium">
        <color rgb="FFCCCFD1"/>
      </bottom>
      <diagonal/>
    </border>
    <border>
      <left style="medium">
        <color rgb="FFE6E9EB"/>
      </left>
      <right style="medium">
        <color rgb="FF000000"/>
      </right>
      <top style="medium">
        <color rgb="FF000000"/>
      </top>
      <bottom style="medium">
        <color rgb="FFCCCFD1"/>
      </bottom>
      <diagonal/>
    </border>
    <border>
      <left style="medium">
        <color rgb="FF000000"/>
      </left>
      <right style="medium">
        <color rgb="FFE6E9EB"/>
      </right>
      <top style="medium">
        <color rgb="FFCCCFD1"/>
      </top>
      <bottom style="medium">
        <color rgb="FFCCCFD1"/>
      </bottom>
      <diagonal/>
    </border>
    <border>
      <left style="medium">
        <color rgb="FFFFFFFF"/>
      </left>
      <right style="medium">
        <color rgb="FFFFFFFF"/>
      </right>
      <top style="medium">
        <color rgb="FF000000"/>
      </top>
      <bottom style="medium">
        <color rgb="FF000000"/>
      </bottom>
      <diagonal/>
    </border>
    <border>
      <left style="medium">
        <color rgb="FFE6E9EB"/>
      </left>
      <right style="medium">
        <color rgb="FFE6E9EB"/>
      </right>
      <top style="medium">
        <color rgb="FFCCCFD1"/>
      </top>
      <bottom style="medium">
        <color indexed="64"/>
      </bottom>
      <diagonal/>
    </border>
    <border>
      <left style="mediumDashDot">
        <color auto="1"/>
      </left>
      <right style="mediumDashDot">
        <color auto="1"/>
      </right>
      <top/>
      <bottom/>
      <diagonal/>
    </border>
    <border>
      <left style="double">
        <color auto="1"/>
      </left>
      <right/>
      <top/>
      <bottom/>
      <diagonal/>
    </border>
    <border>
      <left/>
      <right style="double">
        <color auto="1"/>
      </right>
      <top/>
      <bottom/>
      <diagonal/>
    </border>
    <border>
      <left style="thin">
        <color indexed="64"/>
      </left>
      <right style="thin">
        <color indexed="64"/>
      </right>
      <top/>
      <bottom/>
      <diagonal/>
    </border>
    <border>
      <left/>
      <right/>
      <top style="thin">
        <color theme="0" tint="-0.24994659260841701"/>
      </top>
      <bottom/>
      <diagonal/>
    </border>
    <border>
      <left/>
      <right/>
      <top/>
      <bottom style="thin">
        <color theme="0" tint="-0.24994659260841701"/>
      </bottom>
      <diagonal/>
    </border>
    <border>
      <left style="thin">
        <color indexed="64"/>
      </left>
      <right/>
      <top style="thin">
        <color theme="0" tint="-0.24994659260841701"/>
      </top>
      <bottom/>
      <diagonal/>
    </border>
    <border>
      <left style="thin">
        <color indexed="64"/>
      </left>
      <right/>
      <top/>
      <bottom style="thin">
        <color theme="0" tint="-0.24994659260841701"/>
      </bottom>
      <diagonal/>
    </border>
    <border>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style="mediumDashed">
        <color rgb="FFFF0000"/>
      </left>
      <right/>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diagonal/>
    </border>
    <border>
      <left/>
      <right style="mediumDashed">
        <color rgb="FFFF0000"/>
      </right>
      <top/>
      <bottom style="mediumDashed">
        <color rgb="FFFF0000"/>
      </bottom>
      <diagonal/>
    </border>
    <border>
      <left style="medium">
        <color rgb="FFE6E9EB"/>
      </left>
      <right style="medium">
        <color rgb="FF000000"/>
      </right>
      <top style="medium">
        <color rgb="FFCCCFD1"/>
      </top>
      <bottom/>
      <diagonal/>
    </border>
    <border>
      <left style="medium">
        <color rgb="FFE6E9EB"/>
      </left>
      <right style="medium">
        <color rgb="FF000000"/>
      </right>
      <top/>
      <bottom style="medium">
        <color rgb="FF000000"/>
      </bottom>
      <diagonal/>
    </border>
    <border>
      <left style="medium">
        <color rgb="FFE6E9EB"/>
      </left>
      <right style="medium">
        <color rgb="FF000000"/>
      </right>
      <top style="medium">
        <color rgb="FF000000"/>
      </top>
      <bottom/>
      <diagonal/>
    </border>
    <border>
      <left/>
      <right style="mediumDashed">
        <color rgb="FFFF0000"/>
      </right>
      <top style="mediumDashed">
        <color rgb="FFFF0000"/>
      </top>
      <bottom/>
      <diagonal/>
    </border>
  </borders>
  <cellStyleXfs count="2173">
    <xf numFmtId="165" fontId="0" fillId="0" borderId="0"/>
    <xf numFmtId="9" fontId="29" fillId="0" borderId="0" applyFont="0" applyFill="0" applyBorder="0" applyAlignment="0" applyProtection="0"/>
    <xf numFmtId="165" fontId="29" fillId="0" borderId="0"/>
    <xf numFmtId="0" fontId="33" fillId="0" borderId="0"/>
    <xf numFmtId="164" fontId="33" fillId="0" borderId="0" applyFont="0" applyFill="0" applyBorder="0" applyAlignment="0" applyProtection="0"/>
    <xf numFmtId="9" fontId="33" fillId="0" borderId="0" applyFont="0" applyFill="0" applyBorder="0" applyAlignment="0" applyProtection="0"/>
    <xf numFmtId="0" fontId="29" fillId="0" borderId="0"/>
    <xf numFmtId="0" fontId="29" fillId="0" borderId="0"/>
    <xf numFmtId="164" fontId="29" fillId="0" borderId="0" applyFont="0" applyFill="0" applyBorder="0" applyAlignment="0" applyProtection="0"/>
    <xf numFmtId="164" fontId="28" fillId="0" borderId="0" applyFont="0" applyFill="0" applyBorder="0" applyAlignment="0" applyProtection="0"/>
    <xf numFmtId="9" fontId="29" fillId="0" borderId="0" applyFont="0" applyFill="0" applyBorder="0" applyAlignment="0" applyProtection="0"/>
    <xf numFmtId="9" fontId="28" fillId="0" borderId="0" applyFont="0" applyFill="0" applyBorder="0" applyAlignment="0" applyProtection="0"/>
    <xf numFmtId="0" fontId="27" fillId="0" borderId="0"/>
    <xf numFmtId="164" fontId="27" fillId="0" borderId="0" applyFont="0" applyFill="0" applyBorder="0" applyAlignment="0" applyProtection="0"/>
    <xf numFmtId="9" fontId="27" fillId="0" borderId="0" applyFont="0" applyFill="0" applyBorder="0" applyAlignment="0" applyProtection="0"/>
    <xf numFmtId="0" fontId="26" fillId="0" borderId="0"/>
    <xf numFmtId="0" fontId="25" fillId="0" borderId="0"/>
    <xf numFmtId="164" fontId="35" fillId="0" borderId="0" applyFont="0" applyFill="0" applyBorder="0" applyAlignment="0" applyProtection="0"/>
    <xf numFmtId="0" fontId="24" fillId="0" borderId="0"/>
    <xf numFmtId="164" fontId="24" fillId="0" borderId="0" applyFont="0" applyFill="0" applyBorder="0" applyAlignment="0" applyProtection="0"/>
    <xf numFmtId="9" fontId="24" fillId="0" borderId="0" applyFont="0" applyFill="0" applyBorder="0" applyAlignment="0" applyProtection="0"/>
    <xf numFmtId="0" fontId="29" fillId="0" borderId="0"/>
    <xf numFmtId="0" fontId="29" fillId="0" borderId="0" applyFont="0" applyFill="0" applyBorder="0" applyAlignment="0" applyProtection="0"/>
    <xf numFmtId="0" fontId="24" fillId="0" borderId="0"/>
    <xf numFmtId="0" fontId="29" fillId="0" borderId="0"/>
    <xf numFmtId="0" fontId="29" fillId="0" borderId="0"/>
    <xf numFmtId="0" fontId="29" fillId="0" borderId="0"/>
    <xf numFmtId="0" fontId="29" fillId="0" borderId="0"/>
    <xf numFmtId="0" fontId="51" fillId="0" borderId="0" applyNumberFormat="0" applyFill="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12"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50" fillId="13" borderId="0" applyNumberFormat="0" applyBorder="0" applyAlignment="0" applyProtection="0"/>
    <xf numFmtId="0" fontId="50" fillId="17" borderId="0" applyNumberFormat="0" applyBorder="0" applyAlignment="0" applyProtection="0"/>
    <xf numFmtId="0" fontId="50" fillId="21" borderId="0" applyNumberFormat="0" applyBorder="0" applyAlignment="0" applyProtection="0"/>
    <xf numFmtId="0" fontId="50" fillId="25" borderId="0" applyNumberFormat="0" applyBorder="0" applyAlignment="0" applyProtection="0"/>
    <xf numFmtId="0" fontId="50" fillId="29" borderId="0" applyNumberFormat="0" applyBorder="0" applyAlignment="0" applyProtection="0"/>
    <xf numFmtId="0" fontId="50" fillId="33" borderId="0" applyNumberFormat="0" applyBorder="0" applyAlignment="0" applyProtection="0"/>
    <xf numFmtId="0" fontId="50" fillId="10" borderId="0" applyNumberFormat="0" applyBorder="0" applyAlignment="0" applyProtection="0"/>
    <xf numFmtId="0" fontId="50" fillId="14"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40" fillId="4" borderId="0" applyNumberFormat="0" applyBorder="0" applyAlignment="0" applyProtection="0"/>
    <xf numFmtId="0" fontId="44" fillId="7" borderId="6" applyNumberFormat="0" applyAlignment="0" applyProtection="0"/>
    <xf numFmtId="0" fontId="46" fillId="8" borderId="9" applyNumberFormat="0" applyAlignment="0" applyProtection="0"/>
    <xf numFmtId="0" fontId="48" fillId="0" borderId="0" applyNumberFormat="0" applyFill="0" applyBorder="0" applyAlignment="0" applyProtection="0"/>
    <xf numFmtId="0" fontId="39" fillId="3"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42" fillId="6" borderId="6" applyNumberFormat="0" applyAlignment="0" applyProtection="0"/>
    <xf numFmtId="0" fontId="45" fillId="0" borderId="8" applyNumberFormat="0" applyFill="0" applyAlignment="0" applyProtection="0"/>
    <xf numFmtId="0" fontId="41" fillId="5" borderId="0" applyNumberFormat="0" applyBorder="0" applyAlignment="0" applyProtection="0"/>
    <xf numFmtId="0" fontId="35" fillId="9" borderId="10" applyNumberFormat="0" applyFont="0" applyAlignment="0" applyProtection="0"/>
    <xf numFmtId="0" fontId="43" fillId="7" borderId="7" applyNumberFormat="0" applyAlignment="0" applyProtection="0"/>
    <xf numFmtId="164" fontId="35" fillId="0" borderId="0" applyFont="0" applyFill="0" applyBorder="0" applyAlignment="0" applyProtection="0"/>
    <xf numFmtId="0" fontId="49" fillId="0" borderId="11" applyNumberFormat="0" applyFill="0" applyAlignment="0" applyProtection="0"/>
    <xf numFmtId="0" fontId="47" fillId="0" borderId="0" applyNumberFormat="0" applyFill="0" applyBorder="0" applyAlignment="0" applyProtection="0"/>
    <xf numFmtId="164" fontId="29" fillId="0" borderId="0" applyFont="0" applyFill="0" applyBorder="0" applyAlignment="0" applyProtection="0"/>
    <xf numFmtId="164" fontId="24" fillId="0" borderId="0" applyFont="0" applyFill="0" applyBorder="0" applyAlignment="0" applyProtection="0"/>
    <xf numFmtId="9" fontId="29" fillId="0" borderId="0" applyFont="0" applyFill="0" applyBorder="0" applyAlignment="0" applyProtection="0"/>
    <xf numFmtId="0" fontId="52" fillId="0" borderId="0" applyNumberFormat="0" applyFill="0" applyBorder="0" applyAlignment="0" applyProtection="0"/>
    <xf numFmtId="0" fontId="24" fillId="0" borderId="0"/>
    <xf numFmtId="0" fontId="53" fillId="0" borderId="0" applyNumberFormat="0" applyFill="0" applyBorder="0">
      <alignment horizontal="left" vertical="top"/>
      <protection locked="0"/>
    </xf>
    <xf numFmtId="164" fontId="24" fillId="0" borderId="0" applyFont="0" applyFill="0" applyBorder="0" applyAlignment="0" applyProtection="0"/>
    <xf numFmtId="0" fontId="29" fillId="0" borderId="0"/>
    <xf numFmtId="164" fontId="24" fillId="0" borderId="0" applyFont="0" applyFill="0" applyBorder="0" applyAlignment="0" applyProtection="0"/>
    <xf numFmtId="169" fontId="24" fillId="0" borderId="0" applyFont="0" applyFill="0" applyBorder="0" applyAlignment="0" applyProtection="0"/>
    <xf numFmtId="170" fontId="54" fillId="0" borderId="0" applyFont="0" applyFill="0" applyBorder="0" applyAlignment="0" applyProtection="0"/>
    <xf numFmtId="164" fontId="24" fillId="0" borderId="0" applyFont="0" applyFill="0" applyBorder="0" applyAlignment="0" applyProtection="0"/>
    <xf numFmtId="0" fontId="23" fillId="0" borderId="0"/>
    <xf numFmtId="0" fontId="57" fillId="0" borderId="0" applyNumberFormat="0" applyFill="0" applyBorder="0" applyAlignment="0" applyProtection="0"/>
    <xf numFmtId="0" fontId="22" fillId="0" borderId="0"/>
    <xf numFmtId="165" fontId="29" fillId="0" borderId="0"/>
    <xf numFmtId="0" fontId="21" fillId="0" borderId="0"/>
    <xf numFmtId="0" fontId="64"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20" fillId="0" borderId="0"/>
    <xf numFmtId="164" fontId="20" fillId="0" borderId="0" applyFont="0" applyFill="0" applyBorder="0" applyAlignment="0" applyProtection="0"/>
    <xf numFmtId="164" fontId="20" fillId="0" borderId="0" applyFont="0" applyFill="0" applyBorder="0" applyAlignment="0" applyProtection="0"/>
    <xf numFmtId="9" fontId="20"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164" fontId="35"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164" fontId="35"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164" fontId="33"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29"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29"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7" fillId="0" borderId="0"/>
    <xf numFmtId="0" fontId="16" fillId="0" borderId="0"/>
    <xf numFmtId="9" fontId="16" fillId="0" borderId="0" applyFont="0" applyFill="0" applyBorder="0" applyAlignment="0" applyProtection="0"/>
    <xf numFmtId="164" fontId="16"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29"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29"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13"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164" fontId="13" fillId="0" borderId="0" applyFont="0" applyFill="0" applyBorder="0" applyAlignment="0" applyProtection="0"/>
    <xf numFmtId="0" fontId="35" fillId="0" borderId="0"/>
    <xf numFmtId="0" fontId="12" fillId="0" borderId="0"/>
    <xf numFmtId="164" fontId="11"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8" fillId="0" borderId="0"/>
    <xf numFmtId="164" fontId="8" fillId="0" borderId="0" applyFont="0" applyFill="0" applyBorder="0" applyAlignment="0" applyProtection="0"/>
    <xf numFmtId="165" fontId="29"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164" fontId="5"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277">
    <xf numFmtId="165" fontId="0" fillId="0" borderId="0" xfId="0"/>
    <xf numFmtId="165" fontId="31" fillId="0" borderId="0" xfId="0" applyFont="1"/>
    <xf numFmtId="0" fontId="56" fillId="0" borderId="0" xfId="82" applyFont="1"/>
    <xf numFmtId="0" fontId="23" fillId="0" borderId="0" xfId="82"/>
    <xf numFmtId="0" fontId="31" fillId="0" borderId="0" xfId="82" applyFont="1"/>
    <xf numFmtId="0" fontId="58" fillId="0" borderId="0" xfId="83" applyFont="1"/>
    <xf numFmtId="0" fontId="34" fillId="0" borderId="0" xfId="82" applyFont="1"/>
    <xf numFmtId="0" fontId="59" fillId="0" borderId="0" xfId="82" applyFont="1"/>
    <xf numFmtId="167" fontId="32" fillId="0" borderId="0" xfId="3" applyNumberFormat="1" applyFont="1" applyAlignment="1">
      <alignment horizontal="left" vertical="center"/>
    </xf>
    <xf numFmtId="165" fontId="31" fillId="2" borderId="0" xfId="0" applyFont="1" applyFill="1"/>
    <xf numFmtId="3" fontId="31" fillId="2" borderId="0" xfId="0" applyNumberFormat="1" applyFont="1" applyFill="1" applyAlignment="1">
      <alignment horizontal="center"/>
    </xf>
    <xf numFmtId="165" fontId="31" fillId="2" borderId="0" xfId="0" applyFont="1" applyFill="1" applyAlignment="1">
      <alignment horizontal="center"/>
    </xf>
    <xf numFmtId="165" fontId="32" fillId="2" borderId="0" xfId="0" applyFont="1" applyFill="1"/>
    <xf numFmtId="167" fontId="32" fillId="2" borderId="0" xfId="1" applyNumberFormat="1" applyFont="1" applyFill="1" applyBorder="1" applyAlignment="1">
      <alignment horizontal="center" vertical="center" wrapText="1"/>
    </xf>
    <xf numFmtId="14" fontId="63" fillId="0" borderId="0" xfId="82" applyNumberFormat="1" applyFont="1" applyAlignment="1">
      <alignment horizontal="left"/>
    </xf>
    <xf numFmtId="0" fontId="30" fillId="0" borderId="0" xfId="3" applyFont="1" applyAlignment="1">
      <alignment textRotation="90"/>
    </xf>
    <xf numFmtId="0" fontId="30" fillId="0" borderId="0" xfId="3" applyFont="1" applyAlignment="1">
      <alignment vertical="center" textRotation="90"/>
    </xf>
    <xf numFmtId="0" fontId="31" fillId="0" borderId="0" xfId="86" applyFont="1"/>
    <xf numFmtId="0" fontId="65" fillId="0" borderId="0" xfId="83" applyFont="1"/>
    <xf numFmtId="0" fontId="31" fillId="0" borderId="0" xfId="0" applyNumberFormat="1" applyFont="1"/>
    <xf numFmtId="0" fontId="31" fillId="0" borderId="12" xfId="3" applyFont="1" applyBorder="1" applyAlignment="1">
      <alignment textRotation="90"/>
    </xf>
    <xf numFmtId="0" fontId="31" fillId="0" borderId="12" xfId="0" applyNumberFormat="1" applyFont="1" applyBorder="1"/>
    <xf numFmtId="0" fontId="31" fillId="0" borderId="13" xfId="3" applyFont="1" applyBorder="1" applyAlignment="1">
      <alignment textRotation="90"/>
    </xf>
    <xf numFmtId="0" fontId="30" fillId="0" borderId="13" xfId="3" applyFont="1" applyBorder="1" applyAlignment="1">
      <alignment textRotation="90"/>
    </xf>
    <xf numFmtId="0" fontId="30" fillId="0" borderId="13" xfId="3" applyFont="1" applyBorder="1" applyAlignment="1">
      <alignment vertical="center" textRotation="90"/>
    </xf>
    <xf numFmtId="165" fontId="66" fillId="2" borderId="0" xfId="0" applyFont="1" applyFill="1" applyAlignment="1">
      <alignment horizontal="right"/>
    </xf>
    <xf numFmtId="165" fontId="69" fillId="2" borderId="0" xfId="0" applyFont="1" applyFill="1" applyAlignment="1">
      <alignment horizontal="right"/>
    </xf>
    <xf numFmtId="165" fontId="69" fillId="2" borderId="0" xfId="0" applyFont="1" applyFill="1" applyAlignment="1">
      <alignment horizontal="center"/>
    </xf>
    <xf numFmtId="165" fontId="0" fillId="2" borderId="0" xfId="0" applyFill="1"/>
    <xf numFmtId="3" fontId="73" fillId="2" borderId="0" xfId="0" applyNumberFormat="1" applyFont="1" applyFill="1" applyAlignment="1">
      <alignment horizontal="right"/>
    </xf>
    <xf numFmtId="3" fontId="75" fillId="2" borderId="0" xfId="0" applyNumberFormat="1" applyFont="1" applyFill="1" applyAlignment="1">
      <alignment vertical="center" wrapText="1"/>
    </xf>
    <xf numFmtId="165" fontId="73" fillId="2" borderId="0" xfId="0" applyFont="1" applyFill="1" applyAlignment="1">
      <alignment horizontal="right"/>
    </xf>
    <xf numFmtId="3" fontId="67" fillId="2" borderId="1" xfId="0" applyNumberFormat="1" applyFont="1" applyFill="1" applyBorder="1" applyAlignment="1">
      <alignment horizontal="center" vertical="center" wrapText="1"/>
    </xf>
    <xf numFmtId="3" fontId="69" fillId="2" borderId="20" xfId="0" applyNumberFormat="1" applyFont="1" applyFill="1" applyBorder="1" applyAlignment="1">
      <alignment horizontal="center"/>
    </xf>
    <xf numFmtId="3" fontId="78" fillId="2" borderId="0" xfId="0" applyNumberFormat="1" applyFont="1" applyFill="1" applyAlignment="1">
      <alignment horizontal="center"/>
    </xf>
    <xf numFmtId="3" fontId="78" fillId="2" borderId="2" xfId="0" applyNumberFormat="1" applyFont="1" applyFill="1" applyBorder="1" applyAlignment="1">
      <alignment horizontal="center"/>
    </xf>
    <xf numFmtId="165" fontId="68" fillId="2" borderId="0" xfId="0" applyFont="1" applyFill="1" applyAlignment="1">
      <alignment horizontal="right" wrapText="1"/>
    </xf>
    <xf numFmtId="0" fontId="31" fillId="0" borderId="0" xfId="86" applyFont="1" applyAlignment="1">
      <alignment horizontal="center" wrapText="1"/>
    </xf>
    <xf numFmtId="165" fontId="31" fillId="0" borderId="0" xfId="0" applyFont="1" applyAlignment="1">
      <alignment horizontal="center"/>
    </xf>
    <xf numFmtId="0" fontId="34" fillId="0" borderId="0" xfId="86" applyFont="1"/>
    <xf numFmtId="165" fontId="80" fillId="0" borderId="0" xfId="0" applyFont="1"/>
    <xf numFmtId="165" fontId="52" fillId="0" borderId="0" xfId="0" applyFont="1"/>
    <xf numFmtId="168" fontId="81" fillId="0" borderId="0" xfId="90" applyNumberFormat="1" applyFont="1" applyBorder="1"/>
    <xf numFmtId="168" fontId="80" fillId="0" borderId="0" xfId="0" applyNumberFormat="1" applyFont="1"/>
    <xf numFmtId="165" fontId="82" fillId="0" borderId="0" xfId="0" applyFont="1" applyAlignment="1">
      <alignment vertical="center" wrapText="1"/>
    </xf>
    <xf numFmtId="165" fontId="83" fillId="0" borderId="0" xfId="0" applyFont="1" applyAlignment="1">
      <alignment horizontal="center" vertical="center" wrapText="1"/>
    </xf>
    <xf numFmtId="165" fontId="0" fillId="0" borderId="0" xfId="0" applyAlignment="1">
      <alignment horizontal="centerContinuous"/>
    </xf>
    <xf numFmtId="165" fontId="80" fillId="0" borderId="0" xfId="0" applyFont="1" applyAlignment="1">
      <alignment vertical="center" wrapText="1"/>
    </xf>
    <xf numFmtId="3" fontId="80" fillId="0" borderId="0" xfId="0" applyNumberFormat="1" applyFont="1" applyAlignment="1">
      <alignment horizontal="right" vertical="center"/>
    </xf>
    <xf numFmtId="165" fontId="52" fillId="0" borderId="0" xfId="0" applyFont="1" applyAlignment="1">
      <alignment horizontal="centerContinuous"/>
    </xf>
    <xf numFmtId="168" fontId="81" fillId="0" borderId="0" xfId="91" applyNumberFormat="1" applyFont="1" applyFill="1" applyBorder="1"/>
    <xf numFmtId="165" fontId="66" fillId="0" borderId="0" xfId="0" applyFont="1" applyAlignment="1">
      <alignment horizontal="right"/>
    </xf>
    <xf numFmtId="3" fontId="66" fillId="0" borderId="0" xfId="0" applyNumberFormat="1" applyFont="1" applyAlignment="1">
      <alignment horizontal="right"/>
    </xf>
    <xf numFmtId="165" fontId="52" fillId="0" borderId="0" xfId="0" quotePrefix="1" applyFont="1"/>
    <xf numFmtId="165" fontId="52" fillId="0" borderId="0" xfId="0" quotePrefix="1" applyFont="1" applyAlignment="1">
      <alignment horizontal="centerContinuous"/>
    </xf>
    <xf numFmtId="165" fontId="81" fillId="0" borderId="0" xfId="0" applyFont="1" applyAlignment="1">
      <alignment horizontal="centerContinuous"/>
    </xf>
    <xf numFmtId="164" fontId="85" fillId="0" borderId="0" xfId="91" applyFont="1"/>
    <xf numFmtId="164" fontId="86" fillId="0" borderId="0" xfId="91" applyFont="1" applyFill="1"/>
    <xf numFmtId="3" fontId="80" fillId="0" borderId="0" xfId="0" applyNumberFormat="1" applyFont="1"/>
    <xf numFmtId="168" fontId="80" fillId="0" borderId="0" xfId="91" applyNumberFormat="1" applyFont="1"/>
    <xf numFmtId="165" fontId="82" fillId="0" borderId="0" xfId="0" applyFont="1" applyAlignment="1">
      <alignment vertical="center"/>
    </xf>
    <xf numFmtId="165" fontId="83" fillId="0" borderId="0" xfId="0" applyFont="1" applyAlignment="1">
      <alignment horizontal="centerContinuous" vertical="center" wrapText="1"/>
    </xf>
    <xf numFmtId="165" fontId="83" fillId="0" borderId="0" xfId="0" applyFont="1" applyAlignment="1">
      <alignment vertical="center"/>
    </xf>
    <xf numFmtId="168" fontId="83" fillId="0" borderId="0" xfId="91" applyNumberFormat="1" applyFont="1" applyBorder="1" applyAlignment="1">
      <alignment horizontal="right" vertical="center"/>
    </xf>
    <xf numFmtId="165" fontId="87" fillId="0" borderId="0" xfId="0" applyFont="1" applyAlignment="1">
      <alignment vertical="center"/>
    </xf>
    <xf numFmtId="3" fontId="82" fillId="0" borderId="0" xfId="0" applyNumberFormat="1" applyFont="1" applyAlignment="1">
      <alignment horizontal="right" vertical="center"/>
    </xf>
    <xf numFmtId="165" fontId="83" fillId="0" borderId="0" xfId="0" applyFont="1" applyAlignment="1">
      <alignment vertical="center" wrapText="1"/>
    </xf>
    <xf numFmtId="14" fontId="79" fillId="0" borderId="0" xfId="0" quotePrefix="1" applyNumberFormat="1" applyFont="1" applyAlignment="1">
      <alignment horizontal="center" wrapText="1"/>
    </xf>
    <xf numFmtId="168" fontId="82" fillId="0" borderId="0" xfId="9" applyNumberFormat="1" applyFont="1" applyBorder="1" applyAlignment="1">
      <alignment horizontal="right" vertical="center"/>
    </xf>
    <xf numFmtId="168" fontId="83" fillId="0" borderId="0" xfId="9" applyNumberFormat="1" applyFont="1" applyBorder="1" applyAlignment="1">
      <alignment horizontal="right" vertical="center"/>
    </xf>
    <xf numFmtId="165" fontId="89" fillId="2" borderId="0" xfId="0" applyFont="1" applyFill="1"/>
    <xf numFmtId="165" fontId="90" fillId="2" borderId="0" xfId="0" applyFont="1" applyFill="1"/>
    <xf numFmtId="165" fontId="71" fillId="2" borderId="17" xfId="0" applyFont="1" applyFill="1" applyBorder="1" applyAlignment="1">
      <alignment horizontal="center" vertical="center" wrapText="1"/>
    </xf>
    <xf numFmtId="3" fontId="71" fillId="2" borderId="17" xfId="0" applyNumberFormat="1" applyFont="1" applyFill="1" applyBorder="1" applyAlignment="1">
      <alignment horizontal="center" vertical="center" wrapText="1"/>
    </xf>
    <xf numFmtId="3" fontId="67" fillId="2" borderId="23" xfId="0" applyNumberFormat="1" applyFont="1" applyFill="1" applyBorder="1" applyAlignment="1">
      <alignment horizontal="center" vertical="center" wrapText="1"/>
    </xf>
    <xf numFmtId="3" fontId="67" fillId="2" borderId="17" xfId="0" applyNumberFormat="1" applyFont="1" applyFill="1" applyBorder="1" applyAlignment="1">
      <alignment horizontal="center" vertical="center" wrapText="1"/>
    </xf>
    <xf numFmtId="165" fontId="70" fillId="2" borderId="22" xfId="0" applyFont="1" applyFill="1" applyBorder="1" applyAlignment="1">
      <alignment horizontal="center"/>
    </xf>
    <xf numFmtId="3" fontId="70" fillId="2" borderId="22" xfId="0" applyNumberFormat="1" applyFont="1" applyFill="1" applyBorder="1" applyAlignment="1">
      <alignment horizontal="center"/>
    </xf>
    <xf numFmtId="3" fontId="69" fillId="2" borderId="21" xfId="0" applyNumberFormat="1" applyFont="1" applyFill="1" applyBorder="1" applyAlignment="1">
      <alignment horizontal="center"/>
    </xf>
    <xf numFmtId="3" fontId="69" fillId="2" borderId="22" xfId="0" applyNumberFormat="1" applyFont="1" applyFill="1" applyBorder="1" applyAlignment="1">
      <alignment horizontal="center"/>
    </xf>
    <xf numFmtId="165" fontId="77" fillId="2" borderId="19" xfId="0" applyFont="1" applyFill="1" applyBorder="1" applyAlignment="1">
      <alignment horizontal="center"/>
    </xf>
    <xf numFmtId="3" fontId="77" fillId="2" borderId="19" xfId="0" applyNumberFormat="1" applyFont="1" applyFill="1" applyBorder="1" applyAlignment="1">
      <alignment horizontal="center"/>
    </xf>
    <xf numFmtId="3" fontId="78" fillId="2" borderId="18" xfId="0" applyNumberFormat="1" applyFont="1" applyFill="1" applyBorder="1" applyAlignment="1">
      <alignment horizontal="center"/>
    </xf>
    <xf numFmtId="3" fontId="78" fillId="2" borderId="19" xfId="0" applyNumberFormat="1" applyFont="1" applyFill="1" applyBorder="1" applyAlignment="1">
      <alignment horizontal="center"/>
    </xf>
    <xf numFmtId="165" fontId="77" fillId="2" borderId="24" xfId="0" applyFont="1" applyFill="1" applyBorder="1" applyAlignment="1">
      <alignment horizontal="center"/>
    </xf>
    <xf numFmtId="3" fontId="77" fillId="2" borderId="24" xfId="0" applyNumberFormat="1" applyFont="1" applyFill="1" applyBorder="1" applyAlignment="1">
      <alignment horizontal="center"/>
    </xf>
    <xf numFmtId="3" fontId="78" fillId="2" borderId="25" xfId="0" applyNumberFormat="1" applyFont="1" applyFill="1" applyBorder="1" applyAlignment="1">
      <alignment horizontal="center"/>
    </xf>
    <xf numFmtId="3" fontId="78" fillId="2" borderId="24" xfId="0" applyNumberFormat="1" applyFont="1" applyFill="1" applyBorder="1" applyAlignment="1">
      <alignment horizontal="center"/>
    </xf>
    <xf numFmtId="168" fontId="0" fillId="0" borderId="0" xfId="0" applyNumberFormat="1"/>
    <xf numFmtId="14" fontId="83" fillId="0" borderId="0" xfId="0" applyNumberFormat="1" applyFont="1" applyAlignment="1">
      <alignment horizontal="center" vertical="center" wrapText="1"/>
    </xf>
    <xf numFmtId="165" fontId="82" fillId="0" borderId="0" xfId="0" applyFont="1" applyAlignment="1">
      <alignment wrapText="1"/>
    </xf>
    <xf numFmtId="165" fontId="82" fillId="0" borderId="0" xfId="0" applyFont="1" applyAlignment="1">
      <alignment horizontal="right" wrapText="1"/>
    </xf>
    <xf numFmtId="164" fontId="82" fillId="0" borderId="0" xfId="91" applyFont="1" applyAlignment="1">
      <alignment horizontal="right" wrapText="1"/>
    </xf>
    <xf numFmtId="164" fontId="82" fillId="0" borderId="0" xfId="91" applyFont="1" applyAlignment="1">
      <alignment wrapText="1"/>
    </xf>
    <xf numFmtId="168" fontId="79" fillId="0" borderId="0" xfId="91" applyNumberFormat="1" applyFont="1" applyBorder="1"/>
    <xf numFmtId="168" fontId="80" fillId="0" borderId="0" xfId="91" applyNumberFormat="1" applyFont="1" applyBorder="1" applyAlignment="1">
      <alignment horizontal="right" vertical="center" wrapText="1"/>
    </xf>
    <xf numFmtId="168" fontId="83" fillId="0" borderId="0" xfId="9" applyNumberFormat="1" applyFont="1" applyBorder="1" applyAlignment="1">
      <alignment horizontal="right"/>
    </xf>
    <xf numFmtId="14" fontId="83" fillId="0" borderId="0" xfId="0" applyNumberFormat="1" applyFont="1" applyAlignment="1">
      <alignment horizontal="center" vertical="center"/>
    </xf>
    <xf numFmtId="165" fontId="79" fillId="0" borderId="0" xfId="0" applyFont="1" applyAlignment="1">
      <alignment horizontal="right" vertical="center"/>
    </xf>
    <xf numFmtId="165" fontId="82" fillId="0" borderId="0" xfId="0" applyFont="1"/>
    <xf numFmtId="165" fontId="83" fillId="0" borderId="0" xfId="0" applyFont="1"/>
    <xf numFmtId="3" fontId="79" fillId="0" borderId="0" xfId="0" applyNumberFormat="1" applyFont="1" applyAlignment="1">
      <alignment horizontal="right" vertical="center"/>
    </xf>
    <xf numFmtId="166" fontId="79" fillId="0" borderId="0" xfId="0" applyNumberFormat="1" applyFont="1" applyAlignment="1">
      <alignment horizontal="right" vertical="center"/>
    </xf>
    <xf numFmtId="164" fontId="80" fillId="0" borderId="0" xfId="91" applyFont="1" applyFill="1" applyBorder="1" applyAlignment="1">
      <alignment horizontal="right" vertical="center"/>
    </xf>
    <xf numFmtId="164" fontId="80" fillId="0" borderId="0" xfId="91" applyFont="1" applyBorder="1" applyAlignment="1">
      <alignment horizontal="right" vertical="center"/>
    </xf>
    <xf numFmtId="165" fontId="79" fillId="0" borderId="0" xfId="0" applyFont="1" applyAlignment="1">
      <alignment vertical="center"/>
    </xf>
    <xf numFmtId="14" fontId="83" fillId="0" borderId="0" xfId="0" applyNumberFormat="1" applyFont="1" applyAlignment="1">
      <alignment horizontal="centerContinuous" vertical="center" wrapText="1"/>
    </xf>
    <xf numFmtId="3" fontId="80" fillId="0" borderId="0" xfId="0" applyNumberFormat="1" applyFont="1" applyAlignment="1">
      <alignment horizontal="right" vertical="center" wrapText="1"/>
    </xf>
    <xf numFmtId="164" fontId="80" fillId="0" borderId="0" xfId="0" applyNumberFormat="1" applyFont="1"/>
    <xf numFmtId="164" fontId="29" fillId="2" borderId="0" xfId="0" applyNumberFormat="1" applyFont="1" applyFill="1"/>
    <xf numFmtId="165" fontId="49" fillId="0" borderId="0" xfId="0" applyFont="1" applyAlignment="1">
      <alignment horizontal="center" vertical="center"/>
    </xf>
    <xf numFmtId="168" fontId="29" fillId="0" borderId="0" xfId="91" applyNumberFormat="1" applyFont="1" applyFill="1"/>
    <xf numFmtId="164" fontId="87" fillId="0" borderId="0" xfId="0" applyNumberFormat="1" applyFont="1"/>
    <xf numFmtId="49" fontId="30" fillId="34" borderId="0" xfId="0" applyNumberFormat="1" applyFont="1" applyFill="1" applyAlignment="1">
      <alignment horizontal="left" vertical="center"/>
    </xf>
    <xf numFmtId="177" fontId="30" fillId="34" borderId="0" xfId="0" applyNumberFormat="1" applyFont="1" applyFill="1" applyAlignment="1">
      <alignment horizontal="center" vertical="center"/>
    </xf>
    <xf numFmtId="49" fontId="30" fillId="34" borderId="0" xfId="0" applyNumberFormat="1" applyFont="1" applyFill="1" applyAlignment="1">
      <alignment horizontal="center" vertical="center"/>
    </xf>
    <xf numFmtId="171" fontId="30" fillId="34" borderId="0" xfId="0" applyNumberFormat="1" applyFont="1" applyFill="1" applyAlignment="1">
      <alignment horizontal="center" vertical="center"/>
    </xf>
    <xf numFmtId="165" fontId="61" fillId="35" borderId="0" xfId="0" applyFont="1" applyFill="1" applyAlignment="1">
      <alignment horizontal="left" vertical="center" indent="1"/>
    </xf>
    <xf numFmtId="166" fontId="31" fillId="35" borderId="0" xfId="4" applyNumberFormat="1" applyFont="1" applyFill="1" applyBorder="1" applyAlignment="1">
      <alignment horizontal="center" vertical="center" wrapText="1"/>
    </xf>
    <xf numFmtId="165" fontId="60" fillId="36" borderId="0" xfId="0" applyFont="1" applyFill="1" applyAlignment="1">
      <alignment vertical="center"/>
    </xf>
    <xf numFmtId="166" fontId="30" fillId="36" borderId="0" xfId="4" applyNumberFormat="1" applyFont="1" applyFill="1" applyBorder="1" applyAlignment="1">
      <alignment horizontal="center" vertical="center" wrapText="1"/>
    </xf>
    <xf numFmtId="166" fontId="30" fillId="35" borderId="0" xfId="4" applyNumberFormat="1" applyFont="1" applyFill="1" applyBorder="1" applyAlignment="1">
      <alignment horizontal="center" vertical="center" wrapText="1"/>
    </xf>
    <xf numFmtId="165" fontId="32" fillId="2" borderId="0" xfId="0" applyFont="1" applyFill="1" applyAlignment="1">
      <alignment horizontal="left" vertical="center" indent="2"/>
    </xf>
    <xf numFmtId="165" fontId="60" fillId="36" borderId="0" xfId="0" applyFont="1" applyFill="1" applyAlignment="1">
      <alignment vertical="center" wrapText="1"/>
    </xf>
    <xf numFmtId="165" fontId="60" fillId="36" borderId="26" xfId="0" applyFont="1" applyFill="1" applyBorder="1" applyAlignment="1">
      <alignment vertical="center"/>
    </xf>
    <xf numFmtId="166" fontId="30" fillId="36" borderId="26" xfId="4" applyNumberFormat="1" applyFont="1" applyFill="1" applyBorder="1" applyAlignment="1">
      <alignment horizontal="center" vertical="center" wrapText="1"/>
    </xf>
    <xf numFmtId="166" fontId="30" fillId="36" borderId="0" xfId="4" applyNumberFormat="1" applyFont="1" applyFill="1" applyBorder="1" applyAlignment="1">
      <alignment horizontal="left" vertical="center" wrapText="1"/>
    </xf>
    <xf numFmtId="9" fontId="62" fillId="34" borderId="0" xfId="0" applyNumberFormat="1" applyFont="1" applyFill="1"/>
    <xf numFmtId="0" fontId="30" fillId="34" borderId="0" xfId="87" applyFont="1" applyFill="1" applyAlignment="1">
      <alignment horizontal="center" vertical="center"/>
    </xf>
    <xf numFmtId="172" fontId="31" fillId="35" borderId="0" xfId="88" applyNumberFormat="1" applyFont="1" applyFill="1" applyBorder="1" applyAlignment="1">
      <alignment horizontal="left" vertical="center" wrapText="1"/>
    </xf>
    <xf numFmtId="172" fontId="31" fillId="35" borderId="0" xfId="88" applyNumberFormat="1" applyFont="1" applyFill="1" applyBorder="1" applyAlignment="1">
      <alignment horizontal="center" vertical="center" wrapText="1"/>
    </xf>
    <xf numFmtId="166" fontId="93" fillId="0" borderId="0" xfId="0" applyNumberFormat="1" applyFont="1"/>
    <xf numFmtId="166" fontId="30" fillId="34" borderId="0" xfId="0" applyNumberFormat="1" applyFont="1" applyFill="1" applyAlignment="1">
      <alignment horizontal="center" vertical="center"/>
    </xf>
    <xf numFmtId="165" fontId="60" fillId="36" borderId="13" xfId="0" applyFont="1" applyFill="1" applyBorder="1" applyAlignment="1">
      <alignment vertical="center" wrapText="1"/>
    </xf>
    <xf numFmtId="166" fontId="30" fillId="36" borderId="0" xfId="88" applyNumberFormat="1" applyFont="1" applyFill="1" applyBorder="1" applyAlignment="1">
      <alignment horizontal="center" vertical="center" wrapText="1"/>
    </xf>
    <xf numFmtId="165" fontId="61" fillId="35" borderId="13" xfId="0" applyFont="1" applyFill="1" applyBorder="1" applyAlignment="1">
      <alignment horizontal="left" vertical="center" wrapText="1" indent="2"/>
    </xf>
    <xf numFmtId="166" fontId="31" fillId="35" borderId="0" xfId="88" applyNumberFormat="1" applyFont="1" applyFill="1" applyBorder="1" applyAlignment="1">
      <alignment horizontal="center" vertical="center" wrapText="1"/>
    </xf>
    <xf numFmtId="166" fontId="84" fillId="0" borderId="0" xfId="91" applyNumberFormat="1" applyFont="1" applyFill="1" applyBorder="1" applyAlignment="1">
      <alignment horizontal="right"/>
    </xf>
    <xf numFmtId="165" fontId="93" fillId="0" borderId="0" xfId="0" applyFont="1"/>
    <xf numFmtId="166" fontId="30" fillId="34" borderId="0" xfId="0" applyNumberFormat="1" applyFont="1" applyFill="1" applyAlignment="1">
      <alignment horizontal="center" vertical="center" wrapText="1"/>
    </xf>
    <xf numFmtId="165" fontId="30" fillId="34" borderId="0" xfId="0" applyFont="1" applyFill="1" applyAlignment="1">
      <alignment horizontal="center"/>
    </xf>
    <xf numFmtId="165" fontId="30" fillId="34" borderId="0" xfId="0" applyFont="1" applyFill="1" applyAlignment="1">
      <alignment horizontal="center" vertical="center"/>
    </xf>
    <xf numFmtId="165" fontId="84" fillId="0" borderId="0" xfId="0" applyFont="1"/>
    <xf numFmtId="165" fontId="30" fillId="34" borderId="0" xfId="0" applyFont="1" applyFill="1" applyAlignment="1">
      <alignment horizontal="centerContinuous" vertical="center"/>
    </xf>
    <xf numFmtId="167" fontId="30" fillId="36" borderId="0" xfId="4" applyNumberFormat="1" applyFont="1" applyFill="1" applyBorder="1" applyAlignment="1">
      <alignment horizontal="center" vertical="center" wrapText="1"/>
    </xf>
    <xf numFmtId="49" fontId="30" fillId="34" borderId="0" xfId="0" applyNumberFormat="1" applyFont="1" applyFill="1" applyAlignment="1">
      <alignment horizontal="center" vertical="center" wrapText="1"/>
    </xf>
    <xf numFmtId="49" fontId="31" fillId="34" borderId="0" xfId="0" applyNumberFormat="1" applyFont="1" applyFill="1" applyAlignment="1">
      <alignment horizontal="center" vertical="center" wrapText="1"/>
    </xf>
    <xf numFmtId="165" fontId="81" fillId="0" borderId="0" xfId="0" applyFont="1"/>
    <xf numFmtId="168" fontId="81" fillId="0" borderId="0" xfId="91" applyNumberFormat="1" applyFont="1" applyBorder="1"/>
    <xf numFmtId="166" fontId="30" fillId="0" borderId="0" xfId="4" applyNumberFormat="1" applyFont="1" applyFill="1" applyBorder="1" applyAlignment="1">
      <alignment horizontal="left" vertical="center" wrapText="1"/>
    </xf>
    <xf numFmtId="166" fontId="30" fillId="0" borderId="0" xfId="4" applyNumberFormat="1" applyFont="1" applyFill="1" applyBorder="1" applyAlignment="1">
      <alignment horizontal="center" vertical="center" wrapText="1"/>
    </xf>
    <xf numFmtId="165" fontId="30" fillId="34" borderId="0" xfId="0" applyFont="1" applyFill="1" applyAlignment="1">
      <alignment horizontal="centerContinuous" vertical="center" wrapText="1"/>
    </xf>
    <xf numFmtId="3" fontId="71" fillId="0" borderId="0" xfId="0" applyNumberFormat="1" applyFont="1"/>
    <xf numFmtId="166" fontId="30" fillId="2" borderId="0" xfId="4" applyNumberFormat="1" applyFont="1" applyFill="1" applyBorder="1" applyAlignment="1">
      <alignment horizontal="left" vertical="center" wrapText="1"/>
    </xf>
    <xf numFmtId="166" fontId="30" fillId="2" borderId="0" xfId="4" applyNumberFormat="1" applyFont="1" applyFill="1" applyBorder="1" applyAlignment="1">
      <alignment horizontal="center" vertical="center" wrapText="1"/>
    </xf>
    <xf numFmtId="49" fontId="30" fillId="34" borderId="0" xfId="0" applyNumberFormat="1" applyFont="1" applyFill="1" applyAlignment="1">
      <alignment horizontal="centerContinuous" vertical="center"/>
    </xf>
    <xf numFmtId="49" fontId="30" fillId="34" borderId="30" xfId="0" applyNumberFormat="1" applyFont="1" applyFill="1" applyBorder="1" applyAlignment="1">
      <alignment horizontal="centerContinuous" vertical="center"/>
    </xf>
    <xf numFmtId="49" fontId="30" fillId="34" borderId="29" xfId="0" applyNumberFormat="1" applyFont="1" applyFill="1" applyBorder="1" applyAlignment="1">
      <alignment horizontal="centerContinuous" vertical="center"/>
    </xf>
    <xf numFmtId="49" fontId="30" fillId="34" borderId="31" xfId="0" applyNumberFormat="1" applyFont="1" applyFill="1" applyBorder="1" applyAlignment="1">
      <alignment horizontal="centerContinuous" vertical="center"/>
    </xf>
    <xf numFmtId="49" fontId="31" fillId="34" borderId="15" xfId="0" applyNumberFormat="1" applyFont="1" applyFill="1" applyBorder="1" applyAlignment="1">
      <alignment horizontal="center" vertical="center" wrapText="1"/>
    </xf>
    <xf numFmtId="166" fontId="31" fillId="35" borderId="14" xfId="4" applyNumberFormat="1" applyFont="1" applyFill="1" applyBorder="1" applyAlignment="1">
      <alignment horizontal="center" vertical="center" wrapText="1"/>
    </xf>
    <xf numFmtId="166" fontId="31" fillId="35" borderId="15" xfId="4" applyNumberFormat="1" applyFont="1" applyFill="1" applyBorder="1" applyAlignment="1">
      <alignment horizontal="center" vertical="center" wrapText="1"/>
    </xf>
    <xf numFmtId="166" fontId="30" fillId="36" borderId="14" xfId="4" applyNumberFormat="1" applyFont="1" applyFill="1" applyBorder="1" applyAlignment="1">
      <alignment horizontal="center" vertical="center" wrapText="1"/>
    </xf>
    <xf numFmtId="166" fontId="30" fillId="36" borderId="15" xfId="4" applyNumberFormat="1" applyFont="1" applyFill="1" applyBorder="1" applyAlignment="1">
      <alignment horizontal="center" vertical="center" wrapText="1"/>
    </xf>
    <xf numFmtId="166" fontId="30" fillId="36" borderId="32" xfId="4" applyNumberFormat="1" applyFont="1" applyFill="1" applyBorder="1" applyAlignment="1">
      <alignment horizontal="center" vertical="center" wrapText="1"/>
    </xf>
    <xf numFmtId="166" fontId="30" fillId="36" borderId="33" xfId="4" applyNumberFormat="1" applyFont="1" applyFill="1" applyBorder="1" applyAlignment="1">
      <alignment horizontal="center" vertical="center" wrapText="1"/>
    </xf>
    <xf numFmtId="49" fontId="30" fillId="2" borderId="0" xfId="0" applyNumberFormat="1" applyFont="1" applyFill="1" applyAlignment="1">
      <alignment horizontal="center" vertical="center" wrapText="1"/>
    </xf>
    <xf numFmtId="49" fontId="30" fillId="2" borderId="0" xfId="0" applyNumberFormat="1" applyFont="1" applyFill="1" applyAlignment="1">
      <alignment horizontal="center" vertical="center"/>
    </xf>
    <xf numFmtId="172" fontId="31" fillId="2" borderId="0" xfId="88" applyNumberFormat="1" applyFont="1" applyFill="1" applyBorder="1" applyAlignment="1">
      <alignment horizontal="left" vertical="center" wrapText="1"/>
    </xf>
    <xf numFmtId="166" fontId="31" fillId="2" borderId="0" xfId="4" applyNumberFormat="1" applyFont="1" applyFill="1" applyBorder="1" applyAlignment="1">
      <alignment horizontal="center" vertical="center" wrapText="1"/>
    </xf>
    <xf numFmtId="0" fontId="30" fillId="36" borderId="0" xfId="4" applyNumberFormat="1" applyFont="1" applyFill="1" applyBorder="1" applyAlignment="1">
      <alignment horizontal="center" vertical="center" wrapText="1"/>
    </xf>
    <xf numFmtId="49" fontId="30" fillId="34" borderId="30" xfId="0" applyNumberFormat="1" applyFont="1" applyFill="1" applyBorder="1" applyAlignment="1">
      <alignment horizontal="centerContinuous" vertical="center" wrapText="1"/>
    </xf>
    <xf numFmtId="49" fontId="30" fillId="34" borderId="31" xfId="0" applyNumberFormat="1" applyFont="1" applyFill="1" applyBorder="1" applyAlignment="1">
      <alignment horizontal="centerContinuous" vertical="center" wrapText="1"/>
    </xf>
    <xf numFmtId="0" fontId="30" fillId="36" borderId="14" xfId="4" applyNumberFormat="1" applyFont="1" applyFill="1" applyBorder="1" applyAlignment="1">
      <alignment horizontal="center" vertical="center" wrapText="1"/>
    </xf>
    <xf numFmtId="49" fontId="30" fillId="34" borderId="29" xfId="0" applyNumberFormat="1" applyFont="1" applyFill="1" applyBorder="1" applyAlignment="1">
      <alignment horizontal="centerContinuous" vertical="center" wrapText="1"/>
    </xf>
    <xf numFmtId="14" fontId="30" fillId="36" borderId="15" xfId="4" applyNumberFormat="1" applyFont="1" applyFill="1" applyBorder="1" applyAlignment="1">
      <alignment horizontal="center" vertical="center" wrapText="1"/>
    </xf>
    <xf numFmtId="172" fontId="31" fillId="35" borderId="14" xfId="88" applyNumberFormat="1" applyFont="1" applyFill="1" applyBorder="1" applyAlignment="1">
      <alignment horizontal="left" vertical="center" wrapText="1"/>
    </xf>
    <xf numFmtId="165" fontId="79" fillId="0" borderId="0" xfId="0" applyFont="1" applyAlignment="1">
      <alignment horizontal="center" vertical="center" wrapText="1"/>
    </xf>
    <xf numFmtId="3" fontId="75" fillId="2" borderId="0" xfId="0" applyNumberFormat="1" applyFont="1" applyFill="1" applyAlignment="1">
      <alignment vertical="center"/>
    </xf>
    <xf numFmtId="165" fontId="73" fillId="2" borderId="0" xfId="0" applyFont="1" applyFill="1" applyAlignment="1">
      <alignment horizontal="left" vertical="top"/>
    </xf>
    <xf numFmtId="165" fontId="72" fillId="2" borderId="0" xfId="0" applyFont="1" applyFill="1"/>
    <xf numFmtId="168" fontId="0" fillId="2" borderId="0" xfId="0" applyNumberFormat="1" applyFill="1"/>
    <xf numFmtId="165" fontId="30" fillId="2" borderId="0" xfId="0" applyFont="1" applyFill="1" applyAlignment="1">
      <alignment horizontal="center" vertical="center"/>
    </xf>
    <xf numFmtId="166" fontId="30" fillId="2" borderId="0" xfId="0" applyNumberFormat="1" applyFont="1" applyFill="1" applyAlignment="1">
      <alignment horizontal="center" vertical="center" wrapText="1"/>
    </xf>
    <xf numFmtId="178" fontId="0" fillId="0" borderId="0" xfId="0" applyNumberFormat="1"/>
    <xf numFmtId="165" fontId="61" fillId="35" borderId="0" xfId="0" applyFont="1" applyFill="1" applyAlignment="1">
      <alignment horizontal="left" vertical="center" wrapText="1"/>
    </xf>
    <xf numFmtId="166" fontId="30" fillId="35" borderId="0" xfId="88" applyNumberFormat="1" applyFont="1" applyFill="1" applyBorder="1" applyAlignment="1">
      <alignment horizontal="center" vertical="center" wrapText="1"/>
    </xf>
    <xf numFmtId="165" fontId="34" fillId="0" borderId="0" xfId="0" applyFont="1"/>
    <xf numFmtId="166" fontId="83" fillId="0" borderId="0" xfId="0" applyNumberFormat="1" applyFont="1" applyAlignment="1">
      <alignment vertical="center"/>
    </xf>
    <xf numFmtId="166" fontId="0" fillId="0" borderId="0" xfId="0" applyNumberFormat="1"/>
    <xf numFmtId="166" fontId="82" fillId="0" borderId="0" xfId="0" applyNumberFormat="1" applyFont="1" applyAlignment="1">
      <alignment horizontal="right" vertical="center"/>
    </xf>
    <xf numFmtId="167" fontId="89" fillId="2" borderId="0" xfId="0" applyNumberFormat="1" applyFont="1" applyFill="1"/>
    <xf numFmtId="172" fontId="31" fillId="35" borderId="0" xfId="88" applyNumberFormat="1" applyFont="1" applyFill="1" applyBorder="1" applyAlignment="1">
      <alignment horizontal="left" vertical="center" wrapText="1" indent="1"/>
    </xf>
    <xf numFmtId="0" fontId="80" fillId="0" borderId="0" xfId="93" applyFont="1"/>
    <xf numFmtId="0" fontId="92" fillId="0" borderId="0" xfId="93" applyFont="1"/>
    <xf numFmtId="165" fontId="61" fillId="36" borderId="13" xfId="0" applyFont="1" applyFill="1" applyBorder="1" applyAlignment="1">
      <alignment vertical="center" wrapText="1"/>
    </xf>
    <xf numFmtId="166" fontId="31" fillId="36" borderId="0" xfId="88" applyNumberFormat="1" applyFont="1" applyFill="1" applyBorder="1" applyAlignment="1">
      <alignment horizontal="center" vertical="center" wrapText="1"/>
    </xf>
    <xf numFmtId="1" fontId="30" fillId="34" borderId="0" xfId="0" applyNumberFormat="1" applyFont="1" applyFill="1" applyAlignment="1">
      <alignment horizontal="center" vertical="center"/>
    </xf>
    <xf numFmtId="174" fontId="79" fillId="0" borderId="0" xfId="94" applyNumberFormat="1" applyFont="1" applyBorder="1"/>
    <xf numFmtId="165" fontId="61" fillId="0" borderId="13" xfId="0" applyFont="1" applyBorder="1" applyAlignment="1">
      <alignment horizontal="left" vertical="center" wrapText="1" indent="2"/>
    </xf>
    <xf numFmtId="166" fontId="31" fillId="0" borderId="0" xfId="88" applyNumberFormat="1" applyFont="1" applyFill="1" applyBorder="1" applyAlignment="1">
      <alignment horizontal="center" vertical="center" wrapText="1"/>
    </xf>
    <xf numFmtId="0" fontId="80" fillId="0" borderId="0" xfId="93" applyFont="1" applyAlignment="1">
      <alignment vertical="center"/>
    </xf>
    <xf numFmtId="168" fontId="80" fillId="0" borderId="0" xfId="95" applyNumberFormat="1" applyFont="1" applyFill="1" applyAlignment="1">
      <alignment vertical="center"/>
    </xf>
    <xf numFmtId="168" fontId="80" fillId="0" borderId="0" xfId="95" applyNumberFormat="1" applyFont="1" applyFill="1" applyBorder="1" applyAlignment="1">
      <alignment vertical="center"/>
    </xf>
    <xf numFmtId="164" fontId="80" fillId="0" borderId="0" xfId="91" applyFont="1" applyFill="1" applyBorder="1" applyAlignment="1">
      <alignment vertical="center"/>
    </xf>
    <xf numFmtId="179" fontId="30" fillId="34" borderId="0" xfId="0" applyNumberFormat="1" applyFont="1" applyFill="1" applyAlignment="1">
      <alignment horizontal="center" vertical="center"/>
    </xf>
    <xf numFmtId="166" fontId="31" fillId="36" borderId="0" xfId="4" applyNumberFormat="1" applyFont="1" applyFill="1" applyBorder="1" applyAlignment="1">
      <alignment horizontal="left" vertical="center" wrapText="1"/>
    </xf>
    <xf numFmtId="166" fontId="31" fillId="36" borderId="0" xfId="4" applyNumberFormat="1" applyFont="1" applyFill="1" applyBorder="1" applyAlignment="1">
      <alignment horizontal="center" vertical="center" wrapText="1"/>
    </xf>
    <xf numFmtId="4" fontId="66" fillId="2" borderId="0" xfId="0" applyNumberFormat="1" applyFont="1" applyFill="1" applyAlignment="1">
      <alignment horizontal="right"/>
    </xf>
    <xf numFmtId="172" fontId="31" fillId="35" borderId="0" xfId="4" applyNumberFormat="1" applyFont="1" applyFill="1" applyBorder="1" applyAlignment="1">
      <alignment horizontal="center" vertical="center" wrapText="1"/>
    </xf>
    <xf numFmtId="167" fontId="31" fillId="35" borderId="0" xfId="4" applyNumberFormat="1" applyFont="1" applyFill="1" applyBorder="1" applyAlignment="1">
      <alignment horizontal="center" vertical="center" wrapText="1"/>
    </xf>
    <xf numFmtId="166" fontId="31" fillId="35" borderId="0" xfId="97" applyNumberFormat="1" applyFont="1" applyFill="1" applyBorder="1" applyAlignment="1">
      <alignment horizontal="center" vertical="center" wrapText="1"/>
    </xf>
    <xf numFmtId="166" fontId="31" fillId="35" borderId="14" xfId="97" applyNumberFormat="1" applyFont="1" applyFill="1" applyBorder="1" applyAlignment="1">
      <alignment horizontal="center" vertical="center" wrapText="1"/>
    </xf>
    <xf numFmtId="166" fontId="31" fillId="35" borderId="15" xfId="97" applyNumberFormat="1" applyFont="1" applyFill="1" applyBorder="1" applyAlignment="1">
      <alignment horizontal="center" vertical="center" wrapText="1"/>
    </xf>
    <xf numFmtId="166" fontId="31" fillId="35" borderId="0" xfId="411" applyNumberFormat="1" applyFont="1" applyFill="1" applyBorder="1" applyAlignment="1">
      <alignment horizontal="center" vertical="center" wrapText="1"/>
    </xf>
    <xf numFmtId="3" fontId="31" fillId="35" borderId="0" xfId="4" applyNumberFormat="1" applyFont="1" applyFill="1" applyBorder="1" applyAlignment="1">
      <alignment horizontal="center" vertical="center" wrapText="1"/>
    </xf>
    <xf numFmtId="3" fontId="97" fillId="2" borderId="0" xfId="0" applyNumberFormat="1" applyFont="1" applyFill="1" applyAlignment="1">
      <alignment horizontal="right"/>
    </xf>
    <xf numFmtId="165" fontId="99" fillId="35" borderId="0" xfId="0" applyFont="1" applyFill="1" applyAlignment="1">
      <alignment horizontal="left" vertical="center"/>
    </xf>
    <xf numFmtId="166" fontId="99" fillId="35" borderId="0" xfId="4" applyNumberFormat="1" applyFont="1" applyFill="1" applyBorder="1" applyAlignment="1">
      <alignment horizontal="center" vertical="center" wrapText="1"/>
    </xf>
    <xf numFmtId="166" fontId="99" fillId="35" borderId="14" xfId="4" applyNumberFormat="1" applyFont="1" applyFill="1" applyBorder="1" applyAlignment="1">
      <alignment horizontal="center" vertical="center" wrapText="1"/>
    </xf>
    <xf numFmtId="165" fontId="99" fillId="0" borderId="0" xfId="0" applyFont="1"/>
    <xf numFmtId="165" fontId="58" fillId="35" borderId="0" xfId="83" applyNumberFormat="1" applyFont="1" applyFill="1" applyBorder="1" applyAlignment="1">
      <alignment horizontal="left" vertical="center" indent="2"/>
    </xf>
    <xf numFmtId="49" fontId="30" fillId="34" borderId="14" xfId="0" applyNumberFormat="1" applyFont="1" applyFill="1" applyBorder="1" applyAlignment="1">
      <alignment horizontal="center" vertical="center"/>
    </xf>
    <xf numFmtId="168" fontId="55" fillId="2" borderId="0" xfId="7" applyNumberFormat="1" applyFont="1" applyFill="1"/>
    <xf numFmtId="168" fontId="59" fillId="2" borderId="34" xfId="7" applyNumberFormat="1" applyFont="1" applyFill="1" applyBorder="1"/>
    <xf numFmtId="166" fontId="101" fillId="35" borderId="0" xfId="4" applyNumberFormat="1" applyFont="1" applyFill="1" applyBorder="1" applyAlignment="1">
      <alignment horizontal="center" vertical="center" wrapText="1"/>
    </xf>
    <xf numFmtId="0" fontId="101" fillId="0" borderId="13" xfId="3" applyFont="1" applyBorder="1" applyAlignment="1">
      <alignment vertical="center" textRotation="90"/>
    </xf>
    <xf numFmtId="165" fontId="99" fillId="35" borderId="0" xfId="0" applyFont="1" applyFill="1" applyAlignment="1">
      <alignment horizontal="left" vertical="center" indent="1"/>
    </xf>
    <xf numFmtId="0" fontId="101" fillId="0" borderId="13" xfId="3" applyFont="1" applyBorder="1" applyAlignment="1">
      <alignment textRotation="90"/>
    </xf>
    <xf numFmtId="165" fontId="101" fillId="35" borderId="0" xfId="0" applyFont="1" applyFill="1" applyAlignment="1">
      <alignment horizontal="left" vertical="center"/>
    </xf>
    <xf numFmtId="0" fontId="99" fillId="0" borderId="0" xfId="0" applyNumberFormat="1" applyFont="1"/>
    <xf numFmtId="165" fontId="99" fillId="35" borderId="13" xfId="0" applyFont="1" applyFill="1" applyBorder="1" applyAlignment="1">
      <alignment horizontal="left" vertical="center" wrapText="1" indent="2"/>
    </xf>
    <xf numFmtId="166" fontId="99" fillId="35" borderId="0" xfId="88" applyNumberFormat="1" applyFont="1" applyFill="1" applyBorder="1" applyAlignment="1">
      <alignment horizontal="center" vertical="center" wrapText="1"/>
    </xf>
    <xf numFmtId="165" fontId="102" fillId="0" borderId="0" xfId="0" applyFont="1"/>
    <xf numFmtId="165" fontId="99" fillId="2" borderId="0" xfId="0" applyFont="1" applyFill="1" applyAlignment="1">
      <alignment horizontal="left" vertical="center" wrapText="1" indent="1"/>
    </xf>
    <xf numFmtId="166" fontId="99" fillId="2" borderId="0" xfId="0" applyNumberFormat="1" applyFont="1" applyFill="1" applyAlignment="1">
      <alignment horizontal="center" vertical="center"/>
    </xf>
    <xf numFmtId="0" fontId="99" fillId="0" borderId="13" xfId="3" applyFont="1" applyBorder="1" applyAlignment="1">
      <alignment textRotation="90"/>
    </xf>
    <xf numFmtId="172" fontId="31" fillId="35" borderId="14" xfId="4" applyNumberFormat="1" applyFont="1" applyFill="1" applyBorder="1" applyAlignment="1">
      <alignment horizontal="center" vertical="center" wrapText="1"/>
    </xf>
    <xf numFmtId="165" fontId="61" fillId="35" borderId="37" xfId="0" applyFont="1" applyFill="1" applyBorder="1" applyAlignment="1">
      <alignment horizontal="left" vertical="center" wrapText="1" indent="2"/>
    </xf>
    <xf numFmtId="166" fontId="31" fillId="35" borderId="26" xfId="88" applyNumberFormat="1" applyFont="1" applyFill="1" applyBorder="1" applyAlignment="1">
      <alignment horizontal="center" vertical="center" wrapText="1"/>
    </xf>
    <xf numFmtId="165" fontId="60" fillId="36" borderId="37" xfId="0" applyFont="1" applyFill="1" applyBorder="1" applyAlignment="1">
      <alignment vertical="center" wrapText="1"/>
    </xf>
    <xf numFmtId="166" fontId="30" fillId="36" borderId="26" xfId="88" applyNumberFormat="1" applyFont="1" applyFill="1" applyBorder="1" applyAlignment="1">
      <alignment horizontal="center" vertical="center" wrapText="1"/>
    </xf>
    <xf numFmtId="166" fontId="31" fillId="35" borderId="14" xfId="88" applyNumberFormat="1" applyFont="1" applyFill="1" applyBorder="1" applyAlignment="1">
      <alignment horizontal="center" vertical="center" wrapText="1"/>
    </xf>
    <xf numFmtId="166" fontId="31" fillId="36" borderId="14" xfId="88" applyNumberFormat="1" applyFont="1" applyFill="1" applyBorder="1" applyAlignment="1">
      <alignment horizontal="center" vertical="center" wrapText="1"/>
    </xf>
    <xf numFmtId="166" fontId="30" fillId="36" borderId="32" xfId="88" applyNumberFormat="1" applyFont="1" applyFill="1" applyBorder="1" applyAlignment="1">
      <alignment horizontal="center" vertical="center" wrapText="1"/>
    </xf>
    <xf numFmtId="165" fontId="88" fillId="2" borderId="0" xfId="0" applyFont="1" applyFill="1" applyAlignment="1">
      <alignment horizontal="center" vertical="center"/>
    </xf>
    <xf numFmtId="165" fontId="0" fillId="0" borderId="0" xfId="0" applyAlignment="1">
      <alignment horizontal="center"/>
    </xf>
    <xf numFmtId="0" fontId="30" fillId="34" borderId="0" xfId="0" applyNumberFormat="1" applyFont="1" applyFill="1" applyAlignment="1">
      <alignment horizontal="center" vertical="center"/>
    </xf>
    <xf numFmtId="180" fontId="31" fillId="0" borderId="0" xfId="0" applyNumberFormat="1" applyFont="1"/>
    <xf numFmtId="165" fontId="103" fillId="2" borderId="0" xfId="0" applyFont="1" applyFill="1" applyAlignment="1">
      <alignment horizontal="right"/>
    </xf>
    <xf numFmtId="172" fontId="99" fillId="35" borderId="0" xfId="88" applyNumberFormat="1" applyFont="1" applyFill="1" applyBorder="1" applyAlignment="1">
      <alignment horizontal="left" vertical="center" wrapText="1"/>
    </xf>
    <xf numFmtId="172" fontId="30" fillId="35" borderId="0" xfId="88" applyNumberFormat="1" applyFont="1" applyFill="1" applyBorder="1" applyAlignment="1">
      <alignment horizontal="left" vertical="center" wrapText="1"/>
    </xf>
    <xf numFmtId="165" fontId="68" fillId="2" borderId="0" xfId="0" applyFont="1" applyFill="1" applyAlignment="1">
      <alignment horizontal="right"/>
    </xf>
    <xf numFmtId="9" fontId="31" fillId="35" borderId="0" xfId="4" applyNumberFormat="1" applyFont="1" applyFill="1" applyBorder="1" applyAlignment="1">
      <alignment horizontal="center" vertical="center" wrapText="1"/>
    </xf>
    <xf numFmtId="165" fontId="76" fillId="2" borderId="0" xfId="0" applyFont="1" applyFill="1" applyAlignment="1">
      <alignment horizontal="right"/>
    </xf>
    <xf numFmtId="172" fontId="32" fillId="35" borderId="0" xfId="88" applyNumberFormat="1" applyFont="1" applyFill="1" applyBorder="1" applyAlignment="1">
      <alignment horizontal="left" vertical="center" wrapText="1"/>
    </xf>
    <xf numFmtId="165" fontId="104" fillId="0" borderId="0" xfId="0" applyFont="1"/>
    <xf numFmtId="166" fontId="32" fillId="35" borderId="0" xfId="4" applyNumberFormat="1" applyFont="1" applyFill="1" applyBorder="1" applyAlignment="1">
      <alignment horizontal="center" vertical="center" wrapText="1"/>
    </xf>
    <xf numFmtId="166" fontId="32" fillId="35" borderId="14" xfId="4" applyNumberFormat="1" applyFont="1" applyFill="1" applyBorder="1" applyAlignment="1">
      <alignment horizontal="center" vertical="center" wrapText="1"/>
    </xf>
    <xf numFmtId="166" fontId="107" fillId="35" borderId="0" xfId="4" applyNumberFormat="1" applyFont="1" applyFill="1" applyBorder="1" applyAlignment="1">
      <alignment horizontal="center" vertical="center" wrapText="1"/>
    </xf>
    <xf numFmtId="166" fontId="106" fillId="35" borderId="0" xfId="4" applyNumberFormat="1" applyFont="1" applyFill="1" applyBorder="1" applyAlignment="1">
      <alignment horizontal="center" vertical="center" wrapText="1"/>
    </xf>
    <xf numFmtId="0" fontId="109" fillId="0" borderId="0" xfId="466" applyFont="1"/>
    <xf numFmtId="176" fontId="30" fillId="34" borderId="0" xfId="0" applyNumberFormat="1" applyFont="1" applyFill="1" applyAlignment="1">
      <alignment horizontal="center" vertical="center"/>
    </xf>
    <xf numFmtId="181" fontId="61" fillId="35" borderId="0" xfId="0" applyNumberFormat="1" applyFont="1" applyFill="1" applyAlignment="1">
      <alignment horizontal="center" vertical="center"/>
    </xf>
    <xf numFmtId="1" fontId="61" fillId="35" borderId="0" xfId="0" applyNumberFormat="1" applyFont="1" applyFill="1" applyAlignment="1">
      <alignment horizontal="center" vertical="center"/>
    </xf>
    <xf numFmtId="3" fontId="31" fillId="0" borderId="0" xfId="0" applyNumberFormat="1" applyFont="1"/>
    <xf numFmtId="165" fontId="55" fillId="0" borderId="0" xfId="0" applyFont="1"/>
    <xf numFmtId="3" fontId="55" fillId="0" borderId="0" xfId="0" applyNumberFormat="1" applyFont="1" applyAlignment="1">
      <alignment horizontal="center"/>
    </xf>
    <xf numFmtId="3" fontId="55" fillId="2" borderId="0" xfId="0" applyNumberFormat="1" applyFont="1" applyFill="1" applyAlignment="1">
      <alignment horizontal="center" vertical="center" wrapText="1"/>
    </xf>
    <xf numFmtId="3" fontId="55" fillId="2" borderId="0" xfId="0" applyNumberFormat="1" applyFont="1" applyFill="1" applyAlignment="1">
      <alignment horizontal="center" vertical="center"/>
    </xf>
    <xf numFmtId="176" fontId="30" fillId="35" borderId="0" xfId="88" applyNumberFormat="1" applyFont="1" applyFill="1" applyBorder="1" applyAlignment="1">
      <alignment horizontal="center" vertical="center" wrapText="1"/>
    </xf>
    <xf numFmtId="172" fontId="30" fillId="35" borderId="0" xfId="88" applyNumberFormat="1" applyFont="1" applyFill="1" applyBorder="1" applyAlignment="1">
      <alignment horizontal="center" vertical="center" wrapText="1"/>
    </xf>
    <xf numFmtId="165" fontId="84" fillId="0" borderId="0" xfId="0" applyFont="1" applyAlignment="1">
      <alignment horizontal="center"/>
    </xf>
    <xf numFmtId="49" fontId="30" fillId="34" borderId="0" xfId="0" applyNumberFormat="1" applyFont="1" applyFill="1" applyAlignment="1">
      <alignment horizontal="center" vertical="top" wrapText="1"/>
    </xf>
    <xf numFmtId="9" fontId="31" fillId="0" borderId="0" xfId="0" applyNumberFormat="1" applyFont="1"/>
    <xf numFmtId="181" fontId="99" fillId="35" borderId="0" xfId="0" applyNumberFormat="1" applyFont="1" applyFill="1" applyAlignment="1">
      <alignment horizontal="center" vertical="center"/>
    </xf>
    <xf numFmtId="1" fontId="99" fillId="35" borderId="0" xfId="0" applyNumberFormat="1" applyFont="1" applyFill="1" applyAlignment="1">
      <alignment horizontal="center" vertical="center"/>
    </xf>
    <xf numFmtId="165" fontId="61" fillId="35" borderId="29" xfId="0" applyFont="1" applyFill="1" applyBorder="1" applyAlignment="1">
      <alignment horizontal="left" vertical="center" indent="1"/>
    </xf>
    <xf numFmtId="181" fontId="61" fillId="35" borderId="29" xfId="0" applyNumberFormat="1" applyFont="1" applyFill="1" applyBorder="1" applyAlignment="1">
      <alignment horizontal="center" vertical="center"/>
    </xf>
    <xf numFmtId="165" fontId="96" fillId="35" borderId="0" xfId="0" applyFont="1" applyFill="1" applyAlignment="1">
      <alignment horizontal="left" vertical="center" indent="2"/>
    </xf>
    <xf numFmtId="172" fontId="32" fillId="35" borderId="0" xfId="4" applyNumberFormat="1" applyFont="1" applyFill="1" applyBorder="1" applyAlignment="1">
      <alignment horizontal="center" vertical="center" wrapText="1"/>
    </xf>
    <xf numFmtId="172" fontId="32" fillId="35" borderId="14" xfId="4" applyNumberFormat="1" applyFont="1" applyFill="1" applyBorder="1" applyAlignment="1">
      <alignment horizontal="center" vertical="center" wrapText="1"/>
    </xf>
    <xf numFmtId="165" fontId="32" fillId="0" borderId="0" xfId="0" applyFont="1"/>
    <xf numFmtId="182" fontId="32" fillId="35" borderId="0" xfId="4" applyNumberFormat="1" applyFont="1" applyFill="1" applyBorder="1" applyAlignment="1">
      <alignment horizontal="center" vertical="center" wrapText="1"/>
    </xf>
    <xf numFmtId="182" fontId="32" fillId="35" borderId="14" xfId="4" applyNumberFormat="1" applyFont="1" applyFill="1" applyBorder="1" applyAlignment="1">
      <alignment horizontal="center" vertical="center" wrapText="1"/>
    </xf>
    <xf numFmtId="172" fontId="111" fillId="35" borderId="0" xfId="4" applyNumberFormat="1" applyFont="1" applyFill="1" applyBorder="1" applyAlignment="1">
      <alignment horizontal="center" vertical="center" wrapText="1"/>
    </xf>
    <xf numFmtId="172" fontId="111" fillId="35" borderId="14" xfId="4" applyNumberFormat="1" applyFont="1" applyFill="1" applyBorder="1" applyAlignment="1">
      <alignment horizontal="center" vertical="center" wrapText="1"/>
    </xf>
    <xf numFmtId="165" fontId="91" fillId="2" borderId="0" xfId="0" applyFont="1" applyFill="1" applyAlignment="1">
      <alignment horizontal="left" wrapText="1"/>
    </xf>
    <xf numFmtId="165" fontId="89" fillId="2" borderId="0" xfId="0" applyFont="1" applyFill="1" applyAlignment="1">
      <alignment horizontal="center"/>
    </xf>
    <xf numFmtId="165" fontId="91" fillId="2" borderId="0" xfId="0" applyFont="1" applyFill="1" applyAlignment="1">
      <alignment horizontal="center" wrapText="1"/>
    </xf>
    <xf numFmtId="165" fontId="113" fillId="38" borderId="38" xfId="0" applyFont="1" applyFill="1" applyBorder="1" applyAlignment="1">
      <alignment horizontal="center" vertical="center" wrapText="1"/>
    </xf>
    <xf numFmtId="165" fontId="113" fillId="38" borderId="60" xfId="0" applyFont="1" applyFill="1" applyBorder="1" applyAlignment="1">
      <alignment horizontal="center" vertical="center" wrapText="1"/>
    </xf>
    <xf numFmtId="165" fontId="113" fillId="38" borderId="39" xfId="0" applyFont="1" applyFill="1" applyBorder="1" applyAlignment="1">
      <alignment horizontal="center" vertical="center" wrapText="1"/>
    </xf>
    <xf numFmtId="165" fontId="113" fillId="38" borderId="40" xfId="0" applyFont="1" applyFill="1" applyBorder="1" applyAlignment="1">
      <alignment horizontal="center" vertical="center" wrapText="1"/>
    </xf>
    <xf numFmtId="2" fontId="113" fillId="37" borderId="39" xfId="0" applyNumberFormat="1" applyFont="1" applyFill="1" applyBorder="1" applyAlignment="1">
      <alignment horizontal="center" vertical="center" wrapText="1"/>
    </xf>
    <xf numFmtId="165" fontId="113" fillId="37" borderId="38" xfId="0" applyFont="1" applyFill="1" applyBorder="1" applyAlignment="1">
      <alignment horizontal="center" vertical="center" wrapText="1"/>
    </xf>
    <xf numFmtId="165" fontId="114" fillId="37" borderId="42" xfId="0" applyFont="1" applyFill="1" applyBorder="1" applyAlignment="1">
      <alignment horizontal="center" wrapText="1"/>
    </xf>
    <xf numFmtId="2" fontId="114" fillId="37" borderId="43" xfId="0" applyNumberFormat="1" applyFont="1" applyFill="1" applyBorder="1" applyAlignment="1">
      <alignment horizontal="center" wrapText="1"/>
    </xf>
    <xf numFmtId="2" fontId="114" fillId="37" borderId="44" xfId="0" applyNumberFormat="1" applyFont="1" applyFill="1" applyBorder="1" applyAlignment="1">
      <alignment horizontal="center" wrapText="1"/>
    </xf>
    <xf numFmtId="2" fontId="114" fillId="37" borderId="39" xfId="0" applyNumberFormat="1" applyFont="1" applyFill="1" applyBorder="1" applyAlignment="1">
      <alignment horizontal="center" wrapText="1"/>
    </xf>
    <xf numFmtId="2" fontId="114" fillId="37" borderId="46" xfId="0" applyNumberFormat="1" applyFont="1" applyFill="1" applyBorder="1" applyAlignment="1">
      <alignment horizontal="center" wrapText="1"/>
    </xf>
    <xf numFmtId="165" fontId="114" fillId="37" borderId="48" xfId="0" applyFont="1" applyFill="1" applyBorder="1" applyAlignment="1">
      <alignment horizontal="center" wrapText="1"/>
    </xf>
    <xf numFmtId="2" fontId="114" fillId="37" borderId="49" xfId="0" applyNumberFormat="1" applyFont="1" applyFill="1" applyBorder="1" applyAlignment="1">
      <alignment horizontal="center" wrapText="1"/>
    </xf>
    <xf numFmtId="165" fontId="114" fillId="37" borderId="51" xfId="0" applyFont="1" applyFill="1" applyBorder="1" applyAlignment="1">
      <alignment horizontal="center" wrapText="1"/>
    </xf>
    <xf numFmtId="2" fontId="114" fillId="37" borderId="52" xfId="0" applyNumberFormat="1" applyFont="1" applyFill="1" applyBorder="1" applyAlignment="1">
      <alignment horizontal="center" wrapText="1"/>
    </xf>
    <xf numFmtId="2" fontId="114" fillId="37" borderId="53" xfId="0" applyNumberFormat="1" applyFont="1" applyFill="1" applyBorder="1" applyAlignment="1">
      <alignment horizontal="center" wrapText="1"/>
    </xf>
    <xf numFmtId="165" fontId="114" fillId="37" borderId="55" xfId="0" applyFont="1" applyFill="1" applyBorder="1" applyAlignment="1">
      <alignment horizontal="center" wrapText="1"/>
    </xf>
    <xf numFmtId="2" fontId="114" fillId="37" borderId="56" xfId="0" applyNumberFormat="1" applyFont="1" applyFill="1" applyBorder="1" applyAlignment="1">
      <alignment horizontal="center" wrapText="1"/>
    </xf>
    <xf numFmtId="2" fontId="114" fillId="37" borderId="57" xfId="0" applyNumberFormat="1" applyFont="1" applyFill="1" applyBorder="1" applyAlignment="1">
      <alignment horizontal="center" wrapText="1"/>
    </xf>
    <xf numFmtId="2" fontId="114" fillId="37" borderId="59" xfId="0" applyNumberFormat="1" applyFont="1" applyFill="1" applyBorder="1" applyAlignment="1">
      <alignment horizontal="center" wrapText="1"/>
    </xf>
    <xf numFmtId="165" fontId="115" fillId="0" borderId="0" xfId="0" applyFont="1"/>
    <xf numFmtId="166" fontId="116" fillId="35" borderId="0" xfId="4" applyNumberFormat="1" applyFont="1" applyFill="1" applyBorder="1" applyAlignment="1">
      <alignment horizontal="center" vertical="center" wrapText="1"/>
    </xf>
    <xf numFmtId="165" fontId="94" fillId="0" borderId="0" xfId="0" applyFont="1"/>
    <xf numFmtId="166" fontId="117" fillId="34" borderId="0" xfId="0" applyNumberFormat="1" applyFont="1" applyFill="1" applyAlignment="1">
      <alignment horizontal="center" vertical="center" wrapText="1"/>
    </xf>
    <xf numFmtId="166" fontId="117" fillId="36" borderId="0" xfId="4" applyNumberFormat="1" applyFont="1" applyFill="1" applyBorder="1" applyAlignment="1">
      <alignment horizontal="center" vertical="center" wrapText="1"/>
    </xf>
    <xf numFmtId="166" fontId="117" fillId="2" borderId="0" xfId="4" applyNumberFormat="1" applyFont="1" applyFill="1" applyBorder="1" applyAlignment="1">
      <alignment horizontal="center" vertical="center" wrapText="1"/>
    </xf>
    <xf numFmtId="166" fontId="118" fillId="35" borderId="0" xfId="4" applyNumberFormat="1" applyFont="1" applyFill="1" applyBorder="1" applyAlignment="1">
      <alignment horizontal="center" vertical="center" wrapText="1"/>
    </xf>
    <xf numFmtId="172" fontId="116" fillId="35" borderId="0" xfId="88" applyNumberFormat="1" applyFont="1" applyFill="1" applyBorder="1" applyAlignment="1">
      <alignment horizontal="left" vertical="center" wrapText="1"/>
    </xf>
    <xf numFmtId="166" fontId="116" fillId="35" borderId="14" xfId="4" applyNumberFormat="1" applyFont="1" applyFill="1" applyBorder="1" applyAlignment="1">
      <alignment horizontal="center" vertical="center" wrapText="1"/>
    </xf>
    <xf numFmtId="172" fontId="34" fillId="35" borderId="0" xfId="88" applyNumberFormat="1" applyFont="1" applyFill="1" applyBorder="1" applyAlignment="1">
      <alignment horizontal="left" vertical="center" wrapText="1"/>
    </xf>
    <xf numFmtId="166" fontId="34" fillId="35" borderId="0" xfId="4" applyNumberFormat="1" applyFont="1" applyFill="1" applyBorder="1" applyAlignment="1">
      <alignment horizontal="center" vertical="center" wrapText="1"/>
    </xf>
    <xf numFmtId="183" fontId="114" fillId="37" borderId="43" xfId="0" applyNumberFormat="1" applyFont="1" applyFill="1" applyBorder="1" applyAlignment="1">
      <alignment horizontal="center" wrapText="1"/>
    </xf>
    <xf numFmtId="183" fontId="114" fillId="37" borderId="61" xfId="0" applyNumberFormat="1" applyFont="1" applyFill="1" applyBorder="1" applyAlignment="1">
      <alignment horizontal="center" wrapText="1"/>
    </xf>
    <xf numFmtId="14" fontId="30" fillId="36" borderId="0" xfId="4" applyNumberFormat="1" applyFont="1" applyFill="1" applyBorder="1" applyAlignment="1">
      <alignment horizontal="center" vertical="center" wrapText="1"/>
    </xf>
    <xf numFmtId="49" fontId="30" fillId="34" borderId="62" xfId="0" applyNumberFormat="1" applyFont="1" applyFill="1" applyBorder="1" applyAlignment="1">
      <alignment horizontal="center" vertical="center" wrapText="1"/>
    </xf>
    <xf numFmtId="166" fontId="31" fillId="35" borderId="62" xfId="4" applyNumberFormat="1" applyFont="1" applyFill="1" applyBorder="1" applyAlignment="1">
      <alignment horizontal="center" vertical="center" wrapText="1"/>
    </xf>
    <xf numFmtId="1" fontId="61" fillId="35" borderId="29" xfId="0" applyNumberFormat="1" applyFont="1" applyFill="1" applyBorder="1" applyAlignment="1">
      <alignment horizontal="center" vertical="center"/>
    </xf>
    <xf numFmtId="165" fontId="95" fillId="0" borderId="0" xfId="0" applyFont="1"/>
    <xf numFmtId="167" fontId="31" fillId="0" borderId="0" xfId="0" applyNumberFormat="1" applyFont="1"/>
    <xf numFmtId="4" fontId="86" fillId="0" borderId="0" xfId="0" applyNumberFormat="1" applyFont="1"/>
    <xf numFmtId="14" fontId="30" fillId="36" borderId="14" xfId="4" applyNumberFormat="1" applyFont="1" applyFill="1" applyBorder="1" applyAlignment="1">
      <alignment horizontal="center" vertical="center" wrapText="1"/>
    </xf>
    <xf numFmtId="166" fontId="116" fillId="35" borderId="15" xfId="4" applyNumberFormat="1" applyFont="1" applyFill="1" applyBorder="1" applyAlignment="1">
      <alignment horizontal="center" vertical="center" wrapText="1"/>
    </xf>
    <xf numFmtId="166" fontId="106" fillId="35" borderId="0" xfId="88" applyNumberFormat="1" applyFont="1" applyFill="1" applyBorder="1" applyAlignment="1">
      <alignment horizontal="center" vertical="center" wrapText="1"/>
    </xf>
    <xf numFmtId="166" fontId="107" fillId="36" borderId="0" xfId="4" applyNumberFormat="1" applyFont="1" applyFill="1" applyBorder="1" applyAlignment="1">
      <alignment horizontal="center" vertical="center" wrapText="1"/>
    </xf>
    <xf numFmtId="166" fontId="31" fillId="35" borderId="0" xfId="4" applyNumberFormat="1" applyFont="1" applyFill="1" applyBorder="1" applyAlignment="1">
      <alignment horizontal="center" wrapText="1"/>
    </xf>
    <xf numFmtId="165" fontId="31" fillId="35" borderId="0" xfId="0" applyFont="1" applyFill="1" applyAlignment="1">
      <alignment horizontal="left" vertical="center" indent="1"/>
    </xf>
    <xf numFmtId="3" fontId="61" fillId="35" borderId="0" xfId="0" applyNumberFormat="1" applyFont="1" applyFill="1" applyAlignment="1">
      <alignment horizontal="center" vertical="center"/>
    </xf>
    <xf numFmtId="3" fontId="61" fillId="35" borderId="29" xfId="0" applyNumberFormat="1" applyFont="1" applyFill="1" applyBorder="1" applyAlignment="1">
      <alignment horizontal="center" vertical="center"/>
    </xf>
    <xf numFmtId="9" fontId="109" fillId="0" borderId="0" xfId="466" applyNumberFormat="1" applyFont="1" applyAlignment="1">
      <alignment horizontal="center"/>
    </xf>
    <xf numFmtId="0" fontId="109" fillId="0" borderId="0" xfId="466" applyFont="1" applyAlignment="1">
      <alignment horizontal="center"/>
    </xf>
    <xf numFmtId="3" fontId="106" fillId="35" borderId="0" xfId="0" applyNumberFormat="1" applyFont="1" applyFill="1" applyAlignment="1">
      <alignment horizontal="center" vertical="center"/>
    </xf>
    <xf numFmtId="3" fontId="119" fillId="35" borderId="0" xfId="0" applyNumberFormat="1" applyFont="1" applyFill="1" applyAlignment="1">
      <alignment horizontal="center" vertical="center"/>
    </xf>
    <xf numFmtId="1" fontId="106" fillId="35" borderId="0" xfId="0" applyNumberFormat="1" applyFont="1" applyFill="1" applyAlignment="1">
      <alignment horizontal="center" vertical="center"/>
    </xf>
    <xf numFmtId="176" fontId="62" fillId="34" borderId="0" xfId="0" applyNumberFormat="1" applyFont="1" applyFill="1" applyAlignment="1">
      <alignment horizontal="center" vertical="center"/>
    </xf>
    <xf numFmtId="181" fontId="34" fillId="35" borderId="0" xfId="0" applyNumberFormat="1" applyFont="1" applyFill="1" applyAlignment="1">
      <alignment horizontal="center" vertical="center"/>
    </xf>
    <xf numFmtId="181" fontId="34" fillId="35" borderId="29" xfId="0" applyNumberFormat="1" applyFont="1" applyFill="1" applyBorder="1" applyAlignment="1">
      <alignment horizontal="center" vertical="center"/>
    </xf>
    <xf numFmtId="3" fontId="34" fillId="35" borderId="0" xfId="0" applyNumberFormat="1" applyFont="1" applyFill="1" applyAlignment="1">
      <alignment horizontal="center" vertical="center"/>
    </xf>
    <xf numFmtId="3" fontId="34" fillId="35" borderId="29" xfId="0" applyNumberFormat="1" applyFont="1" applyFill="1" applyBorder="1" applyAlignment="1">
      <alignment horizontal="center" vertical="center"/>
    </xf>
    <xf numFmtId="1" fontId="34" fillId="35" borderId="0" xfId="0" applyNumberFormat="1" applyFont="1" applyFill="1" applyAlignment="1">
      <alignment horizontal="center" vertical="center"/>
    </xf>
    <xf numFmtId="1" fontId="34" fillId="35" borderId="29" xfId="0" applyNumberFormat="1" applyFont="1" applyFill="1" applyBorder="1" applyAlignment="1">
      <alignment horizontal="center" vertical="center"/>
    </xf>
    <xf numFmtId="1" fontId="119" fillId="35" borderId="0" xfId="0" applyNumberFormat="1" applyFont="1" applyFill="1" applyAlignment="1">
      <alignment horizontal="center" vertical="center"/>
    </xf>
    <xf numFmtId="181" fontId="31" fillId="35" borderId="0" xfId="0" applyNumberFormat="1" applyFont="1" applyFill="1" applyAlignment="1">
      <alignment horizontal="center" vertical="center"/>
    </xf>
    <xf numFmtId="165" fontId="121" fillId="2" borderId="0" xfId="0" applyFont="1" applyFill="1" applyAlignment="1">
      <alignment horizontal="right"/>
    </xf>
    <xf numFmtId="0" fontId="34" fillId="0" borderId="0" xfId="467" applyFont="1" applyAlignment="1">
      <alignment horizontal="center" wrapText="1"/>
    </xf>
    <xf numFmtId="176" fontId="34" fillId="0" borderId="0" xfId="467" applyNumberFormat="1" applyFont="1" applyAlignment="1">
      <alignment horizontal="center" wrapText="1"/>
    </xf>
    <xf numFmtId="0" fontId="34" fillId="2" borderId="0" xfId="467" applyFont="1" applyFill="1" applyAlignment="1">
      <alignment horizontal="center" wrapText="1"/>
    </xf>
    <xf numFmtId="0" fontId="34" fillId="0" borderId="0" xfId="467" applyFont="1" applyAlignment="1">
      <alignment horizontal="center" vertical="center" wrapText="1"/>
    </xf>
    <xf numFmtId="176" fontId="34" fillId="0" borderId="0" xfId="467" applyNumberFormat="1" applyFont="1" applyAlignment="1">
      <alignment horizontal="center" vertical="center" wrapText="1"/>
    </xf>
    <xf numFmtId="0" fontId="62" fillId="0" borderId="63" xfId="467" applyFont="1" applyBorder="1" applyAlignment="1">
      <alignment horizontal="center" vertical="center" wrapText="1"/>
    </xf>
    <xf numFmtId="0" fontId="34" fillId="0" borderId="64" xfId="467" applyFont="1" applyBorder="1" applyAlignment="1">
      <alignment horizontal="center" vertical="center" wrapText="1"/>
    </xf>
    <xf numFmtId="0" fontId="34" fillId="0" borderId="63" xfId="467" applyFont="1" applyBorder="1" applyAlignment="1">
      <alignment horizontal="center" vertical="center" wrapText="1"/>
    </xf>
    <xf numFmtId="0" fontId="123" fillId="0" borderId="63" xfId="467" applyFont="1" applyBorder="1" applyAlignment="1">
      <alignment horizontal="center" vertical="center" wrapText="1"/>
    </xf>
    <xf numFmtId="0" fontId="123" fillId="0" borderId="0" xfId="467" applyFont="1" applyAlignment="1">
      <alignment horizontal="center" vertical="center" wrapText="1"/>
    </xf>
    <xf numFmtId="0" fontId="123" fillId="0" borderId="64" xfId="467" applyFont="1" applyBorder="1" applyAlignment="1">
      <alignment horizontal="center" vertical="center" wrapText="1"/>
    </xf>
    <xf numFmtId="0" fontId="34" fillId="2" borderId="0" xfId="467" applyFont="1" applyFill="1" applyAlignment="1">
      <alignment horizontal="center" vertical="center" wrapText="1"/>
    </xf>
    <xf numFmtId="0" fontId="34" fillId="0" borderId="0" xfId="467" applyFont="1" applyAlignment="1">
      <alignment horizontal="center"/>
    </xf>
    <xf numFmtId="176" fontId="34" fillId="0" borderId="0" xfId="467" applyNumberFormat="1" applyFont="1" applyAlignment="1">
      <alignment horizontal="center"/>
    </xf>
    <xf numFmtId="3" fontId="62" fillId="0" borderId="63" xfId="467" applyNumberFormat="1" applyFont="1" applyBorder="1" applyAlignment="1">
      <alignment horizontal="center"/>
    </xf>
    <xf numFmtId="3" fontId="34" fillId="0" borderId="0" xfId="467" applyNumberFormat="1" applyFont="1" applyAlignment="1">
      <alignment horizontal="center"/>
    </xf>
    <xf numFmtId="3" fontId="62" fillId="0" borderId="0" xfId="467" applyNumberFormat="1" applyFont="1" applyAlignment="1">
      <alignment horizontal="center"/>
    </xf>
    <xf numFmtId="3" fontId="34" fillId="0" borderId="64" xfId="467" applyNumberFormat="1" applyFont="1" applyBorder="1" applyAlignment="1">
      <alignment horizontal="center"/>
    </xf>
    <xf numFmtId="3" fontId="62" fillId="0" borderId="64" xfId="467" applyNumberFormat="1" applyFont="1" applyBorder="1" applyAlignment="1">
      <alignment horizontal="center"/>
    </xf>
    <xf numFmtId="3" fontId="34" fillId="0" borderId="63" xfId="467" applyNumberFormat="1" applyFont="1" applyBorder="1" applyAlignment="1">
      <alignment horizontal="center"/>
    </xf>
    <xf numFmtId="3" fontId="123" fillId="0" borderId="63" xfId="467" applyNumberFormat="1" applyFont="1" applyBorder="1" applyAlignment="1">
      <alignment horizontal="center"/>
    </xf>
    <xf numFmtId="3" fontId="123" fillId="0" borderId="0" xfId="467" applyNumberFormat="1" applyFont="1" applyAlignment="1">
      <alignment horizontal="center"/>
    </xf>
    <xf numFmtId="3" fontId="123" fillId="0" borderId="64" xfId="467" applyNumberFormat="1" applyFont="1" applyBorder="1" applyAlignment="1">
      <alignment horizontal="center"/>
    </xf>
    <xf numFmtId="0" fontId="34" fillId="2" borderId="0" xfId="467" applyFont="1" applyFill="1" applyAlignment="1">
      <alignment horizontal="center"/>
    </xf>
    <xf numFmtId="167" fontId="34" fillId="0" borderId="0" xfId="467" applyNumberFormat="1" applyFont="1" applyAlignment="1">
      <alignment horizontal="center"/>
    </xf>
    <xf numFmtId="167" fontId="123" fillId="0" borderId="0" xfId="467" applyNumberFormat="1" applyFont="1" applyAlignment="1">
      <alignment horizontal="center"/>
    </xf>
    <xf numFmtId="3" fontId="62" fillId="40" borderId="63" xfId="467" applyNumberFormat="1" applyFont="1" applyFill="1" applyBorder="1" applyAlignment="1">
      <alignment horizontal="center"/>
    </xf>
    <xf numFmtId="3" fontId="34" fillId="40" borderId="0" xfId="467" applyNumberFormat="1" applyFont="1" applyFill="1" applyAlignment="1">
      <alignment horizontal="center"/>
    </xf>
    <xf numFmtId="3" fontId="34" fillId="40" borderId="64" xfId="467" applyNumberFormat="1" applyFont="1" applyFill="1" applyBorder="1" applyAlignment="1">
      <alignment horizontal="center"/>
    </xf>
    <xf numFmtId="3" fontId="34" fillId="40" borderId="63" xfId="467" applyNumberFormat="1" applyFont="1" applyFill="1" applyBorder="1" applyAlignment="1">
      <alignment horizontal="center"/>
    </xf>
    <xf numFmtId="167" fontId="34" fillId="40" borderId="0" xfId="467" applyNumberFormat="1" applyFont="1" applyFill="1" applyAlignment="1">
      <alignment horizontal="center"/>
    </xf>
    <xf numFmtId="167" fontId="34" fillId="40" borderId="64" xfId="467" applyNumberFormat="1" applyFont="1" applyFill="1" applyBorder="1" applyAlignment="1">
      <alignment horizontal="center"/>
    </xf>
    <xf numFmtId="3" fontId="123" fillId="40" borderId="63" xfId="467" applyNumberFormat="1" applyFont="1" applyFill="1" applyBorder="1" applyAlignment="1">
      <alignment horizontal="center"/>
    </xf>
    <xf numFmtId="167" fontId="123" fillId="40" borderId="0" xfId="467" applyNumberFormat="1" applyFont="1" applyFill="1" applyAlignment="1">
      <alignment horizontal="center"/>
    </xf>
    <xf numFmtId="167" fontId="123" fillId="40" borderId="64" xfId="467" applyNumberFormat="1" applyFont="1" applyFill="1" applyBorder="1" applyAlignment="1">
      <alignment horizontal="center"/>
    </xf>
    <xf numFmtId="167" fontId="34" fillId="40" borderId="63" xfId="467" applyNumberFormat="1" applyFont="1" applyFill="1" applyBorder="1" applyAlignment="1">
      <alignment horizontal="center"/>
    </xf>
    <xf numFmtId="9" fontId="34" fillId="40" borderId="63" xfId="467" applyNumberFormat="1" applyFont="1" applyFill="1" applyBorder="1" applyAlignment="1">
      <alignment horizontal="center"/>
    </xf>
    <xf numFmtId="9" fontId="34" fillId="40" borderId="64" xfId="467" applyNumberFormat="1" applyFont="1" applyFill="1" applyBorder="1" applyAlignment="1">
      <alignment horizontal="center"/>
    </xf>
    <xf numFmtId="3" fontId="62" fillId="41" borderId="63" xfId="467" applyNumberFormat="1" applyFont="1" applyFill="1" applyBorder="1" applyAlignment="1">
      <alignment horizontal="center"/>
    </xf>
    <xf numFmtId="3" fontId="34" fillId="41" borderId="0" xfId="467" applyNumberFormat="1" applyFont="1" applyFill="1" applyAlignment="1">
      <alignment horizontal="center"/>
    </xf>
    <xf numFmtId="3" fontId="34" fillId="41" borderId="64" xfId="467" applyNumberFormat="1" applyFont="1" applyFill="1" applyBorder="1" applyAlignment="1">
      <alignment horizontal="center"/>
    </xf>
    <xf numFmtId="3" fontId="34" fillId="41" borderId="63" xfId="467" applyNumberFormat="1" applyFont="1" applyFill="1" applyBorder="1" applyAlignment="1">
      <alignment horizontal="center"/>
    </xf>
    <xf numFmtId="167" fontId="34" fillId="41" borderId="0" xfId="467" applyNumberFormat="1" applyFont="1" applyFill="1" applyAlignment="1">
      <alignment horizontal="center"/>
    </xf>
    <xf numFmtId="167" fontId="34" fillId="41" borderId="64" xfId="467" applyNumberFormat="1" applyFont="1" applyFill="1" applyBorder="1" applyAlignment="1">
      <alignment horizontal="center"/>
    </xf>
    <xf numFmtId="3" fontId="123" fillId="41" borderId="63" xfId="467" applyNumberFormat="1" applyFont="1" applyFill="1" applyBorder="1" applyAlignment="1">
      <alignment horizontal="center"/>
    </xf>
    <xf numFmtId="167" fontId="123" fillId="41" borderId="0" xfId="467" applyNumberFormat="1" applyFont="1" applyFill="1" applyAlignment="1">
      <alignment horizontal="center"/>
    </xf>
    <xf numFmtId="167" fontId="123" fillId="41" borderId="64" xfId="467" applyNumberFormat="1" applyFont="1" applyFill="1" applyBorder="1" applyAlignment="1">
      <alignment horizontal="center"/>
    </xf>
    <xf numFmtId="167" fontId="34" fillId="41" borderId="63" xfId="467" applyNumberFormat="1" applyFont="1" applyFill="1" applyBorder="1" applyAlignment="1">
      <alignment horizontal="center"/>
    </xf>
    <xf numFmtId="9" fontId="34" fillId="41" borderId="63" xfId="467" applyNumberFormat="1" applyFont="1" applyFill="1" applyBorder="1" applyAlignment="1">
      <alignment horizontal="center"/>
    </xf>
    <xf numFmtId="9" fontId="34" fillId="41" borderId="64" xfId="467" applyNumberFormat="1" applyFont="1" applyFill="1" applyBorder="1" applyAlignment="1">
      <alignment horizontal="center"/>
    </xf>
    <xf numFmtId="3" fontId="62" fillId="42" borderId="63" xfId="467" applyNumberFormat="1" applyFont="1" applyFill="1" applyBorder="1" applyAlignment="1">
      <alignment horizontal="center"/>
    </xf>
    <xf numFmtId="3" fontId="34" fillId="42" borderId="0" xfId="467" applyNumberFormat="1" applyFont="1" applyFill="1" applyAlignment="1">
      <alignment horizontal="center"/>
    </xf>
    <xf numFmtId="3" fontId="62" fillId="42" borderId="0" xfId="467" applyNumberFormat="1" applyFont="1" applyFill="1" applyAlignment="1">
      <alignment horizontal="center"/>
    </xf>
    <xf numFmtId="3" fontId="34" fillId="42" borderId="64" xfId="467" applyNumberFormat="1" applyFont="1" applyFill="1" applyBorder="1" applyAlignment="1">
      <alignment horizontal="center"/>
    </xf>
    <xf numFmtId="3" fontId="34" fillId="42" borderId="63" xfId="467" applyNumberFormat="1" applyFont="1" applyFill="1" applyBorder="1" applyAlignment="1">
      <alignment horizontal="center"/>
    </xf>
    <xf numFmtId="182" fontId="34" fillId="42" borderId="64" xfId="467" applyNumberFormat="1" applyFont="1" applyFill="1" applyBorder="1" applyAlignment="1">
      <alignment horizontal="center"/>
    </xf>
    <xf numFmtId="167" fontId="34" fillId="42" borderId="64" xfId="467" applyNumberFormat="1" applyFont="1" applyFill="1" applyBorder="1" applyAlignment="1">
      <alignment horizontal="center"/>
    </xf>
    <xf numFmtId="9" fontId="34" fillId="42" borderId="63" xfId="467" applyNumberFormat="1" applyFont="1" applyFill="1" applyBorder="1" applyAlignment="1">
      <alignment horizontal="center"/>
    </xf>
    <xf numFmtId="9" fontId="34" fillId="42" borderId="64" xfId="467" applyNumberFormat="1" applyFont="1" applyFill="1" applyBorder="1" applyAlignment="1">
      <alignment horizontal="center"/>
    </xf>
    <xf numFmtId="9" fontId="34" fillId="42" borderId="0" xfId="467" applyNumberFormat="1" applyFont="1" applyFill="1" applyAlignment="1">
      <alignment horizontal="center"/>
    </xf>
    <xf numFmtId="182" fontId="34" fillId="42" borderId="0" xfId="467" applyNumberFormat="1" applyFont="1" applyFill="1" applyAlignment="1">
      <alignment horizontal="center"/>
    </xf>
    <xf numFmtId="3" fontId="62" fillId="43" borderId="63" xfId="467" applyNumberFormat="1" applyFont="1" applyFill="1" applyBorder="1" applyAlignment="1">
      <alignment horizontal="center"/>
    </xf>
    <xf numFmtId="3" fontId="34" fillId="43" borderId="0" xfId="467" applyNumberFormat="1" applyFont="1" applyFill="1" applyAlignment="1">
      <alignment horizontal="center"/>
    </xf>
    <xf numFmtId="3" fontId="34" fillId="43" borderId="64" xfId="467" applyNumberFormat="1" applyFont="1" applyFill="1" applyBorder="1" applyAlignment="1">
      <alignment horizontal="center"/>
    </xf>
    <xf numFmtId="3" fontId="34" fillId="43" borderId="63" xfId="467" applyNumberFormat="1" applyFont="1" applyFill="1" applyBorder="1" applyAlignment="1">
      <alignment horizontal="center"/>
    </xf>
    <xf numFmtId="9" fontId="34" fillId="43" borderId="64" xfId="467" applyNumberFormat="1" applyFont="1" applyFill="1" applyBorder="1" applyAlignment="1">
      <alignment horizontal="center"/>
    </xf>
    <xf numFmtId="182" fontId="34" fillId="43" borderId="64" xfId="467" applyNumberFormat="1" applyFont="1" applyFill="1" applyBorder="1" applyAlignment="1">
      <alignment horizontal="center"/>
    </xf>
    <xf numFmtId="167" fontId="34" fillId="43" borderId="0" xfId="467" applyNumberFormat="1" applyFont="1" applyFill="1" applyAlignment="1">
      <alignment horizontal="center"/>
    </xf>
    <xf numFmtId="182" fontId="34" fillId="43" borderId="0" xfId="467" applyNumberFormat="1" applyFont="1" applyFill="1" applyAlignment="1">
      <alignment horizontal="center"/>
    </xf>
    <xf numFmtId="167" fontId="34" fillId="43" borderId="64" xfId="467" applyNumberFormat="1" applyFont="1" applyFill="1" applyBorder="1" applyAlignment="1">
      <alignment horizontal="center"/>
    </xf>
    <xf numFmtId="9" fontId="34" fillId="43" borderId="63" xfId="467" applyNumberFormat="1" applyFont="1" applyFill="1" applyBorder="1" applyAlignment="1">
      <alignment horizontal="center"/>
    </xf>
    <xf numFmtId="3" fontId="62" fillId="44" borderId="63" xfId="467" applyNumberFormat="1" applyFont="1" applyFill="1" applyBorder="1" applyAlignment="1">
      <alignment horizontal="center"/>
    </xf>
    <xf numFmtId="3" fontId="34" fillId="44" borderId="0" xfId="467" applyNumberFormat="1" applyFont="1" applyFill="1" applyAlignment="1">
      <alignment horizontal="center"/>
    </xf>
    <xf numFmtId="3" fontId="34" fillId="44" borderId="64" xfId="467" applyNumberFormat="1" applyFont="1" applyFill="1" applyBorder="1" applyAlignment="1">
      <alignment horizontal="center"/>
    </xf>
    <xf numFmtId="3" fontId="34" fillId="44" borderId="63" xfId="467" applyNumberFormat="1" applyFont="1" applyFill="1" applyBorder="1" applyAlignment="1">
      <alignment horizontal="center"/>
    </xf>
    <xf numFmtId="9" fontId="34" fillId="44" borderId="64" xfId="467" applyNumberFormat="1" applyFont="1" applyFill="1" applyBorder="1" applyAlignment="1">
      <alignment horizontal="center"/>
    </xf>
    <xf numFmtId="182" fontId="34" fillId="44" borderId="64" xfId="467" applyNumberFormat="1" applyFont="1" applyFill="1" applyBorder="1" applyAlignment="1">
      <alignment horizontal="center"/>
    </xf>
    <xf numFmtId="167" fontId="34" fillId="44" borderId="0" xfId="467" applyNumberFormat="1" applyFont="1" applyFill="1" applyAlignment="1">
      <alignment horizontal="center"/>
    </xf>
    <xf numFmtId="182" fontId="34" fillId="44" borderId="0" xfId="467" applyNumberFormat="1" applyFont="1" applyFill="1" applyAlignment="1">
      <alignment horizontal="center"/>
    </xf>
    <xf numFmtId="167" fontId="34" fillId="44" borderId="64" xfId="467" applyNumberFormat="1" applyFont="1" applyFill="1" applyBorder="1" applyAlignment="1">
      <alignment horizontal="center"/>
    </xf>
    <xf numFmtId="9" fontId="34" fillId="44" borderId="63" xfId="467" applyNumberFormat="1" applyFont="1" applyFill="1" applyBorder="1" applyAlignment="1">
      <alignment horizontal="center"/>
    </xf>
    <xf numFmtId="0" fontId="62" fillId="0" borderId="63" xfId="467" applyFont="1" applyBorder="1" applyAlignment="1">
      <alignment horizontal="center"/>
    </xf>
    <xf numFmtId="0" fontId="34" fillId="0" borderId="64" xfId="467" applyFont="1" applyBorder="1" applyAlignment="1">
      <alignment horizontal="center"/>
    </xf>
    <xf numFmtId="0" fontId="34" fillId="0" borderId="63" xfId="467" applyFont="1" applyBorder="1" applyAlignment="1">
      <alignment horizontal="center"/>
    </xf>
    <xf numFmtId="0" fontId="123" fillId="0" borderId="63" xfId="467" applyFont="1" applyBorder="1" applyAlignment="1">
      <alignment horizontal="center"/>
    </xf>
    <xf numFmtId="0" fontId="123" fillId="0" borderId="0" xfId="467" applyFont="1" applyAlignment="1">
      <alignment horizontal="center"/>
    </xf>
    <xf numFmtId="0" fontId="123" fillId="0" borderId="64" xfId="467" applyFont="1" applyBorder="1" applyAlignment="1">
      <alignment horizontal="center"/>
    </xf>
    <xf numFmtId="176" fontId="34" fillId="42" borderId="0" xfId="467" applyNumberFormat="1" applyFont="1" applyFill="1" applyAlignment="1">
      <alignment horizontal="center" vertical="center" wrapText="1"/>
    </xf>
    <xf numFmtId="3" fontId="123" fillId="42" borderId="63" xfId="467" applyNumberFormat="1" applyFont="1" applyFill="1" applyBorder="1" applyAlignment="1">
      <alignment horizontal="center"/>
    </xf>
    <xf numFmtId="3" fontId="123" fillId="42" borderId="0" xfId="467" applyNumberFormat="1" applyFont="1" applyFill="1" applyAlignment="1">
      <alignment horizontal="center"/>
    </xf>
    <xf numFmtId="3" fontId="123" fillId="42" borderId="64" xfId="467" applyNumberFormat="1" applyFont="1" applyFill="1" applyBorder="1" applyAlignment="1">
      <alignment horizontal="center"/>
    </xf>
    <xf numFmtId="0" fontId="34" fillId="42" borderId="63" xfId="467" applyFont="1" applyFill="1" applyBorder="1" applyAlignment="1">
      <alignment horizontal="center"/>
    </xf>
    <xf numFmtId="0" fontId="34" fillId="42" borderId="0" xfId="467" applyFont="1" applyFill="1" applyAlignment="1">
      <alignment horizontal="center"/>
    </xf>
    <xf numFmtId="0" fontId="34" fillId="42" borderId="64" xfId="467" applyFont="1" applyFill="1" applyBorder="1" applyAlignment="1">
      <alignment horizontal="center"/>
    </xf>
    <xf numFmtId="176" fontId="34" fillId="42" borderId="0" xfId="467" applyNumberFormat="1" applyFont="1" applyFill="1" applyAlignment="1">
      <alignment horizontal="center"/>
    </xf>
    <xf numFmtId="9" fontId="123" fillId="42" borderId="63" xfId="467" applyNumberFormat="1" applyFont="1" applyFill="1" applyBorder="1" applyAlignment="1">
      <alignment horizontal="center"/>
    </xf>
    <xf numFmtId="9" fontId="123" fillId="42" borderId="0" xfId="467" applyNumberFormat="1" applyFont="1" applyFill="1" applyAlignment="1">
      <alignment horizontal="center"/>
    </xf>
    <xf numFmtId="9" fontId="123" fillId="42" borderId="64" xfId="467" applyNumberFormat="1" applyFont="1" applyFill="1" applyBorder="1" applyAlignment="1">
      <alignment horizontal="center"/>
    </xf>
    <xf numFmtId="3" fontId="62" fillId="42" borderId="64" xfId="467" applyNumberFormat="1" applyFont="1" applyFill="1" applyBorder="1" applyAlignment="1">
      <alignment horizontal="center"/>
    </xf>
    <xf numFmtId="175" fontId="34" fillId="42" borderId="0" xfId="469" applyNumberFormat="1" applyFont="1" applyFill="1" applyBorder="1" applyAlignment="1">
      <alignment horizontal="center"/>
    </xf>
    <xf numFmtId="175" fontId="34" fillId="42" borderId="63" xfId="469" applyNumberFormat="1" applyFont="1" applyFill="1" applyBorder="1" applyAlignment="1">
      <alignment horizontal="center"/>
    </xf>
    <xf numFmtId="175" fontId="34" fillId="42" borderId="64" xfId="469" applyNumberFormat="1" applyFont="1" applyFill="1" applyBorder="1" applyAlignment="1">
      <alignment horizontal="center"/>
    </xf>
    <xf numFmtId="176" fontId="31" fillId="0" borderId="0" xfId="0" applyNumberFormat="1" applyFont="1"/>
    <xf numFmtId="3" fontId="31" fillId="35" borderId="0" xfId="4" applyNumberFormat="1" applyFont="1" applyFill="1" applyBorder="1" applyAlignment="1">
      <alignment horizontal="center" wrapText="1"/>
    </xf>
    <xf numFmtId="3" fontId="30" fillId="35" borderId="0" xfId="4" applyNumberFormat="1" applyFont="1" applyFill="1" applyBorder="1" applyAlignment="1">
      <alignment horizontal="center" wrapText="1"/>
    </xf>
    <xf numFmtId="3" fontId="106" fillId="35" borderId="0" xfId="4" applyNumberFormat="1" applyFont="1" applyFill="1" applyBorder="1" applyAlignment="1">
      <alignment horizontal="center" wrapText="1"/>
    </xf>
    <xf numFmtId="165" fontId="106" fillId="0" borderId="0" xfId="0" applyFont="1" applyAlignment="1">
      <alignment horizontal="center"/>
    </xf>
    <xf numFmtId="4" fontId="31" fillId="35" borderId="0" xfId="4" applyNumberFormat="1" applyFont="1" applyFill="1" applyBorder="1" applyAlignment="1">
      <alignment horizontal="center" vertical="center" wrapText="1"/>
    </xf>
    <xf numFmtId="165" fontId="125" fillId="0" borderId="0" xfId="0" applyFont="1" applyAlignment="1">
      <alignment horizontal="left" indent="1"/>
    </xf>
    <xf numFmtId="165" fontId="110" fillId="35" borderId="0" xfId="0" applyFont="1" applyFill="1" applyAlignment="1">
      <alignment horizontal="left" vertical="center" wrapText="1"/>
    </xf>
    <xf numFmtId="176" fontId="30" fillId="34" borderId="30" xfId="0" applyNumberFormat="1" applyFont="1" applyFill="1" applyBorder="1" applyAlignment="1">
      <alignment horizontal="center" vertical="center"/>
    </xf>
    <xf numFmtId="176" fontId="30" fillId="34" borderId="31" xfId="0" applyNumberFormat="1" applyFont="1" applyFill="1" applyBorder="1" applyAlignment="1">
      <alignment horizontal="center" vertical="center"/>
    </xf>
    <xf numFmtId="3" fontId="31" fillId="35" borderId="14" xfId="4" applyNumberFormat="1" applyFont="1" applyFill="1" applyBorder="1" applyAlignment="1">
      <alignment horizontal="center" wrapText="1"/>
    </xf>
    <xf numFmtId="3" fontId="31" fillId="35" borderId="15" xfId="4" applyNumberFormat="1" applyFont="1" applyFill="1" applyBorder="1" applyAlignment="1">
      <alignment horizontal="center" wrapText="1"/>
    </xf>
    <xf numFmtId="176" fontId="30" fillId="34" borderId="29" xfId="0" applyNumberFormat="1" applyFont="1" applyFill="1" applyBorder="1" applyAlignment="1">
      <alignment horizontal="center" vertical="center"/>
    </xf>
    <xf numFmtId="3" fontId="106" fillId="35" borderId="14" xfId="4" applyNumberFormat="1" applyFont="1" applyFill="1" applyBorder="1" applyAlignment="1">
      <alignment horizontal="center" wrapText="1"/>
    </xf>
    <xf numFmtId="3" fontId="106" fillId="35" borderId="15" xfId="4" applyNumberFormat="1" applyFont="1" applyFill="1" applyBorder="1" applyAlignment="1">
      <alignment horizontal="center" wrapText="1"/>
    </xf>
    <xf numFmtId="0" fontId="15" fillId="0" borderId="0" xfId="82" applyFont="1"/>
    <xf numFmtId="0" fontId="57" fillId="0" borderId="0" xfId="83"/>
    <xf numFmtId="0" fontId="56" fillId="2" borderId="0" xfId="82" applyFont="1" applyFill="1"/>
    <xf numFmtId="0" fontId="127" fillId="2" borderId="0" xfId="82" applyFont="1" applyFill="1"/>
    <xf numFmtId="0" fontId="127" fillId="0" borderId="0" xfId="82" applyFont="1"/>
    <xf numFmtId="0" fontId="50" fillId="0" borderId="0" xfId="82" applyFont="1"/>
    <xf numFmtId="0" fontId="14" fillId="0" borderId="0" xfId="82" applyFont="1"/>
    <xf numFmtId="0" fontId="129" fillId="2" borderId="0" xfId="82" applyFont="1" applyFill="1"/>
    <xf numFmtId="165" fontId="31" fillId="0" borderId="0" xfId="0" applyFont="1" applyProtection="1">
      <protection locked="0"/>
    </xf>
    <xf numFmtId="0" fontId="31" fillId="0" borderId="0" xfId="7" applyFont="1" applyAlignment="1" applyProtection="1">
      <alignment vertical="center"/>
      <protection locked="0"/>
    </xf>
    <xf numFmtId="49" fontId="30" fillId="34" borderId="0" xfId="0" applyNumberFormat="1" applyFont="1" applyFill="1" applyAlignment="1" applyProtection="1">
      <alignment vertical="center"/>
      <protection locked="0"/>
    </xf>
    <xf numFmtId="49" fontId="30" fillId="34" borderId="0" xfId="0" applyNumberFormat="1" applyFont="1" applyFill="1" applyAlignment="1" applyProtection="1">
      <alignment horizontal="center" vertical="center"/>
      <protection locked="0"/>
    </xf>
    <xf numFmtId="49" fontId="30" fillId="34" borderId="14" xfId="0" applyNumberFormat="1" applyFont="1" applyFill="1" applyBorder="1" applyAlignment="1" applyProtection="1">
      <alignment horizontal="center" vertical="center"/>
      <protection locked="0"/>
    </xf>
    <xf numFmtId="165" fontId="60" fillId="36" borderId="26" xfId="0" applyFont="1" applyFill="1" applyBorder="1" applyAlignment="1" applyProtection="1">
      <alignment vertical="center"/>
      <protection locked="0"/>
    </xf>
    <xf numFmtId="166" fontId="30" fillId="36" borderId="26" xfId="4" applyNumberFormat="1" applyFont="1" applyFill="1" applyBorder="1" applyAlignment="1" applyProtection="1">
      <alignment horizontal="center" vertical="center" wrapText="1"/>
      <protection locked="0"/>
    </xf>
    <xf numFmtId="166" fontId="30" fillId="36" borderId="32" xfId="4" applyNumberFormat="1" applyFont="1" applyFill="1" applyBorder="1" applyAlignment="1" applyProtection="1">
      <alignment horizontal="center" vertical="center" wrapText="1"/>
      <protection locked="0"/>
    </xf>
    <xf numFmtId="165" fontId="58" fillId="35" borderId="0" xfId="83" applyNumberFormat="1" applyFont="1" applyFill="1" applyBorder="1" applyAlignment="1" applyProtection="1">
      <alignment horizontal="left" vertical="center"/>
      <protection locked="0"/>
    </xf>
    <xf numFmtId="166" fontId="31" fillId="35" borderId="0" xfId="4" applyNumberFormat="1" applyFont="1" applyFill="1" applyBorder="1" applyAlignment="1" applyProtection="1">
      <alignment horizontal="center" vertical="center" wrapText="1"/>
      <protection locked="0"/>
    </xf>
    <xf numFmtId="166" fontId="31" fillId="35" borderId="14" xfId="4" applyNumberFormat="1" applyFont="1" applyFill="1" applyBorder="1" applyAlignment="1" applyProtection="1">
      <alignment horizontal="center" vertical="center" wrapText="1"/>
      <protection locked="0"/>
    </xf>
    <xf numFmtId="165" fontId="61" fillId="35" borderId="0" xfId="0" applyFont="1" applyFill="1" applyAlignment="1" applyProtection="1">
      <alignment horizontal="left" vertical="center"/>
      <protection locked="0"/>
    </xf>
    <xf numFmtId="166" fontId="106" fillId="35" borderId="0" xfId="4" applyNumberFormat="1" applyFont="1" applyFill="1" applyBorder="1" applyAlignment="1" applyProtection="1">
      <alignment horizontal="center" vertical="center" wrapText="1"/>
      <protection locked="0"/>
    </xf>
    <xf numFmtId="166" fontId="31" fillId="35" borderId="32" xfId="4" applyNumberFormat="1" applyFont="1" applyFill="1" applyBorder="1" applyAlignment="1" applyProtection="1">
      <alignment horizontal="center" vertical="center" wrapText="1"/>
      <protection locked="0"/>
    </xf>
    <xf numFmtId="165" fontId="99" fillId="35" borderId="0" xfId="0" applyFont="1" applyFill="1" applyAlignment="1" applyProtection="1">
      <alignment horizontal="left" vertical="center"/>
      <protection locked="0"/>
    </xf>
    <xf numFmtId="166" fontId="99" fillId="35" borderId="0" xfId="4" applyNumberFormat="1" applyFont="1" applyFill="1" applyBorder="1" applyAlignment="1" applyProtection="1">
      <alignment horizontal="center" vertical="center" wrapText="1"/>
      <protection locked="0"/>
    </xf>
    <xf numFmtId="166" fontId="99" fillId="35" borderId="14" xfId="4" applyNumberFormat="1" applyFont="1" applyFill="1" applyBorder="1" applyAlignment="1" applyProtection="1">
      <alignment horizontal="center" vertical="center" wrapText="1"/>
      <protection locked="0"/>
    </xf>
    <xf numFmtId="165" fontId="100" fillId="35" borderId="0" xfId="83" applyNumberFormat="1" applyFont="1" applyFill="1" applyBorder="1" applyAlignment="1" applyProtection="1">
      <alignment horizontal="left" vertical="center"/>
      <protection locked="0"/>
    </xf>
    <xf numFmtId="165" fontId="100" fillId="35" borderId="26" xfId="83" applyNumberFormat="1" applyFont="1" applyFill="1" applyBorder="1" applyAlignment="1" applyProtection="1">
      <alignment horizontal="left" vertical="center"/>
      <protection locked="0"/>
    </xf>
    <xf numFmtId="166" fontId="99" fillId="35" borderId="26" xfId="4" applyNumberFormat="1" applyFont="1" applyFill="1" applyBorder="1" applyAlignment="1" applyProtection="1">
      <alignment horizontal="center" vertical="center" wrapText="1"/>
      <protection locked="0"/>
    </xf>
    <xf numFmtId="166" fontId="99" fillId="35" borderId="32" xfId="4" applyNumberFormat="1" applyFont="1" applyFill="1" applyBorder="1" applyAlignment="1" applyProtection="1">
      <alignment horizontal="center" vertical="center" wrapText="1"/>
      <protection locked="0"/>
    </xf>
    <xf numFmtId="0" fontId="30" fillId="0" borderId="0" xfId="7" applyFont="1" applyAlignment="1" applyProtection="1">
      <alignment vertical="center"/>
      <protection locked="0"/>
    </xf>
    <xf numFmtId="165" fontId="101" fillId="36" borderId="26" xfId="0" applyFont="1" applyFill="1" applyBorder="1" applyAlignment="1" applyProtection="1">
      <alignment vertical="center"/>
      <protection locked="0"/>
    </xf>
    <xf numFmtId="166" fontId="101" fillId="36" borderId="26" xfId="4" applyNumberFormat="1" applyFont="1" applyFill="1" applyBorder="1" applyAlignment="1" applyProtection="1">
      <alignment horizontal="center" vertical="center" wrapText="1"/>
      <protection locked="0"/>
    </xf>
    <xf numFmtId="166" fontId="101" fillId="36" borderId="14" xfId="4" applyNumberFormat="1" applyFont="1" applyFill="1" applyBorder="1" applyAlignment="1" applyProtection="1">
      <alignment horizontal="center" vertical="center" wrapText="1"/>
      <protection locked="0"/>
    </xf>
    <xf numFmtId="166" fontId="101" fillId="36" borderId="32" xfId="4" applyNumberFormat="1" applyFont="1" applyFill="1" applyBorder="1" applyAlignment="1" applyProtection="1">
      <alignment horizontal="center" vertical="center" wrapText="1"/>
      <protection locked="0"/>
    </xf>
    <xf numFmtId="0" fontId="31" fillId="0" borderId="29" xfId="7" applyFont="1" applyBorder="1" applyAlignment="1" applyProtection="1">
      <alignment vertical="center"/>
      <protection locked="0"/>
    </xf>
    <xf numFmtId="0" fontId="30" fillId="0" borderId="29" xfId="7" applyFont="1" applyBorder="1" applyAlignment="1" applyProtection="1">
      <alignment vertical="center"/>
      <protection locked="0"/>
    </xf>
    <xf numFmtId="165" fontId="99" fillId="35" borderId="26" xfId="0" applyFont="1" applyFill="1" applyBorder="1" applyAlignment="1" applyProtection="1">
      <alignment horizontal="left" vertical="center"/>
      <protection locked="0"/>
    </xf>
    <xf numFmtId="166" fontId="34" fillId="35" borderId="0" xfId="4" applyNumberFormat="1" applyFont="1" applyFill="1" applyBorder="1" applyAlignment="1" applyProtection="1">
      <alignment horizontal="center" vertical="center" wrapText="1"/>
      <protection locked="0"/>
    </xf>
    <xf numFmtId="165" fontId="61" fillId="35" borderId="1" xfId="0" applyFont="1" applyFill="1" applyBorder="1" applyAlignment="1" applyProtection="1">
      <alignment horizontal="left" vertical="center"/>
      <protection locked="0"/>
    </xf>
    <xf numFmtId="166" fontId="31" fillId="35" borderId="1" xfId="4" applyNumberFormat="1" applyFont="1" applyFill="1" applyBorder="1" applyAlignment="1" applyProtection="1">
      <alignment horizontal="center" vertical="center" wrapText="1"/>
      <protection locked="0"/>
    </xf>
    <xf numFmtId="166" fontId="31" fillId="35" borderId="36" xfId="4" applyNumberFormat="1" applyFont="1" applyFill="1" applyBorder="1" applyAlignment="1" applyProtection="1">
      <alignment horizontal="center" vertical="center" wrapText="1"/>
      <protection locked="0"/>
    </xf>
    <xf numFmtId="165" fontId="61" fillId="35" borderId="26" xfId="0" applyFont="1" applyFill="1" applyBorder="1" applyAlignment="1" applyProtection="1">
      <alignment horizontal="left" vertical="center"/>
      <protection locked="0"/>
    </xf>
    <xf numFmtId="166" fontId="31" fillId="35" borderId="26" xfId="4" applyNumberFormat="1" applyFont="1" applyFill="1" applyBorder="1" applyAlignment="1" applyProtection="1">
      <alignment horizontal="center" vertical="center" wrapText="1"/>
      <protection locked="0"/>
    </xf>
    <xf numFmtId="165" fontId="31" fillId="0" borderId="0" xfId="0" applyFont="1" applyAlignment="1" applyProtection="1">
      <alignment horizontal="center"/>
      <protection locked="0"/>
    </xf>
    <xf numFmtId="0" fontId="31" fillId="0" borderId="0" xfId="7" applyFont="1" applyAlignment="1" applyProtection="1">
      <alignment horizontal="center" vertical="center"/>
      <protection locked="0"/>
    </xf>
    <xf numFmtId="168" fontId="30" fillId="0" borderId="0" xfId="7" applyNumberFormat="1" applyFont="1" applyAlignment="1" applyProtection="1">
      <alignment horizontal="center" vertical="center" wrapText="1"/>
      <protection locked="0"/>
    </xf>
    <xf numFmtId="0" fontId="31" fillId="0" borderId="0" xfId="3" applyFont="1" applyProtection="1">
      <protection locked="0"/>
    </xf>
    <xf numFmtId="166" fontId="31" fillId="0" borderId="0" xfId="3" applyNumberFormat="1" applyFont="1" applyAlignment="1" applyProtection="1">
      <alignment horizontal="center" vertical="center"/>
      <protection locked="0"/>
    </xf>
    <xf numFmtId="0" fontId="31" fillId="2" borderId="0" xfId="3" applyFont="1" applyFill="1" applyProtection="1">
      <protection locked="0"/>
    </xf>
    <xf numFmtId="167" fontId="32" fillId="0" borderId="0" xfId="3" applyNumberFormat="1" applyFont="1" applyAlignment="1" applyProtection="1">
      <alignment horizontal="left" vertical="center"/>
      <protection locked="0"/>
    </xf>
    <xf numFmtId="49" fontId="30" fillId="34" borderId="0" xfId="0" applyNumberFormat="1" applyFont="1" applyFill="1" applyAlignment="1" applyProtection="1">
      <alignment horizontal="left" vertical="center"/>
      <protection locked="0"/>
    </xf>
    <xf numFmtId="177" fontId="30" fillId="34" borderId="0" xfId="0" applyNumberFormat="1" applyFont="1" applyFill="1" applyAlignment="1" applyProtection="1">
      <alignment horizontal="center" vertical="center"/>
      <protection locked="0"/>
    </xf>
    <xf numFmtId="171" fontId="30" fillId="34" borderId="0" xfId="0" applyNumberFormat="1" applyFont="1" applyFill="1" applyAlignment="1" applyProtection="1">
      <alignment horizontal="center" vertical="center"/>
      <protection locked="0"/>
    </xf>
    <xf numFmtId="165" fontId="60" fillId="36" borderId="0" xfId="0" applyFont="1" applyFill="1" applyAlignment="1" applyProtection="1">
      <alignment vertical="center"/>
      <protection locked="0"/>
    </xf>
    <xf numFmtId="166" fontId="30" fillId="36" borderId="0" xfId="4" applyNumberFormat="1" applyFont="1" applyFill="1" applyBorder="1" applyAlignment="1" applyProtection="1">
      <alignment horizontal="center" vertical="center" wrapText="1"/>
      <protection locked="0"/>
    </xf>
    <xf numFmtId="166" fontId="30" fillId="35" borderId="0" xfId="4" applyNumberFormat="1" applyFont="1" applyFill="1" applyBorder="1" applyAlignment="1" applyProtection="1">
      <alignment horizontal="center" vertical="center" wrapText="1"/>
      <protection locked="0"/>
    </xf>
    <xf numFmtId="165" fontId="61" fillId="35" borderId="0" xfId="0" applyFont="1" applyFill="1" applyAlignment="1" applyProtection="1">
      <alignment horizontal="left" vertical="center" indent="1"/>
      <protection locked="0"/>
    </xf>
    <xf numFmtId="165" fontId="60" fillId="36" borderId="0" xfId="0" applyFont="1" applyFill="1" applyAlignment="1" applyProtection="1">
      <alignment vertical="center" wrapText="1"/>
      <protection locked="0"/>
    </xf>
    <xf numFmtId="0" fontId="99" fillId="0" borderId="0" xfId="3" applyFont="1" applyProtection="1">
      <protection locked="0"/>
    </xf>
    <xf numFmtId="166" fontId="101" fillId="35" borderId="0" xfId="4" applyNumberFormat="1" applyFont="1" applyFill="1" applyBorder="1" applyAlignment="1" applyProtection="1">
      <alignment horizontal="center" vertical="center" wrapText="1"/>
      <protection locked="0"/>
    </xf>
    <xf numFmtId="165" fontId="60" fillId="36" borderId="26" xfId="0" applyFont="1" applyFill="1" applyBorder="1" applyAlignment="1" applyProtection="1">
      <alignment vertical="center" wrapText="1"/>
      <protection locked="0"/>
    </xf>
    <xf numFmtId="0" fontId="32" fillId="0" borderId="0" xfId="3" applyFont="1" applyAlignment="1" applyProtection="1">
      <alignment horizontal="left"/>
      <protection locked="0"/>
    </xf>
    <xf numFmtId="0" fontId="0" fillId="2" borderId="0" xfId="0" applyNumberFormat="1" applyFill="1" applyProtection="1">
      <protection locked="0"/>
    </xf>
    <xf numFmtId="165" fontId="130" fillId="0" borderId="0" xfId="0" applyFont="1" applyProtection="1">
      <protection locked="0"/>
    </xf>
    <xf numFmtId="0" fontId="131" fillId="0" borderId="0" xfId="6" applyFont="1" applyAlignment="1" applyProtection="1">
      <alignment vertical="center"/>
      <protection locked="0"/>
    </xf>
    <xf numFmtId="0" fontId="30" fillId="34" borderId="0" xfId="0" applyNumberFormat="1" applyFont="1" applyFill="1" applyAlignment="1" applyProtection="1">
      <alignment horizontal="center" vertical="center"/>
      <protection locked="0"/>
    </xf>
    <xf numFmtId="0" fontId="30" fillId="34" borderId="29" xfId="0" applyNumberFormat="1" applyFont="1" applyFill="1" applyBorder="1" applyAlignment="1">
      <alignment horizontal="centerContinuous" vertical="center"/>
    </xf>
    <xf numFmtId="0" fontId="30" fillId="34" borderId="31" xfId="0" applyNumberFormat="1" applyFont="1" applyFill="1" applyBorder="1" applyAlignment="1">
      <alignment horizontal="centerContinuous" vertical="center"/>
    </xf>
    <xf numFmtId="165" fontId="30" fillId="34" borderId="30" xfId="0" applyFont="1" applyFill="1" applyBorder="1" applyAlignment="1">
      <alignment horizontal="centerContinuous" vertical="center"/>
    </xf>
    <xf numFmtId="165" fontId="30" fillId="34" borderId="29" xfId="0" applyFont="1" applyFill="1" applyBorder="1" applyAlignment="1">
      <alignment horizontal="centerContinuous" vertical="center"/>
    </xf>
    <xf numFmtId="0" fontId="31" fillId="34" borderId="14" xfId="0" applyNumberFormat="1" applyFont="1" applyFill="1" applyBorder="1" applyAlignment="1">
      <alignment horizontal="center" vertical="center" wrapText="1"/>
    </xf>
    <xf numFmtId="0" fontId="31" fillId="34" borderId="0" xfId="0" applyNumberFormat="1" applyFont="1" applyFill="1" applyAlignment="1">
      <alignment horizontal="center" vertical="center" wrapText="1"/>
    </xf>
    <xf numFmtId="0" fontId="30" fillId="34" borderId="0" xfId="0" applyNumberFormat="1" applyFont="1" applyFill="1" applyAlignment="1">
      <alignment horizontal="center" vertical="center" wrapText="1"/>
    </xf>
    <xf numFmtId="0" fontId="30" fillId="34" borderId="30" xfId="0" applyNumberFormat="1" applyFont="1" applyFill="1" applyBorder="1" applyAlignment="1">
      <alignment horizontal="centerContinuous" vertical="center" wrapText="1"/>
    </xf>
    <xf numFmtId="166" fontId="55" fillId="0" borderId="0" xfId="3" applyNumberFormat="1" applyFont="1" applyAlignment="1" applyProtection="1">
      <alignment horizontal="center" vertical="center"/>
      <protection locked="0"/>
    </xf>
    <xf numFmtId="165" fontId="55" fillId="2" borderId="0" xfId="0" applyFont="1" applyFill="1" applyAlignment="1">
      <alignment vertical="center"/>
    </xf>
    <xf numFmtId="3" fontId="132" fillId="0" borderId="0" xfId="0" applyNumberFormat="1" applyFont="1" applyAlignment="1">
      <alignment horizontal="center"/>
    </xf>
    <xf numFmtId="165" fontId="86" fillId="0" borderId="0" xfId="0" applyFont="1"/>
    <xf numFmtId="166" fontId="133" fillId="0" borderId="0" xfId="0" applyNumberFormat="1" applyFont="1"/>
    <xf numFmtId="165" fontId="133" fillId="0" borderId="0" xfId="0" applyFont="1"/>
    <xf numFmtId="165" fontId="55" fillId="0" borderId="0" xfId="0" applyFont="1" applyAlignment="1">
      <alignment horizontal="center"/>
    </xf>
    <xf numFmtId="165" fontId="124" fillId="0" borderId="0" xfId="0" applyFont="1"/>
    <xf numFmtId="165" fontId="97" fillId="2" borderId="0" xfId="0" applyFont="1" applyFill="1" applyAlignment="1">
      <alignment horizontal="right"/>
    </xf>
    <xf numFmtId="165" fontId="86" fillId="2" borderId="0" xfId="0" applyFont="1" applyFill="1"/>
    <xf numFmtId="165" fontId="134" fillId="2" borderId="0" xfId="0" applyFont="1" applyFill="1" applyAlignment="1">
      <alignment horizontal="center" vertical="center"/>
    </xf>
    <xf numFmtId="165" fontId="86" fillId="0" borderId="0" xfId="0" applyFont="1" applyAlignment="1">
      <alignment horizontal="centerContinuous"/>
    </xf>
    <xf numFmtId="165" fontId="124" fillId="0" borderId="0" xfId="0" applyFont="1" applyAlignment="1">
      <alignment horizontal="centerContinuous"/>
    </xf>
    <xf numFmtId="165" fontId="135" fillId="2" borderId="0" xfId="0" applyFont="1" applyFill="1"/>
    <xf numFmtId="165" fontId="136" fillId="2" borderId="0" xfId="0" applyFont="1" applyFill="1"/>
    <xf numFmtId="165" fontId="137" fillId="2" borderId="0" xfId="0" applyFont="1" applyFill="1" applyAlignment="1">
      <alignment horizontal="right"/>
    </xf>
    <xf numFmtId="165" fontId="137" fillId="2" borderId="0" xfId="0" applyFont="1" applyFill="1" applyAlignment="1">
      <alignment horizontal="center"/>
    </xf>
    <xf numFmtId="0" fontId="55" fillId="0" borderId="0" xfId="82" applyFont="1"/>
    <xf numFmtId="0" fontId="138" fillId="0" borderId="0" xfId="83" applyFont="1"/>
    <xf numFmtId="168" fontId="86" fillId="0" borderId="0" xfId="95" applyNumberFormat="1" applyFont="1" applyFill="1" applyBorder="1" applyAlignment="1">
      <alignment vertical="center"/>
    </xf>
    <xf numFmtId="168" fontId="124" fillId="0" borderId="0" xfId="95" applyNumberFormat="1" applyFont="1" applyFill="1" applyBorder="1" applyAlignment="1">
      <alignment vertical="center"/>
    </xf>
    <xf numFmtId="0" fontId="86" fillId="0" borderId="0" xfId="93" applyFont="1" applyAlignment="1">
      <alignment vertical="center"/>
    </xf>
    <xf numFmtId="0" fontId="139" fillId="0" borderId="0" xfId="83" applyFont="1"/>
    <xf numFmtId="0" fontId="140" fillId="0" borderId="0" xfId="82" applyFont="1"/>
    <xf numFmtId="1" fontId="114" fillId="37" borderId="38" xfId="0" applyNumberFormat="1" applyFont="1" applyFill="1" applyBorder="1" applyAlignment="1">
      <alignment wrapText="1"/>
    </xf>
    <xf numFmtId="1" fontId="31" fillId="0" borderId="39" xfId="0" applyNumberFormat="1" applyFont="1" applyBorder="1"/>
    <xf numFmtId="176" fontId="34" fillId="2" borderId="0" xfId="467" applyNumberFormat="1" applyFont="1" applyFill="1" applyAlignment="1">
      <alignment horizontal="center"/>
    </xf>
    <xf numFmtId="176" fontId="34" fillId="2" borderId="0" xfId="467" applyNumberFormat="1" applyFont="1" applyFill="1" applyAlignment="1">
      <alignment horizontal="center" wrapText="1"/>
    </xf>
    <xf numFmtId="176" fontId="34" fillId="2" borderId="0" xfId="467" applyNumberFormat="1" applyFont="1" applyFill="1" applyAlignment="1">
      <alignment horizontal="center" vertical="center" wrapText="1"/>
    </xf>
    <xf numFmtId="165" fontId="55" fillId="0" borderId="0" xfId="0" applyFont="1" applyProtection="1">
      <protection locked="0"/>
    </xf>
    <xf numFmtId="0" fontId="55" fillId="0" borderId="0" xfId="3" applyFont="1" applyProtection="1">
      <protection locked="0"/>
    </xf>
    <xf numFmtId="0" fontId="141" fillId="2" borderId="0" xfId="3" applyFont="1" applyFill="1" applyAlignment="1" applyProtection="1">
      <alignment horizontal="center" vertical="center"/>
      <protection locked="0"/>
    </xf>
    <xf numFmtId="0" fontId="55" fillId="2" borderId="0" xfId="3" applyFont="1" applyFill="1" applyProtection="1">
      <protection locked="0"/>
    </xf>
    <xf numFmtId="0" fontId="142" fillId="0" borderId="0" xfId="466" applyFont="1"/>
    <xf numFmtId="0" fontId="142" fillId="0" borderId="0" xfId="466" applyFont="1" applyAlignment="1">
      <alignment horizontal="center"/>
    </xf>
    <xf numFmtId="183" fontId="55" fillId="45" borderId="0" xfId="0" applyNumberFormat="1" applyFont="1" applyFill="1" applyAlignment="1">
      <alignment horizontal="center" wrapText="1"/>
    </xf>
    <xf numFmtId="165" fontId="55" fillId="2" borderId="0" xfId="0" applyFont="1" applyFill="1"/>
    <xf numFmtId="1" fontId="55" fillId="2" borderId="0" xfId="0" applyNumberFormat="1" applyFont="1" applyFill="1"/>
    <xf numFmtId="14" fontId="143" fillId="2" borderId="0" xfId="0" applyNumberFormat="1" applyFont="1" applyFill="1"/>
    <xf numFmtId="0" fontId="55" fillId="0" borderId="0" xfId="86" applyFont="1"/>
    <xf numFmtId="165" fontId="86" fillId="2" borderId="0" xfId="0" applyFont="1" applyFill="1" applyAlignment="1">
      <alignment vertical="center" wrapText="1"/>
    </xf>
    <xf numFmtId="165" fontId="86" fillId="0" borderId="0" xfId="0" quotePrefix="1" applyFont="1"/>
    <xf numFmtId="165" fontId="86" fillId="0" borderId="0" xfId="0" applyFont="1" applyAlignment="1">
      <alignment vertical="center"/>
    </xf>
    <xf numFmtId="165" fontId="144" fillId="0" borderId="0" xfId="0" applyFont="1" applyAlignment="1">
      <alignment horizontal="centerContinuous" vertical="center" wrapText="1"/>
    </xf>
    <xf numFmtId="168" fontId="86" fillId="2" borderId="0" xfId="95" applyNumberFormat="1" applyFont="1" applyFill="1" applyBorder="1" applyAlignment="1">
      <alignment vertical="center"/>
    </xf>
    <xf numFmtId="168" fontId="86" fillId="0" borderId="0" xfId="95" applyNumberFormat="1" applyFont="1" applyFill="1" applyAlignment="1">
      <alignment vertical="center"/>
    </xf>
    <xf numFmtId="182" fontId="119" fillId="35" borderId="0" xfId="0" applyNumberFormat="1" applyFont="1" applyFill="1" applyAlignment="1">
      <alignment horizontal="center" vertical="center"/>
    </xf>
    <xf numFmtId="3" fontId="31" fillId="35" borderId="0" xfId="0" applyNumberFormat="1" applyFont="1" applyFill="1" applyAlignment="1">
      <alignment horizontal="center" vertical="center"/>
    </xf>
    <xf numFmtId="1" fontId="31" fillId="35" borderId="0" xfId="0" applyNumberFormat="1" applyFont="1" applyFill="1" applyAlignment="1">
      <alignment horizontal="center" vertical="center"/>
    </xf>
    <xf numFmtId="175" fontId="34" fillId="42" borderId="63" xfId="469" applyNumberFormat="1" applyFont="1" applyFill="1" applyBorder="1" applyAlignment="1" applyProtection="1">
      <alignment horizontal="center"/>
    </xf>
    <xf numFmtId="175" fontId="34" fillId="42" borderId="0" xfId="469" applyNumberFormat="1" applyFont="1" applyFill="1" applyBorder="1" applyAlignment="1" applyProtection="1">
      <alignment horizontal="center"/>
    </xf>
    <xf numFmtId="175" fontId="34" fillId="42" borderId="64" xfId="469" applyNumberFormat="1" applyFont="1" applyFill="1" applyBorder="1" applyAlignment="1" applyProtection="1">
      <alignment horizontal="center"/>
    </xf>
    <xf numFmtId="182" fontId="31" fillId="35" borderId="0" xfId="0" applyNumberFormat="1" applyFont="1" applyFill="1" applyAlignment="1">
      <alignment horizontal="center" vertical="center"/>
    </xf>
    <xf numFmtId="165" fontId="145" fillId="2" borderId="0" xfId="0" quotePrefix="1" applyFont="1" applyFill="1" applyAlignment="1">
      <alignment horizontal="center"/>
    </xf>
    <xf numFmtId="166" fontId="86" fillId="2" borderId="0" xfId="0" applyNumberFormat="1" applyFont="1" applyFill="1" applyAlignment="1">
      <alignment horizontal="center" vertical="center"/>
    </xf>
    <xf numFmtId="166" fontId="145" fillId="2" borderId="0" xfId="0" applyNumberFormat="1" applyFont="1" applyFill="1" applyAlignment="1">
      <alignment horizontal="center" vertical="center"/>
    </xf>
    <xf numFmtId="166" fontId="105" fillId="2" borderId="0" xfId="4" applyNumberFormat="1" applyFont="1" applyFill="1" applyBorder="1" applyAlignment="1">
      <alignment horizontal="center" vertical="center" wrapText="1"/>
    </xf>
    <xf numFmtId="165" fontId="86" fillId="2" borderId="0" xfId="0" applyFont="1" applyFill="1" applyAlignment="1">
      <alignment vertical="center"/>
    </xf>
    <xf numFmtId="168" fontId="124" fillId="2" borderId="0" xfId="9" applyNumberFormat="1" applyFont="1" applyFill="1" applyBorder="1" applyAlignment="1">
      <alignment horizontal="right" vertical="center"/>
    </xf>
    <xf numFmtId="0" fontId="128" fillId="2" borderId="0" xfId="82" applyFont="1" applyFill="1" applyAlignment="1">
      <alignment horizontal="center" vertical="center"/>
    </xf>
    <xf numFmtId="0" fontId="126" fillId="2" borderId="0" xfId="82" applyFont="1" applyFill="1" applyAlignment="1">
      <alignment horizontal="center" vertical="center"/>
    </xf>
    <xf numFmtId="0" fontId="57" fillId="2" borderId="0" xfId="83" applyFill="1" applyBorder="1" applyAlignment="1">
      <alignment horizontal="center" vertical="center"/>
    </xf>
    <xf numFmtId="0" fontId="0" fillId="0" borderId="0" xfId="0" applyNumberFormat="1" applyProtection="1">
      <protection locked="0"/>
    </xf>
    <xf numFmtId="172" fontId="31" fillId="0" borderId="0" xfId="88" applyNumberFormat="1" applyFont="1" applyFill="1" applyBorder="1" applyAlignment="1">
      <alignment horizontal="left" vertical="center" wrapText="1"/>
    </xf>
    <xf numFmtId="166" fontId="31" fillId="0" borderId="0" xfId="4" applyNumberFormat="1" applyFont="1" applyFill="1" applyBorder="1" applyAlignment="1">
      <alignment horizontal="center" vertical="center" wrapText="1"/>
    </xf>
    <xf numFmtId="166" fontId="118" fillId="0" borderId="0" xfId="4" applyNumberFormat="1" applyFont="1" applyFill="1" applyBorder="1" applyAlignment="1">
      <alignment horizontal="center" vertical="center" wrapText="1"/>
    </xf>
    <xf numFmtId="14" fontId="86" fillId="0" borderId="0" xfId="0" applyNumberFormat="1" applyFont="1"/>
    <xf numFmtId="165" fontId="82" fillId="0" borderId="0" xfId="0" applyFont="1" applyAlignment="1">
      <alignment horizontal="left" vertical="center" indent="2"/>
    </xf>
    <xf numFmtId="0" fontId="86" fillId="2" borderId="0" xfId="0" applyNumberFormat="1" applyFont="1" applyFill="1" applyProtection="1">
      <protection locked="0"/>
    </xf>
    <xf numFmtId="3" fontId="34" fillId="46" borderId="63" xfId="467" applyNumberFormat="1" applyFont="1" applyFill="1" applyBorder="1" applyAlignment="1">
      <alignment horizontal="center"/>
    </xf>
    <xf numFmtId="3" fontId="34" fillId="46" borderId="64" xfId="467" applyNumberFormat="1" applyFont="1" applyFill="1" applyBorder="1" applyAlignment="1">
      <alignment horizontal="center"/>
    </xf>
    <xf numFmtId="3" fontId="34" fillId="46" borderId="0" xfId="467" applyNumberFormat="1" applyFont="1" applyFill="1" applyAlignment="1">
      <alignment horizontal="center"/>
    </xf>
    <xf numFmtId="3" fontId="62" fillId="46" borderId="63" xfId="467" applyNumberFormat="1" applyFont="1" applyFill="1" applyBorder="1" applyAlignment="1">
      <alignment horizontal="center"/>
    </xf>
    <xf numFmtId="9" fontId="34" fillId="46" borderId="63" xfId="1" applyFont="1" applyFill="1" applyBorder="1" applyAlignment="1">
      <alignment horizontal="center"/>
    </xf>
    <xf numFmtId="9" fontId="34" fillId="46" borderId="64" xfId="1" applyFont="1" applyFill="1" applyBorder="1" applyAlignment="1">
      <alignment horizontal="center"/>
    </xf>
    <xf numFmtId="165" fontId="60" fillId="35" borderId="0" xfId="0" applyFont="1" applyFill="1" applyAlignment="1">
      <alignment horizontal="left" vertical="center" indent="1"/>
    </xf>
    <xf numFmtId="165" fontId="61" fillId="35" borderId="0" xfId="0" applyFont="1" applyFill="1" applyAlignment="1">
      <alignment horizontal="left" vertical="center" indent="2"/>
    </xf>
    <xf numFmtId="165" fontId="96" fillId="35" borderId="0" xfId="0" applyFont="1" applyFill="1" applyAlignment="1">
      <alignment horizontal="left" vertical="center" indent="3"/>
    </xf>
    <xf numFmtId="167" fontId="30" fillId="35" borderId="0" xfId="4" applyNumberFormat="1" applyFont="1" applyFill="1" applyBorder="1" applyAlignment="1">
      <alignment horizontal="center" vertical="center" wrapText="1"/>
    </xf>
    <xf numFmtId="167" fontId="30" fillId="35" borderId="14" xfId="4" applyNumberFormat="1" applyFont="1" applyFill="1" applyBorder="1" applyAlignment="1">
      <alignment horizontal="center" vertical="center" wrapText="1"/>
    </xf>
    <xf numFmtId="3" fontId="31" fillId="35" borderId="14" xfId="4" applyNumberFormat="1" applyFont="1" applyFill="1" applyBorder="1" applyAlignment="1">
      <alignment horizontal="center" vertical="center" wrapText="1"/>
    </xf>
    <xf numFmtId="0" fontId="146" fillId="0" borderId="0" xfId="93" applyFont="1"/>
    <xf numFmtId="165" fontId="116" fillId="0" borderId="0" xfId="0" applyFont="1"/>
    <xf numFmtId="165" fontId="116" fillId="35" borderId="13" xfId="0" applyFont="1" applyFill="1" applyBorder="1" applyAlignment="1">
      <alignment horizontal="left" vertical="center" wrapText="1" indent="2"/>
    </xf>
    <xf numFmtId="166" fontId="116" fillId="35" borderId="0" xfId="88" applyNumberFormat="1" applyFont="1" applyFill="1" applyBorder="1" applyAlignment="1">
      <alignment horizontal="center" vertical="center" wrapText="1"/>
    </xf>
    <xf numFmtId="166" fontId="116" fillId="35" borderId="14" xfId="88" applyNumberFormat="1" applyFont="1" applyFill="1" applyBorder="1" applyAlignment="1">
      <alignment horizontal="center" vertical="center" wrapText="1"/>
    </xf>
    <xf numFmtId="164" fontId="34" fillId="0" borderId="0" xfId="0" applyNumberFormat="1" applyFont="1"/>
    <xf numFmtId="168" fontId="34" fillId="0" borderId="0" xfId="0" applyNumberFormat="1" applyFont="1"/>
    <xf numFmtId="0" fontId="55" fillId="0" borderId="0" xfId="0" applyNumberFormat="1" applyFont="1"/>
    <xf numFmtId="0" fontId="105" fillId="0" borderId="0" xfId="3" applyFont="1" applyAlignment="1">
      <alignment textRotation="90"/>
    </xf>
    <xf numFmtId="167" fontId="132" fillId="0" borderId="0" xfId="3" applyNumberFormat="1" applyFont="1" applyAlignment="1">
      <alignment horizontal="left" vertical="center"/>
    </xf>
    <xf numFmtId="165" fontId="105" fillId="2" borderId="0" xfId="0" applyFont="1" applyFill="1" applyAlignment="1">
      <alignment vertical="center"/>
    </xf>
    <xf numFmtId="0" fontId="55" fillId="0" borderId="0" xfId="3" applyFont="1" applyAlignment="1">
      <alignment textRotation="90"/>
    </xf>
    <xf numFmtId="3" fontId="105" fillId="2" borderId="0" xfId="0" applyNumberFormat="1" applyFont="1" applyFill="1" applyAlignment="1">
      <alignment horizontal="center" vertical="center" wrapText="1"/>
    </xf>
    <xf numFmtId="165" fontId="132" fillId="2" borderId="0" xfId="2" applyFont="1" applyFill="1"/>
    <xf numFmtId="0" fontId="56" fillId="0" borderId="27" xfId="82" applyFont="1" applyBorder="1"/>
    <xf numFmtId="0" fontId="56" fillId="0" borderId="16" xfId="82" applyFont="1" applyBorder="1"/>
    <xf numFmtId="0" fontId="56" fillId="0" borderId="28" xfId="82" applyFont="1" applyBorder="1"/>
    <xf numFmtId="0" fontId="105" fillId="0" borderId="0" xfId="3" applyFont="1" applyAlignment="1">
      <alignment vertical="center" textRotation="90"/>
    </xf>
    <xf numFmtId="0" fontId="55" fillId="0" borderId="0" xfId="3" applyFont="1"/>
    <xf numFmtId="0" fontId="55" fillId="2" borderId="0" xfId="3" applyFont="1" applyFill="1"/>
    <xf numFmtId="1" fontId="31" fillId="35" borderId="29" xfId="0" applyNumberFormat="1" applyFont="1" applyFill="1" applyBorder="1" applyAlignment="1">
      <alignment horizontal="center" vertical="center"/>
    </xf>
    <xf numFmtId="166" fontId="31" fillId="35" borderId="0" xfId="4" quotePrefix="1" applyNumberFormat="1" applyFont="1" applyFill="1" applyBorder="1" applyAlignment="1">
      <alignment horizontal="center" vertical="center" wrapText="1"/>
    </xf>
    <xf numFmtId="166" fontId="31" fillId="35" borderId="0" xfId="830" applyNumberFormat="1" applyFont="1" applyFill="1" applyBorder="1" applyAlignment="1">
      <alignment horizontal="center" vertical="center" wrapText="1"/>
    </xf>
    <xf numFmtId="166" fontId="30" fillId="35" borderId="0" xfId="830" applyNumberFormat="1" applyFont="1" applyFill="1" applyBorder="1" applyAlignment="1">
      <alignment horizontal="center" vertical="center" wrapText="1"/>
    </xf>
    <xf numFmtId="166" fontId="31" fillId="35" borderId="0" xfId="830" applyNumberFormat="1" applyFont="1" applyFill="1" applyBorder="1" applyAlignment="1" applyProtection="1">
      <alignment horizontal="center" vertical="center" wrapText="1"/>
      <protection locked="0"/>
    </xf>
    <xf numFmtId="3" fontId="30" fillId="35" borderId="14" xfId="4" applyNumberFormat="1" applyFont="1" applyFill="1" applyBorder="1" applyAlignment="1">
      <alignment horizontal="center" wrapText="1"/>
    </xf>
    <xf numFmtId="3" fontId="30" fillId="35" borderId="15" xfId="4" applyNumberFormat="1" applyFont="1" applyFill="1" applyBorder="1" applyAlignment="1">
      <alignment horizontal="center" wrapText="1"/>
    </xf>
    <xf numFmtId="166" fontId="55" fillId="0" borderId="0" xfId="88" applyNumberFormat="1" applyFont="1" applyFill="1" applyBorder="1" applyAlignment="1">
      <alignment horizontal="center" vertical="center" wrapText="1"/>
    </xf>
    <xf numFmtId="166" fontId="31" fillId="36" borderId="14" xfId="4" applyNumberFormat="1" applyFont="1" applyFill="1" applyBorder="1" applyAlignment="1">
      <alignment horizontal="center" vertical="center" wrapText="1"/>
    </xf>
    <xf numFmtId="166" fontId="31" fillId="36" borderId="15" xfId="4" applyNumberFormat="1" applyFont="1" applyFill="1" applyBorder="1" applyAlignment="1">
      <alignment horizontal="center" vertical="center" wrapText="1"/>
    </xf>
    <xf numFmtId="0" fontId="148" fillId="2" borderId="0" xfId="0" applyNumberFormat="1" applyFont="1" applyFill="1"/>
    <xf numFmtId="166" fontId="148" fillId="2" borderId="0" xfId="0" applyNumberFormat="1" applyFont="1" applyFill="1"/>
    <xf numFmtId="185" fontId="148" fillId="2" borderId="0" xfId="0" applyNumberFormat="1" applyFont="1" applyFill="1"/>
    <xf numFmtId="4" fontId="97" fillId="2" borderId="0" xfId="0" applyNumberFormat="1" applyFont="1" applyFill="1" applyAlignment="1">
      <alignment horizontal="right"/>
    </xf>
    <xf numFmtId="9" fontId="34" fillId="43" borderId="0" xfId="467" applyNumberFormat="1" applyFont="1" applyFill="1" applyAlignment="1">
      <alignment horizontal="center"/>
    </xf>
    <xf numFmtId="9" fontId="34" fillId="44" borderId="0" xfId="467" applyNumberFormat="1" applyFont="1" applyFill="1" applyAlignment="1">
      <alignment horizontal="center"/>
    </xf>
    <xf numFmtId="9" fontId="34" fillId="46" borderId="0" xfId="1" applyFont="1" applyFill="1" applyBorder="1" applyAlignment="1">
      <alignment horizontal="center"/>
    </xf>
    <xf numFmtId="182" fontId="34" fillId="0" borderId="0" xfId="467" applyNumberFormat="1" applyFont="1" applyAlignment="1">
      <alignment horizontal="center"/>
    </xf>
    <xf numFmtId="182" fontId="34" fillId="0" borderId="64" xfId="467" applyNumberFormat="1" applyFont="1" applyBorder="1" applyAlignment="1">
      <alignment horizontal="center"/>
    </xf>
    <xf numFmtId="182" fontId="34" fillId="40" borderId="0" xfId="467" applyNumberFormat="1" applyFont="1" applyFill="1" applyAlignment="1">
      <alignment horizontal="center"/>
    </xf>
    <xf numFmtId="182" fontId="34" fillId="40" borderId="64" xfId="467" applyNumberFormat="1" applyFont="1" applyFill="1" applyBorder="1" applyAlignment="1">
      <alignment horizontal="center"/>
    </xf>
    <xf numFmtId="182" fontId="34" fillId="41" borderId="0" xfId="467" applyNumberFormat="1" applyFont="1" applyFill="1" applyAlignment="1">
      <alignment horizontal="center"/>
    </xf>
    <xf numFmtId="182" fontId="34" fillId="41" borderId="64" xfId="467" applyNumberFormat="1" applyFont="1" applyFill="1" applyBorder="1" applyAlignment="1">
      <alignment horizontal="center"/>
    </xf>
    <xf numFmtId="182" fontId="34" fillId="46" borderId="0" xfId="467" applyNumberFormat="1" applyFont="1" applyFill="1" applyAlignment="1">
      <alignment horizontal="center"/>
    </xf>
    <xf numFmtId="182" fontId="34" fillId="46" borderId="64" xfId="467" applyNumberFormat="1" applyFont="1" applyFill="1" applyBorder="1" applyAlignment="1">
      <alignment horizontal="center"/>
    </xf>
    <xf numFmtId="167" fontId="123" fillId="42" borderId="63" xfId="467" applyNumberFormat="1" applyFont="1" applyFill="1" applyBorder="1" applyAlignment="1">
      <alignment horizontal="center"/>
    </xf>
    <xf numFmtId="167" fontId="123" fillId="42" borderId="0" xfId="467" applyNumberFormat="1" applyFont="1" applyFill="1" applyAlignment="1">
      <alignment horizontal="center"/>
    </xf>
    <xf numFmtId="167" fontId="123" fillId="42" borderId="64" xfId="467" applyNumberFormat="1" applyFont="1" applyFill="1" applyBorder="1" applyAlignment="1">
      <alignment horizontal="center"/>
    </xf>
    <xf numFmtId="185" fontId="73" fillId="2" borderId="0" xfId="0" applyNumberFormat="1" applyFont="1" applyFill="1" applyAlignment="1">
      <alignment horizontal="center"/>
    </xf>
    <xf numFmtId="183" fontId="86" fillId="2" borderId="0" xfId="95" applyNumberFormat="1" applyFont="1" applyFill="1" applyBorder="1" applyAlignment="1">
      <alignment vertical="center"/>
    </xf>
    <xf numFmtId="167" fontId="34" fillId="42" borderId="63" xfId="467" applyNumberFormat="1" applyFont="1" applyFill="1" applyBorder="1" applyAlignment="1">
      <alignment horizontal="center"/>
    </xf>
    <xf numFmtId="167" fontId="34" fillId="42" borderId="0" xfId="467" applyNumberFormat="1" applyFont="1" applyFill="1" applyAlignment="1">
      <alignment horizontal="center"/>
    </xf>
    <xf numFmtId="3" fontId="30" fillId="35" borderId="0" xfId="4" applyNumberFormat="1" applyFont="1" applyFill="1" applyBorder="1" applyAlignment="1">
      <alignment horizontal="center" vertical="center" wrapText="1"/>
    </xf>
    <xf numFmtId="14" fontId="149" fillId="0" borderId="0" xfId="0" applyNumberFormat="1" applyFont="1"/>
    <xf numFmtId="167" fontId="34" fillId="43" borderId="63" xfId="467" applyNumberFormat="1" applyFont="1" applyFill="1" applyBorder="1" applyAlignment="1">
      <alignment horizontal="center"/>
    </xf>
    <xf numFmtId="167" fontId="34" fillId="44" borderId="63" xfId="467" applyNumberFormat="1" applyFont="1" applyFill="1" applyBorder="1" applyAlignment="1">
      <alignment horizontal="center"/>
    </xf>
    <xf numFmtId="167" fontId="34" fillId="46" borderId="63" xfId="1" applyNumberFormat="1" applyFont="1" applyFill="1" applyBorder="1" applyAlignment="1">
      <alignment horizontal="center"/>
    </xf>
    <xf numFmtId="167" fontId="34" fillId="46" borderId="0" xfId="1" applyNumberFormat="1" applyFont="1" applyFill="1" applyBorder="1" applyAlignment="1">
      <alignment horizontal="center"/>
    </xf>
    <xf numFmtId="167" fontId="34" fillId="46" borderId="64" xfId="1" applyNumberFormat="1" applyFont="1" applyFill="1" applyBorder="1" applyAlignment="1">
      <alignment horizontal="center"/>
    </xf>
    <xf numFmtId="181" fontId="106" fillId="35" borderId="0" xfId="0" applyNumberFormat="1" applyFont="1" applyFill="1" applyAlignment="1">
      <alignment horizontal="center" vertical="center"/>
    </xf>
    <xf numFmtId="182" fontId="31" fillId="35" borderId="0" xfId="4" applyNumberFormat="1" applyFont="1" applyFill="1" applyBorder="1" applyAlignment="1">
      <alignment horizontal="center" vertical="center" wrapText="1"/>
    </xf>
    <xf numFmtId="182" fontId="61" fillId="35" borderId="0" xfId="0" applyNumberFormat="1" applyFont="1" applyFill="1" applyAlignment="1">
      <alignment horizontal="center" vertical="center"/>
    </xf>
    <xf numFmtId="166" fontId="111" fillId="36" borderId="0" xfId="4" applyNumberFormat="1" applyFont="1" applyFill="1" applyBorder="1" applyAlignment="1">
      <alignment horizontal="left" vertical="center" wrapText="1"/>
    </xf>
    <xf numFmtId="166" fontId="111" fillId="36" borderId="0" xfId="4" applyNumberFormat="1" applyFont="1" applyFill="1" applyBorder="1" applyAlignment="1">
      <alignment horizontal="center" vertical="center" wrapText="1"/>
    </xf>
    <xf numFmtId="4" fontId="31" fillId="0" borderId="0" xfId="0" applyNumberFormat="1" applyFont="1"/>
    <xf numFmtId="3" fontId="150" fillId="35" borderId="0" xfId="0" applyNumberFormat="1" applyFont="1" applyFill="1" applyAlignment="1">
      <alignment horizontal="center" vertical="center"/>
    </xf>
    <xf numFmtId="182" fontId="150" fillId="35" borderId="0" xfId="0" applyNumberFormat="1" applyFont="1" applyFill="1" applyAlignment="1">
      <alignment horizontal="center" vertical="center"/>
    </xf>
    <xf numFmtId="182" fontId="61" fillId="35" borderId="0" xfId="0" applyNumberFormat="1" applyFont="1" applyFill="1" applyAlignment="1">
      <alignment horizontal="left" vertical="center"/>
    </xf>
    <xf numFmtId="3" fontId="34" fillId="47" borderId="63" xfId="467" applyNumberFormat="1" applyFont="1" applyFill="1" applyBorder="1" applyAlignment="1">
      <alignment horizontal="center"/>
    </xf>
    <xf numFmtId="3" fontId="34" fillId="47" borderId="64" xfId="467" applyNumberFormat="1" applyFont="1" applyFill="1" applyBorder="1" applyAlignment="1">
      <alignment horizontal="center"/>
    </xf>
    <xf numFmtId="165" fontId="107" fillId="2" borderId="0" xfId="0" applyFont="1" applyFill="1" applyAlignment="1">
      <alignment vertical="center"/>
    </xf>
    <xf numFmtId="4" fontId="0" fillId="0" borderId="0" xfId="0" applyNumberFormat="1"/>
    <xf numFmtId="3" fontId="62" fillId="47" borderId="63" xfId="467" applyNumberFormat="1" applyFont="1" applyFill="1" applyBorder="1" applyAlignment="1">
      <alignment horizontal="center"/>
    </xf>
    <xf numFmtId="3" fontId="34" fillId="47" borderId="0" xfId="467" applyNumberFormat="1" applyFont="1" applyFill="1" applyAlignment="1">
      <alignment horizontal="center"/>
    </xf>
    <xf numFmtId="182" fontId="34" fillId="47" borderId="0" xfId="467" applyNumberFormat="1" applyFont="1" applyFill="1" applyAlignment="1">
      <alignment horizontal="center"/>
    </xf>
    <xf numFmtId="182" fontId="34" fillId="47" borderId="64" xfId="467" applyNumberFormat="1" applyFont="1" applyFill="1" applyBorder="1" applyAlignment="1">
      <alignment horizontal="center"/>
    </xf>
    <xf numFmtId="167" fontId="34" fillId="47" borderId="63" xfId="1" applyNumberFormat="1" applyFont="1" applyFill="1" applyBorder="1" applyAlignment="1">
      <alignment horizontal="center"/>
    </xf>
    <xf numFmtId="167" fontId="34" fillId="47" borderId="0" xfId="1" applyNumberFormat="1" applyFont="1" applyFill="1" applyBorder="1" applyAlignment="1">
      <alignment horizontal="center"/>
    </xf>
    <xf numFmtId="167" fontId="34" fillId="47" borderId="64" xfId="1" applyNumberFormat="1" applyFont="1" applyFill="1" applyBorder="1" applyAlignment="1">
      <alignment horizontal="center"/>
    </xf>
    <xf numFmtId="9" fontId="34" fillId="47" borderId="63" xfId="1" applyFont="1" applyFill="1" applyBorder="1" applyAlignment="1">
      <alignment horizontal="center"/>
    </xf>
    <xf numFmtId="9" fontId="34" fillId="47" borderId="0" xfId="1" applyFont="1" applyFill="1" applyBorder="1" applyAlignment="1">
      <alignment horizontal="center"/>
    </xf>
    <xf numFmtId="9" fontId="34" fillId="47" borderId="64" xfId="1" applyFont="1" applyFill="1" applyBorder="1" applyAlignment="1">
      <alignment horizontal="center"/>
    </xf>
    <xf numFmtId="164" fontId="31" fillId="0" borderId="0" xfId="89" applyFont="1" applyAlignment="1">
      <alignment horizontal="right"/>
    </xf>
    <xf numFmtId="173" fontId="34" fillId="2" borderId="0" xfId="467" applyNumberFormat="1" applyFont="1" applyFill="1" applyAlignment="1">
      <alignment horizontal="center"/>
    </xf>
    <xf numFmtId="0" fontId="30" fillId="34" borderId="29" xfId="0" applyNumberFormat="1" applyFont="1" applyFill="1" applyBorder="1" applyAlignment="1">
      <alignment horizontal="centerContinuous" vertical="center" wrapText="1"/>
    </xf>
    <xf numFmtId="0" fontId="30" fillId="34" borderId="31" xfId="0" applyNumberFormat="1" applyFont="1" applyFill="1" applyBorder="1" applyAlignment="1">
      <alignment horizontal="centerContinuous" vertical="center" wrapText="1"/>
    </xf>
    <xf numFmtId="165" fontId="58" fillId="35" borderId="26" xfId="83" applyNumberFormat="1" applyFont="1" applyFill="1" applyBorder="1" applyAlignment="1" applyProtection="1">
      <alignment horizontal="left" vertical="center"/>
      <protection locked="0"/>
    </xf>
    <xf numFmtId="165" fontId="31" fillId="35" borderId="0" xfId="0" applyFont="1" applyFill="1" applyAlignment="1" applyProtection="1">
      <alignment horizontal="left" vertical="center"/>
      <protection locked="0"/>
    </xf>
    <xf numFmtId="165" fontId="61" fillId="35" borderId="0" xfId="0" applyFont="1" applyFill="1" applyAlignment="1">
      <alignment horizontal="left" vertical="center"/>
    </xf>
    <xf numFmtId="168" fontId="59" fillId="2" borderId="14" xfId="7" applyNumberFormat="1" applyFont="1" applyFill="1" applyBorder="1" applyProtection="1">
      <protection locked="0"/>
    </xf>
    <xf numFmtId="165" fontId="152" fillId="0" borderId="0" xfId="0" applyFont="1" applyAlignment="1">
      <alignment vertical="center"/>
    </xf>
    <xf numFmtId="1" fontId="150" fillId="35" borderId="0" xfId="0" applyNumberFormat="1" applyFont="1" applyFill="1" applyAlignment="1">
      <alignment horizontal="center" vertical="center"/>
    </xf>
    <xf numFmtId="165" fontId="55" fillId="0" borderId="0" xfId="0" applyFont="1" applyAlignment="1" applyProtection="1">
      <alignment horizontal="center"/>
      <protection locked="0"/>
    </xf>
    <xf numFmtId="168" fontId="55" fillId="2" borderId="0" xfId="7" applyNumberFormat="1" applyFont="1" applyFill="1" applyAlignment="1" applyProtection="1">
      <alignment horizontal="center" vertical="center"/>
      <protection locked="0"/>
    </xf>
    <xf numFmtId="168" fontId="130" fillId="2" borderId="0" xfId="7" applyNumberFormat="1" applyFont="1" applyFill="1" applyAlignment="1" applyProtection="1">
      <alignment horizontal="center" vertical="center"/>
      <protection locked="0"/>
    </xf>
    <xf numFmtId="168" fontId="59" fillId="2" borderId="0" xfId="7" applyNumberFormat="1" applyFont="1" applyFill="1" applyAlignment="1" applyProtection="1">
      <alignment horizontal="center"/>
      <protection locked="0"/>
    </xf>
    <xf numFmtId="168" fontId="59" fillId="2" borderId="35" xfId="7" applyNumberFormat="1" applyFont="1" applyFill="1" applyBorder="1" applyAlignment="1" applyProtection="1">
      <alignment horizontal="center"/>
      <protection locked="0"/>
    </xf>
    <xf numFmtId="168" fontId="59" fillId="2" borderId="34" xfId="7" applyNumberFormat="1" applyFont="1" applyFill="1" applyBorder="1" applyAlignment="1" applyProtection="1">
      <alignment horizontal="center"/>
      <protection locked="0"/>
    </xf>
    <xf numFmtId="168" fontId="55" fillId="2" borderId="0" xfId="7" applyNumberFormat="1" applyFont="1" applyFill="1" applyAlignment="1" applyProtection="1">
      <alignment horizontal="center"/>
      <protection locked="0"/>
    </xf>
    <xf numFmtId="166" fontId="105" fillId="0" borderId="0" xfId="7" applyNumberFormat="1" applyFont="1" applyAlignment="1" applyProtection="1">
      <alignment horizontal="center" vertical="center"/>
      <protection locked="0"/>
    </xf>
    <xf numFmtId="166" fontId="105" fillId="0" borderId="14" xfId="7" applyNumberFormat="1" applyFont="1" applyBorder="1" applyAlignment="1" applyProtection="1">
      <alignment horizontal="center" vertical="center"/>
      <protection locked="0"/>
    </xf>
    <xf numFmtId="0" fontId="30" fillId="0" borderId="14" xfId="7" applyFont="1" applyBorder="1" applyAlignment="1" applyProtection="1">
      <alignment horizontal="center" vertical="center"/>
      <protection locked="0"/>
    </xf>
    <xf numFmtId="0" fontId="30" fillId="0" borderId="0" xfId="7" applyFont="1" applyAlignment="1" applyProtection="1">
      <alignment horizontal="center" vertical="center"/>
      <protection locked="0"/>
    </xf>
    <xf numFmtId="0" fontId="30" fillId="0" borderId="29" xfId="7" applyFont="1" applyBorder="1" applyAlignment="1" applyProtection="1">
      <alignment horizontal="center" vertical="center"/>
      <protection locked="0"/>
    </xf>
    <xf numFmtId="0" fontId="30" fillId="0" borderId="30" xfId="7" applyFont="1" applyBorder="1" applyAlignment="1" applyProtection="1">
      <alignment horizontal="center" vertical="center"/>
      <protection locked="0"/>
    </xf>
    <xf numFmtId="165" fontId="31" fillId="0" borderId="29" xfId="0" applyFont="1" applyBorder="1" applyAlignment="1" applyProtection="1">
      <alignment horizontal="center"/>
      <protection locked="0"/>
    </xf>
    <xf numFmtId="165" fontId="31" fillId="0" borderId="29" xfId="0" quotePrefix="1" applyFont="1" applyBorder="1" applyAlignment="1" applyProtection="1">
      <alignment horizontal="center"/>
      <protection locked="0"/>
    </xf>
    <xf numFmtId="166" fontId="105" fillId="0" borderId="0" xfId="7" quotePrefix="1" applyNumberFormat="1" applyFont="1" applyAlignment="1" applyProtection="1">
      <alignment horizontal="center" vertical="center"/>
      <protection locked="0"/>
    </xf>
    <xf numFmtId="166" fontId="30" fillId="0" borderId="0" xfId="7" quotePrefix="1" applyNumberFormat="1" applyFont="1" applyAlignment="1" applyProtection="1">
      <alignment horizontal="center" vertical="center"/>
      <protection locked="0"/>
    </xf>
    <xf numFmtId="3" fontId="55" fillId="0" borderId="0" xfId="0" applyNumberFormat="1" applyFont="1" applyAlignment="1" applyProtection="1">
      <alignment horizontal="center"/>
      <protection locked="0"/>
    </xf>
    <xf numFmtId="0" fontId="105" fillId="0" borderId="14" xfId="7" applyFont="1" applyBorder="1" applyAlignment="1" applyProtection="1">
      <alignment horizontal="center" vertical="center"/>
      <protection locked="0"/>
    </xf>
    <xf numFmtId="0" fontId="105" fillId="0" borderId="0" xfId="7" applyFont="1" applyAlignment="1" applyProtection="1">
      <alignment horizontal="center" vertical="center"/>
      <protection locked="0"/>
    </xf>
    <xf numFmtId="165" fontId="55" fillId="0" borderId="0" xfId="0" quotePrefix="1" applyFont="1" applyAlignment="1" applyProtection="1">
      <alignment horizontal="center"/>
      <protection locked="0"/>
    </xf>
    <xf numFmtId="165" fontId="31" fillId="0" borderId="0" xfId="0" quotePrefix="1" applyFont="1" applyAlignment="1" applyProtection="1">
      <alignment horizontal="center"/>
      <protection locked="0"/>
    </xf>
    <xf numFmtId="4" fontId="31" fillId="0" borderId="0" xfId="0" applyNumberFormat="1" applyFont="1" applyAlignment="1" applyProtection="1">
      <alignment horizontal="center"/>
      <protection locked="0"/>
    </xf>
    <xf numFmtId="165" fontId="0" fillId="0" borderId="0" xfId="0" applyAlignment="1" applyProtection="1">
      <alignment horizontal="center"/>
      <protection locked="0"/>
    </xf>
    <xf numFmtId="3" fontId="31" fillId="0" borderId="0" xfId="0" applyNumberFormat="1" applyFont="1" applyAlignment="1" applyProtection="1">
      <alignment horizontal="center"/>
      <protection locked="0"/>
    </xf>
    <xf numFmtId="9" fontId="31" fillId="0" borderId="0" xfId="0" applyNumberFormat="1" applyFont="1" applyAlignment="1" applyProtection="1">
      <alignment horizontal="center"/>
      <protection locked="0"/>
    </xf>
    <xf numFmtId="0" fontId="153" fillId="0" borderId="0" xfId="889" applyFont="1" applyAlignment="1">
      <alignment horizontal="left" wrapText="1" indent="1"/>
    </xf>
    <xf numFmtId="9" fontId="0" fillId="0" borderId="0" xfId="1" applyFont="1" applyBorder="1"/>
    <xf numFmtId="9" fontId="66" fillId="2" borderId="0" xfId="1" applyFont="1" applyFill="1" applyBorder="1" applyAlignment="1">
      <alignment horizontal="right"/>
    </xf>
    <xf numFmtId="176" fontId="125" fillId="0" borderId="0" xfId="0" applyNumberFormat="1" applyFont="1" applyAlignment="1">
      <alignment horizontal="center"/>
    </xf>
    <xf numFmtId="0" fontId="86" fillId="0" borderId="0" xfId="0" applyNumberFormat="1" applyFont="1" applyProtection="1">
      <protection locked="0"/>
    </xf>
    <xf numFmtId="166" fontId="31" fillId="35" borderId="14" xfId="830" applyNumberFormat="1" applyFont="1" applyFill="1" applyBorder="1" applyAlignment="1">
      <alignment horizontal="center" vertical="center" wrapText="1"/>
    </xf>
    <xf numFmtId="166" fontId="30" fillId="35" borderId="14" xfId="4" applyNumberFormat="1" applyFont="1" applyFill="1" applyBorder="1" applyAlignment="1">
      <alignment horizontal="center" vertical="center" wrapText="1"/>
    </xf>
    <xf numFmtId="167" fontId="32" fillId="2" borderId="14" xfId="1" applyNumberFormat="1" applyFont="1" applyFill="1" applyBorder="1" applyAlignment="1">
      <alignment horizontal="center" vertical="center" wrapText="1"/>
    </xf>
    <xf numFmtId="166" fontId="30" fillId="36" borderId="14" xfId="4" applyNumberFormat="1" applyFont="1" applyFill="1" applyBorder="1" applyAlignment="1" applyProtection="1">
      <alignment horizontal="center" vertical="center" wrapText="1"/>
      <protection locked="0"/>
    </xf>
    <xf numFmtId="166" fontId="30" fillId="35" borderId="14" xfId="4" applyNumberFormat="1" applyFont="1" applyFill="1" applyBorder="1" applyAlignment="1" applyProtection="1">
      <alignment horizontal="center" vertical="center" wrapText="1"/>
      <protection locked="0"/>
    </xf>
    <xf numFmtId="166" fontId="31" fillId="35" borderId="14" xfId="830" applyNumberFormat="1" applyFont="1" applyFill="1" applyBorder="1" applyAlignment="1" applyProtection="1">
      <alignment horizontal="center" vertical="center" wrapText="1"/>
      <protection locked="0"/>
    </xf>
    <xf numFmtId="0" fontId="31" fillId="0" borderId="0" xfId="3" applyFont="1" applyAlignment="1">
      <alignment textRotation="90"/>
    </xf>
    <xf numFmtId="168" fontId="59" fillId="2" borderId="0" xfId="7" applyNumberFormat="1" applyFont="1" applyFill="1" applyProtection="1">
      <protection locked="0"/>
    </xf>
    <xf numFmtId="166" fontId="31" fillId="0" borderId="14" xfId="3" applyNumberFormat="1" applyFont="1" applyBorder="1" applyAlignment="1" applyProtection="1">
      <alignment horizontal="center" vertical="center"/>
      <protection locked="0"/>
    </xf>
    <xf numFmtId="3" fontId="125" fillId="2" borderId="14" xfId="0" applyNumberFormat="1" applyFont="1" applyFill="1" applyBorder="1" applyAlignment="1">
      <alignment horizontal="center" vertical="center"/>
    </xf>
    <xf numFmtId="164" fontId="0" fillId="0" borderId="0" xfId="89" applyFont="1"/>
    <xf numFmtId="0" fontId="154" fillId="0" borderId="0" xfId="93" applyFont="1"/>
    <xf numFmtId="166" fontId="99" fillId="35" borderId="14" xfId="88" applyNumberFormat="1" applyFont="1" applyFill="1" applyBorder="1" applyAlignment="1">
      <alignment horizontal="center" vertical="center" wrapText="1"/>
    </xf>
    <xf numFmtId="166" fontId="99" fillId="35" borderId="15" xfId="4" applyNumberFormat="1" applyFont="1" applyFill="1" applyBorder="1" applyAlignment="1">
      <alignment horizontal="center" vertical="center" wrapText="1"/>
    </xf>
    <xf numFmtId="172" fontId="99" fillId="35" borderId="14" xfId="88" applyNumberFormat="1" applyFont="1" applyFill="1" applyBorder="1" applyAlignment="1">
      <alignment horizontal="left" vertical="center" wrapText="1"/>
    </xf>
    <xf numFmtId="166" fontId="99" fillId="35" borderId="15" xfId="97" applyNumberFormat="1" applyFont="1" applyFill="1" applyBorder="1" applyAlignment="1">
      <alignment horizontal="center" vertical="center" wrapText="1"/>
    </xf>
    <xf numFmtId="166" fontId="99" fillId="35" borderId="0" xfId="97" applyNumberFormat="1" applyFont="1" applyFill="1" applyBorder="1" applyAlignment="1">
      <alignment horizontal="center" vertical="center" wrapText="1"/>
    </xf>
    <xf numFmtId="172" fontId="99" fillId="35" borderId="0" xfId="88" applyNumberFormat="1" applyFont="1" applyFill="1" applyBorder="1" applyAlignment="1">
      <alignment horizontal="left" vertical="center" wrapText="1" indent="1"/>
    </xf>
    <xf numFmtId="165" fontId="155" fillId="2" borderId="0" xfId="0" applyFont="1" applyFill="1" applyAlignment="1">
      <alignment horizontal="right"/>
    </xf>
    <xf numFmtId="165" fontId="156" fillId="2" borderId="0" xfId="0" applyFont="1" applyFill="1" applyAlignment="1">
      <alignment horizontal="center"/>
    </xf>
    <xf numFmtId="166" fontId="105" fillId="0" borderId="0" xfId="4" applyNumberFormat="1" applyFont="1" applyFill="1" applyBorder="1" applyAlignment="1">
      <alignment horizontal="center" vertical="center" wrapText="1"/>
    </xf>
    <xf numFmtId="166" fontId="55" fillId="0" borderId="0" xfId="4" applyNumberFormat="1" applyFont="1" applyFill="1" applyBorder="1" applyAlignment="1">
      <alignment horizontal="center" vertical="center" wrapText="1"/>
    </xf>
    <xf numFmtId="9" fontId="0" fillId="0" borderId="0" xfId="0" applyNumberFormat="1"/>
    <xf numFmtId="168" fontId="73" fillId="2" borderId="0" xfId="89" applyNumberFormat="1" applyFont="1" applyFill="1" applyBorder="1" applyAlignment="1">
      <alignment horizontal="center"/>
    </xf>
    <xf numFmtId="168" fontId="66" fillId="2" borderId="0" xfId="89" applyNumberFormat="1" applyFont="1" applyFill="1" applyBorder="1" applyAlignment="1">
      <alignment horizontal="center"/>
    </xf>
    <xf numFmtId="168" fontId="66" fillId="2" borderId="0" xfId="89" applyNumberFormat="1" applyFont="1" applyFill="1" applyBorder="1" applyAlignment="1">
      <alignment horizontal="right"/>
    </xf>
    <xf numFmtId="14" fontId="0" fillId="0" borderId="0" xfId="0" applyNumberFormat="1"/>
    <xf numFmtId="0" fontId="157" fillId="0" borderId="0" xfId="466" applyFont="1"/>
    <xf numFmtId="3" fontId="125" fillId="2" borderId="0" xfId="0" applyNumberFormat="1" applyFont="1" applyFill="1" applyAlignment="1">
      <alignment horizontal="center" vertical="center"/>
    </xf>
    <xf numFmtId="167" fontId="107" fillId="35" borderId="0" xfId="4" applyNumberFormat="1" applyFont="1" applyFill="1" applyBorder="1" applyAlignment="1">
      <alignment horizontal="center" vertical="center" wrapText="1"/>
    </xf>
    <xf numFmtId="0" fontId="158" fillId="0" borderId="13" xfId="3" applyFont="1" applyBorder="1" applyAlignment="1">
      <alignment vertical="center" textRotation="90"/>
    </xf>
    <xf numFmtId="165" fontId="116" fillId="35" borderId="0" xfId="0" applyFont="1" applyFill="1" applyAlignment="1">
      <alignment horizontal="left" vertical="center" indent="1"/>
    </xf>
    <xf numFmtId="182" fontId="150" fillId="35" borderId="0" xfId="0" applyNumberFormat="1" applyFont="1" applyFill="1" applyAlignment="1">
      <alignment horizontal="left" vertical="center"/>
    </xf>
    <xf numFmtId="164" fontId="159" fillId="0" borderId="0" xfId="0" applyNumberFormat="1" applyFont="1"/>
    <xf numFmtId="165" fontId="160" fillId="0" borderId="0" xfId="0" applyFont="1" applyAlignment="1">
      <alignment vertical="center"/>
    </xf>
    <xf numFmtId="166" fontId="106" fillId="35" borderId="0" xfId="830" applyNumberFormat="1" applyFont="1" applyFill="1" applyBorder="1" applyAlignment="1" applyProtection="1">
      <alignment horizontal="center" vertical="center" wrapText="1"/>
      <protection locked="0"/>
    </xf>
    <xf numFmtId="165" fontId="34" fillId="2" borderId="0" xfId="0" applyFont="1" applyFill="1" applyAlignment="1">
      <alignment horizontal="center"/>
    </xf>
    <xf numFmtId="1" fontId="114" fillId="37" borderId="43" xfId="0" applyNumberFormat="1" applyFont="1" applyFill="1" applyBorder="1" applyAlignment="1">
      <alignment horizontal="center" wrapText="1"/>
    </xf>
    <xf numFmtId="2" fontId="114" fillId="37" borderId="39" xfId="0" applyNumberFormat="1" applyFont="1" applyFill="1" applyBorder="1" applyAlignment="1">
      <alignment horizontal="center" vertical="center" wrapText="1"/>
    </xf>
    <xf numFmtId="165" fontId="55" fillId="2" borderId="0" xfId="0" applyFont="1" applyFill="1" applyAlignment="1">
      <alignment horizontal="center" wrapText="1"/>
    </xf>
    <xf numFmtId="10" fontId="113" fillId="37" borderId="39" xfId="0" applyNumberFormat="1" applyFont="1" applyFill="1" applyBorder="1" applyAlignment="1">
      <alignment horizontal="center" vertical="center" wrapText="1"/>
    </xf>
    <xf numFmtId="10" fontId="114" fillId="37" borderId="43" xfId="0" applyNumberFormat="1" applyFont="1" applyFill="1" applyBorder="1" applyAlignment="1">
      <alignment horizontal="center" wrapText="1"/>
    </xf>
    <xf numFmtId="10" fontId="114" fillId="37" borderId="39" xfId="0" applyNumberFormat="1" applyFont="1" applyFill="1" applyBorder="1" applyAlignment="1">
      <alignment horizontal="center" vertical="center" wrapText="1"/>
    </xf>
    <xf numFmtId="10" fontId="114" fillId="37" borderId="39" xfId="0" applyNumberFormat="1" applyFont="1" applyFill="1" applyBorder="1" applyAlignment="1">
      <alignment horizontal="center" wrapText="1"/>
    </xf>
    <xf numFmtId="10" fontId="114" fillId="37" borderId="49" xfId="0" applyNumberFormat="1" applyFont="1" applyFill="1" applyBorder="1" applyAlignment="1">
      <alignment horizontal="center" wrapText="1"/>
    </xf>
    <xf numFmtId="10" fontId="114" fillId="37" borderId="52" xfId="0" applyNumberFormat="1" applyFont="1" applyFill="1" applyBorder="1" applyAlignment="1">
      <alignment horizontal="center" wrapText="1"/>
    </xf>
    <xf numFmtId="10" fontId="114" fillId="37" borderId="56" xfId="0" applyNumberFormat="1" applyFont="1" applyFill="1" applyBorder="1" applyAlignment="1">
      <alignment horizontal="center" wrapText="1"/>
    </xf>
    <xf numFmtId="9" fontId="113" fillId="37" borderId="41" xfId="0" applyNumberFormat="1" applyFont="1" applyFill="1" applyBorder="1" applyAlignment="1">
      <alignment horizontal="center" vertical="center" wrapText="1"/>
    </xf>
    <xf numFmtId="184" fontId="114" fillId="37" borderId="45" xfId="0" applyNumberFormat="1" applyFont="1" applyFill="1" applyBorder="1" applyAlignment="1">
      <alignment horizontal="center" wrapText="1"/>
    </xf>
    <xf numFmtId="184" fontId="114" fillId="37" borderId="47" xfId="0" applyNumberFormat="1" applyFont="1" applyFill="1" applyBorder="1" applyAlignment="1">
      <alignment horizontal="center" wrapText="1"/>
    </xf>
    <xf numFmtId="184" fontId="114" fillId="37" borderId="50" xfId="0" applyNumberFormat="1" applyFont="1" applyFill="1" applyBorder="1" applyAlignment="1">
      <alignment horizontal="center" wrapText="1"/>
    </xf>
    <xf numFmtId="184" fontId="114" fillId="37" borderId="54" xfId="0" applyNumberFormat="1" applyFont="1" applyFill="1" applyBorder="1" applyAlignment="1">
      <alignment horizontal="center" wrapText="1"/>
    </xf>
    <xf numFmtId="184" fontId="114" fillId="37" borderId="58" xfId="0" applyNumberFormat="1" applyFont="1" applyFill="1" applyBorder="1" applyAlignment="1">
      <alignment horizontal="center" wrapText="1"/>
    </xf>
    <xf numFmtId="184" fontId="114" fillId="37" borderId="41" xfId="0" applyNumberFormat="1" applyFont="1" applyFill="1" applyBorder="1" applyAlignment="1">
      <alignment horizontal="center" vertical="center" wrapText="1"/>
    </xf>
    <xf numFmtId="183" fontId="113" fillId="37" borderId="39" xfId="0" applyNumberFormat="1" applyFont="1" applyFill="1" applyBorder="1" applyAlignment="1">
      <alignment horizontal="center" vertical="center" wrapText="1"/>
    </xf>
    <xf numFmtId="0" fontId="109" fillId="2" borderId="0" xfId="466" applyFont="1" applyFill="1"/>
    <xf numFmtId="3" fontId="106" fillId="2" borderId="0" xfId="0" applyNumberFormat="1" applyFont="1" applyFill="1" applyAlignment="1">
      <alignment horizontal="center" vertical="center"/>
    </xf>
    <xf numFmtId="0" fontId="106" fillId="0" borderId="0" xfId="7" applyFont="1" applyAlignment="1" applyProtection="1">
      <alignment horizontal="center" vertical="center"/>
      <protection locked="0"/>
    </xf>
    <xf numFmtId="168" fontId="55" fillId="0" borderId="0" xfId="7" applyNumberFormat="1" applyFont="1" applyAlignment="1" applyProtection="1">
      <alignment horizontal="center" vertical="center"/>
      <protection locked="0"/>
    </xf>
    <xf numFmtId="3" fontId="106" fillId="0" borderId="0" xfId="0" applyNumberFormat="1" applyFont="1" applyAlignment="1">
      <alignment horizontal="center"/>
    </xf>
    <xf numFmtId="165" fontId="147" fillId="0" borderId="0" xfId="0" applyFont="1" applyAlignment="1">
      <alignment horizontal="centerContinuous"/>
    </xf>
    <xf numFmtId="165" fontId="161" fillId="0" borderId="0" xfId="0" applyFont="1"/>
    <xf numFmtId="165" fontId="162" fillId="2" borderId="0" xfId="0" applyFont="1" applyFill="1"/>
    <xf numFmtId="168" fontId="59" fillId="2" borderId="0" xfId="7" applyNumberFormat="1" applyFont="1" applyFill="1" applyAlignment="1">
      <alignment horizontal="right"/>
    </xf>
    <xf numFmtId="0" fontId="86" fillId="2" borderId="0" xfId="93" applyFont="1" applyFill="1" applyAlignment="1">
      <alignment vertical="center"/>
    </xf>
    <xf numFmtId="168" fontId="124" fillId="2" borderId="0" xfId="95" applyNumberFormat="1" applyFont="1" applyFill="1" applyBorder="1" applyAlignment="1">
      <alignment vertical="center"/>
    </xf>
    <xf numFmtId="181" fontId="31" fillId="35" borderId="29" xfId="0" applyNumberFormat="1" applyFont="1" applyFill="1" applyBorder="1" applyAlignment="1">
      <alignment horizontal="center" vertical="center"/>
    </xf>
    <xf numFmtId="182" fontId="31" fillId="35" borderId="0" xfId="0" applyNumberFormat="1" applyFont="1" applyFill="1" applyAlignment="1">
      <alignment horizontal="left" vertical="center"/>
    </xf>
    <xf numFmtId="3" fontId="31" fillId="35" borderId="29" xfId="0" applyNumberFormat="1" applyFont="1" applyFill="1" applyBorder="1" applyAlignment="1">
      <alignment horizontal="center" vertical="center"/>
    </xf>
    <xf numFmtId="0" fontId="157" fillId="0" borderId="0" xfId="466" applyFont="1" applyAlignment="1">
      <alignment horizontal="center"/>
    </xf>
    <xf numFmtId="166" fontId="31" fillId="35" borderId="14" xfId="4" quotePrefix="1" applyNumberFormat="1" applyFont="1" applyFill="1" applyBorder="1" applyAlignment="1">
      <alignment horizontal="center" vertical="center" wrapText="1"/>
    </xf>
    <xf numFmtId="0" fontId="163" fillId="2" borderId="0" xfId="466" applyFont="1" applyFill="1"/>
    <xf numFmtId="0" fontId="163" fillId="0" borderId="0" xfId="466" applyFont="1"/>
    <xf numFmtId="0" fontId="142" fillId="2" borderId="0" xfId="466" applyFont="1" applyFill="1"/>
    <xf numFmtId="165" fontId="133" fillId="2" borderId="0" xfId="0" applyFont="1" applyFill="1"/>
    <xf numFmtId="166" fontId="133" fillId="2" borderId="0" xfId="0" applyNumberFormat="1" applyFont="1" applyFill="1"/>
    <xf numFmtId="3" fontId="31" fillId="35" borderId="65" xfId="4" applyNumberFormat="1" applyFont="1" applyFill="1" applyBorder="1" applyAlignment="1">
      <alignment horizontal="center" wrapText="1"/>
    </xf>
    <xf numFmtId="165" fontId="0" fillId="0" borderId="0" xfId="0" quotePrefix="1"/>
    <xf numFmtId="165" fontId="144" fillId="2" borderId="0" xfId="0" applyFont="1" applyFill="1" applyAlignment="1">
      <alignment horizontal="centerContinuous" vertical="center" wrapText="1"/>
    </xf>
    <xf numFmtId="165" fontId="86" fillId="2" borderId="0" xfId="0" applyFont="1" applyFill="1" applyAlignment="1">
      <alignment horizontal="centerContinuous"/>
    </xf>
    <xf numFmtId="183" fontId="86" fillId="2" borderId="0" xfId="0" applyNumberFormat="1" applyFont="1" applyFill="1"/>
    <xf numFmtId="0" fontId="55" fillId="2" borderId="0" xfId="86" applyFont="1" applyFill="1"/>
    <xf numFmtId="0" fontId="31" fillId="2" borderId="0" xfId="86" applyFont="1" applyFill="1"/>
    <xf numFmtId="0" fontId="34" fillId="2" borderId="0" xfId="86" applyFont="1" applyFill="1"/>
    <xf numFmtId="165" fontId="61" fillId="35" borderId="13" xfId="0" applyFont="1" applyFill="1" applyBorder="1" applyAlignment="1">
      <alignment horizontal="left" vertical="center" wrapText="1"/>
    </xf>
    <xf numFmtId="166" fontId="34" fillId="2" borderId="0" xfId="4" applyNumberFormat="1" applyFont="1" applyFill="1" applyBorder="1" applyAlignment="1">
      <alignment horizontal="center" vertical="center" wrapText="1"/>
    </xf>
    <xf numFmtId="186" fontId="0" fillId="0" borderId="0" xfId="0" applyNumberFormat="1"/>
    <xf numFmtId="168" fontId="0" fillId="2" borderId="0" xfId="89" applyNumberFormat="1" applyFont="1" applyFill="1"/>
    <xf numFmtId="172" fontId="30" fillId="35" borderId="0" xfId="4" applyNumberFormat="1" applyFont="1" applyFill="1" applyBorder="1" applyAlignment="1">
      <alignment horizontal="center" vertical="center" wrapText="1"/>
    </xf>
    <xf numFmtId="172" fontId="30" fillId="35" borderId="14" xfId="4" applyNumberFormat="1" applyFont="1" applyFill="1" applyBorder="1" applyAlignment="1">
      <alignment horizontal="center" vertical="center" wrapText="1"/>
    </xf>
    <xf numFmtId="166" fontId="107" fillId="35" borderId="0" xfId="88" applyNumberFormat="1" applyFont="1" applyFill="1" applyBorder="1" applyAlignment="1">
      <alignment horizontal="center" vertical="center" wrapText="1"/>
    </xf>
    <xf numFmtId="3" fontId="31" fillId="0" borderId="0" xfId="0" applyNumberFormat="1" applyFont="1" applyAlignment="1">
      <alignment horizontal="center"/>
    </xf>
    <xf numFmtId="1" fontId="55" fillId="0" borderId="0" xfId="3" applyNumberFormat="1" applyFont="1" applyAlignment="1" applyProtection="1">
      <alignment horizontal="center" vertical="center"/>
      <protection locked="0"/>
    </xf>
    <xf numFmtId="1" fontId="55" fillId="0" borderId="0" xfId="89" applyNumberFormat="1" applyFont="1" applyBorder="1" applyProtection="1">
      <protection locked="0"/>
    </xf>
    <xf numFmtId="3" fontId="99" fillId="35" borderId="0" xfId="0" applyNumberFormat="1" applyFont="1" applyFill="1" applyAlignment="1">
      <alignment horizontal="center" vertical="center"/>
    </xf>
    <xf numFmtId="1" fontId="99" fillId="35" borderId="29" xfId="0" applyNumberFormat="1" applyFont="1" applyFill="1" applyBorder="1" applyAlignment="1">
      <alignment horizontal="center" vertical="center"/>
    </xf>
    <xf numFmtId="182" fontId="99" fillId="35" borderId="14" xfId="0" applyNumberFormat="1" applyFont="1" applyFill="1" applyBorder="1" applyAlignment="1">
      <alignment horizontal="center" vertical="center"/>
    </xf>
    <xf numFmtId="182" fontId="99" fillId="35" borderId="0" xfId="0" applyNumberFormat="1" applyFont="1" applyFill="1" applyAlignment="1">
      <alignment horizontal="center" vertical="center"/>
    </xf>
    <xf numFmtId="182" fontId="106" fillId="35" borderId="0" xfId="0" applyNumberFormat="1" applyFont="1" applyFill="1" applyAlignment="1">
      <alignment horizontal="center" vertical="center"/>
    </xf>
    <xf numFmtId="182" fontId="99" fillId="35" borderId="30" xfId="0" applyNumberFormat="1" applyFont="1" applyFill="1" applyBorder="1" applyAlignment="1">
      <alignment horizontal="center" vertical="center"/>
    </xf>
    <xf numFmtId="182" fontId="99" fillId="35" borderId="29" xfId="0" applyNumberFormat="1" applyFont="1" applyFill="1" applyBorder="1" applyAlignment="1">
      <alignment horizontal="center" vertical="center"/>
    </xf>
    <xf numFmtId="9" fontId="0" fillId="0" borderId="0" xfId="89" applyNumberFormat="1" applyFont="1"/>
    <xf numFmtId="165" fontId="164" fillId="0" borderId="0" xfId="0" applyFont="1"/>
    <xf numFmtId="165" fontId="165" fillId="0" borderId="0" xfId="0" applyFont="1"/>
    <xf numFmtId="167" fontId="164" fillId="35" borderId="26" xfId="830" applyNumberFormat="1" applyFont="1" applyFill="1" applyBorder="1" applyAlignment="1">
      <alignment horizontal="center" vertical="center" wrapText="1"/>
    </xf>
    <xf numFmtId="167" fontId="164" fillId="0" borderId="26" xfId="830" applyNumberFormat="1" applyFont="1" applyFill="1" applyBorder="1" applyAlignment="1">
      <alignment horizontal="center" vertical="center" wrapText="1"/>
    </xf>
    <xf numFmtId="165" fontId="166" fillId="35" borderId="32" xfId="0" applyFont="1" applyFill="1" applyBorder="1" applyAlignment="1" applyProtection="1">
      <alignment horizontal="left" vertical="center"/>
      <protection locked="0"/>
    </xf>
    <xf numFmtId="0" fontId="164" fillId="0" borderId="13" xfId="3" applyFont="1" applyBorder="1" applyAlignment="1">
      <alignment vertical="center" textRotation="90"/>
    </xf>
    <xf numFmtId="0" fontId="164" fillId="0" borderId="12" xfId="0" applyNumberFormat="1" applyFont="1" applyBorder="1"/>
    <xf numFmtId="166" fontId="31" fillId="0" borderId="0" xfId="830"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indent="1"/>
      <protection locked="0"/>
    </xf>
    <xf numFmtId="167" fontId="164" fillId="35" borderId="0" xfId="830" applyNumberFormat="1" applyFont="1" applyFill="1" applyBorder="1" applyAlignment="1">
      <alignment horizontal="center" vertical="center" wrapText="1"/>
    </xf>
    <xf numFmtId="167" fontId="164" fillId="0" borderId="0" xfId="830" applyNumberFormat="1" applyFont="1" applyFill="1" applyBorder="1" applyAlignment="1">
      <alignment horizontal="center" vertical="center" wrapText="1"/>
    </xf>
    <xf numFmtId="165" fontId="166" fillId="35" borderId="14" xfId="0" applyFont="1" applyFill="1" applyBorder="1" applyAlignment="1" applyProtection="1">
      <alignment horizontal="left" vertical="center"/>
      <protection locked="0"/>
    </xf>
    <xf numFmtId="167" fontId="32" fillId="35" borderId="0" xfId="830" applyNumberFormat="1" applyFont="1" applyFill="1" applyBorder="1" applyAlignment="1">
      <alignment horizontal="center" vertical="center" wrapText="1"/>
    </xf>
    <xf numFmtId="167" fontId="32" fillId="0" borderId="0" xfId="830" applyNumberFormat="1" applyFont="1" applyFill="1" applyBorder="1" applyAlignment="1">
      <alignment horizontal="center" vertical="center" wrapText="1"/>
    </xf>
    <xf numFmtId="166" fontId="30" fillId="36" borderId="0" xfId="830" applyNumberFormat="1" applyFont="1" applyFill="1" applyBorder="1" applyAlignment="1">
      <alignment horizontal="center" vertical="center" wrapText="1"/>
    </xf>
    <xf numFmtId="166" fontId="30" fillId="0" borderId="0" xfId="830" applyNumberFormat="1" applyFont="1" applyFill="1" applyBorder="1" applyAlignment="1">
      <alignment horizontal="center" vertical="center" wrapText="1"/>
    </xf>
    <xf numFmtId="165" fontId="60" fillId="36" borderId="14" xfId="0" applyFont="1" applyFill="1" applyBorder="1" applyAlignment="1" applyProtection="1">
      <alignment vertical="center"/>
      <protection locked="0"/>
    </xf>
    <xf numFmtId="49" fontId="30" fillId="34" borderId="29" xfId="0" applyNumberFormat="1" applyFont="1" applyFill="1" applyBorder="1" applyAlignment="1" applyProtection="1">
      <alignment horizontal="center" vertical="center"/>
      <protection locked="0"/>
    </xf>
    <xf numFmtId="49" fontId="30" fillId="34" borderId="30" xfId="0" applyNumberFormat="1" applyFont="1" applyFill="1" applyBorder="1" applyAlignment="1">
      <alignment horizontal="left" vertical="center"/>
    </xf>
    <xf numFmtId="167" fontId="32" fillId="35" borderId="26" xfId="830" applyNumberFormat="1" applyFont="1" applyFill="1" applyBorder="1" applyAlignment="1">
      <alignment horizontal="center" vertical="center" wrapText="1"/>
    </xf>
    <xf numFmtId="165" fontId="61" fillId="35" borderId="32" xfId="0" applyFont="1" applyFill="1" applyBorder="1" applyAlignment="1" applyProtection="1">
      <alignment horizontal="left" vertical="center" indent="1"/>
      <protection locked="0"/>
    </xf>
    <xf numFmtId="166" fontId="30" fillId="36" borderId="26" xfId="142" applyNumberFormat="1" applyFont="1" applyFill="1" applyBorder="1" applyAlignment="1">
      <alignment horizontal="center" vertical="center" wrapText="1"/>
    </xf>
    <xf numFmtId="166" fontId="31" fillId="0" borderId="26" xfId="830" applyNumberFormat="1" applyFont="1" applyFill="1" applyBorder="1" applyAlignment="1">
      <alignment horizontal="center" vertical="center" wrapText="1"/>
    </xf>
    <xf numFmtId="165" fontId="60" fillId="36" borderId="32" xfId="0" applyFont="1" applyFill="1" applyBorder="1" applyAlignment="1" applyProtection="1">
      <alignment vertical="center"/>
      <protection locked="0"/>
    </xf>
    <xf numFmtId="166" fontId="30" fillId="36" borderId="0" xfId="142" applyNumberFormat="1" applyFont="1" applyFill="1" applyBorder="1" applyAlignment="1">
      <alignment horizontal="center" vertical="center" wrapText="1"/>
    </xf>
    <xf numFmtId="9" fontId="32" fillId="0" borderId="0" xfId="830" applyNumberFormat="1" applyFont="1" applyFill="1" applyBorder="1" applyAlignment="1">
      <alignment horizontal="center" vertical="center" wrapText="1"/>
    </xf>
    <xf numFmtId="167" fontId="30" fillId="35" borderId="0" xfId="830" applyNumberFormat="1" applyFont="1" applyFill="1" applyBorder="1" applyAlignment="1">
      <alignment horizontal="center" vertical="center" wrapText="1"/>
    </xf>
    <xf numFmtId="166" fontId="31" fillId="35" borderId="0" xfId="142" applyNumberFormat="1" applyFont="1" applyFill="1" applyBorder="1" applyAlignment="1">
      <alignment horizontal="center" vertical="center" wrapText="1"/>
    </xf>
    <xf numFmtId="166" fontId="30" fillId="35" borderId="0" xfId="142"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protection locked="0"/>
    </xf>
    <xf numFmtId="4" fontId="31" fillId="0" borderId="0" xfId="0" applyNumberFormat="1" applyFont="1" applyAlignment="1">
      <alignment horizontal="center"/>
    </xf>
    <xf numFmtId="166" fontId="31" fillId="35" borderId="26" xfId="830" applyNumberFormat="1" applyFont="1" applyFill="1" applyBorder="1" applyAlignment="1">
      <alignment horizontal="center" vertical="center" wrapText="1"/>
    </xf>
    <xf numFmtId="166" fontId="31" fillId="2" borderId="26" xfId="830" applyNumberFormat="1" applyFont="1" applyFill="1" applyBorder="1" applyAlignment="1">
      <alignment horizontal="center" vertical="center" wrapText="1"/>
    </xf>
    <xf numFmtId="166" fontId="31" fillId="2" borderId="0" xfId="830" applyNumberFormat="1" applyFont="1" applyFill="1" applyBorder="1" applyAlignment="1">
      <alignment horizontal="center" vertical="center" wrapText="1"/>
    </xf>
    <xf numFmtId="165" fontId="61" fillId="0" borderId="14" xfId="0" applyFont="1" applyBorder="1" applyAlignment="1">
      <alignment horizontal="left" vertical="center" indent="1"/>
    </xf>
    <xf numFmtId="165" fontId="30" fillId="0" borderId="0" xfId="0" applyFont="1"/>
    <xf numFmtId="165" fontId="105" fillId="0" borderId="0" xfId="0" applyFont="1"/>
    <xf numFmtId="166" fontId="30" fillId="2" borderId="0" xfId="830" applyNumberFormat="1" applyFont="1" applyFill="1" applyBorder="1" applyAlignment="1">
      <alignment horizontal="center" vertical="center" wrapText="1"/>
    </xf>
    <xf numFmtId="165" fontId="60" fillId="35" borderId="14" xfId="0" applyFont="1" applyFill="1" applyBorder="1" applyAlignment="1" applyProtection="1">
      <alignment horizontal="left" vertical="center" indent="1"/>
      <protection locked="0"/>
    </xf>
    <xf numFmtId="165" fontId="132" fillId="0" borderId="0" xfId="0" applyFont="1"/>
    <xf numFmtId="166" fontId="32" fillId="35" borderId="0" xfId="830" applyNumberFormat="1" applyFont="1" applyFill="1" applyBorder="1" applyAlignment="1">
      <alignment horizontal="center" vertical="center" wrapText="1"/>
    </xf>
    <xf numFmtId="3" fontId="32" fillId="0" borderId="0" xfId="830" applyNumberFormat="1" applyFont="1" applyFill="1" applyBorder="1" applyAlignment="1">
      <alignment horizontal="center" vertical="center" wrapText="1"/>
    </xf>
    <xf numFmtId="165" fontId="96" fillId="35" borderId="14" xfId="0" applyFont="1" applyFill="1" applyBorder="1" applyAlignment="1" applyProtection="1">
      <alignment horizontal="left" vertical="center"/>
      <protection locked="0"/>
    </xf>
    <xf numFmtId="0" fontId="32" fillId="0" borderId="13" xfId="3" applyFont="1" applyBorder="1" applyAlignment="1">
      <alignment vertical="center" textRotation="90"/>
    </xf>
    <xf numFmtId="0" fontId="32" fillId="0" borderId="12" xfId="0" applyNumberFormat="1" applyFont="1" applyBorder="1"/>
    <xf numFmtId="165" fontId="167" fillId="0" borderId="0" xfId="0" applyFont="1"/>
    <xf numFmtId="165" fontId="168" fillId="0" borderId="0" xfId="0" applyFont="1"/>
    <xf numFmtId="166" fontId="167" fillId="0" borderId="0" xfId="830"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indent="2"/>
      <protection locked="0"/>
    </xf>
    <xf numFmtId="0" fontId="31" fillId="0" borderId="13" xfId="3" applyFont="1" applyBorder="1" applyAlignment="1">
      <alignment vertical="center" textRotation="90"/>
    </xf>
    <xf numFmtId="9" fontId="32" fillId="35" borderId="0" xfId="830" applyNumberFormat="1" applyFont="1" applyFill="1" applyBorder="1" applyAlignment="1">
      <alignment horizontal="center" vertical="center" wrapText="1"/>
    </xf>
    <xf numFmtId="166" fontId="106" fillId="0" borderId="0" xfId="830" applyNumberFormat="1" applyFont="1" applyFill="1" applyBorder="1" applyAlignment="1">
      <alignment horizontal="center" vertical="center" wrapText="1"/>
    </xf>
    <xf numFmtId="167" fontId="32" fillId="35" borderId="67" xfId="830" applyNumberFormat="1" applyFont="1" applyFill="1" applyBorder="1" applyAlignment="1">
      <alignment horizontal="center" vertical="center" wrapText="1"/>
    </xf>
    <xf numFmtId="9" fontId="32" fillId="0" borderId="67" xfId="830" applyNumberFormat="1" applyFont="1" applyFill="1" applyBorder="1" applyAlignment="1">
      <alignment horizontal="center" vertical="center" wrapText="1"/>
    </xf>
    <xf numFmtId="9" fontId="32" fillId="35" borderId="67" xfId="830" applyNumberFormat="1" applyFont="1" applyFill="1" applyBorder="1" applyAlignment="1">
      <alignment horizontal="center" vertical="center" wrapText="1"/>
    </xf>
    <xf numFmtId="165" fontId="166" fillId="35" borderId="69" xfId="0" applyFont="1" applyFill="1" applyBorder="1" applyAlignment="1" applyProtection="1">
      <alignment horizontal="left" vertical="center"/>
      <protection locked="0"/>
    </xf>
    <xf numFmtId="185" fontId="30" fillId="35" borderId="66" xfId="830" applyNumberFormat="1" applyFont="1" applyFill="1" applyBorder="1" applyAlignment="1">
      <alignment horizontal="center" vertical="center" wrapText="1"/>
    </xf>
    <xf numFmtId="185" fontId="30" fillId="0" borderId="66" xfId="830" applyNumberFormat="1" applyFont="1" applyFill="1" applyBorder="1" applyAlignment="1">
      <alignment horizontal="center" vertical="center" wrapText="1"/>
    </xf>
    <xf numFmtId="165" fontId="60" fillId="35" borderId="68" xfId="0" applyFont="1" applyFill="1" applyBorder="1" applyAlignment="1" applyProtection="1">
      <alignment horizontal="left" vertical="center" indent="1"/>
      <protection locked="0"/>
    </xf>
    <xf numFmtId="0" fontId="30" fillId="0" borderId="12" xfId="0" applyNumberFormat="1" applyFont="1" applyBorder="1"/>
    <xf numFmtId="166" fontId="30" fillId="35" borderId="66" xfId="830" applyNumberFormat="1" applyFont="1" applyFill="1" applyBorder="1" applyAlignment="1">
      <alignment horizontal="center" vertical="center" wrapText="1"/>
    </xf>
    <xf numFmtId="166" fontId="30" fillId="0" borderId="66" xfId="830" applyNumberFormat="1" applyFont="1" applyFill="1" applyBorder="1" applyAlignment="1">
      <alignment horizontal="center" vertical="center" wrapText="1"/>
    </xf>
    <xf numFmtId="165" fontId="60" fillId="35" borderId="14" xfId="0" applyFont="1" applyFill="1" applyBorder="1" applyAlignment="1" applyProtection="1">
      <alignment horizontal="left" vertical="center"/>
      <protection locked="0"/>
    </xf>
    <xf numFmtId="166" fontId="30" fillId="36" borderId="26" xfId="830" applyNumberFormat="1" applyFont="1" applyFill="1" applyBorder="1" applyAlignment="1">
      <alignment horizontal="center" vertical="center" wrapText="1"/>
    </xf>
    <xf numFmtId="166" fontId="30" fillId="0" borderId="26" xfId="830" applyNumberFormat="1" applyFont="1" applyFill="1" applyBorder="1" applyAlignment="1">
      <alignment horizontal="center" vertical="center" wrapText="1"/>
    </xf>
    <xf numFmtId="3" fontId="31" fillId="35" borderId="0" xfId="830" applyNumberFormat="1" applyFont="1" applyFill="1" applyBorder="1" applyAlignment="1">
      <alignment horizontal="center" vertical="center" wrapText="1"/>
    </xf>
    <xf numFmtId="166" fontId="106" fillId="35" borderId="0" xfId="830" applyNumberFormat="1" applyFont="1" applyFill="1" applyBorder="1" applyAlignment="1">
      <alignment horizontal="center" vertical="center" wrapText="1"/>
    </xf>
    <xf numFmtId="165" fontId="151" fillId="35" borderId="14" xfId="0" applyFont="1" applyFill="1" applyBorder="1" applyAlignment="1" applyProtection="1">
      <alignment horizontal="left" vertical="center"/>
      <protection locked="0"/>
    </xf>
    <xf numFmtId="0" fontId="32" fillId="0" borderId="0" xfId="3" applyFont="1" applyAlignment="1">
      <alignment vertical="center" textRotation="90"/>
    </xf>
    <xf numFmtId="167" fontId="32" fillId="0" borderId="30" xfId="3" applyNumberFormat="1" applyFont="1" applyBorder="1" applyAlignment="1" applyProtection="1">
      <alignment horizontal="left" vertical="center"/>
      <protection locked="0"/>
    </xf>
    <xf numFmtId="167" fontId="32" fillId="0" borderId="70" xfId="3" applyNumberFormat="1" applyFont="1" applyBorder="1" applyAlignment="1">
      <alignment horizontal="left" vertical="center"/>
    </xf>
    <xf numFmtId="165" fontId="30" fillId="0" borderId="0" xfId="0" applyFont="1" applyAlignment="1">
      <alignment vertical="center"/>
    </xf>
    <xf numFmtId="165" fontId="30" fillId="2" borderId="0" xfId="0" applyFont="1" applyFill="1" applyAlignment="1">
      <alignment vertical="center"/>
    </xf>
    <xf numFmtId="165" fontId="32" fillId="2" borderId="0" xfId="2" applyFont="1" applyFill="1"/>
    <xf numFmtId="165" fontId="60" fillId="36" borderId="30" xfId="0" applyFont="1" applyFill="1" applyBorder="1" applyAlignment="1" applyProtection="1">
      <alignment vertical="center"/>
      <protection locked="0"/>
    </xf>
    <xf numFmtId="166" fontId="30" fillId="0" borderId="29" xfId="830" applyNumberFormat="1" applyFont="1" applyFill="1" applyBorder="1" applyAlignment="1">
      <alignment horizontal="center" vertical="center" wrapText="1"/>
    </xf>
    <xf numFmtId="165" fontId="106" fillId="0" borderId="0" xfId="0" applyFont="1"/>
    <xf numFmtId="165" fontId="169" fillId="0" borderId="0" xfId="0" applyFont="1" applyAlignment="1">
      <alignment horizontal="left" indent="1"/>
    </xf>
    <xf numFmtId="187" fontId="106" fillId="0" borderId="0" xfId="0" applyNumberFormat="1" applyFont="1"/>
    <xf numFmtId="4" fontId="106" fillId="0" borderId="0" xfId="0" applyNumberFormat="1" applyFont="1"/>
    <xf numFmtId="0" fontId="109" fillId="2" borderId="15" xfId="466" applyFont="1" applyFill="1" applyBorder="1" applyAlignment="1">
      <alignment vertical="center" textRotation="135" wrapText="1"/>
    </xf>
    <xf numFmtId="0" fontId="109" fillId="2" borderId="15" xfId="466" applyFont="1" applyFill="1" applyBorder="1" applyAlignment="1">
      <alignment vertical="center" textRotation="90" wrapText="1"/>
    </xf>
    <xf numFmtId="0" fontId="109" fillId="0" borderId="15" xfId="466" applyFont="1" applyBorder="1"/>
    <xf numFmtId="176" fontId="30" fillId="34" borderId="15" xfId="0" applyNumberFormat="1" applyFont="1" applyFill="1" applyBorder="1" applyAlignment="1">
      <alignment horizontal="center" vertical="center"/>
    </xf>
    <xf numFmtId="182" fontId="31" fillId="35" borderId="15" xfId="0" applyNumberFormat="1" applyFont="1" applyFill="1" applyBorder="1" applyAlignment="1">
      <alignment horizontal="left" vertical="center"/>
    </xf>
    <xf numFmtId="3" fontId="31" fillId="35" borderId="15" xfId="0" applyNumberFormat="1" applyFont="1" applyFill="1" applyBorder="1" applyAlignment="1">
      <alignment horizontal="center" vertical="center"/>
    </xf>
    <xf numFmtId="3" fontId="31" fillId="35" borderId="31" xfId="0" applyNumberFormat="1" applyFont="1" applyFill="1" applyBorder="1" applyAlignment="1">
      <alignment horizontal="center" vertical="center"/>
    </xf>
    <xf numFmtId="165" fontId="0" fillId="0" borderId="15" xfId="0" applyBorder="1"/>
    <xf numFmtId="1" fontId="31" fillId="35" borderId="15" xfId="0" applyNumberFormat="1" applyFont="1" applyFill="1" applyBorder="1" applyAlignment="1">
      <alignment horizontal="center" vertical="center"/>
    </xf>
    <xf numFmtId="1" fontId="31" fillId="35" borderId="31" xfId="0" applyNumberFormat="1" applyFont="1" applyFill="1" applyBorder="1" applyAlignment="1">
      <alignment horizontal="center" vertical="center"/>
    </xf>
    <xf numFmtId="0" fontId="157" fillId="0" borderId="15" xfId="466" applyFont="1" applyBorder="1"/>
    <xf numFmtId="0" fontId="157" fillId="0" borderId="15" xfId="466" applyFont="1" applyBorder="1" applyAlignment="1">
      <alignment horizontal="center"/>
    </xf>
    <xf numFmtId="182" fontId="106" fillId="35" borderId="14" xfId="0" applyNumberFormat="1" applyFont="1" applyFill="1" applyBorder="1" applyAlignment="1">
      <alignment horizontal="center" vertical="center"/>
    </xf>
    <xf numFmtId="9" fontId="62" fillId="34" borderId="30" xfId="0" applyNumberFormat="1" applyFont="1" applyFill="1" applyBorder="1"/>
    <xf numFmtId="10" fontId="30" fillId="35" borderId="15" xfId="4" applyNumberFormat="1" applyFont="1" applyFill="1" applyBorder="1" applyAlignment="1">
      <alignment horizontal="center" wrapText="1"/>
    </xf>
    <xf numFmtId="167" fontId="32" fillId="0" borderId="14" xfId="3" applyNumberFormat="1" applyFont="1" applyBorder="1" applyAlignment="1">
      <alignment horizontal="left" vertical="center"/>
    </xf>
    <xf numFmtId="182" fontId="119" fillId="35" borderId="0" xfId="0" applyNumberFormat="1" applyFont="1" applyFill="1" applyAlignment="1">
      <alignment horizontal="left" vertical="center"/>
    </xf>
    <xf numFmtId="3" fontId="34" fillId="35" borderId="15" xfId="0" applyNumberFormat="1" applyFont="1" applyFill="1" applyBorder="1" applyAlignment="1">
      <alignment horizontal="center" vertical="center"/>
    </xf>
    <xf numFmtId="3" fontId="31" fillId="35" borderId="30" xfId="0" applyNumberFormat="1" applyFont="1" applyFill="1" applyBorder="1" applyAlignment="1">
      <alignment horizontal="center" vertical="center"/>
    </xf>
    <xf numFmtId="182" fontId="34" fillId="35" borderId="0" xfId="0" applyNumberFormat="1" applyFont="1" applyFill="1" applyAlignment="1">
      <alignment horizontal="center" vertical="center"/>
    </xf>
    <xf numFmtId="182" fontId="34" fillId="35" borderId="14" xfId="0" applyNumberFormat="1" applyFont="1" applyFill="1" applyBorder="1" applyAlignment="1">
      <alignment horizontal="center" vertical="center"/>
    </xf>
    <xf numFmtId="182" fontId="30" fillId="35" borderId="0" xfId="4" applyNumberFormat="1" applyFont="1" applyFill="1" applyBorder="1" applyAlignment="1">
      <alignment horizontal="center" vertical="center" wrapText="1"/>
    </xf>
    <xf numFmtId="182" fontId="106" fillId="35" borderId="0" xfId="0" applyNumberFormat="1" applyFont="1" applyFill="1" applyAlignment="1">
      <alignment horizontal="left" vertical="center"/>
    </xf>
    <xf numFmtId="49" fontId="112" fillId="0" borderId="0" xfId="0" applyNumberFormat="1" applyFont="1" applyAlignment="1">
      <alignment horizontal="left" vertical="center"/>
    </xf>
    <xf numFmtId="165" fontId="89" fillId="2" borderId="0" xfId="0" applyFont="1" applyFill="1" applyAlignment="1">
      <alignment horizontal="centerContinuous"/>
    </xf>
    <xf numFmtId="49" fontId="30" fillId="0" borderId="0" xfId="0" applyNumberFormat="1" applyFont="1" applyAlignment="1">
      <alignment horizontal="left" vertical="center"/>
    </xf>
    <xf numFmtId="49" fontId="30" fillId="0" borderId="0" xfId="0" applyNumberFormat="1" applyFont="1" applyAlignment="1">
      <alignment horizontal="centerContinuous" vertical="center" wrapText="1"/>
    </xf>
    <xf numFmtId="165" fontId="31" fillId="36" borderId="26" xfId="0" applyFont="1" applyFill="1" applyBorder="1" applyAlignment="1" applyProtection="1">
      <alignment vertical="center"/>
      <protection locked="0"/>
    </xf>
    <xf numFmtId="166" fontId="31" fillId="36" borderId="26" xfId="4" applyNumberFormat="1" applyFont="1" applyFill="1" applyBorder="1" applyAlignment="1" applyProtection="1">
      <alignment horizontal="center" vertical="center" wrapText="1"/>
      <protection locked="0"/>
    </xf>
    <xf numFmtId="166" fontId="31" fillId="36" borderId="32" xfId="4" applyNumberFormat="1" applyFont="1" applyFill="1" applyBorder="1" applyAlignment="1" applyProtection="1">
      <alignment horizontal="center" vertical="center" wrapText="1"/>
      <protection locked="0"/>
    </xf>
    <xf numFmtId="167" fontId="34" fillId="42" borderId="63" xfId="1" applyNumberFormat="1" applyFont="1" applyFill="1" applyBorder="1" applyAlignment="1">
      <alignment horizontal="center"/>
    </xf>
    <xf numFmtId="167" fontId="34" fillId="42" borderId="0" xfId="1" applyNumberFormat="1" applyFont="1" applyFill="1" applyBorder="1" applyAlignment="1">
      <alignment horizontal="center"/>
    </xf>
    <xf numFmtId="167" fontId="34" fillId="42" borderId="64" xfId="1" applyNumberFormat="1" applyFont="1" applyFill="1" applyBorder="1" applyAlignment="1">
      <alignment horizontal="center"/>
    </xf>
    <xf numFmtId="9" fontId="34" fillId="42" borderId="63" xfId="1" applyFont="1" applyFill="1" applyBorder="1" applyAlignment="1">
      <alignment horizontal="center"/>
    </xf>
    <xf numFmtId="9" fontId="34" fillId="42" borderId="0" xfId="1" applyFont="1" applyFill="1" applyBorder="1" applyAlignment="1">
      <alignment horizontal="center"/>
    </xf>
    <xf numFmtId="9" fontId="34" fillId="42" borderId="64" xfId="1" applyFont="1" applyFill="1" applyBorder="1" applyAlignment="1">
      <alignment horizontal="center"/>
    </xf>
    <xf numFmtId="0" fontId="55" fillId="0" borderId="0" xfId="467" applyFont="1" applyAlignment="1">
      <alignment horizontal="center"/>
    </xf>
    <xf numFmtId="3" fontId="62" fillId="48" borderId="63" xfId="467" applyNumberFormat="1" applyFont="1" applyFill="1" applyBorder="1" applyAlignment="1">
      <alignment horizontal="center"/>
    </xf>
    <xf numFmtId="3" fontId="34" fillId="48" borderId="0" xfId="467" applyNumberFormat="1" applyFont="1" applyFill="1" applyAlignment="1">
      <alignment horizontal="center"/>
    </xf>
    <xf numFmtId="3" fontId="34" fillId="48" borderId="64" xfId="467" applyNumberFormat="1" applyFont="1" applyFill="1" applyBorder="1" applyAlignment="1">
      <alignment horizontal="center"/>
    </xf>
    <xf numFmtId="182" fontId="34" fillId="48" borderId="0" xfId="467" applyNumberFormat="1" applyFont="1" applyFill="1" applyAlignment="1">
      <alignment horizontal="center"/>
    </xf>
    <xf numFmtId="182" fontId="34" fillId="48" borderId="64" xfId="467" applyNumberFormat="1" applyFont="1" applyFill="1" applyBorder="1" applyAlignment="1">
      <alignment horizontal="center"/>
    </xf>
    <xf numFmtId="3" fontId="34" fillId="48" borderId="63" xfId="467" applyNumberFormat="1" applyFont="1" applyFill="1" applyBorder="1" applyAlignment="1">
      <alignment horizontal="center"/>
    </xf>
    <xf numFmtId="167" fontId="34" fillId="48" borderId="63" xfId="1" applyNumberFormat="1" applyFont="1" applyFill="1" applyBorder="1" applyAlignment="1">
      <alignment horizontal="center"/>
    </xf>
    <xf numFmtId="167" fontId="34" fillId="48" borderId="0" xfId="1" applyNumberFormat="1" applyFont="1" applyFill="1" applyBorder="1" applyAlignment="1">
      <alignment horizontal="center"/>
    </xf>
    <xf numFmtId="167" fontId="34" fillId="48" borderId="64" xfId="1" applyNumberFormat="1" applyFont="1" applyFill="1" applyBorder="1" applyAlignment="1">
      <alignment horizontal="center"/>
    </xf>
    <xf numFmtId="9" fontId="34" fillId="48" borderId="63" xfId="1" applyFont="1" applyFill="1" applyBorder="1" applyAlignment="1">
      <alignment horizontal="center"/>
    </xf>
    <xf numFmtId="9" fontId="34" fillId="48" borderId="0" xfId="1" applyFont="1" applyFill="1" applyBorder="1" applyAlignment="1">
      <alignment horizontal="center"/>
    </xf>
    <xf numFmtId="9" fontId="34" fillId="48" borderId="64" xfId="1" applyFont="1" applyFill="1" applyBorder="1" applyAlignment="1">
      <alignment horizontal="center"/>
    </xf>
    <xf numFmtId="166" fontId="86" fillId="0" borderId="0" xfId="0" applyNumberFormat="1" applyFont="1"/>
    <xf numFmtId="166" fontId="170" fillId="2" borderId="0" xfId="0" applyNumberFormat="1" applyFont="1" applyFill="1" applyAlignment="1">
      <alignment horizontal="center" vertical="center"/>
    </xf>
    <xf numFmtId="167" fontId="31" fillId="0" borderId="29" xfId="1" quotePrefix="1" applyNumberFormat="1" applyFont="1" applyFill="1" applyBorder="1" applyAlignment="1" applyProtection="1">
      <alignment horizontal="center"/>
      <protection locked="0"/>
    </xf>
    <xf numFmtId="0" fontId="157" fillId="2" borderId="0" xfId="466" applyFont="1" applyFill="1"/>
    <xf numFmtId="1" fontId="55" fillId="0" borderId="0" xfId="0" applyNumberFormat="1" applyFont="1" applyAlignment="1">
      <alignment horizontal="center"/>
    </xf>
    <xf numFmtId="165" fontId="106" fillId="0" borderId="0" xfId="0" applyFont="1" applyAlignment="1" applyProtection="1">
      <alignment horizontal="center"/>
      <protection locked="0"/>
    </xf>
    <xf numFmtId="168" fontId="106" fillId="0" borderId="0" xfId="7" applyNumberFormat="1" applyFont="1" applyAlignment="1" applyProtection="1">
      <alignment horizontal="center" vertical="center"/>
      <protection locked="0"/>
    </xf>
    <xf numFmtId="165" fontId="107" fillId="0" borderId="0" xfId="0" applyFont="1" applyAlignment="1">
      <alignment vertical="center"/>
    </xf>
    <xf numFmtId="0" fontId="31" fillId="0" borderId="0" xfId="3" applyFont="1" applyAlignment="1">
      <alignment vertical="center" textRotation="90"/>
    </xf>
    <xf numFmtId="0" fontId="99" fillId="0" borderId="13" xfId="3" applyFont="1" applyBorder="1" applyAlignment="1">
      <alignment vertical="center" textRotation="90"/>
    </xf>
    <xf numFmtId="165" fontId="99" fillId="35" borderId="0" xfId="0" applyFont="1" applyFill="1" applyAlignment="1">
      <alignment horizontal="left" vertical="center" wrapText="1" indent="1"/>
    </xf>
    <xf numFmtId="165" fontId="98" fillId="35" borderId="0" xfId="83" applyNumberFormat="1" applyFont="1" applyFill="1" applyBorder="1" applyAlignment="1" applyProtection="1">
      <alignment horizontal="left" vertical="center" indent="1"/>
      <protection locked="0"/>
    </xf>
    <xf numFmtId="165" fontId="58" fillId="35" borderId="0" xfId="83" applyNumberFormat="1" applyFont="1" applyFill="1" applyBorder="1" applyAlignment="1" applyProtection="1">
      <alignment horizontal="left" vertical="center" indent="1"/>
      <protection locked="0"/>
    </xf>
    <xf numFmtId="165" fontId="61" fillId="35" borderId="0" xfId="0" applyFont="1" applyFill="1" applyAlignment="1" applyProtection="1">
      <alignment horizontal="left" vertical="center" indent="2"/>
      <protection locked="0"/>
    </xf>
    <xf numFmtId="0" fontId="55" fillId="0" borderId="0" xfId="3" applyFont="1" applyAlignment="1">
      <alignment vertical="center" textRotation="90"/>
    </xf>
    <xf numFmtId="165" fontId="60" fillId="36" borderId="0" xfId="0" applyFont="1" applyFill="1" applyAlignment="1">
      <alignment horizontal="left" vertical="center" indent="1"/>
    </xf>
    <xf numFmtId="0" fontId="95" fillId="2" borderId="0" xfId="0" applyNumberFormat="1" applyFont="1" applyFill="1" applyProtection="1">
      <protection locked="0"/>
    </xf>
    <xf numFmtId="167" fontId="0" fillId="0" borderId="0" xfId="1" applyNumberFormat="1" applyFont="1"/>
    <xf numFmtId="165" fontId="172" fillId="0" borderId="0" xfId="0" applyFont="1"/>
    <xf numFmtId="165" fontId="173" fillId="0" borderId="0" xfId="0" applyFont="1"/>
    <xf numFmtId="185" fontId="174" fillId="0" borderId="0" xfId="0" applyNumberFormat="1" applyFont="1"/>
    <xf numFmtId="0" fontId="32" fillId="0" borderId="0" xfId="3" applyFont="1" applyProtection="1">
      <protection locked="0"/>
    </xf>
    <xf numFmtId="166" fontId="151" fillId="0" borderId="0" xfId="830" applyNumberFormat="1" applyFont="1" applyFill="1" applyBorder="1" applyAlignment="1">
      <alignment horizontal="center" vertical="center" wrapText="1"/>
    </xf>
    <xf numFmtId="166" fontId="151" fillId="35" borderId="0" xfId="830" applyNumberFormat="1" applyFont="1" applyFill="1" applyBorder="1" applyAlignment="1">
      <alignment horizontal="center" vertical="center" wrapText="1"/>
    </xf>
    <xf numFmtId="166" fontId="32" fillId="0" borderId="0" xfId="830" applyNumberFormat="1" applyFont="1" applyFill="1" applyBorder="1" applyAlignment="1">
      <alignment horizontal="center" vertical="center" wrapText="1"/>
    </xf>
    <xf numFmtId="166" fontId="107" fillId="0" borderId="0" xfId="830" applyNumberFormat="1" applyFont="1" applyFill="1" applyBorder="1" applyAlignment="1">
      <alignment horizontal="center" vertical="center" wrapText="1"/>
    </xf>
    <xf numFmtId="166" fontId="107" fillId="36" borderId="0" xfId="830" applyNumberFormat="1" applyFont="1" applyFill="1" applyBorder="1" applyAlignment="1">
      <alignment horizontal="center" vertical="center" wrapText="1"/>
    </xf>
    <xf numFmtId="9" fontId="32" fillId="35" borderId="26" xfId="830" applyNumberFormat="1" applyFont="1" applyFill="1" applyBorder="1" applyAlignment="1">
      <alignment horizontal="center" vertical="center" wrapText="1"/>
    </xf>
    <xf numFmtId="166" fontId="107" fillId="0" borderId="29" xfId="830" applyNumberFormat="1" applyFont="1" applyFill="1" applyBorder="1" applyAlignment="1">
      <alignment horizontal="center" vertical="center" wrapText="1"/>
    </xf>
    <xf numFmtId="166" fontId="107" fillId="36" borderId="29" xfId="830" applyNumberFormat="1" applyFont="1" applyFill="1" applyBorder="1" applyAlignment="1">
      <alignment horizontal="center" vertical="center" wrapText="1"/>
    </xf>
    <xf numFmtId="1" fontId="31" fillId="0" borderId="0" xfId="0" applyNumberFormat="1" applyFont="1" applyAlignment="1">
      <alignment horizontal="center"/>
    </xf>
    <xf numFmtId="165" fontId="61" fillId="0" borderId="0" xfId="0" applyFont="1" applyAlignment="1">
      <alignment horizontal="left" vertical="center" indent="1"/>
    </xf>
    <xf numFmtId="1" fontId="61" fillId="0" borderId="0" xfId="0" applyNumberFormat="1" applyFont="1" applyAlignment="1">
      <alignment horizontal="center" vertical="center"/>
    </xf>
    <xf numFmtId="1" fontId="31" fillId="0" borderId="0" xfId="0" applyNumberFormat="1" applyFont="1" applyAlignment="1">
      <alignment horizontal="center" vertical="center"/>
    </xf>
    <xf numFmtId="1" fontId="34" fillId="0" borderId="0" xfId="0" applyNumberFormat="1" applyFont="1" applyAlignment="1">
      <alignment horizontal="center" vertical="center"/>
    </xf>
    <xf numFmtId="1" fontId="31" fillId="0" borderId="15" xfId="0" applyNumberFormat="1" applyFont="1" applyBorder="1" applyAlignment="1">
      <alignment horizontal="center" vertical="center"/>
    </xf>
    <xf numFmtId="1" fontId="99" fillId="0" borderId="0" xfId="0" applyNumberFormat="1" applyFont="1" applyAlignment="1">
      <alignment horizontal="center" vertical="center"/>
    </xf>
    <xf numFmtId="166" fontId="31" fillId="35" borderId="0" xfId="895" applyNumberFormat="1" applyFont="1" applyFill="1" applyBorder="1" applyAlignment="1">
      <alignment horizontal="center" vertical="center" wrapText="1"/>
    </xf>
    <xf numFmtId="166" fontId="31" fillId="35" borderId="0" xfId="902" applyNumberFormat="1" applyFont="1" applyFill="1" applyBorder="1" applyAlignment="1">
      <alignment horizontal="center" vertical="center" wrapText="1"/>
    </xf>
    <xf numFmtId="9" fontId="106" fillId="2" borderId="0" xfId="0" applyNumberFormat="1" applyFont="1" applyFill="1" applyAlignment="1">
      <alignment horizontal="center" vertical="center"/>
    </xf>
    <xf numFmtId="185" fontId="177" fillId="0" borderId="0" xfId="0" applyNumberFormat="1" applyFont="1"/>
    <xf numFmtId="182" fontId="31" fillId="35" borderId="14" xfId="0" applyNumberFormat="1" applyFont="1" applyFill="1" applyBorder="1" applyAlignment="1">
      <alignment horizontal="center" vertical="center"/>
    </xf>
    <xf numFmtId="165" fontId="106" fillId="2" borderId="0" xfId="0" applyFont="1" applyFill="1"/>
    <xf numFmtId="10" fontId="0" fillId="0" borderId="0" xfId="89" applyNumberFormat="1" applyFont="1"/>
    <xf numFmtId="188" fontId="0" fillId="0" borderId="0" xfId="0" applyNumberFormat="1"/>
    <xf numFmtId="3" fontId="62" fillId="49" borderId="63" xfId="467" applyNumberFormat="1" applyFont="1" applyFill="1" applyBorder="1" applyAlignment="1">
      <alignment horizontal="center"/>
    </xf>
    <xf numFmtId="3" fontId="34" fillId="49" borderId="0" xfId="467" applyNumberFormat="1" applyFont="1" applyFill="1" applyAlignment="1">
      <alignment horizontal="center"/>
    </xf>
    <xf numFmtId="3" fontId="34" fillId="49" borderId="64" xfId="467" applyNumberFormat="1" applyFont="1" applyFill="1" applyBorder="1" applyAlignment="1">
      <alignment horizontal="center"/>
    </xf>
    <xf numFmtId="182" fontId="34" fillId="49" borderId="0" xfId="467" applyNumberFormat="1" applyFont="1" applyFill="1" applyAlignment="1">
      <alignment horizontal="center"/>
    </xf>
    <xf numFmtId="182" fontId="34" fillId="49" borderId="64" xfId="467" applyNumberFormat="1" applyFont="1" applyFill="1" applyBorder="1" applyAlignment="1">
      <alignment horizontal="center"/>
    </xf>
    <xf numFmtId="3" fontId="34" fillId="49" borderId="63" xfId="467" applyNumberFormat="1" applyFont="1" applyFill="1" applyBorder="1" applyAlignment="1">
      <alignment horizontal="center"/>
    </xf>
    <xf numFmtId="167" fontId="34" fillId="49" borderId="63" xfId="1" applyNumberFormat="1" applyFont="1" applyFill="1" applyBorder="1" applyAlignment="1">
      <alignment horizontal="center"/>
    </xf>
    <xf numFmtId="167" fontId="34" fillId="49" borderId="0" xfId="1" applyNumberFormat="1" applyFont="1" applyFill="1" applyBorder="1" applyAlignment="1">
      <alignment horizontal="center"/>
    </xf>
    <xf numFmtId="167" fontId="34" fillId="49" borderId="64" xfId="1" applyNumberFormat="1" applyFont="1" applyFill="1" applyBorder="1" applyAlignment="1">
      <alignment horizontal="center"/>
    </xf>
    <xf numFmtId="9" fontId="34" fillId="49" borderId="63" xfId="1" applyFont="1" applyFill="1" applyBorder="1" applyAlignment="1">
      <alignment horizontal="center"/>
    </xf>
    <xf numFmtId="9" fontId="34" fillId="49" borderId="0" xfId="1" applyFont="1" applyFill="1" applyBorder="1" applyAlignment="1">
      <alignment horizontal="center"/>
    </xf>
    <xf numFmtId="9" fontId="34" fillId="49" borderId="64" xfId="1" applyFont="1" applyFill="1" applyBorder="1" applyAlignment="1">
      <alignment horizontal="center"/>
    </xf>
    <xf numFmtId="168" fontId="125" fillId="2" borderId="0" xfId="7" applyNumberFormat="1" applyFont="1" applyFill="1" applyProtection="1">
      <protection locked="0"/>
    </xf>
    <xf numFmtId="9" fontId="31" fillId="2" borderId="0" xfId="0" applyNumberFormat="1" applyFont="1" applyFill="1" applyAlignment="1">
      <alignment horizontal="center" vertical="center"/>
    </xf>
    <xf numFmtId="165" fontId="178" fillId="0" borderId="0" xfId="0" applyFont="1"/>
    <xf numFmtId="168" fontId="125" fillId="0" borderId="0" xfId="89" applyNumberFormat="1" applyFont="1" applyFill="1"/>
    <xf numFmtId="168" fontId="29" fillId="2" borderId="0" xfId="95" applyNumberFormat="1" applyFont="1" applyFill="1" applyBorder="1" applyAlignment="1">
      <alignment vertical="center"/>
    </xf>
    <xf numFmtId="165" fontId="179" fillId="0" borderId="0" xfId="0" applyFont="1"/>
    <xf numFmtId="165" fontId="180" fillId="0" borderId="0" xfId="0" applyFont="1"/>
    <xf numFmtId="165" fontId="181" fillId="0" borderId="0" xfId="0" applyFont="1"/>
    <xf numFmtId="175" fontId="114" fillId="37" borderId="39" xfId="0" applyNumberFormat="1" applyFont="1" applyFill="1" applyBorder="1" applyAlignment="1">
      <alignment horizontal="center" wrapText="1"/>
    </xf>
    <xf numFmtId="175" fontId="114" fillId="37" borderId="43" xfId="0" applyNumberFormat="1" applyFont="1" applyFill="1" applyBorder="1" applyAlignment="1">
      <alignment horizontal="center" wrapText="1"/>
    </xf>
    <xf numFmtId="175" fontId="113" fillId="37" borderId="39" xfId="0" applyNumberFormat="1" applyFont="1" applyFill="1" applyBorder="1" applyAlignment="1">
      <alignment horizontal="center" vertical="center" wrapText="1"/>
    </xf>
    <xf numFmtId="175" fontId="114" fillId="37" borderId="49" xfId="0" applyNumberFormat="1" applyFont="1" applyFill="1" applyBorder="1" applyAlignment="1">
      <alignment horizontal="center" wrapText="1"/>
    </xf>
    <xf numFmtId="175" fontId="114" fillId="37" borderId="52" xfId="0" applyNumberFormat="1" applyFont="1" applyFill="1" applyBorder="1" applyAlignment="1">
      <alignment horizontal="center" wrapText="1"/>
    </xf>
    <xf numFmtId="175" fontId="114" fillId="37" borderId="56" xfId="0" applyNumberFormat="1" applyFont="1" applyFill="1" applyBorder="1" applyAlignment="1">
      <alignment horizontal="center" wrapText="1"/>
    </xf>
    <xf numFmtId="165" fontId="182" fillId="0" borderId="0" xfId="0" applyFont="1"/>
    <xf numFmtId="166" fontId="30" fillId="34" borderId="31" xfId="0" applyNumberFormat="1" applyFont="1" applyFill="1" applyBorder="1" applyAlignment="1">
      <alignment horizontal="centerContinuous" vertical="center" wrapText="1"/>
    </xf>
    <xf numFmtId="165" fontId="31" fillId="35" borderId="0" xfId="0" applyFont="1" applyFill="1"/>
    <xf numFmtId="1" fontId="113" fillId="37" borderId="38" xfId="0" applyNumberFormat="1" applyFont="1" applyFill="1" applyBorder="1" applyAlignment="1">
      <alignment wrapText="1"/>
    </xf>
    <xf numFmtId="1" fontId="30" fillId="0" borderId="39" xfId="0" applyNumberFormat="1" applyFont="1" applyBorder="1"/>
    <xf numFmtId="175" fontId="113" fillId="37" borderId="39" xfId="0" applyNumberFormat="1" applyFont="1" applyFill="1" applyBorder="1" applyAlignment="1">
      <alignment horizontal="center" wrapText="1"/>
    </xf>
    <xf numFmtId="2" fontId="113" fillId="37" borderId="46" xfId="0" applyNumberFormat="1" applyFont="1" applyFill="1" applyBorder="1" applyAlignment="1">
      <alignment horizontal="center" wrapText="1"/>
    </xf>
    <xf numFmtId="1" fontId="105" fillId="2" borderId="0" xfId="0" applyNumberFormat="1" applyFont="1" applyFill="1"/>
    <xf numFmtId="183" fontId="30" fillId="0" borderId="39" xfId="0" applyNumberFormat="1" applyFont="1" applyBorder="1"/>
    <xf numFmtId="165" fontId="113" fillId="37" borderId="42" xfId="0" applyFont="1" applyFill="1" applyBorder="1" applyAlignment="1">
      <alignment horizontal="center" wrapText="1"/>
    </xf>
    <xf numFmtId="183" fontId="113" fillId="37" borderId="43" xfId="0" applyNumberFormat="1" applyFont="1" applyFill="1" applyBorder="1" applyAlignment="1">
      <alignment horizontal="center" wrapText="1"/>
    </xf>
    <xf numFmtId="2" fontId="113" fillId="37" borderId="43" xfId="0" applyNumberFormat="1" applyFont="1" applyFill="1" applyBorder="1" applyAlignment="1">
      <alignment horizontal="center" wrapText="1"/>
    </xf>
    <xf numFmtId="175" fontId="113" fillId="37" borderId="43" xfId="0" applyNumberFormat="1" applyFont="1" applyFill="1" applyBorder="1" applyAlignment="1">
      <alignment horizontal="center" wrapText="1"/>
    </xf>
    <xf numFmtId="2" fontId="113" fillId="37" borderId="44" xfId="0" applyNumberFormat="1" applyFont="1" applyFill="1" applyBorder="1" applyAlignment="1">
      <alignment horizontal="center" wrapText="1"/>
    </xf>
    <xf numFmtId="10" fontId="113" fillId="37" borderId="43" xfId="0" applyNumberFormat="1" applyFont="1" applyFill="1" applyBorder="1" applyAlignment="1">
      <alignment horizontal="center" wrapText="1"/>
    </xf>
    <xf numFmtId="184" fontId="113" fillId="37" borderId="45" xfId="0" applyNumberFormat="1" applyFont="1" applyFill="1" applyBorder="1" applyAlignment="1">
      <alignment horizontal="center" wrapText="1"/>
    </xf>
    <xf numFmtId="183" fontId="105" fillId="45" borderId="0" xfId="0" applyNumberFormat="1" applyFont="1" applyFill="1" applyAlignment="1">
      <alignment horizontal="center" wrapText="1"/>
    </xf>
    <xf numFmtId="2" fontId="113" fillId="37" borderId="39" xfId="0" applyNumberFormat="1" applyFont="1" applyFill="1" applyBorder="1" applyAlignment="1">
      <alignment horizontal="center" wrapText="1"/>
    </xf>
    <xf numFmtId="10" fontId="113" fillId="37" borderId="39" xfId="0" applyNumberFormat="1" applyFont="1" applyFill="1" applyBorder="1" applyAlignment="1">
      <alignment horizontal="center" wrapText="1"/>
    </xf>
    <xf numFmtId="184" fontId="113" fillId="37" borderId="47" xfId="0" applyNumberFormat="1" applyFont="1" applyFill="1" applyBorder="1" applyAlignment="1">
      <alignment horizontal="center" wrapText="1"/>
    </xf>
    <xf numFmtId="164" fontId="55" fillId="0" borderId="0" xfId="89" applyFont="1" applyAlignment="1">
      <alignment horizontal="right"/>
    </xf>
    <xf numFmtId="9" fontId="105" fillId="2" borderId="0" xfId="1" applyFont="1" applyFill="1" applyBorder="1" applyAlignment="1">
      <alignment horizontal="center" vertical="center" wrapText="1"/>
    </xf>
    <xf numFmtId="0" fontId="55" fillId="0" borderId="0" xfId="3" applyFont="1" applyAlignment="1" applyProtection="1">
      <alignment vertical="center"/>
      <protection locked="0"/>
    </xf>
    <xf numFmtId="168" fontId="55" fillId="0" borderId="0" xfId="89" applyNumberFormat="1" applyFont="1" applyBorder="1" applyProtection="1">
      <protection locked="0"/>
    </xf>
    <xf numFmtId="9" fontId="86" fillId="0" borderId="0" xfId="0" applyNumberFormat="1" applyFont="1"/>
    <xf numFmtId="165" fontId="86" fillId="0" borderId="0" xfId="0" applyFont="1" applyAlignment="1">
      <alignment horizontal="center"/>
    </xf>
    <xf numFmtId="165" fontId="133" fillId="0" borderId="0" xfId="0" applyFont="1" applyAlignment="1">
      <alignment horizontal="center"/>
    </xf>
    <xf numFmtId="166" fontId="133" fillId="0" borderId="0" xfId="0" applyNumberFormat="1" applyFont="1" applyAlignment="1">
      <alignment horizontal="center"/>
    </xf>
    <xf numFmtId="3" fontId="105" fillId="0" borderId="0" xfId="0" applyNumberFormat="1" applyFont="1" applyAlignment="1">
      <alignment horizontal="center" vertical="center" wrapText="1"/>
    </xf>
    <xf numFmtId="1" fontId="55" fillId="0" borderId="0" xfId="89" applyNumberFormat="1" applyFont="1" applyBorder="1" applyAlignment="1" applyProtection="1">
      <alignment horizontal="center"/>
      <protection locked="0"/>
    </xf>
    <xf numFmtId="165" fontId="183" fillId="0" borderId="0" xfId="0" applyFont="1" applyAlignment="1">
      <alignment horizontal="left" indent="1"/>
    </xf>
    <xf numFmtId="168" fontId="183" fillId="0" borderId="0" xfId="89" applyNumberFormat="1" applyFont="1" applyFill="1"/>
    <xf numFmtId="0" fontId="184" fillId="0" borderId="0" xfId="466" applyFont="1" applyAlignment="1">
      <alignment horizontal="center"/>
    </xf>
    <xf numFmtId="0" fontId="184" fillId="2" borderId="0" xfId="466" applyFont="1" applyFill="1" applyAlignment="1">
      <alignment horizontal="center"/>
    </xf>
    <xf numFmtId="183" fontId="142" fillId="0" borderId="0" xfId="466" applyNumberFormat="1" applyFont="1"/>
    <xf numFmtId="183" fontId="142" fillId="0" borderId="0" xfId="466" applyNumberFormat="1" applyFont="1" applyAlignment="1">
      <alignment horizontal="center"/>
    </xf>
    <xf numFmtId="183" fontId="142" fillId="2" borderId="0" xfId="466" applyNumberFormat="1" applyFont="1" applyFill="1"/>
    <xf numFmtId="183" fontId="142" fillId="2" borderId="15" xfId="466" applyNumberFormat="1" applyFont="1" applyFill="1" applyBorder="1"/>
    <xf numFmtId="0" fontId="184" fillId="0" borderId="0" xfId="466" applyFont="1"/>
    <xf numFmtId="1" fontId="184" fillId="0" borderId="0" xfId="466" applyNumberFormat="1" applyFont="1"/>
    <xf numFmtId="1" fontId="184" fillId="0" borderId="0" xfId="466" applyNumberFormat="1" applyFont="1" applyAlignment="1">
      <alignment horizontal="center"/>
    </xf>
    <xf numFmtId="3" fontId="184" fillId="0" borderId="0" xfId="466" applyNumberFormat="1" applyFont="1"/>
    <xf numFmtId="165" fontId="60" fillId="35" borderId="29" xfId="0" applyFont="1" applyFill="1" applyBorder="1" applyAlignment="1">
      <alignment horizontal="left" vertical="center" indent="1"/>
    </xf>
    <xf numFmtId="1" fontId="60" fillId="35" borderId="29" xfId="0" applyNumberFormat="1" applyFont="1" applyFill="1" applyBorder="1" applyAlignment="1">
      <alignment horizontal="center" vertical="center"/>
    </xf>
    <xf numFmtId="3" fontId="60" fillId="35" borderId="29" xfId="0" applyNumberFormat="1" applyFont="1" applyFill="1" applyBorder="1" applyAlignment="1">
      <alignment horizontal="center" vertical="center"/>
    </xf>
    <xf numFmtId="1" fontId="30" fillId="35" borderId="29" xfId="0" applyNumberFormat="1" applyFont="1" applyFill="1" applyBorder="1" applyAlignment="1">
      <alignment horizontal="center" vertical="center"/>
    </xf>
    <xf numFmtId="1" fontId="62" fillId="35" borderId="29" xfId="0" applyNumberFormat="1" applyFont="1" applyFill="1" applyBorder="1" applyAlignment="1">
      <alignment horizontal="center" vertical="center"/>
    </xf>
    <xf numFmtId="1" fontId="30" fillId="35" borderId="31" xfId="0" applyNumberFormat="1" applyFont="1" applyFill="1" applyBorder="1" applyAlignment="1">
      <alignment horizontal="center" vertical="center"/>
    </xf>
    <xf numFmtId="1" fontId="101" fillId="35" borderId="29" xfId="0" applyNumberFormat="1" applyFont="1" applyFill="1" applyBorder="1" applyAlignment="1">
      <alignment horizontal="center" vertical="center"/>
    </xf>
    <xf numFmtId="3" fontId="30" fillId="35" borderId="29" xfId="0" applyNumberFormat="1" applyFont="1" applyFill="1" applyBorder="1" applyAlignment="1">
      <alignment horizontal="center" vertical="center"/>
    </xf>
    <xf numFmtId="181" fontId="116" fillId="35" borderId="0" xfId="0" applyNumberFormat="1" applyFont="1" applyFill="1" applyAlignment="1">
      <alignment horizontal="center" vertical="center"/>
    </xf>
    <xf numFmtId="1" fontId="116" fillId="35" borderId="0" xfId="0" applyNumberFormat="1" applyFont="1" applyFill="1" applyAlignment="1">
      <alignment horizontal="center" vertical="center"/>
    </xf>
    <xf numFmtId="3" fontId="116" fillId="35" borderId="0" xfId="0" applyNumberFormat="1" applyFont="1" applyFill="1" applyAlignment="1">
      <alignment horizontal="center" vertical="center"/>
    </xf>
    <xf numFmtId="3" fontId="116" fillId="35" borderId="15" xfId="0" applyNumberFormat="1" applyFont="1" applyFill="1" applyBorder="1" applyAlignment="1">
      <alignment horizontal="center" vertical="center"/>
    </xf>
    <xf numFmtId="183" fontId="114" fillId="0" borderId="43" xfId="0" applyNumberFormat="1" applyFont="1" applyBorder="1" applyAlignment="1">
      <alignment horizontal="center" wrapText="1"/>
    </xf>
    <xf numFmtId="2" fontId="114" fillId="0" borderId="43" xfId="0" applyNumberFormat="1" applyFont="1" applyBorder="1" applyAlignment="1">
      <alignment horizontal="center" wrapText="1"/>
    </xf>
    <xf numFmtId="9" fontId="74" fillId="2" borderId="0" xfId="0" applyNumberFormat="1" applyFont="1" applyFill="1" applyAlignment="1">
      <alignment horizontal="right"/>
    </xf>
    <xf numFmtId="167" fontId="74" fillId="2" borderId="0" xfId="0" applyNumberFormat="1" applyFont="1" applyFill="1" applyAlignment="1">
      <alignment horizontal="right"/>
    </xf>
    <xf numFmtId="165" fontId="31" fillId="2" borderId="12" xfId="0" applyFont="1" applyFill="1" applyBorder="1" applyAlignment="1">
      <alignment vertical="center"/>
    </xf>
    <xf numFmtId="166" fontId="30" fillId="36" borderId="29" xfId="830" applyNumberFormat="1" applyFont="1" applyFill="1" applyBorder="1" applyAlignment="1">
      <alignment horizontal="center" vertical="center" wrapText="1"/>
    </xf>
    <xf numFmtId="168" fontId="86" fillId="0" borderId="0" xfId="89" applyNumberFormat="1" applyFont="1"/>
    <xf numFmtId="165" fontId="185" fillId="0" borderId="0" xfId="0" applyFont="1"/>
    <xf numFmtId="166" fontId="185" fillId="0" borderId="0" xfId="0" applyNumberFormat="1" applyFont="1"/>
    <xf numFmtId="164" fontId="86" fillId="0" borderId="0" xfId="89" applyFont="1"/>
    <xf numFmtId="3" fontId="151" fillId="0" borderId="0" xfId="830" applyNumberFormat="1" applyFont="1" applyFill="1" applyBorder="1" applyAlignment="1">
      <alignment horizontal="center" vertical="center" wrapText="1"/>
    </xf>
    <xf numFmtId="164" fontId="55" fillId="0" borderId="0" xfId="89" applyFont="1" applyBorder="1" applyProtection="1">
      <protection locked="0"/>
    </xf>
    <xf numFmtId="164" fontId="84" fillId="0" borderId="0" xfId="89" applyFont="1"/>
    <xf numFmtId="165" fontId="125" fillId="0" borderId="0" xfId="0" applyFont="1" applyAlignment="1">
      <alignment vertical="center" wrapText="1"/>
    </xf>
    <xf numFmtId="1" fontId="114" fillId="0" borderId="43" xfId="0" applyNumberFormat="1" applyFont="1" applyBorder="1" applyAlignment="1">
      <alignment horizontal="center" wrapText="1"/>
    </xf>
    <xf numFmtId="175" fontId="114" fillId="0" borderId="43" xfId="0" applyNumberFormat="1" applyFont="1" applyBorder="1" applyAlignment="1">
      <alignment horizontal="center" wrapText="1"/>
    </xf>
    <xf numFmtId="49" fontId="109" fillId="0" borderId="0" xfId="466" applyNumberFormat="1" applyFont="1"/>
    <xf numFmtId="49" fontId="184" fillId="2" borderId="0" xfId="466" applyNumberFormat="1" applyFont="1" applyFill="1" applyAlignment="1">
      <alignment horizontal="center"/>
    </xf>
    <xf numFmtId="166" fontId="31" fillId="35" borderId="0" xfId="912" applyNumberFormat="1" applyFont="1" applyFill="1" applyBorder="1" applyAlignment="1">
      <alignment horizontal="center" vertical="center" wrapText="1"/>
    </xf>
    <xf numFmtId="166" fontId="34" fillId="35" borderId="0" xfId="830" applyNumberFormat="1" applyFont="1" applyFill="1" applyBorder="1" applyAlignment="1">
      <alignment horizontal="center" vertical="center" wrapText="1"/>
    </xf>
    <xf numFmtId="166" fontId="123" fillId="35" borderId="0" xfId="830" applyNumberFormat="1" applyFont="1" applyFill="1" applyBorder="1" applyAlignment="1">
      <alignment horizontal="center" vertical="center" wrapText="1"/>
    </xf>
    <xf numFmtId="166" fontId="34" fillId="0" borderId="0" xfId="830" applyNumberFormat="1" applyFont="1" applyFill="1" applyBorder="1" applyAlignment="1">
      <alignment horizontal="center" vertical="center" wrapText="1"/>
    </xf>
    <xf numFmtId="167" fontId="30" fillId="36" borderId="0" xfId="1" applyNumberFormat="1" applyFont="1" applyFill="1" applyBorder="1" applyAlignment="1">
      <alignment horizontal="center" vertical="center" wrapText="1"/>
    </xf>
    <xf numFmtId="1" fontId="86" fillId="0" borderId="0" xfId="0" applyNumberFormat="1" applyFont="1"/>
    <xf numFmtId="165" fontId="125" fillId="0" borderId="0" xfId="0" applyFont="1" applyAlignment="1">
      <alignment horizontal="left"/>
    </xf>
    <xf numFmtId="49" fontId="30" fillId="34" borderId="71" xfId="0" applyNumberFormat="1" applyFont="1" applyFill="1" applyBorder="1" applyAlignment="1">
      <alignment horizontal="left" vertical="center"/>
    </xf>
    <xf numFmtId="49" fontId="30" fillId="2" borderId="72" xfId="0" applyNumberFormat="1" applyFont="1" applyFill="1" applyBorder="1" applyAlignment="1">
      <alignment horizontal="center" vertical="center"/>
    </xf>
    <xf numFmtId="165" fontId="61" fillId="35" borderId="73" xfId="0" applyFont="1" applyFill="1" applyBorder="1" applyAlignment="1" applyProtection="1">
      <alignment horizontal="left" vertical="center" indent="1"/>
      <protection locked="0"/>
    </xf>
    <xf numFmtId="165" fontId="166" fillId="35" borderId="73" xfId="0" applyFont="1" applyFill="1" applyBorder="1" applyAlignment="1" applyProtection="1">
      <alignment horizontal="left" vertical="center"/>
      <protection locked="0"/>
    </xf>
    <xf numFmtId="165" fontId="60" fillId="36" borderId="74" xfId="0" applyFont="1" applyFill="1" applyBorder="1" applyAlignment="1" applyProtection="1">
      <alignment vertical="center"/>
      <protection locked="0"/>
    </xf>
    <xf numFmtId="166" fontId="30" fillId="0" borderId="75" xfId="830" applyNumberFormat="1" applyFont="1" applyFill="1" applyBorder="1" applyAlignment="1">
      <alignment horizontal="center" vertical="center" wrapText="1"/>
    </xf>
    <xf numFmtId="166" fontId="30" fillId="36" borderId="75" xfId="830" applyNumberFormat="1" applyFont="1" applyFill="1" applyBorder="1" applyAlignment="1">
      <alignment horizontal="center" vertical="center" wrapText="1"/>
    </xf>
    <xf numFmtId="3" fontId="34" fillId="35" borderId="15" xfId="4" applyNumberFormat="1" applyFont="1" applyFill="1" applyBorder="1" applyAlignment="1">
      <alignment horizontal="center" wrapText="1"/>
    </xf>
    <xf numFmtId="189" fontId="125" fillId="0" borderId="0" xfId="0" applyNumberFormat="1" applyFont="1" applyAlignment="1">
      <alignment horizontal="center"/>
    </xf>
    <xf numFmtId="189" fontId="30" fillId="34" borderId="31" xfId="0" applyNumberFormat="1" applyFont="1" applyFill="1" applyBorder="1" applyAlignment="1">
      <alignment horizontal="center" vertical="center"/>
    </xf>
    <xf numFmtId="167" fontId="0" fillId="0" borderId="0" xfId="89" applyNumberFormat="1" applyFont="1"/>
    <xf numFmtId="167" fontId="84" fillId="0" borderId="0" xfId="1" applyNumberFormat="1" applyFont="1"/>
    <xf numFmtId="165" fontId="66" fillId="2" borderId="0" xfId="0" applyFont="1" applyFill="1" applyAlignment="1">
      <alignment horizontal="right" wrapText="1"/>
    </xf>
    <xf numFmtId="166" fontId="31" fillId="35" borderId="0" xfId="942" applyNumberFormat="1" applyFont="1" applyFill="1" applyBorder="1" applyAlignment="1">
      <alignment horizontal="center" vertical="center" wrapText="1"/>
    </xf>
    <xf numFmtId="166" fontId="31" fillId="35" borderId="0" xfId="1000" applyNumberFormat="1" applyFont="1" applyFill="1" applyBorder="1" applyAlignment="1">
      <alignment horizontal="center" vertical="center" wrapText="1"/>
    </xf>
    <xf numFmtId="167" fontId="31" fillId="0" borderId="0" xfId="1" applyNumberFormat="1" applyFont="1" applyAlignment="1">
      <alignment horizontal="right"/>
    </xf>
    <xf numFmtId="3" fontId="106" fillId="0" borderId="0" xfId="0" applyNumberFormat="1" applyFont="1"/>
    <xf numFmtId="167" fontId="55" fillId="0" borderId="0" xfId="1" applyNumberFormat="1" applyFont="1" applyBorder="1" applyProtection="1">
      <protection locked="0"/>
    </xf>
    <xf numFmtId="0" fontId="34" fillId="0" borderId="0" xfId="0" applyNumberFormat="1" applyFont="1"/>
    <xf numFmtId="164" fontId="34" fillId="0" borderId="0" xfId="89" applyFont="1" applyAlignment="1">
      <alignment horizontal="right"/>
    </xf>
    <xf numFmtId="165" fontId="55" fillId="2" borderId="0" xfId="0" applyFont="1" applyFill="1" applyAlignment="1">
      <alignment vertical="top"/>
    </xf>
    <xf numFmtId="167" fontId="55" fillId="0" borderId="0" xfId="1" applyNumberFormat="1" applyFont="1" applyBorder="1"/>
    <xf numFmtId="166" fontId="99" fillId="35" borderId="0" xfId="411" applyNumberFormat="1" applyFont="1" applyFill="1" applyBorder="1" applyAlignment="1">
      <alignment horizontal="center" vertical="center" wrapText="1"/>
    </xf>
    <xf numFmtId="166" fontId="31" fillId="50" borderId="0" xfId="4" applyNumberFormat="1" applyFont="1" applyFill="1" applyBorder="1" applyAlignment="1">
      <alignment horizontal="center" vertical="center" wrapText="1"/>
    </xf>
    <xf numFmtId="166" fontId="0" fillId="2" borderId="0" xfId="0" applyNumberFormat="1" applyFill="1" applyProtection="1">
      <protection locked="0"/>
    </xf>
    <xf numFmtId="9" fontId="0" fillId="2" borderId="0" xfId="0" applyNumberFormat="1" applyFill="1" applyProtection="1">
      <protection locked="0"/>
    </xf>
    <xf numFmtId="188" fontId="31" fillId="0" borderId="0" xfId="0" applyNumberFormat="1" applyFont="1"/>
    <xf numFmtId="166" fontId="31" fillId="35" borderId="0" xfId="1058" applyNumberFormat="1" applyFont="1" applyFill="1" applyBorder="1" applyAlignment="1">
      <alignment horizontal="center" vertical="center" wrapText="1"/>
    </xf>
    <xf numFmtId="167" fontId="31" fillId="0" borderId="0" xfId="89" applyNumberFormat="1" applyFont="1" applyBorder="1" applyProtection="1">
      <protection locked="0"/>
    </xf>
    <xf numFmtId="167" fontId="31" fillId="2" borderId="0" xfId="89" applyNumberFormat="1" applyFont="1" applyFill="1" applyBorder="1" applyProtection="1">
      <protection locked="0"/>
    </xf>
    <xf numFmtId="9" fontId="31" fillId="0" borderId="0" xfId="1" applyFont="1"/>
    <xf numFmtId="166" fontId="95" fillId="0" borderId="0" xfId="0" applyNumberFormat="1" applyFont="1"/>
    <xf numFmtId="0" fontId="111" fillId="39" borderId="63" xfId="467" applyFont="1" applyFill="1" applyBorder="1" applyAlignment="1">
      <alignment horizontal="centerContinuous" wrapText="1"/>
    </xf>
    <xf numFmtId="0" fontId="111" fillId="39" borderId="0" xfId="467" applyFont="1" applyFill="1" applyAlignment="1">
      <alignment horizontal="centerContinuous" wrapText="1"/>
    </xf>
    <xf numFmtId="0" fontId="111" fillId="39" borderId="64" xfId="467" applyFont="1" applyFill="1" applyBorder="1" applyAlignment="1">
      <alignment horizontal="centerContinuous" wrapText="1"/>
    </xf>
    <xf numFmtId="0" fontId="30" fillId="39" borderId="63" xfId="467" applyFont="1" applyFill="1" applyBorder="1" applyAlignment="1">
      <alignment horizontal="centerContinuous" wrapText="1"/>
    </xf>
    <xf numFmtId="0" fontId="30" fillId="39" borderId="0" xfId="467" applyFont="1" applyFill="1" applyAlignment="1">
      <alignment horizontal="centerContinuous" wrapText="1"/>
    </xf>
    <xf numFmtId="0" fontId="30" fillId="39" borderId="64" xfId="467" applyFont="1" applyFill="1" applyBorder="1" applyAlignment="1">
      <alignment horizontal="centerContinuous" wrapText="1"/>
    </xf>
    <xf numFmtId="167" fontId="55" fillId="0" borderId="0" xfId="1" applyNumberFormat="1" applyFont="1"/>
    <xf numFmtId="1" fontId="165" fillId="0" borderId="0" xfId="0" applyNumberFormat="1" applyFont="1" applyAlignment="1">
      <alignment horizontal="center"/>
    </xf>
    <xf numFmtId="9" fontId="55" fillId="0" borderId="0" xfId="0" applyNumberFormat="1" applyFont="1"/>
    <xf numFmtId="165" fontId="55" fillId="0" borderId="0" xfId="0" quotePrefix="1" applyFont="1"/>
    <xf numFmtId="167" fontId="31" fillId="0" borderId="0" xfId="1" applyNumberFormat="1" applyFont="1"/>
    <xf numFmtId="165" fontId="29" fillId="0" borderId="0" xfId="0" applyFont="1"/>
    <xf numFmtId="2" fontId="114" fillId="0" borderId="44" xfId="0" applyNumberFormat="1" applyFont="1" applyBorder="1" applyAlignment="1">
      <alignment horizontal="center" wrapText="1"/>
    </xf>
    <xf numFmtId="167" fontId="84" fillId="0" borderId="0" xfId="89" applyNumberFormat="1" applyFont="1"/>
    <xf numFmtId="165" fontId="84" fillId="0" borderId="0" xfId="0" applyFont="1" applyAlignment="1">
      <alignment horizontal="centerContinuous"/>
    </xf>
    <xf numFmtId="165" fontId="164" fillId="2" borderId="0" xfId="0" applyFont="1" applyFill="1" applyAlignment="1">
      <alignment horizontal="left" vertical="center"/>
    </xf>
    <xf numFmtId="165" fontId="169" fillId="0" borderId="0" xfId="0" applyFont="1" applyAlignment="1">
      <alignment horizontal="center"/>
    </xf>
    <xf numFmtId="176" fontId="169" fillId="0" borderId="0" xfId="0" applyNumberFormat="1" applyFont="1" applyAlignment="1">
      <alignment horizontal="center"/>
    </xf>
    <xf numFmtId="168" fontId="29" fillId="0" borderId="0" xfId="95" applyNumberFormat="1" applyFont="1" applyFill="1" applyAlignment="1">
      <alignment vertical="center"/>
    </xf>
    <xf numFmtId="4" fontId="95" fillId="0" borderId="0" xfId="0" applyNumberFormat="1" applyFont="1"/>
    <xf numFmtId="3" fontId="61" fillId="35" borderId="15" xfId="0" applyNumberFormat="1" applyFont="1" applyFill="1" applyBorder="1" applyAlignment="1">
      <alignment horizontal="center" vertical="center"/>
    </xf>
    <xf numFmtId="165" fontId="187" fillId="0" borderId="0" xfId="0" applyFont="1"/>
    <xf numFmtId="182" fontId="32" fillId="0" borderId="0" xfId="830" applyNumberFormat="1" applyFont="1" applyFill="1" applyBorder="1" applyAlignment="1">
      <alignment horizontal="center" vertical="center" wrapText="1"/>
    </xf>
    <xf numFmtId="165" fontId="95" fillId="2" borderId="0" xfId="0" applyFont="1" applyFill="1"/>
    <xf numFmtId="0" fontId="95" fillId="2" borderId="0" xfId="93" applyFont="1" applyFill="1" applyAlignment="1">
      <alignment vertical="center"/>
    </xf>
    <xf numFmtId="3" fontId="34" fillId="0" borderId="0" xfId="0" applyNumberFormat="1" applyFont="1" applyAlignment="1">
      <alignment horizontal="center"/>
    </xf>
    <xf numFmtId="49" fontId="30" fillId="2" borderId="81" xfId="0" applyNumberFormat="1" applyFont="1" applyFill="1" applyBorder="1" applyAlignment="1">
      <alignment horizontal="center" vertical="center"/>
    </xf>
    <xf numFmtId="167" fontId="106" fillId="0" borderId="0" xfId="1" applyNumberFormat="1" applyFont="1" applyAlignment="1">
      <alignment horizontal="right"/>
    </xf>
    <xf numFmtId="164" fontId="106" fillId="0" borderId="0" xfId="89" applyFont="1" applyAlignment="1">
      <alignment horizontal="right"/>
    </xf>
    <xf numFmtId="165" fontId="80" fillId="0" borderId="0" xfId="0" applyFont="1" applyAlignment="1">
      <alignment horizontal="center"/>
    </xf>
    <xf numFmtId="1" fontId="80" fillId="0" borderId="0" xfId="0" applyNumberFormat="1" applyFont="1"/>
    <xf numFmtId="9" fontId="34" fillId="43" borderId="63" xfId="1" applyFont="1" applyFill="1" applyBorder="1" applyAlignment="1">
      <alignment horizontal="center"/>
    </xf>
    <xf numFmtId="9" fontId="34" fillId="43" borderId="64" xfId="1" applyFont="1" applyFill="1" applyBorder="1" applyAlignment="1">
      <alignment horizontal="center"/>
    </xf>
    <xf numFmtId="9" fontId="34" fillId="43" borderId="0" xfId="1" applyFont="1" applyFill="1" applyBorder="1" applyAlignment="1">
      <alignment horizontal="center"/>
    </xf>
    <xf numFmtId="167" fontId="34" fillId="43" borderId="63" xfId="1" applyNumberFormat="1" applyFont="1" applyFill="1" applyBorder="1" applyAlignment="1">
      <alignment horizontal="center"/>
    </xf>
    <xf numFmtId="167" fontId="34" fillId="43" borderId="0" xfId="1" applyNumberFormat="1" applyFont="1" applyFill="1" applyBorder="1" applyAlignment="1">
      <alignment horizontal="center"/>
    </xf>
    <xf numFmtId="167" fontId="34" fillId="43" borderId="64" xfId="1" applyNumberFormat="1" applyFont="1" applyFill="1" applyBorder="1" applyAlignment="1">
      <alignment horizontal="center"/>
    </xf>
    <xf numFmtId="0" fontId="29" fillId="0" borderId="0" xfId="93" applyFont="1" applyAlignment="1">
      <alignment vertical="center"/>
    </xf>
    <xf numFmtId="165" fontId="31" fillId="0" borderId="26" xfId="0" applyFont="1" applyBorder="1" applyAlignment="1">
      <alignment horizontal="center"/>
    </xf>
    <xf numFmtId="167" fontId="113" fillId="37" borderId="39" xfId="0" applyNumberFormat="1" applyFont="1" applyFill="1" applyBorder="1" applyAlignment="1">
      <alignment horizontal="center" vertical="center" wrapText="1"/>
    </xf>
    <xf numFmtId="166" fontId="31" fillId="36" borderId="26" xfId="4" applyNumberFormat="1" applyFont="1" applyFill="1" applyBorder="1" applyAlignment="1">
      <alignment horizontal="center" vertical="center" wrapText="1"/>
    </xf>
    <xf numFmtId="3" fontId="106" fillId="35" borderId="65" xfId="4" applyNumberFormat="1" applyFont="1" applyFill="1" applyBorder="1" applyAlignment="1">
      <alignment horizontal="center" wrapText="1"/>
    </xf>
    <xf numFmtId="9" fontId="55" fillId="0" borderId="0" xfId="0" applyNumberFormat="1" applyFont="1" applyAlignment="1">
      <alignment horizontal="center"/>
    </xf>
    <xf numFmtId="4" fontId="31" fillId="0" borderId="0" xfId="0" applyNumberFormat="1" applyFont="1" applyProtection="1">
      <protection locked="0"/>
    </xf>
    <xf numFmtId="165" fontId="69" fillId="0" borderId="0" xfId="0" applyFont="1" applyAlignment="1">
      <alignment horizontal="center"/>
    </xf>
    <xf numFmtId="165" fontId="121" fillId="0" borderId="0" xfId="0" applyFont="1" applyAlignment="1">
      <alignment horizontal="right"/>
    </xf>
    <xf numFmtId="165" fontId="68" fillId="0" borderId="0" xfId="0" applyFont="1" applyAlignment="1">
      <alignment horizontal="right" wrapText="1"/>
    </xf>
    <xf numFmtId="165" fontId="171" fillId="0" borderId="0" xfId="0" applyFont="1" applyAlignment="1">
      <alignment horizontal="right" wrapText="1"/>
    </xf>
    <xf numFmtId="165" fontId="95" fillId="0" borderId="0" xfId="0" applyFont="1" applyAlignment="1">
      <alignment horizontal="center"/>
    </xf>
    <xf numFmtId="0" fontId="157" fillId="2" borderId="0" xfId="466" applyFont="1" applyFill="1" applyAlignment="1">
      <alignment horizontal="center"/>
    </xf>
    <xf numFmtId="1" fontId="157" fillId="0" borderId="0" xfId="466" applyNumberFormat="1" applyFont="1"/>
    <xf numFmtId="165" fontId="105" fillId="0" borderId="0" xfId="0" applyFont="1" applyAlignment="1">
      <alignment vertical="center"/>
    </xf>
    <xf numFmtId="168" fontId="55" fillId="0" borderId="0" xfId="89" applyNumberFormat="1" applyFont="1"/>
    <xf numFmtId="167" fontId="165" fillId="0" borderId="0" xfId="1" applyNumberFormat="1" applyFont="1"/>
    <xf numFmtId="166" fontId="73" fillId="2" borderId="0" xfId="0" applyNumberFormat="1" applyFont="1" applyFill="1" applyAlignment="1">
      <alignment horizontal="center"/>
    </xf>
    <xf numFmtId="1" fontId="106" fillId="0" borderId="0" xfId="89" applyNumberFormat="1" applyFont="1" applyBorder="1" applyAlignment="1" applyProtection="1">
      <alignment horizontal="center"/>
      <protection locked="0"/>
    </xf>
    <xf numFmtId="1" fontId="95" fillId="0" borderId="0" xfId="0" applyNumberFormat="1" applyFont="1"/>
    <xf numFmtId="165" fontId="188" fillId="0" borderId="0" xfId="0" applyFont="1"/>
    <xf numFmtId="167" fontId="86" fillId="0" borderId="0" xfId="89" applyNumberFormat="1" applyFont="1"/>
    <xf numFmtId="168" fontId="106" fillId="0" borderId="0" xfId="89" applyNumberFormat="1" applyFont="1" applyBorder="1" applyProtection="1">
      <protection locked="0"/>
    </xf>
    <xf numFmtId="10" fontId="114" fillId="0" borderId="43" xfId="0" applyNumberFormat="1" applyFont="1" applyBorder="1" applyAlignment="1">
      <alignment horizontal="center" wrapText="1"/>
    </xf>
    <xf numFmtId="166" fontId="31" fillId="0" borderId="0" xfId="86" applyNumberFormat="1" applyFont="1"/>
    <xf numFmtId="4" fontId="0" fillId="0" borderId="0" xfId="89" applyNumberFormat="1" applyFont="1"/>
    <xf numFmtId="49" fontId="30" fillId="34" borderId="30" xfId="0" applyNumberFormat="1" applyFont="1" applyFill="1" applyBorder="1" applyAlignment="1">
      <alignment horizontal="center" vertical="center" wrapText="1"/>
    </xf>
    <xf numFmtId="165" fontId="107" fillId="0" borderId="0" xfId="0" applyFont="1"/>
    <xf numFmtId="165" fontId="189" fillId="0" borderId="0" xfId="0" applyFont="1"/>
    <xf numFmtId="167" fontId="0" fillId="0" borderId="0" xfId="0" applyNumberFormat="1"/>
    <xf numFmtId="9" fontId="114" fillId="37" borderId="58" xfId="0" applyNumberFormat="1" applyFont="1" applyFill="1" applyBorder="1" applyAlignment="1">
      <alignment horizontal="center" vertical="center" wrapText="1"/>
    </xf>
    <xf numFmtId="1" fontId="114" fillId="0" borderId="43" xfId="0" applyNumberFormat="1" applyFont="1" applyBorder="1" applyAlignment="1">
      <alignment horizontal="center" vertical="center" wrapText="1"/>
    </xf>
    <xf numFmtId="166" fontId="147" fillId="0" borderId="0" xfId="91" applyNumberFormat="1" applyFont="1" applyFill="1" applyBorder="1" applyAlignment="1">
      <alignment horizontal="right"/>
    </xf>
    <xf numFmtId="0" fontId="190" fillId="0" borderId="0" xfId="93" applyFont="1"/>
    <xf numFmtId="4" fontId="31" fillId="0" borderId="29" xfId="1" quotePrefix="1" applyNumberFormat="1" applyFont="1" applyFill="1" applyBorder="1" applyAlignment="1" applyProtection="1">
      <alignment horizontal="center"/>
      <protection locked="0"/>
    </xf>
    <xf numFmtId="9" fontId="66" fillId="2" borderId="0" xfId="0" applyNumberFormat="1" applyFont="1" applyFill="1" applyAlignment="1">
      <alignment horizontal="right"/>
    </xf>
    <xf numFmtId="185" fontId="111" fillId="35" borderId="0" xfId="4" applyNumberFormat="1" applyFont="1" applyFill="1" applyBorder="1" applyAlignment="1">
      <alignment horizontal="center" vertical="center" wrapText="1"/>
    </xf>
    <xf numFmtId="166" fontId="31" fillId="0" borderId="76" xfId="830" applyNumberFormat="1" applyFont="1" applyFill="1" applyBorder="1" applyAlignment="1">
      <alignment horizontal="center" vertical="center" wrapText="1"/>
    </xf>
    <xf numFmtId="167" fontId="164" fillId="0" borderId="76" xfId="830" applyNumberFormat="1" applyFont="1" applyFill="1" applyBorder="1" applyAlignment="1">
      <alignment horizontal="center" vertical="center" wrapText="1"/>
    </xf>
    <xf numFmtId="166" fontId="30" fillId="0" borderId="77" xfId="830" applyNumberFormat="1" applyFont="1" applyFill="1" applyBorder="1" applyAlignment="1">
      <alignment horizontal="center" vertical="center" wrapText="1"/>
    </xf>
    <xf numFmtId="167" fontId="92" fillId="0" borderId="0" xfId="93" applyNumberFormat="1" applyFont="1"/>
    <xf numFmtId="9" fontId="30" fillId="0" borderId="0" xfId="1" applyFont="1" applyFill="1" applyBorder="1" applyAlignment="1">
      <alignment horizontal="center" vertical="center" wrapText="1"/>
    </xf>
    <xf numFmtId="3" fontId="30" fillId="35" borderId="65" xfId="4" applyNumberFormat="1" applyFont="1" applyFill="1" applyBorder="1" applyAlignment="1">
      <alignment horizontal="center" wrapText="1"/>
    </xf>
    <xf numFmtId="167" fontId="32" fillId="35" borderId="0" xfId="1" applyNumberFormat="1" applyFont="1" applyFill="1" applyBorder="1" applyAlignment="1">
      <alignment horizontal="center" vertical="center" wrapText="1"/>
    </xf>
    <xf numFmtId="167" fontId="32" fillId="35" borderId="14" xfId="1" applyNumberFormat="1" applyFont="1" applyFill="1" applyBorder="1" applyAlignment="1">
      <alignment horizontal="center" vertical="center" wrapText="1"/>
    </xf>
    <xf numFmtId="168" fontId="106" fillId="0" borderId="0" xfId="89" applyNumberFormat="1" applyFont="1"/>
    <xf numFmtId="165" fontId="31" fillId="2" borderId="0" xfId="0" applyFont="1" applyFill="1" applyAlignment="1">
      <alignment vertical="center"/>
    </xf>
    <xf numFmtId="4" fontId="80" fillId="0" borderId="0" xfId="0" applyNumberFormat="1" applyFont="1"/>
    <xf numFmtId="164" fontId="80" fillId="0" borderId="0" xfId="89" applyFont="1"/>
    <xf numFmtId="167" fontId="106" fillId="0" borderId="0" xfId="89" applyNumberFormat="1" applyFont="1" applyBorder="1" applyProtection="1">
      <protection locked="0"/>
    </xf>
    <xf numFmtId="168" fontId="59" fillId="2" borderId="0" xfId="7" applyNumberFormat="1" applyFont="1" applyFill="1" applyAlignment="1" applyProtection="1">
      <alignment horizontal="center"/>
      <protection locked="0"/>
    </xf>
    <xf numFmtId="168" fontId="59" fillId="2" borderId="35" xfId="7" applyNumberFormat="1" applyFont="1" applyFill="1" applyBorder="1" applyAlignment="1" applyProtection="1">
      <alignment horizontal="center"/>
      <protection locked="0"/>
    </xf>
    <xf numFmtId="165" fontId="55" fillId="0" borderId="0" xfId="0" applyFont="1" applyAlignment="1">
      <alignment horizontal="center" vertical="center"/>
    </xf>
    <xf numFmtId="165" fontId="30" fillId="2" borderId="0" xfId="0" applyFont="1" applyFill="1" applyAlignment="1">
      <alignment horizontal="center"/>
    </xf>
    <xf numFmtId="165" fontId="30" fillId="2" borderId="2" xfId="0" applyFont="1" applyFill="1" applyBorder="1" applyAlignment="1">
      <alignment horizontal="center"/>
    </xf>
    <xf numFmtId="168" fontId="59" fillId="2" borderId="0" xfId="7" applyNumberFormat="1" applyFont="1" applyFill="1" applyAlignment="1">
      <alignment horizontal="right"/>
    </xf>
    <xf numFmtId="168" fontId="59" fillId="2" borderId="35" xfId="7" applyNumberFormat="1" applyFont="1" applyFill="1" applyBorder="1" applyAlignment="1">
      <alignment horizontal="right"/>
    </xf>
    <xf numFmtId="167" fontId="114" fillId="45" borderId="78" xfId="0" applyNumberFormat="1" applyFont="1" applyFill="1" applyBorder="1" applyAlignment="1">
      <alignment horizontal="center" vertical="center" wrapText="1"/>
    </xf>
    <xf numFmtId="167" fontId="114" fillId="45" borderId="45" xfId="0" applyNumberFormat="1" applyFont="1" applyFill="1" applyBorder="1" applyAlignment="1">
      <alignment horizontal="center" vertical="center" wrapText="1"/>
    </xf>
    <xf numFmtId="9" fontId="114" fillId="45" borderId="78" xfId="0" applyNumberFormat="1" applyFont="1" applyFill="1" applyBorder="1" applyAlignment="1">
      <alignment horizontal="center" vertical="center" wrapText="1"/>
    </xf>
    <xf numFmtId="9" fontId="114" fillId="45" borderId="45" xfId="0" applyNumberFormat="1" applyFont="1" applyFill="1" applyBorder="1" applyAlignment="1">
      <alignment horizontal="center" vertical="center" wrapText="1"/>
    </xf>
    <xf numFmtId="184" fontId="114" fillId="37" borderId="80" xfId="0" applyNumberFormat="1" applyFont="1" applyFill="1" applyBorder="1" applyAlignment="1">
      <alignment horizontal="center" vertical="center" wrapText="1"/>
    </xf>
    <xf numFmtId="184" fontId="114" fillId="37" borderId="45" xfId="0" applyNumberFormat="1" applyFont="1" applyFill="1" applyBorder="1" applyAlignment="1">
      <alignment horizontal="center" vertical="center" wrapText="1"/>
    </xf>
    <xf numFmtId="167" fontId="114" fillId="37" borderId="78" xfId="0" applyNumberFormat="1" applyFont="1" applyFill="1" applyBorder="1" applyAlignment="1">
      <alignment horizontal="center" vertical="center" wrapText="1"/>
    </xf>
    <xf numFmtId="167" fontId="114" fillId="37" borderId="79" xfId="0" applyNumberFormat="1" applyFont="1" applyFill="1" applyBorder="1" applyAlignment="1">
      <alignment horizontal="center" vertical="center" wrapText="1"/>
    </xf>
    <xf numFmtId="167" fontId="114" fillId="37" borderId="45" xfId="0" applyNumberFormat="1" applyFont="1" applyFill="1" applyBorder="1" applyAlignment="1">
      <alignment horizontal="center" vertical="center" wrapText="1"/>
    </xf>
    <xf numFmtId="0" fontId="30" fillId="39" borderId="63" xfId="467" applyFont="1" applyFill="1" applyBorder="1" applyAlignment="1">
      <alignment horizontal="center" wrapText="1"/>
    </xf>
    <xf numFmtId="0" fontId="30" fillId="39" borderId="0" xfId="467" applyFont="1" applyFill="1" applyAlignment="1">
      <alignment horizontal="center" wrapText="1"/>
    </xf>
    <xf numFmtId="0" fontId="30" fillId="39" borderId="64" xfId="467" applyFont="1" applyFill="1" applyBorder="1" applyAlignment="1">
      <alignment horizontal="center" wrapText="1"/>
    </xf>
    <xf numFmtId="0" fontId="62" fillId="39" borderId="63" xfId="467" applyFont="1" applyFill="1" applyBorder="1" applyAlignment="1">
      <alignment horizontal="center" wrapText="1"/>
    </xf>
    <xf numFmtId="0" fontId="62" fillId="39" borderId="64" xfId="467" applyFont="1" applyFill="1" applyBorder="1" applyAlignment="1">
      <alignment horizontal="center" wrapText="1"/>
    </xf>
    <xf numFmtId="49" fontId="30" fillId="34" borderId="30" xfId="0" applyNumberFormat="1" applyFont="1" applyFill="1" applyBorder="1" applyAlignment="1">
      <alignment horizontal="center" vertical="center"/>
    </xf>
    <xf numFmtId="49" fontId="30" fillId="34" borderId="29" xfId="0" applyNumberFormat="1" applyFont="1" applyFill="1" applyBorder="1" applyAlignment="1">
      <alignment horizontal="center" vertical="center"/>
    </xf>
    <xf numFmtId="49" fontId="30" fillId="34" borderId="31" xfId="0" applyNumberFormat="1" applyFont="1" applyFill="1" applyBorder="1" applyAlignment="1">
      <alignment horizontal="center" vertical="center"/>
    </xf>
    <xf numFmtId="165" fontId="83" fillId="0" borderId="0" xfId="0" applyFont="1" applyAlignment="1">
      <alignment horizontal="center" vertical="center" wrapText="1"/>
    </xf>
    <xf numFmtId="14" fontId="83" fillId="0" borderId="0" xfId="0" applyNumberFormat="1" applyFont="1" applyAlignment="1">
      <alignment horizontal="center" vertical="center" wrapText="1"/>
    </xf>
    <xf numFmtId="49" fontId="30" fillId="34" borderId="30" xfId="0" applyNumberFormat="1" applyFont="1" applyFill="1" applyBorder="1" applyAlignment="1">
      <alignment horizontal="center" vertical="center" wrapText="1"/>
    </xf>
    <xf numFmtId="49" fontId="30" fillId="34" borderId="29" xfId="0" applyNumberFormat="1" applyFont="1" applyFill="1" applyBorder="1" applyAlignment="1">
      <alignment horizontal="center" vertical="center" wrapText="1"/>
    </xf>
    <xf numFmtId="49" fontId="30" fillId="34" borderId="31" xfId="0" applyNumberFormat="1" applyFont="1" applyFill="1" applyBorder="1" applyAlignment="1">
      <alignment horizontal="center" vertical="center" wrapText="1"/>
    </xf>
  </cellXfs>
  <cellStyles count="2173">
    <cellStyle name="20% - Ênfase1 2" xfId="29" xr:uid="{00000000-0005-0000-0000-000000000000}"/>
    <cellStyle name="20% - Ênfase1 2 2" xfId="156" xr:uid="{00000000-0005-0000-0000-000001000000}"/>
    <cellStyle name="20% - Ênfase1 2 2 2" xfId="425" xr:uid="{00000000-0005-0000-0000-000002000000}"/>
    <cellStyle name="20% - Ênfase1 2 2 2 2" xfId="844" xr:uid="{00000000-0005-0000-0000-000003000000}"/>
    <cellStyle name="20% - Ênfase1 2 2 2 2 2" xfId="1906" xr:uid="{00000000-0005-0000-0000-000004000000}"/>
    <cellStyle name="20% - Ênfase1 2 2 2 3" xfId="1487" xr:uid="{00000000-0005-0000-0000-000005000000}"/>
    <cellStyle name="20% - Ênfase1 2 2 3" xfId="241" xr:uid="{00000000-0005-0000-0000-000006000000}"/>
    <cellStyle name="20% - Ênfase1 2 2 3 2" xfId="660" xr:uid="{00000000-0005-0000-0000-000007000000}"/>
    <cellStyle name="20% - Ênfase1 2 2 3 2 2" xfId="1722" xr:uid="{00000000-0005-0000-0000-000008000000}"/>
    <cellStyle name="20% - Ênfase1 2 2 3 3" xfId="1303" xr:uid="{00000000-0005-0000-0000-000009000000}"/>
    <cellStyle name="20% - Ênfase1 2 2 4" xfId="575" xr:uid="{00000000-0005-0000-0000-00000A000000}"/>
    <cellStyle name="20% - Ênfase1 2 2 4 2" xfId="1637" xr:uid="{00000000-0005-0000-0000-00000B000000}"/>
    <cellStyle name="20% - Ênfase1 2 2 5" xfId="1218" xr:uid="{00000000-0005-0000-0000-00000C000000}"/>
    <cellStyle name="20% - Ênfase1 2 3" xfId="111" xr:uid="{00000000-0005-0000-0000-00000D000000}"/>
    <cellStyle name="20% - Ênfase1 2 3 2" xfId="380" xr:uid="{00000000-0005-0000-0000-00000E000000}"/>
    <cellStyle name="20% - Ênfase1 2 3 2 2" xfId="799" xr:uid="{00000000-0005-0000-0000-00000F000000}"/>
    <cellStyle name="20% - Ênfase1 2 3 2 2 2" xfId="1861" xr:uid="{00000000-0005-0000-0000-000010000000}"/>
    <cellStyle name="20% - Ênfase1 2 3 2 3" xfId="1442" xr:uid="{00000000-0005-0000-0000-000011000000}"/>
    <cellStyle name="20% - Ênfase1 2 3 3" xfId="287" xr:uid="{00000000-0005-0000-0000-000012000000}"/>
    <cellStyle name="20% - Ênfase1 2 3 3 2" xfId="706" xr:uid="{00000000-0005-0000-0000-000013000000}"/>
    <cellStyle name="20% - Ênfase1 2 3 3 2 2" xfId="1768" xr:uid="{00000000-0005-0000-0000-000014000000}"/>
    <cellStyle name="20% - Ênfase1 2 3 3 3" xfId="1349" xr:uid="{00000000-0005-0000-0000-000015000000}"/>
    <cellStyle name="20% - Ênfase1 2 3 4" xfId="530" xr:uid="{00000000-0005-0000-0000-000016000000}"/>
    <cellStyle name="20% - Ênfase1 2 3 4 2" xfId="1592" xr:uid="{00000000-0005-0000-0000-000017000000}"/>
    <cellStyle name="20% - Ênfase1 2 3 5" xfId="1173" xr:uid="{00000000-0005-0000-0000-000018000000}"/>
    <cellStyle name="20% - Ênfase1 2 4" xfId="338" xr:uid="{00000000-0005-0000-0000-000019000000}"/>
    <cellStyle name="20% - Ênfase1 2 4 2" xfId="757" xr:uid="{00000000-0005-0000-0000-00001A000000}"/>
    <cellStyle name="20% - Ênfase1 2 4 2 2" xfId="1819" xr:uid="{00000000-0005-0000-0000-00001B000000}"/>
    <cellStyle name="20% - Ênfase1 2 4 3" xfId="1400" xr:uid="{00000000-0005-0000-0000-00001C000000}"/>
    <cellStyle name="20% - Ênfase1 2 5" xfId="200" xr:uid="{00000000-0005-0000-0000-00001D000000}"/>
    <cellStyle name="20% - Ênfase1 2 5 2" xfId="619" xr:uid="{00000000-0005-0000-0000-00001E000000}"/>
    <cellStyle name="20% - Ênfase1 2 5 2 2" xfId="1681" xr:uid="{00000000-0005-0000-0000-00001F000000}"/>
    <cellStyle name="20% - Ênfase1 2 5 3" xfId="1262" xr:uid="{00000000-0005-0000-0000-000020000000}"/>
    <cellStyle name="20% - Ênfase1 2 6" xfId="484" xr:uid="{00000000-0005-0000-0000-000021000000}"/>
    <cellStyle name="20% - Ênfase1 2 6 2" xfId="1546" xr:uid="{00000000-0005-0000-0000-000022000000}"/>
    <cellStyle name="20% - Ênfase1 2 7" xfId="1127" xr:uid="{00000000-0005-0000-0000-000023000000}"/>
    <cellStyle name="20% - Ênfase2 2" xfId="30" xr:uid="{00000000-0005-0000-0000-000024000000}"/>
    <cellStyle name="20% - Ênfase2 2 2" xfId="157" xr:uid="{00000000-0005-0000-0000-000025000000}"/>
    <cellStyle name="20% - Ênfase2 2 2 2" xfId="426" xr:uid="{00000000-0005-0000-0000-000026000000}"/>
    <cellStyle name="20% - Ênfase2 2 2 2 2" xfId="845" xr:uid="{00000000-0005-0000-0000-000027000000}"/>
    <cellStyle name="20% - Ênfase2 2 2 2 2 2" xfId="1907" xr:uid="{00000000-0005-0000-0000-000028000000}"/>
    <cellStyle name="20% - Ênfase2 2 2 2 3" xfId="1488" xr:uid="{00000000-0005-0000-0000-000029000000}"/>
    <cellStyle name="20% - Ênfase2 2 2 3" xfId="242" xr:uid="{00000000-0005-0000-0000-00002A000000}"/>
    <cellStyle name="20% - Ênfase2 2 2 3 2" xfId="661" xr:uid="{00000000-0005-0000-0000-00002B000000}"/>
    <cellStyle name="20% - Ênfase2 2 2 3 2 2" xfId="1723" xr:uid="{00000000-0005-0000-0000-00002C000000}"/>
    <cellStyle name="20% - Ênfase2 2 2 3 3" xfId="1304" xr:uid="{00000000-0005-0000-0000-00002D000000}"/>
    <cellStyle name="20% - Ênfase2 2 2 4" xfId="576" xr:uid="{00000000-0005-0000-0000-00002E000000}"/>
    <cellStyle name="20% - Ênfase2 2 2 4 2" xfId="1638" xr:uid="{00000000-0005-0000-0000-00002F000000}"/>
    <cellStyle name="20% - Ênfase2 2 2 5" xfId="1219" xr:uid="{00000000-0005-0000-0000-000030000000}"/>
    <cellStyle name="20% - Ênfase2 2 3" xfId="112" xr:uid="{00000000-0005-0000-0000-000031000000}"/>
    <cellStyle name="20% - Ênfase2 2 3 2" xfId="381" xr:uid="{00000000-0005-0000-0000-000032000000}"/>
    <cellStyle name="20% - Ênfase2 2 3 2 2" xfId="800" xr:uid="{00000000-0005-0000-0000-000033000000}"/>
    <cellStyle name="20% - Ênfase2 2 3 2 2 2" xfId="1862" xr:uid="{00000000-0005-0000-0000-000034000000}"/>
    <cellStyle name="20% - Ênfase2 2 3 2 3" xfId="1443" xr:uid="{00000000-0005-0000-0000-000035000000}"/>
    <cellStyle name="20% - Ênfase2 2 3 3" xfId="288" xr:uid="{00000000-0005-0000-0000-000036000000}"/>
    <cellStyle name="20% - Ênfase2 2 3 3 2" xfId="707" xr:uid="{00000000-0005-0000-0000-000037000000}"/>
    <cellStyle name="20% - Ênfase2 2 3 3 2 2" xfId="1769" xr:uid="{00000000-0005-0000-0000-000038000000}"/>
    <cellStyle name="20% - Ênfase2 2 3 3 3" xfId="1350" xr:uid="{00000000-0005-0000-0000-000039000000}"/>
    <cellStyle name="20% - Ênfase2 2 3 4" xfId="531" xr:uid="{00000000-0005-0000-0000-00003A000000}"/>
    <cellStyle name="20% - Ênfase2 2 3 4 2" xfId="1593" xr:uid="{00000000-0005-0000-0000-00003B000000}"/>
    <cellStyle name="20% - Ênfase2 2 3 5" xfId="1174" xr:uid="{00000000-0005-0000-0000-00003C000000}"/>
    <cellStyle name="20% - Ênfase2 2 4" xfId="339" xr:uid="{00000000-0005-0000-0000-00003D000000}"/>
    <cellStyle name="20% - Ênfase2 2 4 2" xfId="758" xr:uid="{00000000-0005-0000-0000-00003E000000}"/>
    <cellStyle name="20% - Ênfase2 2 4 2 2" xfId="1820" xr:uid="{00000000-0005-0000-0000-00003F000000}"/>
    <cellStyle name="20% - Ênfase2 2 4 3" xfId="1401" xr:uid="{00000000-0005-0000-0000-000040000000}"/>
    <cellStyle name="20% - Ênfase2 2 5" xfId="201" xr:uid="{00000000-0005-0000-0000-000041000000}"/>
    <cellStyle name="20% - Ênfase2 2 5 2" xfId="620" xr:uid="{00000000-0005-0000-0000-000042000000}"/>
    <cellStyle name="20% - Ênfase2 2 5 2 2" xfId="1682" xr:uid="{00000000-0005-0000-0000-000043000000}"/>
    <cellStyle name="20% - Ênfase2 2 5 3" xfId="1263" xr:uid="{00000000-0005-0000-0000-000044000000}"/>
    <cellStyle name="20% - Ênfase2 2 6" xfId="485" xr:uid="{00000000-0005-0000-0000-000045000000}"/>
    <cellStyle name="20% - Ênfase2 2 6 2" xfId="1547" xr:uid="{00000000-0005-0000-0000-000046000000}"/>
    <cellStyle name="20% - Ênfase2 2 7" xfId="1128" xr:uid="{00000000-0005-0000-0000-000047000000}"/>
    <cellStyle name="20% - Ênfase3 2" xfId="31" xr:uid="{00000000-0005-0000-0000-000048000000}"/>
    <cellStyle name="20% - Ênfase3 2 2" xfId="158" xr:uid="{00000000-0005-0000-0000-000049000000}"/>
    <cellStyle name="20% - Ênfase3 2 2 2" xfId="427" xr:uid="{00000000-0005-0000-0000-00004A000000}"/>
    <cellStyle name="20% - Ênfase3 2 2 2 2" xfId="846" xr:uid="{00000000-0005-0000-0000-00004B000000}"/>
    <cellStyle name="20% - Ênfase3 2 2 2 2 2" xfId="1908" xr:uid="{00000000-0005-0000-0000-00004C000000}"/>
    <cellStyle name="20% - Ênfase3 2 2 2 3" xfId="1489" xr:uid="{00000000-0005-0000-0000-00004D000000}"/>
    <cellStyle name="20% - Ênfase3 2 2 3" xfId="243" xr:uid="{00000000-0005-0000-0000-00004E000000}"/>
    <cellStyle name="20% - Ênfase3 2 2 3 2" xfId="662" xr:uid="{00000000-0005-0000-0000-00004F000000}"/>
    <cellStyle name="20% - Ênfase3 2 2 3 2 2" xfId="1724" xr:uid="{00000000-0005-0000-0000-000050000000}"/>
    <cellStyle name="20% - Ênfase3 2 2 3 3" xfId="1305" xr:uid="{00000000-0005-0000-0000-000051000000}"/>
    <cellStyle name="20% - Ênfase3 2 2 4" xfId="577" xr:uid="{00000000-0005-0000-0000-000052000000}"/>
    <cellStyle name="20% - Ênfase3 2 2 4 2" xfId="1639" xr:uid="{00000000-0005-0000-0000-000053000000}"/>
    <cellStyle name="20% - Ênfase3 2 2 5" xfId="1220" xr:uid="{00000000-0005-0000-0000-000054000000}"/>
    <cellStyle name="20% - Ênfase3 2 3" xfId="113" xr:uid="{00000000-0005-0000-0000-000055000000}"/>
    <cellStyle name="20% - Ênfase3 2 3 2" xfId="382" xr:uid="{00000000-0005-0000-0000-000056000000}"/>
    <cellStyle name="20% - Ênfase3 2 3 2 2" xfId="801" xr:uid="{00000000-0005-0000-0000-000057000000}"/>
    <cellStyle name="20% - Ênfase3 2 3 2 2 2" xfId="1863" xr:uid="{00000000-0005-0000-0000-000058000000}"/>
    <cellStyle name="20% - Ênfase3 2 3 2 3" xfId="1444" xr:uid="{00000000-0005-0000-0000-000059000000}"/>
    <cellStyle name="20% - Ênfase3 2 3 3" xfId="289" xr:uid="{00000000-0005-0000-0000-00005A000000}"/>
    <cellStyle name="20% - Ênfase3 2 3 3 2" xfId="708" xr:uid="{00000000-0005-0000-0000-00005B000000}"/>
    <cellStyle name="20% - Ênfase3 2 3 3 2 2" xfId="1770" xr:uid="{00000000-0005-0000-0000-00005C000000}"/>
    <cellStyle name="20% - Ênfase3 2 3 3 3" xfId="1351" xr:uid="{00000000-0005-0000-0000-00005D000000}"/>
    <cellStyle name="20% - Ênfase3 2 3 4" xfId="532" xr:uid="{00000000-0005-0000-0000-00005E000000}"/>
    <cellStyle name="20% - Ênfase3 2 3 4 2" xfId="1594" xr:uid="{00000000-0005-0000-0000-00005F000000}"/>
    <cellStyle name="20% - Ênfase3 2 3 5" xfId="1175" xr:uid="{00000000-0005-0000-0000-000060000000}"/>
    <cellStyle name="20% - Ênfase3 2 4" xfId="340" xr:uid="{00000000-0005-0000-0000-000061000000}"/>
    <cellStyle name="20% - Ênfase3 2 4 2" xfId="759" xr:uid="{00000000-0005-0000-0000-000062000000}"/>
    <cellStyle name="20% - Ênfase3 2 4 2 2" xfId="1821" xr:uid="{00000000-0005-0000-0000-000063000000}"/>
    <cellStyle name="20% - Ênfase3 2 4 3" xfId="1402" xr:uid="{00000000-0005-0000-0000-000064000000}"/>
    <cellStyle name="20% - Ênfase3 2 5" xfId="202" xr:uid="{00000000-0005-0000-0000-000065000000}"/>
    <cellStyle name="20% - Ênfase3 2 5 2" xfId="621" xr:uid="{00000000-0005-0000-0000-000066000000}"/>
    <cellStyle name="20% - Ênfase3 2 5 2 2" xfId="1683" xr:uid="{00000000-0005-0000-0000-000067000000}"/>
    <cellStyle name="20% - Ênfase3 2 5 3" xfId="1264" xr:uid="{00000000-0005-0000-0000-000068000000}"/>
    <cellStyle name="20% - Ênfase3 2 6" xfId="486" xr:uid="{00000000-0005-0000-0000-000069000000}"/>
    <cellStyle name="20% - Ênfase3 2 6 2" xfId="1548" xr:uid="{00000000-0005-0000-0000-00006A000000}"/>
    <cellStyle name="20% - Ênfase3 2 7" xfId="1129" xr:uid="{00000000-0005-0000-0000-00006B000000}"/>
    <cellStyle name="20% - Ênfase4 2" xfId="32" xr:uid="{00000000-0005-0000-0000-00006C000000}"/>
    <cellStyle name="20% - Ênfase4 2 2" xfId="159" xr:uid="{00000000-0005-0000-0000-00006D000000}"/>
    <cellStyle name="20% - Ênfase4 2 2 2" xfId="428" xr:uid="{00000000-0005-0000-0000-00006E000000}"/>
    <cellStyle name="20% - Ênfase4 2 2 2 2" xfId="847" xr:uid="{00000000-0005-0000-0000-00006F000000}"/>
    <cellStyle name="20% - Ênfase4 2 2 2 2 2" xfId="1909" xr:uid="{00000000-0005-0000-0000-000070000000}"/>
    <cellStyle name="20% - Ênfase4 2 2 2 3" xfId="1490" xr:uid="{00000000-0005-0000-0000-000071000000}"/>
    <cellStyle name="20% - Ênfase4 2 2 3" xfId="244" xr:uid="{00000000-0005-0000-0000-000072000000}"/>
    <cellStyle name="20% - Ênfase4 2 2 3 2" xfId="663" xr:uid="{00000000-0005-0000-0000-000073000000}"/>
    <cellStyle name="20% - Ênfase4 2 2 3 2 2" xfId="1725" xr:uid="{00000000-0005-0000-0000-000074000000}"/>
    <cellStyle name="20% - Ênfase4 2 2 3 3" xfId="1306" xr:uid="{00000000-0005-0000-0000-000075000000}"/>
    <cellStyle name="20% - Ênfase4 2 2 4" xfId="578" xr:uid="{00000000-0005-0000-0000-000076000000}"/>
    <cellStyle name="20% - Ênfase4 2 2 4 2" xfId="1640" xr:uid="{00000000-0005-0000-0000-000077000000}"/>
    <cellStyle name="20% - Ênfase4 2 2 5" xfId="1221" xr:uid="{00000000-0005-0000-0000-000078000000}"/>
    <cellStyle name="20% - Ênfase4 2 3" xfId="114" xr:uid="{00000000-0005-0000-0000-000079000000}"/>
    <cellStyle name="20% - Ênfase4 2 3 2" xfId="383" xr:uid="{00000000-0005-0000-0000-00007A000000}"/>
    <cellStyle name="20% - Ênfase4 2 3 2 2" xfId="802" xr:uid="{00000000-0005-0000-0000-00007B000000}"/>
    <cellStyle name="20% - Ênfase4 2 3 2 2 2" xfId="1864" xr:uid="{00000000-0005-0000-0000-00007C000000}"/>
    <cellStyle name="20% - Ênfase4 2 3 2 3" xfId="1445" xr:uid="{00000000-0005-0000-0000-00007D000000}"/>
    <cellStyle name="20% - Ênfase4 2 3 3" xfId="290" xr:uid="{00000000-0005-0000-0000-00007E000000}"/>
    <cellStyle name="20% - Ênfase4 2 3 3 2" xfId="709" xr:uid="{00000000-0005-0000-0000-00007F000000}"/>
    <cellStyle name="20% - Ênfase4 2 3 3 2 2" xfId="1771" xr:uid="{00000000-0005-0000-0000-000080000000}"/>
    <cellStyle name="20% - Ênfase4 2 3 3 3" xfId="1352" xr:uid="{00000000-0005-0000-0000-000081000000}"/>
    <cellStyle name="20% - Ênfase4 2 3 4" xfId="533" xr:uid="{00000000-0005-0000-0000-000082000000}"/>
    <cellStyle name="20% - Ênfase4 2 3 4 2" xfId="1595" xr:uid="{00000000-0005-0000-0000-000083000000}"/>
    <cellStyle name="20% - Ênfase4 2 3 5" xfId="1176" xr:uid="{00000000-0005-0000-0000-000084000000}"/>
    <cellStyle name="20% - Ênfase4 2 4" xfId="341" xr:uid="{00000000-0005-0000-0000-000085000000}"/>
    <cellStyle name="20% - Ênfase4 2 4 2" xfId="760" xr:uid="{00000000-0005-0000-0000-000086000000}"/>
    <cellStyle name="20% - Ênfase4 2 4 2 2" xfId="1822" xr:uid="{00000000-0005-0000-0000-000087000000}"/>
    <cellStyle name="20% - Ênfase4 2 4 3" xfId="1403" xr:uid="{00000000-0005-0000-0000-000088000000}"/>
    <cellStyle name="20% - Ênfase4 2 5" xfId="203" xr:uid="{00000000-0005-0000-0000-000089000000}"/>
    <cellStyle name="20% - Ênfase4 2 5 2" xfId="622" xr:uid="{00000000-0005-0000-0000-00008A000000}"/>
    <cellStyle name="20% - Ênfase4 2 5 2 2" xfId="1684" xr:uid="{00000000-0005-0000-0000-00008B000000}"/>
    <cellStyle name="20% - Ênfase4 2 5 3" xfId="1265" xr:uid="{00000000-0005-0000-0000-00008C000000}"/>
    <cellStyle name="20% - Ênfase4 2 6" xfId="487" xr:uid="{00000000-0005-0000-0000-00008D000000}"/>
    <cellStyle name="20% - Ênfase4 2 6 2" xfId="1549" xr:uid="{00000000-0005-0000-0000-00008E000000}"/>
    <cellStyle name="20% - Ênfase4 2 7" xfId="1130" xr:uid="{00000000-0005-0000-0000-00008F000000}"/>
    <cellStyle name="20% - Ênfase5 2" xfId="33" xr:uid="{00000000-0005-0000-0000-000090000000}"/>
    <cellStyle name="20% - Ênfase5 2 2" xfId="160" xr:uid="{00000000-0005-0000-0000-000091000000}"/>
    <cellStyle name="20% - Ênfase5 2 2 2" xfId="429" xr:uid="{00000000-0005-0000-0000-000092000000}"/>
    <cellStyle name="20% - Ênfase5 2 2 2 2" xfId="848" xr:uid="{00000000-0005-0000-0000-000093000000}"/>
    <cellStyle name="20% - Ênfase5 2 2 2 2 2" xfId="1910" xr:uid="{00000000-0005-0000-0000-000094000000}"/>
    <cellStyle name="20% - Ênfase5 2 2 2 3" xfId="1491" xr:uid="{00000000-0005-0000-0000-000095000000}"/>
    <cellStyle name="20% - Ênfase5 2 2 3" xfId="245" xr:uid="{00000000-0005-0000-0000-000096000000}"/>
    <cellStyle name="20% - Ênfase5 2 2 3 2" xfId="664" xr:uid="{00000000-0005-0000-0000-000097000000}"/>
    <cellStyle name="20% - Ênfase5 2 2 3 2 2" xfId="1726" xr:uid="{00000000-0005-0000-0000-000098000000}"/>
    <cellStyle name="20% - Ênfase5 2 2 3 3" xfId="1307" xr:uid="{00000000-0005-0000-0000-000099000000}"/>
    <cellStyle name="20% - Ênfase5 2 2 4" xfId="579" xr:uid="{00000000-0005-0000-0000-00009A000000}"/>
    <cellStyle name="20% - Ênfase5 2 2 4 2" xfId="1641" xr:uid="{00000000-0005-0000-0000-00009B000000}"/>
    <cellStyle name="20% - Ênfase5 2 2 5" xfId="1222" xr:uid="{00000000-0005-0000-0000-00009C000000}"/>
    <cellStyle name="20% - Ênfase5 2 3" xfId="115" xr:uid="{00000000-0005-0000-0000-00009D000000}"/>
    <cellStyle name="20% - Ênfase5 2 3 2" xfId="384" xr:uid="{00000000-0005-0000-0000-00009E000000}"/>
    <cellStyle name="20% - Ênfase5 2 3 2 2" xfId="803" xr:uid="{00000000-0005-0000-0000-00009F000000}"/>
    <cellStyle name="20% - Ênfase5 2 3 2 2 2" xfId="1865" xr:uid="{00000000-0005-0000-0000-0000A0000000}"/>
    <cellStyle name="20% - Ênfase5 2 3 2 3" xfId="1446" xr:uid="{00000000-0005-0000-0000-0000A1000000}"/>
    <cellStyle name="20% - Ênfase5 2 3 3" xfId="291" xr:uid="{00000000-0005-0000-0000-0000A2000000}"/>
    <cellStyle name="20% - Ênfase5 2 3 3 2" xfId="710" xr:uid="{00000000-0005-0000-0000-0000A3000000}"/>
    <cellStyle name="20% - Ênfase5 2 3 3 2 2" xfId="1772" xr:uid="{00000000-0005-0000-0000-0000A4000000}"/>
    <cellStyle name="20% - Ênfase5 2 3 3 3" xfId="1353" xr:uid="{00000000-0005-0000-0000-0000A5000000}"/>
    <cellStyle name="20% - Ênfase5 2 3 4" xfId="534" xr:uid="{00000000-0005-0000-0000-0000A6000000}"/>
    <cellStyle name="20% - Ênfase5 2 3 4 2" xfId="1596" xr:uid="{00000000-0005-0000-0000-0000A7000000}"/>
    <cellStyle name="20% - Ênfase5 2 3 5" xfId="1177" xr:uid="{00000000-0005-0000-0000-0000A8000000}"/>
    <cellStyle name="20% - Ênfase5 2 4" xfId="342" xr:uid="{00000000-0005-0000-0000-0000A9000000}"/>
    <cellStyle name="20% - Ênfase5 2 4 2" xfId="761" xr:uid="{00000000-0005-0000-0000-0000AA000000}"/>
    <cellStyle name="20% - Ênfase5 2 4 2 2" xfId="1823" xr:uid="{00000000-0005-0000-0000-0000AB000000}"/>
    <cellStyle name="20% - Ênfase5 2 4 3" xfId="1404" xr:uid="{00000000-0005-0000-0000-0000AC000000}"/>
    <cellStyle name="20% - Ênfase5 2 5" xfId="204" xr:uid="{00000000-0005-0000-0000-0000AD000000}"/>
    <cellStyle name="20% - Ênfase5 2 5 2" xfId="623" xr:uid="{00000000-0005-0000-0000-0000AE000000}"/>
    <cellStyle name="20% - Ênfase5 2 5 2 2" xfId="1685" xr:uid="{00000000-0005-0000-0000-0000AF000000}"/>
    <cellStyle name="20% - Ênfase5 2 5 3" xfId="1266" xr:uid="{00000000-0005-0000-0000-0000B0000000}"/>
    <cellStyle name="20% - Ênfase5 2 6" xfId="488" xr:uid="{00000000-0005-0000-0000-0000B1000000}"/>
    <cellStyle name="20% - Ênfase5 2 6 2" xfId="1550" xr:uid="{00000000-0005-0000-0000-0000B2000000}"/>
    <cellStyle name="20% - Ênfase5 2 7" xfId="1131" xr:uid="{00000000-0005-0000-0000-0000B3000000}"/>
    <cellStyle name="20% - Ênfase6 2" xfId="34" xr:uid="{00000000-0005-0000-0000-0000B4000000}"/>
    <cellStyle name="20% - Ênfase6 2 2" xfId="161" xr:uid="{00000000-0005-0000-0000-0000B5000000}"/>
    <cellStyle name="20% - Ênfase6 2 2 2" xfId="430" xr:uid="{00000000-0005-0000-0000-0000B6000000}"/>
    <cellStyle name="20% - Ênfase6 2 2 2 2" xfId="849" xr:uid="{00000000-0005-0000-0000-0000B7000000}"/>
    <cellStyle name="20% - Ênfase6 2 2 2 2 2" xfId="1911" xr:uid="{00000000-0005-0000-0000-0000B8000000}"/>
    <cellStyle name="20% - Ênfase6 2 2 2 3" xfId="1492" xr:uid="{00000000-0005-0000-0000-0000B9000000}"/>
    <cellStyle name="20% - Ênfase6 2 2 3" xfId="246" xr:uid="{00000000-0005-0000-0000-0000BA000000}"/>
    <cellStyle name="20% - Ênfase6 2 2 3 2" xfId="665" xr:uid="{00000000-0005-0000-0000-0000BB000000}"/>
    <cellStyle name="20% - Ênfase6 2 2 3 2 2" xfId="1727" xr:uid="{00000000-0005-0000-0000-0000BC000000}"/>
    <cellStyle name="20% - Ênfase6 2 2 3 3" xfId="1308" xr:uid="{00000000-0005-0000-0000-0000BD000000}"/>
    <cellStyle name="20% - Ênfase6 2 2 4" xfId="580" xr:uid="{00000000-0005-0000-0000-0000BE000000}"/>
    <cellStyle name="20% - Ênfase6 2 2 4 2" xfId="1642" xr:uid="{00000000-0005-0000-0000-0000BF000000}"/>
    <cellStyle name="20% - Ênfase6 2 2 5" xfId="1223" xr:uid="{00000000-0005-0000-0000-0000C0000000}"/>
    <cellStyle name="20% - Ênfase6 2 3" xfId="116" xr:uid="{00000000-0005-0000-0000-0000C1000000}"/>
    <cellStyle name="20% - Ênfase6 2 3 2" xfId="385" xr:uid="{00000000-0005-0000-0000-0000C2000000}"/>
    <cellStyle name="20% - Ênfase6 2 3 2 2" xfId="804" xr:uid="{00000000-0005-0000-0000-0000C3000000}"/>
    <cellStyle name="20% - Ênfase6 2 3 2 2 2" xfId="1866" xr:uid="{00000000-0005-0000-0000-0000C4000000}"/>
    <cellStyle name="20% - Ênfase6 2 3 2 3" xfId="1447" xr:uid="{00000000-0005-0000-0000-0000C5000000}"/>
    <cellStyle name="20% - Ênfase6 2 3 3" xfId="292" xr:uid="{00000000-0005-0000-0000-0000C6000000}"/>
    <cellStyle name="20% - Ênfase6 2 3 3 2" xfId="711" xr:uid="{00000000-0005-0000-0000-0000C7000000}"/>
    <cellStyle name="20% - Ênfase6 2 3 3 2 2" xfId="1773" xr:uid="{00000000-0005-0000-0000-0000C8000000}"/>
    <cellStyle name="20% - Ênfase6 2 3 3 3" xfId="1354" xr:uid="{00000000-0005-0000-0000-0000C9000000}"/>
    <cellStyle name="20% - Ênfase6 2 3 4" xfId="535" xr:uid="{00000000-0005-0000-0000-0000CA000000}"/>
    <cellStyle name="20% - Ênfase6 2 3 4 2" xfId="1597" xr:uid="{00000000-0005-0000-0000-0000CB000000}"/>
    <cellStyle name="20% - Ênfase6 2 3 5" xfId="1178" xr:uid="{00000000-0005-0000-0000-0000CC000000}"/>
    <cellStyle name="20% - Ênfase6 2 4" xfId="343" xr:uid="{00000000-0005-0000-0000-0000CD000000}"/>
    <cellStyle name="20% - Ênfase6 2 4 2" xfId="762" xr:uid="{00000000-0005-0000-0000-0000CE000000}"/>
    <cellStyle name="20% - Ênfase6 2 4 2 2" xfId="1824" xr:uid="{00000000-0005-0000-0000-0000CF000000}"/>
    <cellStyle name="20% - Ênfase6 2 4 3" xfId="1405" xr:uid="{00000000-0005-0000-0000-0000D0000000}"/>
    <cellStyle name="20% - Ênfase6 2 5" xfId="205" xr:uid="{00000000-0005-0000-0000-0000D1000000}"/>
    <cellStyle name="20% - Ênfase6 2 5 2" xfId="624" xr:uid="{00000000-0005-0000-0000-0000D2000000}"/>
    <cellStyle name="20% - Ênfase6 2 5 2 2" xfId="1686" xr:uid="{00000000-0005-0000-0000-0000D3000000}"/>
    <cellStyle name="20% - Ênfase6 2 5 3" xfId="1267" xr:uid="{00000000-0005-0000-0000-0000D4000000}"/>
    <cellStyle name="20% - Ênfase6 2 6" xfId="489" xr:uid="{00000000-0005-0000-0000-0000D5000000}"/>
    <cellStyle name="20% - Ênfase6 2 6 2" xfId="1551" xr:uid="{00000000-0005-0000-0000-0000D6000000}"/>
    <cellStyle name="20% - Ênfase6 2 7" xfId="1132" xr:uid="{00000000-0005-0000-0000-0000D7000000}"/>
    <cellStyle name="40% - Ênfase1 2" xfId="35" xr:uid="{00000000-0005-0000-0000-0000D8000000}"/>
    <cellStyle name="40% - Ênfase1 2 2" xfId="162" xr:uid="{00000000-0005-0000-0000-0000D9000000}"/>
    <cellStyle name="40% - Ênfase1 2 2 2" xfId="431" xr:uid="{00000000-0005-0000-0000-0000DA000000}"/>
    <cellStyle name="40% - Ênfase1 2 2 2 2" xfId="850" xr:uid="{00000000-0005-0000-0000-0000DB000000}"/>
    <cellStyle name="40% - Ênfase1 2 2 2 2 2" xfId="1912" xr:uid="{00000000-0005-0000-0000-0000DC000000}"/>
    <cellStyle name="40% - Ênfase1 2 2 2 3" xfId="1493" xr:uid="{00000000-0005-0000-0000-0000DD000000}"/>
    <cellStyle name="40% - Ênfase1 2 2 3" xfId="247" xr:uid="{00000000-0005-0000-0000-0000DE000000}"/>
    <cellStyle name="40% - Ênfase1 2 2 3 2" xfId="666" xr:uid="{00000000-0005-0000-0000-0000DF000000}"/>
    <cellStyle name="40% - Ênfase1 2 2 3 2 2" xfId="1728" xr:uid="{00000000-0005-0000-0000-0000E0000000}"/>
    <cellStyle name="40% - Ênfase1 2 2 3 3" xfId="1309" xr:uid="{00000000-0005-0000-0000-0000E1000000}"/>
    <cellStyle name="40% - Ênfase1 2 2 4" xfId="581" xr:uid="{00000000-0005-0000-0000-0000E2000000}"/>
    <cellStyle name="40% - Ênfase1 2 2 4 2" xfId="1643" xr:uid="{00000000-0005-0000-0000-0000E3000000}"/>
    <cellStyle name="40% - Ênfase1 2 2 5" xfId="1224" xr:uid="{00000000-0005-0000-0000-0000E4000000}"/>
    <cellStyle name="40% - Ênfase1 2 3" xfId="117" xr:uid="{00000000-0005-0000-0000-0000E5000000}"/>
    <cellStyle name="40% - Ênfase1 2 3 2" xfId="386" xr:uid="{00000000-0005-0000-0000-0000E6000000}"/>
    <cellStyle name="40% - Ênfase1 2 3 2 2" xfId="805" xr:uid="{00000000-0005-0000-0000-0000E7000000}"/>
    <cellStyle name="40% - Ênfase1 2 3 2 2 2" xfId="1867" xr:uid="{00000000-0005-0000-0000-0000E8000000}"/>
    <cellStyle name="40% - Ênfase1 2 3 2 3" xfId="1448" xr:uid="{00000000-0005-0000-0000-0000E9000000}"/>
    <cellStyle name="40% - Ênfase1 2 3 3" xfId="293" xr:uid="{00000000-0005-0000-0000-0000EA000000}"/>
    <cellStyle name="40% - Ênfase1 2 3 3 2" xfId="712" xr:uid="{00000000-0005-0000-0000-0000EB000000}"/>
    <cellStyle name="40% - Ênfase1 2 3 3 2 2" xfId="1774" xr:uid="{00000000-0005-0000-0000-0000EC000000}"/>
    <cellStyle name="40% - Ênfase1 2 3 3 3" xfId="1355" xr:uid="{00000000-0005-0000-0000-0000ED000000}"/>
    <cellStyle name="40% - Ênfase1 2 3 4" xfId="536" xr:uid="{00000000-0005-0000-0000-0000EE000000}"/>
    <cellStyle name="40% - Ênfase1 2 3 4 2" xfId="1598" xr:uid="{00000000-0005-0000-0000-0000EF000000}"/>
    <cellStyle name="40% - Ênfase1 2 3 5" xfId="1179" xr:uid="{00000000-0005-0000-0000-0000F0000000}"/>
    <cellStyle name="40% - Ênfase1 2 4" xfId="344" xr:uid="{00000000-0005-0000-0000-0000F1000000}"/>
    <cellStyle name="40% - Ênfase1 2 4 2" xfId="763" xr:uid="{00000000-0005-0000-0000-0000F2000000}"/>
    <cellStyle name="40% - Ênfase1 2 4 2 2" xfId="1825" xr:uid="{00000000-0005-0000-0000-0000F3000000}"/>
    <cellStyle name="40% - Ênfase1 2 4 3" xfId="1406" xr:uid="{00000000-0005-0000-0000-0000F4000000}"/>
    <cellStyle name="40% - Ênfase1 2 5" xfId="206" xr:uid="{00000000-0005-0000-0000-0000F5000000}"/>
    <cellStyle name="40% - Ênfase1 2 5 2" xfId="625" xr:uid="{00000000-0005-0000-0000-0000F6000000}"/>
    <cellStyle name="40% - Ênfase1 2 5 2 2" xfId="1687" xr:uid="{00000000-0005-0000-0000-0000F7000000}"/>
    <cellStyle name="40% - Ênfase1 2 5 3" xfId="1268" xr:uid="{00000000-0005-0000-0000-0000F8000000}"/>
    <cellStyle name="40% - Ênfase1 2 6" xfId="490" xr:uid="{00000000-0005-0000-0000-0000F9000000}"/>
    <cellStyle name="40% - Ênfase1 2 6 2" xfId="1552" xr:uid="{00000000-0005-0000-0000-0000FA000000}"/>
    <cellStyle name="40% - Ênfase1 2 7" xfId="1133" xr:uid="{00000000-0005-0000-0000-0000FB000000}"/>
    <cellStyle name="40% - Ênfase2 2" xfId="36" xr:uid="{00000000-0005-0000-0000-0000FC000000}"/>
    <cellStyle name="40% - Ênfase2 2 2" xfId="163" xr:uid="{00000000-0005-0000-0000-0000FD000000}"/>
    <cellStyle name="40% - Ênfase2 2 2 2" xfId="432" xr:uid="{00000000-0005-0000-0000-0000FE000000}"/>
    <cellStyle name="40% - Ênfase2 2 2 2 2" xfId="851" xr:uid="{00000000-0005-0000-0000-0000FF000000}"/>
    <cellStyle name="40% - Ênfase2 2 2 2 2 2" xfId="1913" xr:uid="{00000000-0005-0000-0000-000000010000}"/>
    <cellStyle name="40% - Ênfase2 2 2 2 3" xfId="1494" xr:uid="{00000000-0005-0000-0000-000001010000}"/>
    <cellStyle name="40% - Ênfase2 2 2 3" xfId="248" xr:uid="{00000000-0005-0000-0000-000002010000}"/>
    <cellStyle name="40% - Ênfase2 2 2 3 2" xfId="667" xr:uid="{00000000-0005-0000-0000-000003010000}"/>
    <cellStyle name="40% - Ênfase2 2 2 3 2 2" xfId="1729" xr:uid="{00000000-0005-0000-0000-000004010000}"/>
    <cellStyle name="40% - Ênfase2 2 2 3 3" xfId="1310" xr:uid="{00000000-0005-0000-0000-000005010000}"/>
    <cellStyle name="40% - Ênfase2 2 2 4" xfId="582" xr:uid="{00000000-0005-0000-0000-000006010000}"/>
    <cellStyle name="40% - Ênfase2 2 2 4 2" xfId="1644" xr:uid="{00000000-0005-0000-0000-000007010000}"/>
    <cellStyle name="40% - Ênfase2 2 2 5" xfId="1225" xr:uid="{00000000-0005-0000-0000-000008010000}"/>
    <cellStyle name="40% - Ênfase2 2 3" xfId="118" xr:uid="{00000000-0005-0000-0000-000009010000}"/>
    <cellStyle name="40% - Ênfase2 2 3 2" xfId="387" xr:uid="{00000000-0005-0000-0000-00000A010000}"/>
    <cellStyle name="40% - Ênfase2 2 3 2 2" xfId="806" xr:uid="{00000000-0005-0000-0000-00000B010000}"/>
    <cellStyle name="40% - Ênfase2 2 3 2 2 2" xfId="1868" xr:uid="{00000000-0005-0000-0000-00000C010000}"/>
    <cellStyle name="40% - Ênfase2 2 3 2 3" xfId="1449" xr:uid="{00000000-0005-0000-0000-00000D010000}"/>
    <cellStyle name="40% - Ênfase2 2 3 3" xfId="294" xr:uid="{00000000-0005-0000-0000-00000E010000}"/>
    <cellStyle name="40% - Ênfase2 2 3 3 2" xfId="713" xr:uid="{00000000-0005-0000-0000-00000F010000}"/>
    <cellStyle name="40% - Ênfase2 2 3 3 2 2" xfId="1775" xr:uid="{00000000-0005-0000-0000-000010010000}"/>
    <cellStyle name="40% - Ênfase2 2 3 3 3" xfId="1356" xr:uid="{00000000-0005-0000-0000-000011010000}"/>
    <cellStyle name="40% - Ênfase2 2 3 4" xfId="537" xr:uid="{00000000-0005-0000-0000-000012010000}"/>
    <cellStyle name="40% - Ênfase2 2 3 4 2" xfId="1599" xr:uid="{00000000-0005-0000-0000-000013010000}"/>
    <cellStyle name="40% - Ênfase2 2 3 5" xfId="1180" xr:uid="{00000000-0005-0000-0000-000014010000}"/>
    <cellStyle name="40% - Ênfase2 2 4" xfId="345" xr:uid="{00000000-0005-0000-0000-000015010000}"/>
    <cellStyle name="40% - Ênfase2 2 4 2" xfId="764" xr:uid="{00000000-0005-0000-0000-000016010000}"/>
    <cellStyle name="40% - Ênfase2 2 4 2 2" xfId="1826" xr:uid="{00000000-0005-0000-0000-000017010000}"/>
    <cellStyle name="40% - Ênfase2 2 4 3" xfId="1407" xr:uid="{00000000-0005-0000-0000-000018010000}"/>
    <cellStyle name="40% - Ênfase2 2 5" xfId="207" xr:uid="{00000000-0005-0000-0000-000019010000}"/>
    <cellStyle name="40% - Ênfase2 2 5 2" xfId="626" xr:uid="{00000000-0005-0000-0000-00001A010000}"/>
    <cellStyle name="40% - Ênfase2 2 5 2 2" xfId="1688" xr:uid="{00000000-0005-0000-0000-00001B010000}"/>
    <cellStyle name="40% - Ênfase2 2 5 3" xfId="1269" xr:uid="{00000000-0005-0000-0000-00001C010000}"/>
    <cellStyle name="40% - Ênfase2 2 6" xfId="491" xr:uid="{00000000-0005-0000-0000-00001D010000}"/>
    <cellStyle name="40% - Ênfase2 2 6 2" xfId="1553" xr:uid="{00000000-0005-0000-0000-00001E010000}"/>
    <cellStyle name="40% - Ênfase2 2 7" xfId="1134" xr:uid="{00000000-0005-0000-0000-00001F010000}"/>
    <cellStyle name="40% - Ênfase3 2" xfId="37" xr:uid="{00000000-0005-0000-0000-000020010000}"/>
    <cellStyle name="40% - Ênfase3 2 2" xfId="164" xr:uid="{00000000-0005-0000-0000-000021010000}"/>
    <cellStyle name="40% - Ênfase3 2 2 2" xfId="433" xr:uid="{00000000-0005-0000-0000-000022010000}"/>
    <cellStyle name="40% - Ênfase3 2 2 2 2" xfId="852" xr:uid="{00000000-0005-0000-0000-000023010000}"/>
    <cellStyle name="40% - Ênfase3 2 2 2 2 2" xfId="1914" xr:uid="{00000000-0005-0000-0000-000024010000}"/>
    <cellStyle name="40% - Ênfase3 2 2 2 3" xfId="1495" xr:uid="{00000000-0005-0000-0000-000025010000}"/>
    <cellStyle name="40% - Ênfase3 2 2 3" xfId="249" xr:uid="{00000000-0005-0000-0000-000026010000}"/>
    <cellStyle name="40% - Ênfase3 2 2 3 2" xfId="668" xr:uid="{00000000-0005-0000-0000-000027010000}"/>
    <cellStyle name="40% - Ênfase3 2 2 3 2 2" xfId="1730" xr:uid="{00000000-0005-0000-0000-000028010000}"/>
    <cellStyle name="40% - Ênfase3 2 2 3 3" xfId="1311" xr:uid="{00000000-0005-0000-0000-000029010000}"/>
    <cellStyle name="40% - Ênfase3 2 2 4" xfId="583" xr:uid="{00000000-0005-0000-0000-00002A010000}"/>
    <cellStyle name="40% - Ênfase3 2 2 4 2" xfId="1645" xr:uid="{00000000-0005-0000-0000-00002B010000}"/>
    <cellStyle name="40% - Ênfase3 2 2 5" xfId="1226" xr:uid="{00000000-0005-0000-0000-00002C010000}"/>
    <cellStyle name="40% - Ênfase3 2 3" xfId="119" xr:uid="{00000000-0005-0000-0000-00002D010000}"/>
    <cellStyle name="40% - Ênfase3 2 3 2" xfId="388" xr:uid="{00000000-0005-0000-0000-00002E010000}"/>
    <cellStyle name="40% - Ênfase3 2 3 2 2" xfId="807" xr:uid="{00000000-0005-0000-0000-00002F010000}"/>
    <cellStyle name="40% - Ênfase3 2 3 2 2 2" xfId="1869" xr:uid="{00000000-0005-0000-0000-000030010000}"/>
    <cellStyle name="40% - Ênfase3 2 3 2 3" xfId="1450" xr:uid="{00000000-0005-0000-0000-000031010000}"/>
    <cellStyle name="40% - Ênfase3 2 3 3" xfId="295" xr:uid="{00000000-0005-0000-0000-000032010000}"/>
    <cellStyle name="40% - Ênfase3 2 3 3 2" xfId="714" xr:uid="{00000000-0005-0000-0000-000033010000}"/>
    <cellStyle name="40% - Ênfase3 2 3 3 2 2" xfId="1776" xr:uid="{00000000-0005-0000-0000-000034010000}"/>
    <cellStyle name="40% - Ênfase3 2 3 3 3" xfId="1357" xr:uid="{00000000-0005-0000-0000-000035010000}"/>
    <cellStyle name="40% - Ênfase3 2 3 4" xfId="538" xr:uid="{00000000-0005-0000-0000-000036010000}"/>
    <cellStyle name="40% - Ênfase3 2 3 4 2" xfId="1600" xr:uid="{00000000-0005-0000-0000-000037010000}"/>
    <cellStyle name="40% - Ênfase3 2 3 5" xfId="1181" xr:uid="{00000000-0005-0000-0000-000038010000}"/>
    <cellStyle name="40% - Ênfase3 2 4" xfId="346" xr:uid="{00000000-0005-0000-0000-000039010000}"/>
    <cellStyle name="40% - Ênfase3 2 4 2" xfId="765" xr:uid="{00000000-0005-0000-0000-00003A010000}"/>
    <cellStyle name="40% - Ênfase3 2 4 2 2" xfId="1827" xr:uid="{00000000-0005-0000-0000-00003B010000}"/>
    <cellStyle name="40% - Ênfase3 2 4 3" xfId="1408" xr:uid="{00000000-0005-0000-0000-00003C010000}"/>
    <cellStyle name="40% - Ênfase3 2 5" xfId="208" xr:uid="{00000000-0005-0000-0000-00003D010000}"/>
    <cellStyle name="40% - Ênfase3 2 5 2" xfId="627" xr:uid="{00000000-0005-0000-0000-00003E010000}"/>
    <cellStyle name="40% - Ênfase3 2 5 2 2" xfId="1689" xr:uid="{00000000-0005-0000-0000-00003F010000}"/>
    <cellStyle name="40% - Ênfase3 2 5 3" xfId="1270" xr:uid="{00000000-0005-0000-0000-000040010000}"/>
    <cellStyle name="40% - Ênfase3 2 6" xfId="492" xr:uid="{00000000-0005-0000-0000-000041010000}"/>
    <cellStyle name="40% - Ênfase3 2 6 2" xfId="1554" xr:uid="{00000000-0005-0000-0000-000042010000}"/>
    <cellStyle name="40% - Ênfase3 2 7" xfId="1135" xr:uid="{00000000-0005-0000-0000-000043010000}"/>
    <cellStyle name="40% - Ênfase4 2" xfId="38" xr:uid="{00000000-0005-0000-0000-000044010000}"/>
    <cellStyle name="40% - Ênfase4 2 2" xfId="165" xr:uid="{00000000-0005-0000-0000-000045010000}"/>
    <cellStyle name="40% - Ênfase4 2 2 2" xfId="434" xr:uid="{00000000-0005-0000-0000-000046010000}"/>
    <cellStyle name="40% - Ênfase4 2 2 2 2" xfId="853" xr:uid="{00000000-0005-0000-0000-000047010000}"/>
    <cellStyle name="40% - Ênfase4 2 2 2 2 2" xfId="1915" xr:uid="{00000000-0005-0000-0000-000048010000}"/>
    <cellStyle name="40% - Ênfase4 2 2 2 3" xfId="1496" xr:uid="{00000000-0005-0000-0000-000049010000}"/>
    <cellStyle name="40% - Ênfase4 2 2 3" xfId="250" xr:uid="{00000000-0005-0000-0000-00004A010000}"/>
    <cellStyle name="40% - Ênfase4 2 2 3 2" xfId="669" xr:uid="{00000000-0005-0000-0000-00004B010000}"/>
    <cellStyle name="40% - Ênfase4 2 2 3 2 2" xfId="1731" xr:uid="{00000000-0005-0000-0000-00004C010000}"/>
    <cellStyle name="40% - Ênfase4 2 2 3 3" xfId="1312" xr:uid="{00000000-0005-0000-0000-00004D010000}"/>
    <cellStyle name="40% - Ênfase4 2 2 4" xfId="584" xr:uid="{00000000-0005-0000-0000-00004E010000}"/>
    <cellStyle name="40% - Ênfase4 2 2 4 2" xfId="1646" xr:uid="{00000000-0005-0000-0000-00004F010000}"/>
    <cellStyle name="40% - Ênfase4 2 2 5" xfId="1227" xr:uid="{00000000-0005-0000-0000-000050010000}"/>
    <cellStyle name="40% - Ênfase4 2 3" xfId="120" xr:uid="{00000000-0005-0000-0000-000051010000}"/>
    <cellStyle name="40% - Ênfase4 2 3 2" xfId="389" xr:uid="{00000000-0005-0000-0000-000052010000}"/>
    <cellStyle name="40% - Ênfase4 2 3 2 2" xfId="808" xr:uid="{00000000-0005-0000-0000-000053010000}"/>
    <cellStyle name="40% - Ênfase4 2 3 2 2 2" xfId="1870" xr:uid="{00000000-0005-0000-0000-000054010000}"/>
    <cellStyle name="40% - Ênfase4 2 3 2 3" xfId="1451" xr:uid="{00000000-0005-0000-0000-000055010000}"/>
    <cellStyle name="40% - Ênfase4 2 3 3" xfId="296" xr:uid="{00000000-0005-0000-0000-000056010000}"/>
    <cellStyle name="40% - Ênfase4 2 3 3 2" xfId="715" xr:uid="{00000000-0005-0000-0000-000057010000}"/>
    <cellStyle name="40% - Ênfase4 2 3 3 2 2" xfId="1777" xr:uid="{00000000-0005-0000-0000-000058010000}"/>
    <cellStyle name="40% - Ênfase4 2 3 3 3" xfId="1358" xr:uid="{00000000-0005-0000-0000-000059010000}"/>
    <cellStyle name="40% - Ênfase4 2 3 4" xfId="539" xr:uid="{00000000-0005-0000-0000-00005A010000}"/>
    <cellStyle name="40% - Ênfase4 2 3 4 2" xfId="1601" xr:uid="{00000000-0005-0000-0000-00005B010000}"/>
    <cellStyle name="40% - Ênfase4 2 3 5" xfId="1182" xr:uid="{00000000-0005-0000-0000-00005C010000}"/>
    <cellStyle name="40% - Ênfase4 2 4" xfId="347" xr:uid="{00000000-0005-0000-0000-00005D010000}"/>
    <cellStyle name="40% - Ênfase4 2 4 2" xfId="766" xr:uid="{00000000-0005-0000-0000-00005E010000}"/>
    <cellStyle name="40% - Ênfase4 2 4 2 2" xfId="1828" xr:uid="{00000000-0005-0000-0000-00005F010000}"/>
    <cellStyle name="40% - Ênfase4 2 4 3" xfId="1409" xr:uid="{00000000-0005-0000-0000-000060010000}"/>
    <cellStyle name="40% - Ênfase4 2 5" xfId="209" xr:uid="{00000000-0005-0000-0000-000061010000}"/>
    <cellStyle name="40% - Ênfase4 2 5 2" xfId="628" xr:uid="{00000000-0005-0000-0000-000062010000}"/>
    <cellStyle name="40% - Ênfase4 2 5 2 2" xfId="1690" xr:uid="{00000000-0005-0000-0000-000063010000}"/>
    <cellStyle name="40% - Ênfase4 2 5 3" xfId="1271" xr:uid="{00000000-0005-0000-0000-000064010000}"/>
    <cellStyle name="40% - Ênfase4 2 6" xfId="493" xr:uid="{00000000-0005-0000-0000-000065010000}"/>
    <cellStyle name="40% - Ênfase4 2 6 2" xfId="1555" xr:uid="{00000000-0005-0000-0000-000066010000}"/>
    <cellStyle name="40% - Ênfase4 2 7" xfId="1136" xr:uid="{00000000-0005-0000-0000-000067010000}"/>
    <cellStyle name="40% - Ênfase5 2" xfId="39" xr:uid="{00000000-0005-0000-0000-000068010000}"/>
    <cellStyle name="40% - Ênfase5 2 2" xfId="166" xr:uid="{00000000-0005-0000-0000-000069010000}"/>
    <cellStyle name="40% - Ênfase5 2 2 2" xfId="435" xr:uid="{00000000-0005-0000-0000-00006A010000}"/>
    <cellStyle name="40% - Ênfase5 2 2 2 2" xfId="854" xr:uid="{00000000-0005-0000-0000-00006B010000}"/>
    <cellStyle name="40% - Ênfase5 2 2 2 2 2" xfId="1916" xr:uid="{00000000-0005-0000-0000-00006C010000}"/>
    <cellStyle name="40% - Ênfase5 2 2 2 3" xfId="1497" xr:uid="{00000000-0005-0000-0000-00006D010000}"/>
    <cellStyle name="40% - Ênfase5 2 2 3" xfId="251" xr:uid="{00000000-0005-0000-0000-00006E010000}"/>
    <cellStyle name="40% - Ênfase5 2 2 3 2" xfId="670" xr:uid="{00000000-0005-0000-0000-00006F010000}"/>
    <cellStyle name="40% - Ênfase5 2 2 3 2 2" xfId="1732" xr:uid="{00000000-0005-0000-0000-000070010000}"/>
    <cellStyle name="40% - Ênfase5 2 2 3 3" xfId="1313" xr:uid="{00000000-0005-0000-0000-000071010000}"/>
    <cellStyle name="40% - Ênfase5 2 2 4" xfId="585" xr:uid="{00000000-0005-0000-0000-000072010000}"/>
    <cellStyle name="40% - Ênfase5 2 2 4 2" xfId="1647" xr:uid="{00000000-0005-0000-0000-000073010000}"/>
    <cellStyle name="40% - Ênfase5 2 2 5" xfId="1228" xr:uid="{00000000-0005-0000-0000-000074010000}"/>
    <cellStyle name="40% - Ênfase5 2 3" xfId="121" xr:uid="{00000000-0005-0000-0000-000075010000}"/>
    <cellStyle name="40% - Ênfase5 2 3 2" xfId="390" xr:uid="{00000000-0005-0000-0000-000076010000}"/>
    <cellStyle name="40% - Ênfase5 2 3 2 2" xfId="809" xr:uid="{00000000-0005-0000-0000-000077010000}"/>
    <cellStyle name="40% - Ênfase5 2 3 2 2 2" xfId="1871" xr:uid="{00000000-0005-0000-0000-000078010000}"/>
    <cellStyle name="40% - Ênfase5 2 3 2 3" xfId="1452" xr:uid="{00000000-0005-0000-0000-000079010000}"/>
    <cellStyle name="40% - Ênfase5 2 3 3" xfId="297" xr:uid="{00000000-0005-0000-0000-00007A010000}"/>
    <cellStyle name="40% - Ênfase5 2 3 3 2" xfId="716" xr:uid="{00000000-0005-0000-0000-00007B010000}"/>
    <cellStyle name="40% - Ênfase5 2 3 3 2 2" xfId="1778" xr:uid="{00000000-0005-0000-0000-00007C010000}"/>
    <cellStyle name="40% - Ênfase5 2 3 3 3" xfId="1359" xr:uid="{00000000-0005-0000-0000-00007D010000}"/>
    <cellStyle name="40% - Ênfase5 2 3 4" xfId="540" xr:uid="{00000000-0005-0000-0000-00007E010000}"/>
    <cellStyle name="40% - Ênfase5 2 3 4 2" xfId="1602" xr:uid="{00000000-0005-0000-0000-00007F010000}"/>
    <cellStyle name="40% - Ênfase5 2 3 5" xfId="1183" xr:uid="{00000000-0005-0000-0000-000080010000}"/>
    <cellStyle name="40% - Ênfase5 2 4" xfId="348" xr:uid="{00000000-0005-0000-0000-000081010000}"/>
    <cellStyle name="40% - Ênfase5 2 4 2" xfId="767" xr:uid="{00000000-0005-0000-0000-000082010000}"/>
    <cellStyle name="40% - Ênfase5 2 4 2 2" xfId="1829" xr:uid="{00000000-0005-0000-0000-000083010000}"/>
    <cellStyle name="40% - Ênfase5 2 4 3" xfId="1410" xr:uid="{00000000-0005-0000-0000-000084010000}"/>
    <cellStyle name="40% - Ênfase5 2 5" xfId="210" xr:uid="{00000000-0005-0000-0000-000085010000}"/>
    <cellStyle name="40% - Ênfase5 2 5 2" xfId="629" xr:uid="{00000000-0005-0000-0000-000086010000}"/>
    <cellStyle name="40% - Ênfase5 2 5 2 2" xfId="1691" xr:uid="{00000000-0005-0000-0000-000087010000}"/>
    <cellStyle name="40% - Ênfase5 2 5 3" xfId="1272" xr:uid="{00000000-0005-0000-0000-000088010000}"/>
    <cellStyle name="40% - Ênfase5 2 6" xfId="494" xr:uid="{00000000-0005-0000-0000-000089010000}"/>
    <cellStyle name="40% - Ênfase5 2 6 2" xfId="1556" xr:uid="{00000000-0005-0000-0000-00008A010000}"/>
    <cellStyle name="40% - Ênfase5 2 7" xfId="1137" xr:uid="{00000000-0005-0000-0000-00008B010000}"/>
    <cellStyle name="40% - Ênfase6 2" xfId="40" xr:uid="{00000000-0005-0000-0000-00008C010000}"/>
    <cellStyle name="40% - Ênfase6 2 2" xfId="167" xr:uid="{00000000-0005-0000-0000-00008D010000}"/>
    <cellStyle name="40% - Ênfase6 2 2 2" xfId="436" xr:uid="{00000000-0005-0000-0000-00008E010000}"/>
    <cellStyle name="40% - Ênfase6 2 2 2 2" xfId="855" xr:uid="{00000000-0005-0000-0000-00008F010000}"/>
    <cellStyle name="40% - Ênfase6 2 2 2 2 2" xfId="1917" xr:uid="{00000000-0005-0000-0000-000090010000}"/>
    <cellStyle name="40% - Ênfase6 2 2 2 3" xfId="1498" xr:uid="{00000000-0005-0000-0000-000091010000}"/>
    <cellStyle name="40% - Ênfase6 2 2 3" xfId="252" xr:uid="{00000000-0005-0000-0000-000092010000}"/>
    <cellStyle name="40% - Ênfase6 2 2 3 2" xfId="671" xr:uid="{00000000-0005-0000-0000-000093010000}"/>
    <cellStyle name="40% - Ênfase6 2 2 3 2 2" xfId="1733" xr:uid="{00000000-0005-0000-0000-000094010000}"/>
    <cellStyle name="40% - Ênfase6 2 2 3 3" xfId="1314" xr:uid="{00000000-0005-0000-0000-000095010000}"/>
    <cellStyle name="40% - Ênfase6 2 2 4" xfId="586" xr:uid="{00000000-0005-0000-0000-000096010000}"/>
    <cellStyle name="40% - Ênfase6 2 2 4 2" xfId="1648" xr:uid="{00000000-0005-0000-0000-000097010000}"/>
    <cellStyle name="40% - Ênfase6 2 2 5" xfId="1229" xr:uid="{00000000-0005-0000-0000-000098010000}"/>
    <cellStyle name="40% - Ênfase6 2 3" xfId="122" xr:uid="{00000000-0005-0000-0000-000099010000}"/>
    <cellStyle name="40% - Ênfase6 2 3 2" xfId="391" xr:uid="{00000000-0005-0000-0000-00009A010000}"/>
    <cellStyle name="40% - Ênfase6 2 3 2 2" xfId="810" xr:uid="{00000000-0005-0000-0000-00009B010000}"/>
    <cellStyle name="40% - Ênfase6 2 3 2 2 2" xfId="1872" xr:uid="{00000000-0005-0000-0000-00009C010000}"/>
    <cellStyle name="40% - Ênfase6 2 3 2 3" xfId="1453" xr:uid="{00000000-0005-0000-0000-00009D010000}"/>
    <cellStyle name="40% - Ênfase6 2 3 3" xfId="298" xr:uid="{00000000-0005-0000-0000-00009E010000}"/>
    <cellStyle name="40% - Ênfase6 2 3 3 2" xfId="717" xr:uid="{00000000-0005-0000-0000-00009F010000}"/>
    <cellStyle name="40% - Ênfase6 2 3 3 2 2" xfId="1779" xr:uid="{00000000-0005-0000-0000-0000A0010000}"/>
    <cellStyle name="40% - Ênfase6 2 3 3 3" xfId="1360" xr:uid="{00000000-0005-0000-0000-0000A1010000}"/>
    <cellStyle name="40% - Ênfase6 2 3 4" xfId="541" xr:uid="{00000000-0005-0000-0000-0000A2010000}"/>
    <cellStyle name="40% - Ênfase6 2 3 4 2" xfId="1603" xr:uid="{00000000-0005-0000-0000-0000A3010000}"/>
    <cellStyle name="40% - Ênfase6 2 3 5" xfId="1184" xr:uid="{00000000-0005-0000-0000-0000A4010000}"/>
    <cellStyle name="40% - Ênfase6 2 4" xfId="349" xr:uid="{00000000-0005-0000-0000-0000A5010000}"/>
    <cellStyle name="40% - Ênfase6 2 4 2" xfId="768" xr:uid="{00000000-0005-0000-0000-0000A6010000}"/>
    <cellStyle name="40% - Ênfase6 2 4 2 2" xfId="1830" xr:uid="{00000000-0005-0000-0000-0000A7010000}"/>
    <cellStyle name="40% - Ênfase6 2 4 3" xfId="1411" xr:uid="{00000000-0005-0000-0000-0000A8010000}"/>
    <cellStyle name="40% - Ênfase6 2 5" xfId="211" xr:uid="{00000000-0005-0000-0000-0000A9010000}"/>
    <cellStyle name="40% - Ênfase6 2 5 2" xfId="630" xr:uid="{00000000-0005-0000-0000-0000AA010000}"/>
    <cellStyle name="40% - Ênfase6 2 5 2 2" xfId="1692" xr:uid="{00000000-0005-0000-0000-0000AB010000}"/>
    <cellStyle name="40% - Ênfase6 2 5 3" xfId="1273" xr:uid="{00000000-0005-0000-0000-0000AC010000}"/>
    <cellStyle name="40% - Ênfase6 2 6" xfId="495" xr:uid="{00000000-0005-0000-0000-0000AD010000}"/>
    <cellStyle name="40% - Ênfase6 2 6 2" xfId="1557" xr:uid="{00000000-0005-0000-0000-0000AE010000}"/>
    <cellStyle name="40% - Ênfase6 2 7" xfId="1138" xr:uid="{00000000-0005-0000-0000-0000AF010000}"/>
    <cellStyle name="60% - Ênfase1 2" xfId="41" xr:uid="{00000000-0005-0000-0000-0000B0010000}"/>
    <cellStyle name="60% - Ênfase2 2" xfId="42" xr:uid="{00000000-0005-0000-0000-0000B1010000}"/>
    <cellStyle name="60% - Ênfase3 2" xfId="43" xr:uid="{00000000-0005-0000-0000-0000B2010000}"/>
    <cellStyle name="60% - Ênfase4 2" xfId="44" xr:uid="{00000000-0005-0000-0000-0000B3010000}"/>
    <cellStyle name="60% - Ênfase5 2" xfId="45" xr:uid="{00000000-0005-0000-0000-0000B4010000}"/>
    <cellStyle name="60% - Ênfase6 2" xfId="46" xr:uid="{00000000-0005-0000-0000-0000B5010000}"/>
    <cellStyle name="Bom 2" xfId="57" xr:uid="{00000000-0005-0000-0000-0000B6010000}"/>
    <cellStyle name="Cálculo 2" xfId="54" xr:uid="{00000000-0005-0000-0000-0000B7010000}"/>
    <cellStyle name="Célula de Verificação 2" xfId="55" xr:uid="{00000000-0005-0000-0000-0000B8010000}"/>
    <cellStyle name="Célula Vinculada 2" xfId="63" xr:uid="{00000000-0005-0000-0000-0000B9010000}"/>
    <cellStyle name="Ênfase1 2" xfId="47" xr:uid="{00000000-0005-0000-0000-0000BA010000}"/>
    <cellStyle name="Ênfase2 2" xfId="48" xr:uid="{00000000-0005-0000-0000-0000BB010000}"/>
    <cellStyle name="Ênfase3 2" xfId="49" xr:uid="{00000000-0005-0000-0000-0000BC010000}"/>
    <cellStyle name="Ênfase4 2" xfId="50" xr:uid="{00000000-0005-0000-0000-0000BD010000}"/>
    <cellStyle name="Ênfase5 2" xfId="51" xr:uid="{00000000-0005-0000-0000-0000BE010000}"/>
    <cellStyle name="Ênfase6 2" xfId="52" xr:uid="{00000000-0005-0000-0000-0000BF010000}"/>
    <cellStyle name="Entrada 2" xfId="62" xr:uid="{00000000-0005-0000-0000-0000C0010000}"/>
    <cellStyle name="Hiperlink" xfId="83" builtinId="8"/>
    <cellStyle name="Incorreto 2" xfId="53" xr:uid="{00000000-0005-0000-0000-0000C2010000}"/>
    <cellStyle name="Moeda 2" xfId="79" xr:uid="{00000000-0005-0000-0000-0000C3010000}"/>
    <cellStyle name="Moeda 2 2" xfId="174" xr:uid="{00000000-0005-0000-0000-0000C4010000}"/>
    <cellStyle name="Moeda 2 2 2" xfId="443" xr:uid="{00000000-0005-0000-0000-0000C5010000}"/>
    <cellStyle name="Moeda 2 2 2 2" xfId="862" xr:uid="{00000000-0005-0000-0000-0000C6010000}"/>
    <cellStyle name="Moeda 2 2 2 2 2" xfId="1924" xr:uid="{00000000-0005-0000-0000-0000C7010000}"/>
    <cellStyle name="Moeda 2 2 2 3" xfId="1505" xr:uid="{00000000-0005-0000-0000-0000C8010000}"/>
    <cellStyle name="Moeda 2 2 3" xfId="259" xr:uid="{00000000-0005-0000-0000-0000C9010000}"/>
    <cellStyle name="Moeda 2 2 3 2" xfId="678" xr:uid="{00000000-0005-0000-0000-0000CA010000}"/>
    <cellStyle name="Moeda 2 2 3 2 2" xfId="1740" xr:uid="{00000000-0005-0000-0000-0000CB010000}"/>
    <cellStyle name="Moeda 2 2 3 3" xfId="1321" xr:uid="{00000000-0005-0000-0000-0000CC010000}"/>
    <cellStyle name="Moeda 2 2 4" xfId="593" xr:uid="{00000000-0005-0000-0000-0000CD010000}"/>
    <cellStyle name="Moeda 2 2 4 2" xfId="1655" xr:uid="{00000000-0005-0000-0000-0000CE010000}"/>
    <cellStyle name="Moeda 2 2 5" xfId="1236" xr:uid="{00000000-0005-0000-0000-0000CF010000}"/>
    <cellStyle name="Moeda 2 3" xfId="129" xr:uid="{00000000-0005-0000-0000-0000D0010000}"/>
    <cellStyle name="Moeda 2 3 2" xfId="398" xr:uid="{00000000-0005-0000-0000-0000D1010000}"/>
    <cellStyle name="Moeda 2 3 2 2" xfId="817" xr:uid="{00000000-0005-0000-0000-0000D2010000}"/>
    <cellStyle name="Moeda 2 3 2 2 2" xfId="1879" xr:uid="{00000000-0005-0000-0000-0000D3010000}"/>
    <cellStyle name="Moeda 2 3 2 3" xfId="1460" xr:uid="{00000000-0005-0000-0000-0000D4010000}"/>
    <cellStyle name="Moeda 2 3 3" xfId="305" xr:uid="{00000000-0005-0000-0000-0000D5010000}"/>
    <cellStyle name="Moeda 2 3 3 2" xfId="724" xr:uid="{00000000-0005-0000-0000-0000D6010000}"/>
    <cellStyle name="Moeda 2 3 3 2 2" xfId="1786" xr:uid="{00000000-0005-0000-0000-0000D7010000}"/>
    <cellStyle name="Moeda 2 3 3 3" xfId="1367" xr:uid="{00000000-0005-0000-0000-0000D8010000}"/>
    <cellStyle name="Moeda 2 3 4" xfId="548" xr:uid="{00000000-0005-0000-0000-0000D9010000}"/>
    <cellStyle name="Moeda 2 3 4 2" xfId="1610" xr:uid="{00000000-0005-0000-0000-0000DA010000}"/>
    <cellStyle name="Moeda 2 3 5" xfId="1191" xr:uid="{00000000-0005-0000-0000-0000DB010000}"/>
    <cellStyle name="Moeda 2 4" xfId="356" xr:uid="{00000000-0005-0000-0000-0000DC010000}"/>
    <cellStyle name="Moeda 2 4 2" xfId="775" xr:uid="{00000000-0005-0000-0000-0000DD010000}"/>
    <cellStyle name="Moeda 2 4 2 2" xfId="1837" xr:uid="{00000000-0005-0000-0000-0000DE010000}"/>
    <cellStyle name="Moeda 2 4 3" xfId="1418" xr:uid="{00000000-0005-0000-0000-0000DF010000}"/>
    <cellStyle name="Moeda 2 5" xfId="218" xr:uid="{00000000-0005-0000-0000-0000E0010000}"/>
    <cellStyle name="Moeda 2 5 2" xfId="637" xr:uid="{00000000-0005-0000-0000-0000E1010000}"/>
    <cellStyle name="Moeda 2 5 2 2" xfId="1699" xr:uid="{00000000-0005-0000-0000-0000E2010000}"/>
    <cellStyle name="Moeda 2 5 3" xfId="1280" xr:uid="{00000000-0005-0000-0000-0000E3010000}"/>
    <cellStyle name="Moeda 2 6" xfId="502" xr:uid="{00000000-0005-0000-0000-0000E4010000}"/>
    <cellStyle name="Moeda 2 6 2" xfId="1564" xr:uid="{00000000-0005-0000-0000-0000E5010000}"/>
    <cellStyle name="Moeda 2 7" xfId="1145" xr:uid="{00000000-0005-0000-0000-0000E6010000}"/>
    <cellStyle name="Neutra 2" xfId="64" xr:uid="{00000000-0005-0000-0000-0000E7010000}"/>
    <cellStyle name="Normal" xfId="0" builtinId="0"/>
    <cellStyle name="Normal 10" xfId="93" xr:uid="{00000000-0005-0000-0000-0000E9010000}"/>
    <cellStyle name="Normal 10 2" xfId="184" xr:uid="{00000000-0005-0000-0000-0000EA010000}"/>
    <cellStyle name="Normal 10 2 2" xfId="453" xr:uid="{00000000-0005-0000-0000-0000EB010000}"/>
    <cellStyle name="Normal 10 2 2 2" xfId="872" xr:uid="{00000000-0005-0000-0000-0000EC010000}"/>
    <cellStyle name="Normal 10 2 2 2 2" xfId="1934" xr:uid="{00000000-0005-0000-0000-0000ED010000}"/>
    <cellStyle name="Normal 10 2 2 3" xfId="1515" xr:uid="{00000000-0005-0000-0000-0000EE010000}"/>
    <cellStyle name="Normal 10 2 3" xfId="269" xr:uid="{00000000-0005-0000-0000-0000EF010000}"/>
    <cellStyle name="Normal 10 2 3 2" xfId="688" xr:uid="{00000000-0005-0000-0000-0000F0010000}"/>
    <cellStyle name="Normal 10 2 3 2 2" xfId="1750" xr:uid="{00000000-0005-0000-0000-0000F1010000}"/>
    <cellStyle name="Normal 10 2 3 3" xfId="1331" xr:uid="{00000000-0005-0000-0000-0000F2010000}"/>
    <cellStyle name="Normal 10 2 4" xfId="603" xr:uid="{00000000-0005-0000-0000-0000F3010000}"/>
    <cellStyle name="Normal 10 2 4 2" xfId="1665" xr:uid="{00000000-0005-0000-0000-0000F4010000}"/>
    <cellStyle name="Normal 10 2 5" xfId="1246" xr:uid="{00000000-0005-0000-0000-0000F5010000}"/>
    <cellStyle name="Normal 10 3" xfId="139" xr:uid="{00000000-0005-0000-0000-0000F6010000}"/>
    <cellStyle name="Normal 10 3 2" xfId="408" xr:uid="{00000000-0005-0000-0000-0000F7010000}"/>
    <cellStyle name="Normal 10 3 2 2" xfId="827" xr:uid="{00000000-0005-0000-0000-0000F8010000}"/>
    <cellStyle name="Normal 10 3 2 2 2" xfId="1889" xr:uid="{00000000-0005-0000-0000-0000F9010000}"/>
    <cellStyle name="Normal 10 3 2 3" xfId="1470" xr:uid="{00000000-0005-0000-0000-0000FA010000}"/>
    <cellStyle name="Normal 10 3 3" xfId="315" xr:uid="{00000000-0005-0000-0000-0000FB010000}"/>
    <cellStyle name="Normal 10 3 3 2" xfId="734" xr:uid="{00000000-0005-0000-0000-0000FC010000}"/>
    <cellStyle name="Normal 10 3 3 2 2" xfId="1796" xr:uid="{00000000-0005-0000-0000-0000FD010000}"/>
    <cellStyle name="Normal 10 3 3 3" xfId="1377" xr:uid="{00000000-0005-0000-0000-0000FE010000}"/>
    <cellStyle name="Normal 10 3 4" xfId="558" xr:uid="{00000000-0005-0000-0000-0000FF010000}"/>
    <cellStyle name="Normal 10 3 4 2" xfId="1620" xr:uid="{00000000-0005-0000-0000-000000020000}"/>
    <cellStyle name="Normal 10 3 5" xfId="1201" xr:uid="{00000000-0005-0000-0000-000001020000}"/>
    <cellStyle name="Normal 10 4" xfId="362" xr:uid="{00000000-0005-0000-0000-000002020000}"/>
    <cellStyle name="Normal 10 4 2" xfId="781" xr:uid="{00000000-0005-0000-0000-000003020000}"/>
    <cellStyle name="Normal 10 4 2 2" xfId="1843" xr:uid="{00000000-0005-0000-0000-000004020000}"/>
    <cellStyle name="Normal 10 4 3" xfId="1424" xr:uid="{00000000-0005-0000-0000-000005020000}"/>
    <cellStyle name="Normal 10 5" xfId="224" xr:uid="{00000000-0005-0000-0000-000006020000}"/>
    <cellStyle name="Normal 10 5 2" xfId="643" xr:uid="{00000000-0005-0000-0000-000007020000}"/>
    <cellStyle name="Normal 10 5 2 2" xfId="1705" xr:uid="{00000000-0005-0000-0000-000008020000}"/>
    <cellStyle name="Normal 10 5 3" xfId="1286" xr:uid="{00000000-0005-0000-0000-000009020000}"/>
    <cellStyle name="Normal 10 6" xfId="512" xr:uid="{00000000-0005-0000-0000-00000A020000}"/>
    <cellStyle name="Normal 10 6 2" xfId="1574" xr:uid="{00000000-0005-0000-0000-00000B020000}"/>
    <cellStyle name="Normal 10 7" xfId="1155" xr:uid="{00000000-0005-0000-0000-00000C020000}"/>
    <cellStyle name="Normal 11" xfId="466" xr:uid="{00000000-0005-0000-0000-00000D020000}"/>
    <cellStyle name="Normal 11 2" xfId="885" xr:uid="{00000000-0005-0000-0000-00000E020000}"/>
    <cellStyle name="Normal 11 2 2" xfId="1947" xr:uid="{00000000-0005-0000-0000-00000F020000}"/>
    <cellStyle name="Normal 11 3" xfId="1528" xr:uid="{00000000-0005-0000-0000-000010020000}"/>
    <cellStyle name="Normal 114" xfId="74" xr:uid="{00000000-0005-0000-0000-000011020000}"/>
    <cellStyle name="Normal 114 2" xfId="171" xr:uid="{00000000-0005-0000-0000-000012020000}"/>
    <cellStyle name="Normal 114 2 2" xfId="440" xr:uid="{00000000-0005-0000-0000-000013020000}"/>
    <cellStyle name="Normal 114 2 2 2" xfId="859" xr:uid="{00000000-0005-0000-0000-000014020000}"/>
    <cellStyle name="Normal 114 2 2 2 2" xfId="1921" xr:uid="{00000000-0005-0000-0000-000015020000}"/>
    <cellStyle name="Normal 114 2 2 3" xfId="1502" xr:uid="{00000000-0005-0000-0000-000016020000}"/>
    <cellStyle name="Normal 114 2 3" xfId="256" xr:uid="{00000000-0005-0000-0000-000017020000}"/>
    <cellStyle name="Normal 114 2 3 2" xfId="675" xr:uid="{00000000-0005-0000-0000-000018020000}"/>
    <cellStyle name="Normal 114 2 3 2 2" xfId="1737" xr:uid="{00000000-0005-0000-0000-000019020000}"/>
    <cellStyle name="Normal 114 2 3 3" xfId="1318" xr:uid="{00000000-0005-0000-0000-00001A020000}"/>
    <cellStyle name="Normal 114 2 4" xfId="590" xr:uid="{00000000-0005-0000-0000-00001B020000}"/>
    <cellStyle name="Normal 114 2 4 2" xfId="1652" xr:uid="{00000000-0005-0000-0000-00001C020000}"/>
    <cellStyle name="Normal 114 2 5" xfId="1233" xr:uid="{00000000-0005-0000-0000-00001D020000}"/>
    <cellStyle name="Normal 114 3" xfId="126" xr:uid="{00000000-0005-0000-0000-00001E020000}"/>
    <cellStyle name="Normal 114 3 2" xfId="395" xr:uid="{00000000-0005-0000-0000-00001F020000}"/>
    <cellStyle name="Normal 114 3 2 2" xfId="814" xr:uid="{00000000-0005-0000-0000-000020020000}"/>
    <cellStyle name="Normal 114 3 2 2 2" xfId="1876" xr:uid="{00000000-0005-0000-0000-000021020000}"/>
    <cellStyle name="Normal 114 3 2 3" xfId="1457" xr:uid="{00000000-0005-0000-0000-000022020000}"/>
    <cellStyle name="Normal 114 3 3" xfId="302" xr:uid="{00000000-0005-0000-0000-000023020000}"/>
    <cellStyle name="Normal 114 3 3 2" xfId="721" xr:uid="{00000000-0005-0000-0000-000024020000}"/>
    <cellStyle name="Normal 114 3 3 2 2" xfId="1783" xr:uid="{00000000-0005-0000-0000-000025020000}"/>
    <cellStyle name="Normal 114 3 3 3" xfId="1364" xr:uid="{00000000-0005-0000-0000-000026020000}"/>
    <cellStyle name="Normal 114 3 4" xfId="545" xr:uid="{00000000-0005-0000-0000-000027020000}"/>
    <cellStyle name="Normal 114 3 4 2" xfId="1607" xr:uid="{00000000-0005-0000-0000-000028020000}"/>
    <cellStyle name="Normal 114 3 5" xfId="1188" xr:uid="{00000000-0005-0000-0000-000029020000}"/>
    <cellStyle name="Normal 114 4" xfId="353" xr:uid="{00000000-0005-0000-0000-00002A020000}"/>
    <cellStyle name="Normal 114 4 2" xfId="772" xr:uid="{00000000-0005-0000-0000-00002B020000}"/>
    <cellStyle name="Normal 114 4 2 2" xfId="1834" xr:uid="{00000000-0005-0000-0000-00002C020000}"/>
    <cellStyle name="Normal 114 4 3" xfId="1415" xr:uid="{00000000-0005-0000-0000-00002D020000}"/>
    <cellStyle name="Normal 114 5" xfId="215" xr:uid="{00000000-0005-0000-0000-00002E020000}"/>
    <cellStyle name="Normal 114 5 2" xfId="634" xr:uid="{00000000-0005-0000-0000-00002F020000}"/>
    <cellStyle name="Normal 114 5 2 2" xfId="1696" xr:uid="{00000000-0005-0000-0000-000030020000}"/>
    <cellStyle name="Normal 114 5 3" xfId="1277" xr:uid="{00000000-0005-0000-0000-000031020000}"/>
    <cellStyle name="Normal 114 6" xfId="499" xr:uid="{00000000-0005-0000-0000-000032020000}"/>
    <cellStyle name="Normal 114 6 2" xfId="1561" xr:uid="{00000000-0005-0000-0000-000033020000}"/>
    <cellStyle name="Normal 114 7" xfId="1142" xr:uid="{00000000-0005-0000-0000-000034020000}"/>
    <cellStyle name="Normal 12" xfId="467" xr:uid="{00000000-0005-0000-0000-000035020000}"/>
    <cellStyle name="Normal 12 2" xfId="886" xr:uid="{00000000-0005-0000-0000-000036020000}"/>
    <cellStyle name="Normal 12 2 2" xfId="1948" xr:uid="{00000000-0005-0000-0000-000037020000}"/>
    <cellStyle name="Normal 12 3" xfId="1529" xr:uid="{00000000-0005-0000-0000-000038020000}"/>
    <cellStyle name="Normal 13" xfId="892" xr:uid="{00000000-0005-0000-0000-000039020000}"/>
    <cellStyle name="Normal 13 2" xfId="1953" xr:uid="{00000000-0005-0000-0000-00003A020000}"/>
    <cellStyle name="Normal 14" xfId="899" xr:uid="{00000000-0005-0000-0000-00003B020000}"/>
    <cellStyle name="Normal 14 2" xfId="1960" xr:uid="{00000000-0005-0000-0000-00003C020000}"/>
    <cellStyle name="Normal 15" xfId="906" xr:uid="{00000000-0005-0000-0000-00003D020000}"/>
    <cellStyle name="Normal 15 2" xfId="1967" xr:uid="{00000000-0005-0000-0000-00003E020000}"/>
    <cellStyle name="Normal 16" xfId="908" xr:uid="{00000000-0005-0000-0000-00003F020000}"/>
    <cellStyle name="Normal 17" xfId="909" xr:uid="{00000000-0005-0000-0000-000040020000}"/>
    <cellStyle name="Normal 17 2" xfId="1969" xr:uid="{00000000-0005-0000-0000-000041020000}"/>
    <cellStyle name="Normal 18" xfId="935" xr:uid="{00000000-0005-0000-0000-000042020000}"/>
    <cellStyle name="Normal 18 2" xfId="1995" xr:uid="{00000000-0005-0000-0000-000043020000}"/>
    <cellStyle name="Normal 19" xfId="937" xr:uid="{00000000-0005-0000-0000-000044020000}"/>
    <cellStyle name="Normal 19 2" xfId="1997" xr:uid="{00000000-0005-0000-0000-000045020000}"/>
    <cellStyle name="Normal 2" xfId="3" xr:uid="{00000000-0005-0000-0000-000046020000}"/>
    <cellStyle name="Normal 2 2" xfId="7" xr:uid="{00000000-0005-0000-0000-000047020000}"/>
    <cellStyle name="Normal 2 2 2" xfId="21" xr:uid="{00000000-0005-0000-0000-000048020000}"/>
    <cellStyle name="Normal 2 2 2 2 2 12" xfId="85" xr:uid="{00000000-0005-0000-0000-000049020000}"/>
    <cellStyle name="Normal 2 2 4" xfId="25" xr:uid="{00000000-0005-0000-0000-00004A020000}"/>
    <cellStyle name="Normal 2 2 5" xfId="26" xr:uid="{00000000-0005-0000-0000-00004B020000}"/>
    <cellStyle name="Normal 2 3" xfId="73" xr:uid="{00000000-0005-0000-0000-00004C020000}"/>
    <cellStyle name="Normal 20" xfId="939" xr:uid="{00000000-0005-0000-0000-00004D020000}"/>
    <cellStyle name="Normal 20 2" xfId="1999" xr:uid="{00000000-0005-0000-0000-00004E020000}"/>
    <cellStyle name="Normal 21" xfId="997" xr:uid="{00000000-0005-0000-0000-00004F020000}"/>
    <cellStyle name="Normal 21 2" xfId="2057" xr:uid="{00000000-0005-0000-0000-000050020000}"/>
    <cellStyle name="Normal 22" xfId="1055" xr:uid="{00000000-0005-0000-0000-000051020000}"/>
    <cellStyle name="Normal 22 2" xfId="2115" xr:uid="{00000000-0005-0000-0000-000052020000}"/>
    <cellStyle name="Normal 3" xfId="12" xr:uid="{00000000-0005-0000-0000-000053020000}"/>
    <cellStyle name="Normal 3 10" xfId="890" xr:uid="{00000000-0005-0000-0000-000054020000}"/>
    <cellStyle name="Normal 3 10 2" xfId="1951" xr:uid="{00000000-0005-0000-0000-000055020000}"/>
    <cellStyle name="Normal 3 11" xfId="1117" xr:uid="{00000000-0005-0000-0000-000056020000}"/>
    <cellStyle name="Normal 3 2" xfId="15" xr:uid="{00000000-0005-0000-0000-000057020000}"/>
    <cellStyle name="Normal 3 2 2" xfId="77" xr:uid="{00000000-0005-0000-0000-000058020000}"/>
    <cellStyle name="Normal 3 2 3" xfId="149" xr:uid="{00000000-0005-0000-0000-000059020000}"/>
    <cellStyle name="Normal 3 2 3 2" xfId="418" xr:uid="{00000000-0005-0000-0000-00005A020000}"/>
    <cellStyle name="Normal 3 2 3 2 2" xfId="837" xr:uid="{00000000-0005-0000-0000-00005B020000}"/>
    <cellStyle name="Normal 3 2 3 2 2 2" xfId="1899" xr:uid="{00000000-0005-0000-0000-00005C020000}"/>
    <cellStyle name="Normal 3 2 3 2 3" xfId="1480" xr:uid="{00000000-0005-0000-0000-00005D020000}"/>
    <cellStyle name="Normal 3 2 3 3" xfId="234" xr:uid="{00000000-0005-0000-0000-00005E020000}"/>
    <cellStyle name="Normal 3 2 3 3 2" xfId="653" xr:uid="{00000000-0005-0000-0000-00005F020000}"/>
    <cellStyle name="Normal 3 2 3 3 2 2" xfId="1715" xr:uid="{00000000-0005-0000-0000-000060020000}"/>
    <cellStyle name="Normal 3 2 3 3 3" xfId="1296" xr:uid="{00000000-0005-0000-0000-000061020000}"/>
    <cellStyle name="Normal 3 2 3 4" xfId="568" xr:uid="{00000000-0005-0000-0000-000062020000}"/>
    <cellStyle name="Normal 3 2 3 4 2" xfId="1630" xr:uid="{00000000-0005-0000-0000-000063020000}"/>
    <cellStyle name="Normal 3 2 3 5" xfId="1211" xr:uid="{00000000-0005-0000-0000-000064020000}"/>
    <cellStyle name="Normal 3 2 4" xfId="104" xr:uid="{00000000-0005-0000-0000-000065020000}"/>
    <cellStyle name="Normal 3 2 4 2" xfId="373" xr:uid="{00000000-0005-0000-0000-000066020000}"/>
    <cellStyle name="Normal 3 2 4 2 2" xfId="792" xr:uid="{00000000-0005-0000-0000-000067020000}"/>
    <cellStyle name="Normal 3 2 4 2 2 2" xfId="1854" xr:uid="{00000000-0005-0000-0000-000068020000}"/>
    <cellStyle name="Normal 3 2 4 2 3" xfId="1435" xr:uid="{00000000-0005-0000-0000-000069020000}"/>
    <cellStyle name="Normal 3 2 4 3" xfId="280" xr:uid="{00000000-0005-0000-0000-00006A020000}"/>
    <cellStyle name="Normal 3 2 4 3 2" xfId="699" xr:uid="{00000000-0005-0000-0000-00006B020000}"/>
    <cellStyle name="Normal 3 2 4 3 2 2" xfId="1761" xr:uid="{00000000-0005-0000-0000-00006C020000}"/>
    <cellStyle name="Normal 3 2 4 3 3" xfId="1342" xr:uid="{00000000-0005-0000-0000-00006D020000}"/>
    <cellStyle name="Normal 3 2 4 4" xfId="523" xr:uid="{00000000-0005-0000-0000-00006E020000}"/>
    <cellStyle name="Normal 3 2 4 4 2" xfId="1585" xr:uid="{00000000-0005-0000-0000-00006F020000}"/>
    <cellStyle name="Normal 3 2 4 5" xfId="1166" xr:uid="{00000000-0005-0000-0000-000070020000}"/>
    <cellStyle name="Normal 3 2 5" xfId="332" xr:uid="{00000000-0005-0000-0000-000071020000}"/>
    <cellStyle name="Normal 3 2 5 2" xfId="751" xr:uid="{00000000-0005-0000-0000-000072020000}"/>
    <cellStyle name="Normal 3 2 5 2 2" xfId="1813" xr:uid="{00000000-0005-0000-0000-000073020000}"/>
    <cellStyle name="Normal 3 2 5 3" xfId="1394" xr:uid="{00000000-0005-0000-0000-000074020000}"/>
    <cellStyle name="Normal 3 2 6" xfId="194" xr:uid="{00000000-0005-0000-0000-000075020000}"/>
    <cellStyle name="Normal 3 2 6 2" xfId="613" xr:uid="{00000000-0005-0000-0000-000076020000}"/>
    <cellStyle name="Normal 3 2 6 2 2" xfId="1675" xr:uid="{00000000-0005-0000-0000-000077020000}"/>
    <cellStyle name="Normal 3 2 6 3" xfId="1256" xr:uid="{00000000-0005-0000-0000-000078020000}"/>
    <cellStyle name="Normal 3 2 7" xfId="477" xr:uid="{00000000-0005-0000-0000-000079020000}"/>
    <cellStyle name="Normal 3 2 7 2" xfId="1539" xr:uid="{00000000-0005-0000-0000-00007A020000}"/>
    <cellStyle name="Normal 3 2 8" xfId="1120" xr:uid="{00000000-0005-0000-0000-00007B020000}"/>
    <cellStyle name="Normal 3 3" xfId="23" xr:uid="{00000000-0005-0000-0000-00007C020000}"/>
    <cellStyle name="Normal 3 3 2" xfId="155" xr:uid="{00000000-0005-0000-0000-00007D020000}"/>
    <cellStyle name="Normal 3 3 2 2" xfId="424" xr:uid="{00000000-0005-0000-0000-00007E020000}"/>
    <cellStyle name="Normal 3 3 2 2 2" xfId="843" xr:uid="{00000000-0005-0000-0000-00007F020000}"/>
    <cellStyle name="Normal 3 3 2 2 2 2" xfId="1905" xr:uid="{00000000-0005-0000-0000-000080020000}"/>
    <cellStyle name="Normal 3 3 2 2 3" xfId="1486" xr:uid="{00000000-0005-0000-0000-000081020000}"/>
    <cellStyle name="Normal 3 3 2 3" xfId="240" xr:uid="{00000000-0005-0000-0000-000082020000}"/>
    <cellStyle name="Normal 3 3 2 3 2" xfId="659" xr:uid="{00000000-0005-0000-0000-000083020000}"/>
    <cellStyle name="Normal 3 3 2 3 2 2" xfId="1721" xr:uid="{00000000-0005-0000-0000-000084020000}"/>
    <cellStyle name="Normal 3 3 2 3 3" xfId="1302" xr:uid="{00000000-0005-0000-0000-000085020000}"/>
    <cellStyle name="Normal 3 3 2 4" xfId="574" xr:uid="{00000000-0005-0000-0000-000086020000}"/>
    <cellStyle name="Normal 3 3 2 4 2" xfId="1636" xr:uid="{00000000-0005-0000-0000-000087020000}"/>
    <cellStyle name="Normal 3 3 2 5" xfId="1217" xr:uid="{00000000-0005-0000-0000-000088020000}"/>
    <cellStyle name="Normal 3 3 3" xfId="110" xr:uid="{00000000-0005-0000-0000-000089020000}"/>
    <cellStyle name="Normal 3 3 3 2" xfId="379" xr:uid="{00000000-0005-0000-0000-00008A020000}"/>
    <cellStyle name="Normal 3 3 3 2 2" xfId="798" xr:uid="{00000000-0005-0000-0000-00008B020000}"/>
    <cellStyle name="Normal 3 3 3 2 2 2" xfId="1860" xr:uid="{00000000-0005-0000-0000-00008C020000}"/>
    <cellStyle name="Normal 3 3 3 2 3" xfId="1441" xr:uid="{00000000-0005-0000-0000-00008D020000}"/>
    <cellStyle name="Normal 3 3 3 3" xfId="286" xr:uid="{00000000-0005-0000-0000-00008E020000}"/>
    <cellStyle name="Normal 3 3 3 3 2" xfId="705" xr:uid="{00000000-0005-0000-0000-00008F020000}"/>
    <cellStyle name="Normal 3 3 3 3 2 2" xfId="1767" xr:uid="{00000000-0005-0000-0000-000090020000}"/>
    <cellStyle name="Normal 3 3 3 3 3" xfId="1348" xr:uid="{00000000-0005-0000-0000-000091020000}"/>
    <cellStyle name="Normal 3 3 3 4" xfId="529" xr:uid="{00000000-0005-0000-0000-000092020000}"/>
    <cellStyle name="Normal 3 3 3 4 2" xfId="1591" xr:uid="{00000000-0005-0000-0000-000093020000}"/>
    <cellStyle name="Normal 3 3 3 5" xfId="1172" xr:uid="{00000000-0005-0000-0000-000094020000}"/>
    <cellStyle name="Normal 3 3 4" xfId="337" xr:uid="{00000000-0005-0000-0000-000095020000}"/>
    <cellStyle name="Normal 3 3 4 2" xfId="756" xr:uid="{00000000-0005-0000-0000-000096020000}"/>
    <cellStyle name="Normal 3 3 4 2 2" xfId="1818" xr:uid="{00000000-0005-0000-0000-000097020000}"/>
    <cellStyle name="Normal 3 3 4 3" xfId="1399" xr:uid="{00000000-0005-0000-0000-000098020000}"/>
    <cellStyle name="Normal 3 3 5" xfId="199" xr:uid="{00000000-0005-0000-0000-000099020000}"/>
    <cellStyle name="Normal 3 3 5 2" xfId="618" xr:uid="{00000000-0005-0000-0000-00009A020000}"/>
    <cellStyle name="Normal 3 3 5 2 2" xfId="1680" xr:uid="{00000000-0005-0000-0000-00009B020000}"/>
    <cellStyle name="Normal 3 3 5 3" xfId="1261" xr:uid="{00000000-0005-0000-0000-00009C020000}"/>
    <cellStyle name="Normal 3 3 6" xfId="483" xr:uid="{00000000-0005-0000-0000-00009D020000}"/>
    <cellStyle name="Normal 3 3 6 2" xfId="1545" xr:uid="{00000000-0005-0000-0000-00009E020000}"/>
    <cellStyle name="Normal 3 3 7" xfId="1126" xr:uid="{00000000-0005-0000-0000-00009F020000}"/>
    <cellStyle name="Normal 3 4" xfId="86" xr:uid="{00000000-0005-0000-0000-0000A0020000}"/>
    <cellStyle name="Normal 3 4 2" xfId="178" xr:uid="{00000000-0005-0000-0000-0000A1020000}"/>
    <cellStyle name="Normal 3 4 2 2" xfId="447" xr:uid="{00000000-0005-0000-0000-0000A2020000}"/>
    <cellStyle name="Normal 3 4 2 2 2" xfId="866" xr:uid="{00000000-0005-0000-0000-0000A3020000}"/>
    <cellStyle name="Normal 3 4 2 2 2 2" xfId="1928" xr:uid="{00000000-0005-0000-0000-0000A4020000}"/>
    <cellStyle name="Normal 3 4 2 2 3" xfId="1509" xr:uid="{00000000-0005-0000-0000-0000A5020000}"/>
    <cellStyle name="Normal 3 4 2 3" xfId="263" xr:uid="{00000000-0005-0000-0000-0000A6020000}"/>
    <cellStyle name="Normal 3 4 2 3 2" xfId="682" xr:uid="{00000000-0005-0000-0000-0000A7020000}"/>
    <cellStyle name="Normal 3 4 2 3 2 2" xfId="1744" xr:uid="{00000000-0005-0000-0000-0000A8020000}"/>
    <cellStyle name="Normal 3 4 2 3 3" xfId="1325" xr:uid="{00000000-0005-0000-0000-0000A9020000}"/>
    <cellStyle name="Normal 3 4 2 4" xfId="597" xr:uid="{00000000-0005-0000-0000-0000AA020000}"/>
    <cellStyle name="Normal 3 4 2 4 2" xfId="1659" xr:uid="{00000000-0005-0000-0000-0000AB020000}"/>
    <cellStyle name="Normal 3 4 2 5" xfId="1240" xr:uid="{00000000-0005-0000-0000-0000AC020000}"/>
    <cellStyle name="Normal 3 4 3" xfId="133" xr:uid="{00000000-0005-0000-0000-0000AD020000}"/>
    <cellStyle name="Normal 3 4 3 2" xfId="402" xr:uid="{00000000-0005-0000-0000-0000AE020000}"/>
    <cellStyle name="Normal 3 4 3 2 2" xfId="821" xr:uid="{00000000-0005-0000-0000-0000AF020000}"/>
    <cellStyle name="Normal 3 4 3 2 2 2" xfId="1883" xr:uid="{00000000-0005-0000-0000-0000B0020000}"/>
    <cellStyle name="Normal 3 4 3 2 3" xfId="1464" xr:uid="{00000000-0005-0000-0000-0000B1020000}"/>
    <cellStyle name="Normal 3 4 3 3" xfId="309" xr:uid="{00000000-0005-0000-0000-0000B2020000}"/>
    <cellStyle name="Normal 3 4 3 3 2" xfId="728" xr:uid="{00000000-0005-0000-0000-0000B3020000}"/>
    <cellStyle name="Normal 3 4 3 3 2 2" xfId="1790" xr:uid="{00000000-0005-0000-0000-0000B4020000}"/>
    <cellStyle name="Normal 3 4 3 3 3" xfId="1371" xr:uid="{00000000-0005-0000-0000-0000B5020000}"/>
    <cellStyle name="Normal 3 4 3 4" xfId="552" xr:uid="{00000000-0005-0000-0000-0000B6020000}"/>
    <cellStyle name="Normal 3 4 3 4 2" xfId="1614" xr:uid="{00000000-0005-0000-0000-0000B7020000}"/>
    <cellStyle name="Normal 3 4 3 5" xfId="1195" xr:uid="{00000000-0005-0000-0000-0000B8020000}"/>
    <cellStyle name="Normal 3 4 4" xfId="360" xr:uid="{00000000-0005-0000-0000-0000B9020000}"/>
    <cellStyle name="Normal 3 4 4 2" xfId="779" xr:uid="{00000000-0005-0000-0000-0000BA020000}"/>
    <cellStyle name="Normal 3 4 4 2 2" xfId="1841" xr:uid="{00000000-0005-0000-0000-0000BB020000}"/>
    <cellStyle name="Normal 3 4 4 3" xfId="1422" xr:uid="{00000000-0005-0000-0000-0000BC020000}"/>
    <cellStyle name="Normal 3 4 5" xfId="222" xr:uid="{00000000-0005-0000-0000-0000BD020000}"/>
    <cellStyle name="Normal 3 4 5 2" xfId="641" xr:uid="{00000000-0005-0000-0000-0000BE020000}"/>
    <cellStyle name="Normal 3 4 5 2 2" xfId="1703" xr:uid="{00000000-0005-0000-0000-0000BF020000}"/>
    <cellStyle name="Normal 3 4 5 3" xfId="1284" xr:uid="{00000000-0005-0000-0000-0000C0020000}"/>
    <cellStyle name="Normal 3 4 6" xfId="506" xr:uid="{00000000-0005-0000-0000-0000C1020000}"/>
    <cellStyle name="Normal 3 4 6 2" xfId="1568" xr:uid="{00000000-0005-0000-0000-0000C2020000}"/>
    <cellStyle name="Normal 3 4 7" xfId="1149" xr:uid="{00000000-0005-0000-0000-0000C3020000}"/>
    <cellStyle name="Normal 3 5" xfId="146" xr:uid="{00000000-0005-0000-0000-0000C4020000}"/>
    <cellStyle name="Normal 3 5 2" xfId="415" xr:uid="{00000000-0005-0000-0000-0000C5020000}"/>
    <cellStyle name="Normal 3 5 2 2" xfId="834" xr:uid="{00000000-0005-0000-0000-0000C6020000}"/>
    <cellStyle name="Normal 3 5 2 2 2" xfId="1896" xr:uid="{00000000-0005-0000-0000-0000C7020000}"/>
    <cellStyle name="Normal 3 5 2 3" xfId="1477" xr:uid="{00000000-0005-0000-0000-0000C8020000}"/>
    <cellStyle name="Normal 3 5 3" xfId="231" xr:uid="{00000000-0005-0000-0000-0000C9020000}"/>
    <cellStyle name="Normal 3 5 3 2" xfId="650" xr:uid="{00000000-0005-0000-0000-0000CA020000}"/>
    <cellStyle name="Normal 3 5 3 2 2" xfId="1712" xr:uid="{00000000-0005-0000-0000-0000CB020000}"/>
    <cellStyle name="Normal 3 5 3 3" xfId="1293" xr:uid="{00000000-0005-0000-0000-0000CC020000}"/>
    <cellStyle name="Normal 3 5 4" xfId="565" xr:uid="{00000000-0005-0000-0000-0000CD020000}"/>
    <cellStyle name="Normal 3 5 4 2" xfId="1627" xr:uid="{00000000-0005-0000-0000-0000CE020000}"/>
    <cellStyle name="Normal 3 5 5" xfId="1208" xr:uid="{00000000-0005-0000-0000-0000CF020000}"/>
    <cellStyle name="Normal 3 6" xfId="101" xr:uid="{00000000-0005-0000-0000-0000D0020000}"/>
    <cellStyle name="Normal 3 6 2" xfId="370" xr:uid="{00000000-0005-0000-0000-0000D1020000}"/>
    <cellStyle name="Normal 3 6 2 2" xfId="789" xr:uid="{00000000-0005-0000-0000-0000D2020000}"/>
    <cellStyle name="Normal 3 6 2 2 2" xfId="1851" xr:uid="{00000000-0005-0000-0000-0000D3020000}"/>
    <cellStyle name="Normal 3 6 2 3" xfId="1432" xr:uid="{00000000-0005-0000-0000-0000D4020000}"/>
    <cellStyle name="Normal 3 6 3" xfId="277" xr:uid="{00000000-0005-0000-0000-0000D5020000}"/>
    <cellStyle name="Normal 3 6 3 2" xfId="696" xr:uid="{00000000-0005-0000-0000-0000D6020000}"/>
    <cellStyle name="Normal 3 6 3 2 2" xfId="1758" xr:uid="{00000000-0005-0000-0000-0000D7020000}"/>
    <cellStyle name="Normal 3 6 3 3" xfId="1339" xr:uid="{00000000-0005-0000-0000-0000D8020000}"/>
    <cellStyle name="Normal 3 6 4" xfId="520" xr:uid="{00000000-0005-0000-0000-0000D9020000}"/>
    <cellStyle name="Normal 3 6 4 2" xfId="1582" xr:uid="{00000000-0005-0000-0000-0000DA020000}"/>
    <cellStyle name="Normal 3 6 5" xfId="1163" xr:uid="{00000000-0005-0000-0000-0000DB020000}"/>
    <cellStyle name="Normal 3 7" xfId="329" xr:uid="{00000000-0005-0000-0000-0000DC020000}"/>
    <cellStyle name="Normal 3 7 2" xfId="748" xr:uid="{00000000-0005-0000-0000-0000DD020000}"/>
    <cellStyle name="Normal 3 7 2 2" xfId="1810" xr:uid="{00000000-0005-0000-0000-0000DE020000}"/>
    <cellStyle name="Normal 3 7 3" xfId="1391" xr:uid="{00000000-0005-0000-0000-0000DF020000}"/>
    <cellStyle name="Normal 3 8" xfId="191" xr:uid="{00000000-0005-0000-0000-0000E0020000}"/>
    <cellStyle name="Normal 3 8 2" xfId="610" xr:uid="{00000000-0005-0000-0000-0000E1020000}"/>
    <cellStyle name="Normal 3 8 2 2" xfId="1672" xr:uid="{00000000-0005-0000-0000-0000E2020000}"/>
    <cellStyle name="Normal 3 8 3" xfId="1253" xr:uid="{00000000-0005-0000-0000-0000E3020000}"/>
    <cellStyle name="Normal 3 9" xfId="474" xr:uid="{00000000-0005-0000-0000-0000E4020000}"/>
    <cellStyle name="Normal 3 9 2" xfId="1536" xr:uid="{00000000-0005-0000-0000-0000E5020000}"/>
    <cellStyle name="Normal 4" xfId="16" xr:uid="{00000000-0005-0000-0000-0000E6020000}"/>
    <cellStyle name="Normal 4 2" xfId="24" xr:uid="{00000000-0005-0000-0000-0000E7020000}"/>
    <cellStyle name="Normal 4 3" xfId="150" xr:uid="{00000000-0005-0000-0000-0000E8020000}"/>
    <cellStyle name="Normal 4 3 2" xfId="419" xr:uid="{00000000-0005-0000-0000-0000E9020000}"/>
    <cellStyle name="Normal 4 3 2 2" xfId="838" xr:uid="{00000000-0005-0000-0000-0000EA020000}"/>
    <cellStyle name="Normal 4 3 2 2 2" xfId="1900" xr:uid="{00000000-0005-0000-0000-0000EB020000}"/>
    <cellStyle name="Normal 4 3 2 3" xfId="1481" xr:uid="{00000000-0005-0000-0000-0000EC020000}"/>
    <cellStyle name="Normal 4 3 3" xfId="235" xr:uid="{00000000-0005-0000-0000-0000ED020000}"/>
    <cellStyle name="Normal 4 3 3 2" xfId="654" xr:uid="{00000000-0005-0000-0000-0000EE020000}"/>
    <cellStyle name="Normal 4 3 3 2 2" xfId="1716" xr:uid="{00000000-0005-0000-0000-0000EF020000}"/>
    <cellStyle name="Normal 4 3 3 3" xfId="1297" xr:uid="{00000000-0005-0000-0000-0000F0020000}"/>
    <cellStyle name="Normal 4 3 4" xfId="569" xr:uid="{00000000-0005-0000-0000-0000F1020000}"/>
    <cellStyle name="Normal 4 3 4 2" xfId="1631" xr:uid="{00000000-0005-0000-0000-0000F2020000}"/>
    <cellStyle name="Normal 4 3 5" xfId="1212" xr:uid="{00000000-0005-0000-0000-0000F3020000}"/>
    <cellStyle name="Normal 4 4" xfId="105" xr:uid="{00000000-0005-0000-0000-0000F4020000}"/>
    <cellStyle name="Normal 4 4 2" xfId="374" xr:uid="{00000000-0005-0000-0000-0000F5020000}"/>
    <cellStyle name="Normal 4 4 2 2" xfId="793" xr:uid="{00000000-0005-0000-0000-0000F6020000}"/>
    <cellStyle name="Normal 4 4 2 2 2" xfId="1855" xr:uid="{00000000-0005-0000-0000-0000F7020000}"/>
    <cellStyle name="Normal 4 4 2 3" xfId="1436" xr:uid="{00000000-0005-0000-0000-0000F8020000}"/>
    <cellStyle name="Normal 4 4 3" xfId="281" xr:uid="{00000000-0005-0000-0000-0000F9020000}"/>
    <cellStyle name="Normal 4 4 3 2" xfId="700" xr:uid="{00000000-0005-0000-0000-0000FA020000}"/>
    <cellStyle name="Normal 4 4 3 2 2" xfId="1762" xr:uid="{00000000-0005-0000-0000-0000FB020000}"/>
    <cellStyle name="Normal 4 4 3 3" xfId="1343" xr:uid="{00000000-0005-0000-0000-0000FC020000}"/>
    <cellStyle name="Normal 4 4 4" xfId="524" xr:uid="{00000000-0005-0000-0000-0000FD020000}"/>
    <cellStyle name="Normal 4 4 4 2" xfId="1586" xr:uid="{00000000-0005-0000-0000-0000FE020000}"/>
    <cellStyle name="Normal 4 4 5" xfId="1167" xr:uid="{00000000-0005-0000-0000-0000FF020000}"/>
    <cellStyle name="Normal 4 5" xfId="333" xr:uid="{00000000-0005-0000-0000-000000030000}"/>
    <cellStyle name="Normal 4 5 2" xfId="752" xr:uid="{00000000-0005-0000-0000-000001030000}"/>
    <cellStyle name="Normal 4 5 2 2" xfId="1814" xr:uid="{00000000-0005-0000-0000-000002030000}"/>
    <cellStyle name="Normal 4 5 3" xfId="1395" xr:uid="{00000000-0005-0000-0000-000003030000}"/>
    <cellStyle name="Normal 4 6" xfId="195" xr:uid="{00000000-0005-0000-0000-000004030000}"/>
    <cellStyle name="Normal 4 6 2" xfId="614" xr:uid="{00000000-0005-0000-0000-000005030000}"/>
    <cellStyle name="Normal 4 6 2 2" xfId="1676" xr:uid="{00000000-0005-0000-0000-000006030000}"/>
    <cellStyle name="Normal 4 6 3" xfId="1257" xr:uid="{00000000-0005-0000-0000-000007030000}"/>
    <cellStyle name="Normal 4 7" xfId="478" xr:uid="{00000000-0005-0000-0000-000008030000}"/>
    <cellStyle name="Normal 4 7 2" xfId="1540" xr:uid="{00000000-0005-0000-0000-000009030000}"/>
    <cellStyle name="Normal 4 8" xfId="1121" xr:uid="{00000000-0005-0000-0000-00000A030000}"/>
    <cellStyle name="Normal 5" xfId="18" xr:uid="{00000000-0005-0000-0000-00000B030000}"/>
    <cellStyle name="Normal 5 2" xfId="152" xr:uid="{00000000-0005-0000-0000-00000C030000}"/>
    <cellStyle name="Normal 5 2 2" xfId="421" xr:uid="{00000000-0005-0000-0000-00000D030000}"/>
    <cellStyle name="Normal 5 2 2 2" xfId="840" xr:uid="{00000000-0005-0000-0000-00000E030000}"/>
    <cellStyle name="Normal 5 2 2 2 2" xfId="1902" xr:uid="{00000000-0005-0000-0000-00000F030000}"/>
    <cellStyle name="Normal 5 2 2 3" xfId="1483" xr:uid="{00000000-0005-0000-0000-000010030000}"/>
    <cellStyle name="Normal 5 2 3" xfId="237" xr:uid="{00000000-0005-0000-0000-000011030000}"/>
    <cellStyle name="Normal 5 2 3 2" xfId="656" xr:uid="{00000000-0005-0000-0000-000012030000}"/>
    <cellStyle name="Normal 5 2 3 2 2" xfId="1718" xr:uid="{00000000-0005-0000-0000-000013030000}"/>
    <cellStyle name="Normal 5 2 3 3" xfId="1299" xr:uid="{00000000-0005-0000-0000-000014030000}"/>
    <cellStyle name="Normal 5 2 4" xfId="571" xr:uid="{00000000-0005-0000-0000-000015030000}"/>
    <cellStyle name="Normal 5 2 4 2" xfId="1633" xr:uid="{00000000-0005-0000-0000-000016030000}"/>
    <cellStyle name="Normal 5 2 5" xfId="1214" xr:uid="{00000000-0005-0000-0000-000017030000}"/>
    <cellStyle name="Normal 5 3" xfId="107" xr:uid="{00000000-0005-0000-0000-000018030000}"/>
    <cellStyle name="Normal 5 3 2" xfId="376" xr:uid="{00000000-0005-0000-0000-000019030000}"/>
    <cellStyle name="Normal 5 3 2 2" xfId="795" xr:uid="{00000000-0005-0000-0000-00001A030000}"/>
    <cellStyle name="Normal 5 3 2 2 2" xfId="1857" xr:uid="{00000000-0005-0000-0000-00001B030000}"/>
    <cellStyle name="Normal 5 3 2 3" xfId="1438" xr:uid="{00000000-0005-0000-0000-00001C030000}"/>
    <cellStyle name="Normal 5 3 3" xfId="283" xr:uid="{00000000-0005-0000-0000-00001D030000}"/>
    <cellStyle name="Normal 5 3 3 2" xfId="702" xr:uid="{00000000-0005-0000-0000-00001E030000}"/>
    <cellStyle name="Normal 5 3 3 2 2" xfId="1764" xr:uid="{00000000-0005-0000-0000-00001F030000}"/>
    <cellStyle name="Normal 5 3 3 3" xfId="1345" xr:uid="{00000000-0005-0000-0000-000020030000}"/>
    <cellStyle name="Normal 5 3 4" xfId="526" xr:uid="{00000000-0005-0000-0000-000021030000}"/>
    <cellStyle name="Normal 5 3 4 2" xfId="1588" xr:uid="{00000000-0005-0000-0000-000022030000}"/>
    <cellStyle name="Normal 5 3 5" xfId="1169" xr:uid="{00000000-0005-0000-0000-000023030000}"/>
    <cellStyle name="Normal 5 4" xfId="334" xr:uid="{00000000-0005-0000-0000-000024030000}"/>
    <cellStyle name="Normal 5 4 2" xfId="753" xr:uid="{00000000-0005-0000-0000-000025030000}"/>
    <cellStyle name="Normal 5 4 2 2" xfId="1815" xr:uid="{00000000-0005-0000-0000-000026030000}"/>
    <cellStyle name="Normal 5 4 3" xfId="1396" xr:uid="{00000000-0005-0000-0000-000027030000}"/>
    <cellStyle name="Normal 5 5" xfId="196" xr:uid="{00000000-0005-0000-0000-000028030000}"/>
    <cellStyle name="Normal 5 5 2" xfId="615" xr:uid="{00000000-0005-0000-0000-000029030000}"/>
    <cellStyle name="Normal 5 5 2 2" xfId="1677" xr:uid="{00000000-0005-0000-0000-00002A030000}"/>
    <cellStyle name="Normal 5 5 3" xfId="1258" xr:uid="{00000000-0005-0000-0000-00002B030000}"/>
    <cellStyle name="Normal 5 6" xfId="480" xr:uid="{00000000-0005-0000-0000-00002C030000}"/>
    <cellStyle name="Normal 5 6 2" xfId="1542" xr:uid="{00000000-0005-0000-0000-00002D030000}"/>
    <cellStyle name="Normal 5 7" xfId="1123" xr:uid="{00000000-0005-0000-0000-00002E030000}"/>
    <cellStyle name="Normal 6" xfId="27" xr:uid="{00000000-0005-0000-0000-00002F030000}"/>
    <cellStyle name="Normal 7" xfId="82" xr:uid="{00000000-0005-0000-0000-000030030000}"/>
    <cellStyle name="Normal 7 2" xfId="176" xr:uid="{00000000-0005-0000-0000-000031030000}"/>
    <cellStyle name="Normal 7 2 2" xfId="445" xr:uid="{00000000-0005-0000-0000-000032030000}"/>
    <cellStyle name="Normal 7 2 2 2" xfId="864" xr:uid="{00000000-0005-0000-0000-000033030000}"/>
    <cellStyle name="Normal 7 2 2 2 2" xfId="1926" xr:uid="{00000000-0005-0000-0000-000034030000}"/>
    <cellStyle name="Normal 7 2 2 3" xfId="1507" xr:uid="{00000000-0005-0000-0000-000035030000}"/>
    <cellStyle name="Normal 7 2 3" xfId="261" xr:uid="{00000000-0005-0000-0000-000036030000}"/>
    <cellStyle name="Normal 7 2 3 2" xfId="680" xr:uid="{00000000-0005-0000-0000-000037030000}"/>
    <cellStyle name="Normal 7 2 3 2 2" xfId="1742" xr:uid="{00000000-0005-0000-0000-000038030000}"/>
    <cellStyle name="Normal 7 2 3 3" xfId="1323" xr:uid="{00000000-0005-0000-0000-000039030000}"/>
    <cellStyle name="Normal 7 2 4" xfId="595" xr:uid="{00000000-0005-0000-0000-00003A030000}"/>
    <cellStyle name="Normal 7 2 4 2" xfId="1657" xr:uid="{00000000-0005-0000-0000-00003B030000}"/>
    <cellStyle name="Normal 7 2 5" xfId="1238" xr:uid="{00000000-0005-0000-0000-00003C030000}"/>
    <cellStyle name="Normal 7 3" xfId="131" xr:uid="{00000000-0005-0000-0000-00003D030000}"/>
    <cellStyle name="Normal 7 3 2" xfId="400" xr:uid="{00000000-0005-0000-0000-00003E030000}"/>
    <cellStyle name="Normal 7 3 2 2" xfId="819" xr:uid="{00000000-0005-0000-0000-00003F030000}"/>
    <cellStyle name="Normal 7 3 2 2 2" xfId="1881" xr:uid="{00000000-0005-0000-0000-000040030000}"/>
    <cellStyle name="Normal 7 3 2 3" xfId="1462" xr:uid="{00000000-0005-0000-0000-000041030000}"/>
    <cellStyle name="Normal 7 3 3" xfId="307" xr:uid="{00000000-0005-0000-0000-000042030000}"/>
    <cellStyle name="Normal 7 3 3 2" xfId="726" xr:uid="{00000000-0005-0000-0000-000043030000}"/>
    <cellStyle name="Normal 7 3 3 2 2" xfId="1788" xr:uid="{00000000-0005-0000-0000-000044030000}"/>
    <cellStyle name="Normal 7 3 3 3" xfId="1369" xr:uid="{00000000-0005-0000-0000-000045030000}"/>
    <cellStyle name="Normal 7 3 4" xfId="550" xr:uid="{00000000-0005-0000-0000-000046030000}"/>
    <cellStyle name="Normal 7 3 4 2" xfId="1612" xr:uid="{00000000-0005-0000-0000-000047030000}"/>
    <cellStyle name="Normal 7 3 5" xfId="1193" xr:uid="{00000000-0005-0000-0000-000048030000}"/>
    <cellStyle name="Normal 7 4" xfId="358" xr:uid="{00000000-0005-0000-0000-000049030000}"/>
    <cellStyle name="Normal 7 4 2" xfId="777" xr:uid="{00000000-0005-0000-0000-00004A030000}"/>
    <cellStyle name="Normal 7 4 2 2" xfId="1839" xr:uid="{00000000-0005-0000-0000-00004B030000}"/>
    <cellStyle name="Normal 7 4 3" xfId="1420" xr:uid="{00000000-0005-0000-0000-00004C030000}"/>
    <cellStyle name="Normal 7 5" xfId="220" xr:uid="{00000000-0005-0000-0000-00004D030000}"/>
    <cellStyle name="Normal 7 5 2" xfId="639" xr:uid="{00000000-0005-0000-0000-00004E030000}"/>
    <cellStyle name="Normal 7 5 2 2" xfId="1701" xr:uid="{00000000-0005-0000-0000-00004F030000}"/>
    <cellStyle name="Normal 7 5 3" xfId="1282" xr:uid="{00000000-0005-0000-0000-000050030000}"/>
    <cellStyle name="Normal 7 6" xfId="504" xr:uid="{00000000-0005-0000-0000-000051030000}"/>
    <cellStyle name="Normal 7 6 2" xfId="1566" xr:uid="{00000000-0005-0000-0000-000052030000}"/>
    <cellStyle name="Normal 7 7" xfId="1147" xr:uid="{00000000-0005-0000-0000-000053030000}"/>
    <cellStyle name="Normal 8" xfId="84" xr:uid="{00000000-0005-0000-0000-000054030000}"/>
    <cellStyle name="Normal 8 2" xfId="177" xr:uid="{00000000-0005-0000-0000-000055030000}"/>
    <cellStyle name="Normal 8 2 2" xfId="446" xr:uid="{00000000-0005-0000-0000-000056030000}"/>
    <cellStyle name="Normal 8 2 2 2" xfId="865" xr:uid="{00000000-0005-0000-0000-000057030000}"/>
    <cellStyle name="Normal 8 2 2 2 2" xfId="1927" xr:uid="{00000000-0005-0000-0000-000058030000}"/>
    <cellStyle name="Normal 8 2 2 3" xfId="1508" xr:uid="{00000000-0005-0000-0000-000059030000}"/>
    <cellStyle name="Normal 8 2 3" xfId="262" xr:uid="{00000000-0005-0000-0000-00005A030000}"/>
    <cellStyle name="Normal 8 2 3 2" xfId="681" xr:uid="{00000000-0005-0000-0000-00005B030000}"/>
    <cellStyle name="Normal 8 2 3 2 2" xfId="1743" xr:uid="{00000000-0005-0000-0000-00005C030000}"/>
    <cellStyle name="Normal 8 2 3 3" xfId="1324" xr:uid="{00000000-0005-0000-0000-00005D030000}"/>
    <cellStyle name="Normal 8 2 4" xfId="596" xr:uid="{00000000-0005-0000-0000-00005E030000}"/>
    <cellStyle name="Normal 8 2 4 2" xfId="1658" xr:uid="{00000000-0005-0000-0000-00005F030000}"/>
    <cellStyle name="Normal 8 2 5" xfId="1239" xr:uid="{00000000-0005-0000-0000-000060030000}"/>
    <cellStyle name="Normal 8 3" xfId="132" xr:uid="{00000000-0005-0000-0000-000061030000}"/>
    <cellStyle name="Normal 8 3 2" xfId="401" xr:uid="{00000000-0005-0000-0000-000062030000}"/>
    <cellStyle name="Normal 8 3 2 2" xfId="820" xr:uid="{00000000-0005-0000-0000-000063030000}"/>
    <cellStyle name="Normal 8 3 2 2 2" xfId="1882" xr:uid="{00000000-0005-0000-0000-000064030000}"/>
    <cellStyle name="Normal 8 3 2 3" xfId="1463" xr:uid="{00000000-0005-0000-0000-000065030000}"/>
    <cellStyle name="Normal 8 3 3" xfId="308" xr:uid="{00000000-0005-0000-0000-000066030000}"/>
    <cellStyle name="Normal 8 3 3 2" xfId="727" xr:uid="{00000000-0005-0000-0000-000067030000}"/>
    <cellStyle name="Normal 8 3 3 2 2" xfId="1789" xr:uid="{00000000-0005-0000-0000-000068030000}"/>
    <cellStyle name="Normal 8 3 3 3" xfId="1370" xr:uid="{00000000-0005-0000-0000-000069030000}"/>
    <cellStyle name="Normal 8 3 4" xfId="551" xr:uid="{00000000-0005-0000-0000-00006A030000}"/>
    <cellStyle name="Normal 8 3 4 2" xfId="1613" xr:uid="{00000000-0005-0000-0000-00006B030000}"/>
    <cellStyle name="Normal 8 3 5" xfId="1194" xr:uid="{00000000-0005-0000-0000-00006C030000}"/>
    <cellStyle name="Normal 8 4" xfId="359" xr:uid="{00000000-0005-0000-0000-00006D030000}"/>
    <cellStyle name="Normal 8 4 2" xfId="778" xr:uid="{00000000-0005-0000-0000-00006E030000}"/>
    <cellStyle name="Normal 8 4 2 2" xfId="1840" xr:uid="{00000000-0005-0000-0000-00006F030000}"/>
    <cellStyle name="Normal 8 4 3" xfId="1421" xr:uid="{00000000-0005-0000-0000-000070030000}"/>
    <cellStyle name="Normal 8 5" xfId="221" xr:uid="{00000000-0005-0000-0000-000071030000}"/>
    <cellStyle name="Normal 8 5 2" xfId="640" xr:uid="{00000000-0005-0000-0000-000072030000}"/>
    <cellStyle name="Normal 8 5 2 2" xfId="1702" xr:uid="{00000000-0005-0000-0000-000073030000}"/>
    <cellStyle name="Normal 8 5 3" xfId="1283" xr:uid="{00000000-0005-0000-0000-000074030000}"/>
    <cellStyle name="Normal 8 6" xfId="505" xr:uid="{00000000-0005-0000-0000-000075030000}"/>
    <cellStyle name="Normal 8 6 2" xfId="1567" xr:uid="{00000000-0005-0000-0000-000076030000}"/>
    <cellStyle name="Normal 8 7" xfId="1148" xr:uid="{00000000-0005-0000-0000-000077030000}"/>
    <cellStyle name="Normal 9" xfId="87" xr:uid="{00000000-0005-0000-0000-000078030000}"/>
    <cellStyle name="Normal_9_Rentab. por Cliente - Veiculos" xfId="6" xr:uid="{00000000-0005-0000-0000-000079030000}"/>
    <cellStyle name="Normal_9_Rentab. por Cliente - Veiculos 2" xfId="2" xr:uid="{00000000-0005-0000-0000-00007A030000}"/>
    <cellStyle name="Normal_Nota Explicativa - Outras Receitas e Depesas Financeiras" xfId="889" xr:uid="{00000000-0005-0000-0000-00007B030000}"/>
    <cellStyle name="Nota 2" xfId="65" xr:uid="{00000000-0005-0000-0000-00007C030000}"/>
    <cellStyle name="Porcentagem" xfId="1" builtinId="5"/>
    <cellStyle name="Porcentagem 10" xfId="1005" xr:uid="{00000000-0005-0000-0000-00007E030000}"/>
    <cellStyle name="Porcentagem 10 2" xfId="2065" xr:uid="{00000000-0005-0000-0000-00007F030000}"/>
    <cellStyle name="Porcentagem 11" xfId="1063" xr:uid="{00000000-0005-0000-0000-000080030000}"/>
    <cellStyle name="Porcentagem 11 2" xfId="2123" xr:uid="{00000000-0005-0000-0000-000081030000}"/>
    <cellStyle name="Porcentagem 2" xfId="5" xr:uid="{00000000-0005-0000-0000-000082030000}"/>
    <cellStyle name="Porcentagem 2 2" xfId="10" xr:uid="{00000000-0005-0000-0000-000083030000}"/>
    <cellStyle name="Porcentagem 2 3" xfId="75" xr:uid="{00000000-0005-0000-0000-000084030000}"/>
    <cellStyle name="Porcentagem 3" xfId="11" xr:uid="{00000000-0005-0000-0000-000085030000}"/>
    <cellStyle name="Porcentagem 3 2" xfId="72" xr:uid="{00000000-0005-0000-0000-000086030000}"/>
    <cellStyle name="Porcentagem 3 3" xfId="145" xr:uid="{00000000-0005-0000-0000-000087030000}"/>
    <cellStyle name="Porcentagem 3 3 2" xfId="414" xr:uid="{00000000-0005-0000-0000-000088030000}"/>
    <cellStyle name="Porcentagem 3 3 2 2" xfId="833" xr:uid="{00000000-0005-0000-0000-000089030000}"/>
    <cellStyle name="Porcentagem 3 3 2 2 2" xfId="1895" xr:uid="{00000000-0005-0000-0000-00008A030000}"/>
    <cellStyle name="Porcentagem 3 3 2 3" xfId="1476" xr:uid="{00000000-0005-0000-0000-00008B030000}"/>
    <cellStyle name="Porcentagem 3 3 3" xfId="230" xr:uid="{00000000-0005-0000-0000-00008C030000}"/>
    <cellStyle name="Porcentagem 3 3 3 2" xfId="649" xr:uid="{00000000-0005-0000-0000-00008D030000}"/>
    <cellStyle name="Porcentagem 3 3 3 2 2" xfId="1711" xr:uid="{00000000-0005-0000-0000-00008E030000}"/>
    <cellStyle name="Porcentagem 3 3 3 3" xfId="1292" xr:uid="{00000000-0005-0000-0000-00008F030000}"/>
    <cellStyle name="Porcentagem 3 3 4" xfId="564" xr:uid="{00000000-0005-0000-0000-000090030000}"/>
    <cellStyle name="Porcentagem 3 3 4 2" xfId="1626" xr:uid="{00000000-0005-0000-0000-000091030000}"/>
    <cellStyle name="Porcentagem 3 3 5" xfId="1207" xr:uid="{00000000-0005-0000-0000-000092030000}"/>
    <cellStyle name="Porcentagem 3 4" xfId="100" xr:uid="{00000000-0005-0000-0000-000093030000}"/>
    <cellStyle name="Porcentagem 3 4 2" xfId="369" xr:uid="{00000000-0005-0000-0000-000094030000}"/>
    <cellStyle name="Porcentagem 3 4 2 2" xfId="788" xr:uid="{00000000-0005-0000-0000-000095030000}"/>
    <cellStyle name="Porcentagem 3 4 2 2 2" xfId="1850" xr:uid="{00000000-0005-0000-0000-000096030000}"/>
    <cellStyle name="Porcentagem 3 4 2 3" xfId="1431" xr:uid="{00000000-0005-0000-0000-000097030000}"/>
    <cellStyle name="Porcentagem 3 4 3" xfId="276" xr:uid="{00000000-0005-0000-0000-000098030000}"/>
    <cellStyle name="Porcentagem 3 4 3 2" xfId="695" xr:uid="{00000000-0005-0000-0000-000099030000}"/>
    <cellStyle name="Porcentagem 3 4 3 2 2" xfId="1757" xr:uid="{00000000-0005-0000-0000-00009A030000}"/>
    <cellStyle name="Porcentagem 3 4 3 3" xfId="1338" xr:uid="{00000000-0005-0000-0000-00009B030000}"/>
    <cellStyle name="Porcentagem 3 4 4" xfId="519" xr:uid="{00000000-0005-0000-0000-00009C030000}"/>
    <cellStyle name="Porcentagem 3 4 4 2" xfId="1581" xr:uid="{00000000-0005-0000-0000-00009D030000}"/>
    <cellStyle name="Porcentagem 3 4 5" xfId="1162" xr:uid="{00000000-0005-0000-0000-00009E030000}"/>
    <cellStyle name="Porcentagem 3 5" xfId="328" xr:uid="{00000000-0005-0000-0000-00009F030000}"/>
    <cellStyle name="Porcentagem 3 5 2" xfId="747" xr:uid="{00000000-0005-0000-0000-0000A0030000}"/>
    <cellStyle name="Porcentagem 3 5 2 2" xfId="1809" xr:uid="{00000000-0005-0000-0000-0000A1030000}"/>
    <cellStyle name="Porcentagem 3 5 3" xfId="1390" xr:uid="{00000000-0005-0000-0000-0000A2030000}"/>
    <cellStyle name="Porcentagem 3 6" xfId="190" xr:uid="{00000000-0005-0000-0000-0000A3030000}"/>
    <cellStyle name="Porcentagem 3 6 2" xfId="609" xr:uid="{00000000-0005-0000-0000-0000A4030000}"/>
    <cellStyle name="Porcentagem 3 6 2 2" xfId="1671" xr:uid="{00000000-0005-0000-0000-0000A5030000}"/>
    <cellStyle name="Porcentagem 3 6 3" xfId="1252" xr:uid="{00000000-0005-0000-0000-0000A6030000}"/>
    <cellStyle name="Porcentagem 3 7" xfId="473" xr:uid="{00000000-0005-0000-0000-0000A7030000}"/>
    <cellStyle name="Porcentagem 3 7 2" xfId="1535" xr:uid="{00000000-0005-0000-0000-0000A8030000}"/>
    <cellStyle name="Porcentagem 3 8" xfId="1116" xr:uid="{00000000-0005-0000-0000-0000A9030000}"/>
    <cellStyle name="Porcentagem 4" xfId="14" xr:uid="{00000000-0005-0000-0000-0000AA030000}"/>
    <cellStyle name="Porcentagem 4 2" xfId="148" xr:uid="{00000000-0005-0000-0000-0000AB030000}"/>
    <cellStyle name="Porcentagem 4 2 2" xfId="417" xr:uid="{00000000-0005-0000-0000-0000AC030000}"/>
    <cellStyle name="Porcentagem 4 2 2 2" xfId="836" xr:uid="{00000000-0005-0000-0000-0000AD030000}"/>
    <cellStyle name="Porcentagem 4 2 2 2 2" xfId="1898" xr:uid="{00000000-0005-0000-0000-0000AE030000}"/>
    <cellStyle name="Porcentagem 4 2 2 3" xfId="1479" xr:uid="{00000000-0005-0000-0000-0000AF030000}"/>
    <cellStyle name="Porcentagem 4 2 3" xfId="233" xr:uid="{00000000-0005-0000-0000-0000B0030000}"/>
    <cellStyle name="Porcentagem 4 2 3 2" xfId="652" xr:uid="{00000000-0005-0000-0000-0000B1030000}"/>
    <cellStyle name="Porcentagem 4 2 3 2 2" xfId="1714" xr:uid="{00000000-0005-0000-0000-0000B2030000}"/>
    <cellStyle name="Porcentagem 4 2 3 3" xfId="1295" xr:uid="{00000000-0005-0000-0000-0000B3030000}"/>
    <cellStyle name="Porcentagem 4 2 4" xfId="567" xr:uid="{00000000-0005-0000-0000-0000B4030000}"/>
    <cellStyle name="Porcentagem 4 2 4 2" xfId="1629" xr:uid="{00000000-0005-0000-0000-0000B5030000}"/>
    <cellStyle name="Porcentagem 4 2 5" xfId="1210" xr:uid="{00000000-0005-0000-0000-0000B6030000}"/>
    <cellStyle name="Porcentagem 4 3" xfId="103" xr:uid="{00000000-0005-0000-0000-0000B7030000}"/>
    <cellStyle name="Porcentagem 4 3 2" xfId="372" xr:uid="{00000000-0005-0000-0000-0000B8030000}"/>
    <cellStyle name="Porcentagem 4 3 2 2" xfId="791" xr:uid="{00000000-0005-0000-0000-0000B9030000}"/>
    <cellStyle name="Porcentagem 4 3 2 2 2" xfId="1853" xr:uid="{00000000-0005-0000-0000-0000BA030000}"/>
    <cellStyle name="Porcentagem 4 3 2 3" xfId="1434" xr:uid="{00000000-0005-0000-0000-0000BB030000}"/>
    <cellStyle name="Porcentagem 4 3 3" xfId="279" xr:uid="{00000000-0005-0000-0000-0000BC030000}"/>
    <cellStyle name="Porcentagem 4 3 3 2" xfId="698" xr:uid="{00000000-0005-0000-0000-0000BD030000}"/>
    <cellStyle name="Porcentagem 4 3 3 2 2" xfId="1760" xr:uid="{00000000-0005-0000-0000-0000BE030000}"/>
    <cellStyle name="Porcentagem 4 3 3 3" xfId="1341" xr:uid="{00000000-0005-0000-0000-0000BF030000}"/>
    <cellStyle name="Porcentagem 4 3 4" xfId="522" xr:uid="{00000000-0005-0000-0000-0000C0030000}"/>
    <cellStyle name="Porcentagem 4 3 4 2" xfId="1584" xr:uid="{00000000-0005-0000-0000-0000C1030000}"/>
    <cellStyle name="Porcentagem 4 3 5" xfId="1165" xr:uid="{00000000-0005-0000-0000-0000C2030000}"/>
    <cellStyle name="Porcentagem 4 4" xfId="331" xr:uid="{00000000-0005-0000-0000-0000C3030000}"/>
    <cellStyle name="Porcentagem 4 4 2" xfId="750" xr:uid="{00000000-0005-0000-0000-0000C4030000}"/>
    <cellStyle name="Porcentagem 4 4 2 2" xfId="1812" xr:uid="{00000000-0005-0000-0000-0000C5030000}"/>
    <cellStyle name="Porcentagem 4 4 3" xfId="1393" xr:uid="{00000000-0005-0000-0000-0000C6030000}"/>
    <cellStyle name="Porcentagem 4 5" xfId="193" xr:uid="{00000000-0005-0000-0000-0000C7030000}"/>
    <cellStyle name="Porcentagem 4 5 2" xfId="612" xr:uid="{00000000-0005-0000-0000-0000C8030000}"/>
    <cellStyle name="Porcentagem 4 5 2 2" xfId="1674" xr:uid="{00000000-0005-0000-0000-0000C9030000}"/>
    <cellStyle name="Porcentagem 4 5 3" xfId="1255" xr:uid="{00000000-0005-0000-0000-0000CA030000}"/>
    <cellStyle name="Porcentagem 4 6" xfId="476" xr:uid="{00000000-0005-0000-0000-0000CB030000}"/>
    <cellStyle name="Porcentagem 4 6 2" xfId="1538" xr:uid="{00000000-0005-0000-0000-0000CC030000}"/>
    <cellStyle name="Porcentagem 4 7" xfId="1119" xr:uid="{00000000-0005-0000-0000-0000CD030000}"/>
    <cellStyle name="Porcentagem 5" xfId="20" xr:uid="{00000000-0005-0000-0000-0000CE030000}"/>
    <cellStyle name="Porcentagem 5 2" xfId="154" xr:uid="{00000000-0005-0000-0000-0000CF030000}"/>
    <cellStyle name="Porcentagem 5 2 2" xfId="423" xr:uid="{00000000-0005-0000-0000-0000D0030000}"/>
    <cellStyle name="Porcentagem 5 2 2 2" xfId="842" xr:uid="{00000000-0005-0000-0000-0000D1030000}"/>
    <cellStyle name="Porcentagem 5 2 2 2 2" xfId="1904" xr:uid="{00000000-0005-0000-0000-0000D2030000}"/>
    <cellStyle name="Porcentagem 5 2 2 3" xfId="1485" xr:uid="{00000000-0005-0000-0000-0000D3030000}"/>
    <cellStyle name="Porcentagem 5 2 3" xfId="239" xr:uid="{00000000-0005-0000-0000-0000D4030000}"/>
    <cellStyle name="Porcentagem 5 2 3 2" xfId="658" xr:uid="{00000000-0005-0000-0000-0000D5030000}"/>
    <cellStyle name="Porcentagem 5 2 3 2 2" xfId="1720" xr:uid="{00000000-0005-0000-0000-0000D6030000}"/>
    <cellStyle name="Porcentagem 5 2 3 3" xfId="1301" xr:uid="{00000000-0005-0000-0000-0000D7030000}"/>
    <cellStyle name="Porcentagem 5 2 4" xfId="573" xr:uid="{00000000-0005-0000-0000-0000D8030000}"/>
    <cellStyle name="Porcentagem 5 2 4 2" xfId="1635" xr:uid="{00000000-0005-0000-0000-0000D9030000}"/>
    <cellStyle name="Porcentagem 5 2 5" xfId="1216" xr:uid="{00000000-0005-0000-0000-0000DA030000}"/>
    <cellStyle name="Porcentagem 5 3" xfId="109" xr:uid="{00000000-0005-0000-0000-0000DB030000}"/>
    <cellStyle name="Porcentagem 5 3 2" xfId="378" xr:uid="{00000000-0005-0000-0000-0000DC030000}"/>
    <cellStyle name="Porcentagem 5 3 2 2" xfId="797" xr:uid="{00000000-0005-0000-0000-0000DD030000}"/>
    <cellStyle name="Porcentagem 5 3 2 2 2" xfId="1859" xr:uid="{00000000-0005-0000-0000-0000DE030000}"/>
    <cellStyle name="Porcentagem 5 3 2 3" xfId="1440" xr:uid="{00000000-0005-0000-0000-0000DF030000}"/>
    <cellStyle name="Porcentagem 5 3 3" xfId="285" xr:uid="{00000000-0005-0000-0000-0000E0030000}"/>
    <cellStyle name="Porcentagem 5 3 3 2" xfId="704" xr:uid="{00000000-0005-0000-0000-0000E1030000}"/>
    <cellStyle name="Porcentagem 5 3 3 2 2" xfId="1766" xr:uid="{00000000-0005-0000-0000-0000E2030000}"/>
    <cellStyle name="Porcentagem 5 3 3 3" xfId="1347" xr:uid="{00000000-0005-0000-0000-0000E3030000}"/>
    <cellStyle name="Porcentagem 5 3 4" xfId="528" xr:uid="{00000000-0005-0000-0000-0000E4030000}"/>
    <cellStyle name="Porcentagem 5 3 4 2" xfId="1590" xr:uid="{00000000-0005-0000-0000-0000E5030000}"/>
    <cellStyle name="Porcentagem 5 3 5" xfId="1171" xr:uid="{00000000-0005-0000-0000-0000E6030000}"/>
    <cellStyle name="Porcentagem 5 4" xfId="336" xr:uid="{00000000-0005-0000-0000-0000E7030000}"/>
    <cellStyle name="Porcentagem 5 4 2" xfId="755" xr:uid="{00000000-0005-0000-0000-0000E8030000}"/>
    <cellStyle name="Porcentagem 5 4 2 2" xfId="1817" xr:uid="{00000000-0005-0000-0000-0000E9030000}"/>
    <cellStyle name="Porcentagem 5 4 3" xfId="1398" xr:uid="{00000000-0005-0000-0000-0000EA030000}"/>
    <cellStyle name="Porcentagem 5 5" xfId="198" xr:uid="{00000000-0005-0000-0000-0000EB030000}"/>
    <cellStyle name="Porcentagem 5 5 2" xfId="617" xr:uid="{00000000-0005-0000-0000-0000EC030000}"/>
    <cellStyle name="Porcentagem 5 5 2 2" xfId="1679" xr:uid="{00000000-0005-0000-0000-0000ED030000}"/>
    <cellStyle name="Porcentagem 5 5 3" xfId="1260" xr:uid="{00000000-0005-0000-0000-0000EE030000}"/>
    <cellStyle name="Porcentagem 5 6" xfId="482" xr:uid="{00000000-0005-0000-0000-0000EF030000}"/>
    <cellStyle name="Porcentagem 5 6 2" xfId="1544" xr:uid="{00000000-0005-0000-0000-0000F0030000}"/>
    <cellStyle name="Porcentagem 5 7" xfId="1125" xr:uid="{00000000-0005-0000-0000-0000F1030000}"/>
    <cellStyle name="Porcentagem 6" xfId="96" xr:uid="{00000000-0005-0000-0000-0000F2030000}"/>
    <cellStyle name="Porcentagem 6 2" xfId="187" xr:uid="{00000000-0005-0000-0000-0000F3030000}"/>
    <cellStyle name="Porcentagem 6 2 2" xfId="456" xr:uid="{00000000-0005-0000-0000-0000F4030000}"/>
    <cellStyle name="Porcentagem 6 2 2 2" xfId="875" xr:uid="{00000000-0005-0000-0000-0000F5030000}"/>
    <cellStyle name="Porcentagem 6 2 2 2 2" xfId="1937" xr:uid="{00000000-0005-0000-0000-0000F6030000}"/>
    <cellStyle name="Porcentagem 6 2 2 3" xfId="1518" xr:uid="{00000000-0005-0000-0000-0000F7030000}"/>
    <cellStyle name="Porcentagem 6 2 3" xfId="325" xr:uid="{00000000-0005-0000-0000-0000F8030000}"/>
    <cellStyle name="Porcentagem 6 2 3 2" xfId="744" xr:uid="{00000000-0005-0000-0000-0000F9030000}"/>
    <cellStyle name="Porcentagem 6 2 3 2 2" xfId="1806" xr:uid="{00000000-0005-0000-0000-0000FA030000}"/>
    <cellStyle name="Porcentagem 6 2 3 3" xfId="1387" xr:uid="{00000000-0005-0000-0000-0000FB030000}"/>
    <cellStyle name="Porcentagem 6 2 4" xfId="606" xr:uid="{00000000-0005-0000-0000-0000FC030000}"/>
    <cellStyle name="Porcentagem 6 2 4 2" xfId="1668" xr:uid="{00000000-0005-0000-0000-0000FD030000}"/>
    <cellStyle name="Porcentagem 6 2 5" xfId="1249" xr:uid="{00000000-0005-0000-0000-0000FE030000}"/>
    <cellStyle name="Porcentagem 6 3" xfId="365" xr:uid="{00000000-0005-0000-0000-0000FF030000}"/>
    <cellStyle name="Porcentagem 6 3 2" xfId="784" xr:uid="{00000000-0005-0000-0000-000000040000}"/>
    <cellStyle name="Porcentagem 6 3 2 2" xfId="1846" xr:uid="{00000000-0005-0000-0000-000001040000}"/>
    <cellStyle name="Porcentagem 6 3 3" xfId="1427" xr:uid="{00000000-0005-0000-0000-000002040000}"/>
    <cellStyle name="Porcentagem 6 4" xfId="272" xr:uid="{00000000-0005-0000-0000-000003040000}"/>
    <cellStyle name="Porcentagem 6 4 2" xfId="691" xr:uid="{00000000-0005-0000-0000-000004040000}"/>
    <cellStyle name="Porcentagem 6 4 2 2" xfId="1753" xr:uid="{00000000-0005-0000-0000-000005040000}"/>
    <cellStyle name="Porcentagem 6 4 3" xfId="1334" xr:uid="{00000000-0005-0000-0000-000006040000}"/>
    <cellStyle name="Porcentagem 6 5" xfId="515" xr:uid="{00000000-0005-0000-0000-000007040000}"/>
    <cellStyle name="Porcentagem 6 5 2" xfId="1577" xr:uid="{00000000-0005-0000-0000-000008040000}"/>
    <cellStyle name="Porcentagem 6 6" xfId="1158" xr:uid="{00000000-0005-0000-0000-000009040000}"/>
    <cellStyle name="Porcentagem 7" xfId="468" xr:uid="{00000000-0005-0000-0000-00000A040000}"/>
    <cellStyle name="Porcentagem 7 2" xfId="887" xr:uid="{00000000-0005-0000-0000-00000B040000}"/>
    <cellStyle name="Porcentagem 7 2 2" xfId="1949" xr:uid="{00000000-0005-0000-0000-00000C040000}"/>
    <cellStyle name="Porcentagem 7 3" xfId="1530" xr:uid="{00000000-0005-0000-0000-00000D040000}"/>
    <cellStyle name="Porcentagem 8" xfId="917" xr:uid="{00000000-0005-0000-0000-00000E040000}"/>
    <cellStyle name="Porcentagem 8 2" xfId="1977" xr:uid="{00000000-0005-0000-0000-00000F040000}"/>
    <cellStyle name="Porcentagem 9" xfId="947" xr:uid="{00000000-0005-0000-0000-000010040000}"/>
    <cellStyle name="Porcentagem 9 2" xfId="2007" xr:uid="{00000000-0005-0000-0000-000011040000}"/>
    <cellStyle name="Saída 2" xfId="66" xr:uid="{00000000-0005-0000-0000-000012040000}"/>
    <cellStyle name="Separador de milhares 10" xfId="90" xr:uid="{00000000-0005-0000-0000-000013040000}"/>
    <cellStyle name="Separador de milhares 10 2" xfId="181" xr:uid="{00000000-0005-0000-0000-000014040000}"/>
    <cellStyle name="Separador de milhares 10 2 2" xfId="321" xr:uid="{00000000-0005-0000-0000-000015040000}"/>
    <cellStyle name="Separador de milhares 10 2 2 2" xfId="461" xr:uid="{00000000-0005-0000-0000-000016040000}"/>
    <cellStyle name="Separador de milhares 10 2 2 2 2" xfId="880" xr:uid="{00000000-0005-0000-0000-000017040000}"/>
    <cellStyle name="Separador de milhares 10 2 2 2 2 2" xfId="1942" xr:uid="{00000000-0005-0000-0000-000018040000}"/>
    <cellStyle name="Separador de milhares 10 2 2 2 3" xfId="1523" xr:uid="{00000000-0005-0000-0000-000019040000}"/>
    <cellStyle name="Separador de milhares 10 2 2 3" xfId="740" xr:uid="{00000000-0005-0000-0000-00001A040000}"/>
    <cellStyle name="Separador de milhares 10 2 2 3 2" xfId="1802" xr:uid="{00000000-0005-0000-0000-00001B040000}"/>
    <cellStyle name="Separador de milhares 10 2 2 4" xfId="1383" xr:uid="{00000000-0005-0000-0000-00001C040000}"/>
    <cellStyle name="Separador de milhares 10 2 3" xfId="450" xr:uid="{00000000-0005-0000-0000-00001D040000}"/>
    <cellStyle name="Separador de milhares 10 2 3 2" xfId="869" xr:uid="{00000000-0005-0000-0000-00001E040000}"/>
    <cellStyle name="Separador de milhares 10 2 3 2 2" xfId="1931" xr:uid="{00000000-0005-0000-0000-00001F040000}"/>
    <cellStyle name="Separador de milhares 10 2 3 3" xfId="1512" xr:uid="{00000000-0005-0000-0000-000020040000}"/>
    <cellStyle name="Separador de milhares 10 2 4" xfId="266" xr:uid="{00000000-0005-0000-0000-000021040000}"/>
    <cellStyle name="Separador de milhares 10 2 4 2" xfId="685" xr:uid="{00000000-0005-0000-0000-000022040000}"/>
    <cellStyle name="Separador de milhares 10 2 4 2 2" xfId="1747" xr:uid="{00000000-0005-0000-0000-000023040000}"/>
    <cellStyle name="Separador de milhares 10 2 4 3" xfId="1328" xr:uid="{00000000-0005-0000-0000-000024040000}"/>
    <cellStyle name="Separador de milhares 10 2 5" xfId="600" xr:uid="{00000000-0005-0000-0000-000025040000}"/>
    <cellStyle name="Separador de milhares 10 2 5 2" xfId="1662" xr:uid="{00000000-0005-0000-0000-000026040000}"/>
    <cellStyle name="Separador de milhares 10 2 6" xfId="1243" xr:uid="{00000000-0005-0000-0000-000027040000}"/>
    <cellStyle name="Separador de milhares 10 3" xfId="136" xr:uid="{00000000-0005-0000-0000-000028040000}"/>
    <cellStyle name="Separador de milhares 10 3 2" xfId="405" xr:uid="{00000000-0005-0000-0000-000029040000}"/>
    <cellStyle name="Separador de milhares 10 3 2 2" xfId="824" xr:uid="{00000000-0005-0000-0000-00002A040000}"/>
    <cellStyle name="Separador de milhares 10 3 2 2 2" xfId="1886" xr:uid="{00000000-0005-0000-0000-00002B040000}"/>
    <cellStyle name="Separador de milhares 10 3 2 3" xfId="1467" xr:uid="{00000000-0005-0000-0000-00002C040000}"/>
    <cellStyle name="Separador de milhares 10 3 3" xfId="312" xr:uid="{00000000-0005-0000-0000-00002D040000}"/>
    <cellStyle name="Separador de milhares 10 3 3 2" xfId="731" xr:uid="{00000000-0005-0000-0000-00002E040000}"/>
    <cellStyle name="Separador de milhares 10 3 3 2 2" xfId="1793" xr:uid="{00000000-0005-0000-0000-00002F040000}"/>
    <cellStyle name="Separador de milhares 10 3 3 3" xfId="1374" xr:uid="{00000000-0005-0000-0000-000030040000}"/>
    <cellStyle name="Separador de milhares 10 3 4" xfId="555" xr:uid="{00000000-0005-0000-0000-000031040000}"/>
    <cellStyle name="Separador de milhares 10 3 4 2" xfId="1617" xr:uid="{00000000-0005-0000-0000-000032040000}"/>
    <cellStyle name="Separador de milhares 10 3 5" xfId="1198" xr:uid="{00000000-0005-0000-0000-000033040000}"/>
    <cellStyle name="Separador de milhares 10 4" xfId="509" xr:uid="{00000000-0005-0000-0000-000034040000}"/>
    <cellStyle name="Separador de milhares 10 4 2" xfId="1571" xr:uid="{00000000-0005-0000-0000-000035040000}"/>
    <cellStyle name="Separador de milhares 10 5" xfId="1152" xr:uid="{00000000-0005-0000-0000-000036040000}"/>
    <cellStyle name="Separador de milhares 2" xfId="8" xr:uid="{00000000-0005-0000-0000-000037040000}"/>
    <cellStyle name="Separador de milhares 2 2" xfId="22" xr:uid="{00000000-0005-0000-0000-000038040000}"/>
    <cellStyle name="Separador de milhares 2 3" xfId="80" xr:uid="{00000000-0005-0000-0000-000039040000}"/>
    <cellStyle name="Separador de milhares 2 4" xfId="76" xr:uid="{00000000-0005-0000-0000-00003A040000}"/>
    <cellStyle name="Separador de milhares 2 4 2" xfId="172" xr:uid="{00000000-0005-0000-0000-00003B040000}"/>
    <cellStyle name="Separador de milhares 2 4 2 2" xfId="441" xr:uid="{00000000-0005-0000-0000-00003C040000}"/>
    <cellStyle name="Separador de milhares 2 4 2 2 2" xfId="860" xr:uid="{00000000-0005-0000-0000-00003D040000}"/>
    <cellStyle name="Separador de milhares 2 4 2 2 2 2" xfId="1922" xr:uid="{00000000-0005-0000-0000-00003E040000}"/>
    <cellStyle name="Separador de milhares 2 4 2 2 3" xfId="1503" xr:uid="{00000000-0005-0000-0000-00003F040000}"/>
    <cellStyle name="Separador de milhares 2 4 2 3" xfId="257" xr:uid="{00000000-0005-0000-0000-000040040000}"/>
    <cellStyle name="Separador de milhares 2 4 2 3 2" xfId="676" xr:uid="{00000000-0005-0000-0000-000041040000}"/>
    <cellStyle name="Separador de milhares 2 4 2 3 2 2" xfId="1738" xr:uid="{00000000-0005-0000-0000-000042040000}"/>
    <cellStyle name="Separador de milhares 2 4 2 3 3" xfId="1319" xr:uid="{00000000-0005-0000-0000-000043040000}"/>
    <cellStyle name="Separador de milhares 2 4 2 4" xfId="591" xr:uid="{00000000-0005-0000-0000-000044040000}"/>
    <cellStyle name="Separador de milhares 2 4 2 4 2" xfId="1653" xr:uid="{00000000-0005-0000-0000-000045040000}"/>
    <cellStyle name="Separador de milhares 2 4 2 5" xfId="1234" xr:uid="{00000000-0005-0000-0000-000046040000}"/>
    <cellStyle name="Separador de milhares 2 4 3" xfId="127" xr:uid="{00000000-0005-0000-0000-000047040000}"/>
    <cellStyle name="Separador de milhares 2 4 3 2" xfId="396" xr:uid="{00000000-0005-0000-0000-000048040000}"/>
    <cellStyle name="Separador de milhares 2 4 3 2 2" xfId="815" xr:uid="{00000000-0005-0000-0000-000049040000}"/>
    <cellStyle name="Separador de milhares 2 4 3 2 2 2" xfId="1877" xr:uid="{00000000-0005-0000-0000-00004A040000}"/>
    <cellStyle name="Separador de milhares 2 4 3 2 3" xfId="1458" xr:uid="{00000000-0005-0000-0000-00004B040000}"/>
    <cellStyle name="Separador de milhares 2 4 3 3" xfId="303" xr:uid="{00000000-0005-0000-0000-00004C040000}"/>
    <cellStyle name="Separador de milhares 2 4 3 3 2" xfId="722" xr:uid="{00000000-0005-0000-0000-00004D040000}"/>
    <cellStyle name="Separador de milhares 2 4 3 3 2 2" xfId="1784" xr:uid="{00000000-0005-0000-0000-00004E040000}"/>
    <cellStyle name="Separador de milhares 2 4 3 3 3" xfId="1365" xr:uid="{00000000-0005-0000-0000-00004F040000}"/>
    <cellStyle name="Separador de milhares 2 4 3 4" xfId="546" xr:uid="{00000000-0005-0000-0000-000050040000}"/>
    <cellStyle name="Separador de milhares 2 4 3 4 2" xfId="1608" xr:uid="{00000000-0005-0000-0000-000051040000}"/>
    <cellStyle name="Separador de milhares 2 4 3 5" xfId="1189" xr:uid="{00000000-0005-0000-0000-000052040000}"/>
    <cellStyle name="Separador de milhares 2 4 4" xfId="354" xr:uid="{00000000-0005-0000-0000-000053040000}"/>
    <cellStyle name="Separador de milhares 2 4 4 2" xfId="773" xr:uid="{00000000-0005-0000-0000-000054040000}"/>
    <cellStyle name="Separador de milhares 2 4 4 2 2" xfId="1835" xr:uid="{00000000-0005-0000-0000-000055040000}"/>
    <cellStyle name="Separador de milhares 2 4 4 3" xfId="1416" xr:uid="{00000000-0005-0000-0000-000056040000}"/>
    <cellStyle name="Separador de milhares 2 4 5" xfId="216" xr:uid="{00000000-0005-0000-0000-000057040000}"/>
    <cellStyle name="Separador de milhares 2 4 5 2" xfId="635" xr:uid="{00000000-0005-0000-0000-000058040000}"/>
    <cellStyle name="Separador de milhares 2 4 5 2 2" xfId="1697" xr:uid="{00000000-0005-0000-0000-000059040000}"/>
    <cellStyle name="Separador de milhares 2 4 5 3" xfId="1278" xr:uid="{00000000-0005-0000-0000-00005A040000}"/>
    <cellStyle name="Separador de milhares 2 4 6" xfId="500" xr:uid="{00000000-0005-0000-0000-00005B040000}"/>
    <cellStyle name="Separador de milhares 2 4 6 2" xfId="1562" xr:uid="{00000000-0005-0000-0000-00005C040000}"/>
    <cellStyle name="Separador de milhares 2 4 7" xfId="1143" xr:uid="{00000000-0005-0000-0000-00005D040000}"/>
    <cellStyle name="Separador de milhares 2 5" xfId="143" xr:uid="{00000000-0005-0000-0000-00005E040000}"/>
    <cellStyle name="Separador de milhares 2 5 2" xfId="318" xr:uid="{00000000-0005-0000-0000-00005F040000}"/>
    <cellStyle name="Separador de milhares 2 5 2 2" xfId="458" xr:uid="{00000000-0005-0000-0000-000060040000}"/>
    <cellStyle name="Separador de milhares 2 5 2 2 2" xfId="877" xr:uid="{00000000-0005-0000-0000-000061040000}"/>
    <cellStyle name="Separador de milhares 2 5 2 2 2 2" xfId="1939" xr:uid="{00000000-0005-0000-0000-000062040000}"/>
    <cellStyle name="Separador de milhares 2 5 2 2 3" xfId="1520" xr:uid="{00000000-0005-0000-0000-000063040000}"/>
    <cellStyle name="Separador de milhares 2 5 2 3" xfId="737" xr:uid="{00000000-0005-0000-0000-000064040000}"/>
    <cellStyle name="Separador de milhares 2 5 2 3 2" xfId="1799" xr:uid="{00000000-0005-0000-0000-000065040000}"/>
    <cellStyle name="Separador de milhares 2 5 2 4" xfId="1380" xr:uid="{00000000-0005-0000-0000-000066040000}"/>
    <cellStyle name="Separador de milhares 2 5 3" xfId="412" xr:uid="{00000000-0005-0000-0000-000067040000}"/>
    <cellStyle name="Separador de milhares 2 5 3 2" xfId="831" xr:uid="{00000000-0005-0000-0000-000068040000}"/>
    <cellStyle name="Separador de milhares 2 5 3 2 2" xfId="1893" xr:uid="{00000000-0005-0000-0000-000069040000}"/>
    <cellStyle name="Separador de milhares 2 5 3 3" xfId="1474" xr:uid="{00000000-0005-0000-0000-00006A040000}"/>
    <cellStyle name="Separador de milhares 2 5 4" xfId="228" xr:uid="{00000000-0005-0000-0000-00006B040000}"/>
    <cellStyle name="Separador de milhares 2 5 4 2" xfId="647" xr:uid="{00000000-0005-0000-0000-00006C040000}"/>
    <cellStyle name="Separador de milhares 2 5 4 2 2" xfId="1709" xr:uid="{00000000-0005-0000-0000-00006D040000}"/>
    <cellStyle name="Separador de milhares 2 5 4 3" xfId="1290" xr:uid="{00000000-0005-0000-0000-00006E040000}"/>
    <cellStyle name="Separador de milhares 2 5 5" xfId="562" xr:uid="{00000000-0005-0000-0000-00006F040000}"/>
    <cellStyle name="Separador de milhares 2 5 5 2" xfId="1624" xr:uid="{00000000-0005-0000-0000-000070040000}"/>
    <cellStyle name="Separador de milhares 2 5 6" xfId="1205" xr:uid="{00000000-0005-0000-0000-000071040000}"/>
    <cellStyle name="Separador de milhares 2 6" xfId="98" xr:uid="{00000000-0005-0000-0000-000072040000}"/>
    <cellStyle name="Separador de milhares 2 6 2" xfId="367" xr:uid="{00000000-0005-0000-0000-000073040000}"/>
    <cellStyle name="Separador de milhares 2 6 2 2" xfId="786" xr:uid="{00000000-0005-0000-0000-000074040000}"/>
    <cellStyle name="Separador de milhares 2 6 2 2 2" xfId="1848" xr:uid="{00000000-0005-0000-0000-000075040000}"/>
    <cellStyle name="Separador de milhares 2 6 2 3" xfId="1429" xr:uid="{00000000-0005-0000-0000-000076040000}"/>
    <cellStyle name="Separador de milhares 2 6 3" xfId="274" xr:uid="{00000000-0005-0000-0000-000077040000}"/>
    <cellStyle name="Separador de milhares 2 6 3 2" xfId="693" xr:uid="{00000000-0005-0000-0000-000078040000}"/>
    <cellStyle name="Separador de milhares 2 6 3 2 2" xfId="1755" xr:uid="{00000000-0005-0000-0000-000079040000}"/>
    <cellStyle name="Separador de milhares 2 6 3 3" xfId="1336" xr:uid="{00000000-0005-0000-0000-00007A040000}"/>
    <cellStyle name="Separador de milhares 2 6 4" xfId="517" xr:uid="{00000000-0005-0000-0000-00007B040000}"/>
    <cellStyle name="Separador de milhares 2 6 4 2" xfId="1579" xr:uid="{00000000-0005-0000-0000-00007C040000}"/>
    <cellStyle name="Separador de milhares 2 6 5" xfId="1160" xr:uid="{00000000-0005-0000-0000-00007D040000}"/>
    <cellStyle name="Separador de milhares 2 7" xfId="471" xr:uid="{00000000-0005-0000-0000-00007E040000}"/>
    <cellStyle name="Separador de milhares 2 7 2" xfId="1533" xr:uid="{00000000-0005-0000-0000-00007F040000}"/>
    <cellStyle name="Separador de milhares 2 8" xfId="1114" xr:uid="{00000000-0005-0000-0000-000080040000}"/>
    <cellStyle name="Separador de milhares 25" xfId="71" xr:uid="{00000000-0005-0000-0000-000081040000}"/>
    <cellStyle name="Separador de milhares 25 2" xfId="170" xr:uid="{00000000-0005-0000-0000-000082040000}"/>
    <cellStyle name="Separador de milhares 25 2 2" xfId="439" xr:uid="{00000000-0005-0000-0000-000083040000}"/>
    <cellStyle name="Separador de milhares 25 2 2 2" xfId="858" xr:uid="{00000000-0005-0000-0000-000084040000}"/>
    <cellStyle name="Separador de milhares 25 2 2 2 2" xfId="1920" xr:uid="{00000000-0005-0000-0000-000085040000}"/>
    <cellStyle name="Separador de milhares 25 2 2 3" xfId="1501" xr:uid="{00000000-0005-0000-0000-000086040000}"/>
    <cellStyle name="Separador de milhares 25 2 3" xfId="255" xr:uid="{00000000-0005-0000-0000-000087040000}"/>
    <cellStyle name="Separador de milhares 25 2 3 2" xfId="674" xr:uid="{00000000-0005-0000-0000-000088040000}"/>
    <cellStyle name="Separador de milhares 25 2 3 2 2" xfId="1736" xr:uid="{00000000-0005-0000-0000-000089040000}"/>
    <cellStyle name="Separador de milhares 25 2 3 3" xfId="1317" xr:uid="{00000000-0005-0000-0000-00008A040000}"/>
    <cellStyle name="Separador de milhares 25 2 4" xfId="589" xr:uid="{00000000-0005-0000-0000-00008B040000}"/>
    <cellStyle name="Separador de milhares 25 2 4 2" xfId="1651" xr:uid="{00000000-0005-0000-0000-00008C040000}"/>
    <cellStyle name="Separador de milhares 25 2 5" xfId="1232" xr:uid="{00000000-0005-0000-0000-00008D040000}"/>
    <cellStyle name="Separador de milhares 25 3" xfId="125" xr:uid="{00000000-0005-0000-0000-00008E040000}"/>
    <cellStyle name="Separador de milhares 25 3 2" xfId="394" xr:uid="{00000000-0005-0000-0000-00008F040000}"/>
    <cellStyle name="Separador de milhares 25 3 2 2" xfId="813" xr:uid="{00000000-0005-0000-0000-000090040000}"/>
    <cellStyle name="Separador de milhares 25 3 2 2 2" xfId="1875" xr:uid="{00000000-0005-0000-0000-000091040000}"/>
    <cellStyle name="Separador de milhares 25 3 2 3" xfId="1456" xr:uid="{00000000-0005-0000-0000-000092040000}"/>
    <cellStyle name="Separador de milhares 25 3 3" xfId="301" xr:uid="{00000000-0005-0000-0000-000093040000}"/>
    <cellStyle name="Separador de milhares 25 3 3 2" xfId="720" xr:uid="{00000000-0005-0000-0000-000094040000}"/>
    <cellStyle name="Separador de milhares 25 3 3 2 2" xfId="1782" xr:uid="{00000000-0005-0000-0000-000095040000}"/>
    <cellStyle name="Separador de milhares 25 3 3 3" xfId="1363" xr:uid="{00000000-0005-0000-0000-000096040000}"/>
    <cellStyle name="Separador de milhares 25 3 4" xfId="544" xr:uid="{00000000-0005-0000-0000-000097040000}"/>
    <cellStyle name="Separador de milhares 25 3 4 2" xfId="1606" xr:uid="{00000000-0005-0000-0000-000098040000}"/>
    <cellStyle name="Separador de milhares 25 3 5" xfId="1187" xr:uid="{00000000-0005-0000-0000-000099040000}"/>
    <cellStyle name="Separador de milhares 25 4" xfId="352" xr:uid="{00000000-0005-0000-0000-00009A040000}"/>
    <cellStyle name="Separador de milhares 25 4 2" xfId="771" xr:uid="{00000000-0005-0000-0000-00009B040000}"/>
    <cellStyle name="Separador de milhares 25 4 2 2" xfId="1833" xr:uid="{00000000-0005-0000-0000-00009C040000}"/>
    <cellStyle name="Separador de milhares 25 4 3" xfId="1414" xr:uid="{00000000-0005-0000-0000-00009D040000}"/>
    <cellStyle name="Separador de milhares 25 5" xfId="214" xr:uid="{00000000-0005-0000-0000-00009E040000}"/>
    <cellStyle name="Separador de milhares 25 5 2" xfId="633" xr:uid="{00000000-0005-0000-0000-00009F040000}"/>
    <cellStyle name="Separador de milhares 25 5 2 2" xfId="1695" xr:uid="{00000000-0005-0000-0000-0000A0040000}"/>
    <cellStyle name="Separador de milhares 25 5 3" xfId="1276" xr:uid="{00000000-0005-0000-0000-0000A1040000}"/>
    <cellStyle name="Separador de milhares 25 6" xfId="498" xr:uid="{00000000-0005-0000-0000-0000A2040000}"/>
    <cellStyle name="Separador de milhares 25 6 2" xfId="1560" xr:uid="{00000000-0005-0000-0000-0000A3040000}"/>
    <cellStyle name="Separador de milhares 25 7" xfId="1141" xr:uid="{00000000-0005-0000-0000-0000A4040000}"/>
    <cellStyle name="Separador de milhares 3" xfId="70" xr:uid="{00000000-0005-0000-0000-0000A5040000}"/>
    <cellStyle name="Separador de milhares 3 2" xfId="169" xr:uid="{00000000-0005-0000-0000-0000A6040000}"/>
    <cellStyle name="Separador de milhares 3 2 2" xfId="438" xr:uid="{00000000-0005-0000-0000-0000A7040000}"/>
    <cellStyle name="Separador de milhares 3 2 2 2" xfId="857" xr:uid="{00000000-0005-0000-0000-0000A8040000}"/>
    <cellStyle name="Separador de milhares 3 2 2 2 2" xfId="1919" xr:uid="{00000000-0005-0000-0000-0000A9040000}"/>
    <cellStyle name="Separador de milhares 3 2 2 3" xfId="1500" xr:uid="{00000000-0005-0000-0000-0000AA040000}"/>
    <cellStyle name="Separador de milhares 3 2 3" xfId="254" xr:uid="{00000000-0005-0000-0000-0000AB040000}"/>
    <cellStyle name="Separador de milhares 3 2 3 2" xfId="673" xr:uid="{00000000-0005-0000-0000-0000AC040000}"/>
    <cellStyle name="Separador de milhares 3 2 3 2 2" xfId="1735" xr:uid="{00000000-0005-0000-0000-0000AD040000}"/>
    <cellStyle name="Separador de milhares 3 2 3 3" xfId="1316" xr:uid="{00000000-0005-0000-0000-0000AE040000}"/>
    <cellStyle name="Separador de milhares 3 2 4" xfId="588" xr:uid="{00000000-0005-0000-0000-0000AF040000}"/>
    <cellStyle name="Separador de milhares 3 2 4 2" xfId="1650" xr:uid="{00000000-0005-0000-0000-0000B0040000}"/>
    <cellStyle name="Separador de milhares 3 2 5" xfId="1231" xr:uid="{00000000-0005-0000-0000-0000B1040000}"/>
    <cellStyle name="Separador de milhares 3 3" xfId="124" xr:uid="{00000000-0005-0000-0000-0000B2040000}"/>
    <cellStyle name="Separador de milhares 3 3 2" xfId="393" xr:uid="{00000000-0005-0000-0000-0000B3040000}"/>
    <cellStyle name="Separador de milhares 3 3 2 2" xfId="812" xr:uid="{00000000-0005-0000-0000-0000B4040000}"/>
    <cellStyle name="Separador de milhares 3 3 2 2 2" xfId="1874" xr:uid="{00000000-0005-0000-0000-0000B5040000}"/>
    <cellStyle name="Separador de milhares 3 3 2 3" xfId="1455" xr:uid="{00000000-0005-0000-0000-0000B6040000}"/>
    <cellStyle name="Separador de milhares 3 3 3" xfId="300" xr:uid="{00000000-0005-0000-0000-0000B7040000}"/>
    <cellStyle name="Separador de milhares 3 3 3 2" xfId="719" xr:uid="{00000000-0005-0000-0000-0000B8040000}"/>
    <cellStyle name="Separador de milhares 3 3 3 2 2" xfId="1781" xr:uid="{00000000-0005-0000-0000-0000B9040000}"/>
    <cellStyle name="Separador de milhares 3 3 3 3" xfId="1362" xr:uid="{00000000-0005-0000-0000-0000BA040000}"/>
    <cellStyle name="Separador de milhares 3 3 4" xfId="543" xr:uid="{00000000-0005-0000-0000-0000BB040000}"/>
    <cellStyle name="Separador de milhares 3 3 4 2" xfId="1605" xr:uid="{00000000-0005-0000-0000-0000BC040000}"/>
    <cellStyle name="Separador de milhares 3 3 5" xfId="1186" xr:uid="{00000000-0005-0000-0000-0000BD040000}"/>
    <cellStyle name="Separador de milhares 3 4" xfId="351" xr:uid="{00000000-0005-0000-0000-0000BE040000}"/>
    <cellStyle name="Separador de milhares 3 4 2" xfId="770" xr:uid="{00000000-0005-0000-0000-0000BF040000}"/>
    <cellStyle name="Separador de milhares 3 4 2 2" xfId="1832" xr:uid="{00000000-0005-0000-0000-0000C0040000}"/>
    <cellStyle name="Separador de milhares 3 4 3" xfId="1413" xr:uid="{00000000-0005-0000-0000-0000C1040000}"/>
    <cellStyle name="Separador de milhares 3 5" xfId="213" xr:uid="{00000000-0005-0000-0000-0000C2040000}"/>
    <cellStyle name="Separador de milhares 3 5 2" xfId="632" xr:uid="{00000000-0005-0000-0000-0000C3040000}"/>
    <cellStyle name="Separador de milhares 3 5 2 2" xfId="1694" xr:uid="{00000000-0005-0000-0000-0000C4040000}"/>
    <cellStyle name="Separador de milhares 3 5 3" xfId="1275" xr:uid="{00000000-0005-0000-0000-0000C5040000}"/>
    <cellStyle name="Separador de milhares 3 6" xfId="497" xr:uid="{00000000-0005-0000-0000-0000C6040000}"/>
    <cellStyle name="Separador de milhares 3 6 2" xfId="1559" xr:uid="{00000000-0005-0000-0000-0000C7040000}"/>
    <cellStyle name="Separador de milhares 3 7" xfId="1140" xr:uid="{00000000-0005-0000-0000-0000C8040000}"/>
    <cellStyle name="Texto de Aviso 2" xfId="69" xr:uid="{00000000-0005-0000-0000-0000C9040000}"/>
    <cellStyle name="Texto Explicativo 2" xfId="56" xr:uid="{00000000-0005-0000-0000-0000CA040000}"/>
    <cellStyle name="Título 1 2" xfId="58" xr:uid="{00000000-0005-0000-0000-0000CB040000}"/>
    <cellStyle name="Título 2 2" xfId="59" xr:uid="{00000000-0005-0000-0000-0000CC040000}"/>
    <cellStyle name="Título 3 2" xfId="60" xr:uid="{00000000-0005-0000-0000-0000CD040000}"/>
    <cellStyle name="Título 4 2" xfId="61" xr:uid="{00000000-0005-0000-0000-0000CE040000}"/>
    <cellStyle name="Título 5" xfId="28" xr:uid="{00000000-0005-0000-0000-0000CF040000}"/>
    <cellStyle name="Total 2" xfId="68" xr:uid="{00000000-0005-0000-0000-0000D0040000}"/>
    <cellStyle name="Vírgula" xfId="89" builtinId="3"/>
    <cellStyle name="Vírgula 10" xfId="361" xr:uid="{00000000-0005-0000-0000-0000D2040000}"/>
    <cellStyle name="Vírgula 10 2" xfId="780" xr:uid="{00000000-0005-0000-0000-0000D3040000}"/>
    <cellStyle name="Vírgula 10 2 2" xfId="975" xr:uid="{00000000-0005-0000-0000-0000D4040000}"/>
    <cellStyle name="Vírgula 10 2 2 2" xfId="2035" xr:uid="{00000000-0005-0000-0000-0000D5040000}"/>
    <cellStyle name="Vírgula 10 2 3" xfId="1033" xr:uid="{00000000-0005-0000-0000-0000D6040000}"/>
    <cellStyle name="Vírgula 10 2 3 2" xfId="2093" xr:uid="{00000000-0005-0000-0000-0000D7040000}"/>
    <cellStyle name="Vírgula 10 2 4" xfId="1091" xr:uid="{00000000-0005-0000-0000-0000D8040000}"/>
    <cellStyle name="Vírgula 10 2 4 2" xfId="2151" xr:uid="{00000000-0005-0000-0000-0000D9040000}"/>
    <cellStyle name="Vírgula 10 2 5" xfId="1842" xr:uid="{00000000-0005-0000-0000-0000DA040000}"/>
    <cellStyle name="Vírgula 10 3" xfId="918" xr:uid="{00000000-0005-0000-0000-0000DB040000}"/>
    <cellStyle name="Vírgula 10 3 2" xfId="1978" xr:uid="{00000000-0005-0000-0000-0000DC040000}"/>
    <cellStyle name="Vírgula 10 4" xfId="948" xr:uid="{00000000-0005-0000-0000-0000DD040000}"/>
    <cellStyle name="Vírgula 10 4 2" xfId="2008" xr:uid="{00000000-0005-0000-0000-0000DE040000}"/>
    <cellStyle name="Vírgula 10 5" xfId="1006" xr:uid="{00000000-0005-0000-0000-0000DF040000}"/>
    <cellStyle name="Vírgula 10 5 2" xfId="2066" xr:uid="{00000000-0005-0000-0000-0000E0040000}"/>
    <cellStyle name="Vírgula 10 6" xfId="1064" xr:uid="{00000000-0005-0000-0000-0000E1040000}"/>
    <cellStyle name="Vírgula 10 6 2" xfId="2124" xr:uid="{00000000-0005-0000-0000-0000E2040000}"/>
    <cellStyle name="Vírgula 10 7" xfId="1423" xr:uid="{00000000-0005-0000-0000-0000E3040000}"/>
    <cellStyle name="Vírgula 11" xfId="223" xr:uid="{00000000-0005-0000-0000-0000E4040000}"/>
    <cellStyle name="Vírgula 11 2" xfId="642" xr:uid="{00000000-0005-0000-0000-0000E5040000}"/>
    <cellStyle name="Vírgula 11 2 2" xfId="984" xr:uid="{00000000-0005-0000-0000-0000E6040000}"/>
    <cellStyle name="Vírgula 11 2 2 2" xfId="2044" xr:uid="{00000000-0005-0000-0000-0000E7040000}"/>
    <cellStyle name="Vírgula 11 2 3" xfId="1042" xr:uid="{00000000-0005-0000-0000-0000E8040000}"/>
    <cellStyle name="Vírgula 11 2 3 2" xfId="2102" xr:uid="{00000000-0005-0000-0000-0000E9040000}"/>
    <cellStyle name="Vírgula 11 2 4" xfId="1100" xr:uid="{00000000-0005-0000-0000-0000EA040000}"/>
    <cellStyle name="Vírgula 11 2 4 2" xfId="2160" xr:uid="{00000000-0005-0000-0000-0000EB040000}"/>
    <cellStyle name="Vírgula 11 2 5" xfId="1704" xr:uid="{00000000-0005-0000-0000-0000EC040000}"/>
    <cellStyle name="Vírgula 11 3" xfId="927" xr:uid="{00000000-0005-0000-0000-0000ED040000}"/>
    <cellStyle name="Vírgula 11 3 2" xfId="1987" xr:uid="{00000000-0005-0000-0000-0000EE040000}"/>
    <cellStyle name="Vírgula 11 4" xfId="957" xr:uid="{00000000-0005-0000-0000-0000EF040000}"/>
    <cellStyle name="Vírgula 11 4 2" xfId="2017" xr:uid="{00000000-0005-0000-0000-0000F0040000}"/>
    <cellStyle name="Vírgula 11 5" xfId="1015" xr:uid="{00000000-0005-0000-0000-0000F1040000}"/>
    <cellStyle name="Vírgula 11 5 2" xfId="2075" xr:uid="{00000000-0005-0000-0000-0000F2040000}"/>
    <cellStyle name="Vírgula 11 6" xfId="1073" xr:uid="{00000000-0005-0000-0000-0000F3040000}"/>
    <cellStyle name="Vírgula 11 6 2" xfId="2133" xr:uid="{00000000-0005-0000-0000-0000F4040000}"/>
    <cellStyle name="Vírgula 11 7" xfId="1285" xr:uid="{00000000-0005-0000-0000-0000F5040000}"/>
    <cellStyle name="Vírgula 12" xfId="469" xr:uid="{00000000-0005-0000-0000-0000F6040000}"/>
    <cellStyle name="Vírgula 12 2" xfId="888" xr:uid="{00000000-0005-0000-0000-0000F7040000}"/>
    <cellStyle name="Vírgula 12 2 2" xfId="985" xr:uid="{00000000-0005-0000-0000-0000F8040000}"/>
    <cellStyle name="Vírgula 12 2 2 2" xfId="2045" xr:uid="{00000000-0005-0000-0000-0000F9040000}"/>
    <cellStyle name="Vírgula 12 2 3" xfId="1043" xr:uid="{00000000-0005-0000-0000-0000FA040000}"/>
    <cellStyle name="Vírgula 12 2 3 2" xfId="2103" xr:uid="{00000000-0005-0000-0000-0000FB040000}"/>
    <cellStyle name="Vírgula 12 2 4" xfId="1101" xr:uid="{00000000-0005-0000-0000-0000FC040000}"/>
    <cellStyle name="Vírgula 12 2 4 2" xfId="2161" xr:uid="{00000000-0005-0000-0000-0000FD040000}"/>
    <cellStyle name="Vírgula 12 2 5" xfId="1950" xr:uid="{00000000-0005-0000-0000-0000FE040000}"/>
    <cellStyle name="Vírgula 12 3" xfId="928" xr:uid="{00000000-0005-0000-0000-0000FF040000}"/>
    <cellStyle name="Vírgula 12 3 2" xfId="1988" xr:uid="{00000000-0005-0000-0000-000000050000}"/>
    <cellStyle name="Vírgula 12 4" xfId="958" xr:uid="{00000000-0005-0000-0000-000001050000}"/>
    <cellStyle name="Vírgula 12 4 2" xfId="2018" xr:uid="{00000000-0005-0000-0000-000002050000}"/>
    <cellStyle name="Vírgula 12 5" xfId="1016" xr:uid="{00000000-0005-0000-0000-000003050000}"/>
    <cellStyle name="Vírgula 12 5 2" xfId="2076" xr:uid="{00000000-0005-0000-0000-000004050000}"/>
    <cellStyle name="Vírgula 12 6" xfId="1074" xr:uid="{00000000-0005-0000-0000-000005050000}"/>
    <cellStyle name="Vírgula 12 6 2" xfId="2134" xr:uid="{00000000-0005-0000-0000-000006050000}"/>
    <cellStyle name="Vírgula 12 7" xfId="1531" xr:uid="{00000000-0005-0000-0000-000007050000}"/>
    <cellStyle name="Vírgula 13" xfId="508" xr:uid="{00000000-0005-0000-0000-000008050000}"/>
    <cellStyle name="Vírgula 13 2" xfId="929" xr:uid="{00000000-0005-0000-0000-000009050000}"/>
    <cellStyle name="Vírgula 13 2 2" xfId="986" xr:uid="{00000000-0005-0000-0000-00000A050000}"/>
    <cellStyle name="Vírgula 13 2 2 2" xfId="2046" xr:uid="{00000000-0005-0000-0000-00000B050000}"/>
    <cellStyle name="Vírgula 13 2 3" xfId="1044" xr:uid="{00000000-0005-0000-0000-00000C050000}"/>
    <cellStyle name="Vírgula 13 2 3 2" xfId="2104" xr:uid="{00000000-0005-0000-0000-00000D050000}"/>
    <cellStyle name="Vírgula 13 2 4" xfId="1102" xr:uid="{00000000-0005-0000-0000-00000E050000}"/>
    <cellStyle name="Vírgula 13 2 4 2" xfId="2162" xr:uid="{00000000-0005-0000-0000-00000F050000}"/>
    <cellStyle name="Vírgula 13 2 5" xfId="1989" xr:uid="{00000000-0005-0000-0000-000010050000}"/>
    <cellStyle name="Vírgula 13 3" xfId="959" xr:uid="{00000000-0005-0000-0000-000011050000}"/>
    <cellStyle name="Vírgula 13 3 2" xfId="2019" xr:uid="{00000000-0005-0000-0000-000012050000}"/>
    <cellStyle name="Vírgula 13 4" xfId="1017" xr:uid="{00000000-0005-0000-0000-000013050000}"/>
    <cellStyle name="Vírgula 13 4 2" xfId="2077" xr:uid="{00000000-0005-0000-0000-000014050000}"/>
    <cellStyle name="Vírgula 13 5" xfId="1075" xr:uid="{00000000-0005-0000-0000-000015050000}"/>
    <cellStyle name="Vírgula 13 5 2" xfId="2135" xr:uid="{00000000-0005-0000-0000-000016050000}"/>
    <cellStyle name="Vírgula 13 6" xfId="1570" xr:uid="{00000000-0005-0000-0000-000017050000}"/>
    <cellStyle name="Vírgula 14" xfId="893" xr:uid="{00000000-0005-0000-0000-000018050000}"/>
    <cellStyle name="Vírgula 14 2" xfId="930" xr:uid="{00000000-0005-0000-0000-000019050000}"/>
    <cellStyle name="Vírgula 14 2 2" xfId="987" xr:uid="{00000000-0005-0000-0000-00001A050000}"/>
    <cellStyle name="Vírgula 14 2 2 2" xfId="2047" xr:uid="{00000000-0005-0000-0000-00001B050000}"/>
    <cellStyle name="Vírgula 14 2 3" xfId="1045" xr:uid="{00000000-0005-0000-0000-00001C050000}"/>
    <cellStyle name="Vírgula 14 2 3 2" xfId="2105" xr:uid="{00000000-0005-0000-0000-00001D050000}"/>
    <cellStyle name="Vírgula 14 2 4" xfId="1103" xr:uid="{00000000-0005-0000-0000-00001E050000}"/>
    <cellStyle name="Vírgula 14 2 4 2" xfId="2163" xr:uid="{00000000-0005-0000-0000-00001F050000}"/>
    <cellStyle name="Vírgula 14 2 5" xfId="1990" xr:uid="{00000000-0005-0000-0000-000020050000}"/>
    <cellStyle name="Vírgula 14 3" xfId="960" xr:uid="{00000000-0005-0000-0000-000021050000}"/>
    <cellStyle name="Vírgula 14 3 2" xfId="2020" xr:uid="{00000000-0005-0000-0000-000022050000}"/>
    <cellStyle name="Vírgula 14 4" xfId="1018" xr:uid="{00000000-0005-0000-0000-000023050000}"/>
    <cellStyle name="Vírgula 14 4 2" xfId="2078" xr:uid="{00000000-0005-0000-0000-000024050000}"/>
    <cellStyle name="Vírgula 14 5" xfId="1076" xr:uid="{00000000-0005-0000-0000-000025050000}"/>
    <cellStyle name="Vírgula 14 5 2" xfId="2136" xr:uid="{00000000-0005-0000-0000-000026050000}"/>
    <cellStyle name="Vírgula 14 6" xfId="1954" xr:uid="{00000000-0005-0000-0000-000027050000}"/>
    <cellStyle name="Vírgula 15" xfId="900" xr:uid="{00000000-0005-0000-0000-000028050000}"/>
    <cellStyle name="Vírgula 15 2" xfId="931" xr:uid="{00000000-0005-0000-0000-000029050000}"/>
    <cellStyle name="Vírgula 15 2 2" xfId="988" xr:uid="{00000000-0005-0000-0000-00002A050000}"/>
    <cellStyle name="Vírgula 15 2 2 2" xfId="2048" xr:uid="{00000000-0005-0000-0000-00002B050000}"/>
    <cellStyle name="Vírgula 15 2 3" xfId="1046" xr:uid="{00000000-0005-0000-0000-00002C050000}"/>
    <cellStyle name="Vírgula 15 2 3 2" xfId="2106" xr:uid="{00000000-0005-0000-0000-00002D050000}"/>
    <cellStyle name="Vírgula 15 2 4" xfId="1104" xr:uid="{00000000-0005-0000-0000-00002E050000}"/>
    <cellStyle name="Vírgula 15 2 4 2" xfId="2164" xr:uid="{00000000-0005-0000-0000-00002F050000}"/>
    <cellStyle name="Vírgula 15 2 5" xfId="1991" xr:uid="{00000000-0005-0000-0000-000030050000}"/>
    <cellStyle name="Vírgula 15 3" xfId="961" xr:uid="{00000000-0005-0000-0000-000031050000}"/>
    <cellStyle name="Vírgula 15 3 2" xfId="2021" xr:uid="{00000000-0005-0000-0000-000032050000}"/>
    <cellStyle name="Vírgula 15 4" xfId="1019" xr:uid="{00000000-0005-0000-0000-000033050000}"/>
    <cellStyle name="Vírgula 15 4 2" xfId="2079" xr:uid="{00000000-0005-0000-0000-000034050000}"/>
    <cellStyle name="Vírgula 15 5" xfId="1077" xr:uid="{00000000-0005-0000-0000-000035050000}"/>
    <cellStyle name="Vírgula 15 5 2" xfId="2137" xr:uid="{00000000-0005-0000-0000-000036050000}"/>
    <cellStyle name="Vírgula 15 6" xfId="1961" xr:uid="{00000000-0005-0000-0000-000037050000}"/>
    <cellStyle name="Vírgula 16" xfId="907" xr:uid="{00000000-0005-0000-0000-000038050000}"/>
    <cellStyle name="Vírgula 16 2" xfId="932" xr:uid="{00000000-0005-0000-0000-000039050000}"/>
    <cellStyle name="Vírgula 16 2 2" xfId="989" xr:uid="{00000000-0005-0000-0000-00003A050000}"/>
    <cellStyle name="Vírgula 16 2 2 2" xfId="2049" xr:uid="{00000000-0005-0000-0000-00003B050000}"/>
    <cellStyle name="Vírgula 16 2 3" xfId="1047" xr:uid="{00000000-0005-0000-0000-00003C050000}"/>
    <cellStyle name="Vírgula 16 2 3 2" xfId="2107" xr:uid="{00000000-0005-0000-0000-00003D050000}"/>
    <cellStyle name="Vírgula 16 2 4" xfId="1105" xr:uid="{00000000-0005-0000-0000-00003E050000}"/>
    <cellStyle name="Vírgula 16 2 4 2" xfId="2165" xr:uid="{00000000-0005-0000-0000-00003F050000}"/>
    <cellStyle name="Vírgula 16 2 5" xfId="1992" xr:uid="{00000000-0005-0000-0000-000040050000}"/>
    <cellStyle name="Vírgula 16 3" xfId="962" xr:uid="{00000000-0005-0000-0000-000041050000}"/>
    <cellStyle name="Vírgula 16 3 2" xfId="2022" xr:uid="{00000000-0005-0000-0000-000042050000}"/>
    <cellStyle name="Vírgula 16 4" xfId="1020" xr:uid="{00000000-0005-0000-0000-000043050000}"/>
    <cellStyle name="Vírgula 16 4 2" xfId="2080" xr:uid="{00000000-0005-0000-0000-000044050000}"/>
    <cellStyle name="Vírgula 16 5" xfId="1078" xr:uid="{00000000-0005-0000-0000-000045050000}"/>
    <cellStyle name="Vírgula 16 5 2" xfId="2138" xr:uid="{00000000-0005-0000-0000-000046050000}"/>
    <cellStyle name="Vírgula 16 6" xfId="1968" xr:uid="{00000000-0005-0000-0000-000047050000}"/>
    <cellStyle name="Vírgula 17" xfId="91" xr:uid="{00000000-0005-0000-0000-000048050000}"/>
    <cellStyle name="Vírgula 17 2" xfId="182" xr:uid="{00000000-0005-0000-0000-000049050000}"/>
    <cellStyle name="Vírgula 17 2 2" xfId="322" xr:uid="{00000000-0005-0000-0000-00004A050000}"/>
    <cellStyle name="Vírgula 17 2 2 2" xfId="462" xr:uid="{00000000-0005-0000-0000-00004B050000}"/>
    <cellStyle name="Vírgula 17 2 2 2 2" xfId="881" xr:uid="{00000000-0005-0000-0000-00004C050000}"/>
    <cellStyle name="Vírgula 17 2 2 2 2 2" xfId="1943" xr:uid="{00000000-0005-0000-0000-00004D050000}"/>
    <cellStyle name="Vírgula 17 2 2 2 3" xfId="1524" xr:uid="{00000000-0005-0000-0000-00004E050000}"/>
    <cellStyle name="Vírgula 17 2 2 3" xfId="741" xr:uid="{00000000-0005-0000-0000-00004F050000}"/>
    <cellStyle name="Vírgula 17 2 2 3 2" xfId="1803" xr:uid="{00000000-0005-0000-0000-000050050000}"/>
    <cellStyle name="Vírgula 17 2 2 4" xfId="1384" xr:uid="{00000000-0005-0000-0000-000051050000}"/>
    <cellStyle name="Vírgula 17 2 3" xfId="451" xr:uid="{00000000-0005-0000-0000-000052050000}"/>
    <cellStyle name="Vírgula 17 2 3 2" xfId="870" xr:uid="{00000000-0005-0000-0000-000053050000}"/>
    <cellStyle name="Vírgula 17 2 3 2 2" xfId="1932" xr:uid="{00000000-0005-0000-0000-000054050000}"/>
    <cellStyle name="Vírgula 17 2 3 3" xfId="1513" xr:uid="{00000000-0005-0000-0000-000055050000}"/>
    <cellStyle name="Vírgula 17 2 4" xfId="267" xr:uid="{00000000-0005-0000-0000-000056050000}"/>
    <cellStyle name="Vírgula 17 2 4 2" xfId="686" xr:uid="{00000000-0005-0000-0000-000057050000}"/>
    <cellStyle name="Vírgula 17 2 4 2 2" xfId="1748" xr:uid="{00000000-0005-0000-0000-000058050000}"/>
    <cellStyle name="Vírgula 17 2 4 3" xfId="1329" xr:uid="{00000000-0005-0000-0000-000059050000}"/>
    <cellStyle name="Vírgula 17 2 5" xfId="601" xr:uid="{00000000-0005-0000-0000-00005A050000}"/>
    <cellStyle name="Vírgula 17 2 5 2" xfId="1663" xr:uid="{00000000-0005-0000-0000-00005B050000}"/>
    <cellStyle name="Vírgula 17 2 6" xfId="990" xr:uid="{00000000-0005-0000-0000-00005C050000}"/>
    <cellStyle name="Vírgula 17 2 6 2" xfId="2050" xr:uid="{00000000-0005-0000-0000-00005D050000}"/>
    <cellStyle name="Vírgula 17 2 7" xfId="1048" xr:uid="{00000000-0005-0000-0000-00005E050000}"/>
    <cellStyle name="Vírgula 17 2 7 2" xfId="2108" xr:uid="{00000000-0005-0000-0000-00005F050000}"/>
    <cellStyle name="Vírgula 17 2 8" xfId="1106" xr:uid="{00000000-0005-0000-0000-000060050000}"/>
    <cellStyle name="Vírgula 17 2 8 2" xfId="2166" xr:uid="{00000000-0005-0000-0000-000061050000}"/>
    <cellStyle name="Vírgula 17 2 9" xfId="1244" xr:uid="{00000000-0005-0000-0000-000062050000}"/>
    <cellStyle name="Vírgula 17 3" xfId="137" xr:uid="{00000000-0005-0000-0000-000063050000}"/>
    <cellStyle name="Vírgula 17 3 2" xfId="406" xr:uid="{00000000-0005-0000-0000-000064050000}"/>
    <cellStyle name="Vírgula 17 3 2 2" xfId="825" xr:uid="{00000000-0005-0000-0000-000065050000}"/>
    <cellStyle name="Vírgula 17 3 2 2 2" xfId="1887" xr:uid="{00000000-0005-0000-0000-000066050000}"/>
    <cellStyle name="Vírgula 17 3 2 3" xfId="1468" xr:uid="{00000000-0005-0000-0000-000067050000}"/>
    <cellStyle name="Vírgula 17 3 3" xfId="313" xr:uid="{00000000-0005-0000-0000-000068050000}"/>
    <cellStyle name="Vírgula 17 3 3 2" xfId="732" xr:uid="{00000000-0005-0000-0000-000069050000}"/>
    <cellStyle name="Vírgula 17 3 3 2 2" xfId="1794" xr:uid="{00000000-0005-0000-0000-00006A050000}"/>
    <cellStyle name="Vírgula 17 3 3 3" xfId="1375" xr:uid="{00000000-0005-0000-0000-00006B050000}"/>
    <cellStyle name="Vírgula 17 3 4" xfId="556" xr:uid="{00000000-0005-0000-0000-00006C050000}"/>
    <cellStyle name="Vírgula 17 3 4 2" xfId="1618" xr:uid="{00000000-0005-0000-0000-00006D050000}"/>
    <cellStyle name="Vírgula 17 3 5" xfId="1199" xr:uid="{00000000-0005-0000-0000-00006E050000}"/>
    <cellStyle name="Vírgula 17 4" xfId="510" xr:uid="{00000000-0005-0000-0000-00006F050000}"/>
    <cellStyle name="Vírgula 17 4 2" xfId="1572" xr:uid="{00000000-0005-0000-0000-000070050000}"/>
    <cellStyle name="Vírgula 17 5" xfId="933" xr:uid="{00000000-0005-0000-0000-000071050000}"/>
    <cellStyle name="Vírgula 17 5 2" xfId="1993" xr:uid="{00000000-0005-0000-0000-000072050000}"/>
    <cellStyle name="Vírgula 17 6" xfId="963" xr:uid="{00000000-0005-0000-0000-000073050000}"/>
    <cellStyle name="Vírgula 17 6 2" xfId="2023" xr:uid="{00000000-0005-0000-0000-000074050000}"/>
    <cellStyle name="Vírgula 17 7" xfId="1021" xr:uid="{00000000-0005-0000-0000-000075050000}"/>
    <cellStyle name="Vírgula 17 7 2" xfId="2081" xr:uid="{00000000-0005-0000-0000-000076050000}"/>
    <cellStyle name="Vírgula 17 8" xfId="1079" xr:uid="{00000000-0005-0000-0000-000077050000}"/>
    <cellStyle name="Vírgula 17 8 2" xfId="2139" xr:uid="{00000000-0005-0000-0000-000078050000}"/>
    <cellStyle name="Vírgula 17 9" xfId="1153" xr:uid="{00000000-0005-0000-0000-000079050000}"/>
    <cellStyle name="Vírgula 18" xfId="934" xr:uid="{00000000-0005-0000-0000-00007A050000}"/>
    <cellStyle name="Vírgula 18 2" xfId="991" xr:uid="{00000000-0005-0000-0000-00007B050000}"/>
    <cellStyle name="Vírgula 18 2 2" xfId="1049" xr:uid="{00000000-0005-0000-0000-00007C050000}"/>
    <cellStyle name="Vírgula 18 2 2 2" xfId="2109" xr:uid="{00000000-0005-0000-0000-00007D050000}"/>
    <cellStyle name="Vírgula 18 2 3" xfId="1107" xr:uid="{00000000-0005-0000-0000-00007E050000}"/>
    <cellStyle name="Vírgula 18 2 3 2" xfId="2167" xr:uid="{00000000-0005-0000-0000-00007F050000}"/>
    <cellStyle name="Vírgula 18 2 4" xfId="2051" xr:uid="{00000000-0005-0000-0000-000080050000}"/>
    <cellStyle name="Vírgula 18 3" xfId="964" xr:uid="{00000000-0005-0000-0000-000081050000}"/>
    <cellStyle name="Vírgula 18 3 2" xfId="2024" xr:uid="{00000000-0005-0000-0000-000082050000}"/>
    <cellStyle name="Vírgula 18 4" xfId="1022" xr:uid="{00000000-0005-0000-0000-000083050000}"/>
    <cellStyle name="Vírgula 18 4 2" xfId="2082" xr:uid="{00000000-0005-0000-0000-000084050000}"/>
    <cellStyle name="Vírgula 18 5" xfId="1080" xr:uid="{00000000-0005-0000-0000-000085050000}"/>
    <cellStyle name="Vírgula 18 5 2" xfId="2140" xr:uid="{00000000-0005-0000-0000-000086050000}"/>
    <cellStyle name="Vírgula 18 6" xfId="1994" xr:uid="{00000000-0005-0000-0000-000087050000}"/>
    <cellStyle name="Vírgula 19" xfId="910" xr:uid="{00000000-0005-0000-0000-000088050000}"/>
    <cellStyle name="Vírgula 19 2" xfId="992" xr:uid="{00000000-0005-0000-0000-000089050000}"/>
    <cellStyle name="Vírgula 19 2 2" xfId="1050" xr:uid="{00000000-0005-0000-0000-00008A050000}"/>
    <cellStyle name="Vírgula 19 2 2 2" xfId="2110" xr:uid="{00000000-0005-0000-0000-00008B050000}"/>
    <cellStyle name="Vírgula 19 2 3" xfId="1108" xr:uid="{00000000-0005-0000-0000-00008C050000}"/>
    <cellStyle name="Vírgula 19 2 3 2" xfId="2168" xr:uid="{00000000-0005-0000-0000-00008D050000}"/>
    <cellStyle name="Vírgula 19 2 4" xfId="2052" xr:uid="{00000000-0005-0000-0000-00008E050000}"/>
    <cellStyle name="Vírgula 19 3" xfId="965" xr:uid="{00000000-0005-0000-0000-00008F050000}"/>
    <cellStyle name="Vírgula 19 3 2" xfId="2025" xr:uid="{00000000-0005-0000-0000-000090050000}"/>
    <cellStyle name="Vírgula 19 4" xfId="1023" xr:uid="{00000000-0005-0000-0000-000091050000}"/>
    <cellStyle name="Vírgula 19 4 2" xfId="2083" xr:uid="{00000000-0005-0000-0000-000092050000}"/>
    <cellStyle name="Vírgula 19 5" xfId="1081" xr:uid="{00000000-0005-0000-0000-000093050000}"/>
    <cellStyle name="Vírgula 19 5 2" xfId="2141" xr:uid="{00000000-0005-0000-0000-000094050000}"/>
    <cellStyle name="Vírgula 19 6" xfId="1970" xr:uid="{00000000-0005-0000-0000-000095050000}"/>
    <cellStyle name="Vírgula 2" xfId="4" xr:uid="{00000000-0005-0000-0000-000096050000}"/>
    <cellStyle name="Vírgula 2 10" xfId="891" xr:uid="{00000000-0005-0000-0000-000097050000}"/>
    <cellStyle name="Vírgula 2 10 2" xfId="1952" xr:uid="{00000000-0005-0000-0000-000098050000}"/>
    <cellStyle name="Vírgula 2 11" xfId="895" xr:uid="{00000000-0005-0000-0000-000099050000}"/>
    <cellStyle name="Vírgula 2 11 2" xfId="1956" xr:uid="{00000000-0005-0000-0000-00009A050000}"/>
    <cellStyle name="Vírgula 2 12" xfId="902" xr:uid="{00000000-0005-0000-0000-00009B050000}"/>
    <cellStyle name="Vírgula 2 12 2" xfId="1963" xr:uid="{00000000-0005-0000-0000-00009C050000}"/>
    <cellStyle name="Vírgula 2 13" xfId="912" xr:uid="{00000000-0005-0000-0000-00009D050000}"/>
    <cellStyle name="Vírgula 2 13 2" xfId="1972" xr:uid="{00000000-0005-0000-0000-00009E050000}"/>
    <cellStyle name="Vírgula 2 14" xfId="942" xr:uid="{00000000-0005-0000-0000-00009F050000}"/>
    <cellStyle name="Vírgula 2 14 2" xfId="2002" xr:uid="{00000000-0005-0000-0000-0000A0050000}"/>
    <cellStyle name="Vírgula 2 15" xfId="1000" xr:uid="{00000000-0005-0000-0000-0000A1050000}"/>
    <cellStyle name="Vírgula 2 15 2" xfId="2060" xr:uid="{00000000-0005-0000-0000-0000A2050000}"/>
    <cellStyle name="Vírgula 2 16" xfId="1058" xr:uid="{00000000-0005-0000-0000-0000A3050000}"/>
    <cellStyle name="Vírgula 2 16 2" xfId="2118" xr:uid="{00000000-0005-0000-0000-0000A4050000}"/>
    <cellStyle name="Vírgula 2 17" xfId="1113" xr:uid="{00000000-0005-0000-0000-0000A5050000}"/>
    <cellStyle name="Vírgula 2 2" xfId="67" xr:uid="{00000000-0005-0000-0000-0000A6050000}"/>
    <cellStyle name="Vírgula 2 2 10" xfId="1066" xr:uid="{00000000-0005-0000-0000-0000A7050000}"/>
    <cellStyle name="Vírgula 2 2 10 2" xfId="2126" xr:uid="{00000000-0005-0000-0000-0000A8050000}"/>
    <cellStyle name="Vírgula 2 2 11" xfId="1139" xr:uid="{00000000-0005-0000-0000-0000A9050000}"/>
    <cellStyle name="Vírgula 2 2 2" xfId="168" xr:uid="{00000000-0005-0000-0000-0000AA050000}"/>
    <cellStyle name="Vírgula 2 2 2 2" xfId="437" xr:uid="{00000000-0005-0000-0000-0000AB050000}"/>
    <cellStyle name="Vírgula 2 2 2 2 2" xfId="856" xr:uid="{00000000-0005-0000-0000-0000AC050000}"/>
    <cellStyle name="Vírgula 2 2 2 2 2 2" xfId="1918" xr:uid="{00000000-0005-0000-0000-0000AD050000}"/>
    <cellStyle name="Vírgula 2 2 2 2 3" xfId="1499" xr:uid="{00000000-0005-0000-0000-0000AE050000}"/>
    <cellStyle name="Vírgula 2 2 2 3" xfId="253" xr:uid="{00000000-0005-0000-0000-0000AF050000}"/>
    <cellStyle name="Vírgula 2 2 2 3 2" xfId="672" xr:uid="{00000000-0005-0000-0000-0000B0050000}"/>
    <cellStyle name="Vírgula 2 2 2 3 2 2" xfId="1734" xr:uid="{00000000-0005-0000-0000-0000B1050000}"/>
    <cellStyle name="Vírgula 2 2 2 3 3" xfId="1315" xr:uid="{00000000-0005-0000-0000-0000B2050000}"/>
    <cellStyle name="Vírgula 2 2 2 4" xfId="587" xr:uid="{00000000-0005-0000-0000-0000B3050000}"/>
    <cellStyle name="Vírgula 2 2 2 4 2" xfId="1649" xr:uid="{00000000-0005-0000-0000-0000B4050000}"/>
    <cellStyle name="Vírgula 2 2 2 5" xfId="977" xr:uid="{00000000-0005-0000-0000-0000B5050000}"/>
    <cellStyle name="Vírgula 2 2 2 5 2" xfId="2037" xr:uid="{00000000-0005-0000-0000-0000B6050000}"/>
    <cellStyle name="Vírgula 2 2 2 6" xfId="1035" xr:uid="{00000000-0005-0000-0000-0000B7050000}"/>
    <cellStyle name="Vírgula 2 2 2 6 2" xfId="2095" xr:uid="{00000000-0005-0000-0000-0000B8050000}"/>
    <cellStyle name="Vírgula 2 2 2 7" xfId="1093" xr:uid="{00000000-0005-0000-0000-0000B9050000}"/>
    <cellStyle name="Vírgula 2 2 2 7 2" xfId="2153" xr:uid="{00000000-0005-0000-0000-0000BA050000}"/>
    <cellStyle name="Vírgula 2 2 2 8" xfId="1230" xr:uid="{00000000-0005-0000-0000-0000BB050000}"/>
    <cellStyle name="Vírgula 2 2 3" xfId="123" xr:uid="{00000000-0005-0000-0000-0000BC050000}"/>
    <cellStyle name="Vírgula 2 2 3 2" xfId="392" xr:uid="{00000000-0005-0000-0000-0000BD050000}"/>
    <cellStyle name="Vírgula 2 2 3 2 2" xfId="811" xr:uid="{00000000-0005-0000-0000-0000BE050000}"/>
    <cellStyle name="Vírgula 2 2 3 2 2 2" xfId="1873" xr:uid="{00000000-0005-0000-0000-0000BF050000}"/>
    <cellStyle name="Vírgula 2 2 3 2 3" xfId="1454" xr:uid="{00000000-0005-0000-0000-0000C0050000}"/>
    <cellStyle name="Vírgula 2 2 3 3" xfId="299" xr:uid="{00000000-0005-0000-0000-0000C1050000}"/>
    <cellStyle name="Vírgula 2 2 3 3 2" xfId="718" xr:uid="{00000000-0005-0000-0000-0000C2050000}"/>
    <cellStyle name="Vírgula 2 2 3 3 2 2" xfId="1780" xr:uid="{00000000-0005-0000-0000-0000C3050000}"/>
    <cellStyle name="Vírgula 2 2 3 3 3" xfId="1361" xr:uid="{00000000-0005-0000-0000-0000C4050000}"/>
    <cellStyle name="Vírgula 2 2 3 4" xfId="542" xr:uid="{00000000-0005-0000-0000-0000C5050000}"/>
    <cellStyle name="Vírgula 2 2 3 4 2" xfId="1604" xr:uid="{00000000-0005-0000-0000-0000C6050000}"/>
    <cellStyle name="Vírgula 2 2 3 5" xfId="1185" xr:uid="{00000000-0005-0000-0000-0000C7050000}"/>
    <cellStyle name="Vírgula 2 2 4" xfId="350" xr:uid="{00000000-0005-0000-0000-0000C8050000}"/>
    <cellStyle name="Vírgula 2 2 4 2" xfId="769" xr:uid="{00000000-0005-0000-0000-0000C9050000}"/>
    <cellStyle name="Vírgula 2 2 4 2 2" xfId="1831" xr:uid="{00000000-0005-0000-0000-0000CA050000}"/>
    <cellStyle name="Vírgula 2 2 4 3" xfId="1412" xr:uid="{00000000-0005-0000-0000-0000CB050000}"/>
    <cellStyle name="Vírgula 2 2 5" xfId="212" xr:uid="{00000000-0005-0000-0000-0000CC050000}"/>
    <cellStyle name="Vírgula 2 2 5 2" xfId="631" xr:uid="{00000000-0005-0000-0000-0000CD050000}"/>
    <cellStyle name="Vírgula 2 2 5 2 2" xfId="1693" xr:uid="{00000000-0005-0000-0000-0000CE050000}"/>
    <cellStyle name="Vírgula 2 2 5 3" xfId="1274" xr:uid="{00000000-0005-0000-0000-0000CF050000}"/>
    <cellStyle name="Vírgula 2 2 6" xfId="496" xr:uid="{00000000-0005-0000-0000-0000D0050000}"/>
    <cellStyle name="Vírgula 2 2 6 2" xfId="1558" xr:uid="{00000000-0005-0000-0000-0000D1050000}"/>
    <cellStyle name="Vírgula 2 2 7" xfId="920" xr:uid="{00000000-0005-0000-0000-0000D2050000}"/>
    <cellStyle name="Vírgula 2 2 7 2" xfId="1980" xr:uid="{00000000-0005-0000-0000-0000D3050000}"/>
    <cellStyle name="Vírgula 2 2 8" xfId="950" xr:uid="{00000000-0005-0000-0000-0000D4050000}"/>
    <cellStyle name="Vírgula 2 2 8 2" xfId="2010" xr:uid="{00000000-0005-0000-0000-0000D5050000}"/>
    <cellStyle name="Vírgula 2 2 9" xfId="1008" xr:uid="{00000000-0005-0000-0000-0000D6050000}"/>
    <cellStyle name="Vírgula 2 2 9 2" xfId="2068" xr:uid="{00000000-0005-0000-0000-0000D7050000}"/>
    <cellStyle name="Vírgula 2 3" xfId="88" xr:uid="{00000000-0005-0000-0000-0000D8050000}"/>
    <cellStyle name="Vírgula 2 3 2" xfId="179" xr:uid="{00000000-0005-0000-0000-0000D9050000}"/>
    <cellStyle name="Vírgula 2 3 2 2" xfId="320" xr:uid="{00000000-0005-0000-0000-0000DA050000}"/>
    <cellStyle name="Vírgula 2 3 2 2 2" xfId="460" xr:uid="{00000000-0005-0000-0000-0000DB050000}"/>
    <cellStyle name="Vírgula 2 3 2 2 2 2" xfId="879" xr:uid="{00000000-0005-0000-0000-0000DC050000}"/>
    <cellStyle name="Vírgula 2 3 2 2 2 2 2" xfId="1941" xr:uid="{00000000-0005-0000-0000-0000DD050000}"/>
    <cellStyle name="Vírgula 2 3 2 2 2 3" xfId="1522" xr:uid="{00000000-0005-0000-0000-0000DE050000}"/>
    <cellStyle name="Vírgula 2 3 2 2 3" xfId="739" xr:uid="{00000000-0005-0000-0000-0000DF050000}"/>
    <cellStyle name="Vírgula 2 3 2 2 3 2" xfId="1801" xr:uid="{00000000-0005-0000-0000-0000E0050000}"/>
    <cellStyle name="Vírgula 2 3 2 2 4" xfId="1382" xr:uid="{00000000-0005-0000-0000-0000E1050000}"/>
    <cellStyle name="Vírgula 2 3 2 3" xfId="448" xr:uid="{00000000-0005-0000-0000-0000E2050000}"/>
    <cellStyle name="Vírgula 2 3 2 3 2" xfId="867" xr:uid="{00000000-0005-0000-0000-0000E3050000}"/>
    <cellStyle name="Vírgula 2 3 2 3 2 2" xfId="1929" xr:uid="{00000000-0005-0000-0000-0000E4050000}"/>
    <cellStyle name="Vírgula 2 3 2 3 3" xfId="1510" xr:uid="{00000000-0005-0000-0000-0000E5050000}"/>
    <cellStyle name="Vírgula 2 3 2 4" xfId="264" xr:uid="{00000000-0005-0000-0000-0000E6050000}"/>
    <cellStyle name="Vírgula 2 3 2 4 2" xfId="683" xr:uid="{00000000-0005-0000-0000-0000E7050000}"/>
    <cellStyle name="Vírgula 2 3 2 4 2 2" xfId="1745" xr:uid="{00000000-0005-0000-0000-0000E8050000}"/>
    <cellStyle name="Vírgula 2 3 2 4 3" xfId="1326" xr:uid="{00000000-0005-0000-0000-0000E9050000}"/>
    <cellStyle name="Vírgula 2 3 2 5" xfId="598" xr:uid="{00000000-0005-0000-0000-0000EA050000}"/>
    <cellStyle name="Vírgula 2 3 2 5 2" xfId="1660" xr:uid="{00000000-0005-0000-0000-0000EB050000}"/>
    <cellStyle name="Vírgula 2 3 2 6" xfId="1241" xr:uid="{00000000-0005-0000-0000-0000EC050000}"/>
    <cellStyle name="Vírgula 2 3 3" xfId="134" xr:uid="{00000000-0005-0000-0000-0000ED050000}"/>
    <cellStyle name="Vírgula 2 3 3 2" xfId="403" xr:uid="{00000000-0005-0000-0000-0000EE050000}"/>
    <cellStyle name="Vírgula 2 3 3 2 2" xfId="822" xr:uid="{00000000-0005-0000-0000-0000EF050000}"/>
    <cellStyle name="Vírgula 2 3 3 2 2 2" xfId="1884" xr:uid="{00000000-0005-0000-0000-0000F0050000}"/>
    <cellStyle name="Vírgula 2 3 3 2 3" xfId="1465" xr:uid="{00000000-0005-0000-0000-0000F1050000}"/>
    <cellStyle name="Vírgula 2 3 3 3" xfId="310" xr:uid="{00000000-0005-0000-0000-0000F2050000}"/>
    <cellStyle name="Vírgula 2 3 3 3 2" xfId="729" xr:uid="{00000000-0005-0000-0000-0000F3050000}"/>
    <cellStyle name="Vírgula 2 3 3 3 2 2" xfId="1791" xr:uid="{00000000-0005-0000-0000-0000F4050000}"/>
    <cellStyle name="Vírgula 2 3 3 3 3" xfId="1372" xr:uid="{00000000-0005-0000-0000-0000F5050000}"/>
    <cellStyle name="Vírgula 2 3 3 4" xfId="553" xr:uid="{00000000-0005-0000-0000-0000F6050000}"/>
    <cellStyle name="Vírgula 2 3 3 4 2" xfId="1615" xr:uid="{00000000-0005-0000-0000-0000F7050000}"/>
    <cellStyle name="Vírgula 2 3 3 5" xfId="1196" xr:uid="{00000000-0005-0000-0000-0000F8050000}"/>
    <cellStyle name="Vírgula 2 3 4" xfId="507" xr:uid="{00000000-0005-0000-0000-0000F9050000}"/>
    <cellStyle name="Vírgula 2 3 4 2" xfId="1569" xr:uid="{00000000-0005-0000-0000-0000FA050000}"/>
    <cellStyle name="Vírgula 2 3 5" xfId="970" xr:uid="{00000000-0005-0000-0000-0000FB050000}"/>
    <cellStyle name="Vírgula 2 3 5 2" xfId="2030" xr:uid="{00000000-0005-0000-0000-0000FC050000}"/>
    <cellStyle name="Vírgula 2 3 6" xfId="1028" xr:uid="{00000000-0005-0000-0000-0000FD050000}"/>
    <cellStyle name="Vírgula 2 3 6 2" xfId="2088" xr:uid="{00000000-0005-0000-0000-0000FE050000}"/>
    <cellStyle name="Vírgula 2 3 7" xfId="1086" xr:uid="{00000000-0005-0000-0000-0000FF050000}"/>
    <cellStyle name="Vírgula 2 3 7 2" xfId="2146" xr:uid="{00000000-0005-0000-0000-000000060000}"/>
    <cellStyle name="Vírgula 2 3 8" xfId="1150" xr:uid="{00000000-0005-0000-0000-000001060000}"/>
    <cellStyle name="Vírgula 2 4" xfId="94" xr:uid="{00000000-0005-0000-0000-000002060000}"/>
    <cellStyle name="Vírgula 2 4 2" xfId="185" xr:uid="{00000000-0005-0000-0000-000003060000}"/>
    <cellStyle name="Vírgula 2 4 2 2" xfId="454" xr:uid="{00000000-0005-0000-0000-000004060000}"/>
    <cellStyle name="Vírgula 2 4 2 2 2" xfId="873" xr:uid="{00000000-0005-0000-0000-000005060000}"/>
    <cellStyle name="Vírgula 2 4 2 2 2 2" xfId="1935" xr:uid="{00000000-0005-0000-0000-000006060000}"/>
    <cellStyle name="Vírgula 2 4 2 2 3" xfId="1516" xr:uid="{00000000-0005-0000-0000-000007060000}"/>
    <cellStyle name="Vírgula 2 4 2 3" xfId="270" xr:uid="{00000000-0005-0000-0000-000008060000}"/>
    <cellStyle name="Vírgula 2 4 2 3 2" xfId="689" xr:uid="{00000000-0005-0000-0000-000009060000}"/>
    <cellStyle name="Vírgula 2 4 2 3 2 2" xfId="1751" xr:uid="{00000000-0005-0000-0000-00000A060000}"/>
    <cellStyle name="Vírgula 2 4 2 3 3" xfId="1332" xr:uid="{00000000-0005-0000-0000-00000B060000}"/>
    <cellStyle name="Vírgula 2 4 2 4" xfId="604" xr:uid="{00000000-0005-0000-0000-00000C060000}"/>
    <cellStyle name="Vírgula 2 4 2 4 2" xfId="1666" xr:uid="{00000000-0005-0000-0000-00000D060000}"/>
    <cellStyle name="Vírgula 2 4 2 5" xfId="1247" xr:uid="{00000000-0005-0000-0000-00000E060000}"/>
    <cellStyle name="Vírgula 2 4 3" xfId="140" xr:uid="{00000000-0005-0000-0000-00000F060000}"/>
    <cellStyle name="Vírgula 2 4 3 2" xfId="409" xr:uid="{00000000-0005-0000-0000-000010060000}"/>
    <cellStyle name="Vírgula 2 4 3 2 2" xfId="828" xr:uid="{00000000-0005-0000-0000-000011060000}"/>
    <cellStyle name="Vírgula 2 4 3 2 2 2" xfId="1890" xr:uid="{00000000-0005-0000-0000-000012060000}"/>
    <cellStyle name="Vírgula 2 4 3 2 3" xfId="1471" xr:uid="{00000000-0005-0000-0000-000013060000}"/>
    <cellStyle name="Vírgula 2 4 3 3" xfId="316" xr:uid="{00000000-0005-0000-0000-000014060000}"/>
    <cellStyle name="Vírgula 2 4 3 3 2" xfId="735" xr:uid="{00000000-0005-0000-0000-000015060000}"/>
    <cellStyle name="Vírgula 2 4 3 3 2 2" xfId="1797" xr:uid="{00000000-0005-0000-0000-000016060000}"/>
    <cellStyle name="Vírgula 2 4 3 3 3" xfId="1378" xr:uid="{00000000-0005-0000-0000-000017060000}"/>
    <cellStyle name="Vírgula 2 4 3 4" xfId="559" xr:uid="{00000000-0005-0000-0000-000018060000}"/>
    <cellStyle name="Vírgula 2 4 3 4 2" xfId="1621" xr:uid="{00000000-0005-0000-0000-000019060000}"/>
    <cellStyle name="Vírgula 2 4 3 5" xfId="1202" xr:uid="{00000000-0005-0000-0000-00001A060000}"/>
    <cellStyle name="Vírgula 2 4 4" xfId="363" xr:uid="{00000000-0005-0000-0000-00001B060000}"/>
    <cellStyle name="Vírgula 2 4 4 2" xfId="782" xr:uid="{00000000-0005-0000-0000-00001C060000}"/>
    <cellStyle name="Vírgula 2 4 4 2 2" xfId="1844" xr:uid="{00000000-0005-0000-0000-00001D060000}"/>
    <cellStyle name="Vírgula 2 4 4 3" xfId="1425" xr:uid="{00000000-0005-0000-0000-00001E060000}"/>
    <cellStyle name="Vírgula 2 4 5" xfId="225" xr:uid="{00000000-0005-0000-0000-00001F060000}"/>
    <cellStyle name="Vírgula 2 4 5 2" xfId="644" xr:uid="{00000000-0005-0000-0000-000020060000}"/>
    <cellStyle name="Vírgula 2 4 5 2 2" xfId="1706" xr:uid="{00000000-0005-0000-0000-000021060000}"/>
    <cellStyle name="Vírgula 2 4 5 3" xfId="1287" xr:uid="{00000000-0005-0000-0000-000022060000}"/>
    <cellStyle name="Vírgula 2 4 6" xfId="513" xr:uid="{00000000-0005-0000-0000-000023060000}"/>
    <cellStyle name="Vírgula 2 4 6 2" xfId="1575" xr:uid="{00000000-0005-0000-0000-000024060000}"/>
    <cellStyle name="Vírgula 2 4 7" xfId="1156" xr:uid="{00000000-0005-0000-0000-000025060000}"/>
    <cellStyle name="Vírgula 2 5" xfId="142" xr:uid="{00000000-0005-0000-0000-000026060000}"/>
    <cellStyle name="Vírgula 2 5 2" xfId="411" xr:uid="{00000000-0005-0000-0000-000027060000}"/>
    <cellStyle name="Vírgula 2 5 2 2" xfId="830" xr:uid="{00000000-0005-0000-0000-000028060000}"/>
    <cellStyle name="Vírgula 2 5 2 2 2" xfId="1892" xr:uid="{00000000-0005-0000-0000-000029060000}"/>
    <cellStyle name="Vírgula 2 5 2 3" xfId="1473" xr:uid="{00000000-0005-0000-0000-00002A060000}"/>
    <cellStyle name="Vírgula 2 5 3" xfId="227" xr:uid="{00000000-0005-0000-0000-00002B060000}"/>
    <cellStyle name="Vírgula 2 5 3 2" xfId="646" xr:uid="{00000000-0005-0000-0000-00002C060000}"/>
    <cellStyle name="Vírgula 2 5 3 2 2" xfId="1708" xr:uid="{00000000-0005-0000-0000-00002D060000}"/>
    <cellStyle name="Vírgula 2 5 3 3" xfId="1289" xr:uid="{00000000-0005-0000-0000-00002E060000}"/>
    <cellStyle name="Vírgula 2 5 4" xfId="561" xr:uid="{00000000-0005-0000-0000-00002F060000}"/>
    <cellStyle name="Vírgula 2 5 4 2" xfId="1623" xr:uid="{00000000-0005-0000-0000-000030060000}"/>
    <cellStyle name="Vírgula 2 5 5" xfId="1204" xr:uid="{00000000-0005-0000-0000-000031060000}"/>
    <cellStyle name="Vírgula 2 6" xfId="97" xr:uid="{00000000-0005-0000-0000-000032060000}"/>
    <cellStyle name="Vírgula 2 6 2" xfId="366" xr:uid="{00000000-0005-0000-0000-000033060000}"/>
    <cellStyle name="Vírgula 2 6 2 2" xfId="785" xr:uid="{00000000-0005-0000-0000-000034060000}"/>
    <cellStyle name="Vírgula 2 6 2 2 2" xfId="1847" xr:uid="{00000000-0005-0000-0000-000035060000}"/>
    <cellStyle name="Vírgula 2 6 2 3" xfId="1428" xr:uid="{00000000-0005-0000-0000-000036060000}"/>
    <cellStyle name="Vírgula 2 6 3" xfId="273" xr:uid="{00000000-0005-0000-0000-000037060000}"/>
    <cellStyle name="Vírgula 2 6 3 2" xfId="692" xr:uid="{00000000-0005-0000-0000-000038060000}"/>
    <cellStyle name="Vírgula 2 6 3 2 2" xfId="1754" xr:uid="{00000000-0005-0000-0000-000039060000}"/>
    <cellStyle name="Vírgula 2 6 3 3" xfId="1335" xr:uid="{00000000-0005-0000-0000-00003A060000}"/>
    <cellStyle name="Vírgula 2 6 4" xfId="516" xr:uid="{00000000-0005-0000-0000-00003B060000}"/>
    <cellStyle name="Vírgula 2 6 4 2" xfId="1578" xr:uid="{00000000-0005-0000-0000-00003C060000}"/>
    <cellStyle name="Vírgula 2 6 5" xfId="1159" xr:uid="{00000000-0005-0000-0000-00003D060000}"/>
    <cellStyle name="Vírgula 2 7" xfId="326" xr:uid="{00000000-0005-0000-0000-00003E060000}"/>
    <cellStyle name="Vírgula 2 7 2" xfId="745" xr:uid="{00000000-0005-0000-0000-00003F060000}"/>
    <cellStyle name="Vírgula 2 7 2 2" xfId="1807" xr:uid="{00000000-0005-0000-0000-000040060000}"/>
    <cellStyle name="Vírgula 2 7 3" xfId="1388" xr:uid="{00000000-0005-0000-0000-000041060000}"/>
    <cellStyle name="Vírgula 2 8" xfId="188" xr:uid="{00000000-0005-0000-0000-000042060000}"/>
    <cellStyle name="Vírgula 2 8 2" xfId="607" xr:uid="{00000000-0005-0000-0000-000043060000}"/>
    <cellStyle name="Vírgula 2 8 2 2" xfId="1669" xr:uid="{00000000-0005-0000-0000-000044060000}"/>
    <cellStyle name="Vírgula 2 8 3" xfId="1250" xr:uid="{00000000-0005-0000-0000-000045060000}"/>
    <cellStyle name="Vírgula 2 9" xfId="470" xr:uid="{00000000-0005-0000-0000-000046060000}"/>
    <cellStyle name="Vírgula 2 9 2" xfId="1532" xr:uid="{00000000-0005-0000-0000-000047060000}"/>
    <cellStyle name="Vírgula 20" xfId="936" xr:uid="{00000000-0005-0000-0000-000048060000}"/>
    <cellStyle name="Vírgula 20 2" xfId="993" xr:uid="{00000000-0005-0000-0000-000049060000}"/>
    <cellStyle name="Vírgula 20 2 2" xfId="1051" xr:uid="{00000000-0005-0000-0000-00004A060000}"/>
    <cellStyle name="Vírgula 20 2 2 2" xfId="2111" xr:uid="{00000000-0005-0000-0000-00004B060000}"/>
    <cellStyle name="Vírgula 20 2 3" xfId="1109" xr:uid="{00000000-0005-0000-0000-00004C060000}"/>
    <cellStyle name="Vírgula 20 2 3 2" xfId="2169" xr:uid="{00000000-0005-0000-0000-00004D060000}"/>
    <cellStyle name="Vírgula 20 2 4" xfId="2053" xr:uid="{00000000-0005-0000-0000-00004E060000}"/>
    <cellStyle name="Vírgula 20 3" xfId="966" xr:uid="{00000000-0005-0000-0000-00004F060000}"/>
    <cellStyle name="Vírgula 20 3 2" xfId="2026" xr:uid="{00000000-0005-0000-0000-000050060000}"/>
    <cellStyle name="Vírgula 20 4" xfId="1024" xr:uid="{00000000-0005-0000-0000-000051060000}"/>
    <cellStyle name="Vírgula 20 4 2" xfId="2084" xr:uid="{00000000-0005-0000-0000-000052060000}"/>
    <cellStyle name="Vírgula 20 5" xfId="1082" xr:uid="{00000000-0005-0000-0000-000053060000}"/>
    <cellStyle name="Vírgula 20 5 2" xfId="2142" xr:uid="{00000000-0005-0000-0000-000054060000}"/>
    <cellStyle name="Vírgula 20 6" xfId="1996" xr:uid="{00000000-0005-0000-0000-000055060000}"/>
    <cellStyle name="Vírgula 21" xfId="938" xr:uid="{00000000-0005-0000-0000-000056060000}"/>
    <cellStyle name="Vírgula 21 2" xfId="994" xr:uid="{00000000-0005-0000-0000-000057060000}"/>
    <cellStyle name="Vírgula 21 2 2" xfId="1052" xr:uid="{00000000-0005-0000-0000-000058060000}"/>
    <cellStyle name="Vírgula 21 2 2 2" xfId="2112" xr:uid="{00000000-0005-0000-0000-000059060000}"/>
    <cellStyle name="Vírgula 21 2 3" xfId="1110" xr:uid="{00000000-0005-0000-0000-00005A060000}"/>
    <cellStyle name="Vírgula 21 2 3 2" xfId="2170" xr:uid="{00000000-0005-0000-0000-00005B060000}"/>
    <cellStyle name="Vírgula 21 2 4" xfId="2054" xr:uid="{00000000-0005-0000-0000-00005C060000}"/>
    <cellStyle name="Vírgula 21 3" xfId="967" xr:uid="{00000000-0005-0000-0000-00005D060000}"/>
    <cellStyle name="Vírgula 21 3 2" xfId="2027" xr:uid="{00000000-0005-0000-0000-00005E060000}"/>
    <cellStyle name="Vírgula 21 4" xfId="1025" xr:uid="{00000000-0005-0000-0000-00005F060000}"/>
    <cellStyle name="Vírgula 21 4 2" xfId="2085" xr:uid="{00000000-0005-0000-0000-000060060000}"/>
    <cellStyle name="Vírgula 21 5" xfId="1083" xr:uid="{00000000-0005-0000-0000-000061060000}"/>
    <cellStyle name="Vírgula 21 5 2" xfId="2143" xr:uid="{00000000-0005-0000-0000-000062060000}"/>
    <cellStyle name="Vírgula 21 6" xfId="1998" xr:uid="{00000000-0005-0000-0000-000063060000}"/>
    <cellStyle name="Vírgula 22" xfId="968" xr:uid="{00000000-0005-0000-0000-000064060000}"/>
    <cellStyle name="Vírgula 22 2" xfId="1026" xr:uid="{00000000-0005-0000-0000-000065060000}"/>
    <cellStyle name="Vírgula 22 2 2" xfId="2086" xr:uid="{00000000-0005-0000-0000-000066060000}"/>
    <cellStyle name="Vírgula 22 3" xfId="1084" xr:uid="{00000000-0005-0000-0000-000067060000}"/>
    <cellStyle name="Vírgula 22 3 2" xfId="2144" xr:uid="{00000000-0005-0000-0000-000068060000}"/>
    <cellStyle name="Vírgula 22 4" xfId="2028" xr:uid="{00000000-0005-0000-0000-000069060000}"/>
    <cellStyle name="Vírgula 23" xfId="995" xr:uid="{00000000-0005-0000-0000-00006A060000}"/>
    <cellStyle name="Vírgula 23 2" xfId="1053" xr:uid="{00000000-0005-0000-0000-00006B060000}"/>
    <cellStyle name="Vírgula 23 2 2" xfId="2113" xr:uid="{00000000-0005-0000-0000-00006C060000}"/>
    <cellStyle name="Vírgula 23 3" xfId="1111" xr:uid="{00000000-0005-0000-0000-00006D060000}"/>
    <cellStyle name="Vírgula 23 3 2" xfId="2171" xr:uid="{00000000-0005-0000-0000-00006E060000}"/>
    <cellStyle name="Vírgula 23 4" xfId="2055" xr:uid="{00000000-0005-0000-0000-00006F060000}"/>
    <cellStyle name="Vírgula 24" xfId="996" xr:uid="{00000000-0005-0000-0000-000070060000}"/>
    <cellStyle name="Vírgula 24 2" xfId="1054" xr:uid="{00000000-0005-0000-0000-000071060000}"/>
    <cellStyle name="Vírgula 24 2 2" xfId="2114" xr:uid="{00000000-0005-0000-0000-000072060000}"/>
    <cellStyle name="Vírgula 24 3" xfId="1112" xr:uid="{00000000-0005-0000-0000-000073060000}"/>
    <cellStyle name="Vírgula 24 3 2" xfId="2172" xr:uid="{00000000-0005-0000-0000-000074060000}"/>
    <cellStyle name="Vírgula 24 4" xfId="2056" xr:uid="{00000000-0005-0000-0000-000075060000}"/>
    <cellStyle name="Vírgula 25" xfId="940" xr:uid="{00000000-0005-0000-0000-000076060000}"/>
    <cellStyle name="Vírgula 25 2" xfId="2000" xr:uid="{00000000-0005-0000-0000-000077060000}"/>
    <cellStyle name="Vírgula 26" xfId="998" xr:uid="{00000000-0005-0000-0000-000078060000}"/>
    <cellStyle name="Vírgula 26 2" xfId="2058" xr:uid="{00000000-0005-0000-0000-000079060000}"/>
    <cellStyle name="Vírgula 27" xfId="1056" xr:uid="{00000000-0005-0000-0000-00007A060000}"/>
    <cellStyle name="Vírgula 27 2" xfId="2116" xr:uid="{00000000-0005-0000-0000-00007B060000}"/>
    <cellStyle name="Vírgula 28" xfId="1151" xr:uid="{00000000-0005-0000-0000-00007C060000}"/>
    <cellStyle name="Vírgula 3" xfId="9" xr:uid="{00000000-0005-0000-0000-00007D060000}"/>
    <cellStyle name="Vírgula 3 10" xfId="903" xr:uid="{00000000-0005-0000-0000-00007E060000}"/>
    <cellStyle name="Vírgula 3 10 2" xfId="1964" xr:uid="{00000000-0005-0000-0000-00007F060000}"/>
    <cellStyle name="Vírgula 3 11" xfId="913" xr:uid="{00000000-0005-0000-0000-000080060000}"/>
    <cellStyle name="Vírgula 3 11 2" xfId="1973" xr:uid="{00000000-0005-0000-0000-000081060000}"/>
    <cellStyle name="Vírgula 3 12" xfId="943" xr:uid="{00000000-0005-0000-0000-000082060000}"/>
    <cellStyle name="Vírgula 3 12 2" xfId="2003" xr:uid="{00000000-0005-0000-0000-000083060000}"/>
    <cellStyle name="Vírgula 3 13" xfId="1001" xr:uid="{00000000-0005-0000-0000-000084060000}"/>
    <cellStyle name="Vírgula 3 13 2" xfId="2061" xr:uid="{00000000-0005-0000-0000-000085060000}"/>
    <cellStyle name="Vírgula 3 14" xfId="1059" xr:uid="{00000000-0005-0000-0000-000086060000}"/>
    <cellStyle name="Vírgula 3 14 2" xfId="2119" xr:uid="{00000000-0005-0000-0000-000087060000}"/>
    <cellStyle name="Vírgula 3 15" xfId="1115" xr:uid="{00000000-0005-0000-0000-000088060000}"/>
    <cellStyle name="Vírgula 3 2" xfId="78" xr:uid="{00000000-0005-0000-0000-000089060000}"/>
    <cellStyle name="Vírgula 3 2 10" xfId="1067" xr:uid="{00000000-0005-0000-0000-00008A060000}"/>
    <cellStyle name="Vírgula 3 2 10 2" xfId="2127" xr:uid="{00000000-0005-0000-0000-00008B060000}"/>
    <cellStyle name="Vírgula 3 2 11" xfId="1144" xr:uid="{00000000-0005-0000-0000-00008C060000}"/>
    <cellStyle name="Vírgula 3 2 2" xfId="173" xr:uid="{00000000-0005-0000-0000-00008D060000}"/>
    <cellStyle name="Vírgula 3 2 2 2" xfId="442" xr:uid="{00000000-0005-0000-0000-00008E060000}"/>
    <cellStyle name="Vírgula 3 2 2 2 2" xfId="861" xr:uid="{00000000-0005-0000-0000-00008F060000}"/>
    <cellStyle name="Vírgula 3 2 2 2 2 2" xfId="1923" xr:uid="{00000000-0005-0000-0000-000090060000}"/>
    <cellStyle name="Vírgula 3 2 2 2 3" xfId="1504" xr:uid="{00000000-0005-0000-0000-000091060000}"/>
    <cellStyle name="Vírgula 3 2 2 3" xfId="258" xr:uid="{00000000-0005-0000-0000-000092060000}"/>
    <cellStyle name="Vírgula 3 2 2 3 2" xfId="677" xr:uid="{00000000-0005-0000-0000-000093060000}"/>
    <cellStyle name="Vírgula 3 2 2 3 2 2" xfId="1739" xr:uid="{00000000-0005-0000-0000-000094060000}"/>
    <cellStyle name="Vírgula 3 2 2 3 3" xfId="1320" xr:uid="{00000000-0005-0000-0000-000095060000}"/>
    <cellStyle name="Vírgula 3 2 2 4" xfId="592" xr:uid="{00000000-0005-0000-0000-000096060000}"/>
    <cellStyle name="Vírgula 3 2 2 4 2" xfId="1654" xr:uid="{00000000-0005-0000-0000-000097060000}"/>
    <cellStyle name="Vírgula 3 2 2 5" xfId="978" xr:uid="{00000000-0005-0000-0000-000098060000}"/>
    <cellStyle name="Vírgula 3 2 2 5 2" xfId="2038" xr:uid="{00000000-0005-0000-0000-000099060000}"/>
    <cellStyle name="Vírgula 3 2 2 6" xfId="1036" xr:uid="{00000000-0005-0000-0000-00009A060000}"/>
    <cellStyle name="Vírgula 3 2 2 6 2" xfId="2096" xr:uid="{00000000-0005-0000-0000-00009B060000}"/>
    <cellStyle name="Vírgula 3 2 2 7" xfId="1094" xr:uid="{00000000-0005-0000-0000-00009C060000}"/>
    <cellStyle name="Vírgula 3 2 2 7 2" xfId="2154" xr:uid="{00000000-0005-0000-0000-00009D060000}"/>
    <cellStyle name="Vírgula 3 2 2 8" xfId="1235" xr:uid="{00000000-0005-0000-0000-00009E060000}"/>
    <cellStyle name="Vírgula 3 2 3" xfId="128" xr:uid="{00000000-0005-0000-0000-00009F060000}"/>
    <cellStyle name="Vírgula 3 2 3 2" xfId="397" xr:uid="{00000000-0005-0000-0000-0000A0060000}"/>
    <cellStyle name="Vírgula 3 2 3 2 2" xfId="816" xr:uid="{00000000-0005-0000-0000-0000A1060000}"/>
    <cellStyle name="Vírgula 3 2 3 2 2 2" xfId="1878" xr:uid="{00000000-0005-0000-0000-0000A2060000}"/>
    <cellStyle name="Vírgula 3 2 3 2 3" xfId="1459" xr:uid="{00000000-0005-0000-0000-0000A3060000}"/>
    <cellStyle name="Vírgula 3 2 3 3" xfId="304" xr:uid="{00000000-0005-0000-0000-0000A4060000}"/>
    <cellStyle name="Vírgula 3 2 3 3 2" xfId="723" xr:uid="{00000000-0005-0000-0000-0000A5060000}"/>
    <cellStyle name="Vírgula 3 2 3 3 2 2" xfId="1785" xr:uid="{00000000-0005-0000-0000-0000A6060000}"/>
    <cellStyle name="Vírgula 3 2 3 3 3" xfId="1366" xr:uid="{00000000-0005-0000-0000-0000A7060000}"/>
    <cellStyle name="Vírgula 3 2 3 4" xfId="547" xr:uid="{00000000-0005-0000-0000-0000A8060000}"/>
    <cellStyle name="Vírgula 3 2 3 4 2" xfId="1609" xr:uid="{00000000-0005-0000-0000-0000A9060000}"/>
    <cellStyle name="Vírgula 3 2 3 5" xfId="1190" xr:uid="{00000000-0005-0000-0000-0000AA060000}"/>
    <cellStyle name="Vírgula 3 2 4" xfId="355" xr:uid="{00000000-0005-0000-0000-0000AB060000}"/>
    <cellStyle name="Vírgula 3 2 4 2" xfId="774" xr:uid="{00000000-0005-0000-0000-0000AC060000}"/>
    <cellStyle name="Vírgula 3 2 4 2 2" xfId="1836" xr:uid="{00000000-0005-0000-0000-0000AD060000}"/>
    <cellStyle name="Vírgula 3 2 4 3" xfId="1417" xr:uid="{00000000-0005-0000-0000-0000AE060000}"/>
    <cellStyle name="Vírgula 3 2 5" xfId="217" xr:uid="{00000000-0005-0000-0000-0000AF060000}"/>
    <cellStyle name="Vírgula 3 2 5 2" xfId="636" xr:uid="{00000000-0005-0000-0000-0000B0060000}"/>
    <cellStyle name="Vírgula 3 2 5 2 2" xfId="1698" xr:uid="{00000000-0005-0000-0000-0000B1060000}"/>
    <cellStyle name="Vírgula 3 2 5 3" xfId="1279" xr:uid="{00000000-0005-0000-0000-0000B2060000}"/>
    <cellStyle name="Vírgula 3 2 6" xfId="501" xr:uid="{00000000-0005-0000-0000-0000B3060000}"/>
    <cellStyle name="Vírgula 3 2 6 2" xfId="1563" xr:uid="{00000000-0005-0000-0000-0000B4060000}"/>
    <cellStyle name="Vírgula 3 2 7" xfId="921" xr:uid="{00000000-0005-0000-0000-0000B5060000}"/>
    <cellStyle name="Vírgula 3 2 7 2" xfId="1981" xr:uid="{00000000-0005-0000-0000-0000B6060000}"/>
    <cellStyle name="Vírgula 3 2 8" xfId="951" xr:uid="{00000000-0005-0000-0000-0000B7060000}"/>
    <cellStyle name="Vírgula 3 2 8 2" xfId="2011" xr:uid="{00000000-0005-0000-0000-0000B8060000}"/>
    <cellStyle name="Vírgula 3 2 9" xfId="1009" xr:uid="{00000000-0005-0000-0000-0000B9060000}"/>
    <cellStyle name="Vírgula 3 2 9 2" xfId="2069" xr:uid="{00000000-0005-0000-0000-0000BA060000}"/>
    <cellStyle name="Vírgula 3 3" xfId="95" xr:uid="{00000000-0005-0000-0000-0000BB060000}"/>
    <cellStyle name="Vírgula 3 3 10" xfId="1157" xr:uid="{00000000-0005-0000-0000-0000BC060000}"/>
    <cellStyle name="Vírgula 3 3 2" xfId="186" xr:uid="{00000000-0005-0000-0000-0000BD060000}"/>
    <cellStyle name="Vírgula 3 3 2 2" xfId="324" xr:uid="{00000000-0005-0000-0000-0000BE060000}"/>
    <cellStyle name="Vírgula 3 3 2 2 2" xfId="464" xr:uid="{00000000-0005-0000-0000-0000BF060000}"/>
    <cellStyle name="Vírgula 3 3 2 2 2 2" xfId="883" xr:uid="{00000000-0005-0000-0000-0000C0060000}"/>
    <cellStyle name="Vírgula 3 3 2 2 2 2 2" xfId="1945" xr:uid="{00000000-0005-0000-0000-0000C1060000}"/>
    <cellStyle name="Vírgula 3 3 2 2 2 3" xfId="1526" xr:uid="{00000000-0005-0000-0000-0000C2060000}"/>
    <cellStyle name="Vírgula 3 3 2 2 3" xfId="743" xr:uid="{00000000-0005-0000-0000-0000C3060000}"/>
    <cellStyle name="Vírgula 3 3 2 2 3 2" xfId="1805" xr:uid="{00000000-0005-0000-0000-0000C4060000}"/>
    <cellStyle name="Vírgula 3 3 2 2 4" xfId="1386" xr:uid="{00000000-0005-0000-0000-0000C5060000}"/>
    <cellStyle name="Vírgula 3 3 2 3" xfId="455" xr:uid="{00000000-0005-0000-0000-0000C6060000}"/>
    <cellStyle name="Vírgula 3 3 2 3 2" xfId="874" xr:uid="{00000000-0005-0000-0000-0000C7060000}"/>
    <cellStyle name="Vírgula 3 3 2 3 2 2" xfId="1936" xr:uid="{00000000-0005-0000-0000-0000C8060000}"/>
    <cellStyle name="Vírgula 3 3 2 3 3" xfId="1517" xr:uid="{00000000-0005-0000-0000-0000C9060000}"/>
    <cellStyle name="Vírgula 3 3 2 4" xfId="271" xr:uid="{00000000-0005-0000-0000-0000CA060000}"/>
    <cellStyle name="Vírgula 3 3 2 4 2" xfId="690" xr:uid="{00000000-0005-0000-0000-0000CB060000}"/>
    <cellStyle name="Vírgula 3 3 2 4 2 2" xfId="1752" xr:uid="{00000000-0005-0000-0000-0000CC060000}"/>
    <cellStyle name="Vírgula 3 3 2 4 3" xfId="1333" xr:uid="{00000000-0005-0000-0000-0000CD060000}"/>
    <cellStyle name="Vírgula 3 3 2 5" xfId="605" xr:uid="{00000000-0005-0000-0000-0000CE060000}"/>
    <cellStyle name="Vírgula 3 3 2 5 2" xfId="1667" xr:uid="{00000000-0005-0000-0000-0000CF060000}"/>
    <cellStyle name="Vírgula 3 3 2 6" xfId="1248" xr:uid="{00000000-0005-0000-0000-0000D0060000}"/>
    <cellStyle name="Vírgula 3 3 3" xfId="141" xr:uid="{00000000-0005-0000-0000-0000D1060000}"/>
    <cellStyle name="Vírgula 3 3 3 2" xfId="410" xr:uid="{00000000-0005-0000-0000-0000D2060000}"/>
    <cellStyle name="Vírgula 3 3 3 2 2" xfId="829" xr:uid="{00000000-0005-0000-0000-0000D3060000}"/>
    <cellStyle name="Vírgula 3 3 3 2 2 2" xfId="1891" xr:uid="{00000000-0005-0000-0000-0000D4060000}"/>
    <cellStyle name="Vírgula 3 3 3 2 3" xfId="1472" xr:uid="{00000000-0005-0000-0000-0000D5060000}"/>
    <cellStyle name="Vírgula 3 3 3 3" xfId="317" xr:uid="{00000000-0005-0000-0000-0000D6060000}"/>
    <cellStyle name="Vírgula 3 3 3 3 2" xfId="736" xr:uid="{00000000-0005-0000-0000-0000D7060000}"/>
    <cellStyle name="Vírgula 3 3 3 3 2 2" xfId="1798" xr:uid="{00000000-0005-0000-0000-0000D8060000}"/>
    <cellStyle name="Vírgula 3 3 3 3 3" xfId="1379" xr:uid="{00000000-0005-0000-0000-0000D9060000}"/>
    <cellStyle name="Vírgula 3 3 3 4" xfId="560" xr:uid="{00000000-0005-0000-0000-0000DA060000}"/>
    <cellStyle name="Vírgula 3 3 3 4 2" xfId="1622" xr:uid="{00000000-0005-0000-0000-0000DB060000}"/>
    <cellStyle name="Vírgula 3 3 3 5" xfId="1203" xr:uid="{00000000-0005-0000-0000-0000DC060000}"/>
    <cellStyle name="Vírgula 3 3 4" xfId="364" xr:uid="{00000000-0005-0000-0000-0000DD060000}"/>
    <cellStyle name="Vírgula 3 3 4 2" xfId="465" xr:uid="{00000000-0005-0000-0000-0000DE060000}"/>
    <cellStyle name="Vírgula 3 3 4 2 2" xfId="884" xr:uid="{00000000-0005-0000-0000-0000DF060000}"/>
    <cellStyle name="Vírgula 3 3 4 2 2 2" xfId="1946" xr:uid="{00000000-0005-0000-0000-0000E0060000}"/>
    <cellStyle name="Vírgula 3 3 4 2 3" xfId="1527" xr:uid="{00000000-0005-0000-0000-0000E1060000}"/>
    <cellStyle name="Vírgula 3 3 4 3" xfId="783" xr:uid="{00000000-0005-0000-0000-0000E2060000}"/>
    <cellStyle name="Vírgula 3 3 4 3 2" xfId="1845" xr:uid="{00000000-0005-0000-0000-0000E3060000}"/>
    <cellStyle name="Vírgula 3 3 4 4" xfId="1426" xr:uid="{00000000-0005-0000-0000-0000E4060000}"/>
    <cellStyle name="Vírgula 3 3 5" xfId="226" xr:uid="{00000000-0005-0000-0000-0000E5060000}"/>
    <cellStyle name="Vírgula 3 3 5 2" xfId="457" xr:uid="{00000000-0005-0000-0000-0000E6060000}"/>
    <cellStyle name="Vírgula 3 3 5 2 2" xfId="876" xr:uid="{00000000-0005-0000-0000-0000E7060000}"/>
    <cellStyle name="Vírgula 3 3 5 2 2 2" xfId="1938" xr:uid="{00000000-0005-0000-0000-0000E8060000}"/>
    <cellStyle name="Vírgula 3 3 5 2 3" xfId="1519" xr:uid="{00000000-0005-0000-0000-0000E9060000}"/>
    <cellStyle name="Vírgula 3 3 5 3" xfId="645" xr:uid="{00000000-0005-0000-0000-0000EA060000}"/>
    <cellStyle name="Vírgula 3 3 5 3 2" xfId="1707" xr:uid="{00000000-0005-0000-0000-0000EB060000}"/>
    <cellStyle name="Vírgula 3 3 5 4" xfId="1288" xr:uid="{00000000-0005-0000-0000-0000EC060000}"/>
    <cellStyle name="Vírgula 3 3 6" xfId="514" xr:uid="{00000000-0005-0000-0000-0000ED060000}"/>
    <cellStyle name="Vírgula 3 3 6 2" xfId="1576" xr:uid="{00000000-0005-0000-0000-0000EE060000}"/>
    <cellStyle name="Vírgula 3 3 7" xfId="971" xr:uid="{00000000-0005-0000-0000-0000EF060000}"/>
    <cellStyle name="Vírgula 3 3 7 2" xfId="2031" xr:uid="{00000000-0005-0000-0000-0000F0060000}"/>
    <cellStyle name="Vírgula 3 3 8" xfId="1029" xr:uid="{00000000-0005-0000-0000-0000F1060000}"/>
    <cellStyle name="Vírgula 3 3 8 2" xfId="2089" xr:uid="{00000000-0005-0000-0000-0000F2060000}"/>
    <cellStyle name="Vírgula 3 3 9" xfId="1087" xr:uid="{00000000-0005-0000-0000-0000F3060000}"/>
    <cellStyle name="Vírgula 3 3 9 2" xfId="2147" xr:uid="{00000000-0005-0000-0000-0000F4060000}"/>
    <cellStyle name="Vírgula 3 4" xfId="144" xr:uid="{00000000-0005-0000-0000-0000F5060000}"/>
    <cellStyle name="Vírgula 3 4 2" xfId="413" xr:uid="{00000000-0005-0000-0000-0000F6060000}"/>
    <cellStyle name="Vírgula 3 4 2 2" xfId="832" xr:uid="{00000000-0005-0000-0000-0000F7060000}"/>
    <cellStyle name="Vírgula 3 4 2 2 2" xfId="1894" xr:uid="{00000000-0005-0000-0000-0000F8060000}"/>
    <cellStyle name="Vírgula 3 4 2 3" xfId="1475" xr:uid="{00000000-0005-0000-0000-0000F9060000}"/>
    <cellStyle name="Vírgula 3 4 3" xfId="229" xr:uid="{00000000-0005-0000-0000-0000FA060000}"/>
    <cellStyle name="Vírgula 3 4 3 2" xfId="648" xr:uid="{00000000-0005-0000-0000-0000FB060000}"/>
    <cellStyle name="Vírgula 3 4 3 2 2" xfId="1710" xr:uid="{00000000-0005-0000-0000-0000FC060000}"/>
    <cellStyle name="Vírgula 3 4 3 3" xfId="1291" xr:uid="{00000000-0005-0000-0000-0000FD060000}"/>
    <cellStyle name="Vírgula 3 4 4" xfId="563" xr:uid="{00000000-0005-0000-0000-0000FE060000}"/>
    <cellStyle name="Vírgula 3 4 4 2" xfId="1625" xr:uid="{00000000-0005-0000-0000-0000FF060000}"/>
    <cellStyle name="Vírgula 3 4 5" xfId="1206" xr:uid="{00000000-0005-0000-0000-000000070000}"/>
    <cellStyle name="Vírgula 3 5" xfId="99" xr:uid="{00000000-0005-0000-0000-000001070000}"/>
    <cellStyle name="Vírgula 3 5 2" xfId="368" xr:uid="{00000000-0005-0000-0000-000002070000}"/>
    <cellStyle name="Vírgula 3 5 2 2" xfId="787" xr:uid="{00000000-0005-0000-0000-000003070000}"/>
    <cellStyle name="Vírgula 3 5 2 2 2" xfId="1849" xr:uid="{00000000-0005-0000-0000-000004070000}"/>
    <cellStyle name="Vírgula 3 5 2 3" xfId="1430" xr:uid="{00000000-0005-0000-0000-000005070000}"/>
    <cellStyle name="Vírgula 3 5 3" xfId="275" xr:uid="{00000000-0005-0000-0000-000006070000}"/>
    <cellStyle name="Vírgula 3 5 3 2" xfId="694" xr:uid="{00000000-0005-0000-0000-000007070000}"/>
    <cellStyle name="Vírgula 3 5 3 2 2" xfId="1756" xr:uid="{00000000-0005-0000-0000-000008070000}"/>
    <cellStyle name="Vírgula 3 5 3 3" xfId="1337" xr:uid="{00000000-0005-0000-0000-000009070000}"/>
    <cellStyle name="Vírgula 3 5 4" xfId="518" xr:uid="{00000000-0005-0000-0000-00000A070000}"/>
    <cellStyle name="Vírgula 3 5 4 2" xfId="1580" xr:uid="{00000000-0005-0000-0000-00000B070000}"/>
    <cellStyle name="Vírgula 3 5 5" xfId="1161" xr:uid="{00000000-0005-0000-0000-00000C070000}"/>
    <cellStyle name="Vírgula 3 6" xfId="327" xr:uid="{00000000-0005-0000-0000-00000D070000}"/>
    <cellStyle name="Vírgula 3 6 2" xfId="746" xr:uid="{00000000-0005-0000-0000-00000E070000}"/>
    <cellStyle name="Vírgula 3 6 2 2" xfId="1808" xr:uid="{00000000-0005-0000-0000-00000F070000}"/>
    <cellStyle name="Vírgula 3 6 3" xfId="1389" xr:uid="{00000000-0005-0000-0000-000010070000}"/>
    <cellStyle name="Vírgula 3 7" xfId="189" xr:uid="{00000000-0005-0000-0000-000011070000}"/>
    <cellStyle name="Vírgula 3 7 2" xfId="608" xr:uid="{00000000-0005-0000-0000-000012070000}"/>
    <cellStyle name="Vírgula 3 7 2 2" xfId="1670" xr:uid="{00000000-0005-0000-0000-000013070000}"/>
    <cellStyle name="Vírgula 3 7 3" xfId="1251" xr:uid="{00000000-0005-0000-0000-000014070000}"/>
    <cellStyle name="Vírgula 3 8" xfId="472" xr:uid="{00000000-0005-0000-0000-000015070000}"/>
    <cellStyle name="Vírgula 3 8 2" xfId="1534" xr:uid="{00000000-0005-0000-0000-000016070000}"/>
    <cellStyle name="Vírgula 3 9" xfId="896" xr:uid="{00000000-0005-0000-0000-000017070000}"/>
    <cellStyle name="Vírgula 3 9 2" xfId="1957" xr:uid="{00000000-0005-0000-0000-000018070000}"/>
    <cellStyle name="Vírgula 4" xfId="13" xr:uid="{00000000-0005-0000-0000-000019070000}"/>
    <cellStyle name="Vírgula 4 10" xfId="914" xr:uid="{00000000-0005-0000-0000-00001A070000}"/>
    <cellStyle name="Vírgula 4 10 2" xfId="1974" xr:uid="{00000000-0005-0000-0000-00001B070000}"/>
    <cellStyle name="Vírgula 4 11" xfId="944" xr:uid="{00000000-0005-0000-0000-00001C070000}"/>
    <cellStyle name="Vírgula 4 11 2" xfId="2004" xr:uid="{00000000-0005-0000-0000-00001D070000}"/>
    <cellStyle name="Vírgula 4 12" xfId="1002" xr:uid="{00000000-0005-0000-0000-00001E070000}"/>
    <cellStyle name="Vírgula 4 12 2" xfId="2062" xr:uid="{00000000-0005-0000-0000-00001F070000}"/>
    <cellStyle name="Vírgula 4 13" xfId="1060" xr:uid="{00000000-0005-0000-0000-000020070000}"/>
    <cellStyle name="Vírgula 4 13 2" xfId="2120" xr:uid="{00000000-0005-0000-0000-000021070000}"/>
    <cellStyle name="Vírgula 4 14" xfId="1118" xr:uid="{00000000-0005-0000-0000-000022070000}"/>
    <cellStyle name="Vírgula 4 2" xfId="81" xr:uid="{00000000-0005-0000-0000-000023070000}"/>
    <cellStyle name="Vírgula 4 2 10" xfId="1068" xr:uid="{00000000-0005-0000-0000-000024070000}"/>
    <cellStyle name="Vírgula 4 2 10 2" xfId="2128" xr:uid="{00000000-0005-0000-0000-000025070000}"/>
    <cellStyle name="Vírgula 4 2 11" xfId="1146" xr:uid="{00000000-0005-0000-0000-000026070000}"/>
    <cellStyle name="Vírgula 4 2 2" xfId="175" xr:uid="{00000000-0005-0000-0000-000027070000}"/>
    <cellStyle name="Vírgula 4 2 2 2" xfId="444" xr:uid="{00000000-0005-0000-0000-000028070000}"/>
    <cellStyle name="Vírgula 4 2 2 2 2" xfId="863" xr:uid="{00000000-0005-0000-0000-000029070000}"/>
    <cellStyle name="Vírgula 4 2 2 2 2 2" xfId="1925" xr:uid="{00000000-0005-0000-0000-00002A070000}"/>
    <cellStyle name="Vírgula 4 2 2 2 3" xfId="1506" xr:uid="{00000000-0005-0000-0000-00002B070000}"/>
    <cellStyle name="Vírgula 4 2 2 3" xfId="260" xr:uid="{00000000-0005-0000-0000-00002C070000}"/>
    <cellStyle name="Vírgula 4 2 2 3 2" xfId="679" xr:uid="{00000000-0005-0000-0000-00002D070000}"/>
    <cellStyle name="Vírgula 4 2 2 3 2 2" xfId="1741" xr:uid="{00000000-0005-0000-0000-00002E070000}"/>
    <cellStyle name="Vírgula 4 2 2 3 3" xfId="1322" xr:uid="{00000000-0005-0000-0000-00002F070000}"/>
    <cellStyle name="Vírgula 4 2 2 4" xfId="594" xr:uid="{00000000-0005-0000-0000-000030070000}"/>
    <cellStyle name="Vírgula 4 2 2 4 2" xfId="1656" xr:uid="{00000000-0005-0000-0000-000031070000}"/>
    <cellStyle name="Vírgula 4 2 2 5" xfId="979" xr:uid="{00000000-0005-0000-0000-000032070000}"/>
    <cellStyle name="Vírgula 4 2 2 5 2" xfId="2039" xr:uid="{00000000-0005-0000-0000-000033070000}"/>
    <cellStyle name="Vírgula 4 2 2 6" xfId="1037" xr:uid="{00000000-0005-0000-0000-000034070000}"/>
    <cellStyle name="Vírgula 4 2 2 6 2" xfId="2097" xr:uid="{00000000-0005-0000-0000-000035070000}"/>
    <cellStyle name="Vírgula 4 2 2 7" xfId="1095" xr:uid="{00000000-0005-0000-0000-000036070000}"/>
    <cellStyle name="Vírgula 4 2 2 7 2" xfId="2155" xr:uid="{00000000-0005-0000-0000-000037070000}"/>
    <cellStyle name="Vírgula 4 2 2 8" xfId="1237" xr:uid="{00000000-0005-0000-0000-000038070000}"/>
    <cellStyle name="Vírgula 4 2 3" xfId="130" xr:uid="{00000000-0005-0000-0000-000039070000}"/>
    <cellStyle name="Vírgula 4 2 3 2" xfId="399" xr:uid="{00000000-0005-0000-0000-00003A070000}"/>
    <cellStyle name="Vírgula 4 2 3 2 2" xfId="818" xr:uid="{00000000-0005-0000-0000-00003B070000}"/>
    <cellStyle name="Vírgula 4 2 3 2 2 2" xfId="1880" xr:uid="{00000000-0005-0000-0000-00003C070000}"/>
    <cellStyle name="Vírgula 4 2 3 2 3" xfId="1461" xr:uid="{00000000-0005-0000-0000-00003D070000}"/>
    <cellStyle name="Vírgula 4 2 3 3" xfId="306" xr:uid="{00000000-0005-0000-0000-00003E070000}"/>
    <cellStyle name="Vírgula 4 2 3 3 2" xfId="725" xr:uid="{00000000-0005-0000-0000-00003F070000}"/>
    <cellStyle name="Vírgula 4 2 3 3 2 2" xfId="1787" xr:uid="{00000000-0005-0000-0000-000040070000}"/>
    <cellStyle name="Vírgula 4 2 3 3 3" xfId="1368" xr:uid="{00000000-0005-0000-0000-000041070000}"/>
    <cellStyle name="Vírgula 4 2 3 4" xfId="549" xr:uid="{00000000-0005-0000-0000-000042070000}"/>
    <cellStyle name="Vírgula 4 2 3 4 2" xfId="1611" xr:uid="{00000000-0005-0000-0000-000043070000}"/>
    <cellStyle name="Vírgula 4 2 3 5" xfId="1192" xr:uid="{00000000-0005-0000-0000-000044070000}"/>
    <cellStyle name="Vírgula 4 2 4" xfId="357" xr:uid="{00000000-0005-0000-0000-000045070000}"/>
    <cellStyle name="Vírgula 4 2 4 2" xfId="776" xr:uid="{00000000-0005-0000-0000-000046070000}"/>
    <cellStyle name="Vírgula 4 2 4 2 2" xfId="1838" xr:uid="{00000000-0005-0000-0000-000047070000}"/>
    <cellStyle name="Vírgula 4 2 4 3" xfId="1419" xr:uid="{00000000-0005-0000-0000-000048070000}"/>
    <cellStyle name="Vírgula 4 2 5" xfId="219" xr:uid="{00000000-0005-0000-0000-000049070000}"/>
    <cellStyle name="Vírgula 4 2 5 2" xfId="638" xr:uid="{00000000-0005-0000-0000-00004A070000}"/>
    <cellStyle name="Vírgula 4 2 5 2 2" xfId="1700" xr:uid="{00000000-0005-0000-0000-00004B070000}"/>
    <cellStyle name="Vírgula 4 2 5 3" xfId="1281" xr:uid="{00000000-0005-0000-0000-00004C070000}"/>
    <cellStyle name="Vírgula 4 2 6" xfId="503" xr:uid="{00000000-0005-0000-0000-00004D070000}"/>
    <cellStyle name="Vírgula 4 2 6 2" xfId="1565" xr:uid="{00000000-0005-0000-0000-00004E070000}"/>
    <cellStyle name="Vírgula 4 2 7" xfId="922" xr:uid="{00000000-0005-0000-0000-00004F070000}"/>
    <cellStyle name="Vírgula 4 2 7 2" xfId="1982" xr:uid="{00000000-0005-0000-0000-000050070000}"/>
    <cellStyle name="Vírgula 4 2 8" xfId="952" xr:uid="{00000000-0005-0000-0000-000051070000}"/>
    <cellStyle name="Vírgula 4 2 8 2" xfId="2012" xr:uid="{00000000-0005-0000-0000-000052070000}"/>
    <cellStyle name="Vírgula 4 2 9" xfId="1010" xr:uid="{00000000-0005-0000-0000-000053070000}"/>
    <cellStyle name="Vírgula 4 2 9 2" xfId="2070" xr:uid="{00000000-0005-0000-0000-000054070000}"/>
    <cellStyle name="Vírgula 4 3" xfId="147" xr:uid="{00000000-0005-0000-0000-000055070000}"/>
    <cellStyle name="Vírgula 4 3 2" xfId="416" xr:uid="{00000000-0005-0000-0000-000056070000}"/>
    <cellStyle name="Vírgula 4 3 2 2" xfId="835" xr:uid="{00000000-0005-0000-0000-000057070000}"/>
    <cellStyle name="Vírgula 4 3 2 2 2" xfId="1897" xr:uid="{00000000-0005-0000-0000-000058070000}"/>
    <cellStyle name="Vírgula 4 3 2 3" xfId="1478" xr:uid="{00000000-0005-0000-0000-000059070000}"/>
    <cellStyle name="Vírgula 4 3 3" xfId="232" xr:uid="{00000000-0005-0000-0000-00005A070000}"/>
    <cellStyle name="Vírgula 4 3 3 2" xfId="651" xr:uid="{00000000-0005-0000-0000-00005B070000}"/>
    <cellStyle name="Vírgula 4 3 3 2 2" xfId="1713" xr:uid="{00000000-0005-0000-0000-00005C070000}"/>
    <cellStyle name="Vírgula 4 3 3 3" xfId="1294" xr:uid="{00000000-0005-0000-0000-00005D070000}"/>
    <cellStyle name="Vírgula 4 3 4" xfId="566" xr:uid="{00000000-0005-0000-0000-00005E070000}"/>
    <cellStyle name="Vírgula 4 3 4 2" xfId="1628" xr:uid="{00000000-0005-0000-0000-00005F070000}"/>
    <cellStyle name="Vírgula 4 3 5" xfId="972" xr:uid="{00000000-0005-0000-0000-000060070000}"/>
    <cellStyle name="Vírgula 4 3 5 2" xfId="2032" xr:uid="{00000000-0005-0000-0000-000061070000}"/>
    <cellStyle name="Vírgula 4 3 6" xfId="1030" xr:uid="{00000000-0005-0000-0000-000062070000}"/>
    <cellStyle name="Vírgula 4 3 6 2" xfId="2090" xr:uid="{00000000-0005-0000-0000-000063070000}"/>
    <cellStyle name="Vírgula 4 3 7" xfId="1088" xr:uid="{00000000-0005-0000-0000-000064070000}"/>
    <cellStyle name="Vírgula 4 3 7 2" xfId="2148" xr:uid="{00000000-0005-0000-0000-000065070000}"/>
    <cellStyle name="Vírgula 4 3 8" xfId="1209" xr:uid="{00000000-0005-0000-0000-000066070000}"/>
    <cellStyle name="Vírgula 4 4" xfId="102" xr:uid="{00000000-0005-0000-0000-000067070000}"/>
    <cellStyle name="Vírgula 4 4 2" xfId="371" xr:uid="{00000000-0005-0000-0000-000068070000}"/>
    <cellStyle name="Vírgula 4 4 2 2" xfId="790" xr:uid="{00000000-0005-0000-0000-000069070000}"/>
    <cellStyle name="Vírgula 4 4 2 2 2" xfId="1852" xr:uid="{00000000-0005-0000-0000-00006A070000}"/>
    <cellStyle name="Vírgula 4 4 2 3" xfId="1433" xr:uid="{00000000-0005-0000-0000-00006B070000}"/>
    <cellStyle name="Vírgula 4 4 3" xfId="278" xr:uid="{00000000-0005-0000-0000-00006C070000}"/>
    <cellStyle name="Vírgula 4 4 3 2" xfId="697" xr:uid="{00000000-0005-0000-0000-00006D070000}"/>
    <cellStyle name="Vírgula 4 4 3 2 2" xfId="1759" xr:uid="{00000000-0005-0000-0000-00006E070000}"/>
    <cellStyle name="Vírgula 4 4 3 3" xfId="1340" xr:uid="{00000000-0005-0000-0000-00006F070000}"/>
    <cellStyle name="Vírgula 4 4 4" xfId="521" xr:uid="{00000000-0005-0000-0000-000070070000}"/>
    <cellStyle name="Vírgula 4 4 4 2" xfId="1583" xr:uid="{00000000-0005-0000-0000-000071070000}"/>
    <cellStyle name="Vírgula 4 4 5" xfId="1164" xr:uid="{00000000-0005-0000-0000-000072070000}"/>
    <cellStyle name="Vírgula 4 5" xfId="330" xr:uid="{00000000-0005-0000-0000-000073070000}"/>
    <cellStyle name="Vírgula 4 5 2" xfId="749" xr:uid="{00000000-0005-0000-0000-000074070000}"/>
    <cellStyle name="Vírgula 4 5 2 2" xfId="1811" xr:uid="{00000000-0005-0000-0000-000075070000}"/>
    <cellStyle name="Vírgula 4 5 3" xfId="1392" xr:uid="{00000000-0005-0000-0000-000076070000}"/>
    <cellStyle name="Vírgula 4 6" xfId="192" xr:uid="{00000000-0005-0000-0000-000077070000}"/>
    <cellStyle name="Vírgula 4 6 2" xfId="611" xr:uid="{00000000-0005-0000-0000-000078070000}"/>
    <cellStyle name="Vírgula 4 6 2 2" xfId="1673" xr:uid="{00000000-0005-0000-0000-000079070000}"/>
    <cellStyle name="Vírgula 4 6 3" xfId="1254" xr:uid="{00000000-0005-0000-0000-00007A070000}"/>
    <cellStyle name="Vírgula 4 7" xfId="475" xr:uid="{00000000-0005-0000-0000-00007B070000}"/>
    <cellStyle name="Vírgula 4 7 2" xfId="1537" xr:uid="{00000000-0005-0000-0000-00007C070000}"/>
    <cellStyle name="Vírgula 4 8" xfId="897" xr:uid="{00000000-0005-0000-0000-00007D070000}"/>
    <cellStyle name="Vírgula 4 8 2" xfId="1958" xr:uid="{00000000-0005-0000-0000-00007E070000}"/>
    <cellStyle name="Vírgula 4 9" xfId="904" xr:uid="{00000000-0005-0000-0000-00007F070000}"/>
    <cellStyle name="Vírgula 4 9 2" xfId="1965" xr:uid="{00000000-0005-0000-0000-000080070000}"/>
    <cellStyle name="Vírgula 5" xfId="19" xr:uid="{00000000-0005-0000-0000-000081070000}"/>
    <cellStyle name="Vírgula 5 10" xfId="945" xr:uid="{00000000-0005-0000-0000-000082070000}"/>
    <cellStyle name="Vírgula 5 10 2" xfId="2005" xr:uid="{00000000-0005-0000-0000-000083070000}"/>
    <cellStyle name="Vírgula 5 11" xfId="1003" xr:uid="{00000000-0005-0000-0000-000084070000}"/>
    <cellStyle name="Vírgula 5 11 2" xfId="2063" xr:uid="{00000000-0005-0000-0000-000085070000}"/>
    <cellStyle name="Vírgula 5 12" xfId="1061" xr:uid="{00000000-0005-0000-0000-000086070000}"/>
    <cellStyle name="Vírgula 5 12 2" xfId="2121" xr:uid="{00000000-0005-0000-0000-000087070000}"/>
    <cellStyle name="Vírgula 5 13" xfId="1124" xr:uid="{00000000-0005-0000-0000-000088070000}"/>
    <cellStyle name="Vírgula 5 2" xfId="153" xr:uid="{00000000-0005-0000-0000-000089070000}"/>
    <cellStyle name="Vírgula 5 2 2" xfId="422" xr:uid="{00000000-0005-0000-0000-00008A070000}"/>
    <cellStyle name="Vírgula 5 2 2 2" xfId="841" xr:uid="{00000000-0005-0000-0000-00008B070000}"/>
    <cellStyle name="Vírgula 5 2 2 2 2" xfId="1903" xr:uid="{00000000-0005-0000-0000-00008C070000}"/>
    <cellStyle name="Vírgula 5 2 2 3" xfId="980" xr:uid="{00000000-0005-0000-0000-00008D070000}"/>
    <cellStyle name="Vírgula 5 2 2 3 2" xfId="2040" xr:uid="{00000000-0005-0000-0000-00008E070000}"/>
    <cellStyle name="Vírgula 5 2 2 4" xfId="1038" xr:uid="{00000000-0005-0000-0000-00008F070000}"/>
    <cellStyle name="Vírgula 5 2 2 4 2" xfId="2098" xr:uid="{00000000-0005-0000-0000-000090070000}"/>
    <cellStyle name="Vírgula 5 2 2 5" xfId="1096" xr:uid="{00000000-0005-0000-0000-000091070000}"/>
    <cellStyle name="Vírgula 5 2 2 5 2" xfId="2156" xr:uid="{00000000-0005-0000-0000-000092070000}"/>
    <cellStyle name="Vírgula 5 2 2 6" xfId="1484" xr:uid="{00000000-0005-0000-0000-000093070000}"/>
    <cellStyle name="Vírgula 5 2 3" xfId="238" xr:uid="{00000000-0005-0000-0000-000094070000}"/>
    <cellStyle name="Vírgula 5 2 3 2" xfId="657" xr:uid="{00000000-0005-0000-0000-000095070000}"/>
    <cellStyle name="Vírgula 5 2 3 2 2" xfId="1719" xr:uid="{00000000-0005-0000-0000-000096070000}"/>
    <cellStyle name="Vírgula 5 2 3 3" xfId="1300" xr:uid="{00000000-0005-0000-0000-000097070000}"/>
    <cellStyle name="Vírgula 5 2 4" xfId="572" xr:uid="{00000000-0005-0000-0000-000098070000}"/>
    <cellStyle name="Vírgula 5 2 4 2" xfId="1634" xr:uid="{00000000-0005-0000-0000-000099070000}"/>
    <cellStyle name="Vírgula 5 2 5" xfId="923" xr:uid="{00000000-0005-0000-0000-00009A070000}"/>
    <cellStyle name="Vírgula 5 2 5 2" xfId="1983" xr:uid="{00000000-0005-0000-0000-00009B070000}"/>
    <cellStyle name="Vírgula 5 2 6" xfId="953" xr:uid="{00000000-0005-0000-0000-00009C070000}"/>
    <cellStyle name="Vírgula 5 2 6 2" xfId="2013" xr:uid="{00000000-0005-0000-0000-00009D070000}"/>
    <cellStyle name="Vírgula 5 2 7" xfId="1011" xr:uid="{00000000-0005-0000-0000-00009E070000}"/>
    <cellStyle name="Vírgula 5 2 7 2" xfId="2071" xr:uid="{00000000-0005-0000-0000-00009F070000}"/>
    <cellStyle name="Vírgula 5 2 8" xfId="1069" xr:uid="{00000000-0005-0000-0000-0000A0070000}"/>
    <cellStyle name="Vírgula 5 2 8 2" xfId="2129" xr:uid="{00000000-0005-0000-0000-0000A1070000}"/>
    <cellStyle name="Vírgula 5 2 9" xfId="1215" xr:uid="{00000000-0005-0000-0000-0000A2070000}"/>
    <cellStyle name="Vírgula 5 3" xfId="108" xr:uid="{00000000-0005-0000-0000-0000A3070000}"/>
    <cellStyle name="Vírgula 5 3 2" xfId="377" xr:uid="{00000000-0005-0000-0000-0000A4070000}"/>
    <cellStyle name="Vírgula 5 3 2 2" xfId="796" xr:uid="{00000000-0005-0000-0000-0000A5070000}"/>
    <cellStyle name="Vírgula 5 3 2 2 2" xfId="1858" xr:uid="{00000000-0005-0000-0000-0000A6070000}"/>
    <cellStyle name="Vírgula 5 3 2 3" xfId="1439" xr:uid="{00000000-0005-0000-0000-0000A7070000}"/>
    <cellStyle name="Vírgula 5 3 3" xfId="284" xr:uid="{00000000-0005-0000-0000-0000A8070000}"/>
    <cellStyle name="Vírgula 5 3 3 2" xfId="703" xr:uid="{00000000-0005-0000-0000-0000A9070000}"/>
    <cellStyle name="Vírgula 5 3 3 2 2" xfId="1765" xr:uid="{00000000-0005-0000-0000-0000AA070000}"/>
    <cellStyle name="Vírgula 5 3 3 3" xfId="1346" xr:uid="{00000000-0005-0000-0000-0000AB070000}"/>
    <cellStyle name="Vírgula 5 3 4" xfId="527" xr:uid="{00000000-0005-0000-0000-0000AC070000}"/>
    <cellStyle name="Vírgula 5 3 4 2" xfId="1589" xr:uid="{00000000-0005-0000-0000-0000AD070000}"/>
    <cellStyle name="Vírgula 5 3 5" xfId="973" xr:uid="{00000000-0005-0000-0000-0000AE070000}"/>
    <cellStyle name="Vírgula 5 3 5 2" xfId="2033" xr:uid="{00000000-0005-0000-0000-0000AF070000}"/>
    <cellStyle name="Vírgula 5 3 6" xfId="1031" xr:uid="{00000000-0005-0000-0000-0000B0070000}"/>
    <cellStyle name="Vírgula 5 3 6 2" xfId="2091" xr:uid="{00000000-0005-0000-0000-0000B1070000}"/>
    <cellStyle name="Vírgula 5 3 7" xfId="1089" xr:uid="{00000000-0005-0000-0000-0000B2070000}"/>
    <cellStyle name="Vírgula 5 3 7 2" xfId="2149" xr:uid="{00000000-0005-0000-0000-0000B3070000}"/>
    <cellStyle name="Vírgula 5 3 8" xfId="1170" xr:uid="{00000000-0005-0000-0000-0000B4070000}"/>
    <cellStyle name="Vírgula 5 4" xfId="335" xr:uid="{00000000-0005-0000-0000-0000B5070000}"/>
    <cellStyle name="Vírgula 5 4 2" xfId="754" xr:uid="{00000000-0005-0000-0000-0000B6070000}"/>
    <cellStyle name="Vírgula 5 4 2 2" xfId="1816" xr:uid="{00000000-0005-0000-0000-0000B7070000}"/>
    <cellStyle name="Vírgula 5 4 3" xfId="1397" xr:uid="{00000000-0005-0000-0000-0000B8070000}"/>
    <cellStyle name="Vírgula 5 5" xfId="197" xr:uid="{00000000-0005-0000-0000-0000B9070000}"/>
    <cellStyle name="Vírgula 5 5 2" xfId="616" xr:uid="{00000000-0005-0000-0000-0000BA070000}"/>
    <cellStyle name="Vírgula 5 5 2 2" xfId="1678" xr:uid="{00000000-0005-0000-0000-0000BB070000}"/>
    <cellStyle name="Vírgula 5 5 3" xfId="1259" xr:uid="{00000000-0005-0000-0000-0000BC070000}"/>
    <cellStyle name="Vírgula 5 6" xfId="481" xr:uid="{00000000-0005-0000-0000-0000BD070000}"/>
    <cellStyle name="Vírgula 5 6 2" xfId="1543" xr:uid="{00000000-0005-0000-0000-0000BE070000}"/>
    <cellStyle name="Vírgula 5 7" xfId="898" xr:uid="{00000000-0005-0000-0000-0000BF070000}"/>
    <cellStyle name="Vírgula 5 7 2" xfId="1959" xr:uid="{00000000-0005-0000-0000-0000C0070000}"/>
    <cellStyle name="Vírgula 5 8" xfId="905" xr:uid="{00000000-0005-0000-0000-0000C1070000}"/>
    <cellStyle name="Vírgula 5 8 2" xfId="1966" xr:uid="{00000000-0005-0000-0000-0000C2070000}"/>
    <cellStyle name="Vírgula 5 9" xfId="915" xr:uid="{00000000-0005-0000-0000-0000C3070000}"/>
    <cellStyle name="Vírgula 5 9 2" xfId="1975" xr:uid="{00000000-0005-0000-0000-0000C4070000}"/>
    <cellStyle name="Vírgula 6" xfId="17" xr:uid="{00000000-0005-0000-0000-0000C5070000}"/>
    <cellStyle name="Vírgula 6 2" xfId="151" xr:uid="{00000000-0005-0000-0000-0000C6070000}"/>
    <cellStyle name="Vírgula 6 2 10" xfId="1213" xr:uid="{00000000-0005-0000-0000-0000C7070000}"/>
    <cellStyle name="Vírgula 6 2 2" xfId="319" xr:uid="{00000000-0005-0000-0000-0000C8070000}"/>
    <cellStyle name="Vírgula 6 2 2 2" xfId="459" xr:uid="{00000000-0005-0000-0000-0000C9070000}"/>
    <cellStyle name="Vírgula 6 2 2 2 2" xfId="878" xr:uid="{00000000-0005-0000-0000-0000CA070000}"/>
    <cellStyle name="Vírgula 6 2 2 2 2 2" xfId="1940" xr:uid="{00000000-0005-0000-0000-0000CB070000}"/>
    <cellStyle name="Vírgula 6 2 2 2 3" xfId="1521" xr:uid="{00000000-0005-0000-0000-0000CC070000}"/>
    <cellStyle name="Vírgula 6 2 2 3" xfId="738" xr:uid="{00000000-0005-0000-0000-0000CD070000}"/>
    <cellStyle name="Vírgula 6 2 2 3 2" xfId="1800" xr:uid="{00000000-0005-0000-0000-0000CE070000}"/>
    <cellStyle name="Vírgula 6 2 2 4" xfId="981" xr:uid="{00000000-0005-0000-0000-0000CF070000}"/>
    <cellStyle name="Vírgula 6 2 2 4 2" xfId="2041" xr:uid="{00000000-0005-0000-0000-0000D0070000}"/>
    <cellStyle name="Vírgula 6 2 2 5" xfId="1039" xr:uid="{00000000-0005-0000-0000-0000D1070000}"/>
    <cellStyle name="Vírgula 6 2 2 5 2" xfId="2099" xr:uid="{00000000-0005-0000-0000-0000D2070000}"/>
    <cellStyle name="Vírgula 6 2 2 6" xfId="1097" xr:uid="{00000000-0005-0000-0000-0000D3070000}"/>
    <cellStyle name="Vírgula 6 2 2 6 2" xfId="2157" xr:uid="{00000000-0005-0000-0000-0000D4070000}"/>
    <cellStyle name="Vírgula 6 2 2 7" xfId="1381" xr:uid="{00000000-0005-0000-0000-0000D5070000}"/>
    <cellStyle name="Vírgula 6 2 3" xfId="420" xr:uid="{00000000-0005-0000-0000-0000D6070000}"/>
    <cellStyle name="Vírgula 6 2 3 2" xfId="839" xr:uid="{00000000-0005-0000-0000-0000D7070000}"/>
    <cellStyle name="Vírgula 6 2 3 2 2" xfId="1901" xr:uid="{00000000-0005-0000-0000-0000D8070000}"/>
    <cellStyle name="Vírgula 6 2 3 3" xfId="1482" xr:uid="{00000000-0005-0000-0000-0000D9070000}"/>
    <cellStyle name="Vírgula 6 2 4" xfId="236" xr:uid="{00000000-0005-0000-0000-0000DA070000}"/>
    <cellStyle name="Vírgula 6 2 4 2" xfId="655" xr:uid="{00000000-0005-0000-0000-0000DB070000}"/>
    <cellStyle name="Vírgula 6 2 4 2 2" xfId="1717" xr:uid="{00000000-0005-0000-0000-0000DC070000}"/>
    <cellStyle name="Vírgula 6 2 4 3" xfId="1298" xr:uid="{00000000-0005-0000-0000-0000DD070000}"/>
    <cellStyle name="Vírgula 6 2 5" xfId="570" xr:uid="{00000000-0005-0000-0000-0000DE070000}"/>
    <cellStyle name="Vírgula 6 2 5 2" xfId="1632" xr:uid="{00000000-0005-0000-0000-0000DF070000}"/>
    <cellStyle name="Vírgula 6 2 6" xfId="924" xr:uid="{00000000-0005-0000-0000-0000E0070000}"/>
    <cellStyle name="Vírgula 6 2 6 2" xfId="1984" xr:uid="{00000000-0005-0000-0000-0000E1070000}"/>
    <cellStyle name="Vírgula 6 2 7" xfId="954" xr:uid="{00000000-0005-0000-0000-0000E2070000}"/>
    <cellStyle name="Vírgula 6 2 7 2" xfId="2014" xr:uid="{00000000-0005-0000-0000-0000E3070000}"/>
    <cellStyle name="Vírgula 6 2 8" xfId="1012" xr:uid="{00000000-0005-0000-0000-0000E4070000}"/>
    <cellStyle name="Vírgula 6 2 8 2" xfId="2072" xr:uid="{00000000-0005-0000-0000-0000E5070000}"/>
    <cellStyle name="Vírgula 6 2 9" xfId="1070" xr:uid="{00000000-0005-0000-0000-0000E6070000}"/>
    <cellStyle name="Vírgula 6 2 9 2" xfId="2130" xr:uid="{00000000-0005-0000-0000-0000E7070000}"/>
    <cellStyle name="Vírgula 6 3" xfId="106" xr:uid="{00000000-0005-0000-0000-0000E8070000}"/>
    <cellStyle name="Vírgula 6 3 2" xfId="375" xr:uid="{00000000-0005-0000-0000-0000E9070000}"/>
    <cellStyle name="Vírgula 6 3 2 2" xfId="794" xr:uid="{00000000-0005-0000-0000-0000EA070000}"/>
    <cellStyle name="Vírgula 6 3 2 2 2" xfId="1856" xr:uid="{00000000-0005-0000-0000-0000EB070000}"/>
    <cellStyle name="Vírgula 6 3 2 3" xfId="1437" xr:uid="{00000000-0005-0000-0000-0000EC070000}"/>
    <cellStyle name="Vírgula 6 3 3" xfId="282" xr:uid="{00000000-0005-0000-0000-0000ED070000}"/>
    <cellStyle name="Vírgula 6 3 3 2" xfId="701" xr:uid="{00000000-0005-0000-0000-0000EE070000}"/>
    <cellStyle name="Vírgula 6 3 3 2 2" xfId="1763" xr:uid="{00000000-0005-0000-0000-0000EF070000}"/>
    <cellStyle name="Vírgula 6 3 3 3" xfId="1344" xr:uid="{00000000-0005-0000-0000-0000F0070000}"/>
    <cellStyle name="Vírgula 6 3 4" xfId="525" xr:uid="{00000000-0005-0000-0000-0000F1070000}"/>
    <cellStyle name="Vírgula 6 3 4 2" xfId="1587" xr:uid="{00000000-0005-0000-0000-0000F2070000}"/>
    <cellStyle name="Vírgula 6 3 5" xfId="974" xr:uid="{00000000-0005-0000-0000-0000F3070000}"/>
    <cellStyle name="Vírgula 6 3 5 2" xfId="2034" xr:uid="{00000000-0005-0000-0000-0000F4070000}"/>
    <cellStyle name="Vírgula 6 3 6" xfId="1032" xr:uid="{00000000-0005-0000-0000-0000F5070000}"/>
    <cellStyle name="Vírgula 6 3 6 2" xfId="2092" xr:uid="{00000000-0005-0000-0000-0000F6070000}"/>
    <cellStyle name="Vírgula 6 3 7" xfId="1090" xr:uid="{00000000-0005-0000-0000-0000F7070000}"/>
    <cellStyle name="Vírgula 6 3 7 2" xfId="2150" xr:uid="{00000000-0005-0000-0000-0000F8070000}"/>
    <cellStyle name="Vírgula 6 3 8" xfId="1168" xr:uid="{00000000-0005-0000-0000-0000F9070000}"/>
    <cellStyle name="Vírgula 6 4" xfId="479" xr:uid="{00000000-0005-0000-0000-0000FA070000}"/>
    <cellStyle name="Vírgula 6 4 2" xfId="1541" xr:uid="{00000000-0005-0000-0000-0000FB070000}"/>
    <cellStyle name="Vírgula 6 5" xfId="916" xr:uid="{00000000-0005-0000-0000-0000FC070000}"/>
    <cellStyle name="Vírgula 6 5 2" xfId="1976" xr:uid="{00000000-0005-0000-0000-0000FD070000}"/>
    <cellStyle name="Vírgula 6 6" xfId="946" xr:uid="{00000000-0005-0000-0000-0000FE070000}"/>
    <cellStyle name="Vírgula 6 6 2" xfId="2006" xr:uid="{00000000-0005-0000-0000-0000FF070000}"/>
    <cellStyle name="Vírgula 6 7" xfId="1004" xr:uid="{00000000-0005-0000-0000-000000080000}"/>
    <cellStyle name="Vírgula 6 7 2" xfId="2064" xr:uid="{00000000-0005-0000-0000-000001080000}"/>
    <cellStyle name="Vírgula 6 8" xfId="1062" xr:uid="{00000000-0005-0000-0000-000002080000}"/>
    <cellStyle name="Vírgula 6 8 2" xfId="2122" xr:uid="{00000000-0005-0000-0000-000003080000}"/>
    <cellStyle name="Vírgula 6 9" xfId="1122" xr:uid="{00000000-0005-0000-0000-000004080000}"/>
    <cellStyle name="Vírgula 7" xfId="92" xr:uid="{00000000-0005-0000-0000-000005080000}"/>
    <cellStyle name="Vírgula 7 2" xfId="183" xr:uid="{00000000-0005-0000-0000-000006080000}"/>
    <cellStyle name="Vírgula 7 2 2" xfId="323" xr:uid="{00000000-0005-0000-0000-000007080000}"/>
    <cellStyle name="Vírgula 7 2 2 2" xfId="463" xr:uid="{00000000-0005-0000-0000-000008080000}"/>
    <cellStyle name="Vírgula 7 2 2 2 2" xfId="882" xr:uid="{00000000-0005-0000-0000-000009080000}"/>
    <cellStyle name="Vírgula 7 2 2 2 2 2" xfId="1944" xr:uid="{00000000-0005-0000-0000-00000A080000}"/>
    <cellStyle name="Vírgula 7 2 2 2 3" xfId="1525" xr:uid="{00000000-0005-0000-0000-00000B080000}"/>
    <cellStyle name="Vírgula 7 2 2 3" xfId="742" xr:uid="{00000000-0005-0000-0000-00000C080000}"/>
    <cellStyle name="Vírgula 7 2 2 3 2" xfId="1804" xr:uid="{00000000-0005-0000-0000-00000D080000}"/>
    <cellStyle name="Vírgula 7 2 2 4" xfId="1385" xr:uid="{00000000-0005-0000-0000-00000E080000}"/>
    <cellStyle name="Vírgula 7 2 3" xfId="452" xr:uid="{00000000-0005-0000-0000-00000F080000}"/>
    <cellStyle name="Vírgula 7 2 3 2" xfId="871" xr:uid="{00000000-0005-0000-0000-000010080000}"/>
    <cellStyle name="Vírgula 7 2 3 2 2" xfId="1933" xr:uid="{00000000-0005-0000-0000-000011080000}"/>
    <cellStyle name="Vírgula 7 2 3 3" xfId="1514" xr:uid="{00000000-0005-0000-0000-000012080000}"/>
    <cellStyle name="Vírgula 7 2 4" xfId="268" xr:uid="{00000000-0005-0000-0000-000013080000}"/>
    <cellStyle name="Vírgula 7 2 4 2" xfId="687" xr:uid="{00000000-0005-0000-0000-000014080000}"/>
    <cellStyle name="Vírgula 7 2 4 2 2" xfId="1749" xr:uid="{00000000-0005-0000-0000-000015080000}"/>
    <cellStyle name="Vírgula 7 2 4 3" xfId="1330" xr:uid="{00000000-0005-0000-0000-000016080000}"/>
    <cellStyle name="Vírgula 7 2 5" xfId="602" xr:uid="{00000000-0005-0000-0000-000017080000}"/>
    <cellStyle name="Vírgula 7 2 5 2" xfId="1664" xr:uid="{00000000-0005-0000-0000-000018080000}"/>
    <cellStyle name="Vírgula 7 2 6" xfId="982" xr:uid="{00000000-0005-0000-0000-000019080000}"/>
    <cellStyle name="Vírgula 7 2 6 2" xfId="2042" xr:uid="{00000000-0005-0000-0000-00001A080000}"/>
    <cellStyle name="Vírgula 7 2 7" xfId="1040" xr:uid="{00000000-0005-0000-0000-00001B080000}"/>
    <cellStyle name="Vírgula 7 2 7 2" xfId="2100" xr:uid="{00000000-0005-0000-0000-00001C080000}"/>
    <cellStyle name="Vírgula 7 2 8" xfId="1098" xr:uid="{00000000-0005-0000-0000-00001D080000}"/>
    <cellStyle name="Vírgula 7 2 8 2" xfId="2158" xr:uid="{00000000-0005-0000-0000-00001E080000}"/>
    <cellStyle name="Vírgula 7 2 9" xfId="1245" xr:uid="{00000000-0005-0000-0000-00001F080000}"/>
    <cellStyle name="Vírgula 7 3" xfId="138" xr:uid="{00000000-0005-0000-0000-000020080000}"/>
    <cellStyle name="Vírgula 7 3 2" xfId="407" xr:uid="{00000000-0005-0000-0000-000021080000}"/>
    <cellStyle name="Vírgula 7 3 2 2" xfId="826" xr:uid="{00000000-0005-0000-0000-000022080000}"/>
    <cellStyle name="Vírgula 7 3 2 2 2" xfId="1888" xr:uid="{00000000-0005-0000-0000-000023080000}"/>
    <cellStyle name="Vírgula 7 3 2 3" xfId="1469" xr:uid="{00000000-0005-0000-0000-000024080000}"/>
    <cellStyle name="Vírgula 7 3 3" xfId="314" xr:uid="{00000000-0005-0000-0000-000025080000}"/>
    <cellStyle name="Vírgula 7 3 3 2" xfId="733" xr:uid="{00000000-0005-0000-0000-000026080000}"/>
    <cellStyle name="Vírgula 7 3 3 2 2" xfId="1795" xr:uid="{00000000-0005-0000-0000-000027080000}"/>
    <cellStyle name="Vírgula 7 3 3 3" xfId="1376" xr:uid="{00000000-0005-0000-0000-000028080000}"/>
    <cellStyle name="Vírgula 7 3 4" xfId="557" xr:uid="{00000000-0005-0000-0000-000029080000}"/>
    <cellStyle name="Vírgula 7 3 4 2" xfId="1619" xr:uid="{00000000-0005-0000-0000-00002A080000}"/>
    <cellStyle name="Vírgula 7 3 5" xfId="1200" xr:uid="{00000000-0005-0000-0000-00002B080000}"/>
    <cellStyle name="Vírgula 7 4" xfId="511" xr:uid="{00000000-0005-0000-0000-00002C080000}"/>
    <cellStyle name="Vírgula 7 4 2" xfId="1573" xr:uid="{00000000-0005-0000-0000-00002D080000}"/>
    <cellStyle name="Vírgula 7 5" xfId="925" xr:uid="{00000000-0005-0000-0000-00002E080000}"/>
    <cellStyle name="Vírgula 7 5 2" xfId="1985" xr:uid="{00000000-0005-0000-0000-00002F080000}"/>
    <cellStyle name="Vírgula 7 6" xfId="955" xr:uid="{00000000-0005-0000-0000-000030080000}"/>
    <cellStyle name="Vírgula 7 6 2" xfId="2015" xr:uid="{00000000-0005-0000-0000-000031080000}"/>
    <cellStyle name="Vírgula 7 7" xfId="1013" xr:uid="{00000000-0005-0000-0000-000032080000}"/>
    <cellStyle name="Vírgula 7 7 2" xfId="2073" xr:uid="{00000000-0005-0000-0000-000033080000}"/>
    <cellStyle name="Vírgula 7 8" xfId="1071" xr:uid="{00000000-0005-0000-0000-000034080000}"/>
    <cellStyle name="Vírgula 7 8 2" xfId="2131" xr:uid="{00000000-0005-0000-0000-000035080000}"/>
    <cellStyle name="Vírgula 7 9" xfId="1154" xr:uid="{00000000-0005-0000-0000-000036080000}"/>
    <cellStyle name="Vírgula 8" xfId="180" xr:uid="{00000000-0005-0000-0000-000037080000}"/>
    <cellStyle name="Vírgula 8 10" xfId="1057" xr:uid="{00000000-0005-0000-0000-000038080000}"/>
    <cellStyle name="Vírgula 8 10 2" xfId="2117" xr:uid="{00000000-0005-0000-0000-000039080000}"/>
    <cellStyle name="Vírgula 8 11" xfId="1242" xr:uid="{00000000-0005-0000-0000-00003A080000}"/>
    <cellStyle name="Vírgula 8 2" xfId="449" xr:uid="{00000000-0005-0000-0000-00003B080000}"/>
    <cellStyle name="Vírgula 8 2 2" xfId="868" xr:uid="{00000000-0005-0000-0000-00003C080000}"/>
    <cellStyle name="Vírgula 8 2 2 2" xfId="976" xr:uid="{00000000-0005-0000-0000-00003D080000}"/>
    <cellStyle name="Vírgula 8 2 2 2 2" xfId="2036" xr:uid="{00000000-0005-0000-0000-00003E080000}"/>
    <cellStyle name="Vírgula 8 2 2 3" xfId="1034" xr:uid="{00000000-0005-0000-0000-00003F080000}"/>
    <cellStyle name="Vírgula 8 2 2 3 2" xfId="2094" xr:uid="{00000000-0005-0000-0000-000040080000}"/>
    <cellStyle name="Vírgula 8 2 2 4" xfId="1092" xr:uid="{00000000-0005-0000-0000-000041080000}"/>
    <cellStyle name="Vírgula 8 2 2 4 2" xfId="2152" xr:uid="{00000000-0005-0000-0000-000042080000}"/>
    <cellStyle name="Vírgula 8 2 2 5" xfId="1930" xr:uid="{00000000-0005-0000-0000-000043080000}"/>
    <cellStyle name="Vírgula 8 2 3" xfId="919" xr:uid="{00000000-0005-0000-0000-000044080000}"/>
    <cellStyle name="Vírgula 8 2 3 2" xfId="1979" xr:uid="{00000000-0005-0000-0000-000045080000}"/>
    <cellStyle name="Vírgula 8 2 4" xfId="949" xr:uid="{00000000-0005-0000-0000-000046080000}"/>
    <cellStyle name="Vírgula 8 2 4 2" xfId="2009" xr:uid="{00000000-0005-0000-0000-000047080000}"/>
    <cellStyle name="Vírgula 8 2 5" xfId="1007" xr:uid="{00000000-0005-0000-0000-000048080000}"/>
    <cellStyle name="Vírgula 8 2 5 2" xfId="2067" xr:uid="{00000000-0005-0000-0000-000049080000}"/>
    <cellStyle name="Vírgula 8 2 6" xfId="1065" xr:uid="{00000000-0005-0000-0000-00004A080000}"/>
    <cellStyle name="Vírgula 8 2 6 2" xfId="2125" xr:uid="{00000000-0005-0000-0000-00004B080000}"/>
    <cellStyle name="Vírgula 8 2 7" xfId="1511" xr:uid="{00000000-0005-0000-0000-00004C080000}"/>
    <cellStyle name="Vírgula 8 3" xfId="265" xr:uid="{00000000-0005-0000-0000-00004D080000}"/>
    <cellStyle name="Vírgula 8 3 2" xfId="684" xr:uid="{00000000-0005-0000-0000-00004E080000}"/>
    <cellStyle name="Vírgula 8 3 2 2" xfId="1746" xr:uid="{00000000-0005-0000-0000-00004F080000}"/>
    <cellStyle name="Vírgula 8 3 3" xfId="969" xr:uid="{00000000-0005-0000-0000-000050080000}"/>
    <cellStyle name="Vírgula 8 3 3 2" xfId="2029" xr:uid="{00000000-0005-0000-0000-000051080000}"/>
    <cellStyle name="Vírgula 8 3 4" xfId="1027" xr:uid="{00000000-0005-0000-0000-000052080000}"/>
    <cellStyle name="Vírgula 8 3 4 2" xfId="2087" xr:uid="{00000000-0005-0000-0000-000053080000}"/>
    <cellStyle name="Vírgula 8 3 5" xfId="1085" xr:uid="{00000000-0005-0000-0000-000054080000}"/>
    <cellStyle name="Vírgula 8 3 5 2" xfId="2145" xr:uid="{00000000-0005-0000-0000-000055080000}"/>
    <cellStyle name="Vírgula 8 3 6" xfId="1327" xr:uid="{00000000-0005-0000-0000-000056080000}"/>
    <cellStyle name="Vírgula 8 4" xfId="599" xr:uid="{00000000-0005-0000-0000-000057080000}"/>
    <cellStyle name="Vírgula 8 4 2" xfId="1661" xr:uid="{00000000-0005-0000-0000-000058080000}"/>
    <cellStyle name="Vírgula 8 5" xfId="894" xr:uid="{00000000-0005-0000-0000-000059080000}"/>
    <cellStyle name="Vírgula 8 5 2" xfId="1955" xr:uid="{00000000-0005-0000-0000-00005A080000}"/>
    <cellStyle name="Vírgula 8 6" xfId="901" xr:uid="{00000000-0005-0000-0000-00005B080000}"/>
    <cellStyle name="Vírgula 8 6 2" xfId="1962" xr:uid="{00000000-0005-0000-0000-00005C080000}"/>
    <cellStyle name="Vírgula 8 7" xfId="911" xr:uid="{00000000-0005-0000-0000-00005D080000}"/>
    <cellStyle name="Vírgula 8 7 2" xfId="1971" xr:uid="{00000000-0005-0000-0000-00005E080000}"/>
    <cellStyle name="Vírgula 8 8" xfId="941" xr:uid="{00000000-0005-0000-0000-00005F080000}"/>
    <cellStyle name="Vírgula 8 8 2" xfId="2001" xr:uid="{00000000-0005-0000-0000-000060080000}"/>
    <cellStyle name="Vírgula 8 9" xfId="999" xr:uid="{00000000-0005-0000-0000-000061080000}"/>
    <cellStyle name="Vírgula 8 9 2" xfId="2059" xr:uid="{00000000-0005-0000-0000-000062080000}"/>
    <cellStyle name="Vírgula 9" xfId="135" xr:uid="{00000000-0005-0000-0000-000063080000}"/>
    <cellStyle name="Vírgula 9 2" xfId="404" xr:uid="{00000000-0005-0000-0000-000064080000}"/>
    <cellStyle name="Vírgula 9 2 2" xfId="823" xr:uid="{00000000-0005-0000-0000-000065080000}"/>
    <cellStyle name="Vírgula 9 2 2 2" xfId="1885" xr:uid="{00000000-0005-0000-0000-000066080000}"/>
    <cellStyle name="Vírgula 9 2 3" xfId="983" xr:uid="{00000000-0005-0000-0000-000067080000}"/>
    <cellStyle name="Vírgula 9 2 3 2" xfId="2043" xr:uid="{00000000-0005-0000-0000-000068080000}"/>
    <cellStyle name="Vírgula 9 2 4" xfId="1041" xr:uid="{00000000-0005-0000-0000-000069080000}"/>
    <cellStyle name="Vírgula 9 2 4 2" xfId="2101" xr:uid="{00000000-0005-0000-0000-00006A080000}"/>
    <cellStyle name="Vírgula 9 2 5" xfId="1099" xr:uid="{00000000-0005-0000-0000-00006B080000}"/>
    <cellStyle name="Vírgula 9 2 5 2" xfId="2159" xr:uid="{00000000-0005-0000-0000-00006C080000}"/>
    <cellStyle name="Vírgula 9 2 6" xfId="1466" xr:uid="{00000000-0005-0000-0000-00006D080000}"/>
    <cellStyle name="Vírgula 9 3" xfId="311" xr:uid="{00000000-0005-0000-0000-00006E080000}"/>
    <cellStyle name="Vírgula 9 3 2" xfId="730" xr:uid="{00000000-0005-0000-0000-00006F080000}"/>
    <cellStyle name="Vírgula 9 3 2 2" xfId="1792" xr:uid="{00000000-0005-0000-0000-000070080000}"/>
    <cellStyle name="Vírgula 9 3 3" xfId="1373" xr:uid="{00000000-0005-0000-0000-000071080000}"/>
    <cellStyle name="Vírgula 9 4" xfId="554" xr:uid="{00000000-0005-0000-0000-000072080000}"/>
    <cellStyle name="Vírgula 9 4 2" xfId="1616" xr:uid="{00000000-0005-0000-0000-000073080000}"/>
    <cellStyle name="Vírgula 9 5" xfId="926" xr:uid="{00000000-0005-0000-0000-000074080000}"/>
    <cellStyle name="Vírgula 9 5 2" xfId="1986" xr:uid="{00000000-0005-0000-0000-000075080000}"/>
    <cellStyle name="Vírgula 9 6" xfId="956" xr:uid="{00000000-0005-0000-0000-000076080000}"/>
    <cellStyle name="Vírgula 9 6 2" xfId="2016" xr:uid="{00000000-0005-0000-0000-000077080000}"/>
    <cellStyle name="Vírgula 9 7" xfId="1014" xr:uid="{00000000-0005-0000-0000-000078080000}"/>
    <cellStyle name="Vírgula 9 7 2" xfId="2074" xr:uid="{00000000-0005-0000-0000-000079080000}"/>
    <cellStyle name="Vírgula 9 8" xfId="1072" xr:uid="{00000000-0005-0000-0000-00007A080000}"/>
    <cellStyle name="Vírgula 9 8 2" xfId="2132" xr:uid="{00000000-0005-0000-0000-00007B080000}"/>
    <cellStyle name="Vírgula 9 9" xfId="1197" xr:uid="{00000000-0005-0000-0000-00007C080000}"/>
  </cellStyles>
  <dxfs count="15">
    <dxf>
      <numFmt numFmtId="176" formatCode="[$-416]mmm\-yy;@"/>
    </dxf>
    <dxf>
      <numFmt numFmtId="176" formatCode="[$-416]mmm\-yy;@"/>
    </dxf>
    <dxf>
      <numFmt numFmtId="176" formatCode="[$-416]mmm\-yy;@"/>
    </dxf>
    <dxf>
      <numFmt numFmtId="176" formatCode="[$-416]mmm\-yy;@"/>
    </dxf>
    <dxf>
      <numFmt numFmtId="176" formatCode="[$-416]mmm\-yy;@"/>
    </dxf>
    <dxf>
      <numFmt numFmtId="176" formatCode="[$-416]mmm\-yy;@"/>
    </dxf>
    <dxf>
      <numFmt numFmtId="176" formatCode="[$-416]mmm\-yy;@"/>
    </dxf>
    <dxf>
      <numFmt numFmtId="176" formatCode="[$-416]mmm\-yy;@"/>
    </dxf>
    <dxf>
      <numFmt numFmtId="176" formatCode="[$-416]mmm\-yy;@"/>
    </dxf>
    <dxf>
      <numFmt numFmtId="176" formatCode="[$-416]mmm\-yy;@"/>
    </dxf>
    <dxf>
      <numFmt numFmtId="176" formatCode="[$-416]mmm\-yy;@"/>
    </dxf>
    <dxf>
      <numFmt numFmtId="176" formatCode="[$-416]mmm\-yy;@"/>
    </dxf>
    <dxf>
      <numFmt numFmtId="176" formatCode="[$-416]mmm\-yy;@"/>
    </dxf>
    <dxf>
      <numFmt numFmtId="176" formatCode="[$-416]mmm\-yy;@"/>
    </dxf>
    <dxf>
      <font>
        <b/>
        <i val="0"/>
        <strike val="0"/>
        <condense val="0"/>
        <extend val="0"/>
        <outline val="0"/>
        <shadow val="0"/>
        <u val="none"/>
        <vertAlign val="baseline"/>
        <sz val="10"/>
        <color auto="1"/>
        <name val="Arial"/>
        <family val="2"/>
        <scheme val="none"/>
      </font>
    </dxf>
  </dxfs>
  <tableStyles count="0" defaultTableStyle="TableStyleMedium2" defaultPivotStyle="PivotStyleLight16"/>
  <colors>
    <mruColors>
      <color rgb="FFFAB766"/>
      <color rgb="FFE6E9EB"/>
      <color rgb="FF70AD47"/>
      <color rgb="FF548235"/>
      <color rgb="FFFFCC99"/>
      <color rgb="FFFEF1E2"/>
      <color rgb="FFDCDCDC"/>
      <color rgb="FFF5F5F5"/>
      <color rgb="FF66FFFF"/>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63"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5.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hyperlink" Target="#DVA!A1"/><Relationship Id="rId3" Type="http://schemas.openxmlformats.org/officeDocument/2006/relationships/hyperlink" Target="#DRE!A1"/><Relationship Id="rId7" Type="http://schemas.openxmlformats.org/officeDocument/2006/relationships/hyperlink" Target="#LI!A1"/><Relationship Id="rId2" Type="http://schemas.openxmlformats.org/officeDocument/2006/relationships/hyperlink" Target="#'An&#225;lise R&#225;pida'!A1"/><Relationship Id="rId1" Type="http://schemas.openxmlformats.org/officeDocument/2006/relationships/image" Target="../media/image1.jpeg"/><Relationship Id="rId6" Type="http://schemas.openxmlformats.org/officeDocument/2006/relationships/hyperlink" Target="#Auto!A1"/><Relationship Id="rId5" Type="http://schemas.openxmlformats.org/officeDocument/2006/relationships/hyperlink" Target="#BP!A1"/><Relationship Id="rId10" Type="http://schemas.openxmlformats.org/officeDocument/2006/relationships/hyperlink" Target="#'Dados Mercado'!A1"/><Relationship Id="rId4" Type="http://schemas.openxmlformats.org/officeDocument/2006/relationships/hyperlink" Target="#DFC!A1"/><Relationship Id="rId9" Type="http://schemas.openxmlformats.org/officeDocument/2006/relationships/hyperlink" Target="#Consolidado!A1"/></Relationships>
</file>

<file path=xl/drawings/_rels/drawing1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Menu!A1"/></Relationships>
</file>

<file path=xl/drawings/_rels/drawing11.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Menu!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Menu!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6.jpeg"/><Relationship Id="rId1" Type="http://schemas.openxmlformats.org/officeDocument/2006/relationships/hyperlink" Target="#Menu!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2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2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0.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7.jpeg"/><Relationship Id="rId1" Type="http://schemas.openxmlformats.org/officeDocument/2006/relationships/hyperlink" Target="#Menu!A1"/></Relationships>
</file>

<file path=xl/drawings/_rels/drawing3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B6"/></Relationships>
</file>

<file path=xl/drawings/_rels/drawing4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15</xdr:col>
      <xdr:colOff>566850</xdr:colOff>
      <xdr:row>28</xdr:row>
      <xdr:rowOff>20386</xdr:rowOff>
    </xdr:to>
    <xdr:pic>
      <xdr:nvPicPr>
        <xdr:cNvPr id="16" name="Imagem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79" t="13150" r="474"/>
        <a:stretch/>
      </xdr:blipFill>
      <xdr:spPr>
        <a:xfrm>
          <a:off x="0" y="38100"/>
          <a:ext cx="13349400" cy="5703636"/>
        </a:xfrm>
        <a:prstGeom prst="rect">
          <a:avLst/>
        </a:prstGeom>
      </xdr:spPr>
    </xdr:pic>
    <xdr:clientData/>
  </xdr:twoCellAnchor>
  <xdr:twoCellAnchor>
    <xdr:from>
      <xdr:col>0</xdr:col>
      <xdr:colOff>123824</xdr:colOff>
      <xdr:row>3</xdr:row>
      <xdr:rowOff>20800</xdr:rowOff>
    </xdr:from>
    <xdr:to>
      <xdr:col>3</xdr:col>
      <xdr:colOff>304800</xdr:colOff>
      <xdr:row>4</xdr:row>
      <xdr:rowOff>166637</xdr:rowOff>
    </xdr:to>
    <xdr:sp macro="" textlink="'[1]Pagina inicial'!$E$2">
      <xdr:nvSpPr>
        <xdr:cNvPr id="6" name="CaixaDeTexto 5">
          <a:hlinkClick xmlns:r="http://schemas.openxmlformats.org/officeDocument/2006/relationships" r:id="rId2"/>
          <a:extLst>
            <a:ext uri="{FF2B5EF4-FFF2-40B4-BE49-F238E27FC236}">
              <a16:creationId xmlns:a16="http://schemas.microsoft.com/office/drawing/2014/main" id="{00000000-0008-0000-0000-000006000000}"/>
            </a:ext>
          </a:extLst>
        </xdr:cNvPr>
        <xdr:cNvSpPr txBox="1"/>
      </xdr:nvSpPr>
      <xdr:spPr>
        <a:xfrm>
          <a:off x="123824" y="620875"/>
          <a:ext cx="4876801" cy="345862"/>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4315F34-A531-47DB-AB3A-D67641ED37C5}" type="TxLink">
            <a:rPr lang="en-US" sz="1500" b="1" i="0" u="sng" strike="noStrike">
              <a:solidFill>
                <a:srgbClr val="ED7D31"/>
              </a:solidFill>
              <a:latin typeface="Times New Roman"/>
              <a:cs typeface="Times New Roman"/>
            </a:rPr>
            <a:pPr algn="l"/>
            <a:t>Análise Rápida</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4</xdr:row>
      <xdr:rowOff>162566</xdr:rowOff>
    </xdr:from>
    <xdr:to>
      <xdr:col>1</xdr:col>
      <xdr:colOff>3181350</xdr:colOff>
      <xdr:row>6</xdr:row>
      <xdr:rowOff>31917</xdr:rowOff>
    </xdr:to>
    <xdr:sp macro="" textlink="'[1]Pagina inicial'!$E$3">
      <xdr:nvSpPr>
        <xdr:cNvPr id="7" name="CaixaDeTexto 6">
          <a:hlinkClick xmlns:r="http://schemas.openxmlformats.org/officeDocument/2006/relationships" r:id="rId3"/>
          <a:extLst>
            <a:ext uri="{FF2B5EF4-FFF2-40B4-BE49-F238E27FC236}">
              <a16:creationId xmlns:a16="http://schemas.microsoft.com/office/drawing/2014/main" id="{00000000-0008-0000-0000-000007000000}"/>
            </a:ext>
          </a:extLst>
        </xdr:cNvPr>
        <xdr:cNvSpPr txBox="1"/>
      </xdr:nvSpPr>
      <xdr:spPr>
        <a:xfrm>
          <a:off x="95249" y="962666"/>
          <a:ext cx="3686176" cy="34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A147CEFF-4DF9-4F69-8F6A-A91D617BF502}" type="TxLink">
            <a:rPr lang="en-US" sz="1500" b="1" i="0" u="sng" strike="noStrike">
              <a:ln>
                <a:noFill/>
              </a:ln>
              <a:solidFill>
                <a:srgbClr val="ED7D31"/>
              </a:solidFill>
              <a:latin typeface="Times New Roman"/>
              <a:cs typeface="Times New Roman"/>
            </a:rPr>
            <a:pPr algn="l"/>
            <a:t>Demonstração de resultado - Consolidado</a:t>
          </a:fld>
          <a:endParaRPr lang="pt-BR" sz="1500" b="1" u="sng">
            <a:ln>
              <a:noFill/>
            </a:ln>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8</xdr:row>
      <xdr:rowOff>61475</xdr:rowOff>
    </xdr:from>
    <xdr:to>
      <xdr:col>3</xdr:col>
      <xdr:colOff>466724</xdr:colOff>
      <xdr:row>10</xdr:row>
      <xdr:rowOff>5606</xdr:rowOff>
    </xdr:to>
    <xdr:sp macro="" textlink="'[1]Pagina inicial'!$E$5">
      <xdr:nvSpPr>
        <xdr:cNvPr id="8" name="CaixaDeTexto 7">
          <a:hlinkClick xmlns:r="http://schemas.openxmlformats.org/officeDocument/2006/relationships" r:id="rId4"/>
          <a:extLst>
            <a:ext uri="{FF2B5EF4-FFF2-40B4-BE49-F238E27FC236}">
              <a16:creationId xmlns:a16="http://schemas.microsoft.com/office/drawing/2014/main" id="{00000000-0008-0000-0000-000008000000}"/>
            </a:ext>
          </a:extLst>
        </xdr:cNvPr>
        <xdr:cNvSpPr txBox="1"/>
      </xdr:nvSpPr>
      <xdr:spPr>
        <a:xfrm>
          <a:off x="95249" y="1737875"/>
          <a:ext cx="5067300"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4A138AC2-0E2F-4E57-ADDC-518773CDDE7B}" type="TxLink">
            <a:rPr lang="en-US" sz="1500" b="1" i="0" u="sng" strike="noStrike">
              <a:solidFill>
                <a:srgbClr val="ED7D31"/>
              </a:solidFill>
              <a:latin typeface="Times New Roman"/>
              <a:cs typeface="Times New Roman"/>
            </a:rPr>
            <a:pPr algn="l"/>
            <a:t>Demonstrativo de fluxo de caixa</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6</xdr:row>
      <xdr:rowOff>75471</xdr:rowOff>
    </xdr:from>
    <xdr:to>
      <xdr:col>1</xdr:col>
      <xdr:colOff>2484904</xdr:colOff>
      <xdr:row>8</xdr:row>
      <xdr:rowOff>17921</xdr:rowOff>
    </xdr:to>
    <xdr:sp macro="" textlink="'[1]Pagina inicial'!$E$4">
      <xdr:nvSpPr>
        <xdr:cNvPr id="9" name="CaixaDeTexto 8">
          <a:hlinkClick xmlns:r="http://schemas.openxmlformats.org/officeDocument/2006/relationships" r:id="rId5"/>
          <a:extLst>
            <a:ext uri="{FF2B5EF4-FFF2-40B4-BE49-F238E27FC236}">
              <a16:creationId xmlns:a16="http://schemas.microsoft.com/office/drawing/2014/main" id="{00000000-0008-0000-0000-000009000000}"/>
            </a:ext>
          </a:extLst>
        </xdr:cNvPr>
        <xdr:cNvSpPr txBox="1"/>
      </xdr:nvSpPr>
      <xdr:spPr>
        <a:xfrm>
          <a:off x="95249" y="1351821"/>
          <a:ext cx="2989730" cy="3425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B00A852-A48A-48BB-BBAC-9EB49A9F735F}" type="TxLink">
            <a:rPr lang="en-US" sz="1500" b="1" i="0" u="sng" strike="noStrike">
              <a:solidFill>
                <a:srgbClr val="ED7D31"/>
              </a:solidFill>
              <a:latin typeface="Times New Roman"/>
              <a:cs typeface="Times New Roman"/>
            </a:rPr>
            <a:pPr algn="l"/>
            <a:t>Balanço patrimonial </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10</xdr:row>
      <xdr:rowOff>49160</xdr:rowOff>
    </xdr:from>
    <xdr:to>
      <xdr:col>4</xdr:col>
      <xdr:colOff>104775</xdr:colOff>
      <xdr:row>11</xdr:row>
      <xdr:rowOff>193315</xdr:rowOff>
    </xdr:to>
    <xdr:sp macro="" textlink="'[1]Pagina inicial'!$E$6">
      <xdr:nvSpPr>
        <xdr:cNvPr id="11" name="CaixaDeTexto 10">
          <a:hlinkClick xmlns:r="http://schemas.openxmlformats.org/officeDocument/2006/relationships" r:id="rId6"/>
          <a:extLst>
            <a:ext uri="{FF2B5EF4-FFF2-40B4-BE49-F238E27FC236}">
              <a16:creationId xmlns:a16="http://schemas.microsoft.com/office/drawing/2014/main" id="{00000000-0008-0000-0000-00000B000000}"/>
            </a:ext>
          </a:extLst>
        </xdr:cNvPr>
        <xdr:cNvSpPr txBox="1"/>
      </xdr:nvSpPr>
      <xdr:spPr>
        <a:xfrm>
          <a:off x="95249" y="2125610"/>
          <a:ext cx="5772151" cy="34418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739E8D33-7B03-4340-9BBD-92783CAB9959}" type="TxLink">
            <a:rPr lang="en-US" sz="1500" b="1" i="0" u="sng" strike="noStrike">
              <a:solidFill>
                <a:srgbClr val="ED7D31"/>
              </a:solidFill>
              <a:latin typeface="Times New Roman"/>
              <a:cs typeface="Times New Roman"/>
            </a:rPr>
            <a:pPr algn="l"/>
            <a:t>Demonstração de resultado por segmentos - Automotivo</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12</xdr:row>
      <xdr:rowOff>36844</xdr:rowOff>
    </xdr:from>
    <xdr:to>
      <xdr:col>3</xdr:col>
      <xdr:colOff>685799</xdr:colOff>
      <xdr:row>13</xdr:row>
      <xdr:rowOff>179320</xdr:rowOff>
    </xdr:to>
    <xdr:sp macro="" textlink="'[1]Pagina inicial'!$E$7">
      <xdr:nvSpPr>
        <xdr:cNvPr id="12" name="CaixaDeTexto 11">
          <a:hlinkClick xmlns:r="http://schemas.openxmlformats.org/officeDocument/2006/relationships" r:id="rId7"/>
          <a:extLst>
            <a:ext uri="{FF2B5EF4-FFF2-40B4-BE49-F238E27FC236}">
              <a16:creationId xmlns:a16="http://schemas.microsoft.com/office/drawing/2014/main" id="{00000000-0008-0000-0000-00000C000000}"/>
            </a:ext>
          </a:extLst>
        </xdr:cNvPr>
        <xdr:cNvSpPr txBox="1"/>
      </xdr:nvSpPr>
      <xdr:spPr>
        <a:xfrm>
          <a:off x="95249" y="2513344"/>
          <a:ext cx="5286375" cy="34250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18213239-67FE-4B82-8854-4606314FAA3D}" type="TxLink">
            <a:rPr lang="en-US" sz="1500" b="1" i="0" u="sng" strike="noStrike">
              <a:solidFill>
                <a:srgbClr val="ED7D31"/>
              </a:solidFill>
              <a:latin typeface="Times New Roman"/>
              <a:cs typeface="Times New Roman"/>
            </a:rPr>
            <a:pPr algn="l"/>
            <a:t>Demonstração de resultado por segmentos - Logística integrada</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17</xdr:row>
      <xdr:rowOff>198244</xdr:rowOff>
    </xdr:from>
    <xdr:to>
      <xdr:col>1</xdr:col>
      <xdr:colOff>1409700</xdr:colOff>
      <xdr:row>19</xdr:row>
      <xdr:rowOff>18550</xdr:rowOff>
    </xdr:to>
    <xdr:sp macro="" textlink="'[1]Pagina inicial'!$E$10">
      <xdr:nvSpPr>
        <xdr:cNvPr id="13" name="CaixaDeTexto 12">
          <a:hlinkClick xmlns:r="http://schemas.openxmlformats.org/officeDocument/2006/relationships" r:id="rId8"/>
          <a:extLst>
            <a:ext uri="{FF2B5EF4-FFF2-40B4-BE49-F238E27FC236}">
              <a16:creationId xmlns:a16="http://schemas.microsoft.com/office/drawing/2014/main" id="{00000000-0008-0000-0000-00000D000000}"/>
            </a:ext>
          </a:extLst>
        </xdr:cNvPr>
        <xdr:cNvSpPr txBox="1"/>
      </xdr:nvSpPr>
      <xdr:spPr>
        <a:xfrm>
          <a:off x="95249" y="3674869"/>
          <a:ext cx="1914526"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2198D74-E5D7-4096-9A93-0EF32B1D85D8}" type="TxLink">
            <a:rPr lang="en-US" sz="1500" b="1" i="0" u="sng" strike="noStrike">
              <a:solidFill>
                <a:srgbClr val="ED7D31"/>
              </a:solidFill>
              <a:latin typeface="Times New Roman"/>
              <a:cs typeface="Times New Roman"/>
            </a:rPr>
            <a:pPr algn="l"/>
            <a:t>Indicadores</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104774</xdr:colOff>
      <xdr:row>14</xdr:row>
      <xdr:rowOff>22849</xdr:rowOff>
    </xdr:from>
    <xdr:to>
      <xdr:col>2</xdr:col>
      <xdr:colOff>647700</xdr:colOff>
      <xdr:row>15</xdr:row>
      <xdr:rowOff>167005</xdr:rowOff>
    </xdr:to>
    <xdr:sp macro="" textlink="'[1]Pagina inicial'!$E$8">
      <xdr:nvSpPr>
        <xdr:cNvPr id="14" name="CaixaDeTexto 13">
          <a:hlinkClick xmlns:r="http://schemas.openxmlformats.org/officeDocument/2006/relationships" r:id="rId9"/>
          <a:extLst>
            <a:ext uri="{FF2B5EF4-FFF2-40B4-BE49-F238E27FC236}">
              <a16:creationId xmlns:a16="http://schemas.microsoft.com/office/drawing/2014/main" id="{00000000-0008-0000-0000-00000E000000}"/>
            </a:ext>
          </a:extLst>
        </xdr:cNvPr>
        <xdr:cNvSpPr txBox="1"/>
      </xdr:nvSpPr>
      <xdr:spPr>
        <a:xfrm>
          <a:off x="104774" y="2899399"/>
          <a:ext cx="4562476"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274D910-1E30-462A-AAA2-799FB0A4DE6F}" type="TxLink">
            <a:rPr lang="en-US" sz="1500" b="1" i="0" u="sng" strike="noStrike">
              <a:solidFill>
                <a:srgbClr val="ED7D31"/>
              </a:solidFill>
              <a:latin typeface="Times New Roman"/>
              <a:cs typeface="Times New Roman"/>
            </a:rPr>
            <a:pPr algn="l"/>
            <a:t>Demonstração de resultado - Consolidado</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114299</xdr:colOff>
      <xdr:row>16</xdr:row>
      <xdr:rowOff>10534</xdr:rowOff>
    </xdr:from>
    <xdr:to>
      <xdr:col>1</xdr:col>
      <xdr:colOff>2695575</xdr:colOff>
      <xdr:row>17</xdr:row>
      <xdr:rowOff>154690</xdr:rowOff>
    </xdr:to>
    <xdr:sp macro="" textlink="'[1]Pagina inicial'!$E$9">
      <xdr:nvSpPr>
        <xdr:cNvPr id="15" name="CaixaDeTexto 14">
          <a:hlinkClick xmlns:r="http://schemas.openxmlformats.org/officeDocument/2006/relationships" r:id="rId10"/>
          <a:extLst>
            <a:ext uri="{FF2B5EF4-FFF2-40B4-BE49-F238E27FC236}">
              <a16:creationId xmlns:a16="http://schemas.microsoft.com/office/drawing/2014/main" id="{00000000-0008-0000-0000-00000F000000}"/>
            </a:ext>
          </a:extLst>
        </xdr:cNvPr>
        <xdr:cNvSpPr txBox="1"/>
      </xdr:nvSpPr>
      <xdr:spPr>
        <a:xfrm>
          <a:off x="114299" y="3287134"/>
          <a:ext cx="3181351"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02C7502-CD2B-4950-9103-D7E5423ECA49}" type="TxLink">
            <a:rPr lang="en-US" sz="1500" b="1" i="0" u="sng" strike="noStrike">
              <a:solidFill>
                <a:srgbClr val="ED7D31"/>
              </a:solidFill>
              <a:latin typeface="Times New Roman"/>
              <a:cs typeface="Times New Roman"/>
            </a:rPr>
            <a:pPr algn="l"/>
            <a:t>Dados do Mercado</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1</xdr:col>
      <xdr:colOff>2902323</xdr:colOff>
      <xdr:row>0</xdr:row>
      <xdr:rowOff>11468</xdr:rowOff>
    </xdr:from>
    <xdr:to>
      <xdr:col>8</xdr:col>
      <xdr:colOff>100853</xdr:colOff>
      <xdr:row>3</xdr:row>
      <xdr:rowOff>112057</xdr:rowOff>
    </xdr:to>
    <xdr:sp macro="" textlink="[1]RENAME!G47">
      <xdr:nvSpPr>
        <xdr:cNvPr id="10" name="CaixaDeTexto 9">
          <a:extLst>
            <a:ext uri="{FF2B5EF4-FFF2-40B4-BE49-F238E27FC236}">
              <a16:creationId xmlns:a16="http://schemas.microsoft.com/office/drawing/2014/main" id="{00000000-0008-0000-0000-00000A000000}"/>
            </a:ext>
          </a:extLst>
        </xdr:cNvPr>
        <xdr:cNvSpPr txBox="1"/>
      </xdr:nvSpPr>
      <xdr:spPr>
        <a:xfrm>
          <a:off x="3507441" y="1725968"/>
          <a:ext cx="4773706" cy="705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D6471E2A-C770-4C57-9069-BCA8789652AC}" type="TxLink">
            <a:rPr lang="en-US" sz="3600" b="1" i="0" u="none" strike="noStrike">
              <a:ln>
                <a:noFill/>
              </a:ln>
              <a:solidFill>
                <a:srgbClr val="F7931D"/>
              </a:solidFill>
              <a:latin typeface="Times New Roman"/>
              <a:cs typeface="Times New Roman"/>
            </a:rPr>
            <a:pPr algn="ctr"/>
            <a:t>Série Histórica</a:t>
          </a:fld>
          <a:endParaRPr lang="pt-BR" sz="3600" b="1">
            <a:ln>
              <a:noFill/>
            </a:ln>
            <a:solidFill>
              <a:srgbClr val="F7931D"/>
            </a:solidFill>
            <a:latin typeface="Lato Black" panose="020F0A02020204030203" pitchFamily="34"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3655050</xdr:colOff>
      <xdr:row>3</xdr:row>
      <xdr:rowOff>146100</xdr:rowOff>
    </xdr:to>
    <xdr:sp macro="" textlink="[1]RENAME!$G$55">
      <xdr:nvSpPr>
        <xdr:cNvPr id="2" name="CaixaDeTexto 99">
          <a:extLst>
            <a:ext uri="{FF2B5EF4-FFF2-40B4-BE49-F238E27FC236}">
              <a16:creationId xmlns:a16="http://schemas.microsoft.com/office/drawing/2014/main" id="{00000000-0008-0000-0900-000002000000}"/>
            </a:ext>
          </a:extLst>
        </xdr:cNvPr>
        <xdr:cNvSpPr txBox="1"/>
      </xdr:nvSpPr>
      <xdr:spPr>
        <a:xfrm>
          <a:off x="0" y="0"/>
          <a:ext cx="37503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8590EBA-0070-4299-8893-450A80BAA8CE}" type="TxLink">
            <a:rPr lang="en-US" sz="1600" b="1" i="0" u="none" strike="noStrike">
              <a:ln>
                <a:noFill/>
              </a:ln>
              <a:solidFill>
                <a:srgbClr val="F7931D"/>
              </a:solidFill>
              <a:latin typeface="Times New Roman"/>
              <a:cs typeface="Times New Roman"/>
            </a:rPr>
            <a:pPr algn="l"/>
            <a:t>Demonstração de valor agregado</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0900-000004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53424939-D7A5-4694-959F-F2D456ACDDB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51</xdr:col>
      <xdr:colOff>454025</xdr:colOff>
      <xdr:row>0</xdr:row>
      <xdr:rowOff>107950</xdr:rowOff>
    </xdr:from>
    <xdr:ext cx="910080" cy="419100"/>
    <xdr:pic>
      <xdr:nvPicPr>
        <xdr:cNvPr id="7" name="Imagem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029775" y="107950"/>
          <a:ext cx="910080" cy="4191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3</xdr:col>
      <xdr:colOff>0</xdr:colOff>
      <xdr:row>0</xdr:row>
      <xdr:rowOff>0</xdr:rowOff>
    </xdr:from>
    <xdr:ext cx="697370" cy="217560"/>
    <xdr:sp macro="" textlink="[1]RENAME!$E$13">
      <xdr:nvSpPr>
        <xdr:cNvPr id="3" name="CaixaDeTexto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047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xdr:from>
      <xdr:col>1</xdr:col>
      <xdr:colOff>342900</xdr:colOff>
      <xdr:row>0</xdr:row>
      <xdr:rowOff>28575</xdr:rowOff>
    </xdr:from>
    <xdr:to>
      <xdr:col>4</xdr:col>
      <xdr:colOff>235575</xdr:colOff>
      <xdr:row>3</xdr:row>
      <xdr:rowOff>57825</xdr:rowOff>
    </xdr:to>
    <xdr:sp macro="" textlink="[1]RENAME!$G$93">
      <xdr:nvSpPr>
        <xdr:cNvPr id="8" name="CaixaDeTexto 99">
          <a:extLst>
            <a:ext uri="{FF2B5EF4-FFF2-40B4-BE49-F238E27FC236}">
              <a16:creationId xmlns:a16="http://schemas.microsoft.com/office/drawing/2014/main" id="{00000000-0008-0000-0A00-000008000000}"/>
            </a:ext>
          </a:extLst>
        </xdr:cNvPr>
        <xdr:cNvSpPr txBox="1"/>
      </xdr:nvSpPr>
      <xdr:spPr>
        <a:xfrm>
          <a:off x="952500" y="28575"/>
          <a:ext cx="3321675" cy="448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97B4A92-F411-4D38-9464-6F8EF38A5CDE}" type="TxLink">
            <a:rPr lang="en-US" sz="1600" b="1" i="0" u="none" strike="noStrike">
              <a:ln>
                <a:noFill/>
              </a:ln>
              <a:solidFill>
                <a:schemeClr val="accent2"/>
              </a:solidFill>
              <a:latin typeface="Times New Roman" panose="02020603050405020304" pitchFamily="18" charset="0"/>
              <a:cs typeface="Times New Roman" panose="02020603050405020304" pitchFamily="18" charset="0"/>
            </a:rPr>
            <a:pPr algn="l"/>
            <a:t>Demonstração de Mutação do Patrimônio Líquido</a:t>
          </a:fld>
          <a:endParaRPr lang="pt-BR" sz="3200" b="1" baseline="0">
            <a:ln>
              <a:noFill/>
            </a:ln>
            <a:solidFill>
              <a:schemeClr val="accent2"/>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9" name="CaixaDeTexto 8">
          <a:hlinkClick xmlns:r="http://schemas.openxmlformats.org/officeDocument/2006/relationships" r:id="rId1"/>
          <a:extLst>
            <a:ext uri="{FF2B5EF4-FFF2-40B4-BE49-F238E27FC236}">
              <a16:creationId xmlns:a16="http://schemas.microsoft.com/office/drawing/2014/main" id="{00000000-0008-0000-0A00-000009000000}"/>
            </a:ext>
          </a:extLst>
        </xdr:cNvPr>
        <xdr:cNvSpPr txBox="1"/>
      </xdr:nvSpPr>
      <xdr:spPr>
        <a:xfrm>
          <a:off x="13239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18</xdr:col>
      <xdr:colOff>602192</xdr:colOff>
      <xdr:row>0</xdr:row>
      <xdr:rowOff>68792</xdr:rowOff>
    </xdr:from>
    <xdr:to>
      <xdr:col>20</xdr:col>
      <xdr:colOff>30606</xdr:colOff>
      <xdr:row>3</xdr:row>
      <xdr:rowOff>75810</xdr:rowOff>
    </xdr:to>
    <xdr:pic>
      <xdr:nvPicPr>
        <xdr:cNvPr id="10" name="Imagem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74792" y="68792"/>
          <a:ext cx="904788" cy="42611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9525</xdr:rowOff>
    </xdr:from>
    <xdr:to>
      <xdr:col>4</xdr:col>
      <xdr:colOff>9525</xdr:colOff>
      <xdr:row>3</xdr:row>
      <xdr:rowOff>0</xdr:rowOff>
    </xdr:to>
    <xdr:sp macro="" textlink="[1]RENAME!$G$56">
      <xdr:nvSpPr>
        <xdr:cNvPr id="13" name="CaixaDeTexto 99">
          <a:extLst>
            <a:ext uri="{FF2B5EF4-FFF2-40B4-BE49-F238E27FC236}">
              <a16:creationId xmlns:a16="http://schemas.microsoft.com/office/drawing/2014/main" id="{00000000-0008-0000-0B00-00000D000000}"/>
            </a:ext>
          </a:extLst>
        </xdr:cNvPr>
        <xdr:cNvSpPr txBox="1"/>
      </xdr:nvSpPr>
      <xdr:spPr>
        <a:xfrm>
          <a:off x="1219200" y="9525"/>
          <a:ext cx="28194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EFFC86B-2936-49C4-ADED-64628A65BD7A}" type="TxLink">
            <a:rPr lang="en-US" sz="1600" b="1" i="0" u="none" strike="noStrike">
              <a:ln>
                <a:noFill/>
              </a:ln>
              <a:solidFill>
                <a:srgbClr val="F7931D"/>
              </a:solidFill>
              <a:latin typeface="Times New Roman"/>
              <a:cs typeface="Times New Roman"/>
            </a:rPr>
            <a:pPr algn="l"/>
            <a:t>Dados Operacionais Divisão Automotiva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7" name="CaixaDeTexto 6">
          <a:hlinkClick xmlns:r="http://schemas.openxmlformats.org/officeDocument/2006/relationships" r:id="rId1"/>
          <a:extLst>
            <a:ext uri="{FF2B5EF4-FFF2-40B4-BE49-F238E27FC236}">
              <a16:creationId xmlns:a16="http://schemas.microsoft.com/office/drawing/2014/main" id="{00000000-0008-0000-0B00-000007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6774312-0B79-4E64-ABF7-A0703CC89743}"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60</xdr:col>
      <xdr:colOff>365676</xdr:colOff>
      <xdr:row>0</xdr:row>
      <xdr:rowOff>44450</xdr:rowOff>
    </xdr:from>
    <xdr:ext cx="910080" cy="426118"/>
    <xdr:pic>
      <xdr:nvPicPr>
        <xdr:cNvPr id="2" name="Imagem 1">
          <a:extLst>
            <a:ext uri="{FF2B5EF4-FFF2-40B4-BE49-F238E27FC236}">
              <a16:creationId xmlns:a16="http://schemas.microsoft.com/office/drawing/2014/main" id="{7B871993-A85B-4335-8CCF-141645012D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151601" y="44450"/>
          <a:ext cx="910080" cy="4261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0</xdr:colOff>
      <xdr:row>0</xdr:row>
      <xdr:rowOff>9525</xdr:rowOff>
    </xdr:from>
    <xdr:to>
      <xdr:col>6</xdr:col>
      <xdr:colOff>330825</xdr:colOff>
      <xdr:row>3</xdr:row>
      <xdr:rowOff>0</xdr:rowOff>
    </xdr:to>
    <xdr:sp macro="" textlink="[1]RENAME!$G$59">
      <xdr:nvSpPr>
        <xdr:cNvPr id="2" name="CaixaDeTexto 99">
          <a:extLst>
            <a:ext uri="{FF2B5EF4-FFF2-40B4-BE49-F238E27FC236}">
              <a16:creationId xmlns:a16="http://schemas.microsoft.com/office/drawing/2014/main" id="{00000000-0008-0000-0C00-000002000000}"/>
            </a:ext>
          </a:extLst>
        </xdr:cNvPr>
        <xdr:cNvSpPr txBox="1"/>
      </xdr:nvSpPr>
      <xdr:spPr>
        <a:xfrm>
          <a:off x="0" y="9525"/>
          <a:ext cx="282637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501D8D9-26C8-4AB8-85E0-BC56112F7DEB}" type="TxLink">
            <a:rPr lang="en-US" sz="1600" b="1" i="0" u="none" strike="noStrike">
              <a:ln>
                <a:noFill/>
              </a:ln>
              <a:solidFill>
                <a:srgbClr val="F7931D"/>
              </a:solidFill>
              <a:latin typeface="Times New Roman"/>
              <a:cs typeface="Times New Roman"/>
            </a:rPr>
            <a:pPr algn="l"/>
            <a:t>Dividendos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3" name="CaixaDeTexto 2">
          <a:hlinkClick xmlns:r="http://schemas.openxmlformats.org/officeDocument/2006/relationships" r:id="rId1"/>
          <a:extLst>
            <a:ext uri="{FF2B5EF4-FFF2-40B4-BE49-F238E27FC236}">
              <a16:creationId xmlns:a16="http://schemas.microsoft.com/office/drawing/2014/main" id="{00000000-0008-0000-0C00-000003000000}"/>
            </a:ext>
          </a:extLst>
        </xdr:cNvPr>
        <xdr:cNvSpPr txBox="1"/>
      </xdr:nvSpPr>
      <xdr:spPr>
        <a:xfrm>
          <a:off x="1016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F440AE7-B1EE-4D93-B1E5-FCAA2A01A41B}"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11</xdr:col>
      <xdr:colOff>514350</xdr:colOff>
      <xdr:row>0</xdr:row>
      <xdr:rowOff>38100</xdr:rowOff>
    </xdr:from>
    <xdr:ext cx="910080" cy="426118"/>
    <xdr:pic>
      <xdr:nvPicPr>
        <xdr:cNvPr id="4" name="Imagem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96150" y="38100"/>
          <a:ext cx="910080" cy="426118"/>
        </a:xfrm>
        <a:prstGeom prst="rect">
          <a:avLst/>
        </a:prstGeom>
      </xdr:spPr>
    </xdr:pic>
    <xdr:clientData/>
  </xdr:oneCellAnchor>
  <xdr:oneCellAnchor>
    <xdr:from>
      <xdr:col>11</xdr:col>
      <xdr:colOff>514350</xdr:colOff>
      <xdr:row>0</xdr:row>
      <xdr:rowOff>38100</xdr:rowOff>
    </xdr:from>
    <xdr:ext cx="910080" cy="426118"/>
    <xdr:pic>
      <xdr:nvPicPr>
        <xdr:cNvPr id="5" name="Imagem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96150" y="38100"/>
          <a:ext cx="910080" cy="4261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0D00-000004000000}"/>
            </a:ext>
          </a:extLst>
        </xdr:cNvPr>
        <xdr:cNvSpPr txBox="1"/>
      </xdr:nvSpPr>
      <xdr:spPr>
        <a:xfrm>
          <a:off x="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F9C9C69-955B-48A4-96CC-9FC9F776983D}"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xdr:from>
      <xdr:col>0</xdr:col>
      <xdr:colOff>1</xdr:colOff>
      <xdr:row>0</xdr:row>
      <xdr:rowOff>76200</xdr:rowOff>
    </xdr:from>
    <xdr:to>
      <xdr:col>23</xdr:col>
      <xdr:colOff>120651</xdr:colOff>
      <xdr:row>3</xdr:row>
      <xdr:rowOff>69900</xdr:rowOff>
    </xdr:to>
    <xdr:sp macro="" textlink="[1]RENAME!$G$58">
      <xdr:nvSpPr>
        <xdr:cNvPr id="2" name="CaixaDeTexto 99">
          <a:extLst>
            <a:ext uri="{FF2B5EF4-FFF2-40B4-BE49-F238E27FC236}">
              <a16:creationId xmlns:a16="http://schemas.microsoft.com/office/drawing/2014/main" id="{00000000-0008-0000-0D00-000002000000}"/>
            </a:ext>
          </a:extLst>
        </xdr:cNvPr>
        <xdr:cNvSpPr txBox="1"/>
      </xdr:nvSpPr>
      <xdr:spPr>
        <a:xfrm>
          <a:off x="1" y="76200"/>
          <a:ext cx="14674850" cy="539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117A359-470D-41BD-96EB-0BE4E3222B75}" type="TxLink">
            <a:rPr lang="en-US" sz="1600" b="1" i="0" u="none" strike="noStrike">
              <a:ln>
                <a:noFill/>
              </a:ln>
              <a:solidFill>
                <a:srgbClr val="F7931D"/>
              </a:solidFill>
              <a:latin typeface="Times New Roman"/>
              <a:cs typeface="Times New Roman"/>
            </a:rPr>
            <a:pPr algn="l"/>
            <a:t>Estimativas (em R$ milhão)</a:t>
          </a:fld>
          <a:endParaRPr lang="pt-BR" sz="1600" b="1" i="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124</xdr:col>
      <xdr:colOff>342096</xdr:colOff>
      <xdr:row>0</xdr:row>
      <xdr:rowOff>57150</xdr:rowOff>
    </xdr:from>
    <xdr:ext cx="910080" cy="426118"/>
    <xdr:pic>
      <xdr:nvPicPr>
        <xdr:cNvPr id="5" name="Imagem 4">
          <a:extLst>
            <a:ext uri="{FF2B5EF4-FFF2-40B4-BE49-F238E27FC236}">
              <a16:creationId xmlns:a16="http://schemas.microsoft.com/office/drawing/2014/main" id="{19315827-1087-42CF-BBB5-34D6348D98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666046" y="53340"/>
          <a:ext cx="910080" cy="42611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2</xdr:row>
      <xdr:rowOff>38100</xdr:rowOff>
    </xdr:from>
    <xdr:ext cx="610290" cy="285750"/>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610290" cy="28575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xdr:from>
      <xdr:col>1</xdr:col>
      <xdr:colOff>3114675</xdr:colOff>
      <xdr:row>0</xdr:row>
      <xdr:rowOff>9525</xdr:rowOff>
    </xdr:from>
    <xdr:to>
      <xdr:col>3</xdr:col>
      <xdr:colOff>3133725</xdr:colOff>
      <xdr:row>3</xdr:row>
      <xdr:rowOff>0</xdr:rowOff>
    </xdr:to>
    <xdr:sp macro="" textlink="[1]RENAME!$G$60">
      <xdr:nvSpPr>
        <xdr:cNvPr id="6" name="CaixaDeTexto 99">
          <a:extLst>
            <a:ext uri="{FF2B5EF4-FFF2-40B4-BE49-F238E27FC236}">
              <a16:creationId xmlns:a16="http://schemas.microsoft.com/office/drawing/2014/main" id="{00000000-0008-0000-0F00-000006000000}"/>
            </a:ext>
          </a:extLst>
        </xdr:cNvPr>
        <xdr:cNvSpPr txBox="1"/>
      </xdr:nvSpPr>
      <xdr:spPr>
        <a:xfrm>
          <a:off x="6534150" y="9525"/>
          <a:ext cx="32480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202B607-E589-461A-87A6-E36570460FFC}" type="TxLink">
            <a:rPr lang="en-US" sz="1600" b="1" i="0" u="none" strike="noStrike">
              <a:ln>
                <a:noFill/>
              </a:ln>
              <a:solidFill>
                <a:srgbClr val="F7931D"/>
              </a:solidFill>
              <a:latin typeface="Times New Roman"/>
              <a:cs typeface="Times New Roman"/>
            </a:rPr>
            <a:pPr algn="l"/>
            <a:t>Anexos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0F00-000004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E82B801-7ACD-406B-BFB6-CE821D451689}"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32</xdr:col>
      <xdr:colOff>285750</xdr:colOff>
      <xdr:row>0</xdr:row>
      <xdr:rowOff>142875</xdr:rowOff>
    </xdr:from>
    <xdr:ext cx="910080" cy="419100"/>
    <xdr:pic>
      <xdr:nvPicPr>
        <xdr:cNvPr id="3" name="Imagem 2">
          <a:extLst>
            <a:ext uri="{FF2B5EF4-FFF2-40B4-BE49-F238E27FC236}">
              <a16:creationId xmlns:a16="http://schemas.microsoft.com/office/drawing/2014/main" id="{C9E0E325-0B05-4C70-9F01-84A14E9E0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583775" y="142875"/>
          <a:ext cx="910080" cy="4191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3655050</xdr:colOff>
      <xdr:row>3</xdr:row>
      <xdr:rowOff>146100</xdr:rowOff>
    </xdr:to>
    <xdr:sp macro="" textlink="[1]RENAME!$G$62">
      <xdr:nvSpPr>
        <xdr:cNvPr id="4" name="CaixaDeTexto 99">
          <a:extLst>
            <a:ext uri="{FF2B5EF4-FFF2-40B4-BE49-F238E27FC236}">
              <a16:creationId xmlns:a16="http://schemas.microsoft.com/office/drawing/2014/main" id="{00000000-0008-0000-10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4044DBD-3DD1-43B0-B99F-0C57D59547AC}" type="TxLink">
            <a:rPr lang="en-US" sz="1600" b="1" i="0" u="none" strike="noStrike">
              <a:ln>
                <a:noFill/>
              </a:ln>
              <a:solidFill>
                <a:srgbClr val="F7931D"/>
              </a:solidFill>
              <a:latin typeface="Times New Roman"/>
              <a:cs typeface="Times New Roman"/>
            </a:rPr>
            <a:pPr algn="l"/>
            <a:t>Análise de Sensibilidade</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0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DFD0165-492E-40CA-B330-0C5CD6783258}"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51</xdr:col>
      <xdr:colOff>664845</xdr:colOff>
      <xdr:row>0</xdr:row>
      <xdr:rowOff>32385</xdr:rowOff>
    </xdr:from>
    <xdr:ext cx="910080" cy="426118"/>
    <xdr:pic>
      <xdr:nvPicPr>
        <xdr:cNvPr id="6" name="Imagem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371395" y="32385"/>
          <a:ext cx="910080" cy="42611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2057400</xdr:colOff>
      <xdr:row>3</xdr:row>
      <xdr:rowOff>146533</xdr:rowOff>
    </xdr:to>
    <xdr:sp macro="" textlink="[1]RENAME!$G$61">
      <xdr:nvSpPr>
        <xdr:cNvPr id="3" name="CaixaDeTexto 99">
          <a:extLst>
            <a:ext uri="{FF2B5EF4-FFF2-40B4-BE49-F238E27FC236}">
              <a16:creationId xmlns:a16="http://schemas.microsoft.com/office/drawing/2014/main" id="{00000000-0008-0000-1100-000003000000}"/>
            </a:ext>
          </a:extLst>
        </xdr:cNvPr>
        <xdr:cNvSpPr txBox="1"/>
      </xdr:nvSpPr>
      <xdr:spPr>
        <a:xfrm>
          <a:off x="0" y="0"/>
          <a:ext cx="2152650" cy="565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89AEF0A-53EF-4978-9960-047064377264}" type="TxLink">
            <a:rPr lang="en-US" sz="1600" b="1" i="0" u="none" strike="noStrike">
              <a:ln>
                <a:noFill/>
              </a:ln>
              <a:solidFill>
                <a:srgbClr val="F7931D"/>
              </a:solidFill>
              <a:latin typeface="Times New Roman"/>
              <a:cs typeface="Times New Roman"/>
            </a:rPr>
            <a:pPr algn="l"/>
            <a:t>Risco de liquidez</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100-000005000000}"/>
            </a:ext>
          </a:extLst>
        </xdr:cNvPr>
        <xdr:cNvSpPr txBox="1"/>
      </xdr:nvSpPr>
      <xdr:spPr>
        <a:xfrm>
          <a:off x="1016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9777F7D-9C32-4142-84A5-BC4B3AF81800}"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7</xdr:col>
      <xdr:colOff>514350</xdr:colOff>
      <xdr:row>0</xdr:row>
      <xdr:rowOff>66675</xdr:rowOff>
    </xdr:from>
    <xdr:to>
      <xdr:col>8</xdr:col>
      <xdr:colOff>710055</xdr:colOff>
      <xdr:row>3</xdr:row>
      <xdr:rowOff>73693</xdr:rowOff>
    </xdr:to>
    <xdr:pic>
      <xdr:nvPicPr>
        <xdr:cNvPr id="6" name="Imagem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05400" y="66675"/>
          <a:ext cx="910080" cy="426118"/>
        </a:xfrm>
        <a:prstGeom prst="rect">
          <a:avLst/>
        </a:prstGeom>
      </xdr:spPr>
    </xdr:pic>
    <xdr:clientData/>
  </xdr:twoCellAnchor>
  <xdr:oneCellAnchor>
    <xdr:from>
      <xdr:col>14</xdr:col>
      <xdr:colOff>485775</xdr:colOff>
      <xdr:row>0</xdr:row>
      <xdr:rowOff>66675</xdr:rowOff>
    </xdr:from>
    <xdr:ext cx="910080" cy="426118"/>
    <xdr:pic>
      <xdr:nvPicPr>
        <xdr:cNvPr id="8" name="Imagem 7">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91675" y="66675"/>
          <a:ext cx="910080" cy="42611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xdr:from>
      <xdr:col>0</xdr:col>
      <xdr:colOff>9524</xdr:colOff>
      <xdr:row>0</xdr:row>
      <xdr:rowOff>0</xdr:rowOff>
    </xdr:from>
    <xdr:to>
      <xdr:col>6</xdr:col>
      <xdr:colOff>38100</xdr:colOff>
      <xdr:row>3</xdr:row>
      <xdr:rowOff>146100</xdr:rowOff>
    </xdr:to>
    <xdr:sp macro="" textlink="[1]RENAME!$G$63">
      <xdr:nvSpPr>
        <xdr:cNvPr id="4" name="CaixaDeTexto 99">
          <a:extLst>
            <a:ext uri="{FF2B5EF4-FFF2-40B4-BE49-F238E27FC236}">
              <a16:creationId xmlns:a16="http://schemas.microsoft.com/office/drawing/2014/main" id="{00000000-0008-0000-1200-000004000000}"/>
            </a:ext>
          </a:extLst>
        </xdr:cNvPr>
        <xdr:cNvSpPr txBox="1"/>
      </xdr:nvSpPr>
      <xdr:spPr>
        <a:xfrm>
          <a:off x="9524" y="0"/>
          <a:ext cx="3781426"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4571083-CDA9-4733-9ABC-9DF0BA42F3A3}" type="TxLink">
            <a:rPr lang="en-US" sz="1600" b="1" i="0" u="none" strike="noStrike">
              <a:ln>
                <a:noFill/>
              </a:ln>
              <a:solidFill>
                <a:srgbClr val="F7931D"/>
              </a:solidFill>
              <a:latin typeface="Times New Roman"/>
              <a:cs typeface="Times New Roman"/>
            </a:rPr>
            <a:pPr algn="l"/>
            <a:t>Gestão de Capital</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9525</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200-000005000000}"/>
            </a:ext>
          </a:extLst>
        </xdr:cNvPr>
        <xdr:cNvSpPr txBox="1"/>
      </xdr:nvSpPr>
      <xdr:spPr>
        <a:xfrm>
          <a:off x="13239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642AB5D-B55A-40DF-A848-5CFB07A3A39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53</xdr:col>
      <xdr:colOff>384175</xdr:colOff>
      <xdr:row>0</xdr:row>
      <xdr:rowOff>88900</xdr:rowOff>
    </xdr:from>
    <xdr:ext cx="910080" cy="426118"/>
    <xdr:pic>
      <xdr:nvPicPr>
        <xdr:cNvPr id="7" name="Imagem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79375" y="88900"/>
          <a:ext cx="910080" cy="42611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342900</xdr:colOff>
      <xdr:row>5</xdr:row>
      <xdr:rowOff>19050</xdr:rowOff>
    </xdr:to>
    <xdr:sp macro="" textlink="[1]RENAME!$G$96">
      <xdr:nvSpPr>
        <xdr:cNvPr id="2" name="CaixaDeTexto 99">
          <a:extLst>
            <a:ext uri="{FF2B5EF4-FFF2-40B4-BE49-F238E27FC236}">
              <a16:creationId xmlns:a16="http://schemas.microsoft.com/office/drawing/2014/main" id="{00000000-0008-0000-0100-000002000000}"/>
            </a:ext>
          </a:extLst>
        </xdr:cNvPr>
        <xdr:cNvSpPr txBox="1"/>
      </xdr:nvSpPr>
      <xdr:spPr>
        <a:xfrm>
          <a:off x="0" y="0"/>
          <a:ext cx="2143125"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C994242-F7F9-491E-ABFB-40E4163B03C1}" type="TxLink">
            <a:rPr lang="en-US" sz="1600" b="1" i="0" u="none" strike="noStrike">
              <a:ln>
                <a:noFill/>
              </a:ln>
              <a:solidFill>
                <a:srgbClr val="F7931D"/>
              </a:solidFill>
              <a:latin typeface="Times New Roman"/>
              <a:cs typeface="Times New Roman"/>
            </a:rPr>
            <a:pPr algn="l"/>
            <a:t>Análise Rápida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twoCellAnchor>
    <xdr:from>
      <xdr:col>4</xdr:col>
      <xdr:colOff>28576</xdr:colOff>
      <xdr:row>0</xdr:row>
      <xdr:rowOff>28575</xdr:rowOff>
    </xdr:from>
    <xdr:to>
      <xdr:col>13</xdr:col>
      <xdr:colOff>676275</xdr:colOff>
      <xdr:row>3</xdr:row>
      <xdr:rowOff>123826</xdr:rowOff>
    </xdr:to>
    <xdr:sp macro="" textlink="[1]RENAME!$G$97">
      <xdr:nvSpPr>
        <xdr:cNvPr id="4" name="CaixaDeTexto 99">
          <a:extLst>
            <a:ext uri="{FF2B5EF4-FFF2-40B4-BE49-F238E27FC236}">
              <a16:creationId xmlns:a16="http://schemas.microsoft.com/office/drawing/2014/main" id="{00000000-0008-0000-0100-000004000000}"/>
            </a:ext>
          </a:extLst>
        </xdr:cNvPr>
        <xdr:cNvSpPr txBox="1"/>
      </xdr:nvSpPr>
      <xdr:spPr>
        <a:xfrm>
          <a:off x="1828801" y="28575"/>
          <a:ext cx="3686174" cy="523876"/>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20EE20D-3B19-4347-B377-0F13FB59F856}" type="TxLink">
            <a:rPr lang="en-US" sz="900" b="1" i="0" u="sng" strike="noStrike">
              <a:ln>
                <a:noFill/>
              </a:ln>
              <a:solidFill>
                <a:srgbClr val="000000"/>
              </a:solidFill>
              <a:latin typeface="Arial"/>
              <a:cs typeface="Arial"/>
            </a:rPr>
            <a:pPr algn="l"/>
            <a:t>Esta aba considera os números de DRE ajustados por eventos não recorrentes </a:t>
          </a:fld>
          <a:endParaRPr lang="pt-BR" sz="1400" b="1" u="sng">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49</xdr:col>
      <xdr:colOff>370644</xdr:colOff>
      <xdr:row>0</xdr:row>
      <xdr:rowOff>82550</xdr:rowOff>
    </xdr:from>
    <xdr:ext cx="910080" cy="426118"/>
    <xdr:pic>
      <xdr:nvPicPr>
        <xdr:cNvPr id="3" name="Imagem 2">
          <a:extLst>
            <a:ext uri="{FF2B5EF4-FFF2-40B4-BE49-F238E27FC236}">
              <a16:creationId xmlns:a16="http://schemas.microsoft.com/office/drawing/2014/main" id="{2C3B2F99-DE0D-43F5-9787-ED1F7E5C1B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89019" y="82550"/>
          <a:ext cx="910080" cy="426118"/>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xdr:from>
      <xdr:col>2</xdr:col>
      <xdr:colOff>9524</xdr:colOff>
      <xdr:row>0</xdr:row>
      <xdr:rowOff>9525</xdr:rowOff>
    </xdr:from>
    <xdr:to>
      <xdr:col>6</xdr:col>
      <xdr:colOff>283199</xdr:colOff>
      <xdr:row>3</xdr:row>
      <xdr:rowOff>155625</xdr:rowOff>
    </xdr:to>
    <xdr:sp macro="" textlink="[1]RENAME!$G$64">
      <xdr:nvSpPr>
        <xdr:cNvPr id="4" name="CaixaDeTexto 99">
          <a:extLst>
            <a:ext uri="{FF2B5EF4-FFF2-40B4-BE49-F238E27FC236}">
              <a16:creationId xmlns:a16="http://schemas.microsoft.com/office/drawing/2014/main" id="{00000000-0008-0000-1300-000004000000}"/>
            </a:ext>
          </a:extLst>
        </xdr:cNvPr>
        <xdr:cNvSpPr txBox="1"/>
      </xdr:nvSpPr>
      <xdr:spPr>
        <a:xfrm>
          <a:off x="9524" y="9525"/>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2F0CA2C-CCF6-4FDC-A76F-16753924A469}" type="TxLink">
            <a:rPr lang="en-US" sz="1600" b="1" i="0" u="none" strike="noStrike">
              <a:ln>
                <a:noFill/>
              </a:ln>
              <a:solidFill>
                <a:srgbClr val="F7931D"/>
              </a:solidFill>
              <a:latin typeface="Times New Roman"/>
              <a:cs typeface="Times New Roman"/>
            </a:rPr>
            <a:pPr algn="l"/>
            <a:t>Caixa e equivalente de caixa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3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7568485-BD78-4E0D-8461-621B3B6E4ED5}"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53</xdr:col>
      <xdr:colOff>390525</xdr:colOff>
      <xdr:row>0</xdr:row>
      <xdr:rowOff>76835</xdr:rowOff>
    </xdr:from>
    <xdr:ext cx="910080" cy="426118"/>
    <xdr:pic>
      <xdr:nvPicPr>
        <xdr:cNvPr id="7" name="Imagem 6">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99975" y="76835"/>
          <a:ext cx="910080" cy="42611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xdr:from>
      <xdr:col>2</xdr:col>
      <xdr:colOff>0</xdr:colOff>
      <xdr:row>0</xdr:row>
      <xdr:rowOff>0</xdr:rowOff>
    </xdr:from>
    <xdr:to>
      <xdr:col>4</xdr:col>
      <xdr:colOff>102225</xdr:colOff>
      <xdr:row>3</xdr:row>
      <xdr:rowOff>146100</xdr:rowOff>
    </xdr:to>
    <xdr:sp macro="" textlink="[1]RENAME!$G$65">
      <xdr:nvSpPr>
        <xdr:cNvPr id="4" name="CaixaDeTexto 99">
          <a:extLst>
            <a:ext uri="{FF2B5EF4-FFF2-40B4-BE49-F238E27FC236}">
              <a16:creationId xmlns:a16="http://schemas.microsoft.com/office/drawing/2014/main" id="{00000000-0008-0000-14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FA97AA6-989B-4F56-A916-723620D591CE}" type="TxLink">
            <a:rPr lang="en-US" sz="1600" b="1" i="0" u="none" strike="noStrike">
              <a:ln>
                <a:noFill/>
              </a:ln>
              <a:solidFill>
                <a:srgbClr val="F7931D"/>
              </a:solidFill>
              <a:latin typeface="Times New Roman"/>
              <a:cs typeface="Times New Roman"/>
            </a:rPr>
            <a:pPr algn="l"/>
            <a:t>Contas a receber</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4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AD01398-F431-4202-A699-E6CB4D65EDAD}"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53</xdr:col>
      <xdr:colOff>414020</xdr:colOff>
      <xdr:row>0</xdr:row>
      <xdr:rowOff>82550</xdr:rowOff>
    </xdr:from>
    <xdr:ext cx="910080" cy="426118"/>
    <xdr:pic>
      <xdr:nvPicPr>
        <xdr:cNvPr id="7" name="Imagem 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571295" y="82550"/>
          <a:ext cx="910080" cy="42611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xdr:from>
      <xdr:col>2</xdr:col>
      <xdr:colOff>0</xdr:colOff>
      <xdr:row>0</xdr:row>
      <xdr:rowOff>0</xdr:rowOff>
    </xdr:from>
    <xdr:to>
      <xdr:col>4</xdr:col>
      <xdr:colOff>359400</xdr:colOff>
      <xdr:row>3</xdr:row>
      <xdr:rowOff>146100</xdr:rowOff>
    </xdr:to>
    <xdr:sp macro="" textlink="[1]RENAME!$G$66">
      <xdr:nvSpPr>
        <xdr:cNvPr id="4" name="CaixaDeTexto 99">
          <a:extLst>
            <a:ext uri="{FF2B5EF4-FFF2-40B4-BE49-F238E27FC236}">
              <a16:creationId xmlns:a16="http://schemas.microsoft.com/office/drawing/2014/main" id="{00000000-0008-0000-15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D6BBA46-77B0-4A0E-A78E-906773D98A02}" type="TxLink">
            <a:rPr lang="en-US" sz="1600" b="1" i="0" u="none" strike="noStrike">
              <a:ln>
                <a:noFill/>
              </a:ln>
              <a:solidFill>
                <a:srgbClr val="F7931D"/>
              </a:solidFill>
              <a:latin typeface="Times New Roman"/>
              <a:cs typeface="Times New Roman"/>
            </a:rPr>
            <a:pPr algn="l"/>
            <a:t>Contas a receber - Aging</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5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B36E4B0-6B6C-4F9B-A2D5-09D716A4BCE3}"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52</xdr:col>
      <xdr:colOff>304165</xdr:colOff>
      <xdr:row>0</xdr:row>
      <xdr:rowOff>161925</xdr:rowOff>
    </xdr:from>
    <xdr:ext cx="910080" cy="426118"/>
    <xdr:pic>
      <xdr:nvPicPr>
        <xdr:cNvPr id="7" name="Imagem 6">
          <a:extLst>
            <a:ext uri="{FF2B5EF4-FFF2-40B4-BE49-F238E27FC236}">
              <a16:creationId xmlns:a16="http://schemas.microsoft.com/office/drawing/2014/main" id="{00000000-0008-0000-15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56115" y="161925"/>
          <a:ext cx="910080" cy="42611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xdr:from>
      <xdr:col>2</xdr:col>
      <xdr:colOff>0</xdr:colOff>
      <xdr:row>0</xdr:row>
      <xdr:rowOff>0</xdr:rowOff>
    </xdr:from>
    <xdr:to>
      <xdr:col>5</xdr:col>
      <xdr:colOff>378450</xdr:colOff>
      <xdr:row>3</xdr:row>
      <xdr:rowOff>146100</xdr:rowOff>
    </xdr:to>
    <xdr:sp macro="" textlink="[1]RENAME!$G$67">
      <xdr:nvSpPr>
        <xdr:cNvPr id="4" name="CaixaDeTexto 99">
          <a:extLst>
            <a:ext uri="{FF2B5EF4-FFF2-40B4-BE49-F238E27FC236}">
              <a16:creationId xmlns:a16="http://schemas.microsoft.com/office/drawing/2014/main" id="{00000000-0008-0000-16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2F2F8976-8993-4FE7-BA0B-058142905BA1}" type="TxLink">
            <a:rPr lang="en-US" sz="1600" b="1" i="0" u="none" strike="noStrike">
              <a:ln>
                <a:noFill/>
              </a:ln>
              <a:solidFill>
                <a:srgbClr val="F7931D"/>
              </a:solidFill>
              <a:latin typeface="Times New Roman"/>
              <a:cs typeface="Times New Roman"/>
            </a:rPr>
            <a:pPr algn="l"/>
            <a:t>Contas a receber mov PDD</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6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BAAF9B7-D51F-47E9-A209-DB0011FEC093}"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53</xdr:col>
      <xdr:colOff>296545</xdr:colOff>
      <xdr:row>0</xdr:row>
      <xdr:rowOff>66675</xdr:rowOff>
    </xdr:from>
    <xdr:ext cx="910080" cy="426118"/>
    <xdr:pic>
      <xdr:nvPicPr>
        <xdr:cNvPr id="6" name="Imagem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377120" y="66675"/>
          <a:ext cx="910080" cy="42611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714374</xdr:colOff>
      <xdr:row>3</xdr:row>
      <xdr:rowOff>146100</xdr:rowOff>
    </xdr:to>
    <xdr:sp macro="" textlink="[1]RENAME!$G$68">
      <xdr:nvSpPr>
        <xdr:cNvPr id="4" name="CaixaDeTexto 99">
          <a:extLst>
            <a:ext uri="{FF2B5EF4-FFF2-40B4-BE49-F238E27FC236}">
              <a16:creationId xmlns:a16="http://schemas.microsoft.com/office/drawing/2014/main" id="{00000000-0008-0000-1700-000004000000}"/>
            </a:ext>
          </a:extLst>
        </xdr:cNvPr>
        <xdr:cNvSpPr txBox="1"/>
      </xdr:nvSpPr>
      <xdr:spPr>
        <a:xfrm>
          <a:off x="0" y="0"/>
          <a:ext cx="3038474"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DFD62C9-15CF-42B1-92BE-2741C797966C}" type="TxLink">
            <a:rPr lang="en-US" sz="1600" b="1" i="0" u="none" strike="noStrike">
              <a:ln>
                <a:noFill/>
              </a:ln>
              <a:solidFill>
                <a:srgbClr val="F7931D"/>
              </a:solidFill>
              <a:latin typeface="Times New Roman"/>
              <a:cs typeface="Times New Roman"/>
            </a:rPr>
            <a:pPr algn="l"/>
            <a:t>Demais contas a receber</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7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ECBDC9C-105E-45EF-889E-97DECC4EFC9B}"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53</xdr:col>
      <xdr:colOff>314325</xdr:colOff>
      <xdr:row>0</xdr:row>
      <xdr:rowOff>74930</xdr:rowOff>
    </xdr:from>
    <xdr:ext cx="910080" cy="426118"/>
    <xdr:pic>
      <xdr:nvPicPr>
        <xdr:cNvPr id="6" name="Imagem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00" y="74930"/>
          <a:ext cx="910080" cy="42611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twoCellAnchor>
    <xdr:from>
      <xdr:col>2</xdr:col>
      <xdr:colOff>0</xdr:colOff>
      <xdr:row>0</xdr:row>
      <xdr:rowOff>19050</xdr:rowOff>
    </xdr:from>
    <xdr:to>
      <xdr:col>4</xdr:col>
      <xdr:colOff>47625</xdr:colOff>
      <xdr:row>4</xdr:row>
      <xdr:rowOff>3225</xdr:rowOff>
    </xdr:to>
    <xdr:sp macro="" textlink="[1]RENAME!$G$69">
      <xdr:nvSpPr>
        <xdr:cNvPr id="4" name="CaixaDeTexto 99">
          <a:extLst>
            <a:ext uri="{FF2B5EF4-FFF2-40B4-BE49-F238E27FC236}">
              <a16:creationId xmlns:a16="http://schemas.microsoft.com/office/drawing/2014/main" id="{00000000-0008-0000-1800-000004000000}"/>
            </a:ext>
          </a:extLst>
        </xdr:cNvPr>
        <xdr:cNvSpPr txBox="1"/>
      </xdr:nvSpPr>
      <xdr:spPr>
        <a:xfrm>
          <a:off x="1219200" y="19050"/>
          <a:ext cx="26670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3750E241-3609-44B7-9BB9-C48D00DE27E7}" type="TxLink">
            <a:rPr lang="en-US" sz="1600" b="1" i="0" u="none" strike="noStrike">
              <a:ln>
                <a:noFill/>
              </a:ln>
              <a:solidFill>
                <a:srgbClr val="F7931D"/>
              </a:solidFill>
              <a:latin typeface="Times New Roman"/>
              <a:cs typeface="Times New Roman"/>
            </a:rPr>
            <a:pPr algn="l"/>
            <a:t>Impostos a recuperar</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8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883ED3E-AF89-4861-854C-390E01641A97}"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53</xdr:col>
      <xdr:colOff>278765</xdr:colOff>
      <xdr:row>0</xdr:row>
      <xdr:rowOff>130810</xdr:rowOff>
    </xdr:from>
    <xdr:ext cx="910080" cy="426118"/>
    <xdr:pic>
      <xdr:nvPicPr>
        <xdr:cNvPr id="6" name="Imagem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054540" y="130810"/>
          <a:ext cx="910080" cy="42611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twoCellAnchor>
    <xdr:from>
      <xdr:col>2</xdr:col>
      <xdr:colOff>9525</xdr:colOff>
      <xdr:row>0</xdr:row>
      <xdr:rowOff>0</xdr:rowOff>
    </xdr:from>
    <xdr:to>
      <xdr:col>4</xdr:col>
      <xdr:colOff>102225</xdr:colOff>
      <xdr:row>3</xdr:row>
      <xdr:rowOff>146100</xdr:rowOff>
    </xdr:to>
    <xdr:sp macro="" textlink="[1]RENAME!$G$70">
      <xdr:nvSpPr>
        <xdr:cNvPr id="4" name="CaixaDeTexto 99">
          <a:extLst>
            <a:ext uri="{FF2B5EF4-FFF2-40B4-BE49-F238E27FC236}">
              <a16:creationId xmlns:a16="http://schemas.microsoft.com/office/drawing/2014/main" id="{00000000-0008-0000-1900-000004000000}"/>
            </a:ext>
          </a:extLst>
        </xdr:cNvPr>
        <xdr:cNvSpPr txBox="1"/>
      </xdr:nvSpPr>
      <xdr:spPr>
        <a:xfrm>
          <a:off x="9525"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068A9B8-434C-4DB5-A638-3ADA40FD6A3F}" type="TxLink">
            <a:rPr lang="en-US" sz="1600" b="1" i="0" u="none" strike="noStrike">
              <a:ln>
                <a:noFill/>
              </a:ln>
              <a:solidFill>
                <a:srgbClr val="F7931D"/>
              </a:solidFill>
              <a:latin typeface="Times New Roman"/>
              <a:cs typeface="Times New Roman"/>
            </a:rPr>
            <a:pPr algn="l"/>
            <a:t>Investimentos A</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9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CEFF0C5-9BEE-4223-B245-B0073ECFF699}"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155</xdr:col>
      <xdr:colOff>317500</xdr:colOff>
      <xdr:row>0</xdr:row>
      <xdr:rowOff>88900</xdr:rowOff>
    </xdr:from>
    <xdr:ext cx="910080" cy="426118"/>
    <xdr:pic>
      <xdr:nvPicPr>
        <xdr:cNvPr id="7" name="Imagem 6">
          <a:extLst>
            <a:ext uri="{FF2B5EF4-FFF2-40B4-BE49-F238E27FC236}">
              <a16:creationId xmlns:a16="http://schemas.microsoft.com/office/drawing/2014/main" id="{00000000-0008-0000-19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045000" y="88900"/>
          <a:ext cx="910080" cy="42611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twoCellAnchor>
    <xdr:from>
      <xdr:col>2</xdr:col>
      <xdr:colOff>0</xdr:colOff>
      <xdr:row>0</xdr:row>
      <xdr:rowOff>0</xdr:rowOff>
    </xdr:from>
    <xdr:to>
      <xdr:col>4</xdr:col>
      <xdr:colOff>502275</xdr:colOff>
      <xdr:row>3</xdr:row>
      <xdr:rowOff>29250</xdr:rowOff>
    </xdr:to>
    <xdr:sp macro="" textlink="[1]RENAME!$G$71">
      <xdr:nvSpPr>
        <xdr:cNvPr id="4" name="CaixaDeTexto 99">
          <a:extLst>
            <a:ext uri="{FF2B5EF4-FFF2-40B4-BE49-F238E27FC236}">
              <a16:creationId xmlns:a16="http://schemas.microsoft.com/office/drawing/2014/main" id="{00000000-0008-0000-1A00-000004000000}"/>
            </a:ext>
          </a:extLst>
        </xdr:cNvPr>
        <xdr:cNvSpPr txBox="1"/>
      </xdr:nvSpPr>
      <xdr:spPr>
        <a:xfrm>
          <a:off x="0" y="0"/>
          <a:ext cx="4093200" cy="543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478ED3D-6852-4D89-A764-94377044B12C}" type="TxLink">
            <a:rPr lang="en-US" sz="1600" b="1" i="0" u="none" strike="noStrike">
              <a:ln>
                <a:noFill/>
              </a:ln>
              <a:solidFill>
                <a:srgbClr val="F7931D"/>
              </a:solidFill>
              <a:latin typeface="Times New Roman"/>
              <a:cs typeface="Times New Roman"/>
            </a:rPr>
            <a:pPr algn="l"/>
            <a:t>Investimentos C</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6" name="CaixaDeTexto 5">
          <a:hlinkClick xmlns:r="http://schemas.openxmlformats.org/officeDocument/2006/relationships" r:id="rId1"/>
          <a:extLst>
            <a:ext uri="{FF2B5EF4-FFF2-40B4-BE49-F238E27FC236}">
              <a16:creationId xmlns:a16="http://schemas.microsoft.com/office/drawing/2014/main" id="{00000000-0008-0000-1A00-000006000000}"/>
            </a:ext>
          </a:extLst>
        </xdr:cNvPr>
        <xdr:cNvSpPr txBox="1"/>
      </xdr:nvSpPr>
      <xdr:spPr>
        <a:xfrm>
          <a:off x="13239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25</xdr:col>
      <xdr:colOff>298824</xdr:colOff>
      <xdr:row>0</xdr:row>
      <xdr:rowOff>65928</xdr:rowOff>
    </xdr:from>
    <xdr:to>
      <xdr:col>27</xdr:col>
      <xdr:colOff>1472</xdr:colOff>
      <xdr:row>3</xdr:row>
      <xdr:rowOff>76681</xdr:rowOff>
    </xdr:to>
    <xdr:pic>
      <xdr:nvPicPr>
        <xdr:cNvPr id="7" name="Imagem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647706" y="65928"/>
          <a:ext cx="950236" cy="42163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2</xdr:col>
      <xdr:colOff>0</xdr:colOff>
      <xdr:row>0</xdr:row>
      <xdr:rowOff>0</xdr:rowOff>
    </xdr:from>
    <xdr:to>
      <xdr:col>7</xdr:col>
      <xdr:colOff>187950</xdr:colOff>
      <xdr:row>3</xdr:row>
      <xdr:rowOff>146100</xdr:rowOff>
    </xdr:to>
    <xdr:sp macro="" textlink="[1]RENAME!$G$72">
      <xdr:nvSpPr>
        <xdr:cNvPr id="4" name="CaixaDeTexto 99">
          <a:extLst>
            <a:ext uri="{FF2B5EF4-FFF2-40B4-BE49-F238E27FC236}">
              <a16:creationId xmlns:a16="http://schemas.microsoft.com/office/drawing/2014/main" id="{00000000-0008-0000-1B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31686F23-DE83-4A3C-83F1-9FD03EEA4962}" type="TxLink">
            <a:rPr lang="en-US" sz="1600" b="1" i="0" u="none" strike="noStrike">
              <a:ln>
                <a:noFill/>
              </a:ln>
              <a:solidFill>
                <a:srgbClr val="F7931D"/>
              </a:solidFill>
              <a:latin typeface="Times New Roman"/>
              <a:cs typeface="Times New Roman"/>
            </a:rPr>
            <a:pPr algn="l"/>
            <a:t>Investimentos 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B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AF6DB107-8BDA-4E18-9419-47F92E7DB062}"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9</xdr:col>
      <xdr:colOff>462446</xdr:colOff>
      <xdr:row>0</xdr:row>
      <xdr:rowOff>65571</xdr:rowOff>
    </xdr:from>
    <xdr:to>
      <xdr:col>10</xdr:col>
      <xdr:colOff>705638</xdr:colOff>
      <xdr:row>3</xdr:row>
      <xdr:rowOff>71209</xdr:rowOff>
    </xdr:to>
    <xdr:pic>
      <xdr:nvPicPr>
        <xdr:cNvPr id="7" name="Imagem 6">
          <a:extLst>
            <a:ext uri="{FF2B5EF4-FFF2-40B4-BE49-F238E27FC236}">
              <a16:creationId xmlns:a16="http://schemas.microsoft.com/office/drawing/2014/main" id="{00000000-0008-0000-1B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25435" y="65571"/>
          <a:ext cx="995529" cy="41976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2</xdr:col>
      <xdr:colOff>1</xdr:colOff>
      <xdr:row>0</xdr:row>
      <xdr:rowOff>0</xdr:rowOff>
    </xdr:from>
    <xdr:to>
      <xdr:col>3</xdr:col>
      <xdr:colOff>2060511</xdr:colOff>
      <xdr:row>3</xdr:row>
      <xdr:rowOff>146100</xdr:rowOff>
    </xdr:to>
    <xdr:sp macro="" textlink="[1]RENAME!$G$73">
      <xdr:nvSpPr>
        <xdr:cNvPr id="6" name="CaixaDeTexto 99">
          <a:extLst>
            <a:ext uri="{FF2B5EF4-FFF2-40B4-BE49-F238E27FC236}">
              <a16:creationId xmlns:a16="http://schemas.microsoft.com/office/drawing/2014/main" id="{00000000-0008-0000-1C00-000006000000}"/>
            </a:ext>
          </a:extLst>
        </xdr:cNvPr>
        <xdr:cNvSpPr txBox="1"/>
      </xdr:nvSpPr>
      <xdr:spPr>
        <a:xfrm>
          <a:off x="1224644" y="0"/>
          <a:ext cx="2157704" cy="573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6A11E7F-F810-45E9-BD15-6C4AA66416FE}" type="TxLink">
            <a:rPr lang="en-US" sz="1600" b="1" i="0" u="none" strike="noStrike">
              <a:ln>
                <a:noFill/>
              </a:ln>
              <a:solidFill>
                <a:srgbClr val="F7931D"/>
              </a:solidFill>
              <a:latin typeface="Times New Roman"/>
              <a:cs typeface="Times New Roman"/>
            </a:rPr>
            <a:pPr algn="l"/>
            <a:t>Investimentos F</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1C00-000004000000}"/>
            </a:ext>
          </a:extLst>
        </xdr:cNvPr>
        <xdr:cNvSpPr txBox="1"/>
      </xdr:nvSpPr>
      <xdr:spPr>
        <a:xfrm>
          <a:off x="1321837"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5FC8F8C-A845-444F-9B92-5027C945C3E8}"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53</xdr:col>
      <xdr:colOff>505843</xdr:colOff>
      <xdr:row>0</xdr:row>
      <xdr:rowOff>58669</xdr:rowOff>
    </xdr:from>
    <xdr:ext cx="910080" cy="426118"/>
    <xdr:pic>
      <xdr:nvPicPr>
        <xdr:cNvPr id="5" name="Imagem 4">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380251" y="58669"/>
          <a:ext cx="910080" cy="4261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3655050</xdr:colOff>
      <xdr:row>3</xdr:row>
      <xdr:rowOff>146100</xdr:rowOff>
    </xdr:to>
    <xdr:sp macro="" textlink="[1]RENAME!$G$62">
      <xdr:nvSpPr>
        <xdr:cNvPr id="2" name="CaixaDeTexto 99">
          <a:extLst>
            <a:ext uri="{FF2B5EF4-FFF2-40B4-BE49-F238E27FC236}">
              <a16:creationId xmlns:a16="http://schemas.microsoft.com/office/drawing/2014/main" id="{00000000-0008-0000-0200-000002000000}"/>
            </a:ext>
          </a:extLst>
        </xdr:cNvPr>
        <xdr:cNvSpPr txBox="1"/>
      </xdr:nvSpPr>
      <xdr:spPr>
        <a:xfrm>
          <a:off x="0" y="0"/>
          <a:ext cx="2435850"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4044DBD-3DD1-43B0-B99F-0C57D59547AC}" type="TxLink">
            <a:rPr lang="en-US" sz="1600" b="1" i="0" u="none" strike="noStrike">
              <a:ln>
                <a:noFill/>
              </a:ln>
              <a:solidFill>
                <a:srgbClr val="F7931D"/>
              </a:solidFill>
              <a:latin typeface="Times New Roman"/>
              <a:cs typeface="Times New Roman"/>
            </a:rPr>
            <a:pPr algn="l"/>
            <a:t>Análise de Sensibilidade</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3" name="CaixaDeTexto 2">
          <a:hlinkClick xmlns:r="http://schemas.openxmlformats.org/officeDocument/2006/relationships" r:id="rId1"/>
          <a:extLst>
            <a:ext uri="{FF2B5EF4-FFF2-40B4-BE49-F238E27FC236}">
              <a16:creationId xmlns:a16="http://schemas.microsoft.com/office/drawing/2014/main" id="{00000000-0008-0000-0200-000003000000}"/>
            </a:ext>
          </a:extLst>
        </xdr:cNvPr>
        <xdr:cNvSpPr txBox="1"/>
      </xdr:nvSpPr>
      <xdr:spPr>
        <a:xfrm>
          <a:off x="18288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DFD0165-492E-40CA-B330-0C5CD6783258}"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72</xdr:col>
      <xdr:colOff>599440</xdr:colOff>
      <xdr:row>1</xdr:row>
      <xdr:rowOff>10160</xdr:rowOff>
    </xdr:from>
    <xdr:ext cx="910080" cy="426118"/>
    <xdr:pic>
      <xdr:nvPicPr>
        <xdr:cNvPr id="5" name="Imagem 4">
          <a:extLst>
            <a:ext uri="{FF2B5EF4-FFF2-40B4-BE49-F238E27FC236}">
              <a16:creationId xmlns:a16="http://schemas.microsoft.com/office/drawing/2014/main" id="{04B7EB28-A0DA-42BC-AF17-C79EFE67A4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234840" y="105410"/>
          <a:ext cx="910080" cy="426118"/>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34847</xdr:rowOff>
    </xdr:from>
    <xdr:to>
      <xdr:col>8</xdr:col>
      <xdr:colOff>238125</xdr:colOff>
      <xdr:row>4</xdr:row>
      <xdr:rowOff>18325</xdr:rowOff>
    </xdr:to>
    <xdr:sp macro="" textlink="[1]RENAME!$G$74">
      <xdr:nvSpPr>
        <xdr:cNvPr id="4" name="CaixaDeTexto 99">
          <a:extLst>
            <a:ext uri="{FF2B5EF4-FFF2-40B4-BE49-F238E27FC236}">
              <a16:creationId xmlns:a16="http://schemas.microsoft.com/office/drawing/2014/main" id="{00000000-0008-0000-1D00-000004000000}"/>
            </a:ext>
          </a:extLst>
        </xdr:cNvPr>
        <xdr:cNvSpPr txBox="1"/>
      </xdr:nvSpPr>
      <xdr:spPr>
        <a:xfrm>
          <a:off x="0" y="34847"/>
          <a:ext cx="4419832" cy="564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C1186BD-4321-413C-84F9-664D6056741E}" type="TxLink">
            <a:rPr lang="en-US" sz="1600" b="1" i="0" u="none" strike="noStrike">
              <a:ln>
                <a:noFill/>
              </a:ln>
              <a:solidFill>
                <a:srgbClr val="F7931D"/>
              </a:solidFill>
              <a:latin typeface="Times New Roman"/>
              <a:cs typeface="Times New Roman"/>
            </a:rPr>
            <a:pPr algn="l"/>
            <a:t>Adições ao imobilizado/intangível - CAPEX</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D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0349E4A-8C5C-4E85-9AF3-0FA6E342C8F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13</xdr:col>
      <xdr:colOff>514350</xdr:colOff>
      <xdr:row>0</xdr:row>
      <xdr:rowOff>57150</xdr:rowOff>
    </xdr:from>
    <xdr:to>
      <xdr:col>14</xdr:col>
      <xdr:colOff>702435</xdr:colOff>
      <xdr:row>3</xdr:row>
      <xdr:rowOff>56548</xdr:rowOff>
    </xdr:to>
    <xdr:pic>
      <xdr:nvPicPr>
        <xdr:cNvPr id="7" name="Imagem 6">
          <a:extLst>
            <a:ext uri="{FF2B5EF4-FFF2-40B4-BE49-F238E27FC236}">
              <a16:creationId xmlns:a16="http://schemas.microsoft.com/office/drawing/2014/main" id="{00000000-0008-0000-1D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91550" y="57150"/>
          <a:ext cx="910080" cy="426118"/>
        </a:xfrm>
        <a:prstGeom prst="rect">
          <a:avLst/>
        </a:prstGeom>
      </xdr:spPr>
    </xdr:pic>
    <xdr:clientData/>
  </xdr:twoCellAnchor>
  <xdr:twoCellAnchor editAs="oneCell">
    <xdr:from>
      <xdr:col>26</xdr:col>
      <xdr:colOff>495300</xdr:colOff>
      <xdr:row>0</xdr:row>
      <xdr:rowOff>57150</xdr:rowOff>
    </xdr:from>
    <xdr:to>
      <xdr:col>27</xdr:col>
      <xdr:colOff>706245</xdr:colOff>
      <xdr:row>3</xdr:row>
      <xdr:rowOff>56548</xdr:rowOff>
    </xdr:to>
    <xdr:pic>
      <xdr:nvPicPr>
        <xdr:cNvPr id="6" name="Imagem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592800" y="57150"/>
          <a:ext cx="910080" cy="426118"/>
        </a:xfrm>
        <a:prstGeom prst="rect">
          <a:avLst/>
        </a:prstGeom>
      </xdr:spPr>
    </xdr:pic>
    <xdr:clientData/>
  </xdr:twoCellAnchor>
  <xdr:twoCellAnchor>
    <xdr:from>
      <xdr:col>15</xdr:col>
      <xdr:colOff>114300</xdr:colOff>
      <xdr:row>0</xdr:row>
      <xdr:rowOff>0</xdr:rowOff>
    </xdr:from>
    <xdr:to>
      <xdr:col>19</xdr:col>
      <xdr:colOff>779550</xdr:colOff>
      <xdr:row>3</xdr:row>
      <xdr:rowOff>146100</xdr:rowOff>
    </xdr:to>
    <xdr:sp macro="" textlink="[1]RENAME!$G$75">
      <xdr:nvSpPr>
        <xdr:cNvPr id="8" name="CaixaDeTexto 99">
          <a:extLst>
            <a:ext uri="{FF2B5EF4-FFF2-40B4-BE49-F238E27FC236}">
              <a16:creationId xmlns:a16="http://schemas.microsoft.com/office/drawing/2014/main" id="{00000000-0008-0000-1D00-000008000000}"/>
            </a:ext>
          </a:extLst>
        </xdr:cNvPr>
        <xdr:cNvSpPr txBox="1"/>
      </xdr:nvSpPr>
      <xdr:spPr>
        <a:xfrm>
          <a:off x="8905875" y="0"/>
          <a:ext cx="381802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B8305D9-2B6C-4566-AFBC-86ADD7FD4B61}" type="TxLink">
            <a:rPr lang="en-US" sz="1600" b="1" i="0" u="none" strike="noStrike">
              <a:ln>
                <a:noFill/>
              </a:ln>
              <a:solidFill>
                <a:srgbClr val="F7931D"/>
              </a:solidFill>
              <a:latin typeface="Times New Roman"/>
              <a:cs typeface="Times New Roman"/>
            </a:rPr>
            <a:pPr algn="l"/>
            <a:t>Saldo imobilizado/intangível líquido</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xdr:col>
      <xdr:colOff>0</xdr:colOff>
      <xdr:row>0</xdr:row>
      <xdr:rowOff>0</xdr:rowOff>
    </xdr:from>
    <xdr:to>
      <xdr:col>5</xdr:col>
      <xdr:colOff>152400</xdr:colOff>
      <xdr:row>3</xdr:row>
      <xdr:rowOff>146100</xdr:rowOff>
    </xdr:to>
    <xdr:sp macro="" textlink="[1]RENAME!$G$77">
      <xdr:nvSpPr>
        <xdr:cNvPr id="4" name="CaixaDeTexto 99">
          <a:extLst>
            <a:ext uri="{FF2B5EF4-FFF2-40B4-BE49-F238E27FC236}">
              <a16:creationId xmlns:a16="http://schemas.microsoft.com/office/drawing/2014/main" id="{00000000-0008-0000-1E00-000004000000}"/>
            </a:ext>
          </a:extLst>
        </xdr:cNvPr>
        <xdr:cNvSpPr txBox="1"/>
      </xdr:nvSpPr>
      <xdr:spPr>
        <a:xfrm>
          <a:off x="0" y="0"/>
          <a:ext cx="40005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3088511-25B1-49DD-AAEC-73E0A89E861C}" type="TxLink">
            <a:rPr lang="en-US" sz="1600" b="1" i="0" u="none" strike="noStrike">
              <a:ln>
                <a:noFill/>
              </a:ln>
              <a:solidFill>
                <a:srgbClr val="F7931D"/>
              </a:solidFill>
              <a:latin typeface="Times New Roman"/>
              <a:cs typeface="Times New Roman"/>
            </a:rPr>
            <a:pPr algn="l"/>
            <a:t>Empréstimos e financiamentos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1E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9A93DC-58A2-446D-A907-624DA6061584}"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52</xdr:col>
      <xdr:colOff>499745</xdr:colOff>
      <xdr:row>0</xdr:row>
      <xdr:rowOff>85090</xdr:rowOff>
    </xdr:from>
    <xdr:ext cx="910080" cy="426118"/>
    <xdr:pic>
      <xdr:nvPicPr>
        <xdr:cNvPr id="6" name="Imagem 5">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53895" y="85090"/>
          <a:ext cx="910080" cy="426118"/>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31750</xdr:rowOff>
    </xdr:from>
    <xdr:to>
      <xdr:col>8</xdr:col>
      <xdr:colOff>0</xdr:colOff>
      <xdr:row>4</xdr:row>
      <xdr:rowOff>15925</xdr:rowOff>
    </xdr:to>
    <xdr:sp macro="" textlink="[1]RENAME!$G$76">
      <xdr:nvSpPr>
        <xdr:cNvPr id="2" name="CaixaDeTexto 99">
          <a:extLst>
            <a:ext uri="{FF2B5EF4-FFF2-40B4-BE49-F238E27FC236}">
              <a16:creationId xmlns:a16="http://schemas.microsoft.com/office/drawing/2014/main" id="{00000000-0008-0000-1F00-000004000000}"/>
            </a:ext>
          </a:extLst>
        </xdr:cNvPr>
        <xdr:cNvSpPr txBox="1"/>
      </xdr:nvSpPr>
      <xdr:spPr>
        <a:xfrm>
          <a:off x="0" y="31750"/>
          <a:ext cx="2673350" cy="555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3AD6AA7-A165-4D6D-8E53-0D622BB920D7}" type="TxLink">
            <a:rPr lang="en-US" sz="1600" b="1" i="0" u="none" strike="noStrike">
              <a:ln>
                <a:noFill/>
              </a:ln>
              <a:solidFill>
                <a:srgbClr val="F7931D"/>
              </a:solidFill>
              <a:latin typeface="Times New Roman"/>
              <a:cs typeface="Times New Roman"/>
            </a:rPr>
            <a:pPr algn="l"/>
            <a:t>Intangível</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7</xdr:col>
      <xdr:colOff>0</xdr:colOff>
      <xdr:row>0</xdr:row>
      <xdr:rowOff>0</xdr:rowOff>
    </xdr:from>
    <xdr:ext cx="697370" cy="217560"/>
    <xdr:sp macro="" textlink="[1]RENAME!$E$13">
      <xdr:nvSpPr>
        <xdr:cNvPr id="3" name="CaixaDeTexto 2">
          <a:hlinkClick xmlns:r="http://schemas.openxmlformats.org/officeDocument/2006/relationships" r:id="rId1"/>
          <a:extLst>
            <a:ext uri="{FF2B5EF4-FFF2-40B4-BE49-F238E27FC236}">
              <a16:creationId xmlns:a16="http://schemas.microsoft.com/office/drawing/2014/main" id="{00000000-0008-0000-1F00-000005000000}"/>
            </a:ext>
          </a:extLst>
        </xdr:cNvPr>
        <xdr:cNvSpPr txBox="1"/>
      </xdr:nvSpPr>
      <xdr:spPr>
        <a:xfrm>
          <a:off x="1016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8AFDF0A-E9C2-4D00-9468-4F5ADBE2011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146</xdr:col>
      <xdr:colOff>649381</xdr:colOff>
      <xdr:row>0</xdr:row>
      <xdr:rowOff>89648</xdr:rowOff>
    </xdr:from>
    <xdr:ext cx="910080" cy="426118"/>
    <xdr:pic>
      <xdr:nvPicPr>
        <xdr:cNvPr id="4" name="Imagem 3">
          <a:extLst>
            <a:ext uri="{FF2B5EF4-FFF2-40B4-BE49-F238E27FC236}">
              <a16:creationId xmlns:a16="http://schemas.microsoft.com/office/drawing/2014/main" id="{00000000-0008-0000-1F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68131" y="89648"/>
          <a:ext cx="910080" cy="426118"/>
        </a:xfrm>
        <a:prstGeom prst="rect">
          <a:avLst/>
        </a:prstGeom>
      </xdr:spPr>
    </xdr:pic>
    <xdr:clientData/>
  </xdr:oneCellAnchor>
  <xdr:oneCellAnchor>
    <xdr:from>
      <xdr:col>142</xdr:col>
      <xdr:colOff>649381</xdr:colOff>
      <xdr:row>0</xdr:row>
      <xdr:rowOff>89648</xdr:rowOff>
    </xdr:from>
    <xdr:ext cx="910080" cy="426118"/>
    <xdr:pic>
      <xdr:nvPicPr>
        <xdr:cNvPr id="5" name="Imagem 4">
          <a:extLst>
            <a:ext uri="{FF2B5EF4-FFF2-40B4-BE49-F238E27FC236}">
              <a16:creationId xmlns:a16="http://schemas.microsoft.com/office/drawing/2014/main" id="{00000000-0008-0000-1F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280381" y="89648"/>
          <a:ext cx="910080" cy="426118"/>
        </a:xfrm>
        <a:prstGeom prst="rect">
          <a:avLst/>
        </a:prstGeom>
      </xdr:spPr>
    </xdr:pic>
    <xdr:clientData/>
  </xdr:oneCellAnchor>
  <xdr:oneCellAnchor>
    <xdr:from>
      <xdr:col>138</xdr:col>
      <xdr:colOff>649381</xdr:colOff>
      <xdr:row>0</xdr:row>
      <xdr:rowOff>89648</xdr:rowOff>
    </xdr:from>
    <xdr:ext cx="910080" cy="426118"/>
    <xdr:pic>
      <xdr:nvPicPr>
        <xdr:cNvPr id="6" name="Imagem 5">
          <a:extLst>
            <a:ext uri="{FF2B5EF4-FFF2-40B4-BE49-F238E27FC236}">
              <a16:creationId xmlns:a16="http://schemas.microsoft.com/office/drawing/2014/main" id="{00000000-0008-0000-1F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806931" y="89648"/>
          <a:ext cx="910080" cy="426118"/>
        </a:xfrm>
        <a:prstGeom prst="rect">
          <a:avLst/>
        </a:prstGeom>
      </xdr:spPr>
    </xdr:pic>
    <xdr:clientData/>
  </xdr:oneCellAnchor>
  <xdr:oneCellAnchor>
    <xdr:from>
      <xdr:col>220</xdr:col>
      <xdr:colOff>422595</xdr:colOff>
      <xdr:row>1</xdr:row>
      <xdr:rowOff>34766</xdr:rowOff>
    </xdr:from>
    <xdr:ext cx="910080" cy="426118"/>
    <xdr:pic>
      <xdr:nvPicPr>
        <xdr:cNvPr id="8" name="Imagem 7">
          <a:extLst>
            <a:ext uri="{FF2B5EF4-FFF2-40B4-BE49-F238E27FC236}">
              <a16:creationId xmlns:a16="http://schemas.microsoft.com/office/drawing/2014/main" id="{00000000-0008-0000-1F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899295" y="130016"/>
          <a:ext cx="910080" cy="426118"/>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twoCellAnchor>
    <xdr:from>
      <xdr:col>2</xdr:col>
      <xdr:colOff>0</xdr:colOff>
      <xdr:row>0</xdr:row>
      <xdr:rowOff>0</xdr:rowOff>
    </xdr:from>
    <xdr:to>
      <xdr:col>5</xdr:col>
      <xdr:colOff>130800</xdr:colOff>
      <xdr:row>3</xdr:row>
      <xdr:rowOff>146100</xdr:rowOff>
    </xdr:to>
    <xdr:sp macro="" textlink="[1]RENAME!$G$78">
      <xdr:nvSpPr>
        <xdr:cNvPr id="4" name="CaixaDeTexto 99">
          <a:extLst>
            <a:ext uri="{FF2B5EF4-FFF2-40B4-BE49-F238E27FC236}">
              <a16:creationId xmlns:a16="http://schemas.microsoft.com/office/drawing/2014/main" id="{00000000-0008-0000-20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FFD5FC8-50B2-4FEA-BED7-5EC76F47DC76}" type="TxLink">
            <a:rPr lang="en-US" sz="1600" b="1" i="0" u="none" strike="noStrike">
              <a:ln>
                <a:noFill/>
              </a:ln>
              <a:solidFill>
                <a:srgbClr val="F7931D"/>
              </a:solidFill>
              <a:latin typeface="Times New Roman"/>
              <a:cs typeface="Times New Roman"/>
            </a:rPr>
            <a:pPr algn="l"/>
            <a:t>Salários e encargos sociais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2000-000005000000}"/>
            </a:ext>
          </a:extLst>
        </xdr:cNvPr>
        <xdr:cNvSpPr txBox="1"/>
      </xdr:nvSpPr>
      <xdr:spPr>
        <a:xfrm>
          <a:off x="1143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A1902E0-8CDB-4077-B337-E8D0836A9E40}"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53</xdr:col>
      <xdr:colOff>294640</xdr:colOff>
      <xdr:row>0</xdr:row>
      <xdr:rowOff>77470</xdr:rowOff>
    </xdr:from>
    <xdr:ext cx="910080" cy="426118"/>
    <xdr:pic>
      <xdr:nvPicPr>
        <xdr:cNvPr id="7" name="Imagem 6">
          <a:extLst>
            <a:ext uri="{FF2B5EF4-FFF2-40B4-BE49-F238E27FC236}">
              <a16:creationId xmlns:a16="http://schemas.microsoft.com/office/drawing/2014/main" id="{00000000-0008-0000-2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584765" y="77470"/>
          <a:ext cx="910080" cy="426118"/>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647700</xdr:colOff>
      <xdr:row>3</xdr:row>
      <xdr:rowOff>146100</xdr:rowOff>
    </xdr:to>
    <xdr:sp macro="" textlink="[1]RENAME!$G$79">
      <xdr:nvSpPr>
        <xdr:cNvPr id="4" name="CaixaDeTexto 99">
          <a:extLst>
            <a:ext uri="{FF2B5EF4-FFF2-40B4-BE49-F238E27FC236}">
              <a16:creationId xmlns:a16="http://schemas.microsoft.com/office/drawing/2014/main" id="{00000000-0008-0000-2100-000004000000}"/>
            </a:ext>
          </a:extLst>
        </xdr:cNvPr>
        <xdr:cNvSpPr txBox="1"/>
      </xdr:nvSpPr>
      <xdr:spPr>
        <a:xfrm>
          <a:off x="0" y="0"/>
          <a:ext cx="235267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26ADE8D7-FD0D-4AD3-8A26-570B9BA21D37}" type="TxLink">
            <a:rPr lang="en-US" sz="1600" b="1" i="0" u="none" strike="noStrike" baseline="0">
              <a:ln>
                <a:noFill/>
              </a:ln>
              <a:solidFill>
                <a:srgbClr val="F7931D"/>
              </a:solidFill>
              <a:latin typeface="Times New Roman"/>
              <a:cs typeface="Times New Roman"/>
            </a:rPr>
            <a:pPr algn="l"/>
            <a:t>Riscos judiciais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21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EFD959E-ED36-4846-81B2-15CDD1263D8B}"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56</xdr:col>
      <xdr:colOff>378179</xdr:colOff>
      <xdr:row>0</xdr:row>
      <xdr:rowOff>73734</xdr:rowOff>
    </xdr:from>
    <xdr:ext cx="910080" cy="426118"/>
    <xdr:pic>
      <xdr:nvPicPr>
        <xdr:cNvPr id="7" name="Imagem 6">
          <a:extLst>
            <a:ext uri="{FF2B5EF4-FFF2-40B4-BE49-F238E27FC236}">
              <a16:creationId xmlns:a16="http://schemas.microsoft.com/office/drawing/2014/main" id="{00000000-0008-0000-2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504762" y="73734"/>
          <a:ext cx="910080" cy="426118"/>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twoCellAnchor>
    <xdr:from>
      <xdr:col>2</xdr:col>
      <xdr:colOff>0</xdr:colOff>
      <xdr:row>0</xdr:row>
      <xdr:rowOff>0</xdr:rowOff>
    </xdr:from>
    <xdr:to>
      <xdr:col>4</xdr:col>
      <xdr:colOff>0</xdr:colOff>
      <xdr:row>3</xdr:row>
      <xdr:rowOff>146100</xdr:rowOff>
    </xdr:to>
    <xdr:sp macro="" textlink="[1]RENAME!$G$80">
      <xdr:nvSpPr>
        <xdr:cNvPr id="2" name="CaixaDeTexto 99">
          <a:extLst>
            <a:ext uri="{FF2B5EF4-FFF2-40B4-BE49-F238E27FC236}">
              <a16:creationId xmlns:a16="http://schemas.microsoft.com/office/drawing/2014/main" id="{00000000-0008-0000-2200-000002000000}"/>
            </a:ext>
          </a:extLst>
        </xdr:cNvPr>
        <xdr:cNvSpPr txBox="1"/>
      </xdr:nvSpPr>
      <xdr:spPr>
        <a:xfrm>
          <a:off x="0" y="0"/>
          <a:ext cx="37528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90348EE-B5A2-48E2-8BA9-D73C3D517D55}" type="TxLink">
            <a:rPr lang="en-US" sz="1600" b="1" i="0" u="none" strike="noStrike" baseline="0">
              <a:ln>
                <a:noFill/>
              </a:ln>
              <a:solidFill>
                <a:srgbClr val="F7931D"/>
              </a:solidFill>
              <a:latin typeface="Times New Roman"/>
              <a:cs typeface="Times New Roman"/>
            </a:rPr>
            <a:pPr algn="l"/>
            <a:t>Despesas de IR e CSLL</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3" name="CaixaDeTexto 2">
          <a:hlinkClick xmlns:r="http://schemas.openxmlformats.org/officeDocument/2006/relationships" r:id="rId1"/>
          <a:extLst>
            <a:ext uri="{FF2B5EF4-FFF2-40B4-BE49-F238E27FC236}">
              <a16:creationId xmlns:a16="http://schemas.microsoft.com/office/drawing/2014/main" id="{00000000-0008-0000-2200-000003000000}"/>
            </a:ext>
          </a:extLst>
        </xdr:cNvPr>
        <xdr:cNvSpPr txBox="1"/>
      </xdr:nvSpPr>
      <xdr:spPr>
        <a:xfrm>
          <a:off x="7620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3C66DE-21C2-43E5-8BDA-39BB141FD0CF}"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48</xdr:col>
      <xdr:colOff>546100</xdr:colOff>
      <xdr:row>0</xdr:row>
      <xdr:rowOff>78740</xdr:rowOff>
    </xdr:from>
    <xdr:ext cx="910080" cy="426118"/>
    <xdr:pic>
      <xdr:nvPicPr>
        <xdr:cNvPr id="5" name="Imagem 4">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246175" y="78740"/>
          <a:ext cx="910080" cy="426118"/>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twoCellAnchor>
    <xdr:from>
      <xdr:col>2</xdr:col>
      <xdr:colOff>9525</xdr:colOff>
      <xdr:row>0</xdr:row>
      <xdr:rowOff>0</xdr:rowOff>
    </xdr:from>
    <xdr:to>
      <xdr:col>5</xdr:col>
      <xdr:colOff>435600</xdr:colOff>
      <xdr:row>3</xdr:row>
      <xdr:rowOff>146100</xdr:rowOff>
    </xdr:to>
    <xdr:sp macro="" textlink="[1]RENAME!$G$82">
      <xdr:nvSpPr>
        <xdr:cNvPr id="4" name="CaixaDeTexto 99">
          <a:extLst>
            <a:ext uri="{FF2B5EF4-FFF2-40B4-BE49-F238E27FC236}">
              <a16:creationId xmlns:a16="http://schemas.microsoft.com/office/drawing/2014/main" id="{00000000-0008-0000-2400-000004000000}"/>
            </a:ext>
          </a:extLst>
        </xdr:cNvPr>
        <xdr:cNvSpPr txBox="1"/>
      </xdr:nvSpPr>
      <xdr:spPr>
        <a:xfrm>
          <a:off x="9525"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AE40123-A56D-47A1-9A16-A2388E17F123}" type="TxLink">
            <a:rPr lang="en-US" sz="1600" b="1" i="0" u="none" strike="noStrike" baseline="0">
              <a:ln>
                <a:noFill/>
              </a:ln>
              <a:solidFill>
                <a:srgbClr val="F7931D"/>
              </a:solidFill>
              <a:latin typeface="Times New Roman"/>
              <a:cs typeface="Times New Roman"/>
            </a:rPr>
            <a:pPr algn="l"/>
            <a:t>Demais contas a pagar</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2400-000005000000}"/>
            </a:ext>
          </a:extLst>
        </xdr:cNvPr>
        <xdr:cNvSpPr txBox="1"/>
      </xdr:nvSpPr>
      <xdr:spPr>
        <a:xfrm>
          <a:off x="8572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B8A654F-0BDC-4066-AC4B-6A45CE458974}"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52</xdr:col>
      <xdr:colOff>417195</xdr:colOff>
      <xdr:row>0</xdr:row>
      <xdr:rowOff>55245</xdr:rowOff>
    </xdr:from>
    <xdr:ext cx="910080" cy="426118"/>
    <xdr:pic>
      <xdr:nvPicPr>
        <xdr:cNvPr id="7" name="Imagem 6">
          <a:extLst>
            <a:ext uri="{FF2B5EF4-FFF2-40B4-BE49-F238E27FC236}">
              <a16:creationId xmlns:a16="http://schemas.microsoft.com/office/drawing/2014/main" id="{00000000-0008-0000-24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764720" y="55245"/>
          <a:ext cx="910080" cy="42611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twoCellAnchor>
    <xdr:from>
      <xdr:col>2</xdr:col>
      <xdr:colOff>9524</xdr:colOff>
      <xdr:row>0</xdr:row>
      <xdr:rowOff>0</xdr:rowOff>
    </xdr:from>
    <xdr:to>
      <xdr:col>5</xdr:col>
      <xdr:colOff>245099</xdr:colOff>
      <xdr:row>3</xdr:row>
      <xdr:rowOff>146100</xdr:rowOff>
    </xdr:to>
    <xdr:sp macro="" textlink="[1]RENAME!$G$83">
      <xdr:nvSpPr>
        <xdr:cNvPr id="4" name="CaixaDeTexto 99">
          <a:extLst>
            <a:ext uri="{FF2B5EF4-FFF2-40B4-BE49-F238E27FC236}">
              <a16:creationId xmlns:a16="http://schemas.microsoft.com/office/drawing/2014/main" id="{00000000-0008-0000-2500-000004000000}"/>
            </a:ext>
          </a:extLst>
        </xdr:cNvPr>
        <xdr:cNvSpPr txBox="1"/>
      </xdr:nvSpPr>
      <xdr:spPr>
        <a:xfrm>
          <a:off x="9524"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EBCB818-6F0F-4DF4-BF4F-09138DA0FBB8}" type="TxLink">
            <a:rPr lang="en-US" sz="1600" b="1" i="0" u="none" strike="noStrike" baseline="0">
              <a:ln>
                <a:noFill/>
              </a:ln>
              <a:solidFill>
                <a:srgbClr val="F7931D"/>
              </a:solidFill>
              <a:latin typeface="Times New Roman"/>
              <a:cs typeface="Times New Roman"/>
            </a:rPr>
            <a:pPr algn="l"/>
            <a:t>Outras receitas e despesas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25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754A9A4-C65B-4023-862E-F2ECEDD90F3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52</xdr:col>
      <xdr:colOff>478790</xdr:colOff>
      <xdr:row>0</xdr:row>
      <xdr:rowOff>53975</xdr:rowOff>
    </xdr:from>
    <xdr:ext cx="910080" cy="426118"/>
    <xdr:pic>
      <xdr:nvPicPr>
        <xdr:cNvPr id="7" name="Imagem 6">
          <a:extLst>
            <a:ext uri="{FF2B5EF4-FFF2-40B4-BE49-F238E27FC236}">
              <a16:creationId xmlns:a16="http://schemas.microsoft.com/office/drawing/2014/main" id="{00000000-0008-0000-25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64565" y="53975"/>
          <a:ext cx="910080" cy="426118"/>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twoCellAnchor>
    <xdr:from>
      <xdr:col>2</xdr:col>
      <xdr:colOff>9524</xdr:colOff>
      <xdr:row>0</xdr:row>
      <xdr:rowOff>0</xdr:rowOff>
    </xdr:from>
    <xdr:to>
      <xdr:col>4</xdr:col>
      <xdr:colOff>730874</xdr:colOff>
      <xdr:row>3</xdr:row>
      <xdr:rowOff>146100</xdr:rowOff>
    </xdr:to>
    <xdr:sp macro="" textlink="[1]RENAME!$G$84">
      <xdr:nvSpPr>
        <xdr:cNvPr id="4" name="CaixaDeTexto 99">
          <a:extLst>
            <a:ext uri="{FF2B5EF4-FFF2-40B4-BE49-F238E27FC236}">
              <a16:creationId xmlns:a16="http://schemas.microsoft.com/office/drawing/2014/main" id="{00000000-0008-0000-2600-000004000000}"/>
            </a:ext>
          </a:extLst>
        </xdr:cNvPr>
        <xdr:cNvSpPr txBox="1"/>
      </xdr:nvSpPr>
      <xdr:spPr>
        <a:xfrm>
          <a:off x="9524"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E5D189A-1A10-4DDB-AD77-F75149CDA48A}" type="TxLink">
            <a:rPr lang="en-US" sz="1600" b="1" i="0" u="none" strike="noStrike" baseline="0">
              <a:ln>
                <a:noFill/>
              </a:ln>
              <a:solidFill>
                <a:srgbClr val="F7931D"/>
              </a:solidFill>
              <a:latin typeface="Times New Roman"/>
              <a:cs typeface="Times New Roman"/>
            </a:rPr>
            <a:pPr algn="l"/>
            <a:t>Receita</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26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A1915FC-3828-4F6E-B455-C47479E91A29}"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52</xdr:col>
      <xdr:colOff>386080</xdr:colOff>
      <xdr:row>1</xdr:row>
      <xdr:rowOff>6350</xdr:rowOff>
    </xdr:from>
    <xdr:ext cx="910080" cy="426118"/>
    <xdr:pic>
      <xdr:nvPicPr>
        <xdr:cNvPr id="6" name="Imagem 5">
          <a:extLst>
            <a:ext uri="{FF2B5EF4-FFF2-40B4-BE49-F238E27FC236}">
              <a16:creationId xmlns:a16="http://schemas.microsoft.com/office/drawing/2014/main" id="{00000000-0008-0000-2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219255" y="101600"/>
          <a:ext cx="910080" cy="426118"/>
        </a:xfrm>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470647</xdr:colOff>
      <xdr:row>3</xdr:row>
      <xdr:rowOff>146100</xdr:rowOff>
    </xdr:to>
    <xdr:sp macro="" textlink="[1]RENAME!$G$86">
      <xdr:nvSpPr>
        <xdr:cNvPr id="2" name="CaixaDeTexto 99">
          <a:extLst>
            <a:ext uri="{FF2B5EF4-FFF2-40B4-BE49-F238E27FC236}">
              <a16:creationId xmlns:a16="http://schemas.microsoft.com/office/drawing/2014/main" id="{00000000-0008-0000-2700-000002000000}"/>
            </a:ext>
          </a:extLst>
        </xdr:cNvPr>
        <xdr:cNvSpPr txBox="1"/>
      </xdr:nvSpPr>
      <xdr:spPr>
        <a:xfrm>
          <a:off x="0" y="0"/>
          <a:ext cx="8180294" cy="560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8F089D6-170D-41F4-819C-EB82309649EF}" type="TxLink">
            <a:rPr lang="en-US" sz="1600" b="1" i="0" u="none" strike="noStrike" baseline="0">
              <a:ln>
                <a:noFill/>
              </a:ln>
              <a:solidFill>
                <a:srgbClr val="F7931D"/>
              </a:solidFill>
              <a:latin typeface="Times New Roman"/>
              <a:cs typeface="Times New Roman"/>
            </a:rPr>
            <a:pPr algn="l"/>
            <a:t>Custos e despesas por natureza</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3" name="CaixaDeTexto 2">
          <a:hlinkClick xmlns:r="http://schemas.openxmlformats.org/officeDocument/2006/relationships" r:id="rId1"/>
          <a:extLst>
            <a:ext uri="{FF2B5EF4-FFF2-40B4-BE49-F238E27FC236}">
              <a16:creationId xmlns:a16="http://schemas.microsoft.com/office/drawing/2014/main" id="{00000000-0008-0000-2700-000003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00A8C5F-5F2D-4A4F-8D58-E8B4EE52D8A6}"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52</xdr:col>
      <xdr:colOff>605340</xdr:colOff>
      <xdr:row>0</xdr:row>
      <xdr:rowOff>92486</xdr:rowOff>
    </xdr:from>
    <xdr:ext cx="910080" cy="426118"/>
    <xdr:pic>
      <xdr:nvPicPr>
        <xdr:cNvPr id="5" name="Imagem 4">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858115" y="92486"/>
          <a:ext cx="910080" cy="42611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3</xdr:col>
      <xdr:colOff>2876551</xdr:colOff>
      <xdr:row>4</xdr:row>
      <xdr:rowOff>12750</xdr:rowOff>
    </xdr:to>
    <xdr:sp macro="" textlink="[1]RENAME!$G$49">
      <xdr:nvSpPr>
        <xdr:cNvPr id="6" name="CaixaDeTexto 99">
          <a:extLst>
            <a:ext uri="{FF2B5EF4-FFF2-40B4-BE49-F238E27FC236}">
              <a16:creationId xmlns:a16="http://schemas.microsoft.com/office/drawing/2014/main" id="{00000000-0008-0000-0300-000006000000}"/>
            </a:ext>
          </a:extLst>
        </xdr:cNvPr>
        <xdr:cNvSpPr txBox="1"/>
      </xdr:nvSpPr>
      <xdr:spPr>
        <a:xfrm>
          <a:off x="0" y="28575"/>
          <a:ext cx="2971801" cy="612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C989845-9E3C-416F-BDCA-11880DE72F29}" type="TxLink">
            <a:rPr lang="en-US" sz="1600" b="1" i="0" u="none" strike="noStrike">
              <a:ln>
                <a:noFill/>
              </a:ln>
              <a:solidFill>
                <a:srgbClr val="F7931D"/>
              </a:solidFill>
              <a:latin typeface="Times New Roman"/>
              <a:cs typeface="Times New Roman"/>
            </a:rPr>
            <a:pPr algn="l"/>
            <a:t>Balanço patrimonial</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0300-000004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649F476-3603-4B34-B915-64BE69C820C2}"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68</xdr:col>
      <xdr:colOff>438702</xdr:colOff>
      <xdr:row>0</xdr:row>
      <xdr:rowOff>79375</xdr:rowOff>
    </xdr:from>
    <xdr:ext cx="910080" cy="426118"/>
    <xdr:pic>
      <xdr:nvPicPr>
        <xdr:cNvPr id="5" name="Imagem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882352" y="79375"/>
          <a:ext cx="910080" cy="426118"/>
        </a:xfrm>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twoCellAnchor>
    <xdr:from>
      <xdr:col>2</xdr:col>
      <xdr:colOff>9524</xdr:colOff>
      <xdr:row>0</xdr:row>
      <xdr:rowOff>9525</xdr:rowOff>
    </xdr:from>
    <xdr:to>
      <xdr:col>4</xdr:col>
      <xdr:colOff>645149</xdr:colOff>
      <xdr:row>4</xdr:row>
      <xdr:rowOff>9525</xdr:rowOff>
    </xdr:to>
    <xdr:sp macro="" textlink="[1]RENAME!$G$81">
      <xdr:nvSpPr>
        <xdr:cNvPr id="4" name="CaixaDeTexto 99">
          <a:extLst>
            <a:ext uri="{FF2B5EF4-FFF2-40B4-BE49-F238E27FC236}">
              <a16:creationId xmlns:a16="http://schemas.microsoft.com/office/drawing/2014/main" id="{00000000-0008-0000-2300-000004000000}"/>
            </a:ext>
          </a:extLst>
        </xdr:cNvPr>
        <xdr:cNvSpPr txBox="1"/>
      </xdr:nvSpPr>
      <xdr:spPr>
        <a:xfrm>
          <a:off x="9524" y="9525"/>
          <a:ext cx="4093200"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72DBF8A7-38AF-4032-966C-93BA7BDC1156}" type="TxLink">
            <a:rPr lang="en-US" sz="1600" b="1" i="0" u="none" strike="noStrike" baseline="0">
              <a:ln>
                <a:noFill/>
              </a:ln>
              <a:solidFill>
                <a:srgbClr val="F7931D"/>
              </a:solidFill>
              <a:latin typeface="Times New Roman"/>
              <a:cs typeface="Times New Roman"/>
            </a:rPr>
            <a:pPr algn="l"/>
            <a:t>IR e CS diferidos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2</xdr:col>
      <xdr:colOff>85725</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2300-000005000000}"/>
            </a:ext>
          </a:extLst>
        </xdr:cNvPr>
        <xdr:cNvSpPr txBox="1"/>
      </xdr:nvSpPr>
      <xdr:spPr>
        <a:xfrm>
          <a:off x="8572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B60965B-4091-4C73-BA7F-27CD6456CA58}"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52</xdr:col>
      <xdr:colOff>583565</xdr:colOff>
      <xdr:row>0</xdr:row>
      <xdr:rowOff>34925</xdr:rowOff>
    </xdr:from>
    <xdr:ext cx="910080" cy="426118"/>
    <xdr:pic>
      <xdr:nvPicPr>
        <xdr:cNvPr id="7" name="Imagem 6">
          <a:extLst>
            <a:ext uri="{FF2B5EF4-FFF2-40B4-BE49-F238E27FC236}">
              <a16:creationId xmlns:a16="http://schemas.microsoft.com/office/drawing/2014/main" id="{00000000-0008-0000-23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375715" y="34925"/>
          <a:ext cx="910080" cy="426118"/>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twoCellAnchor>
    <xdr:from>
      <xdr:col>2</xdr:col>
      <xdr:colOff>9525</xdr:colOff>
      <xdr:row>0</xdr:row>
      <xdr:rowOff>0</xdr:rowOff>
    </xdr:from>
    <xdr:to>
      <xdr:col>12</xdr:col>
      <xdr:colOff>66675</xdr:colOff>
      <xdr:row>3</xdr:row>
      <xdr:rowOff>79425</xdr:rowOff>
    </xdr:to>
    <xdr:sp macro="" textlink="[1]RENAME!$G$85">
      <xdr:nvSpPr>
        <xdr:cNvPr id="3" name="CaixaDeTexto 99">
          <a:extLst>
            <a:ext uri="{FF2B5EF4-FFF2-40B4-BE49-F238E27FC236}">
              <a16:creationId xmlns:a16="http://schemas.microsoft.com/office/drawing/2014/main" id="{00000000-0008-0000-2800-000003000000}"/>
            </a:ext>
          </a:extLst>
        </xdr:cNvPr>
        <xdr:cNvSpPr txBox="1"/>
      </xdr:nvSpPr>
      <xdr:spPr>
        <a:xfrm>
          <a:off x="9525" y="0"/>
          <a:ext cx="78486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DBB9E78-548A-42E4-87AA-A855C682452A}" type="TxLink">
            <a:rPr lang="en-US" sz="1600" b="1" i="0" u="none" strike="noStrike" baseline="0">
              <a:ln>
                <a:noFill/>
              </a:ln>
              <a:solidFill>
                <a:srgbClr val="F7931D"/>
              </a:solidFill>
              <a:latin typeface="Times New Roman"/>
              <a:cs typeface="Times New Roman"/>
            </a:rPr>
            <a:pPr algn="l"/>
            <a:t>Custos e despesas </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2800-000004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E64A63B-59A2-46B6-AC70-1CEF55C861CE}"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52</xdr:col>
      <xdr:colOff>476885</xdr:colOff>
      <xdr:row>1</xdr:row>
      <xdr:rowOff>37465</xdr:rowOff>
    </xdr:from>
    <xdr:ext cx="910080" cy="426118"/>
    <xdr:pic>
      <xdr:nvPicPr>
        <xdr:cNvPr id="6" name="Imagem 5">
          <a:extLst>
            <a:ext uri="{FF2B5EF4-FFF2-40B4-BE49-F238E27FC236}">
              <a16:creationId xmlns:a16="http://schemas.microsoft.com/office/drawing/2014/main" id="{00000000-0008-0000-2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310060" y="132715"/>
          <a:ext cx="910080" cy="426118"/>
        </a:xfrm>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twoCellAnchor>
    <xdr:from>
      <xdr:col>2</xdr:col>
      <xdr:colOff>9525</xdr:colOff>
      <xdr:row>0</xdr:row>
      <xdr:rowOff>0</xdr:rowOff>
    </xdr:from>
    <xdr:to>
      <xdr:col>5</xdr:col>
      <xdr:colOff>95250</xdr:colOff>
      <xdr:row>3</xdr:row>
      <xdr:rowOff>146100</xdr:rowOff>
    </xdr:to>
    <xdr:sp macro="" textlink="[1]RENAME!$G$87">
      <xdr:nvSpPr>
        <xdr:cNvPr id="4" name="CaixaDeTexto 99">
          <a:extLst>
            <a:ext uri="{FF2B5EF4-FFF2-40B4-BE49-F238E27FC236}">
              <a16:creationId xmlns:a16="http://schemas.microsoft.com/office/drawing/2014/main" id="{00000000-0008-0000-2900-000004000000}"/>
            </a:ext>
          </a:extLst>
        </xdr:cNvPr>
        <xdr:cNvSpPr txBox="1"/>
      </xdr:nvSpPr>
      <xdr:spPr>
        <a:xfrm>
          <a:off x="9525" y="0"/>
          <a:ext cx="40767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972A3C1-4A5F-409A-9240-88F1E015F7B0}" type="TxLink">
            <a:rPr lang="en-US" sz="1600" b="1" i="0" u="none" strike="noStrike" baseline="0">
              <a:ln>
                <a:noFill/>
              </a:ln>
              <a:solidFill>
                <a:srgbClr val="F7931D"/>
              </a:solidFill>
              <a:latin typeface="Times New Roman"/>
              <a:cs typeface="Times New Roman"/>
            </a:rPr>
            <a:pPr algn="l"/>
            <a:t>Resultado financeiro</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29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48C34C1-9882-4BBB-9EC5-4C3FB6AA34CC}"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52</xdr:col>
      <xdr:colOff>445770</xdr:colOff>
      <xdr:row>0</xdr:row>
      <xdr:rowOff>81915</xdr:rowOff>
    </xdr:from>
    <xdr:ext cx="910080" cy="426118"/>
    <xdr:pic>
      <xdr:nvPicPr>
        <xdr:cNvPr id="6" name="Imagem 5">
          <a:extLst>
            <a:ext uri="{FF2B5EF4-FFF2-40B4-BE49-F238E27FC236}">
              <a16:creationId xmlns:a16="http://schemas.microsoft.com/office/drawing/2014/main" id="{00000000-0008-0000-29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488745" y="81915"/>
          <a:ext cx="910080" cy="426118"/>
        </a:xfrm>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twoCellAnchor>
    <xdr:from>
      <xdr:col>2</xdr:col>
      <xdr:colOff>0</xdr:colOff>
      <xdr:row>0</xdr:row>
      <xdr:rowOff>0</xdr:rowOff>
    </xdr:from>
    <xdr:to>
      <xdr:col>10</xdr:col>
      <xdr:colOff>247650</xdr:colOff>
      <xdr:row>3</xdr:row>
      <xdr:rowOff>146100</xdr:rowOff>
    </xdr:to>
    <xdr:sp macro="" textlink="[1]RENAME!$G$88">
      <xdr:nvSpPr>
        <xdr:cNvPr id="2" name="CaixaDeTexto 99">
          <a:extLst>
            <a:ext uri="{FF2B5EF4-FFF2-40B4-BE49-F238E27FC236}">
              <a16:creationId xmlns:a16="http://schemas.microsoft.com/office/drawing/2014/main" id="{00000000-0008-0000-2A00-000002000000}"/>
            </a:ext>
          </a:extLst>
        </xdr:cNvPr>
        <xdr:cNvSpPr txBox="1"/>
      </xdr:nvSpPr>
      <xdr:spPr>
        <a:xfrm>
          <a:off x="0" y="0"/>
          <a:ext cx="57340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54C5EDE-E154-44C6-A9AB-A681863FD65F}" type="TxLink">
            <a:rPr lang="en-US" sz="1600" b="1" i="0" u="none" strike="noStrike" baseline="0">
              <a:ln>
                <a:noFill/>
              </a:ln>
              <a:solidFill>
                <a:srgbClr val="F7931D"/>
              </a:solidFill>
              <a:latin typeface="Times New Roman"/>
              <a:cs typeface="Times New Roman"/>
            </a:rPr>
            <a:pPr algn="l"/>
            <a:t>Remuneração do pessoal-chave da Administração</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2A00-000004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4F950E6-A771-41E9-B8EE-CD21C6C820E0}"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52</xdr:col>
      <xdr:colOff>369570</xdr:colOff>
      <xdr:row>1</xdr:row>
      <xdr:rowOff>23495</xdr:rowOff>
    </xdr:from>
    <xdr:ext cx="910080" cy="426118"/>
    <xdr:pic>
      <xdr:nvPicPr>
        <xdr:cNvPr id="6" name="Imagem 5">
          <a:extLst>
            <a:ext uri="{FF2B5EF4-FFF2-40B4-BE49-F238E27FC236}">
              <a16:creationId xmlns:a16="http://schemas.microsoft.com/office/drawing/2014/main" id="{00000000-0008-0000-2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535995" y="118745"/>
          <a:ext cx="910080" cy="426118"/>
        </a:xfrm>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twoCellAnchor>
    <xdr:from>
      <xdr:col>2</xdr:col>
      <xdr:colOff>0</xdr:colOff>
      <xdr:row>0</xdr:row>
      <xdr:rowOff>0</xdr:rowOff>
    </xdr:from>
    <xdr:to>
      <xdr:col>4</xdr:col>
      <xdr:colOff>464175</xdr:colOff>
      <xdr:row>3</xdr:row>
      <xdr:rowOff>146100</xdr:rowOff>
    </xdr:to>
    <xdr:sp macro="" textlink="[1]RENAME!$G$89">
      <xdr:nvSpPr>
        <xdr:cNvPr id="4" name="CaixaDeTexto 99">
          <a:extLst>
            <a:ext uri="{FF2B5EF4-FFF2-40B4-BE49-F238E27FC236}">
              <a16:creationId xmlns:a16="http://schemas.microsoft.com/office/drawing/2014/main" id="{00000000-0008-0000-2B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F09F654-4AB3-41AC-9F4C-98C623B51B6F}" type="TxLink">
            <a:rPr lang="en-US" sz="1600" b="1" i="0" u="none" strike="noStrike" baseline="0">
              <a:ln>
                <a:noFill/>
              </a:ln>
              <a:solidFill>
                <a:srgbClr val="F7931D"/>
              </a:solidFill>
              <a:latin typeface="Times New Roman"/>
              <a:cs typeface="Times New Roman"/>
            </a:rPr>
            <a:pPr algn="l"/>
            <a:t>Arrendamento operacional</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2B00-000005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863C91-892A-4D56-AAB1-0E484CD8C0C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22</xdr:col>
      <xdr:colOff>523875</xdr:colOff>
      <xdr:row>0</xdr:row>
      <xdr:rowOff>47625</xdr:rowOff>
    </xdr:from>
    <xdr:ext cx="910080" cy="426118"/>
    <xdr:pic>
      <xdr:nvPicPr>
        <xdr:cNvPr id="6" name="Imagem 5">
          <a:extLst>
            <a:ext uri="{FF2B5EF4-FFF2-40B4-BE49-F238E27FC236}">
              <a16:creationId xmlns:a16="http://schemas.microsoft.com/office/drawing/2014/main" id="{00000000-0008-0000-2B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78300" y="47625"/>
          <a:ext cx="910080" cy="426118"/>
        </a:xfrm>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twoCellAnchor>
    <xdr:from>
      <xdr:col>0</xdr:col>
      <xdr:colOff>0</xdr:colOff>
      <xdr:row>0</xdr:row>
      <xdr:rowOff>133350</xdr:rowOff>
    </xdr:from>
    <xdr:to>
      <xdr:col>3</xdr:col>
      <xdr:colOff>3340725</xdr:colOff>
      <xdr:row>4</xdr:row>
      <xdr:rowOff>50850</xdr:rowOff>
    </xdr:to>
    <xdr:sp macro="" textlink="[1]RENAME!$G$90">
      <xdr:nvSpPr>
        <xdr:cNvPr id="5" name="CaixaDeTexto 99">
          <a:extLst>
            <a:ext uri="{FF2B5EF4-FFF2-40B4-BE49-F238E27FC236}">
              <a16:creationId xmlns:a16="http://schemas.microsoft.com/office/drawing/2014/main" id="{00000000-0008-0000-2C00-000005000000}"/>
            </a:ext>
          </a:extLst>
        </xdr:cNvPr>
        <xdr:cNvSpPr txBox="1"/>
      </xdr:nvSpPr>
      <xdr:spPr>
        <a:xfrm>
          <a:off x="0" y="133350"/>
          <a:ext cx="4707843" cy="612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EEB5760-7602-447C-BDBD-89A81AA9218A}" type="TxLink">
            <a:rPr lang="en-US" sz="1600" b="1" i="0" u="none" strike="noStrike">
              <a:ln>
                <a:noFill/>
              </a:ln>
              <a:solidFill>
                <a:srgbClr val="F7931D"/>
              </a:solidFill>
              <a:latin typeface="Times New Roman"/>
              <a:cs typeface="Times New Roman"/>
            </a:rPr>
            <a:pPr algn="l"/>
            <a:t>Partes Relacionadas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2</xdr:col>
      <xdr:colOff>63874</xdr:colOff>
      <xdr:row>0</xdr:row>
      <xdr:rowOff>0</xdr:rowOff>
    </xdr:from>
    <xdr:ext cx="697370" cy="217560"/>
    <xdr:sp macro="" textlink="">
      <xdr:nvSpPr>
        <xdr:cNvPr id="9" name="CaixaDeTexto 8">
          <a:hlinkClick xmlns:r="http://schemas.openxmlformats.org/officeDocument/2006/relationships" r:id="rId1"/>
          <a:extLst>
            <a:ext uri="{FF2B5EF4-FFF2-40B4-BE49-F238E27FC236}">
              <a16:creationId xmlns:a16="http://schemas.microsoft.com/office/drawing/2014/main" id="{00000000-0008-0000-2C00-000009000000}"/>
            </a:ext>
          </a:extLst>
        </xdr:cNvPr>
        <xdr:cNvSpPr txBox="1"/>
      </xdr:nvSpPr>
      <xdr:spPr>
        <a:xfrm>
          <a:off x="1274109"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863C91-892A-4D56-AAB1-0E484CD8C0C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49</xdr:col>
      <xdr:colOff>220462</xdr:colOff>
      <xdr:row>0</xdr:row>
      <xdr:rowOff>131515</xdr:rowOff>
    </xdr:from>
    <xdr:ext cx="910080" cy="426118"/>
    <xdr:pic>
      <xdr:nvPicPr>
        <xdr:cNvPr id="8" name="Imagem 7">
          <a:extLst>
            <a:ext uri="{FF2B5EF4-FFF2-40B4-BE49-F238E27FC236}">
              <a16:creationId xmlns:a16="http://schemas.microsoft.com/office/drawing/2014/main" id="{00000000-0008-0000-2C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41332" y="131515"/>
          <a:ext cx="910080" cy="426118"/>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3</xdr:col>
      <xdr:colOff>0</xdr:colOff>
      <xdr:row>0</xdr:row>
      <xdr:rowOff>0</xdr:rowOff>
    </xdr:from>
    <xdr:ext cx="697370" cy="217560"/>
    <xdr:sp macro="" textlink="[1]RENAME!$E$13">
      <xdr:nvSpPr>
        <xdr:cNvPr id="2" name="CaixaDeTexto 1">
          <a:hlinkClick xmlns:r="http://schemas.openxmlformats.org/officeDocument/2006/relationships" r:id="rId1"/>
          <a:extLst>
            <a:ext uri="{FF2B5EF4-FFF2-40B4-BE49-F238E27FC236}">
              <a16:creationId xmlns:a16="http://schemas.microsoft.com/office/drawing/2014/main" id="{00000000-0008-0000-2D00-000002000000}"/>
            </a:ext>
          </a:extLst>
        </xdr:cNvPr>
        <xdr:cNvSpPr txBox="1"/>
      </xdr:nvSpPr>
      <xdr:spPr>
        <a:xfrm>
          <a:off x="13239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3</xdr:col>
      <xdr:colOff>0</xdr:colOff>
      <xdr:row>0</xdr:row>
      <xdr:rowOff>0</xdr:rowOff>
    </xdr:from>
    <xdr:ext cx="697370" cy="217560"/>
    <xdr:sp macro="" textlink="[1]RENAME!$E$13">
      <xdr:nvSpPr>
        <xdr:cNvPr id="3" name="CaixaDeTexto 2">
          <a:hlinkClick xmlns:r="http://schemas.openxmlformats.org/officeDocument/2006/relationships" r:id="rId1"/>
          <a:extLst>
            <a:ext uri="{FF2B5EF4-FFF2-40B4-BE49-F238E27FC236}">
              <a16:creationId xmlns:a16="http://schemas.microsoft.com/office/drawing/2014/main" id="{00000000-0008-0000-2D00-000003000000}"/>
            </a:ext>
          </a:extLst>
        </xdr:cNvPr>
        <xdr:cNvSpPr txBox="1"/>
      </xdr:nvSpPr>
      <xdr:spPr>
        <a:xfrm>
          <a:off x="132397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6</xdr:col>
      <xdr:colOff>609600</xdr:colOff>
      <xdr:row>0</xdr:row>
      <xdr:rowOff>76200</xdr:rowOff>
    </xdr:from>
    <xdr:ext cx="910080" cy="426118"/>
    <xdr:pic>
      <xdr:nvPicPr>
        <xdr:cNvPr id="7" name="Imagem 6">
          <a:extLst>
            <a:ext uri="{FF2B5EF4-FFF2-40B4-BE49-F238E27FC236}">
              <a16:creationId xmlns:a16="http://schemas.microsoft.com/office/drawing/2014/main" id="{00000000-0008-0000-2D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76200"/>
          <a:ext cx="910080" cy="426118"/>
        </a:xfrm>
        <a:prstGeom prst="rect">
          <a:avLst/>
        </a:prstGeom>
      </xdr:spPr>
    </xdr:pic>
    <xdr:clientData/>
  </xdr:oneCellAnchor>
  <xdr:twoCellAnchor>
    <xdr:from>
      <xdr:col>1</xdr:col>
      <xdr:colOff>235323</xdr:colOff>
      <xdr:row>0</xdr:row>
      <xdr:rowOff>67235</xdr:rowOff>
    </xdr:from>
    <xdr:to>
      <xdr:col>4</xdr:col>
      <xdr:colOff>310654</xdr:colOff>
      <xdr:row>4</xdr:row>
      <xdr:rowOff>127610</xdr:rowOff>
    </xdr:to>
    <xdr:sp macro="" textlink="[1]RENAME!$G$94">
      <xdr:nvSpPr>
        <xdr:cNvPr id="8" name="CaixaDeTexto 99">
          <a:extLst>
            <a:ext uri="{FF2B5EF4-FFF2-40B4-BE49-F238E27FC236}">
              <a16:creationId xmlns:a16="http://schemas.microsoft.com/office/drawing/2014/main" id="{00000000-0008-0000-2D00-000008000000}"/>
            </a:ext>
          </a:extLst>
        </xdr:cNvPr>
        <xdr:cNvSpPr txBox="1"/>
      </xdr:nvSpPr>
      <xdr:spPr>
        <a:xfrm>
          <a:off x="840441" y="67235"/>
          <a:ext cx="3493125"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9E0310AA-86EA-43CB-AB4D-471F58642E4C}" type="TxLink">
            <a:rPr lang="en-US" sz="1600" b="1" i="0" u="none" strike="noStrike">
              <a:ln>
                <a:noFill/>
              </a:ln>
              <a:solidFill>
                <a:srgbClr val="F7931D"/>
              </a:solidFill>
              <a:latin typeface="Times New Roman"/>
              <a:cs typeface="Times New Roman"/>
            </a:rPr>
            <a:pPr algn="l"/>
            <a:t>Direito de Uso</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14</xdr:col>
      <xdr:colOff>609600</xdr:colOff>
      <xdr:row>1</xdr:row>
      <xdr:rowOff>9525</xdr:rowOff>
    </xdr:from>
    <xdr:ext cx="910080" cy="426118"/>
    <xdr:pic>
      <xdr:nvPicPr>
        <xdr:cNvPr id="9" name="Imagem 8">
          <a:extLst>
            <a:ext uri="{FF2B5EF4-FFF2-40B4-BE49-F238E27FC236}">
              <a16:creationId xmlns:a16="http://schemas.microsoft.com/office/drawing/2014/main" id="{00000000-0008-0000-2D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82300" y="104775"/>
          <a:ext cx="910080" cy="426118"/>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3</xdr:col>
      <xdr:colOff>0</xdr:colOff>
      <xdr:row>0</xdr:row>
      <xdr:rowOff>0</xdr:rowOff>
    </xdr:from>
    <xdr:ext cx="697370" cy="217560"/>
    <xdr:sp macro="" textlink="[1]RENAME!$E$13">
      <xdr:nvSpPr>
        <xdr:cNvPr id="2" name="CaixaDeTexto 1">
          <a:hlinkClick xmlns:r="http://schemas.openxmlformats.org/officeDocument/2006/relationships" r:id="rId1"/>
          <a:extLst>
            <a:ext uri="{FF2B5EF4-FFF2-40B4-BE49-F238E27FC236}">
              <a16:creationId xmlns:a16="http://schemas.microsoft.com/office/drawing/2014/main" id="{00000000-0008-0000-2E00-000002000000}"/>
            </a:ext>
          </a:extLst>
        </xdr:cNvPr>
        <xdr:cNvSpPr txBox="1"/>
      </xdr:nvSpPr>
      <xdr:spPr>
        <a:xfrm>
          <a:off x="1304925"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B8A654F-0BDC-4066-AC4B-6A45CE458974}"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xdr:from>
      <xdr:col>0</xdr:col>
      <xdr:colOff>0</xdr:colOff>
      <xdr:row>0</xdr:row>
      <xdr:rowOff>38100</xdr:rowOff>
    </xdr:from>
    <xdr:to>
      <xdr:col>4</xdr:col>
      <xdr:colOff>502275</xdr:colOff>
      <xdr:row>4</xdr:row>
      <xdr:rowOff>88950</xdr:rowOff>
    </xdr:to>
    <xdr:sp macro="" textlink="[1]RENAME!$G$95">
      <xdr:nvSpPr>
        <xdr:cNvPr id="5" name="CaixaDeTexto 99">
          <a:extLst>
            <a:ext uri="{FF2B5EF4-FFF2-40B4-BE49-F238E27FC236}">
              <a16:creationId xmlns:a16="http://schemas.microsoft.com/office/drawing/2014/main" id="{00000000-0008-0000-2E00-000005000000}"/>
            </a:ext>
          </a:extLst>
        </xdr:cNvPr>
        <xdr:cNvSpPr txBox="1"/>
      </xdr:nvSpPr>
      <xdr:spPr>
        <a:xfrm>
          <a:off x="0" y="38100"/>
          <a:ext cx="3112125"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467D1D16-55CF-46D3-A155-0B6F087F443F}" type="TxLink">
            <a:rPr lang="en-US" sz="1600" b="1" i="0" u="none" strike="noStrike">
              <a:ln>
                <a:noFill/>
              </a:ln>
              <a:solidFill>
                <a:srgbClr val="F7931D"/>
              </a:solidFill>
              <a:latin typeface="Times New Roman"/>
              <a:cs typeface="Times New Roman"/>
            </a:rPr>
            <a:pPr algn="l"/>
            <a:t>Arrendamento Mercantil</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32</xdr:col>
      <xdr:colOff>554990</xdr:colOff>
      <xdr:row>0</xdr:row>
      <xdr:rowOff>63500</xdr:rowOff>
    </xdr:from>
    <xdr:ext cx="910080" cy="426118"/>
    <xdr:pic>
      <xdr:nvPicPr>
        <xdr:cNvPr id="7" name="Imagem 6">
          <a:extLst>
            <a:ext uri="{FF2B5EF4-FFF2-40B4-BE49-F238E27FC236}">
              <a16:creationId xmlns:a16="http://schemas.microsoft.com/office/drawing/2014/main" id="{00000000-0008-0000-2E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437340" y="63500"/>
          <a:ext cx="910080" cy="426118"/>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twoCellAnchor>
    <xdr:from>
      <xdr:col>2</xdr:col>
      <xdr:colOff>0</xdr:colOff>
      <xdr:row>0</xdr:row>
      <xdr:rowOff>9525</xdr:rowOff>
    </xdr:from>
    <xdr:to>
      <xdr:col>4</xdr:col>
      <xdr:colOff>635625</xdr:colOff>
      <xdr:row>3</xdr:row>
      <xdr:rowOff>155625</xdr:rowOff>
    </xdr:to>
    <xdr:sp macro="" textlink="[1]RENAME!$G$91">
      <xdr:nvSpPr>
        <xdr:cNvPr id="4" name="CaixaDeTexto 99">
          <a:extLst>
            <a:ext uri="{FF2B5EF4-FFF2-40B4-BE49-F238E27FC236}">
              <a16:creationId xmlns:a16="http://schemas.microsoft.com/office/drawing/2014/main" id="{00000000-0008-0000-2F00-000004000000}"/>
            </a:ext>
          </a:extLst>
        </xdr:cNvPr>
        <xdr:cNvSpPr txBox="1"/>
      </xdr:nvSpPr>
      <xdr:spPr>
        <a:xfrm>
          <a:off x="1219200" y="9525"/>
          <a:ext cx="375982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9E16A73-E3D8-49A9-8B1A-C8151DC3BCD9}" type="TxLink">
            <a:rPr lang="en-US" sz="1600" b="1" i="0" u="none" strike="noStrike" baseline="0">
              <a:ln>
                <a:noFill/>
              </a:ln>
              <a:solidFill>
                <a:srgbClr val="F7931D"/>
              </a:solidFill>
              <a:latin typeface="Times New Roman"/>
              <a:cs typeface="Times New Roman"/>
            </a:rPr>
            <a:pPr algn="l"/>
            <a:t>Operações Descontinuadas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5" name="CaixaDeTexto 4">
          <a:hlinkClick xmlns:r="http://schemas.openxmlformats.org/officeDocument/2006/relationships" r:id="rId1"/>
          <a:extLst>
            <a:ext uri="{FF2B5EF4-FFF2-40B4-BE49-F238E27FC236}">
              <a16:creationId xmlns:a16="http://schemas.microsoft.com/office/drawing/2014/main" id="{00000000-0008-0000-2F00-000005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73AD48F-B8EF-4B47-B590-035116D05490}"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twoCellAnchor editAs="oneCell">
    <xdr:from>
      <xdr:col>29</xdr:col>
      <xdr:colOff>514350</xdr:colOff>
      <xdr:row>0</xdr:row>
      <xdr:rowOff>0</xdr:rowOff>
    </xdr:from>
    <xdr:to>
      <xdr:col>30</xdr:col>
      <xdr:colOff>710055</xdr:colOff>
      <xdr:row>3</xdr:row>
      <xdr:rowOff>7018</xdr:rowOff>
    </xdr:to>
    <xdr:pic>
      <xdr:nvPicPr>
        <xdr:cNvPr id="7" name="Imagem 6">
          <a:extLst>
            <a:ext uri="{FF2B5EF4-FFF2-40B4-BE49-F238E27FC236}">
              <a16:creationId xmlns:a16="http://schemas.microsoft.com/office/drawing/2014/main" id="{00000000-0008-0000-2F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879550" y="0"/>
          <a:ext cx="910080" cy="426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2416800</xdr:colOff>
      <xdr:row>3</xdr:row>
      <xdr:rowOff>146100</xdr:rowOff>
    </xdr:to>
    <xdr:sp macro="" textlink="[1]RENAME!$G$50">
      <xdr:nvSpPr>
        <xdr:cNvPr id="10" name="CaixaDeTexto 99">
          <a:extLst>
            <a:ext uri="{FF2B5EF4-FFF2-40B4-BE49-F238E27FC236}">
              <a16:creationId xmlns:a16="http://schemas.microsoft.com/office/drawing/2014/main" id="{00000000-0008-0000-0400-00000A000000}"/>
            </a:ext>
          </a:extLst>
        </xdr:cNvPr>
        <xdr:cNvSpPr txBox="1"/>
      </xdr:nvSpPr>
      <xdr:spPr>
        <a:xfrm>
          <a:off x="0" y="0"/>
          <a:ext cx="25120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F4E84FB-CF79-48EB-AD79-86B40215F8B4}" type="TxLink">
            <a:rPr lang="en-US" sz="1600" b="1" i="0" u="none" strike="noStrike">
              <a:ln>
                <a:noFill/>
              </a:ln>
              <a:solidFill>
                <a:srgbClr val="F7931D"/>
              </a:solidFill>
              <a:latin typeface="Times New Roman"/>
              <a:cs typeface="Times New Roman"/>
            </a:rPr>
            <a:pPr algn="l"/>
            <a:t>Demonstração de resultado </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13144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B5828A2-67E2-4A55-B50D-B2A71CBC3C62}"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65</xdr:col>
      <xdr:colOff>469900</xdr:colOff>
      <xdr:row>0</xdr:row>
      <xdr:rowOff>92075</xdr:rowOff>
    </xdr:from>
    <xdr:ext cx="910080" cy="426118"/>
    <xdr:pic>
      <xdr:nvPicPr>
        <xdr:cNvPr id="5" name="Imagem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294675" y="92075"/>
          <a:ext cx="910080" cy="42611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361950</xdr:colOff>
      <xdr:row>3</xdr:row>
      <xdr:rowOff>146100</xdr:rowOff>
    </xdr:to>
    <xdr:sp macro="" textlink="[1]RENAME!$G$51">
      <xdr:nvSpPr>
        <xdr:cNvPr id="7" name="CaixaDeTexto 99">
          <a:extLst>
            <a:ext uri="{FF2B5EF4-FFF2-40B4-BE49-F238E27FC236}">
              <a16:creationId xmlns:a16="http://schemas.microsoft.com/office/drawing/2014/main" id="{00000000-0008-0000-0500-000007000000}"/>
            </a:ext>
          </a:extLst>
        </xdr:cNvPr>
        <xdr:cNvSpPr txBox="1"/>
      </xdr:nvSpPr>
      <xdr:spPr>
        <a:xfrm>
          <a:off x="0" y="0"/>
          <a:ext cx="41719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F16EFD6-DE62-4C35-8BE7-97C7B792A4F8}" type="TxLink">
            <a:rPr lang="en-US" sz="1600" b="1" i="0" u="none" strike="noStrike">
              <a:ln>
                <a:noFill/>
              </a:ln>
              <a:solidFill>
                <a:srgbClr val="F7931D"/>
              </a:solidFill>
              <a:latin typeface="Times New Roman"/>
              <a:cs typeface="Times New Roman"/>
            </a:rPr>
            <a:pPr algn="l"/>
            <a:t>DRE - Logística Automotiva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0500-000004000000}"/>
            </a:ext>
          </a:extLst>
        </xdr:cNvPr>
        <xdr:cNvSpPr txBox="1"/>
      </xdr:nvSpPr>
      <xdr:spPr>
        <a:xfrm>
          <a:off x="19240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7D2848A-A880-43BD-BC1F-781BBF3A06E8}"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60</xdr:col>
      <xdr:colOff>504825</xdr:colOff>
      <xdr:row>0</xdr:row>
      <xdr:rowOff>152400</xdr:rowOff>
    </xdr:from>
    <xdr:ext cx="910080" cy="426118"/>
    <xdr:pic>
      <xdr:nvPicPr>
        <xdr:cNvPr id="5" name="Imagem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071800" y="152400"/>
          <a:ext cx="910080" cy="42611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504825</xdr:colOff>
      <xdr:row>3</xdr:row>
      <xdr:rowOff>146100</xdr:rowOff>
    </xdr:to>
    <xdr:sp macro="" textlink="[1]RENAME!$G$52">
      <xdr:nvSpPr>
        <xdr:cNvPr id="7" name="CaixaDeTexto 99">
          <a:extLst>
            <a:ext uri="{FF2B5EF4-FFF2-40B4-BE49-F238E27FC236}">
              <a16:creationId xmlns:a16="http://schemas.microsoft.com/office/drawing/2014/main" id="{00000000-0008-0000-0600-000007000000}"/>
            </a:ext>
          </a:extLst>
        </xdr:cNvPr>
        <xdr:cNvSpPr txBox="1"/>
      </xdr:nvSpPr>
      <xdr:spPr>
        <a:xfrm>
          <a:off x="0" y="0"/>
          <a:ext cx="441007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7F4690B8-987C-4E37-92CD-57360F6C3543}" type="TxLink">
            <a:rPr lang="en-US" sz="1600" b="1" i="0" u="none" strike="noStrike">
              <a:ln>
                <a:noFill/>
              </a:ln>
              <a:solidFill>
                <a:srgbClr val="F7931D"/>
              </a:solidFill>
              <a:latin typeface="Times New Roman"/>
              <a:cs typeface="Times New Roman"/>
            </a:rPr>
            <a:pPr algn="l"/>
            <a:t>DRE - Logística Integrada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0600-000004000000}"/>
            </a:ext>
          </a:extLst>
        </xdr:cNvPr>
        <xdr:cNvSpPr txBox="1"/>
      </xdr:nvSpPr>
      <xdr:spPr>
        <a:xfrm>
          <a:off x="19240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E351D3E-3174-4FB0-AC31-02317C809BFD}"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60</xdr:col>
      <xdr:colOff>341243</xdr:colOff>
      <xdr:row>0</xdr:row>
      <xdr:rowOff>63500</xdr:rowOff>
    </xdr:from>
    <xdr:ext cx="910080" cy="426118"/>
    <xdr:pic>
      <xdr:nvPicPr>
        <xdr:cNvPr id="5" name="Imagem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260393" y="63500"/>
          <a:ext cx="910080" cy="42611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381000</xdr:colOff>
      <xdr:row>3</xdr:row>
      <xdr:rowOff>146100</xdr:rowOff>
    </xdr:to>
    <xdr:sp macro="" textlink="[1]RENAME!$G$53">
      <xdr:nvSpPr>
        <xdr:cNvPr id="7" name="CaixaDeTexto 99">
          <a:extLst>
            <a:ext uri="{FF2B5EF4-FFF2-40B4-BE49-F238E27FC236}">
              <a16:creationId xmlns:a16="http://schemas.microsoft.com/office/drawing/2014/main" id="{00000000-0008-0000-0700-000007000000}"/>
            </a:ext>
          </a:extLst>
        </xdr:cNvPr>
        <xdr:cNvSpPr txBox="1"/>
      </xdr:nvSpPr>
      <xdr:spPr>
        <a:xfrm>
          <a:off x="0" y="0"/>
          <a:ext cx="4305300" cy="65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ctr"/>
          <a:fld id="{A243F168-AF92-439C-B50A-CF56D540099E}" type="TxLink">
            <a:rPr lang="en-US" sz="1600" b="1" i="0" u="none" strike="noStrike">
              <a:ln>
                <a:noFill/>
              </a:ln>
              <a:solidFill>
                <a:srgbClr val="F7931D"/>
              </a:solidFill>
              <a:latin typeface="Times New Roman"/>
              <a:cs typeface="Times New Roman"/>
            </a:rPr>
            <a:pPr algn="ctr"/>
            <a:t>Demonstração de Resultado - consolidado</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0700-000004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953606-9B3C-413C-97C7-F8E0F09F6CD1}"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60</xdr:col>
      <xdr:colOff>663575</xdr:colOff>
      <xdr:row>0</xdr:row>
      <xdr:rowOff>114300</xdr:rowOff>
    </xdr:from>
    <xdr:ext cx="910080" cy="426118"/>
    <xdr:pic>
      <xdr:nvPicPr>
        <xdr:cNvPr id="5" name="Imagem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116625" y="114300"/>
          <a:ext cx="910080" cy="42611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3655050</xdr:colOff>
      <xdr:row>3</xdr:row>
      <xdr:rowOff>146100</xdr:rowOff>
    </xdr:to>
    <xdr:sp macro="" textlink="[1]RENAME!$G$54">
      <xdr:nvSpPr>
        <xdr:cNvPr id="5" name="CaixaDeTexto 99">
          <a:extLst>
            <a:ext uri="{FF2B5EF4-FFF2-40B4-BE49-F238E27FC236}">
              <a16:creationId xmlns:a16="http://schemas.microsoft.com/office/drawing/2014/main" id="{00000000-0008-0000-0800-000005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6B432BD-4460-47A0-AD4C-0B031A26935C}" type="TxLink">
            <a:rPr lang="en-US" sz="1600" b="1" i="0" u="none" strike="noStrike">
              <a:ln>
                <a:noFill/>
              </a:ln>
              <a:solidFill>
                <a:srgbClr val="F7931D"/>
              </a:solidFill>
              <a:latin typeface="Times New Roman"/>
              <a:cs typeface="Times New Roman"/>
            </a:rPr>
            <a:pPr algn="l"/>
            <a:t>Demonstração de fluxo de caixa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xdr:col>
      <xdr:colOff>0</xdr:colOff>
      <xdr:row>0</xdr:row>
      <xdr:rowOff>0</xdr:rowOff>
    </xdr:from>
    <xdr:ext cx="697370" cy="217560"/>
    <xdr:sp macro="" textlink="[1]RENAME!$E$13">
      <xdr:nvSpPr>
        <xdr:cNvPr id="4" name="CaixaDeTexto 3">
          <a:hlinkClick xmlns:r="http://schemas.openxmlformats.org/officeDocument/2006/relationships" r:id="rId1"/>
          <a:extLst>
            <a:ext uri="{FF2B5EF4-FFF2-40B4-BE49-F238E27FC236}">
              <a16:creationId xmlns:a16="http://schemas.microsoft.com/office/drawing/2014/main" id="{00000000-0008-0000-0800-000004000000}"/>
            </a:ext>
          </a:extLst>
        </xdr:cNvPr>
        <xdr:cNvSpPr txBox="1"/>
      </xdr:nvSpPr>
      <xdr:spPr>
        <a:xfrm>
          <a:off x="95250"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BD2331-26DE-4306-9318-B647099D108E}"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48</xdr:col>
      <xdr:colOff>559352</xdr:colOff>
      <xdr:row>0</xdr:row>
      <xdr:rowOff>117475</xdr:rowOff>
    </xdr:from>
    <xdr:ext cx="910080" cy="426118"/>
    <xdr:pic>
      <xdr:nvPicPr>
        <xdr:cNvPr id="7" name="Imagem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439902" y="117475"/>
          <a:ext cx="910080" cy="42611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IR%20FORCE\S&#233;rie%20Hist&#243;rica\Macro%20S&#233;rie%20Hist&#243;rica\RENAME.xlsm" TargetMode="External"/><Relationship Id="rId1" Type="http://schemas.openxmlformats.org/officeDocument/2006/relationships/externalLinkPath" Target="Macro%20S&#233;rie%20Hist&#243;rica/RENAME.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IR%20FORCE\S&#233;rie%20Hist&#243;rica\Ve&#237;culos.xlsx" TargetMode="External"/><Relationship Id="rId1" Type="http://schemas.openxmlformats.org/officeDocument/2006/relationships/externalLinkPath" Target="Ve&#237;culo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tegma.sharepoint.com/sites/Cloud/Matriz/Financeiro/CONTABILIDADE/Societ&#225;rio/2026/DF%20Tegma/2T26/Quadros%20Notas%20Explicativas%202&#186;%20ITR%202026.xlsx" TargetMode="External"/><Relationship Id="rId1" Type="http://schemas.openxmlformats.org/officeDocument/2006/relationships/externalLinkPath" Target="https://tegma.sharepoint.com/sites/Cloud/Matriz/Financeiro/CONTABILIDADE/Societ&#225;rio/2026/DF%20Tegma/2T26/Quadros%20Notas%20Explicativas%202&#186;%20ITR%202026.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tegma.sharepoint.com/sites/Cloud/Matriz/Financeiro/Investidores/RI/RESULTADOS%202026/2T26/Release%202T26.xlsx" TargetMode="External"/><Relationship Id="rId1" Type="http://schemas.openxmlformats.org/officeDocument/2006/relationships/externalLinkPath" Target="https://tegma.sharepoint.com/sites/Cloud/Matriz/Financeiro/Investidores/RI/RESULTADOS%202026/2T26/Release%202T26.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tegma.sharepoint.com/sites/Cloud/Matriz/Financeiro/Investidores/RI/RESUMO%20NEGOCIA&#199;&#213;ES/Resumo_TGMA3.xlsm" TargetMode="External"/><Relationship Id="rId1" Type="http://schemas.openxmlformats.org/officeDocument/2006/relationships/externalLinkPath" Target="https://tegma.sharepoint.com/sites/Cloud/Matriz/Financeiro/Investidores/RI/RESUMO%20NEGOCIA&#199;&#213;ES/Resumo_TGMA3.xlsm"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tegma.sharepoint.com/sites/Cloud/Matriz/Financeiro/Investidores/RI/DIVIDENDOS/Dividendos_Ago_26/DIVIDENDO_A&#199;&#195;O.xlsx" TargetMode="External"/><Relationship Id="rId1" Type="http://schemas.openxmlformats.org/officeDocument/2006/relationships/externalLinkPath" Target="https://tegma.sharepoint.com/sites/Cloud/Matriz/Financeiro/Investidores/RI/DIVIDENDOS/Dividendos_Ago_26/DIVIDENDO_A&#199;&#195;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NAME"/>
      <sheetName val="Pagina inicial"/>
      <sheetName val="Links"/>
    </sheetNames>
    <sheetDataSet>
      <sheetData sheetId="0">
        <row r="2">
          <cell r="R2" t="str">
            <v>#'BP'!B5</v>
          </cell>
        </row>
        <row r="3">
          <cell r="H3">
            <v>1</v>
          </cell>
          <cell r="R3" t="str">
            <v>#'DRE'!B5</v>
          </cell>
        </row>
        <row r="4">
          <cell r="R4" t="str">
            <v>#'Auto'!B5</v>
          </cell>
        </row>
        <row r="5">
          <cell r="R5" t="str">
            <v>#'LI'!B5</v>
          </cell>
        </row>
        <row r="6">
          <cell r="R6" t="str">
            <v>#'Consolidado'!B5</v>
          </cell>
        </row>
        <row r="7">
          <cell r="R7" t="str">
            <v>#'DFC'!B5</v>
          </cell>
        </row>
        <row r="8">
          <cell r="R8" t="str">
            <v>#'DVA'!B5</v>
          </cell>
        </row>
        <row r="9">
          <cell r="R9" t="str">
            <v>#'Indicadores'!B5</v>
          </cell>
        </row>
        <row r="10">
          <cell r="R10" t="str">
            <v>#'Estimativas'!B5</v>
          </cell>
        </row>
        <row r="11">
          <cell r="R11" t="str">
            <v>#'Dividendos'!B5</v>
          </cell>
        </row>
        <row r="12">
          <cell r="R12" t="str">
            <v>#'Dados Mercado'!B5</v>
          </cell>
        </row>
        <row r="13">
          <cell r="R13" t="str">
            <v>#'Anexos'!B5</v>
          </cell>
        </row>
        <row r="14">
          <cell r="R14" t="str">
            <v>#'Risco de Liquidez'!B5</v>
          </cell>
        </row>
        <row r="15">
          <cell r="R15" t="str">
            <v>#'Análise de Sensibilidade'!B5</v>
          </cell>
        </row>
        <row r="16">
          <cell r="R16" t="str">
            <v>#'Gestão de Capital'!B5</v>
          </cell>
        </row>
        <row r="17">
          <cell r="R17" t="str">
            <v>#'Caixa e Equivalente de Caixa'!B5</v>
          </cell>
        </row>
        <row r="18">
          <cell r="R18" t="str">
            <v>#'Contas a Receber'!B5</v>
          </cell>
        </row>
        <row r="19">
          <cell r="R19" t="str">
            <v>#'Contas a Receber Aging'!B5</v>
          </cell>
        </row>
        <row r="20">
          <cell r="R20" t="str">
            <v>#'Contas a Receber Mov PDD'!B5</v>
          </cell>
        </row>
        <row r="21">
          <cell r="R21" t="str">
            <v>#'Demais Contas a Receber'!B5</v>
          </cell>
        </row>
        <row r="22">
          <cell r="R22" t="str">
            <v>#'Impostos a Recuperar'!B5</v>
          </cell>
        </row>
        <row r="23">
          <cell r="R23" t="str">
            <v>#'Investimentos A'!B5</v>
          </cell>
        </row>
        <row r="24">
          <cell r="R24" t="str">
            <v>#'Investimentos C'!B5</v>
          </cell>
        </row>
        <row r="25">
          <cell r="R25" t="str">
            <v>#'Investimentos E'!B5</v>
          </cell>
        </row>
        <row r="26">
          <cell r="R26" t="str">
            <v>#'Investimentos F'!B5</v>
          </cell>
        </row>
        <row r="27">
          <cell r="R27" t="str">
            <v>#'Imobilizado '!B5</v>
          </cell>
        </row>
        <row r="28">
          <cell r="R28" t="str">
            <v>#'Intangível'!B5</v>
          </cell>
        </row>
        <row r="29">
          <cell r="R29" t="str">
            <v>#'Empréstimos e Financiamentos'!B5</v>
          </cell>
        </row>
        <row r="30">
          <cell r="R30" t="str">
            <v>#'Salários e Encargos Sociais'!B5</v>
          </cell>
        </row>
        <row r="31">
          <cell r="R31" t="str">
            <v>#'Riscos Judiciais'!B5</v>
          </cell>
        </row>
        <row r="32">
          <cell r="R32" t="str">
            <v>#'Despesas de IR e CSLL'!B5</v>
          </cell>
        </row>
        <row r="33">
          <cell r="R33" t="str">
            <v>#'IR e CS Diferidos'!B5</v>
          </cell>
        </row>
        <row r="34">
          <cell r="R34" t="str">
            <v>#'Demais Contas a Pagar'!B5</v>
          </cell>
        </row>
        <row r="35">
          <cell r="R35" t="str">
            <v>#'Outras receitas e despesas'!B5</v>
          </cell>
        </row>
        <row r="36">
          <cell r="R36" t="str">
            <v>#'Receita'!B5</v>
          </cell>
        </row>
        <row r="37">
          <cell r="R37" t="str">
            <v>#'Despesas por Natureza 1'!B5</v>
          </cell>
        </row>
        <row r="38">
          <cell r="R38" t="str">
            <v>#'Despesas por Natureza'!B5</v>
          </cell>
        </row>
        <row r="39">
          <cell r="R39" t="str">
            <v>#'Resultado financeiro'!B5</v>
          </cell>
        </row>
        <row r="40">
          <cell r="R40" t="str">
            <v>#'Remuneração Administração'!B5</v>
          </cell>
        </row>
        <row r="41">
          <cell r="R41" t="str">
            <v>#'Arrendamento Operacional'!B5</v>
          </cell>
        </row>
        <row r="42">
          <cell r="R42" t="str">
            <v>#'Partes Relacionadas'!B5</v>
          </cell>
        </row>
        <row r="43">
          <cell r="R43" t="str">
            <v>#'Operações Descontinuadas'!B5</v>
          </cell>
        </row>
        <row r="44">
          <cell r="R44" t="str">
            <v>#'DMPL'!B5</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riações"/>
      <sheetName val="Gráficos"/>
      <sheetName val="Resumo"/>
      <sheetName val="Base"/>
      <sheetName val="Volumes NOVO"/>
      <sheetName val="Vendas por modelo"/>
      <sheetName val="Planilha1"/>
      <sheetName val="Planilha4"/>
      <sheetName val="Atualização"/>
      <sheetName val="2013"/>
      <sheetName val="2014"/>
      <sheetName val="2015"/>
      <sheetName val="2017"/>
      <sheetName val="2017´"/>
      <sheetName val="2019´"/>
      <sheetName val="2018´"/>
      <sheetName val="ANFAVEA"/>
      <sheetName val="2020´"/>
      <sheetName val="Ocupação Armazens"/>
      <sheetName val="Mktshare"/>
      <sheetName val="Chinesas"/>
      <sheetName val="Base NOVO"/>
      <sheetName val="Gráficos Mercado"/>
      <sheetName val="Planilha2"/>
      <sheetName val="Mktshare1"/>
      <sheetName val="Feriados"/>
      <sheetName val="Vendas por modelo 2021"/>
      <sheetName val="2016"/>
    </sheetNames>
    <sheetDataSet>
      <sheetData sheetId="0"/>
      <sheetData sheetId="1"/>
      <sheetData sheetId="2"/>
      <sheetData sheetId="3">
        <row r="1">
          <cell r="F1" t="str">
            <v>Indicadores Tegma</v>
          </cell>
          <cell r="P1" t="str">
            <v>Vendas (Dom. e Exp)</v>
          </cell>
          <cell r="T1" t="str">
            <v xml:space="preserve">Estoques  </v>
          </cell>
          <cell r="X1" t="str">
            <v>Vendas em atacado</v>
          </cell>
        </row>
        <row r="2">
          <cell r="E2" t="str">
            <v>Período</v>
          </cell>
          <cell r="F2" t="str">
            <v>Veículos Total</v>
          </cell>
          <cell r="G2" t="str">
            <v>Veículos Dom</v>
          </cell>
          <cell r="H2" t="str">
            <v>Veículos Exp</v>
          </cell>
          <cell r="I2" t="str">
            <v>Km Total</v>
          </cell>
          <cell r="J2" t="str">
            <v>Km Dom</v>
          </cell>
          <cell r="K2" t="str">
            <v>Km Exp</v>
          </cell>
          <cell r="L2" t="str">
            <v>Km Média</v>
          </cell>
          <cell r="M2" t="str">
            <v>Km Média Dom</v>
          </cell>
          <cell r="N2" t="str">
            <v>Km Média Exp</v>
          </cell>
          <cell r="P2" t="str">
            <v>Vendas (Dom. e Exp)</v>
          </cell>
          <cell r="Q2" t="str">
            <v>Venda Dom</v>
          </cell>
          <cell r="R2" t="str">
            <v>Venda Exp</v>
          </cell>
          <cell r="T2" t="str">
            <v>Estoques total</v>
          </cell>
          <cell r="U2" t="str">
            <v>Estoques Conces</v>
          </cell>
          <cell r="V2" t="str">
            <v>Estoques Fábrica</v>
          </cell>
          <cell r="X2" t="str">
            <v>Prod</v>
          </cell>
          <cell r="Y2" t="str">
            <v>Impor</v>
          </cell>
        </row>
        <row r="3">
          <cell r="E3">
            <v>39814</v>
          </cell>
          <cell r="F3">
            <v>55314</v>
          </cell>
          <cell r="G3">
            <v>51383</v>
          </cell>
          <cell r="H3">
            <v>3931</v>
          </cell>
          <cell r="I3">
            <v>47603908.820072994</v>
          </cell>
          <cell r="J3">
            <v>47173708.814545996</v>
          </cell>
          <cell r="K3">
            <v>430200.005527</v>
          </cell>
          <cell r="L3">
            <v>860.61230104626304</v>
          </cell>
          <cell r="M3">
            <v>918.08008124371872</v>
          </cell>
          <cell r="N3">
            <v>109.43780349198677</v>
          </cell>
          <cell r="P3">
            <v>233012</v>
          </cell>
          <cell r="Q3">
            <v>189722</v>
          </cell>
          <cell r="R3">
            <v>43290</v>
          </cell>
          <cell r="T3" t="str">
            <v>-</v>
          </cell>
          <cell r="U3" t="str">
            <v>-</v>
          </cell>
          <cell r="V3" t="str">
            <v>-</v>
          </cell>
          <cell r="X3">
            <v>170766</v>
          </cell>
          <cell r="Y3">
            <v>38252</v>
          </cell>
        </row>
        <row r="4">
          <cell r="E4">
            <v>39845</v>
          </cell>
          <cell r="F4">
            <v>65154</v>
          </cell>
          <cell r="G4">
            <v>60441</v>
          </cell>
          <cell r="H4">
            <v>4713</v>
          </cell>
          <cell r="I4">
            <v>58509880.067530006</v>
          </cell>
          <cell r="J4">
            <v>58042201.063348003</v>
          </cell>
          <cell r="K4">
            <v>467679.004182</v>
          </cell>
          <cell r="L4">
            <v>898.02437406038007</v>
          </cell>
          <cell r="M4">
            <v>960.31172653245324</v>
          </cell>
          <cell r="N4">
            <v>99.231700441756843</v>
          </cell>
          <cell r="P4">
            <v>232071</v>
          </cell>
          <cell r="Q4">
            <v>191352</v>
          </cell>
          <cell r="R4">
            <v>40719</v>
          </cell>
          <cell r="T4" t="str">
            <v>-</v>
          </cell>
          <cell r="U4" t="str">
            <v>-</v>
          </cell>
          <cell r="V4" t="str">
            <v>-</v>
          </cell>
          <cell r="X4">
            <v>187116</v>
          </cell>
          <cell r="Y4">
            <v>30542</v>
          </cell>
          <cell r="AF4" t="str">
            <v>-</v>
          </cell>
        </row>
        <row r="5">
          <cell r="E5">
            <v>39873</v>
          </cell>
          <cell r="F5">
            <v>80948</v>
          </cell>
          <cell r="G5">
            <v>75183</v>
          </cell>
          <cell r="H5">
            <v>5765</v>
          </cell>
          <cell r="I5">
            <v>69587545.294344008</v>
          </cell>
          <cell r="J5">
            <v>69065672.289026007</v>
          </cell>
          <cell r="K5">
            <v>521873.00531800004</v>
          </cell>
          <cell r="L5">
            <v>859.65737627049475</v>
          </cell>
          <cell r="M5">
            <v>918.63416316223095</v>
          </cell>
          <cell r="N5">
            <v>90.52437212801388</v>
          </cell>
          <cell r="P5">
            <v>306862</v>
          </cell>
          <cell r="Q5">
            <v>260929</v>
          </cell>
          <cell r="R5">
            <v>45933</v>
          </cell>
          <cell r="T5" t="str">
            <v>-</v>
          </cell>
          <cell r="U5" t="str">
            <v>-</v>
          </cell>
          <cell r="V5" t="str">
            <v>-</v>
          </cell>
          <cell r="X5">
            <v>254365</v>
          </cell>
          <cell r="Y5">
            <v>34971</v>
          </cell>
          <cell r="AF5" t="str">
            <v>-</v>
          </cell>
        </row>
        <row r="6">
          <cell r="E6">
            <v>39904</v>
          </cell>
          <cell r="F6">
            <v>75184</v>
          </cell>
          <cell r="G6">
            <v>69236</v>
          </cell>
          <cell r="H6">
            <v>5948</v>
          </cell>
          <cell r="I6">
            <v>62951228.611850001</v>
          </cell>
          <cell r="J6">
            <v>62402282.606941</v>
          </cell>
          <cell r="K6">
            <v>548946.00490900001</v>
          </cell>
          <cell r="L6">
            <v>837.29554974263147</v>
          </cell>
          <cell r="M6">
            <v>901.29820623578769</v>
          </cell>
          <cell r="N6">
            <v>92.290854893913917</v>
          </cell>
          <cell r="P6">
            <v>269608</v>
          </cell>
          <cell r="Q6">
            <v>224385</v>
          </cell>
          <cell r="R6">
            <v>45223</v>
          </cell>
          <cell r="T6" t="str">
            <v>-</v>
          </cell>
          <cell r="U6" t="str">
            <v>-</v>
          </cell>
          <cell r="V6" t="str">
            <v>-</v>
          </cell>
          <cell r="X6">
            <v>233160</v>
          </cell>
          <cell r="Y6">
            <v>30849</v>
          </cell>
          <cell r="AF6" t="str">
            <v>-</v>
          </cell>
        </row>
        <row r="7">
          <cell r="E7">
            <v>39934</v>
          </cell>
          <cell r="F7">
            <v>83085</v>
          </cell>
          <cell r="G7">
            <v>75784</v>
          </cell>
          <cell r="H7">
            <v>7301</v>
          </cell>
          <cell r="I7">
            <v>71114919.525141001</v>
          </cell>
          <cell r="J7">
            <v>70507693.522584006</v>
          </cell>
          <cell r="K7">
            <v>607226.00255700003</v>
          </cell>
          <cell r="L7">
            <v>855.92970482206181</v>
          </cell>
          <cell r="M7">
            <v>930.37703898691029</v>
          </cell>
          <cell r="N7">
            <v>83.170251000821807</v>
          </cell>
          <cell r="P7">
            <v>276850</v>
          </cell>
          <cell r="Q7">
            <v>237394</v>
          </cell>
          <cell r="R7">
            <v>39456</v>
          </cell>
          <cell r="T7" t="str">
            <v>-</v>
          </cell>
          <cell r="U7" t="str">
            <v>-</v>
          </cell>
          <cell r="V7" t="str">
            <v>-</v>
          </cell>
          <cell r="X7">
            <v>250568</v>
          </cell>
          <cell r="Y7">
            <v>33115</v>
          </cell>
          <cell r="AF7" t="str">
            <v>-</v>
          </cell>
        </row>
        <row r="8">
          <cell r="E8">
            <v>39965</v>
          </cell>
          <cell r="F8">
            <v>87173</v>
          </cell>
          <cell r="G8">
            <v>80670</v>
          </cell>
          <cell r="H8">
            <v>6503</v>
          </cell>
          <cell r="I8">
            <v>74590649.478357002</v>
          </cell>
          <cell r="J8">
            <v>72408999.475931004</v>
          </cell>
          <cell r="K8">
            <v>2181650.0024259998</v>
          </cell>
          <cell r="L8">
            <v>855.66229771095414</v>
          </cell>
          <cell r="M8">
            <v>897.59513420021074</v>
          </cell>
          <cell r="N8">
            <v>335.48362331631552</v>
          </cell>
          <cell r="P8">
            <v>341440</v>
          </cell>
          <cell r="Q8">
            <v>289788</v>
          </cell>
          <cell r="R8">
            <v>51652</v>
          </cell>
          <cell r="T8" t="str">
            <v>-</v>
          </cell>
          <cell r="U8" t="str">
            <v>-</v>
          </cell>
          <cell r="V8" t="str">
            <v>-</v>
          </cell>
          <cell r="X8">
            <v>264036</v>
          </cell>
          <cell r="Y8">
            <v>39855</v>
          </cell>
          <cell r="AF8" t="str">
            <v>-</v>
          </cell>
        </row>
        <row r="9">
          <cell r="E9">
            <v>39995</v>
          </cell>
          <cell r="F9">
            <v>88349</v>
          </cell>
          <cell r="G9">
            <v>82315</v>
          </cell>
          <cell r="H9">
            <v>6034</v>
          </cell>
          <cell r="I9">
            <v>73119908.572878003</v>
          </cell>
          <cell r="J9">
            <v>71972504.570392996</v>
          </cell>
          <cell r="K9">
            <v>1147404.0024850001</v>
          </cell>
          <cell r="L9">
            <v>827.62576342548311</v>
          </cell>
          <cell r="M9">
            <v>874.35466889865756</v>
          </cell>
          <cell r="N9">
            <v>190.15644721329136</v>
          </cell>
          <cell r="P9">
            <v>320236</v>
          </cell>
          <cell r="Q9">
            <v>273597</v>
          </cell>
          <cell r="R9">
            <v>46639</v>
          </cell>
          <cell r="T9" t="str">
            <v>-</v>
          </cell>
          <cell r="U9" t="str">
            <v>-</v>
          </cell>
          <cell r="V9" t="str">
            <v>-</v>
          </cell>
          <cell r="X9">
            <v>259228</v>
          </cell>
          <cell r="Y9">
            <v>42960</v>
          </cell>
          <cell r="AF9" t="str">
            <v>-</v>
          </cell>
        </row>
        <row r="10">
          <cell r="E10">
            <v>40026</v>
          </cell>
          <cell r="F10">
            <v>90122</v>
          </cell>
          <cell r="G10">
            <v>82664</v>
          </cell>
          <cell r="H10">
            <v>7458</v>
          </cell>
          <cell r="I10">
            <v>76904561.640494987</v>
          </cell>
          <cell r="J10">
            <v>76115615.637523994</v>
          </cell>
          <cell r="K10">
            <v>788946.00297100004</v>
          </cell>
          <cell r="L10">
            <v>853.3383817546769</v>
          </cell>
          <cell r="M10">
            <v>920.78311765126284</v>
          </cell>
          <cell r="N10">
            <v>105.78519750214535</v>
          </cell>
          <cell r="P10">
            <v>295373</v>
          </cell>
          <cell r="Q10">
            <v>247514</v>
          </cell>
          <cell r="R10">
            <v>47859</v>
          </cell>
          <cell r="T10" t="str">
            <v>-</v>
          </cell>
          <cell r="U10" t="str">
            <v>-</v>
          </cell>
          <cell r="V10" t="str">
            <v>-</v>
          </cell>
          <cell r="X10">
            <v>272807</v>
          </cell>
          <cell r="Y10">
            <v>37291</v>
          </cell>
          <cell r="AF10" t="str">
            <v>-</v>
          </cell>
        </row>
        <row r="11">
          <cell r="E11">
            <v>40057</v>
          </cell>
          <cell r="F11">
            <v>88505</v>
          </cell>
          <cell r="G11">
            <v>83758</v>
          </cell>
          <cell r="H11">
            <v>4747</v>
          </cell>
          <cell r="I11">
            <v>75933123.494061008</v>
          </cell>
          <cell r="J11">
            <v>75411797.466938004</v>
          </cell>
          <cell r="K11">
            <v>521326.02712300001</v>
          </cell>
          <cell r="L11">
            <v>857.95292349653698</v>
          </cell>
          <cell r="M11">
            <v>900.35336883566947</v>
          </cell>
          <cell r="N11">
            <v>109.82220921065937</v>
          </cell>
          <cell r="P11">
            <v>340295</v>
          </cell>
          <cell r="Q11">
            <v>296661</v>
          </cell>
          <cell r="R11">
            <v>43634</v>
          </cell>
          <cell r="T11" t="str">
            <v>-</v>
          </cell>
          <cell r="U11" t="str">
            <v>-</v>
          </cell>
          <cell r="V11" t="str">
            <v>-</v>
          </cell>
          <cell r="X11">
            <v>249629</v>
          </cell>
          <cell r="Y11">
            <v>45943</v>
          </cell>
          <cell r="AF11" t="str">
            <v>-</v>
          </cell>
        </row>
        <row r="12">
          <cell r="E12">
            <v>40087</v>
          </cell>
          <cell r="F12">
            <v>97664</v>
          </cell>
          <cell r="G12">
            <v>90541</v>
          </cell>
          <cell r="H12">
            <v>7123</v>
          </cell>
          <cell r="I12">
            <v>81458338.756044</v>
          </cell>
          <cell r="J12">
            <v>80846820.701334998</v>
          </cell>
          <cell r="K12">
            <v>611518.05470900005</v>
          </cell>
          <cell r="L12">
            <v>834.06719728911366</v>
          </cell>
          <cell r="M12">
            <v>892.93050332263829</v>
          </cell>
          <cell r="N12">
            <v>85.8511939785203</v>
          </cell>
          <cell r="P12">
            <v>327884</v>
          </cell>
          <cell r="Q12">
            <v>281279</v>
          </cell>
          <cell r="R12">
            <v>46605</v>
          </cell>
          <cell r="T12" t="str">
            <v>-</v>
          </cell>
          <cell r="U12" t="str">
            <v>-</v>
          </cell>
          <cell r="V12" t="str">
            <v>-</v>
          </cell>
          <cell r="X12">
            <v>290481</v>
          </cell>
          <cell r="Y12">
            <v>49944</v>
          </cell>
          <cell r="AF12" t="str">
            <v>-</v>
          </cell>
        </row>
        <row r="13">
          <cell r="E13">
            <v>40118</v>
          </cell>
          <cell r="F13">
            <v>86742</v>
          </cell>
          <cell r="G13">
            <v>78133</v>
          </cell>
          <cell r="H13">
            <v>8609</v>
          </cell>
          <cell r="I13">
            <v>74428289.696961999</v>
          </cell>
          <cell r="J13">
            <v>73625858.675724998</v>
          </cell>
          <cell r="K13">
            <v>802431.02123700001</v>
          </cell>
          <cell r="L13">
            <v>858.04212142862741</v>
          </cell>
          <cell r="M13">
            <v>942.31449804468025</v>
          </cell>
          <cell r="N13">
            <v>93.20838903902893</v>
          </cell>
          <cell r="P13">
            <v>275504</v>
          </cell>
          <cell r="Q13">
            <v>238423</v>
          </cell>
          <cell r="R13">
            <v>37081</v>
          </cell>
          <cell r="T13" t="str">
            <v>-</v>
          </cell>
          <cell r="U13" t="str">
            <v>-</v>
          </cell>
          <cell r="V13" t="str">
            <v>-</v>
          </cell>
          <cell r="X13">
            <v>266213</v>
          </cell>
          <cell r="Y13">
            <v>45417</v>
          </cell>
          <cell r="AF13" t="str">
            <v>-</v>
          </cell>
        </row>
        <row r="14">
          <cell r="E14">
            <v>40148</v>
          </cell>
          <cell r="F14">
            <v>89416</v>
          </cell>
          <cell r="G14">
            <v>80318</v>
          </cell>
          <cell r="H14">
            <v>9098</v>
          </cell>
          <cell r="I14">
            <v>77324222.31585899</v>
          </cell>
          <cell r="J14">
            <v>76547803.276641995</v>
          </cell>
          <cell r="K14">
            <v>776419.03921700001</v>
          </cell>
          <cell r="L14">
            <v>864.76941840228812</v>
          </cell>
          <cell r="M14">
            <v>953.05913091264711</v>
          </cell>
          <cell r="N14">
            <v>85.339529480874916</v>
          </cell>
          <cell r="P14">
            <v>313766</v>
          </cell>
          <cell r="Q14">
            <v>277823</v>
          </cell>
          <cell r="R14">
            <v>35943</v>
          </cell>
          <cell r="T14" t="str">
            <v>-</v>
          </cell>
          <cell r="U14" t="str">
            <v>-</v>
          </cell>
          <cell r="V14" t="str">
            <v>-</v>
          </cell>
          <cell r="X14">
            <v>226615</v>
          </cell>
          <cell r="Y14">
            <v>56545</v>
          </cell>
          <cell r="AF14" t="str">
            <v>-</v>
          </cell>
        </row>
        <row r="15">
          <cell r="E15">
            <v>40179</v>
          </cell>
          <cell r="F15">
            <v>67620</v>
          </cell>
          <cell r="G15">
            <v>58881</v>
          </cell>
          <cell r="H15">
            <v>8739</v>
          </cell>
          <cell r="I15">
            <v>66459480</v>
          </cell>
          <cell r="J15">
            <v>65426436</v>
          </cell>
          <cell r="K15">
            <v>1033044.0000000001</v>
          </cell>
          <cell r="L15">
            <v>982.83762200532385</v>
          </cell>
          <cell r="M15">
            <v>1111.1638049625517</v>
          </cell>
          <cell r="N15">
            <v>118.21077926536218</v>
          </cell>
          <cell r="P15">
            <v>218346</v>
          </cell>
          <cell r="Q15">
            <v>201709</v>
          </cell>
          <cell r="R15">
            <v>16637</v>
          </cell>
          <cell r="T15" t="str">
            <v>-</v>
          </cell>
          <cell r="U15" t="str">
            <v>-</v>
          </cell>
          <cell r="V15" t="str">
            <v>-</v>
          </cell>
          <cell r="X15">
            <v>218952</v>
          </cell>
          <cell r="Y15">
            <v>42812</v>
          </cell>
          <cell r="AF15" t="str">
            <v>-</v>
          </cell>
        </row>
        <row r="16">
          <cell r="E16">
            <v>40210</v>
          </cell>
          <cell r="F16">
            <v>72856</v>
          </cell>
          <cell r="G16">
            <v>63353</v>
          </cell>
          <cell r="H16">
            <v>9503</v>
          </cell>
          <cell r="I16">
            <v>67761663</v>
          </cell>
          <cell r="J16">
            <v>66719209</v>
          </cell>
          <cell r="K16">
            <v>1042454</v>
          </cell>
          <cell r="L16">
            <v>930.07663061381356</v>
          </cell>
          <cell r="M16">
            <v>1053.1341688633529</v>
          </cell>
          <cell r="N16">
            <v>109.69735872882248</v>
          </cell>
          <cell r="P16">
            <v>232812</v>
          </cell>
          <cell r="Q16">
            <v>211358</v>
          </cell>
          <cell r="R16">
            <v>21454</v>
          </cell>
          <cell r="T16" t="str">
            <v>-</v>
          </cell>
          <cell r="U16" t="str">
            <v>-</v>
          </cell>
          <cell r="V16" t="str">
            <v>-</v>
          </cell>
          <cell r="X16">
            <v>220416</v>
          </cell>
          <cell r="Y16">
            <v>40384</v>
          </cell>
          <cell r="AF16" t="str">
            <v>-</v>
          </cell>
        </row>
        <row r="17">
          <cell r="E17">
            <v>40238</v>
          </cell>
          <cell r="F17">
            <v>100283</v>
          </cell>
          <cell r="G17">
            <v>91512</v>
          </cell>
          <cell r="H17">
            <v>8771</v>
          </cell>
          <cell r="I17">
            <v>96675500</v>
          </cell>
          <cell r="J17">
            <v>95838419</v>
          </cell>
          <cell r="K17">
            <v>837080.99999999988</v>
          </cell>
          <cell r="L17">
            <v>964.02680414427175</v>
          </cell>
          <cell r="M17">
            <v>1047.2770674884168</v>
          </cell>
          <cell r="N17">
            <v>95.437350359138051</v>
          </cell>
          <cell r="P17">
            <v>362171</v>
          </cell>
          <cell r="Q17">
            <v>337352</v>
          </cell>
          <cell r="R17">
            <v>24819</v>
          </cell>
          <cell r="T17" t="str">
            <v>-</v>
          </cell>
          <cell r="U17" t="str">
            <v>-</v>
          </cell>
          <cell r="V17" t="str">
            <v>-</v>
          </cell>
          <cell r="X17">
            <v>297384</v>
          </cell>
          <cell r="Y17">
            <v>58005</v>
          </cell>
          <cell r="AF17" t="str">
            <v>-</v>
          </cell>
        </row>
        <row r="18">
          <cell r="E18">
            <v>40269</v>
          </cell>
          <cell r="F18">
            <v>82524</v>
          </cell>
          <cell r="G18">
            <v>75184</v>
          </cell>
          <cell r="H18">
            <v>7340</v>
          </cell>
          <cell r="I18">
            <v>81099763</v>
          </cell>
          <cell r="J18">
            <v>79857259</v>
          </cell>
          <cell r="K18">
            <v>1242504</v>
          </cell>
          <cell r="L18">
            <v>982.74154185449083</v>
          </cell>
          <cell r="M18">
            <v>1062.1576266226857</v>
          </cell>
          <cell r="N18">
            <v>169.27847411444142</v>
          </cell>
          <cell r="P18">
            <v>286518</v>
          </cell>
          <cell r="Q18">
            <v>261877</v>
          </cell>
          <cell r="R18">
            <v>24641</v>
          </cell>
          <cell r="T18" t="str">
            <v>-</v>
          </cell>
          <cell r="U18" t="str">
            <v>-</v>
          </cell>
          <cell r="V18" t="str">
            <v>-</v>
          </cell>
          <cell r="X18">
            <v>255727</v>
          </cell>
          <cell r="Y18">
            <v>49388</v>
          </cell>
          <cell r="AF18" t="str">
            <v>-</v>
          </cell>
        </row>
        <row r="19">
          <cell r="E19">
            <v>40299</v>
          </cell>
          <cell r="F19">
            <v>88262</v>
          </cell>
          <cell r="G19">
            <v>80990</v>
          </cell>
          <cell r="H19">
            <v>7272</v>
          </cell>
          <cell r="I19">
            <v>94647439</v>
          </cell>
          <cell r="J19">
            <v>93378289</v>
          </cell>
          <cell r="K19">
            <v>1269150</v>
          </cell>
          <cell r="L19">
            <v>1072.346411819356</v>
          </cell>
          <cell r="M19">
            <v>1152.9607235461167</v>
          </cell>
          <cell r="N19">
            <v>174.52557755775578</v>
          </cell>
          <cell r="P19">
            <v>267235</v>
          </cell>
          <cell r="Q19">
            <v>235743</v>
          </cell>
          <cell r="R19">
            <v>31492</v>
          </cell>
          <cell r="T19" t="str">
            <v>-</v>
          </cell>
          <cell r="U19" t="str">
            <v>-</v>
          </cell>
          <cell r="V19" t="str">
            <v>-</v>
          </cell>
          <cell r="X19">
            <v>277885</v>
          </cell>
          <cell r="Y19">
            <v>44789</v>
          </cell>
          <cell r="AF19" t="str">
            <v>-</v>
          </cell>
        </row>
        <row r="20">
          <cell r="E20">
            <v>40330</v>
          </cell>
          <cell r="F20">
            <v>83987.5</v>
          </cell>
          <cell r="G20">
            <v>74692</v>
          </cell>
          <cell r="H20">
            <v>9295.5</v>
          </cell>
          <cell r="I20">
            <v>86236820</v>
          </cell>
          <cell r="J20">
            <v>84922053</v>
          </cell>
          <cell r="K20">
            <v>1314767</v>
          </cell>
          <cell r="L20">
            <v>1026.7816044054175</v>
          </cell>
          <cell r="M20">
            <v>1136.9631687463182</v>
          </cell>
          <cell r="N20">
            <v>141.44123500618579</v>
          </cell>
          <cell r="P20">
            <v>277620</v>
          </cell>
          <cell r="Q20">
            <v>247489</v>
          </cell>
          <cell r="R20">
            <v>30131</v>
          </cell>
          <cell r="T20" t="str">
            <v>-</v>
          </cell>
          <cell r="U20" t="str">
            <v>-</v>
          </cell>
          <cell r="V20" t="str">
            <v>-</v>
          </cell>
          <cell r="X20">
            <v>264028</v>
          </cell>
          <cell r="Y20">
            <v>46125</v>
          </cell>
          <cell r="AF20" t="str">
            <v>-</v>
          </cell>
        </row>
        <row r="21">
          <cell r="E21">
            <v>40360</v>
          </cell>
          <cell r="F21">
            <v>89029</v>
          </cell>
          <cell r="G21">
            <v>83188</v>
          </cell>
          <cell r="H21">
            <v>5841</v>
          </cell>
          <cell r="I21">
            <v>89722704</v>
          </cell>
          <cell r="J21">
            <v>88751738</v>
          </cell>
          <cell r="K21">
            <v>970966</v>
          </cell>
          <cell r="L21">
            <v>1007.7918880364825</v>
          </cell>
          <cell r="M21">
            <v>1066.8814973313458</v>
          </cell>
          <cell r="N21">
            <v>166.23283684300634</v>
          </cell>
          <cell r="P21">
            <v>309363</v>
          </cell>
          <cell r="Q21">
            <v>285224</v>
          </cell>
          <cell r="R21">
            <v>24139</v>
          </cell>
          <cell r="T21" t="str">
            <v>-</v>
          </cell>
          <cell r="U21" t="str">
            <v>-</v>
          </cell>
          <cell r="V21" t="str">
            <v>-</v>
          </cell>
          <cell r="X21">
            <v>269833</v>
          </cell>
          <cell r="Y21">
            <v>54038</v>
          </cell>
          <cell r="AF21" t="str">
            <v>-</v>
          </cell>
        </row>
        <row r="22">
          <cell r="E22">
            <v>40391</v>
          </cell>
          <cell r="F22">
            <v>98853</v>
          </cell>
          <cell r="G22">
            <v>89667</v>
          </cell>
          <cell r="H22">
            <v>9186</v>
          </cell>
          <cell r="I22">
            <v>92165527</v>
          </cell>
          <cell r="J22">
            <v>90929507</v>
          </cell>
          <cell r="K22">
            <v>1236020</v>
          </cell>
          <cell r="L22">
            <v>932.34931666211446</v>
          </cell>
          <cell r="M22">
            <v>1014.0799513756455</v>
          </cell>
          <cell r="N22">
            <v>134.55475723927717</v>
          </cell>
          <cell r="P22">
            <v>330850</v>
          </cell>
          <cell r="Q22">
            <v>296605</v>
          </cell>
          <cell r="R22">
            <v>34245</v>
          </cell>
          <cell r="T22" t="str">
            <v>-</v>
          </cell>
          <cell r="U22" t="str">
            <v>-</v>
          </cell>
          <cell r="V22" t="str">
            <v>-</v>
          </cell>
          <cell r="X22">
            <v>286241</v>
          </cell>
          <cell r="Y22">
            <v>57142</v>
          </cell>
          <cell r="AF22" t="str">
            <v>-</v>
          </cell>
        </row>
        <row r="23">
          <cell r="E23">
            <v>40422</v>
          </cell>
          <cell r="F23">
            <v>96426</v>
          </cell>
          <cell r="G23">
            <v>85618</v>
          </cell>
          <cell r="H23">
            <v>10808</v>
          </cell>
          <cell r="I23">
            <v>89216219</v>
          </cell>
          <cell r="J23">
            <v>87610511</v>
          </cell>
          <cell r="K23">
            <v>1605708</v>
          </cell>
          <cell r="L23">
            <v>925.22990687159063</v>
          </cell>
          <cell r="M23">
            <v>1023.2721039968231</v>
          </cell>
          <cell r="N23">
            <v>148.56661732050333</v>
          </cell>
          <cell r="P23">
            <v>320854</v>
          </cell>
          <cell r="Q23">
            <v>291436</v>
          </cell>
          <cell r="R23">
            <v>29418</v>
          </cell>
          <cell r="T23" t="str">
            <v>-</v>
          </cell>
          <cell r="U23" t="str">
            <v>-</v>
          </cell>
          <cell r="V23" t="str">
            <v>-</v>
          </cell>
          <cell r="X23">
            <v>258473</v>
          </cell>
          <cell r="Y23">
            <v>57436</v>
          </cell>
          <cell r="AF23" t="str">
            <v>-</v>
          </cell>
        </row>
        <row r="24">
          <cell r="E24">
            <v>40452</v>
          </cell>
          <cell r="F24">
            <v>100946</v>
          </cell>
          <cell r="G24">
            <v>90780</v>
          </cell>
          <cell r="H24">
            <v>10166</v>
          </cell>
          <cell r="I24">
            <v>96301118</v>
          </cell>
          <cell r="J24">
            <v>94987441</v>
          </cell>
          <cell r="K24">
            <v>1313677</v>
          </cell>
          <cell r="L24">
            <v>953.98646801260077</v>
          </cell>
          <cell r="M24">
            <v>1046.347664683851</v>
          </cell>
          <cell r="N24">
            <v>129.22260476096793</v>
          </cell>
          <cell r="P24">
            <v>323489</v>
          </cell>
          <cell r="Q24">
            <v>287596</v>
          </cell>
          <cell r="R24">
            <v>35893</v>
          </cell>
          <cell r="T24" t="str">
            <v>-</v>
          </cell>
          <cell r="U24" t="str">
            <v>-</v>
          </cell>
          <cell r="V24" t="str">
            <v>-</v>
          </cell>
          <cell r="X24">
            <v>273487</v>
          </cell>
          <cell r="Y24">
            <v>59003</v>
          </cell>
          <cell r="AF24" t="str">
            <v>-</v>
          </cell>
        </row>
        <row r="25">
          <cell r="E25">
            <v>40483</v>
          </cell>
          <cell r="F25">
            <v>95468</v>
          </cell>
          <cell r="G25">
            <v>84998</v>
          </cell>
          <cell r="H25">
            <v>10470</v>
          </cell>
          <cell r="I25">
            <v>92623520</v>
          </cell>
          <cell r="J25">
            <v>91078356</v>
          </cell>
          <cell r="K25">
            <v>1545164</v>
          </cell>
          <cell r="L25">
            <v>970.20488540662836</v>
          </cell>
          <cell r="M25">
            <v>1071.5352831831337</v>
          </cell>
          <cell r="N25">
            <v>147.58013371537726</v>
          </cell>
          <cell r="P25">
            <v>350243</v>
          </cell>
          <cell r="Q25">
            <v>311407</v>
          </cell>
          <cell r="R25">
            <v>38836</v>
          </cell>
          <cell r="T25" t="str">
            <v>-</v>
          </cell>
          <cell r="U25" t="str">
            <v>-</v>
          </cell>
          <cell r="V25" t="str">
            <v>-</v>
          </cell>
          <cell r="X25">
            <v>282002</v>
          </cell>
          <cell r="Y25">
            <v>66167</v>
          </cell>
          <cell r="AF25" t="str">
            <v>-</v>
          </cell>
        </row>
        <row r="26">
          <cell r="E26">
            <v>40513</v>
          </cell>
          <cell r="F26">
            <v>106985</v>
          </cell>
          <cell r="G26">
            <v>95391</v>
          </cell>
          <cell r="H26">
            <v>11594</v>
          </cell>
          <cell r="I26">
            <v>104839246</v>
          </cell>
          <cell r="J26">
            <v>103103300</v>
          </cell>
          <cell r="K26">
            <v>1735946</v>
          </cell>
          <cell r="L26">
            <v>979.94341262793853</v>
          </cell>
          <cell r="M26">
            <v>1080.849346374396</v>
          </cell>
          <cell r="N26">
            <v>149.72796273934793</v>
          </cell>
          <cell r="P26">
            <v>401172</v>
          </cell>
          <cell r="Q26">
            <v>361233</v>
          </cell>
          <cell r="R26">
            <v>39939</v>
          </cell>
          <cell r="T26" t="str">
            <v>-</v>
          </cell>
          <cell r="U26" t="str">
            <v>-</v>
          </cell>
          <cell r="V26" t="str">
            <v>-</v>
          </cell>
          <cell r="X26">
            <v>247243</v>
          </cell>
          <cell r="Y26">
            <v>82351</v>
          </cell>
          <cell r="AF26" t="str">
            <v>-</v>
          </cell>
        </row>
        <row r="27">
          <cell r="E27">
            <v>40544</v>
          </cell>
          <cell r="F27">
            <v>74718</v>
          </cell>
          <cell r="G27">
            <v>67505</v>
          </cell>
          <cell r="H27">
            <v>7213</v>
          </cell>
          <cell r="I27">
            <v>76916159.418325707</v>
          </cell>
          <cell r="J27">
            <v>75185156.664749637</v>
          </cell>
          <cell r="K27">
            <v>1731002.7535760729</v>
          </cell>
          <cell r="L27">
            <v>1029.4194092230214</v>
          </cell>
          <cell r="M27">
            <v>1113.7716712058311</v>
          </cell>
          <cell r="N27">
            <v>239.98374512353706</v>
          </cell>
          <cell r="P27">
            <v>264499</v>
          </cell>
          <cell r="Q27">
            <v>230162</v>
          </cell>
          <cell r="R27">
            <v>34337</v>
          </cell>
          <cell r="T27" t="str">
            <v>-</v>
          </cell>
          <cell r="U27" t="str">
            <v>-</v>
          </cell>
          <cell r="V27" t="str">
            <v>-</v>
          </cell>
          <cell r="X27">
            <v>222634</v>
          </cell>
          <cell r="Y27">
            <v>57323</v>
          </cell>
          <cell r="AF27" t="str">
            <v>-</v>
          </cell>
        </row>
        <row r="28">
          <cell r="E28">
            <v>40575</v>
          </cell>
          <cell r="F28">
            <v>89504</v>
          </cell>
          <cell r="G28">
            <v>79664</v>
          </cell>
          <cell r="H28">
            <v>9840</v>
          </cell>
          <cell r="I28">
            <v>91088946.466956943</v>
          </cell>
          <cell r="J28">
            <v>88727506.414941341</v>
          </cell>
          <cell r="K28">
            <v>2361440.0520156049</v>
          </cell>
          <cell r="L28">
            <v>1017.7081076483391</v>
          </cell>
          <cell r="M28">
            <v>1113.7716712058314</v>
          </cell>
          <cell r="N28">
            <v>239.98374512353709</v>
          </cell>
          <cell r="P28">
            <v>295918</v>
          </cell>
          <cell r="Q28">
            <v>258813</v>
          </cell>
          <cell r="R28">
            <v>37105</v>
          </cell>
          <cell r="T28" t="str">
            <v>-</v>
          </cell>
          <cell r="U28" t="str">
            <v>-</v>
          </cell>
          <cell r="V28" t="str">
            <v>-</v>
          </cell>
          <cell r="X28">
            <v>274486</v>
          </cell>
          <cell r="Y28">
            <v>61707</v>
          </cell>
          <cell r="AF28" t="str">
            <v>-</v>
          </cell>
        </row>
        <row r="29">
          <cell r="E29">
            <v>40603</v>
          </cell>
          <cell r="F29">
            <v>88838</v>
          </cell>
          <cell r="G29">
            <v>79745</v>
          </cell>
          <cell r="H29">
            <v>9093</v>
          </cell>
          <cell r="I29">
            <v>90999894.114717335</v>
          </cell>
          <cell r="J29">
            <v>88817721.920309007</v>
          </cell>
          <cell r="K29">
            <v>2182172.1944083222</v>
          </cell>
          <cell r="L29">
            <v>1024.3352407158798</v>
          </cell>
          <cell r="M29">
            <v>1113.7716712058311</v>
          </cell>
          <cell r="N29">
            <v>239.98374512353703</v>
          </cell>
          <cell r="P29">
            <v>333290</v>
          </cell>
          <cell r="Q29">
            <v>288733</v>
          </cell>
          <cell r="R29">
            <v>44557</v>
          </cell>
          <cell r="T29" t="str">
            <v>-</v>
          </cell>
          <cell r="U29" t="str">
            <v>-</v>
          </cell>
          <cell r="V29" t="str">
            <v>-</v>
          </cell>
          <cell r="X29">
            <v>275588</v>
          </cell>
          <cell r="Y29">
            <v>61987</v>
          </cell>
          <cell r="AF29" t="str">
            <v>-</v>
          </cell>
        </row>
        <row r="30">
          <cell r="E30">
            <v>40634</v>
          </cell>
          <cell r="F30">
            <v>86779</v>
          </cell>
          <cell r="G30">
            <v>77723</v>
          </cell>
          <cell r="H30">
            <v>9056</v>
          </cell>
          <cell r="I30">
            <v>89304099.420084968</v>
          </cell>
          <cell r="J30">
            <v>87566787.73817642</v>
          </cell>
          <cell r="K30">
            <v>1737311.6819085488</v>
          </cell>
          <cell r="L30">
            <v>1029.0980469939152</v>
          </cell>
          <cell r="M30">
            <v>1126.6521845293726</v>
          </cell>
          <cell r="N30">
            <v>191.84095427435389</v>
          </cell>
          <cell r="P30">
            <v>303253</v>
          </cell>
          <cell r="Q30">
            <v>272916</v>
          </cell>
          <cell r="R30">
            <v>30337</v>
          </cell>
          <cell r="T30" t="str">
            <v>-</v>
          </cell>
          <cell r="U30" t="str">
            <v>-</v>
          </cell>
          <cell r="V30" t="str">
            <v>-</v>
          </cell>
          <cell r="X30">
            <v>263292</v>
          </cell>
          <cell r="Y30">
            <v>63796</v>
          </cell>
          <cell r="AF30" t="str">
            <v>-</v>
          </cell>
        </row>
        <row r="31">
          <cell r="E31">
            <v>40664</v>
          </cell>
          <cell r="F31">
            <v>89801</v>
          </cell>
          <cell r="G31">
            <v>82322</v>
          </cell>
          <cell r="H31">
            <v>7479</v>
          </cell>
          <cell r="I31">
            <v>94183039.631844893</v>
          </cell>
          <cell r="J31">
            <v>92748261.134827003</v>
          </cell>
          <cell r="K31">
            <v>1434778.4970178928</v>
          </cell>
          <cell r="L31">
            <v>1048.7972253298392</v>
          </cell>
          <cell r="M31">
            <v>1126.6521845293726</v>
          </cell>
          <cell r="N31">
            <v>191.84095427435389</v>
          </cell>
          <cell r="P31">
            <v>345134</v>
          </cell>
          <cell r="Q31">
            <v>300529</v>
          </cell>
          <cell r="R31">
            <v>44605</v>
          </cell>
          <cell r="T31" t="str">
            <v>-</v>
          </cell>
          <cell r="U31" t="str">
            <v>-</v>
          </cell>
          <cell r="V31" t="str">
            <v>-</v>
          </cell>
          <cell r="X31">
            <v>280536</v>
          </cell>
          <cell r="Y31">
            <v>74493</v>
          </cell>
          <cell r="AF31" t="str">
            <v>-</v>
          </cell>
        </row>
        <row r="32">
          <cell r="E32">
            <v>40695</v>
          </cell>
          <cell r="F32">
            <v>86104</v>
          </cell>
          <cell r="G32">
            <v>77489</v>
          </cell>
          <cell r="H32">
            <v>8615</v>
          </cell>
          <cell r="I32">
            <v>88955860.948070109</v>
          </cell>
          <cell r="J32">
            <v>87303151.126996547</v>
          </cell>
          <cell r="K32">
            <v>1652709.8210735586</v>
          </cell>
          <cell r="L32">
            <v>1033.1211203668831</v>
          </cell>
          <cell r="M32">
            <v>1126.6521845293726</v>
          </cell>
          <cell r="N32">
            <v>191.84095427435389</v>
          </cell>
          <cell r="P32">
            <v>325590</v>
          </cell>
          <cell r="Q32">
            <v>286924</v>
          </cell>
          <cell r="R32">
            <v>38666</v>
          </cell>
          <cell r="T32" t="str">
            <v>-</v>
          </cell>
          <cell r="U32" t="str">
            <v>-</v>
          </cell>
          <cell r="V32" t="str">
            <v>-</v>
          </cell>
          <cell r="X32">
            <v>272103</v>
          </cell>
          <cell r="Y32">
            <v>69028</v>
          </cell>
          <cell r="AF32" t="str">
            <v>-</v>
          </cell>
        </row>
        <row r="33">
          <cell r="E33">
            <v>40725</v>
          </cell>
          <cell r="F33">
            <v>96773</v>
          </cell>
          <cell r="G33">
            <v>86683</v>
          </cell>
          <cell r="H33">
            <v>10090</v>
          </cell>
          <cell r="I33">
            <v>97633217.887066677</v>
          </cell>
          <cell r="J33">
            <v>96118422.401464447</v>
          </cell>
          <cell r="K33">
            <v>1514795.485602228</v>
          </cell>
          <cell r="L33">
            <v>1008.8890277976985</v>
          </cell>
          <cell r="M33">
            <v>1108.8497444881286</v>
          </cell>
          <cell r="N33">
            <v>150.12839302301566</v>
          </cell>
          <cell r="P33">
            <v>323210</v>
          </cell>
          <cell r="Q33">
            <v>287966</v>
          </cell>
          <cell r="R33">
            <v>35244</v>
          </cell>
          <cell r="T33" t="str">
            <v>-</v>
          </cell>
          <cell r="U33" t="str">
            <v>-</v>
          </cell>
          <cell r="V33" t="str">
            <v>-</v>
          </cell>
          <cell r="X33">
            <v>284585</v>
          </cell>
          <cell r="Y33">
            <v>67068</v>
          </cell>
          <cell r="AF33" t="str">
            <v>-</v>
          </cell>
        </row>
        <row r="34">
          <cell r="E34">
            <v>40756</v>
          </cell>
          <cell r="F34">
            <v>93889</v>
          </cell>
          <cell r="G34">
            <v>83692</v>
          </cell>
          <cell r="H34">
            <v>10197</v>
          </cell>
          <cell r="I34">
            <v>94332712.039356142</v>
          </cell>
          <cell r="J34">
            <v>92801852.815700457</v>
          </cell>
          <cell r="K34">
            <v>1530859.2236556907</v>
          </cell>
          <cell r="L34">
            <v>1004.7259214535903</v>
          </cell>
          <cell r="M34">
            <v>1108.8497444881286</v>
          </cell>
          <cell r="N34">
            <v>150.12839302301566</v>
          </cell>
          <cell r="P34">
            <v>348264</v>
          </cell>
          <cell r="Q34">
            <v>308035</v>
          </cell>
          <cell r="R34">
            <v>40229</v>
          </cell>
          <cell r="T34" t="str">
            <v>-</v>
          </cell>
          <cell r="U34" t="str">
            <v>-</v>
          </cell>
          <cell r="V34" t="str">
            <v>-</v>
          </cell>
          <cell r="X34">
            <v>299156</v>
          </cell>
          <cell r="Y34">
            <v>73254</v>
          </cell>
          <cell r="AF34" t="str">
            <v>-</v>
          </cell>
        </row>
        <row r="35">
          <cell r="E35">
            <v>40787</v>
          </cell>
          <cell r="F35">
            <v>86143</v>
          </cell>
          <cell r="G35">
            <v>77363</v>
          </cell>
          <cell r="H35">
            <v>8780</v>
          </cell>
          <cell r="I35">
            <v>87102070.073577166</v>
          </cell>
          <cell r="J35">
            <v>85783942.782835081</v>
          </cell>
          <cell r="K35">
            <v>1318127.2907420774</v>
          </cell>
          <cell r="L35">
            <v>1011.1334649777366</v>
          </cell>
          <cell r="M35">
            <v>1108.8497444881284</v>
          </cell>
          <cell r="N35">
            <v>150.12839302301566</v>
          </cell>
          <cell r="P35">
            <v>336175</v>
          </cell>
          <cell r="Q35">
            <v>293585</v>
          </cell>
          <cell r="R35">
            <v>42590</v>
          </cell>
          <cell r="T35" t="str">
            <v>-</v>
          </cell>
          <cell r="U35" t="str">
            <v>-</v>
          </cell>
          <cell r="V35" t="str">
            <v>-</v>
          </cell>
          <cell r="X35">
            <v>238312</v>
          </cell>
          <cell r="Y35">
            <v>78682</v>
          </cell>
          <cell r="AF35" t="str">
            <v>-</v>
          </cell>
        </row>
        <row r="36">
          <cell r="E36">
            <v>40817</v>
          </cell>
          <cell r="F36">
            <v>89892</v>
          </cell>
          <cell r="G36">
            <v>78765</v>
          </cell>
          <cell r="H36">
            <v>11127</v>
          </cell>
          <cell r="I36">
            <v>86851872.506443113</v>
          </cell>
          <cell r="J36">
            <v>85404337.658881187</v>
          </cell>
          <cell r="K36">
            <v>1447534.8475619312</v>
          </cell>
          <cell r="L36">
            <v>966.18022189341775</v>
          </cell>
          <cell r="M36">
            <v>1084.2929938282382</v>
          </cell>
          <cell r="N36">
            <v>130.09210457103723</v>
          </cell>
          <cell r="P36">
            <v>311680</v>
          </cell>
          <cell r="Q36">
            <v>263770</v>
          </cell>
          <cell r="R36">
            <v>47910</v>
          </cell>
          <cell r="T36" t="str">
            <v>-</v>
          </cell>
          <cell r="U36" t="str">
            <v>-</v>
          </cell>
          <cell r="V36" t="str">
            <v>-</v>
          </cell>
          <cell r="X36">
            <v>246745</v>
          </cell>
          <cell r="Y36">
            <v>70662</v>
          </cell>
          <cell r="AF36" t="str">
            <v>-</v>
          </cell>
        </row>
        <row r="37">
          <cell r="E37">
            <v>40848</v>
          </cell>
          <cell r="F37">
            <v>95904</v>
          </cell>
          <cell r="G37">
            <v>84462</v>
          </cell>
          <cell r="H37">
            <v>11442</v>
          </cell>
          <cell r="I37">
            <v>93070068.705222473</v>
          </cell>
          <cell r="J37">
            <v>91581554.844720662</v>
          </cell>
          <cell r="K37">
            <v>1488513.8605018081</v>
          </cell>
          <cell r="L37">
            <v>970.45033267874612</v>
          </cell>
          <cell r="M37">
            <v>1084.2929938282382</v>
          </cell>
          <cell r="N37">
            <v>130.09210457103725</v>
          </cell>
          <cell r="P37">
            <v>352885</v>
          </cell>
          <cell r="Q37">
            <v>305194</v>
          </cell>
          <cell r="R37">
            <v>47691</v>
          </cell>
          <cell r="T37" t="str">
            <v>-</v>
          </cell>
          <cell r="U37" t="str">
            <v>-</v>
          </cell>
          <cell r="V37" t="str">
            <v>-</v>
          </cell>
          <cell r="X37">
            <v>249369</v>
          </cell>
          <cell r="Y37">
            <v>82220</v>
          </cell>
          <cell r="AF37" t="str">
            <v>-</v>
          </cell>
        </row>
        <row r="38">
          <cell r="E38">
            <v>40878</v>
          </cell>
          <cell r="F38">
            <v>110013</v>
          </cell>
          <cell r="G38">
            <v>94560</v>
          </cell>
          <cell r="H38">
            <v>15453</v>
          </cell>
          <cell r="I38">
            <v>104541058.78833444</v>
          </cell>
          <cell r="J38">
            <v>102530745.49639821</v>
          </cell>
          <cell r="K38">
            <v>2010313.2919362383</v>
          </cell>
          <cell r="L38">
            <v>950.26095814435064</v>
          </cell>
          <cell r="M38">
            <v>1084.2929938282382</v>
          </cell>
          <cell r="N38">
            <v>130.09210457103723</v>
          </cell>
          <cell r="P38">
            <v>358303</v>
          </cell>
          <cell r="Q38">
            <v>329204</v>
          </cell>
          <cell r="R38">
            <v>29099</v>
          </cell>
          <cell r="T38" t="str">
            <v>-</v>
          </cell>
          <cell r="U38" t="str">
            <v>-</v>
          </cell>
          <cell r="V38" t="str">
            <v>-</v>
          </cell>
          <cell r="X38">
            <v>238005</v>
          </cell>
          <cell r="Y38">
            <v>93781</v>
          </cell>
          <cell r="AF38" t="str">
            <v>-</v>
          </cell>
        </row>
        <row r="39">
          <cell r="E39">
            <v>40909</v>
          </cell>
          <cell r="F39">
            <v>77188</v>
          </cell>
          <cell r="G39">
            <v>70598</v>
          </cell>
          <cell r="H39">
            <v>6590</v>
          </cell>
          <cell r="I39">
            <v>79240269</v>
          </cell>
          <cell r="J39">
            <v>78700724</v>
          </cell>
          <cell r="K39">
            <v>539545</v>
          </cell>
          <cell r="L39">
            <v>1026.5879281753641</v>
          </cell>
          <cell r="M39">
            <v>1114.7727131080201</v>
          </cell>
          <cell r="N39">
            <v>81.873292867981789</v>
          </cell>
          <cell r="P39">
            <v>284672</v>
          </cell>
          <cell r="Q39">
            <v>252672</v>
          </cell>
          <cell r="R39">
            <v>32000</v>
          </cell>
          <cell r="T39" t="str">
            <v>-</v>
          </cell>
          <cell r="U39" t="str">
            <v>-</v>
          </cell>
          <cell r="V39" t="str">
            <v>-</v>
          </cell>
          <cell r="X39">
            <v>205995</v>
          </cell>
          <cell r="Y39">
            <v>67450</v>
          </cell>
          <cell r="AF39" t="str">
            <v>-</v>
          </cell>
        </row>
        <row r="40">
          <cell r="E40">
            <v>40940</v>
          </cell>
          <cell r="F40">
            <v>70633</v>
          </cell>
          <cell r="G40">
            <v>61239</v>
          </cell>
          <cell r="H40">
            <v>9394</v>
          </cell>
          <cell r="I40">
            <v>66737146</v>
          </cell>
          <cell r="J40">
            <v>65646996</v>
          </cell>
          <cell r="K40">
            <v>1090150</v>
          </cell>
          <cell r="L40">
            <v>944.8437132784959</v>
          </cell>
          <cell r="M40">
            <v>1071.9802086905404</v>
          </cell>
          <cell r="N40">
            <v>116.04747711305089</v>
          </cell>
          <cell r="P40">
            <v>269547</v>
          </cell>
          <cell r="Q40">
            <v>235845</v>
          </cell>
          <cell r="R40">
            <v>33702</v>
          </cell>
          <cell r="T40" t="str">
            <v>-</v>
          </cell>
          <cell r="U40" t="str">
            <v>-</v>
          </cell>
          <cell r="V40" t="str">
            <v>-</v>
          </cell>
          <cell r="X40">
            <v>204486</v>
          </cell>
          <cell r="Y40">
            <v>60881</v>
          </cell>
          <cell r="AF40" t="str">
            <v>-</v>
          </cell>
        </row>
        <row r="41">
          <cell r="E41">
            <v>40969</v>
          </cell>
          <cell r="F41">
            <v>93473</v>
          </cell>
          <cell r="G41">
            <v>82779</v>
          </cell>
          <cell r="H41">
            <v>10694</v>
          </cell>
          <cell r="I41">
            <v>94401307.99999997</v>
          </cell>
          <cell r="J41">
            <v>92535606.99999997</v>
          </cell>
          <cell r="K41">
            <v>1865700.9999999928</v>
          </cell>
          <cell r="L41">
            <v>1009.9312956682675</v>
          </cell>
          <cell r="M41">
            <v>1117.8633107430626</v>
          </cell>
          <cell r="N41">
            <v>174.46240882737916</v>
          </cell>
          <cell r="P41">
            <v>322746</v>
          </cell>
          <cell r="Q41">
            <v>283789</v>
          </cell>
          <cell r="R41">
            <v>38957</v>
          </cell>
          <cell r="T41" t="str">
            <v>-</v>
          </cell>
          <cell r="U41" t="str">
            <v>-</v>
          </cell>
          <cell r="V41" t="str">
            <v>-</v>
          </cell>
          <cell r="X41">
            <v>294811</v>
          </cell>
          <cell r="Y41">
            <v>70213</v>
          </cell>
          <cell r="AF41" t="str">
            <v>-</v>
          </cell>
        </row>
        <row r="42">
          <cell r="E42">
            <v>41000</v>
          </cell>
          <cell r="F42">
            <v>86441</v>
          </cell>
          <cell r="G42">
            <v>74003</v>
          </cell>
          <cell r="H42">
            <v>12438</v>
          </cell>
          <cell r="I42">
            <v>83156154</v>
          </cell>
          <cell r="J42">
            <v>81463328</v>
          </cell>
          <cell r="K42">
            <v>1692825.9999999925</v>
          </cell>
          <cell r="L42">
            <v>961.99898196457696</v>
          </cell>
          <cell r="M42">
            <v>1100.8111563044743</v>
          </cell>
          <cell r="N42">
            <v>136.10114166264614</v>
          </cell>
          <cell r="P42">
            <v>292773</v>
          </cell>
          <cell r="Q42">
            <v>244589</v>
          </cell>
          <cell r="R42">
            <v>48184</v>
          </cell>
          <cell r="T42" t="str">
            <v>-</v>
          </cell>
          <cell r="U42" t="str">
            <v>-</v>
          </cell>
          <cell r="V42" t="str">
            <v>-</v>
          </cell>
          <cell r="X42">
            <v>252594</v>
          </cell>
          <cell r="Y42">
            <v>57856</v>
          </cell>
          <cell r="AF42" t="str">
            <v>-</v>
          </cell>
        </row>
        <row r="43">
          <cell r="E43">
            <v>41030</v>
          </cell>
          <cell r="F43">
            <v>81989</v>
          </cell>
          <cell r="G43">
            <v>75002</v>
          </cell>
          <cell r="H43">
            <v>6987</v>
          </cell>
          <cell r="I43">
            <v>85738104</v>
          </cell>
          <cell r="J43">
            <v>84722683</v>
          </cell>
          <cell r="K43">
            <v>1015420.9999999973</v>
          </cell>
          <cell r="L43">
            <v>1045.726914586103</v>
          </cell>
          <cell r="M43">
            <v>1129.6056505159863</v>
          </cell>
          <cell r="N43">
            <v>145.33004150565299</v>
          </cell>
          <cell r="P43">
            <v>298347</v>
          </cell>
          <cell r="Q43">
            <v>274299</v>
          </cell>
          <cell r="R43">
            <v>24048</v>
          </cell>
          <cell r="T43" t="str">
            <v>-</v>
          </cell>
          <cell r="U43" t="str">
            <v>-</v>
          </cell>
          <cell r="V43" t="str">
            <v>-</v>
          </cell>
          <cell r="X43">
            <v>270885</v>
          </cell>
          <cell r="Y43">
            <v>63378</v>
          </cell>
          <cell r="AF43" t="str">
            <v>-</v>
          </cell>
        </row>
        <row r="44">
          <cell r="E44">
            <v>41061</v>
          </cell>
          <cell r="F44">
            <v>103053</v>
          </cell>
          <cell r="G44">
            <v>94553</v>
          </cell>
          <cell r="H44">
            <v>8500</v>
          </cell>
          <cell r="I44">
            <v>105822306.00000001</v>
          </cell>
          <cell r="J44">
            <v>104677275.00000001</v>
          </cell>
          <cell r="K44">
            <v>1145030.9999999991</v>
          </cell>
          <cell r="L44">
            <v>1026.8726383511398</v>
          </cell>
          <cell r="M44">
            <v>1107.07513246539</v>
          </cell>
          <cell r="N44">
            <v>134.70952941176461</v>
          </cell>
          <cell r="P44">
            <v>373426</v>
          </cell>
          <cell r="Q44">
            <v>340619</v>
          </cell>
          <cell r="R44">
            <v>32807</v>
          </cell>
          <cell r="T44" t="str">
            <v>-</v>
          </cell>
          <cell r="U44" t="str">
            <v>-</v>
          </cell>
          <cell r="V44" t="str">
            <v>-</v>
          </cell>
          <cell r="X44">
            <v>265547</v>
          </cell>
          <cell r="Y44">
            <v>71200</v>
          </cell>
          <cell r="AF44" t="str">
            <v>-</v>
          </cell>
        </row>
        <row r="45">
          <cell r="E45">
            <v>41091</v>
          </cell>
          <cell r="F45">
            <v>97489</v>
          </cell>
          <cell r="G45">
            <v>90546</v>
          </cell>
          <cell r="H45">
            <v>6943</v>
          </cell>
          <cell r="I45">
            <v>99250206</v>
          </cell>
          <cell r="J45">
            <v>97735046</v>
          </cell>
          <cell r="K45">
            <v>1515159.9999999974</v>
          </cell>
          <cell r="L45">
            <v>1018.0656894624009</v>
          </cell>
          <cell r="M45">
            <v>1079.3966160846421</v>
          </cell>
          <cell r="N45">
            <v>218.22843151375449</v>
          </cell>
          <cell r="P45">
            <v>377997</v>
          </cell>
          <cell r="Q45">
            <v>351228</v>
          </cell>
          <cell r="R45">
            <v>26769</v>
          </cell>
          <cell r="T45" t="str">
            <v>-</v>
          </cell>
          <cell r="U45" t="str">
            <v>-</v>
          </cell>
          <cell r="V45" t="str">
            <v>-</v>
          </cell>
          <cell r="X45">
            <v>285527</v>
          </cell>
          <cell r="Y45">
            <v>69651</v>
          </cell>
          <cell r="AF45" t="str">
            <v>-</v>
          </cell>
        </row>
        <row r="46">
          <cell r="E46">
            <v>41122</v>
          </cell>
          <cell r="F46">
            <v>116288</v>
          </cell>
          <cell r="G46">
            <v>107881</v>
          </cell>
          <cell r="H46">
            <v>8407</v>
          </cell>
          <cell r="I46">
            <v>117912519.00000003</v>
          </cell>
          <cell r="J46">
            <v>116975334.00000003</v>
          </cell>
          <cell r="K46">
            <v>937184.99999999686</v>
          </cell>
          <cell r="L46">
            <v>1013.9697905200883</v>
          </cell>
          <cell r="M46">
            <v>1084.2996820570818</v>
          </cell>
          <cell r="N46">
            <v>111.47674556916817</v>
          </cell>
          <cell r="P46">
            <v>444742</v>
          </cell>
          <cell r="Q46">
            <v>405478</v>
          </cell>
          <cell r="R46">
            <v>39264</v>
          </cell>
          <cell r="T46" t="str">
            <v>-</v>
          </cell>
          <cell r="U46" t="str">
            <v>-</v>
          </cell>
          <cell r="V46" t="str">
            <v>-</v>
          </cell>
          <cell r="X46">
            <v>316854</v>
          </cell>
          <cell r="Y46">
            <v>78879</v>
          </cell>
          <cell r="AF46" t="str">
            <v>-</v>
          </cell>
        </row>
        <row r="47">
          <cell r="E47">
            <v>41153</v>
          </cell>
          <cell r="F47">
            <v>89349</v>
          </cell>
          <cell r="G47">
            <v>82590</v>
          </cell>
          <cell r="H47">
            <v>6759</v>
          </cell>
          <cell r="I47">
            <v>98800073.999999985</v>
          </cell>
          <cell r="J47">
            <v>97608392.999999985</v>
          </cell>
          <cell r="K47">
            <v>1191680.9999999991</v>
          </cell>
          <cell r="L47">
            <v>1105.7770540241077</v>
          </cell>
          <cell r="M47">
            <v>1181.8427533599709</v>
          </cell>
          <cell r="N47">
            <v>176.31025299600518</v>
          </cell>
          <cell r="P47">
            <v>302240</v>
          </cell>
          <cell r="Q47">
            <v>277685</v>
          </cell>
          <cell r="R47">
            <v>24555</v>
          </cell>
          <cell r="T47" t="str">
            <v>-</v>
          </cell>
          <cell r="U47" t="str">
            <v>-</v>
          </cell>
          <cell r="V47" t="str">
            <v>-</v>
          </cell>
          <cell r="X47">
            <v>275484</v>
          </cell>
          <cell r="Y47">
            <v>53768</v>
          </cell>
          <cell r="AF47" t="str">
            <v>-</v>
          </cell>
        </row>
        <row r="48">
          <cell r="E48">
            <v>41183</v>
          </cell>
          <cell r="F48">
            <v>97916</v>
          </cell>
          <cell r="G48">
            <v>90807</v>
          </cell>
          <cell r="H48">
            <v>7109</v>
          </cell>
          <cell r="I48">
            <v>102332959.99999999</v>
          </cell>
          <cell r="J48">
            <v>100656583.99999999</v>
          </cell>
          <cell r="K48">
            <v>1676375.9999999972</v>
          </cell>
          <cell r="L48">
            <v>1045.1096858531801</v>
          </cell>
          <cell r="M48">
            <v>1108.4672327023245</v>
          </cell>
          <cell r="N48">
            <v>235.81038120692043</v>
          </cell>
          <cell r="P48">
            <v>366019</v>
          </cell>
          <cell r="Q48">
            <v>327031</v>
          </cell>
          <cell r="R48">
            <v>38988</v>
          </cell>
          <cell r="T48" t="str">
            <v>-</v>
          </cell>
          <cell r="U48" t="str">
            <v>-</v>
          </cell>
          <cell r="V48" t="str">
            <v>-</v>
          </cell>
          <cell r="X48">
            <v>306760</v>
          </cell>
          <cell r="Y48">
            <v>59676</v>
          </cell>
          <cell r="AF48" t="str">
            <v>-</v>
          </cell>
        </row>
        <row r="49">
          <cell r="E49">
            <v>41214</v>
          </cell>
          <cell r="F49">
            <v>97110</v>
          </cell>
          <cell r="G49">
            <v>90963</v>
          </cell>
          <cell r="H49">
            <v>6147</v>
          </cell>
          <cell r="I49">
            <v>105163172.99999999</v>
          </cell>
          <cell r="J49">
            <v>104273178.99999999</v>
          </cell>
          <cell r="K49">
            <v>889993.99999999837</v>
          </cell>
          <cell r="L49">
            <v>1082.9283595922147</v>
          </cell>
          <cell r="M49">
            <v>1146.3251981574924</v>
          </cell>
          <cell r="N49">
            <v>144.78509842199421</v>
          </cell>
          <cell r="P49">
            <v>331059</v>
          </cell>
          <cell r="Q49">
            <v>297081</v>
          </cell>
          <cell r="R49">
            <v>33978</v>
          </cell>
          <cell r="T49" t="str">
            <v>-</v>
          </cell>
          <cell r="U49" t="str">
            <v>-</v>
          </cell>
          <cell r="V49" t="str">
            <v>-</v>
          </cell>
          <cell r="X49">
            <v>298438</v>
          </cell>
          <cell r="Y49">
            <v>58048</v>
          </cell>
          <cell r="AF49" t="str">
            <v>-</v>
          </cell>
        </row>
        <row r="50">
          <cell r="E50">
            <v>41244</v>
          </cell>
          <cell r="F50">
            <v>105946</v>
          </cell>
          <cell r="G50">
            <v>97156</v>
          </cell>
          <cell r="H50">
            <v>8790</v>
          </cell>
          <cell r="I50">
            <v>113911581</v>
          </cell>
          <cell r="J50">
            <v>113004646</v>
          </cell>
          <cell r="K50">
            <v>906934.99999999371</v>
          </cell>
          <cell r="L50">
            <v>1075.1852925075038</v>
          </cell>
          <cell r="M50">
            <v>1163.1257565152951</v>
          </cell>
          <cell r="N50">
            <v>103.17804323094354</v>
          </cell>
          <cell r="P50">
            <v>383213</v>
          </cell>
          <cell r="Q50">
            <v>343867</v>
          </cell>
          <cell r="R50">
            <v>39346</v>
          </cell>
          <cell r="T50">
            <v>295.2</v>
          </cell>
          <cell r="U50">
            <v>243.6</v>
          </cell>
          <cell r="V50">
            <v>51.6</v>
          </cell>
          <cell r="X50">
            <v>256965</v>
          </cell>
          <cell r="Y50">
            <v>72705</v>
          </cell>
          <cell r="AF50" t="str">
            <v>-</v>
          </cell>
        </row>
        <row r="51">
          <cell r="E51">
            <v>41275</v>
          </cell>
          <cell r="F51">
            <v>90475</v>
          </cell>
          <cell r="G51">
            <v>81750</v>
          </cell>
          <cell r="H51">
            <v>8725</v>
          </cell>
          <cell r="I51">
            <v>97092633</v>
          </cell>
          <cell r="J51">
            <v>95875800</v>
          </cell>
          <cell r="K51">
            <v>1216833</v>
          </cell>
          <cell r="L51">
            <v>1073.1432218844984</v>
          </cell>
          <cell r="M51">
            <v>1172.7926605504588</v>
          </cell>
          <cell r="N51">
            <v>139.46510028653296</v>
          </cell>
          <cell r="P51">
            <v>331528</v>
          </cell>
          <cell r="Q51">
            <v>297189</v>
          </cell>
          <cell r="R51">
            <v>34339</v>
          </cell>
          <cell r="T51">
            <v>298</v>
          </cell>
          <cell r="U51">
            <v>237.9</v>
          </cell>
          <cell r="V51">
            <v>60.1</v>
          </cell>
          <cell r="X51">
            <v>276130</v>
          </cell>
          <cell r="Y51">
            <v>64353</v>
          </cell>
          <cell r="AE51" t="str">
            <v>-</v>
          </cell>
          <cell r="AF51" t="str">
            <v>-</v>
          </cell>
          <cell r="AR51" t="str">
            <v>-</v>
          </cell>
          <cell r="AS51" t="str">
            <v>-</v>
          </cell>
          <cell r="AT51" t="str">
            <v>-</v>
          </cell>
          <cell r="AU51" t="str">
            <v>-</v>
          </cell>
          <cell r="AV51" t="str">
            <v>-</v>
          </cell>
          <cell r="AW51" t="str">
            <v>-</v>
          </cell>
          <cell r="AX51" t="str">
            <v>-</v>
          </cell>
          <cell r="AZ51" t="str">
            <v>-</v>
          </cell>
          <cell r="CS51" t="str">
            <v>-</v>
          </cell>
          <cell r="CT51" t="str">
            <v>-</v>
          </cell>
          <cell r="CU51" t="str">
            <v>-</v>
          </cell>
          <cell r="CV51" t="str">
            <v>-</v>
          </cell>
          <cell r="CW51" t="str">
            <v>-</v>
          </cell>
        </row>
        <row r="52">
          <cell r="E52">
            <v>41306</v>
          </cell>
          <cell r="F52">
            <v>71408</v>
          </cell>
          <cell r="G52">
            <v>64935</v>
          </cell>
          <cell r="H52">
            <v>6473</v>
          </cell>
          <cell r="I52">
            <v>78509612</v>
          </cell>
          <cell r="J52">
            <v>77469780</v>
          </cell>
          <cell r="K52">
            <v>1039832</v>
          </cell>
          <cell r="L52">
            <v>1099.4512099484652</v>
          </cell>
          <cell r="M52">
            <v>1193.035805035805</v>
          </cell>
          <cell r="N52">
            <v>160.64143364745868</v>
          </cell>
          <cell r="P52">
            <v>252916</v>
          </cell>
          <cell r="Q52">
            <v>222731</v>
          </cell>
          <cell r="R52">
            <v>30185</v>
          </cell>
          <cell r="T52">
            <v>310.3</v>
          </cell>
          <cell r="U52">
            <v>243.9</v>
          </cell>
          <cell r="V52">
            <v>66.400000000000006</v>
          </cell>
          <cell r="X52">
            <v>225396</v>
          </cell>
          <cell r="Y52">
            <v>45651</v>
          </cell>
          <cell r="AE52" t="str">
            <v>-</v>
          </cell>
          <cell r="AF52" t="str">
            <v>-</v>
          </cell>
          <cell r="AR52" t="str">
            <v>-</v>
          </cell>
          <cell r="AS52" t="str">
            <v>-</v>
          </cell>
          <cell r="AT52" t="str">
            <v>-</v>
          </cell>
          <cell r="AU52" t="str">
            <v>-</v>
          </cell>
          <cell r="AV52" t="str">
            <v>-</v>
          </cell>
          <cell r="AW52" t="str">
            <v>-</v>
          </cell>
          <cell r="AX52" t="str">
            <v>-</v>
          </cell>
          <cell r="AZ52" t="str">
            <v>-</v>
          </cell>
          <cell r="CS52" t="str">
            <v>-</v>
          </cell>
          <cell r="CT52" t="str">
            <v>-</v>
          </cell>
          <cell r="CU52" t="str">
            <v>-</v>
          </cell>
          <cell r="CV52" t="str">
            <v>-</v>
          </cell>
          <cell r="CW52" t="str">
            <v>-</v>
          </cell>
        </row>
        <row r="53">
          <cell r="E53">
            <v>41334</v>
          </cell>
          <cell r="F53">
            <v>100004</v>
          </cell>
          <cell r="G53">
            <v>91480</v>
          </cell>
          <cell r="H53">
            <v>8524</v>
          </cell>
          <cell r="I53">
            <v>104081292</v>
          </cell>
          <cell r="J53">
            <v>102340737</v>
          </cell>
          <cell r="K53">
            <v>1740555</v>
          </cell>
          <cell r="L53">
            <v>1040.7712891484341</v>
          </cell>
          <cell r="M53">
            <v>1118.7225295146479</v>
          </cell>
          <cell r="N53">
            <v>204.19462693571094</v>
          </cell>
          <cell r="P53">
            <v>309480</v>
          </cell>
          <cell r="Q53">
            <v>268589</v>
          </cell>
          <cell r="R53">
            <v>40891</v>
          </cell>
          <cell r="T53">
            <v>331.5</v>
          </cell>
          <cell r="U53">
            <v>262.7</v>
          </cell>
          <cell r="V53">
            <v>68.8</v>
          </cell>
          <cell r="X53">
            <v>308783</v>
          </cell>
          <cell r="Y53">
            <v>49834</v>
          </cell>
          <cell r="AE53" t="str">
            <v>-</v>
          </cell>
          <cell r="AF53" t="str">
            <v>-</v>
          </cell>
          <cell r="AR53" t="str">
            <v>-</v>
          </cell>
          <cell r="AS53" t="str">
            <v>-</v>
          </cell>
          <cell r="AT53" t="str">
            <v>-</v>
          </cell>
          <cell r="AU53" t="str">
            <v>-</v>
          </cell>
          <cell r="AV53" t="str">
            <v>-</v>
          </cell>
          <cell r="AW53" t="str">
            <v>-</v>
          </cell>
          <cell r="AX53" t="str">
            <v>-</v>
          </cell>
          <cell r="AZ53" t="str">
            <v>-</v>
          </cell>
          <cell r="CS53" t="str">
            <v>-</v>
          </cell>
          <cell r="CT53" t="str">
            <v>-</v>
          </cell>
          <cell r="CU53" t="str">
            <v>-</v>
          </cell>
          <cell r="CV53" t="str">
            <v>-</v>
          </cell>
          <cell r="CW53" t="str">
            <v>-</v>
          </cell>
        </row>
        <row r="54">
          <cell r="E54">
            <v>41365</v>
          </cell>
          <cell r="F54">
            <v>102438</v>
          </cell>
          <cell r="G54">
            <v>92190</v>
          </cell>
          <cell r="H54">
            <v>10248</v>
          </cell>
          <cell r="I54">
            <v>104303173</v>
          </cell>
          <cell r="J54">
            <v>102606368</v>
          </cell>
          <cell r="K54">
            <v>1696805</v>
          </cell>
          <cell r="L54">
            <v>1018.2078232687089</v>
          </cell>
          <cell r="M54">
            <v>1112.9880464258597</v>
          </cell>
          <cell r="N54">
            <v>165.57425839188133</v>
          </cell>
          <cell r="P54">
            <v>367209</v>
          </cell>
          <cell r="Q54">
            <v>316983</v>
          </cell>
          <cell r="R54">
            <v>50226</v>
          </cell>
          <cell r="T54">
            <v>362.6</v>
          </cell>
          <cell r="U54">
            <v>271.60000000000002</v>
          </cell>
          <cell r="V54">
            <v>91</v>
          </cell>
          <cell r="X54">
            <v>330462</v>
          </cell>
          <cell r="Y54">
            <v>60369</v>
          </cell>
          <cell r="AE54" t="str">
            <v>-</v>
          </cell>
          <cell r="AF54" t="str">
            <v>-</v>
          </cell>
          <cell r="AR54" t="str">
            <v>-</v>
          </cell>
          <cell r="AS54" t="str">
            <v>-</v>
          </cell>
          <cell r="AT54" t="str">
            <v>-</v>
          </cell>
          <cell r="AU54" t="str">
            <v>-</v>
          </cell>
          <cell r="AV54" t="str">
            <v>-</v>
          </cell>
          <cell r="AW54" t="str">
            <v>-</v>
          </cell>
          <cell r="AX54" t="str">
            <v>-</v>
          </cell>
          <cell r="AZ54" t="str">
            <v>-</v>
          </cell>
          <cell r="CS54" t="str">
            <v>-</v>
          </cell>
          <cell r="CT54" t="str">
            <v>-</v>
          </cell>
          <cell r="CU54" t="str">
            <v>-</v>
          </cell>
          <cell r="CV54" t="str">
            <v>-</v>
          </cell>
          <cell r="CW54" t="str">
            <v>-</v>
          </cell>
        </row>
        <row r="55">
          <cell r="E55">
            <v>41395</v>
          </cell>
          <cell r="F55">
            <v>104305</v>
          </cell>
          <cell r="G55">
            <v>96393</v>
          </cell>
          <cell r="H55">
            <v>7912</v>
          </cell>
          <cell r="I55">
            <v>108882908</v>
          </cell>
          <cell r="J55">
            <v>107704957</v>
          </cell>
          <cell r="K55">
            <v>1177951</v>
          </cell>
          <cell r="L55">
            <v>1043.8896313695413</v>
          </cell>
          <cell r="M55">
            <v>1117.3524737273453</v>
          </cell>
          <cell r="N55">
            <v>148.88157229524774</v>
          </cell>
          <cell r="P55">
            <v>346346</v>
          </cell>
          <cell r="Q55">
            <v>300943</v>
          </cell>
          <cell r="R55">
            <v>45403</v>
          </cell>
          <cell r="T55">
            <v>385.29999999999995</v>
          </cell>
          <cell r="U55">
            <v>290.39999999999998</v>
          </cell>
          <cell r="V55">
            <v>94.9</v>
          </cell>
          <cell r="X55">
            <v>324290</v>
          </cell>
          <cell r="Y55">
            <v>56061</v>
          </cell>
          <cell r="AE55" t="str">
            <v>-</v>
          </cell>
          <cell r="AF55" t="str">
            <v>-</v>
          </cell>
          <cell r="AR55" t="str">
            <v>-</v>
          </cell>
          <cell r="AS55" t="str">
            <v>-</v>
          </cell>
          <cell r="AT55" t="str">
            <v>-</v>
          </cell>
          <cell r="AU55" t="str">
            <v>-</v>
          </cell>
          <cell r="AV55" t="str">
            <v>-</v>
          </cell>
          <cell r="AW55" t="str">
            <v>-</v>
          </cell>
          <cell r="AX55" t="str">
            <v>-</v>
          </cell>
          <cell r="AZ55" t="str">
            <v>-</v>
          </cell>
          <cell r="CS55" t="str">
            <v>-</v>
          </cell>
          <cell r="CT55" t="str">
            <v>-</v>
          </cell>
          <cell r="CU55" t="str">
            <v>-</v>
          </cell>
          <cell r="CV55" t="str">
            <v>-</v>
          </cell>
          <cell r="CW55" t="str">
            <v>-</v>
          </cell>
        </row>
        <row r="56">
          <cell r="E56">
            <v>41426</v>
          </cell>
          <cell r="F56">
            <v>104656</v>
          </cell>
          <cell r="G56">
            <v>97101</v>
          </cell>
          <cell r="H56">
            <v>7555</v>
          </cell>
          <cell r="I56">
            <v>110421737</v>
          </cell>
          <cell r="J56">
            <v>109232768</v>
          </cell>
          <cell r="K56">
            <v>1188969</v>
          </cell>
          <cell r="L56">
            <v>1055.0922737349028</v>
          </cell>
          <cell r="M56">
            <v>1124.9396813627047</v>
          </cell>
          <cell r="N56">
            <v>157.37511581733952</v>
          </cell>
          <cell r="P56">
            <v>349101</v>
          </cell>
          <cell r="Q56">
            <v>303085</v>
          </cell>
          <cell r="R56">
            <v>46016</v>
          </cell>
          <cell r="T56">
            <v>415.29999999999995</v>
          </cell>
          <cell r="U56">
            <v>321.7</v>
          </cell>
          <cell r="V56">
            <v>93.6</v>
          </cell>
          <cell r="X56">
            <v>303642</v>
          </cell>
          <cell r="Y56">
            <v>55697</v>
          </cell>
          <cell r="AE56" t="str">
            <v>-</v>
          </cell>
          <cell r="AF56" t="str">
            <v>-</v>
          </cell>
          <cell r="AR56" t="str">
            <v>-</v>
          </cell>
          <cell r="AS56" t="str">
            <v>-</v>
          </cell>
          <cell r="AT56" t="str">
            <v>-</v>
          </cell>
          <cell r="AU56" t="str">
            <v>-</v>
          </cell>
          <cell r="AV56" t="str">
            <v>-</v>
          </cell>
          <cell r="AW56" t="str">
            <v>-</v>
          </cell>
          <cell r="AX56" t="str">
            <v>-</v>
          </cell>
          <cell r="AZ56" t="str">
            <v>-</v>
          </cell>
          <cell r="CS56" t="str">
            <v>-</v>
          </cell>
          <cell r="CT56" t="str">
            <v>-</v>
          </cell>
          <cell r="CU56" t="str">
            <v>-</v>
          </cell>
          <cell r="CV56" t="str">
            <v>-</v>
          </cell>
          <cell r="CW56" t="str">
            <v>-</v>
          </cell>
        </row>
        <row r="57">
          <cell r="E57">
            <v>41456</v>
          </cell>
          <cell r="F57">
            <v>101096</v>
          </cell>
          <cell r="G57">
            <v>91561</v>
          </cell>
          <cell r="H57">
            <v>9535</v>
          </cell>
          <cell r="I57">
            <v>106400401</v>
          </cell>
          <cell r="J57">
            <v>104876701</v>
          </cell>
          <cell r="K57">
            <v>1523700</v>
          </cell>
          <cell r="L57">
            <v>1052.4689503046609</v>
          </cell>
          <cell r="M57">
            <v>1145.429833662804</v>
          </cell>
          <cell r="N57">
            <v>159.80073413738856</v>
          </cell>
          <cell r="P57">
            <v>375073</v>
          </cell>
          <cell r="Q57">
            <v>324297</v>
          </cell>
          <cell r="R57">
            <v>50776</v>
          </cell>
          <cell r="T57">
            <v>395.9</v>
          </cell>
          <cell r="U57">
            <v>297.89999999999998</v>
          </cell>
          <cell r="V57">
            <v>98</v>
          </cell>
          <cell r="X57">
            <v>296415</v>
          </cell>
          <cell r="Y57">
            <v>63946</v>
          </cell>
          <cell r="AE57" t="str">
            <v>-</v>
          </cell>
          <cell r="AF57" t="str">
            <v>-</v>
          </cell>
          <cell r="AR57" t="str">
            <v>-</v>
          </cell>
          <cell r="AS57" t="str">
            <v>-</v>
          </cell>
          <cell r="AT57" t="str">
            <v>-</v>
          </cell>
          <cell r="AU57" t="str">
            <v>-</v>
          </cell>
          <cell r="AV57" t="str">
            <v>-</v>
          </cell>
          <cell r="AW57" t="str">
            <v>-</v>
          </cell>
          <cell r="AX57" t="str">
            <v>-</v>
          </cell>
          <cell r="AZ57" t="str">
            <v>-</v>
          </cell>
          <cell r="CS57" t="str">
            <v>-</v>
          </cell>
          <cell r="CT57" t="str">
            <v>-</v>
          </cell>
          <cell r="CU57" t="str">
            <v>-</v>
          </cell>
          <cell r="CV57" t="str">
            <v>-</v>
          </cell>
          <cell r="CW57" t="str">
            <v>-</v>
          </cell>
        </row>
        <row r="58">
          <cell r="E58">
            <v>41487</v>
          </cell>
          <cell r="F58">
            <v>105585</v>
          </cell>
          <cell r="G58">
            <v>94858</v>
          </cell>
          <cell r="H58">
            <v>10727</v>
          </cell>
          <cell r="I58">
            <v>110469239</v>
          </cell>
          <cell r="J58">
            <v>108908349</v>
          </cell>
          <cell r="K58">
            <v>1560890</v>
          </cell>
          <cell r="L58">
            <v>1046.2588341146943</v>
          </cell>
          <cell r="M58">
            <v>1148.1198106643615</v>
          </cell>
          <cell r="N58">
            <v>145.51039433205929</v>
          </cell>
          <cell r="P58">
            <v>373339</v>
          </cell>
          <cell r="Q58">
            <v>313005</v>
          </cell>
          <cell r="R58">
            <v>60334</v>
          </cell>
          <cell r="T58">
            <v>400.6</v>
          </cell>
          <cell r="U58">
            <v>297.5</v>
          </cell>
          <cell r="V58">
            <v>103.1</v>
          </cell>
          <cell r="X58">
            <v>321036</v>
          </cell>
          <cell r="Y58">
            <v>62040</v>
          </cell>
          <cell r="AE58" t="str">
            <v>-</v>
          </cell>
          <cell r="AF58" t="str">
            <v>-</v>
          </cell>
          <cell r="AR58" t="str">
            <v>-</v>
          </cell>
          <cell r="AS58" t="str">
            <v>-</v>
          </cell>
          <cell r="AT58" t="str">
            <v>-</v>
          </cell>
          <cell r="AU58" t="str">
            <v>-</v>
          </cell>
          <cell r="AV58" t="str">
            <v>-</v>
          </cell>
          <cell r="AW58" t="str">
            <v>-</v>
          </cell>
          <cell r="AX58" t="str">
            <v>-</v>
          </cell>
          <cell r="AZ58" t="str">
            <v>-</v>
          </cell>
          <cell r="CS58" t="str">
            <v>-</v>
          </cell>
          <cell r="CT58" t="str">
            <v>-</v>
          </cell>
          <cell r="CU58" t="str">
            <v>-</v>
          </cell>
          <cell r="CV58" t="str">
            <v>-</v>
          </cell>
          <cell r="CW58" t="str">
            <v>-</v>
          </cell>
        </row>
        <row r="59">
          <cell r="E59">
            <v>41518</v>
          </cell>
          <cell r="F59">
            <v>103293</v>
          </cell>
          <cell r="G59">
            <v>95063</v>
          </cell>
          <cell r="H59">
            <v>8230</v>
          </cell>
          <cell r="I59">
            <v>110738589</v>
          </cell>
          <cell r="J59">
            <v>109754564</v>
          </cell>
          <cell r="K59">
            <v>984025</v>
          </cell>
          <cell r="L59">
            <v>1072.0822224158462</v>
          </cell>
          <cell r="M59">
            <v>1154.545554001031</v>
          </cell>
          <cell r="N59">
            <v>119.56561360874848</v>
          </cell>
          <cell r="P59">
            <v>337160</v>
          </cell>
          <cell r="Q59">
            <v>294417</v>
          </cell>
          <cell r="R59">
            <v>42743</v>
          </cell>
          <cell r="T59">
            <v>420.7</v>
          </cell>
          <cell r="U59">
            <v>305.7</v>
          </cell>
          <cell r="V59">
            <v>115</v>
          </cell>
          <cell r="X59">
            <v>302381</v>
          </cell>
          <cell r="Y59">
            <v>58942</v>
          </cell>
          <cell r="AE59" t="str">
            <v>-</v>
          </cell>
          <cell r="AF59" t="str">
            <v>-</v>
          </cell>
          <cell r="AR59" t="str">
            <v>-</v>
          </cell>
          <cell r="AS59" t="str">
            <v>-</v>
          </cell>
          <cell r="AT59" t="str">
            <v>-</v>
          </cell>
          <cell r="AU59" t="str">
            <v>-</v>
          </cell>
          <cell r="AV59" t="str">
            <v>-</v>
          </cell>
          <cell r="AW59" t="str">
            <v>-</v>
          </cell>
          <cell r="AX59" t="str">
            <v>-</v>
          </cell>
          <cell r="AZ59" t="str">
            <v>-</v>
          </cell>
          <cell r="CS59" t="str">
            <v>-</v>
          </cell>
          <cell r="CT59" t="str">
            <v>-</v>
          </cell>
          <cell r="CU59" t="str">
            <v>-</v>
          </cell>
          <cell r="CV59" t="str">
            <v>-</v>
          </cell>
          <cell r="CW59" t="str">
            <v>-</v>
          </cell>
        </row>
        <row r="60">
          <cell r="E60">
            <v>41548</v>
          </cell>
          <cell r="F60">
            <v>101784</v>
          </cell>
          <cell r="G60">
            <v>93277</v>
          </cell>
          <cell r="H60">
            <v>8507</v>
          </cell>
          <cell r="I60">
            <v>104038658</v>
          </cell>
          <cell r="J60">
            <v>102489350</v>
          </cell>
          <cell r="K60">
            <v>1549308</v>
          </cell>
          <cell r="L60">
            <v>1022.1513990411066</v>
          </cell>
          <cell r="M60">
            <v>1098.763360742734</v>
          </cell>
          <cell r="N60">
            <v>182.12154696132598</v>
          </cell>
          <cell r="P60">
            <v>362263</v>
          </cell>
          <cell r="Q60">
            <v>313877</v>
          </cell>
          <cell r="R60">
            <v>48386</v>
          </cell>
          <cell r="T60">
            <v>439.7</v>
          </cell>
          <cell r="U60">
            <v>305</v>
          </cell>
          <cell r="V60">
            <v>134.69999999999999</v>
          </cell>
          <cell r="X60">
            <v>300707</v>
          </cell>
          <cell r="Y60">
            <v>61935</v>
          </cell>
          <cell r="AE60" t="str">
            <v>-</v>
          </cell>
          <cell r="AF60" t="str">
            <v>-</v>
          </cell>
          <cell r="AR60" t="str">
            <v>-</v>
          </cell>
          <cell r="AS60" t="str">
            <v>-</v>
          </cell>
          <cell r="AT60" t="str">
            <v>-</v>
          </cell>
          <cell r="AU60" t="str">
            <v>-</v>
          </cell>
          <cell r="AV60" t="str">
            <v>-</v>
          </cell>
          <cell r="AW60" t="str">
            <v>-</v>
          </cell>
          <cell r="AX60" t="str">
            <v>-</v>
          </cell>
          <cell r="AZ60" t="str">
            <v>-</v>
          </cell>
          <cell r="CS60" t="str">
            <v>-</v>
          </cell>
          <cell r="CT60" t="str">
            <v>-</v>
          </cell>
          <cell r="CU60" t="str">
            <v>-</v>
          </cell>
          <cell r="CV60" t="str">
            <v>-</v>
          </cell>
          <cell r="CW60" t="str">
            <v>-</v>
          </cell>
        </row>
        <row r="61">
          <cell r="E61">
            <v>41579</v>
          </cell>
          <cell r="F61">
            <v>96239</v>
          </cell>
          <cell r="G61">
            <v>89269</v>
          </cell>
          <cell r="H61">
            <v>6970</v>
          </cell>
          <cell r="I61">
            <v>101847850</v>
          </cell>
          <cell r="J61">
            <v>100843101</v>
          </cell>
          <cell r="K61">
            <v>1004749</v>
          </cell>
          <cell r="L61">
            <v>1058.280426853978</v>
          </cell>
          <cell r="M61">
            <v>1129.6542024667017</v>
          </cell>
          <cell r="N61">
            <v>144.15337159253946</v>
          </cell>
          <cell r="P61">
            <v>330362</v>
          </cell>
          <cell r="Q61">
            <v>288547</v>
          </cell>
          <cell r="R61">
            <v>41815</v>
          </cell>
          <cell r="T61">
            <v>423.5</v>
          </cell>
          <cell r="U61">
            <v>299.3</v>
          </cell>
          <cell r="V61">
            <v>124.2</v>
          </cell>
          <cell r="X61">
            <v>275122</v>
          </cell>
          <cell r="Y61">
            <v>57712</v>
          </cell>
          <cell r="AE61" t="str">
            <v>-</v>
          </cell>
          <cell r="AF61" t="str">
            <v>-</v>
          </cell>
          <cell r="AR61" t="str">
            <v>-</v>
          </cell>
          <cell r="AS61" t="str">
            <v>-</v>
          </cell>
          <cell r="AT61" t="str">
            <v>-</v>
          </cell>
          <cell r="AU61" t="str">
            <v>-</v>
          </cell>
          <cell r="AV61" t="str">
            <v>-</v>
          </cell>
          <cell r="AW61" t="str">
            <v>-</v>
          </cell>
          <cell r="AX61" t="str">
            <v>-</v>
          </cell>
          <cell r="AZ61" t="str">
            <v>-</v>
          </cell>
          <cell r="CS61" t="str">
            <v>-</v>
          </cell>
          <cell r="CT61" t="str">
            <v>-</v>
          </cell>
          <cell r="CU61" t="str">
            <v>-</v>
          </cell>
          <cell r="CV61" t="str">
            <v>-</v>
          </cell>
          <cell r="CW61" t="str">
            <v>-</v>
          </cell>
        </row>
        <row r="62">
          <cell r="E62">
            <v>41609</v>
          </cell>
          <cell r="F62">
            <v>104321</v>
          </cell>
          <cell r="G62">
            <v>99318</v>
          </cell>
          <cell r="H62">
            <v>5003</v>
          </cell>
          <cell r="I62">
            <v>113832836</v>
          </cell>
          <cell r="J62">
            <v>113172375</v>
          </cell>
          <cell r="K62">
            <v>660461</v>
          </cell>
          <cell r="L62">
            <v>1091.1785354818301</v>
          </cell>
          <cell r="M62">
            <v>1139.4951066271974</v>
          </cell>
          <cell r="N62">
            <v>132.0129922046772</v>
          </cell>
          <cell r="P62">
            <v>376631</v>
          </cell>
          <cell r="Q62">
            <v>336233</v>
          </cell>
          <cell r="R62">
            <v>40398</v>
          </cell>
          <cell r="T62">
            <v>353.4</v>
          </cell>
          <cell r="U62">
            <v>289.39999999999998</v>
          </cell>
          <cell r="V62">
            <v>64</v>
          </cell>
          <cell r="X62">
            <v>221893</v>
          </cell>
          <cell r="Y62">
            <v>66949</v>
          </cell>
          <cell r="AB62" t="str">
            <v>-</v>
          </cell>
          <cell r="AC62">
            <v>336230</v>
          </cell>
          <cell r="AE62" t="str">
            <v>-</v>
          </cell>
          <cell r="AF62" t="str">
            <v>-</v>
          </cell>
          <cell r="AR62" t="str">
            <v>-</v>
          </cell>
          <cell r="AS62" t="str">
            <v>-</v>
          </cell>
          <cell r="AT62" t="str">
            <v>-</v>
          </cell>
          <cell r="AU62" t="str">
            <v>-</v>
          </cell>
          <cell r="AV62" t="str">
            <v>-</v>
          </cell>
          <cell r="AW62" t="str">
            <v>-</v>
          </cell>
          <cell r="AX62" t="str">
            <v>-</v>
          </cell>
          <cell r="AZ62" t="str">
            <v>-</v>
          </cell>
          <cell r="CS62" t="str">
            <v>-</v>
          </cell>
          <cell r="CT62" t="str">
            <v>-</v>
          </cell>
          <cell r="CU62" t="str">
            <v>-</v>
          </cell>
          <cell r="CV62" t="str">
            <v>-</v>
          </cell>
          <cell r="CW62" t="str">
            <v>-</v>
          </cell>
        </row>
        <row r="63">
          <cell r="E63">
            <v>41640</v>
          </cell>
          <cell r="F63">
            <v>73831</v>
          </cell>
          <cell r="G63">
            <v>69587</v>
          </cell>
          <cell r="H63">
            <v>4244</v>
          </cell>
          <cell r="I63">
            <v>81490803</v>
          </cell>
          <cell r="J63">
            <v>80877982</v>
          </cell>
          <cell r="K63">
            <v>612821</v>
          </cell>
          <cell r="L63">
            <v>1103.7477888691742</v>
          </cell>
          <cell r="M63">
            <v>1162.2570595082416</v>
          </cell>
          <cell r="N63">
            <v>144.39703110273328</v>
          </cell>
          <cell r="P63">
            <v>321251</v>
          </cell>
          <cell r="Q63">
            <v>300105</v>
          </cell>
          <cell r="R63">
            <v>21146</v>
          </cell>
          <cell r="T63">
            <v>322.39999999999998</v>
          </cell>
          <cell r="U63">
            <v>257.5</v>
          </cell>
          <cell r="V63">
            <v>64.900000000000006</v>
          </cell>
          <cell r="X63">
            <v>221183</v>
          </cell>
          <cell r="Y63">
            <v>64590</v>
          </cell>
          <cell r="AB63">
            <v>62480.195399999997</v>
          </cell>
          <cell r="AC63">
            <v>237616.8046</v>
          </cell>
          <cell r="AE63" t="str">
            <v>-</v>
          </cell>
          <cell r="AF63" t="str">
            <v>-</v>
          </cell>
          <cell r="AR63" t="str">
            <v>-</v>
          </cell>
          <cell r="AS63" t="str">
            <v>-</v>
          </cell>
          <cell r="AT63" t="str">
            <v>-</v>
          </cell>
          <cell r="AU63" t="str">
            <v>-</v>
          </cell>
          <cell r="AV63" t="str">
            <v>-</v>
          </cell>
          <cell r="AW63" t="str">
            <v>-</v>
          </cell>
          <cell r="AX63" t="str">
            <v>-</v>
          </cell>
          <cell r="AZ63" t="str">
            <v>-</v>
          </cell>
          <cell r="CS63" t="str">
            <v>-</v>
          </cell>
          <cell r="CT63" t="str">
            <v>-</v>
          </cell>
          <cell r="CU63" t="str">
            <v>-</v>
          </cell>
          <cell r="CV63" t="str">
            <v>-</v>
          </cell>
          <cell r="CW63" t="str">
            <v>-</v>
          </cell>
        </row>
        <row r="64">
          <cell r="E64">
            <v>41671</v>
          </cell>
          <cell r="F64">
            <v>82696</v>
          </cell>
          <cell r="G64">
            <v>75520</v>
          </cell>
          <cell r="H64">
            <v>7176</v>
          </cell>
          <cell r="I64">
            <v>86767882</v>
          </cell>
          <cell r="J64">
            <v>85594841</v>
          </cell>
          <cell r="K64">
            <v>1173041</v>
          </cell>
          <cell r="L64">
            <v>1049.2391651349521</v>
          </cell>
          <cell r="M64">
            <v>1133.4062632415255</v>
          </cell>
          <cell r="N64">
            <v>163.4672519509476</v>
          </cell>
          <cell r="P64">
            <v>272563</v>
          </cell>
          <cell r="Q64">
            <v>246138</v>
          </cell>
          <cell r="R64">
            <v>26425</v>
          </cell>
          <cell r="T64">
            <v>348.9</v>
          </cell>
          <cell r="U64">
            <v>265.39999999999998</v>
          </cell>
          <cell r="V64">
            <v>83.5</v>
          </cell>
          <cell r="X64">
            <v>262703</v>
          </cell>
          <cell r="Y64">
            <v>46773</v>
          </cell>
          <cell r="AB64">
            <v>64388.915999999997</v>
          </cell>
          <cell r="AC64">
            <v>181746.084</v>
          </cell>
          <cell r="AE64" t="str">
            <v>-</v>
          </cell>
          <cell r="AF64" t="str">
            <v>-</v>
          </cell>
          <cell r="AR64" t="str">
            <v>-</v>
          </cell>
          <cell r="AS64" t="str">
            <v>-</v>
          </cell>
          <cell r="AT64" t="str">
            <v>-</v>
          </cell>
          <cell r="AU64" t="str">
            <v>-</v>
          </cell>
          <cell r="AV64" t="str">
            <v>-</v>
          </cell>
          <cell r="AW64" t="str">
            <v>-</v>
          </cell>
          <cell r="AX64" t="str">
            <v>-</v>
          </cell>
          <cell r="AZ64" t="str">
            <v>-</v>
          </cell>
          <cell r="CS64" t="str">
            <v>-</v>
          </cell>
          <cell r="CT64" t="str">
            <v>-</v>
          </cell>
          <cell r="CU64" t="str">
            <v>-</v>
          </cell>
          <cell r="CV64" t="str">
            <v>-</v>
          </cell>
          <cell r="CW64" t="str">
            <v>-</v>
          </cell>
        </row>
        <row r="65">
          <cell r="E65">
            <v>41699</v>
          </cell>
          <cell r="F65">
            <v>79592</v>
          </cell>
          <cell r="G65">
            <v>75025</v>
          </cell>
          <cell r="H65">
            <v>4567</v>
          </cell>
          <cell r="I65">
            <v>91625857</v>
          </cell>
          <cell r="J65">
            <v>91029333</v>
          </cell>
          <cell r="K65">
            <v>596524</v>
          </cell>
          <cell r="L65">
            <v>1151.1943034475826</v>
          </cell>
          <cell r="M65">
            <v>1213.32</v>
          </cell>
          <cell r="N65">
            <v>130.61615940442303</v>
          </cell>
          <cell r="P65">
            <v>250437</v>
          </cell>
          <cell r="Q65">
            <v>229128</v>
          </cell>
          <cell r="R65">
            <v>21309</v>
          </cell>
          <cell r="T65">
            <v>387.1</v>
          </cell>
          <cell r="U65">
            <v>291</v>
          </cell>
          <cell r="V65">
            <v>96.1</v>
          </cell>
          <cell r="X65">
            <v>255210</v>
          </cell>
          <cell r="Y65">
            <v>39595</v>
          </cell>
          <cell r="AB65">
            <v>68184.0288</v>
          </cell>
          <cell r="AC65">
            <v>160928.9712</v>
          </cell>
          <cell r="AE65" t="str">
            <v>-</v>
          </cell>
          <cell r="AF65" t="str">
            <v>-</v>
          </cell>
          <cell r="AR65" t="str">
            <v>-</v>
          </cell>
          <cell r="AS65" t="str">
            <v>-</v>
          </cell>
          <cell r="AT65" t="str">
            <v>-</v>
          </cell>
          <cell r="AU65" t="str">
            <v>-</v>
          </cell>
          <cell r="AV65" t="str">
            <v>-</v>
          </cell>
          <cell r="AW65" t="str">
            <v>-</v>
          </cell>
          <cell r="AX65" t="str">
            <v>-</v>
          </cell>
          <cell r="AZ65" t="str">
            <v>-</v>
          </cell>
          <cell r="CS65" t="str">
            <v>-</v>
          </cell>
          <cell r="CT65" t="str">
            <v>-</v>
          </cell>
          <cell r="CU65" t="str">
            <v>-</v>
          </cell>
          <cell r="CV65" t="str">
            <v>-</v>
          </cell>
          <cell r="CW65" t="str">
            <v>-</v>
          </cell>
        </row>
        <row r="66">
          <cell r="E66">
            <v>41730</v>
          </cell>
          <cell r="F66">
            <v>83210</v>
          </cell>
          <cell r="G66">
            <v>78532</v>
          </cell>
          <cell r="H66">
            <v>4678</v>
          </cell>
          <cell r="I66">
            <v>95527802</v>
          </cell>
          <cell r="J66">
            <v>94844257</v>
          </cell>
          <cell r="K66">
            <v>683545</v>
          </cell>
          <cell r="L66">
            <v>1148.0327124143732</v>
          </cell>
          <cell r="M66">
            <v>1207.714778688942</v>
          </cell>
          <cell r="N66">
            <v>146.11906797776828</v>
          </cell>
          <cell r="P66">
            <v>313122</v>
          </cell>
          <cell r="Q66">
            <v>280123</v>
          </cell>
          <cell r="R66">
            <v>32999</v>
          </cell>
          <cell r="T66">
            <v>392.70000000000005</v>
          </cell>
          <cell r="U66">
            <v>290.10000000000002</v>
          </cell>
          <cell r="V66">
            <v>102.6</v>
          </cell>
          <cell r="X66">
            <v>261382</v>
          </cell>
          <cell r="Y66">
            <v>49446</v>
          </cell>
          <cell r="AB66">
            <v>83782.097399999999</v>
          </cell>
          <cell r="AC66">
            <v>196331.9026</v>
          </cell>
          <cell r="AE66" t="str">
            <v>-</v>
          </cell>
          <cell r="AF66" t="str">
            <v>-</v>
          </cell>
          <cell r="AR66" t="str">
            <v>-</v>
          </cell>
          <cell r="AS66" t="str">
            <v>-</v>
          </cell>
          <cell r="AT66" t="str">
            <v>-</v>
          </cell>
          <cell r="AU66" t="str">
            <v>-</v>
          </cell>
          <cell r="AV66" t="str">
            <v>-</v>
          </cell>
          <cell r="AW66" t="str">
            <v>-</v>
          </cell>
          <cell r="AX66" t="str">
            <v>-</v>
          </cell>
          <cell r="AZ66" t="str">
            <v>-</v>
          </cell>
          <cell r="CS66" t="str">
            <v>-</v>
          </cell>
          <cell r="CT66" t="str">
            <v>-</v>
          </cell>
          <cell r="CU66" t="str">
            <v>-</v>
          </cell>
          <cell r="CV66" t="str">
            <v>-</v>
          </cell>
          <cell r="CW66" t="str">
            <v>-</v>
          </cell>
        </row>
        <row r="67">
          <cell r="E67">
            <v>41760</v>
          </cell>
          <cell r="F67">
            <v>87725</v>
          </cell>
          <cell r="G67">
            <v>83362</v>
          </cell>
          <cell r="H67">
            <v>4363</v>
          </cell>
          <cell r="I67">
            <v>101275803.325</v>
          </cell>
          <cell r="J67">
            <v>100752515.325</v>
          </cell>
          <cell r="K67">
            <v>523287.99999999988</v>
          </cell>
          <cell r="L67">
            <v>1154.4691174123682</v>
          </cell>
          <cell r="M67">
            <v>1208.6144205393346</v>
          </cell>
          <cell r="N67">
            <v>119.937657575063</v>
          </cell>
          <cell r="P67">
            <v>310967</v>
          </cell>
          <cell r="Q67">
            <v>278409</v>
          </cell>
          <cell r="R67">
            <v>32558</v>
          </cell>
          <cell r="T67">
            <v>399.9</v>
          </cell>
          <cell r="U67">
            <v>283.8</v>
          </cell>
          <cell r="V67">
            <v>116.1</v>
          </cell>
          <cell r="X67">
            <v>265272</v>
          </cell>
          <cell r="Y67">
            <v>52586</v>
          </cell>
          <cell r="AB67">
            <v>82770.698400000008</v>
          </cell>
          <cell r="AC67">
            <v>195637.30160000001</v>
          </cell>
          <cell r="AE67" t="str">
            <v>-</v>
          </cell>
          <cell r="AF67" t="str">
            <v>-</v>
          </cell>
          <cell r="AR67" t="str">
            <v>-</v>
          </cell>
          <cell r="AS67" t="str">
            <v>-</v>
          </cell>
          <cell r="AT67" t="str">
            <v>-</v>
          </cell>
          <cell r="AU67" t="str">
            <v>-</v>
          </cell>
          <cell r="AV67" t="str">
            <v>-</v>
          </cell>
          <cell r="AW67" t="str">
            <v>-</v>
          </cell>
          <cell r="AX67" t="str">
            <v>-</v>
          </cell>
          <cell r="AZ67" t="str">
            <v>-</v>
          </cell>
          <cell r="CS67" t="str">
            <v>-</v>
          </cell>
          <cell r="CT67" t="str">
            <v>-</v>
          </cell>
          <cell r="CU67" t="str">
            <v>-</v>
          </cell>
          <cell r="CV67" t="str">
            <v>-</v>
          </cell>
          <cell r="CW67" t="str">
            <v>-</v>
          </cell>
        </row>
        <row r="68">
          <cell r="E68">
            <v>41791</v>
          </cell>
          <cell r="F68">
            <v>74338</v>
          </cell>
          <cell r="G68">
            <v>71061</v>
          </cell>
          <cell r="H68">
            <v>3277</v>
          </cell>
          <cell r="I68">
            <v>81883389</v>
          </cell>
          <cell r="J68">
            <v>81398005</v>
          </cell>
          <cell r="K68">
            <v>485384.00000000058</v>
          </cell>
          <cell r="L68">
            <v>1101.5011030697624</v>
          </cell>
          <cell r="M68">
            <v>1145.4666413363168</v>
          </cell>
          <cell r="N68">
            <v>148.11840097650307</v>
          </cell>
          <cell r="P68">
            <v>273333</v>
          </cell>
          <cell r="Q68">
            <v>251015</v>
          </cell>
          <cell r="R68">
            <v>22318</v>
          </cell>
          <cell r="T68">
            <v>395.4</v>
          </cell>
          <cell r="U68">
            <v>296.39999999999998</v>
          </cell>
          <cell r="V68">
            <v>99</v>
          </cell>
          <cell r="X68">
            <v>205213</v>
          </cell>
          <cell r="Y68">
            <v>46764</v>
          </cell>
          <cell r="AB68">
            <v>77839.441400000011</v>
          </cell>
          <cell r="AC68">
            <v>173174.55859999999</v>
          </cell>
          <cell r="AE68" t="str">
            <v>-</v>
          </cell>
          <cell r="AF68" t="str">
            <v>-</v>
          </cell>
          <cell r="AR68" t="str">
            <v>-</v>
          </cell>
          <cell r="AS68" t="str">
            <v>-</v>
          </cell>
          <cell r="AT68" t="str">
            <v>-</v>
          </cell>
          <cell r="AU68" t="str">
            <v>-</v>
          </cell>
          <cell r="AV68" t="str">
            <v>-</v>
          </cell>
          <cell r="AW68" t="str">
            <v>-</v>
          </cell>
          <cell r="AX68" t="str">
            <v>-</v>
          </cell>
          <cell r="AZ68" t="str">
            <v>-</v>
          </cell>
          <cell r="CS68" t="str">
            <v>-</v>
          </cell>
          <cell r="CT68" t="str">
            <v>-</v>
          </cell>
          <cell r="CU68" t="str">
            <v>-</v>
          </cell>
          <cell r="CV68" t="str">
            <v>-</v>
          </cell>
          <cell r="CW68" t="str">
            <v>-</v>
          </cell>
        </row>
        <row r="69">
          <cell r="E69">
            <v>41821</v>
          </cell>
          <cell r="F69">
            <v>76349</v>
          </cell>
          <cell r="G69">
            <v>70057</v>
          </cell>
          <cell r="H69">
            <v>6292</v>
          </cell>
          <cell r="I69">
            <v>81222026.000000015</v>
          </cell>
          <cell r="J69">
            <v>80109287.000000015</v>
          </cell>
          <cell r="K69">
            <v>1112738.9999999967</v>
          </cell>
          <cell r="L69">
            <v>1063.8256689675047</v>
          </cell>
          <cell r="M69">
            <v>1143.487260373696</v>
          </cell>
          <cell r="N69">
            <v>176.84980928162693</v>
          </cell>
          <cell r="P69">
            <v>312543</v>
          </cell>
          <cell r="Q69">
            <v>280191</v>
          </cell>
          <cell r="R69">
            <v>32352</v>
          </cell>
          <cell r="T69">
            <v>382.6</v>
          </cell>
          <cell r="U69">
            <v>255.9</v>
          </cell>
          <cell r="V69">
            <v>126.7</v>
          </cell>
          <cell r="X69">
            <v>239075</v>
          </cell>
          <cell r="Y69">
            <v>52483</v>
          </cell>
          <cell r="AB69" t="str">
            <v>-</v>
          </cell>
          <cell r="AC69" t="str">
            <v>-</v>
          </cell>
          <cell r="AE69" t="str">
            <v>-</v>
          </cell>
          <cell r="AF69" t="str">
            <v>-</v>
          </cell>
          <cell r="AR69" t="str">
            <v>-</v>
          </cell>
          <cell r="AS69" t="str">
            <v>-</v>
          </cell>
          <cell r="AT69" t="str">
            <v>-</v>
          </cell>
          <cell r="AU69" t="str">
            <v>-</v>
          </cell>
          <cell r="AV69" t="str">
            <v>-</v>
          </cell>
          <cell r="AW69" t="str">
            <v>-</v>
          </cell>
          <cell r="AX69" t="str">
            <v>-</v>
          </cell>
          <cell r="AZ69" t="str">
            <v>-</v>
          </cell>
          <cell r="CS69" t="str">
            <v>-</v>
          </cell>
          <cell r="CT69" t="str">
            <v>-</v>
          </cell>
          <cell r="CU69" t="str">
            <v>-</v>
          </cell>
          <cell r="CV69" t="str">
            <v>-</v>
          </cell>
          <cell r="CW69" t="str">
            <v>-</v>
          </cell>
        </row>
        <row r="70">
          <cell r="E70">
            <v>41852</v>
          </cell>
          <cell r="F70">
            <v>80888</v>
          </cell>
          <cell r="G70">
            <v>75319</v>
          </cell>
          <cell r="H70">
            <v>5569</v>
          </cell>
          <cell r="I70">
            <v>88717834</v>
          </cell>
          <cell r="J70">
            <v>87819808</v>
          </cell>
          <cell r="K70">
            <v>898025.99999999907</v>
          </cell>
          <cell r="L70">
            <v>1096.7984620710117</v>
          </cell>
          <cell r="M70">
            <v>1165.971507853264</v>
          </cell>
          <cell r="N70">
            <v>161.2544442449271</v>
          </cell>
          <cell r="P70">
            <v>289004</v>
          </cell>
          <cell r="Q70">
            <v>259491</v>
          </cell>
          <cell r="R70">
            <v>29513</v>
          </cell>
          <cell r="T70">
            <v>385.70000000000005</v>
          </cell>
          <cell r="U70">
            <v>264.3</v>
          </cell>
          <cell r="V70">
            <v>121.4</v>
          </cell>
          <cell r="X70">
            <v>249789</v>
          </cell>
          <cell r="Y70">
            <v>49113</v>
          </cell>
          <cell r="AB70" t="str">
            <v>-</v>
          </cell>
          <cell r="AC70" t="str">
            <v>-</v>
          </cell>
          <cell r="AE70" t="str">
            <v>-</v>
          </cell>
          <cell r="AF70" t="str">
            <v>-</v>
          </cell>
          <cell r="AR70" t="str">
            <v>-</v>
          </cell>
          <cell r="AS70" t="str">
            <v>-</v>
          </cell>
          <cell r="AT70" t="str">
            <v>-</v>
          </cell>
          <cell r="AU70" t="str">
            <v>-</v>
          </cell>
          <cell r="AV70" t="str">
            <v>-</v>
          </cell>
          <cell r="AW70" t="str">
            <v>-</v>
          </cell>
          <cell r="AX70" t="str">
            <v>-</v>
          </cell>
          <cell r="AZ70" t="str">
            <v>-</v>
          </cell>
          <cell r="CS70" t="str">
            <v>-</v>
          </cell>
          <cell r="CT70" t="str">
            <v>-</v>
          </cell>
          <cell r="CU70" t="str">
            <v>-</v>
          </cell>
          <cell r="CV70" t="str">
            <v>-</v>
          </cell>
          <cell r="CW70" t="str">
            <v>-</v>
          </cell>
        </row>
        <row r="71">
          <cell r="E71">
            <v>41883</v>
          </cell>
          <cell r="F71">
            <v>97684</v>
          </cell>
          <cell r="G71">
            <v>92878</v>
          </cell>
          <cell r="H71">
            <v>4806</v>
          </cell>
          <cell r="I71">
            <v>107158449</v>
          </cell>
          <cell r="J71">
            <v>106609781</v>
          </cell>
          <cell r="K71">
            <v>548667.99999999919</v>
          </cell>
          <cell r="L71">
            <v>1096.9907968551656</v>
          </cell>
          <cell r="M71">
            <v>1147.847509636297</v>
          </cell>
          <cell r="N71">
            <v>114.16312942155622</v>
          </cell>
          <cell r="P71">
            <v>306748</v>
          </cell>
          <cell r="Q71">
            <v>282884</v>
          </cell>
          <cell r="R71">
            <v>23864</v>
          </cell>
          <cell r="T71">
            <v>404.5</v>
          </cell>
          <cell r="U71">
            <v>282.89999999999998</v>
          </cell>
          <cell r="V71">
            <v>121.6</v>
          </cell>
          <cell r="X71">
            <v>286366</v>
          </cell>
          <cell r="Y71">
            <v>51588</v>
          </cell>
          <cell r="AB71" t="str">
            <v>-</v>
          </cell>
          <cell r="AC71" t="str">
            <v>-</v>
          </cell>
          <cell r="AE71" t="str">
            <v>-</v>
          </cell>
          <cell r="AF71" t="str">
            <v>-</v>
          </cell>
          <cell r="AR71" t="str">
            <v>-</v>
          </cell>
          <cell r="AS71" t="str">
            <v>-</v>
          </cell>
          <cell r="AT71" t="str">
            <v>-</v>
          </cell>
          <cell r="AU71" t="str">
            <v>-</v>
          </cell>
          <cell r="AV71" t="str">
            <v>-</v>
          </cell>
          <cell r="AW71" t="str">
            <v>-</v>
          </cell>
          <cell r="AX71" t="str">
            <v>-</v>
          </cell>
          <cell r="AZ71" t="str">
            <v>-</v>
          </cell>
          <cell r="CS71" t="str">
            <v>-</v>
          </cell>
          <cell r="CT71" t="str">
            <v>-</v>
          </cell>
          <cell r="CU71" t="str">
            <v>-</v>
          </cell>
          <cell r="CV71" t="str">
            <v>-</v>
          </cell>
          <cell r="CW71" t="str">
            <v>-</v>
          </cell>
        </row>
        <row r="72">
          <cell r="E72">
            <v>41917</v>
          </cell>
          <cell r="F72">
            <v>90564</v>
          </cell>
          <cell r="G72">
            <v>84879</v>
          </cell>
          <cell r="H72">
            <v>5685</v>
          </cell>
          <cell r="I72">
            <v>97625669</v>
          </cell>
          <cell r="J72">
            <v>97028626</v>
          </cell>
          <cell r="K72">
            <v>597042.99999999988</v>
          </cell>
          <cell r="L72">
            <v>1077.9743496312001</v>
          </cell>
          <cell r="M72">
            <v>1143.1405412410609</v>
          </cell>
          <cell r="N72">
            <v>105.02075637642918</v>
          </cell>
          <cell r="P72">
            <v>313336</v>
          </cell>
          <cell r="Q72">
            <v>291813</v>
          </cell>
          <cell r="R72">
            <v>21523</v>
          </cell>
          <cell r="T72">
            <v>413.4</v>
          </cell>
          <cell r="U72">
            <v>281.8</v>
          </cell>
          <cell r="V72">
            <v>131.6</v>
          </cell>
          <cell r="X72">
            <v>278239</v>
          </cell>
          <cell r="Y72">
            <v>52248</v>
          </cell>
          <cell r="AB72" t="str">
            <v>-</v>
          </cell>
          <cell r="AC72" t="str">
            <v>-</v>
          </cell>
          <cell r="AE72" t="str">
            <v>-</v>
          </cell>
          <cell r="AF72" t="str">
            <v>-</v>
          </cell>
          <cell r="AR72" t="str">
            <v>-</v>
          </cell>
          <cell r="AS72" t="str">
            <v>-</v>
          </cell>
          <cell r="AT72" t="str">
            <v>-</v>
          </cell>
          <cell r="AU72" t="str">
            <v>-</v>
          </cell>
          <cell r="AV72" t="str">
            <v>-</v>
          </cell>
          <cell r="AW72" t="str">
            <v>-</v>
          </cell>
          <cell r="AX72" t="str">
            <v>-</v>
          </cell>
          <cell r="AZ72" t="str">
            <v>-</v>
          </cell>
          <cell r="CS72" t="str">
            <v>-</v>
          </cell>
          <cell r="CT72" t="str">
            <v>-</v>
          </cell>
          <cell r="CU72" t="str">
            <v>-</v>
          </cell>
          <cell r="CV72" t="str">
            <v>-</v>
          </cell>
          <cell r="CW72" t="str">
            <v>-</v>
          </cell>
        </row>
        <row r="73">
          <cell r="E73">
            <v>41944</v>
          </cell>
          <cell r="F73">
            <v>89447</v>
          </cell>
          <cell r="G73">
            <v>83868</v>
          </cell>
          <cell r="H73">
            <v>5579</v>
          </cell>
          <cell r="I73">
            <v>101314001.99999997</v>
          </cell>
          <cell r="J73">
            <v>100788628.99999997</v>
          </cell>
          <cell r="K73">
            <v>525373</v>
          </cell>
          <cell r="L73">
            <v>1132.6707659284266</v>
          </cell>
          <cell r="M73">
            <v>1201.7531001096959</v>
          </cell>
          <cell r="N73">
            <v>94.169743681663377</v>
          </cell>
          <cell r="P73">
            <v>303909</v>
          </cell>
          <cell r="Q73">
            <v>280160</v>
          </cell>
          <cell r="R73">
            <v>23749</v>
          </cell>
          <cell r="T73">
            <v>414.3</v>
          </cell>
          <cell r="U73">
            <v>294.8</v>
          </cell>
          <cell r="V73">
            <v>119.5</v>
          </cell>
          <cell r="X73">
            <v>251208</v>
          </cell>
          <cell r="Y73">
            <v>47730</v>
          </cell>
          <cell r="AB73" t="str">
            <v>-</v>
          </cell>
          <cell r="AC73" t="str">
            <v>-</v>
          </cell>
          <cell r="AE73" t="str">
            <v>-</v>
          </cell>
          <cell r="AF73" t="str">
            <v>-</v>
          </cell>
          <cell r="AR73" t="str">
            <v>-</v>
          </cell>
          <cell r="AS73" t="str">
            <v>-</v>
          </cell>
          <cell r="AT73" t="str">
            <v>-</v>
          </cell>
          <cell r="AU73" t="str">
            <v>-</v>
          </cell>
          <cell r="AV73" t="str">
            <v>-</v>
          </cell>
          <cell r="AW73" t="str">
            <v>-</v>
          </cell>
          <cell r="AX73" t="str">
            <v>-</v>
          </cell>
          <cell r="AZ73" t="str">
            <v>-</v>
          </cell>
          <cell r="CS73" t="str">
            <v>-</v>
          </cell>
          <cell r="CT73" t="str">
            <v>-</v>
          </cell>
          <cell r="CU73" t="str">
            <v>-</v>
          </cell>
          <cell r="CV73" t="str">
            <v>-</v>
          </cell>
          <cell r="CW73" t="str">
            <v>-</v>
          </cell>
        </row>
        <row r="74">
          <cell r="E74">
            <v>41974</v>
          </cell>
          <cell r="F74">
            <v>109565</v>
          </cell>
          <cell r="G74">
            <v>105286</v>
          </cell>
          <cell r="H74">
            <v>4279</v>
          </cell>
          <cell r="I74">
            <v>117155939.99999997</v>
          </cell>
          <cell r="J74">
            <v>116571606.99999997</v>
          </cell>
          <cell r="K74">
            <v>584333</v>
          </cell>
          <cell r="L74">
            <v>1069.2825263542186</v>
          </cell>
          <cell r="M74">
            <v>1107.1900062686395</v>
          </cell>
          <cell r="N74">
            <v>136.55830801589155</v>
          </cell>
          <cell r="P74">
            <v>376426</v>
          </cell>
          <cell r="Q74">
            <v>354026</v>
          </cell>
          <cell r="R74">
            <v>22400</v>
          </cell>
          <cell r="T74">
            <v>351</v>
          </cell>
          <cell r="U74">
            <v>297.5</v>
          </cell>
          <cell r="V74">
            <v>53.5</v>
          </cell>
          <cell r="X74">
            <v>203289</v>
          </cell>
          <cell r="Y74">
            <v>62042</v>
          </cell>
          <cell r="AB74">
            <v>97562.124400000001</v>
          </cell>
          <cell r="AC74">
            <v>256436.8756</v>
          </cell>
          <cell r="AE74" t="str">
            <v>-</v>
          </cell>
          <cell r="AF74" t="str">
            <v>-</v>
          </cell>
          <cell r="AR74" t="str">
            <v>-</v>
          </cell>
          <cell r="AS74" t="str">
            <v>-</v>
          </cell>
          <cell r="AT74" t="str">
            <v>-</v>
          </cell>
          <cell r="AU74" t="str">
            <v>-</v>
          </cell>
          <cell r="AV74" t="str">
            <v>-</v>
          </cell>
          <cell r="AW74" t="str">
            <v>-</v>
          </cell>
          <cell r="AX74" t="str">
            <v>-</v>
          </cell>
          <cell r="AZ74" t="str">
            <v>-</v>
          </cell>
          <cell r="CS74" t="str">
            <v>-</v>
          </cell>
          <cell r="CT74" t="str">
            <v>-</v>
          </cell>
          <cell r="CU74" t="str">
            <v>-</v>
          </cell>
          <cell r="CV74" t="str">
            <v>-</v>
          </cell>
          <cell r="CW74" t="str">
            <v>-</v>
          </cell>
        </row>
        <row r="75">
          <cell r="E75">
            <v>42005</v>
          </cell>
          <cell r="F75">
            <v>59324</v>
          </cell>
          <cell r="G75">
            <v>55738</v>
          </cell>
          <cell r="H75">
            <v>3586</v>
          </cell>
          <cell r="I75">
            <v>65669267</v>
          </cell>
          <cell r="J75">
            <v>65272493</v>
          </cell>
          <cell r="K75">
            <v>396774</v>
          </cell>
          <cell r="L75">
            <v>1106.9595273413795</v>
          </cell>
          <cell r="M75">
            <v>1171.0591158635043</v>
          </cell>
          <cell r="N75">
            <v>110.64528722810931</v>
          </cell>
          <cell r="P75">
            <v>259115</v>
          </cell>
          <cell r="Q75">
            <v>244267</v>
          </cell>
          <cell r="R75">
            <v>14848</v>
          </cell>
          <cell r="T75">
            <v>325.2</v>
          </cell>
          <cell r="U75">
            <v>256.2</v>
          </cell>
          <cell r="V75">
            <v>69</v>
          </cell>
          <cell r="X75">
            <v>194123</v>
          </cell>
          <cell r="Y75">
            <v>45521</v>
          </cell>
          <cell r="AB75">
            <v>51906.525000000001</v>
          </cell>
          <cell r="AC75">
            <v>192359.47500000001</v>
          </cell>
          <cell r="AE75">
            <v>797008</v>
          </cell>
          <cell r="AF75">
            <v>3.2628558094216573</v>
          </cell>
          <cell r="AR75" t="e">
            <v>#N/A</v>
          </cell>
          <cell r="AS75">
            <v>39462</v>
          </cell>
          <cell r="AT75">
            <v>0</v>
          </cell>
          <cell r="AU75">
            <v>12552</v>
          </cell>
          <cell r="AV75">
            <v>21387</v>
          </cell>
          <cell r="AW75">
            <v>12581</v>
          </cell>
          <cell r="AX75">
            <v>0</v>
          </cell>
          <cell r="AZ75" t="e">
            <v>#N/A</v>
          </cell>
          <cell r="CS75">
            <v>11673.297869090906</v>
          </cell>
          <cell r="CT75">
            <v>45313.156946666742</v>
          </cell>
          <cell r="CU75">
            <v>31626.062713333253</v>
          </cell>
          <cell r="CV75">
            <v>116580.05274484861</v>
          </cell>
          <cell r="CW75">
            <v>40168.449804848366</v>
          </cell>
        </row>
        <row r="76">
          <cell r="E76">
            <v>42036</v>
          </cell>
          <cell r="F76">
            <v>61092</v>
          </cell>
          <cell r="G76">
            <v>53867</v>
          </cell>
          <cell r="H76">
            <v>7225</v>
          </cell>
          <cell r="I76">
            <v>67574962.489583328</v>
          </cell>
          <cell r="J76">
            <v>66911956.489583336</v>
          </cell>
          <cell r="K76">
            <v>663005.99999999744</v>
          </cell>
          <cell r="L76">
            <v>1106.1180267397258</v>
          </cell>
          <cell r="M76">
            <v>1242.1697233850657</v>
          </cell>
          <cell r="N76">
            <v>91.765536332179579</v>
          </cell>
          <cell r="P76">
            <v>208653</v>
          </cell>
          <cell r="Q76">
            <v>179263</v>
          </cell>
          <cell r="R76">
            <v>29390</v>
          </cell>
          <cell r="T76">
            <v>329</v>
          </cell>
          <cell r="U76">
            <v>251</v>
          </cell>
          <cell r="V76">
            <v>78</v>
          </cell>
          <cell r="X76">
            <v>195707</v>
          </cell>
          <cell r="Y76">
            <v>30928</v>
          </cell>
          <cell r="AB76">
            <v>43829.803500000002</v>
          </cell>
          <cell r="AC76">
            <v>135433.19649999999</v>
          </cell>
          <cell r="AE76">
            <v>695068</v>
          </cell>
          <cell r="AF76">
            <v>3.877364542599421</v>
          </cell>
          <cell r="AR76">
            <v>0</v>
          </cell>
          <cell r="AS76">
            <v>30997</v>
          </cell>
          <cell r="AT76">
            <v>0</v>
          </cell>
          <cell r="AU76">
            <v>11482</v>
          </cell>
          <cell r="AV76">
            <v>14792</v>
          </cell>
          <cell r="AW76">
            <v>0</v>
          </cell>
          <cell r="AX76">
            <v>0</v>
          </cell>
          <cell r="AZ76">
            <v>121992</v>
          </cell>
          <cell r="CS76">
            <v>8576.2678527272765</v>
          </cell>
          <cell r="CT76">
            <v>33079.998933333271</v>
          </cell>
          <cell r="CU76">
            <v>23058.002146666728</v>
          </cell>
          <cell r="CV76">
            <v>85812.654878787929</v>
          </cell>
          <cell r="CW76">
            <v>29524.072878787934</v>
          </cell>
        </row>
        <row r="77">
          <cell r="E77">
            <v>42064</v>
          </cell>
          <cell r="F77">
            <v>76779</v>
          </cell>
          <cell r="G77">
            <v>71025</v>
          </cell>
          <cell r="H77">
            <v>5754</v>
          </cell>
          <cell r="I77">
            <v>84983896.510416657</v>
          </cell>
          <cell r="J77">
            <v>84390920.510416657</v>
          </cell>
          <cell r="K77">
            <v>592975.99999999814</v>
          </cell>
          <cell r="L77">
            <v>1106.8638105525815</v>
          </cell>
          <cell r="M77">
            <v>1188.1861388302239</v>
          </cell>
          <cell r="N77">
            <v>103.05457073340253</v>
          </cell>
          <cell r="P77">
            <v>256013</v>
          </cell>
          <cell r="Q77">
            <v>226336</v>
          </cell>
          <cell r="R77">
            <v>29677</v>
          </cell>
          <cell r="T77">
            <v>360.3</v>
          </cell>
          <cell r="U77">
            <v>255.8</v>
          </cell>
          <cell r="V77">
            <v>104.5</v>
          </cell>
          <cell r="X77">
            <v>246320</v>
          </cell>
          <cell r="Y77">
            <v>37663</v>
          </cell>
          <cell r="AB77">
            <v>63306.179199999999</v>
          </cell>
          <cell r="AC77">
            <v>163029.82079999999</v>
          </cell>
          <cell r="AE77">
            <v>844118</v>
          </cell>
          <cell r="AF77">
            <v>3.7294906687402798</v>
          </cell>
          <cell r="AR77">
            <v>0</v>
          </cell>
          <cell r="AS77">
            <v>34893</v>
          </cell>
          <cell r="AT77">
            <v>0</v>
          </cell>
          <cell r="AU77">
            <v>17091</v>
          </cell>
          <cell r="AV77">
            <v>22776</v>
          </cell>
          <cell r="AW77">
            <v>0</v>
          </cell>
          <cell r="AX77">
            <v>0</v>
          </cell>
          <cell r="AZ77">
            <v>151576</v>
          </cell>
          <cell r="CS77">
            <v>10840.259840000012</v>
          </cell>
          <cell r="CT77">
            <v>41546.23616</v>
          </cell>
          <cell r="CU77">
            <v>28921.214080000002</v>
          </cell>
          <cell r="CV77">
            <v>108670.49792000002</v>
          </cell>
          <cell r="CW77">
            <v>37333.917440000019</v>
          </cell>
        </row>
        <row r="78">
          <cell r="E78">
            <v>42095</v>
          </cell>
          <cell r="F78">
            <v>59779</v>
          </cell>
          <cell r="G78">
            <v>53931</v>
          </cell>
          <cell r="H78">
            <v>5848</v>
          </cell>
          <cell r="I78">
            <v>64889618</v>
          </cell>
          <cell r="J78">
            <v>64236889</v>
          </cell>
          <cell r="K78">
            <v>652728.99999999884</v>
          </cell>
          <cell r="L78">
            <v>1085.4918616905602</v>
          </cell>
          <cell r="M78">
            <v>1191.0939719270921</v>
          </cell>
          <cell r="N78">
            <v>111.61576607387121</v>
          </cell>
          <cell r="P78">
            <v>239777</v>
          </cell>
          <cell r="Q78">
            <v>212002</v>
          </cell>
          <cell r="R78">
            <v>27775</v>
          </cell>
          <cell r="T78">
            <v>367.20000000000005</v>
          </cell>
          <cell r="U78">
            <v>235.8</v>
          </cell>
          <cell r="V78">
            <v>131.4</v>
          </cell>
          <cell r="X78">
            <v>210698</v>
          </cell>
          <cell r="Y78">
            <v>35474</v>
          </cell>
          <cell r="AB78">
            <v>63706.600999999995</v>
          </cell>
          <cell r="AC78">
            <v>148295.399</v>
          </cell>
          <cell r="AE78">
            <v>790881</v>
          </cell>
          <cell r="AF78">
            <v>3.7305355609852735</v>
          </cell>
          <cell r="AR78">
            <v>0</v>
          </cell>
          <cell r="AS78">
            <v>31140</v>
          </cell>
          <cell r="AT78">
            <v>0</v>
          </cell>
          <cell r="AU78">
            <v>15792</v>
          </cell>
          <cell r="AV78">
            <v>20575</v>
          </cell>
          <cell r="AW78">
            <v>0</v>
          </cell>
          <cell r="AX78">
            <v>0</v>
          </cell>
          <cell r="AZ78">
            <v>144495</v>
          </cell>
          <cell r="CS78">
            <v>10164.917712727267</v>
          </cell>
          <cell r="CT78">
            <v>38708.738506666741</v>
          </cell>
          <cell r="CU78">
            <v>26910.120533333265</v>
          </cell>
          <cell r="CV78">
            <v>102091.94009212119</v>
          </cell>
          <cell r="CW78">
            <v>35022.987372121184</v>
          </cell>
        </row>
        <row r="79">
          <cell r="E79">
            <v>42125</v>
          </cell>
          <cell r="F79">
            <v>61565</v>
          </cell>
          <cell r="G79">
            <v>52748</v>
          </cell>
          <cell r="H79">
            <v>8817</v>
          </cell>
          <cell r="I79">
            <v>67402731</v>
          </cell>
          <cell r="J79">
            <v>66114664</v>
          </cell>
          <cell r="K79">
            <v>1288067</v>
          </cell>
          <cell r="L79">
            <v>1094.8222366604402</v>
          </cell>
          <cell r="M79">
            <v>1253.4060817471752</v>
          </cell>
          <cell r="N79">
            <v>146.08903255075421</v>
          </cell>
          <cell r="P79">
            <v>243196</v>
          </cell>
          <cell r="Q79">
            <v>205234</v>
          </cell>
          <cell r="R79">
            <v>37962</v>
          </cell>
          <cell r="T79">
            <v>361.1</v>
          </cell>
          <cell r="U79">
            <v>224.9</v>
          </cell>
          <cell r="V79">
            <v>136.19999999999999</v>
          </cell>
          <cell r="X79">
            <v>204559</v>
          </cell>
          <cell r="Y79">
            <v>32276</v>
          </cell>
          <cell r="AB79">
            <v>62924.744399999996</v>
          </cell>
          <cell r="AC79">
            <v>142309.2556</v>
          </cell>
          <cell r="AE79">
            <v>823333</v>
          </cell>
          <cell r="AF79">
            <v>4.0116793513745286</v>
          </cell>
          <cell r="AR79">
            <v>0</v>
          </cell>
          <cell r="AS79">
            <v>30281</v>
          </cell>
          <cell r="AT79">
            <v>0</v>
          </cell>
          <cell r="AU79">
            <v>14820</v>
          </cell>
          <cell r="AV79">
            <v>19282</v>
          </cell>
          <cell r="AW79">
            <v>0</v>
          </cell>
          <cell r="AX79">
            <v>0</v>
          </cell>
          <cell r="AZ79">
            <v>140851</v>
          </cell>
          <cell r="CS79">
            <v>9851.232</v>
          </cell>
          <cell r="CT79">
            <v>37273.230853333262</v>
          </cell>
          <cell r="CU79">
            <v>25877.270946666737</v>
          </cell>
          <cell r="CV79">
            <v>99126.653773333266</v>
          </cell>
          <cell r="CW79">
            <v>33956.649413333267</v>
          </cell>
        </row>
        <row r="80">
          <cell r="E80">
            <v>42156</v>
          </cell>
          <cell r="F80">
            <v>67336</v>
          </cell>
          <cell r="G80">
            <v>59044</v>
          </cell>
          <cell r="H80">
            <v>8292</v>
          </cell>
          <cell r="I80">
            <v>69735551</v>
          </cell>
          <cell r="J80">
            <v>68657469</v>
          </cell>
          <cell r="K80">
            <v>1078081.9999999977</v>
          </cell>
          <cell r="L80">
            <v>1035.635484733278</v>
          </cell>
          <cell r="M80">
            <v>1162.8187284059345</v>
          </cell>
          <cell r="N80">
            <v>130.01471297636249</v>
          </cell>
          <cell r="P80">
            <v>250245</v>
          </cell>
          <cell r="Q80">
            <v>204898</v>
          </cell>
          <cell r="R80">
            <v>45347</v>
          </cell>
          <cell r="T80">
            <v>338.8</v>
          </cell>
          <cell r="U80">
            <v>236.8</v>
          </cell>
          <cell r="V80">
            <v>102</v>
          </cell>
          <cell r="X80">
            <v>180525</v>
          </cell>
          <cell r="Y80">
            <v>32787</v>
          </cell>
          <cell r="AB80">
            <v>58908.174999999996</v>
          </cell>
          <cell r="AC80">
            <v>145989.82500000001</v>
          </cell>
          <cell r="AE80">
            <v>855509</v>
          </cell>
          <cell r="AF80">
            <v>4.175292096555359</v>
          </cell>
          <cell r="AR80">
            <v>0</v>
          </cell>
          <cell r="AS80">
            <v>30125</v>
          </cell>
          <cell r="AT80">
            <v>0</v>
          </cell>
          <cell r="AU80">
            <v>15191</v>
          </cell>
          <cell r="AV80">
            <v>20962</v>
          </cell>
          <cell r="AW80">
            <v>0</v>
          </cell>
          <cell r="AX80">
            <v>0</v>
          </cell>
          <cell r="AZ80">
            <v>138620</v>
          </cell>
          <cell r="CS80">
            <v>9845.9077127272794</v>
          </cell>
          <cell r="CT80">
            <v>37012.774720000001</v>
          </cell>
          <cell r="CU80">
            <v>25661.425519999997</v>
          </cell>
          <cell r="CV80">
            <v>99257.806785454639</v>
          </cell>
          <cell r="CW80">
            <v>33952.716225454431</v>
          </cell>
        </row>
        <row r="81">
          <cell r="E81">
            <v>42186</v>
          </cell>
          <cell r="F81">
            <v>58954</v>
          </cell>
          <cell r="G81">
            <v>53530</v>
          </cell>
          <cell r="H81">
            <v>5424</v>
          </cell>
          <cell r="I81">
            <v>67044133</v>
          </cell>
          <cell r="J81">
            <v>66199603</v>
          </cell>
          <cell r="K81">
            <v>844530</v>
          </cell>
          <cell r="L81">
            <v>1137.2278895409981</v>
          </cell>
          <cell r="M81">
            <v>1236.6822903045022</v>
          </cell>
          <cell r="N81">
            <v>155.70243362831857</v>
          </cell>
          <cell r="P81">
            <v>245503</v>
          </cell>
          <cell r="Q81">
            <v>219698</v>
          </cell>
          <cell r="R81">
            <v>25805</v>
          </cell>
          <cell r="T81">
            <v>345.6</v>
          </cell>
          <cell r="U81">
            <v>206.9</v>
          </cell>
          <cell r="V81">
            <v>138.69999999999999</v>
          </cell>
          <cell r="X81">
            <v>214651</v>
          </cell>
          <cell r="Y81">
            <v>37540</v>
          </cell>
          <cell r="AB81">
            <v>63053.038999999997</v>
          </cell>
          <cell r="AC81">
            <v>156643.96100000001</v>
          </cell>
          <cell r="AE81">
            <v>928057</v>
          </cell>
          <cell r="AF81">
            <v>4.2242396380485943</v>
          </cell>
          <cell r="AR81">
            <v>0</v>
          </cell>
          <cell r="AS81">
            <v>31166</v>
          </cell>
          <cell r="AT81">
            <v>0</v>
          </cell>
          <cell r="AU81">
            <v>16577</v>
          </cell>
          <cell r="AV81">
            <v>21382</v>
          </cell>
          <cell r="AW81">
            <v>0</v>
          </cell>
          <cell r="AX81">
            <v>0</v>
          </cell>
          <cell r="AZ81">
            <v>150573</v>
          </cell>
          <cell r="CS81">
            <v>10568.672152727262</v>
          </cell>
          <cell r="CT81">
            <v>39472.407333333409</v>
          </cell>
          <cell r="CU81">
            <v>27328.966546666594</v>
          </cell>
          <cell r="CV81">
            <v>106741.93767878793</v>
          </cell>
          <cell r="CW81">
            <v>36460.547478787928</v>
          </cell>
        </row>
        <row r="82">
          <cell r="E82">
            <v>42217</v>
          </cell>
          <cell r="F82">
            <v>60183</v>
          </cell>
          <cell r="G82">
            <v>54564</v>
          </cell>
          <cell r="H82">
            <v>5619</v>
          </cell>
          <cell r="I82">
            <v>67383671</v>
          </cell>
          <cell r="J82">
            <v>66161178</v>
          </cell>
          <cell r="K82">
            <v>1222493</v>
          </cell>
          <cell r="L82">
            <v>1119.6462622335212</v>
          </cell>
          <cell r="M82">
            <v>1212.5426654937321</v>
          </cell>
          <cell r="N82">
            <v>217.56415732336714</v>
          </cell>
          <cell r="P82">
            <v>232590</v>
          </cell>
          <cell r="Q82">
            <v>200108</v>
          </cell>
          <cell r="R82">
            <v>32482</v>
          </cell>
          <cell r="T82">
            <v>357.8</v>
          </cell>
          <cell r="U82">
            <v>207.9</v>
          </cell>
          <cell r="V82">
            <v>149.9</v>
          </cell>
          <cell r="X82">
            <v>210515</v>
          </cell>
          <cell r="Y82">
            <v>33234</v>
          </cell>
          <cell r="AB82">
            <v>63834.452000000005</v>
          </cell>
          <cell r="AC82">
            <v>136273.54800000001</v>
          </cell>
          <cell r="AE82">
            <v>875067</v>
          </cell>
          <cell r="AF82">
            <v>4.3729735942590997</v>
          </cell>
          <cell r="AR82">
            <v>0</v>
          </cell>
          <cell r="AS82">
            <v>28352</v>
          </cell>
          <cell r="AT82">
            <v>0</v>
          </cell>
          <cell r="AU82">
            <v>14921</v>
          </cell>
          <cell r="AV82">
            <v>20270</v>
          </cell>
          <cell r="AW82">
            <v>0</v>
          </cell>
          <cell r="AX82">
            <v>0</v>
          </cell>
          <cell r="AZ82">
            <v>136565</v>
          </cell>
          <cell r="CS82">
            <v>9636.8374472727246</v>
          </cell>
          <cell r="CT82">
            <v>35757.965546666601</v>
          </cell>
          <cell r="CU82">
            <v>24722.676373333401</v>
          </cell>
          <cell r="CV82">
            <v>97510.56668121212</v>
          </cell>
          <cell r="CW82">
            <v>33259.890041212129</v>
          </cell>
        </row>
        <row r="83">
          <cell r="E83">
            <v>42248</v>
          </cell>
          <cell r="F83">
            <v>59948</v>
          </cell>
          <cell r="G83">
            <v>53697</v>
          </cell>
          <cell r="H83">
            <v>6251</v>
          </cell>
          <cell r="I83">
            <v>61981991</v>
          </cell>
          <cell r="J83">
            <v>61378997</v>
          </cell>
          <cell r="K83">
            <v>602993.99999999814</v>
          </cell>
          <cell r="L83">
            <v>1033.9292553546406</v>
          </cell>
          <cell r="M83">
            <v>1143.061940145632</v>
          </cell>
          <cell r="N83">
            <v>96.463605823068008</v>
          </cell>
          <cell r="P83">
            <v>223655</v>
          </cell>
          <cell r="Q83">
            <v>192847</v>
          </cell>
          <cell r="R83">
            <v>30808</v>
          </cell>
          <cell r="T83">
            <v>346.9</v>
          </cell>
          <cell r="U83">
            <v>214.2</v>
          </cell>
          <cell r="V83">
            <v>132.69999999999999</v>
          </cell>
          <cell r="X83">
            <v>169211</v>
          </cell>
          <cell r="Y83">
            <v>32278</v>
          </cell>
          <cell r="AB83">
            <v>57660.953999999998</v>
          </cell>
          <cell r="AC83">
            <v>135185.046</v>
          </cell>
          <cell r="AE83">
            <v>867525</v>
          </cell>
          <cell r="AF83">
            <v>4.4985143663111167</v>
          </cell>
          <cell r="AR83">
            <v>0</v>
          </cell>
          <cell r="AS83">
            <v>26815</v>
          </cell>
          <cell r="AT83">
            <v>0</v>
          </cell>
          <cell r="AU83">
            <v>14443</v>
          </cell>
          <cell r="AV83">
            <v>19754</v>
          </cell>
          <cell r="AW83">
            <v>0</v>
          </cell>
          <cell r="AX83">
            <v>0</v>
          </cell>
          <cell r="AZ83">
            <v>131835</v>
          </cell>
          <cell r="CS83">
            <v>9297.3291854545478</v>
          </cell>
          <cell r="CT83">
            <v>34272.768839999997</v>
          </cell>
          <cell r="CU83">
            <v>23662.3269</v>
          </cell>
          <cell r="CV83">
            <v>94248.53647090905</v>
          </cell>
          <cell r="CW83">
            <v>32101.662250909052</v>
          </cell>
        </row>
        <row r="84">
          <cell r="E84">
            <v>42278</v>
          </cell>
          <cell r="F84">
            <v>62896.999999999993</v>
          </cell>
          <cell r="G84">
            <v>56464.999999999993</v>
          </cell>
          <cell r="H84">
            <v>6432</v>
          </cell>
          <cell r="I84">
            <v>64616020.000000007</v>
          </cell>
          <cell r="J84">
            <v>63724882.000000007</v>
          </cell>
          <cell r="K84">
            <v>891137.99999999814</v>
          </cell>
          <cell r="L84">
            <v>1027.3307152964373</v>
          </cell>
          <cell r="M84">
            <v>1128.5731337996992</v>
          </cell>
          <cell r="N84">
            <v>138.54757462686538</v>
          </cell>
          <cell r="P84">
            <v>222544</v>
          </cell>
          <cell r="Q84">
            <v>185484</v>
          </cell>
          <cell r="R84">
            <v>37060</v>
          </cell>
          <cell r="T84">
            <v>340.6</v>
          </cell>
          <cell r="U84">
            <v>201.7</v>
          </cell>
          <cell r="V84">
            <v>138.9</v>
          </cell>
          <cell r="X84">
            <v>200066</v>
          </cell>
          <cell r="Y84">
            <v>29978</v>
          </cell>
          <cell r="AB84">
            <v>57871.008000000002</v>
          </cell>
          <cell r="AC84">
            <v>127612.992</v>
          </cell>
          <cell r="AE84">
            <v>788880</v>
          </cell>
          <cell r="AF84">
            <v>4.2530892152422854</v>
          </cell>
          <cell r="AR84">
            <v>0</v>
          </cell>
          <cell r="AS84">
            <v>25658</v>
          </cell>
          <cell r="AT84">
            <v>0</v>
          </cell>
          <cell r="AU84">
            <v>13466</v>
          </cell>
          <cell r="AV84">
            <v>18274</v>
          </cell>
          <cell r="AW84">
            <v>0</v>
          </cell>
          <cell r="AX84">
            <v>0</v>
          </cell>
          <cell r="AZ84">
            <v>128086</v>
          </cell>
          <cell r="CS84">
            <v>8952.1323272727332</v>
          </cell>
          <cell r="CT84">
            <v>32783.678720000062</v>
          </cell>
          <cell r="CU84">
            <v>22601.843679999936</v>
          </cell>
          <cell r="CV84">
            <v>90915.713294545378</v>
          </cell>
          <cell r="CW84">
            <v>30922.768334545381</v>
          </cell>
        </row>
        <row r="85">
          <cell r="E85">
            <v>42309</v>
          </cell>
          <cell r="F85">
            <v>63461</v>
          </cell>
          <cell r="G85">
            <v>55055</v>
          </cell>
          <cell r="H85">
            <v>8406</v>
          </cell>
          <cell r="I85">
            <v>68391453.99999997</v>
          </cell>
          <cell r="J85">
            <v>67302717.99999997</v>
          </cell>
          <cell r="K85">
            <v>1088735.9999999977</v>
          </cell>
          <cell r="L85">
            <v>1077.6926616347043</v>
          </cell>
          <cell r="M85">
            <v>1222.4633184996817</v>
          </cell>
          <cell r="N85">
            <v>129.51891506067068</v>
          </cell>
          <cell r="P85">
            <v>223005</v>
          </cell>
          <cell r="Q85">
            <v>189550</v>
          </cell>
          <cell r="R85">
            <v>33455</v>
          </cell>
          <cell r="T85">
            <v>322.2</v>
          </cell>
          <cell r="U85">
            <v>200</v>
          </cell>
          <cell r="V85">
            <v>122.2</v>
          </cell>
          <cell r="X85">
            <v>167479</v>
          </cell>
          <cell r="Y85">
            <v>28117</v>
          </cell>
          <cell r="AB85">
            <v>59139.6</v>
          </cell>
          <cell r="AC85">
            <v>130410.4</v>
          </cell>
          <cell r="AE85">
            <v>782287</v>
          </cell>
          <cell r="AF85">
            <v>4.127074650487998</v>
          </cell>
          <cell r="AR85">
            <v>0</v>
          </cell>
          <cell r="AS85">
            <v>24877</v>
          </cell>
          <cell r="AT85">
            <v>0</v>
          </cell>
          <cell r="AU85">
            <v>13468</v>
          </cell>
          <cell r="AV85">
            <v>19137</v>
          </cell>
          <cell r="AW85">
            <v>0</v>
          </cell>
          <cell r="AX85">
            <v>0</v>
          </cell>
          <cell r="AZ85">
            <v>132068</v>
          </cell>
          <cell r="CS85">
            <v>9158.3667272727216</v>
          </cell>
          <cell r="CT85">
            <v>33317.835333333271</v>
          </cell>
          <cell r="CU85">
            <v>22936.813666666731</v>
          </cell>
          <cell r="CV85">
            <v>93180.137787878863</v>
          </cell>
          <cell r="CW85">
            <v>31648.416787878865</v>
          </cell>
        </row>
        <row r="86">
          <cell r="E86">
            <v>42339</v>
          </cell>
          <cell r="F86">
            <v>74233</v>
          </cell>
          <cell r="G86">
            <v>66396</v>
          </cell>
          <cell r="H86">
            <v>7837</v>
          </cell>
          <cell r="I86">
            <v>78028417.99999997</v>
          </cell>
          <cell r="J86">
            <v>77235765.99999997</v>
          </cell>
          <cell r="K86">
            <v>792652</v>
          </cell>
          <cell r="L86">
            <v>1051.1284469171389</v>
          </cell>
          <cell r="M86">
            <v>1163.2593228507737</v>
          </cell>
          <cell r="N86">
            <v>101.1422738292714</v>
          </cell>
          <cell r="P86">
            <v>265259</v>
          </cell>
          <cell r="Q86">
            <v>220845</v>
          </cell>
          <cell r="R86">
            <v>44414</v>
          </cell>
          <cell r="T86">
            <v>271.10000000000002</v>
          </cell>
          <cell r="U86">
            <v>201.9</v>
          </cell>
          <cell r="V86">
            <v>69.2</v>
          </cell>
          <cell r="X86">
            <v>138675</v>
          </cell>
          <cell r="Y86">
            <v>37127</v>
          </cell>
          <cell r="AB86">
            <v>68903.64</v>
          </cell>
          <cell r="AC86">
            <v>151941.35999999999</v>
          </cell>
          <cell r="AE86">
            <v>939977</v>
          </cell>
          <cell r="AF86">
            <v>4.2562747628427173</v>
          </cell>
          <cell r="AR86">
            <v>0</v>
          </cell>
          <cell r="AS86">
            <v>25756</v>
          </cell>
          <cell r="AT86">
            <v>0</v>
          </cell>
          <cell r="AU86">
            <v>16440</v>
          </cell>
          <cell r="AV86">
            <v>24130</v>
          </cell>
          <cell r="AW86">
            <v>0</v>
          </cell>
          <cell r="AX86">
            <v>0</v>
          </cell>
          <cell r="AZ86">
            <v>154519</v>
          </cell>
          <cell r="CS86">
            <v>10682.071881818181</v>
          </cell>
          <cell r="CT86">
            <v>38603.706000000006</v>
          </cell>
          <cell r="CU86">
            <v>26536.735199999999</v>
          </cell>
          <cell r="CV86">
            <v>108880.6003636364</v>
          </cell>
          <cell r="CW86">
            <v>36929.299363636404</v>
          </cell>
        </row>
        <row r="87">
          <cell r="E87">
            <v>42370</v>
          </cell>
          <cell r="F87">
            <v>37279</v>
          </cell>
          <cell r="G87">
            <v>32599</v>
          </cell>
          <cell r="H87">
            <v>4680</v>
          </cell>
          <cell r="I87">
            <v>40774045</v>
          </cell>
          <cell r="J87">
            <v>40248065</v>
          </cell>
          <cell r="K87">
            <v>525980</v>
          </cell>
          <cell r="L87">
            <v>1093.7537219346013</v>
          </cell>
          <cell r="M87">
            <v>1234.6410932850702</v>
          </cell>
          <cell r="N87">
            <v>112.38888888888889</v>
          </cell>
          <cell r="P87">
            <v>172504</v>
          </cell>
          <cell r="Q87">
            <v>149834</v>
          </cell>
          <cell r="R87">
            <v>22670</v>
          </cell>
          <cell r="T87">
            <v>254.29999999999998</v>
          </cell>
          <cell r="U87">
            <v>179.2</v>
          </cell>
          <cell r="V87">
            <v>75.099999999999994</v>
          </cell>
          <cell r="X87">
            <v>147444</v>
          </cell>
          <cell r="Y87">
            <v>24955</v>
          </cell>
          <cell r="AB87">
            <v>35135.838499999998</v>
          </cell>
          <cell r="AC87">
            <v>114697.1615</v>
          </cell>
          <cell r="AE87">
            <v>711123</v>
          </cell>
          <cell r="AF87">
            <v>4.7460723200341715</v>
          </cell>
          <cell r="AR87">
            <v>27110</v>
          </cell>
          <cell r="AS87">
            <v>20737</v>
          </cell>
          <cell r="AT87">
            <v>28191</v>
          </cell>
          <cell r="AU87">
            <v>12000</v>
          </cell>
          <cell r="AV87">
            <v>12906</v>
          </cell>
          <cell r="AW87">
            <v>12878</v>
          </cell>
          <cell r="AX87">
            <v>10369</v>
          </cell>
          <cell r="AZ87">
            <v>25643</v>
          </cell>
          <cell r="CS87">
            <v>7386.7668999999996</v>
          </cell>
          <cell r="CT87">
            <v>26535.424300000002</v>
          </cell>
          <cell r="CU87">
            <v>15477.748900000001</v>
          </cell>
          <cell r="CV87">
            <v>71695.090499999991</v>
          </cell>
          <cell r="CW87">
            <v>28752.952699999998</v>
          </cell>
        </row>
        <row r="88">
          <cell r="E88">
            <v>42401</v>
          </cell>
          <cell r="F88">
            <v>42029</v>
          </cell>
          <cell r="G88">
            <v>35825</v>
          </cell>
          <cell r="H88">
            <v>6204</v>
          </cell>
          <cell r="I88">
            <v>43418298</v>
          </cell>
          <cell r="J88">
            <v>42680950</v>
          </cell>
          <cell r="K88">
            <v>737348</v>
          </cell>
          <cell r="L88">
            <v>1033.0556996359655</v>
          </cell>
          <cell r="M88">
            <v>1191.3733426378228</v>
          </cell>
          <cell r="N88">
            <v>118.85041908446163</v>
          </cell>
          <cell r="P88">
            <v>176419</v>
          </cell>
          <cell r="Q88">
            <v>142258</v>
          </cell>
          <cell r="R88">
            <v>34161</v>
          </cell>
          <cell r="T88">
            <v>241.39999999999998</v>
          </cell>
          <cell r="U88">
            <v>181.1</v>
          </cell>
          <cell r="V88">
            <v>60.3</v>
          </cell>
          <cell r="X88">
            <v>137507</v>
          </cell>
          <cell r="Y88">
            <v>21569</v>
          </cell>
          <cell r="AB88">
            <v>38310.079399999995</v>
          </cell>
          <cell r="AC88">
            <v>103947.92060000001</v>
          </cell>
          <cell r="AE88">
            <v>698798</v>
          </cell>
          <cell r="AF88">
            <v>4.9121877152778755</v>
          </cell>
          <cell r="AR88">
            <v>21728</v>
          </cell>
          <cell r="AS88">
            <v>19840</v>
          </cell>
          <cell r="AT88">
            <v>25613</v>
          </cell>
          <cell r="AU88">
            <v>12561</v>
          </cell>
          <cell r="AV88">
            <v>14548</v>
          </cell>
          <cell r="AW88">
            <v>11928</v>
          </cell>
          <cell r="AX88">
            <v>9468</v>
          </cell>
          <cell r="AZ88">
            <v>26572</v>
          </cell>
          <cell r="CS88">
            <v>7511.2223999999997</v>
          </cell>
          <cell r="CT88">
            <v>22789.731600000003</v>
          </cell>
          <cell r="CU88">
            <v>14951.3158</v>
          </cell>
          <cell r="CV88">
            <v>71555.774000000005</v>
          </cell>
          <cell r="CW88">
            <v>25449.956200000001</v>
          </cell>
        </row>
        <row r="89">
          <cell r="E89">
            <v>42430</v>
          </cell>
          <cell r="F89">
            <v>56566</v>
          </cell>
          <cell r="G89">
            <v>49737</v>
          </cell>
          <cell r="H89">
            <v>6829</v>
          </cell>
          <cell r="I89">
            <v>57097221</v>
          </cell>
          <cell r="J89">
            <v>56272296</v>
          </cell>
          <cell r="K89">
            <v>824925</v>
          </cell>
          <cell r="L89">
            <v>1009.3911713750309</v>
          </cell>
          <cell r="M89">
            <v>1131.3970685807346</v>
          </cell>
          <cell r="N89">
            <v>120.79733489529946</v>
          </cell>
          <cell r="P89">
            <v>212669</v>
          </cell>
          <cell r="Q89">
            <v>173389</v>
          </cell>
          <cell r="R89">
            <v>39280</v>
          </cell>
          <cell r="T89">
            <v>259</v>
          </cell>
          <cell r="U89">
            <v>184.6</v>
          </cell>
          <cell r="V89">
            <v>74.400000000000006</v>
          </cell>
          <cell r="X89">
            <v>193037</v>
          </cell>
          <cell r="Y89">
            <v>25817</v>
          </cell>
          <cell r="AB89">
            <v>51184.432800000002</v>
          </cell>
          <cell r="AC89">
            <v>122204.56719999999</v>
          </cell>
          <cell r="AE89">
            <v>799248</v>
          </cell>
          <cell r="AF89">
            <v>4.6095657740687122</v>
          </cell>
          <cell r="AR89">
            <v>26982</v>
          </cell>
          <cell r="AS89">
            <v>22656</v>
          </cell>
          <cell r="AT89">
            <v>30105</v>
          </cell>
          <cell r="AU89">
            <v>16942</v>
          </cell>
          <cell r="AV89">
            <v>17867</v>
          </cell>
          <cell r="AW89">
            <v>14949</v>
          </cell>
          <cell r="AX89">
            <v>11469</v>
          </cell>
          <cell r="AZ89">
            <v>32419</v>
          </cell>
          <cell r="CS89">
            <v>8565.4166000000005</v>
          </cell>
          <cell r="CT89">
            <v>26251.0946</v>
          </cell>
          <cell r="CU89">
            <v>17130.833200000001</v>
          </cell>
          <cell r="CV89">
            <v>87630.800599999988</v>
          </cell>
          <cell r="CW89">
            <v>33828.193899999998</v>
          </cell>
        </row>
        <row r="90">
          <cell r="E90">
            <v>42461</v>
          </cell>
          <cell r="F90">
            <v>51883.000000000007</v>
          </cell>
          <cell r="G90">
            <v>43787.000000000007</v>
          </cell>
          <cell r="H90">
            <v>8096</v>
          </cell>
          <cell r="I90">
            <v>50302386.999999985</v>
          </cell>
          <cell r="J90">
            <v>49478690.999999985</v>
          </cell>
          <cell r="K90">
            <v>823695.99999999953</v>
          </cell>
          <cell r="L90">
            <v>969.53505001638257</v>
          </cell>
          <cell r="M90">
            <v>1129.9858633841088</v>
          </cell>
          <cell r="N90">
            <v>101.74110671936754</v>
          </cell>
          <cell r="P90">
            <v>195088</v>
          </cell>
          <cell r="Q90">
            <v>157821</v>
          </cell>
          <cell r="R90">
            <v>37267</v>
          </cell>
          <cell r="T90">
            <v>251.70000000000002</v>
          </cell>
          <cell r="U90">
            <v>174.8</v>
          </cell>
          <cell r="V90">
            <v>76.900000000000006</v>
          </cell>
          <cell r="X90">
            <v>164516</v>
          </cell>
          <cell r="Y90">
            <v>21189</v>
          </cell>
          <cell r="AB90">
            <v>50991.965100000001</v>
          </cell>
          <cell r="AC90">
            <v>106829.0349</v>
          </cell>
          <cell r="AE90">
            <v>760385</v>
          </cell>
          <cell r="AF90">
            <v>4.8180216827925308</v>
          </cell>
          <cell r="AR90">
            <v>25827</v>
          </cell>
          <cell r="AS90">
            <v>21306</v>
          </cell>
          <cell r="AT90">
            <v>28707</v>
          </cell>
          <cell r="AU90">
            <v>14045</v>
          </cell>
          <cell r="AV90">
            <v>15741</v>
          </cell>
          <cell r="AW90">
            <v>14184</v>
          </cell>
          <cell r="AX90">
            <v>10601</v>
          </cell>
          <cell r="AZ90">
            <v>27410</v>
          </cell>
          <cell r="CS90">
            <v>7764.7932000000001</v>
          </cell>
          <cell r="CT90">
            <v>26450.799599999998</v>
          </cell>
          <cell r="CU90">
            <v>15008.777100000001</v>
          </cell>
          <cell r="CV90">
            <v>79967.900700000013</v>
          </cell>
          <cell r="CW90">
            <v>28628.7294</v>
          </cell>
        </row>
        <row r="91">
          <cell r="E91">
            <v>42491</v>
          </cell>
          <cell r="F91">
            <v>54433</v>
          </cell>
          <cell r="G91">
            <v>44134</v>
          </cell>
          <cell r="H91">
            <v>10299</v>
          </cell>
          <cell r="I91">
            <v>49716663.000000015</v>
          </cell>
          <cell r="J91">
            <v>47981789.000000015</v>
          </cell>
          <cell r="K91">
            <v>1734873.9999999981</v>
          </cell>
          <cell r="L91">
            <v>913.35518894788117</v>
          </cell>
          <cell r="M91">
            <v>1087.1842343771245</v>
          </cell>
          <cell r="N91">
            <v>168.45072337120089</v>
          </cell>
          <cell r="P91">
            <v>208459</v>
          </cell>
          <cell r="Q91">
            <v>162348</v>
          </cell>
          <cell r="R91">
            <v>46111</v>
          </cell>
          <cell r="T91">
            <v>236.4</v>
          </cell>
          <cell r="U91">
            <v>162.4</v>
          </cell>
          <cell r="V91">
            <v>74</v>
          </cell>
          <cell r="X91">
            <v>172072</v>
          </cell>
          <cell r="Y91">
            <v>21673</v>
          </cell>
          <cell r="AB91">
            <v>55961.355600000003</v>
          </cell>
          <cell r="AC91">
            <v>106386.64439999999</v>
          </cell>
          <cell r="AE91">
            <v>812805</v>
          </cell>
          <cell r="AF91">
            <v>5.0065599822603293</v>
          </cell>
          <cell r="AR91">
            <v>27754</v>
          </cell>
          <cell r="AS91">
            <v>21292</v>
          </cell>
          <cell r="AT91">
            <v>28398</v>
          </cell>
          <cell r="AU91">
            <v>14595</v>
          </cell>
          <cell r="AV91">
            <v>15683</v>
          </cell>
          <cell r="AW91">
            <v>13641</v>
          </cell>
          <cell r="AX91">
            <v>10823</v>
          </cell>
          <cell r="AZ91">
            <v>30162</v>
          </cell>
          <cell r="CS91">
            <v>7646.5908000000009</v>
          </cell>
          <cell r="CT91">
            <v>25115.2356</v>
          </cell>
          <cell r="CU91">
            <v>15065.894399999999</v>
          </cell>
          <cell r="CV91">
            <v>84713.186400000006</v>
          </cell>
          <cell r="CW91">
            <v>29790.858</v>
          </cell>
        </row>
        <row r="92">
          <cell r="E92">
            <v>42522</v>
          </cell>
          <cell r="F92">
            <v>62868</v>
          </cell>
          <cell r="G92">
            <v>53234</v>
          </cell>
          <cell r="H92">
            <v>9634</v>
          </cell>
          <cell r="I92">
            <v>60322873.000000045</v>
          </cell>
          <cell r="J92">
            <v>59148485.000000045</v>
          </cell>
          <cell r="K92">
            <v>1174387.9999999988</v>
          </cell>
          <cell r="L92">
            <v>959.51633581472367</v>
          </cell>
          <cell r="M92">
            <v>1111.1035240635692</v>
          </cell>
          <cell r="N92">
            <v>121.90035291675305</v>
          </cell>
          <cell r="P92">
            <v>210849</v>
          </cell>
          <cell r="Q92">
            <v>166615</v>
          </cell>
          <cell r="R92">
            <v>44234</v>
          </cell>
          <cell r="T92">
            <v>225.6</v>
          </cell>
          <cell r="U92">
            <v>163.69999999999999</v>
          </cell>
          <cell r="V92">
            <v>61.9</v>
          </cell>
          <cell r="X92">
            <v>178856</v>
          </cell>
          <cell r="Y92">
            <v>22065</v>
          </cell>
          <cell r="AB92">
            <v>62697.224500000004</v>
          </cell>
          <cell r="AC92">
            <v>103917.77549999999</v>
          </cell>
          <cell r="AE92">
            <v>831631</v>
          </cell>
          <cell r="AF92">
            <v>4.9913333133271314</v>
          </cell>
          <cell r="AR92">
            <v>28127</v>
          </cell>
          <cell r="AS92">
            <v>20944</v>
          </cell>
          <cell r="AT92">
            <v>29696</v>
          </cell>
          <cell r="AU92">
            <v>15532</v>
          </cell>
          <cell r="AV92">
            <v>17842</v>
          </cell>
          <cell r="AW92">
            <v>13905</v>
          </cell>
          <cell r="AX92">
            <v>9980</v>
          </cell>
          <cell r="AZ92">
            <v>30589</v>
          </cell>
          <cell r="CS92">
            <v>8047.5045</v>
          </cell>
          <cell r="CT92">
            <v>25075.557499999999</v>
          </cell>
          <cell r="CU92">
            <v>14962.027</v>
          </cell>
          <cell r="CV92">
            <v>87356.244500000001</v>
          </cell>
          <cell r="CW92">
            <v>31173.666499999999</v>
          </cell>
        </row>
        <row r="93">
          <cell r="E93">
            <v>42552</v>
          </cell>
          <cell r="F93">
            <v>61330</v>
          </cell>
          <cell r="G93">
            <v>49013</v>
          </cell>
          <cell r="H93">
            <v>12317</v>
          </cell>
          <cell r="I93">
            <v>54862370.000000037</v>
          </cell>
          <cell r="J93">
            <v>53355249.000000037</v>
          </cell>
          <cell r="K93">
            <v>1507120.9999999991</v>
          </cell>
          <cell r="L93">
            <v>894.54377955323719</v>
          </cell>
          <cell r="M93">
            <v>1088.5938220472128</v>
          </cell>
          <cell r="N93">
            <v>122.36104570918235</v>
          </cell>
          <cell r="P93">
            <v>218194</v>
          </cell>
          <cell r="Q93">
            <v>175023</v>
          </cell>
          <cell r="R93">
            <v>43171</v>
          </cell>
          <cell r="T93">
            <v>222.20000000000002</v>
          </cell>
          <cell r="U93">
            <v>159.30000000000001</v>
          </cell>
          <cell r="V93">
            <v>62.9</v>
          </cell>
          <cell r="X93">
            <v>185053</v>
          </cell>
          <cell r="Y93">
            <v>24341</v>
          </cell>
          <cell r="AB93">
            <v>63428.335200000001</v>
          </cell>
          <cell r="AC93">
            <v>111594.6648</v>
          </cell>
          <cell r="AE93">
            <v>906799</v>
          </cell>
          <cell r="AF93">
            <v>5.1810276363677916</v>
          </cell>
          <cell r="AR93">
            <v>29578</v>
          </cell>
          <cell r="AS93">
            <v>21504</v>
          </cell>
          <cell r="AT93">
            <v>33584</v>
          </cell>
          <cell r="AU93">
            <v>16888</v>
          </cell>
          <cell r="AV93">
            <v>18727</v>
          </cell>
          <cell r="AW93">
            <v>13833</v>
          </cell>
          <cell r="AX93">
            <v>8619</v>
          </cell>
          <cell r="AZ93">
            <v>32290</v>
          </cell>
          <cell r="CS93">
            <v>8156.0718000000006</v>
          </cell>
          <cell r="CT93">
            <v>25955.910899999999</v>
          </cell>
          <cell r="CU93">
            <v>16312.143600000001</v>
          </cell>
          <cell r="CV93">
            <v>92464.650899999993</v>
          </cell>
          <cell r="CW93">
            <v>32151.7251</v>
          </cell>
        </row>
        <row r="94">
          <cell r="E94">
            <v>42583</v>
          </cell>
          <cell r="F94">
            <v>60279</v>
          </cell>
          <cell r="G94">
            <v>51441</v>
          </cell>
          <cell r="H94">
            <v>8838</v>
          </cell>
          <cell r="I94">
            <v>59677199.999999985</v>
          </cell>
          <cell r="J94">
            <v>58173690.999999985</v>
          </cell>
          <cell r="K94">
            <v>1503509.0000000021</v>
          </cell>
          <cell r="L94">
            <v>990.01642363011968</v>
          </cell>
          <cell r="M94">
            <v>1130.881806341245</v>
          </cell>
          <cell r="N94">
            <v>170.11869201176759</v>
          </cell>
          <cell r="P94">
            <v>216958</v>
          </cell>
          <cell r="Q94">
            <v>178274</v>
          </cell>
          <cell r="R94">
            <v>38684</v>
          </cell>
          <cell r="T94">
            <v>211.4</v>
          </cell>
          <cell r="U94">
            <v>153.4</v>
          </cell>
          <cell r="V94">
            <v>58</v>
          </cell>
          <cell r="X94">
            <v>174522</v>
          </cell>
          <cell r="Y94">
            <v>24125</v>
          </cell>
          <cell r="AB94">
            <v>65355.614999999998</v>
          </cell>
          <cell r="AC94">
            <v>112919.38500000001</v>
          </cell>
          <cell r="AE94">
            <v>950460</v>
          </cell>
          <cell r="AF94">
            <v>5.3314560732355813</v>
          </cell>
          <cell r="AR94">
            <v>30732</v>
          </cell>
          <cell r="AS94">
            <v>18664</v>
          </cell>
          <cell r="AT94">
            <v>34119</v>
          </cell>
          <cell r="AU94">
            <v>17256</v>
          </cell>
          <cell r="AV94">
            <v>20303</v>
          </cell>
          <cell r="AW94">
            <v>14498</v>
          </cell>
          <cell r="AX94">
            <v>9147</v>
          </cell>
          <cell r="AZ94">
            <v>33555</v>
          </cell>
          <cell r="CS94">
            <v>8200.65</v>
          </cell>
          <cell r="CT94">
            <v>27293.902500000004</v>
          </cell>
          <cell r="CU94">
            <v>16971.780000000002</v>
          </cell>
          <cell r="CV94">
            <v>94075.717499999984</v>
          </cell>
          <cell r="CW94">
            <v>31715.122500000001</v>
          </cell>
        </row>
        <row r="95">
          <cell r="E95">
            <v>42614</v>
          </cell>
          <cell r="F95">
            <v>56900</v>
          </cell>
          <cell r="G95">
            <v>50751</v>
          </cell>
          <cell r="H95">
            <v>6149</v>
          </cell>
          <cell r="I95">
            <v>54694387.000000052</v>
          </cell>
          <cell r="J95">
            <v>53945869.000000052</v>
          </cell>
          <cell r="K95">
            <v>748517.99999999953</v>
          </cell>
          <cell r="L95">
            <v>961.23702987697811</v>
          </cell>
          <cell r="M95">
            <v>1062.9518433134333</v>
          </cell>
          <cell r="N95">
            <v>121.73003740445593</v>
          </cell>
          <cell r="P95">
            <v>190931</v>
          </cell>
          <cell r="Q95">
            <v>155066</v>
          </cell>
          <cell r="R95">
            <v>35865</v>
          </cell>
          <cell r="T95">
            <v>212.5</v>
          </cell>
          <cell r="U95">
            <v>160.4</v>
          </cell>
          <cell r="V95">
            <v>52.1</v>
          </cell>
          <cell r="X95">
            <v>165115</v>
          </cell>
          <cell r="Y95">
            <v>21540</v>
          </cell>
          <cell r="AB95">
            <v>55327.192000000003</v>
          </cell>
          <cell r="AC95">
            <v>99737.80799999999</v>
          </cell>
          <cell r="AE95">
            <v>851471</v>
          </cell>
          <cell r="AF95">
            <v>5.4910231772277607</v>
          </cell>
          <cell r="AR95">
            <v>28263</v>
          </cell>
          <cell r="AS95">
            <v>11786</v>
          </cell>
          <cell r="AT95">
            <v>26581</v>
          </cell>
          <cell r="AU95">
            <v>14424</v>
          </cell>
          <cell r="AV95">
            <v>18475</v>
          </cell>
          <cell r="AW95">
            <v>13574</v>
          </cell>
          <cell r="AX95">
            <v>10034</v>
          </cell>
          <cell r="AZ95">
            <v>31929</v>
          </cell>
          <cell r="CS95">
            <v>6528.2365</v>
          </cell>
          <cell r="CT95">
            <v>22561.957499999997</v>
          </cell>
          <cell r="CU95">
            <v>13955.85</v>
          </cell>
          <cell r="CV95">
            <v>83890.165000000008</v>
          </cell>
          <cell r="CW95">
            <v>28128.791000000001</v>
          </cell>
        </row>
        <row r="96">
          <cell r="E96">
            <v>42644</v>
          </cell>
          <cell r="F96">
            <v>53209</v>
          </cell>
          <cell r="G96">
            <v>44464</v>
          </cell>
          <cell r="H96">
            <v>8745</v>
          </cell>
          <cell r="I96">
            <v>45824599</v>
          </cell>
          <cell r="J96">
            <v>44621067</v>
          </cell>
          <cell r="K96">
            <v>1203531.9999999991</v>
          </cell>
          <cell r="L96">
            <v>861.218947922344</v>
          </cell>
          <cell r="M96">
            <v>1003.532453220583</v>
          </cell>
          <cell r="N96">
            <v>137.62515723270428</v>
          </cell>
          <cell r="P96">
            <v>189230</v>
          </cell>
          <cell r="Q96">
            <v>155009</v>
          </cell>
          <cell r="R96">
            <v>34221</v>
          </cell>
          <cell r="T96">
            <v>209.2</v>
          </cell>
          <cell r="U96">
            <v>156.4</v>
          </cell>
          <cell r="V96">
            <v>52.8</v>
          </cell>
          <cell r="X96">
            <v>171281</v>
          </cell>
          <cell r="Y96">
            <v>18669</v>
          </cell>
          <cell r="AB96">
            <v>57818.356999999996</v>
          </cell>
          <cell r="AC96">
            <v>97190.643000000011</v>
          </cell>
          <cell r="AE96">
            <v>781530</v>
          </cell>
          <cell r="AF96">
            <v>5.0418362804740369</v>
          </cell>
          <cell r="AR96">
            <v>29741</v>
          </cell>
          <cell r="AS96">
            <v>10643</v>
          </cell>
          <cell r="AT96">
            <v>29571</v>
          </cell>
          <cell r="AU96">
            <v>14069</v>
          </cell>
          <cell r="AV96">
            <v>17431</v>
          </cell>
          <cell r="AW96">
            <v>14650</v>
          </cell>
          <cell r="AX96">
            <v>9963</v>
          </cell>
          <cell r="AZ96">
            <v>28941</v>
          </cell>
          <cell r="CS96">
            <v>6308.8662999999997</v>
          </cell>
          <cell r="CT96">
            <v>22119.784299999999</v>
          </cell>
          <cell r="CU96">
            <v>13811.3019</v>
          </cell>
          <cell r="CV96">
            <v>85208.4473</v>
          </cell>
          <cell r="CW96">
            <v>27560.600200000001</v>
          </cell>
        </row>
        <row r="97">
          <cell r="E97">
            <v>42675</v>
          </cell>
          <cell r="F97">
            <v>67768</v>
          </cell>
          <cell r="G97">
            <v>51990</v>
          </cell>
          <cell r="H97">
            <v>15778</v>
          </cell>
          <cell r="I97">
            <v>56768046</v>
          </cell>
          <cell r="J97">
            <v>54697042</v>
          </cell>
          <cell r="K97">
            <v>2071004.0000000019</v>
          </cell>
          <cell r="L97">
            <v>837.68218038012037</v>
          </cell>
          <cell r="M97">
            <v>1052.0685131756106</v>
          </cell>
          <cell r="N97">
            <v>131.25896818354684</v>
          </cell>
          <cell r="P97">
            <v>227527</v>
          </cell>
          <cell r="Q97">
            <v>173746</v>
          </cell>
          <cell r="R97">
            <v>53781</v>
          </cell>
          <cell r="T97">
            <v>211.4</v>
          </cell>
          <cell r="U97">
            <v>153.4</v>
          </cell>
          <cell r="V97">
            <v>58</v>
          </cell>
          <cell r="X97">
            <v>212126</v>
          </cell>
          <cell r="Y97">
            <v>20363</v>
          </cell>
          <cell r="AB97">
            <v>67378.698800000013</v>
          </cell>
          <cell r="AC97">
            <v>106367.30119999999</v>
          </cell>
          <cell r="AE97">
            <v>865707</v>
          </cell>
          <cell r="AF97">
            <v>4.9826010382972843</v>
          </cell>
          <cell r="AR97">
            <v>32823</v>
          </cell>
          <cell r="AS97">
            <v>16044</v>
          </cell>
          <cell r="AT97">
            <v>33120</v>
          </cell>
          <cell r="AU97">
            <v>14597</v>
          </cell>
          <cell r="AV97">
            <v>20276</v>
          </cell>
          <cell r="AW97">
            <v>16797</v>
          </cell>
          <cell r="AX97">
            <v>10094</v>
          </cell>
          <cell r="AZ97">
            <v>29995</v>
          </cell>
          <cell r="CS97">
            <v>7384.2050000000008</v>
          </cell>
          <cell r="CT97">
            <v>24463.436800000003</v>
          </cell>
          <cell r="CU97">
            <v>14785.784599999999</v>
          </cell>
          <cell r="CV97">
            <v>96950.268000000011</v>
          </cell>
          <cell r="CW97">
            <v>30144.930999999997</v>
          </cell>
        </row>
        <row r="98">
          <cell r="E98">
            <v>42705</v>
          </cell>
          <cell r="F98">
            <v>76358</v>
          </cell>
          <cell r="G98">
            <v>63774</v>
          </cell>
          <cell r="H98">
            <v>12584</v>
          </cell>
          <cell r="I98">
            <v>72368860.00000003</v>
          </cell>
          <cell r="J98">
            <v>70645142.00000003</v>
          </cell>
          <cell r="K98">
            <v>1723717.9999999981</v>
          </cell>
          <cell r="L98">
            <v>947.7574059037695</v>
          </cell>
          <cell r="M98">
            <v>1107.7420578919314</v>
          </cell>
          <cell r="N98">
            <v>136.97695486331835</v>
          </cell>
          <cell r="P98">
            <v>258824</v>
          </cell>
          <cell r="Q98">
            <v>199213</v>
          </cell>
          <cell r="R98">
            <v>59611</v>
          </cell>
          <cell r="T98">
            <v>176</v>
          </cell>
          <cell r="U98">
            <v>134</v>
          </cell>
          <cell r="V98">
            <v>42</v>
          </cell>
          <cell r="X98">
            <v>196068</v>
          </cell>
          <cell r="Y98">
            <v>25327</v>
          </cell>
          <cell r="AB98">
            <v>72333.5141</v>
          </cell>
          <cell r="AC98">
            <v>126877.4859</v>
          </cell>
          <cell r="AE98">
            <v>1038810</v>
          </cell>
          <cell r="AF98">
            <v>5.2145693303147889</v>
          </cell>
          <cell r="AR98">
            <v>37216</v>
          </cell>
          <cell r="AS98">
            <v>23057</v>
          </cell>
          <cell r="AT98">
            <v>37182</v>
          </cell>
          <cell r="AU98">
            <v>17979</v>
          </cell>
          <cell r="AV98">
            <v>21081</v>
          </cell>
          <cell r="AW98">
            <v>17148</v>
          </cell>
          <cell r="AX98">
            <v>11984</v>
          </cell>
          <cell r="AZ98">
            <v>33566</v>
          </cell>
          <cell r="CS98">
            <v>9522.2857999999997</v>
          </cell>
          <cell r="CT98">
            <v>32232.339800000002</v>
          </cell>
          <cell r="CU98">
            <v>18407.096399999999</v>
          </cell>
          <cell r="CV98">
            <v>100920.29260000002</v>
          </cell>
          <cell r="CW98">
            <v>38148.906499999997</v>
          </cell>
        </row>
        <row r="99">
          <cell r="E99">
            <v>42736</v>
          </cell>
          <cell r="F99">
            <v>43840</v>
          </cell>
          <cell r="G99">
            <v>33903</v>
          </cell>
          <cell r="H99">
            <v>9937</v>
          </cell>
          <cell r="I99">
            <v>37400000</v>
          </cell>
          <cell r="J99">
            <v>36148000</v>
          </cell>
          <cell r="K99">
            <v>1252000</v>
          </cell>
          <cell r="L99">
            <v>853.10218978102193</v>
          </cell>
          <cell r="M99">
            <v>1066.2183287614666</v>
          </cell>
          <cell r="N99">
            <v>125.99376069236187</v>
          </cell>
          <cell r="P99">
            <v>180257</v>
          </cell>
          <cell r="Q99">
            <v>143767</v>
          </cell>
          <cell r="R99">
            <v>36490</v>
          </cell>
          <cell r="T99">
            <v>186.4</v>
          </cell>
          <cell r="U99">
            <v>135</v>
          </cell>
          <cell r="V99">
            <v>51.4</v>
          </cell>
          <cell r="X99">
            <v>173825</v>
          </cell>
          <cell r="Y99">
            <v>16712</v>
          </cell>
          <cell r="AB99">
            <v>42972.2552</v>
          </cell>
          <cell r="AC99">
            <v>100795.7448</v>
          </cell>
          <cell r="AE99">
            <v>827178</v>
          </cell>
          <cell r="AF99">
            <v>5.7536013132359995</v>
          </cell>
          <cell r="AR99">
            <v>27645</v>
          </cell>
          <cell r="AS99">
            <v>18135</v>
          </cell>
          <cell r="AT99">
            <v>25834</v>
          </cell>
          <cell r="AU99">
            <v>12930</v>
          </cell>
          <cell r="AV99">
            <v>14446</v>
          </cell>
          <cell r="AW99">
            <v>11358</v>
          </cell>
          <cell r="AX99">
            <v>8739</v>
          </cell>
          <cell r="AZ99">
            <v>24680</v>
          </cell>
          <cell r="CS99">
            <v>6483.9368000000004</v>
          </cell>
          <cell r="CT99">
            <v>24282.415199999999</v>
          </cell>
          <cell r="CU99">
            <v>14721.843200000001</v>
          </cell>
          <cell r="CV99">
            <v>69698.7264</v>
          </cell>
          <cell r="CW99">
            <v>28566.701599999997</v>
          </cell>
        </row>
        <row r="100">
          <cell r="E100">
            <v>42767</v>
          </cell>
          <cell r="F100">
            <v>54583.999999999993</v>
          </cell>
          <cell r="G100">
            <v>40580.999999999993</v>
          </cell>
          <cell r="H100">
            <v>14003</v>
          </cell>
          <cell r="I100">
            <v>47918000</v>
          </cell>
          <cell r="J100">
            <v>46158000</v>
          </cell>
          <cell r="K100">
            <v>1760000</v>
          </cell>
          <cell r="L100">
            <v>877.87630074747187</v>
          </cell>
          <cell r="M100">
            <v>1137.4288460116804</v>
          </cell>
          <cell r="N100">
            <v>125.68735271013354</v>
          </cell>
          <cell r="P100">
            <v>196396</v>
          </cell>
          <cell r="Q100">
            <v>132625</v>
          </cell>
          <cell r="R100">
            <v>63771</v>
          </cell>
          <cell r="T100">
            <v>205.5</v>
          </cell>
          <cell r="U100">
            <v>139</v>
          </cell>
          <cell r="V100">
            <v>66.5</v>
          </cell>
          <cell r="X100">
            <v>195091</v>
          </cell>
          <cell r="Y100">
            <v>14256</v>
          </cell>
          <cell r="AB100">
            <v>46299.387499999997</v>
          </cell>
          <cell r="AC100">
            <v>86325.612500000003</v>
          </cell>
          <cell r="AE100">
            <v>709805</v>
          </cell>
          <cell r="AF100">
            <v>5.3519698397737985</v>
          </cell>
          <cell r="AR100">
            <v>23216</v>
          </cell>
          <cell r="AS100">
            <v>17243</v>
          </cell>
          <cell r="AT100">
            <v>24723</v>
          </cell>
          <cell r="AU100">
            <v>11140</v>
          </cell>
          <cell r="AV100">
            <v>14192</v>
          </cell>
          <cell r="AW100">
            <v>11110</v>
          </cell>
          <cell r="AX100">
            <v>9387</v>
          </cell>
          <cell r="AZ100">
            <v>21614</v>
          </cell>
          <cell r="CS100">
            <v>6326.2124999999996</v>
          </cell>
          <cell r="CT100">
            <v>20318.150000000001</v>
          </cell>
          <cell r="CU100">
            <v>13050.3</v>
          </cell>
          <cell r="CV100">
            <v>69336.350000000006</v>
          </cell>
          <cell r="CW100">
            <v>23607.25</v>
          </cell>
        </row>
        <row r="101">
          <cell r="E101">
            <v>42795</v>
          </cell>
          <cell r="F101">
            <v>65969</v>
          </cell>
          <cell r="G101">
            <v>50337</v>
          </cell>
          <cell r="H101">
            <v>15632</v>
          </cell>
          <cell r="I101">
            <v>61158000</v>
          </cell>
          <cell r="J101">
            <v>58542000</v>
          </cell>
          <cell r="K101">
            <v>2616000</v>
          </cell>
          <cell r="L101">
            <v>927.07180645454685</v>
          </cell>
          <cell r="M101">
            <v>1163.0013707610703</v>
          </cell>
          <cell r="N101">
            <v>167.34902763561925</v>
          </cell>
          <cell r="P101">
            <v>249430</v>
          </cell>
          <cell r="Q101">
            <v>184188</v>
          </cell>
          <cell r="R101">
            <v>65242</v>
          </cell>
          <cell r="T101">
            <v>220</v>
          </cell>
          <cell r="U101">
            <v>139.6</v>
          </cell>
          <cell r="V101">
            <v>80.400000000000006</v>
          </cell>
          <cell r="X101">
            <v>228930</v>
          </cell>
          <cell r="Y101">
            <v>20718</v>
          </cell>
          <cell r="AB101">
            <v>70359.816000000006</v>
          </cell>
          <cell r="AC101">
            <v>113828.18399999999</v>
          </cell>
          <cell r="AE101">
            <v>891554</v>
          </cell>
          <cell r="AF101">
            <v>4.8404564901079334</v>
          </cell>
          <cell r="AR101">
            <v>31011</v>
          </cell>
          <cell r="AS101">
            <v>23453</v>
          </cell>
          <cell r="AT101">
            <v>31377</v>
          </cell>
          <cell r="AU101">
            <v>16674</v>
          </cell>
          <cell r="AV101">
            <v>21760</v>
          </cell>
          <cell r="AW101">
            <v>17213</v>
          </cell>
          <cell r="AX101">
            <v>11990</v>
          </cell>
          <cell r="AZ101">
            <v>30710</v>
          </cell>
          <cell r="CS101">
            <v>8712.0923999999995</v>
          </cell>
          <cell r="CT101">
            <v>27665.0376</v>
          </cell>
          <cell r="CU101">
            <v>17424.184799999999</v>
          </cell>
          <cell r="CV101">
            <v>97859.084399999992</v>
          </cell>
          <cell r="CW101">
            <v>32527.6008</v>
          </cell>
        </row>
        <row r="102">
          <cell r="E102">
            <v>42826</v>
          </cell>
          <cell r="F102">
            <v>51577</v>
          </cell>
          <cell r="G102">
            <v>38826</v>
          </cell>
          <cell r="H102">
            <v>12751</v>
          </cell>
          <cell r="I102">
            <v>48039654.999999985</v>
          </cell>
          <cell r="J102">
            <v>45536155.999999985</v>
          </cell>
          <cell r="K102">
            <v>2503499</v>
          </cell>
          <cell r="L102">
            <v>931.41623204141354</v>
          </cell>
          <cell r="M102">
            <v>1172.8263534744756</v>
          </cell>
          <cell r="N102">
            <v>196.33746372833502</v>
          </cell>
          <cell r="P102">
            <v>210306</v>
          </cell>
          <cell r="Q102">
            <v>152638</v>
          </cell>
          <cell r="R102">
            <v>57668</v>
          </cell>
          <cell r="T102">
            <v>216.4</v>
          </cell>
          <cell r="U102">
            <v>135.80000000000001</v>
          </cell>
          <cell r="V102">
            <v>80.599999999999994</v>
          </cell>
          <cell r="X102">
            <v>184162</v>
          </cell>
          <cell r="Y102">
            <v>17402</v>
          </cell>
          <cell r="AB102">
            <v>59360.9182</v>
          </cell>
          <cell r="AC102">
            <v>93277.0818</v>
          </cell>
          <cell r="AE102">
            <v>765602</v>
          </cell>
          <cell r="AF102">
            <v>5.0158020938429484</v>
          </cell>
          <cell r="AR102">
            <v>26707</v>
          </cell>
          <cell r="AS102">
            <v>18800</v>
          </cell>
          <cell r="AT102">
            <v>25355</v>
          </cell>
          <cell r="AU102">
            <v>14541</v>
          </cell>
          <cell r="AV102">
            <v>16136</v>
          </cell>
          <cell r="AW102">
            <v>13608</v>
          </cell>
          <cell r="AX102">
            <v>10833</v>
          </cell>
          <cell r="AZ102">
            <v>26658</v>
          </cell>
          <cell r="CS102">
            <v>7051.8755999999994</v>
          </cell>
          <cell r="CT102">
            <v>23552.043399999999</v>
          </cell>
          <cell r="CU102">
            <v>13676.364799999999</v>
          </cell>
          <cell r="CV102">
            <v>82119.244000000006</v>
          </cell>
          <cell r="CW102">
            <v>26238.4722</v>
          </cell>
        </row>
        <row r="103">
          <cell r="E103">
            <v>42856</v>
          </cell>
          <cell r="F103">
            <v>66302</v>
          </cell>
          <cell r="G103">
            <v>51002</v>
          </cell>
          <cell r="H103">
            <v>15300</v>
          </cell>
          <cell r="I103">
            <v>64011132.000000007</v>
          </cell>
          <cell r="J103">
            <v>60920557.000000007</v>
          </cell>
          <cell r="K103">
            <v>3090575</v>
          </cell>
          <cell r="L103">
            <v>965.44798045307846</v>
          </cell>
          <cell r="M103">
            <v>1194.4738833771225</v>
          </cell>
          <cell r="N103">
            <v>201.99836601307189</v>
          </cell>
          <cell r="P103">
            <v>259822</v>
          </cell>
          <cell r="Q103">
            <v>190390</v>
          </cell>
          <cell r="R103">
            <v>69432</v>
          </cell>
          <cell r="T103">
            <v>229.2</v>
          </cell>
          <cell r="U103">
            <v>144.1</v>
          </cell>
          <cell r="V103">
            <v>85.1</v>
          </cell>
          <cell r="X103">
            <v>243690</v>
          </cell>
          <cell r="Y103">
            <v>20965</v>
          </cell>
          <cell r="AB103">
            <v>80249.384999999995</v>
          </cell>
          <cell r="AC103">
            <v>110140.61500000001</v>
          </cell>
          <cell r="AE103">
            <v>957579</v>
          </cell>
          <cell r="AF103">
            <v>5.0295656284468722</v>
          </cell>
          <cell r="AR103">
            <v>33642</v>
          </cell>
          <cell r="AS103">
            <v>24390</v>
          </cell>
          <cell r="AT103">
            <v>33396</v>
          </cell>
          <cell r="AU103">
            <v>16622</v>
          </cell>
          <cell r="AV103">
            <v>20456</v>
          </cell>
          <cell r="AW103">
            <v>15788</v>
          </cell>
          <cell r="AX103">
            <v>12541</v>
          </cell>
          <cell r="AZ103">
            <v>33555</v>
          </cell>
          <cell r="CS103">
            <v>8776.9790000000012</v>
          </cell>
          <cell r="CT103">
            <v>28748.89</v>
          </cell>
          <cell r="CU103">
            <v>17211.255999999998</v>
          </cell>
          <cell r="CV103">
            <v>103039.068</v>
          </cell>
          <cell r="CW103">
            <v>32594.768</v>
          </cell>
        </row>
        <row r="104">
          <cell r="E104">
            <v>42887</v>
          </cell>
          <cell r="F104">
            <v>65304</v>
          </cell>
          <cell r="G104">
            <v>49964</v>
          </cell>
          <cell r="H104">
            <v>15340</v>
          </cell>
          <cell r="I104">
            <v>60096586.03599073</v>
          </cell>
          <cell r="J104">
            <v>56127201.03599073</v>
          </cell>
          <cell r="K104">
            <v>3969384.9999999995</v>
          </cell>
          <cell r="L104">
            <v>920.25888208977597</v>
          </cell>
          <cell r="M104">
            <v>1123.3528347608424</v>
          </cell>
          <cell r="N104">
            <v>258.76043024771838</v>
          </cell>
          <cell r="P104">
            <v>253009</v>
          </cell>
          <cell r="Q104">
            <v>189483</v>
          </cell>
          <cell r="R104">
            <v>63526</v>
          </cell>
          <cell r="T104">
            <v>220.1</v>
          </cell>
          <cell r="U104">
            <v>146.69999999999999</v>
          </cell>
          <cell r="V104">
            <v>73.400000000000006</v>
          </cell>
          <cell r="X104">
            <v>205805</v>
          </cell>
          <cell r="Y104">
            <v>20402</v>
          </cell>
          <cell r="AB104">
            <v>81003.982499999998</v>
          </cell>
          <cell r="AC104">
            <v>108479.0175</v>
          </cell>
          <cell r="AE104">
            <v>918741</v>
          </cell>
          <cell r="AF104">
            <v>4.8486724402716863</v>
          </cell>
          <cell r="AR104">
            <v>33608</v>
          </cell>
          <cell r="AS104">
            <v>22915</v>
          </cell>
          <cell r="AT104">
            <v>34942</v>
          </cell>
          <cell r="AU104">
            <v>16122</v>
          </cell>
          <cell r="AV104">
            <v>20576</v>
          </cell>
          <cell r="AW104">
            <v>16025</v>
          </cell>
          <cell r="AX104">
            <v>11522</v>
          </cell>
          <cell r="AZ104">
            <v>33773</v>
          </cell>
          <cell r="CS104">
            <v>8792.011199999999</v>
          </cell>
          <cell r="CT104">
            <v>27285.552</v>
          </cell>
          <cell r="CU104">
            <v>17034.521699999998</v>
          </cell>
          <cell r="CV104">
            <v>105182.01330000001</v>
          </cell>
          <cell r="CW104">
            <v>31169.9535</v>
          </cell>
        </row>
        <row r="105">
          <cell r="E105">
            <v>42917</v>
          </cell>
          <cell r="F105">
            <v>59226</v>
          </cell>
          <cell r="G105">
            <v>46525</v>
          </cell>
          <cell r="H105">
            <v>12701</v>
          </cell>
          <cell r="I105">
            <v>54143137</v>
          </cell>
          <cell r="J105">
            <v>51389427</v>
          </cell>
          <cell r="K105">
            <v>2753710</v>
          </cell>
          <cell r="L105">
            <v>914.17851956910818</v>
          </cell>
          <cell r="M105">
            <v>1104.5551209027406</v>
          </cell>
          <cell r="N105">
            <v>216.81048736319974</v>
          </cell>
          <cell r="P105">
            <v>241000</v>
          </cell>
          <cell r="Q105">
            <v>179038</v>
          </cell>
          <cell r="R105">
            <v>61962</v>
          </cell>
          <cell r="T105">
            <v>217.7</v>
          </cell>
          <cell r="U105">
            <v>139.4</v>
          </cell>
          <cell r="V105">
            <v>78.3</v>
          </cell>
          <cell r="X105">
            <v>216462</v>
          </cell>
          <cell r="Y105">
            <v>20634</v>
          </cell>
          <cell r="AB105">
            <v>70666.298599999995</v>
          </cell>
          <cell r="AC105">
            <v>108371.70140000001</v>
          </cell>
          <cell r="AE105">
            <v>947211</v>
          </cell>
          <cell r="AF105">
            <v>5.2905584289368734</v>
          </cell>
          <cell r="AR105">
            <v>33496</v>
          </cell>
          <cell r="AS105">
            <v>22753</v>
          </cell>
          <cell r="AT105">
            <v>32148</v>
          </cell>
          <cell r="AU105">
            <v>16822</v>
          </cell>
          <cell r="AV105">
            <v>17470</v>
          </cell>
          <cell r="AW105">
            <v>15217</v>
          </cell>
          <cell r="AX105">
            <v>9915</v>
          </cell>
          <cell r="AZ105">
            <v>31217</v>
          </cell>
          <cell r="CS105">
            <v>8361.0745999999999</v>
          </cell>
          <cell r="CT105">
            <v>28019.447</v>
          </cell>
          <cell r="CU105">
            <v>16077.6124</v>
          </cell>
          <cell r="CV105">
            <v>95606.292000000001</v>
          </cell>
          <cell r="CW105">
            <v>30991.477800000001</v>
          </cell>
        </row>
        <row r="106">
          <cell r="E106">
            <v>42948</v>
          </cell>
          <cell r="F106">
            <v>70168</v>
          </cell>
          <cell r="G106">
            <v>57256</v>
          </cell>
          <cell r="H106">
            <v>12912</v>
          </cell>
          <cell r="I106">
            <v>69884414</v>
          </cell>
          <cell r="J106">
            <v>67129028</v>
          </cell>
          <cell r="K106">
            <v>2755386</v>
          </cell>
          <cell r="L106">
            <v>995.95847109793635</v>
          </cell>
          <cell r="M106">
            <v>1172.4365656001119</v>
          </cell>
          <cell r="N106">
            <v>213.39730483271376</v>
          </cell>
          <cell r="P106">
            <v>273437</v>
          </cell>
          <cell r="Q106">
            <v>210142</v>
          </cell>
          <cell r="R106">
            <v>63295</v>
          </cell>
          <cell r="T106">
            <v>220.5</v>
          </cell>
          <cell r="U106">
            <v>148.1</v>
          </cell>
          <cell r="V106">
            <v>72.400000000000006</v>
          </cell>
          <cell r="X106">
            <v>255809</v>
          </cell>
          <cell r="Y106">
            <v>23302</v>
          </cell>
          <cell r="AB106">
            <v>86116.191599999991</v>
          </cell>
          <cell r="AC106">
            <v>124025.80840000001</v>
          </cell>
          <cell r="AE106">
            <v>1029273</v>
          </cell>
          <cell r="AF106">
            <v>4.8979880271435503</v>
          </cell>
          <cell r="AR106">
            <v>38293</v>
          </cell>
          <cell r="AS106">
            <v>26242</v>
          </cell>
          <cell r="AT106">
            <v>38160</v>
          </cell>
          <cell r="AU106">
            <v>18506</v>
          </cell>
          <cell r="AV106">
            <v>23319</v>
          </cell>
          <cell r="AW106">
            <v>18156</v>
          </cell>
          <cell r="AX106">
            <v>11894</v>
          </cell>
          <cell r="AZ106">
            <v>35572</v>
          </cell>
          <cell r="CS106">
            <v>9918.7024000000001</v>
          </cell>
          <cell r="CT106">
            <v>31752.456199999997</v>
          </cell>
          <cell r="CU106">
            <v>18555.5386</v>
          </cell>
          <cell r="CV106">
            <v>115220.85860000001</v>
          </cell>
          <cell r="CW106">
            <v>34673.43</v>
          </cell>
        </row>
        <row r="107">
          <cell r="E107">
            <v>42979</v>
          </cell>
          <cell r="F107">
            <v>65959</v>
          </cell>
          <cell r="G107">
            <v>56473</v>
          </cell>
          <cell r="H107">
            <v>9486</v>
          </cell>
          <cell r="I107">
            <v>67041797.999999993</v>
          </cell>
          <cell r="J107">
            <v>64755223.999999993</v>
          </cell>
          <cell r="K107">
            <v>2286574</v>
          </cell>
          <cell r="L107">
            <v>1016.4162282630117</v>
          </cell>
          <cell r="M107">
            <v>1146.6581198094664</v>
          </cell>
          <cell r="N107">
            <v>241.0472274931478</v>
          </cell>
          <cell r="P107">
            <v>250456</v>
          </cell>
          <cell r="Q107">
            <v>193806</v>
          </cell>
          <cell r="R107">
            <v>56650</v>
          </cell>
          <cell r="T107">
            <v>224.10000000000002</v>
          </cell>
          <cell r="U107">
            <v>151.80000000000001</v>
          </cell>
          <cell r="V107">
            <v>72.3</v>
          </cell>
          <cell r="X107">
            <v>230477</v>
          </cell>
          <cell r="Y107">
            <v>20172</v>
          </cell>
          <cell r="AB107">
            <v>83104.012799999997</v>
          </cell>
          <cell r="AC107">
            <v>110701.9872</v>
          </cell>
          <cell r="AE107">
            <v>891628</v>
          </cell>
          <cell r="AF107">
            <v>4.6006212397964976</v>
          </cell>
          <cell r="AR107">
            <v>35251</v>
          </cell>
          <cell r="AS107">
            <v>23252</v>
          </cell>
          <cell r="AT107">
            <v>32455</v>
          </cell>
          <cell r="AU107">
            <v>15240</v>
          </cell>
          <cell r="AV107">
            <v>28183</v>
          </cell>
          <cell r="AW107">
            <v>15158</v>
          </cell>
          <cell r="AX107">
            <v>9673</v>
          </cell>
          <cell r="AZ107">
            <v>34594</v>
          </cell>
          <cell r="CS107">
            <v>8546.8446000000004</v>
          </cell>
          <cell r="CT107">
            <v>28024.347600000001</v>
          </cell>
          <cell r="CU107">
            <v>15698.286</v>
          </cell>
          <cell r="CV107">
            <v>109907.38260000001</v>
          </cell>
          <cell r="CW107">
            <v>31570.997399999997</v>
          </cell>
        </row>
        <row r="108">
          <cell r="E108">
            <v>43009</v>
          </cell>
          <cell r="F108">
            <v>63357</v>
          </cell>
          <cell r="G108">
            <v>50468</v>
          </cell>
          <cell r="H108">
            <v>12889</v>
          </cell>
          <cell r="I108">
            <v>60786713.999999993</v>
          </cell>
          <cell r="J108">
            <v>57666721.999999993</v>
          </cell>
          <cell r="K108">
            <v>3119992</v>
          </cell>
          <cell r="L108">
            <v>959.43169657654232</v>
          </cell>
          <cell r="M108">
            <v>1142.639335816755</v>
          </cell>
          <cell r="N108">
            <v>242.06625804949957</v>
          </cell>
          <cell r="P108">
            <v>255217</v>
          </cell>
          <cell r="Q108">
            <v>196942</v>
          </cell>
          <cell r="R108">
            <v>58275</v>
          </cell>
          <cell r="T108">
            <v>234.10000000000002</v>
          </cell>
          <cell r="U108">
            <v>154.30000000000001</v>
          </cell>
          <cell r="V108">
            <v>79.8</v>
          </cell>
          <cell r="X108">
            <v>244137</v>
          </cell>
          <cell r="Y108">
            <v>20801</v>
          </cell>
          <cell r="AB108">
            <v>83720.044199999989</v>
          </cell>
          <cell r="AC108">
            <v>113221.95580000001</v>
          </cell>
          <cell r="AE108">
            <v>900062</v>
          </cell>
          <cell r="AF108">
            <v>4.5701881772298441</v>
          </cell>
          <cell r="AR108">
            <v>36515</v>
          </cell>
          <cell r="AS108">
            <v>23664</v>
          </cell>
          <cell r="AT108">
            <v>33717</v>
          </cell>
          <cell r="AU108">
            <v>16462</v>
          </cell>
          <cell r="AV108">
            <v>23597</v>
          </cell>
          <cell r="AW108">
            <v>16149</v>
          </cell>
          <cell r="AX108">
            <v>11921</v>
          </cell>
          <cell r="AZ108">
            <v>34917</v>
          </cell>
          <cell r="CS108">
            <v>9754.35822181818</v>
          </cell>
          <cell r="CT108">
            <v>30208.276906666732</v>
          </cell>
          <cell r="CU108">
            <v>19996.177733333268</v>
          </cell>
          <cell r="CV108">
            <v>103300.97271030294</v>
          </cell>
          <cell r="CW108">
            <v>34024.654790302935</v>
          </cell>
        </row>
        <row r="109">
          <cell r="E109">
            <v>43040</v>
          </cell>
          <cell r="F109">
            <v>68236</v>
          </cell>
          <cell r="G109">
            <v>53558</v>
          </cell>
          <cell r="H109">
            <v>14678</v>
          </cell>
          <cell r="I109">
            <v>63798801.000000015</v>
          </cell>
          <cell r="J109">
            <v>61164867.000000015</v>
          </cell>
          <cell r="K109">
            <v>2633934</v>
          </cell>
          <cell r="L109">
            <v>934.97275631631419</v>
          </cell>
          <cell r="M109">
            <v>1142.0304529668774</v>
          </cell>
          <cell r="N109">
            <v>179.44774492437662</v>
          </cell>
          <cell r="P109">
            <v>267752</v>
          </cell>
          <cell r="Q109">
            <v>197647</v>
          </cell>
          <cell r="R109">
            <v>70105</v>
          </cell>
          <cell r="T109">
            <v>232.2</v>
          </cell>
          <cell r="U109">
            <v>154</v>
          </cell>
          <cell r="V109">
            <v>78.2</v>
          </cell>
          <cell r="X109">
            <v>244242</v>
          </cell>
          <cell r="Y109">
            <v>21366</v>
          </cell>
          <cell r="AB109">
            <v>84968.445300000007</v>
          </cell>
          <cell r="AC109">
            <v>112678.55469999999</v>
          </cell>
          <cell r="AE109">
            <v>876111</v>
          </cell>
          <cell r="AF109">
            <v>4.4327057835433878</v>
          </cell>
          <cell r="AR109">
            <v>37354</v>
          </cell>
          <cell r="AS109">
            <v>25589</v>
          </cell>
          <cell r="AT109">
            <v>32815</v>
          </cell>
          <cell r="AU109">
            <v>16376</v>
          </cell>
          <cell r="AV109">
            <v>22359</v>
          </cell>
          <cell r="AW109">
            <v>16484</v>
          </cell>
          <cell r="AX109">
            <v>11360</v>
          </cell>
          <cell r="AZ109">
            <v>35310</v>
          </cell>
          <cell r="CS109">
            <v>9799.6976181818209</v>
          </cell>
          <cell r="CT109">
            <v>30124.038093333271</v>
          </cell>
          <cell r="CU109">
            <v>19900.417606666731</v>
          </cell>
          <cell r="CV109">
            <v>103953.81718969703</v>
          </cell>
          <cell r="CW109">
            <v>34196.285009697029</v>
          </cell>
        </row>
        <row r="110">
          <cell r="E110">
            <v>43070</v>
          </cell>
          <cell r="F110">
            <v>79821</v>
          </cell>
          <cell r="G110">
            <v>64842</v>
          </cell>
          <cell r="H110">
            <v>14979</v>
          </cell>
          <cell r="I110">
            <v>79652644</v>
          </cell>
          <cell r="J110">
            <v>76951753</v>
          </cell>
          <cell r="K110">
            <v>2700890.9999999995</v>
          </cell>
          <cell r="L110">
            <v>997.89083073376685</v>
          </cell>
          <cell r="M110">
            <v>1186.7578575614571</v>
          </cell>
          <cell r="N110">
            <v>180.31183657119965</v>
          </cell>
          <cell r="P110">
            <v>263510</v>
          </cell>
          <cell r="Q110">
            <v>205318</v>
          </cell>
          <cell r="R110">
            <v>58192</v>
          </cell>
          <cell r="T110">
            <v>219.1</v>
          </cell>
          <cell r="U110">
            <v>156.69999999999999</v>
          </cell>
          <cell r="V110">
            <v>62.4</v>
          </cell>
          <cell r="X110">
            <v>210939</v>
          </cell>
          <cell r="Y110">
            <v>25595</v>
          </cell>
          <cell r="AB110">
            <v>81346.991599999994</v>
          </cell>
          <cell r="AC110">
            <v>123971.00840000001</v>
          </cell>
          <cell r="AE110">
            <v>1016018</v>
          </cell>
          <cell r="AF110">
            <v>4.9485091419164418</v>
          </cell>
          <cell r="AR110">
            <v>37416</v>
          </cell>
          <cell r="AS110">
            <v>25682</v>
          </cell>
          <cell r="AT110">
            <v>35136</v>
          </cell>
          <cell r="AU110">
            <v>19239</v>
          </cell>
          <cell r="AV110">
            <v>23456</v>
          </cell>
          <cell r="AW110">
            <v>17177</v>
          </cell>
          <cell r="AX110">
            <v>11321</v>
          </cell>
          <cell r="AZ110">
            <v>35891</v>
          </cell>
          <cell r="CS110">
            <v>10190.865603636374</v>
          </cell>
          <cell r="CT110">
            <v>31093.357919999999</v>
          </cell>
          <cell r="CU110">
            <v>20498.949120000001</v>
          </cell>
          <cell r="CV110">
            <v>108282.47336727275</v>
          </cell>
          <cell r="CW110">
            <v>35575.26320727275</v>
          </cell>
        </row>
        <row r="111">
          <cell r="E111">
            <v>43101</v>
          </cell>
          <cell r="F111">
            <v>47987</v>
          </cell>
          <cell r="G111">
            <v>35167</v>
          </cell>
          <cell r="H111">
            <v>12820</v>
          </cell>
          <cell r="I111">
            <v>43802590.000000007</v>
          </cell>
          <cell r="J111">
            <v>40875312.000000007</v>
          </cell>
          <cell r="K111">
            <v>2927278.0000000005</v>
          </cell>
          <cell r="L111">
            <v>912.80117531831559</v>
          </cell>
          <cell r="M111">
            <v>1162.3201296670177</v>
          </cell>
          <cell r="N111">
            <v>228.33681747269895</v>
          </cell>
          <cell r="P111">
            <v>219813</v>
          </cell>
          <cell r="Q111">
            <v>175857</v>
          </cell>
          <cell r="R111">
            <v>43956</v>
          </cell>
          <cell r="T111">
            <v>228.7</v>
          </cell>
          <cell r="U111">
            <v>151.4</v>
          </cell>
          <cell r="V111">
            <v>77.3</v>
          </cell>
          <cell r="X111">
            <v>210565</v>
          </cell>
          <cell r="Y111">
            <v>20875</v>
          </cell>
          <cell r="AB111">
            <v>58982.437799999992</v>
          </cell>
          <cell r="AC111">
            <v>116874.56220000001</v>
          </cell>
          <cell r="AE111">
            <v>869680</v>
          </cell>
          <cell r="AF111">
            <v>4.945381759042859</v>
          </cell>
          <cell r="AR111">
            <v>33904</v>
          </cell>
          <cell r="AS111">
            <v>26343</v>
          </cell>
          <cell r="AT111">
            <v>30505</v>
          </cell>
          <cell r="AU111">
            <v>14284</v>
          </cell>
          <cell r="AV111">
            <v>17903</v>
          </cell>
          <cell r="AW111">
            <v>13322</v>
          </cell>
          <cell r="AX111">
            <v>10072</v>
          </cell>
          <cell r="AZ111">
            <v>29524</v>
          </cell>
          <cell r="CS111">
            <v>8737.8547199999957</v>
          </cell>
          <cell r="CT111">
            <v>26460.616600000059</v>
          </cell>
          <cell r="CU111">
            <v>17408.670619999994</v>
          </cell>
          <cell r="CV111">
            <v>92996.911899999977</v>
          </cell>
          <cell r="CW111">
            <v>30514.919799999978</v>
          </cell>
        </row>
        <row r="112">
          <cell r="E112">
            <v>43132</v>
          </cell>
          <cell r="F112">
            <v>58209</v>
          </cell>
          <cell r="G112">
            <v>42728</v>
          </cell>
          <cell r="H112">
            <v>15481</v>
          </cell>
          <cell r="I112">
            <v>52746234</v>
          </cell>
          <cell r="J112">
            <v>50025722</v>
          </cell>
          <cell r="K112">
            <v>2720511.9999999995</v>
          </cell>
          <cell r="L112">
            <v>906.15255372880483</v>
          </cell>
          <cell r="M112">
            <v>1170.794841789927</v>
          </cell>
          <cell r="N112">
            <v>175.73231703378332</v>
          </cell>
          <cell r="P112">
            <v>214756</v>
          </cell>
          <cell r="Q112">
            <v>151994</v>
          </cell>
          <cell r="R112">
            <v>62762</v>
          </cell>
          <cell r="T112">
            <v>226.5</v>
          </cell>
          <cell r="U112">
            <v>144.1</v>
          </cell>
          <cell r="V112">
            <v>82.4</v>
          </cell>
          <cell r="X112">
            <v>203610</v>
          </cell>
          <cell r="Y112">
            <v>18307</v>
          </cell>
          <cell r="AB112">
            <v>57240.940399999999</v>
          </cell>
          <cell r="AC112">
            <v>94753.059600000008</v>
          </cell>
          <cell r="AE112">
            <v>741381</v>
          </cell>
          <cell r="AF112">
            <v>4.8776991197020934</v>
          </cell>
          <cell r="AR112">
            <v>27394</v>
          </cell>
          <cell r="AS112">
            <v>22261</v>
          </cell>
          <cell r="AT112">
            <v>23338</v>
          </cell>
          <cell r="AU112">
            <v>12302</v>
          </cell>
          <cell r="AV112">
            <v>18406</v>
          </cell>
          <cell r="AW112">
            <v>13262</v>
          </cell>
          <cell r="AX112">
            <v>9807</v>
          </cell>
          <cell r="AZ112">
            <v>25224</v>
          </cell>
          <cell r="CS112">
            <v>7560.18156</v>
          </cell>
          <cell r="CT112">
            <v>22722.089706666618</v>
          </cell>
          <cell r="CU112">
            <v>14917.704453333339</v>
          </cell>
          <cell r="CV112">
            <v>80595.325146666626</v>
          </cell>
          <cell r="CW112">
            <v>26412.504026666615</v>
          </cell>
        </row>
        <row r="113">
          <cell r="E113">
            <v>43160</v>
          </cell>
          <cell r="F113">
            <v>71015</v>
          </cell>
          <cell r="G113">
            <v>57392</v>
          </cell>
          <cell r="H113">
            <v>13623</v>
          </cell>
          <cell r="I113">
            <v>75207570</v>
          </cell>
          <cell r="J113">
            <v>72575965</v>
          </cell>
          <cell r="K113">
            <v>2631605</v>
          </cell>
          <cell r="L113">
            <v>1059.0378089136098</v>
          </cell>
          <cell r="M113">
            <v>1264.5658802620574</v>
          </cell>
          <cell r="N113">
            <v>193.17367686999927</v>
          </cell>
          <cell r="P113">
            <v>264078</v>
          </cell>
          <cell r="Q113">
            <v>200393</v>
          </cell>
          <cell r="R113">
            <v>63685</v>
          </cell>
          <cell r="T113">
            <v>230.7</v>
          </cell>
          <cell r="U113">
            <v>150</v>
          </cell>
          <cell r="V113">
            <v>80.7</v>
          </cell>
          <cell r="X113">
            <v>254759</v>
          </cell>
          <cell r="Y113">
            <v>24327</v>
          </cell>
          <cell r="AB113">
            <v>76650.322499999995</v>
          </cell>
          <cell r="AC113">
            <v>123742.67750000001</v>
          </cell>
          <cell r="AE113">
            <v>849155</v>
          </cell>
          <cell r="AF113">
            <v>4.2374484138667521</v>
          </cell>
          <cell r="AR113">
            <v>30572</v>
          </cell>
          <cell r="AS113">
            <v>28871</v>
          </cell>
          <cell r="AT113">
            <v>32250</v>
          </cell>
          <cell r="AU113">
            <v>16511</v>
          </cell>
          <cell r="AV113">
            <v>27605</v>
          </cell>
          <cell r="AW113">
            <v>15810</v>
          </cell>
          <cell r="AX113">
            <v>13525</v>
          </cell>
          <cell r="AZ113">
            <v>35249</v>
          </cell>
          <cell r="CS113">
            <v>9358.3531000000003</v>
          </cell>
          <cell r="CT113">
            <v>30099.028600000001</v>
          </cell>
          <cell r="CU113">
            <v>19157.570800000001</v>
          </cell>
          <cell r="CV113">
            <v>105687.26819999999</v>
          </cell>
          <cell r="CW113">
            <v>36090.779300000002</v>
          </cell>
        </row>
        <row r="114">
          <cell r="E114">
            <v>43191</v>
          </cell>
          <cell r="F114">
            <v>71203</v>
          </cell>
          <cell r="G114">
            <v>54788</v>
          </cell>
          <cell r="H114">
            <v>16415</v>
          </cell>
          <cell r="I114">
            <v>69216232</v>
          </cell>
          <cell r="J114">
            <v>65888608</v>
          </cell>
          <cell r="K114">
            <v>3327624.0000000005</v>
          </cell>
          <cell r="L114">
            <v>972.09713073887337</v>
          </cell>
          <cell r="M114">
            <v>1202.6102066145872</v>
          </cell>
          <cell r="N114">
            <v>202.71848918671949</v>
          </cell>
          <cell r="P114">
            <v>279891</v>
          </cell>
          <cell r="Q114">
            <v>210238</v>
          </cell>
          <cell r="R114">
            <v>69653</v>
          </cell>
          <cell r="T114">
            <v>230.70000000000002</v>
          </cell>
          <cell r="U114">
            <v>151.80000000000001</v>
          </cell>
          <cell r="V114">
            <v>78.900000000000006</v>
          </cell>
          <cell r="X114">
            <v>254154</v>
          </cell>
          <cell r="Y114">
            <v>26689</v>
          </cell>
          <cell r="AB114">
            <v>90002.887800000011</v>
          </cell>
          <cell r="AC114">
            <v>120235.11219999999</v>
          </cell>
          <cell r="AE114">
            <v>891975</v>
          </cell>
          <cell r="AF114">
            <v>4.2426916161683428</v>
          </cell>
          <cell r="AR114">
            <v>33832</v>
          </cell>
          <cell r="AS114">
            <v>30329</v>
          </cell>
          <cell r="AT114">
            <v>37327</v>
          </cell>
          <cell r="AU114">
            <v>17986</v>
          </cell>
          <cell r="AV114">
            <v>27964</v>
          </cell>
          <cell r="AW114">
            <v>16509</v>
          </cell>
          <cell r="AX114">
            <v>11290</v>
          </cell>
          <cell r="AZ114">
            <v>35001</v>
          </cell>
          <cell r="CS114">
            <v>9860.1621999999988</v>
          </cell>
          <cell r="CT114">
            <v>30694.748</v>
          </cell>
          <cell r="CU114">
            <v>20624.347800000003</v>
          </cell>
          <cell r="CV114">
            <v>111257.94960000001</v>
          </cell>
          <cell r="CW114">
            <v>37800.792399999998</v>
          </cell>
        </row>
        <row r="115">
          <cell r="E115">
            <v>43221</v>
          </cell>
          <cell r="F115">
            <v>47542</v>
          </cell>
          <cell r="G115">
            <v>36463</v>
          </cell>
          <cell r="H115">
            <v>11079</v>
          </cell>
          <cell r="I115">
            <v>45712539.000000007</v>
          </cell>
          <cell r="J115">
            <v>43363185.000000007</v>
          </cell>
          <cell r="K115">
            <v>2349354</v>
          </cell>
          <cell r="L115">
            <v>961.51905683395751</v>
          </cell>
          <cell r="M115">
            <v>1189.2379946795384</v>
          </cell>
          <cell r="N115">
            <v>212.05469807744382</v>
          </cell>
          <cell r="P115">
            <v>253678</v>
          </cell>
          <cell r="Q115">
            <v>195291</v>
          </cell>
          <cell r="R115">
            <v>58387</v>
          </cell>
          <cell r="T115">
            <v>207.20000000000002</v>
          </cell>
          <cell r="U115">
            <v>138.30000000000001</v>
          </cell>
          <cell r="V115">
            <v>68.900000000000006</v>
          </cell>
          <cell r="X115">
            <v>203081</v>
          </cell>
          <cell r="Y115">
            <v>26112</v>
          </cell>
          <cell r="AB115">
            <v>79893.5481</v>
          </cell>
          <cell r="AC115">
            <v>115397.4519</v>
          </cell>
          <cell r="AE115">
            <v>919652</v>
          </cell>
          <cell r="AF115">
            <v>4.7091366217593231</v>
          </cell>
          <cell r="AR115">
            <v>32290</v>
          </cell>
          <cell r="AS115">
            <v>29619</v>
          </cell>
          <cell r="AT115">
            <v>36733</v>
          </cell>
          <cell r="AU115">
            <v>15650</v>
          </cell>
          <cell r="AV115">
            <v>21606</v>
          </cell>
          <cell r="AW115">
            <v>15337</v>
          </cell>
          <cell r="AX115">
            <v>10595</v>
          </cell>
          <cell r="AZ115">
            <v>33461</v>
          </cell>
          <cell r="CS115">
            <v>11229.2325</v>
          </cell>
          <cell r="CT115">
            <v>30055.284900000002</v>
          </cell>
          <cell r="CU115">
            <v>19685.3328</v>
          </cell>
          <cell r="CV115">
            <v>99559.351800000004</v>
          </cell>
          <cell r="CW115">
            <v>34761.797999999995</v>
          </cell>
        </row>
        <row r="116">
          <cell r="E116">
            <v>43252</v>
          </cell>
          <cell r="F116">
            <v>75140</v>
          </cell>
          <cell r="G116">
            <v>64130</v>
          </cell>
          <cell r="H116">
            <v>11010</v>
          </cell>
          <cell r="I116">
            <v>75076653.999999985</v>
          </cell>
          <cell r="J116">
            <v>73366022.999999985</v>
          </cell>
          <cell r="K116">
            <v>1710630.9999999998</v>
          </cell>
          <cell r="L116">
            <v>999.1569603406972</v>
          </cell>
          <cell r="M116">
            <v>1144.0203181038514</v>
          </cell>
          <cell r="N116">
            <v>155.37066303360578</v>
          </cell>
          <cell r="P116">
            <v>256862</v>
          </cell>
          <cell r="Q116">
            <v>195369</v>
          </cell>
          <cell r="R116">
            <v>61493</v>
          </cell>
          <cell r="T116">
            <v>240.6</v>
          </cell>
          <cell r="U116">
            <v>159.6</v>
          </cell>
          <cell r="V116">
            <v>81</v>
          </cell>
          <cell r="X116">
            <v>244732</v>
          </cell>
          <cell r="Y116">
            <v>26040</v>
          </cell>
          <cell r="AB116">
            <v>90416.773199999996</v>
          </cell>
          <cell r="AC116">
            <v>104952.2268</v>
          </cell>
          <cell r="AE116">
            <v>839043</v>
          </cell>
          <cell r="AF116">
            <v>4.2946578013912138</v>
          </cell>
          <cell r="AR116">
            <v>32424</v>
          </cell>
          <cell r="AS116">
            <v>28920</v>
          </cell>
          <cell r="AT116">
            <v>36219</v>
          </cell>
          <cell r="AU116">
            <v>14271</v>
          </cell>
          <cell r="AV116">
            <v>26950</v>
          </cell>
          <cell r="AW116">
            <v>14383</v>
          </cell>
          <cell r="AX116">
            <v>9420</v>
          </cell>
          <cell r="AZ116">
            <v>32782</v>
          </cell>
          <cell r="CS116">
            <v>9807.5238000000008</v>
          </cell>
          <cell r="CT116">
            <v>26765.553000000004</v>
          </cell>
          <cell r="CU116">
            <v>18481.9074</v>
          </cell>
          <cell r="CV116">
            <v>108840.0699</v>
          </cell>
          <cell r="CW116">
            <v>32665.696799999998</v>
          </cell>
        </row>
        <row r="117">
          <cell r="E117">
            <v>43282</v>
          </cell>
          <cell r="F117">
            <v>65811</v>
          </cell>
          <cell r="G117">
            <v>54771</v>
          </cell>
          <cell r="H117">
            <v>11040</v>
          </cell>
          <cell r="I117">
            <v>67445312</v>
          </cell>
          <cell r="J117">
            <v>65200709.000000007</v>
          </cell>
          <cell r="K117">
            <v>2244603</v>
          </cell>
          <cell r="L117">
            <v>1024.8334169059883</v>
          </cell>
          <cell r="M117">
            <v>1190.4239287214039</v>
          </cell>
          <cell r="N117">
            <v>203.31548913043477</v>
          </cell>
          <cell r="P117">
            <v>256123</v>
          </cell>
          <cell r="Q117">
            <v>209074</v>
          </cell>
          <cell r="R117">
            <v>47049</v>
          </cell>
          <cell r="T117">
            <v>248.7</v>
          </cell>
          <cell r="U117">
            <v>151.1</v>
          </cell>
          <cell r="V117">
            <v>97.6</v>
          </cell>
          <cell r="X117">
            <v>234222</v>
          </cell>
          <cell r="Y117">
            <v>27221</v>
          </cell>
          <cell r="AB117">
            <v>94501.448000000004</v>
          </cell>
          <cell r="AC117">
            <v>114572.552</v>
          </cell>
          <cell r="AE117">
            <v>898177</v>
          </cell>
          <cell r="AF117">
            <v>4.2959765441900952</v>
          </cell>
          <cell r="AR117">
            <v>35095</v>
          </cell>
          <cell r="AS117">
            <v>31428</v>
          </cell>
          <cell r="AT117">
            <v>37706</v>
          </cell>
          <cell r="AU117">
            <v>16105</v>
          </cell>
          <cell r="AV117">
            <v>26360</v>
          </cell>
          <cell r="AW117">
            <v>16765</v>
          </cell>
          <cell r="AX117">
            <v>9853</v>
          </cell>
          <cell r="AZ117">
            <v>35762</v>
          </cell>
          <cell r="CS117">
            <v>10850.9406</v>
          </cell>
          <cell r="CT117">
            <v>31214.748199999998</v>
          </cell>
          <cell r="CU117">
            <v>19548.419000000002</v>
          </cell>
          <cell r="CV117">
            <v>111143.73839999999</v>
          </cell>
          <cell r="CW117">
            <v>36316.1538</v>
          </cell>
        </row>
        <row r="118">
          <cell r="E118">
            <v>43313</v>
          </cell>
          <cell r="F118">
            <v>75953</v>
          </cell>
          <cell r="G118">
            <v>65239</v>
          </cell>
          <cell r="H118">
            <v>10714</v>
          </cell>
          <cell r="I118">
            <v>77772493</v>
          </cell>
          <cell r="J118">
            <v>75792056</v>
          </cell>
          <cell r="K118">
            <v>1980437.0000000002</v>
          </cell>
          <cell r="L118">
            <v>1023.9555119613445</v>
          </cell>
          <cell r="M118">
            <v>1161.7599288768988</v>
          </cell>
          <cell r="N118">
            <v>184.84571588575699</v>
          </cell>
          <cell r="P118">
            <v>292978</v>
          </cell>
          <cell r="Q118">
            <v>239598</v>
          </cell>
          <cell r="R118">
            <v>53380</v>
          </cell>
          <cell r="T118">
            <v>280.7</v>
          </cell>
          <cell r="U118">
            <v>161.5</v>
          </cell>
          <cell r="V118">
            <v>119.2</v>
          </cell>
          <cell r="X118">
            <v>278414</v>
          </cell>
          <cell r="Y118">
            <v>30228</v>
          </cell>
          <cell r="AB118">
            <v>107196.1452</v>
          </cell>
          <cell r="AC118">
            <v>132401.8548</v>
          </cell>
          <cell r="AE118">
            <v>1033590</v>
          </cell>
          <cell r="AF118">
            <v>4.3138506999223702</v>
          </cell>
          <cell r="AR118">
            <v>41591</v>
          </cell>
          <cell r="AS118">
            <v>33992</v>
          </cell>
          <cell r="AT118">
            <v>44747</v>
          </cell>
          <cell r="AU118">
            <v>19767</v>
          </cell>
          <cell r="AV118">
            <v>30342</v>
          </cell>
          <cell r="AW118">
            <v>19444</v>
          </cell>
          <cell r="AX118">
            <v>12106</v>
          </cell>
          <cell r="AZ118">
            <v>37609</v>
          </cell>
          <cell r="CS118">
            <v>12099.699000000001</v>
          </cell>
          <cell r="CT118">
            <v>34717.750200000002</v>
          </cell>
          <cell r="CU118">
            <v>21947.176800000001</v>
          </cell>
          <cell r="CV118">
            <v>131707.02059999999</v>
          </cell>
          <cell r="CW118">
            <v>39869.107199999999</v>
          </cell>
        </row>
        <row r="119">
          <cell r="E119">
            <v>43344</v>
          </cell>
          <cell r="F119">
            <v>64926</v>
          </cell>
          <cell r="G119">
            <v>57791</v>
          </cell>
          <cell r="H119">
            <v>7135</v>
          </cell>
          <cell r="I119">
            <v>69732426.999999985</v>
          </cell>
          <cell r="J119">
            <v>68057340.999999985</v>
          </cell>
          <cell r="K119">
            <v>1675086</v>
          </cell>
          <cell r="L119">
            <v>1074.0293102917165</v>
          </cell>
          <cell r="M119">
            <v>1177.6460175459845</v>
          </cell>
          <cell r="N119">
            <v>234.77028731604764</v>
          </cell>
          <cell r="P119">
            <v>242129</v>
          </cell>
          <cell r="Q119">
            <v>205133</v>
          </cell>
          <cell r="R119">
            <v>36996</v>
          </cell>
          <cell r="T119">
            <v>283.39999999999998</v>
          </cell>
          <cell r="U119">
            <v>172.5</v>
          </cell>
          <cell r="V119">
            <v>110.9</v>
          </cell>
          <cell r="X119">
            <v>211716</v>
          </cell>
          <cell r="Y119">
            <v>26157</v>
          </cell>
          <cell r="AB119">
            <v>96166.35040000001</v>
          </cell>
          <cell r="AC119">
            <v>108966.64959999999</v>
          </cell>
          <cell r="AE119">
            <v>830485</v>
          </cell>
          <cell r="AF119">
            <v>4.0485197408510576</v>
          </cell>
          <cell r="AR119">
            <v>36392</v>
          </cell>
          <cell r="AS119">
            <v>31475</v>
          </cell>
          <cell r="AT119">
            <v>36144</v>
          </cell>
          <cell r="AU119">
            <v>16691</v>
          </cell>
          <cell r="AV119">
            <v>26832</v>
          </cell>
          <cell r="AW119">
            <v>15625</v>
          </cell>
          <cell r="AX119">
            <v>9581</v>
          </cell>
          <cell r="AZ119">
            <v>32393</v>
          </cell>
          <cell r="CS119">
            <v>10051.517</v>
          </cell>
          <cell r="CT119">
            <v>28308.354000000003</v>
          </cell>
          <cell r="CU119">
            <v>17764.517799999998</v>
          </cell>
          <cell r="CV119">
            <v>114136.0012</v>
          </cell>
          <cell r="CW119">
            <v>34893.123299999999</v>
          </cell>
        </row>
        <row r="120">
          <cell r="E120">
            <v>43374</v>
          </cell>
          <cell r="F120">
            <v>66510</v>
          </cell>
          <cell r="G120">
            <v>60216</v>
          </cell>
          <cell r="H120">
            <v>6294</v>
          </cell>
          <cell r="I120">
            <v>67113701</v>
          </cell>
          <cell r="J120">
            <v>65568731</v>
          </cell>
          <cell r="K120">
            <v>1544969.9999999998</v>
          </cell>
          <cell r="L120">
            <v>1009.0768455871298</v>
          </cell>
          <cell r="M120">
            <v>1088.8921715158763</v>
          </cell>
          <cell r="N120">
            <v>245.46711153479501</v>
          </cell>
          <cell r="P120">
            <v>281513</v>
          </cell>
          <cell r="Q120">
            <v>245159</v>
          </cell>
          <cell r="R120">
            <v>36354</v>
          </cell>
          <cell r="T120">
            <v>293.89999999999998</v>
          </cell>
          <cell r="U120">
            <v>172.8</v>
          </cell>
          <cell r="V120">
            <v>121.1</v>
          </cell>
          <cell r="X120">
            <v>250018</v>
          </cell>
          <cell r="Y120">
            <v>28798</v>
          </cell>
          <cell r="AB120">
            <v>116401.49319999998</v>
          </cell>
          <cell r="AC120">
            <v>128757.50680000002</v>
          </cell>
          <cell r="AE120">
            <v>972076</v>
          </cell>
          <cell r="AF120">
            <v>3.9650838843362877</v>
          </cell>
          <cell r="AR120">
            <v>44088</v>
          </cell>
          <cell r="AS120">
            <v>37228</v>
          </cell>
          <cell r="AT120">
            <v>44283</v>
          </cell>
          <cell r="AU120">
            <v>19791</v>
          </cell>
          <cell r="AV120">
            <v>30371</v>
          </cell>
          <cell r="AW120">
            <v>17652</v>
          </cell>
          <cell r="AX120">
            <v>13312</v>
          </cell>
          <cell r="AZ120">
            <v>38434</v>
          </cell>
          <cell r="CS120">
            <v>11130.2186</v>
          </cell>
          <cell r="CT120">
            <v>32581.631099999999</v>
          </cell>
          <cell r="CU120">
            <v>21696.571499999998</v>
          </cell>
          <cell r="CV120">
            <v>138980.63709999999</v>
          </cell>
          <cell r="CW120">
            <v>40794.457600000002</v>
          </cell>
        </row>
        <row r="121">
          <cell r="E121">
            <v>43405</v>
          </cell>
          <cell r="F121">
            <v>64460</v>
          </cell>
          <cell r="G121">
            <v>57794</v>
          </cell>
          <cell r="H121">
            <v>6666</v>
          </cell>
          <cell r="I121">
            <v>67354095</v>
          </cell>
          <cell r="J121">
            <v>66002845.999999993</v>
          </cell>
          <cell r="K121">
            <v>1351249</v>
          </cell>
          <cell r="L121">
            <v>1044.8975333540179</v>
          </cell>
          <cell r="M121">
            <v>1142.0363013461604</v>
          </cell>
          <cell r="N121">
            <v>202.7076207620762</v>
          </cell>
          <cell r="P121">
            <v>253745</v>
          </cell>
          <cell r="Q121">
            <v>221808</v>
          </cell>
          <cell r="R121">
            <v>31937</v>
          </cell>
          <cell r="T121">
            <v>290.8</v>
          </cell>
          <cell r="U121">
            <v>173.8</v>
          </cell>
          <cell r="V121">
            <v>117</v>
          </cell>
          <cell r="X121">
            <v>232659</v>
          </cell>
          <cell r="Y121">
            <v>25611</v>
          </cell>
          <cell r="AB121">
            <v>100035.408</v>
          </cell>
          <cell r="AC121">
            <v>121772.592</v>
          </cell>
          <cell r="AE121">
            <v>864932</v>
          </cell>
          <cell r="AF121">
            <v>3.8994625982832001</v>
          </cell>
          <cell r="AR121">
            <v>45273</v>
          </cell>
          <cell r="AS121">
            <v>33070</v>
          </cell>
          <cell r="AT121">
            <v>35755</v>
          </cell>
          <cell r="AU121">
            <v>17540</v>
          </cell>
          <cell r="AV121">
            <v>28644</v>
          </cell>
          <cell r="AW121">
            <v>16198</v>
          </cell>
          <cell r="AX121">
            <v>11199</v>
          </cell>
          <cell r="AZ121">
            <v>34129</v>
          </cell>
          <cell r="CS121">
            <v>10757.688</v>
          </cell>
          <cell r="CT121">
            <v>31408.0128</v>
          </cell>
          <cell r="CU121">
            <v>19474.742399999999</v>
          </cell>
          <cell r="CV121">
            <v>121218.072</v>
          </cell>
          <cell r="CW121">
            <v>38971.6656</v>
          </cell>
        </row>
        <row r="122">
          <cell r="E122">
            <v>43435</v>
          </cell>
          <cell r="F122">
            <v>72657</v>
          </cell>
          <cell r="G122">
            <v>67293</v>
          </cell>
          <cell r="H122">
            <v>5364</v>
          </cell>
          <cell r="I122">
            <v>80255854</v>
          </cell>
          <cell r="J122">
            <v>78939474</v>
          </cell>
          <cell r="K122">
            <v>1316379.9999999998</v>
          </cell>
          <cell r="L122">
            <v>1104.5852980442353</v>
          </cell>
          <cell r="M122">
            <v>1173.0711069502029</v>
          </cell>
          <cell r="N122">
            <v>245.41014168530944</v>
          </cell>
          <cell r="P122">
            <v>255204</v>
          </cell>
          <cell r="Q122">
            <v>225424</v>
          </cell>
          <cell r="R122">
            <v>29780</v>
          </cell>
          <cell r="T122">
            <v>255.1</v>
          </cell>
          <cell r="U122">
            <v>192.1</v>
          </cell>
          <cell r="V122">
            <v>63</v>
          </cell>
          <cell r="X122">
            <v>169018</v>
          </cell>
          <cell r="Y122">
            <v>28201</v>
          </cell>
          <cell r="AB122">
            <v>95737.572799999994</v>
          </cell>
          <cell r="AC122">
            <v>129686.42720000001</v>
          </cell>
          <cell r="AE122">
            <v>980020</v>
          </cell>
          <cell r="AF122">
            <v>4.3474519128398041</v>
          </cell>
          <cell r="AR122">
            <v>41575</v>
          </cell>
          <cell r="AS122">
            <v>33377</v>
          </cell>
          <cell r="AT122">
            <v>38107</v>
          </cell>
          <cell r="AU122">
            <v>20023</v>
          </cell>
          <cell r="AV122">
            <v>29347</v>
          </cell>
          <cell r="AW122">
            <v>16661</v>
          </cell>
          <cell r="AX122">
            <v>10841</v>
          </cell>
          <cell r="AZ122">
            <v>35493</v>
          </cell>
          <cell r="CS122">
            <v>12105.2688</v>
          </cell>
          <cell r="CT122">
            <v>33272.582399999999</v>
          </cell>
          <cell r="CU122">
            <v>22046.467199999999</v>
          </cell>
          <cell r="CV122">
            <v>114222.34080000001</v>
          </cell>
          <cell r="CW122">
            <v>43777.340800000005</v>
          </cell>
        </row>
        <row r="123">
          <cell r="E123">
            <v>43466</v>
          </cell>
          <cell r="F123">
            <v>49076</v>
          </cell>
          <cell r="G123">
            <v>42040</v>
          </cell>
          <cell r="H123">
            <v>7036</v>
          </cell>
          <cell r="I123">
            <v>50782923</v>
          </cell>
          <cell r="J123">
            <v>49106493</v>
          </cell>
          <cell r="K123">
            <v>1676430</v>
          </cell>
          <cell r="L123">
            <v>1034.7812168880919</v>
          </cell>
          <cell r="M123">
            <v>1168.0897478591817</v>
          </cell>
          <cell r="N123">
            <v>238.2646389994315</v>
          </cell>
          <cell r="P123">
            <v>215375</v>
          </cell>
          <cell r="Q123">
            <v>191209</v>
          </cell>
          <cell r="R123">
            <v>24166</v>
          </cell>
          <cell r="T123">
            <v>245.6</v>
          </cell>
          <cell r="U123">
            <v>160.19999999999999</v>
          </cell>
          <cell r="V123">
            <v>85.4</v>
          </cell>
          <cell r="X123">
            <v>190415</v>
          </cell>
          <cell r="Y123">
            <v>23691</v>
          </cell>
          <cell r="AB123">
            <v>69217.65800000001</v>
          </cell>
          <cell r="AC123">
            <v>121991.34199999999</v>
          </cell>
          <cell r="AE123">
            <v>874511</v>
          </cell>
          <cell r="AF123">
            <v>4.5735870173475099</v>
          </cell>
          <cell r="AR123">
            <v>0</v>
          </cell>
          <cell r="AS123">
            <v>27891</v>
          </cell>
          <cell r="AT123">
            <v>0</v>
          </cell>
          <cell r="AU123">
            <v>16478</v>
          </cell>
          <cell r="AV123">
            <v>22845</v>
          </cell>
          <cell r="AW123">
            <v>12581</v>
          </cell>
          <cell r="AX123">
            <v>0</v>
          </cell>
          <cell r="AZ123">
            <v>111414</v>
          </cell>
          <cell r="CS123">
            <v>9694.2963</v>
          </cell>
          <cell r="CT123">
            <v>31415.6387</v>
          </cell>
          <cell r="CU123">
            <v>18260.459500000001</v>
          </cell>
          <cell r="CV123">
            <v>97382.743699999992</v>
          </cell>
          <cell r="CW123">
            <v>34436.740900000004</v>
          </cell>
        </row>
        <row r="124">
          <cell r="E124">
            <v>43497</v>
          </cell>
          <cell r="F124">
            <v>64272</v>
          </cell>
          <cell r="G124">
            <v>54420</v>
          </cell>
          <cell r="H124">
            <v>9852</v>
          </cell>
          <cell r="I124">
            <v>66935941</v>
          </cell>
          <cell r="J124">
            <v>64886988</v>
          </cell>
          <cell r="K124">
            <v>2048953</v>
          </cell>
          <cell r="L124">
            <v>1041.447924446104</v>
          </cell>
          <cell r="M124">
            <v>1192.3371554575524</v>
          </cell>
          <cell r="N124">
            <v>207.97330491270807</v>
          </cell>
          <cell r="P124">
            <v>229266</v>
          </cell>
          <cell r="Q124">
            <v>190273</v>
          </cell>
          <cell r="R124">
            <v>38993</v>
          </cell>
          <cell r="T124">
            <v>288.10000000000002</v>
          </cell>
          <cell r="U124">
            <v>180.1</v>
          </cell>
          <cell r="V124">
            <v>108</v>
          </cell>
          <cell r="X124">
            <v>245782</v>
          </cell>
          <cell r="Y124">
            <v>21696</v>
          </cell>
          <cell r="AB124">
            <v>81703.226200000005</v>
          </cell>
          <cell r="AC124">
            <v>108569.7738</v>
          </cell>
          <cell r="AE124">
            <v>834521</v>
          </cell>
          <cell r="AF124">
            <v>4.3859139236780837</v>
          </cell>
          <cell r="AR124">
            <v>0</v>
          </cell>
          <cell r="AS124">
            <v>25579</v>
          </cell>
          <cell r="AT124">
            <v>0</v>
          </cell>
          <cell r="AU124">
            <v>14297</v>
          </cell>
          <cell r="AV124">
            <v>23028</v>
          </cell>
          <cell r="AW124">
            <v>0</v>
          </cell>
          <cell r="AX124">
            <v>0</v>
          </cell>
          <cell r="AZ124">
            <v>127369</v>
          </cell>
          <cell r="CS124">
            <v>9608.7865000000002</v>
          </cell>
          <cell r="CT124">
            <v>28636.086499999998</v>
          </cell>
          <cell r="CU124">
            <v>18209.126099999998</v>
          </cell>
          <cell r="CV124">
            <v>103736.83960000001</v>
          </cell>
          <cell r="CW124">
            <v>30082.1613</v>
          </cell>
        </row>
        <row r="125">
          <cell r="E125">
            <v>43525</v>
          </cell>
          <cell r="F125">
            <v>65977</v>
          </cell>
          <cell r="G125">
            <v>58832</v>
          </cell>
          <cell r="H125">
            <v>7145</v>
          </cell>
          <cell r="I125">
            <v>71027346</v>
          </cell>
          <cell r="J125">
            <v>69679068</v>
          </cell>
          <cell r="K125">
            <v>1348278</v>
          </cell>
          <cell r="L125">
            <v>1076.5470694332873</v>
          </cell>
          <cell r="M125">
            <v>1184.3736062007072</v>
          </cell>
          <cell r="N125">
            <v>188.70230930720783</v>
          </cell>
          <cell r="P125">
            <v>236778</v>
          </cell>
          <cell r="Q125">
            <v>199974</v>
          </cell>
          <cell r="R125">
            <v>36804</v>
          </cell>
          <cell r="T125">
            <v>296.39999999999998</v>
          </cell>
          <cell r="U125">
            <v>190.9</v>
          </cell>
          <cell r="V125">
            <v>105.5</v>
          </cell>
          <cell r="X125">
            <v>230773</v>
          </cell>
          <cell r="Y125">
            <v>22726</v>
          </cell>
          <cell r="AB125">
            <v>95767.548599999995</v>
          </cell>
          <cell r="AC125">
            <v>104206.45140000001</v>
          </cell>
          <cell r="AE125">
            <v>770343</v>
          </cell>
          <cell r="AF125">
            <v>3.852215788052447</v>
          </cell>
          <cell r="AR125">
            <v>0</v>
          </cell>
          <cell r="AS125">
            <v>28818</v>
          </cell>
          <cell r="AT125">
            <v>0</v>
          </cell>
          <cell r="AU125">
            <v>16744</v>
          </cell>
          <cell r="AV125">
            <v>27684</v>
          </cell>
          <cell r="AW125">
            <v>0</v>
          </cell>
          <cell r="AX125">
            <v>0</v>
          </cell>
          <cell r="AZ125">
            <v>126728</v>
          </cell>
          <cell r="CS125">
            <v>9458.7702000000008</v>
          </cell>
          <cell r="CT125">
            <v>26756.521199999999</v>
          </cell>
          <cell r="CU125">
            <v>17857.678200000002</v>
          </cell>
          <cell r="CV125">
            <v>114545.1072</v>
          </cell>
          <cell r="CW125">
            <v>31375.920600000001</v>
          </cell>
        </row>
        <row r="126">
          <cell r="E126">
            <v>43556</v>
          </cell>
          <cell r="F126">
            <v>67927</v>
          </cell>
          <cell r="G126">
            <v>59842</v>
          </cell>
          <cell r="H126">
            <v>8085</v>
          </cell>
          <cell r="I126">
            <v>71985087</v>
          </cell>
          <cell r="J126">
            <v>70365318</v>
          </cell>
          <cell r="K126">
            <v>1619769</v>
          </cell>
          <cell r="L126">
            <v>1059.7418846703079</v>
          </cell>
          <cell r="M126">
            <v>1175.8517095016878</v>
          </cell>
          <cell r="N126">
            <v>200.34248608534324</v>
          </cell>
          <cell r="P126">
            <v>254961</v>
          </cell>
          <cell r="Q126">
            <v>221723</v>
          </cell>
          <cell r="R126">
            <v>33238</v>
          </cell>
          <cell r="T126">
            <v>306.2</v>
          </cell>
          <cell r="U126">
            <v>186.7</v>
          </cell>
          <cell r="V126">
            <v>119.5</v>
          </cell>
          <cell r="X126">
            <v>255351</v>
          </cell>
          <cell r="Y126">
            <v>25871</v>
          </cell>
          <cell r="AB126">
            <v>103810.7086</v>
          </cell>
          <cell r="AC126">
            <v>117912.2914</v>
          </cell>
          <cell r="AE126">
            <v>880315</v>
          </cell>
          <cell r="AF126">
            <v>3.9703368617599435</v>
          </cell>
          <cell r="AR126">
            <v>0</v>
          </cell>
          <cell r="AS126">
            <v>32851</v>
          </cell>
          <cell r="AT126">
            <v>0</v>
          </cell>
          <cell r="AU126">
            <v>19678</v>
          </cell>
          <cell r="AV126">
            <v>25858</v>
          </cell>
          <cell r="AW126">
            <v>0</v>
          </cell>
          <cell r="AX126">
            <v>0</v>
          </cell>
          <cell r="AZ126">
            <v>143336</v>
          </cell>
          <cell r="CS126">
            <v>10709.2209</v>
          </cell>
          <cell r="CT126">
            <v>30642.118599999998</v>
          </cell>
          <cell r="CU126">
            <v>20132.448400000001</v>
          </cell>
          <cell r="CV126">
            <v>123544.05560000001</v>
          </cell>
          <cell r="CW126">
            <v>36695.156500000005</v>
          </cell>
        </row>
        <row r="127">
          <cell r="E127">
            <v>43586</v>
          </cell>
          <cell r="F127">
            <v>71205</v>
          </cell>
          <cell r="G127">
            <v>61892</v>
          </cell>
          <cell r="H127">
            <v>9313</v>
          </cell>
          <cell r="I127">
            <v>74773879</v>
          </cell>
          <cell r="J127">
            <v>73161972</v>
          </cell>
          <cell r="K127">
            <v>1611907</v>
          </cell>
          <cell r="L127">
            <v>1050.1211853100203</v>
          </cell>
          <cell r="M127">
            <v>1182.0909325922576</v>
          </cell>
          <cell r="N127">
            <v>173.08139160313542</v>
          </cell>
          <cell r="P127">
            <v>274851</v>
          </cell>
          <cell r="Q127">
            <v>234599</v>
          </cell>
          <cell r="R127">
            <v>40252</v>
          </cell>
          <cell r="T127">
            <v>321.39999999999998</v>
          </cell>
          <cell r="U127">
            <v>186.5</v>
          </cell>
          <cell r="V127">
            <v>134.9</v>
          </cell>
          <cell r="X127">
            <v>261742</v>
          </cell>
          <cell r="Y127">
            <v>25323</v>
          </cell>
          <cell r="AB127">
            <v>109839.2518</v>
          </cell>
          <cell r="AC127">
            <v>124759.7482</v>
          </cell>
          <cell r="AE127">
            <v>958721</v>
          </cell>
          <cell r="AF127">
            <v>4.0866371979420206</v>
          </cell>
          <cell r="AR127">
            <v>0</v>
          </cell>
          <cell r="AS127">
            <v>38255</v>
          </cell>
          <cell r="AT127">
            <v>0</v>
          </cell>
          <cell r="AU127">
            <v>19091</v>
          </cell>
          <cell r="AV127">
            <v>28431</v>
          </cell>
          <cell r="AW127">
            <v>0</v>
          </cell>
          <cell r="AX127">
            <v>0</v>
          </cell>
          <cell r="AZ127">
            <v>148822</v>
          </cell>
          <cell r="CS127">
            <v>11589.1906</v>
          </cell>
          <cell r="CT127">
            <v>32445.041700000002</v>
          </cell>
          <cell r="CU127">
            <v>21278.129300000001</v>
          </cell>
          <cell r="CV127">
            <v>132290.37609999999</v>
          </cell>
          <cell r="CW127">
            <v>37019.722199999997</v>
          </cell>
        </row>
        <row r="128">
          <cell r="E128">
            <v>43617</v>
          </cell>
          <cell r="F128">
            <v>69047</v>
          </cell>
          <cell r="G128">
            <v>59818</v>
          </cell>
          <cell r="H128">
            <v>9229</v>
          </cell>
          <cell r="I128">
            <v>73446984</v>
          </cell>
          <cell r="J128">
            <v>71899422</v>
          </cell>
          <cell r="K128">
            <v>1547562</v>
          </cell>
          <cell r="L128">
            <v>1063.7244775297986</v>
          </cell>
          <cell r="M128">
            <v>1201.9696746798622</v>
          </cell>
          <cell r="N128">
            <v>167.68468956550007</v>
          </cell>
          <cell r="P128">
            <v>252781</v>
          </cell>
          <cell r="Q128">
            <v>213995</v>
          </cell>
          <cell r="R128">
            <v>38786</v>
          </cell>
          <cell r="T128">
            <v>316</v>
          </cell>
          <cell r="U128">
            <v>200.6</v>
          </cell>
          <cell r="V128">
            <v>115.4</v>
          </cell>
          <cell r="X128">
            <v>220782</v>
          </cell>
          <cell r="Y128">
            <v>22496</v>
          </cell>
          <cell r="AB128">
            <v>102289.61</v>
          </cell>
          <cell r="AC128">
            <v>111705.39</v>
          </cell>
          <cell r="AE128">
            <v>805014</v>
          </cell>
          <cell r="AF128">
            <v>3.7618355569055351</v>
          </cell>
          <cell r="AR128">
            <v>0</v>
          </cell>
          <cell r="AS128">
            <v>32516</v>
          </cell>
          <cell r="AT128">
            <v>0</v>
          </cell>
          <cell r="AU128">
            <v>16707</v>
          </cell>
          <cell r="AV128">
            <v>28960</v>
          </cell>
          <cell r="AW128">
            <v>0</v>
          </cell>
          <cell r="AX128">
            <v>0</v>
          </cell>
          <cell r="AZ128">
            <v>135812</v>
          </cell>
          <cell r="CS128">
            <v>10977.943499999999</v>
          </cell>
          <cell r="CT128">
            <v>28696.729499999998</v>
          </cell>
          <cell r="CU128">
            <v>19131.152999999998</v>
          </cell>
          <cell r="CV128">
            <v>121249.567</v>
          </cell>
          <cell r="CW128">
            <v>33939.606999999996</v>
          </cell>
        </row>
        <row r="129">
          <cell r="E129">
            <v>43647</v>
          </cell>
          <cell r="F129">
            <v>66990</v>
          </cell>
          <cell r="G129">
            <v>58411</v>
          </cell>
          <cell r="H129">
            <v>8579</v>
          </cell>
          <cell r="I129">
            <v>73224048</v>
          </cell>
          <cell r="J129">
            <v>71438349</v>
          </cell>
          <cell r="K129">
            <v>1785699</v>
          </cell>
          <cell r="L129">
            <v>1093.059381997313</v>
          </cell>
          <cell r="M129">
            <v>1223.0290356268511</v>
          </cell>
          <cell r="N129">
            <v>208.14768621051405</v>
          </cell>
          <cell r="P129">
            <v>272954</v>
          </cell>
          <cell r="Q129">
            <v>232861</v>
          </cell>
          <cell r="R129">
            <v>40093</v>
          </cell>
          <cell r="T129">
            <v>320.39999999999998</v>
          </cell>
          <cell r="U129">
            <v>181.9</v>
          </cell>
          <cell r="V129">
            <v>138.5</v>
          </cell>
          <cell r="X129">
            <v>253434</v>
          </cell>
          <cell r="Y129">
            <v>24913</v>
          </cell>
          <cell r="AB129">
            <v>105718.89399999999</v>
          </cell>
          <cell r="AC129">
            <v>127142.10600000001</v>
          </cell>
          <cell r="AE129">
            <v>1008381</v>
          </cell>
          <cell r="AF129">
            <v>4.3303988216146116</v>
          </cell>
          <cell r="AR129">
            <v>0</v>
          </cell>
          <cell r="AS129">
            <v>35714</v>
          </cell>
          <cell r="AT129">
            <v>0</v>
          </cell>
          <cell r="AU129">
            <v>20733</v>
          </cell>
          <cell r="AV129">
            <v>27588</v>
          </cell>
          <cell r="AW129">
            <v>0</v>
          </cell>
          <cell r="AX129">
            <v>0</v>
          </cell>
          <cell r="AZ129">
            <v>148826</v>
          </cell>
          <cell r="CS129">
            <v>12690.924499999999</v>
          </cell>
          <cell r="CT129">
            <v>34463.428</v>
          </cell>
          <cell r="CU129">
            <v>21795.7896</v>
          </cell>
          <cell r="CV129">
            <v>125302.50410000001</v>
          </cell>
          <cell r="CW129">
            <v>38585.0677</v>
          </cell>
        </row>
        <row r="130">
          <cell r="E130">
            <v>43678</v>
          </cell>
          <cell r="F130">
            <v>68097</v>
          </cell>
          <cell r="G130">
            <v>60009</v>
          </cell>
          <cell r="H130">
            <v>8088</v>
          </cell>
          <cell r="I130">
            <v>77117084.999999985</v>
          </cell>
          <cell r="J130">
            <v>75219860.999999985</v>
          </cell>
          <cell r="K130">
            <v>1897224.0000000005</v>
          </cell>
          <cell r="L130">
            <v>1132.4593594431472</v>
          </cell>
          <cell r="M130">
            <v>1253.4763285507172</v>
          </cell>
          <cell r="N130">
            <v>234.57270029673597</v>
          </cell>
          <cell r="P130">
            <v>266440</v>
          </cell>
          <cell r="Q130">
            <v>231522</v>
          </cell>
          <cell r="R130">
            <v>34918</v>
          </cell>
          <cell r="T130">
            <v>343.2</v>
          </cell>
          <cell r="U130">
            <v>183.5</v>
          </cell>
          <cell r="V130">
            <v>159.69999999999999</v>
          </cell>
          <cell r="X130">
            <v>256360</v>
          </cell>
          <cell r="Y130">
            <v>25875</v>
          </cell>
          <cell r="AB130">
            <v>104578.4874</v>
          </cell>
          <cell r="AC130">
            <v>126943.5126</v>
          </cell>
          <cell r="AE130">
            <v>986311</v>
          </cell>
          <cell r="AF130">
            <v>4.2601178289752157</v>
          </cell>
          <cell r="AR130">
            <v>0</v>
          </cell>
          <cell r="AS130">
            <v>38906</v>
          </cell>
          <cell r="AT130">
            <v>0</v>
          </cell>
          <cell r="AU130">
            <v>17464</v>
          </cell>
          <cell r="AV130">
            <v>27422</v>
          </cell>
          <cell r="AW130">
            <v>0</v>
          </cell>
          <cell r="AX130">
            <v>0</v>
          </cell>
          <cell r="AZ130">
            <v>147730</v>
          </cell>
          <cell r="CS130">
            <v>12502.188</v>
          </cell>
          <cell r="CT130">
            <v>33825.364200000004</v>
          </cell>
          <cell r="CU130">
            <v>22087.198799999998</v>
          </cell>
          <cell r="CV130">
            <v>124489.37939999999</v>
          </cell>
          <cell r="CW130">
            <v>38617.869599999998</v>
          </cell>
        </row>
        <row r="131">
          <cell r="E131">
            <v>43709</v>
          </cell>
          <cell r="F131">
            <v>69410</v>
          </cell>
          <cell r="G131">
            <v>61334</v>
          </cell>
          <cell r="H131">
            <v>8076</v>
          </cell>
          <cell r="I131">
            <v>75834881</v>
          </cell>
          <cell r="J131">
            <v>74380881</v>
          </cell>
          <cell r="K131">
            <v>1454000</v>
          </cell>
          <cell r="L131">
            <v>1092.5641982423283</v>
          </cell>
          <cell r="M131">
            <v>1212.7185737111554</v>
          </cell>
          <cell r="N131">
            <v>180.03962357602774</v>
          </cell>
          <cell r="P131">
            <v>259206</v>
          </cell>
          <cell r="Q131">
            <v>224014</v>
          </cell>
          <cell r="R131">
            <v>35192</v>
          </cell>
          <cell r="T131">
            <v>348.6</v>
          </cell>
          <cell r="U131">
            <v>200</v>
          </cell>
          <cell r="V131">
            <v>148.6</v>
          </cell>
          <cell r="X131">
            <v>234636</v>
          </cell>
          <cell r="Y131">
            <v>24648</v>
          </cell>
          <cell r="AB131">
            <v>103360.05960000001</v>
          </cell>
          <cell r="AC131">
            <v>120653.94039999999</v>
          </cell>
          <cell r="AE131">
            <v>939718</v>
          </cell>
          <cell r="AF131">
            <v>4.1949074611408212</v>
          </cell>
          <cell r="AR131">
            <v>0</v>
          </cell>
          <cell r="AS131">
            <v>35387</v>
          </cell>
          <cell r="AT131">
            <v>0</v>
          </cell>
          <cell r="AU131">
            <v>15889</v>
          </cell>
          <cell r="AV131">
            <v>31397</v>
          </cell>
          <cell r="AW131">
            <v>0</v>
          </cell>
          <cell r="AX131">
            <v>0</v>
          </cell>
          <cell r="AZ131">
            <v>141341</v>
          </cell>
          <cell r="CS131">
            <v>12007.1504</v>
          </cell>
          <cell r="CT131">
            <v>32034.001999999997</v>
          </cell>
          <cell r="CU131">
            <v>19130.795600000001</v>
          </cell>
          <cell r="CV131">
            <v>123498.9182</v>
          </cell>
          <cell r="CW131">
            <v>37365.535199999998</v>
          </cell>
        </row>
        <row r="132">
          <cell r="E132">
            <v>43739</v>
          </cell>
          <cell r="F132">
            <v>75156</v>
          </cell>
          <cell r="G132">
            <v>67237</v>
          </cell>
          <cell r="H132">
            <v>7919</v>
          </cell>
          <cell r="I132">
            <v>81620254.999999985</v>
          </cell>
          <cell r="J132">
            <v>80309501.999999985</v>
          </cell>
          <cell r="K132">
            <v>1310752.9999999998</v>
          </cell>
          <cell r="L132">
            <v>1086.0111634466973</v>
          </cell>
          <cell r="M132">
            <v>1194.4242307063073</v>
          </cell>
          <cell r="N132">
            <v>165.52001515342843</v>
          </cell>
          <cell r="P132">
            <v>269753</v>
          </cell>
          <cell r="Q132">
            <v>241786</v>
          </cell>
          <cell r="R132">
            <v>27967</v>
          </cell>
          <cell r="T132">
            <v>365.1</v>
          </cell>
          <cell r="U132">
            <v>191.5</v>
          </cell>
          <cell r="V132">
            <v>173.6</v>
          </cell>
          <cell r="X132">
            <v>274583</v>
          </cell>
          <cell r="Y132">
            <v>24929</v>
          </cell>
          <cell r="AB132">
            <v>112865.70479999999</v>
          </cell>
          <cell r="AC132">
            <v>128920.29520000001</v>
          </cell>
          <cell r="AE132">
            <v>1015763</v>
          </cell>
          <cell r="AF132">
            <v>4.2010827756776656</v>
          </cell>
          <cell r="AR132">
            <v>0</v>
          </cell>
          <cell r="AS132">
            <v>37372</v>
          </cell>
          <cell r="AT132">
            <v>0</v>
          </cell>
          <cell r="AU132">
            <v>19957</v>
          </cell>
          <cell r="AV132">
            <v>28961</v>
          </cell>
          <cell r="AW132">
            <v>0</v>
          </cell>
          <cell r="AX132">
            <v>0</v>
          </cell>
          <cell r="AZ132">
            <v>155496</v>
          </cell>
          <cell r="CS132">
            <v>11895.8712</v>
          </cell>
          <cell r="CT132">
            <v>34817.183999999994</v>
          </cell>
          <cell r="CU132">
            <v>21929.9902</v>
          </cell>
          <cell r="CV132">
            <v>130008.33219999999</v>
          </cell>
          <cell r="CW132">
            <v>43158.800999999999</v>
          </cell>
        </row>
        <row r="133">
          <cell r="E133">
            <v>43770</v>
          </cell>
          <cell r="F133">
            <v>70636</v>
          </cell>
          <cell r="G133">
            <v>62731</v>
          </cell>
          <cell r="H133">
            <v>7905</v>
          </cell>
          <cell r="I133">
            <v>65421145.999999993</v>
          </cell>
          <cell r="J133">
            <v>64262043.999999993</v>
          </cell>
          <cell r="K133">
            <v>1159102</v>
          </cell>
          <cell r="L133">
            <v>926.17285803273103</v>
          </cell>
          <cell r="M133">
            <v>1024.406497584926</v>
          </cell>
          <cell r="N133">
            <v>146.62896900695762</v>
          </cell>
          <cell r="P133">
            <v>261441</v>
          </cell>
          <cell r="Q133">
            <v>231590</v>
          </cell>
          <cell r="R133">
            <v>29851</v>
          </cell>
          <cell r="T133">
            <v>329.4</v>
          </cell>
          <cell r="U133">
            <v>193.2</v>
          </cell>
          <cell r="V133">
            <v>136.19999999999999</v>
          </cell>
          <cell r="X133">
            <v>216645</v>
          </cell>
          <cell r="Y133">
            <v>23381</v>
          </cell>
          <cell r="AB133">
            <v>106045.06099999999</v>
          </cell>
          <cell r="AC133">
            <v>125544.93900000001</v>
          </cell>
          <cell r="AE133">
            <v>917410</v>
          </cell>
          <cell r="AF133">
            <v>3.9613541171898614</v>
          </cell>
          <cell r="AR133">
            <v>0</v>
          </cell>
          <cell r="AS133">
            <v>36926</v>
          </cell>
          <cell r="AT133">
            <v>0</v>
          </cell>
          <cell r="AU133">
            <v>18428</v>
          </cell>
          <cell r="AV133">
            <v>29490</v>
          </cell>
          <cell r="AW133">
            <v>0</v>
          </cell>
          <cell r="AX133">
            <v>0</v>
          </cell>
          <cell r="AZ133">
            <v>146746</v>
          </cell>
          <cell r="CS133">
            <v>11070.002</v>
          </cell>
          <cell r="CT133">
            <v>31426.762999999995</v>
          </cell>
          <cell r="CU133">
            <v>18897.744000000002</v>
          </cell>
          <cell r="CV133">
            <v>130940.986</v>
          </cell>
          <cell r="CW133">
            <v>39254.505000000005</v>
          </cell>
        </row>
        <row r="134">
          <cell r="E134">
            <v>43800</v>
          </cell>
          <cell r="F134">
            <v>83474</v>
          </cell>
          <cell r="G134">
            <v>78413</v>
          </cell>
          <cell r="H134">
            <v>5061</v>
          </cell>
          <cell r="I134">
            <v>98727724.999999985</v>
          </cell>
          <cell r="J134">
            <v>97268542.999999985</v>
          </cell>
          <cell r="K134">
            <v>1459181.9999999998</v>
          </cell>
          <cell r="L134">
            <v>1182.7362412248124</v>
          </cell>
          <cell r="M134">
            <v>1240.4645020596072</v>
          </cell>
          <cell r="N134">
            <v>288.31890930646114</v>
          </cell>
          <cell r="P134">
            <v>279287</v>
          </cell>
          <cell r="Q134">
            <v>252037</v>
          </cell>
          <cell r="R134">
            <v>27250</v>
          </cell>
          <cell r="T134">
            <v>287.60000000000002</v>
          </cell>
          <cell r="U134">
            <v>207.7</v>
          </cell>
          <cell r="V134">
            <v>79.900000000000006</v>
          </cell>
          <cell r="X134">
            <v>163338</v>
          </cell>
          <cell r="Y134">
            <v>28993</v>
          </cell>
          <cell r="AB134">
            <v>112181.66869999999</v>
          </cell>
          <cell r="AC134">
            <v>139855.33130000002</v>
          </cell>
          <cell r="AE134">
            <v>985380</v>
          </cell>
          <cell r="AF134">
            <v>3.9096640572614336</v>
          </cell>
          <cell r="AR134">
            <v>0</v>
          </cell>
          <cell r="AS134">
            <v>40790</v>
          </cell>
          <cell r="AT134">
            <v>0</v>
          </cell>
          <cell r="AU134">
            <v>21433</v>
          </cell>
          <cell r="AV134">
            <v>33574</v>
          </cell>
          <cell r="AW134">
            <v>0</v>
          </cell>
          <cell r="AX134">
            <v>0</v>
          </cell>
          <cell r="AZ134">
            <v>156240</v>
          </cell>
          <cell r="CS134">
            <v>12274.2019</v>
          </cell>
          <cell r="CT134">
            <v>36469.753899999996</v>
          </cell>
          <cell r="CU134">
            <v>22355.6819</v>
          </cell>
          <cell r="CV134">
            <v>131235.66590000002</v>
          </cell>
          <cell r="CW134">
            <v>49726.900099999999</v>
          </cell>
        </row>
        <row r="135">
          <cell r="E135">
            <v>43831</v>
          </cell>
          <cell r="F135">
            <v>45299</v>
          </cell>
          <cell r="G135">
            <v>41158</v>
          </cell>
          <cell r="H135">
            <v>4141</v>
          </cell>
          <cell r="I135">
            <v>53618225</v>
          </cell>
          <cell r="J135">
            <v>52759998</v>
          </cell>
          <cell r="K135">
            <v>858227</v>
          </cell>
          <cell r="L135">
            <v>1183.6514051082806</v>
          </cell>
          <cell r="M135">
            <v>1281.8892560377083</v>
          </cell>
          <cell r="N135">
            <v>207.25114706592609</v>
          </cell>
          <cell r="P135">
            <v>204072</v>
          </cell>
          <cell r="Q135">
            <v>184682</v>
          </cell>
          <cell r="R135">
            <v>19390</v>
          </cell>
          <cell r="T135">
            <v>273.5</v>
          </cell>
          <cell r="U135">
            <v>184.5</v>
          </cell>
          <cell r="V135">
            <v>89</v>
          </cell>
          <cell r="X135">
            <v>183136</v>
          </cell>
          <cell r="Y135">
            <v>21825</v>
          </cell>
          <cell r="AB135">
            <v>71287.252000000008</v>
          </cell>
          <cell r="AC135">
            <v>113394.74799999999</v>
          </cell>
          <cell r="AE135">
            <v>916361</v>
          </cell>
          <cell r="AF135">
            <v>4.9618316890655292</v>
          </cell>
          <cell r="AR135">
            <v>0</v>
          </cell>
          <cell r="AS135">
            <v>29247</v>
          </cell>
          <cell r="AT135">
            <v>0</v>
          </cell>
          <cell r="AU135">
            <v>15201</v>
          </cell>
          <cell r="AV135">
            <v>22845</v>
          </cell>
          <cell r="AW135">
            <v>14998</v>
          </cell>
          <cell r="AX135">
            <v>0</v>
          </cell>
          <cell r="AZ135">
            <v>102391</v>
          </cell>
          <cell r="CS135">
            <v>10803.897000000001</v>
          </cell>
          <cell r="CT135">
            <v>31340.535399999997</v>
          </cell>
          <cell r="CU135">
            <v>18228.113399999998</v>
          </cell>
          <cell r="CV135">
            <v>90531.116399999999</v>
          </cell>
          <cell r="CW135">
            <v>33796.805999999997</v>
          </cell>
        </row>
        <row r="136">
          <cell r="E136">
            <v>43862</v>
          </cell>
          <cell r="F136">
            <v>58446</v>
          </cell>
          <cell r="G136">
            <v>48955</v>
          </cell>
          <cell r="H136">
            <v>9491</v>
          </cell>
          <cell r="I136">
            <v>64819434.000000007</v>
          </cell>
          <cell r="J136">
            <v>63025839.000000007</v>
          </cell>
          <cell r="K136">
            <v>1793595.0000000002</v>
          </cell>
          <cell r="L136">
            <v>1109.0482496663587</v>
          </cell>
          <cell r="M136">
            <v>1287.4239403533859</v>
          </cell>
          <cell r="N136">
            <v>188.97850595300812</v>
          </cell>
          <cell r="P136">
            <v>229643</v>
          </cell>
          <cell r="Q136">
            <v>193299</v>
          </cell>
          <cell r="R136">
            <v>36344</v>
          </cell>
          <cell r="T136">
            <v>256.89999999999998</v>
          </cell>
          <cell r="U136">
            <v>175</v>
          </cell>
          <cell r="V136">
            <v>81.900000000000006</v>
          </cell>
          <cell r="X136">
            <v>192519</v>
          </cell>
          <cell r="Y136">
            <v>20816</v>
          </cell>
          <cell r="AB136">
            <v>88859.550300000003</v>
          </cell>
          <cell r="AC136">
            <v>104439.4497</v>
          </cell>
          <cell r="AE136">
            <v>761333</v>
          </cell>
          <cell r="AF136">
            <v>3.9386287564860658</v>
          </cell>
          <cell r="AR136">
            <v>34145</v>
          </cell>
          <cell r="AS136">
            <v>31628</v>
          </cell>
          <cell r="AT136">
            <v>36629</v>
          </cell>
          <cell r="AU136">
            <v>14768</v>
          </cell>
          <cell r="AV136">
            <v>22806</v>
          </cell>
          <cell r="AW136">
            <v>18393</v>
          </cell>
          <cell r="AX136">
            <v>8722</v>
          </cell>
          <cell r="AZ136">
            <v>26208</v>
          </cell>
          <cell r="CS136">
            <v>9278.3520000000008</v>
          </cell>
          <cell r="CT136">
            <v>25206.189599999998</v>
          </cell>
          <cell r="CU136">
            <v>20798.972399999999</v>
          </cell>
          <cell r="CV136">
            <v>106894.34700000001</v>
          </cell>
          <cell r="CW136">
            <v>31198.458599999998</v>
          </cell>
        </row>
        <row r="137">
          <cell r="E137">
            <v>43891</v>
          </cell>
          <cell r="F137">
            <v>52949</v>
          </cell>
          <cell r="G137">
            <v>45347</v>
          </cell>
          <cell r="H137">
            <v>7602</v>
          </cell>
          <cell r="I137">
            <v>57467459.000000015</v>
          </cell>
          <cell r="J137">
            <v>55836361.000000015</v>
          </cell>
          <cell r="K137">
            <v>1631098</v>
          </cell>
          <cell r="L137">
            <v>1085.3360592268034</v>
          </cell>
          <cell r="M137">
            <v>1231.3132291000511</v>
          </cell>
          <cell r="N137">
            <v>214.56169429097605</v>
          </cell>
          <cell r="P137">
            <v>185800</v>
          </cell>
          <cell r="Q137">
            <v>156304</v>
          </cell>
          <cell r="R137">
            <v>29496</v>
          </cell>
          <cell r="T137">
            <v>266.60000000000002</v>
          </cell>
          <cell r="U137">
            <v>181.3</v>
          </cell>
          <cell r="V137">
            <v>85.3</v>
          </cell>
          <cell r="X137">
            <v>179560</v>
          </cell>
          <cell r="Y137">
            <v>17007</v>
          </cell>
          <cell r="AB137">
            <v>76792.155200000008</v>
          </cell>
          <cell r="AC137">
            <v>79511.844799999992</v>
          </cell>
          <cell r="AE137">
            <v>658893</v>
          </cell>
          <cell r="AF137">
            <v>4.215458337598526</v>
          </cell>
          <cell r="AR137">
            <v>25501</v>
          </cell>
          <cell r="AS137">
            <v>25200</v>
          </cell>
          <cell r="AT137">
            <v>31278</v>
          </cell>
          <cell r="AU137">
            <v>11827</v>
          </cell>
          <cell r="AV137">
            <v>17680</v>
          </cell>
          <cell r="AW137">
            <v>15172</v>
          </cell>
          <cell r="AX137">
            <v>6945</v>
          </cell>
          <cell r="AZ137">
            <v>22701</v>
          </cell>
          <cell r="CS137">
            <v>8909.3279999999995</v>
          </cell>
          <cell r="CT137">
            <v>20585.236800000002</v>
          </cell>
          <cell r="CU137">
            <v>15739.8128</v>
          </cell>
          <cell r="CV137">
            <v>89015.127999999997</v>
          </cell>
          <cell r="CW137">
            <v>22038.863999999998</v>
          </cell>
        </row>
        <row r="138">
          <cell r="E138">
            <v>43922</v>
          </cell>
          <cell r="F138">
            <v>14233</v>
          </cell>
          <cell r="G138">
            <v>14108</v>
          </cell>
          <cell r="H138">
            <v>125</v>
          </cell>
          <cell r="I138">
            <v>15871322</v>
          </cell>
          <cell r="J138">
            <v>15854408</v>
          </cell>
          <cell r="K138">
            <v>16914</v>
          </cell>
          <cell r="L138">
            <v>1115.1072858849154</v>
          </cell>
          <cell r="M138">
            <v>1123.7884888006804</v>
          </cell>
          <cell r="N138">
            <v>135.31200000000001</v>
          </cell>
          <cell r="P138">
            <v>58388</v>
          </cell>
          <cell r="Q138">
            <v>51463</v>
          </cell>
          <cell r="R138">
            <v>6925</v>
          </cell>
          <cell r="T138">
            <v>237.3</v>
          </cell>
          <cell r="U138">
            <v>163.4</v>
          </cell>
          <cell r="V138">
            <v>73.900000000000006</v>
          </cell>
          <cell r="X138">
            <v>1048</v>
          </cell>
          <cell r="Y138">
            <v>8214</v>
          </cell>
          <cell r="AB138">
            <v>26024.839100000001</v>
          </cell>
          <cell r="AC138">
            <v>25438.160899999999</v>
          </cell>
          <cell r="AE138">
            <v>145655</v>
          </cell>
          <cell r="AF138">
            <v>2.83028583642617</v>
          </cell>
          <cell r="AR138">
            <v>10008</v>
          </cell>
          <cell r="AS138">
            <v>7270</v>
          </cell>
          <cell r="AT138">
            <v>9779</v>
          </cell>
          <cell r="AU138">
            <v>4792</v>
          </cell>
          <cell r="AV138">
            <v>5967</v>
          </cell>
          <cell r="AW138">
            <v>4837</v>
          </cell>
          <cell r="AX138">
            <v>1500</v>
          </cell>
          <cell r="AZ138">
            <v>7310</v>
          </cell>
          <cell r="CS138">
            <v>4358.9160999999995</v>
          </cell>
          <cell r="CT138">
            <v>6659.3121999999994</v>
          </cell>
          <cell r="CU138">
            <v>10086.748</v>
          </cell>
          <cell r="CV138">
            <v>16406.404399999999</v>
          </cell>
          <cell r="CW138">
            <v>13951.6193</v>
          </cell>
        </row>
        <row r="139">
          <cell r="E139">
            <v>43952</v>
          </cell>
          <cell r="F139">
            <v>11758</v>
          </cell>
          <cell r="G139">
            <v>10670</v>
          </cell>
          <cell r="H139">
            <v>1088</v>
          </cell>
          <cell r="I139">
            <v>12307005</v>
          </cell>
          <cell r="J139">
            <v>12170373</v>
          </cell>
          <cell r="K139">
            <v>136632</v>
          </cell>
          <cell r="L139">
            <v>1046.6920394624935</v>
          </cell>
          <cell r="M139">
            <v>1140.6160262417995</v>
          </cell>
          <cell r="N139">
            <v>125.58088235294117</v>
          </cell>
          <cell r="P139">
            <v>59673</v>
          </cell>
          <cell r="Q139">
            <v>56705</v>
          </cell>
          <cell r="R139">
            <v>2968</v>
          </cell>
          <cell r="T139">
            <v>200.10000000000002</v>
          </cell>
          <cell r="U139">
            <v>135.9</v>
          </cell>
          <cell r="V139">
            <v>64.2</v>
          </cell>
          <cell r="X139">
            <v>37807</v>
          </cell>
          <cell r="Y139">
            <v>9568</v>
          </cell>
          <cell r="AB139">
            <v>19642.612000000001</v>
          </cell>
          <cell r="AC139">
            <v>37062.387999999999</v>
          </cell>
          <cell r="AE139">
            <v>318150</v>
          </cell>
          <cell r="AF139">
            <v>5.610616347764747</v>
          </cell>
          <cell r="AR139">
            <v>9968</v>
          </cell>
          <cell r="AS139">
            <v>8771</v>
          </cell>
          <cell r="AT139">
            <v>11350</v>
          </cell>
          <cell r="AU139">
            <v>4645</v>
          </cell>
          <cell r="AV139">
            <v>6125</v>
          </cell>
          <cell r="AW139">
            <v>4920</v>
          </cell>
          <cell r="AX139">
            <v>2433</v>
          </cell>
          <cell r="AZ139">
            <v>8493</v>
          </cell>
          <cell r="CS139">
            <v>5041.0745000000006</v>
          </cell>
          <cell r="CT139">
            <v>7093.7954999999993</v>
          </cell>
          <cell r="CU139">
            <v>11681.23</v>
          </cell>
          <cell r="CV139">
            <v>14578.8555</v>
          </cell>
          <cell r="CW139">
            <v>18616.251499999998</v>
          </cell>
        </row>
        <row r="140">
          <cell r="E140">
            <v>43983</v>
          </cell>
          <cell r="F140">
            <v>30651</v>
          </cell>
          <cell r="G140">
            <v>27024</v>
          </cell>
          <cell r="H140">
            <v>3627</v>
          </cell>
          <cell r="I140">
            <v>32992391</v>
          </cell>
          <cell r="J140">
            <v>32349002</v>
          </cell>
          <cell r="K140">
            <v>643389</v>
          </cell>
          <cell r="L140">
            <v>1076.3887311996345</v>
          </cell>
          <cell r="M140">
            <v>1197.0471432800473</v>
          </cell>
          <cell r="N140">
            <v>177.38875103391231</v>
          </cell>
          <cell r="P140">
            <v>140641</v>
          </cell>
          <cell r="Q140">
            <v>122795</v>
          </cell>
          <cell r="R140">
            <v>17846</v>
          </cell>
          <cell r="T140">
            <v>157.6</v>
          </cell>
          <cell r="U140">
            <v>115.8</v>
          </cell>
          <cell r="V140">
            <v>41.8</v>
          </cell>
          <cell r="X140">
            <v>91487</v>
          </cell>
          <cell r="Y140">
            <v>16657</v>
          </cell>
          <cell r="AB140">
            <v>48970.646000000008</v>
          </cell>
          <cell r="AC140">
            <v>73824.353999999992</v>
          </cell>
          <cell r="AE140">
            <v>546538</v>
          </cell>
          <cell r="AF140">
            <v>4.4508164013192717</v>
          </cell>
          <cell r="AR140">
            <v>19759</v>
          </cell>
          <cell r="AS140">
            <v>21887</v>
          </cell>
          <cell r="AT140">
            <v>24017</v>
          </cell>
          <cell r="AU140">
            <v>7667</v>
          </cell>
          <cell r="AV140">
            <v>13742</v>
          </cell>
          <cell r="AW140">
            <v>12504</v>
          </cell>
          <cell r="AX140">
            <v>6300</v>
          </cell>
          <cell r="AZ140">
            <v>16919</v>
          </cell>
          <cell r="CS140">
            <v>7502.7745000000004</v>
          </cell>
          <cell r="CT140">
            <v>15152.903</v>
          </cell>
          <cell r="CU140">
            <v>13114.506000000001</v>
          </cell>
          <cell r="CV140">
            <v>63300.822499999995</v>
          </cell>
          <cell r="CW140">
            <v>23723.994000000002</v>
          </cell>
        </row>
        <row r="141">
          <cell r="E141">
            <v>44013</v>
          </cell>
          <cell r="F141">
            <v>49907</v>
          </cell>
          <cell r="G141">
            <v>44014</v>
          </cell>
          <cell r="H141">
            <v>5893</v>
          </cell>
          <cell r="I141">
            <v>58193249.000000007</v>
          </cell>
          <cell r="J141">
            <v>56870028.000000007</v>
          </cell>
          <cell r="K141">
            <v>1323221</v>
          </cell>
          <cell r="L141">
            <v>1166.0338028733445</v>
          </cell>
          <cell r="M141">
            <v>1292.0895169718729</v>
          </cell>
          <cell r="N141">
            <v>224.54115051756321</v>
          </cell>
          <cell r="P141">
            <v>190772</v>
          </cell>
          <cell r="Q141">
            <v>163424</v>
          </cell>
          <cell r="R141">
            <v>27348</v>
          </cell>
          <cell r="T141">
            <v>138.30000000000001</v>
          </cell>
          <cell r="U141">
            <v>107</v>
          </cell>
          <cell r="V141">
            <v>31.3</v>
          </cell>
          <cell r="X141">
            <v>162230</v>
          </cell>
          <cell r="Y141">
            <v>18365</v>
          </cell>
          <cell r="AB141">
            <v>68507.340800000005</v>
          </cell>
          <cell r="AC141">
            <v>94916.659199999995</v>
          </cell>
          <cell r="AE141">
            <v>834033</v>
          </cell>
          <cell r="AF141">
            <v>5.1034915312316427</v>
          </cell>
          <cell r="AR141">
            <v>28046</v>
          </cell>
          <cell r="AS141">
            <v>31481</v>
          </cell>
          <cell r="AT141">
            <v>34371</v>
          </cell>
          <cell r="AU141">
            <v>10092</v>
          </cell>
          <cell r="AV141">
            <v>15366</v>
          </cell>
          <cell r="AW141">
            <v>16582</v>
          </cell>
          <cell r="AX141">
            <v>5807</v>
          </cell>
          <cell r="AZ141">
            <v>21679</v>
          </cell>
          <cell r="CS141">
            <v>10753.299199999999</v>
          </cell>
          <cell r="CT141">
            <v>25330.720000000001</v>
          </cell>
          <cell r="CU141">
            <v>16326.0576</v>
          </cell>
          <cell r="CV141">
            <v>85389.04</v>
          </cell>
          <cell r="CW141">
            <v>25608.540800000002</v>
          </cell>
        </row>
        <row r="142">
          <cell r="E142">
            <v>44044</v>
          </cell>
          <cell r="F142">
            <v>54005</v>
          </cell>
          <cell r="G142">
            <v>47387</v>
          </cell>
          <cell r="H142">
            <v>6618</v>
          </cell>
          <cell r="I142">
            <v>65810234.999999993</v>
          </cell>
          <cell r="J142">
            <v>64140234.999999993</v>
          </cell>
          <cell r="K142">
            <v>1670000</v>
          </cell>
          <cell r="L142">
            <v>1218.5952226645679</v>
          </cell>
          <cell r="M142">
            <v>1353.5407390212504</v>
          </cell>
          <cell r="N142">
            <v>252.34209731036566</v>
          </cell>
          <cell r="P142">
            <v>200367</v>
          </cell>
          <cell r="Q142">
            <v>173822</v>
          </cell>
          <cell r="R142">
            <v>26545</v>
          </cell>
          <cell r="T142">
            <v>140.19999999999999</v>
          </cell>
          <cell r="U142">
            <v>110.1</v>
          </cell>
          <cell r="V142">
            <v>30.1</v>
          </cell>
          <cell r="X142">
            <v>201572</v>
          </cell>
          <cell r="Y142">
            <v>17514</v>
          </cell>
          <cell r="AB142">
            <v>76777.1774</v>
          </cell>
          <cell r="AC142">
            <v>97044.8226</v>
          </cell>
          <cell r="AE142">
            <v>917259</v>
          </cell>
          <cell r="AF142">
            <v>5.2770017604215811</v>
          </cell>
          <cell r="AR142">
            <v>28792</v>
          </cell>
          <cell r="AS142">
            <v>34124</v>
          </cell>
          <cell r="AT142">
            <v>41830</v>
          </cell>
          <cell r="AU142">
            <v>11553</v>
          </cell>
          <cell r="AV142">
            <v>11807</v>
          </cell>
          <cell r="AW142">
            <v>17694</v>
          </cell>
          <cell r="AX142">
            <v>7323</v>
          </cell>
          <cell r="AZ142">
            <v>20699</v>
          </cell>
          <cell r="CS142">
            <v>10759.5818</v>
          </cell>
          <cell r="CT142">
            <v>29897.383999999998</v>
          </cell>
          <cell r="CU142">
            <v>16617.3832</v>
          </cell>
          <cell r="CV142">
            <v>88875.188599999994</v>
          </cell>
          <cell r="CW142">
            <v>27620.315800000004</v>
          </cell>
        </row>
        <row r="143">
          <cell r="E143">
            <v>44075</v>
          </cell>
          <cell r="F143">
            <v>57850</v>
          </cell>
          <cell r="G143">
            <v>49209</v>
          </cell>
          <cell r="H143">
            <v>8641</v>
          </cell>
          <cell r="I143">
            <v>65937721.000000007</v>
          </cell>
          <cell r="J143">
            <v>64253744.000000007</v>
          </cell>
          <cell r="K143">
            <v>1683977</v>
          </cell>
          <cell r="L143">
            <v>1139.8050302506483</v>
          </cell>
          <cell r="M143">
            <v>1305.7315531711681</v>
          </cell>
          <cell r="N143">
            <v>194.88218956139335</v>
          </cell>
          <cell r="P143">
            <v>227822</v>
          </cell>
          <cell r="Q143">
            <v>199165</v>
          </cell>
          <cell r="R143">
            <v>28657</v>
          </cell>
          <cell r="T143">
            <v>141.69999999999999</v>
          </cell>
          <cell r="U143">
            <v>113.5</v>
          </cell>
          <cell r="V143">
            <v>28.2</v>
          </cell>
          <cell r="X143">
            <v>208773</v>
          </cell>
          <cell r="Y143">
            <v>18928</v>
          </cell>
          <cell r="AB143">
            <v>91297.236000000004</v>
          </cell>
          <cell r="AC143">
            <v>107867.764</v>
          </cell>
          <cell r="AE143">
            <v>1018758</v>
          </cell>
          <cell r="AF143">
            <v>5.1151457334370996</v>
          </cell>
          <cell r="AR143">
            <v>31780</v>
          </cell>
          <cell r="AS143">
            <v>33978</v>
          </cell>
          <cell r="AT143">
            <v>50907</v>
          </cell>
          <cell r="AU143">
            <v>13358</v>
          </cell>
          <cell r="AV143">
            <v>17837</v>
          </cell>
          <cell r="AW143">
            <v>18961</v>
          </cell>
          <cell r="AX143">
            <v>8696</v>
          </cell>
          <cell r="AZ143">
            <v>23648</v>
          </cell>
          <cell r="CS143">
            <v>12945.725</v>
          </cell>
          <cell r="CT143">
            <v>33320.304499999998</v>
          </cell>
          <cell r="CU143">
            <v>19378.754499999999</v>
          </cell>
          <cell r="CV143">
            <v>101116.0705</v>
          </cell>
          <cell r="CW143">
            <v>32424.062000000002</v>
          </cell>
        </row>
        <row r="144">
          <cell r="E144">
            <v>44105</v>
          </cell>
          <cell r="F144">
            <v>62935</v>
          </cell>
          <cell r="G144">
            <v>52472</v>
          </cell>
          <cell r="H144">
            <v>10463</v>
          </cell>
          <cell r="I144">
            <v>71451950</v>
          </cell>
          <cell r="J144">
            <v>69857249</v>
          </cell>
          <cell r="K144">
            <v>1594701</v>
          </cell>
          <cell r="L144">
            <v>1135.3293080162073</v>
          </cell>
          <cell r="M144">
            <v>1331.3243062966915</v>
          </cell>
          <cell r="N144">
            <v>152.41336136863234</v>
          </cell>
          <cell r="P144">
            <v>238625</v>
          </cell>
          <cell r="Q144">
            <v>205699</v>
          </cell>
          <cell r="R144">
            <v>32926</v>
          </cell>
          <cell r="T144">
            <v>132.5</v>
          </cell>
          <cell r="U144">
            <v>109.3</v>
          </cell>
          <cell r="V144">
            <v>23.2</v>
          </cell>
          <cell r="X144">
            <v>223759</v>
          </cell>
          <cell r="Y144">
            <v>18764</v>
          </cell>
          <cell r="AB144">
            <v>92338.281100000007</v>
          </cell>
          <cell r="AC144">
            <v>113360.71889999999</v>
          </cell>
          <cell r="AE144">
            <v>1083467</v>
          </cell>
          <cell r="AF144">
            <v>5.2672448577776265</v>
          </cell>
          <cell r="AR144">
            <v>34074</v>
          </cell>
          <cell r="AS144">
            <v>34288</v>
          </cell>
          <cell r="AT144">
            <v>50544</v>
          </cell>
          <cell r="AU144">
            <v>13624</v>
          </cell>
          <cell r="AV144">
            <v>19154</v>
          </cell>
          <cell r="AW144">
            <v>19051</v>
          </cell>
          <cell r="AX144">
            <v>9419</v>
          </cell>
          <cell r="AZ144">
            <v>25545</v>
          </cell>
          <cell r="CS144">
            <v>12815.047700000001</v>
          </cell>
          <cell r="CT144">
            <v>32603.291499999999</v>
          </cell>
          <cell r="CU144">
            <v>19829.383600000001</v>
          </cell>
          <cell r="CV144">
            <v>105297.3181</v>
          </cell>
          <cell r="CW144">
            <v>35153.9591</v>
          </cell>
        </row>
        <row r="145">
          <cell r="E145">
            <v>44136</v>
          </cell>
          <cell r="F145">
            <v>57005</v>
          </cell>
          <cell r="G145">
            <v>46616</v>
          </cell>
          <cell r="H145">
            <v>10389</v>
          </cell>
          <cell r="I145">
            <v>62257827</v>
          </cell>
          <cell r="J145">
            <v>60335432</v>
          </cell>
          <cell r="K145">
            <v>1922395</v>
          </cell>
          <cell r="L145">
            <v>1092.146776598544</v>
          </cell>
          <cell r="M145">
            <v>1294.3073622790457</v>
          </cell>
          <cell r="N145">
            <v>185.04138993165847</v>
          </cell>
          <cell r="P145">
            <v>256739</v>
          </cell>
          <cell r="Q145">
            <v>214486</v>
          </cell>
          <cell r="R145">
            <v>42253</v>
          </cell>
          <cell r="T145">
            <v>119.39999999999999</v>
          </cell>
          <cell r="U145">
            <v>98.1</v>
          </cell>
          <cell r="V145">
            <v>21.3</v>
          </cell>
          <cell r="X145">
            <v>225021</v>
          </cell>
          <cell r="Y145">
            <v>19501</v>
          </cell>
          <cell r="AB145">
            <v>97376.643999999986</v>
          </cell>
          <cell r="AC145">
            <v>117109.35600000001</v>
          </cell>
          <cell r="AE145">
            <v>1048988</v>
          </cell>
          <cell r="AF145">
            <v>4.8907061533153682</v>
          </cell>
          <cell r="AR145">
            <v>39220</v>
          </cell>
          <cell r="AS145">
            <v>34342</v>
          </cell>
          <cell r="AT145">
            <v>52165</v>
          </cell>
          <cell r="AU145">
            <v>14812</v>
          </cell>
          <cell r="AV145">
            <v>18333</v>
          </cell>
          <cell r="AW145">
            <v>20340</v>
          </cell>
          <cell r="AX145">
            <v>8913</v>
          </cell>
          <cell r="AZ145">
            <v>26361</v>
          </cell>
          <cell r="CS145">
            <v>13105.0946</v>
          </cell>
          <cell r="CT145">
            <v>34510.797399999996</v>
          </cell>
          <cell r="CU145">
            <v>20419.067200000001</v>
          </cell>
          <cell r="CV145">
            <v>109409.3086</v>
          </cell>
          <cell r="CW145">
            <v>37041.732199999999</v>
          </cell>
        </row>
        <row r="146">
          <cell r="E146">
            <v>44166</v>
          </cell>
          <cell r="F146">
            <v>65820</v>
          </cell>
          <cell r="G146">
            <v>56727</v>
          </cell>
          <cell r="H146">
            <v>9093</v>
          </cell>
          <cell r="I146">
            <v>75008733</v>
          </cell>
          <cell r="J146">
            <v>72859326</v>
          </cell>
          <cell r="K146">
            <v>2149407</v>
          </cell>
          <cell r="L146">
            <v>1139.6039653600728</v>
          </cell>
          <cell r="M146">
            <v>1284.3853191601884</v>
          </cell>
          <cell r="N146">
            <v>236.3804025074233</v>
          </cell>
          <cell r="P146">
            <v>269254</v>
          </cell>
          <cell r="Q146">
            <v>232984</v>
          </cell>
          <cell r="R146">
            <v>36270</v>
          </cell>
          <cell r="T146">
            <v>96.8</v>
          </cell>
          <cell r="U146">
            <v>82.8</v>
          </cell>
          <cell r="V146">
            <v>14</v>
          </cell>
          <cell r="X146">
            <v>197802</v>
          </cell>
          <cell r="Y146">
            <v>20524</v>
          </cell>
          <cell r="AB146">
            <v>102443.06479999999</v>
          </cell>
          <cell r="AC146">
            <v>130540.93520000001</v>
          </cell>
          <cell r="AE146">
            <v>1204907</v>
          </cell>
          <cell r="AF146">
            <v>5.1716298114892005</v>
          </cell>
          <cell r="AR146">
            <v>42214</v>
          </cell>
          <cell r="AS146">
            <v>37675</v>
          </cell>
          <cell r="AT146">
            <v>54596</v>
          </cell>
          <cell r="AU146">
            <v>15639</v>
          </cell>
          <cell r="AV146">
            <v>21372</v>
          </cell>
          <cell r="AW146">
            <v>24413</v>
          </cell>
          <cell r="AX146">
            <v>9646</v>
          </cell>
          <cell r="AZ146">
            <v>27429</v>
          </cell>
          <cell r="CS146">
            <v>15563.331199999999</v>
          </cell>
          <cell r="CT146">
            <v>39863.562400000003</v>
          </cell>
          <cell r="CU146">
            <v>23834.263200000001</v>
          </cell>
          <cell r="CV146">
            <v>111762.42480000001</v>
          </cell>
          <cell r="CW146">
            <v>41960.418400000002</v>
          </cell>
        </row>
        <row r="147">
          <cell r="E147">
            <v>44197</v>
          </cell>
          <cell r="F147">
            <v>42869</v>
          </cell>
          <cell r="G147">
            <v>35148</v>
          </cell>
          <cell r="H147">
            <v>7721</v>
          </cell>
          <cell r="I147">
            <v>45207782.000000007</v>
          </cell>
          <cell r="J147">
            <v>43157697.000000007</v>
          </cell>
          <cell r="K147">
            <v>2050085</v>
          </cell>
          <cell r="L147">
            <v>1054.5564860388627</v>
          </cell>
          <cell r="M147">
            <v>1227.8848583134177</v>
          </cell>
          <cell r="N147">
            <v>265.52065794586196</v>
          </cell>
          <cell r="P147">
            <v>186877</v>
          </cell>
          <cell r="Q147">
            <v>162580</v>
          </cell>
          <cell r="R147">
            <v>24297</v>
          </cell>
          <cell r="T147">
            <v>100.8</v>
          </cell>
          <cell r="U147">
            <v>87</v>
          </cell>
          <cell r="V147">
            <v>13.8</v>
          </cell>
          <cell r="X147">
            <v>190156</v>
          </cell>
          <cell r="Y147">
            <v>15597</v>
          </cell>
          <cell r="AB147">
            <v>63324.91</v>
          </cell>
          <cell r="AC147">
            <v>99255.09</v>
          </cell>
          <cell r="AE147">
            <v>869169</v>
          </cell>
          <cell r="AF147">
            <v>5.3461003813507197</v>
          </cell>
          <cell r="AR147">
            <v>26614</v>
          </cell>
          <cell r="AS147">
            <v>26577</v>
          </cell>
          <cell r="AT147">
            <v>43017</v>
          </cell>
          <cell r="AU147">
            <v>10211</v>
          </cell>
          <cell r="AV147">
            <v>16294</v>
          </cell>
          <cell r="AW147">
            <v>17107</v>
          </cell>
          <cell r="AX147">
            <v>6386</v>
          </cell>
          <cell r="AZ147">
            <v>16374</v>
          </cell>
          <cell r="CS147">
            <v>7722.55</v>
          </cell>
          <cell r="CT147">
            <v>27215.892</v>
          </cell>
          <cell r="CU147">
            <v>17217.221999999998</v>
          </cell>
          <cell r="CV147">
            <v>82606.898000000001</v>
          </cell>
          <cell r="CW147">
            <v>27801.180000000004</v>
          </cell>
        </row>
        <row r="148">
          <cell r="E148">
            <v>44228</v>
          </cell>
          <cell r="F148">
            <v>45593</v>
          </cell>
          <cell r="G148">
            <v>39219</v>
          </cell>
          <cell r="H148">
            <v>6374</v>
          </cell>
          <cell r="I148">
            <v>49460158</v>
          </cell>
          <cell r="J148">
            <v>47105518</v>
          </cell>
          <cell r="K148">
            <v>2354640</v>
          </cell>
          <cell r="L148">
            <v>1084.8191169697102</v>
          </cell>
          <cell r="M148">
            <v>1201.0892169611668</v>
          </cell>
          <cell r="N148">
            <v>369.41324129275182</v>
          </cell>
          <cell r="P148">
            <v>189372</v>
          </cell>
          <cell r="Q148">
            <v>158488</v>
          </cell>
          <cell r="R148">
            <v>30884</v>
          </cell>
          <cell r="T148">
            <v>97.800000000000011</v>
          </cell>
          <cell r="U148">
            <v>80.7</v>
          </cell>
          <cell r="V148">
            <v>17.100000000000001</v>
          </cell>
          <cell r="X148">
            <v>183641</v>
          </cell>
          <cell r="Y148">
            <v>13348</v>
          </cell>
          <cell r="AB148">
            <v>64583.859999999993</v>
          </cell>
          <cell r="AC148">
            <v>93904.140000000014</v>
          </cell>
          <cell r="AE148">
            <v>876306</v>
          </cell>
          <cell r="AF148">
            <v>5.5291630912119532</v>
          </cell>
          <cell r="AR148">
            <v>24962</v>
          </cell>
          <cell r="AS148">
            <v>26786</v>
          </cell>
          <cell r="AT148">
            <v>43973</v>
          </cell>
          <cell r="AU148">
            <v>10258</v>
          </cell>
          <cell r="AV148">
            <v>16336</v>
          </cell>
          <cell r="AW148">
            <v>17118</v>
          </cell>
          <cell r="AX148">
            <v>7314</v>
          </cell>
          <cell r="AZ148">
            <v>11741</v>
          </cell>
          <cell r="CS148">
            <v>9651.9192000000003</v>
          </cell>
          <cell r="CT148">
            <v>26483.344799999999</v>
          </cell>
          <cell r="CU148">
            <v>17845.748800000001</v>
          </cell>
          <cell r="CV148">
            <v>77183.656000000003</v>
          </cell>
          <cell r="CW148">
            <v>27323.331200000001</v>
          </cell>
        </row>
        <row r="149">
          <cell r="E149">
            <v>44256</v>
          </cell>
          <cell r="F149">
            <v>48848</v>
          </cell>
          <cell r="G149">
            <v>40295</v>
          </cell>
          <cell r="H149">
            <v>8553</v>
          </cell>
          <cell r="I149">
            <v>49310285.000000007</v>
          </cell>
          <cell r="J149">
            <v>47156018.000000007</v>
          </cell>
          <cell r="K149">
            <v>2154267</v>
          </cell>
          <cell r="L149">
            <v>1009.4637446773667</v>
          </cell>
          <cell r="M149">
            <v>1170.2697108822435</v>
          </cell>
          <cell r="N149">
            <v>251.872676253946</v>
          </cell>
          <cell r="P149">
            <v>211904</v>
          </cell>
          <cell r="Q149">
            <v>177450</v>
          </cell>
          <cell r="R149">
            <v>34454</v>
          </cell>
          <cell r="T149">
            <v>101.1</v>
          </cell>
          <cell r="U149">
            <v>83.3</v>
          </cell>
          <cell r="V149">
            <v>17.8</v>
          </cell>
          <cell r="X149">
            <v>185718</v>
          </cell>
          <cell r="Y149">
            <v>16941</v>
          </cell>
          <cell r="AB149">
            <v>81325.334999999992</v>
          </cell>
          <cell r="AC149">
            <v>96124.665000000008</v>
          </cell>
          <cell r="AE149">
            <v>915537</v>
          </cell>
          <cell r="AF149">
            <v>5.1594082840236686</v>
          </cell>
          <cell r="AR149">
            <v>23239</v>
          </cell>
          <cell r="AS149">
            <v>32643</v>
          </cell>
          <cell r="AT149">
            <v>49444</v>
          </cell>
          <cell r="AU149">
            <v>12681</v>
          </cell>
          <cell r="AV149">
            <v>17798</v>
          </cell>
          <cell r="AW149">
            <v>19435</v>
          </cell>
          <cell r="AX149">
            <v>7113</v>
          </cell>
          <cell r="AZ149">
            <v>15097</v>
          </cell>
          <cell r="CS149">
            <v>10948.664999999999</v>
          </cell>
          <cell r="CT149">
            <v>22571.640000000003</v>
          </cell>
          <cell r="CU149">
            <v>18312.84</v>
          </cell>
          <cell r="CV149">
            <v>97349.069999999992</v>
          </cell>
          <cell r="CW149">
            <v>28250.04</v>
          </cell>
        </row>
        <row r="150">
          <cell r="E150">
            <v>44287</v>
          </cell>
          <cell r="F150">
            <v>43092</v>
          </cell>
          <cell r="G150">
            <v>34257</v>
          </cell>
          <cell r="H150">
            <v>8835</v>
          </cell>
          <cell r="I150">
            <v>42299053</v>
          </cell>
          <cell r="J150">
            <v>40465616</v>
          </cell>
          <cell r="K150">
            <v>1833437</v>
          </cell>
          <cell r="L150">
            <v>981.59874222593521</v>
          </cell>
          <cell r="M150">
            <v>1181.2364188341069</v>
          </cell>
          <cell r="N150">
            <v>207.51975099037918</v>
          </cell>
          <cell r="P150">
            <v>195829</v>
          </cell>
          <cell r="Q150">
            <v>164157</v>
          </cell>
          <cell r="R150">
            <v>31672</v>
          </cell>
          <cell r="T150">
            <v>97.1</v>
          </cell>
          <cell r="U150">
            <v>72.8</v>
          </cell>
          <cell r="V150">
            <v>24.3</v>
          </cell>
          <cell r="X150">
            <v>175942</v>
          </cell>
          <cell r="Y150">
            <v>16775</v>
          </cell>
          <cell r="AB150">
            <v>72212.664300000004</v>
          </cell>
          <cell r="AC150">
            <v>91944.335699999996</v>
          </cell>
          <cell r="AE150">
            <v>821159</v>
          </cell>
          <cell r="AF150">
            <v>5.0022783067429355</v>
          </cell>
          <cell r="AR150">
            <v>20890</v>
          </cell>
          <cell r="AS150">
            <v>27647</v>
          </cell>
          <cell r="AT150">
            <v>48552</v>
          </cell>
          <cell r="AU150">
            <v>13420</v>
          </cell>
          <cell r="AV150">
            <v>16475</v>
          </cell>
          <cell r="AW150">
            <v>17290</v>
          </cell>
          <cell r="AX150">
            <v>5828</v>
          </cell>
          <cell r="AZ150">
            <v>14055</v>
          </cell>
          <cell r="CS150">
            <v>10325.4753</v>
          </cell>
          <cell r="CT150">
            <v>30204.887999999999</v>
          </cell>
          <cell r="CU150">
            <v>18254.258399999999</v>
          </cell>
          <cell r="CV150">
            <v>77285.115600000005</v>
          </cell>
          <cell r="CW150">
            <v>27693.285899999999</v>
          </cell>
        </row>
        <row r="151">
          <cell r="E151">
            <v>44317</v>
          </cell>
          <cell r="F151">
            <v>43325</v>
          </cell>
          <cell r="G151">
            <v>35193</v>
          </cell>
          <cell r="H151">
            <v>8132</v>
          </cell>
          <cell r="I151">
            <v>42184702</v>
          </cell>
          <cell r="J151">
            <v>40509824</v>
          </cell>
          <cell r="K151">
            <v>1674878</v>
          </cell>
          <cell r="L151">
            <v>973.6803693017888</v>
          </cell>
          <cell r="M151">
            <v>1151.0761799221436</v>
          </cell>
          <cell r="N151">
            <v>205.9613871126414</v>
          </cell>
          <cell r="P151">
            <v>210376</v>
          </cell>
          <cell r="Q151">
            <v>175574</v>
          </cell>
          <cell r="R151">
            <v>34802</v>
          </cell>
          <cell r="T151">
            <v>96.5</v>
          </cell>
          <cell r="U151">
            <v>66.599999999999994</v>
          </cell>
          <cell r="V151">
            <v>29.9</v>
          </cell>
          <cell r="X151">
            <v>177281</v>
          </cell>
          <cell r="Y151">
            <v>18909</v>
          </cell>
          <cell r="AB151">
            <v>79254.103600000002</v>
          </cell>
          <cell r="AC151">
            <v>96319.896399999998</v>
          </cell>
          <cell r="AE151">
            <v>976129</v>
          </cell>
          <cell r="AF151">
            <v>5.5596443664779525</v>
          </cell>
          <cell r="AR151">
            <v>17296</v>
          </cell>
          <cell r="AS151">
            <v>28961</v>
          </cell>
          <cell r="AT151">
            <v>54204</v>
          </cell>
          <cell r="AU151">
            <v>15566</v>
          </cell>
          <cell r="AV151">
            <v>17404</v>
          </cell>
          <cell r="AW151">
            <v>20083</v>
          </cell>
          <cell r="AX151">
            <v>7060</v>
          </cell>
          <cell r="AZ151">
            <v>15000</v>
          </cell>
          <cell r="CS151">
            <v>10481.767800000001</v>
          </cell>
          <cell r="CT151">
            <v>26739.920199999997</v>
          </cell>
          <cell r="CU151">
            <v>18470.3848</v>
          </cell>
          <cell r="CV151">
            <v>92632.842399999994</v>
          </cell>
          <cell r="CW151">
            <v>27424.658800000001</v>
          </cell>
        </row>
        <row r="152">
          <cell r="E152">
            <v>44348</v>
          </cell>
          <cell r="F152">
            <v>41376</v>
          </cell>
          <cell r="G152">
            <v>35196</v>
          </cell>
          <cell r="H152">
            <v>6180</v>
          </cell>
          <cell r="I152">
            <v>41960971</v>
          </cell>
          <cell r="J152">
            <v>40436090</v>
          </cell>
          <cell r="K152">
            <v>1524881.0000000002</v>
          </cell>
          <cell r="L152">
            <v>1014.1379302010828</v>
          </cell>
          <cell r="M152">
            <v>1148.8831117172406</v>
          </cell>
          <cell r="N152">
            <v>246.74449838187707</v>
          </cell>
          <cell r="P152">
            <v>201054</v>
          </cell>
          <cell r="Q152">
            <v>169651</v>
          </cell>
          <cell r="R152">
            <v>31403</v>
          </cell>
          <cell r="T152">
            <v>93</v>
          </cell>
          <cell r="U152">
            <v>71.3</v>
          </cell>
          <cell r="V152">
            <v>21.7</v>
          </cell>
          <cell r="X152">
            <v>151286</v>
          </cell>
          <cell r="Y152">
            <v>23769</v>
          </cell>
          <cell r="AB152">
            <v>75409.869500000001</v>
          </cell>
          <cell r="AC152">
            <v>94241.130499999999</v>
          </cell>
          <cell r="AE152">
            <v>993199</v>
          </cell>
          <cell r="AF152">
            <v>5.8543657272871954</v>
          </cell>
          <cell r="AR152">
            <v>11640</v>
          </cell>
          <cell r="AS152">
            <v>22698</v>
          </cell>
          <cell r="AT152">
            <v>58118</v>
          </cell>
          <cell r="AU152">
            <v>16488</v>
          </cell>
          <cell r="AV152">
            <v>18216</v>
          </cell>
          <cell r="AW152">
            <v>19655</v>
          </cell>
          <cell r="AX152">
            <v>6461</v>
          </cell>
          <cell r="AZ152">
            <v>16375</v>
          </cell>
          <cell r="CS152">
            <v>10229.9553</v>
          </cell>
          <cell r="CT152">
            <v>25142.278200000001</v>
          </cell>
          <cell r="CU152">
            <v>18729.470399999998</v>
          </cell>
          <cell r="CV152">
            <v>89456.972299999994</v>
          </cell>
          <cell r="CW152">
            <v>26075.358700000001</v>
          </cell>
        </row>
        <row r="153">
          <cell r="E153">
            <v>44378</v>
          </cell>
          <cell r="F153">
            <v>35899</v>
          </cell>
          <cell r="G153">
            <v>30708</v>
          </cell>
          <cell r="H153">
            <v>5191</v>
          </cell>
          <cell r="I153">
            <v>35339182</v>
          </cell>
          <cell r="J153">
            <v>34385916</v>
          </cell>
          <cell r="K153">
            <v>953266</v>
          </cell>
          <cell r="L153">
            <v>984.40574946377342</v>
          </cell>
          <cell r="M153">
            <v>1119.7706135209066</v>
          </cell>
          <cell r="N153">
            <v>183.63821999614717</v>
          </cell>
          <cell r="P153">
            <v>183757</v>
          </cell>
          <cell r="Q153">
            <v>162206</v>
          </cell>
          <cell r="R153">
            <v>21551</v>
          </cell>
          <cell r="T153">
            <v>85.1</v>
          </cell>
          <cell r="U153">
            <v>57.3</v>
          </cell>
          <cell r="V153">
            <v>27.8</v>
          </cell>
          <cell r="X153">
            <v>147822</v>
          </cell>
          <cell r="Y153">
            <v>23604</v>
          </cell>
          <cell r="AB153">
            <v>64428.2232</v>
          </cell>
          <cell r="AC153">
            <v>97777.776799999992</v>
          </cell>
          <cell r="AE153">
            <v>1061013</v>
          </cell>
          <cell r="AF153">
            <v>6.541145210411452</v>
          </cell>
          <cell r="AR153">
            <v>9395</v>
          </cell>
          <cell r="AS153">
            <v>17686</v>
          </cell>
          <cell r="AT153">
            <v>57301</v>
          </cell>
          <cell r="AU153">
            <v>18646</v>
          </cell>
          <cell r="AV153">
            <v>17917</v>
          </cell>
          <cell r="AW153">
            <v>18903</v>
          </cell>
          <cell r="AX153">
            <v>6011</v>
          </cell>
          <cell r="AZ153">
            <v>16347</v>
          </cell>
          <cell r="CS153">
            <v>10364.963400000001</v>
          </cell>
          <cell r="CT153">
            <v>25466.342000000001</v>
          </cell>
          <cell r="CU153">
            <v>18669.910599999999</v>
          </cell>
          <cell r="CV153">
            <v>80794.808600000004</v>
          </cell>
          <cell r="CW153">
            <v>26909.975399999999</v>
          </cell>
        </row>
        <row r="154">
          <cell r="E154">
            <v>44409</v>
          </cell>
          <cell r="F154">
            <v>38265</v>
          </cell>
          <cell r="G154">
            <v>31602</v>
          </cell>
          <cell r="H154">
            <v>6663</v>
          </cell>
          <cell r="I154">
            <v>40139268.999999993</v>
          </cell>
          <cell r="J154">
            <v>38545374.999999993</v>
          </cell>
          <cell r="K154">
            <v>1593894</v>
          </cell>
          <cell r="L154">
            <v>1048.9812883836403</v>
          </cell>
          <cell r="M154">
            <v>1219.713151066388</v>
          </cell>
          <cell r="N154">
            <v>239.21566861773977</v>
          </cell>
          <cell r="P154">
            <v>185549</v>
          </cell>
          <cell r="Q154">
            <v>158557</v>
          </cell>
          <cell r="R154">
            <v>26992</v>
          </cell>
          <cell r="T154">
            <v>76.400000000000006</v>
          </cell>
          <cell r="U154">
            <v>48.3</v>
          </cell>
          <cell r="V154">
            <v>28.1</v>
          </cell>
          <cell r="X154">
            <v>148857</v>
          </cell>
          <cell r="Y154">
            <v>22641</v>
          </cell>
          <cell r="AB154">
            <v>64881.524400000002</v>
          </cell>
          <cell r="AC154">
            <v>93675.475600000005</v>
          </cell>
          <cell r="AE154">
            <v>1074324</v>
          </cell>
          <cell r="AF154">
            <v>6.7756327377536154</v>
          </cell>
          <cell r="AR154">
            <v>8953</v>
          </cell>
          <cell r="AS154">
            <v>23280</v>
          </cell>
          <cell r="AT154">
            <v>52640</v>
          </cell>
          <cell r="AU154">
            <v>17476</v>
          </cell>
          <cell r="AV154">
            <v>13303</v>
          </cell>
          <cell r="AW154">
            <v>19257</v>
          </cell>
          <cell r="AX154">
            <v>8074</v>
          </cell>
          <cell r="AZ154">
            <v>15574</v>
          </cell>
          <cell r="CS154">
            <v>9497.5643</v>
          </cell>
          <cell r="CT154">
            <v>23212.7448</v>
          </cell>
          <cell r="CU154">
            <v>18630.447499999998</v>
          </cell>
          <cell r="CV154">
            <v>80800.647200000007</v>
          </cell>
          <cell r="CW154">
            <v>26431.451899999996</v>
          </cell>
        </row>
        <row r="155">
          <cell r="E155">
            <v>44440</v>
          </cell>
          <cell r="F155">
            <v>39715</v>
          </cell>
          <cell r="G155">
            <v>34115</v>
          </cell>
          <cell r="H155">
            <v>5600</v>
          </cell>
          <cell r="I155">
            <v>42583336</v>
          </cell>
          <cell r="J155">
            <v>40706215</v>
          </cell>
          <cell r="K155">
            <v>1877121</v>
          </cell>
          <cell r="L155">
            <v>1072.2229887951655</v>
          </cell>
          <cell r="M155">
            <v>1193.2057745859593</v>
          </cell>
          <cell r="N155">
            <v>335.20017857142858</v>
          </cell>
          <cell r="P155">
            <v>164011</v>
          </cell>
          <cell r="Q155">
            <v>142595</v>
          </cell>
          <cell r="R155">
            <v>21416</v>
          </cell>
          <cell r="T155">
            <v>85.9</v>
          </cell>
          <cell r="U155">
            <v>52.4</v>
          </cell>
          <cell r="V155">
            <v>33.5</v>
          </cell>
          <cell r="X155">
            <v>159073</v>
          </cell>
          <cell r="Y155">
            <v>21436</v>
          </cell>
          <cell r="AB155">
            <v>54599.625500000002</v>
          </cell>
          <cell r="AC155">
            <v>87995.374500000005</v>
          </cell>
          <cell r="AE155">
            <v>980910</v>
          </cell>
          <cell r="AF155">
            <v>6.8789929520670432</v>
          </cell>
          <cell r="AR155">
            <v>17984</v>
          </cell>
          <cell r="AS155">
            <v>20681</v>
          </cell>
          <cell r="AT155">
            <v>40499</v>
          </cell>
          <cell r="AU155">
            <v>12643</v>
          </cell>
          <cell r="AV155">
            <v>10536</v>
          </cell>
          <cell r="AW155">
            <v>18575</v>
          </cell>
          <cell r="AX155">
            <v>7684</v>
          </cell>
          <cell r="AZ155">
            <v>13993</v>
          </cell>
          <cell r="CS155">
            <v>9539.6054999999997</v>
          </cell>
          <cell r="CT155">
            <v>22145.003499999999</v>
          </cell>
          <cell r="CU155">
            <v>16555.279500000001</v>
          </cell>
          <cell r="CV155">
            <v>69130.055999999997</v>
          </cell>
          <cell r="CW155">
            <v>25225.055499999999</v>
          </cell>
        </row>
        <row r="156">
          <cell r="E156">
            <v>44470</v>
          </cell>
          <cell r="F156">
            <v>43229</v>
          </cell>
          <cell r="G156">
            <v>34865</v>
          </cell>
          <cell r="H156">
            <v>8364</v>
          </cell>
          <cell r="I156">
            <v>47922499</v>
          </cell>
          <cell r="J156">
            <v>44959991</v>
          </cell>
          <cell r="K156">
            <v>2962508</v>
          </cell>
          <cell r="L156">
            <v>1108.5729255823637</v>
          </cell>
          <cell r="M156">
            <v>1289.5451312204216</v>
          </cell>
          <cell r="N156">
            <v>354.1975131516021</v>
          </cell>
          <cell r="P156">
            <v>177584</v>
          </cell>
          <cell r="Q156">
            <v>150397</v>
          </cell>
          <cell r="R156">
            <v>27187</v>
          </cell>
          <cell r="T156">
            <v>93.5</v>
          </cell>
          <cell r="U156">
            <v>59.7</v>
          </cell>
          <cell r="V156">
            <v>33.799999999999997</v>
          </cell>
          <cell r="X156">
            <v>163928</v>
          </cell>
          <cell r="Y156">
            <v>21670</v>
          </cell>
          <cell r="AB156">
            <v>64896.305500000002</v>
          </cell>
          <cell r="AC156">
            <v>85500.694499999998</v>
          </cell>
          <cell r="AE156">
            <v>902288</v>
          </cell>
          <cell r="AF156">
            <v>5.9993749875329963</v>
          </cell>
          <cell r="AR156">
            <v>19095</v>
          </cell>
          <cell r="AS156">
            <v>25999</v>
          </cell>
          <cell r="AT156">
            <v>42665</v>
          </cell>
          <cell r="AU156">
            <v>12727</v>
          </cell>
          <cell r="AV156">
            <v>12048</v>
          </cell>
          <cell r="AW156">
            <v>18063</v>
          </cell>
          <cell r="AX156">
            <v>6588</v>
          </cell>
          <cell r="AZ156">
            <v>13212</v>
          </cell>
          <cell r="CS156">
            <v>8452.3114000000005</v>
          </cell>
          <cell r="CT156">
            <v>20559.269899999999</v>
          </cell>
          <cell r="CU156">
            <v>15701.446800000002</v>
          </cell>
          <cell r="CV156">
            <v>78507.233999999997</v>
          </cell>
          <cell r="CW156">
            <v>27176.7379</v>
          </cell>
        </row>
        <row r="157">
          <cell r="E157">
            <v>44501</v>
          </cell>
          <cell r="F157">
            <v>50341</v>
          </cell>
          <cell r="G157">
            <v>43892</v>
          </cell>
          <cell r="H157">
            <v>6449</v>
          </cell>
          <cell r="I157">
            <v>57442076</v>
          </cell>
          <cell r="J157">
            <v>55332071</v>
          </cell>
          <cell r="K157">
            <v>2110005</v>
          </cell>
          <cell r="L157">
            <v>1141.0594942492203</v>
          </cell>
          <cell r="M157">
            <v>1260.6413697256903</v>
          </cell>
          <cell r="N157">
            <v>327.1832842301132</v>
          </cell>
          <cell r="P157">
            <v>187182</v>
          </cell>
          <cell r="Q157">
            <v>161449</v>
          </cell>
          <cell r="R157">
            <v>25733</v>
          </cell>
          <cell r="T157">
            <v>103.8</v>
          </cell>
          <cell r="U157">
            <v>71.599999999999994</v>
          </cell>
          <cell r="V157">
            <v>32.200000000000003</v>
          </cell>
          <cell r="X157">
            <v>189757</v>
          </cell>
          <cell r="Y157">
            <v>24355</v>
          </cell>
          <cell r="AB157">
            <v>75364.393200000006</v>
          </cell>
          <cell r="AC157">
            <v>86084.606799999994</v>
          </cell>
          <cell r="AE157">
            <v>863464</v>
          </cell>
          <cell r="AF157">
            <v>5.3482152258607982</v>
          </cell>
          <cell r="AR157">
            <v>28435</v>
          </cell>
          <cell r="AS157">
            <v>21690</v>
          </cell>
          <cell r="AT157">
            <v>41356</v>
          </cell>
          <cell r="AU157">
            <v>14322</v>
          </cell>
          <cell r="AV157">
            <v>16593</v>
          </cell>
          <cell r="AW157">
            <v>17748</v>
          </cell>
          <cell r="AX157">
            <v>5807</v>
          </cell>
          <cell r="AZ157">
            <v>15498</v>
          </cell>
          <cell r="CS157">
            <v>9541.6358999999993</v>
          </cell>
          <cell r="CT157">
            <v>22941.902900000001</v>
          </cell>
          <cell r="CU157">
            <v>16112.610199999999</v>
          </cell>
          <cell r="CV157">
            <v>84986.753599999996</v>
          </cell>
          <cell r="CW157">
            <v>27849.952499999999</v>
          </cell>
        </row>
        <row r="158">
          <cell r="E158">
            <v>44531</v>
          </cell>
          <cell r="F158">
            <v>54833</v>
          </cell>
          <cell r="G158">
            <v>47746</v>
          </cell>
          <cell r="H158">
            <v>7087</v>
          </cell>
          <cell r="I158">
            <v>58892803</v>
          </cell>
          <cell r="J158">
            <v>56402023</v>
          </cell>
          <cell r="K158">
            <v>2490780</v>
          </cell>
          <cell r="L158">
            <v>1074.0394105739244</v>
          </cell>
          <cell r="M158">
            <v>1181.2931554475767</v>
          </cell>
          <cell r="N158">
            <v>351.45759841964161</v>
          </cell>
          <cell r="P158">
            <v>233048</v>
          </cell>
          <cell r="Q158">
            <v>193990</v>
          </cell>
          <cell r="R158">
            <v>39058</v>
          </cell>
          <cell r="T158">
            <v>114.3</v>
          </cell>
          <cell r="U158">
            <v>89.8</v>
          </cell>
          <cell r="V158">
            <v>24.5</v>
          </cell>
          <cell r="X158">
            <v>197101</v>
          </cell>
          <cell r="Y158">
            <v>28876</v>
          </cell>
          <cell r="AB158">
            <v>92028.856</v>
          </cell>
          <cell r="AC158">
            <v>101961.144</v>
          </cell>
          <cell r="AE158">
            <v>901849</v>
          </cell>
          <cell r="AF158">
            <v>4.6489458219495852</v>
          </cell>
          <cell r="AR158">
            <v>33692</v>
          </cell>
          <cell r="AS158">
            <v>27657</v>
          </cell>
          <cell r="AT158">
            <v>48636</v>
          </cell>
          <cell r="AU158">
            <v>18929</v>
          </cell>
          <cell r="AV158">
            <v>19589</v>
          </cell>
          <cell r="AW158">
            <v>20913</v>
          </cell>
          <cell r="AX158">
            <v>7128</v>
          </cell>
          <cell r="AZ158">
            <v>17446</v>
          </cell>
          <cell r="CS158">
            <v>12298.966</v>
          </cell>
          <cell r="CT158">
            <v>28380.737000000001</v>
          </cell>
          <cell r="CU158">
            <v>20330.152000000002</v>
          </cell>
          <cell r="CV158">
            <v>96781.611000000004</v>
          </cell>
          <cell r="CW158">
            <v>36198.534</v>
          </cell>
        </row>
        <row r="159">
          <cell r="E159">
            <v>44562</v>
          </cell>
          <cell r="F159">
            <v>35218</v>
          </cell>
          <cell r="G159">
            <v>28602</v>
          </cell>
          <cell r="H159">
            <v>6616</v>
          </cell>
          <cell r="I159">
            <v>36131663</v>
          </cell>
          <cell r="J159">
            <v>33296022</v>
          </cell>
          <cell r="K159">
            <v>2835641</v>
          </cell>
          <cell r="L159">
            <v>1025.9430688852292</v>
          </cell>
          <cell r="M159">
            <v>1164.1151667715544</v>
          </cell>
          <cell r="N159">
            <v>428.60353688029022</v>
          </cell>
          <cell r="P159">
            <v>142956</v>
          </cell>
          <cell r="Q159">
            <v>116774</v>
          </cell>
          <cell r="R159">
            <v>26182</v>
          </cell>
          <cell r="T159">
            <v>114.4</v>
          </cell>
          <cell r="U159">
            <v>82.5</v>
          </cell>
          <cell r="V159">
            <v>31.9</v>
          </cell>
          <cell r="X159">
            <v>134629</v>
          </cell>
          <cell r="Y159">
            <v>17665</v>
          </cell>
          <cell r="AB159">
            <v>50002.626800000005</v>
          </cell>
          <cell r="AC159">
            <v>66771.373200000002</v>
          </cell>
          <cell r="AE159">
            <v>614041</v>
          </cell>
          <cell r="AF159">
            <v>5.2583708702279619</v>
          </cell>
          <cell r="AR159">
            <v>13104</v>
          </cell>
          <cell r="AS159">
            <v>13083</v>
          </cell>
          <cell r="AT159">
            <v>34660</v>
          </cell>
          <cell r="AU159">
            <v>10023</v>
          </cell>
          <cell r="AV159">
            <v>11993</v>
          </cell>
          <cell r="AW159">
            <v>15788</v>
          </cell>
          <cell r="AX159">
            <v>4728</v>
          </cell>
          <cell r="AZ159">
            <v>13395</v>
          </cell>
          <cell r="CS159">
            <v>7134.8914000000004</v>
          </cell>
          <cell r="CT159">
            <v>18555.388600000002</v>
          </cell>
          <cell r="CU159">
            <v>13020.300999999999</v>
          </cell>
          <cell r="CV159">
            <v>58316.935600000004</v>
          </cell>
          <cell r="CW159">
            <v>19734.806</v>
          </cell>
        </row>
        <row r="160">
          <cell r="E160">
            <v>44593</v>
          </cell>
          <cell r="F160">
            <v>40847</v>
          </cell>
          <cell r="G160">
            <v>31990</v>
          </cell>
          <cell r="H160">
            <v>8857</v>
          </cell>
          <cell r="I160">
            <v>40761468</v>
          </cell>
          <cell r="J160">
            <v>38315318</v>
          </cell>
          <cell r="K160">
            <v>2446150</v>
          </cell>
          <cell r="L160">
            <v>997.90603961123213</v>
          </cell>
          <cell r="M160">
            <v>1197.7279774929666</v>
          </cell>
          <cell r="N160">
            <v>276.18268036581236</v>
          </cell>
          <cell r="P160">
            <v>163086</v>
          </cell>
          <cell r="Q160">
            <v>123319</v>
          </cell>
          <cell r="R160">
            <v>39767</v>
          </cell>
          <cell r="T160">
            <v>120.10000000000001</v>
          </cell>
          <cell r="U160">
            <v>84.9</v>
          </cell>
          <cell r="V160">
            <v>35.200000000000003</v>
          </cell>
          <cell r="X160">
            <v>152590</v>
          </cell>
          <cell r="Y160">
            <v>14840</v>
          </cell>
          <cell r="AB160">
            <v>48365.711799999997</v>
          </cell>
          <cell r="AC160">
            <v>74953.28820000001</v>
          </cell>
          <cell r="AE160">
            <v>607057</v>
          </cell>
          <cell r="AF160">
            <v>4.9226558762234527</v>
          </cell>
          <cell r="AR160">
            <v>17435</v>
          </cell>
          <cell r="AS160">
            <v>11497</v>
          </cell>
          <cell r="AT160">
            <v>34777</v>
          </cell>
          <cell r="AU160">
            <v>13330</v>
          </cell>
          <cell r="AV160">
            <v>11931</v>
          </cell>
          <cell r="AW160">
            <v>16620</v>
          </cell>
          <cell r="AX160">
            <v>4017</v>
          </cell>
          <cell r="AZ160">
            <v>13712</v>
          </cell>
          <cell r="CS160">
            <v>6992.1872999999996</v>
          </cell>
          <cell r="CT160">
            <v>18448.522400000002</v>
          </cell>
          <cell r="CU160">
            <v>14884.603300000001</v>
          </cell>
          <cell r="CV160">
            <v>63176.323700000001</v>
          </cell>
          <cell r="CW160">
            <v>19817.363300000001</v>
          </cell>
        </row>
        <row r="161">
          <cell r="E161">
            <v>44621</v>
          </cell>
          <cell r="F161">
            <v>40627</v>
          </cell>
          <cell r="G161">
            <v>30718</v>
          </cell>
          <cell r="H161">
            <v>9909</v>
          </cell>
          <cell r="I161">
            <v>37305576.999999993</v>
          </cell>
          <cell r="J161">
            <v>34758691.999999993</v>
          </cell>
          <cell r="K161">
            <v>2546885</v>
          </cell>
          <cell r="L161">
            <v>918.24592020085151</v>
          </cell>
          <cell r="M161">
            <v>1131.5415066085029</v>
          </cell>
          <cell r="N161">
            <v>257.02744979311734</v>
          </cell>
          <cell r="P161">
            <v>171852</v>
          </cell>
          <cell r="Q161">
            <v>135401</v>
          </cell>
          <cell r="R161">
            <v>36451</v>
          </cell>
          <cell r="T161">
            <v>125.6</v>
          </cell>
          <cell r="U161">
            <v>86.3</v>
          </cell>
          <cell r="V161">
            <v>39.299999999999997</v>
          </cell>
          <cell r="X161">
            <v>168834</v>
          </cell>
          <cell r="Y161">
            <v>17416</v>
          </cell>
          <cell r="AB161">
            <v>49786.947700000004</v>
          </cell>
          <cell r="AC161">
            <v>85614.052299999996</v>
          </cell>
          <cell r="AE161">
            <v>782410</v>
          </cell>
          <cell r="AF161">
            <v>5.7784654470794159</v>
          </cell>
          <cell r="AR161">
            <v>19206</v>
          </cell>
          <cell r="AS161">
            <v>12760</v>
          </cell>
          <cell r="AT161">
            <v>39366</v>
          </cell>
          <cell r="AU161">
            <v>17029</v>
          </cell>
          <cell r="AV161">
            <v>12414</v>
          </cell>
          <cell r="AW161">
            <v>17459</v>
          </cell>
          <cell r="AX161">
            <v>4693</v>
          </cell>
          <cell r="AZ161">
            <v>12474</v>
          </cell>
          <cell r="CS161">
            <v>7690.7768000000005</v>
          </cell>
          <cell r="CT161">
            <v>19592.524699999998</v>
          </cell>
          <cell r="CU161">
            <v>15070.131299999999</v>
          </cell>
          <cell r="CV161">
            <v>71342.786900000006</v>
          </cell>
          <cell r="CW161">
            <v>21704.780299999999</v>
          </cell>
        </row>
        <row r="162">
          <cell r="E162">
            <v>44652</v>
          </cell>
          <cell r="F162">
            <v>40665</v>
          </cell>
          <cell r="G162">
            <v>30838</v>
          </cell>
          <cell r="H162">
            <v>9827</v>
          </cell>
          <cell r="I162">
            <v>39071554</v>
          </cell>
          <cell r="J162">
            <v>36642362</v>
          </cell>
          <cell r="K162">
            <v>2429192</v>
          </cell>
          <cell r="L162">
            <v>960.81529570884049</v>
          </cell>
          <cell r="M162">
            <v>1188.2210908619236</v>
          </cell>
          <cell r="N162">
            <v>247.1956853566704</v>
          </cell>
          <cell r="P162">
            <v>179261</v>
          </cell>
          <cell r="Q162">
            <v>136731</v>
          </cell>
          <cell r="R162">
            <v>42530</v>
          </cell>
          <cell r="T162">
            <v>128.9</v>
          </cell>
          <cell r="U162">
            <v>82.5</v>
          </cell>
          <cell r="V162">
            <v>46.4</v>
          </cell>
          <cell r="X162">
            <v>174340</v>
          </cell>
          <cell r="Y162">
            <v>18516</v>
          </cell>
          <cell r="AB162">
            <v>57180.904200000004</v>
          </cell>
          <cell r="AC162">
            <v>79550.095799999996</v>
          </cell>
          <cell r="AE162">
            <v>675328</v>
          </cell>
          <cell r="AF162">
            <v>4.9390993995509431</v>
          </cell>
          <cell r="AR162">
            <v>21232</v>
          </cell>
          <cell r="AS162">
            <v>9501</v>
          </cell>
          <cell r="AT162">
            <v>45214</v>
          </cell>
          <cell r="AU162">
            <v>16373</v>
          </cell>
          <cell r="AV162">
            <v>11571</v>
          </cell>
          <cell r="AW162">
            <v>17410</v>
          </cell>
          <cell r="AX162">
            <v>4176</v>
          </cell>
          <cell r="AZ162">
            <v>11254</v>
          </cell>
          <cell r="CS162">
            <v>7055.3195999999998</v>
          </cell>
          <cell r="CT162">
            <v>18663.781500000001</v>
          </cell>
          <cell r="CU162">
            <v>15067.756200000002</v>
          </cell>
          <cell r="CV162">
            <v>75078.992100000003</v>
          </cell>
          <cell r="CW162">
            <v>20865.150600000001</v>
          </cell>
        </row>
        <row r="163">
          <cell r="E163">
            <v>44682</v>
          </cell>
          <cell r="F163">
            <v>50948</v>
          </cell>
          <cell r="G163">
            <v>40105</v>
          </cell>
          <cell r="H163">
            <v>10843</v>
          </cell>
          <cell r="I163">
            <v>49096524.000000007</v>
          </cell>
          <cell r="J163">
            <v>45794967.000000007</v>
          </cell>
          <cell r="K163">
            <v>3301557</v>
          </cell>
          <cell r="L163">
            <v>963.65949595666189</v>
          </cell>
          <cell r="M163">
            <v>1141.8767485350957</v>
          </cell>
          <cell r="N163">
            <v>304.48741123305359</v>
          </cell>
          <cell r="P163">
            <v>218597</v>
          </cell>
          <cell r="Q163">
            <v>175214</v>
          </cell>
          <cell r="R163">
            <v>43383</v>
          </cell>
          <cell r="T163">
            <v>123.9</v>
          </cell>
          <cell r="U163">
            <v>85.2</v>
          </cell>
          <cell r="V163">
            <v>38.700000000000003</v>
          </cell>
          <cell r="X163">
            <v>188956</v>
          </cell>
          <cell r="Y163">
            <v>22350</v>
          </cell>
          <cell r="AB163">
            <v>84102.720000000001</v>
          </cell>
          <cell r="AC163">
            <v>91111.28</v>
          </cell>
          <cell r="AE163">
            <v>849634</v>
          </cell>
          <cell r="AF163">
            <v>4.8491216455306079</v>
          </cell>
          <cell r="AR163">
            <v>25360</v>
          </cell>
          <cell r="AS163">
            <v>24293</v>
          </cell>
          <cell r="AT163">
            <v>51768</v>
          </cell>
          <cell r="AU163">
            <v>17365</v>
          </cell>
          <cell r="AV163">
            <v>13464</v>
          </cell>
          <cell r="AW163">
            <v>19274</v>
          </cell>
          <cell r="AX163">
            <v>4244</v>
          </cell>
          <cell r="AZ163">
            <v>19446</v>
          </cell>
          <cell r="CS163">
            <v>8357.7078000000001</v>
          </cell>
          <cell r="CT163">
            <v>22059.442600000002</v>
          </cell>
          <cell r="CU163">
            <v>17276.100399999999</v>
          </cell>
          <cell r="CV163">
            <v>101939.5052</v>
          </cell>
          <cell r="CW163">
            <v>25563.722600000001</v>
          </cell>
        </row>
        <row r="164">
          <cell r="E164">
            <v>44713</v>
          </cell>
          <cell r="F164">
            <v>46078</v>
          </cell>
          <cell r="G164">
            <v>36843</v>
          </cell>
          <cell r="H164">
            <v>9235</v>
          </cell>
          <cell r="I164">
            <v>44690438.999999993</v>
          </cell>
          <cell r="J164">
            <v>42622367.999999993</v>
          </cell>
          <cell r="K164">
            <v>2068071</v>
          </cell>
          <cell r="L164">
            <v>969.88669213073467</v>
          </cell>
          <cell r="M164">
            <v>1156.8647504274895</v>
          </cell>
          <cell r="N164">
            <v>223.9383865728208</v>
          </cell>
          <cell r="P164">
            <v>210351</v>
          </cell>
          <cell r="Q164">
            <v>165688</v>
          </cell>
          <cell r="R164">
            <v>44663</v>
          </cell>
          <cell r="T164">
            <v>145.5</v>
          </cell>
          <cell r="U164">
            <v>102.2</v>
          </cell>
          <cell r="V164">
            <v>43.3</v>
          </cell>
          <cell r="X164">
            <v>187237</v>
          </cell>
          <cell r="Y164">
            <v>26387</v>
          </cell>
          <cell r="AB164">
            <v>83440.476800000004</v>
          </cell>
          <cell r="AC164">
            <v>82247.523199999996</v>
          </cell>
          <cell r="AE164">
            <v>843703</v>
          </cell>
          <cell r="AF164">
            <v>5.0921189223118146</v>
          </cell>
          <cell r="AR164">
            <v>19100</v>
          </cell>
          <cell r="AS164">
            <v>24804</v>
          </cell>
          <cell r="AT164">
            <v>46511</v>
          </cell>
          <cell r="AU164">
            <v>16458</v>
          </cell>
          <cell r="AV164">
            <v>16673</v>
          </cell>
          <cell r="AW164">
            <v>16652</v>
          </cell>
          <cell r="AX164">
            <v>4016</v>
          </cell>
          <cell r="AZ164">
            <v>21474</v>
          </cell>
          <cell r="CS164">
            <v>8483.2255999999998</v>
          </cell>
          <cell r="CT164">
            <v>20230.504799999999</v>
          </cell>
          <cell r="CU164">
            <v>17496.6528</v>
          </cell>
          <cell r="CV164">
            <v>94906.0864</v>
          </cell>
          <cell r="CW164">
            <v>24571.5304</v>
          </cell>
        </row>
        <row r="165">
          <cell r="E165">
            <v>44743</v>
          </cell>
          <cell r="F165">
            <v>56429</v>
          </cell>
          <cell r="G165">
            <v>44886</v>
          </cell>
          <cell r="H165">
            <v>11543</v>
          </cell>
          <cell r="I165">
            <v>60530933</v>
          </cell>
          <cell r="J165">
            <v>57958447</v>
          </cell>
          <cell r="K165">
            <v>2572486</v>
          </cell>
          <cell r="L165">
            <v>1072.6919314536851</v>
          </cell>
          <cell r="M165">
            <v>1291.2366216637704</v>
          </cell>
          <cell r="N165">
            <v>222.86112795633719</v>
          </cell>
          <cell r="P165">
            <v>208561</v>
          </cell>
          <cell r="Q165">
            <v>169197</v>
          </cell>
          <cell r="R165">
            <v>39364</v>
          </cell>
          <cell r="T165">
            <v>150</v>
          </cell>
          <cell r="U165">
            <v>100.5</v>
          </cell>
          <cell r="V165">
            <v>49.5</v>
          </cell>
          <cell r="X165">
            <v>203096</v>
          </cell>
          <cell r="Y165">
            <v>22121</v>
          </cell>
          <cell r="AB165">
            <v>87271.812600000005</v>
          </cell>
          <cell r="AC165">
            <v>81925.187399999995</v>
          </cell>
          <cell r="AE165">
            <v>871250</v>
          </cell>
          <cell r="AF165">
            <v>5.1493229785398089</v>
          </cell>
          <cell r="AR165">
            <v>27941</v>
          </cell>
          <cell r="AS165">
            <v>27415</v>
          </cell>
          <cell r="AT165">
            <v>46065</v>
          </cell>
          <cell r="AU165">
            <v>16769</v>
          </cell>
          <cell r="AV165">
            <v>17568</v>
          </cell>
          <cell r="AW165">
            <v>14239</v>
          </cell>
          <cell r="AX165">
            <v>3975</v>
          </cell>
          <cell r="AZ165">
            <v>15225</v>
          </cell>
          <cell r="CS165">
            <v>8612.1273000000001</v>
          </cell>
          <cell r="CT165">
            <v>21572.6175</v>
          </cell>
          <cell r="CU165">
            <v>16361.349899999999</v>
          </cell>
          <cell r="CV165">
            <v>97254.435599999997</v>
          </cell>
          <cell r="CW165">
            <v>25396.469700000001</v>
          </cell>
        </row>
        <row r="166">
          <cell r="E166">
            <v>44774</v>
          </cell>
          <cell r="F166">
            <v>54354</v>
          </cell>
          <cell r="G166">
            <v>44639</v>
          </cell>
          <cell r="H166">
            <v>9715</v>
          </cell>
          <cell r="I166">
            <v>56137959</v>
          </cell>
          <cell r="J166">
            <v>53706101</v>
          </cell>
          <cell r="K166">
            <v>2431857.9999999995</v>
          </cell>
          <cell r="L166">
            <v>1032.8211171210951</v>
          </cell>
          <cell r="M166">
            <v>1203.1206120208785</v>
          </cell>
          <cell r="N166">
            <v>250.31991765311369</v>
          </cell>
          <cell r="P166">
            <v>238171</v>
          </cell>
          <cell r="Q166">
            <v>194394</v>
          </cell>
          <cell r="R166">
            <v>43777</v>
          </cell>
          <cell r="T166">
            <v>164.8</v>
          </cell>
          <cell r="U166">
            <v>110.4</v>
          </cell>
          <cell r="V166">
            <v>54.4</v>
          </cell>
          <cell r="X166">
            <v>217174</v>
          </cell>
          <cell r="Y166">
            <v>23491</v>
          </cell>
          <cell r="AB166">
            <v>106838.9424</v>
          </cell>
          <cell r="AC166">
            <v>87555.0576</v>
          </cell>
          <cell r="AE166">
            <v>968779</v>
          </cell>
          <cell r="AF166">
            <v>4.9835848843071284</v>
          </cell>
          <cell r="AR166">
            <v>30546</v>
          </cell>
          <cell r="AS166">
            <v>32626</v>
          </cell>
          <cell r="AT166">
            <v>56585</v>
          </cell>
          <cell r="AU166">
            <v>15400</v>
          </cell>
          <cell r="AV166">
            <v>18088</v>
          </cell>
          <cell r="AW166">
            <v>17791</v>
          </cell>
          <cell r="AX166">
            <v>4081</v>
          </cell>
          <cell r="AZ166">
            <v>19277</v>
          </cell>
          <cell r="CS166">
            <v>9428.1090000000004</v>
          </cell>
          <cell r="CT166">
            <v>23793.8256</v>
          </cell>
          <cell r="CU166">
            <v>18681.2634</v>
          </cell>
          <cell r="CV166">
            <v>113642.73240000001</v>
          </cell>
          <cell r="CW166">
            <v>28848.069600000003</v>
          </cell>
        </row>
        <row r="167">
          <cell r="E167">
            <v>44805</v>
          </cell>
          <cell r="F167">
            <v>55283</v>
          </cell>
          <cell r="G167">
            <v>46362</v>
          </cell>
          <cell r="H167">
            <v>8921</v>
          </cell>
          <cell r="I167">
            <v>54495256</v>
          </cell>
          <cell r="J167">
            <v>51369130</v>
          </cell>
          <cell r="K167">
            <v>3126126</v>
          </cell>
          <cell r="L167">
            <v>985.75070093880583</v>
          </cell>
          <cell r="M167">
            <v>1108.0007333592166</v>
          </cell>
          <cell r="N167">
            <v>350.42327093375184</v>
          </cell>
          <cell r="P167">
            <v>206284</v>
          </cell>
          <cell r="Q167">
            <v>180836</v>
          </cell>
          <cell r="R167">
            <v>25448</v>
          </cell>
          <cell r="T167">
            <v>176.3</v>
          </cell>
          <cell r="U167">
            <v>112.1</v>
          </cell>
          <cell r="V167">
            <v>64.2</v>
          </cell>
          <cell r="X167">
            <v>189007</v>
          </cell>
          <cell r="Y167">
            <v>24417</v>
          </cell>
          <cell r="AB167">
            <v>95101.652400000006</v>
          </cell>
          <cell r="AC167">
            <v>85734.347599999994</v>
          </cell>
          <cell r="AE167">
            <v>933235</v>
          </cell>
          <cell r="AF167">
            <v>5.1606704417262046</v>
          </cell>
          <cell r="AR167">
            <v>29303</v>
          </cell>
          <cell r="AS167">
            <v>26156</v>
          </cell>
          <cell r="AT167">
            <v>49990</v>
          </cell>
          <cell r="AU167">
            <v>14988</v>
          </cell>
          <cell r="AV167">
            <v>17162</v>
          </cell>
          <cell r="AW167">
            <v>16336</v>
          </cell>
          <cell r="AX167">
            <v>6154</v>
          </cell>
          <cell r="AZ167">
            <v>20747</v>
          </cell>
          <cell r="CS167">
            <v>9258.8032000000003</v>
          </cell>
          <cell r="CT167">
            <v>22694.918000000001</v>
          </cell>
          <cell r="CU167">
            <v>17143.252799999998</v>
          </cell>
          <cell r="CV167">
            <v>103040.35279999999</v>
          </cell>
          <cell r="CW167">
            <v>28680.589599999999</v>
          </cell>
        </row>
        <row r="168">
          <cell r="E168">
            <v>44835</v>
          </cell>
          <cell r="F168">
            <v>53005</v>
          </cell>
          <cell r="G168">
            <v>43842</v>
          </cell>
          <cell r="H168">
            <v>9163</v>
          </cell>
          <cell r="I168">
            <v>51676200</v>
          </cell>
          <cell r="J168">
            <v>49269499</v>
          </cell>
          <cell r="K168">
            <v>2406701</v>
          </cell>
          <cell r="L168">
            <v>974.93066691821525</v>
          </cell>
          <cell r="M168">
            <v>1123.7967930295151</v>
          </cell>
          <cell r="N168">
            <v>262.65426170468186</v>
          </cell>
          <cell r="P168">
            <v>207879</v>
          </cell>
          <cell r="Q168">
            <v>168701</v>
          </cell>
          <cell r="R168">
            <v>39178</v>
          </cell>
          <cell r="T168">
            <v>188.89999999999998</v>
          </cell>
          <cell r="U168">
            <v>114.6</v>
          </cell>
          <cell r="V168">
            <v>74.3</v>
          </cell>
          <cell r="X168">
            <v>187336</v>
          </cell>
          <cell r="Y168">
            <v>21464</v>
          </cell>
          <cell r="AB168">
            <v>89833.282500000001</v>
          </cell>
          <cell r="AC168">
            <v>78867.717499999999</v>
          </cell>
          <cell r="AE168">
            <v>828862</v>
          </cell>
          <cell r="AF168">
            <v>4.9132014629433138</v>
          </cell>
          <cell r="AR168">
            <v>28163</v>
          </cell>
          <cell r="AS168">
            <v>23728</v>
          </cell>
          <cell r="AT168">
            <v>49088</v>
          </cell>
          <cell r="AU168">
            <v>15363</v>
          </cell>
          <cell r="AV168">
            <v>14774</v>
          </cell>
          <cell r="AW168">
            <v>16340</v>
          </cell>
          <cell r="AX168">
            <v>5065</v>
          </cell>
          <cell r="AZ168">
            <v>16180</v>
          </cell>
          <cell r="CS168">
            <v>8266.3490000000002</v>
          </cell>
          <cell r="CT168">
            <v>21003.2745</v>
          </cell>
          <cell r="CU168">
            <v>14980.648800000001</v>
          </cell>
          <cell r="CV168">
            <v>95552.246400000004</v>
          </cell>
          <cell r="CW168">
            <v>28915.3514</v>
          </cell>
        </row>
        <row r="169">
          <cell r="E169">
            <v>44866</v>
          </cell>
          <cell r="F169">
            <v>53514</v>
          </cell>
          <cell r="G169">
            <v>45764</v>
          </cell>
          <cell r="H169">
            <v>7750</v>
          </cell>
          <cell r="I169">
            <v>57335602</v>
          </cell>
          <cell r="J169">
            <v>54258801</v>
          </cell>
          <cell r="K169">
            <v>3076801</v>
          </cell>
          <cell r="L169">
            <v>1071.4131255372426</v>
          </cell>
          <cell r="M169">
            <v>1185.6219080499957</v>
          </cell>
          <cell r="N169">
            <v>397.00658064516131</v>
          </cell>
          <cell r="P169">
            <v>232733</v>
          </cell>
          <cell r="Q169">
            <v>192052</v>
          </cell>
          <cell r="R169">
            <v>40681</v>
          </cell>
          <cell r="T169">
            <v>198</v>
          </cell>
          <cell r="U169">
            <v>122.5</v>
          </cell>
          <cell r="V169">
            <v>75.5</v>
          </cell>
          <cell r="X169">
            <v>197706</v>
          </cell>
          <cell r="Y169">
            <v>29416</v>
          </cell>
          <cell r="AB169">
            <v>108067.66039999999</v>
          </cell>
          <cell r="AC169">
            <v>83984.339600000007</v>
          </cell>
          <cell r="AE169">
            <v>826808</v>
          </cell>
          <cell r="AF169">
            <v>4.3051256951242376</v>
          </cell>
          <cell r="AR169">
            <v>27063</v>
          </cell>
          <cell r="AS169">
            <v>29757</v>
          </cell>
          <cell r="AT169">
            <v>58644</v>
          </cell>
          <cell r="AU169">
            <v>17519</v>
          </cell>
          <cell r="AV169">
            <v>17096</v>
          </cell>
          <cell r="AW169">
            <v>16163</v>
          </cell>
          <cell r="AX169">
            <v>5435</v>
          </cell>
          <cell r="AZ169">
            <v>20375</v>
          </cell>
          <cell r="CS169">
            <v>8488.6984000000011</v>
          </cell>
          <cell r="CT169">
            <v>22527.6996</v>
          </cell>
          <cell r="CU169">
            <v>16382.035599999999</v>
          </cell>
          <cell r="CV169">
            <v>115154.37920000001</v>
          </cell>
          <cell r="CW169">
            <v>29499.187199999997</v>
          </cell>
        </row>
        <row r="170">
          <cell r="E170">
            <v>44896</v>
          </cell>
          <cell r="F170">
            <v>58381</v>
          </cell>
          <cell r="G170">
            <v>50124</v>
          </cell>
          <cell r="H170">
            <v>8257</v>
          </cell>
          <cell r="I170">
            <v>60456823</v>
          </cell>
          <cell r="J170">
            <v>56892927</v>
          </cell>
          <cell r="K170">
            <v>3563896</v>
          </cell>
          <cell r="L170">
            <v>1035.5564824172247</v>
          </cell>
          <cell r="M170">
            <v>1135.0436317931531</v>
          </cell>
          <cell r="N170">
            <v>431.62116991643455</v>
          </cell>
          <cell r="P170">
            <v>231010</v>
          </cell>
          <cell r="Q170">
            <v>202155</v>
          </cell>
          <cell r="R170">
            <v>28855</v>
          </cell>
          <cell r="T170">
            <v>188</v>
          </cell>
          <cell r="U170">
            <v>128.30000000000001</v>
          </cell>
          <cell r="V170">
            <v>59.7</v>
          </cell>
          <cell r="X170">
            <v>175274</v>
          </cell>
          <cell r="Y170">
            <v>28875</v>
          </cell>
          <cell r="AB170">
            <v>108941.32950000001</v>
          </cell>
          <cell r="AC170">
            <v>93213.670499999993</v>
          </cell>
          <cell r="AE170">
            <v>1001418</v>
          </cell>
          <cell r="AF170">
            <v>4.9537137345106474</v>
          </cell>
          <cell r="AR170">
            <v>32553</v>
          </cell>
          <cell r="AS170">
            <v>33242</v>
          </cell>
          <cell r="AT170">
            <v>55997</v>
          </cell>
          <cell r="AU170">
            <v>20796</v>
          </cell>
          <cell r="AV170">
            <v>16889</v>
          </cell>
          <cell r="AW170">
            <v>16495</v>
          </cell>
          <cell r="AX170">
            <v>6037</v>
          </cell>
          <cell r="AZ170">
            <v>20146</v>
          </cell>
          <cell r="CS170">
            <v>10532.2755</v>
          </cell>
          <cell r="CT170">
            <v>27129.201000000005</v>
          </cell>
          <cell r="CU170">
            <v>18476.967000000001</v>
          </cell>
          <cell r="CV170">
            <v>111892.7925</v>
          </cell>
          <cell r="CW170">
            <v>34123.764000000003</v>
          </cell>
        </row>
        <row r="171">
          <cell r="E171">
            <v>44927</v>
          </cell>
          <cell r="F171">
            <v>37808</v>
          </cell>
          <cell r="G171">
            <v>31629</v>
          </cell>
          <cell r="H171">
            <v>6179</v>
          </cell>
          <cell r="I171">
            <v>40109283</v>
          </cell>
          <cell r="J171">
            <v>38029731</v>
          </cell>
          <cell r="K171">
            <v>2079552</v>
          </cell>
          <cell r="L171">
            <v>1060.8676206093949</v>
          </cell>
          <cell r="M171">
            <v>1202.3690600398368</v>
          </cell>
          <cell r="N171">
            <v>336.55154555753359</v>
          </cell>
          <cell r="P171">
            <v>162413</v>
          </cell>
          <cell r="Q171">
            <v>130681</v>
          </cell>
          <cell r="R171">
            <v>31732</v>
          </cell>
          <cell r="T171">
            <v>180.8</v>
          </cell>
          <cell r="U171">
            <v>112.5</v>
          </cell>
          <cell r="V171">
            <v>68.3</v>
          </cell>
          <cell r="X171">
            <v>147835</v>
          </cell>
          <cell r="Y171">
            <v>19859</v>
          </cell>
          <cell r="AB171">
            <v>57460.435699999995</v>
          </cell>
          <cell r="AC171">
            <v>73220.564299999998</v>
          </cell>
          <cell r="AE171">
            <v>784651</v>
          </cell>
          <cell r="AF171">
            <v>6.0043235053297721</v>
          </cell>
          <cell r="AR171">
            <v>22679</v>
          </cell>
          <cell r="AS171">
            <v>20044</v>
          </cell>
          <cell r="AT171">
            <v>28587</v>
          </cell>
          <cell r="AU171">
            <v>12422</v>
          </cell>
          <cell r="AV171">
            <v>6987</v>
          </cell>
          <cell r="AW171">
            <v>11520</v>
          </cell>
          <cell r="AX171">
            <v>3273</v>
          </cell>
          <cell r="AZ171">
            <v>25169</v>
          </cell>
          <cell r="CS171">
            <v>7109.0463999999993</v>
          </cell>
          <cell r="CT171">
            <v>19758.967199999999</v>
          </cell>
          <cell r="CU171">
            <v>13826.049800000001</v>
          </cell>
          <cell r="CV171">
            <v>67705.826100000006</v>
          </cell>
          <cell r="CW171">
            <v>22281.110500000003</v>
          </cell>
        </row>
        <row r="172">
          <cell r="E172">
            <v>44958</v>
          </cell>
          <cell r="F172">
            <v>39226</v>
          </cell>
          <cell r="G172">
            <v>31500</v>
          </cell>
          <cell r="H172">
            <v>7726</v>
          </cell>
          <cell r="I172">
            <v>37565323</v>
          </cell>
          <cell r="J172">
            <v>34340074</v>
          </cell>
          <cell r="K172">
            <v>3225249</v>
          </cell>
          <cell r="L172">
            <v>957.66387090195281</v>
          </cell>
          <cell r="M172">
            <v>1090.1610793650793</v>
          </cell>
          <cell r="N172">
            <v>417.45392182241778</v>
          </cell>
          <cell r="P172">
            <v>153649</v>
          </cell>
          <cell r="Q172">
            <v>119906</v>
          </cell>
          <cell r="R172">
            <v>33743</v>
          </cell>
          <cell r="T172">
            <v>187.39999999999998</v>
          </cell>
          <cell r="U172">
            <v>116.1</v>
          </cell>
          <cell r="V172">
            <v>71.3</v>
          </cell>
          <cell r="X172">
            <v>152120</v>
          </cell>
          <cell r="Y172">
            <v>16869</v>
          </cell>
          <cell r="AB172">
            <v>52602.762199999997</v>
          </cell>
          <cell r="AC172">
            <v>67303.237800000003</v>
          </cell>
          <cell r="AE172">
            <v>726577</v>
          </cell>
          <cell r="AF172">
            <v>6.0595549847380452</v>
          </cell>
          <cell r="AR172">
            <v>18571</v>
          </cell>
          <cell r="AS172">
            <v>16278</v>
          </cell>
          <cell r="AT172">
            <v>26606</v>
          </cell>
          <cell r="AU172">
            <v>12348</v>
          </cell>
          <cell r="AV172">
            <v>7652</v>
          </cell>
          <cell r="AW172">
            <v>8721</v>
          </cell>
          <cell r="AX172">
            <v>4183</v>
          </cell>
          <cell r="AZ172">
            <v>25547</v>
          </cell>
          <cell r="CS172">
            <v>6462.9334000000008</v>
          </cell>
          <cell r="CT172">
            <v>16594.990399999999</v>
          </cell>
          <cell r="CU172">
            <v>13309.566000000001</v>
          </cell>
          <cell r="CV172">
            <v>62914.678200000009</v>
          </cell>
          <cell r="CW172">
            <v>20623.831999999999</v>
          </cell>
        </row>
        <row r="173">
          <cell r="E173">
            <v>44986</v>
          </cell>
          <cell r="F173">
            <v>60777</v>
          </cell>
          <cell r="G173">
            <v>51153</v>
          </cell>
          <cell r="H173">
            <v>9624</v>
          </cell>
          <cell r="I173">
            <v>59078918.000000007</v>
          </cell>
          <cell r="J173">
            <v>55772458.000000007</v>
          </cell>
          <cell r="K173">
            <v>3306460.0000000005</v>
          </cell>
          <cell r="L173">
            <v>972.06045049936665</v>
          </cell>
          <cell r="M173">
            <v>1090.306687779798</v>
          </cell>
          <cell r="N173">
            <v>343.56400665004162</v>
          </cell>
          <cell r="P173">
            <v>229765</v>
          </cell>
          <cell r="Q173">
            <v>186353</v>
          </cell>
          <cell r="R173">
            <v>43412</v>
          </cell>
          <cell r="T173">
            <v>203.89999999999998</v>
          </cell>
          <cell r="U173">
            <v>131.6</v>
          </cell>
          <cell r="V173">
            <v>72.3</v>
          </cell>
          <cell r="X173">
            <v>207552</v>
          </cell>
          <cell r="Y173">
            <v>26475</v>
          </cell>
          <cell r="AB173">
            <v>91033.440499999997</v>
          </cell>
          <cell r="AC173">
            <v>95319.559500000003</v>
          </cell>
          <cell r="AE173">
            <v>953882</v>
          </cell>
          <cell r="AF173">
            <v>5.1186833590014649</v>
          </cell>
          <cell r="AR173">
            <v>29972</v>
          </cell>
          <cell r="AS173">
            <v>23390</v>
          </cell>
          <cell r="AT173">
            <v>41449</v>
          </cell>
          <cell r="AU173">
            <v>17290</v>
          </cell>
          <cell r="AV173">
            <v>11673</v>
          </cell>
          <cell r="AW173">
            <v>16261</v>
          </cell>
          <cell r="AX173">
            <v>6729</v>
          </cell>
          <cell r="AY173">
            <v>209</v>
          </cell>
          <cell r="AZ173">
            <v>39380</v>
          </cell>
          <cell r="CS173">
            <v>8851.7674999999999</v>
          </cell>
          <cell r="CT173">
            <v>24449.513600000002</v>
          </cell>
          <cell r="CU173">
            <v>18467.582299999998</v>
          </cell>
          <cell r="CV173">
            <v>102158.71460000001</v>
          </cell>
          <cell r="CW173">
            <v>32444.0573</v>
          </cell>
        </row>
        <row r="174">
          <cell r="E174">
            <v>45017</v>
          </cell>
          <cell r="F174">
            <v>49697</v>
          </cell>
          <cell r="G174">
            <v>40181</v>
          </cell>
          <cell r="H174">
            <v>9516</v>
          </cell>
          <cell r="I174">
            <v>47271047</v>
          </cell>
          <cell r="J174">
            <v>43925860</v>
          </cell>
          <cell r="K174">
            <v>3345187.0000000005</v>
          </cell>
          <cell r="L174">
            <v>951.18512183834036</v>
          </cell>
          <cell r="M174">
            <v>1093.1997710360617</v>
          </cell>
          <cell r="N174">
            <v>351.53289197141663</v>
          </cell>
          <cell r="P174">
            <v>184169</v>
          </cell>
          <cell r="Q174">
            <v>151497</v>
          </cell>
          <cell r="R174">
            <v>32672</v>
          </cell>
          <cell r="T174">
            <v>206.1</v>
          </cell>
          <cell r="U174">
            <v>132.6</v>
          </cell>
          <cell r="V174">
            <v>73.5</v>
          </cell>
          <cell r="X174">
            <v>169970</v>
          </cell>
          <cell r="Y174">
            <v>21772</v>
          </cell>
          <cell r="AB174">
            <v>75384.907200000001</v>
          </cell>
          <cell r="AC174">
            <v>76112.092799999999</v>
          </cell>
          <cell r="AE174">
            <v>757546</v>
          </cell>
          <cell r="AF174">
            <v>5.0004026482372588</v>
          </cell>
          <cell r="AR174">
            <v>24376</v>
          </cell>
          <cell r="AS174">
            <v>21507</v>
          </cell>
          <cell r="AT174">
            <v>33413</v>
          </cell>
          <cell r="AU174">
            <v>14278</v>
          </cell>
          <cell r="AV174">
            <v>8166</v>
          </cell>
          <cell r="AW174">
            <v>13731</v>
          </cell>
          <cell r="AX174">
            <v>6553</v>
          </cell>
          <cell r="AY174">
            <v>127</v>
          </cell>
          <cell r="AZ174">
            <v>29346</v>
          </cell>
          <cell r="CS174">
            <v>7120.3590000000004</v>
          </cell>
          <cell r="CT174">
            <v>20603.592000000001</v>
          </cell>
          <cell r="CU174">
            <v>15785.9874</v>
          </cell>
          <cell r="CV174">
            <v>83641.493700000006</v>
          </cell>
          <cell r="CW174">
            <v>25163.651699999999</v>
          </cell>
        </row>
        <row r="175">
          <cell r="E175">
            <v>45047</v>
          </cell>
          <cell r="F175">
            <v>53255</v>
          </cell>
          <cell r="G175">
            <v>44795</v>
          </cell>
          <cell r="H175">
            <v>8460</v>
          </cell>
          <cell r="I175">
            <v>51474361</v>
          </cell>
          <cell r="J175">
            <v>48495022</v>
          </cell>
          <cell r="K175">
            <v>2979339</v>
          </cell>
          <cell r="L175">
            <v>966.5639094920665</v>
          </cell>
          <cell r="M175">
            <v>1082.5989954235963</v>
          </cell>
          <cell r="N175">
            <v>352.16773049645388</v>
          </cell>
          <cell r="P175">
            <v>210313</v>
          </cell>
          <cell r="Q175">
            <v>166381</v>
          </cell>
          <cell r="R175">
            <v>43932</v>
          </cell>
          <cell r="T175">
            <v>251.7</v>
          </cell>
          <cell r="U175">
            <v>129.5</v>
          </cell>
          <cell r="V175">
            <v>122.2</v>
          </cell>
          <cell r="X175">
            <v>217575</v>
          </cell>
          <cell r="Y175">
            <v>26766</v>
          </cell>
          <cell r="AB175">
            <v>79763.051399999997</v>
          </cell>
          <cell r="AC175">
            <v>86617.948600000003</v>
          </cell>
          <cell r="AE175">
            <v>930599</v>
          </cell>
          <cell r="AF175">
            <v>5.5931807117399224</v>
          </cell>
          <cell r="AR175">
            <v>26192</v>
          </cell>
          <cell r="AS175">
            <v>27384</v>
          </cell>
          <cell r="AT175">
            <v>34437</v>
          </cell>
          <cell r="AU175">
            <v>16442</v>
          </cell>
          <cell r="AV175">
            <v>7961</v>
          </cell>
          <cell r="AW175">
            <v>10918</v>
          </cell>
          <cell r="AX175">
            <v>6706</v>
          </cell>
          <cell r="AY175">
            <v>363</v>
          </cell>
          <cell r="AZ175">
            <v>35978</v>
          </cell>
          <cell r="CS175">
            <v>8601.8977000000014</v>
          </cell>
          <cell r="CT175">
            <v>24025.416400000002</v>
          </cell>
          <cell r="CU175">
            <v>17386.8145</v>
          </cell>
          <cell r="CV175">
            <v>87466.491699999984</v>
          </cell>
          <cell r="CW175">
            <v>28900.379699999998</v>
          </cell>
        </row>
        <row r="176">
          <cell r="E176">
            <v>45078</v>
          </cell>
          <cell r="F176">
            <v>54068</v>
          </cell>
          <cell r="G176">
            <v>45517</v>
          </cell>
          <cell r="H176">
            <v>8551</v>
          </cell>
          <cell r="I176">
            <v>51679301</v>
          </cell>
          <cell r="J176">
            <v>49051722</v>
          </cell>
          <cell r="K176">
            <v>2627578.9999999995</v>
          </cell>
          <cell r="L176">
            <v>955.82046681956058</v>
          </cell>
          <cell r="M176">
            <v>1077.6571830305161</v>
          </cell>
          <cell r="N176">
            <v>307.28324172611383</v>
          </cell>
          <cell r="P176">
            <v>214420</v>
          </cell>
          <cell r="Q176">
            <v>179870</v>
          </cell>
          <cell r="R176">
            <v>34550</v>
          </cell>
          <cell r="T176">
            <v>223.6</v>
          </cell>
          <cell r="U176">
            <v>138.1</v>
          </cell>
          <cell r="V176">
            <v>85.5</v>
          </cell>
          <cell r="X176">
            <v>180204</v>
          </cell>
          <cell r="Y176">
            <v>27455</v>
          </cell>
          <cell r="AB176">
            <v>78315.398000000001</v>
          </cell>
          <cell r="AC176">
            <v>101554.602</v>
          </cell>
          <cell r="AE176">
            <v>864283</v>
          </cell>
          <cell r="AF176">
            <v>4.8050425307166282</v>
          </cell>
          <cell r="AR176">
            <v>27097</v>
          </cell>
          <cell r="AS176">
            <v>29766</v>
          </cell>
          <cell r="AT176">
            <v>42398</v>
          </cell>
          <cell r="AU176">
            <v>15388</v>
          </cell>
          <cell r="AV176">
            <v>10579</v>
          </cell>
          <cell r="AW176">
            <v>12460</v>
          </cell>
          <cell r="AX176">
            <v>6666</v>
          </cell>
          <cell r="AY176">
            <v>411</v>
          </cell>
          <cell r="AZ176">
            <v>35105</v>
          </cell>
          <cell r="CS176">
            <v>8687.7210000000014</v>
          </cell>
          <cell r="CT176">
            <v>24768.098999999998</v>
          </cell>
          <cell r="CU176">
            <v>18418.688000000002</v>
          </cell>
          <cell r="CV176">
            <v>96662.137999999992</v>
          </cell>
          <cell r="CW176">
            <v>31333.353999999999</v>
          </cell>
        </row>
        <row r="177">
          <cell r="E177">
            <v>45108</v>
          </cell>
          <cell r="F177">
            <v>55500</v>
          </cell>
          <cell r="G177">
            <v>50765</v>
          </cell>
          <cell r="H177">
            <v>4735</v>
          </cell>
          <cell r="I177">
            <v>59178647</v>
          </cell>
          <cell r="J177">
            <v>57471021</v>
          </cell>
          <cell r="K177">
            <v>1707626</v>
          </cell>
          <cell r="L177">
            <v>1066.2819279279279</v>
          </cell>
          <cell r="M177">
            <v>1132.0993006993008</v>
          </cell>
          <cell r="N177">
            <v>360.63907074973599</v>
          </cell>
          <cell r="P177">
            <v>244300</v>
          </cell>
          <cell r="Q177">
            <v>215722</v>
          </cell>
          <cell r="R177">
            <v>28578</v>
          </cell>
          <cell r="T177">
            <v>198.8</v>
          </cell>
          <cell r="U177">
            <v>125.2</v>
          </cell>
          <cell r="V177">
            <v>73.599999999999994</v>
          </cell>
          <cell r="X177">
            <v>174364</v>
          </cell>
          <cell r="Y177">
            <v>29182</v>
          </cell>
          <cell r="AB177">
            <v>101777.63959999999</v>
          </cell>
          <cell r="AC177">
            <v>113944.36040000001</v>
          </cell>
          <cell r="AE177">
            <v>905343</v>
          </cell>
          <cell r="AF177">
            <v>4.1968042202464284</v>
          </cell>
          <cell r="AR177">
            <v>29630</v>
          </cell>
          <cell r="AS177">
            <v>41550</v>
          </cell>
          <cell r="AT177">
            <v>44407</v>
          </cell>
          <cell r="AU177">
            <v>17232</v>
          </cell>
          <cell r="AV177">
            <v>13970</v>
          </cell>
          <cell r="AW177">
            <v>22278</v>
          </cell>
          <cell r="AX177">
            <v>6720</v>
          </cell>
          <cell r="AY177">
            <v>776</v>
          </cell>
          <cell r="AZ177">
            <v>39159</v>
          </cell>
          <cell r="CS177">
            <v>9642.7734</v>
          </cell>
          <cell r="CT177">
            <v>29187.186600000001</v>
          </cell>
          <cell r="CU177">
            <v>20428.8734</v>
          </cell>
          <cell r="CV177">
            <v>124536.31060000001</v>
          </cell>
          <cell r="CW177">
            <v>31905.283800000001</v>
          </cell>
        </row>
        <row r="178">
          <cell r="E178">
            <v>45139</v>
          </cell>
          <cell r="F178">
            <v>56543</v>
          </cell>
          <cell r="G178">
            <v>49529</v>
          </cell>
          <cell r="H178">
            <v>7014</v>
          </cell>
          <cell r="I178">
            <v>58406348</v>
          </cell>
          <cell r="J178">
            <v>56462060</v>
          </cell>
          <cell r="K178">
            <v>1944288</v>
          </cell>
          <cell r="L178">
            <v>1032.9545301805706</v>
          </cell>
          <cell r="M178">
            <v>1139.979809808395</v>
          </cell>
          <cell r="N178">
            <v>277.20102651839181</v>
          </cell>
          <cell r="P178">
            <v>229583</v>
          </cell>
          <cell r="Q178">
            <v>196968</v>
          </cell>
          <cell r="R178">
            <v>32615</v>
          </cell>
          <cell r="T178">
            <v>244.7</v>
          </cell>
          <cell r="U178">
            <v>139.9</v>
          </cell>
          <cell r="V178">
            <v>104.8</v>
          </cell>
          <cell r="X178">
            <v>215283</v>
          </cell>
          <cell r="Y178">
            <v>33126</v>
          </cell>
          <cell r="AB178">
            <v>98602.180800000002</v>
          </cell>
          <cell r="AC178">
            <v>98365.819199999998</v>
          </cell>
          <cell r="AE178">
            <v>1017979</v>
          </cell>
          <cell r="AF178">
            <v>5.1682456033467368</v>
          </cell>
          <cell r="AR178">
            <v>29609</v>
          </cell>
          <cell r="AS178">
            <v>28789</v>
          </cell>
          <cell r="AT178">
            <v>45478</v>
          </cell>
          <cell r="AU178">
            <v>18042</v>
          </cell>
          <cell r="AV178">
            <v>9881</v>
          </cell>
          <cell r="AW178">
            <v>15668</v>
          </cell>
          <cell r="AX178">
            <v>7423</v>
          </cell>
          <cell r="AY178">
            <v>1418</v>
          </cell>
          <cell r="AZ178">
            <v>40660</v>
          </cell>
          <cell r="CS178">
            <v>9178.7088000000003</v>
          </cell>
          <cell r="CT178">
            <v>25999.776000000002</v>
          </cell>
          <cell r="CU178">
            <v>19086.199199999999</v>
          </cell>
          <cell r="CV178">
            <v>110892.98399999998</v>
          </cell>
          <cell r="CW178">
            <v>31830.0288</v>
          </cell>
        </row>
        <row r="179">
          <cell r="E179">
            <v>45170</v>
          </cell>
          <cell r="F179">
            <v>57677</v>
          </cell>
          <cell r="G179">
            <v>51107</v>
          </cell>
          <cell r="H179">
            <v>6570</v>
          </cell>
          <cell r="I179">
            <v>59834500</v>
          </cell>
          <cell r="J179">
            <v>57606537</v>
          </cell>
          <cell r="K179">
            <v>2227963</v>
          </cell>
          <cell r="L179">
            <v>1037.4065918823794</v>
          </cell>
          <cell r="M179">
            <v>1127.1750836480326</v>
          </cell>
          <cell r="N179">
            <v>339.1115677321157</v>
          </cell>
          <cell r="P179">
            <v>212924</v>
          </cell>
          <cell r="Q179">
            <v>187464</v>
          </cell>
          <cell r="R179">
            <v>25460</v>
          </cell>
          <cell r="T179">
            <v>265.8</v>
          </cell>
          <cell r="U179">
            <v>155.80000000000001</v>
          </cell>
          <cell r="V179">
            <v>110</v>
          </cell>
          <cell r="X179">
            <v>198804</v>
          </cell>
          <cell r="Y179">
            <v>29404</v>
          </cell>
          <cell r="AB179">
            <v>102805.2576</v>
          </cell>
          <cell r="AC179">
            <v>84658.742400000003</v>
          </cell>
          <cell r="AE179">
            <v>875313</v>
          </cell>
          <cell r="AF179">
            <v>4.6692324926385869</v>
          </cell>
          <cell r="AR179">
            <v>27940</v>
          </cell>
          <cell r="AS179">
            <v>29645</v>
          </cell>
          <cell r="AT179">
            <v>43234</v>
          </cell>
          <cell r="AU179">
            <v>16013</v>
          </cell>
          <cell r="AV179">
            <v>10406</v>
          </cell>
          <cell r="AW179">
            <v>16152</v>
          </cell>
          <cell r="AX179">
            <v>5978</v>
          </cell>
          <cell r="AY179">
            <v>2049</v>
          </cell>
          <cell r="AZ179">
            <v>36047</v>
          </cell>
          <cell r="CS179">
            <v>7929.7271999999994</v>
          </cell>
          <cell r="CT179">
            <v>22683.144</v>
          </cell>
          <cell r="CU179">
            <v>16590.563999999998</v>
          </cell>
          <cell r="CV179">
            <v>111128.65919999999</v>
          </cell>
          <cell r="CW179">
            <v>29131.905600000002</v>
          </cell>
        </row>
        <row r="180">
          <cell r="E180">
            <v>45200</v>
          </cell>
          <cell r="F180">
            <v>55398</v>
          </cell>
          <cell r="G180">
            <v>49313</v>
          </cell>
          <cell r="H180">
            <v>6085</v>
          </cell>
          <cell r="I180">
            <v>57966989</v>
          </cell>
          <cell r="J180">
            <v>56058559</v>
          </cell>
          <cell r="K180">
            <v>1908430</v>
          </cell>
          <cell r="L180">
            <v>1046.3733167262355</v>
          </cell>
          <cell r="M180">
            <v>1136.7906839981345</v>
          </cell>
          <cell r="N180">
            <v>313.62859490550534</v>
          </cell>
          <cell r="P180">
            <v>235847</v>
          </cell>
          <cell r="Q180">
            <v>206819</v>
          </cell>
          <cell r="R180">
            <v>29028</v>
          </cell>
          <cell r="T180">
            <v>263.10000000000002</v>
          </cell>
          <cell r="U180">
            <v>149.80000000000001</v>
          </cell>
          <cell r="V180">
            <v>113.3</v>
          </cell>
          <cell r="X180">
            <v>187182</v>
          </cell>
          <cell r="Y180">
            <v>33660</v>
          </cell>
          <cell r="AB180">
            <v>113192.0387</v>
          </cell>
          <cell r="AC180">
            <v>93626.961299999995</v>
          </cell>
          <cell r="AE180">
            <v>911370</v>
          </cell>
          <cell r="AF180">
            <v>4.4066067430942031</v>
          </cell>
          <cell r="AR180">
            <v>32260</v>
          </cell>
          <cell r="AS180">
            <v>32885</v>
          </cell>
          <cell r="AT180">
            <v>44456</v>
          </cell>
          <cell r="AU180">
            <v>17652</v>
          </cell>
          <cell r="AV180">
            <v>11895</v>
          </cell>
          <cell r="AW180">
            <v>16334</v>
          </cell>
          <cell r="AX180">
            <v>5553</v>
          </cell>
          <cell r="AY180">
            <v>2717</v>
          </cell>
          <cell r="AZ180">
            <v>43067</v>
          </cell>
          <cell r="CS180">
            <v>8831.1713</v>
          </cell>
          <cell r="CT180">
            <v>24694.188600000001</v>
          </cell>
          <cell r="CU180">
            <v>17207.340799999998</v>
          </cell>
          <cell r="CV180">
            <v>124236.17330000001</v>
          </cell>
          <cell r="CW180">
            <v>31829.444100000001</v>
          </cell>
        </row>
        <row r="181">
          <cell r="E181">
            <v>45231</v>
          </cell>
          <cell r="F181">
            <v>53506</v>
          </cell>
          <cell r="G181">
            <v>48767</v>
          </cell>
          <cell r="H181">
            <v>4739</v>
          </cell>
          <cell r="I181">
            <v>57047183</v>
          </cell>
          <cell r="J181">
            <v>54995825</v>
          </cell>
          <cell r="K181">
            <v>2051358.0000000002</v>
          </cell>
          <cell r="L181">
            <v>1066.1829140657123</v>
          </cell>
          <cell r="M181">
            <v>1127.7262288022639</v>
          </cell>
          <cell r="N181">
            <v>432.86727157628195</v>
          </cell>
          <cell r="P181">
            <v>223933</v>
          </cell>
          <cell r="Q181">
            <v>201834</v>
          </cell>
          <cell r="R181">
            <v>22099</v>
          </cell>
          <cell r="T181">
            <v>251.5</v>
          </cell>
          <cell r="U181">
            <v>148.19999999999999</v>
          </cell>
          <cell r="V181">
            <v>103.3</v>
          </cell>
          <cell r="X181">
            <v>190758</v>
          </cell>
          <cell r="Y181">
            <v>35277</v>
          </cell>
          <cell r="AB181">
            <v>103399.5582</v>
          </cell>
          <cell r="AC181">
            <v>98434.441800000001</v>
          </cell>
          <cell r="AE181">
            <v>897135</v>
          </cell>
          <cell r="AF181">
            <v>4.4449151282737303</v>
          </cell>
          <cell r="AR181">
            <v>27032</v>
          </cell>
          <cell r="AS181">
            <v>30105</v>
          </cell>
          <cell r="AT181">
            <v>44269</v>
          </cell>
          <cell r="AU181">
            <v>14790</v>
          </cell>
          <cell r="AV181">
            <v>11864</v>
          </cell>
          <cell r="AW181">
            <v>20567</v>
          </cell>
          <cell r="AX181">
            <v>5496</v>
          </cell>
          <cell r="AY181">
            <v>3539</v>
          </cell>
          <cell r="AZ181">
            <v>44172</v>
          </cell>
          <cell r="CS181">
            <v>9223.8137999999999</v>
          </cell>
          <cell r="CT181">
            <v>26198.053199999998</v>
          </cell>
          <cell r="CU181">
            <v>17599.924800000001</v>
          </cell>
          <cell r="CV181">
            <v>116882.06939999999</v>
          </cell>
          <cell r="CW181">
            <v>31909.955399999999</v>
          </cell>
        </row>
        <row r="182">
          <cell r="E182">
            <v>45261</v>
          </cell>
          <cell r="F182">
            <v>66400</v>
          </cell>
          <cell r="G182">
            <v>60381</v>
          </cell>
          <cell r="H182">
            <v>6019</v>
          </cell>
          <cell r="I182">
            <v>73835679</v>
          </cell>
          <cell r="J182">
            <v>71250131</v>
          </cell>
          <cell r="K182">
            <v>2585548</v>
          </cell>
          <cell r="L182">
            <v>1111.9831174698795</v>
          </cell>
          <cell r="M182">
            <v>1180.0091253871251</v>
          </cell>
          <cell r="N182">
            <v>429.5643794650274</v>
          </cell>
          <cell r="P182">
            <v>261150</v>
          </cell>
          <cell r="Q182">
            <v>236735</v>
          </cell>
          <cell r="R182">
            <v>24415</v>
          </cell>
          <cell r="T182">
            <v>210.10000000000002</v>
          </cell>
          <cell r="U182">
            <v>144.30000000000001</v>
          </cell>
          <cell r="V182">
            <v>65.8</v>
          </cell>
          <cell r="X182">
            <v>160480</v>
          </cell>
          <cell r="Y182">
            <v>44187</v>
          </cell>
          <cell r="AB182">
            <v>126298.1225</v>
          </cell>
          <cell r="AC182">
            <v>110436.8775</v>
          </cell>
          <cell r="AE182">
            <v>1046981</v>
          </cell>
          <cell r="AF182">
            <v>4.4225864363106426</v>
          </cell>
          <cell r="AR182">
            <v>32366</v>
          </cell>
          <cell r="AS182">
            <v>43539</v>
          </cell>
          <cell r="AT182">
            <v>46800</v>
          </cell>
          <cell r="AU182">
            <v>20279</v>
          </cell>
          <cell r="AV182">
            <v>15065</v>
          </cell>
          <cell r="AW182">
            <v>21296</v>
          </cell>
          <cell r="AX182">
            <v>6581</v>
          </cell>
          <cell r="AY182">
            <v>5458</v>
          </cell>
          <cell r="AZ182">
            <v>45351</v>
          </cell>
          <cell r="CS182">
            <v>10653.074999999999</v>
          </cell>
          <cell r="CT182">
            <v>29213.098999999998</v>
          </cell>
          <cell r="CU182">
            <v>22537.172000000002</v>
          </cell>
          <cell r="CV182">
            <v>135956.9105</v>
          </cell>
          <cell r="CW182">
            <v>38374.743499999997</v>
          </cell>
        </row>
        <row r="183">
          <cell r="E183">
            <v>45292</v>
          </cell>
          <cell r="F183">
            <v>38949</v>
          </cell>
          <cell r="G183">
            <v>35002</v>
          </cell>
          <cell r="H183">
            <v>3947</v>
          </cell>
          <cell r="I183">
            <v>43402089</v>
          </cell>
          <cell r="J183">
            <v>41915953</v>
          </cell>
          <cell r="K183">
            <v>1486136</v>
          </cell>
          <cell r="L183">
            <v>1114.3312793653238</v>
          </cell>
          <cell r="M183">
            <v>1197.5302268441803</v>
          </cell>
          <cell r="N183">
            <v>376.52292880668864</v>
          </cell>
          <cell r="P183">
            <v>170346</v>
          </cell>
          <cell r="Q183">
            <v>152247</v>
          </cell>
          <cell r="R183">
            <v>18099</v>
          </cell>
          <cell r="T183">
            <v>216.5</v>
          </cell>
          <cell r="U183">
            <v>133.9</v>
          </cell>
          <cell r="V183">
            <v>82.6</v>
          </cell>
          <cell r="X183">
            <v>143027</v>
          </cell>
          <cell r="Y183">
            <v>31031</v>
          </cell>
          <cell r="AB183">
            <v>62269.022999999994</v>
          </cell>
          <cell r="AC183">
            <v>89977.977000000014</v>
          </cell>
          <cell r="AE183">
            <v>891928</v>
          </cell>
          <cell r="AF183">
            <v>5.8584274238572842</v>
          </cell>
          <cell r="AR183">
            <v>18880</v>
          </cell>
          <cell r="AS183">
            <v>22324</v>
          </cell>
          <cell r="AT183">
            <v>30852</v>
          </cell>
          <cell r="AU183">
            <v>13711</v>
          </cell>
          <cell r="AV183">
            <v>7274</v>
          </cell>
          <cell r="AW183">
            <v>14237</v>
          </cell>
          <cell r="AX183">
            <v>5141</v>
          </cell>
          <cell r="AY183">
            <v>4280</v>
          </cell>
          <cell r="AZ183">
            <v>35548</v>
          </cell>
          <cell r="CS183">
            <v>8053.8663000000006</v>
          </cell>
          <cell r="CT183">
            <v>23978.9025</v>
          </cell>
          <cell r="CU183">
            <v>17036.439299999998</v>
          </cell>
          <cell r="CV183">
            <v>76671.589200000002</v>
          </cell>
          <cell r="CW183">
            <v>26506.202700000002</v>
          </cell>
        </row>
        <row r="184">
          <cell r="E184">
            <v>45323</v>
          </cell>
          <cell r="F184">
            <v>46591</v>
          </cell>
          <cell r="G184">
            <v>39478</v>
          </cell>
          <cell r="H184">
            <v>7113</v>
          </cell>
          <cell r="I184">
            <v>47841676</v>
          </cell>
          <cell r="J184">
            <v>45977871</v>
          </cell>
          <cell r="K184">
            <v>1863805</v>
          </cell>
          <cell r="L184">
            <v>1026.8437251829753</v>
          </cell>
          <cell r="M184">
            <v>1164.645397436547</v>
          </cell>
          <cell r="N184">
            <v>262.02797694362437</v>
          </cell>
          <cell r="P184">
            <v>184530</v>
          </cell>
          <cell r="Q184">
            <v>155511</v>
          </cell>
          <cell r="R184">
            <v>29019</v>
          </cell>
          <cell r="T184">
            <v>217.6</v>
          </cell>
          <cell r="U184">
            <v>126</v>
          </cell>
          <cell r="V184">
            <v>91.6</v>
          </cell>
          <cell r="X184">
            <v>177254</v>
          </cell>
          <cell r="Y184">
            <v>27591</v>
          </cell>
          <cell r="AB184">
            <v>71410.651199999993</v>
          </cell>
          <cell r="AC184">
            <v>84100.348800000007</v>
          </cell>
          <cell r="AE184">
            <v>839187</v>
          </cell>
          <cell r="AF184">
            <v>5.3963192314370048</v>
          </cell>
          <cell r="AR184">
            <v>16519</v>
          </cell>
          <cell r="AS184">
            <v>24057</v>
          </cell>
          <cell r="AT184">
            <v>34326</v>
          </cell>
          <cell r="AU184">
            <v>13389</v>
          </cell>
          <cell r="AV184">
            <v>10021</v>
          </cell>
          <cell r="AW184">
            <v>11961</v>
          </cell>
          <cell r="AX184">
            <v>5434</v>
          </cell>
          <cell r="AY184">
            <v>4398</v>
          </cell>
          <cell r="AZ184">
            <v>35406</v>
          </cell>
          <cell r="CS184">
            <v>8786.3715000000011</v>
          </cell>
          <cell r="CT184">
            <v>20496.3498</v>
          </cell>
          <cell r="CU184">
            <v>16717.432499999999</v>
          </cell>
          <cell r="CV184">
            <v>83089.527300000002</v>
          </cell>
          <cell r="CW184">
            <v>26421.318899999998</v>
          </cell>
        </row>
        <row r="185">
          <cell r="E185">
            <v>45352</v>
          </cell>
          <cell r="F185">
            <v>54752</v>
          </cell>
          <cell r="G185">
            <v>49518</v>
          </cell>
          <cell r="H185">
            <v>5234</v>
          </cell>
          <cell r="I185">
            <v>57558480</v>
          </cell>
          <cell r="J185">
            <v>56051569</v>
          </cell>
          <cell r="K185">
            <v>1506911</v>
          </cell>
          <cell r="L185">
            <v>1051.2580362361193</v>
          </cell>
          <cell r="M185">
            <v>1131.9433135425502</v>
          </cell>
          <cell r="N185">
            <v>287.90810087886894</v>
          </cell>
          <cell r="P185">
            <v>207164</v>
          </cell>
          <cell r="Q185">
            <v>176230</v>
          </cell>
          <cell r="R185">
            <v>30934</v>
          </cell>
          <cell r="T185">
            <v>222.3</v>
          </cell>
          <cell r="U185">
            <v>131</v>
          </cell>
          <cell r="V185">
            <v>91.3</v>
          </cell>
          <cell r="X185">
            <v>181901</v>
          </cell>
          <cell r="Y185">
            <v>30104</v>
          </cell>
          <cell r="AB185">
            <v>80871.947</v>
          </cell>
          <cell r="AC185">
            <v>95358.053</v>
          </cell>
          <cell r="AE185">
            <v>863036</v>
          </cell>
          <cell r="AF185">
            <v>4.8972138682403674</v>
          </cell>
          <cell r="AR185">
            <v>21329</v>
          </cell>
          <cell r="AS185">
            <v>30828</v>
          </cell>
          <cell r="AT185">
            <v>36141</v>
          </cell>
          <cell r="AU185">
            <v>14702</v>
          </cell>
          <cell r="AV185">
            <v>9311</v>
          </cell>
          <cell r="AW185">
            <v>10961</v>
          </cell>
          <cell r="AX185">
            <v>6373</v>
          </cell>
          <cell r="AY185">
            <v>6109</v>
          </cell>
          <cell r="AZ185">
            <v>40476</v>
          </cell>
          <cell r="CS185">
            <v>8282.81</v>
          </cell>
          <cell r="CT185">
            <v>23808.672999999999</v>
          </cell>
          <cell r="CU185">
            <v>18768.494999999999</v>
          </cell>
          <cell r="CV185">
            <v>94917.477999999988</v>
          </cell>
          <cell r="CW185">
            <v>30452.544000000002</v>
          </cell>
        </row>
        <row r="186">
          <cell r="E186">
            <v>45383</v>
          </cell>
          <cell r="F186">
            <v>55488</v>
          </cell>
          <cell r="G186">
            <v>48403</v>
          </cell>
          <cell r="H186">
            <v>7085</v>
          </cell>
          <cell r="I186">
            <v>59759277</v>
          </cell>
          <cell r="J186">
            <v>57299585</v>
          </cell>
          <cell r="K186">
            <v>2459692</v>
          </cell>
          <cell r="L186">
            <v>1076.9765895328719</v>
          </cell>
          <cell r="M186">
            <v>1183.8023469619652</v>
          </cell>
          <cell r="N186">
            <v>347.16894848270994</v>
          </cell>
          <cell r="P186">
            <v>234046</v>
          </cell>
          <cell r="Q186">
            <v>208348</v>
          </cell>
          <cell r="R186">
            <v>25698</v>
          </cell>
          <cell r="T186">
            <v>242.6</v>
          </cell>
          <cell r="U186">
            <v>128.69999999999999</v>
          </cell>
          <cell r="V186">
            <v>113.9</v>
          </cell>
          <cell r="X186">
            <v>207651</v>
          </cell>
          <cell r="Y186">
            <v>35720</v>
          </cell>
          <cell r="AB186">
            <v>99381.996000000014</v>
          </cell>
          <cell r="AC186">
            <v>108966.00399999999</v>
          </cell>
          <cell r="AE186">
            <v>968593</v>
          </cell>
          <cell r="AF186">
            <v>4.6489191160942269</v>
          </cell>
          <cell r="AR186">
            <v>29837</v>
          </cell>
          <cell r="AS186">
            <v>33569</v>
          </cell>
          <cell r="AT186">
            <v>42096</v>
          </cell>
          <cell r="AU186">
            <v>17330</v>
          </cell>
          <cell r="AV186">
            <v>11833</v>
          </cell>
          <cell r="AW186">
            <v>15674</v>
          </cell>
          <cell r="AX186">
            <v>7158</v>
          </cell>
          <cell r="AY186">
            <v>7037</v>
          </cell>
          <cell r="AZ186">
            <v>43814</v>
          </cell>
          <cell r="CS186">
            <v>10354.8956</v>
          </cell>
          <cell r="CT186">
            <v>26960.231199999998</v>
          </cell>
          <cell r="CU186">
            <v>21605.687600000001</v>
          </cell>
          <cell r="CV186">
            <v>113966.35600000001</v>
          </cell>
          <cell r="CW186">
            <v>35481.664400000001</v>
          </cell>
        </row>
        <row r="187">
          <cell r="E187">
            <v>45413</v>
          </cell>
          <cell r="F187">
            <v>50567</v>
          </cell>
          <cell r="G187">
            <v>44740</v>
          </cell>
          <cell r="H187">
            <v>5827</v>
          </cell>
          <cell r="I187">
            <v>53427354</v>
          </cell>
          <cell r="J187">
            <v>51760082</v>
          </cell>
          <cell r="K187">
            <v>1667272</v>
          </cell>
          <cell r="L187">
            <v>1056.5656258033896</v>
          </cell>
          <cell r="M187">
            <v>1156.9084041126509</v>
          </cell>
          <cell r="N187">
            <v>286.12871117212973</v>
          </cell>
          <cell r="P187">
            <v>208587</v>
          </cell>
          <cell r="Q187">
            <v>183426</v>
          </cell>
          <cell r="R187">
            <v>25161</v>
          </cell>
          <cell r="T187">
            <v>246</v>
          </cell>
          <cell r="U187">
            <v>124.4</v>
          </cell>
          <cell r="V187">
            <v>121.6</v>
          </cell>
          <cell r="X187">
            <v>152829</v>
          </cell>
          <cell r="Y187">
            <v>32381</v>
          </cell>
          <cell r="AB187">
            <v>84577.728600000002</v>
          </cell>
          <cell r="AC187">
            <v>98848.271399999998</v>
          </cell>
          <cell r="AE187">
            <v>880443</v>
          </cell>
          <cell r="AF187">
            <v>4.7999901867783192</v>
          </cell>
          <cell r="AR187">
            <v>25804</v>
          </cell>
          <cell r="AS187">
            <v>27533</v>
          </cell>
          <cell r="AT187">
            <v>38690</v>
          </cell>
          <cell r="AU187">
            <v>14996</v>
          </cell>
          <cell r="AV187">
            <v>7302</v>
          </cell>
          <cell r="AW187">
            <v>15621</v>
          </cell>
          <cell r="AX187">
            <v>6448</v>
          </cell>
          <cell r="AY187">
            <v>5255</v>
          </cell>
          <cell r="AZ187">
            <v>41777</v>
          </cell>
          <cell r="CS187">
            <v>9318.0407999999989</v>
          </cell>
          <cell r="CT187">
            <v>27587.270400000001</v>
          </cell>
          <cell r="CU187">
            <v>19259.73</v>
          </cell>
          <cell r="CV187">
            <v>101012.6982</v>
          </cell>
          <cell r="CW187">
            <v>26248.260600000001</v>
          </cell>
        </row>
        <row r="188">
          <cell r="E188">
            <v>45444</v>
          </cell>
          <cell r="F188">
            <v>61023</v>
          </cell>
          <cell r="G188">
            <v>53572</v>
          </cell>
          <cell r="H188">
            <v>7451</v>
          </cell>
          <cell r="I188">
            <v>68731851</v>
          </cell>
          <cell r="J188">
            <v>65900147</v>
          </cell>
          <cell r="K188">
            <v>2831703.9999999995</v>
          </cell>
          <cell r="L188">
            <v>1126.3269750749716</v>
          </cell>
          <cell r="M188">
            <v>1230.1229560218023</v>
          </cell>
          <cell r="N188">
            <v>380.0434840960944</v>
          </cell>
          <cell r="P188">
            <v>229790</v>
          </cell>
          <cell r="Q188">
            <v>202584</v>
          </cell>
          <cell r="R188">
            <v>27206</v>
          </cell>
          <cell r="T188">
            <v>235.29999999999998</v>
          </cell>
          <cell r="U188">
            <v>133.69999999999999</v>
          </cell>
          <cell r="V188">
            <v>101.6</v>
          </cell>
          <cell r="X188">
            <v>196160</v>
          </cell>
          <cell r="Y188">
            <v>37648</v>
          </cell>
          <cell r="AB188">
            <v>98860.991999999998</v>
          </cell>
          <cell r="AC188">
            <v>103723.008</v>
          </cell>
          <cell r="AE188">
            <v>958540</v>
          </cell>
          <cell r="AF188">
            <v>4.7315681396359039</v>
          </cell>
          <cell r="AR188">
            <v>28642</v>
          </cell>
          <cell r="AS188">
            <v>29975</v>
          </cell>
          <cell r="AT188">
            <v>38399</v>
          </cell>
          <cell r="AU188">
            <v>17403</v>
          </cell>
          <cell r="AV188">
            <v>9914</v>
          </cell>
          <cell r="AW188">
            <v>19448</v>
          </cell>
          <cell r="AX188">
            <v>7486</v>
          </cell>
          <cell r="AY188">
            <v>5257</v>
          </cell>
          <cell r="AZ188">
            <v>46060</v>
          </cell>
          <cell r="CS188">
            <v>9521.4480000000003</v>
          </cell>
          <cell r="CT188">
            <v>24715.248</v>
          </cell>
          <cell r="CU188">
            <v>19204.963199999998</v>
          </cell>
          <cell r="CV188">
            <v>116161.66560000001</v>
          </cell>
          <cell r="CW188">
            <v>32980.675199999998</v>
          </cell>
        </row>
        <row r="189">
          <cell r="E189">
            <v>45474</v>
          </cell>
          <cell r="F189">
            <v>67404</v>
          </cell>
          <cell r="G189">
            <v>59399</v>
          </cell>
          <cell r="H189">
            <v>8005</v>
          </cell>
          <cell r="I189">
            <v>70928553</v>
          </cell>
          <cell r="J189">
            <v>68720059</v>
          </cell>
          <cell r="K189">
            <v>2208494</v>
          </cell>
          <cell r="L189">
            <v>1052.2899679544241</v>
          </cell>
          <cell r="M189">
            <v>1156.9228269836192</v>
          </cell>
          <cell r="N189">
            <v>275.88931917551531</v>
          </cell>
          <cell r="P189">
            <v>264696</v>
          </cell>
          <cell r="Q189">
            <v>227496</v>
          </cell>
          <cell r="R189">
            <v>37200</v>
          </cell>
          <cell r="T189">
            <v>255.8</v>
          </cell>
          <cell r="U189">
            <v>130.80000000000001</v>
          </cell>
          <cell r="V189">
            <v>125</v>
          </cell>
          <cell r="X189">
            <v>232616</v>
          </cell>
          <cell r="Y189">
            <v>40551</v>
          </cell>
          <cell r="AB189">
            <v>108515.592</v>
          </cell>
          <cell r="AC189">
            <v>118980.408</v>
          </cell>
          <cell r="AE189">
            <v>1087536</v>
          </cell>
          <cell r="AF189">
            <v>4.7804620740584447</v>
          </cell>
          <cell r="AR189">
            <v>26048</v>
          </cell>
          <cell r="AS189">
            <v>37036</v>
          </cell>
          <cell r="AT189">
            <v>50469</v>
          </cell>
          <cell r="AU189">
            <v>19869</v>
          </cell>
          <cell r="AV189">
            <v>10543</v>
          </cell>
          <cell r="AW189">
            <v>17795</v>
          </cell>
          <cell r="AX189">
            <v>8422</v>
          </cell>
          <cell r="AY189">
            <v>6078</v>
          </cell>
          <cell r="AZ189">
            <v>51236</v>
          </cell>
          <cell r="CS189">
            <v>9418.3343999999997</v>
          </cell>
          <cell r="CT189">
            <v>30438.964800000002</v>
          </cell>
          <cell r="CU189">
            <v>19928.649600000001</v>
          </cell>
          <cell r="CV189">
            <v>128899.23359999999</v>
          </cell>
          <cell r="CW189">
            <v>38810.817600000002</v>
          </cell>
        </row>
        <row r="190">
          <cell r="E190">
            <v>45505</v>
          </cell>
          <cell r="F190">
            <v>66435</v>
          </cell>
          <cell r="G190">
            <v>59254</v>
          </cell>
          <cell r="H190">
            <v>7181</v>
          </cell>
          <cell r="I190">
            <v>73985550</v>
          </cell>
          <cell r="J190">
            <v>71495023</v>
          </cell>
          <cell r="K190">
            <v>2490527</v>
          </cell>
          <cell r="L190">
            <v>1113.653194852111</v>
          </cell>
          <cell r="M190">
            <v>1206.5855975967868</v>
          </cell>
          <cell r="N190">
            <v>346.82175184514693</v>
          </cell>
          <cell r="P190">
            <v>259846</v>
          </cell>
          <cell r="Q190">
            <v>223450</v>
          </cell>
          <cell r="R190">
            <v>36396</v>
          </cell>
          <cell r="T190">
            <v>268.89999999999998</v>
          </cell>
          <cell r="U190">
            <v>133.69999999999999</v>
          </cell>
          <cell r="V190">
            <v>135.19999999999999</v>
          </cell>
          <cell r="X190">
            <v>244356</v>
          </cell>
          <cell r="Y190">
            <v>40008</v>
          </cell>
          <cell r="AB190">
            <v>111278.1</v>
          </cell>
          <cell r="AC190">
            <v>112171.9</v>
          </cell>
          <cell r="AE190">
            <v>1056020</v>
          </cell>
          <cell r="AF190">
            <v>4.7259789662116809</v>
          </cell>
          <cell r="AR190">
            <v>27983</v>
          </cell>
          <cell r="AS190">
            <v>37071</v>
          </cell>
          <cell r="AT190">
            <v>49433</v>
          </cell>
          <cell r="AU190">
            <v>18862</v>
          </cell>
          <cell r="AV190">
            <v>10871</v>
          </cell>
          <cell r="AW190">
            <v>16945</v>
          </cell>
          <cell r="AX190">
            <v>8471</v>
          </cell>
          <cell r="AY190">
            <v>6705</v>
          </cell>
          <cell r="AZ190">
            <v>47109</v>
          </cell>
          <cell r="CS190">
            <v>11306.57</v>
          </cell>
          <cell r="CT190">
            <v>31260.654999999999</v>
          </cell>
          <cell r="CU190">
            <v>20825.54</v>
          </cell>
          <cell r="CV190">
            <v>121802.595</v>
          </cell>
          <cell r="CW190">
            <v>38232.294999999998</v>
          </cell>
        </row>
        <row r="191">
          <cell r="E191">
            <v>45536</v>
          </cell>
          <cell r="F191">
            <v>69005</v>
          </cell>
          <cell r="G191">
            <v>59762</v>
          </cell>
          <cell r="H191">
            <v>9243</v>
          </cell>
          <cell r="I191">
            <v>71521525</v>
          </cell>
          <cell r="J191">
            <v>69577708</v>
          </cell>
          <cell r="K191">
            <v>1943817</v>
          </cell>
          <cell r="L191">
            <v>1036.4687341496992</v>
          </cell>
          <cell r="M191">
            <v>1164.2466450252668</v>
          </cell>
          <cell r="N191">
            <v>210.30152547874067</v>
          </cell>
          <cell r="P191">
            <v>262430</v>
          </cell>
          <cell r="Q191">
            <v>222875</v>
          </cell>
          <cell r="R191">
            <v>39555</v>
          </cell>
          <cell r="T191">
            <v>266.39999999999998</v>
          </cell>
          <cell r="U191">
            <v>144.80000000000001</v>
          </cell>
          <cell r="V191">
            <v>121.6</v>
          </cell>
          <cell r="X191">
            <v>214602</v>
          </cell>
          <cell r="Y191">
            <v>41934</v>
          </cell>
          <cell r="AB191">
            <v>106980</v>
          </cell>
          <cell r="AC191">
            <v>115895</v>
          </cell>
          <cell r="AE191">
            <v>992379</v>
          </cell>
          <cell r="AF191">
            <v>4.4526259113853053</v>
          </cell>
          <cell r="AR191">
            <v>27629</v>
          </cell>
          <cell r="AS191">
            <v>35344</v>
          </cell>
          <cell r="AT191">
            <v>49644</v>
          </cell>
          <cell r="AU191">
            <v>19800</v>
          </cell>
          <cell r="AV191">
            <v>15164</v>
          </cell>
          <cell r="AW191">
            <v>14687</v>
          </cell>
          <cell r="AX191">
            <v>8679</v>
          </cell>
          <cell r="AY191">
            <v>5958</v>
          </cell>
          <cell r="AZ191">
            <v>45970</v>
          </cell>
          <cell r="CS191">
            <v>11099.174999999999</v>
          </cell>
          <cell r="CT191">
            <v>30422.437500000004</v>
          </cell>
          <cell r="CU191">
            <v>19746.724999999999</v>
          </cell>
          <cell r="CV191">
            <v>123428.17499999999</v>
          </cell>
          <cell r="CW191">
            <v>38178.487500000003</v>
          </cell>
        </row>
        <row r="192">
          <cell r="E192">
            <v>45566</v>
          </cell>
          <cell r="F192">
            <v>66989</v>
          </cell>
          <cell r="G192">
            <v>58639</v>
          </cell>
          <cell r="H192">
            <v>8350</v>
          </cell>
          <cell r="I192">
            <v>68085886</v>
          </cell>
          <cell r="J192">
            <v>66152213</v>
          </cell>
          <cell r="K192">
            <v>1933673</v>
          </cell>
          <cell r="L192">
            <v>1016.3741211243637</v>
          </cell>
          <cell r="M192">
            <v>1128.1265539998976</v>
          </cell>
          <cell r="N192">
            <v>231.57760479041917</v>
          </cell>
          <cell r="P192">
            <v>291016</v>
          </cell>
          <cell r="Q192">
            <v>250155</v>
          </cell>
          <cell r="R192">
            <v>40861</v>
          </cell>
          <cell r="T192">
            <v>262.8</v>
          </cell>
          <cell r="U192">
            <v>131</v>
          </cell>
          <cell r="V192">
            <v>131.80000000000001</v>
          </cell>
          <cell r="X192">
            <v>231908</v>
          </cell>
          <cell r="Y192">
            <v>46211</v>
          </cell>
          <cell r="AB192">
            <v>128829.825</v>
          </cell>
          <cell r="AC192">
            <v>121325.175</v>
          </cell>
          <cell r="AE192">
            <v>1073409</v>
          </cell>
          <cell r="AF192">
            <v>4.2909755951310187</v>
          </cell>
          <cell r="AR192">
            <v>29236</v>
          </cell>
          <cell r="AS192">
            <v>42246</v>
          </cell>
          <cell r="AT192">
            <v>51951</v>
          </cell>
          <cell r="AU192">
            <v>20526</v>
          </cell>
          <cell r="AV192">
            <v>12887</v>
          </cell>
          <cell r="AW192">
            <v>23105</v>
          </cell>
          <cell r="AX192">
            <v>9945</v>
          </cell>
          <cell r="AY192">
            <v>7399</v>
          </cell>
          <cell r="AZ192">
            <v>52860</v>
          </cell>
          <cell r="CS192">
            <v>12332.6415</v>
          </cell>
          <cell r="CT192">
            <v>32345.041499999999</v>
          </cell>
          <cell r="CU192">
            <v>22113.702000000001</v>
          </cell>
          <cell r="CV192">
            <v>138060.54449999999</v>
          </cell>
          <cell r="CW192">
            <v>45303.070500000002</v>
          </cell>
        </row>
        <row r="193">
          <cell r="E193">
            <v>45597</v>
          </cell>
          <cell r="F193">
            <v>66032</v>
          </cell>
          <cell r="G193">
            <v>57360</v>
          </cell>
          <cell r="H193">
            <v>8672</v>
          </cell>
          <cell r="I193">
            <v>71088123</v>
          </cell>
          <cell r="J193">
            <v>68572594</v>
          </cell>
          <cell r="K193">
            <v>2515529</v>
          </cell>
          <cell r="L193">
            <v>1076.5707990065423</v>
          </cell>
          <cell r="M193">
            <v>1195.477580195258</v>
          </cell>
          <cell r="N193">
            <v>290.07483856088561</v>
          </cell>
          <cell r="P193">
            <v>278212</v>
          </cell>
          <cell r="Q193">
            <v>241463</v>
          </cell>
          <cell r="R193">
            <v>36749</v>
          </cell>
          <cell r="T193">
            <v>251</v>
          </cell>
          <cell r="U193">
            <v>133.69999999999999</v>
          </cell>
          <cell r="V193">
            <v>117.3</v>
          </cell>
          <cell r="X193">
            <v>220532</v>
          </cell>
          <cell r="Y193">
            <v>44240</v>
          </cell>
          <cell r="AB193">
            <v>134736.35399999999</v>
          </cell>
          <cell r="AC193">
            <v>106726.64600000001</v>
          </cell>
          <cell r="AE193">
            <v>946628</v>
          </cell>
          <cell r="AF193">
            <v>3.9203853178333739</v>
          </cell>
          <cell r="AR193">
            <v>30236</v>
          </cell>
          <cell r="AS193">
            <v>41434</v>
          </cell>
          <cell r="AT193">
            <v>48959</v>
          </cell>
          <cell r="AU193">
            <v>17005</v>
          </cell>
          <cell r="AV193">
            <v>15817</v>
          </cell>
          <cell r="AW193">
            <v>25322</v>
          </cell>
          <cell r="AX193">
            <v>8745</v>
          </cell>
          <cell r="AY193">
            <v>8048</v>
          </cell>
          <cell r="AZ193">
            <v>45897</v>
          </cell>
          <cell r="CS193">
            <v>10576.079400000001</v>
          </cell>
          <cell r="CT193">
            <v>29096.291499999999</v>
          </cell>
          <cell r="CU193">
            <v>20331.184600000001</v>
          </cell>
          <cell r="CV193">
            <v>139275.8584</v>
          </cell>
          <cell r="CW193">
            <v>42183.5861</v>
          </cell>
        </row>
        <row r="194">
          <cell r="E194">
            <v>45627</v>
          </cell>
          <cell r="F194">
            <v>69186</v>
          </cell>
          <cell r="G194">
            <v>63388</v>
          </cell>
          <cell r="H194">
            <v>5798</v>
          </cell>
          <cell r="I194">
            <v>80962638</v>
          </cell>
          <cell r="J194">
            <v>78241093</v>
          </cell>
          <cell r="K194">
            <v>2721545</v>
          </cell>
          <cell r="L194">
            <v>1170.2170670366838</v>
          </cell>
          <cell r="M194">
            <v>1234.3202656654257</v>
          </cell>
          <cell r="N194">
            <v>469.39375646774749</v>
          </cell>
          <cell r="P194">
            <v>272645</v>
          </cell>
          <cell r="Q194">
            <v>243751</v>
          </cell>
          <cell r="R194">
            <v>28894</v>
          </cell>
          <cell r="T194">
            <v>232.7</v>
          </cell>
          <cell r="U194">
            <v>146.6</v>
          </cell>
          <cell r="V194">
            <v>86.1</v>
          </cell>
          <cell r="X194">
            <v>177758</v>
          </cell>
          <cell r="Y194">
            <v>51954</v>
          </cell>
          <cell r="AB194">
            <v>123094.255</v>
          </cell>
          <cell r="AC194">
            <v>120656.745</v>
          </cell>
          <cell r="AE194">
            <v>1118246</v>
          </cell>
          <cell r="AF194">
            <v>4.5876570762786617</v>
          </cell>
          <cell r="AR194">
            <v>32517</v>
          </cell>
          <cell r="AS194">
            <v>40367</v>
          </cell>
          <cell r="AT194">
            <v>50165</v>
          </cell>
          <cell r="AU194">
            <v>15987</v>
          </cell>
          <cell r="AV194">
            <v>18037</v>
          </cell>
          <cell r="AW194">
            <v>20098</v>
          </cell>
          <cell r="AX194">
            <v>9036</v>
          </cell>
          <cell r="AY194">
            <v>10091</v>
          </cell>
          <cell r="AZ194">
            <v>47453</v>
          </cell>
          <cell r="CS194">
            <v>13991.3074</v>
          </cell>
          <cell r="CT194">
            <v>33564.512699999999</v>
          </cell>
          <cell r="CU194">
            <v>23326.970699999998</v>
          </cell>
          <cell r="CV194">
            <v>130796.78659999999</v>
          </cell>
          <cell r="CW194">
            <v>42071.422599999998</v>
          </cell>
        </row>
        <row r="195">
          <cell r="E195">
            <v>45658</v>
          </cell>
          <cell r="F195">
            <v>42078</v>
          </cell>
          <cell r="G195">
            <v>36251</v>
          </cell>
          <cell r="H195">
            <v>5827</v>
          </cell>
          <cell r="I195">
            <v>43589273</v>
          </cell>
          <cell r="J195">
            <v>40124204</v>
          </cell>
          <cell r="K195">
            <v>3465069.0000000005</v>
          </cell>
          <cell r="L195">
            <v>1035.9159893531062</v>
          </cell>
          <cell r="M195">
            <v>1106.8440594742215</v>
          </cell>
          <cell r="N195">
            <v>594.65745666723876</v>
          </cell>
          <cell r="P195">
            <v>190389</v>
          </cell>
          <cell r="Q195">
            <v>160054</v>
          </cell>
          <cell r="R195">
            <v>30335</v>
          </cell>
          <cell r="T195">
            <v>235.5</v>
          </cell>
          <cell r="U195">
            <v>133.1</v>
          </cell>
          <cell r="V195">
            <v>102.4</v>
          </cell>
          <cell r="X195">
            <v>171558</v>
          </cell>
          <cell r="Y195">
            <v>38797</v>
          </cell>
          <cell r="AB195">
            <v>64821.87</v>
          </cell>
          <cell r="AC195">
            <v>95232.13</v>
          </cell>
          <cell r="AE195">
            <v>901389</v>
          </cell>
          <cell r="AF195">
            <v>5.6317805240731253</v>
          </cell>
          <cell r="AR195">
            <v>19637</v>
          </cell>
          <cell r="AS195">
            <v>21276</v>
          </cell>
          <cell r="AT195">
            <v>34356</v>
          </cell>
          <cell r="AU195">
            <v>11566</v>
          </cell>
          <cell r="AV195">
            <v>8209</v>
          </cell>
          <cell r="AW195">
            <v>9891</v>
          </cell>
          <cell r="AX195">
            <v>7396</v>
          </cell>
          <cell r="AY195">
            <v>6587</v>
          </cell>
          <cell r="AZ195">
            <v>41136</v>
          </cell>
          <cell r="CS195">
            <v>9475.1967999999997</v>
          </cell>
          <cell r="CT195">
            <v>27945.428400000001</v>
          </cell>
          <cell r="CU195">
            <v>18278.166799999999</v>
          </cell>
          <cell r="CV195">
            <v>76361.763400000011</v>
          </cell>
          <cell r="CW195">
            <v>27977.439200000001</v>
          </cell>
        </row>
        <row r="196">
          <cell r="E196">
            <v>45689</v>
          </cell>
          <cell r="F196">
            <v>49960</v>
          </cell>
          <cell r="G196">
            <v>39034</v>
          </cell>
          <cell r="H196">
            <v>10926</v>
          </cell>
          <cell r="I196">
            <v>49847070</v>
          </cell>
          <cell r="J196">
            <v>45840917</v>
          </cell>
          <cell r="K196">
            <v>4006153</v>
          </cell>
          <cell r="L196">
            <v>997.73959167333862</v>
          </cell>
          <cell r="M196">
            <v>1174.3843059896501</v>
          </cell>
          <cell r="N196">
            <v>366.66236500091526</v>
          </cell>
          <cell r="P196">
            <v>222005</v>
          </cell>
          <cell r="Q196">
            <v>174042</v>
          </cell>
          <cell r="R196">
            <v>47963</v>
          </cell>
          <cell r="T196">
            <v>252.39999999999998</v>
          </cell>
          <cell r="U196">
            <v>132.19999999999999</v>
          </cell>
          <cell r="V196">
            <v>120.2</v>
          </cell>
          <cell r="X196">
            <v>208186</v>
          </cell>
          <cell r="Y196">
            <v>35345</v>
          </cell>
          <cell r="AB196">
            <v>82495.907999999996</v>
          </cell>
          <cell r="AC196">
            <v>91546.092000000004</v>
          </cell>
          <cell r="AE196">
            <v>929078</v>
          </cell>
          <cell r="AF196">
            <v>5.3382401948954854</v>
          </cell>
          <cell r="AR196">
            <v>15986</v>
          </cell>
          <cell r="AS196">
            <v>27602</v>
          </cell>
          <cell r="AT196">
            <v>37362</v>
          </cell>
          <cell r="AU196">
            <v>15883</v>
          </cell>
          <cell r="AV196">
            <v>10116</v>
          </cell>
          <cell r="AW196">
            <v>11778</v>
          </cell>
          <cell r="AX196">
            <v>8312</v>
          </cell>
          <cell r="AY196">
            <v>7035</v>
          </cell>
          <cell r="AZ196">
            <v>39968</v>
          </cell>
          <cell r="CS196">
            <v>9485.2890000000007</v>
          </cell>
          <cell r="CT196">
            <v>26837.276400000002</v>
          </cell>
          <cell r="CU196">
            <v>18796.536</v>
          </cell>
          <cell r="CV196">
            <v>89857.88459999999</v>
          </cell>
          <cell r="CW196">
            <v>29047.609799999998</v>
          </cell>
        </row>
        <row r="197">
          <cell r="E197">
            <v>45717</v>
          </cell>
          <cell r="F197">
            <v>52712</v>
          </cell>
          <cell r="G197">
            <v>44672</v>
          </cell>
          <cell r="H197">
            <v>8040</v>
          </cell>
          <cell r="I197">
            <v>55004979</v>
          </cell>
          <cell r="J197">
            <v>52037231</v>
          </cell>
          <cell r="K197">
            <v>2967748</v>
          </cell>
          <cell r="L197">
            <v>1043.5001327970861</v>
          </cell>
          <cell r="M197">
            <v>1164.8735449498568</v>
          </cell>
          <cell r="N197">
            <v>369.1228855721393</v>
          </cell>
          <cell r="P197">
            <v>221102</v>
          </cell>
          <cell r="Q197">
            <v>184371</v>
          </cell>
          <cell r="R197">
            <v>36731</v>
          </cell>
          <cell r="T197">
            <v>244.3</v>
          </cell>
          <cell r="U197">
            <v>125.8</v>
          </cell>
          <cell r="V197">
            <v>118.5</v>
          </cell>
          <cell r="X197">
            <v>180174</v>
          </cell>
          <cell r="Y197">
            <v>37146</v>
          </cell>
          <cell r="AB197">
            <v>93660.468000000008</v>
          </cell>
          <cell r="AC197">
            <v>90710.531999999992</v>
          </cell>
          <cell r="AE197">
            <v>865746</v>
          </cell>
          <cell r="AF197">
            <v>4.695673397660153</v>
          </cell>
          <cell r="AR197">
            <v>20146</v>
          </cell>
          <cell r="AS197">
            <v>30418</v>
          </cell>
          <cell r="AT197">
            <v>38876</v>
          </cell>
          <cell r="AU197">
            <v>14686</v>
          </cell>
          <cell r="AV197">
            <v>11399</v>
          </cell>
          <cell r="AW197">
            <v>12705</v>
          </cell>
          <cell r="AX197">
            <v>8217</v>
          </cell>
          <cell r="AY197">
            <v>8063</v>
          </cell>
          <cell r="AZ197">
            <v>39861</v>
          </cell>
          <cell r="CS197">
            <v>10085.093699999999</v>
          </cell>
          <cell r="CT197">
            <v>26033.1852</v>
          </cell>
          <cell r="CU197">
            <v>18861.153300000002</v>
          </cell>
          <cell r="CV197">
            <v>98269.743000000002</v>
          </cell>
          <cell r="CW197">
            <v>31121.824800000002</v>
          </cell>
        </row>
        <row r="198">
          <cell r="E198">
            <v>45748</v>
          </cell>
          <cell r="F198">
            <v>55702</v>
          </cell>
          <cell r="G198">
            <v>46049</v>
          </cell>
          <cell r="H198">
            <v>9653</v>
          </cell>
          <cell r="I198">
            <v>57295260</v>
          </cell>
          <cell r="J198">
            <v>54265058</v>
          </cell>
          <cell r="K198">
            <v>3030202</v>
          </cell>
          <cell r="L198">
            <v>1028.6032817493087</v>
          </cell>
          <cell r="M198">
            <v>1178.4199005407283</v>
          </cell>
          <cell r="N198">
            <v>313.91298042059464</v>
          </cell>
          <cell r="P198">
            <v>243392</v>
          </cell>
          <cell r="Q198">
            <v>197158</v>
          </cell>
          <cell r="R198">
            <v>46234</v>
          </cell>
          <cell r="T198">
            <v>254.8</v>
          </cell>
          <cell r="U198">
            <v>121.3</v>
          </cell>
          <cell r="V198">
            <v>133.5</v>
          </cell>
          <cell r="X198">
            <v>218920</v>
          </cell>
          <cell r="Y198">
            <v>36667</v>
          </cell>
          <cell r="AB198">
            <v>100156.264</v>
          </cell>
          <cell r="AC198">
            <v>97001.736000000004</v>
          </cell>
          <cell r="AE198">
            <v>1085597</v>
          </cell>
          <cell r="AF198">
            <v>5.5062285070856873</v>
          </cell>
          <cell r="AR198">
            <v>20502</v>
          </cell>
          <cell r="AS198">
            <v>32500</v>
          </cell>
          <cell r="AT198">
            <v>42909</v>
          </cell>
          <cell r="AU198">
            <v>16317</v>
          </cell>
          <cell r="AV198">
            <v>9834</v>
          </cell>
          <cell r="AW198">
            <v>16571</v>
          </cell>
          <cell r="AX198">
            <v>8268</v>
          </cell>
          <cell r="AY198">
            <v>8486</v>
          </cell>
          <cell r="AZ198">
            <v>41771</v>
          </cell>
          <cell r="CS198">
            <v>9779.0367999999999</v>
          </cell>
          <cell r="CT198">
            <v>27247.235599999996</v>
          </cell>
          <cell r="CU198">
            <v>20839.600600000002</v>
          </cell>
          <cell r="CV198">
            <v>106839.92020000001</v>
          </cell>
          <cell r="CW198">
            <v>32432.491000000002</v>
          </cell>
        </row>
        <row r="199">
          <cell r="E199">
            <v>45778</v>
          </cell>
          <cell r="F199">
            <v>57277</v>
          </cell>
          <cell r="G199">
            <v>46080</v>
          </cell>
          <cell r="H199">
            <v>11197</v>
          </cell>
          <cell r="I199">
            <v>60567053.000000007</v>
          </cell>
          <cell r="J199">
            <v>57322184.000000007</v>
          </cell>
          <cell r="K199">
            <v>3244869</v>
          </cell>
          <cell r="L199">
            <v>1057.4410845540096</v>
          </cell>
          <cell r="M199">
            <v>1243.9710069444445</v>
          </cell>
          <cell r="N199">
            <v>289.79807091185137</v>
          </cell>
          <cell r="P199">
            <v>264605</v>
          </cell>
          <cell r="Q199">
            <v>214617</v>
          </cell>
          <cell r="R199">
            <v>49988</v>
          </cell>
          <cell r="T199">
            <v>270.10000000000002</v>
          </cell>
          <cell r="U199">
            <v>144.6</v>
          </cell>
          <cell r="V199">
            <v>125.5</v>
          </cell>
          <cell r="X199">
            <v>204831</v>
          </cell>
          <cell r="Y199">
            <v>39152</v>
          </cell>
          <cell r="AB199">
            <v>112888.542</v>
          </cell>
          <cell r="AC199">
            <v>101728.458</v>
          </cell>
          <cell r="AE199">
            <v>1126806</v>
          </cell>
          <cell r="AF199">
            <v>5.2503110191643723</v>
          </cell>
          <cell r="AR199">
            <v>21583</v>
          </cell>
          <cell r="AS199">
            <v>37194</v>
          </cell>
          <cell r="AT199">
            <v>46094</v>
          </cell>
          <cell r="AU199">
            <v>15614</v>
          </cell>
          <cell r="AV199">
            <v>10880</v>
          </cell>
          <cell r="AW199">
            <v>19000</v>
          </cell>
          <cell r="AX199">
            <v>9237</v>
          </cell>
          <cell r="AY199">
            <v>9403</v>
          </cell>
          <cell r="AZ199">
            <v>45612</v>
          </cell>
          <cell r="CS199">
            <v>10730.85</v>
          </cell>
          <cell r="CT199">
            <v>33694.868999999999</v>
          </cell>
          <cell r="CU199">
            <v>20088.1512</v>
          </cell>
          <cell r="CV199">
            <v>113103.159</v>
          </cell>
          <cell r="CW199">
            <v>40820.153400000003</v>
          </cell>
        </row>
        <row r="200">
          <cell r="E200">
            <v>45809</v>
          </cell>
          <cell r="F200">
            <v>57564</v>
          </cell>
          <cell r="G200">
            <v>49063</v>
          </cell>
          <cell r="H200">
            <v>8501</v>
          </cell>
          <cell r="I200">
            <v>66736385</v>
          </cell>
          <cell r="J200">
            <v>63773209</v>
          </cell>
          <cell r="K200">
            <v>2963176</v>
          </cell>
          <cell r="L200">
            <v>1159.3423841289696</v>
          </cell>
          <cell r="M200">
            <v>1299.8228604039705</v>
          </cell>
          <cell r="N200">
            <v>348.56793318433125</v>
          </cell>
          <cell r="P200">
            <v>249134</v>
          </cell>
          <cell r="Q200">
            <v>202157</v>
          </cell>
          <cell r="R200">
            <v>46977</v>
          </cell>
          <cell r="T200">
            <v>259.29999999999995</v>
          </cell>
          <cell r="U200">
            <v>153.69999999999999</v>
          </cell>
          <cell r="V200">
            <v>105.6</v>
          </cell>
          <cell r="X200">
            <v>195858</v>
          </cell>
          <cell r="Y200">
            <v>38179</v>
          </cell>
          <cell r="AB200">
            <v>109164.78000000001</v>
          </cell>
          <cell r="AC200">
            <v>92992.219999999987</v>
          </cell>
          <cell r="AE200">
            <v>1061215</v>
          </cell>
          <cell r="AF200">
            <v>5.2494595784464551</v>
          </cell>
          <cell r="AR200">
            <v>21911</v>
          </cell>
          <cell r="AS200">
            <v>37302</v>
          </cell>
          <cell r="AT200">
            <v>41830</v>
          </cell>
          <cell r="AU200">
            <v>14896</v>
          </cell>
          <cell r="AV200">
            <v>10399</v>
          </cell>
          <cell r="AW200">
            <v>16186</v>
          </cell>
          <cell r="AX200">
            <v>9177</v>
          </cell>
          <cell r="AY200">
            <v>8163</v>
          </cell>
          <cell r="AZ200">
            <v>42293</v>
          </cell>
          <cell r="CS200">
            <v>10673.8896</v>
          </cell>
          <cell r="CT200">
            <v>27291.195000000003</v>
          </cell>
          <cell r="CU200">
            <v>19204.915000000001</v>
          </cell>
          <cell r="CV200">
            <v>112682.3118</v>
          </cell>
          <cell r="CW200">
            <v>32345.119999999999</v>
          </cell>
        </row>
        <row r="201">
          <cell r="E201">
            <v>45839</v>
          </cell>
          <cell r="F201">
            <v>64393</v>
          </cell>
          <cell r="G201">
            <v>54106</v>
          </cell>
          <cell r="H201">
            <v>10287</v>
          </cell>
          <cell r="I201">
            <v>70684626</v>
          </cell>
          <cell r="J201">
            <v>65807618</v>
          </cell>
          <cell r="K201">
            <v>4877008</v>
          </cell>
          <cell r="L201">
            <v>1097.7066761915114</v>
          </cell>
          <cell r="M201">
            <v>1216.272095516209</v>
          </cell>
          <cell r="N201">
            <v>474.09429376883446</v>
          </cell>
          <cell r="P201">
            <v>275006</v>
          </cell>
          <cell r="Q201">
            <v>230259</v>
          </cell>
          <cell r="R201">
            <v>44747</v>
          </cell>
          <cell r="T201">
            <v>253.5</v>
          </cell>
          <cell r="U201">
            <v>152.6</v>
          </cell>
          <cell r="V201">
            <v>100.9</v>
          </cell>
          <cell r="X201">
            <v>224849</v>
          </cell>
          <cell r="Y201">
            <v>44770</v>
          </cell>
          <cell r="AB201">
            <v>103616.55</v>
          </cell>
          <cell r="AC201">
            <v>126642.45</v>
          </cell>
          <cell r="AF201">
            <v>0</v>
          </cell>
          <cell r="AR201">
            <v>24427</v>
          </cell>
          <cell r="AS201">
            <v>41837</v>
          </cell>
          <cell r="AT201">
            <v>50596</v>
          </cell>
          <cell r="AU201">
            <v>17290</v>
          </cell>
          <cell r="AV201">
            <v>9862</v>
          </cell>
          <cell r="AW201">
            <v>16572</v>
          </cell>
          <cell r="AX201">
            <v>7433</v>
          </cell>
          <cell r="AY201">
            <v>9692</v>
          </cell>
          <cell r="AZ201">
            <v>52550</v>
          </cell>
          <cell r="CS201">
            <v>12480.0378</v>
          </cell>
          <cell r="CT201">
            <v>34769.108999999997</v>
          </cell>
          <cell r="CU201">
            <v>22473.278400000003</v>
          </cell>
          <cell r="CV201">
            <v>121392.5448</v>
          </cell>
          <cell r="CW201">
            <v>39167.055899999999</v>
          </cell>
        </row>
        <row r="202">
          <cell r="E202">
            <v>45870</v>
          </cell>
          <cell r="F202">
            <v>65521</v>
          </cell>
          <cell r="G202">
            <v>53443</v>
          </cell>
          <cell r="H202">
            <v>12078</v>
          </cell>
          <cell r="I202">
            <v>72750908.000000015</v>
          </cell>
          <cell r="J202">
            <v>69132136.000000015</v>
          </cell>
          <cell r="K202">
            <v>3618772</v>
          </cell>
          <cell r="L202">
            <v>1110.3448970559059</v>
          </cell>
          <cell r="M202">
            <v>1293.5676515165694</v>
          </cell>
          <cell r="N202">
            <v>299.61682397747973</v>
          </cell>
          <cell r="P202">
            <v>269500</v>
          </cell>
          <cell r="Q202">
            <v>214744</v>
          </cell>
          <cell r="R202">
            <v>54756</v>
          </cell>
          <cell r="T202">
            <v>259.60000000000002</v>
          </cell>
          <cell r="U202">
            <v>151.6</v>
          </cell>
          <cell r="V202">
            <v>108</v>
          </cell>
          <cell r="X202">
            <v>235215</v>
          </cell>
          <cell r="Y202">
            <v>39209</v>
          </cell>
          <cell r="AB202">
            <v>106083.53599999999</v>
          </cell>
          <cell r="AC202">
            <v>108660.46400000001</v>
          </cell>
          <cell r="AF202">
            <v>0</v>
          </cell>
          <cell r="AR202">
            <v>21950</v>
          </cell>
          <cell r="AS202">
            <v>39402</v>
          </cell>
          <cell r="AT202">
            <v>45369</v>
          </cell>
          <cell r="AU202">
            <v>15627</v>
          </cell>
          <cell r="AV202">
            <v>10797</v>
          </cell>
          <cell r="AW202">
            <v>16928</v>
          </cell>
          <cell r="AX202">
            <v>7473</v>
          </cell>
          <cell r="AY202">
            <v>9815</v>
          </cell>
          <cell r="AZ202">
            <v>47383</v>
          </cell>
          <cell r="CS202">
            <v>10994.8928</v>
          </cell>
          <cell r="CT202">
            <v>31502.944800000001</v>
          </cell>
          <cell r="CU202">
            <v>20486.577600000001</v>
          </cell>
          <cell r="CV202">
            <v>115360.4768</v>
          </cell>
          <cell r="CW202">
            <v>36377.633600000001</v>
          </cell>
        </row>
        <row r="203">
          <cell r="E203">
            <v>45901</v>
          </cell>
          <cell r="F203">
            <v>67604</v>
          </cell>
          <cell r="G203">
            <v>57156</v>
          </cell>
          <cell r="H203">
            <v>10448</v>
          </cell>
          <cell r="I203">
            <v>77018417</v>
          </cell>
          <cell r="J203">
            <v>72172883</v>
          </cell>
          <cell r="K203">
            <v>4845534</v>
          </cell>
          <cell r="L203">
            <v>1139.2582835335188</v>
          </cell>
          <cell r="M203">
            <v>1262.7350234446078</v>
          </cell>
          <cell r="N203">
            <v>463.77622511485453</v>
          </cell>
          <cell r="P203">
            <v>280676</v>
          </cell>
          <cell r="Q203">
            <v>231478</v>
          </cell>
          <cell r="R203">
            <v>49198</v>
          </cell>
          <cell r="X203">
            <v>230499</v>
          </cell>
          <cell r="Y203">
            <v>41925</v>
          </cell>
          <cell r="AB203">
            <v>110877.962</v>
          </cell>
          <cell r="AC203">
            <v>120600.038</v>
          </cell>
          <cell r="AF203">
            <v>0</v>
          </cell>
          <cell r="AR203">
            <v>25695</v>
          </cell>
          <cell r="AS203">
            <v>39899</v>
          </cell>
          <cell r="AT203">
            <v>47246</v>
          </cell>
          <cell r="AU203">
            <v>16109</v>
          </cell>
          <cell r="AV203">
            <v>11564</v>
          </cell>
          <cell r="AW203">
            <v>19003</v>
          </cell>
          <cell r="AX203">
            <v>7982</v>
          </cell>
          <cell r="AY203">
            <v>10024</v>
          </cell>
          <cell r="AZ203">
            <v>53956</v>
          </cell>
          <cell r="CS203">
            <v>11712.7868</v>
          </cell>
          <cell r="CT203">
            <v>32916.171600000001</v>
          </cell>
          <cell r="CU203">
            <v>21319.123800000001</v>
          </cell>
          <cell r="CV203">
            <v>123609.25200000001</v>
          </cell>
          <cell r="CW203">
            <v>41897.517999999996</v>
          </cell>
        </row>
        <row r="204">
          <cell r="E204">
            <v>45931</v>
          </cell>
          <cell r="F204">
            <v>59901</v>
          </cell>
          <cell r="G204">
            <v>49142</v>
          </cell>
          <cell r="H204">
            <v>10759</v>
          </cell>
          <cell r="I204">
            <v>67384774</v>
          </cell>
          <cell r="J204">
            <v>62473993</v>
          </cell>
          <cell r="K204">
            <v>4910781</v>
          </cell>
          <cell r="L204">
            <v>1124.9357105891388</v>
          </cell>
          <cell r="M204">
            <v>1271.2952871271011</v>
          </cell>
          <cell r="N204">
            <v>456.43470582767912</v>
          </cell>
          <cell r="P204">
            <v>285904</v>
          </cell>
          <cell r="Q204">
            <v>248083</v>
          </cell>
          <cell r="R204">
            <v>37821</v>
          </cell>
          <cell r="X204">
            <v>235476</v>
          </cell>
          <cell r="Y204">
            <v>45883</v>
          </cell>
          <cell r="AB204">
            <v>134212.90300000002</v>
          </cell>
          <cell r="AC204">
            <v>113870.09699999998</v>
          </cell>
          <cell r="AF204">
            <v>0</v>
          </cell>
          <cell r="AR204">
            <v>26923</v>
          </cell>
          <cell r="AS204">
            <v>41970</v>
          </cell>
          <cell r="AT204">
            <v>50650</v>
          </cell>
          <cell r="AU204">
            <v>12762</v>
          </cell>
          <cell r="AV204">
            <v>11992</v>
          </cell>
          <cell r="AW204">
            <v>24170</v>
          </cell>
          <cell r="AX204">
            <v>10085</v>
          </cell>
          <cell r="AY204">
            <v>10195</v>
          </cell>
          <cell r="AZ204">
            <v>59336</v>
          </cell>
          <cell r="CS204">
            <v>12255.3002</v>
          </cell>
          <cell r="CT204">
            <v>34036.9876</v>
          </cell>
          <cell r="CU204">
            <v>22674.786199999999</v>
          </cell>
          <cell r="CV204">
            <v>130640.50779999999</v>
          </cell>
          <cell r="CW204">
            <v>48376.185000000005</v>
          </cell>
        </row>
        <row r="205">
          <cell r="E205">
            <v>45962</v>
          </cell>
          <cell r="F205">
            <v>63307</v>
          </cell>
          <cell r="G205">
            <v>55982</v>
          </cell>
          <cell r="H205">
            <v>7325</v>
          </cell>
          <cell r="I205">
            <v>73071136</v>
          </cell>
          <cell r="J205">
            <v>70703734</v>
          </cell>
          <cell r="K205">
            <v>2367402</v>
          </cell>
          <cell r="L205">
            <v>1154.2346975847852</v>
          </cell>
          <cell r="M205">
            <v>1262.9726340609482</v>
          </cell>
          <cell r="N205">
            <v>323.1948122866894</v>
          </cell>
          <cell r="P205">
            <v>260639</v>
          </cell>
          <cell r="Q205">
            <v>227440</v>
          </cell>
          <cell r="R205">
            <v>33199</v>
          </cell>
          <cell r="X205">
            <v>208131</v>
          </cell>
          <cell r="Y205">
            <v>41239</v>
          </cell>
          <cell r="AB205">
            <v>127138.95999999999</v>
          </cell>
          <cell r="AC205">
            <v>100301.04000000001</v>
          </cell>
          <cell r="AF205">
            <v>0</v>
          </cell>
          <cell r="AR205">
            <v>27495</v>
          </cell>
          <cell r="AS205">
            <v>41073</v>
          </cell>
          <cell r="AT205">
            <v>45101</v>
          </cell>
          <cell r="AU205">
            <v>8074</v>
          </cell>
          <cell r="AV205">
            <v>13662</v>
          </cell>
          <cell r="AW205">
            <v>19966</v>
          </cell>
          <cell r="AX205">
            <v>8974</v>
          </cell>
          <cell r="AY205">
            <v>9808</v>
          </cell>
          <cell r="AZ205">
            <v>53287</v>
          </cell>
          <cell r="CS205">
            <v>10689.68</v>
          </cell>
          <cell r="CT205">
            <v>29180.552</v>
          </cell>
          <cell r="CU205">
            <v>19491.608</v>
          </cell>
          <cell r="CV205">
            <v>119678.928</v>
          </cell>
          <cell r="CW205">
            <v>48444.72</v>
          </cell>
        </row>
        <row r="206">
          <cell r="E206">
            <v>45992</v>
          </cell>
          <cell r="F206">
            <v>65754</v>
          </cell>
          <cell r="G206">
            <v>61392</v>
          </cell>
          <cell r="H206">
            <v>4362</v>
          </cell>
          <cell r="I206">
            <v>77623395</v>
          </cell>
          <cell r="J206">
            <v>75853775</v>
          </cell>
          <cell r="K206">
            <v>1769620</v>
          </cell>
          <cell r="L206">
            <v>1180.5121361438087</v>
          </cell>
          <cell r="M206">
            <v>1235.5644872296064</v>
          </cell>
          <cell r="N206">
            <v>405.69005043558002</v>
          </cell>
          <cell r="P206">
            <v>284918</v>
          </cell>
          <cell r="Q206">
            <v>267476</v>
          </cell>
          <cell r="R206">
            <v>17442</v>
          </cell>
          <cell r="X206">
            <v>178050</v>
          </cell>
          <cell r="Y206">
            <v>53590</v>
          </cell>
          <cell r="AB206">
            <v>137215.18799999999</v>
          </cell>
          <cell r="AC206">
            <v>130260.81200000001</v>
          </cell>
          <cell r="AR206">
            <v>29541</v>
          </cell>
          <cell r="AS206">
            <v>47965</v>
          </cell>
          <cell r="AT206">
            <v>53336</v>
          </cell>
          <cell r="AU206">
            <v>11776</v>
          </cell>
          <cell r="AV206">
            <v>13103</v>
          </cell>
          <cell r="AW206">
            <v>20632</v>
          </cell>
          <cell r="AX206">
            <v>10830</v>
          </cell>
          <cell r="AY206">
            <v>15659</v>
          </cell>
          <cell r="AZ206">
            <v>64634</v>
          </cell>
          <cell r="CS206">
            <v>14550.694399999998</v>
          </cell>
          <cell r="CT206">
            <v>37339.649599999997</v>
          </cell>
          <cell r="CU206">
            <v>24955.5108</v>
          </cell>
          <cell r="CV206">
            <v>139381.74360000002</v>
          </cell>
          <cell r="CW206">
            <v>51248.401599999997</v>
          </cell>
        </row>
        <row r="207">
          <cell r="E207">
            <v>46023</v>
          </cell>
          <cell r="F207">
            <v>41269</v>
          </cell>
          <cell r="G207">
            <v>37159</v>
          </cell>
          <cell r="H207">
            <v>4110</v>
          </cell>
          <cell r="I207">
            <v>45899948</v>
          </cell>
          <cell r="J207">
            <v>44769005</v>
          </cell>
          <cell r="K207">
            <v>1130943</v>
          </cell>
          <cell r="L207">
            <v>1112.2137197412101</v>
          </cell>
          <cell r="M207">
            <v>1204.7957426195537</v>
          </cell>
          <cell r="N207">
            <v>275.16861313868611</v>
          </cell>
          <cell r="P207">
            <v>187349</v>
          </cell>
          <cell r="Q207">
            <v>162909</v>
          </cell>
          <cell r="R207">
            <v>24440</v>
          </cell>
          <cell r="X207">
            <v>154975</v>
          </cell>
          <cell r="Y207">
            <v>37744</v>
          </cell>
          <cell r="AB207">
            <v>67281.417000000001</v>
          </cell>
          <cell r="AC207">
            <v>95627.582999999999</v>
          </cell>
          <cell r="AR207">
            <v>16146</v>
          </cell>
          <cell r="AS207">
            <v>25866</v>
          </cell>
          <cell r="AT207">
            <v>34258</v>
          </cell>
          <cell r="AU207">
            <v>9545</v>
          </cell>
          <cell r="AV207">
            <v>7786</v>
          </cell>
          <cell r="AW207">
            <v>10206</v>
          </cell>
          <cell r="AX207">
            <v>6721</v>
          </cell>
          <cell r="AY207">
            <v>9801</v>
          </cell>
          <cell r="AZ207">
            <v>42580</v>
          </cell>
          <cell r="CS207">
            <v>8959.9950000000008</v>
          </cell>
          <cell r="CT207">
            <v>27124.3485</v>
          </cell>
          <cell r="CU207">
            <v>18734.535</v>
          </cell>
          <cell r="CV207">
            <v>79662.501000000004</v>
          </cell>
          <cell r="CW207">
            <v>28346.165999999997</v>
          </cell>
        </row>
        <row r="208">
          <cell r="E208">
            <v>46054</v>
          </cell>
          <cell r="F208">
            <v>48150</v>
          </cell>
          <cell r="G208">
            <v>42356</v>
          </cell>
          <cell r="H208">
            <v>5794</v>
          </cell>
          <cell r="I208">
            <v>54126711.000000015</v>
          </cell>
          <cell r="J208">
            <v>51949094.000000015</v>
          </cell>
          <cell r="K208">
            <v>2177617</v>
          </cell>
          <cell r="L208">
            <v>1124.1269158878508</v>
          </cell>
          <cell r="M208">
            <v>1226.4872509207671</v>
          </cell>
          <cell r="N208">
            <v>375.84000690369345</v>
          </cell>
          <cell r="P208">
            <v>209090</v>
          </cell>
          <cell r="Q208">
            <v>177195</v>
          </cell>
          <cell r="R208">
            <v>31895</v>
          </cell>
          <cell r="X208">
            <v>196445</v>
          </cell>
          <cell r="Y208">
            <v>33473</v>
          </cell>
          <cell r="AB208">
            <v>85407.99</v>
          </cell>
          <cell r="AC208">
            <v>91787.01</v>
          </cell>
          <cell r="AR208">
            <v>16855</v>
          </cell>
          <cell r="AS208">
            <v>29300</v>
          </cell>
          <cell r="AT208">
            <v>39667</v>
          </cell>
          <cell r="AU208">
            <v>10461</v>
          </cell>
          <cell r="AV208">
            <v>9601</v>
          </cell>
          <cell r="AW208">
            <v>12136</v>
          </cell>
          <cell r="AX208">
            <v>7573</v>
          </cell>
          <cell r="AY208">
            <v>11430</v>
          </cell>
          <cell r="AZ208">
            <v>40172</v>
          </cell>
          <cell r="CS208">
            <v>8505.36</v>
          </cell>
          <cell r="CT208">
            <v>24860.458500000001</v>
          </cell>
          <cell r="CU208">
            <v>18251.084999999999</v>
          </cell>
          <cell r="CV208">
            <v>94090.544999999998</v>
          </cell>
          <cell r="CW208">
            <v>31452.112499999999</v>
          </cell>
        </row>
        <row r="209">
          <cell r="E209">
            <v>46082</v>
          </cell>
          <cell r="F209">
            <v>65297</v>
          </cell>
          <cell r="G209">
            <v>57584</v>
          </cell>
          <cell r="H209">
            <v>7713</v>
          </cell>
          <cell r="I209">
            <v>76114252</v>
          </cell>
          <cell r="J209">
            <v>73415332</v>
          </cell>
          <cell r="K209">
            <v>2698920</v>
          </cell>
          <cell r="L209">
            <v>1165.6623122042361</v>
          </cell>
          <cell r="M209">
            <v>1274.9258821894971</v>
          </cell>
          <cell r="N209">
            <v>349.91831971995333</v>
          </cell>
          <cell r="P209">
            <v>296434</v>
          </cell>
          <cell r="Q209">
            <v>258735</v>
          </cell>
          <cell r="R209">
            <v>37699</v>
          </cell>
          <cell r="X209">
            <v>249909</v>
          </cell>
          <cell r="Y209">
            <v>46972</v>
          </cell>
          <cell r="AB209">
            <v>130661.175</v>
          </cell>
          <cell r="AC209">
            <v>128073.825</v>
          </cell>
          <cell r="AR209">
            <v>28104</v>
          </cell>
          <cell r="AS209">
            <v>42432</v>
          </cell>
          <cell r="AT209">
            <v>52677</v>
          </cell>
          <cell r="AU209">
            <v>16011</v>
          </cell>
          <cell r="AV209">
            <v>12481</v>
          </cell>
          <cell r="AW209">
            <v>19157</v>
          </cell>
          <cell r="AX209">
            <v>9910</v>
          </cell>
          <cell r="AY209">
            <v>16412</v>
          </cell>
          <cell r="AZ209">
            <v>61551</v>
          </cell>
          <cell r="CS209">
            <v>13324.852499999999</v>
          </cell>
          <cell r="CT209">
            <v>34929.225000000006</v>
          </cell>
          <cell r="CU209">
            <v>23932.987499999999</v>
          </cell>
          <cell r="CV209">
            <v>141346.93049999999</v>
          </cell>
          <cell r="CW209">
            <v>45175.131000000001</v>
          </cell>
        </row>
        <row r="210">
          <cell r="E210">
            <v>46113</v>
          </cell>
          <cell r="F210">
            <v>64899</v>
          </cell>
          <cell r="G210">
            <v>57060</v>
          </cell>
          <cell r="H210">
            <v>7839</v>
          </cell>
          <cell r="I210">
            <v>74365712</v>
          </cell>
          <cell r="J210">
            <v>72134194</v>
          </cell>
          <cell r="K210">
            <v>2231518</v>
          </cell>
          <cell r="L210">
            <v>1145.8683800983065</v>
          </cell>
          <cell r="M210">
            <v>1264.1814581142658</v>
          </cell>
          <cell r="N210">
            <v>284.66870774333461</v>
          </cell>
          <cell r="P210">
            <v>278022</v>
          </cell>
          <cell r="Q210">
            <v>237462</v>
          </cell>
          <cell r="R210">
            <v>40560</v>
          </cell>
          <cell r="X210">
            <v>225782</v>
          </cell>
          <cell r="Y210">
            <v>48539</v>
          </cell>
          <cell r="AB210">
            <v>122292.93000000001</v>
          </cell>
          <cell r="AC210">
            <v>115169.06999999999</v>
          </cell>
          <cell r="AR210">
            <v>25072</v>
          </cell>
          <cell r="AS210">
            <v>39083</v>
          </cell>
          <cell r="AT210">
            <v>45622</v>
          </cell>
          <cell r="AU210">
            <v>14610</v>
          </cell>
          <cell r="AV210">
            <v>12083</v>
          </cell>
          <cell r="AW210">
            <v>18563</v>
          </cell>
          <cell r="AX210">
            <v>9016</v>
          </cell>
          <cell r="AY210">
            <v>18474</v>
          </cell>
          <cell r="AZ210">
            <v>54939</v>
          </cell>
          <cell r="CS210">
            <v>12039.323400000001</v>
          </cell>
          <cell r="CT210">
            <v>33387.157200000001</v>
          </cell>
          <cell r="CU210">
            <v>23152.545000000002</v>
          </cell>
          <cell r="CV210">
            <v>123385.25519999999</v>
          </cell>
          <cell r="CW210">
            <v>45521.465400000001</v>
          </cell>
        </row>
        <row r="211">
          <cell r="E211">
            <v>46143</v>
          </cell>
          <cell r="F211">
            <v>69490</v>
          </cell>
          <cell r="G211">
            <v>60625</v>
          </cell>
          <cell r="H211">
            <v>8865</v>
          </cell>
          <cell r="I211">
            <v>80940930</v>
          </cell>
          <cell r="J211">
            <v>78398248</v>
          </cell>
          <cell r="K211">
            <v>2542682</v>
          </cell>
          <cell r="L211">
            <v>1164.7852928478917</v>
          </cell>
          <cell r="M211">
            <v>1293.1669773195877</v>
          </cell>
          <cell r="N211">
            <v>286.82256063169768</v>
          </cell>
          <cell r="P211">
            <v>299473</v>
          </cell>
          <cell r="Q211">
            <v>264659</v>
          </cell>
          <cell r="R211">
            <v>34814</v>
          </cell>
          <cell r="X211">
            <v>240056</v>
          </cell>
          <cell r="Y211">
            <v>54321</v>
          </cell>
          <cell r="AB211">
            <v>138416.65700000001</v>
          </cell>
          <cell r="AC211">
            <v>126242.34299999999</v>
          </cell>
          <cell r="AR211">
            <v>27712</v>
          </cell>
          <cell r="AS211">
            <v>43313</v>
          </cell>
          <cell r="AT211">
            <v>49642</v>
          </cell>
          <cell r="AU211">
            <v>14817</v>
          </cell>
          <cell r="AV211">
            <v>11060</v>
          </cell>
          <cell r="AW211">
            <v>20239</v>
          </cell>
          <cell r="AX211">
            <v>10287</v>
          </cell>
          <cell r="AY211">
            <v>21704</v>
          </cell>
          <cell r="AZ211">
            <v>65885</v>
          </cell>
          <cell r="CS211">
            <v>12730.097899999999</v>
          </cell>
          <cell r="CT211">
            <v>34961.4539</v>
          </cell>
          <cell r="CU211">
            <v>24877.946</v>
          </cell>
          <cell r="CV211">
            <v>143471.6439</v>
          </cell>
          <cell r="CW211">
            <v>48591.392400000004</v>
          </cell>
        </row>
        <row r="212">
          <cell r="E212">
            <v>46174</v>
          </cell>
          <cell r="F212">
            <v>72843</v>
          </cell>
          <cell r="G212">
            <v>64843</v>
          </cell>
          <cell r="H212">
            <v>8000</v>
          </cell>
          <cell r="I212">
            <v>86393318</v>
          </cell>
          <cell r="J212">
            <v>84015296</v>
          </cell>
          <cell r="K212">
            <v>2378022</v>
          </cell>
          <cell r="L212">
            <v>1186.0208667957113</v>
          </cell>
          <cell r="M212">
            <v>1295.6725629597643</v>
          </cell>
          <cell r="N212">
            <v>297.25274999999999</v>
          </cell>
          <cell r="P212">
            <v>294726</v>
          </cell>
          <cell r="Q212">
            <v>260528</v>
          </cell>
          <cell r="R212">
            <v>34198</v>
          </cell>
          <cell r="X212">
            <v>232929</v>
          </cell>
          <cell r="Y212">
            <v>57028</v>
          </cell>
          <cell r="AB212">
            <v>133129.80799999999</v>
          </cell>
          <cell r="AC212">
            <v>127398.19200000001</v>
          </cell>
          <cell r="AR212">
            <v>26651</v>
          </cell>
          <cell r="AS212">
            <v>46204</v>
          </cell>
          <cell r="AT212">
            <v>49080</v>
          </cell>
          <cell r="AU212">
            <v>14501</v>
          </cell>
          <cell r="AV212">
            <v>10869</v>
          </cell>
          <cell r="AW212">
            <v>16430</v>
          </cell>
          <cell r="AX212">
            <v>10033</v>
          </cell>
          <cell r="AY212">
            <v>21254</v>
          </cell>
          <cell r="AZ212">
            <v>65506</v>
          </cell>
          <cell r="CS212">
            <v>13208.7696</v>
          </cell>
          <cell r="CT212">
            <v>33295.4784</v>
          </cell>
          <cell r="CU212">
            <v>24932.529599999998</v>
          </cell>
          <cell r="CV212">
            <v>142586.97440000001</v>
          </cell>
          <cell r="CW212">
            <v>46504.248</v>
          </cell>
        </row>
        <row r="213">
          <cell r="E213">
            <v>46204</v>
          </cell>
          <cell r="F213">
            <v>73460</v>
          </cell>
          <cell r="G213">
            <v>66133</v>
          </cell>
          <cell r="H213">
            <v>7327</v>
          </cell>
          <cell r="I213">
            <v>86493027</v>
          </cell>
          <cell r="J213">
            <v>84015296</v>
          </cell>
          <cell r="K213">
            <v>2477731</v>
          </cell>
          <cell r="L213">
            <v>1177.4166485161993</v>
          </cell>
          <cell r="M213">
            <v>1270.398983865846</v>
          </cell>
          <cell r="N213">
            <v>338.16446021564076</v>
          </cell>
          <cell r="P213">
            <v>302208</v>
          </cell>
          <cell r="Q213">
            <v>265661</v>
          </cell>
          <cell r="R213">
            <v>36547</v>
          </cell>
          <cell r="X213">
            <v>239613</v>
          </cell>
          <cell r="Y213">
            <v>62782</v>
          </cell>
          <cell r="AB213">
            <v>142659.95699999999</v>
          </cell>
          <cell r="AC213">
            <v>123001.04300000001</v>
          </cell>
          <cell r="AR213">
            <v>29190</v>
          </cell>
          <cell r="AS213">
            <v>41952</v>
          </cell>
          <cell r="AT213">
            <v>49027</v>
          </cell>
          <cell r="AU213">
            <v>15287</v>
          </cell>
          <cell r="AV213">
            <v>10623</v>
          </cell>
          <cell r="AW213">
            <v>13266</v>
          </cell>
          <cell r="AX213">
            <v>9811</v>
          </cell>
          <cell r="AY213">
            <v>23531</v>
          </cell>
          <cell r="AZ213">
            <v>72974</v>
          </cell>
        </row>
        <row r="214">
          <cell r="E214">
            <v>46235</v>
          </cell>
          <cell r="Q214">
            <v>0.18351998727212915</v>
          </cell>
        </row>
        <row r="215">
          <cell r="E215">
            <v>46266</v>
          </cell>
        </row>
        <row r="217">
          <cell r="E217" t="str">
            <v>1T09</v>
          </cell>
          <cell r="F217">
            <v>201416</v>
          </cell>
          <cell r="G217">
            <v>187007</v>
          </cell>
          <cell r="H217">
            <v>14409</v>
          </cell>
          <cell r="I217">
            <v>175701334.18194699</v>
          </cell>
          <cell r="J217">
            <v>174281582.16692001</v>
          </cell>
          <cell r="K217">
            <v>1419752.0150270001</v>
          </cell>
          <cell r="L217">
            <v>872.33057047080172</v>
          </cell>
          <cell r="M217">
            <v>931.95218450068717</v>
          </cell>
          <cell r="N217">
            <v>98.532307240405316</v>
          </cell>
          <cell r="P217">
            <v>771945</v>
          </cell>
          <cell r="Q217">
            <v>642003</v>
          </cell>
          <cell r="R217">
            <v>129942</v>
          </cell>
          <cell r="X217" t="str">
            <v>-</v>
          </cell>
          <cell r="Y217" t="str">
            <v>-</v>
          </cell>
        </row>
        <row r="218">
          <cell r="E218" t="str">
            <v>2T09</v>
          </cell>
          <cell r="F218">
            <v>245442</v>
          </cell>
          <cell r="G218">
            <v>225690</v>
          </cell>
          <cell r="H218">
            <v>19752</v>
          </cell>
          <cell r="I218">
            <v>208656797.61534798</v>
          </cell>
          <cell r="J218">
            <v>205318975.60545599</v>
          </cell>
          <cell r="K218">
            <v>3337822.0098919999</v>
          </cell>
          <cell r="L218">
            <v>850.12670046425626</v>
          </cell>
          <cell r="M218">
            <v>909.73891446433606</v>
          </cell>
          <cell r="N218">
            <v>168.98653351012555</v>
          </cell>
          <cell r="P218">
            <v>887898</v>
          </cell>
          <cell r="Q218">
            <v>751567</v>
          </cell>
          <cell r="R218">
            <v>136331</v>
          </cell>
          <cell r="X218" t="str">
            <v>-</v>
          </cell>
          <cell r="Y218" t="str">
            <v>-</v>
          </cell>
        </row>
        <row r="219">
          <cell r="E219" t="str">
            <v>3T09</v>
          </cell>
          <cell r="F219">
            <v>266976</v>
          </cell>
          <cell r="G219">
            <v>248737</v>
          </cell>
          <cell r="H219">
            <v>18239</v>
          </cell>
          <cell r="I219">
            <v>225957593.707434</v>
          </cell>
          <cell r="J219">
            <v>223499917.67485499</v>
          </cell>
          <cell r="K219">
            <v>2457676.0325790001</v>
          </cell>
          <cell r="L219">
            <v>846.35919973118928</v>
          </cell>
          <cell r="M219">
            <v>898.53909018302465</v>
          </cell>
          <cell r="N219">
            <v>134.74839807988377</v>
          </cell>
          <cell r="P219">
            <v>955904</v>
          </cell>
          <cell r="Q219">
            <v>817772</v>
          </cell>
          <cell r="R219">
            <v>138132</v>
          </cell>
          <cell r="X219" t="str">
            <v>-</v>
          </cell>
          <cell r="Y219" t="str">
            <v>-</v>
          </cell>
        </row>
        <row r="220">
          <cell r="E220" t="str">
            <v>4T09</v>
          </cell>
          <cell r="F220">
            <v>273822</v>
          </cell>
          <cell r="G220">
            <v>248992</v>
          </cell>
          <cell r="H220">
            <v>24830</v>
          </cell>
          <cell r="I220">
            <v>233210850.76886499</v>
          </cell>
          <cell r="J220">
            <v>231020482.65370199</v>
          </cell>
          <cell r="K220">
            <v>2190368.1151629998</v>
          </cell>
          <cell r="L220">
            <v>851.68777807796664</v>
          </cell>
          <cell r="M220">
            <v>927.82291259840474</v>
          </cell>
          <cell r="N220">
            <v>88.21458377619814</v>
          </cell>
          <cell r="P220">
            <v>917154</v>
          </cell>
          <cell r="Q220">
            <v>797525</v>
          </cell>
          <cell r="R220">
            <v>119629</v>
          </cell>
          <cell r="X220" t="str">
            <v>-</v>
          </cell>
          <cell r="Y220" t="str">
            <v>-</v>
          </cell>
        </row>
        <row r="221">
          <cell r="E221" t="str">
            <v>1T10</v>
          </cell>
          <cell r="F221">
            <v>240759</v>
          </cell>
          <cell r="G221">
            <v>213746</v>
          </cell>
          <cell r="H221">
            <v>27013</v>
          </cell>
          <cell r="I221">
            <v>230896643</v>
          </cell>
          <cell r="J221">
            <v>227984064</v>
          </cell>
          <cell r="K221">
            <v>2912579</v>
          </cell>
          <cell r="L221">
            <v>959.03639323971277</v>
          </cell>
          <cell r="M221">
            <v>1066.6120722726976</v>
          </cell>
          <cell r="N221">
            <v>107.82138229741236</v>
          </cell>
          <cell r="P221">
            <v>813329</v>
          </cell>
          <cell r="Q221">
            <v>750419</v>
          </cell>
          <cell r="R221">
            <v>62910</v>
          </cell>
          <cell r="X221">
            <v>736752</v>
          </cell>
          <cell r="Y221" t="str">
            <v>-</v>
          </cell>
        </row>
        <row r="222">
          <cell r="E222" t="str">
            <v>2T10</v>
          </cell>
          <cell r="F222">
            <v>254773.5</v>
          </cell>
          <cell r="G222">
            <v>230866</v>
          </cell>
          <cell r="H222">
            <v>23907.5</v>
          </cell>
          <cell r="I222">
            <v>261984022</v>
          </cell>
          <cell r="J222">
            <v>258157601</v>
          </cell>
          <cell r="K222">
            <v>3826421</v>
          </cell>
          <cell r="L222">
            <v>1028.3016954275072</v>
          </cell>
          <cell r="M222">
            <v>1118.2140332487243</v>
          </cell>
          <cell r="N222">
            <v>160.05107183938094</v>
          </cell>
          <cell r="P222">
            <v>831373</v>
          </cell>
          <cell r="Q222">
            <v>745109</v>
          </cell>
          <cell r="R222">
            <v>86264</v>
          </cell>
          <cell r="X222">
            <v>797640</v>
          </cell>
          <cell r="Y222" t="str">
            <v>-</v>
          </cell>
        </row>
        <row r="223">
          <cell r="E223" t="str">
            <v>3T10</v>
          </cell>
          <cell r="F223">
            <v>284308</v>
          </cell>
          <cell r="G223">
            <v>258473</v>
          </cell>
          <cell r="H223">
            <v>25835</v>
          </cell>
          <cell r="I223">
            <v>271104450</v>
          </cell>
          <cell r="J223">
            <v>267291756</v>
          </cell>
          <cell r="K223">
            <v>3812694</v>
          </cell>
          <cell r="L223">
            <v>953.55899236039784</v>
          </cell>
          <cell r="M223">
            <v>1034.118673904044</v>
          </cell>
          <cell r="N223">
            <v>147.57863363653956</v>
          </cell>
          <cell r="P223">
            <v>961067</v>
          </cell>
          <cell r="Q223">
            <v>873265</v>
          </cell>
          <cell r="R223">
            <v>87802</v>
          </cell>
          <cell r="X223">
            <v>814547</v>
          </cell>
          <cell r="Y223" t="str">
            <v>-</v>
          </cell>
        </row>
        <row r="224">
          <cell r="E224" t="str">
            <v>4T10</v>
          </cell>
          <cell r="F224">
            <v>303399</v>
          </cell>
          <cell r="G224">
            <v>271169</v>
          </cell>
          <cell r="H224">
            <v>32230</v>
          </cell>
          <cell r="I224">
            <v>293763884</v>
          </cell>
          <cell r="J224">
            <v>289169097</v>
          </cell>
          <cell r="K224">
            <v>4594787</v>
          </cell>
          <cell r="L224">
            <v>968.24275623848462</v>
          </cell>
          <cell r="M224">
            <v>1066.3796267272439</v>
          </cell>
          <cell r="N224">
            <v>142.56242631089049</v>
          </cell>
          <cell r="P224">
            <v>1074904</v>
          </cell>
          <cell r="Q224">
            <v>960236</v>
          </cell>
          <cell r="R224">
            <v>114668</v>
          </cell>
          <cell r="X224">
            <v>802732</v>
          </cell>
          <cell r="Y224" t="str">
            <v>-</v>
          </cell>
        </row>
        <row r="225">
          <cell r="E225" t="str">
            <v>1T11</v>
          </cell>
          <cell r="F225">
            <v>253060</v>
          </cell>
          <cell r="G225">
            <v>226914</v>
          </cell>
          <cell r="H225">
            <v>26146</v>
          </cell>
          <cell r="I225">
            <v>259005000</v>
          </cell>
          <cell r="J225">
            <v>252730385</v>
          </cell>
          <cell r="K225">
            <v>6274615</v>
          </cell>
          <cell r="L225">
            <v>1023.4924523828341</v>
          </cell>
          <cell r="M225">
            <v>1113.7716712058314</v>
          </cell>
          <cell r="N225">
            <v>239.98374512353706</v>
          </cell>
          <cell r="P225">
            <v>893707</v>
          </cell>
          <cell r="Q225">
            <v>777708</v>
          </cell>
          <cell r="R225">
            <v>115999</v>
          </cell>
          <cell r="X225">
            <v>772708</v>
          </cell>
          <cell r="Y225">
            <v>181017</v>
          </cell>
        </row>
        <row r="226">
          <cell r="E226" t="str">
            <v>2T11</v>
          </cell>
          <cell r="F226">
            <v>262684</v>
          </cell>
          <cell r="G226">
            <v>237534</v>
          </cell>
          <cell r="H226">
            <v>25150</v>
          </cell>
          <cell r="I226">
            <v>272443000</v>
          </cell>
          <cell r="J226">
            <v>267618199.99999997</v>
          </cell>
          <cell r="K226">
            <v>4824800</v>
          </cell>
          <cell r="L226">
            <v>1037.1511017039484</v>
          </cell>
          <cell r="M226">
            <v>1126.6521845293726</v>
          </cell>
          <cell r="N226">
            <v>191.84095427435389</v>
          </cell>
          <cell r="P226">
            <v>973977</v>
          </cell>
          <cell r="Q226">
            <v>860369</v>
          </cell>
          <cell r="R226">
            <v>113608</v>
          </cell>
          <cell r="X226">
            <v>815931</v>
          </cell>
          <cell r="Y226">
            <v>207317</v>
          </cell>
        </row>
        <row r="227">
          <cell r="E227" t="str">
            <v>3T11</v>
          </cell>
          <cell r="F227">
            <v>276805</v>
          </cell>
          <cell r="G227">
            <v>247738</v>
          </cell>
          <cell r="H227">
            <v>29067</v>
          </cell>
          <cell r="I227">
            <v>279068000</v>
          </cell>
          <cell r="J227">
            <v>274704218</v>
          </cell>
          <cell r="K227">
            <v>4363781.9999999963</v>
          </cell>
          <cell r="L227">
            <v>1008.1754303571106</v>
          </cell>
          <cell r="M227">
            <v>1108.8497444881286</v>
          </cell>
          <cell r="N227">
            <v>150.12839302301566</v>
          </cell>
          <cell r="P227">
            <v>1007649</v>
          </cell>
          <cell r="Q227">
            <v>889586</v>
          </cell>
          <cell r="R227">
            <v>118063</v>
          </cell>
          <cell r="X227">
            <v>822053</v>
          </cell>
          <cell r="Y227">
            <v>219004</v>
          </cell>
        </row>
        <row r="228">
          <cell r="E228" t="str">
            <v>4T11</v>
          </cell>
          <cell r="F228">
            <v>295809</v>
          </cell>
          <cell r="G228">
            <v>257787</v>
          </cell>
          <cell r="H228">
            <v>38022</v>
          </cell>
          <cell r="I228">
            <v>284463000.00000006</v>
          </cell>
          <cell r="J228">
            <v>279516638.00000006</v>
          </cell>
          <cell r="K228">
            <v>4946361.9999999776</v>
          </cell>
          <cell r="L228">
            <v>961.64416904151005</v>
          </cell>
          <cell r="M228">
            <v>1084.2929938282382</v>
          </cell>
          <cell r="N228">
            <v>130.09210457103723</v>
          </cell>
          <cell r="P228">
            <v>1022868</v>
          </cell>
          <cell r="Q228">
            <v>898168</v>
          </cell>
          <cell r="R228">
            <v>124700</v>
          </cell>
          <cell r="X228">
            <v>734119</v>
          </cell>
          <cell r="Y228">
            <v>246663</v>
          </cell>
        </row>
        <row r="229">
          <cell r="E229" t="str">
            <v>1T12</v>
          </cell>
          <cell r="F229">
            <v>241294</v>
          </cell>
          <cell r="G229">
            <v>214616</v>
          </cell>
          <cell r="H229">
            <v>26678</v>
          </cell>
          <cell r="I229">
            <v>240378722.99999997</v>
          </cell>
          <cell r="J229">
            <v>236883326.99999997</v>
          </cell>
          <cell r="K229">
            <v>3495395.9999999925</v>
          </cell>
          <cell r="L229">
            <v>996.20679751672219</v>
          </cell>
          <cell r="M229">
            <v>1103.7542727476048</v>
          </cell>
          <cell r="N229">
            <v>131.02166579203811</v>
          </cell>
          <cell r="P229">
            <v>876965</v>
          </cell>
          <cell r="Q229">
            <v>772306</v>
          </cell>
          <cell r="R229">
            <v>104659</v>
          </cell>
          <cell r="X229">
            <v>705292</v>
          </cell>
          <cell r="Y229">
            <v>198544</v>
          </cell>
        </row>
        <row r="230">
          <cell r="E230" t="str">
            <v>2T12</v>
          </cell>
          <cell r="F230">
            <v>271483</v>
          </cell>
          <cell r="G230">
            <v>243558</v>
          </cell>
          <cell r="H230">
            <v>27925</v>
          </cell>
          <cell r="I230">
            <v>274716564</v>
          </cell>
          <cell r="J230">
            <v>270863286</v>
          </cell>
          <cell r="K230">
            <v>3853277.9999999888</v>
          </cell>
          <cell r="L230">
            <v>1011.9107421090823</v>
          </cell>
          <cell r="M230">
            <v>1112.1099943339984</v>
          </cell>
          <cell r="N230">
            <v>137.98667860340157</v>
          </cell>
          <cell r="P230">
            <v>964546</v>
          </cell>
          <cell r="Q230">
            <v>859507</v>
          </cell>
          <cell r="R230">
            <v>105039</v>
          </cell>
          <cell r="X230">
            <v>789026</v>
          </cell>
          <cell r="Y230">
            <v>192434</v>
          </cell>
        </row>
        <row r="231">
          <cell r="E231" t="str">
            <v>3T12</v>
          </cell>
          <cell r="F231">
            <v>303126</v>
          </cell>
          <cell r="G231">
            <v>281017</v>
          </cell>
          <cell r="H231">
            <v>22109</v>
          </cell>
          <cell r="I231">
            <v>315962799</v>
          </cell>
          <cell r="J231">
            <v>312318773</v>
          </cell>
          <cell r="K231">
            <v>3644025.9999999935</v>
          </cell>
          <cell r="L231">
            <v>1042.3480631816471</v>
          </cell>
          <cell r="M231">
            <v>1111.3874712206023</v>
          </cell>
          <cell r="N231">
            <v>164.82093265186094</v>
          </cell>
          <cell r="P231">
            <v>1124979</v>
          </cell>
          <cell r="Q231">
            <v>1034391</v>
          </cell>
          <cell r="R231">
            <v>90588</v>
          </cell>
          <cell r="X231">
            <v>877865</v>
          </cell>
          <cell r="Y231">
            <v>202298</v>
          </cell>
        </row>
        <row r="232">
          <cell r="E232" t="str">
            <v>4T12</v>
          </cell>
          <cell r="F232">
            <v>300972</v>
          </cell>
          <cell r="G232">
            <v>278926</v>
          </cell>
          <cell r="H232">
            <v>22046</v>
          </cell>
          <cell r="I232">
            <v>321407714</v>
          </cell>
          <cell r="J232">
            <v>317934409</v>
          </cell>
          <cell r="K232">
            <v>3473304.9999999888</v>
          </cell>
          <cell r="L232">
            <v>1067.8990537325731</v>
          </cell>
          <cell r="M232">
            <v>1139.8521794311037</v>
          </cell>
          <cell r="N232">
            <v>157.54808128458626</v>
          </cell>
          <cell r="P232">
            <v>1080291</v>
          </cell>
          <cell r="Q232">
            <v>967979</v>
          </cell>
          <cell r="R232">
            <v>112312</v>
          </cell>
          <cell r="X232">
            <v>862163</v>
          </cell>
          <cell r="Y232">
            <v>190429</v>
          </cell>
        </row>
        <row r="233">
          <cell r="E233" t="str">
            <v>1T13</v>
          </cell>
          <cell r="F233">
            <v>261887</v>
          </cell>
          <cell r="G233">
            <v>238165</v>
          </cell>
          <cell r="H233">
            <v>23722</v>
          </cell>
          <cell r="I233">
            <v>279683537</v>
          </cell>
          <cell r="J233">
            <v>275686317</v>
          </cell>
          <cell r="K233">
            <v>3997220</v>
          </cell>
          <cell r="L233">
            <v>1067.9550225860771</v>
          </cell>
          <cell r="M233">
            <v>1157.5433711922408</v>
          </cell>
          <cell r="N233">
            <v>168.50265576258326</v>
          </cell>
          <cell r="P233">
            <v>893924</v>
          </cell>
          <cell r="Q233">
            <v>788509</v>
          </cell>
          <cell r="R233">
            <v>105415</v>
          </cell>
          <cell r="X233">
            <v>810309</v>
          </cell>
          <cell r="Y233">
            <v>159838</v>
          </cell>
        </row>
        <row r="234">
          <cell r="E234" t="str">
            <v>2T13</v>
          </cell>
          <cell r="F234">
            <v>311399</v>
          </cell>
          <cell r="G234">
            <v>285684</v>
          </cell>
          <cell r="H234">
            <v>25715</v>
          </cell>
          <cell r="I234">
            <v>323607818</v>
          </cell>
          <cell r="J234">
            <v>319544093</v>
          </cell>
          <cell r="K234">
            <v>4063725</v>
          </cell>
          <cell r="L234">
            <v>1039.2063494102422</v>
          </cell>
          <cell r="M234">
            <v>1118.5228889262262</v>
          </cell>
          <cell r="N234">
            <v>158.02936029554735</v>
          </cell>
          <cell r="P234">
            <v>1062656</v>
          </cell>
          <cell r="Q234">
            <v>921011</v>
          </cell>
          <cell r="R234">
            <v>141645</v>
          </cell>
          <cell r="X234">
            <v>958394</v>
          </cell>
          <cell r="Y234">
            <v>172127</v>
          </cell>
        </row>
        <row r="235">
          <cell r="E235" t="str">
            <v>3T13</v>
          </cell>
          <cell r="F235">
            <v>309974</v>
          </cell>
          <cell r="G235">
            <v>281482</v>
          </cell>
          <cell r="H235">
            <v>28492</v>
          </cell>
          <cell r="I235">
            <v>327608229</v>
          </cell>
          <cell r="J235">
            <v>323539614</v>
          </cell>
          <cell r="K235">
            <v>4068615</v>
          </cell>
          <cell r="L235">
            <v>1056.8893810448619</v>
          </cell>
          <cell r="M235">
            <v>1149.4149323935455</v>
          </cell>
          <cell r="N235">
            <v>142.79850484346483</v>
          </cell>
          <cell r="P235">
            <v>1085572</v>
          </cell>
          <cell r="Q235">
            <v>931719</v>
          </cell>
          <cell r="R235">
            <v>153853</v>
          </cell>
          <cell r="X235">
            <v>919832</v>
          </cell>
          <cell r="Y235">
            <v>184928</v>
          </cell>
        </row>
        <row r="236">
          <cell r="E236" t="str">
            <v>4T13</v>
          </cell>
          <cell r="F236">
            <v>302344</v>
          </cell>
          <cell r="G236">
            <v>281864</v>
          </cell>
          <cell r="H236">
            <v>20480</v>
          </cell>
          <cell r="I236">
            <v>319719344</v>
          </cell>
          <cell r="J236">
            <v>316504826</v>
          </cell>
          <cell r="K236">
            <v>3214518</v>
          </cell>
          <cell r="L236">
            <v>1057.4687905167623</v>
          </cell>
          <cell r="M236">
            <v>1122.8990789884483</v>
          </cell>
          <cell r="N236">
            <v>156.95888671874999</v>
          </cell>
          <cell r="P236">
            <v>1069256</v>
          </cell>
          <cell r="Q236">
            <v>938657</v>
          </cell>
          <cell r="R236">
            <v>130599</v>
          </cell>
          <cell r="X236">
            <v>797722</v>
          </cell>
          <cell r="Y236">
            <v>186596</v>
          </cell>
        </row>
        <row r="237">
          <cell r="E237" t="str">
            <v>1T14</v>
          </cell>
          <cell r="F237">
            <v>236119</v>
          </cell>
          <cell r="G237">
            <v>220132</v>
          </cell>
          <cell r="H237">
            <v>15987</v>
          </cell>
          <cell r="I237">
            <v>259884542</v>
          </cell>
          <cell r="J237">
            <v>257502156</v>
          </cell>
          <cell r="K237">
            <v>2382386</v>
          </cell>
          <cell r="L237">
            <v>1100.6506973178778</v>
          </cell>
          <cell r="M237">
            <v>1169.7624879617683</v>
          </cell>
          <cell r="N237">
            <v>149.02020391568149</v>
          </cell>
          <cell r="P237">
            <v>844251</v>
          </cell>
          <cell r="Q237">
            <v>775371</v>
          </cell>
          <cell r="R237">
            <v>68880</v>
          </cell>
          <cell r="X237">
            <v>739096</v>
          </cell>
          <cell r="Y237">
            <v>150958</v>
          </cell>
        </row>
        <row r="238">
          <cell r="E238" t="str">
            <v>2T14</v>
          </cell>
          <cell r="F238">
            <v>245273</v>
          </cell>
          <cell r="G238">
            <v>232955</v>
          </cell>
          <cell r="H238">
            <v>12318</v>
          </cell>
          <cell r="I238">
            <v>278686994.32499999</v>
          </cell>
          <cell r="J238">
            <v>276994777.32499999</v>
          </cell>
          <cell r="K238">
            <v>1692217.0000000005</v>
          </cell>
          <cell r="L238">
            <v>1136.2318491028363</v>
          </cell>
          <cell r="M238">
            <v>1189.0484313494021</v>
          </cell>
          <cell r="N238">
            <v>137.37757752881964</v>
          </cell>
          <cell r="P238">
            <v>897422</v>
          </cell>
          <cell r="Q238">
            <v>809547</v>
          </cell>
          <cell r="R238">
            <v>87875</v>
          </cell>
          <cell r="X238">
            <v>731867</v>
          </cell>
          <cell r="Y238">
            <v>148796</v>
          </cell>
        </row>
        <row r="239">
          <cell r="E239" t="str">
            <v>3T14</v>
          </cell>
          <cell r="F239">
            <v>254921</v>
          </cell>
          <cell r="G239">
            <v>238254</v>
          </cell>
          <cell r="H239">
            <v>16667</v>
          </cell>
          <cell r="I239">
            <v>277098309</v>
          </cell>
          <cell r="J239">
            <v>274538876</v>
          </cell>
          <cell r="K239">
            <v>2559432.9999999949</v>
          </cell>
          <cell r="L239">
            <v>1086.9967911627523</v>
          </cell>
          <cell r="M239">
            <v>1152.2949289413818</v>
          </cell>
          <cell r="N239">
            <v>153.56290874182486</v>
          </cell>
          <cell r="P239">
            <v>908295</v>
          </cell>
          <cell r="Q239">
            <v>822566</v>
          </cell>
          <cell r="R239">
            <v>85729</v>
          </cell>
          <cell r="X239">
            <v>775230</v>
          </cell>
          <cell r="Y239">
            <v>153184</v>
          </cell>
        </row>
        <row r="240">
          <cell r="E240" t="str">
            <v>4T14</v>
          </cell>
          <cell r="F240">
            <v>289576</v>
          </cell>
          <cell r="G240">
            <v>274033</v>
          </cell>
          <cell r="H240">
            <v>15543</v>
          </cell>
          <cell r="I240">
            <v>316095610.99999994</v>
          </cell>
          <cell r="J240">
            <v>314388861.99999994</v>
          </cell>
          <cell r="K240">
            <v>1706749</v>
          </cell>
          <cell r="L240">
            <v>1091.5808319750254</v>
          </cell>
          <cell r="M240">
            <v>1147.2664314151943</v>
          </cell>
          <cell r="N240">
            <v>109.80820948336871</v>
          </cell>
          <cell r="P240">
            <v>993671</v>
          </cell>
          <cell r="Q240">
            <v>925999</v>
          </cell>
          <cell r="R240">
            <v>67672</v>
          </cell>
          <cell r="X240">
            <v>732736</v>
          </cell>
          <cell r="Y240">
            <v>162020</v>
          </cell>
        </row>
        <row r="241">
          <cell r="E241" t="str">
            <v>1T15</v>
          </cell>
          <cell r="F241">
            <v>197195</v>
          </cell>
          <cell r="G241">
            <v>180630</v>
          </cell>
          <cell r="H241">
            <v>16565</v>
          </cell>
          <cell r="I241">
            <v>218228126</v>
          </cell>
          <cell r="J241">
            <v>216575370</v>
          </cell>
          <cell r="K241">
            <v>1652755.9999999956</v>
          </cell>
          <cell r="L241">
            <v>1106.6615583559421</v>
          </cell>
          <cell r="M241">
            <v>1199</v>
          </cell>
          <cell r="N241">
            <v>99.773981285843377</v>
          </cell>
          <cell r="P241">
            <v>723781</v>
          </cell>
          <cell r="Q241">
            <v>649866</v>
          </cell>
          <cell r="R241">
            <v>73915</v>
          </cell>
          <cell r="X241">
            <v>636150</v>
          </cell>
          <cell r="Y241">
            <v>114112</v>
          </cell>
        </row>
        <row r="242">
          <cell r="E242" t="str">
            <v>2T15</v>
          </cell>
          <cell r="F242">
            <v>188680</v>
          </cell>
          <cell r="G242">
            <v>165723</v>
          </cell>
          <cell r="H242">
            <v>22957</v>
          </cell>
          <cell r="I242">
            <v>202027900</v>
          </cell>
          <cell r="J242">
            <v>199009022</v>
          </cell>
          <cell r="K242">
            <v>3018877.9999999963</v>
          </cell>
          <cell r="L242">
            <v>1070.743587025652</v>
          </cell>
          <cell r="M242">
            <v>1200.8533637455271</v>
          </cell>
          <cell r="N242">
            <v>131.50141569020326</v>
          </cell>
          <cell r="P242">
            <v>733218</v>
          </cell>
          <cell r="Q242">
            <v>622134</v>
          </cell>
          <cell r="R242">
            <v>111084</v>
          </cell>
          <cell r="X242">
            <v>595782</v>
          </cell>
          <cell r="Y242">
            <v>100537</v>
          </cell>
        </row>
        <row r="243">
          <cell r="E243" t="str">
            <v>3T15</v>
          </cell>
          <cell r="F243">
            <v>179085</v>
          </cell>
          <cell r="G243">
            <v>161791</v>
          </cell>
          <cell r="H243">
            <v>17294</v>
          </cell>
          <cell r="I243">
            <v>196409795</v>
          </cell>
          <cell r="J243">
            <v>193739778</v>
          </cell>
          <cell r="K243">
            <v>2670016.9999999981</v>
          </cell>
          <cell r="L243">
            <v>1096.7406259597399</v>
          </cell>
          <cell r="M243">
            <v>1197.4694389675569</v>
          </cell>
          <cell r="N243">
            <v>154.38978836590715</v>
          </cell>
          <cell r="P243">
            <v>701748</v>
          </cell>
          <cell r="Q243">
            <v>612653</v>
          </cell>
          <cell r="R243">
            <v>89095</v>
          </cell>
          <cell r="X243">
            <v>594377</v>
          </cell>
          <cell r="Y243">
            <v>103052</v>
          </cell>
        </row>
        <row r="244">
          <cell r="E244" t="str">
            <v>4T15</v>
          </cell>
          <cell r="F244">
            <v>200591</v>
          </cell>
          <cell r="G244">
            <v>177916</v>
          </cell>
          <cell r="H244">
            <v>22675</v>
          </cell>
          <cell r="I244">
            <v>211035891.99999994</v>
          </cell>
          <cell r="J244">
            <v>208263365.99999994</v>
          </cell>
          <cell r="K244">
            <v>2772525.9999999958</v>
          </cell>
          <cell r="L244">
            <v>1052.0705914024056</v>
          </cell>
          <cell r="M244">
            <v>1170.5713145529348</v>
          </cell>
          <cell r="N244">
            <v>122.27237045203951</v>
          </cell>
          <cell r="P244">
            <v>710808</v>
          </cell>
          <cell r="Q244">
            <v>595879</v>
          </cell>
          <cell r="R244">
            <v>114929</v>
          </cell>
          <cell r="X244">
            <v>506220</v>
          </cell>
          <cell r="Y244">
            <v>95222</v>
          </cell>
        </row>
        <row r="245">
          <cell r="E245" t="str">
            <v>1T16</v>
          </cell>
          <cell r="F245">
            <v>135874</v>
          </cell>
          <cell r="G245">
            <v>118161</v>
          </cell>
          <cell r="H245">
            <v>17713</v>
          </cell>
          <cell r="I245">
            <v>141289564</v>
          </cell>
          <cell r="J245">
            <v>139201311</v>
          </cell>
          <cell r="K245">
            <v>2088253</v>
          </cell>
          <cell r="L245">
            <v>1039.8572500993569</v>
          </cell>
          <cell r="M245">
            <v>1178.0647675629014</v>
          </cell>
          <cell r="N245">
            <v>117.89380680855868</v>
          </cell>
          <cell r="P245">
            <v>561592</v>
          </cell>
          <cell r="Q245">
            <v>465481</v>
          </cell>
          <cell r="R245">
            <v>96111</v>
          </cell>
          <cell r="X245">
            <v>477988</v>
          </cell>
          <cell r="Y245">
            <v>72341</v>
          </cell>
        </row>
        <row r="246">
          <cell r="E246" t="str">
            <v>2T16</v>
          </cell>
          <cell r="F246">
            <v>169184</v>
          </cell>
          <cell r="G246">
            <v>141155</v>
          </cell>
          <cell r="H246">
            <v>28029</v>
          </cell>
          <cell r="I246">
            <v>160341923.00000006</v>
          </cell>
          <cell r="J246">
            <v>156608965.00000006</v>
          </cell>
          <cell r="K246">
            <v>3732957.9999999963</v>
          </cell>
          <cell r="L246">
            <v>947.73691956686241</v>
          </cell>
          <cell r="M246">
            <v>1109.4822358400345</v>
          </cell>
          <cell r="N246">
            <v>133.18199008170097</v>
          </cell>
          <cell r="P246">
            <v>614396</v>
          </cell>
          <cell r="Q246">
            <v>486784</v>
          </cell>
          <cell r="R246">
            <v>127612</v>
          </cell>
          <cell r="X246">
            <v>515444</v>
          </cell>
          <cell r="Y246">
            <v>64927</v>
          </cell>
        </row>
        <row r="247">
          <cell r="E247" t="str">
            <v>3T16</v>
          </cell>
          <cell r="F247">
            <v>178509</v>
          </cell>
          <cell r="G247">
            <v>151205</v>
          </cell>
          <cell r="H247">
            <v>27304</v>
          </cell>
          <cell r="I247">
            <v>169233957.00000009</v>
          </cell>
          <cell r="J247">
            <v>165474809.00000009</v>
          </cell>
          <cell r="K247">
            <v>3759148.0000000005</v>
          </cell>
          <cell r="L247">
            <v>948.04159454145224</v>
          </cell>
          <cell r="M247">
            <v>1094.3739228200131</v>
          </cell>
          <cell r="N247">
            <v>137.6775564019924</v>
          </cell>
          <cell r="P247">
            <v>626083</v>
          </cell>
          <cell r="Q247">
            <v>508363</v>
          </cell>
          <cell r="R247">
            <v>117720</v>
          </cell>
          <cell r="X247">
            <v>524690</v>
          </cell>
          <cell r="Y247">
            <v>70006</v>
          </cell>
        </row>
        <row r="248">
          <cell r="E248" t="str">
            <v>4T16</v>
          </cell>
          <cell r="F248">
            <v>197335</v>
          </cell>
          <cell r="G248">
            <v>160228</v>
          </cell>
          <cell r="H248">
            <v>37107</v>
          </cell>
          <cell r="I248">
            <v>174961505.00000003</v>
          </cell>
          <cell r="J248">
            <v>169963251.00000003</v>
          </cell>
          <cell r="K248">
            <v>4998253.9999999991</v>
          </cell>
          <cell r="L248">
            <v>886.62175995135192</v>
          </cell>
          <cell r="M248">
            <v>1060.7587375489929</v>
          </cell>
          <cell r="N248">
            <v>134.69841269841268</v>
          </cell>
          <cell r="P248">
            <v>675581</v>
          </cell>
          <cell r="Q248">
            <v>527968</v>
          </cell>
          <cell r="R248">
            <v>147613</v>
          </cell>
          <cell r="X248">
            <v>579475</v>
          </cell>
          <cell r="Y248">
            <v>64359</v>
          </cell>
        </row>
        <row r="249">
          <cell r="E249" t="str">
            <v>1T17</v>
          </cell>
          <cell r="F249">
            <v>164393</v>
          </cell>
          <cell r="G249">
            <v>124821</v>
          </cell>
          <cell r="H249">
            <v>39572</v>
          </cell>
          <cell r="I249">
            <v>146476000</v>
          </cell>
          <cell r="J249">
            <v>140848000</v>
          </cell>
          <cell r="K249">
            <v>5628000</v>
          </cell>
          <cell r="L249">
            <v>891.01117444173417</v>
          </cell>
          <cell r="M249">
            <v>1128.3998686118521</v>
          </cell>
          <cell r="N249">
            <v>142.22177297078741</v>
          </cell>
          <cell r="P249">
            <v>626083</v>
          </cell>
          <cell r="Q249">
            <v>460580</v>
          </cell>
          <cell r="R249">
            <v>165503</v>
          </cell>
          <cell r="X249">
            <v>597846</v>
          </cell>
          <cell r="Y249">
            <v>51686</v>
          </cell>
        </row>
        <row r="250">
          <cell r="E250" t="str">
            <v>2T17</v>
          </cell>
          <cell r="F250">
            <v>183183</v>
          </cell>
          <cell r="G250">
            <v>139792</v>
          </cell>
          <cell r="H250">
            <v>43391</v>
          </cell>
          <cell r="I250">
            <v>162583914.03599072</v>
          </cell>
          <cell r="J250">
            <v>162583914.03599072</v>
          </cell>
          <cell r="L250">
            <v>887.54913958167901</v>
          </cell>
          <cell r="M250">
            <v>1163.0416192342245</v>
          </cell>
          <cell r="N250">
            <v>0</v>
          </cell>
          <cell r="P250">
            <v>723137</v>
          </cell>
          <cell r="Q250">
            <v>532511</v>
          </cell>
          <cell r="R250">
            <v>190626</v>
          </cell>
          <cell r="X250">
            <v>633657</v>
          </cell>
          <cell r="Y250">
            <v>58769</v>
          </cell>
        </row>
        <row r="251">
          <cell r="E251" t="str">
            <v>3T17</v>
          </cell>
          <cell r="F251">
            <v>195353</v>
          </cell>
          <cell r="G251">
            <v>160254</v>
          </cell>
          <cell r="H251">
            <v>35099</v>
          </cell>
          <cell r="I251">
            <v>191069349</v>
          </cell>
          <cell r="J251">
            <v>183273679</v>
          </cell>
          <cell r="K251">
            <v>7795670</v>
          </cell>
          <cell r="L251">
            <v>978.07225381744843</v>
          </cell>
          <cell r="M251">
            <v>1143.644957380159</v>
          </cell>
          <cell r="N251">
            <v>222.10518818199949</v>
          </cell>
          <cell r="P251">
            <v>764893</v>
          </cell>
          <cell r="Q251">
            <v>582986</v>
          </cell>
          <cell r="R251">
            <v>181907</v>
          </cell>
          <cell r="X251">
            <v>702748</v>
          </cell>
          <cell r="Y251">
            <v>64108</v>
          </cell>
        </row>
        <row r="252">
          <cell r="E252" t="str">
            <v>4T17</v>
          </cell>
          <cell r="F252">
            <v>211414</v>
          </cell>
          <cell r="G252">
            <v>168868</v>
          </cell>
          <cell r="H252">
            <v>42546</v>
          </cell>
          <cell r="I252">
            <v>204238159</v>
          </cell>
          <cell r="J252">
            <v>195783342</v>
          </cell>
          <cell r="K252">
            <v>8454817</v>
          </cell>
          <cell r="L252">
            <v>966.0578722317349</v>
          </cell>
          <cell r="M252">
            <v>1159.3868702181585</v>
          </cell>
          <cell r="N252">
            <v>198.72178348140835</v>
          </cell>
          <cell r="P252">
            <v>786479</v>
          </cell>
          <cell r="Q252">
            <v>599907</v>
          </cell>
          <cell r="R252">
            <v>186572</v>
          </cell>
          <cell r="X252">
            <v>699318</v>
          </cell>
          <cell r="Y252">
            <v>67762</v>
          </cell>
        </row>
        <row r="253">
          <cell r="E253" t="str">
            <v>1T18</v>
          </cell>
          <cell r="F253">
            <v>177211</v>
          </cell>
          <cell r="G253">
            <v>135287</v>
          </cell>
          <cell r="H253">
            <v>41924</v>
          </cell>
          <cell r="I253">
            <v>171756394</v>
          </cell>
          <cell r="J253">
            <v>163476999</v>
          </cell>
          <cell r="K253">
            <v>8279395</v>
          </cell>
          <cell r="L253">
            <v>969.2197098374254</v>
          </cell>
          <cell r="M253">
            <v>1208.3718243438025</v>
          </cell>
          <cell r="N253">
            <v>197.4858076519416</v>
          </cell>
          <cell r="P253">
            <v>698647</v>
          </cell>
          <cell r="Q253">
            <v>528244</v>
          </cell>
          <cell r="R253">
            <v>170403</v>
          </cell>
          <cell r="X253">
            <v>668934</v>
          </cell>
          <cell r="Y253">
            <v>63509</v>
          </cell>
        </row>
        <row r="254">
          <cell r="E254" t="str">
            <v>2T18</v>
          </cell>
          <cell r="F254">
            <v>193885</v>
          </cell>
          <cell r="G254">
            <v>155381</v>
          </cell>
          <cell r="H254">
            <v>38504</v>
          </cell>
          <cell r="I254">
            <v>190005425</v>
          </cell>
          <cell r="J254">
            <v>182617816</v>
          </cell>
          <cell r="K254">
            <v>7387609</v>
          </cell>
          <cell r="L254">
            <v>979.99032931892611</v>
          </cell>
          <cell r="M254">
            <v>1175.2905181457193</v>
          </cell>
          <cell r="N254">
            <v>191.86601392063162</v>
          </cell>
          <cell r="P254">
            <v>790431</v>
          </cell>
          <cell r="Q254">
            <v>600898</v>
          </cell>
          <cell r="R254">
            <v>189533</v>
          </cell>
          <cell r="X254">
            <v>701967</v>
          </cell>
          <cell r="Y254">
            <v>78841</v>
          </cell>
        </row>
        <row r="255">
          <cell r="E255" t="str">
            <v>3T18</v>
          </cell>
          <cell r="F255">
            <v>206690</v>
          </cell>
          <cell r="G255">
            <v>177801</v>
          </cell>
          <cell r="H255">
            <v>28889</v>
          </cell>
          <cell r="I255">
            <v>214950232</v>
          </cell>
          <cell r="J255">
            <v>209050106</v>
          </cell>
          <cell r="K255">
            <v>5900126</v>
          </cell>
          <cell r="L255">
            <v>1039.9643524118244</v>
          </cell>
          <cell r="M255">
            <v>1175.7532634799579</v>
          </cell>
          <cell r="N255">
            <v>204.23434525251827</v>
          </cell>
          <cell r="P255">
            <v>791230</v>
          </cell>
          <cell r="Q255">
            <v>653805</v>
          </cell>
          <cell r="R255">
            <v>137425</v>
          </cell>
          <cell r="T255" t="str">
            <v>-</v>
          </cell>
          <cell r="U255" t="str">
            <v>-</v>
          </cell>
          <cell r="X255">
            <v>724352</v>
          </cell>
          <cell r="Y255">
            <v>83606</v>
          </cell>
        </row>
        <row r="256">
          <cell r="E256" t="str">
            <v>4T18</v>
          </cell>
          <cell r="F256">
            <v>203627</v>
          </cell>
          <cell r="G256">
            <v>185303</v>
          </cell>
          <cell r="H256">
            <v>18324</v>
          </cell>
          <cell r="I256">
            <v>214723650</v>
          </cell>
          <cell r="J256">
            <v>210511051</v>
          </cell>
          <cell r="K256">
            <v>4212599</v>
          </cell>
          <cell r="L256">
            <v>1054.4949834746865</v>
          </cell>
          <cell r="M256">
            <v>1136.0369287059573</v>
          </cell>
          <cell r="N256">
            <v>229.89516481117658</v>
          </cell>
          <cell r="P256">
            <v>790462</v>
          </cell>
          <cell r="Q256">
            <v>692391</v>
          </cell>
          <cell r="R256">
            <v>98071</v>
          </cell>
          <cell r="T256" t="str">
            <v>-</v>
          </cell>
          <cell r="U256" t="str">
            <v>-</v>
          </cell>
          <cell r="X256">
            <v>651695</v>
          </cell>
          <cell r="Y256">
            <v>82610</v>
          </cell>
        </row>
        <row r="257">
          <cell r="E257" t="str">
            <v>1T19</v>
          </cell>
          <cell r="F257">
            <v>179325</v>
          </cell>
          <cell r="G257">
            <v>155292</v>
          </cell>
          <cell r="H257">
            <v>24033</v>
          </cell>
          <cell r="I257">
            <v>188746210</v>
          </cell>
          <cell r="J257">
            <v>183672549</v>
          </cell>
          <cell r="K257">
            <v>5073661</v>
          </cell>
          <cell r="L257">
            <v>1052.5370695664296</v>
          </cell>
          <cell r="M257">
            <v>1182.7560273549184</v>
          </cell>
          <cell r="N257">
            <v>211.11226230599593</v>
          </cell>
          <cell r="P257">
            <v>681419</v>
          </cell>
          <cell r="Q257">
            <v>581456</v>
          </cell>
          <cell r="R257">
            <v>99963</v>
          </cell>
          <cell r="T257" t="str">
            <v>-</v>
          </cell>
          <cell r="U257" t="str">
            <v>-</v>
          </cell>
          <cell r="X257">
            <v>666970</v>
          </cell>
          <cell r="Y257">
            <v>68113</v>
          </cell>
        </row>
        <row r="258">
          <cell r="E258" t="str">
            <v>2T19</v>
          </cell>
          <cell r="F258">
            <v>208179</v>
          </cell>
          <cell r="G258">
            <v>181552</v>
          </cell>
          <cell r="H258">
            <v>26627</v>
          </cell>
          <cell r="I258">
            <v>220205950</v>
          </cell>
          <cell r="J258">
            <v>215426712</v>
          </cell>
          <cell r="K258">
            <v>4779238</v>
          </cell>
          <cell r="L258">
            <v>1057.7721576143608</v>
          </cell>
          <cell r="M258">
            <v>1186.5840750859259</v>
          </cell>
          <cell r="N258">
            <v>179.48841401584858</v>
          </cell>
          <cell r="P258">
            <v>782593</v>
          </cell>
          <cell r="Q258">
            <v>670317</v>
          </cell>
          <cell r="R258">
            <v>112276</v>
          </cell>
          <cell r="T258" t="str">
            <v>-</v>
          </cell>
          <cell r="U258" t="str">
            <v>-</v>
          </cell>
          <cell r="X258">
            <v>737875</v>
          </cell>
          <cell r="Y258">
            <v>73690</v>
          </cell>
        </row>
        <row r="259">
          <cell r="E259" t="str">
            <v>3T19</v>
          </cell>
          <cell r="F259">
            <v>204497</v>
          </cell>
          <cell r="G259">
            <v>179754</v>
          </cell>
          <cell r="H259">
            <v>24743</v>
          </cell>
          <cell r="I259">
            <v>226176014</v>
          </cell>
          <cell r="J259">
            <v>221039091</v>
          </cell>
          <cell r="K259">
            <v>5136923</v>
          </cell>
          <cell r="L259">
            <v>1106.0114035902727</v>
          </cell>
          <cell r="M259">
            <v>1229.675506525585</v>
          </cell>
          <cell r="N259">
            <v>207.61116275310189</v>
          </cell>
          <cell r="P259">
            <v>798600</v>
          </cell>
          <cell r="Q259">
            <v>688397</v>
          </cell>
          <cell r="R259">
            <v>110203</v>
          </cell>
          <cell r="T259" t="str">
            <v>-</v>
          </cell>
          <cell r="U259" t="str">
            <v>-</v>
          </cell>
          <cell r="X259">
            <v>744430</v>
          </cell>
          <cell r="Y259">
            <v>75436</v>
          </cell>
        </row>
        <row r="260">
          <cell r="E260" t="str">
            <v>4T19</v>
          </cell>
          <cell r="F260">
            <v>229266</v>
          </cell>
          <cell r="G260">
            <v>208381</v>
          </cell>
          <cell r="H260">
            <v>20885</v>
          </cell>
          <cell r="I260">
            <v>245769125.99999994</v>
          </cell>
          <cell r="J260">
            <v>241840088.99999994</v>
          </cell>
          <cell r="K260">
            <v>3929037</v>
          </cell>
          <cell r="L260">
            <v>1071.9824396116298</v>
          </cell>
          <cell r="M260">
            <v>1160.5668894956832</v>
          </cell>
          <cell r="N260">
            <v>188.12722049317694</v>
          </cell>
          <cell r="P260">
            <v>810481</v>
          </cell>
          <cell r="Q260">
            <v>725413</v>
          </cell>
          <cell r="R260">
            <v>85068</v>
          </cell>
          <cell r="X260">
            <v>654566</v>
          </cell>
          <cell r="Y260">
            <v>77303</v>
          </cell>
        </row>
        <row r="261">
          <cell r="E261" t="str">
            <v>1T20</v>
          </cell>
          <cell r="F261">
            <v>156694</v>
          </cell>
          <cell r="G261">
            <v>135460</v>
          </cell>
          <cell r="H261">
            <v>21234</v>
          </cell>
          <cell r="I261">
            <v>175905118</v>
          </cell>
          <cell r="J261">
            <v>171622198</v>
          </cell>
          <cell r="K261">
            <v>4282920</v>
          </cell>
          <cell r="L261">
            <v>1122.6027671767904</v>
          </cell>
          <cell r="M261">
            <v>1266.9584969732762</v>
          </cell>
          <cell r="N261">
            <v>201.70104549307715</v>
          </cell>
          <cell r="P261">
            <v>619515</v>
          </cell>
          <cell r="Q261">
            <v>534285</v>
          </cell>
          <cell r="R261">
            <v>85230</v>
          </cell>
          <cell r="X261">
            <v>555215</v>
          </cell>
          <cell r="Y261">
            <v>59648</v>
          </cell>
        </row>
        <row r="262">
          <cell r="E262" t="str">
            <v>2T20</v>
          </cell>
          <cell r="F262">
            <v>56642</v>
          </cell>
          <cell r="G262">
            <v>51802</v>
          </cell>
          <cell r="H262">
            <v>4840</v>
          </cell>
          <cell r="I262">
            <v>61170718</v>
          </cell>
          <cell r="J262">
            <v>60373783</v>
          </cell>
          <cell r="K262">
            <v>796935</v>
          </cell>
          <cell r="L262">
            <v>1079.953356166802</v>
          </cell>
          <cell r="M262">
            <v>1165.4720474112969</v>
          </cell>
          <cell r="N262">
            <v>164.65599173553719</v>
          </cell>
          <cell r="P262">
            <v>258702</v>
          </cell>
          <cell r="Q262">
            <v>230963</v>
          </cell>
          <cell r="R262">
            <v>27739</v>
          </cell>
          <cell r="X262">
            <v>130342</v>
          </cell>
          <cell r="Y262">
            <v>34439</v>
          </cell>
        </row>
        <row r="263">
          <cell r="E263" t="str">
            <v>3T20</v>
          </cell>
          <cell r="F263">
            <v>161762</v>
          </cell>
          <cell r="G263">
            <v>140610</v>
          </cell>
          <cell r="H263">
            <v>21152</v>
          </cell>
          <cell r="I263">
            <v>189941205</v>
          </cell>
          <cell r="J263">
            <v>185264007</v>
          </cell>
          <cell r="K263">
            <v>4677198</v>
          </cell>
          <cell r="L263">
            <v>1174.2016357364523</v>
          </cell>
          <cell r="M263">
            <v>1317.5734798378494</v>
          </cell>
          <cell r="N263">
            <v>221.1232034795764</v>
          </cell>
          <cell r="P263">
            <v>618961</v>
          </cell>
          <cell r="Q263">
            <v>536411</v>
          </cell>
          <cell r="R263">
            <v>82550</v>
          </cell>
          <cell r="X263">
            <v>572575</v>
          </cell>
          <cell r="Y263">
            <v>54807</v>
          </cell>
        </row>
        <row r="264">
          <cell r="E264" t="str">
            <v>4T20</v>
          </cell>
          <cell r="F264">
            <v>185760</v>
          </cell>
          <cell r="G264">
            <v>155815</v>
          </cell>
          <cell r="H264">
            <v>29945</v>
          </cell>
          <cell r="I264">
            <v>208718510</v>
          </cell>
          <cell r="J264">
            <v>203052007</v>
          </cell>
          <cell r="K264">
            <v>5666503</v>
          </cell>
          <cell r="L264">
            <v>1123.5923234280792</v>
          </cell>
          <cell r="M264">
            <v>1303.1608445913423</v>
          </cell>
          <cell r="N264">
            <v>189.23035565202872</v>
          </cell>
          <cell r="P264">
            <v>764618</v>
          </cell>
          <cell r="Q264">
            <v>653169</v>
          </cell>
          <cell r="R264">
            <v>111449</v>
          </cell>
          <cell r="T264" t="str">
            <v>-</v>
          </cell>
          <cell r="U264" t="str">
            <v>-</v>
          </cell>
          <cell r="X264">
            <v>646582</v>
          </cell>
          <cell r="Y264">
            <v>58789</v>
          </cell>
        </row>
        <row r="265">
          <cell r="E265" t="str">
            <v>1T21</v>
          </cell>
          <cell r="F265">
            <v>137310</v>
          </cell>
          <cell r="G265">
            <v>114662</v>
          </cell>
          <cell r="H265">
            <v>22648</v>
          </cell>
          <cell r="I265">
            <v>143978225</v>
          </cell>
          <cell r="J265">
            <v>137419233</v>
          </cell>
          <cell r="K265">
            <v>6558992</v>
          </cell>
          <cell r="L265">
            <v>1048.5632874517514</v>
          </cell>
          <cell r="M265">
            <v>1198.4723186408748</v>
          </cell>
          <cell r="N265">
            <v>289.60579300600494</v>
          </cell>
          <cell r="P265">
            <v>588153</v>
          </cell>
          <cell r="Q265">
            <v>498518</v>
          </cell>
          <cell r="R265">
            <v>89635</v>
          </cell>
          <cell r="X265">
            <v>559515</v>
          </cell>
          <cell r="Y265">
            <v>45886</v>
          </cell>
        </row>
        <row r="266">
          <cell r="E266" t="str">
            <v>2T21</v>
          </cell>
          <cell r="F266">
            <v>127793</v>
          </cell>
          <cell r="G266">
            <v>104646</v>
          </cell>
          <cell r="H266">
            <v>23147</v>
          </cell>
          <cell r="I266">
            <v>126444726</v>
          </cell>
          <cell r="J266">
            <v>121411530</v>
          </cell>
          <cell r="K266">
            <v>5033196</v>
          </cell>
          <cell r="L266">
            <v>989.44954731479811</v>
          </cell>
          <cell r="M266">
            <v>1160.2118571182846</v>
          </cell>
          <cell r="N266">
            <v>217.44485246468224</v>
          </cell>
          <cell r="P266">
            <v>607259</v>
          </cell>
          <cell r="Q266">
            <v>509382</v>
          </cell>
          <cell r="R266">
            <v>97877</v>
          </cell>
          <cell r="X266">
            <v>504509</v>
          </cell>
          <cell r="Y266">
            <v>59453</v>
          </cell>
        </row>
        <row r="267">
          <cell r="E267" t="str">
            <v>3T21</v>
          </cell>
          <cell r="F267">
            <v>113879</v>
          </cell>
          <cell r="G267">
            <v>96425</v>
          </cell>
          <cell r="H267">
            <v>17454</v>
          </cell>
          <cell r="I267">
            <v>118061787</v>
          </cell>
          <cell r="J267">
            <v>113637506</v>
          </cell>
          <cell r="K267">
            <v>4424281</v>
          </cell>
          <cell r="L267">
            <v>1036.7300994915656</v>
          </cell>
          <cell r="M267">
            <v>1178.506673580503</v>
          </cell>
          <cell r="N267">
            <v>253.48235361521714</v>
          </cell>
          <cell r="P267">
            <v>533317</v>
          </cell>
          <cell r="Q267">
            <v>463358</v>
          </cell>
          <cell r="R267">
            <v>69959</v>
          </cell>
          <cell r="X267">
            <v>455752</v>
          </cell>
          <cell r="Y267">
            <v>67681</v>
          </cell>
        </row>
        <row r="268">
          <cell r="E268" t="str">
            <v>4T21</v>
          </cell>
          <cell r="F268">
            <v>148403</v>
          </cell>
          <cell r="G268">
            <v>126503</v>
          </cell>
          <cell r="H268">
            <v>21900</v>
          </cell>
          <cell r="I268">
            <v>164257378</v>
          </cell>
          <cell r="J268">
            <v>156694085</v>
          </cell>
          <cell r="K268">
            <v>7563293</v>
          </cell>
          <cell r="L268">
            <v>1106.8332715645911</v>
          </cell>
          <cell r="M268">
            <v>1238.6590436590436</v>
          </cell>
          <cell r="N268">
            <v>345.35584474885843</v>
          </cell>
          <cell r="P268">
            <v>597814</v>
          </cell>
          <cell r="Q268">
            <v>505836</v>
          </cell>
          <cell r="R268">
            <v>91978</v>
          </cell>
          <cell r="X268">
            <v>550786</v>
          </cell>
          <cell r="Y268">
            <v>74901</v>
          </cell>
        </row>
        <row r="269">
          <cell r="E269" t="str">
            <v>1T22</v>
          </cell>
          <cell r="F269">
            <v>116692</v>
          </cell>
          <cell r="G269">
            <v>91310</v>
          </cell>
          <cell r="H269">
            <v>25382</v>
          </cell>
          <cell r="I269">
            <v>114198708</v>
          </cell>
          <cell r="J269">
            <v>106370032</v>
          </cell>
          <cell r="K269">
            <v>7828676</v>
          </cell>
          <cell r="L269">
            <v>978.63356528296708</v>
          </cell>
          <cell r="M269">
            <v>1164.9329974811083</v>
          </cell>
          <cell r="N269">
            <v>308.43416594437002</v>
          </cell>
          <cell r="P269">
            <v>477894</v>
          </cell>
          <cell r="Q269">
            <v>375494</v>
          </cell>
          <cell r="R269">
            <v>102400</v>
          </cell>
          <cell r="X269">
            <v>456053</v>
          </cell>
          <cell r="Y269">
            <v>49921</v>
          </cell>
        </row>
        <row r="270">
          <cell r="E270" t="str">
            <v>2T22</v>
          </cell>
          <cell r="F270">
            <v>137691</v>
          </cell>
          <cell r="G270">
            <v>107786</v>
          </cell>
          <cell r="H270">
            <v>29905</v>
          </cell>
          <cell r="I270">
            <v>132858517</v>
          </cell>
          <cell r="J270">
            <v>125059697</v>
          </cell>
          <cell r="K270">
            <v>7798820</v>
          </cell>
          <cell r="L270">
            <v>964.9034214291421</v>
          </cell>
          <cell r="M270">
            <v>1160.2591895051305</v>
          </cell>
          <cell r="N270">
            <v>260.78649055341918</v>
          </cell>
          <cell r="P270">
            <v>608209</v>
          </cell>
          <cell r="Q270">
            <v>477633</v>
          </cell>
          <cell r="R270">
            <v>130576</v>
          </cell>
          <cell r="X270">
            <v>550533</v>
          </cell>
          <cell r="Y270">
            <v>67253</v>
          </cell>
        </row>
        <row r="271">
          <cell r="E271" t="str">
            <v>3T22</v>
          </cell>
          <cell r="F271">
            <v>166066</v>
          </cell>
          <cell r="G271">
            <v>135887</v>
          </cell>
          <cell r="H271">
            <v>30179</v>
          </cell>
          <cell r="I271">
            <v>171164148</v>
          </cell>
          <cell r="J271">
            <v>163033678</v>
          </cell>
          <cell r="K271">
            <v>8130470</v>
          </cell>
          <cell r="L271">
            <v>1030.6995291028868</v>
          </cell>
          <cell r="M271">
            <v>1199.7739150912155</v>
          </cell>
          <cell r="N271">
            <v>269.40819775340469</v>
          </cell>
          <cell r="P271">
            <v>653016</v>
          </cell>
          <cell r="Q271">
            <v>544427</v>
          </cell>
          <cell r="R271">
            <v>108589</v>
          </cell>
          <cell r="X271">
            <v>609277</v>
          </cell>
          <cell r="Y271">
            <v>70029</v>
          </cell>
        </row>
        <row r="272">
          <cell r="E272" t="str">
            <v>4T22</v>
          </cell>
          <cell r="F272">
            <v>164900</v>
          </cell>
          <cell r="G272">
            <v>139730</v>
          </cell>
          <cell r="H272">
            <v>25170</v>
          </cell>
          <cell r="I272">
            <v>169468625</v>
          </cell>
          <cell r="J272">
            <v>160421227</v>
          </cell>
          <cell r="K272">
            <v>9047398</v>
          </cell>
          <cell r="L272">
            <v>1027.7054275318376</v>
          </cell>
          <cell r="M272">
            <v>1148.0800615472697</v>
          </cell>
          <cell r="N272">
            <v>359.45164878823999</v>
          </cell>
          <cell r="P272">
            <v>671622</v>
          </cell>
          <cell r="Q272">
            <v>562908</v>
          </cell>
          <cell r="R272">
            <v>108714</v>
          </cell>
          <cell r="X272">
            <v>560316</v>
          </cell>
          <cell r="Y272">
            <v>79755</v>
          </cell>
        </row>
        <row r="273">
          <cell r="E273" t="str">
            <v>1T23</v>
          </cell>
          <cell r="F273">
            <v>137811</v>
          </cell>
          <cell r="G273">
            <v>114282</v>
          </cell>
          <cell r="H273">
            <v>23529</v>
          </cell>
          <cell r="I273">
            <v>136753524</v>
          </cell>
          <cell r="J273">
            <v>128142263</v>
          </cell>
          <cell r="K273">
            <v>8611261</v>
          </cell>
          <cell r="L273">
            <v>992.32662124213596</v>
          </cell>
          <cell r="M273">
            <v>1121.281242890394</v>
          </cell>
          <cell r="N273">
            <v>365.98499723745164</v>
          </cell>
          <cell r="P273">
            <v>545827</v>
          </cell>
          <cell r="Q273">
            <v>436940</v>
          </cell>
          <cell r="R273">
            <v>108887</v>
          </cell>
          <cell r="X273">
            <v>507507</v>
          </cell>
          <cell r="Y273">
            <v>63203</v>
          </cell>
        </row>
        <row r="274">
          <cell r="E274" t="str">
            <v>2T23</v>
          </cell>
          <cell r="F274">
            <v>157020</v>
          </cell>
          <cell r="G274">
            <v>130493</v>
          </cell>
          <cell r="H274">
            <v>26527</v>
          </cell>
          <cell r="I274">
            <v>150424709</v>
          </cell>
          <cell r="J274">
            <v>141472604</v>
          </cell>
          <cell r="K274">
            <v>8952105</v>
          </cell>
          <cell r="L274">
            <v>957.99712775442617</v>
          </cell>
          <cell r="M274">
            <v>1084.1394097767695</v>
          </cell>
          <cell r="N274">
            <v>337.47144418893959</v>
          </cell>
          <cell r="P274">
            <v>608902</v>
          </cell>
          <cell r="Q274">
            <v>497748</v>
          </cell>
          <cell r="R274">
            <v>111154</v>
          </cell>
          <cell r="X274">
            <v>567749</v>
          </cell>
          <cell r="Y274">
            <v>75993</v>
          </cell>
        </row>
        <row r="275">
          <cell r="E275" t="str">
            <v>3T23</v>
          </cell>
          <cell r="F275">
            <v>169720</v>
          </cell>
          <cell r="G275">
            <v>151401</v>
          </cell>
          <cell r="H275">
            <v>18319</v>
          </cell>
          <cell r="I275">
            <v>177419495</v>
          </cell>
          <cell r="J275">
            <v>171539618</v>
          </cell>
          <cell r="K275">
            <v>5879877</v>
          </cell>
          <cell r="L275">
            <v>1045.365867310865</v>
          </cell>
          <cell r="M275">
            <v>1133.0150923705919</v>
          </cell>
          <cell r="N275">
            <v>320.97150499481415</v>
          </cell>
          <cell r="P275">
            <v>686807</v>
          </cell>
          <cell r="Q275">
            <v>600154</v>
          </cell>
          <cell r="R275">
            <v>86653</v>
          </cell>
          <cell r="X275">
            <v>588451</v>
          </cell>
          <cell r="Y275">
            <v>91712</v>
          </cell>
        </row>
        <row r="276">
          <cell r="E276" t="str">
            <v>4T23</v>
          </cell>
          <cell r="F276">
            <v>175304</v>
          </cell>
          <cell r="G276">
            <v>158461</v>
          </cell>
          <cell r="H276">
            <v>16843</v>
          </cell>
          <cell r="I276">
            <v>188849851</v>
          </cell>
          <cell r="J276">
            <v>182304515</v>
          </cell>
          <cell r="K276">
            <v>6545336</v>
          </cell>
          <cell r="L276">
            <v>1077.27063272943</v>
          </cell>
          <cell r="M276">
            <v>1150.469295284013</v>
          </cell>
          <cell r="N276">
            <v>388.60868016386627</v>
          </cell>
          <cell r="P276">
            <v>720930</v>
          </cell>
          <cell r="Q276">
            <v>645388</v>
          </cell>
          <cell r="R276">
            <v>75542</v>
          </cell>
          <cell r="X276">
            <v>538420</v>
          </cell>
          <cell r="Y276">
            <v>113124</v>
          </cell>
        </row>
        <row r="277">
          <cell r="E277" t="str">
            <v>1T24</v>
          </cell>
          <cell r="F277">
            <v>140292</v>
          </cell>
          <cell r="G277">
            <v>123998</v>
          </cell>
          <cell r="H277">
            <v>16294</v>
          </cell>
          <cell r="I277">
            <v>148802245</v>
          </cell>
          <cell r="J277">
            <v>143945393</v>
          </cell>
          <cell r="K277">
            <v>4856852</v>
          </cell>
          <cell r="L277">
            <v>1060.6609428905426</v>
          </cell>
          <cell r="M277">
            <v>1160.8686672365684</v>
          </cell>
          <cell r="N277">
            <v>298.07610163250274</v>
          </cell>
          <cell r="P277">
            <v>562040</v>
          </cell>
          <cell r="Q277">
            <v>483988</v>
          </cell>
          <cell r="R277">
            <v>78052</v>
          </cell>
          <cell r="X277">
            <v>502182</v>
          </cell>
          <cell r="Y277">
            <v>88726</v>
          </cell>
        </row>
        <row r="278">
          <cell r="E278" t="str">
            <v>2T24</v>
          </cell>
          <cell r="F278">
            <v>167078</v>
          </cell>
          <cell r="G278">
            <v>146715</v>
          </cell>
          <cell r="H278">
            <v>20363</v>
          </cell>
          <cell r="I278">
            <v>181918482</v>
          </cell>
          <cell r="J278">
            <v>174959814</v>
          </cell>
          <cell r="K278">
            <v>6958668</v>
          </cell>
          <cell r="L278">
            <v>1088.8236751696813</v>
          </cell>
          <cell r="M278">
            <v>1192.5148348839587</v>
          </cell>
          <cell r="N278">
            <v>341.73098266463683</v>
          </cell>
          <cell r="P278">
            <v>672423</v>
          </cell>
          <cell r="Q278">
            <v>594358</v>
          </cell>
          <cell r="R278">
            <v>78065</v>
          </cell>
          <cell r="X278">
            <v>556640</v>
          </cell>
          <cell r="Y278">
            <v>105749</v>
          </cell>
        </row>
        <row r="279">
          <cell r="E279" t="str">
            <v>3T24</v>
          </cell>
          <cell r="F279">
            <v>202844</v>
          </cell>
          <cell r="G279">
            <v>178415</v>
          </cell>
          <cell r="H279">
            <v>24429</v>
          </cell>
          <cell r="I279">
            <v>216435628</v>
          </cell>
          <cell r="J279">
            <v>209792790</v>
          </cell>
          <cell r="K279">
            <v>6642838</v>
          </cell>
          <cell r="L279">
            <v>1067.0053242886158</v>
          </cell>
          <cell r="M279">
            <v>1175.8696858448</v>
          </cell>
          <cell r="N279">
            <v>271.92427033443857</v>
          </cell>
          <cell r="P279">
            <v>786972</v>
          </cell>
          <cell r="Q279">
            <v>673821</v>
          </cell>
          <cell r="R279">
            <v>113151</v>
          </cell>
          <cell r="X279">
            <v>691574</v>
          </cell>
          <cell r="Y279">
            <v>122493</v>
          </cell>
        </row>
        <row r="280">
          <cell r="E280" t="str">
            <v>4T24</v>
          </cell>
          <cell r="F280">
            <v>202207</v>
          </cell>
          <cell r="G280">
            <v>179387</v>
          </cell>
          <cell r="H280">
            <v>22820</v>
          </cell>
          <cell r="I280">
            <v>220136647</v>
          </cell>
          <cell r="J280">
            <v>212965900</v>
          </cell>
          <cell r="K280">
            <v>7170747</v>
          </cell>
          <cell r="L280">
            <v>1088.6697641525764</v>
          </cell>
          <cell r="M280">
            <v>1187.1869198994352</v>
          </cell>
          <cell r="N280">
            <v>314.23080631025414</v>
          </cell>
          <cell r="P280">
            <v>841873</v>
          </cell>
          <cell r="Q280">
            <v>735369</v>
          </cell>
          <cell r="R280">
            <v>106504</v>
          </cell>
          <cell r="X280">
            <v>630198</v>
          </cell>
          <cell r="Y280">
            <v>142405</v>
          </cell>
        </row>
        <row r="281">
          <cell r="E281" t="str">
            <v>1T25</v>
          </cell>
          <cell r="F281">
            <v>144750</v>
          </cell>
          <cell r="G281">
            <v>119957</v>
          </cell>
          <cell r="H281">
            <v>24793</v>
          </cell>
          <cell r="I281">
            <v>148441322</v>
          </cell>
          <cell r="J281">
            <v>138002352</v>
          </cell>
          <cell r="K281">
            <v>10438970</v>
          </cell>
          <cell r="L281">
            <v>1025.5013609671848</v>
          </cell>
          <cell r="M281">
            <v>1150.4318380753102</v>
          </cell>
          <cell r="N281">
            <v>421.04505303916426</v>
          </cell>
          <cell r="P281">
            <v>633496</v>
          </cell>
          <cell r="Q281">
            <v>518467</v>
          </cell>
          <cell r="R281">
            <v>115029</v>
          </cell>
          <cell r="X281">
            <v>559918</v>
          </cell>
          <cell r="Y281">
            <v>111288</v>
          </cell>
        </row>
        <row r="282">
          <cell r="E282" t="str">
            <v>2T25</v>
          </cell>
          <cell r="F282">
            <v>170543</v>
          </cell>
          <cell r="G282">
            <v>141192</v>
          </cell>
          <cell r="H282">
            <v>29351</v>
          </cell>
          <cell r="I282">
            <v>184598698</v>
          </cell>
          <cell r="J282">
            <v>175360451</v>
          </cell>
          <cell r="K282">
            <v>9238247</v>
          </cell>
          <cell r="L282">
            <v>1082.417325835713</v>
          </cell>
          <cell r="M282">
            <v>1241.9999079267948</v>
          </cell>
          <cell r="N282">
            <v>314.75067289019114</v>
          </cell>
          <cell r="P282">
            <v>757131</v>
          </cell>
          <cell r="Q282">
            <v>613932</v>
          </cell>
          <cell r="R282">
            <v>143199</v>
          </cell>
          <cell r="X282">
            <v>619609</v>
          </cell>
          <cell r="Y282">
            <v>113998</v>
          </cell>
        </row>
        <row r="283">
          <cell r="E283" t="str">
            <v>3T25</v>
          </cell>
          <cell r="F283">
            <v>197518</v>
          </cell>
          <cell r="G283">
            <v>164705</v>
          </cell>
          <cell r="H283">
            <v>32813</v>
          </cell>
          <cell r="I283">
            <v>220453951</v>
          </cell>
          <cell r="J283">
            <v>207112637</v>
          </cell>
          <cell r="K283">
            <v>13341314</v>
          </cell>
          <cell r="L283">
            <v>1116.1208143055317</v>
          </cell>
          <cell r="M283">
            <v>1257.4763182659908</v>
          </cell>
          <cell r="N283">
            <v>406.58623106695518</v>
          </cell>
          <cell r="P283">
            <v>825182</v>
          </cell>
          <cell r="Q283">
            <v>676481</v>
          </cell>
          <cell r="R283">
            <v>148701</v>
          </cell>
          <cell r="X283">
            <v>690563</v>
          </cell>
          <cell r="Y283">
            <v>125904</v>
          </cell>
        </row>
        <row r="284">
          <cell r="E284" t="str">
            <v>4T25</v>
          </cell>
          <cell r="F284">
            <v>188962</v>
          </cell>
          <cell r="G284">
            <v>166516</v>
          </cell>
          <cell r="H284">
            <v>22446</v>
          </cell>
          <cell r="I284">
            <v>218079305</v>
          </cell>
          <cell r="J284">
            <v>209031502</v>
          </cell>
          <cell r="K284">
            <v>9047803</v>
          </cell>
          <cell r="L284">
            <v>1154.0907960330649</v>
          </cell>
          <cell r="M284">
            <v>1255.3238247375627</v>
          </cell>
          <cell r="N284">
            <v>403.09199857435624</v>
          </cell>
          <cell r="P284">
            <v>831461</v>
          </cell>
          <cell r="Q284">
            <v>742999</v>
          </cell>
          <cell r="R284">
            <v>88462</v>
          </cell>
          <cell r="X284">
            <v>621657</v>
          </cell>
          <cell r="Y284">
            <v>140712</v>
          </cell>
        </row>
        <row r="285">
          <cell r="E285" t="str">
            <v>1T26</v>
          </cell>
          <cell r="F285">
            <v>154716</v>
          </cell>
          <cell r="G285">
            <v>137099</v>
          </cell>
          <cell r="H285">
            <v>17617</v>
          </cell>
          <cell r="I285">
            <v>176140911</v>
          </cell>
          <cell r="J285">
            <v>170133431</v>
          </cell>
          <cell r="K285">
            <v>6007480</v>
          </cell>
          <cell r="L285">
            <v>1138.4789614519507</v>
          </cell>
          <cell r="M285">
            <v>1240.9531141729699</v>
          </cell>
          <cell r="N285">
            <v>341.00471135834704</v>
          </cell>
          <cell r="P285">
            <v>692873</v>
          </cell>
          <cell r="Q285">
            <v>598839</v>
          </cell>
          <cell r="R285">
            <v>94034</v>
          </cell>
          <cell r="X285">
            <v>601329</v>
          </cell>
          <cell r="Y285">
            <v>118189</v>
          </cell>
        </row>
        <row r="286">
          <cell r="E286" t="str">
            <v>2T26</v>
          </cell>
          <cell r="F286">
            <v>207232</v>
          </cell>
          <cell r="G286">
            <v>182528</v>
          </cell>
          <cell r="H286">
            <v>24704</v>
          </cell>
          <cell r="I286">
            <v>241699960</v>
          </cell>
          <cell r="J286">
            <v>234547738</v>
          </cell>
          <cell r="K286">
            <v>7152222</v>
          </cell>
          <cell r="L286">
            <v>1166.3254709697344</v>
          </cell>
          <cell r="M286">
            <v>1284.9959348702664</v>
          </cell>
          <cell r="N286">
            <v>289.5167584196891</v>
          </cell>
          <cell r="P286">
            <v>872221</v>
          </cell>
          <cell r="Q286">
            <v>762649</v>
          </cell>
          <cell r="R286">
            <v>109572</v>
          </cell>
          <cell r="X286">
            <v>698767</v>
          </cell>
          <cell r="Y286">
            <v>159888</v>
          </cell>
        </row>
        <row r="288">
          <cell r="E288" t="str">
            <v>1S09</v>
          </cell>
          <cell r="F288">
            <v>446858</v>
          </cell>
          <cell r="G288">
            <v>412697</v>
          </cell>
          <cell r="H288">
            <v>34161</v>
          </cell>
          <cell r="I288">
            <v>384358131.79729503</v>
          </cell>
          <cell r="J288">
            <v>379600557.772376</v>
          </cell>
          <cell r="K288">
            <v>4757574.0249189995</v>
          </cell>
          <cell r="L288">
            <v>860.13483432610587</v>
          </cell>
          <cell r="M288">
            <v>919.8045000869306</v>
          </cell>
          <cell r="N288">
            <v>139.26916732294134</v>
          </cell>
          <cell r="P288">
            <v>1659843</v>
          </cell>
          <cell r="Q288">
            <v>1393570</v>
          </cell>
          <cell r="R288">
            <v>266273</v>
          </cell>
          <cell r="T288" t="str">
            <v>-</v>
          </cell>
          <cell r="U288" t="str">
            <v>-</v>
          </cell>
          <cell r="V288" t="str">
            <v>-</v>
          </cell>
          <cell r="X288" t="str">
            <v>-</v>
          </cell>
          <cell r="Y288" t="str">
            <v>-</v>
          </cell>
        </row>
        <row r="289">
          <cell r="E289" t="str">
            <v>1S10</v>
          </cell>
          <cell r="F289">
            <v>495532.5</v>
          </cell>
          <cell r="G289">
            <v>444612</v>
          </cell>
          <cell r="H289">
            <v>50920.5</v>
          </cell>
          <cell r="I289">
            <v>492880665</v>
          </cell>
          <cell r="J289">
            <v>486141665</v>
          </cell>
          <cell r="K289">
            <v>6739000</v>
          </cell>
          <cell r="L289">
            <v>994.64851447685066</v>
          </cell>
          <cell r="M289">
            <v>1093.4065319874408</v>
          </cell>
          <cell r="N289">
            <v>132.34355514969414</v>
          </cell>
          <cell r="P289">
            <v>1644702</v>
          </cell>
          <cell r="Q289">
            <v>1495528</v>
          </cell>
          <cell r="R289">
            <v>149174</v>
          </cell>
          <cell r="T289" t="str">
            <v>-</v>
          </cell>
          <cell r="U289" t="str">
            <v>-</v>
          </cell>
          <cell r="V289" t="str">
            <v>-</v>
          </cell>
          <cell r="X289">
            <v>1534392</v>
          </cell>
          <cell r="Y289" t="str">
            <v>-</v>
          </cell>
        </row>
        <row r="290">
          <cell r="E290" t="str">
            <v>1S11</v>
          </cell>
          <cell r="F290">
            <v>515744</v>
          </cell>
          <cell r="G290">
            <v>464448</v>
          </cell>
          <cell r="H290">
            <v>51296</v>
          </cell>
          <cell r="I290">
            <v>531447999.99999994</v>
          </cell>
          <cell r="J290">
            <v>520348585</v>
          </cell>
          <cell r="K290">
            <v>11099415</v>
          </cell>
          <cell r="L290">
            <v>1030.4492151144752</v>
          </cell>
          <cell r="M290">
            <v>1120.3591898339535</v>
          </cell>
          <cell r="N290">
            <v>216.37973721147847</v>
          </cell>
          <cell r="P290">
            <v>1867684</v>
          </cell>
          <cell r="Q290">
            <v>1638077</v>
          </cell>
          <cell r="R290">
            <v>229607</v>
          </cell>
          <cell r="T290" t="str">
            <v>-</v>
          </cell>
          <cell r="U290" t="str">
            <v>-</v>
          </cell>
          <cell r="V290" t="str">
            <v>-</v>
          </cell>
          <cell r="X290">
            <v>1588639</v>
          </cell>
          <cell r="Y290">
            <v>388334</v>
          </cell>
        </row>
        <row r="291">
          <cell r="E291" t="str">
            <v>1S12</v>
          </cell>
          <cell r="F291">
            <v>512777</v>
          </cell>
          <cell r="G291">
            <v>458174</v>
          </cell>
          <cell r="H291">
            <v>54603</v>
          </cell>
          <cell r="I291">
            <v>515095287</v>
          </cell>
          <cell r="J291">
            <v>507746613</v>
          </cell>
          <cell r="K291">
            <v>7348673.9999999814</v>
          </cell>
          <cell r="L291">
            <v>1004.5210432605206</v>
          </cell>
          <cell r="M291">
            <v>1108.1960412419735</v>
          </cell>
          <cell r="N291">
            <v>134.58370419207702</v>
          </cell>
          <cell r="P291">
            <v>1841511</v>
          </cell>
          <cell r="Q291">
            <v>1631813</v>
          </cell>
          <cell r="R291">
            <v>209698</v>
          </cell>
          <cell r="T291" t="str">
            <v>-</v>
          </cell>
          <cell r="U291" t="str">
            <v>-</v>
          </cell>
          <cell r="V291" t="str">
            <v>-</v>
          </cell>
          <cell r="X291">
            <v>1494318</v>
          </cell>
          <cell r="Y291">
            <v>390978</v>
          </cell>
        </row>
        <row r="292">
          <cell r="E292" t="str">
            <v>1S13</v>
          </cell>
          <cell r="F292">
            <v>573286</v>
          </cell>
          <cell r="G292">
            <v>523849</v>
          </cell>
          <cell r="H292">
            <v>49437</v>
          </cell>
          <cell r="I292">
            <v>603291355</v>
          </cell>
          <cell r="J292">
            <v>595230410</v>
          </cell>
          <cell r="K292">
            <v>8060945</v>
          </cell>
          <cell r="L292">
            <v>1052.3392425421168</v>
          </cell>
          <cell r="M292">
            <v>1136.2633316089177</v>
          </cell>
          <cell r="N292">
            <v>163.0548981532051</v>
          </cell>
          <cell r="P292">
            <v>1956580</v>
          </cell>
          <cell r="Q292">
            <v>1709520</v>
          </cell>
          <cell r="R292">
            <v>247060</v>
          </cell>
          <cell r="T292" t="str">
            <v>-</v>
          </cell>
          <cell r="U292" t="str">
            <v>-</v>
          </cell>
          <cell r="V292" t="str">
            <v>-</v>
          </cell>
          <cell r="X292">
            <v>1768703</v>
          </cell>
          <cell r="Y292">
            <v>331965</v>
          </cell>
        </row>
        <row r="293">
          <cell r="E293" t="str">
            <v>1S14</v>
          </cell>
          <cell r="F293">
            <v>481392</v>
          </cell>
          <cell r="G293">
            <v>453087</v>
          </cell>
          <cell r="H293">
            <v>28305</v>
          </cell>
          <cell r="I293">
            <v>538571536.32500005</v>
          </cell>
          <cell r="J293">
            <v>534496933.32499999</v>
          </cell>
          <cell r="K293">
            <v>4074603.0000000005</v>
          </cell>
          <cell r="L293">
            <v>1118.7795732479976</v>
          </cell>
          <cell r="M293">
            <v>1179.6783693308348</v>
          </cell>
          <cell r="N293">
            <v>143.95347111817702</v>
          </cell>
          <cell r="P293">
            <v>1741673</v>
          </cell>
          <cell r="Q293">
            <v>1584918</v>
          </cell>
          <cell r="R293">
            <v>156755</v>
          </cell>
          <cell r="T293" t="str">
            <v>-</v>
          </cell>
          <cell r="U293" t="str">
            <v>-</v>
          </cell>
          <cell r="V293" t="str">
            <v>-</v>
          </cell>
          <cell r="X293">
            <v>1470963</v>
          </cell>
          <cell r="Y293">
            <v>299754</v>
          </cell>
        </row>
        <row r="294">
          <cell r="E294" t="str">
            <v>1S15</v>
          </cell>
          <cell r="F294">
            <v>385875</v>
          </cell>
          <cell r="G294">
            <v>346353</v>
          </cell>
          <cell r="H294">
            <v>39522</v>
          </cell>
          <cell r="I294">
            <v>420256026</v>
          </cell>
          <cell r="J294">
            <v>415584392</v>
          </cell>
          <cell r="K294">
            <v>4671633.9999999925</v>
          </cell>
          <cell r="L294">
            <v>1089.0988688046648</v>
          </cell>
          <cell r="M294">
            <v>1199.8867975735739</v>
          </cell>
          <cell r="N294">
            <v>118.20338039572877</v>
          </cell>
          <cell r="P294">
            <v>1456999</v>
          </cell>
          <cell r="Q294">
            <v>1272000</v>
          </cell>
          <cell r="R294">
            <v>184999</v>
          </cell>
          <cell r="T294" t="str">
            <v>-</v>
          </cell>
          <cell r="U294" t="str">
            <v>-</v>
          </cell>
          <cell r="V294" t="str">
            <v>-</v>
          </cell>
          <cell r="X294">
            <v>1231932</v>
          </cell>
          <cell r="Y294">
            <v>214649</v>
          </cell>
        </row>
        <row r="295">
          <cell r="E295" t="str">
            <v>1S16</v>
          </cell>
          <cell r="F295">
            <v>305058</v>
          </cell>
          <cell r="G295">
            <v>259316</v>
          </cell>
          <cell r="H295">
            <v>45742</v>
          </cell>
          <cell r="I295">
            <v>301631487.00000006</v>
          </cell>
          <cell r="J295">
            <v>295810276.00000006</v>
          </cell>
          <cell r="K295">
            <v>5821210.9999999972</v>
          </cell>
          <cell r="L295">
            <v>988.76766713215216</v>
          </cell>
          <cell r="M295">
            <v>1140.7328356136916</v>
          </cell>
          <cell r="N295">
            <v>127.26183813563021</v>
          </cell>
          <cell r="P295">
            <v>1175988</v>
          </cell>
          <cell r="Q295">
            <v>952265</v>
          </cell>
          <cell r="R295">
            <v>223723</v>
          </cell>
          <cell r="T295" t="str">
            <v>-</v>
          </cell>
          <cell r="U295" t="str">
            <v>-</v>
          </cell>
          <cell r="V295" t="str">
            <v>-</v>
          </cell>
          <cell r="X295">
            <v>993432</v>
          </cell>
          <cell r="Y295">
            <v>137268</v>
          </cell>
        </row>
        <row r="296">
          <cell r="E296" t="str">
            <v>1S17</v>
          </cell>
          <cell r="F296">
            <v>347576</v>
          </cell>
          <cell r="G296">
            <v>264613</v>
          </cell>
          <cell r="H296">
            <v>82963</v>
          </cell>
          <cell r="I296">
            <v>318623373.03599072</v>
          </cell>
          <cell r="J296">
            <v>303431914.03599072</v>
          </cell>
          <cell r="K296">
            <v>15191459</v>
          </cell>
          <cell r="L296">
            <v>916.70130571728407</v>
          </cell>
          <cell r="M296">
            <v>1146.7007064505171</v>
          </cell>
          <cell r="N296">
            <v>183.11125441461857</v>
          </cell>
          <cell r="P296">
            <v>1349220</v>
          </cell>
          <cell r="Q296">
            <v>993091</v>
          </cell>
          <cell r="R296">
            <v>356129</v>
          </cell>
          <cell r="T296" t="str">
            <v>-</v>
          </cell>
          <cell r="U296" t="str">
            <v>-</v>
          </cell>
          <cell r="V296" t="str">
            <v>-</v>
          </cell>
          <cell r="X296">
            <v>1231503</v>
          </cell>
          <cell r="Y296">
            <v>110455</v>
          </cell>
        </row>
        <row r="297">
          <cell r="E297" t="str">
            <v>1S18</v>
          </cell>
          <cell r="F297">
            <v>371096</v>
          </cell>
          <cell r="G297">
            <v>290668</v>
          </cell>
          <cell r="H297">
            <v>80428</v>
          </cell>
          <cell r="I297">
            <v>361761819</v>
          </cell>
          <cell r="J297">
            <v>346094815</v>
          </cell>
          <cell r="K297">
            <v>15667004</v>
          </cell>
          <cell r="L297">
            <v>974.84699107508573</v>
          </cell>
          <cell r="M297">
            <v>1190.687709001335</v>
          </cell>
          <cell r="N297">
            <v>194.79539463868304</v>
          </cell>
          <cell r="P297">
            <v>1489078</v>
          </cell>
          <cell r="Q297">
            <v>1129142</v>
          </cell>
          <cell r="R297">
            <v>359936</v>
          </cell>
          <cell r="T297" t="str">
            <v>-</v>
          </cell>
          <cell r="U297" t="str">
            <v>-</v>
          </cell>
          <cell r="V297" t="str">
            <v>-</v>
          </cell>
          <cell r="X297">
            <v>1370901</v>
          </cell>
          <cell r="Y297">
            <v>142350</v>
          </cell>
        </row>
        <row r="298">
          <cell r="E298" t="str">
            <v>1S19</v>
          </cell>
          <cell r="F298">
            <v>387504</v>
          </cell>
          <cell r="G298">
            <v>336844</v>
          </cell>
          <cell r="H298">
            <v>50660</v>
          </cell>
          <cell r="I298">
            <v>408952160</v>
          </cell>
          <cell r="J298">
            <v>399099261</v>
          </cell>
          <cell r="K298">
            <v>9852899</v>
          </cell>
          <cell r="L298">
            <v>1055.3495189727073</v>
          </cell>
          <cell r="M298">
            <v>1184.8192664853759</v>
          </cell>
          <cell r="N298">
            <v>194.49070272404265</v>
          </cell>
          <cell r="P298">
            <v>1464012</v>
          </cell>
          <cell r="Q298">
            <v>1251773</v>
          </cell>
          <cell r="R298">
            <v>212239</v>
          </cell>
          <cell r="T298" t="str">
            <v>-</v>
          </cell>
          <cell r="U298" t="str">
            <v>-</v>
          </cell>
          <cell r="V298" t="str">
            <v>-</v>
          </cell>
          <cell r="X298">
            <v>1404845</v>
          </cell>
          <cell r="Y298">
            <v>141803</v>
          </cell>
        </row>
        <row r="299">
          <cell r="E299" t="str">
            <v>1S20</v>
          </cell>
          <cell r="F299">
            <v>213336</v>
          </cell>
          <cell r="G299">
            <v>187262</v>
          </cell>
          <cell r="H299">
            <v>26074</v>
          </cell>
          <cell r="I299">
            <v>237075836</v>
          </cell>
          <cell r="J299">
            <v>231995981</v>
          </cell>
          <cell r="K299">
            <v>5079855</v>
          </cell>
          <cell r="L299">
            <v>1111.2790902613717</v>
          </cell>
          <cell r="M299">
            <v>1238.8844560028197</v>
          </cell>
          <cell r="N299">
            <v>194.82453785380073</v>
          </cell>
          <cell r="P299">
            <v>878217</v>
          </cell>
          <cell r="Q299">
            <v>765248</v>
          </cell>
          <cell r="R299">
            <v>112969</v>
          </cell>
          <cell r="T299" t="str">
            <v>-</v>
          </cell>
          <cell r="U299" t="str">
            <v>-</v>
          </cell>
          <cell r="V299" t="str">
            <v>-</v>
          </cell>
          <cell r="X299">
            <v>685557</v>
          </cell>
          <cell r="Y299">
            <v>94087</v>
          </cell>
        </row>
        <row r="300">
          <cell r="E300" t="str">
            <v>1S21</v>
          </cell>
          <cell r="F300">
            <v>265103</v>
          </cell>
          <cell r="G300">
            <v>219308</v>
          </cell>
          <cell r="H300">
            <v>45795</v>
          </cell>
          <cell r="I300">
            <v>270422951</v>
          </cell>
          <cell r="J300">
            <v>258830763</v>
          </cell>
          <cell r="K300">
            <v>11592188</v>
          </cell>
          <cell r="L300">
            <v>1020.0674869767599</v>
          </cell>
          <cell r="M300">
            <v>1180.2157832819596</v>
          </cell>
          <cell r="N300">
            <v>253.13217600174693</v>
          </cell>
          <cell r="P300">
            <v>1195412</v>
          </cell>
          <cell r="Q300">
            <v>1007900</v>
          </cell>
          <cell r="R300">
            <v>187512</v>
          </cell>
          <cell r="T300" t="str">
            <v>-</v>
          </cell>
          <cell r="U300" t="str">
            <v>-</v>
          </cell>
          <cell r="V300" t="str">
            <v>-</v>
          </cell>
          <cell r="X300">
            <v>1064024</v>
          </cell>
          <cell r="Y300">
            <v>105339</v>
          </cell>
        </row>
        <row r="301">
          <cell r="E301" t="str">
            <v>1S22</v>
          </cell>
          <cell r="F301">
            <v>254383</v>
          </cell>
          <cell r="G301">
            <v>199096</v>
          </cell>
          <cell r="H301">
            <v>55287</v>
          </cell>
          <cell r="I301">
            <v>247057225</v>
          </cell>
          <cell r="J301">
            <v>231429729</v>
          </cell>
          <cell r="K301">
            <v>15627496</v>
          </cell>
          <cell r="L301">
            <v>971.20179021396871</v>
          </cell>
          <cell r="M301">
            <v>1162.402705227629</v>
          </cell>
          <cell r="N301">
            <v>282.66131278600756</v>
          </cell>
          <cell r="P301">
            <v>1086103</v>
          </cell>
          <cell r="Q301">
            <v>853127</v>
          </cell>
          <cell r="R301">
            <v>232976</v>
          </cell>
          <cell r="X301">
            <v>1006586</v>
          </cell>
          <cell r="Y301">
            <v>117174</v>
          </cell>
        </row>
        <row r="302">
          <cell r="E302" t="str">
            <v>1S23</v>
          </cell>
          <cell r="F302">
            <v>294831</v>
          </cell>
          <cell r="G302">
            <v>244775</v>
          </cell>
          <cell r="H302">
            <v>50056</v>
          </cell>
          <cell r="I302">
            <v>287178233</v>
          </cell>
          <cell r="J302">
            <v>269614867</v>
          </cell>
          <cell r="K302">
            <v>17563366</v>
          </cell>
          <cell r="L302">
            <v>974.04354698115196</v>
          </cell>
          <cell r="M302">
            <v>1101.4804085384537</v>
          </cell>
          <cell r="N302">
            <v>350.87434073837301</v>
          </cell>
          <cell r="P302">
            <v>1154729</v>
          </cell>
          <cell r="Q302">
            <v>934688</v>
          </cell>
          <cell r="R302">
            <v>220041</v>
          </cell>
          <cell r="X302">
            <v>1075256</v>
          </cell>
          <cell r="Y302">
            <v>139196</v>
          </cell>
        </row>
        <row r="303">
          <cell r="E303" t="str">
            <v>1S24</v>
          </cell>
          <cell r="F303">
            <v>307370</v>
          </cell>
          <cell r="G303">
            <v>270713</v>
          </cell>
          <cell r="H303">
            <v>36657</v>
          </cell>
          <cell r="I303">
            <v>330720727</v>
          </cell>
          <cell r="J303">
            <v>318905207</v>
          </cell>
          <cell r="K303">
            <v>11815520</v>
          </cell>
          <cell r="L303">
            <v>1075.9694407391744</v>
          </cell>
          <cell r="M303">
            <v>1178.0195520717514</v>
          </cell>
          <cell r="N303">
            <v>322.32643151376271</v>
          </cell>
          <cell r="P303">
            <v>1234463</v>
          </cell>
          <cell r="Q303">
            <v>1078346</v>
          </cell>
          <cell r="R303">
            <v>156117</v>
          </cell>
          <cell r="X303">
            <v>1058822</v>
          </cell>
          <cell r="Y303">
            <v>194475</v>
          </cell>
        </row>
        <row r="304">
          <cell r="E304" t="str">
            <v>1S25</v>
          </cell>
          <cell r="F304">
            <v>315293</v>
          </cell>
          <cell r="G304">
            <v>261149</v>
          </cell>
          <cell r="H304">
            <v>54144</v>
          </cell>
          <cell r="I304">
            <v>333040020</v>
          </cell>
          <cell r="J304">
            <v>313362803</v>
          </cell>
          <cell r="K304">
            <v>19677217</v>
          </cell>
          <cell r="L304">
            <v>1056.2873898247028</v>
          </cell>
          <cell r="M304">
            <v>1199.9387437822852</v>
          </cell>
          <cell r="N304">
            <v>363.42377733451536</v>
          </cell>
          <cell r="P304">
            <v>1390627</v>
          </cell>
          <cell r="Q304">
            <v>1132399</v>
          </cell>
          <cell r="R304">
            <v>258228</v>
          </cell>
          <cell r="X304">
            <v>1179527</v>
          </cell>
          <cell r="Y304">
            <v>225286</v>
          </cell>
        </row>
        <row r="305">
          <cell r="E305" t="str">
            <v>1S26</v>
          </cell>
          <cell r="F305">
            <v>361948</v>
          </cell>
          <cell r="G305">
            <v>319627</v>
          </cell>
          <cell r="H305">
            <v>42321</v>
          </cell>
          <cell r="I305">
            <v>417840871</v>
          </cell>
          <cell r="J305">
            <v>404681169</v>
          </cell>
          <cell r="K305">
            <v>13159702</v>
          </cell>
          <cell r="L305">
            <v>1154.4223783526916</v>
          </cell>
          <cell r="M305">
            <v>1266.1044561316785</v>
          </cell>
          <cell r="N305">
            <v>310.94969400534012</v>
          </cell>
          <cell r="P305">
            <v>1565094</v>
          </cell>
          <cell r="Q305">
            <v>1361488</v>
          </cell>
          <cell r="R305">
            <v>203606</v>
          </cell>
          <cell r="X305">
            <v>1300096</v>
          </cell>
          <cell r="Y305">
            <v>278077</v>
          </cell>
        </row>
        <row r="307">
          <cell r="E307" t="str">
            <v>9M09</v>
          </cell>
          <cell r="F307">
            <v>713834</v>
          </cell>
          <cell r="G307">
            <v>661434</v>
          </cell>
          <cell r="H307">
            <v>52400</v>
          </cell>
          <cell r="I307">
            <v>610315725.50472903</v>
          </cell>
          <cell r="J307">
            <v>603100475.44723105</v>
          </cell>
          <cell r="K307">
            <v>7215250.0574979987</v>
          </cell>
          <cell r="L307">
            <v>854.98270677038226</v>
          </cell>
          <cell r="M307">
            <v>911.80749016112122</v>
          </cell>
          <cell r="N307">
            <v>137.69561178431294</v>
          </cell>
          <cell r="P307">
            <v>2615747</v>
          </cell>
          <cell r="Q307">
            <v>2211342</v>
          </cell>
          <cell r="R307">
            <v>404405</v>
          </cell>
          <cell r="T307" t="str">
            <v>-</v>
          </cell>
          <cell r="U307" t="str">
            <v>-</v>
          </cell>
          <cell r="V307" t="str">
            <v>-</v>
          </cell>
          <cell r="X307">
            <v>2141675</v>
          </cell>
          <cell r="Y307">
            <v>333778</v>
          </cell>
        </row>
        <row r="308">
          <cell r="E308" t="str">
            <v>9M10</v>
          </cell>
          <cell r="F308">
            <v>779840.5</v>
          </cell>
          <cell r="G308">
            <v>703085</v>
          </cell>
          <cell r="H308">
            <v>76755.5</v>
          </cell>
          <cell r="I308">
            <v>763985115</v>
          </cell>
          <cell r="J308">
            <v>753433421</v>
          </cell>
          <cell r="K308">
            <v>10551694</v>
          </cell>
          <cell r="L308">
            <v>979.66842578706803</v>
          </cell>
          <cell r="M308">
            <v>1071.6107170541256</v>
          </cell>
          <cell r="N308">
            <v>137.47150367074673</v>
          </cell>
          <cell r="P308">
            <v>2605769</v>
          </cell>
          <cell r="Q308">
            <v>2368793</v>
          </cell>
          <cell r="R308">
            <v>236976</v>
          </cell>
          <cell r="T308" t="str">
            <v>-</v>
          </cell>
          <cell r="U308" t="str">
            <v>-</v>
          </cell>
          <cell r="V308" t="str">
            <v>-</v>
          </cell>
          <cell r="X308">
            <v>2348939</v>
          </cell>
          <cell r="Y308">
            <v>450119</v>
          </cell>
        </row>
        <row r="309">
          <cell r="E309" t="str">
            <v>9M11</v>
          </cell>
          <cell r="F309">
            <v>792549</v>
          </cell>
          <cell r="G309">
            <v>712186</v>
          </cell>
          <cell r="H309">
            <v>80363</v>
          </cell>
          <cell r="I309">
            <v>810515999.99999988</v>
          </cell>
          <cell r="J309">
            <v>795052803</v>
          </cell>
          <cell r="K309">
            <v>15463196.999999996</v>
          </cell>
          <cell r="L309">
            <v>1022.6698917038566</v>
          </cell>
          <cell r="M309">
            <v>1116.3555630130331</v>
          </cell>
          <cell r="N309">
            <v>192.41687094807307</v>
          </cell>
          <cell r="P309">
            <v>2875333</v>
          </cell>
          <cell r="Q309">
            <v>2527663</v>
          </cell>
          <cell r="R309">
            <v>347670</v>
          </cell>
          <cell r="T309" t="str">
            <v>-</v>
          </cell>
          <cell r="U309" t="str">
            <v>-</v>
          </cell>
          <cell r="V309" t="str">
            <v>-</v>
          </cell>
          <cell r="X309">
            <v>2410692</v>
          </cell>
          <cell r="Y309">
            <v>607338</v>
          </cell>
        </row>
        <row r="310">
          <cell r="E310" t="str">
            <v>9M12</v>
          </cell>
          <cell r="F310">
            <v>815903</v>
          </cell>
          <cell r="G310">
            <v>739191</v>
          </cell>
          <cell r="H310">
            <v>76712</v>
          </cell>
          <cell r="I310">
            <v>831058086</v>
          </cell>
          <cell r="J310">
            <v>820065386</v>
          </cell>
          <cell r="K310">
            <v>10992699.999999974</v>
          </cell>
          <cell r="L310">
            <v>1018.5746173258341</v>
          </cell>
          <cell r="M310">
            <v>1109.4093218126302</v>
          </cell>
          <cell r="N310">
            <v>143.2983105641878</v>
          </cell>
          <cell r="P310">
            <v>2966490</v>
          </cell>
          <cell r="Q310">
            <v>2666204</v>
          </cell>
          <cell r="R310">
            <v>300286</v>
          </cell>
          <cell r="T310" t="str">
            <v>-</v>
          </cell>
          <cell r="U310" t="str">
            <v>-</v>
          </cell>
          <cell r="V310" t="str">
            <v>-</v>
          </cell>
          <cell r="X310">
            <v>2372183</v>
          </cell>
          <cell r="Y310">
            <v>593276</v>
          </cell>
        </row>
        <row r="311">
          <cell r="E311" t="str">
            <v>9M13</v>
          </cell>
          <cell r="F311">
            <v>883260</v>
          </cell>
          <cell r="G311">
            <v>805331</v>
          </cell>
          <cell r="H311">
            <v>77929</v>
          </cell>
          <cell r="I311">
            <v>930899584</v>
          </cell>
          <cell r="J311">
            <v>918770024</v>
          </cell>
          <cell r="K311">
            <v>12129560</v>
          </cell>
          <cell r="L311">
            <v>1053.9360822407898</v>
          </cell>
          <cell r="M311">
            <v>1140.8601233530064</v>
          </cell>
          <cell r="N311">
            <v>155.64885985961581</v>
          </cell>
          <cell r="P311">
            <v>3042152</v>
          </cell>
          <cell r="Q311">
            <v>2641239</v>
          </cell>
          <cell r="R311">
            <v>400913</v>
          </cell>
          <cell r="T311" t="str">
            <v>-</v>
          </cell>
          <cell r="U311" t="str">
            <v>-</v>
          </cell>
          <cell r="V311" t="str">
            <v>-</v>
          </cell>
          <cell r="X311">
            <v>2688535</v>
          </cell>
          <cell r="Y311">
            <v>516893</v>
          </cell>
        </row>
        <row r="312">
          <cell r="E312" t="str">
            <v>9M14</v>
          </cell>
          <cell r="F312">
            <v>736313</v>
          </cell>
          <cell r="G312">
            <v>691341</v>
          </cell>
          <cell r="H312">
            <v>44972</v>
          </cell>
          <cell r="I312">
            <v>815669845.32500005</v>
          </cell>
          <cell r="J312">
            <v>809035809.32500005</v>
          </cell>
          <cell r="K312">
            <v>6634035.9999999953</v>
          </cell>
          <cell r="L312">
            <v>1107.7759666405457</v>
          </cell>
          <cell r="M312">
            <v>1170.241327109198</v>
          </cell>
          <cell r="N312">
            <v>147.51480921462232</v>
          </cell>
          <cell r="P312">
            <v>2649968</v>
          </cell>
          <cell r="Q312">
            <v>2407484</v>
          </cell>
          <cell r="R312">
            <v>242484</v>
          </cell>
          <cell r="T312" t="str">
            <v>-</v>
          </cell>
          <cell r="U312" t="str">
            <v>-</v>
          </cell>
          <cell r="V312" t="str">
            <v>-</v>
          </cell>
          <cell r="X312">
            <v>2246193</v>
          </cell>
          <cell r="Y312">
            <v>452938</v>
          </cell>
        </row>
        <row r="313">
          <cell r="E313" t="str">
            <v>9M15</v>
          </cell>
          <cell r="F313">
            <v>564960</v>
          </cell>
          <cell r="G313">
            <v>508144</v>
          </cell>
          <cell r="H313">
            <v>56816</v>
          </cell>
          <cell r="I313">
            <v>616665821</v>
          </cell>
          <cell r="J313">
            <v>609324170</v>
          </cell>
          <cell r="K313">
            <v>7341650.9999999907</v>
          </cell>
          <cell r="L313">
            <v>1091.5212068111016</v>
          </cell>
          <cell r="M313">
            <v>1199.1171203438396</v>
          </cell>
          <cell r="N313">
            <v>129.2180195719514</v>
          </cell>
          <cell r="P313">
            <v>2158747</v>
          </cell>
          <cell r="Q313">
            <v>1884653</v>
          </cell>
          <cell r="R313">
            <v>274094</v>
          </cell>
          <cell r="T313" t="str">
            <v>-</v>
          </cell>
          <cell r="U313" t="str">
            <v>-</v>
          </cell>
          <cell r="V313" t="str">
            <v>-</v>
          </cell>
          <cell r="X313">
            <v>1826309</v>
          </cell>
          <cell r="Y313">
            <v>317701</v>
          </cell>
        </row>
        <row r="314">
          <cell r="E314" t="str">
            <v>9M16</v>
          </cell>
          <cell r="F314">
            <v>483567</v>
          </cell>
          <cell r="G314">
            <v>410521</v>
          </cell>
          <cell r="H314">
            <v>73046</v>
          </cell>
          <cell r="I314">
            <v>470865444.00000018</v>
          </cell>
          <cell r="J314">
            <v>461285085.00000018</v>
          </cell>
          <cell r="K314">
            <v>9580358.9999999981</v>
          </cell>
          <cell r="L314">
            <v>973.7336170582364</v>
          </cell>
          <cell r="M314">
            <v>1123.6577056959331</v>
          </cell>
          <cell r="N314">
            <v>131.15514881033866</v>
          </cell>
          <cell r="P314">
            <v>1802071</v>
          </cell>
          <cell r="Q314">
            <v>1460628</v>
          </cell>
          <cell r="R314">
            <v>341443</v>
          </cell>
          <cell r="T314" t="str">
            <v>-</v>
          </cell>
          <cell r="U314" t="str">
            <v>-</v>
          </cell>
          <cell r="V314" t="str">
            <v>-</v>
          </cell>
          <cell r="X314">
            <v>1518122</v>
          </cell>
          <cell r="Y314">
            <v>207274</v>
          </cell>
        </row>
        <row r="315">
          <cell r="E315" t="str">
            <v>9M17</v>
          </cell>
          <cell r="F315">
            <v>542929</v>
          </cell>
          <cell r="G315">
            <v>424867</v>
          </cell>
          <cell r="H315">
            <v>118062</v>
          </cell>
          <cell r="I315">
            <v>509692722.03599072</v>
          </cell>
          <cell r="J315">
            <v>486705593.03599072</v>
          </cell>
          <cell r="K315">
            <v>22987129</v>
          </cell>
          <cell r="L315">
            <v>938.78338058197426</v>
          </cell>
          <cell r="M315">
            <v>1145.5481198492487</v>
          </cell>
          <cell r="N315">
            <v>194.70387592959631</v>
          </cell>
          <cell r="P315">
            <v>2114113</v>
          </cell>
          <cell r="Q315">
            <v>1576077</v>
          </cell>
          <cell r="R315">
            <v>538036</v>
          </cell>
          <cell r="T315" t="str">
            <v>-</v>
          </cell>
          <cell r="U315" t="str">
            <v>-</v>
          </cell>
          <cell r="V315" t="str">
            <v>-</v>
          </cell>
          <cell r="X315">
            <v>1934251</v>
          </cell>
          <cell r="Y315">
            <v>174563</v>
          </cell>
        </row>
        <row r="316">
          <cell r="E316" t="str">
            <v>9M18</v>
          </cell>
          <cell r="F316">
            <v>577786</v>
          </cell>
          <cell r="G316">
            <v>468469</v>
          </cell>
          <cell r="H316">
            <v>109317</v>
          </cell>
          <cell r="I316">
            <v>576712051</v>
          </cell>
          <cell r="J316">
            <v>555144921</v>
          </cell>
          <cell r="K316">
            <v>21567130</v>
          </cell>
          <cell r="L316">
            <v>998.14126856656276</v>
          </cell>
          <cell r="M316">
            <v>1185.019544516286</v>
          </cell>
          <cell r="N316">
            <v>197.28980853847068</v>
          </cell>
          <cell r="P316">
            <v>2280308</v>
          </cell>
          <cell r="Q316">
            <v>1782947</v>
          </cell>
          <cell r="R316">
            <v>497361</v>
          </cell>
          <cell r="T316" t="str">
            <v>-</v>
          </cell>
          <cell r="U316" t="str">
            <v>-</v>
          </cell>
          <cell r="V316" t="str">
            <v>-</v>
          </cell>
          <cell r="X316">
            <v>2095253</v>
          </cell>
          <cell r="Y316">
            <v>225956</v>
          </cell>
        </row>
        <row r="317">
          <cell r="E317" t="str">
            <v>9M19</v>
          </cell>
          <cell r="F317">
            <v>592001</v>
          </cell>
          <cell r="G317">
            <v>516598</v>
          </cell>
          <cell r="H317">
            <v>75403</v>
          </cell>
          <cell r="I317">
            <v>635128174</v>
          </cell>
          <cell r="J317">
            <v>620138352</v>
          </cell>
          <cell r="K317">
            <v>14989822</v>
          </cell>
          <cell r="L317">
            <v>1072.8498330239306</v>
          </cell>
          <cell r="M317">
            <v>1200.4273187275212</v>
          </cell>
          <cell r="N317">
            <v>198.79609564606181</v>
          </cell>
          <cell r="P317">
            <v>2262612</v>
          </cell>
          <cell r="Q317">
            <v>1940170</v>
          </cell>
          <cell r="R317">
            <v>322442</v>
          </cell>
          <cell r="T317" t="str">
            <v>-</v>
          </cell>
          <cell r="U317" t="str">
            <v>-</v>
          </cell>
          <cell r="V317" t="str">
            <v>-</v>
          </cell>
          <cell r="X317">
            <v>2149275</v>
          </cell>
          <cell r="Y317">
            <v>217239</v>
          </cell>
        </row>
        <row r="318">
          <cell r="E318" t="str">
            <v>9M20</v>
          </cell>
          <cell r="F318">
            <v>375098</v>
          </cell>
          <cell r="G318">
            <v>327872</v>
          </cell>
          <cell r="H318">
            <v>47226</v>
          </cell>
          <cell r="I318">
            <v>427017041</v>
          </cell>
          <cell r="J318">
            <v>417259988</v>
          </cell>
          <cell r="K318">
            <v>9757053</v>
          </cell>
          <cell r="L318">
            <v>1138.4146036502461</v>
          </cell>
          <cell r="M318">
            <v>1272.6307461448371</v>
          </cell>
          <cell r="N318">
            <v>206.60341760894423</v>
          </cell>
          <cell r="P318">
            <v>1497178</v>
          </cell>
          <cell r="Q318">
            <v>1301659</v>
          </cell>
          <cell r="R318">
            <v>195519</v>
          </cell>
          <cell r="T318" t="str">
            <v>-</v>
          </cell>
          <cell r="U318" t="str">
            <v>-</v>
          </cell>
          <cell r="V318" t="str">
            <v>-</v>
          </cell>
          <cell r="X318">
            <v>1258132</v>
          </cell>
          <cell r="Y318">
            <v>148894</v>
          </cell>
        </row>
        <row r="319">
          <cell r="E319" t="str">
            <v>9M21</v>
          </cell>
          <cell r="F319">
            <v>378982</v>
          </cell>
          <cell r="G319">
            <v>315733</v>
          </cell>
          <cell r="H319">
            <v>63249</v>
          </cell>
          <cell r="I319">
            <v>388484738</v>
          </cell>
          <cell r="J319">
            <v>372468269</v>
          </cell>
          <cell r="K319">
            <v>16016469</v>
          </cell>
          <cell r="L319">
            <v>1025.0743782026586</v>
          </cell>
          <cell r="M319">
            <v>1179.6938204115502</v>
          </cell>
          <cell r="N319">
            <v>253.22880994165916</v>
          </cell>
          <cell r="P319">
            <v>1728729</v>
          </cell>
          <cell r="Q319">
            <v>1471258</v>
          </cell>
          <cell r="R319">
            <v>257471</v>
          </cell>
          <cell r="T319" t="str">
            <v>-</v>
          </cell>
          <cell r="U319" t="str">
            <v>-</v>
          </cell>
          <cell r="V319" t="str">
            <v>-</v>
          </cell>
          <cell r="X319">
            <v>1519776</v>
          </cell>
          <cell r="Y319">
            <v>173020</v>
          </cell>
        </row>
        <row r="320">
          <cell r="E320" t="str">
            <v>9M22</v>
          </cell>
          <cell r="F320">
            <v>420449</v>
          </cell>
          <cell r="G320">
            <v>334983</v>
          </cell>
          <cell r="H320">
            <v>85466</v>
          </cell>
          <cell r="I320">
            <v>418221373</v>
          </cell>
          <cell r="J320">
            <v>394463407</v>
          </cell>
          <cell r="K320">
            <v>23757966</v>
          </cell>
          <cell r="L320">
            <v>994.70179022901709</v>
          </cell>
          <cell r="M320">
            <v>1177.5624643638632</v>
          </cell>
          <cell r="N320">
            <v>277.9814897152084</v>
          </cell>
          <cell r="P320">
            <v>1739119</v>
          </cell>
          <cell r="Q320">
            <v>1397554</v>
          </cell>
          <cell r="R320">
            <v>341565</v>
          </cell>
          <cell r="X320">
            <v>1615863</v>
          </cell>
          <cell r="Y320">
            <v>187203</v>
          </cell>
        </row>
        <row r="321">
          <cell r="E321" t="str">
            <v>9M23</v>
          </cell>
          <cell r="F321">
            <v>464551</v>
          </cell>
          <cell r="G321">
            <v>396176</v>
          </cell>
          <cell r="H321">
            <v>68375</v>
          </cell>
          <cell r="I321">
            <v>464597728</v>
          </cell>
          <cell r="J321">
            <v>441154485</v>
          </cell>
          <cell r="K321">
            <v>23443243</v>
          </cell>
          <cell r="L321">
            <v>1000.100587448956</v>
          </cell>
          <cell r="M321">
            <v>1113.5315743507936</v>
          </cell>
          <cell r="N321">
            <v>342.8627861060329</v>
          </cell>
          <cell r="P321">
            <v>1841536</v>
          </cell>
          <cell r="Q321">
            <v>1534842</v>
          </cell>
          <cell r="R321">
            <v>306694</v>
          </cell>
          <cell r="X321">
            <v>1663707</v>
          </cell>
          <cell r="Y321">
            <v>230908</v>
          </cell>
        </row>
        <row r="322">
          <cell r="E322" t="str">
            <v>9M24</v>
          </cell>
          <cell r="F322">
            <v>510214</v>
          </cell>
          <cell r="G322">
            <v>449128</v>
          </cell>
          <cell r="H322">
            <v>61086</v>
          </cell>
          <cell r="I322">
            <v>547156355</v>
          </cell>
          <cell r="J322">
            <v>528697997</v>
          </cell>
          <cell r="K322">
            <v>18458358</v>
          </cell>
          <cell r="L322">
            <v>1072.4056082349759</v>
          </cell>
          <cell r="M322">
            <v>1177.1655229689532</v>
          </cell>
          <cell r="N322">
            <v>302.17002259110109</v>
          </cell>
          <cell r="P322">
            <v>2021435</v>
          </cell>
          <cell r="Q322">
            <v>1752167</v>
          </cell>
          <cell r="R322">
            <v>269268</v>
          </cell>
          <cell r="X322">
            <v>1750396</v>
          </cell>
          <cell r="Y322">
            <v>316968</v>
          </cell>
        </row>
        <row r="323">
          <cell r="E323" t="str">
            <v>9M25</v>
          </cell>
          <cell r="F323">
            <v>512811</v>
          </cell>
          <cell r="G323">
            <v>425854</v>
          </cell>
          <cell r="H323">
            <v>86957</v>
          </cell>
          <cell r="I323">
            <v>553493971</v>
          </cell>
          <cell r="J323">
            <v>520475440</v>
          </cell>
          <cell r="K323">
            <v>33018531</v>
          </cell>
          <cell r="L323">
            <v>1079.3332650820673</v>
          </cell>
          <cell r="M323">
            <v>1222.1922067187345</v>
          </cell>
          <cell r="N323">
            <v>379.71101808940051</v>
          </cell>
          <cell r="P323">
            <v>2215809</v>
          </cell>
          <cell r="Q323">
            <v>1808880</v>
          </cell>
          <cell r="R323">
            <v>406929</v>
          </cell>
          <cell r="X323">
            <v>1870090</v>
          </cell>
          <cell r="Y323">
            <v>351190</v>
          </cell>
        </row>
        <row r="325">
          <cell r="E325">
            <v>2009</v>
          </cell>
          <cell r="F325">
            <v>987656</v>
          </cell>
          <cell r="G325">
            <v>910426</v>
          </cell>
          <cell r="H325">
            <v>77230</v>
          </cell>
          <cell r="I325">
            <v>843526576.27359402</v>
          </cell>
          <cell r="J325">
            <v>834120958.10093296</v>
          </cell>
          <cell r="K325">
            <v>9405618.1726610009</v>
          </cell>
          <cell r="L325">
            <v>854.06920655936278</v>
          </cell>
          <cell r="M325">
            <v>916.18754088847743</v>
          </cell>
          <cell r="N325">
            <v>121.78710569287843</v>
          </cell>
          <cell r="P325">
            <v>3532901</v>
          </cell>
          <cell r="Q325">
            <v>3008867</v>
          </cell>
          <cell r="R325">
            <v>524034</v>
          </cell>
          <cell r="T325" t="str">
            <v>-</v>
          </cell>
          <cell r="X325" t="str">
            <v>-</v>
          </cell>
          <cell r="Y325" t="str">
            <v>-</v>
          </cell>
        </row>
        <row r="326">
          <cell r="E326">
            <v>2010</v>
          </cell>
          <cell r="F326">
            <v>1083239.5</v>
          </cell>
          <cell r="G326">
            <v>974254</v>
          </cell>
          <cell r="H326">
            <v>108985.5</v>
          </cell>
          <cell r="I326">
            <v>1057748999</v>
          </cell>
          <cell r="J326">
            <v>1042602518</v>
          </cell>
          <cell r="K326">
            <v>15146481</v>
          </cell>
          <cell r="L326">
            <v>976.46826855926133</v>
          </cell>
          <cell r="M326">
            <v>1070.1547214586751</v>
          </cell>
          <cell r="N326">
            <v>138.97702905432374</v>
          </cell>
          <cell r="P326">
            <v>3680673</v>
          </cell>
          <cell r="Q326">
            <v>3329029</v>
          </cell>
          <cell r="R326">
            <v>351644</v>
          </cell>
          <cell r="T326" t="str">
            <v>-</v>
          </cell>
          <cell r="X326">
            <v>3151671</v>
          </cell>
          <cell r="Y326" t="str">
            <v>-</v>
          </cell>
        </row>
        <row r="327">
          <cell r="E327">
            <v>2011</v>
          </cell>
          <cell r="F327">
            <v>1088358</v>
          </cell>
          <cell r="G327">
            <v>969973</v>
          </cell>
          <cell r="H327">
            <v>118385</v>
          </cell>
          <cell r="I327">
            <v>1094979000</v>
          </cell>
          <cell r="J327">
            <v>1074569441</v>
          </cell>
          <cell r="K327">
            <v>20409558.99999997</v>
          </cell>
          <cell r="L327">
            <v>1006.083476209115</v>
          </cell>
          <cell r="M327">
            <v>1107.8343840498653</v>
          </cell>
          <cell r="N327">
            <v>172.39987329475838</v>
          </cell>
          <cell r="P327">
            <v>3898201</v>
          </cell>
          <cell r="Q327">
            <v>3425831</v>
          </cell>
          <cell r="R327">
            <v>472370</v>
          </cell>
          <cell r="T327" t="str">
            <v>-</v>
          </cell>
          <cell r="X327">
            <v>3144811</v>
          </cell>
          <cell r="Y327">
            <v>854001</v>
          </cell>
        </row>
        <row r="328">
          <cell r="E328">
            <v>2012</v>
          </cell>
          <cell r="F328">
            <v>1116875</v>
          </cell>
          <cell r="G328">
            <v>1018117</v>
          </cell>
          <cell r="H328">
            <v>98758</v>
          </cell>
          <cell r="I328">
            <v>1152465800</v>
          </cell>
          <cell r="J328">
            <v>1137999795</v>
          </cell>
          <cell r="K328">
            <v>14466004.999999963</v>
          </cell>
          <cell r="L328">
            <v>1031.8664129826525</v>
          </cell>
          <cell r="M328">
            <v>1117.7495268225557</v>
          </cell>
          <cell r="N328">
            <v>146.47932319406996</v>
          </cell>
          <cell r="P328">
            <v>4046781</v>
          </cell>
          <cell r="Q328">
            <v>3634183</v>
          </cell>
          <cell r="R328">
            <v>412598</v>
          </cell>
          <cell r="T328" t="str">
            <v>-</v>
          </cell>
          <cell r="X328">
            <v>3234346</v>
          </cell>
          <cell r="Y328">
            <v>783705</v>
          </cell>
        </row>
        <row r="329">
          <cell r="E329">
            <v>2013</v>
          </cell>
          <cell r="F329">
            <v>1185604</v>
          </cell>
          <cell r="G329">
            <v>1087195</v>
          </cell>
          <cell r="H329">
            <v>98409</v>
          </cell>
          <cell r="I329">
            <v>1250618928</v>
          </cell>
          <cell r="J329">
            <v>1235274850</v>
          </cell>
          <cell r="K329">
            <v>15344078</v>
          </cell>
          <cell r="L329">
            <v>1054.8369674866144</v>
          </cell>
          <cell r="M329">
            <v>1136.2035789347817</v>
          </cell>
          <cell r="N329">
            <v>155.92149092054589</v>
          </cell>
          <cell r="P329">
            <v>4111408</v>
          </cell>
          <cell r="Q329">
            <v>3579896</v>
          </cell>
          <cell r="R329">
            <v>531512</v>
          </cell>
          <cell r="T329" t="str">
            <v>-</v>
          </cell>
          <cell r="X329">
            <v>3486257</v>
          </cell>
          <cell r="Y329">
            <v>703489</v>
          </cell>
        </row>
        <row r="330">
          <cell r="E330">
            <v>2014</v>
          </cell>
          <cell r="F330">
            <v>1025889</v>
          </cell>
          <cell r="G330">
            <v>965374</v>
          </cell>
          <cell r="H330">
            <v>60515</v>
          </cell>
          <cell r="I330">
            <v>1131765456.325</v>
          </cell>
          <cell r="J330">
            <v>1123424671.325</v>
          </cell>
          <cell r="K330">
            <v>8340784.9999999953</v>
          </cell>
          <cell r="L330">
            <v>1103.2045926264927</v>
          </cell>
          <cell r="M330">
            <v>1163.719627134147</v>
          </cell>
          <cell r="N330">
            <v>137.83004213831273</v>
          </cell>
          <cell r="P330">
            <v>3643639</v>
          </cell>
          <cell r="Q330">
            <v>3333483</v>
          </cell>
          <cell r="R330">
            <v>310156</v>
          </cell>
          <cell r="T330" t="str">
            <v>-</v>
          </cell>
          <cell r="X330">
            <v>2978929</v>
          </cell>
          <cell r="Y330">
            <v>614958</v>
          </cell>
        </row>
        <row r="331">
          <cell r="E331">
            <v>2015</v>
          </cell>
          <cell r="F331">
            <v>765551</v>
          </cell>
          <cell r="G331">
            <v>686060</v>
          </cell>
          <cell r="H331">
            <v>79491</v>
          </cell>
          <cell r="I331">
            <v>827701713</v>
          </cell>
          <cell r="J331">
            <v>817587536</v>
          </cell>
          <cell r="K331">
            <v>10114176.999999987</v>
          </cell>
          <cell r="L331">
            <v>1081.1842881793636</v>
          </cell>
          <cell r="M331">
            <v>1191.7143340232633</v>
          </cell>
          <cell r="N331">
            <v>127.23675636235532</v>
          </cell>
          <cell r="P331">
            <v>2869555</v>
          </cell>
          <cell r="Q331">
            <v>2480532</v>
          </cell>
          <cell r="R331">
            <v>389023</v>
          </cell>
          <cell r="T331" t="str">
            <v>-</v>
          </cell>
          <cell r="X331">
            <v>2332529</v>
          </cell>
          <cell r="Y331">
            <v>412923</v>
          </cell>
        </row>
        <row r="332">
          <cell r="E332">
            <v>2016</v>
          </cell>
          <cell r="F332">
            <v>680902</v>
          </cell>
          <cell r="G332">
            <v>570749</v>
          </cell>
          <cell r="H332">
            <v>110153</v>
          </cell>
          <cell r="I332">
            <v>645826949.00000024</v>
          </cell>
          <cell r="J332">
            <v>631248336.00000024</v>
          </cell>
          <cell r="K332">
            <v>14578612.999999996</v>
          </cell>
          <cell r="L332">
            <v>948.48737263218527</v>
          </cell>
          <cell r="M332">
            <v>1105.9998983791479</v>
          </cell>
          <cell r="N332">
            <v>132.34876036058932</v>
          </cell>
          <cell r="P332">
            <v>2477652</v>
          </cell>
          <cell r="Q332">
            <v>1988596</v>
          </cell>
          <cell r="R332">
            <v>489056</v>
          </cell>
          <cell r="T332" t="str">
            <v>-</v>
          </cell>
          <cell r="U332" t="str">
            <v>-</v>
          </cell>
          <cell r="V332" t="str">
            <v>-</v>
          </cell>
          <cell r="X332">
            <v>2097597</v>
          </cell>
          <cell r="Y332">
            <v>271633</v>
          </cell>
        </row>
        <row r="333">
          <cell r="E333">
            <v>2017</v>
          </cell>
          <cell r="F333">
            <v>754343</v>
          </cell>
          <cell r="G333">
            <v>593735</v>
          </cell>
          <cell r="H333">
            <v>160608</v>
          </cell>
          <cell r="I333">
            <v>713930881.03599072</v>
          </cell>
          <cell r="J333">
            <v>682488935.03599072</v>
          </cell>
          <cell r="K333">
            <v>31441946</v>
          </cell>
          <cell r="L333">
            <v>946.42739580799548</v>
          </cell>
          <cell r="M333">
            <v>1149.4840880796833</v>
          </cell>
          <cell r="N333">
            <v>195.76824317593147</v>
          </cell>
          <cell r="P333">
            <v>2900592</v>
          </cell>
          <cell r="Q333">
            <v>2175984</v>
          </cell>
          <cell r="R333">
            <v>724608</v>
          </cell>
          <cell r="T333" t="str">
            <v>-</v>
          </cell>
          <cell r="U333" t="str">
            <v>-</v>
          </cell>
          <cell r="V333" t="str">
            <v>-</v>
          </cell>
          <cell r="X333">
            <v>2633569</v>
          </cell>
          <cell r="Y333">
            <v>242325</v>
          </cell>
        </row>
        <row r="334">
          <cell r="E334">
            <v>2018</v>
          </cell>
          <cell r="F334">
            <v>781413</v>
          </cell>
          <cell r="G334">
            <v>653772</v>
          </cell>
          <cell r="H334">
            <v>127641</v>
          </cell>
          <cell r="I334">
            <v>791435701</v>
          </cell>
          <cell r="J334">
            <v>765655972</v>
          </cell>
          <cell r="K334">
            <v>25779729</v>
          </cell>
          <cell r="L334">
            <v>1012.8263811838298</v>
          </cell>
          <cell r="M334">
            <v>1171.1360719027427</v>
          </cell>
          <cell r="N334">
            <v>201.97059722189579</v>
          </cell>
          <cell r="P334">
            <v>3070770</v>
          </cell>
          <cell r="Q334">
            <v>2475338</v>
          </cell>
          <cell r="R334">
            <v>595432</v>
          </cell>
          <cell r="T334" t="str">
            <v>-</v>
          </cell>
          <cell r="U334" t="str">
            <v>-</v>
          </cell>
          <cell r="V334" t="str">
            <v>-</v>
          </cell>
          <cell r="X334">
            <v>2746948</v>
          </cell>
          <cell r="Y334">
            <v>308566</v>
          </cell>
        </row>
        <row r="335">
          <cell r="E335">
            <v>2019</v>
          </cell>
          <cell r="F335">
            <v>821267</v>
          </cell>
          <cell r="G335">
            <v>724979</v>
          </cell>
          <cell r="H335">
            <v>96288</v>
          </cell>
          <cell r="I335">
            <v>880897300</v>
          </cell>
          <cell r="J335">
            <v>861978441</v>
          </cell>
          <cell r="K335">
            <v>18918859</v>
          </cell>
          <cell r="L335">
            <v>1072.6076903126511</v>
          </cell>
          <cell r="M335">
            <v>1188.970219827057</v>
          </cell>
          <cell r="N335">
            <v>196.48200191093386</v>
          </cell>
          <cell r="P335">
            <v>3073093</v>
          </cell>
          <cell r="Q335">
            <v>2665583</v>
          </cell>
          <cell r="R335">
            <v>407510</v>
          </cell>
          <cell r="T335" t="str">
            <v>-</v>
          </cell>
          <cell r="U335" t="str">
            <v>-</v>
          </cell>
          <cell r="V335" t="str">
            <v>-</v>
          </cell>
          <cell r="X335">
            <v>2803841</v>
          </cell>
          <cell r="Y335">
            <v>294542</v>
          </cell>
        </row>
        <row r="336">
          <cell r="E336">
            <v>2020</v>
          </cell>
          <cell r="F336">
            <v>560858</v>
          </cell>
          <cell r="G336">
            <v>483687</v>
          </cell>
          <cell r="H336">
            <v>77171</v>
          </cell>
          <cell r="I336">
            <v>635735551</v>
          </cell>
          <cell r="J336">
            <v>620311995</v>
          </cell>
          <cell r="K336">
            <v>15423556</v>
          </cell>
          <cell r="L336">
            <v>1133.5053632113654</v>
          </cell>
          <cell r="M336">
            <v>1282.4657164654002</v>
          </cell>
          <cell r="N336">
            <v>199.86207254020292</v>
          </cell>
          <cell r="P336">
            <v>2261796</v>
          </cell>
          <cell r="Q336">
            <v>1954828</v>
          </cell>
          <cell r="R336">
            <v>306968</v>
          </cell>
          <cell r="T336" t="str">
            <v>-</v>
          </cell>
          <cell r="U336" t="str">
            <v>-</v>
          </cell>
          <cell r="V336" t="str">
            <v>-</v>
          </cell>
          <cell r="X336">
            <v>1904714</v>
          </cell>
          <cell r="Y336">
            <v>207683</v>
          </cell>
        </row>
        <row r="337">
          <cell r="E337">
            <v>2021</v>
          </cell>
          <cell r="F337">
            <v>527385</v>
          </cell>
          <cell r="G337">
            <v>442236</v>
          </cell>
          <cell r="H337">
            <v>85149</v>
          </cell>
          <cell r="I337">
            <v>552742116</v>
          </cell>
          <cell r="J337">
            <v>529162354</v>
          </cell>
          <cell r="K337">
            <v>23579762</v>
          </cell>
          <cell r="L337">
            <v>1048.0808441650786</v>
          </cell>
          <cell r="M337">
            <v>1196.5610081494949</v>
          </cell>
          <cell r="N337">
            <v>276.92353404032929</v>
          </cell>
          <cell r="P337">
            <v>2326543</v>
          </cell>
          <cell r="Q337">
            <v>1977094</v>
          </cell>
          <cell r="R337">
            <v>349449</v>
          </cell>
          <cell r="T337" t="str">
            <v>-</v>
          </cell>
          <cell r="U337" t="str">
            <v>-</v>
          </cell>
          <cell r="V337" t="str">
            <v>-</v>
          </cell>
          <cell r="X337">
            <v>2070562</v>
          </cell>
          <cell r="Y337">
            <v>247921</v>
          </cell>
        </row>
        <row r="338">
          <cell r="E338">
            <v>2022</v>
          </cell>
          <cell r="F338">
            <v>585349</v>
          </cell>
          <cell r="G338">
            <v>474713</v>
          </cell>
          <cell r="H338">
            <v>110636</v>
          </cell>
          <cell r="I338">
            <v>587689998</v>
          </cell>
          <cell r="J338">
            <v>554884634</v>
          </cell>
          <cell r="K338">
            <v>32805364</v>
          </cell>
          <cell r="L338">
            <v>1003.9993200637568</v>
          </cell>
          <cell r="M338">
            <v>1168.8844291182252</v>
          </cell>
          <cell r="N338">
            <v>296.51617918218301</v>
          </cell>
          <cell r="P338">
            <v>2410741</v>
          </cell>
          <cell r="Q338">
            <v>1960462</v>
          </cell>
          <cell r="R338">
            <v>450279</v>
          </cell>
          <cell r="T338" t="str">
            <v>-</v>
          </cell>
          <cell r="U338" t="str">
            <v>-</v>
          </cell>
          <cell r="V338" t="str">
            <v>-</v>
          </cell>
          <cell r="X338">
            <v>2176179</v>
          </cell>
          <cell r="Y338">
            <v>266958</v>
          </cell>
        </row>
        <row r="339">
          <cell r="E339">
            <v>2023</v>
          </cell>
          <cell r="F339">
            <v>639855</v>
          </cell>
          <cell r="G339">
            <v>554637</v>
          </cell>
          <cell r="H339">
            <v>85218</v>
          </cell>
          <cell r="I339">
            <v>653447579</v>
          </cell>
          <cell r="J339">
            <v>623459000</v>
          </cell>
          <cell r="K339">
            <v>29988579</v>
          </cell>
          <cell r="L339">
            <v>1021.2432176039885</v>
          </cell>
          <cell r="M339">
            <v>1124.0847617450693</v>
          </cell>
          <cell r="N339">
            <v>351.90428078574951</v>
          </cell>
          <cell r="P339">
            <v>2562466</v>
          </cell>
          <cell r="Q339">
            <v>2180230</v>
          </cell>
          <cell r="R339">
            <v>382236</v>
          </cell>
          <cell r="T339" t="str">
            <v>-</v>
          </cell>
          <cell r="U339" t="str">
            <v>-</v>
          </cell>
          <cell r="V339" t="str">
            <v>-</v>
          </cell>
          <cell r="X339">
            <v>2202127</v>
          </cell>
          <cell r="Y339">
            <v>344032</v>
          </cell>
        </row>
        <row r="340">
          <cell r="E340">
            <v>2024</v>
          </cell>
          <cell r="F340">
            <v>712421</v>
          </cell>
          <cell r="G340">
            <v>628515</v>
          </cell>
          <cell r="H340">
            <v>83906</v>
          </cell>
          <cell r="I340">
            <v>767293002</v>
          </cell>
          <cell r="J340">
            <v>741663897</v>
          </cell>
          <cell r="K340">
            <v>25629105</v>
          </cell>
          <cell r="L340">
            <v>1077.0218761097722</v>
          </cell>
          <cell r="M340">
            <v>1180.0257702680126</v>
          </cell>
          <cell r="N340">
            <v>305.45020618310969</v>
          </cell>
          <cell r="P340">
            <v>2863308</v>
          </cell>
          <cell r="Q340">
            <v>2487536</v>
          </cell>
          <cell r="R340">
            <v>375772</v>
          </cell>
          <cell r="X340">
            <v>2380594</v>
          </cell>
          <cell r="Y340">
            <v>459373</v>
          </cell>
        </row>
        <row r="341">
          <cell r="E341">
            <v>2025</v>
          </cell>
          <cell r="F341">
            <v>701773</v>
          </cell>
          <cell r="G341">
            <v>592370</v>
          </cell>
          <cell r="H341">
            <v>109403</v>
          </cell>
          <cell r="I341">
            <v>771573276</v>
          </cell>
          <cell r="J341">
            <v>729506942</v>
          </cell>
          <cell r="K341">
            <v>42066334</v>
          </cell>
          <cell r="L341">
            <v>1099.4627550504222</v>
          </cell>
          <cell r="M341">
            <v>1231.5055488968044</v>
          </cell>
          <cell r="N341">
            <v>384.50804822536861</v>
          </cell>
          <cell r="P341">
            <v>3047270</v>
          </cell>
          <cell r="Q341">
            <v>2551879</v>
          </cell>
          <cell r="R341">
            <v>495391</v>
          </cell>
          <cell r="X341">
            <v>2491747</v>
          </cell>
          <cell r="Y341">
            <v>491902</v>
          </cell>
        </row>
        <row r="342">
          <cell r="F342">
            <v>0.11341006946886401</v>
          </cell>
          <cell r="G342">
            <v>0.16836277919500842</v>
          </cell>
          <cell r="X342">
            <v>4.6691287972665751E-2</v>
          </cell>
        </row>
        <row r="344">
          <cell r="F344">
            <v>2</v>
          </cell>
          <cell r="G344">
            <v>3</v>
          </cell>
          <cell r="H344">
            <v>4</v>
          </cell>
          <cell r="I344">
            <v>5</v>
          </cell>
          <cell r="J344">
            <v>6</v>
          </cell>
          <cell r="K344">
            <v>7</v>
          </cell>
          <cell r="L344">
            <v>8</v>
          </cell>
          <cell r="M344">
            <v>9</v>
          </cell>
          <cell r="N344">
            <v>10</v>
          </cell>
          <cell r="O344">
            <v>11</v>
          </cell>
          <cell r="P344">
            <v>12</v>
          </cell>
          <cell r="Q344">
            <v>13</v>
          </cell>
          <cell r="R344">
            <v>14</v>
          </cell>
          <cell r="S344">
            <v>15</v>
          </cell>
          <cell r="T344">
            <v>16</v>
          </cell>
          <cell r="U344">
            <v>17</v>
          </cell>
          <cell r="V344">
            <v>18</v>
          </cell>
          <cell r="W344">
            <v>19</v>
          </cell>
          <cell r="X344">
            <v>20</v>
          </cell>
          <cell r="Y344">
            <v>21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mpostos empresasnet"/>
      <sheetName val="Datas"/>
      <sheetName val="EmpresaData"/>
      <sheetName val="Materialidade"/>
      <sheetName val="CONSOLIDADO 2018"/>
      <sheetName val="Consolidado"/>
      <sheetName val="INSS"/>
      <sheetName val="sinistro"/>
      <sheetName val="&lt;QUADROS&gt;"/>
      <sheetName val="Balanço Analitico"/>
      <sheetName val="Balancetes "/>
      <sheetName val="Proventos em dinheiro"/>
      <sheetName val="Composição acionária"/>
      <sheetName val="Balanço  TLI"/>
      <sheetName val="BP NL"/>
      <sheetName val="Balanço "/>
      <sheetName val="Ativo NL"/>
      <sheetName val="Passivo NL"/>
      <sheetName val="DRE"/>
      <sheetName val="DRE NL"/>
      <sheetName val="DRE Controladora NL"/>
      <sheetName val="DRE Consolidado NL"/>
      <sheetName val="DRA"/>
      <sheetName val="DRA NL"/>
      <sheetName val="DMPL"/>
      <sheetName val="DFC POR TRI"/>
      <sheetName val="DFC_Contr"/>
      <sheetName val="DFC_Consol"/>
      <sheetName val="PRORELIT"/>
      <sheetName val="DMPL NL"/>
      <sheetName val="DFC "/>
      <sheetName val="DFC  NL"/>
      <sheetName val="DVA "/>
      <sheetName val="DVA NL"/>
      <sheetName val="DFC NL"/>
      <sheetName val="DFC - Controladora"/>
      <sheetName val="Balanço CAT"/>
      <sheetName val="DFC - Consolidado"/>
      <sheetName val="jUROS PERT"/>
      <sheetName val="Base para DVA consolidado"/>
      <sheetName val="4.a Risco Cambial"/>
      <sheetName val="1 Contexto"/>
      <sheetName val="2 Entidades"/>
      <sheetName val="4.2 Analise de Sensibilidade"/>
      <sheetName val="4.b Taxa de juros NL"/>
      <sheetName val="4.c Risco Crédito"/>
      <sheetName val="4.c Risco Crédito NL"/>
      <sheetName val="4.4 Risco de Liquidez"/>
      <sheetName val="4.d Risco de Liquidez NL"/>
      <sheetName val="Aging de Arrendamento"/>
      <sheetName val="4.e Analise de sensibilidade"/>
      <sheetName val="4.e Sensibilidade NL"/>
      <sheetName val="4.f Gestão de Capital"/>
      <sheetName val="4.f Gestão NL"/>
      <sheetName val="4.7 Classificação (2)"/>
      <sheetName val="4.h Hedge accounting"/>
      <sheetName val="4.5 Analise de Sensibilidade"/>
      <sheetName val="4.7 Classificação"/>
      <sheetName val="4.g Classificação NL"/>
      <sheetName val="5 Caixa e Equivalentes de Caixa"/>
      <sheetName val="5 Caixa NL"/>
      <sheetName val="6A Contas a Receber"/>
      <sheetName val="6b Contas a Receber aging "/>
      <sheetName val="6e Contas a Receber Mov PDD"/>
      <sheetName val="6 CR NL"/>
      <sheetName val="Base Clientes"/>
      <sheetName val="8 Demais contas a receber"/>
      <sheetName val="8 Demais CR NL"/>
      <sheetName val="7 Impostos a Recuperar"/>
      <sheetName val="Mvtação investimentos"/>
      <sheetName val="11.b Investimentos"/>
      <sheetName val="7 Imposto NL"/>
      <sheetName val="9.a Investimentos"/>
      <sheetName val="9.c Investimentos"/>
      <sheetName val="Consolidado Acumulado CAT"/>
      <sheetName val="9.e Investimentos"/>
      <sheetName val="9.f Investimentos"/>
      <sheetName val="9 Invest. NL (2)"/>
      <sheetName val="9 Invest. NL"/>
      <sheetName val="10 Imobilizado"/>
      <sheetName val="Venda"/>
      <sheetName val="10a "/>
      <sheetName val="10 Imob NL"/>
      <sheetName val="11 Intangível"/>
      <sheetName val="11 Intang NL"/>
      <sheetName val="4.4_12.1"/>
      <sheetName val="12 Empréstimos e Financiamentos"/>
      <sheetName val="12.b Debentures"/>
      <sheetName val="15 Parcelamento de Tributos"/>
      <sheetName val="12 Emp NL"/>
      <sheetName val="Ativo"/>
      <sheetName val="Passivo"/>
      <sheetName val="26 Comprom arrendam operac"/>
      <sheetName val="30.06 Aging - Controladora"/>
      <sheetName val="30.06 Aging - Consolidado"/>
      <sheetName val="13 Arrend NL"/>
      <sheetName val="DF Fluxo"/>
      <sheetName val="13 premissas atuariais"/>
      <sheetName val="13.a"/>
      <sheetName val="14 Tributos a recolher NL"/>
      <sheetName val="15 Salários e Encargos Sociais"/>
      <sheetName val="15 Salários NL"/>
      <sheetName val="16 Depósitos Demandas Judiciais"/>
      <sheetName val="16 Conting. NL"/>
      <sheetName val="16 movimentação contingência"/>
      <sheetName val="16 Mov. Conting. NL"/>
      <sheetName val="Sumário Juridico"/>
      <sheetName val="REFIS"/>
      <sheetName val="17 desp IR CS"/>
      <sheetName val="17 IRD"/>
      <sheetName val="IR.CS LP"/>
      <sheetName val="IR e CS Diferidos - Abertura"/>
      <sheetName val="17 IRD NL"/>
      <sheetName val="18 Demais Contas a Pagar"/>
      <sheetName val="Reclassificação fornecedores"/>
      <sheetName val="aluguel e seguros"/>
      <sheetName val="17 Stock option"/>
      <sheetName val="18 Demais a pagar NL"/>
      <sheetName val="19 Capital Social e Reservas"/>
      <sheetName val="19 PL NL"/>
      <sheetName val="20 Informações por Segmentos"/>
      <sheetName val="20.a"/>
      <sheetName val="20 Segmento NL"/>
      <sheetName val="21 receita"/>
      <sheetName val="21 Receita NL"/>
      <sheetName val="22 desp por natureza"/>
      <sheetName val="22 Desp Op NL"/>
      <sheetName val="Desmobilização"/>
      <sheetName val="23 outras operacionais"/>
      <sheetName val="23 Out Op. NL"/>
      <sheetName val="24 financeiro"/>
      <sheetName val="24 Resul. Fin. NL"/>
      <sheetName val="25 Resultado por Ação"/>
      <sheetName val="25a Lucro por ação NL"/>
      <sheetName val="24 Partes Relacionadas"/>
      <sheetName val="26a Part Relac NL"/>
      <sheetName val="26a Part Relac NL (2)"/>
      <sheetName val="Honorários "/>
      <sheetName val="26b Remuneração NL"/>
      <sheetName val="28 - Informações adicionais DFC"/>
      <sheetName val="28 DFC NL"/>
      <sheetName val="Plano aberturas"/>
      <sheetName val="Fluxo nominal TGL Dez"/>
      <sheetName val="Fluxo nominal Conso Dez"/>
      <sheetName val="Relatório - Gesplan"/>
      <sheetName val="Sheet3"/>
      <sheetName val="Sheet2"/>
      <sheetName val="Fluxo nominal TGL"/>
      <sheetName val="Fluxo nominal Consolidado"/>
      <sheetName val="Agio"/>
      <sheetName val="Impostos pa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5">
          <cell r="A5" t="str">
            <v>Caixa e equivalentes de caixa</v>
          </cell>
          <cell r="B5">
            <v>5</v>
          </cell>
          <cell r="C5">
            <v>107049</v>
          </cell>
          <cell r="E5">
            <v>69629</v>
          </cell>
          <cell r="G5">
            <v>196923</v>
          </cell>
          <cell r="K5" t="str">
            <v>Empréstimos e financiamentos</v>
          </cell>
          <cell r="L5">
            <v>12</v>
          </cell>
          <cell r="M5">
            <v>32942</v>
          </cell>
          <cell r="O5">
            <v>29256</v>
          </cell>
          <cell r="Q5">
            <v>34909</v>
          </cell>
        </row>
        <row r="6">
          <cell r="A6" t="str">
            <v>Contas a receber de clientes</v>
          </cell>
          <cell r="B6">
            <v>6</v>
          </cell>
          <cell r="C6">
            <v>462196</v>
          </cell>
          <cell r="E6">
            <v>379599</v>
          </cell>
          <cell r="G6">
            <v>526955</v>
          </cell>
          <cell r="K6" t="str">
            <v>Debêntures</v>
          </cell>
          <cell r="L6">
            <v>12</v>
          </cell>
          <cell r="M6">
            <v>0</v>
          </cell>
          <cell r="O6">
            <v>0</v>
          </cell>
          <cell r="Q6">
            <v>0</v>
          </cell>
        </row>
        <row r="7">
          <cell r="A7" t="str">
            <v>Estoques (almoxarifado)</v>
          </cell>
          <cell r="C7">
            <v>99</v>
          </cell>
          <cell r="E7">
            <v>71</v>
          </cell>
          <cell r="G7">
            <v>4446</v>
          </cell>
          <cell r="K7" t="str">
            <v>Arrendamento</v>
          </cell>
          <cell r="L7">
            <v>26</v>
          </cell>
          <cell r="M7">
            <v>36053</v>
          </cell>
          <cell r="O7">
            <v>33528</v>
          </cell>
          <cell r="Q7">
            <v>41663</v>
          </cell>
        </row>
        <row r="8">
          <cell r="A8" t="str">
            <v>Imposto de renda e contribuição social</v>
          </cell>
          <cell r="C8">
            <v>1611</v>
          </cell>
          <cell r="E8">
            <v>6665</v>
          </cell>
          <cell r="G8">
            <v>3601</v>
          </cell>
          <cell r="K8" t="str">
            <v>Fornecedores</v>
          </cell>
          <cell r="M8">
            <v>9939</v>
          </cell>
          <cell r="O8">
            <v>13113</v>
          </cell>
          <cell r="Q8">
            <v>11504</v>
          </cell>
        </row>
        <row r="9">
          <cell r="A9" t="str">
            <v>Impostos e contribuições a recuperar</v>
          </cell>
          <cell r="B9">
            <v>8</v>
          </cell>
          <cell r="C9">
            <v>4970</v>
          </cell>
          <cell r="E9">
            <v>5171</v>
          </cell>
          <cell r="G9">
            <v>7617</v>
          </cell>
          <cell r="K9" t="str">
            <v>Fretes a pagar</v>
          </cell>
          <cell r="M9">
            <v>60701</v>
          </cell>
          <cell r="O9">
            <v>41951</v>
          </cell>
          <cell r="Q9">
            <v>66150</v>
          </cell>
        </row>
        <row r="10">
          <cell r="A10" t="str">
            <v>Demais contas a receber</v>
          </cell>
          <cell r="B10">
            <v>7</v>
          </cell>
          <cell r="C10">
            <v>27358</v>
          </cell>
          <cell r="E10">
            <v>27959</v>
          </cell>
          <cell r="G10">
            <v>34100</v>
          </cell>
          <cell r="K10" t="str">
            <v>Tributos a recolher</v>
          </cell>
          <cell r="M10">
            <v>38223</v>
          </cell>
          <cell r="O10">
            <v>29535</v>
          </cell>
          <cell r="Q10">
            <v>42313</v>
          </cell>
        </row>
        <row r="11">
          <cell r="A11" t="str">
            <v>Dividendos a receber</v>
          </cell>
          <cell r="B11">
            <v>24</v>
          </cell>
          <cell r="C11">
            <v>0</v>
          </cell>
          <cell r="E11">
            <v>0</v>
          </cell>
          <cell r="G11">
            <v>0</v>
          </cell>
          <cell r="K11" t="str">
            <v>Parcelamento de tributos</v>
          </cell>
          <cell r="M11">
            <v>0</v>
          </cell>
          <cell r="O11">
            <v>0</v>
          </cell>
          <cell r="Q11">
            <v>56</v>
          </cell>
        </row>
        <row r="12">
          <cell r="A12" t="str">
            <v>Partes relacionadas</v>
          </cell>
          <cell r="B12">
            <v>24</v>
          </cell>
          <cell r="C12">
            <v>10407</v>
          </cell>
          <cell r="E12">
            <v>4246</v>
          </cell>
          <cell r="G12">
            <v>737</v>
          </cell>
          <cell r="K12" t="str">
            <v>Salários e encargos sociais</v>
          </cell>
          <cell r="L12">
            <v>13</v>
          </cell>
          <cell r="M12">
            <v>39110</v>
          </cell>
          <cell r="O12">
            <v>37885</v>
          </cell>
          <cell r="Q12">
            <v>45523</v>
          </cell>
        </row>
        <row r="13">
          <cell r="A13" t="str">
            <v>Instrumentos financeiros derivativos</v>
          </cell>
          <cell r="B13">
            <v>4</v>
          </cell>
          <cell r="C13">
            <v>0</v>
          </cell>
          <cell r="E13">
            <v>0</v>
          </cell>
          <cell r="G13">
            <v>0</v>
          </cell>
          <cell r="K13" t="str">
            <v>Demais contas a pagar</v>
          </cell>
          <cell r="L13">
            <v>16</v>
          </cell>
          <cell r="M13">
            <v>37454</v>
          </cell>
          <cell r="O13">
            <v>41050</v>
          </cell>
          <cell r="Q13">
            <v>72357</v>
          </cell>
        </row>
        <row r="14">
          <cell r="A14" t="str">
            <v>Despesas antecipadas</v>
          </cell>
          <cell r="C14">
            <v>7885</v>
          </cell>
          <cell r="E14">
            <v>9232</v>
          </cell>
          <cell r="G14">
            <v>8775</v>
          </cell>
          <cell r="K14" t="str">
            <v>Partes relacionadas</v>
          </cell>
          <cell r="L14">
            <v>24</v>
          </cell>
          <cell r="M14">
            <v>3094</v>
          </cell>
          <cell r="O14">
            <v>1551</v>
          </cell>
          <cell r="Q14">
            <v>824</v>
          </cell>
        </row>
        <row r="15">
          <cell r="K15" t="str">
            <v>Imposto de renda e contribuição social</v>
          </cell>
          <cell r="L15">
            <v>15</v>
          </cell>
          <cell r="M15">
            <v>34904</v>
          </cell>
          <cell r="O15">
            <v>11617</v>
          </cell>
          <cell r="Q15">
            <v>37592</v>
          </cell>
        </row>
        <row r="16">
          <cell r="A16" t="str">
            <v>Total do ativo circulante</v>
          </cell>
          <cell r="C16">
            <v>621575</v>
          </cell>
          <cell r="E16">
            <v>502572</v>
          </cell>
          <cell r="G16">
            <v>783154</v>
          </cell>
          <cell r="K16" t="str">
            <v>Dividendos a pagar</v>
          </cell>
          <cell r="M16">
            <v>0</v>
          </cell>
          <cell r="O16">
            <v>0</v>
          </cell>
          <cell r="Q16">
            <v>0</v>
          </cell>
        </row>
        <row r="18">
          <cell r="A18" t="str">
            <v>Demais contas a receber</v>
          </cell>
          <cell r="B18">
            <v>7</v>
          </cell>
          <cell r="C18">
            <v>421</v>
          </cell>
          <cell r="E18">
            <v>1031</v>
          </cell>
          <cell r="G18">
            <v>1088</v>
          </cell>
          <cell r="K18" t="str">
            <v>Total do passivo circulante</v>
          </cell>
          <cell r="M18">
            <v>292420</v>
          </cell>
          <cell r="O18">
            <v>239486</v>
          </cell>
          <cell r="P18">
            <v>0</v>
          </cell>
          <cell r="Q18">
            <v>352891</v>
          </cell>
        </row>
        <row r="19">
          <cell r="A19" t="str">
            <v>Imposto de renda e contribuição social</v>
          </cell>
          <cell r="C19">
            <v>20856</v>
          </cell>
          <cell r="E19">
            <v>20135</v>
          </cell>
          <cell r="G19">
            <v>20856</v>
          </cell>
        </row>
        <row r="20">
          <cell r="A20" t="str">
            <v>Impostos e contribuições a recuperar</v>
          </cell>
          <cell r="B20">
            <v>8</v>
          </cell>
          <cell r="C20">
            <v>3400</v>
          </cell>
          <cell r="E20">
            <v>3298</v>
          </cell>
          <cell r="G20">
            <v>6260</v>
          </cell>
          <cell r="K20" t="str">
            <v>Empréstimos e financiamentos</v>
          </cell>
          <cell r="L20">
            <v>12</v>
          </cell>
          <cell r="M20">
            <v>79148</v>
          </cell>
          <cell r="O20">
            <v>76304</v>
          </cell>
          <cell r="Q20">
            <v>106105</v>
          </cell>
        </row>
        <row r="21">
          <cell r="A21" t="str">
            <v>Partes relacionadas</v>
          </cell>
          <cell r="B21">
            <v>24</v>
          </cell>
          <cell r="C21">
            <v>1115</v>
          </cell>
          <cell r="E21">
            <v>1115</v>
          </cell>
          <cell r="G21">
            <v>1115</v>
          </cell>
          <cell r="K21" t="str">
            <v>Instrumentos Financeiros Derivativos - Swap</v>
          </cell>
          <cell r="L21">
            <v>12</v>
          </cell>
          <cell r="M21">
            <v>128</v>
          </cell>
          <cell r="O21">
            <v>0</v>
          </cell>
          <cell r="Q21">
            <v>308</v>
          </cell>
        </row>
        <row r="22">
          <cell r="A22" t="str">
            <v>Títulos e valores mobiliários</v>
          </cell>
          <cell r="B22">
            <v>24</v>
          </cell>
          <cell r="C22">
            <v>0</v>
          </cell>
          <cell r="E22">
            <v>0</v>
          </cell>
          <cell r="G22">
            <v>0</v>
          </cell>
          <cell r="K22" t="str">
            <v>Arrendamento</v>
          </cell>
          <cell r="L22">
            <v>26</v>
          </cell>
          <cell r="M22">
            <v>38306</v>
          </cell>
          <cell r="O22">
            <v>29725</v>
          </cell>
          <cell r="Q22">
            <v>41581</v>
          </cell>
        </row>
        <row r="23">
          <cell r="A23" t="str">
            <v>Instrumentos financeiros derivativos</v>
          </cell>
          <cell r="B23">
            <v>4</v>
          </cell>
          <cell r="C23">
            <v>0</v>
          </cell>
          <cell r="E23">
            <v>0</v>
          </cell>
          <cell r="G23">
            <v>0</v>
          </cell>
          <cell r="K23" t="str">
            <v>Partes relacionadas</v>
          </cell>
          <cell r="L23">
            <v>24</v>
          </cell>
          <cell r="M23">
            <v>504</v>
          </cell>
          <cell r="O23">
            <v>504</v>
          </cell>
          <cell r="Q23">
            <v>7379</v>
          </cell>
        </row>
        <row r="24">
          <cell r="A24" t="str">
            <v>Ativo fiscal diferido</v>
          </cell>
          <cell r="B24">
            <v>15</v>
          </cell>
          <cell r="C24">
            <v>0</v>
          </cell>
          <cell r="E24">
            <v>0</v>
          </cell>
          <cell r="G24">
            <v>1232</v>
          </cell>
          <cell r="K24" t="str">
            <v>Passivo fiscal diferido</v>
          </cell>
          <cell r="L24">
            <v>15</v>
          </cell>
          <cell r="M24">
            <v>2032</v>
          </cell>
          <cell r="O24">
            <v>6776</v>
          </cell>
          <cell r="Q24">
            <v>2959</v>
          </cell>
        </row>
        <row r="25">
          <cell r="A25" t="str">
            <v>Depósitos judiciais</v>
          </cell>
          <cell r="B25">
            <v>14</v>
          </cell>
          <cell r="C25">
            <v>22835</v>
          </cell>
          <cell r="E25">
            <v>21774</v>
          </cell>
          <cell r="G25">
            <v>25664</v>
          </cell>
          <cell r="K25" t="str">
            <v>Provisões para demandas judiciais</v>
          </cell>
          <cell r="L25">
            <v>14</v>
          </cell>
          <cell r="M25">
            <v>17823</v>
          </cell>
          <cell r="O25">
            <v>17680</v>
          </cell>
          <cell r="Q25">
            <v>20811</v>
          </cell>
        </row>
        <row r="26">
          <cell r="K26" t="str">
            <v>Parcelamento de tributos</v>
          </cell>
          <cell r="M26">
            <v>0</v>
          </cell>
          <cell r="O26">
            <v>0</v>
          </cell>
          <cell r="Q26">
            <v>235</v>
          </cell>
        </row>
        <row r="27">
          <cell r="K27" t="str">
            <v>Passivo atuarial</v>
          </cell>
          <cell r="L27">
            <v>13</v>
          </cell>
          <cell r="M27">
            <v>1909</v>
          </cell>
          <cell r="O27">
            <v>1909</v>
          </cell>
          <cell r="Q27">
            <v>1909</v>
          </cell>
        </row>
        <row r="28">
          <cell r="A28" t="str">
            <v>Total do realizável a longo prazo</v>
          </cell>
          <cell r="C28">
            <v>48627</v>
          </cell>
          <cell r="E28">
            <v>47353</v>
          </cell>
          <cell r="G28">
            <v>56215</v>
          </cell>
        </row>
        <row r="29">
          <cell r="K29" t="str">
            <v>Total do passivo não circulante</v>
          </cell>
          <cell r="M29">
            <v>139850</v>
          </cell>
          <cell r="O29">
            <v>132898</v>
          </cell>
          <cell r="P29">
            <v>0</v>
          </cell>
          <cell r="Q29">
            <v>181287</v>
          </cell>
        </row>
        <row r="30">
          <cell r="A30" t="str">
            <v>Investimentos</v>
          </cell>
          <cell r="B30">
            <v>9</v>
          </cell>
          <cell r="C30">
            <v>373970</v>
          </cell>
          <cell r="E30">
            <v>329010</v>
          </cell>
          <cell r="G30">
            <v>70765</v>
          </cell>
        </row>
        <row r="31">
          <cell r="A31" t="str">
            <v>Imobilizado</v>
          </cell>
          <cell r="B31">
            <v>10</v>
          </cell>
          <cell r="C31">
            <v>127262</v>
          </cell>
          <cell r="E31">
            <v>123108</v>
          </cell>
          <cell r="G31">
            <v>329572</v>
          </cell>
          <cell r="K31" t="str">
            <v>Capital social</v>
          </cell>
          <cell r="M31">
            <v>460000</v>
          </cell>
          <cell r="O31">
            <v>460000</v>
          </cell>
          <cell r="Q31">
            <v>460000</v>
          </cell>
        </row>
        <row r="32">
          <cell r="A32" t="str">
            <v>Intangível</v>
          </cell>
          <cell r="B32">
            <v>11</v>
          </cell>
          <cell r="C32">
            <v>187940</v>
          </cell>
          <cell r="E32">
            <v>187263</v>
          </cell>
          <cell r="G32">
            <v>212950</v>
          </cell>
          <cell r="K32" t="str">
            <v>Reservas de capital</v>
          </cell>
          <cell r="M32">
            <v>0</v>
          </cell>
          <cell r="O32">
            <v>0</v>
          </cell>
          <cell r="Q32">
            <v>0</v>
          </cell>
        </row>
        <row r="33">
          <cell r="A33" t="str">
            <v>Direito de uso</v>
          </cell>
          <cell r="B33">
            <v>26</v>
          </cell>
          <cell r="C33">
            <v>67030</v>
          </cell>
          <cell r="E33">
            <v>55311</v>
          </cell>
          <cell r="G33">
            <v>75656</v>
          </cell>
          <cell r="K33" t="str">
            <v>Reservas de lucros</v>
          </cell>
          <cell r="M33">
            <v>419331</v>
          </cell>
          <cell r="O33">
            <v>419331</v>
          </cell>
          <cell r="Q33">
            <v>419331</v>
          </cell>
        </row>
        <row r="34">
          <cell r="K34" t="str">
            <v>Transação de capital</v>
          </cell>
          <cell r="M34">
            <v>-5296</v>
          </cell>
          <cell r="O34">
            <v>-5296</v>
          </cell>
          <cell r="Q34">
            <v>-5296</v>
          </cell>
        </row>
        <row r="35">
          <cell r="K35" t="str">
            <v>Ações em tesouraria</v>
          </cell>
          <cell r="M35">
            <v>-343</v>
          </cell>
          <cell r="O35">
            <v>-343</v>
          </cell>
          <cell r="Q35">
            <v>-343</v>
          </cell>
        </row>
        <row r="36">
          <cell r="K36" t="str">
            <v>Ajuste de avaliação patrimonial</v>
          </cell>
          <cell r="M36">
            <v>-1459</v>
          </cell>
          <cell r="O36">
            <v>-1459</v>
          </cell>
          <cell r="Q36">
            <v>-1459</v>
          </cell>
        </row>
        <row r="37">
          <cell r="K37" t="str">
            <v>Dividendos adicionais propostos</v>
          </cell>
          <cell r="M37">
            <v>0</v>
          </cell>
          <cell r="O37">
            <v>0</v>
          </cell>
          <cell r="Q37">
            <v>0</v>
          </cell>
        </row>
        <row r="38">
          <cell r="K38" t="str">
            <v>Lucros acumulados</v>
          </cell>
          <cell r="M38">
            <v>121901</v>
          </cell>
          <cell r="O38">
            <v>0</v>
          </cell>
          <cell r="Q38">
            <v>121901</v>
          </cell>
        </row>
        <row r="39">
          <cell r="M39">
            <v>994134</v>
          </cell>
          <cell r="O39">
            <v>872233</v>
          </cell>
          <cell r="Q39">
            <v>994134</v>
          </cell>
        </row>
        <row r="40">
          <cell r="K40" t="str">
            <v>Participação dos não controladores</v>
          </cell>
          <cell r="M40">
            <v>0</v>
          </cell>
          <cell r="O40">
            <v>0</v>
          </cell>
          <cell r="Q40">
            <v>0</v>
          </cell>
        </row>
        <row r="41">
          <cell r="K41" t="str">
            <v xml:space="preserve"> Total do patrimônio líquido</v>
          </cell>
          <cell r="L41">
            <v>17</v>
          </cell>
          <cell r="M41">
            <v>994134</v>
          </cell>
          <cell r="O41">
            <v>872233</v>
          </cell>
          <cell r="P41">
            <v>0</v>
          </cell>
          <cell r="Q41">
            <v>994134</v>
          </cell>
        </row>
        <row r="43">
          <cell r="K43" t="str">
            <v>Total do passivo e patrimônio líquido</v>
          </cell>
          <cell r="M43">
            <v>1426404</v>
          </cell>
          <cell r="O43">
            <v>1244617</v>
          </cell>
          <cell r="P43">
            <v>0</v>
          </cell>
          <cell r="Q43">
            <v>1528312</v>
          </cell>
        </row>
        <row r="48">
          <cell r="M48">
            <v>0</v>
          </cell>
          <cell r="O48">
            <v>0</v>
          </cell>
          <cell r="Q48">
            <v>0</v>
          </cell>
        </row>
      </sheetData>
      <sheetData sheetId="16"/>
      <sheetData sheetId="17"/>
      <sheetData sheetId="18"/>
      <sheetData sheetId="19"/>
      <sheetData sheetId="20"/>
      <sheetData sheetId="21"/>
      <sheetData sheetId="22"/>
      <sheetData sheetId="23"/>
      <sheetData sheetId="24">
        <row r="33">
          <cell r="K33">
            <v>121901</v>
          </cell>
        </row>
        <row r="36">
          <cell r="D36">
            <v>0</v>
          </cell>
          <cell r="J36">
            <v>0</v>
          </cell>
        </row>
      </sheetData>
      <sheetData sheetId="25"/>
      <sheetData sheetId="26"/>
      <sheetData sheetId="27"/>
      <sheetData sheetId="28"/>
      <sheetData sheetId="29">
        <row r="42">
          <cell r="T42">
            <v>0</v>
          </cell>
        </row>
        <row r="49">
          <cell r="N49">
            <v>0</v>
          </cell>
        </row>
        <row r="50">
          <cell r="D50">
            <v>0</v>
          </cell>
          <cell r="P50">
            <v>0</v>
          </cell>
        </row>
        <row r="52">
          <cell r="T52">
            <v>0</v>
          </cell>
        </row>
        <row r="53">
          <cell r="N53">
            <v>0</v>
          </cell>
        </row>
        <row r="54">
          <cell r="N54">
            <v>0</v>
          </cell>
        </row>
        <row r="56">
          <cell r="T56">
            <v>0</v>
          </cell>
        </row>
        <row r="57">
          <cell r="J57">
            <v>0</v>
          </cell>
          <cell r="N57">
            <v>0</v>
          </cell>
          <cell r="P57">
            <v>0</v>
          </cell>
          <cell r="R57">
            <v>0</v>
          </cell>
          <cell r="X57">
            <v>0</v>
          </cell>
        </row>
        <row r="58">
          <cell r="P58">
            <v>0</v>
          </cell>
        </row>
      </sheetData>
      <sheetData sheetId="30">
        <row r="7">
          <cell r="A7" t="str">
            <v>Lucro líquido do período</v>
          </cell>
          <cell r="D7">
            <v>121901</v>
          </cell>
          <cell r="F7">
            <v>110853</v>
          </cell>
          <cell r="H7">
            <v>121901</v>
          </cell>
        </row>
        <row r="11">
          <cell r="A11" t="str">
            <v>Ajustes para:</v>
          </cell>
        </row>
        <row r="12">
          <cell r="A12" t="str">
            <v>Depreciação e amortização</v>
          </cell>
          <cell r="B12" t="str">
            <v>10 e 11</v>
          </cell>
          <cell r="D12">
            <v>11818</v>
          </cell>
          <cell r="F12">
            <v>10038</v>
          </cell>
          <cell r="H12">
            <v>17627</v>
          </cell>
        </row>
        <row r="13">
          <cell r="A13" t="str">
            <v>Amortização direito de uso</v>
          </cell>
          <cell r="B13">
            <v>26</v>
          </cell>
          <cell r="D13">
            <v>14118</v>
          </cell>
          <cell r="F13">
            <v>12406</v>
          </cell>
          <cell r="H13">
            <v>16550</v>
          </cell>
        </row>
        <row r="14">
          <cell r="A14" t="str">
            <v>Perda na venda de bens</v>
          </cell>
          <cell r="B14">
            <v>21</v>
          </cell>
          <cell r="D14">
            <v>-23</v>
          </cell>
          <cell r="F14">
            <v>-191</v>
          </cell>
          <cell r="H14">
            <v>-207</v>
          </cell>
        </row>
        <row r="15">
          <cell r="A15" t="str">
            <v>Baixa direito de uso / arrendamento</v>
          </cell>
          <cell r="B15">
            <v>21</v>
          </cell>
          <cell r="D15">
            <v>0</v>
          </cell>
          <cell r="F15">
            <v>0</v>
          </cell>
          <cell r="H15">
            <v>0</v>
          </cell>
        </row>
        <row r="16">
          <cell r="A16" t="str">
            <v>Provisão para demandas judiciais</v>
          </cell>
          <cell r="B16">
            <v>14</v>
          </cell>
          <cell r="D16">
            <v>7364</v>
          </cell>
          <cell r="F16">
            <v>566</v>
          </cell>
          <cell r="H16">
            <v>7433</v>
          </cell>
        </row>
        <row r="17">
          <cell r="A17" t="str">
            <v>Provisão para perda de investimento</v>
          </cell>
          <cell r="B17">
            <v>21</v>
          </cell>
          <cell r="D17">
            <v>0</v>
          </cell>
          <cell r="F17">
            <v>0</v>
          </cell>
          <cell r="H17">
            <v>0</v>
          </cell>
        </row>
        <row r="18">
          <cell r="A18" t="str">
            <v xml:space="preserve">Ganho na venda de investimento </v>
          </cell>
          <cell r="B18">
            <v>21</v>
          </cell>
          <cell r="D18">
            <v>0</v>
          </cell>
          <cell r="F18">
            <v>0</v>
          </cell>
          <cell r="H18">
            <v>0</v>
          </cell>
        </row>
        <row r="19">
          <cell r="A19" t="str">
            <v>Perda na baixa de ágio</v>
          </cell>
          <cell r="B19">
            <v>21</v>
          </cell>
          <cell r="D19">
            <v>0</v>
          </cell>
          <cell r="F19">
            <v>0</v>
          </cell>
          <cell r="H19">
            <v>0</v>
          </cell>
        </row>
        <row r="20">
          <cell r="A20" t="str">
            <v>Valor justo na transferencia de investimento</v>
          </cell>
          <cell r="B20">
            <v>21</v>
          </cell>
          <cell r="D20">
            <v>0</v>
          </cell>
          <cell r="F20">
            <v>0</v>
          </cell>
          <cell r="H20">
            <v>0</v>
          </cell>
        </row>
        <row r="21">
          <cell r="A21" t="str">
            <v>Provisão (reversão) para perdas em ativos</v>
          </cell>
          <cell r="D21">
            <v>0</v>
          </cell>
          <cell r="F21">
            <v>0</v>
          </cell>
          <cell r="H21">
            <v>0</v>
          </cell>
        </row>
        <row r="22">
          <cell r="A22" t="str">
            <v>(Ganho)  por redução ao valor recuperável de contas a receber</v>
          </cell>
          <cell r="B22">
            <v>6</v>
          </cell>
          <cell r="D22">
            <v>975</v>
          </cell>
          <cell r="F22">
            <v>-174</v>
          </cell>
          <cell r="H22">
            <v>1615</v>
          </cell>
        </row>
        <row r="23">
          <cell r="A23" t="str">
            <v>Provisão para perda de valores com vendas de controladas</v>
          </cell>
          <cell r="B23">
            <v>20</v>
          </cell>
          <cell r="D23">
            <v>0</v>
          </cell>
          <cell r="F23">
            <v>0</v>
          </cell>
          <cell r="G23">
            <v>-7123</v>
          </cell>
          <cell r="H23">
            <v>0</v>
          </cell>
        </row>
        <row r="24">
          <cell r="A24" t="str">
            <v>Equivalência patrimonial</v>
          </cell>
          <cell r="B24">
            <v>9</v>
          </cell>
          <cell r="D24">
            <v>-18762</v>
          </cell>
          <cell r="F24">
            <v>-29064</v>
          </cell>
          <cell r="H24">
            <v>-7123</v>
          </cell>
        </row>
        <row r="25">
          <cell r="A25" t="str">
            <v>Provisão para passivo a descoberto</v>
          </cell>
          <cell r="D25">
            <v>0</v>
          </cell>
          <cell r="F25">
            <v>0</v>
          </cell>
          <cell r="H25">
            <v>0</v>
          </cell>
        </row>
        <row r="26">
          <cell r="A26" t="str">
            <v>Encargos financeiros de parcelamentos de tributos e títulos a pagar</v>
          </cell>
          <cell r="D26">
            <v>0</v>
          </cell>
          <cell r="F26">
            <v>0</v>
          </cell>
          <cell r="H26">
            <v>0</v>
          </cell>
        </row>
        <row r="27">
          <cell r="A27" t="str">
            <v>Resultado da operação de swap</v>
          </cell>
          <cell r="B27">
            <v>22</v>
          </cell>
          <cell r="D27">
            <v>3</v>
          </cell>
          <cell r="F27">
            <v>0</v>
          </cell>
          <cell r="H27">
            <v>8</v>
          </cell>
        </row>
        <row r="28">
          <cell r="A28" t="str">
            <v>Juros, variações monetarias e cambiais sobre empréstimos e debêntures</v>
          </cell>
          <cell r="B28">
            <v>12</v>
          </cell>
          <cell r="D28">
            <v>7694</v>
          </cell>
          <cell r="F28">
            <v>6137</v>
          </cell>
          <cell r="H28">
            <v>9324</v>
          </cell>
        </row>
        <row r="29">
          <cell r="A29" t="str">
            <v>Juros sobre arrendamento</v>
          </cell>
          <cell r="B29">
            <v>26</v>
          </cell>
          <cell r="D29">
            <v>4468</v>
          </cell>
          <cell r="F29">
            <v>5149</v>
          </cell>
          <cell r="H29">
            <v>4897</v>
          </cell>
        </row>
        <row r="30">
          <cell r="A30" t="str">
            <v>Juros sobre a venda do investimento</v>
          </cell>
          <cell r="D30">
            <v>0</v>
          </cell>
          <cell r="F30">
            <v>0</v>
          </cell>
          <cell r="H30">
            <v>0</v>
          </cell>
        </row>
        <row r="31">
          <cell r="A31" t="str">
            <v xml:space="preserve">Creditos fiscais extemporâneos </v>
          </cell>
          <cell r="B31">
            <v>8</v>
          </cell>
          <cell r="D31">
            <v>0</v>
          </cell>
          <cell r="F31">
            <v>0</v>
          </cell>
          <cell r="H31">
            <v>0</v>
          </cell>
        </row>
        <row r="32">
          <cell r="A32" t="str">
            <v>Opções outorgadas</v>
          </cell>
          <cell r="B32" t="str">
            <v>17.f</v>
          </cell>
          <cell r="D32">
            <v>0</v>
          </cell>
          <cell r="F32">
            <v>0</v>
          </cell>
          <cell r="H32">
            <v>0</v>
          </cell>
        </row>
        <row r="33">
          <cell r="A33" t="str">
            <v>Imposto de renda e contribuição social correntes</v>
          </cell>
          <cell r="D33">
            <v>0</v>
          </cell>
          <cell r="F33">
            <v>0</v>
          </cell>
          <cell r="H33">
            <v>0</v>
          </cell>
        </row>
        <row r="34">
          <cell r="A34" t="str">
            <v>Imposto de renda e contribuição social diferidos</v>
          </cell>
          <cell r="D34">
            <v>-4744</v>
          </cell>
          <cell r="F34">
            <v>2185</v>
          </cell>
          <cell r="H34">
            <v>-5437</v>
          </cell>
        </row>
        <row r="35">
          <cell r="D35">
            <v>144812</v>
          </cell>
          <cell r="F35">
            <v>117905</v>
          </cell>
          <cell r="H35">
            <v>166588</v>
          </cell>
        </row>
        <row r="37">
          <cell r="D37">
            <v>144812</v>
          </cell>
          <cell r="F37">
            <v>117905</v>
          </cell>
          <cell r="G37">
            <v>-7123</v>
          </cell>
          <cell r="H37">
            <v>166588</v>
          </cell>
        </row>
        <row r="39">
          <cell r="A39" t="str">
            <v>Variações nos ativos e passivos</v>
          </cell>
        </row>
        <row r="40">
          <cell r="A40" t="str">
            <v>Caixa e equivalentes de caixa - Incorporação CAT</v>
          </cell>
          <cell r="D40">
            <v>0</v>
          </cell>
          <cell r="F40">
            <v>0</v>
          </cell>
          <cell r="H40">
            <v>0</v>
          </cell>
        </row>
        <row r="41">
          <cell r="A41" t="str">
            <v>Contas a receber</v>
          </cell>
          <cell r="D41">
            <v>-83572</v>
          </cell>
          <cell r="F41">
            <v>89161</v>
          </cell>
          <cell r="H41">
            <v>-85411</v>
          </cell>
        </row>
        <row r="42">
          <cell r="A42" t="str">
            <v>Impostos a recuperar</v>
          </cell>
          <cell r="D42">
            <v>4405</v>
          </cell>
          <cell r="F42">
            <v>30904</v>
          </cell>
          <cell r="H42">
            <v>3529</v>
          </cell>
        </row>
        <row r="43">
          <cell r="A43" t="str">
            <v>Depósitos judiciais</v>
          </cell>
          <cell r="D43">
            <v>-1457</v>
          </cell>
          <cell r="F43">
            <v>519</v>
          </cell>
          <cell r="H43">
            <v>-1491</v>
          </cell>
        </row>
        <row r="44">
          <cell r="A44" t="str">
            <v>Demais ativos</v>
          </cell>
          <cell r="D44">
            <v>2530</v>
          </cell>
          <cell r="F44">
            <v>-382</v>
          </cell>
          <cell r="H44">
            <v>-3481</v>
          </cell>
        </row>
        <row r="45">
          <cell r="A45" t="str">
            <v>Fornecedores e fretes a pagar</v>
          </cell>
          <cell r="D45">
            <v>22323</v>
          </cell>
          <cell r="F45">
            <v>-11110</v>
          </cell>
          <cell r="H45">
            <v>24431</v>
          </cell>
        </row>
        <row r="46">
          <cell r="A46" t="str">
            <v>Salários e encargos sociais</v>
          </cell>
          <cell r="D46">
            <v>1225</v>
          </cell>
          <cell r="F46">
            <v>3080</v>
          </cell>
          <cell r="H46">
            <v>2841</v>
          </cell>
        </row>
        <row r="47">
          <cell r="A47" t="str">
            <v>Partes relacionadas</v>
          </cell>
          <cell r="D47">
            <v>2184</v>
          </cell>
          <cell r="F47">
            <v>535</v>
          </cell>
          <cell r="H47">
            <v>224</v>
          </cell>
        </row>
        <row r="48">
          <cell r="A48" t="str">
            <v>Outras obrigações e tributos a recolher</v>
          </cell>
          <cell r="D48">
            <v>54363</v>
          </cell>
          <cell r="F48">
            <v>-14126</v>
          </cell>
          <cell r="H48">
            <v>63844</v>
          </cell>
        </row>
        <row r="49">
          <cell r="D49">
            <v>2001</v>
          </cell>
          <cell r="F49">
            <v>98581</v>
          </cell>
          <cell r="H49">
            <v>4486</v>
          </cell>
        </row>
        <row r="50">
          <cell r="A50" t="str">
            <v>Caixa gerado pelas atividades operacionais</v>
          </cell>
          <cell r="D50">
            <v>146813</v>
          </cell>
          <cell r="F50">
            <v>216486</v>
          </cell>
          <cell r="H50">
            <v>171074</v>
          </cell>
        </row>
        <row r="52">
          <cell r="A52" t="str">
            <v>Juros pagos sobre empréstimos e financiamentos</v>
          </cell>
          <cell r="B52">
            <v>12</v>
          </cell>
          <cell r="D52">
            <v>-5095</v>
          </cell>
          <cell r="F52">
            <v>-5401</v>
          </cell>
          <cell r="H52">
            <v>-6662</v>
          </cell>
        </row>
        <row r="53">
          <cell r="A53" t="str">
            <v>Juros pagos sobre debêntures</v>
          </cell>
          <cell r="B53">
            <v>12</v>
          </cell>
          <cell r="D53">
            <v>0</v>
          </cell>
          <cell r="F53">
            <v>0</v>
          </cell>
          <cell r="H53">
            <v>0</v>
          </cell>
        </row>
        <row r="54">
          <cell r="A54" t="str">
            <v>Juros pagos sobre arrendamento</v>
          </cell>
          <cell r="B54">
            <v>26</v>
          </cell>
          <cell r="D54">
            <v>-4883</v>
          </cell>
          <cell r="F54">
            <v>-5652</v>
          </cell>
          <cell r="H54">
            <v>-5683</v>
          </cell>
        </row>
        <row r="55">
          <cell r="A55" t="str">
            <v>Juros pagos sobre títulos a pagar e parcelamentos de tributos</v>
          </cell>
          <cell r="D55">
            <v>0</v>
          </cell>
          <cell r="F55">
            <v>0</v>
          </cell>
          <cell r="H55">
            <v>0</v>
          </cell>
        </row>
        <row r="56">
          <cell r="A56" t="str">
            <v>Demandas judiciais pagas</v>
          </cell>
          <cell r="B56">
            <v>14</v>
          </cell>
          <cell r="D56">
            <v>-2423</v>
          </cell>
          <cell r="F56">
            <v>-317</v>
          </cell>
          <cell r="H56">
            <v>-2442</v>
          </cell>
        </row>
        <row r="57">
          <cell r="A57" t="str">
            <v>Pagamentos de títulos a pagar e tributos parcelados</v>
          </cell>
          <cell r="D57">
            <v>0</v>
          </cell>
          <cell r="F57">
            <v>0</v>
          </cell>
          <cell r="H57">
            <v>0</v>
          </cell>
        </row>
        <row r="58">
          <cell r="A58" t="str">
            <v>Imposto de renda e contribuição social pagos</v>
          </cell>
          <cell r="D58">
            <v>-28932</v>
          </cell>
          <cell r="F58">
            <v>-41332</v>
          </cell>
          <cell r="H58">
            <v>-33509</v>
          </cell>
        </row>
        <row r="59">
          <cell r="A59" t="str">
            <v>Fluxo de caixa líquido proveniente das atividades operacionais</v>
          </cell>
          <cell r="D59">
            <v>105480</v>
          </cell>
          <cell r="F59">
            <v>163784</v>
          </cell>
          <cell r="H59">
            <v>122778</v>
          </cell>
        </row>
        <row r="62">
          <cell r="D62" t="str">
            <v>Controladora</v>
          </cell>
          <cell r="H62" t="str">
            <v>Consolidado</v>
          </cell>
        </row>
        <row r="63">
          <cell r="B63" t="str">
            <v>Nota</v>
          </cell>
          <cell r="D63">
            <v>46022</v>
          </cell>
          <cell r="F63">
            <v>45838</v>
          </cell>
          <cell r="H63">
            <v>46022</v>
          </cell>
        </row>
        <row r="65">
          <cell r="A65" t="str">
            <v>Fluxos de caixa das atividades de investimentos</v>
          </cell>
        </row>
        <row r="66">
          <cell r="A66" t="str">
            <v xml:space="preserve">     </v>
          </cell>
        </row>
        <row r="67">
          <cell r="A67" t="str">
            <v>Redução de capital em controladas</v>
          </cell>
          <cell r="B67">
            <v>9</v>
          </cell>
          <cell r="D67">
            <v>0</v>
          </cell>
          <cell r="F67">
            <v>0</v>
          </cell>
          <cell r="H67">
            <v>0</v>
          </cell>
        </row>
        <row r="68">
          <cell r="A68" t="str">
            <v>Aquisição/Aumento de capital em controladas</v>
          </cell>
          <cell r="B68">
            <v>9</v>
          </cell>
          <cell r="D68">
            <v>-33000</v>
          </cell>
          <cell r="F68">
            <v>-12850</v>
          </cell>
          <cell r="H68">
            <v>0</v>
          </cell>
        </row>
        <row r="69">
          <cell r="A69" t="str">
            <v>Caixa e equivalentes de caixa - Incorporação Catlog</v>
          </cell>
          <cell r="B69">
            <v>2</v>
          </cell>
          <cell r="D69">
            <v>0</v>
          </cell>
          <cell r="F69">
            <v>0</v>
          </cell>
          <cell r="H69">
            <v>0</v>
          </cell>
        </row>
        <row r="70">
          <cell r="A70" t="str">
            <v>Caixa e equivalentes de caixa - Buskar-me Logística e Tecnologia S.A.</v>
          </cell>
          <cell r="D70">
            <v>0</v>
          </cell>
          <cell r="F70">
            <v>0</v>
          </cell>
          <cell r="H70">
            <v>0</v>
          </cell>
        </row>
        <row r="71">
          <cell r="A71" t="str">
            <v>Dividendos recebidos</v>
          </cell>
          <cell r="B71">
            <v>9</v>
          </cell>
          <cell r="D71">
            <v>0</v>
          </cell>
          <cell r="F71">
            <v>33120</v>
          </cell>
          <cell r="H71">
            <v>0</v>
          </cell>
        </row>
        <row r="72">
          <cell r="A72" t="str">
            <v>Aquisição de intangível</v>
          </cell>
          <cell r="D72">
            <v>-6128</v>
          </cell>
          <cell r="F72">
            <v>-8265</v>
          </cell>
          <cell r="H72">
            <v>-6763</v>
          </cell>
        </row>
        <row r="73">
          <cell r="A73" t="str">
            <v>Aquisições de bens do ativo imobilizado</v>
          </cell>
          <cell r="D73">
            <v>-17483</v>
          </cell>
          <cell r="F73">
            <v>-11558</v>
          </cell>
          <cell r="H73">
            <v>-28052</v>
          </cell>
        </row>
        <row r="74">
          <cell r="A74" t="str">
            <v>Alienação de investimentos</v>
          </cell>
          <cell r="D74">
            <v>0</v>
          </cell>
          <cell r="F74">
            <v>0</v>
          </cell>
          <cell r="H74">
            <v>0</v>
          </cell>
        </row>
        <row r="75">
          <cell r="A75" t="str">
            <v xml:space="preserve">Recebimento pela venda de bens </v>
          </cell>
          <cell r="D75">
            <v>103</v>
          </cell>
          <cell r="F75">
            <v>322</v>
          </cell>
          <cell r="H75">
            <v>302</v>
          </cell>
        </row>
        <row r="76">
          <cell r="A76" t="str">
            <v>Pagamento de aquisição de investimentos</v>
          </cell>
          <cell r="B76">
            <v>9</v>
          </cell>
          <cell r="D76">
            <v>0</v>
          </cell>
          <cell r="F76">
            <v>0</v>
          </cell>
          <cell r="H76">
            <v>0</v>
          </cell>
        </row>
        <row r="77">
          <cell r="A77" t="str">
            <v>Caixa líquido utilizados nas  atividades de investimento</v>
          </cell>
          <cell r="D77">
            <v>-56508</v>
          </cell>
          <cell r="F77">
            <v>769</v>
          </cell>
          <cell r="H77">
            <v>-34513</v>
          </cell>
        </row>
        <row r="79">
          <cell r="A79" t="str">
            <v>Fluxos de caixa das atividades de financiamentos</v>
          </cell>
        </row>
        <row r="80">
          <cell r="A80" t="str">
            <v>Redução de partes relacionadas</v>
          </cell>
          <cell r="D80">
            <v>0</v>
          </cell>
          <cell r="F80">
            <v>0</v>
          </cell>
          <cell r="H80">
            <v>0</v>
          </cell>
        </row>
        <row r="81">
          <cell r="A81" t="str">
            <v>Dividendos e juros sobre capital próprio pagos</v>
          </cell>
          <cell r="B81" t="str">
            <v>17.e</v>
          </cell>
          <cell r="D81">
            <v>0</v>
          </cell>
          <cell r="F81">
            <v>-38903</v>
          </cell>
          <cell r="H81">
            <v>0</v>
          </cell>
        </row>
        <row r="82">
          <cell r="A82" t="str">
            <v>Captação empréstimos e financiamentos</v>
          </cell>
          <cell r="B82">
            <v>12</v>
          </cell>
          <cell r="D82">
            <v>6276</v>
          </cell>
          <cell r="F82">
            <v>6522</v>
          </cell>
          <cell r="H82">
            <v>14922</v>
          </cell>
        </row>
        <row r="83">
          <cell r="A83" t="str">
            <v>Pagamento de debêntures</v>
          </cell>
          <cell r="B83">
            <v>12</v>
          </cell>
          <cell r="D83">
            <v>0</v>
          </cell>
          <cell r="F83">
            <v>0</v>
          </cell>
          <cell r="H83">
            <v>0</v>
          </cell>
        </row>
        <row r="84">
          <cell r="A84" t="str">
            <v>Pagamento de empréstimos e financiamentos</v>
          </cell>
          <cell r="B84">
            <v>12</v>
          </cell>
          <cell r="D84">
            <v>-2220</v>
          </cell>
          <cell r="F84">
            <v>-2105</v>
          </cell>
          <cell r="H84">
            <v>-2220</v>
          </cell>
        </row>
        <row r="85">
          <cell r="A85" t="str">
            <v>Pagamento de arrendamento</v>
          </cell>
          <cell r="B85">
            <v>26</v>
          </cell>
          <cell r="D85">
            <v>-15608</v>
          </cell>
          <cell r="F85">
            <v>-12785</v>
          </cell>
          <cell r="H85">
            <v>-17904</v>
          </cell>
        </row>
      </sheetData>
      <sheetData sheetId="31"/>
      <sheetData sheetId="32">
        <row r="7">
          <cell r="A7" t="str">
            <v>Receitas</v>
          </cell>
        </row>
        <row r="8">
          <cell r="A8" t="str">
            <v>Vendas brutas de serviços, líquidos dos descontos</v>
          </cell>
          <cell r="C8">
            <v>19</v>
          </cell>
          <cell r="E8">
            <v>1358924</v>
          </cell>
          <cell r="G8">
            <v>1016501</v>
          </cell>
          <cell r="I8">
            <v>1504569</v>
          </cell>
        </row>
        <row r="9">
          <cell r="A9" t="str">
            <v>Outras receitas</v>
          </cell>
          <cell r="E9">
            <v>2610</v>
          </cell>
          <cell r="G9">
            <v>385</v>
          </cell>
          <cell r="I9">
            <v>4157</v>
          </cell>
        </row>
        <row r="10">
          <cell r="A10" t="str">
            <v>Ganho (perda) por redução ao valor recuperável de contas a receber</v>
          </cell>
          <cell r="E10">
            <v>-975</v>
          </cell>
          <cell r="G10">
            <v>174</v>
          </cell>
          <cell r="I10">
            <v>-1615</v>
          </cell>
        </row>
        <row r="11">
          <cell r="E11">
            <v>1360559</v>
          </cell>
          <cell r="G11">
            <v>1017060</v>
          </cell>
          <cell r="I11">
            <v>1507111</v>
          </cell>
        </row>
        <row r="12">
          <cell r="A12" t="str">
            <v xml:space="preserve"> </v>
          </cell>
        </row>
        <row r="13">
          <cell r="A13" t="str">
            <v>Insumos adquiridos de terceiros</v>
          </cell>
        </row>
        <row r="14">
          <cell r="A14" t="str">
            <v>Custo dos serviços prestados</v>
          </cell>
          <cell r="E14">
            <v>-822385</v>
          </cell>
          <cell r="G14">
            <v>-594079</v>
          </cell>
          <cell r="I14">
            <v>-878618</v>
          </cell>
        </row>
        <row r="15">
          <cell r="A15" t="str">
            <v>Materiais, energia, serviços de terceiros e outros operacionais</v>
          </cell>
          <cell r="E15">
            <v>-80676</v>
          </cell>
          <cell r="G15">
            <v>-69574</v>
          </cell>
          <cell r="I15">
            <v>-103428</v>
          </cell>
        </row>
        <row r="16">
          <cell r="A16" t="str">
            <v>Provisão para perda de investimento</v>
          </cell>
          <cell r="C16">
            <v>21</v>
          </cell>
          <cell r="E16">
            <v>0</v>
          </cell>
          <cell r="G16">
            <v>0</v>
          </cell>
          <cell r="I16">
            <v>0</v>
          </cell>
        </row>
        <row r="17">
          <cell r="A17" t="str">
            <v xml:space="preserve"> </v>
          </cell>
          <cell r="E17">
            <v>-903061</v>
          </cell>
          <cell r="G17">
            <v>-663653</v>
          </cell>
          <cell r="I17">
            <v>-982046</v>
          </cell>
        </row>
        <row r="19">
          <cell r="A19" t="str">
            <v>Valor adicionado bruto</v>
          </cell>
          <cell r="E19">
            <v>457498</v>
          </cell>
          <cell r="G19">
            <v>353407</v>
          </cell>
          <cell r="I19">
            <v>525065</v>
          </cell>
        </row>
        <row r="20">
          <cell r="A20" t="str">
            <v xml:space="preserve">Depreciação e amortização </v>
          </cell>
          <cell r="C20" t="str">
            <v>10 e 11</v>
          </cell>
          <cell r="E20">
            <v>-11818</v>
          </cell>
          <cell r="G20">
            <v>-10038</v>
          </cell>
          <cell r="I20">
            <v>-17627</v>
          </cell>
        </row>
        <row r="21">
          <cell r="A21" t="str">
            <v>Amortização direito de uso</v>
          </cell>
          <cell r="C21">
            <v>26</v>
          </cell>
          <cell r="E21">
            <v>-14118</v>
          </cell>
          <cell r="G21">
            <v>-12406</v>
          </cell>
          <cell r="I21">
            <v>-16550</v>
          </cell>
        </row>
        <row r="22">
          <cell r="A22" t="str">
            <v>Valor adicionado líquido produzido pela Companhia</v>
          </cell>
          <cell r="E22">
            <v>431562</v>
          </cell>
          <cell r="G22">
            <v>330963</v>
          </cell>
          <cell r="I22">
            <v>490888</v>
          </cell>
        </row>
        <row r="24">
          <cell r="A24" t="str">
            <v>Valor adicionado recebido em transferência</v>
          </cell>
        </row>
        <row r="25">
          <cell r="A25" t="str">
            <v>Resultado de equivalência patrimonial</v>
          </cell>
          <cell r="C25">
            <v>9</v>
          </cell>
          <cell r="E25">
            <v>18762</v>
          </cell>
          <cell r="G25">
            <v>29064</v>
          </cell>
          <cell r="I25">
            <v>7123</v>
          </cell>
        </row>
        <row r="26">
          <cell r="A26" t="str">
            <v xml:space="preserve">Receitas financeiras </v>
          </cell>
          <cell r="C26">
            <v>22</v>
          </cell>
          <cell r="E26">
            <v>10091</v>
          </cell>
          <cell r="G26">
            <v>17774</v>
          </cell>
          <cell r="I26">
            <v>14891</v>
          </cell>
        </row>
        <row r="27">
          <cell r="A27" t="str">
            <v>Valor adicionado total a distribuir</v>
          </cell>
          <cell r="E27">
            <v>460415</v>
          </cell>
          <cell r="G27">
            <v>377801</v>
          </cell>
          <cell r="I27">
            <v>512902</v>
          </cell>
        </row>
        <row r="28">
          <cell r="A28" t="str">
            <v xml:space="preserve"> </v>
          </cell>
        </row>
        <row r="29">
          <cell r="A29" t="str">
            <v>Distribuição do valor adicionado</v>
          </cell>
        </row>
        <row r="30">
          <cell r="A30" t="str">
            <v>Pessoal e encargos</v>
          </cell>
        </row>
        <row r="31">
          <cell r="A31" t="str">
            <v>Remuneração direta</v>
          </cell>
          <cell r="E31">
            <v>79316</v>
          </cell>
          <cell r="G31">
            <v>71800</v>
          </cell>
          <cell r="I31">
            <v>93201</v>
          </cell>
        </row>
        <row r="32">
          <cell r="A32" t="str">
            <v>Benefícios</v>
          </cell>
          <cell r="E32">
            <v>22437</v>
          </cell>
          <cell r="G32">
            <v>17244</v>
          </cell>
          <cell r="I32">
            <v>27096</v>
          </cell>
        </row>
        <row r="33">
          <cell r="A33" t="str">
            <v>FGTS</v>
          </cell>
          <cell r="E33">
            <v>4550</v>
          </cell>
          <cell r="G33">
            <v>4255</v>
          </cell>
          <cell r="I33">
            <v>5462</v>
          </cell>
        </row>
        <row r="34">
          <cell r="A34" t="str">
            <v>Impostos, taxas e contribuições</v>
          </cell>
        </row>
        <row r="35">
          <cell r="A35" t="str">
            <v xml:space="preserve">Federais </v>
          </cell>
          <cell r="E35">
            <v>105349</v>
          </cell>
          <cell r="G35">
            <v>78935</v>
          </cell>
          <cell r="I35">
            <v>119897</v>
          </cell>
        </row>
        <row r="36">
          <cell r="A36" t="str">
            <v>Estaduais</v>
          </cell>
          <cell r="E36">
            <v>98314</v>
          </cell>
          <cell r="G36">
            <v>64261</v>
          </cell>
          <cell r="I36">
            <v>110777</v>
          </cell>
        </row>
        <row r="37">
          <cell r="A37" t="str">
            <v>Municipais</v>
          </cell>
          <cell r="E37">
            <v>2364</v>
          </cell>
          <cell r="G37">
            <v>2368</v>
          </cell>
          <cell r="I37">
            <v>4364</v>
          </cell>
        </row>
        <row r="38">
          <cell r="A38" t="str">
            <v>Remuneração de capitais de terceiros / Financiadores</v>
          </cell>
        </row>
        <row r="39">
          <cell r="A39" t="str">
            <v>Juros e variações cambiais</v>
          </cell>
          <cell r="E39">
            <v>14998</v>
          </cell>
          <cell r="G39">
            <v>14733</v>
          </cell>
          <cell r="I39">
            <v>17344</v>
          </cell>
        </row>
        <row r="40">
          <cell r="A40" t="str">
            <v>Aluguéis</v>
          </cell>
          <cell r="E40">
            <v>11186</v>
          </cell>
          <cell r="G40">
            <v>13352</v>
          </cell>
          <cell r="I40">
            <v>12860</v>
          </cell>
        </row>
        <row r="41">
          <cell r="A41" t="str">
            <v>Remuneração de capitais próprios</v>
          </cell>
        </row>
        <row r="42">
          <cell r="A42" t="str">
            <v>Dividendos e juros sobre capital proprio</v>
          </cell>
          <cell r="E42">
            <v>0</v>
          </cell>
          <cell r="G42">
            <v>0</v>
          </cell>
          <cell r="I42">
            <v>0</v>
          </cell>
        </row>
        <row r="43">
          <cell r="A43" t="str">
            <v>Lucro retidos dos acionistas controladores</v>
          </cell>
          <cell r="E43">
            <v>121901</v>
          </cell>
          <cell r="G43">
            <v>110853</v>
          </cell>
          <cell r="I43">
            <v>121901</v>
          </cell>
        </row>
        <row r="44">
          <cell r="A44" t="str">
            <v>Participação dos acionistas não controladores</v>
          </cell>
          <cell r="E44">
            <v>0</v>
          </cell>
          <cell r="G44">
            <v>0</v>
          </cell>
          <cell r="I44">
            <v>0</v>
          </cell>
        </row>
        <row r="45">
          <cell r="A45" t="str">
            <v>Valor adicionado distribuído</v>
          </cell>
          <cell r="E45">
            <v>460415</v>
          </cell>
          <cell r="G45">
            <v>377801</v>
          </cell>
          <cell r="I45">
            <v>512902</v>
          </cell>
        </row>
      </sheetData>
      <sheetData sheetId="33"/>
      <sheetData sheetId="34"/>
      <sheetData sheetId="35"/>
      <sheetData sheetId="36"/>
      <sheetData sheetId="37"/>
      <sheetData sheetId="38"/>
      <sheetData sheetId="39"/>
      <sheetData sheetId="40"/>
      <sheetData sheetId="41"/>
      <sheetData sheetId="42"/>
      <sheetData sheetId="43">
        <row r="13">
          <cell r="B13">
            <v>0</v>
          </cell>
        </row>
        <row r="15">
          <cell r="D15">
            <v>-308</v>
          </cell>
        </row>
        <row r="16">
          <cell r="B16">
            <v>0</v>
          </cell>
        </row>
        <row r="17">
          <cell r="B17">
            <v>0</v>
          </cell>
        </row>
        <row r="18">
          <cell r="D18">
            <v>195834</v>
          </cell>
        </row>
      </sheetData>
      <sheetData sheetId="44">
        <row r="7">
          <cell r="J7">
            <v>-126392</v>
          </cell>
        </row>
      </sheetData>
      <sheetData sheetId="45"/>
      <sheetData sheetId="46"/>
      <sheetData sheetId="47"/>
      <sheetData sheetId="48">
        <row r="6">
          <cell r="F6">
            <v>112090</v>
          </cell>
          <cell r="H6">
            <v>144364</v>
          </cell>
          <cell r="J6">
            <v>42398</v>
          </cell>
          <cell r="L6">
            <v>58277</v>
          </cell>
          <cell r="N6">
            <v>43689</v>
          </cell>
        </row>
        <row r="7">
          <cell r="F7">
            <v>128</v>
          </cell>
          <cell r="H7">
            <v>128</v>
          </cell>
          <cell r="J7">
            <v>0</v>
          </cell>
          <cell r="L7">
            <v>0</v>
          </cell>
          <cell r="N7">
            <v>128</v>
          </cell>
        </row>
        <row r="8">
          <cell r="F8">
            <v>74359</v>
          </cell>
          <cell r="H8">
            <v>97093</v>
          </cell>
          <cell r="J8">
            <v>38770</v>
          </cell>
          <cell r="L8">
            <v>22880</v>
          </cell>
          <cell r="N8">
            <v>35443</v>
          </cell>
        </row>
        <row r="9">
          <cell r="F9">
            <v>70640</v>
          </cell>
          <cell r="H9">
            <v>70640</v>
          </cell>
          <cell r="J9">
            <v>70640</v>
          </cell>
          <cell r="L9">
            <v>0</v>
          </cell>
          <cell r="N9">
            <v>0</v>
          </cell>
        </row>
        <row r="10">
          <cell r="F10">
            <v>37454</v>
          </cell>
          <cell r="H10">
            <v>37454</v>
          </cell>
          <cell r="J10">
            <v>37454</v>
          </cell>
          <cell r="L10">
            <v>0</v>
          </cell>
          <cell r="N10">
            <v>0</v>
          </cell>
        </row>
        <row r="33">
          <cell r="F33">
            <v>141014</v>
          </cell>
          <cell r="H33">
            <v>197363</v>
          </cell>
          <cell r="J33">
            <v>48113</v>
          </cell>
          <cell r="L33">
            <v>65288</v>
          </cell>
          <cell r="N33">
            <v>83962</v>
          </cell>
        </row>
        <row r="34">
          <cell r="F34">
            <v>308</v>
          </cell>
          <cell r="H34">
            <v>308</v>
          </cell>
          <cell r="J34">
            <v>0</v>
          </cell>
          <cell r="L34">
            <v>0</v>
          </cell>
          <cell r="N34">
            <v>308</v>
          </cell>
        </row>
        <row r="35">
          <cell r="F35">
            <v>83244</v>
          </cell>
          <cell r="H35">
            <v>107481</v>
          </cell>
          <cell r="J35">
            <v>44879</v>
          </cell>
          <cell r="L35">
            <v>26237</v>
          </cell>
          <cell r="N35">
            <v>36365</v>
          </cell>
        </row>
        <row r="36">
          <cell r="F36">
            <v>77654</v>
          </cell>
          <cell r="H36">
            <v>77654</v>
          </cell>
          <cell r="J36">
            <v>77654</v>
          </cell>
          <cell r="L36">
            <v>0</v>
          </cell>
          <cell r="N36">
            <v>0</v>
          </cell>
        </row>
      </sheetData>
      <sheetData sheetId="49"/>
      <sheetData sheetId="50"/>
      <sheetData sheetId="51"/>
      <sheetData sheetId="52"/>
      <sheetData sheetId="53">
        <row r="7">
          <cell r="F7">
            <v>112090</v>
          </cell>
          <cell r="J7">
            <v>141014</v>
          </cell>
        </row>
        <row r="8">
          <cell r="F8">
            <v>128</v>
          </cell>
          <cell r="J8">
            <v>308</v>
          </cell>
        </row>
        <row r="9">
          <cell r="F9">
            <v>-107049</v>
          </cell>
          <cell r="J9">
            <v>-196923</v>
          </cell>
        </row>
        <row r="13">
          <cell r="F13">
            <v>994134</v>
          </cell>
        </row>
        <row r="15">
          <cell r="J15">
            <v>938533</v>
          </cell>
        </row>
      </sheetData>
      <sheetData sheetId="54"/>
      <sheetData sheetId="55"/>
      <sheetData sheetId="56"/>
      <sheetData sheetId="57"/>
      <sheetData sheetId="58"/>
      <sheetData sheetId="59"/>
      <sheetData sheetId="60">
        <row r="7">
          <cell r="D7">
            <v>1007</v>
          </cell>
          <cell r="H7">
            <v>1089</v>
          </cell>
        </row>
        <row r="8">
          <cell r="D8">
            <v>106042</v>
          </cell>
          <cell r="H8">
            <v>195834</v>
          </cell>
        </row>
      </sheetData>
      <sheetData sheetId="61">
        <row r="10">
          <cell r="C10">
            <v>-2993</v>
          </cell>
        </row>
      </sheetData>
      <sheetData sheetId="62"/>
      <sheetData sheetId="63">
        <row r="9">
          <cell r="G9">
            <v>0</v>
          </cell>
        </row>
        <row r="10">
          <cell r="G10">
            <v>0</v>
          </cell>
        </row>
      </sheetData>
      <sheetData sheetId="64">
        <row r="7">
          <cell r="D7">
            <v>453881</v>
          </cell>
          <cell r="H7">
            <v>519785</v>
          </cell>
          <cell r="Q7">
            <v>414043</v>
          </cell>
          <cell r="U7">
            <v>470287</v>
          </cell>
          <cell r="AC7">
            <v>-2000</v>
          </cell>
          <cell r="AG7">
            <v>-3301</v>
          </cell>
        </row>
        <row r="8">
          <cell r="H8">
            <v>11308</v>
          </cell>
          <cell r="Q8">
            <v>26853</v>
          </cell>
          <cell r="U8">
            <v>31160</v>
          </cell>
          <cell r="AC8">
            <v>1026</v>
          </cell>
          <cell r="AG8">
            <v>1686</v>
          </cell>
        </row>
        <row r="9">
          <cell r="D9">
            <v>-2993</v>
          </cell>
          <cell r="H9">
            <v>-4138</v>
          </cell>
          <cell r="Q9">
            <v>16143</v>
          </cell>
          <cell r="U9">
            <v>17988</v>
          </cell>
        </row>
        <row r="10">
          <cell r="Q10">
            <v>2462</v>
          </cell>
          <cell r="U10">
            <v>3662</v>
          </cell>
        </row>
        <row r="11">
          <cell r="Q11">
            <v>5688</v>
          </cell>
          <cell r="U11">
            <v>7996</v>
          </cell>
        </row>
      </sheetData>
      <sheetData sheetId="65"/>
      <sheetData sheetId="66"/>
      <sheetData sheetId="67">
        <row r="7">
          <cell r="D7">
            <v>421</v>
          </cell>
          <cell r="H7">
            <v>1088</v>
          </cell>
        </row>
        <row r="8">
          <cell r="D8">
            <v>24906</v>
          </cell>
          <cell r="H8">
            <v>31320</v>
          </cell>
        </row>
        <row r="9">
          <cell r="D9">
            <v>1549</v>
          </cell>
          <cell r="H9">
            <v>1672</v>
          </cell>
        </row>
        <row r="10">
          <cell r="D10">
            <v>903</v>
          </cell>
          <cell r="H10">
            <v>1108</v>
          </cell>
        </row>
        <row r="14">
          <cell r="D14">
            <v>27358</v>
          </cell>
          <cell r="H14">
            <v>34100</v>
          </cell>
        </row>
        <row r="15">
          <cell r="D15">
            <v>421</v>
          </cell>
          <cell r="H15">
            <v>1088</v>
          </cell>
        </row>
      </sheetData>
      <sheetData sheetId="68"/>
      <sheetData sheetId="69"/>
      <sheetData sheetId="70"/>
      <sheetData sheetId="71">
        <row r="7">
          <cell r="D7">
            <v>4505</v>
          </cell>
          <cell r="H7">
            <v>7785</v>
          </cell>
        </row>
        <row r="8">
          <cell r="D8">
            <v>122</v>
          </cell>
          <cell r="H8">
            <v>788</v>
          </cell>
        </row>
        <row r="9">
          <cell r="D9">
            <v>26</v>
          </cell>
          <cell r="H9">
            <v>80</v>
          </cell>
        </row>
        <row r="10">
          <cell r="D10">
            <v>2801</v>
          </cell>
          <cell r="H10">
            <v>4407</v>
          </cell>
        </row>
        <row r="11">
          <cell r="D11">
            <v>916</v>
          </cell>
          <cell r="H11">
            <v>817</v>
          </cell>
        </row>
        <row r="15">
          <cell r="D15">
            <v>4970</v>
          </cell>
          <cell r="H15">
            <v>7617</v>
          </cell>
        </row>
        <row r="16">
          <cell r="D16">
            <v>3400</v>
          </cell>
          <cell r="H16">
            <v>6260</v>
          </cell>
        </row>
      </sheetData>
      <sheetData sheetId="72">
        <row r="9">
          <cell r="C9">
            <v>0</v>
          </cell>
        </row>
        <row r="10">
          <cell r="B10">
            <v>0</v>
          </cell>
        </row>
        <row r="11">
          <cell r="C11">
            <v>0</v>
          </cell>
        </row>
        <row r="12">
          <cell r="C12">
            <v>0</v>
          </cell>
        </row>
        <row r="13">
          <cell r="C13">
            <v>0</v>
          </cell>
        </row>
        <row r="14">
          <cell r="C14">
            <v>0</v>
          </cell>
        </row>
        <row r="15">
          <cell r="C15">
            <v>0</v>
          </cell>
        </row>
        <row r="18">
          <cell r="C18">
            <v>6363</v>
          </cell>
        </row>
        <row r="21">
          <cell r="B21">
            <v>0</v>
          </cell>
          <cell r="C21">
            <v>0</v>
          </cell>
        </row>
      </sheetData>
      <sheetData sheetId="73">
        <row r="15">
          <cell r="O15"/>
        </row>
      </sheetData>
      <sheetData sheetId="74"/>
      <sheetData sheetId="75"/>
      <sheetData sheetId="76"/>
      <sheetData sheetId="77">
        <row r="65">
          <cell r="AI65"/>
        </row>
      </sheetData>
      <sheetData sheetId="78">
        <row r="9">
          <cell r="D9">
            <v>53452</v>
          </cell>
          <cell r="F9">
            <v>6363</v>
          </cell>
        </row>
        <row r="10">
          <cell r="D10">
            <v>38219</v>
          </cell>
        </row>
        <row r="11">
          <cell r="D11">
            <v>165939</v>
          </cell>
        </row>
        <row r="12">
          <cell r="D12">
            <v>1</v>
          </cell>
        </row>
        <row r="13">
          <cell r="D13">
            <v>1468</v>
          </cell>
        </row>
        <row r="14">
          <cell r="D14">
            <v>14298</v>
          </cell>
        </row>
        <row r="15">
          <cell r="D15">
            <v>37012</v>
          </cell>
        </row>
        <row r="20">
          <cell r="D20">
            <v>40525</v>
          </cell>
          <cell r="F20">
            <v>16693</v>
          </cell>
        </row>
        <row r="68">
          <cell r="U68">
            <v>2086</v>
          </cell>
          <cell r="W68">
            <v>4036</v>
          </cell>
          <cell r="Y68">
            <v>2491</v>
          </cell>
          <cell r="AC68">
            <v>54</v>
          </cell>
          <cell r="AG68">
            <v>-161</v>
          </cell>
          <cell r="AK68">
            <v>2951</v>
          </cell>
          <cell r="AM68">
            <v>7305</v>
          </cell>
        </row>
        <row r="69">
          <cell r="AK69">
            <v>0</v>
          </cell>
        </row>
        <row r="70">
          <cell r="Y70">
            <v>28000</v>
          </cell>
          <cell r="AE70">
            <v>0</v>
          </cell>
          <cell r="AK70">
            <v>5000</v>
          </cell>
          <cell r="AM70">
            <v>0</v>
          </cell>
        </row>
        <row r="71">
          <cell r="U71">
            <v>-1414</v>
          </cell>
          <cell r="W71">
            <v>-5254</v>
          </cell>
          <cell r="Y71">
            <v>0</v>
          </cell>
          <cell r="AC71">
            <v>-134</v>
          </cell>
          <cell r="AK71">
            <v>0</v>
          </cell>
          <cell r="AM71">
            <v>0</v>
          </cell>
        </row>
        <row r="72">
          <cell r="AC72">
            <v>0</v>
          </cell>
        </row>
        <row r="74">
          <cell r="AE74">
            <v>0</v>
          </cell>
        </row>
        <row r="111">
          <cell r="AX111">
            <v>7305</v>
          </cell>
          <cell r="AZ111">
            <v>-182</v>
          </cell>
        </row>
        <row r="112">
          <cell r="AX112">
            <v>0</v>
          </cell>
        </row>
        <row r="143">
          <cell r="BO143">
            <v>105559</v>
          </cell>
          <cell r="BQ143">
            <v>55472</v>
          </cell>
          <cell r="BS143">
            <v>191357</v>
          </cell>
          <cell r="BU143">
            <v>1</v>
          </cell>
          <cell r="BW143">
            <v>1642</v>
          </cell>
          <cell r="BY143">
            <v>14301</v>
          </cell>
          <cell r="CC143">
            <v>62122</v>
          </cell>
          <cell r="CE143">
            <v>3948</v>
          </cell>
        </row>
        <row r="144">
          <cell r="BO144">
            <v>52107</v>
          </cell>
          <cell r="BQ144">
            <v>17253</v>
          </cell>
          <cell r="BS144">
            <v>25418</v>
          </cell>
          <cell r="BU144">
            <v>0</v>
          </cell>
          <cell r="BW144">
            <v>174</v>
          </cell>
          <cell r="BY144">
            <v>3</v>
          </cell>
          <cell r="CC144">
            <v>25110</v>
          </cell>
          <cell r="CE144">
            <v>1681</v>
          </cell>
        </row>
        <row r="145">
          <cell r="BO145">
            <v>53452</v>
          </cell>
          <cell r="BQ145">
            <v>38219</v>
          </cell>
          <cell r="BS145">
            <v>165939</v>
          </cell>
          <cell r="BU145">
            <v>1</v>
          </cell>
          <cell r="BW145">
            <v>1468</v>
          </cell>
          <cell r="BY145">
            <v>14298</v>
          </cell>
          <cell r="CC145">
            <v>37012</v>
          </cell>
          <cell r="CE145">
            <v>2267</v>
          </cell>
        </row>
        <row r="183">
          <cell r="CJ183">
            <v>45972</v>
          </cell>
          <cell r="CL183">
            <v>36705</v>
          </cell>
          <cell r="CN183">
            <v>3567</v>
          </cell>
          <cell r="CP183">
            <v>0</v>
          </cell>
          <cell r="CT183">
            <v>0</v>
          </cell>
          <cell r="CX183">
            <v>34821</v>
          </cell>
          <cell r="CZ183">
            <v>5301</v>
          </cell>
        </row>
        <row r="186">
          <cell r="CJ186">
            <v>5916</v>
          </cell>
          <cell r="CL186">
            <v>8329</v>
          </cell>
          <cell r="CN186">
            <v>1979</v>
          </cell>
          <cell r="CP186">
            <v>0</v>
          </cell>
          <cell r="CT186">
            <v>-1</v>
          </cell>
          <cell r="CX186">
            <v>10843</v>
          </cell>
          <cell r="CZ186">
            <v>403</v>
          </cell>
        </row>
        <row r="193">
          <cell r="CJ193">
            <v>4191</v>
          </cell>
          <cell r="CL193">
            <v>5805</v>
          </cell>
          <cell r="CN193">
            <v>1921</v>
          </cell>
          <cell r="CP193">
            <v>-2</v>
          </cell>
          <cell r="CT193">
            <v>-2</v>
          </cell>
          <cell r="CX193">
            <v>4514</v>
          </cell>
          <cell r="CZ193">
            <v>-831</v>
          </cell>
        </row>
        <row r="202">
          <cell r="CJ202">
            <v>2086</v>
          </cell>
          <cell r="CL202">
            <v>4036</v>
          </cell>
          <cell r="CN202">
            <v>2491</v>
          </cell>
          <cell r="CP202">
            <v>54</v>
          </cell>
          <cell r="CT202">
            <v>-161</v>
          </cell>
          <cell r="CX202">
            <v>2951</v>
          </cell>
          <cell r="CZ202">
            <v>-442</v>
          </cell>
        </row>
        <row r="262">
          <cell r="DH262">
            <v>133497</v>
          </cell>
        </row>
        <row r="263">
          <cell r="DH263">
            <v>52447</v>
          </cell>
        </row>
        <row r="264">
          <cell r="DH264">
            <v>81050</v>
          </cell>
        </row>
        <row r="276">
          <cell r="DU276">
            <v>121611</v>
          </cell>
        </row>
        <row r="277">
          <cell r="DU277">
            <v>-89035</v>
          </cell>
        </row>
        <row r="281">
          <cell r="DU281">
            <v>-9677</v>
          </cell>
        </row>
        <row r="288">
          <cell r="DU288">
            <v>-668</v>
          </cell>
        </row>
        <row r="292">
          <cell r="DU292">
            <v>-7621</v>
          </cell>
        </row>
      </sheetData>
      <sheetData sheetId="79"/>
      <sheetData sheetId="80"/>
      <sheetData sheetId="81"/>
      <sheetData sheetId="82">
        <row r="82">
          <cell r="D82">
            <v>5639</v>
          </cell>
          <cell r="F82">
            <v>0</v>
          </cell>
          <cell r="H82">
            <v>150</v>
          </cell>
          <cell r="J82">
            <v>53</v>
          </cell>
          <cell r="L82">
            <v>2517</v>
          </cell>
          <cell r="N82">
            <v>677</v>
          </cell>
          <cell r="P82">
            <v>1226</v>
          </cell>
          <cell r="R82">
            <v>763</v>
          </cell>
          <cell r="T82">
            <v>9742</v>
          </cell>
        </row>
        <row r="86">
          <cell r="H86">
            <v>0</v>
          </cell>
          <cell r="L86">
            <v>0</v>
          </cell>
          <cell r="R86">
            <v>0</v>
          </cell>
        </row>
        <row r="88">
          <cell r="D88">
            <v>108982</v>
          </cell>
          <cell r="F88">
            <v>56226</v>
          </cell>
          <cell r="H88">
            <v>773</v>
          </cell>
          <cell r="J88">
            <v>6434</v>
          </cell>
          <cell r="L88">
            <v>90346</v>
          </cell>
          <cell r="N88">
            <v>4333</v>
          </cell>
          <cell r="P88">
            <v>21812</v>
          </cell>
          <cell r="R88">
            <v>4371</v>
          </cell>
          <cell r="T88">
            <v>36295</v>
          </cell>
        </row>
      </sheetData>
      <sheetData sheetId="83">
        <row r="6">
          <cell r="N6"/>
        </row>
        <row r="7">
          <cell r="N7">
            <v>0</v>
          </cell>
          <cell r="R7">
            <v>0</v>
          </cell>
        </row>
        <row r="19">
          <cell r="U19">
            <v>0</v>
          </cell>
        </row>
      </sheetData>
      <sheetData sheetId="84">
        <row r="19">
          <cell r="J19">
            <v>2162</v>
          </cell>
          <cell r="L19">
            <v>3595</v>
          </cell>
          <cell r="N19">
            <v>5757</v>
          </cell>
        </row>
        <row r="20">
          <cell r="J20">
            <v>0</v>
          </cell>
          <cell r="L20">
            <v>0</v>
          </cell>
        </row>
        <row r="22">
          <cell r="J22">
            <v>-5080</v>
          </cell>
        </row>
        <row r="24">
          <cell r="J24">
            <v>0</v>
          </cell>
          <cell r="L24">
            <v>0</v>
          </cell>
        </row>
        <row r="53">
          <cell r="AL53">
            <v>0</v>
          </cell>
          <cell r="AP53">
            <v>2607</v>
          </cell>
          <cell r="AR53">
            <v>3661</v>
          </cell>
          <cell r="AT53">
            <v>6268</v>
          </cell>
        </row>
        <row r="54">
          <cell r="AP54">
            <v>0</v>
          </cell>
          <cell r="AR54">
            <v>0</v>
          </cell>
        </row>
        <row r="56">
          <cell r="AP56">
            <v>-5615</v>
          </cell>
          <cell r="AR56">
            <v>0</v>
          </cell>
        </row>
        <row r="57">
          <cell r="AP57">
            <v>0</v>
          </cell>
          <cell r="AR57">
            <v>0</v>
          </cell>
        </row>
      </sheetData>
      <sheetData sheetId="85"/>
      <sheetData sheetId="86">
        <row r="19">
          <cell r="B19">
            <v>0</v>
          </cell>
        </row>
        <row r="20">
          <cell r="B20">
            <v>0</v>
          </cell>
        </row>
        <row r="25">
          <cell r="F25">
            <v>308</v>
          </cell>
        </row>
      </sheetData>
      <sheetData sheetId="87"/>
      <sheetData sheetId="88"/>
      <sheetData sheetId="89">
        <row r="8">
          <cell r="H8">
            <v>66678</v>
          </cell>
        </row>
        <row r="9">
          <cell r="H9">
            <v>59714</v>
          </cell>
        </row>
        <row r="10">
          <cell r="H10">
            <v>14622</v>
          </cell>
        </row>
        <row r="14">
          <cell r="H14">
            <v>34909</v>
          </cell>
        </row>
        <row r="15">
          <cell r="H15">
            <v>106105</v>
          </cell>
        </row>
        <row r="78">
          <cell r="AF78">
            <v>14922</v>
          </cell>
        </row>
        <row r="79">
          <cell r="AF79">
            <v>9324</v>
          </cell>
        </row>
        <row r="80">
          <cell r="AF80">
            <v>-2220</v>
          </cell>
        </row>
        <row r="81">
          <cell r="AF81">
            <v>-6662</v>
          </cell>
        </row>
        <row r="82">
          <cell r="AF82">
            <v>-300</v>
          </cell>
        </row>
      </sheetData>
      <sheetData sheetId="90"/>
      <sheetData sheetId="91"/>
      <sheetData sheetId="92">
        <row r="15">
          <cell r="J15">
            <v>0</v>
          </cell>
        </row>
      </sheetData>
      <sheetData sheetId="93"/>
      <sheetData sheetId="94"/>
      <sheetData sheetId="95">
        <row r="31">
          <cell r="L31">
            <v>25988</v>
          </cell>
          <cell r="N31">
            <v>726</v>
          </cell>
        </row>
        <row r="32">
          <cell r="P32">
            <v>0</v>
          </cell>
        </row>
        <row r="33">
          <cell r="L33">
            <v>0</v>
          </cell>
        </row>
        <row r="34">
          <cell r="L34">
            <v>-14950</v>
          </cell>
          <cell r="N34">
            <v>-45</v>
          </cell>
          <cell r="P34">
            <v>0</v>
          </cell>
        </row>
        <row r="69">
          <cell r="AF69">
            <v>25423</v>
          </cell>
        </row>
        <row r="71">
          <cell r="AF71">
            <v>-16064</v>
          </cell>
          <cell r="AH71">
            <v>-964</v>
          </cell>
          <cell r="AJ71">
            <v>-648</v>
          </cell>
        </row>
        <row r="153">
          <cell r="BF153">
            <v>26346</v>
          </cell>
        </row>
        <row r="154">
          <cell r="BF154">
            <v>-1264</v>
          </cell>
        </row>
        <row r="155">
          <cell r="BF155">
            <v>5682</v>
          </cell>
        </row>
        <row r="157">
          <cell r="BF157">
            <v>-17904</v>
          </cell>
        </row>
        <row r="158">
          <cell r="BF158">
            <v>-5683</v>
          </cell>
        </row>
        <row r="162">
          <cell r="BF162">
            <v>41663</v>
          </cell>
        </row>
        <row r="163">
          <cell r="BF163">
            <v>41581</v>
          </cell>
        </row>
        <row r="167">
          <cell r="BF167">
            <v>79036</v>
          </cell>
        </row>
        <row r="168">
          <cell r="BF168">
            <v>4208</v>
          </cell>
        </row>
      </sheetData>
      <sheetData sheetId="96"/>
      <sheetData sheetId="97"/>
      <sheetData sheetId="98"/>
      <sheetData sheetId="99"/>
      <sheetData sheetId="100"/>
      <sheetData sheetId="101">
        <row r="7">
          <cell r="D7">
            <v>15941</v>
          </cell>
          <cell r="H7">
            <v>19045</v>
          </cell>
        </row>
        <row r="8">
          <cell r="D8">
            <v>8259</v>
          </cell>
          <cell r="H8">
            <v>9204</v>
          </cell>
        </row>
        <row r="9">
          <cell r="D9">
            <v>6540</v>
          </cell>
          <cell r="H9">
            <v>7367</v>
          </cell>
        </row>
        <row r="10">
          <cell r="D10">
            <v>5904</v>
          </cell>
          <cell r="H10">
            <v>7049</v>
          </cell>
        </row>
        <row r="11">
          <cell r="D11">
            <v>1472</v>
          </cell>
          <cell r="H11">
            <v>1737</v>
          </cell>
        </row>
        <row r="12">
          <cell r="D12">
            <v>994</v>
          </cell>
          <cell r="H12">
            <v>1121</v>
          </cell>
        </row>
      </sheetData>
      <sheetData sheetId="102"/>
      <sheetData sheetId="103">
        <row r="7">
          <cell r="D7">
            <v>17823</v>
          </cell>
          <cell r="H7">
            <v>20811</v>
          </cell>
        </row>
        <row r="8">
          <cell r="D8">
            <v>162668</v>
          </cell>
          <cell r="H8">
            <v>184169</v>
          </cell>
        </row>
        <row r="9">
          <cell r="D9">
            <v>35822</v>
          </cell>
          <cell r="H9">
            <v>40422</v>
          </cell>
        </row>
        <row r="21">
          <cell r="P21">
            <v>18488</v>
          </cell>
          <cell r="T21">
            <v>-15637</v>
          </cell>
        </row>
        <row r="22">
          <cell r="P22">
            <v>3623</v>
          </cell>
          <cell r="T22">
            <v>-153</v>
          </cell>
        </row>
        <row r="23">
          <cell r="P23">
            <v>724</v>
          </cell>
          <cell r="T23">
            <v>-2033</v>
          </cell>
        </row>
        <row r="35">
          <cell r="P35">
            <v>21189</v>
          </cell>
          <cell r="T35">
            <v>-18625</v>
          </cell>
        </row>
        <row r="36">
          <cell r="P36">
            <v>3623</v>
          </cell>
          <cell r="T36">
            <v>-153</v>
          </cell>
        </row>
        <row r="37">
          <cell r="P37">
            <v>852</v>
          </cell>
          <cell r="T37">
            <v>-2033</v>
          </cell>
        </row>
        <row r="47">
          <cell r="AB47">
            <v>12705</v>
          </cell>
          <cell r="AF47">
            <v>15040</v>
          </cell>
        </row>
        <row r="48">
          <cell r="AB48">
            <v>137797</v>
          </cell>
          <cell r="AF48">
            <v>156759</v>
          </cell>
        </row>
        <row r="49">
          <cell r="AB49">
            <v>12166</v>
          </cell>
          <cell r="AF49">
            <v>12370</v>
          </cell>
        </row>
      </sheetData>
      <sheetData sheetId="104"/>
      <sheetData sheetId="105">
        <row r="21">
          <cell r="J21">
            <v>7364</v>
          </cell>
        </row>
        <row r="22">
          <cell r="J22">
            <v>326</v>
          </cell>
        </row>
        <row r="23">
          <cell r="J23">
            <v>-4402</v>
          </cell>
        </row>
        <row r="24">
          <cell r="J24">
            <v>-722</v>
          </cell>
        </row>
        <row r="25">
          <cell r="J25">
            <v>-2423</v>
          </cell>
        </row>
        <row r="26">
          <cell r="J26">
            <v>0</v>
          </cell>
        </row>
        <row r="50">
          <cell r="AD50">
            <v>7433</v>
          </cell>
        </row>
        <row r="51">
          <cell r="AD51">
            <v>343</v>
          </cell>
        </row>
        <row r="52">
          <cell r="AD52">
            <v>-4439</v>
          </cell>
        </row>
        <row r="53">
          <cell r="AD53">
            <v>-748</v>
          </cell>
        </row>
        <row r="54">
          <cell r="AD54">
            <v>-2442</v>
          </cell>
        </row>
        <row r="55">
          <cell r="AB55">
            <v>0</v>
          </cell>
        </row>
      </sheetData>
      <sheetData sheetId="106"/>
      <sheetData sheetId="107"/>
      <sheetData sheetId="108">
        <row r="32">
          <cell r="F32">
            <v>176042</v>
          </cell>
        </row>
      </sheetData>
      <sheetData sheetId="109"/>
      <sheetData sheetId="110"/>
      <sheetData sheetId="111"/>
      <sheetData sheetId="112">
        <row r="31">
          <cell r="AH31">
            <v>2422</v>
          </cell>
        </row>
        <row r="32">
          <cell r="AH32">
            <v>2888</v>
          </cell>
        </row>
        <row r="33">
          <cell r="AH33">
            <v>0</v>
          </cell>
        </row>
        <row r="34">
          <cell r="AH34">
            <v>403</v>
          </cell>
        </row>
        <row r="40">
          <cell r="AH40">
            <v>-59578</v>
          </cell>
        </row>
        <row r="41">
          <cell r="AH41">
            <v>5437</v>
          </cell>
        </row>
        <row r="54">
          <cell r="AV54">
            <v>1803</v>
          </cell>
        </row>
        <row r="55">
          <cell r="AV55">
            <v>938</v>
          </cell>
        </row>
        <row r="60">
          <cell r="AV60">
            <v>2503</v>
          </cell>
        </row>
        <row r="61">
          <cell r="AV61">
            <v>1510</v>
          </cell>
        </row>
        <row r="62">
          <cell r="AV62">
            <v>7241</v>
          </cell>
        </row>
        <row r="63">
          <cell r="AV63">
            <v>2434</v>
          </cell>
        </row>
        <row r="64">
          <cell r="AV64">
            <v>1586</v>
          </cell>
        </row>
        <row r="65">
          <cell r="AV65">
            <v>3940</v>
          </cell>
        </row>
        <row r="66">
          <cell r="AV66">
            <v>415</v>
          </cell>
        </row>
        <row r="67">
          <cell r="AV67">
            <v>2890</v>
          </cell>
        </row>
        <row r="68">
          <cell r="AV68">
            <v>8413</v>
          </cell>
        </row>
        <row r="69">
          <cell r="AV69">
            <v>649</v>
          </cell>
        </row>
        <row r="70">
          <cell r="AV70">
            <v>7135</v>
          </cell>
        </row>
        <row r="76">
          <cell r="AV76">
            <v>-20459</v>
          </cell>
        </row>
        <row r="77">
          <cell r="AV77">
            <v>-19235</v>
          </cell>
        </row>
        <row r="78">
          <cell r="AV78">
            <v>105</v>
          </cell>
        </row>
        <row r="79">
          <cell r="AV79">
            <v>-3595</v>
          </cell>
        </row>
      </sheetData>
      <sheetData sheetId="113">
        <row r="5">
          <cell r="C5">
            <v>1961</v>
          </cell>
        </row>
        <row r="6">
          <cell r="C6">
            <v>4437</v>
          </cell>
        </row>
        <row r="7">
          <cell r="C7">
            <v>5703</v>
          </cell>
        </row>
        <row r="8">
          <cell r="C8">
            <v>10805</v>
          </cell>
        </row>
        <row r="9">
          <cell r="C9">
            <v>549</v>
          </cell>
        </row>
        <row r="10">
          <cell r="C10">
            <v>1267</v>
          </cell>
        </row>
        <row r="11">
          <cell r="C11">
            <v>1254</v>
          </cell>
        </row>
        <row r="12">
          <cell r="C12">
            <v>1597</v>
          </cell>
        </row>
        <row r="13">
          <cell r="C13">
            <v>112</v>
          </cell>
        </row>
        <row r="14">
          <cell r="C14">
            <v>0</v>
          </cell>
          <cell r="G14">
            <v>0</v>
          </cell>
        </row>
        <row r="15">
          <cell r="C15">
            <v>39</v>
          </cell>
        </row>
        <row r="16">
          <cell r="C16">
            <v>4573</v>
          </cell>
        </row>
        <row r="17">
          <cell r="C17">
            <v>5157</v>
          </cell>
        </row>
      </sheetData>
      <sheetData sheetId="114"/>
      <sheetData sheetId="115"/>
      <sheetData sheetId="116"/>
      <sheetData sheetId="117">
        <row r="7">
          <cell r="H7">
            <v>5894</v>
          </cell>
        </row>
        <row r="8">
          <cell r="H8">
            <v>4446</v>
          </cell>
        </row>
        <row r="9">
          <cell r="H9">
            <v>7140</v>
          </cell>
        </row>
        <row r="10">
          <cell r="H10">
            <v>11148</v>
          </cell>
        </row>
        <row r="11">
          <cell r="H11">
            <v>554</v>
          </cell>
        </row>
        <row r="12">
          <cell r="H12">
            <v>1307</v>
          </cell>
        </row>
        <row r="13">
          <cell r="H13">
            <v>1672</v>
          </cell>
        </row>
        <row r="14">
          <cell r="H14">
            <v>2077</v>
          </cell>
        </row>
        <row r="15">
          <cell r="H15">
            <v>112</v>
          </cell>
        </row>
        <row r="16">
          <cell r="H16">
            <v>84</v>
          </cell>
        </row>
        <row r="17">
          <cell r="H17">
            <v>4790</v>
          </cell>
        </row>
        <row r="18">
          <cell r="H18">
            <v>33133</v>
          </cell>
        </row>
      </sheetData>
      <sheetData sheetId="118"/>
      <sheetData sheetId="119"/>
      <sheetData sheetId="120"/>
      <sheetData sheetId="121"/>
      <sheetData sheetId="122"/>
      <sheetData sheetId="123"/>
      <sheetData sheetId="124">
        <row r="10">
          <cell r="F10">
            <v>1425963</v>
          </cell>
          <cell r="N10">
            <v>1574776</v>
          </cell>
        </row>
        <row r="12">
          <cell r="F12">
            <v>-67039</v>
          </cell>
          <cell r="N12">
            <v>-70207</v>
          </cell>
        </row>
        <row r="16">
          <cell r="F16">
            <v>-216117</v>
          </cell>
          <cell r="N16">
            <v>-243174</v>
          </cell>
        </row>
      </sheetData>
      <sheetData sheetId="125">
        <row r="6">
          <cell r="B6">
            <v>0</v>
          </cell>
          <cell r="F6">
            <v>0</v>
          </cell>
        </row>
        <row r="16">
          <cell r="B16">
            <v>46203</v>
          </cell>
          <cell r="D16">
            <v>45838</v>
          </cell>
          <cell r="F16">
            <v>46203</v>
          </cell>
        </row>
        <row r="17">
          <cell r="A17" t="str">
            <v>Serviços de fretes – agregados</v>
          </cell>
          <cell r="B17">
            <v>-822387</v>
          </cell>
          <cell r="C17">
            <v>0</v>
          </cell>
          <cell r="D17">
            <v>-594080</v>
          </cell>
          <cell r="E17">
            <v>0</v>
          </cell>
          <cell r="F17">
            <v>-878618</v>
          </cell>
        </row>
        <row r="18">
          <cell r="A18" t="str">
            <v>Salários</v>
          </cell>
          <cell r="B18">
            <v>-58229</v>
          </cell>
          <cell r="C18">
            <v>0</v>
          </cell>
          <cell r="D18">
            <v>-52853</v>
          </cell>
          <cell r="E18">
            <v>0</v>
          </cell>
          <cell r="F18">
            <v>-68753</v>
          </cell>
        </row>
        <row r="19">
          <cell r="A19" t="str">
            <v>Encargos sociais</v>
          </cell>
          <cell r="B19">
            <v>-33444</v>
          </cell>
          <cell r="C19">
            <v>0</v>
          </cell>
          <cell r="D19">
            <v>-29290</v>
          </cell>
          <cell r="E19">
            <v>0</v>
          </cell>
          <cell r="F19">
            <v>-39919</v>
          </cell>
        </row>
        <row r="20">
          <cell r="A20" t="str">
            <v>Serviços terceirizados</v>
          </cell>
          <cell r="B20">
            <v>-33349</v>
          </cell>
          <cell r="C20">
            <v>0</v>
          </cell>
          <cell r="D20">
            <v>-35099</v>
          </cell>
          <cell r="E20">
            <v>0</v>
          </cell>
          <cell r="F20">
            <v>-38692</v>
          </cell>
        </row>
        <row r="21">
          <cell r="A21" t="str">
            <v>Alugueis e leasing</v>
          </cell>
          <cell r="B21">
            <v>-11186</v>
          </cell>
          <cell r="C21">
            <v>0</v>
          </cell>
          <cell r="D21">
            <v>-13352</v>
          </cell>
          <cell r="E21">
            <v>0</v>
          </cell>
          <cell r="F21">
            <v>-12860</v>
          </cell>
        </row>
        <row r="22">
          <cell r="A22" t="str">
            <v>Depreciação e amortização</v>
          </cell>
          <cell r="B22">
            <v>-11818</v>
          </cell>
          <cell r="C22">
            <v>0</v>
          </cell>
          <cell r="D22">
            <v>-10038</v>
          </cell>
          <cell r="E22">
            <v>0</v>
          </cell>
          <cell r="F22">
            <v>-17627</v>
          </cell>
        </row>
        <row r="23">
          <cell r="A23" t="str">
            <v>Amortização direito de uso</v>
          </cell>
          <cell r="B23">
            <v>-14118</v>
          </cell>
          <cell r="D23">
            <v>-12406</v>
          </cell>
          <cell r="F23">
            <v>-16550</v>
          </cell>
        </row>
        <row r="24">
          <cell r="A24" t="str">
            <v>Benefícios a empregados</v>
          </cell>
          <cell r="B24">
            <v>-22167</v>
          </cell>
          <cell r="C24">
            <v>0</v>
          </cell>
          <cell r="D24">
            <v>-16803</v>
          </cell>
          <cell r="E24">
            <v>0</v>
          </cell>
          <cell r="F24">
            <v>-26806</v>
          </cell>
        </row>
        <row r="25">
          <cell r="A25" t="str">
            <v>Custos variáveis</v>
          </cell>
          <cell r="B25">
            <v>-5954</v>
          </cell>
          <cell r="C25">
            <v>0</v>
          </cell>
          <cell r="D25">
            <v>-6844</v>
          </cell>
          <cell r="E25">
            <v>0</v>
          </cell>
          <cell r="F25">
            <v>-5954</v>
          </cell>
        </row>
        <row r="26">
          <cell r="A26" t="str">
            <v>Outros gastos gerais</v>
          </cell>
          <cell r="B26">
            <v>-8295</v>
          </cell>
          <cell r="C26">
            <v>0</v>
          </cell>
          <cell r="D26">
            <v>-4611</v>
          </cell>
          <cell r="E26">
            <v>0</v>
          </cell>
          <cell r="F26">
            <v>-17522</v>
          </cell>
        </row>
        <row r="27">
          <cell r="A27" t="str">
            <v>Manutenção</v>
          </cell>
          <cell r="B27">
            <v>-11086</v>
          </cell>
          <cell r="C27">
            <v>0</v>
          </cell>
          <cell r="D27">
            <v>-9981</v>
          </cell>
          <cell r="E27">
            <v>0</v>
          </cell>
          <cell r="F27">
            <v>-15450</v>
          </cell>
        </row>
        <row r="28">
          <cell r="A28" t="str">
            <v>Combustiveis e lubrificantes</v>
          </cell>
          <cell r="B28">
            <v>-8142</v>
          </cell>
          <cell r="C28">
            <v>0</v>
          </cell>
          <cell r="D28">
            <v>-7827</v>
          </cell>
          <cell r="E28">
            <v>0</v>
          </cell>
          <cell r="F28">
            <v>-11019</v>
          </cell>
        </row>
        <row r="29">
          <cell r="A29" t="str">
            <v>Utilidades</v>
          </cell>
          <cell r="B29">
            <v>-1806</v>
          </cell>
          <cell r="C29">
            <v>0</v>
          </cell>
          <cell r="D29">
            <v>-1623</v>
          </cell>
          <cell r="E29">
            <v>0</v>
          </cell>
          <cell r="F29">
            <v>-2144</v>
          </cell>
        </row>
        <row r="30">
          <cell r="A30" t="str">
            <v>Comunicação</v>
          </cell>
          <cell r="B30">
            <v>-1353</v>
          </cell>
          <cell r="C30">
            <v>0</v>
          </cell>
          <cell r="D30">
            <v>-898</v>
          </cell>
          <cell r="E30">
            <v>0</v>
          </cell>
          <cell r="F30">
            <v>-1447</v>
          </cell>
        </row>
        <row r="31">
          <cell r="A31" t="str">
            <v>Outros gastos com pessoal</v>
          </cell>
          <cell r="B31">
            <v>-5650</v>
          </cell>
          <cell r="C31">
            <v>0</v>
          </cell>
          <cell r="D31">
            <v>-5285</v>
          </cell>
          <cell r="E31">
            <v>0</v>
          </cell>
          <cell r="F31">
            <v>-5975</v>
          </cell>
        </row>
        <row r="32">
          <cell r="A32" t="str">
            <v>Custos rescisórios</v>
          </cell>
          <cell r="B32">
            <v>-1156</v>
          </cell>
          <cell r="C32">
            <v>0</v>
          </cell>
          <cell r="D32">
            <v>-1437</v>
          </cell>
          <cell r="E32">
            <v>0</v>
          </cell>
          <cell r="F32">
            <v>-1406</v>
          </cell>
        </row>
        <row r="33">
          <cell r="A33" t="str">
            <v>Materiais</v>
          </cell>
          <cell r="B33">
            <v>-1394</v>
          </cell>
          <cell r="C33">
            <v>0</v>
          </cell>
          <cell r="D33">
            <v>-1246</v>
          </cell>
          <cell r="E33">
            <v>0</v>
          </cell>
          <cell r="F33">
            <v>-1823</v>
          </cell>
        </row>
        <row r="34">
          <cell r="A34" t="str">
            <v>Despesa de viagem</v>
          </cell>
          <cell r="B34">
            <v>-1625</v>
          </cell>
          <cell r="C34">
            <v>0</v>
          </cell>
          <cell r="D34">
            <v>-2117</v>
          </cell>
          <cell r="E34">
            <v>0</v>
          </cell>
          <cell r="F34">
            <v>-1858</v>
          </cell>
        </row>
        <row r="35">
          <cell r="A35" t="str">
            <v>Indenização de extravio</v>
          </cell>
          <cell r="B35">
            <v>-1227</v>
          </cell>
          <cell r="C35">
            <v>0</v>
          </cell>
          <cell r="D35">
            <v>-135</v>
          </cell>
          <cell r="E35">
            <v>0</v>
          </cell>
          <cell r="F35">
            <v>-1277</v>
          </cell>
        </row>
        <row r="36">
          <cell r="A36" t="str">
            <v>Contribuições e doações</v>
          </cell>
          <cell r="B36">
            <v>-359</v>
          </cell>
          <cell r="C36">
            <v>0</v>
          </cell>
          <cell r="D36">
            <v>-667</v>
          </cell>
          <cell r="E36">
            <v>0</v>
          </cell>
          <cell r="F36">
            <v>-383</v>
          </cell>
        </row>
        <row r="37">
          <cell r="A37" t="str">
            <v>Multas contratuais</v>
          </cell>
          <cell r="B37">
            <v>0</v>
          </cell>
          <cell r="C37">
            <v>0</v>
          </cell>
          <cell r="D37">
            <v>0</v>
          </cell>
          <cell r="E37">
            <v>0</v>
          </cell>
          <cell r="F37">
            <v>0</v>
          </cell>
        </row>
        <row r="38">
          <cell r="A38" t="str">
            <v>Provisão para perda de valores com vendas de controladas (i)</v>
          </cell>
          <cell r="B38">
            <v>0</v>
          </cell>
          <cell r="D38">
            <v>0</v>
          </cell>
          <cell r="F38">
            <v>0</v>
          </cell>
        </row>
      </sheetData>
      <sheetData sheetId="126">
        <row r="7">
          <cell r="F7">
            <v>-932700</v>
          </cell>
          <cell r="N7">
            <v>-1024884</v>
          </cell>
        </row>
        <row r="8">
          <cell r="F8">
            <v>-47062</v>
          </cell>
          <cell r="N8">
            <v>-55822</v>
          </cell>
        </row>
        <row r="9">
          <cell r="F9">
            <v>-476</v>
          </cell>
          <cell r="N9">
            <v>-4424</v>
          </cell>
        </row>
        <row r="10">
          <cell r="F10">
            <v>-975</v>
          </cell>
          <cell r="N10">
            <v>-1615</v>
          </cell>
        </row>
        <row r="20">
          <cell r="V20" t="str">
            <v>Serviços de fretes – agregados</v>
          </cell>
          <cell r="X20">
            <v>-694594</v>
          </cell>
          <cell r="Z20">
            <v>-822387</v>
          </cell>
          <cell r="AB20">
            <v>-463552</v>
          </cell>
          <cell r="AD20">
            <v>-594080</v>
          </cell>
          <cell r="AF20">
            <v>-722822</v>
          </cell>
          <cell r="AH20">
            <v>-878618</v>
          </cell>
        </row>
        <row r="21">
          <cell r="V21" t="str">
            <v>Salários</v>
          </cell>
          <cell r="X21">
            <v>-43399</v>
          </cell>
          <cell r="Z21">
            <v>-58229</v>
          </cell>
          <cell r="AB21">
            <v>-38755</v>
          </cell>
          <cell r="AD21">
            <v>-52853</v>
          </cell>
          <cell r="AF21">
            <v>-50782</v>
          </cell>
          <cell r="AH21">
            <v>-68753</v>
          </cell>
        </row>
        <row r="22">
          <cell r="V22" t="str">
            <v>Encargos sociais</v>
          </cell>
          <cell r="X22">
            <v>-24587</v>
          </cell>
          <cell r="Z22">
            <v>-33444</v>
          </cell>
          <cell r="AB22">
            <v>-21939</v>
          </cell>
          <cell r="AD22">
            <v>-29290</v>
          </cell>
          <cell r="AF22">
            <v>-29092</v>
          </cell>
          <cell r="AH22">
            <v>-39919</v>
          </cell>
        </row>
        <row r="23">
          <cell r="V23" t="str">
            <v>Serviços terceirizados</v>
          </cell>
          <cell r="X23">
            <v>-23579</v>
          </cell>
          <cell r="Z23">
            <v>-33349</v>
          </cell>
          <cell r="AB23">
            <v>-25453</v>
          </cell>
          <cell r="AD23">
            <v>-35099</v>
          </cell>
          <cell r="AF23">
            <v>-27808</v>
          </cell>
          <cell r="AH23">
            <v>-38692</v>
          </cell>
        </row>
        <row r="24">
          <cell r="V24" t="str">
            <v>Alugueis e leasing</v>
          </cell>
          <cell r="X24">
            <v>-10332</v>
          </cell>
          <cell r="Z24">
            <v>-11186</v>
          </cell>
          <cell r="AB24">
            <v>-13066</v>
          </cell>
          <cell r="AD24">
            <v>-13352</v>
          </cell>
          <cell r="AF24">
            <v>-11933</v>
          </cell>
          <cell r="AH24">
            <v>-12860</v>
          </cell>
        </row>
        <row r="25">
          <cell r="V25" t="str">
            <v>Depreciação e amortização</v>
          </cell>
          <cell r="X25">
            <v>-7539</v>
          </cell>
          <cell r="Z25">
            <v>-11818</v>
          </cell>
          <cell r="AB25">
            <v>-6069</v>
          </cell>
          <cell r="AD25">
            <v>-10038</v>
          </cell>
          <cell r="AF25">
            <v>-12109</v>
          </cell>
          <cell r="AH25">
            <v>-17627</v>
          </cell>
        </row>
        <row r="26">
          <cell r="V26" t="str">
            <v>Amortização direito de uso</v>
          </cell>
          <cell r="X26">
            <v>-7124</v>
          </cell>
          <cell r="Z26">
            <v>-14118</v>
          </cell>
          <cell r="AB26">
            <v>-6316</v>
          </cell>
          <cell r="AD26">
            <v>-12406</v>
          </cell>
          <cell r="AF26">
            <v>-8580</v>
          </cell>
          <cell r="AH26">
            <v>-16550</v>
          </cell>
        </row>
        <row r="27">
          <cell r="V27" t="str">
            <v>Benefícios a empregados</v>
          </cell>
          <cell r="X27">
            <v>-17644</v>
          </cell>
          <cell r="Z27">
            <v>-22167</v>
          </cell>
          <cell r="AB27">
            <v>-12435</v>
          </cell>
          <cell r="AD27">
            <v>-16803</v>
          </cell>
          <cell r="AF27">
            <v>-20983</v>
          </cell>
          <cell r="AH27">
            <v>-26806</v>
          </cell>
        </row>
        <row r="28">
          <cell r="V28" t="str">
            <v>Custos variáveis</v>
          </cell>
          <cell r="X28">
            <v>-4762</v>
          </cell>
          <cell r="Z28">
            <v>-5954</v>
          </cell>
          <cell r="AB28">
            <v>-5535</v>
          </cell>
          <cell r="AD28">
            <v>-6844</v>
          </cell>
          <cell r="AF28">
            <v>-3949</v>
          </cell>
          <cell r="AH28">
            <v>-5954</v>
          </cell>
        </row>
        <row r="29">
          <cell r="V29" t="str">
            <v>Outros gastos gerais</v>
          </cell>
          <cell r="X29">
            <v>-5545</v>
          </cell>
          <cell r="Z29">
            <v>-8295</v>
          </cell>
          <cell r="AB29">
            <v>-2721</v>
          </cell>
          <cell r="AD29">
            <v>-4611</v>
          </cell>
          <cell r="AF29">
            <v>-13992</v>
          </cell>
          <cell r="AH29">
            <v>-17522</v>
          </cell>
        </row>
        <row r="30">
          <cell r="V30" t="str">
            <v>Manutenção</v>
          </cell>
          <cell r="X30">
            <v>-7253</v>
          </cell>
          <cell r="Z30">
            <v>-11086</v>
          </cell>
          <cell r="AB30">
            <v>-7104</v>
          </cell>
          <cell r="AD30">
            <v>-9981</v>
          </cell>
          <cell r="AF30">
            <v>-10069</v>
          </cell>
          <cell r="AH30">
            <v>-15450</v>
          </cell>
        </row>
        <row r="31">
          <cell r="V31" t="str">
            <v>Combustiveis e lubrificantes</v>
          </cell>
          <cell r="X31">
            <v>-4205</v>
          </cell>
          <cell r="Z31">
            <v>-8142</v>
          </cell>
          <cell r="AB31">
            <v>-5910</v>
          </cell>
          <cell r="AD31">
            <v>-7827</v>
          </cell>
          <cell r="AF31">
            <v>-6057</v>
          </cell>
          <cell r="AH31">
            <v>-11019</v>
          </cell>
        </row>
        <row r="32">
          <cell r="V32" t="str">
            <v>Utilidades</v>
          </cell>
          <cell r="X32">
            <v>-1006</v>
          </cell>
          <cell r="Z32">
            <v>-1806</v>
          </cell>
          <cell r="AB32">
            <v>-953</v>
          </cell>
          <cell r="AD32">
            <v>-1623</v>
          </cell>
          <cell r="AF32">
            <v>-1276</v>
          </cell>
          <cell r="AH32">
            <v>-2144</v>
          </cell>
        </row>
        <row r="33">
          <cell r="V33" t="str">
            <v>Comunicação</v>
          </cell>
          <cell r="X33">
            <v>-770</v>
          </cell>
          <cell r="Z33">
            <v>-1353</v>
          </cell>
          <cell r="AB33">
            <v>-267</v>
          </cell>
          <cell r="AD33">
            <v>-898</v>
          </cell>
          <cell r="AF33">
            <v>-818</v>
          </cell>
          <cell r="AH33">
            <v>-1447</v>
          </cell>
        </row>
        <row r="34">
          <cell r="V34" t="str">
            <v>Outros gastos com pessoal</v>
          </cell>
          <cell r="X34">
            <v>-4290</v>
          </cell>
          <cell r="Z34">
            <v>-5650</v>
          </cell>
          <cell r="AB34">
            <v>-4352</v>
          </cell>
          <cell r="AD34">
            <v>-5285</v>
          </cell>
          <cell r="AF34">
            <v>-4391</v>
          </cell>
          <cell r="AH34">
            <v>-5975</v>
          </cell>
        </row>
        <row r="35">
          <cell r="V35" t="str">
            <v>Custos rescisórios</v>
          </cell>
          <cell r="X35">
            <v>-918</v>
          </cell>
          <cell r="Z35">
            <v>-1156</v>
          </cell>
          <cell r="AB35">
            <v>-930</v>
          </cell>
          <cell r="AD35">
            <v>-1437</v>
          </cell>
          <cell r="AF35">
            <v>-952</v>
          </cell>
          <cell r="AH35">
            <v>-1406</v>
          </cell>
        </row>
        <row r="36">
          <cell r="V36" t="str">
            <v>Materiais</v>
          </cell>
          <cell r="X36">
            <v>-747</v>
          </cell>
          <cell r="Z36">
            <v>-1394</v>
          </cell>
          <cell r="AB36">
            <v>-888</v>
          </cell>
          <cell r="AD36">
            <v>-1246</v>
          </cell>
          <cell r="AF36">
            <v>-1144</v>
          </cell>
          <cell r="AH36">
            <v>-1823</v>
          </cell>
        </row>
        <row r="37">
          <cell r="V37" t="str">
            <v>Despesa de viagem</v>
          </cell>
          <cell r="X37">
            <v>-997</v>
          </cell>
          <cell r="Z37">
            <v>-1625</v>
          </cell>
          <cell r="AB37">
            <v>-1948</v>
          </cell>
          <cell r="AD37">
            <v>-2117</v>
          </cell>
          <cell r="AF37">
            <v>-1123</v>
          </cell>
          <cell r="AH37">
            <v>-1858</v>
          </cell>
        </row>
        <row r="38">
          <cell r="V38" t="str">
            <v>Indenização de extravio</v>
          </cell>
          <cell r="X38">
            <v>-1107</v>
          </cell>
          <cell r="Z38">
            <v>-1227</v>
          </cell>
          <cell r="AB38">
            <v>-57</v>
          </cell>
          <cell r="AD38">
            <v>-135</v>
          </cell>
          <cell r="AF38">
            <v>-1157</v>
          </cell>
          <cell r="AH38">
            <v>-1277</v>
          </cell>
        </row>
        <row r="39">
          <cell r="V39" t="str">
            <v>Contribuições e doações</v>
          </cell>
          <cell r="X39">
            <v>-211</v>
          </cell>
          <cell r="Z39">
            <v>-359</v>
          </cell>
          <cell r="AB39">
            <v>-473</v>
          </cell>
          <cell r="AD39">
            <v>-667</v>
          </cell>
          <cell r="AF39">
            <v>-233</v>
          </cell>
          <cell r="AH39">
            <v>-383</v>
          </cell>
        </row>
        <row r="40">
          <cell r="V40" t="str">
            <v>Multas contratuais</v>
          </cell>
          <cell r="Z40">
            <v>0</v>
          </cell>
          <cell r="AB40">
            <v>194</v>
          </cell>
          <cell r="AD40">
            <v>0</v>
          </cell>
          <cell r="AF40">
            <v>150</v>
          </cell>
          <cell r="AH40">
            <v>0</v>
          </cell>
        </row>
        <row r="41">
          <cell r="V41" t="str">
            <v>Perda por redução ao valor
   recuperável de contas a receber</v>
          </cell>
          <cell r="X41">
            <v>-885</v>
          </cell>
          <cell r="Z41">
            <v>-975</v>
          </cell>
          <cell r="AB41">
            <v>-38</v>
          </cell>
          <cell r="AD41">
            <v>174</v>
          </cell>
          <cell r="AF41">
            <v>-1499</v>
          </cell>
          <cell r="AH41">
            <v>-1615</v>
          </cell>
        </row>
        <row r="42">
          <cell r="V42" t="str">
            <v xml:space="preserve">Crédito PIS/COFINS </v>
          </cell>
          <cell r="X42">
            <v>60878</v>
          </cell>
          <cell r="Z42">
            <v>74507</v>
          </cell>
          <cell r="AB42">
            <v>41943</v>
          </cell>
          <cell r="AD42">
            <v>55483</v>
          </cell>
          <cell r="AF42">
            <v>64189</v>
          </cell>
          <cell r="AH42">
            <v>80953</v>
          </cell>
        </row>
      </sheetData>
      <sheetData sheetId="127"/>
      <sheetData sheetId="128">
        <row r="6">
          <cell r="B6">
            <v>0</v>
          </cell>
        </row>
        <row r="10">
          <cell r="B10">
            <v>0</v>
          </cell>
        </row>
        <row r="11">
          <cell r="B11">
            <v>0</v>
          </cell>
        </row>
      </sheetData>
      <sheetData sheetId="129">
        <row r="8">
          <cell r="F8">
            <v>318</v>
          </cell>
          <cell r="N8">
            <v>433</v>
          </cell>
        </row>
        <row r="9">
          <cell r="F9">
            <v>0</v>
          </cell>
          <cell r="N9">
            <v>0</v>
          </cell>
        </row>
        <row r="10">
          <cell r="F10">
            <v>23</v>
          </cell>
          <cell r="N10">
            <v>207</v>
          </cell>
        </row>
        <row r="13">
          <cell r="F13">
            <v>-7364</v>
          </cell>
          <cell r="N13">
            <v>-7433</v>
          </cell>
        </row>
        <row r="14">
          <cell r="F14">
            <v>2269</v>
          </cell>
          <cell r="N14">
            <v>3515</v>
          </cell>
        </row>
      </sheetData>
      <sheetData sheetId="130"/>
      <sheetData sheetId="131">
        <row r="8">
          <cell r="N8">
            <v>1672</v>
          </cell>
        </row>
        <row r="9">
          <cell r="N9">
            <v>343</v>
          </cell>
        </row>
        <row r="10">
          <cell r="N10">
            <v>12848</v>
          </cell>
        </row>
        <row r="11">
          <cell r="N11">
            <v>0</v>
          </cell>
        </row>
        <row r="12">
          <cell r="N12">
            <v>27</v>
          </cell>
        </row>
        <row r="17">
          <cell r="N17">
            <v>-8</v>
          </cell>
        </row>
        <row r="18">
          <cell r="N18">
            <v>-9324</v>
          </cell>
        </row>
        <row r="19">
          <cell r="N19">
            <v>-985</v>
          </cell>
        </row>
        <row r="20">
          <cell r="N20">
            <v>-642</v>
          </cell>
        </row>
        <row r="21">
          <cell r="N21">
            <v>-4897</v>
          </cell>
        </row>
        <row r="22">
          <cell r="N22">
            <v>-343</v>
          </cell>
        </row>
        <row r="23">
          <cell r="N23">
            <v>-280</v>
          </cell>
        </row>
        <row r="24">
          <cell r="N24">
            <v>-864</v>
          </cell>
        </row>
      </sheetData>
      <sheetData sheetId="132"/>
      <sheetData sheetId="133"/>
      <sheetData sheetId="134">
        <row r="5">
          <cell r="T5">
            <v>0</v>
          </cell>
        </row>
        <row r="7">
          <cell r="F7">
            <v>0</v>
          </cell>
        </row>
        <row r="8">
          <cell r="F8">
            <v>0</v>
          </cell>
        </row>
        <row r="10">
          <cell r="F10">
            <v>0</v>
          </cell>
        </row>
        <row r="12">
          <cell r="F12">
            <v>0</v>
          </cell>
          <cell r="T12">
            <v>0</v>
          </cell>
        </row>
        <row r="13">
          <cell r="F13">
            <v>0</v>
          </cell>
        </row>
        <row r="44">
          <cell r="F44">
            <v>6</v>
          </cell>
        </row>
        <row r="45">
          <cell r="F45">
            <v>0</v>
          </cell>
        </row>
      </sheetData>
      <sheetData sheetId="135"/>
      <sheetData sheetId="136">
        <row r="9">
          <cell r="H9">
            <v>572</v>
          </cell>
        </row>
        <row r="10">
          <cell r="H10">
            <v>34</v>
          </cell>
        </row>
        <row r="11">
          <cell r="H11">
            <v>0</v>
          </cell>
        </row>
        <row r="13">
          <cell r="H13">
            <v>0</v>
          </cell>
        </row>
        <row r="18">
          <cell r="H18">
            <v>131</v>
          </cell>
        </row>
        <row r="34">
          <cell r="H34">
            <v>1115</v>
          </cell>
        </row>
        <row r="41">
          <cell r="H41">
            <v>1303</v>
          </cell>
        </row>
        <row r="43">
          <cell r="H43">
            <v>2163</v>
          </cell>
        </row>
        <row r="60">
          <cell r="T60">
            <v>1403</v>
          </cell>
        </row>
        <row r="61">
          <cell r="T61">
            <v>2805</v>
          </cell>
        </row>
        <row r="67">
          <cell r="T67">
            <v>236</v>
          </cell>
        </row>
        <row r="69">
          <cell r="T69">
            <v>488</v>
          </cell>
        </row>
        <row r="71">
          <cell r="T71">
            <v>100</v>
          </cell>
        </row>
        <row r="73">
          <cell r="T73">
            <v>0</v>
          </cell>
        </row>
        <row r="81">
          <cell r="T81">
            <v>0</v>
          </cell>
        </row>
        <row r="82">
          <cell r="T82">
            <v>0</v>
          </cell>
        </row>
        <row r="88">
          <cell r="T88">
            <v>524</v>
          </cell>
        </row>
        <row r="89">
          <cell r="T89">
            <v>6855</v>
          </cell>
        </row>
        <row r="102">
          <cell r="AK102">
            <v>1914</v>
          </cell>
        </row>
        <row r="107">
          <cell r="AK107">
            <v>1914</v>
          </cell>
        </row>
        <row r="111">
          <cell r="AK111">
            <v>-1801</v>
          </cell>
        </row>
        <row r="112">
          <cell r="AK112">
            <v>0</v>
          </cell>
        </row>
        <row r="114">
          <cell r="AK114">
            <v>0</v>
          </cell>
        </row>
        <row r="115">
          <cell r="AK115">
            <v>-2461</v>
          </cell>
        </row>
        <row r="116">
          <cell r="AK116">
            <v>-604</v>
          </cell>
        </row>
        <row r="117">
          <cell r="AK117">
            <v>-531</v>
          </cell>
        </row>
        <row r="119">
          <cell r="AK119">
            <v>-500</v>
          </cell>
        </row>
        <row r="121">
          <cell r="AK121">
            <v>-5897</v>
          </cell>
        </row>
      </sheetData>
      <sheetData sheetId="137"/>
      <sheetData sheetId="138">
        <row r="7">
          <cell r="F7">
            <v>-3053</v>
          </cell>
        </row>
        <row r="8">
          <cell r="F8">
            <v>-2672</v>
          </cell>
        </row>
        <row r="9">
          <cell r="F9">
            <v>-1690</v>
          </cell>
        </row>
      </sheetData>
      <sheetData sheetId="139"/>
      <sheetData sheetId="140"/>
      <sheetData sheetId="141"/>
      <sheetData sheetId="142"/>
      <sheetData sheetId="143"/>
      <sheetData sheetId="144"/>
      <sheetData sheetId="145"/>
      <sheetData sheetId="146"/>
      <sheetData sheetId="147"/>
      <sheetData sheetId="148"/>
      <sheetData sheetId="149"/>
      <sheetData sheetId="15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resentação"/>
      <sheetName val="Graficos"/>
      <sheetName val="Tabelas Earnings"/>
      <sheetName val="Tabelas Earnings_eng"/>
      <sheetName val="Mensal"/>
      <sheetName val="Projeção Merc. Auto"/>
      <sheetName val="Bridge Caixa"/>
      <sheetName val="Base_DRE"/>
      <sheetName val="BP "/>
      <sheetName val="DFC"/>
      <sheetName val="DRE DVA DMPL"/>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
          <cell r="P5">
            <v>866484.33464999998</v>
          </cell>
          <cell r="T5">
            <v>58255.544399999999</v>
          </cell>
          <cell r="X5">
            <v>924739.87904999999</v>
          </cell>
        </row>
        <row r="6">
          <cell r="P6">
            <v>692887.99320999999</v>
          </cell>
          <cell r="T6">
            <v>47228.589160000003</v>
          </cell>
          <cell r="X6">
            <v>740116.58236999996</v>
          </cell>
        </row>
        <row r="7">
          <cell r="P7">
            <v>-47713.087300000007</v>
          </cell>
          <cell r="T7">
            <v>-9878.9212899999984</v>
          </cell>
          <cell r="X7">
            <v>-57592.008589999998</v>
          </cell>
        </row>
        <row r="8">
          <cell r="P8">
            <v>-489074.30842000019</v>
          </cell>
          <cell r="T8">
            <v>-23930.698370000002</v>
          </cell>
          <cell r="X8">
            <v>-513005.00679000007</v>
          </cell>
        </row>
        <row r="9">
          <cell r="P9">
            <v>-6276.4903899999999</v>
          </cell>
          <cell r="T9">
            <v>-1146.47486</v>
          </cell>
          <cell r="X9">
            <v>-7422.9652500000002</v>
          </cell>
        </row>
        <row r="10">
          <cell r="P10">
            <v>-3795.0648500000002</v>
          </cell>
          <cell r="T10">
            <v>-965.57213999999988</v>
          </cell>
          <cell r="X10">
            <v>-4760.63699</v>
          </cell>
        </row>
        <row r="11">
          <cell r="P11">
            <v>-7912.473829999999</v>
          </cell>
          <cell r="T11">
            <v>-848.18160999999998</v>
          </cell>
          <cell r="X11">
            <v>-8760.6554399999986</v>
          </cell>
        </row>
        <row r="12">
          <cell r="P12">
            <v>-8039.1057699999992</v>
          </cell>
          <cell r="T12">
            <v>-1500.4753900000001</v>
          </cell>
          <cell r="X12">
            <v>-9539.5811600000015</v>
          </cell>
        </row>
        <row r="13">
          <cell r="P13">
            <v>28190.40055000002</v>
          </cell>
          <cell r="T13">
            <v>442.09323000000012</v>
          </cell>
          <cell r="X13">
            <v>28632.493780000001</v>
          </cell>
        </row>
        <row r="23">
          <cell r="X23">
            <v>8640.5035400000052</v>
          </cell>
        </row>
        <row r="24">
          <cell r="X24">
            <v>39800.844469999989</v>
          </cell>
        </row>
        <row r="32">
          <cell r="P32">
            <v>-10922.52822</v>
          </cell>
          <cell r="T32">
            <v>-4164.4635400000006</v>
          </cell>
          <cell r="X32">
            <v>-15086.991760000001</v>
          </cell>
        </row>
        <row r="35">
          <cell r="P35">
            <v>-22889.348720000002</v>
          </cell>
          <cell r="T35">
            <v>-2927.3487100000002</v>
          </cell>
          <cell r="X35">
            <v>-25816.697430000004</v>
          </cell>
        </row>
        <row r="36">
          <cell r="P36">
            <v>-2261.0636399999999</v>
          </cell>
          <cell r="T36">
            <v>2.3739999999999997E-2</v>
          </cell>
          <cell r="X36">
            <v>-2261.0398999999998</v>
          </cell>
        </row>
        <row r="37">
          <cell r="P37">
            <v>-8744.1095799999985</v>
          </cell>
          <cell r="T37">
            <v>476.52868999999998</v>
          </cell>
          <cell r="X37">
            <v>-8267.5808899999993</v>
          </cell>
        </row>
        <row r="38">
          <cell r="P38">
            <v>-7108.7338899999986</v>
          </cell>
          <cell r="T38">
            <v>-1526.78133</v>
          </cell>
          <cell r="X38">
            <v>-8635.5152200000011</v>
          </cell>
        </row>
        <row r="39">
          <cell r="P39">
            <v>6084.4004800000002</v>
          </cell>
          <cell r="T39">
            <v>1219.9435399999998</v>
          </cell>
          <cell r="X39">
            <v>7304.3440200000014</v>
          </cell>
        </row>
        <row r="41">
          <cell r="P41">
            <v>0</v>
          </cell>
          <cell r="T41">
            <v>0</v>
          </cell>
          <cell r="X41">
            <v>0</v>
          </cell>
        </row>
        <row r="42">
          <cell r="P42">
            <v>0</v>
          </cell>
          <cell r="T42">
            <v>0</v>
          </cell>
          <cell r="X42">
            <v>0</v>
          </cell>
        </row>
        <row r="43">
          <cell r="P43">
            <v>0</v>
          </cell>
          <cell r="T43">
            <v>0</v>
          </cell>
          <cell r="X43">
            <v>0</v>
          </cell>
        </row>
        <row r="44">
          <cell r="P44">
            <v>0</v>
          </cell>
          <cell r="T44">
            <v>0</v>
          </cell>
          <cell r="X44">
            <v>0</v>
          </cell>
        </row>
        <row r="45">
          <cell r="P45">
            <v>0</v>
          </cell>
          <cell r="T45">
            <v>0</v>
          </cell>
          <cell r="X45">
            <v>0</v>
          </cell>
        </row>
        <row r="46">
          <cell r="P46">
            <v>0</v>
          </cell>
          <cell r="T46">
            <v>1.2478267308324576E-12</v>
          </cell>
          <cell r="X46">
            <v>1.2478267308324576E-12</v>
          </cell>
        </row>
        <row r="47">
          <cell r="P47">
            <v>-1.1641532182693482E-13</v>
          </cell>
          <cell r="T47">
            <v>0</v>
          </cell>
          <cell r="X47">
            <v>-1.1641532182693482E-13</v>
          </cell>
        </row>
        <row r="48">
          <cell r="P48">
            <v>-8.1490725278854372E-13</v>
          </cell>
          <cell r="T48">
            <v>0</v>
          </cell>
          <cell r="X48">
            <v>-8.1490725278854372E-13</v>
          </cell>
        </row>
        <row r="49">
          <cell r="P49">
            <v>0</v>
          </cell>
          <cell r="T49">
            <v>5757.4974399999992</v>
          </cell>
          <cell r="X49">
            <v>5757.4974399999992</v>
          </cell>
        </row>
        <row r="50">
          <cell r="P50">
            <v>-65.597350000000006</v>
          </cell>
          <cell r="T50">
            <v>0</v>
          </cell>
          <cell r="X50">
            <v>-65.597350000000006</v>
          </cell>
        </row>
        <row r="51">
          <cell r="P51">
            <v>-4.0381564758718014E-13</v>
          </cell>
          <cell r="T51">
            <v>0</v>
          </cell>
          <cell r="X51">
            <v>-4.0381564758718014E-13</v>
          </cell>
        </row>
        <row r="52">
          <cell r="X52">
            <v>0</v>
          </cell>
        </row>
        <row r="53">
          <cell r="P53">
            <v>-2376.1004699999999</v>
          </cell>
          <cell r="T53">
            <v>-1.0930599999999999</v>
          </cell>
          <cell r="X53">
            <v>-2377.19353</v>
          </cell>
        </row>
        <row r="57">
          <cell r="P57">
            <v>-38193.33587000001</v>
          </cell>
          <cell r="T57">
            <v>-1624.2585899999997</v>
          </cell>
          <cell r="X57">
            <v>-39817.59446</v>
          </cell>
        </row>
        <row r="59">
          <cell r="P59">
            <v>4418.6506099999997</v>
          </cell>
          <cell r="T59">
            <v>295.18206000000004</v>
          </cell>
          <cell r="X59">
            <v>4713.8326699999998</v>
          </cell>
        </row>
      </sheetData>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_30D"/>
      <sheetName val="Q_M"/>
      <sheetName val="Resumo_Base 100"/>
      <sheetName val="INEG"/>
      <sheetName val="Q_12M"/>
      <sheetName val="Beta"/>
      <sheetName val="Planilha1"/>
      <sheetName val="Atualização"/>
      <sheetName val="Grafico_Base"/>
      <sheetName val="Base100"/>
      <sheetName val="Brokers"/>
      <sheetName val="TSR"/>
      <sheetName val="Tabela"/>
      <sheetName val="DB"/>
      <sheetName val="Gráfico"/>
      <sheetName val="BD-EV-EBITDA e P-E"/>
      <sheetName val="IN"/>
      <sheetName val="Múltipl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272">
          <cell r="B4272">
            <v>26.58</v>
          </cell>
          <cell r="D4272">
            <v>2878478</v>
          </cell>
        </row>
        <row r="4273">
          <cell r="B4273">
            <v>26.88</v>
          </cell>
          <cell r="D4273">
            <v>2907990</v>
          </cell>
        </row>
        <row r="4274">
          <cell r="B4274">
            <v>26.26</v>
          </cell>
          <cell r="D4274">
            <v>5038327</v>
          </cell>
        </row>
        <row r="4275">
          <cell r="B4275">
            <v>25.76</v>
          </cell>
          <cell r="D4275">
            <v>3538185</v>
          </cell>
        </row>
        <row r="4276">
          <cell r="B4276">
            <v>26.1</v>
          </cell>
          <cell r="D4276">
            <v>6014723</v>
          </cell>
        </row>
        <row r="4277">
          <cell r="B4277">
            <v>26</v>
          </cell>
          <cell r="D4277">
            <v>2260768</v>
          </cell>
        </row>
        <row r="4278">
          <cell r="B4278">
            <v>25.57</v>
          </cell>
          <cell r="D4278">
            <v>4642354</v>
          </cell>
        </row>
        <row r="4279">
          <cell r="B4279">
            <v>25.76</v>
          </cell>
          <cell r="D4279">
            <v>3875062</v>
          </cell>
        </row>
        <row r="4280">
          <cell r="B4280">
            <v>26</v>
          </cell>
          <cell r="D4280">
            <v>5491934</v>
          </cell>
        </row>
        <row r="4281">
          <cell r="B4281">
            <v>26.46</v>
          </cell>
          <cell r="D4281">
            <v>5580832</v>
          </cell>
        </row>
        <row r="4282">
          <cell r="B4282">
            <v>26.8</v>
          </cell>
          <cell r="D4282">
            <v>7605690</v>
          </cell>
        </row>
        <row r="4283">
          <cell r="B4283">
            <v>27.35</v>
          </cell>
          <cell r="D4283">
            <v>25329699</v>
          </cell>
        </row>
        <row r="4284">
          <cell r="B4284">
            <v>27.35</v>
          </cell>
          <cell r="D4284">
            <v>3064131</v>
          </cell>
        </row>
        <row r="4285">
          <cell r="B4285">
            <v>27.4</v>
          </cell>
          <cell r="D4285">
            <v>4192230</v>
          </cell>
        </row>
        <row r="4286">
          <cell r="B4286">
            <v>27.32</v>
          </cell>
          <cell r="D4286">
            <v>3290263</v>
          </cell>
        </row>
        <row r="4287">
          <cell r="B4287">
            <v>28.36</v>
          </cell>
          <cell r="D4287">
            <v>10292881</v>
          </cell>
        </row>
        <row r="4288">
          <cell r="B4288">
            <v>28.79</v>
          </cell>
          <cell r="D4288">
            <v>11827685</v>
          </cell>
        </row>
        <row r="4289">
          <cell r="B4289">
            <v>29.25</v>
          </cell>
          <cell r="D4289">
            <v>17945279</v>
          </cell>
        </row>
        <row r="4290">
          <cell r="B4290">
            <v>29.05</v>
          </cell>
          <cell r="D4290">
            <v>4850825</v>
          </cell>
        </row>
        <row r="4291">
          <cell r="B4291">
            <v>29.74</v>
          </cell>
          <cell r="D4291">
            <v>5814695</v>
          </cell>
        </row>
        <row r="4292">
          <cell r="B4292">
            <v>29.12</v>
          </cell>
          <cell r="D4292">
            <v>5788253</v>
          </cell>
        </row>
        <row r="4293">
          <cell r="B4293">
            <v>29.35</v>
          </cell>
          <cell r="D4293">
            <v>7281237</v>
          </cell>
        </row>
        <row r="4294">
          <cell r="B4294">
            <v>29.52</v>
          </cell>
          <cell r="D4294">
            <v>8061743</v>
          </cell>
        </row>
        <row r="4295">
          <cell r="B4295">
            <v>29.36</v>
          </cell>
          <cell r="D4295">
            <v>4665145</v>
          </cell>
        </row>
        <row r="4296">
          <cell r="B4296">
            <v>30.4</v>
          </cell>
          <cell r="D4296">
            <v>11731715</v>
          </cell>
        </row>
        <row r="4297">
          <cell r="B4297">
            <v>31.55</v>
          </cell>
          <cell r="D4297">
            <v>25598211</v>
          </cell>
        </row>
        <row r="4298">
          <cell r="B4298">
            <v>32.130000000000003</v>
          </cell>
          <cell r="D4298">
            <v>13849256</v>
          </cell>
        </row>
        <row r="4299">
          <cell r="B4299">
            <v>31.46</v>
          </cell>
          <cell r="D4299">
            <v>13528229</v>
          </cell>
        </row>
        <row r="4300">
          <cell r="B4300">
            <v>31.09</v>
          </cell>
          <cell r="D4300">
            <v>10824546</v>
          </cell>
        </row>
        <row r="4301">
          <cell r="B4301">
            <v>31.43</v>
          </cell>
          <cell r="D4301">
            <v>4226966</v>
          </cell>
        </row>
        <row r="4302">
          <cell r="B4302">
            <v>31.68</v>
          </cell>
          <cell r="D4302">
            <v>14925159</v>
          </cell>
        </row>
        <row r="4303">
          <cell r="B4303">
            <v>31.35</v>
          </cell>
          <cell r="D4303">
            <v>4578530</v>
          </cell>
        </row>
        <row r="4304">
          <cell r="B4304">
            <v>31.32</v>
          </cell>
          <cell r="D4304">
            <v>6837413</v>
          </cell>
        </row>
        <row r="4305">
          <cell r="B4305">
            <v>31.21</v>
          </cell>
          <cell r="D4305">
            <v>3772480</v>
          </cell>
        </row>
        <row r="4306">
          <cell r="B4306">
            <v>31.65</v>
          </cell>
          <cell r="D4306">
            <v>7753594</v>
          </cell>
        </row>
        <row r="4307">
          <cell r="B4307">
            <v>31.37</v>
          </cell>
          <cell r="D4307">
            <v>5454795</v>
          </cell>
        </row>
        <row r="4308">
          <cell r="B4308">
            <v>31.35</v>
          </cell>
          <cell r="D4308">
            <v>2728593</v>
          </cell>
        </row>
        <row r="4309">
          <cell r="B4309">
            <v>31.61</v>
          </cell>
          <cell r="D4309">
            <v>3433167</v>
          </cell>
        </row>
        <row r="4310">
          <cell r="B4310">
            <v>31.65</v>
          </cell>
          <cell r="D4310">
            <v>7203228</v>
          </cell>
        </row>
        <row r="4311">
          <cell r="B4311">
            <v>31.12</v>
          </cell>
          <cell r="D4311">
            <v>11198644</v>
          </cell>
        </row>
        <row r="4312">
          <cell r="B4312">
            <v>29.78</v>
          </cell>
          <cell r="D4312">
            <v>8629877</v>
          </cell>
        </row>
        <row r="4313">
          <cell r="B4313">
            <v>30.6</v>
          </cell>
          <cell r="D4313">
            <v>10504003</v>
          </cell>
        </row>
        <row r="4314">
          <cell r="B4314">
            <v>30.49</v>
          </cell>
          <cell r="D4314">
            <v>14615143</v>
          </cell>
        </row>
        <row r="4315">
          <cell r="B4315">
            <v>30.58</v>
          </cell>
          <cell r="D4315">
            <v>10251240</v>
          </cell>
        </row>
        <row r="4316">
          <cell r="B4316">
            <v>30.77</v>
          </cell>
          <cell r="D4316">
            <v>13795238</v>
          </cell>
        </row>
        <row r="4317">
          <cell r="B4317">
            <v>31.9</v>
          </cell>
          <cell r="D4317">
            <v>16858690</v>
          </cell>
        </row>
        <row r="4318">
          <cell r="B4318">
            <v>31.71</v>
          </cell>
          <cell r="D4318">
            <v>13190275</v>
          </cell>
        </row>
        <row r="4319">
          <cell r="B4319">
            <v>31.82</v>
          </cell>
          <cell r="D4319">
            <v>8974407</v>
          </cell>
        </row>
        <row r="4320">
          <cell r="B4320">
            <v>31.9</v>
          </cell>
          <cell r="D4320">
            <v>11683279</v>
          </cell>
        </row>
        <row r="4321">
          <cell r="B4321">
            <v>32.049999999999997</v>
          </cell>
          <cell r="D4321">
            <v>14016661</v>
          </cell>
        </row>
        <row r="4322">
          <cell r="B4322">
            <v>31.08</v>
          </cell>
          <cell r="D4322">
            <v>8195345</v>
          </cell>
        </row>
        <row r="4323">
          <cell r="B4323">
            <v>31.11</v>
          </cell>
          <cell r="D4323">
            <v>10879725</v>
          </cell>
        </row>
        <row r="4324">
          <cell r="B4324">
            <v>29.71</v>
          </cell>
          <cell r="D4324">
            <v>9007618</v>
          </cell>
        </row>
        <row r="4325">
          <cell r="B4325">
            <v>29.42</v>
          </cell>
          <cell r="D4325">
            <v>16384712</v>
          </cell>
        </row>
        <row r="4326">
          <cell r="B4326">
            <v>28.87</v>
          </cell>
          <cell r="D4326">
            <v>8412436</v>
          </cell>
        </row>
        <row r="4327">
          <cell r="B4327">
            <v>29.78</v>
          </cell>
          <cell r="D4327">
            <v>6246112</v>
          </cell>
        </row>
        <row r="4328">
          <cell r="B4328">
            <v>30</v>
          </cell>
          <cell r="D4328">
            <v>3990641</v>
          </cell>
        </row>
        <row r="4329">
          <cell r="B4329">
            <v>29.45</v>
          </cell>
          <cell r="D4329">
            <v>3796468</v>
          </cell>
        </row>
        <row r="4330">
          <cell r="B4330">
            <v>29.33</v>
          </cell>
          <cell r="D4330">
            <v>4831594</v>
          </cell>
        </row>
        <row r="4331">
          <cell r="B4331">
            <v>29.4</v>
          </cell>
          <cell r="D4331">
            <v>9005896</v>
          </cell>
        </row>
        <row r="4332">
          <cell r="B4332">
            <v>28.63</v>
          </cell>
          <cell r="D4332">
            <v>4542902</v>
          </cell>
        </row>
      </sheetData>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ilha1"/>
      <sheetName val="FINAL"/>
      <sheetName val="MemóriaCal"/>
      <sheetName val="Simulação"/>
      <sheetName val="Mopia"/>
      <sheetName val="KÁTIA"/>
      <sheetName val="MARCELA"/>
      <sheetName val="BEATRIZ"/>
      <sheetName val="COIMEX"/>
      <sheetName val="Cabana"/>
      <sheetName val="Base"/>
    </sheetNames>
    <sheetDataSet>
      <sheetData sheetId="0"/>
      <sheetData sheetId="1">
        <row r="8">
          <cell r="F8">
            <v>0.85</v>
          </cell>
        </row>
        <row r="9">
          <cell r="F9">
            <v>0.29000000000000004</v>
          </cell>
        </row>
      </sheetData>
      <sheetData sheetId="2">
        <row r="9">
          <cell r="C9">
            <v>56047106.199999996</v>
          </cell>
          <cell r="D9">
            <v>19121953.880000003</v>
          </cell>
        </row>
      </sheetData>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90B810-C916-4DA0-B391-6571B709E7C9}" name="Tabela1" displayName="Tabela1" ref="A1:D48" totalsRowShown="0" headerRowDxfId="14">
  <autoFilter ref="A1:D48" xr:uid="{EDBDDA0F-5F6B-4D11-B269-578FA5FBE161}"/>
  <tableColumns count="4">
    <tableColumn id="1" xr3:uid="{B5C36D1E-5495-4646-B7B7-BC4F0DF6350A}" name="Pasta de trabalho"/>
    <tableColumn id="2" xr3:uid="{2F5B2A15-9882-44E4-9B62-54BDD43E7660}" name="Ajustar (Sim/Não)"/>
    <tableColumn id="3" xr3:uid="{8ED995D7-7642-405E-A575-D2656570EE56}" name="Tipo (Fluxo/Saldo)"/>
    <tableColumn id="4" xr3:uid="{31BDD960-5A1F-4105-980B-C5FEBCFF7374}" name="Observação"/>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74E7AB6-F7F0-4DE0-A632-C6C54ED7633C}">
  <we:reference id="wa200010725" version="1.0.0.1" store="en-US" storeType="OMEX"/>
  <we:alternateReferences>
    <we:reference id="wa200010725" version="1.0.0.1" store="" storeType="OMEX"/>
  </we:alternateReferences>
  <we:properties>
    <we:property name="claude.fileId" value="&quot;e6fdace4-ab71-4995-b205-fd53d44b6e8b&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13.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4.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15.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16.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17.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18.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1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2.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3.xml"/><Relationship Id="rId1" Type="http://schemas.openxmlformats.org/officeDocument/2006/relationships/printerSettings" Target="../printerSettings/printerSettings33.bin"/><Relationship Id="rId4" Type="http://schemas.openxmlformats.org/officeDocument/2006/relationships/comments" Target="../comments21.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4.xml"/><Relationship Id="rId1" Type="http://schemas.openxmlformats.org/officeDocument/2006/relationships/printerSettings" Target="../printerSettings/printerSettings34.bin"/><Relationship Id="rId4" Type="http://schemas.openxmlformats.org/officeDocument/2006/relationships/comments" Target="../comments22.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3.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6.xml"/><Relationship Id="rId1" Type="http://schemas.openxmlformats.org/officeDocument/2006/relationships/printerSettings" Target="../printerSettings/printerSettings36.bin"/><Relationship Id="rId4" Type="http://schemas.openxmlformats.org/officeDocument/2006/relationships/comments" Target="../comments24.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7.xml"/><Relationship Id="rId1" Type="http://schemas.openxmlformats.org/officeDocument/2006/relationships/printerSettings" Target="../printerSettings/printerSettings37.bin"/><Relationship Id="rId4" Type="http://schemas.openxmlformats.org/officeDocument/2006/relationships/comments" Target="../comments25.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8.xml"/><Relationship Id="rId1" Type="http://schemas.openxmlformats.org/officeDocument/2006/relationships/printerSettings" Target="../printerSettings/printerSettings38.bin"/><Relationship Id="rId4" Type="http://schemas.openxmlformats.org/officeDocument/2006/relationships/comments" Target="../comments26.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9.xml"/><Relationship Id="rId1" Type="http://schemas.openxmlformats.org/officeDocument/2006/relationships/printerSettings" Target="../printerSettings/printerSettings39.bin"/><Relationship Id="rId4" Type="http://schemas.openxmlformats.org/officeDocument/2006/relationships/comments" Target="../comments2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1.xml"/><Relationship Id="rId1" Type="http://schemas.openxmlformats.org/officeDocument/2006/relationships/printerSettings" Target="../printerSettings/printerSettings41.bin"/><Relationship Id="rId4" Type="http://schemas.openxmlformats.org/officeDocument/2006/relationships/comments" Target="../comments28.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2.xml"/><Relationship Id="rId1" Type="http://schemas.openxmlformats.org/officeDocument/2006/relationships/printerSettings" Target="../printerSettings/printerSettings42.bin"/><Relationship Id="rId4" Type="http://schemas.openxmlformats.org/officeDocument/2006/relationships/comments" Target="../comments29.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3.xml"/><Relationship Id="rId1" Type="http://schemas.openxmlformats.org/officeDocument/2006/relationships/printerSettings" Target="../printerSettings/printerSettings43.bin"/><Relationship Id="rId4" Type="http://schemas.openxmlformats.org/officeDocument/2006/relationships/comments" Target="../comments30.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5.xml"/><Relationship Id="rId1" Type="http://schemas.openxmlformats.org/officeDocument/2006/relationships/printerSettings" Target="../printerSettings/printerSettings45.bin"/><Relationship Id="rId4" Type="http://schemas.openxmlformats.org/officeDocument/2006/relationships/comments" Target="../comments31.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tabColor theme="8"/>
    <pageSetUpPr autoPageBreaks="0" fitToPage="1"/>
  </sheetPr>
  <dimension ref="A1:BZ138"/>
  <sheetViews>
    <sheetView showGridLines="0" showRowColHeaders="0" zoomScaleNormal="100" workbookViewId="0">
      <selection activeCell="R24" sqref="R24"/>
    </sheetView>
  </sheetViews>
  <sheetFormatPr defaultColWidth="9.140625" defaultRowHeight="15.75" x14ac:dyDescent="0.25"/>
  <cols>
    <col min="1" max="1" width="9" style="2" customWidth="1"/>
    <col min="2" max="2" width="51.140625" style="2" customWidth="1"/>
    <col min="3" max="3" width="10.140625" style="2" customWidth="1"/>
    <col min="4" max="4" width="16" style="2" customWidth="1"/>
    <col min="5" max="12" width="9.140625" style="2"/>
    <col min="13" max="13" width="5.85546875" style="2" customWidth="1"/>
    <col min="14" max="50" width="9.140625" style="2"/>
    <col min="51" max="51" width="36.140625" style="2" bestFit="1" customWidth="1"/>
    <col min="52" max="78" width="9.140625" style="2"/>
    <col min="79" max="79" width="12.140625" style="2" bestFit="1" customWidth="1"/>
    <col min="80" max="80" width="40.85546875" style="2" bestFit="1" customWidth="1"/>
    <col min="81" max="81" width="63.5703125" style="2" bestFit="1" customWidth="1"/>
    <col min="82" max="82" width="24.140625" style="2" bestFit="1" customWidth="1"/>
    <col min="83" max="83" width="38.85546875" style="2" bestFit="1" customWidth="1"/>
    <col min="84" max="84" width="16.140625" style="2" bestFit="1" customWidth="1"/>
    <col min="85" max="85" width="32.140625" style="2" bestFit="1" customWidth="1"/>
    <col min="86" max="86" width="24" style="2" bestFit="1" customWidth="1"/>
    <col min="87" max="16384" width="9.140625" style="2"/>
  </cols>
  <sheetData>
    <row r="1" spans="1:78" x14ac:dyDescent="0.25">
      <c r="A1" s="4"/>
      <c r="B1" s="4"/>
      <c r="D1" s="3"/>
      <c r="E1" s="3"/>
      <c r="F1" s="3"/>
      <c r="G1" s="3"/>
      <c r="H1" s="3"/>
      <c r="I1" s="3"/>
      <c r="J1" s="3"/>
      <c r="K1" s="3"/>
      <c r="L1" s="3"/>
      <c r="M1" s="3"/>
      <c r="N1" s="3"/>
      <c r="O1" s="3"/>
      <c r="P1" s="3"/>
      <c r="Q1" s="471"/>
      <c r="T1" s="477"/>
      <c r="U1" s="566"/>
      <c r="AY1" s="639" t="s">
        <v>1278</v>
      </c>
      <c r="BZ1" s="3"/>
    </row>
    <row r="2" spans="1:78" x14ac:dyDescent="0.25">
      <c r="B2" s="3"/>
      <c r="C2" s="3"/>
      <c r="D2" s="3"/>
      <c r="E2" s="3"/>
      <c r="F2" s="3"/>
      <c r="G2" s="3"/>
      <c r="H2" s="3"/>
      <c r="I2" s="3"/>
      <c r="J2" s="3"/>
      <c r="K2" s="3"/>
      <c r="L2" s="3"/>
      <c r="M2" s="3"/>
      <c r="N2" s="3"/>
      <c r="O2" s="470"/>
      <c r="P2" s="3"/>
      <c r="Q2" s="3"/>
      <c r="R2" s="477"/>
      <c r="S2" s="562"/>
      <c r="U2" s="567"/>
      <c r="AY2" s="640" t="str">
        <f>[1]RENAME!R2</f>
        <v>#'BP'!B5</v>
      </c>
    </row>
    <row r="3" spans="1:78" x14ac:dyDescent="0.25">
      <c r="B3" s="3"/>
      <c r="C3" s="3"/>
      <c r="D3" s="3"/>
      <c r="E3" s="3"/>
      <c r="F3" s="3"/>
      <c r="G3" s="3"/>
      <c r="H3" s="3"/>
      <c r="I3" s="3"/>
      <c r="J3" s="3"/>
      <c r="K3" s="3"/>
      <c r="L3" s="3"/>
      <c r="M3" s="3"/>
      <c r="N3" s="3"/>
      <c r="O3" s="470"/>
      <c r="P3" s="3"/>
      <c r="Q3" s="3"/>
      <c r="R3" s="477"/>
      <c r="S3" s="562"/>
      <c r="U3" s="567"/>
      <c r="AY3" s="640" t="str">
        <f>[1]RENAME!R3</f>
        <v>#'DRE'!B5</v>
      </c>
    </row>
    <row r="4" spans="1:78" x14ac:dyDescent="0.25">
      <c r="A4" s="561"/>
      <c r="B4" s="4"/>
      <c r="D4" s="3"/>
      <c r="E4" s="3"/>
      <c r="F4" s="3"/>
      <c r="G4" s="3"/>
      <c r="H4" s="3"/>
      <c r="I4" s="3"/>
      <c r="J4" s="3"/>
      <c r="K4" s="3"/>
      <c r="L4" s="3"/>
      <c r="M4" s="3"/>
      <c r="N4" s="3"/>
      <c r="O4" s="3"/>
      <c r="P4" s="3"/>
      <c r="Q4" s="470"/>
      <c r="R4" s="3"/>
      <c r="S4" s="3"/>
      <c r="T4" s="477"/>
      <c r="U4" s="566"/>
      <c r="AY4" s="640" t="str">
        <f>[1]RENAME!R4</f>
        <v>#'Auto'!B5</v>
      </c>
    </row>
    <row r="5" spans="1:78" ht="18.75" x14ac:dyDescent="0.25">
      <c r="B5" s="603"/>
      <c r="D5" s="3"/>
      <c r="E5" s="476"/>
      <c r="F5" s="3"/>
      <c r="G5" s="3"/>
      <c r="H5" s="3"/>
      <c r="I5" s="3"/>
      <c r="J5" s="3"/>
      <c r="K5" s="3"/>
      <c r="L5" s="3"/>
      <c r="M5" s="3"/>
      <c r="N5" s="3"/>
      <c r="O5" s="3"/>
      <c r="P5" s="3"/>
      <c r="Q5" s="470"/>
      <c r="R5" s="3"/>
      <c r="S5" s="3"/>
      <c r="T5" s="477"/>
      <c r="U5" s="566"/>
      <c r="AY5" s="640" t="str">
        <f>[1]RENAME!R5</f>
        <v>#'LI'!B5</v>
      </c>
    </row>
    <row r="6" spans="1:78" ht="18.75" x14ac:dyDescent="0.25">
      <c r="B6" s="604"/>
      <c r="D6" s="3"/>
      <c r="E6" s="3"/>
      <c r="F6" s="3"/>
      <c r="G6" s="3"/>
      <c r="H6" s="3"/>
      <c r="I6" s="3"/>
      <c r="J6" s="3"/>
      <c r="K6" s="3"/>
      <c r="L6" s="3"/>
      <c r="M6" s="3"/>
      <c r="N6" s="3"/>
      <c r="O6" s="3"/>
      <c r="P6" s="3"/>
      <c r="Q6" s="470"/>
      <c r="R6" s="3"/>
      <c r="S6" s="3"/>
      <c r="T6" s="477"/>
      <c r="U6" s="566"/>
      <c r="AY6" s="640" t="str">
        <f>[1]RENAME!R6</f>
        <v>#'Consolidado'!B5</v>
      </c>
    </row>
    <row r="7" spans="1:78" x14ac:dyDescent="0.25">
      <c r="B7" s="605"/>
      <c r="D7" s="3"/>
      <c r="E7" s="3"/>
      <c r="F7" s="3"/>
      <c r="G7" s="3"/>
      <c r="H7" s="3"/>
      <c r="I7" s="3"/>
      <c r="J7" s="3"/>
      <c r="K7" s="3"/>
      <c r="L7" s="3"/>
      <c r="M7" s="3"/>
      <c r="N7" s="3"/>
      <c r="O7" s="3"/>
      <c r="P7" s="3"/>
      <c r="Q7" s="470"/>
      <c r="R7" s="3"/>
      <c r="S7" s="3"/>
      <c r="T7" s="477"/>
      <c r="U7" s="566"/>
      <c r="AY7" s="640" t="str">
        <f>[1]RENAME!R7</f>
        <v>#'DFC'!B5</v>
      </c>
    </row>
    <row r="8" spans="1:78" x14ac:dyDescent="0.25">
      <c r="A8" s="4"/>
      <c r="B8" s="4"/>
      <c r="D8" s="3"/>
      <c r="E8" s="3"/>
      <c r="F8" s="3"/>
      <c r="G8" s="3"/>
      <c r="H8" s="3"/>
      <c r="I8" s="3"/>
      <c r="J8" s="3"/>
      <c r="K8" s="3"/>
      <c r="L8" s="3"/>
      <c r="M8" s="3"/>
      <c r="N8" s="3"/>
      <c r="O8" s="3"/>
      <c r="P8" s="3"/>
      <c r="Q8" s="3"/>
      <c r="R8" s="3"/>
      <c r="S8" s="3"/>
      <c r="T8" s="477"/>
      <c r="U8" s="566"/>
      <c r="AY8" s="640" t="str">
        <f>[1]RENAME!R8</f>
        <v>#'DVA'!B5</v>
      </c>
    </row>
    <row r="9" spans="1:78" x14ac:dyDescent="0.25">
      <c r="A9" s="4"/>
      <c r="B9" s="4"/>
      <c r="D9" s="3"/>
      <c r="E9" s="3"/>
      <c r="F9" s="3"/>
      <c r="G9" s="3"/>
      <c r="H9" s="3"/>
      <c r="I9" s="3"/>
      <c r="J9" s="3"/>
      <c r="K9" s="3"/>
      <c r="L9" s="3"/>
      <c r="M9" s="3"/>
      <c r="N9" s="3"/>
      <c r="O9" s="3"/>
      <c r="P9" s="3"/>
      <c r="Q9" s="3"/>
      <c r="R9" s="3"/>
      <c r="S9" s="3"/>
      <c r="T9" s="477"/>
      <c r="U9" s="566"/>
      <c r="AY9" s="640" t="str">
        <f>[1]RENAME!R9</f>
        <v>#'Indicadores'!B5</v>
      </c>
    </row>
    <row r="10" spans="1:78" x14ac:dyDescent="0.25">
      <c r="A10" s="4"/>
      <c r="B10" s="4"/>
      <c r="D10" s="3"/>
      <c r="E10" s="3"/>
      <c r="F10" s="3"/>
      <c r="G10" s="3"/>
      <c r="H10" s="3"/>
      <c r="I10" s="3"/>
      <c r="J10" s="3"/>
      <c r="K10" s="3"/>
      <c r="L10" s="3"/>
      <c r="M10" s="3"/>
      <c r="N10" s="3"/>
      <c r="O10" s="3"/>
      <c r="P10" s="3"/>
      <c r="Q10" s="471"/>
      <c r="R10" s="3"/>
      <c r="S10" s="3"/>
      <c r="T10" s="477"/>
      <c r="U10" s="566"/>
      <c r="AY10" s="640" t="str">
        <f>[1]RENAME!R10</f>
        <v>#'Estimativas'!B5</v>
      </c>
    </row>
    <row r="11" spans="1:78" x14ac:dyDescent="0.25">
      <c r="A11" s="4"/>
      <c r="B11" s="18"/>
      <c r="D11" s="3"/>
      <c r="E11" s="3"/>
      <c r="F11" s="3"/>
      <c r="G11" s="3"/>
      <c r="H11" s="3"/>
      <c r="I11" s="3"/>
      <c r="J11" s="3"/>
      <c r="K11" s="3"/>
      <c r="L11" s="3"/>
      <c r="M11" s="3"/>
      <c r="N11" s="3"/>
      <c r="O11" s="3"/>
      <c r="P11" s="3"/>
      <c r="Q11" s="3"/>
      <c r="R11" s="3"/>
      <c r="S11" s="3"/>
      <c r="T11" s="477"/>
      <c r="U11" s="566"/>
      <c r="AY11" s="640" t="str">
        <f>[1]RENAME!R11</f>
        <v>#'Dividendos'!B5</v>
      </c>
    </row>
    <row r="12" spans="1:78" x14ac:dyDescent="0.25">
      <c r="A12" s="4"/>
      <c r="B12" s="18"/>
      <c r="D12" s="3"/>
      <c r="E12" s="3"/>
      <c r="F12" s="3"/>
      <c r="G12" s="3"/>
      <c r="H12" s="3"/>
      <c r="I12" s="3"/>
      <c r="J12" s="3"/>
      <c r="K12" s="3"/>
      <c r="L12" s="3"/>
      <c r="M12" s="3"/>
      <c r="N12" s="3"/>
      <c r="O12" s="3"/>
      <c r="P12" s="3"/>
      <c r="Q12" s="3"/>
      <c r="R12" s="3"/>
      <c r="S12" s="3"/>
      <c r="T12" s="477"/>
      <c r="U12" s="566"/>
      <c r="AY12" s="640" t="str">
        <f>[1]RENAME!R12</f>
        <v>#'Dados Mercado'!B5</v>
      </c>
    </row>
    <row r="13" spans="1:78" x14ac:dyDescent="0.25">
      <c r="A13" s="4"/>
      <c r="B13" s="18"/>
      <c r="D13" s="3"/>
      <c r="E13" s="3"/>
      <c r="F13" s="3"/>
      <c r="G13" s="3"/>
      <c r="H13" s="3"/>
      <c r="I13" s="3"/>
      <c r="J13" s="3"/>
      <c r="K13" s="3"/>
      <c r="L13" s="3"/>
      <c r="M13" s="3"/>
      <c r="N13" s="3"/>
      <c r="O13" s="3"/>
      <c r="P13" s="3"/>
      <c r="Q13" s="3"/>
      <c r="R13" s="3"/>
      <c r="S13" s="3"/>
      <c r="T13" s="477"/>
      <c r="U13" s="566"/>
      <c r="AY13" s="640" t="str">
        <f>[1]RENAME!R13</f>
        <v>#'Anexos'!B5</v>
      </c>
    </row>
    <row r="14" spans="1:78" x14ac:dyDescent="0.25">
      <c r="A14" s="4"/>
      <c r="B14" s="18"/>
      <c r="D14" s="3"/>
      <c r="E14" s="3"/>
      <c r="F14" s="3"/>
      <c r="G14" s="3"/>
      <c r="H14" s="3"/>
      <c r="I14" s="3"/>
      <c r="J14" s="3"/>
      <c r="K14" s="3"/>
      <c r="L14" s="3"/>
      <c r="M14" s="3"/>
      <c r="N14" s="3"/>
      <c r="O14" s="3"/>
      <c r="P14" s="3"/>
      <c r="Q14" s="3"/>
      <c r="R14" s="3"/>
      <c r="S14" s="3"/>
      <c r="T14" s="477"/>
      <c r="U14" s="566"/>
      <c r="AY14" s="640" t="str">
        <f>[1]RENAME!R14</f>
        <v>#'Risco de Liquidez'!B5</v>
      </c>
    </row>
    <row r="15" spans="1:78" x14ac:dyDescent="0.25">
      <c r="A15" s="4"/>
      <c r="B15" s="18"/>
      <c r="D15" s="3"/>
      <c r="E15" s="3"/>
      <c r="F15" s="3"/>
      <c r="G15" s="3"/>
      <c r="H15" s="3"/>
      <c r="I15" s="3"/>
      <c r="J15" s="3"/>
      <c r="K15" s="3"/>
      <c r="L15" s="3"/>
      <c r="M15" s="3"/>
      <c r="N15" s="3"/>
      <c r="O15" s="3"/>
      <c r="P15" s="3"/>
      <c r="Q15" s="3"/>
      <c r="R15" s="3"/>
      <c r="S15" s="3"/>
      <c r="T15" s="477"/>
      <c r="U15" s="566"/>
      <c r="AY15" s="640" t="str">
        <f>[1]RENAME!R15</f>
        <v>#'Análise de Sensibilidade'!B5</v>
      </c>
    </row>
    <row r="16" spans="1:78" x14ac:dyDescent="0.25">
      <c r="A16" s="4"/>
      <c r="B16" s="18"/>
      <c r="D16" s="3"/>
      <c r="E16" s="3"/>
      <c r="F16" s="3"/>
      <c r="G16" s="3"/>
      <c r="H16" s="3"/>
      <c r="I16" s="3"/>
      <c r="J16" s="3"/>
      <c r="K16" s="3"/>
      <c r="L16" s="3"/>
      <c r="M16" s="3"/>
      <c r="N16" s="3"/>
      <c r="O16" s="3"/>
      <c r="P16" s="3"/>
      <c r="Q16" s="3"/>
      <c r="R16" s="3"/>
      <c r="S16" s="3"/>
      <c r="T16" s="477"/>
      <c r="U16" s="566"/>
      <c r="AY16" s="640" t="str">
        <f>[1]RENAME!R16</f>
        <v>#'Gestão de Capital'!B5</v>
      </c>
    </row>
    <row r="17" spans="1:51" x14ac:dyDescent="0.25">
      <c r="A17" s="4"/>
      <c r="B17" s="5"/>
      <c r="D17" s="3"/>
      <c r="E17" s="3"/>
      <c r="F17" s="3"/>
      <c r="G17" s="3"/>
      <c r="H17" s="3"/>
      <c r="I17" s="3"/>
      <c r="J17" s="3"/>
      <c r="K17" s="3"/>
      <c r="L17" s="3"/>
      <c r="M17" s="3"/>
      <c r="N17" s="3"/>
      <c r="O17" s="3"/>
      <c r="P17" s="3"/>
      <c r="Q17" s="3"/>
      <c r="R17" s="3"/>
      <c r="S17" s="3"/>
      <c r="T17" s="477"/>
      <c r="U17" s="566"/>
      <c r="AY17" s="640" t="str">
        <f>[1]RENAME!R17</f>
        <v>#'Caixa e Equivalente de Caixa'!B5</v>
      </c>
    </row>
    <row r="18" spans="1:51" x14ac:dyDescent="0.25">
      <c r="A18" s="4"/>
      <c r="B18" s="5"/>
      <c r="D18" s="3"/>
      <c r="E18" s="3"/>
      <c r="F18" s="3"/>
      <c r="G18" s="3"/>
      <c r="H18" s="3"/>
      <c r="I18" s="3"/>
      <c r="J18" s="3"/>
      <c r="K18" s="3"/>
      <c r="L18" s="3"/>
      <c r="M18" s="3"/>
      <c r="N18" s="3"/>
      <c r="O18" s="3"/>
      <c r="P18" s="3"/>
      <c r="Q18" s="3"/>
      <c r="R18" s="3"/>
      <c r="S18" s="3"/>
      <c r="T18" s="477"/>
      <c r="U18" s="566"/>
      <c r="AY18" s="640" t="str">
        <f>[1]RENAME!R18</f>
        <v>#'Contas a Receber'!B5</v>
      </c>
    </row>
    <row r="19" spans="1:51" ht="25.5" customHeight="1" x14ac:dyDescent="0.25">
      <c r="A19" s="7"/>
      <c r="D19" s="3"/>
      <c r="E19" s="3"/>
      <c r="F19" s="3"/>
      <c r="G19" s="3"/>
      <c r="H19" s="3"/>
      <c r="I19" s="3"/>
      <c r="J19" s="3"/>
      <c r="K19" s="3"/>
      <c r="L19" s="3"/>
      <c r="M19" s="3"/>
      <c r="N19" s="3"/>
      <c r="O19" s="3"/>
      <c r="P19" s="3"/>
      <c r="Q19" s="3"/>
      <c r="R19" s="3"/>
      <c r="S19" s="3"/>
      <c r="T19" s="477"/>
      <c r="U19" s="566"/>
      <c r="AY19" s="640" t="str">
        <f>[1]RENAME!R19</f>
        <v>#'Contas a Receber Aging'!B5</v>
      </c>
    </row>
    <row r="20" spans="1:51" x14ac:dyDescent="0.25">
      <c r="A20" s="14"/>
      <c r="B20" s="6"/>
      <c r="J20" s="3"/>
      <c r="K20" s="3"/>
      <c r="L20" s="3"/>
      <c r="M20" s="3"/>
      <c r="N20" s="3"/>
      <c r="O20" s="3"/>
      <c r="P20" s="3"/>
      <c r="Q20" s="3"/>
      <c r="R20" s="3"/>
      <c r="S20" s="3"/>
      <c r="T20" s="477"/>
      <c r="U20" s="566"/>
      <c r="AY20" s="640" t="str">
        <f>[1]RENAME!R20</f>
        <v>#'Contas a Receber Mov PDD'!B5</v>
      </c>
    </row>
    <row r="21" spans="1:51" x14ac:dyDescent="0.25">
      <c r="B21" s="6"/>
      <c r="G21" s="474"/>
      <c r="H21" s="474"/>
      <c r="I21" s="474"/>
      <c r="J21" s="475"/>
      <c r="K21" s="3"/>
      <c r="L21" s="3"/>
      <c r="M21" s="3"/>
      <c r="N21" s="3"/>
      <c r="O21" s="3"/>
      <c r="P21" s="3"/>
      <c r="Q21" s="3"/>
      <c r="R21" s="3"/>
      <c r="S21" s="3"/>
      <c r="T21" s="477"/>
      <c r="U21" s="566"/>
      <c r="AY21" s="640" t="str">
        <f>[1]RENAME!R21</f>
        <v>#'Demais Contas a Receber'!B5</v>
      </c>
    </row>
    <row r="22" spans="1:51" x14ac:dyDescent="0.25">
      <c r="A22" s="6"/>
      <c r="B22" s="6"/>
      <c r="G22" s="474"/>
      <c r="H22" s="474"/>
      <c r="I22" s="474"/>
      <c r="J22" s="475"/>
      <c r="K22" s="3"/>
      <c r="L22" s="3"/>
      <c r="M22" s="3"/>
      <c r="N22" s="3"/>
      <c r="O22" s="3"/>
      <c r="P22" s="3"/>
      <c r="Q22" s="3"/>
      <c r="R22" s="3"/>
      <c r="S22" s="3"/>
      <c r="T22" s="477"/>
      <c r="U22" s="566"/>
      <c r="AY22" s="640" t="str">
        <f>[1]RENAME!R22</f>
        <v>#'Impostos a Recuperar'!B5</v>
      </c>
    </row>
    <row r="23" spans="1:51" ht="17.25" customHeight="1" x14ac:dyDescent="0.25">
      <c r="G23" s="474"/>
      <c r="H23" s="474"/>
      <c r="I23" s="474"/>
      <c r="J23" s="475"/>
      <c r="K23" s="3"/>
      <c r="L23" s="3"/>
      <c r="M23" s="3"/>
      <c r="N23" s="3"/>
      <c r="O23" s="3"/>
      <c r="P23" s="3"/>
      <c r="Q23" s="3"/>
      <c r="R23" s="3"/>
      <c r="S23" s="3"/>
      <c r="T23" s="477"/>
      <c r="U23" s="566"/>
      <c r="AY23" s="640" t="str">
        <f>[1]RENAME!R23</f>
        <v>#'Investimentos A'!B5</v>
      </c>
    </row>
    <row r="24" spans="1:51" x14ac:dyDescent="0.25">
      <c r="G24" s="474"/>
      <c r="H24" s="474"/>
      <c r="I24" s="474"/>
      <c r="J24" s="475"/>
      <c r="K24" s="3"/>
      <c r="L24" s="3"/>
      <c r="M24" s="3"/>
      <c r="N24" s="3"/>
      <c r="O24" s="3"/>
      <c r="P24" s="3"/>
      <c r="Q24" s="3"/>
      <c r="R24" s="3"/>
      <c r="S24" s="3"/>
      <c r="T24" s="477"/>
      <c r="U24" s="566"/>
      <c r="AY24" s="640" t="str">
        <f>[1]RENAME!R24</f>
        <v>#'Investimentos C'!B5</v>
      </c>
    </row>
    <row r="25" spans="1:51" x14ac:dyDescent="0.25">
      <c r="G25" s="474"/>
      <c r="H25" s="474"/>
      <c r="I25" s="474"/>
      <c r="J25" s="474"/>
      <c r="T25" s="477"/>
      <c r="U25" s="566"/>
      <c r="AY25" s="640" t="str">
        <f>[1]RENAME!R25</f>
        <v>#'Investimentos E'!B5</v>
      </c>
    </row>
    <row r="26" spans="1:51" x14ac:dyDescent="0.25">
      <c r="G26" s="474"/>
      <c r="H26" s="474"/>
      <c r="I26" s="474"/>
      <c r="J26" s="474"/>
      <c r="T26" s="477"/>
      <c r="U26" s="566"/>
      <c r="AY26" s="640" t="str">
        <f>[1]RENAME!R26</f>
        <v>#'Investimentos F'!B5</v>
      </c>
    </row>
    <row r="27" spans="1:51" x14ac:dyDescent="0.25">
      <c r="G27" s="474"/>
      <c r="H27" s="474"/>
      <c r="I27" s="474"/>
      <c r="J27" s="474"/>
      <c r="T27" s="477"/>
      <c r="U27" s="566"/>
      <c r="AY27" s="640" t="str">
        <f>[1]RENAME!R27</f>
        <v>#'Imobilizado '!B5</v>
      </c>
    </row>
    <row r="28" spans="1:51" x14ac:dyDescent="0.25">
      <c r="G28" s="474"/>
      <c r="H28" s="474"/>
      <c r="I28" s="474"/>
      <c r="J28" s="474"/>
      <c r="T28" s="477"/>
      <c r="U28" s="566"/>
      <c r="AY28" s="640" t="str">
        <f>[1]RENAME!R28</f>
        <v>#'Intangível'!B5</v>
      </c>
    </row>
    <row r="29" spans="1:51" x14ac:dyDescent="0.25">
      <c r="G29" s="474"/>
      <c r="H29" s="474"/>
      <c r="I29" s="474"/>
      <c r="J29" s="474"/>
      <c r="T29" s="477"/>
      <c r="U29" s="566"/>
      <c r="AY29" s="640" t="str">
        <f>[1]RENAME!R29</f>
        <v>#'Empréstimos e Financiamentos'!B5</v>
      </c>
    </row>
    <row r="30" spans="1:51" x14ac:dyDescent="0.25">
      <c r="G30" s="474"/>
      <c r="H30" s="474"/>
      <c r="I30" s="474"/>
      <c r="J30" s="474"/>
      <c r="T30" s="477"/>
      <c r="U30" s="566"/>
      <c r="AY30" s="640" t="str">
        <f>[1]RENAME!R30</f>
        <v>#'Salários e Encargos Sociais'!B5</v>
      </c>
    </row>
    <row r="31" spans="1:51" x14ac:dyDescent="0.25">
      <c r="G31" s="473"/>
      <c r="H31" s="473"/>
      <c r="I31" s="473"/>
      <c r="J31" s="473"/>
      <c r="K31" s="472"/>
      <c r="T31" s="477"/>
      <c r="U31" s="566"/>
      <c r="AY31" s="640" t="str">
        <f>[1]RENAME!R31</f>
        <v>#'Riscos Judiciais'!B5</v>
      </c>
    </row>
    <row r="32" spans="1:51" x14ac:dyDescent="0.25">
      <c r="G32" s="473"/>
      <c r="H32" s="473"/>
      <c r="I32" s="473"/>
      <c r="J32" s="473"/>
      <c r="K32" s="472"/>
      <c r="T32" s="477"/>
      <c r="U32" s="566"/>
      <c r="AY32" s="640" t="str">
        <f>[1]RENAME!R32</f>
        <v>#'Despesas de IR e CSLL'!B5</v>
      </c>
    </row>
    <row r="33" spans="1:51" x14ac:dyDescent="0.25">
      <c r="A33" s="471"/>
      <c r="G33" s="473"/>
      <c r="H33" s="473"/>
      <c r="I33" s="473"/>
      <c r="J33" s="473"/>
      <c r="K33" s="472"/>
      <c r="T33" s="477"/>
      <c r="U33" s="566"/>
      <c r="AY33" s="640" t="str">
        <f>[1]RENAME!R33</f>
        <v>#'IR e CS Diferidos'!B5</v>
      </c>
    </row>
    <row r="34" spans="1:51" x14ac:dyDescent="0.25">
      <c r="G34" s="473"/>
      <c r="H34" s="473"/>
      <c r="I34" s="473"/>
      <c r="J34" s="473"/>
      <c r="K34" s="472"/>
      <c r="T34" s="477"/>
      <c r="U34" s="566"/>
      <c r="AY34" s="640" t="str">
        <f>[1]RENAME!R34</f>
        <v>#'Demais Contas a Pagar'!B5</v>
      </c>
    </row>
    <row r="35" spans="1:51" x14ac:dyDescent="0.25">
      <c r="G35" s="473"/>
      <c r="H35" s="473"/>
      <c r="I35" s="473"/>
      <c r="J35" s="473"/>
      <c r="K35" s="472"/>
      <c r="T35" s="477"/>
      <c r="U35" s="566"/>
      <c r="AY35" s="640" t="str">
        <f>[1]RENAME!R35</f>
        <v>#'Outras receitas e despesas'!B5</v>
      </c>
    </row>
    <row r="36" spans="1:51" x14ac:dyDescent="0.25">
      <c r="G36" s="473"/>
      <c r="H36" s="473"/>
      <c r="I36" s="473"/>
      <c r="J36" s="473"/>
      <c r="K36" s="472"/>
      <c r="T36" s="477"/>
      <c r="U36" s="566"/>
      <c r="AY36" s="640" t="str">
        <f>[1]RENAME!R36</f>
        <v>#'Receita'!B5</v>
      </c>
    </row>
    <row r="37" spans="1:51" x14ac:dyDescent="0.25">
      <c r="G37" s="473"/>
      <c r="H37" s="473"/>
      <c r="I37" s="473"/>
      <c r="J37" s="473"/>
      <c r="K37" s="472"/>
      <c r="T37" s="477"/>
      <c r="U37" s="566"/>
      <c r="AY37" s="640" t="str">
        <f>[1]RENAME!R37</f>
        <v>#'Despesas por Natureza 1'!B5</v>
      </c>
    </row>
    <row r="38" spans="1:51" x14ac:dyDescent="0.25">
      <c r="G38" s="473"/>
      <c r="H38" s="473"/>
      <c r="I38" s="473"/>
      <c r="J38" s="473"/>
      <c r="K38" s="472"/>
      <c r="T38" s="477"/>
      <c r="U38" s="566"/>
      <c r="AY38" s="640" t="str">
        <f>[1]RENAME!R38</f>
        <v>#'Despesas por Natureza'!B5</v>
      </c>
    </row>
    <row r="39" spans="1:51" x14ac:dyDescent="0.25">
      <c r="G39" s="473"/>
      <c r="H39" s="473"/>
      <c r="I39" s="473"/>
      <c r="J39" s="473"/>
      <c r="K39" s="472"/>
      <c r="T39" s="477"/>
      <c r="U39" s="566"/>
      <c r="AY39" s="640" t="str">
        <f>[1]RENAME!R39</f>
        <v>#'Resultado financeiro'!B5</v>
      </c>
    </row>
    <row r="40" spans="1:51" x14ac:dyDescent="0.25">
      <c r="G40" s="473"/>
      <c r="H40" s="473"/>
      <c r="I40" s="473"/>
      <c r="J40" s="473"/>
      <c r="K40" s="472"/>
      <c r="T40" s="477"/>
      <c r="U40" s="566"/>
      <c r="AY40" s="640" t="str">
        <f>[1]RENAME!R40</f>
        <v>#'Remuneração Administração'!B5</v>
      </c>
    </row>
    <row r="41" spans="1:51" x14ac:dyDescent="0.25">
      <c r="G41" s="473"/>
      <c r="H41" s="473"/>
      <c r="I41" s="473"/>
      <c r="J41" s="473"/>
      <c r="K41" s="472"/>
      <c r="T41" s="477"/>
      <c r="U41" s="566"/>
      <c r="AY41" s="640" t="str">
        <f>[1]RENAME!R41</f>
        <v>#'Arrendamento Operacional'!B5</v>
      </c>
    </row>
    <row r="42" spans="1:51" x14ac:dyDescent="0.25">
      <c r="G42" s="473"/>
      <c r="H42" s="473"/>
      <c r="I42" s="473"/>
      <c r="J42" s="473"/>
      <c r="K42" s="472"/>
      <c r="T42" s="477"/>
      <c r="U42" s="566"/>
      <c r="AY42" s="640" t="str">
        <f>[1]RENAME!R42</f>
        <v>#'Partes Relacionadas'!B5</v>
      </c>
    </row>
    <row r="43" spans="1:51" x14ac:dyDescent="0.25">
      <c r="G43" s="473"/>
      <c r="H43" s="473"/>
      <c r="I43" s="473"/>
      <c r="J43" s="473"/>
      <c r="K43" s="472"/>
      <c r="AY43" s="640" t="str">
        <f>[1]RENAME!R43</f>
        <v>#'Operações Descontinuadas'!B5</v>
      </c>
    </row>
    <row r="44" spans="1:51" ht="16.5" thickBot="1" x14ac:dyDescent="0.3">
      <c r="G44" s="473"/>
      <c r="H44" s="473"/>
      <c r="I44" s="473"/>
      <c r="J44" s="473"/>
      <c r="K44" s="472"/>
      <c r="AY44" s="641" t="str">
        <f>[1]RENAME!R44</f>
        <v>#'DMPL'!B5</v>
      </c>
    </row>
    <row r="45" spans="1:51" x14ac:dyDescent="0.25">
      <c r="G45" s="473"/>
      <c r="H45" s="473"/>
      <c r="I45" s="473"/>
      <c r="J45" s="473"/>
      <c r="K45" s="472"/>
    </row>
    <row r="46" spans="1:51" x14ac:dyDescent="0.25">
      <c r="G46" s="473"/>
      <c r="H46" s="473"/>
      <c r="I46" s="473"/>
      <c r="J46" s="473"/>
      <c r="K46" s="472"/>
    </row>
    <row r="47" spans="1:51" x14ac:dyDescent="0.25">
      <c r="G47" s="473"/>
      <c r="H47" s="473"/>
      <c r="I47" s="473"/>
      <c r="J47" s="473"/>
      <c r="K47" s="472"/>
    </row>
    <row r="48" spans="1:51" x14ac:dyDescent="0.25">
      <c r="G48" s="473"/>
      <c r="H48" s="473"/>
      <c r="I48" s="473"/>
      <c r="J48" s="473"/>
      <c r="K48" s="472"/>
    </row>
    <row r="49" spans="7:11" x14ac:dyDescent="0.25">
      <c r="G49" s="473"/>
      <c r="H49" s="473"/>
      <c r="I49" s="473"/>
      <c r="J49" s="473"/>
      <c r="K49" s="472"/>
    </row>
    <row r="50" spans="7:11" x14ac:dyDescent="0.25">
      <c r="G50" s="473"/>
      <c r="H50" s="473"/>
      <c r="I50" s="473"/>
      <c r="J50" s="473"/>
      <c r="K50" s="472"/>
    </row>
    <row r="51" spans="7:11" x14ac:dyDescent="0.25">
      <c r="G51" s="473"/>
      <c r="H51" s="473"/>
      <c r="I51" s="473"/>
      <c r="J51" s="473"/>
      <c r="K51" s="472"/>
    </row>
    <row r="52" spans="7:11" x14ac:dyDescent="0.25">
      <c r="G52" s="473"/>
      <c r="H52" s="473"/>
      <c r="I52" s="473"/>
      <c r="J52" s="473"/>
      <c r="K52" s="472"/>
    </row>
    <row r="53" spans="7:11" x14ac:dyDescent="0.25">
      <c r="G53" s="473"/>
      <c r="H53" s="473"/>
      <c r="I53" s="473"/>
      <c r="J53" s="473"/>
      <c r="K53" s="472"/>
    </row>
    <row r="54" spans="7:11" x14ac:dyDescent="0.25">
      <c r="G54" s="473"/>
      <c r="H54" s="473"/>
      <c r="I54" s="473"/>
      <c r="J54" s="473"/>
      <c r="K54" s="472"/>
    </row>
    <row r="55" spans="7:11" x14ac:dyDescent="0.25">
      <c r="G55" s="473"/>
      <c r="H55" s="473"/>
      <c r="I55" s="473"/>
      <c r="J55" s="473"/>
      <c r="K55" s="472"/>
    </row>
    <row r="56" spans="7:11" x14ac:dyDescent="0.25">
      <c r="G56" s="473"/>
      <c r="H56" s="473"/>
      <c r="I56" s="473"/>
      <c r="J56" s="473"/>
      <c r="K56" s="472"/>
    </row>
    <row r="57" spans="7:11" x14ac:dyDescent="0.25">
      <c r="G57" s="473"/>
      <c r="H57" s="473"/>
      <c r="I57" s="473"/>
      <c r="J57" s="473"/>
      <c r="K57" s="472"/>
    </row>
    <row r="58" spans="7:11" x14ac:dyDescent="0.25">
      <c r="G58" s="473"/>
      <c r="H58" s="473"/>
      <c r="I58" s="473"/>
      <c r="J58" s="473"/>
      <c r="K58" s="472"/>
    </row>
    <row r="59" spans="7:11" x14ac:dyDescent="0.25">
      <c r="G59" s="473"/>
      <c r="H59" s="473"/>
      <c r="I59" s="473"/>
      <c r="J59" s="473"/>
      <c r="K59" s="472"/>
    </row>
    <row r="60" spans="7:11" x14ac:dyDescent="0.25">
      <c r="G60" s="473"/>
      <c r="H60" s="473"/>
      <c r="I60" s="473"/>
      <c r="J60" s="473"/>
      <c r="K60" s="472"/>
    </row>
    <row r="61" spans="7:11" x14ac:dyDescent="0.25">
      <c r="G61" s="473"/>
      <c r="H61" s="473"/>
      <c r="I61" s="473"/>
      <c r="J61" s="473"/>
      <c r="K61" s="472"/>
    </row>
    <row r="62" spans="7:11" x14ac:dyDescent="0.25">
      <c r="G62" s="473"/>
      <c r="H62" s="473"/>
      <c r="I62" s="473"/>
      <c r="J62" s="473"/>
      <c r="K62" s="472"/>
    </row>
    <row r="63" spans="7:11" x14ac:dyDescent="0.25">
      <c r="G63" s="473"/>
      <c r="H63" s="473"/>
      <c r="I63" s="473"/>
      <c r="J63" s="473"/>
      <c r="K63" s="472"/>
    </row>
    <row r="64" spans="7:11" x14ac:dyDescent="0.25">
      <c r="G64" s="473"/>
      <c r="H64" s="473"/>
      <c r="I64" s="473"/>
      <c r="J64" s="473"/>
      <c r="K64" s="472"/>
    </row>
    <row r="65" spans="7:11" x14ac:dyDescent="0.25">
      <c r="G65" s="473"/>
      <c r="H65" s="473"/>
      <c r="I65" s="473"/>
      <c r="J65" s="473"/>
      <c r="K65" s="472"/>
    </row>
    <row r="66" spans="7:11" x14ac:dyDescent="0.25">
      <c r="G66" s="473"/>
      <c r="H66" s="473"/>
      <c r="I66" s="473"/>
      <c r="J66" s="473"/>
      <c r="K66" s="472"/>
    </row>
    <row r="67" spans="7:11" x14ac:dyDescent="0.25">
      <c r="G67" s="473"/>
      <c r="H67" s="473"/>
      <c r="I67" s="473"/>
      <c r="J67" s="473"/>
      <c r="K67" s="472"/>
    </row>
    <row r="68" spans="7:11" x14ac:dyDescent="0.25">
      <c r="G68" s="473"/>
      <c r="H68" s="473"/>
      <c r="I68" s="473"/>
      <c r="J68" s="473"/>
      <c r="K68" s="472"/>
    </row>
    <row r="69" spans="7:11" x14ac:dyDescent="0.25">
      <c r="G69" s="473"/>
      <c r="H69" s="473"/>
      <c r="I69" s="473"/>
      <c r="J69" s="473"/>
      <c r="K69" s="472"/>
    </row>
    <row r="70" spans="7:11" x14ac:dyDescent="0.25">
      <c r="G70" s="473"/>
      <c r="H70" s="473"/>
      <c r="I70" s="473"/>
      <c r="J70" s="473"/>
      <c r="K70" s="472"/>
    </row>
    <row r="71" spans="7:11" x14ac:dyDescent="0.25">
      <c r="G71" s="473"/>
      <c r="H71" s="473"/>
      <c r="I71" s="473"/>
      <c r="J71" s="473"/>
      <c r="K71" s="472"/>
    </row>
    <row r="72" spans="7:11" x14ac:dyDescent="0.25">
      <c r="G72" s="473"/>
      <c r="H72" s="473"/>
      <c r="I72" s="473"/>
      <c r="J72" s="473"/>
      <c r="K72" s="472"/>
    </row>
    <row r="73" spans="7:11" x14ac:dyDescent="0.25">
      <c r="G73" s="473"/>
      <c r="H73" s="473"/>
      <c r="I73" s="473"/>
      <c r="J73" s="473"/>
      <c r="K73" s="472"/>
    </row>
    <row r="74" spans="7:11" x14ac:dyDescent="0.25">
      <c r="G74" s="473"/>
      <c r="H74" s="473"/>
      <c r="I74" s="473"/>
      <c r="J74" s="473"/>
      <c r="K74" s="472"/>
    </row>
    <row r="75" spans="7:11" x14ac:dyDescent="0.25">
      <c r="G75" s="473"/>
      <c r="H75" s="473"/>
      <c r="I75" s="473"/>
      <c r="J75" s="473"/>
      <c r="K75" s="472"/>
    </row>
    <row r="76" spans="7:11" x14ac:dyDescent="0.25">
      <c r="G76" s="473"/>
      <c r="H76" s="473"/>
      <c r="I76" s="473"/>
      <c r="J76" s="473"/>
      <c r="K76" s="472"/>
    </row>
    <row r="77" spans="7:11" x14ac:dyDescent="0.25">
      <c r="G77" s="474"/>
      <c r="H77" s="474"/>
      <c r="I77" s="474"/>
      <c r="J77" s="474"/>
    </row>
    <row r="115" spans="20:20" x14ac:dyDescent="0.25">
      <c r="T115" s="1" t="str">
        <f>SUBSTITUTE(Indicadores!V56,"T","Q")</f>
        <v>2Q16</v>
      </c>
    </row>
    <row r="137" spans="1:51" x14ac:dyDescent="0.25">
      <c r="AY137" s="1"/>
    </row>
    <row r="138" spans="1:51" s="1" customFormat="1" x14ac:dyDescent="0.25">
      <c r="A138" s="1" t="str">
        <f>SUBSTITUTE(Indicadores!C56,"T","Q")</f>
        <v/>
      </c>
      <c r="B138" s="1" t="str">
        <f>SUBSTITUTE(Indicadores!D56,"T","Q")</f>
        <v>Indicadores QGMA3</v>
      </c>
      <c r="C138" s="1" t="str">
        <f>SUBSTITUTE(Indicadores!E56,"T","Q")</f>
        <v>1Q12</v>
      </c>
      <c r="D138" s="1" t="str">
        <f>SUBSTITUTE(Indicadores!F56,"T","Q")</f>
        <v>2Q12</v>
      </c>
      <c r="E138" s="1" t="str">
        <f>SUBSTITUTE(Indicadores!G56,"T","Q")</f>
        <v>3Q12</v>
      </c>
      <c r="F138" s="1" t="str">
        <f>SUBSTITUTE(Indicadores!H56,"T","Q")</f>
        <v>4Q12</v>
      </c>
      <c r="G138" s="1" t="str">
        <f>SUBSTITUTE(Indicadores!I56,"T","Q")</f>
        <v>1Q13</v>
      </c>
      <c r="H138" s="1" t="str">
        <f>SUBSTITUTE(Indicadores!J56,"T","Q")</f>
        <v>2Q13</v>
      </c>
      <c r="I138" s="1" t="str">
        <f>SUBSTITUTE(Indicadores!K56,"T","Q")</f>
        <v>3Q13</v>
      </c>
      <c r="J138" s="1" t="str">
        <f>SUBSTITUTE(Indicadores!L56,"T","Q")</f>
        <v>4Q13</v>
      </c>
      <c r="K138" s="1" t="str">
        <f>SUBSTITUTE(Indicadores!M56,"T","Q")</f>
        <v>1Q14</v>
      </c>
      <c r="L138" s="1" t="str">
        <f>SUBSTITUTE(Indicadores!N56,"T","Q")</f>
        <v>2Q14</v>
      </c>
      <c r="M138" s="1" t="str">
        <f>SUBSTITUTE(Indicadores!O56,"T","Q")</f>
        <v>3Q14</v>
      </c>
      <c r="N138" s="1" t="str">
        <f>SUBSTITUTE(Indicadores!P56,"T","Q")</f>
        <v>4Q14</v>
      </c>
      <c r="O138" s="1" t="str">
        <f>SUBSTITUTE(Indicadores!Q56,"T","Q")</f>
        <v>1Q15</v>
      </c>
      <c r="P138" s="1" t="str">
        <f>SUBSTITUTE(Indicadores!R56,"T","Q")</f>
        <v>2Q15</v>
      </c>
      <c r="Q138" s="1" t="str">
        <f>SUBSTITUTE(Indicadores!S56,"T","Q")</f>
        <v>3Q15</v>
      </c>
      <c r="R138" s="1" t="str">
        <f>SUBSTITUTE(Indicadores!T56,"T","Q")</f>
        <v>4Q15</v>
      </c>
      <c r="T138" s="2"/>
      <c r="V138" s="1" t="str">
        <f>SUBSTITUTE(Indicadores!X56,"T","Q")</f>
        <v>4Q16</v>
      </c>
      <c r="W138" s="1" t="str">
        <f>SUBSTITUTE(Indicadores!Y56,"T","Q")</f>
        <v>1Q17</v>
      </c>
      <c r="X138" s="1" t="str">
        <f>SUBSTITUTE(Indicadores!Z56,"T","Q")</f>
        <v>2Q17</v>
      </c>
      <c r="Y138" s="1" t="str">
        <f>SUBSTITUTE(Indicadores!AA56,"T","Q")</f>
        <v>3Q17</v>
      </c>
      <c r="AY138" s="2"/>
    </row>
  </sheetData>
  <dataValidations xWindow="444" yWindow="327" count="2">
    <dataValidation type="list" allowBlank="1" showInputMessage="1" showErrorMessage="1" sqref="Q10" xr:uid="{00000000-0002-0000-0000-000000000000}">
      <formula1>$Q$1:$Q$7</formula1>
    </dataValidation>
    <dataValidation type="list" allowBlank="1" showInputMessage="1" showErrorMessage="1" promptTitle="Selecione a Aba desejada" prompt="em seguida clique no link abaixo" sqref="B6" xr:uid="{00000000-0002-0000-0000-000001000000}">
      <formula1>$U$1:$U$42</formula1>
    </dataValidation>
  </dataValidations>
  <pageMargins left="0.51181102362204722" right="0.51181102362204722" top="0.78740157480314965" bottom="0.78740157480314965" header="0.31496062992125984" footer="0.31496062992125984"/>
  <pageSetup paperSize="9" orientation="landscape"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13">
    <tabColor rgb="FFFAB766"/>
    <pageSetUpPr autoPageBreaks="0"/>
  </sheetPr>
  <dimension ref="A1:BB50"/>
  <sheetViews>
    <sheetView showGridLines="0" workbookViewId="0">
      <pane xSplit="4" ySplit="5" topLeftCell="AT6" activePane="bottomRight" state="frozen"/>
      <selection activeCell="K34" sqref="K34"/>
      <selection pane="topRight" activeCell="K34" sqref="K34"/>
      <selection pane="bottomLeft" activeCell="K34" sqref="K34"/>
      <selection pane="bottomRight" activeCell="AV20" sqref="AV20:AW20"/>
    </sheetView>
  </sheetViews>
  <sheetFormatPr defaultColWidth="9.140625" defaultRowHeight="12.75" outlineLevelRow="1" x14ac:dyDescent="0.2"/>
  <cols>
    <col min="1" max="2" width="9.140625" style="194" hidden="1" customWidth="1"/>
    <col min="3" max="3" width="1.42578125" style="1" customWidth="1"/>
    <col min="4" max="4" width="53.140625" style="193" bestFit="1" customWidth="1"/>
    <col min="5" max="7" width="9.85546875" style="198" customWidth="1"/>
    <col min="8" max="27" width="9.85546875" style="194" customWidth="1"/>
    <col min="28" max="28" width="8.85546875"/>
    <col min="29" max="50" width="9.85546875" style="194" customWidth="1"/>
    <col min="51" max="52" width="11.5703125" style="194" customWidth="1"/>
    <col min="53" max="16384" width="9.140625" style="194"/>
  </cols>
  <sheetData>
    <row r="1" spans="1:53" s="547" customFormat="1" x14ac:dyDescent="0.2">
      <c r="C1" s="266"/>
      <c r="E1" s="548">
        <v>2013</v>
      </c>
      <c r="F1" s="548">
        <v>2014</v>
      </c>
      <c r="G1" s="548" t="s">
        <v>77</v>
      </c>
      <c r="H1" s="549" t="str">
        <f>IF(LEFT(G1,1)="4","1T"&amp;RIGHT(G1,2)+1,LEFT(G1,1)+1&amp;RIGHT(G1,3))</f>
        <v>1T15</v>
      </c>
      <c r="I1" s="549" t="str">
        <f t="shared" ref="I1:T1" si="0">IF(LEFT(H1,1)="4","1T"&amp;RIGHT(H1,2)+1,LEFT(H1,1)+1&amp;RIGHT(H1,3))</f>
        <v>2T15</v>
      </c>
      <c r="J1" s="549" t="str">
        <f t="shared" si="0"/>
        <v>3T15</v>
      </c>
      <c r="K1" s="549" t="str">
        <f t="shared" si="0"/>
        <v>4T15</v>
      </c>
      <c r="L1" s="549" t="str">
        <f t="shared" si="0"/>
        <v>1T16</v>
      </c>
      <c r="M1" s="549" t="str">
        <f t="shared" si="0"/>
        <v>2T16</v>
      </c>
      <c r="N1" s="549" t="str">
        <f t="shared" si="0"/>
        <v>3T16</v>
      </c>
      <c r="O1" s="549" t="str">
        <f t="shared" si="0"/>
        <v>4T16</v>
      </c>
      <c r="P1" s="549" t="str">
        <f t="shared" si="0"/>
        <v>1T17</v>
      </c>
      <c r="Q1" s="549" t="str">
        <f t="shared" si="0"/>
        <v>2T17</v>
      </c>
      <c r="R1" s="549" t="str">
        <f t="shared" si="0"/>
        <v>3T17</v>
      </c>
      <c r="S1" s="549" t="str">
        <f t="shared" si="0"/>
        <v>4T17</v>
      </c>
      <c r="T1" s="549" t="str">
        <f t="shared" si="0"/>
        <v>1T18</v>
      </c>
      <c r="U1" s="549" t="str">
        <f t="shared" ref="U1:AD1" si="1">IF(LEFT(T1,1)="4","1T"&amp;RIGHT(T1,2)+1,LEFT(T1,1)+1&amp;RIGHT(T1,3))</f>
        <v>2T18</v>
      </c>
      <c r="V1" s="549" t="str">
        <f t="shared" si="1"/>
        <v>3T18</v>
      </c>
      <c r="W1" s="549" t="str">
        <f t="shared" si="1"/>
        <v>4T18</v>
      </c>
      <c r="X1" s="549" t="str">
        <f t="shared" si="1"/>
        <v>1T19</v>
      </c>
      <c r="Y1" s="822" t="str">
        <f t="shared" si="1"/>
        <v>2T19</v>
      </c>
      <c r="Z1" s="549" t="str">
        <f t="shared" si="1"/>
        <v>3T19</v>
      </c>
      <c r="AA1" s="822" t="str">
        <f t="shared" si="1"/>
        <v>4T19</v>
      </c>
      <c r="AB1" s="549" t="str">
        <f t="shared" si="1"/>
        <v>1T20</v>
      </c>
      <c r="AC1" s="822" t="str">
        <f t="shared" si="1"/>
        <v>2T20</v>
      </c>
      <c r="AD1" s="822" t="str">
        <f t="shared" si="1"/>
        <v>3T20</v>
      </c>
      <c r="AE1" s="822" t="str">
        <f t="shared" ref="AE1:AQ1" si="2">IF(LEFT(AD1,1)="4","1T"&amp;RIGHT(AD1,2)+1,LEFT(AD1,1)+1&amp;RIGHT(AD1,3))</f>
        <v>4T20</v>
      </c>
      <c r="AF1" s="822" t="str">
        <f t="shared" si="2"/>
        <v>1T21</v>
      </c>
      <c r="AG1" s="822" t="str">
        <f t="shared" si="2"/>
        <v>2T21</v>
      </c>
      <c r="AH1" s="822" t="str">
        <f t="shared" si="2"/>
        <v>3T21</v>
      </c>
      <c r="AI1" s="822" t="str">
        <f t="shared" si="2"/>
        <v>4T21</v>
      </c>
      <c r="AJ1" s="822" t="str">
        <f t="shared" si="2"/>
        <v>1T22</v>
      </c>
      <c r="AK1" s="822" t="str">
        <f t="shared" si="2"/>
        <v>2T22</v>
      </c>
      <c r="AL1" s="822" t="str">
        <f t="shared" si="2"/>
        <v>3T22</v>
      </c>
      <c r="AM1" s="822" t="str">
        <f t="shared" si="2"/>
        <v>4T22</v>
      </c>
      <c r="AN1" s="822" t="str">
        <f t="shared" si="2"/>
        <v>1T23</v>
      </c>
      <c r="AO1" s="822" t="str">
        <f t="shared" si="2"/>
        <v>2T23</v>
      </c>
      <c r="AP1" s="822" t="str">
        <f t="shared" si="2"/>
        <v>3T23</v>
      </c>
      <c r="AQ1" s="822" t="str">
        <f t="shared" si="2"/>
        <v>4T23</v>
      </c>
      <c r="AR1" s="822" t="str">
        <f t="shared" ref="AR1:AY1" si="3">IF(LEFT(AQ1,1)="4","1T"&amp;RIGHT(AQ1,2)+1,LEFT(AQ1,1)+1&amp;RIGHT(AQ1,3))</f>
        <v>1T24</v>
      </c>
      <c r="AS1" s="822" t="str">
        <f t="shared" si="3"/>
        <v>2T24</v>
      </c>
      <c r="AT1" s="822" t="str">
        <f t="shared" si="3"/>
        <v>3T24</v>
      </c>
      <c r="AU1" s="822" t="str">
        <f t="shared" si="3"/>
        <v>4T24</v>
      </c>
      <c r="AV1" s="822" t="str">
        <f t="shared" si="3"/>
        <v>1T25</v>
      </c>
      <c r="AW1" s="822" t="str">
        <f t="shared" si="3"/>
        <v>2T25</v>
      </c>
      <c r="AX1" s="822" t="str">
        <f t="shared" si="3"/>
        <v>3T25</v>
      </c>
      <c r="AY1" s="822" t="str">
        <f t="shared" si="3"/>
        <v>4T25</v>
      </c>
      <c r="AZ1" s="822" t="str">
        <f>IF(LEFT(AY1,1)="4","1T"&amp;RIGHT(AY1,2)+1,LEFT(AY1,1)+1&amp;RIGHT(AY1,3))</f>
        <v>1T26</v>
      </c>
      <c r="BA1" s="822" t="str">
        <f>IF(LEFT(AZ1,1)="4","1T"&amp;RIGHT(AZ1,2)+1,LEFT(AZ1,1)+1&amp;RIGHT(AZ1,3))</f>
        <v>2T26</v>
      </c>
    </row>
    <row r="2" spans="1:53" s="547" customFormat="1" x14ac:dyDescent="0.2">
      <c r="C2" s="266"/>
      <c r="E2" s="548" t="str">
        <f>SUBSTITUTE(E1,"T","Q")</f>
        <v>2013</v>
      </c>
      <c r="F2" s="548" t="str">
        <f>SUBSTITUTE(F1,"T","Q")</f>
        <v>2014</v>
      </c>
      <c r="G2" s="548" t="str">
        <f>SUBSTITUTE(G1,"T","Q")</f>
        <v>4Q14</v>
      </c>
      <c r="H2" s="548" t="str">
        <f>SUBSTITUTE(H1,"T","Q")</f>
        <v>1Q15</v>
      </c>
      <c r="I2" s="548" t="str">
        <f t="shared" ref="I2:R2" si="4">SUBSTITUTE(I1,"T","Q")</f>
        <v>2Q15</v>
      </c>
      <c r="J2" s="548" t="str">
        <f t="shared" si="4"/>
        <v>3Q15</v>
      </c>
      <c r="K2" s="548" t="str">
        <f t="shared" si="4"/>
        <v>4Q15</v>
      </c>
      <c r="L2" s="548" t="str">
        <f t="shared" si="4"/>
        <v>1Q16</v>
      </c>
      <c r="M2" s="548" t="str">
        <f t="shared" si="4"/>
        <v>2Q16</v>
      </c>
      <c r="N2" s="548" t="str">
        <f t="shared" si="4"/>
        <v>3Q16</v>
      </c>
      <c r="O2" s="548" t="str">
        <f t="shared" si="4"/>
        <v>4Q16</v>
      </c>
      <c r="P2" s="548" t="str">
        <f t="shared" si="4"/>
        <v>1Q17</v>
      </c>
      <c r="Q2" s="548" t="str">
        <f t="shared" si="4"/>
        <v>2Q17</v>
      </c>
      <c r="R2" s="548" t="str">
        <f t="shared" si="4"/>
        <v>3Q17</v>
      </c>
      <c r="S2" s="548" t="str">
        <f t="shared" ref="S2:X2" si="5">SUBSTITUTE(S1,"T","Q")</f>
        <v>4Q17</v>
      </c>
      <c r="T2" s="548" t="str">
        <f t="shared" si="5"/>
        <v>1Q18</v>
      </c>
      <c r="U2" s="548" t="str">
        <f t="shared" si="5"/>
        <v>2Q18</v>
      </c>
      <c r="V2" s="548" t="str">
        <f t="shared" si="5"/>
        <v>3Q18</v>
      </c>
      <c r="W2" s="548" t="str">
        <f t="shared" si="5"/>
        <v>4Q18</v>
      </c>
      <c r="X2" s="548" t="str">
        <f t="shared" si="5"/>
        <v>1Q19</v>
      </c>
      <c r="Y2" s="823" t="str">
        <f t="shared" ref="Y2:AD2" si="6">SUBSTITUTE(Y1,"T","Q")</f>
        <v>2Q19</v>
      </c>
      <c r="Z2" s="548" t="str">
        <f t="shared" si="6"/>
        <v>3Q19</v>
      </c>
      <c r="AA2" s="823" t="str">
        <f t="shared" si="6"/>
        <v>4Q19</v>
      </c>
      <c r="AB2" s="548" t="str">
        <f t="shared" si="6"/>
        <v>1Q20</v>
      </c>
      <c r="AC2" s="823" t="str">
        <f t="shared" si="6"/>
        <v>2Q20</v>
      </c>
      <c r="AD2" s="823" t="str">
        <f t="shared" si="6"/>
        <v>3Q20</v>
      </c>
      <c r="AE2" s="823" t="str">
        <f t="shared" ref="AE2:AK2" si="7">SUBSTITUTE(AE1,"T","Q")</f>
        <v>4Q20</v>
      </c>
      <c r="AF2" s="823" t="str">
        <f t="shared" si="7"/>
        <v>1Q21</v>
      </c>
      <c r="AG2" s="823" t="str">
        <f t="shared" si="7"/>
        <v>2Q21</v>
      </c>
      <c r="AH2" s="823" t="str">
        <f t="shared" si="7"/>
        <v>3Q21</v>
      </c>
      <c r="AI2" s="823" t="str">
        <f t="shared" si="7"/>
        <v>4Q21</v>
      </c>
      <c r="AJ2" s="823" t="str">
        <f t="shared" si="7"/>
        <v>1Q22</v>
      </c>
      <c r="AK2" s="823" t="str">
        <f t="shared" si="7"/>
        <v>2Q22</v>
      </c>
      <c r="AL2" s="823" t="str">
        <f t="shared" ref="AL2:AQ2" si="8">SUBSTITUTE(AL1,"T","Q")</f>
        <v>3Q22</v>
      </c>
      <c r="AM2" s="823" t="str">
        <f t="shared" si="8"/>
        <v>4Q22</v>
      </c>
      <c r="AN2" s="823" t="str">
        <f t="shared" si="8"/>
        <v>1Q23</v>
      </c>
      <c r="AO2" s="823" t="str">
        <f t="shared" si="8"/>
        <v>2Q23</v>
      </c>
      <c r="AP2" s="823" t="str">
        <f t="shared" si="8"/>
        <v>3Q23</v>
      </c>
      <c r="AQ2" s="823" t="str">
        <f t="shared" si="8"/>
        <v>4Q23</v>
      </c>
      <c r="AR2" s="823" t="str">
        <f t="shared" ref="AR2:BA2" si="9">SUBSTITUTE(AR1,"T","Q")</f>
        <v>1Q24</v>
      </c>
      <c r="AS2" s="823" t="str">
        <f t="shared" si="9"/>
        <v>2Q24</v>
      </c>
      <c r="AT2" s="823" t="str">
        <f t="shared" si="9"/>
        <v>3Q24</v>
      </c>
      <c r="AU2" s="823" t="str">
        <f t="shared" si="9"/>
        <v>4Q24</v>
      </c>
      <c r="AV2" s="823" t="str">
        <f t="shared" si="9"/>
        <v>1Q25</v>
      </c>
      <c r="AW2" s="823" t="str">
        <f t="shared" si="9"/>
        <v>2Q25</v>
      </c>
      <c r="AX2" s="823" t="str">
        <f t="shared" si="9"/>
        <v>3Q25</v>
      </c>
      <c r="AY2" s="823" t="str">
        <f t="shared" si="9"/>
        <v>4Q25</v>
      </c>
      <c r="AZ2" s="823" t="str">
        <f>SUBSTITUTE(AZ1,"T","Q")</f>
        <v>1Q26</v>
      </c>
      <c r="BA2" s="823" t="str">
        <f t="shared" si="9"/>
        <v>2Q26</v>
      </c>
    </row>
    <row r="3" spans="1:53" customFormat="1" x14ac:dyDescent="0.2">
      <c r="C3" s="1"/>
      <c r="D3" s="40"/>
      <c r="E3" s="131"/>
      <c r="F3" s="131"/>
      <c r="G3" s="131"/>
      <c r="Y3" s="28"/>
      <c r="Z3" s="28"/>
      <c r="AA3" s="28"/>
      <c r="AC3" s="28"/>
      <c r="AD3" s="553"/>
      <c r="AE3" s="553"/>
      <c r="AF3" s="553"/>
      <c r="AG3" s="553"/>
      <c r="AH3" s="553"/>
      <c r="AI3" s="553"/>
      <c r="AJ3" s="553"/>
      <c r="AK3" s="553"/>
      <c r="AL3" s="553"/>
      <c r="AM3" s="553"/>
      <c r="AN3" s="553"/>
      <c r="AO3" s="553"/>
      <c r="AP3" s="553"/>
      <c r="AQ3" s="1184"/>
      <c r="AR3" s="1184"/>
      <c r="AS3" s="1184"/>
      <c r="AT3" s="1184"/>
      <c r="AU3" s="1184"/>
      <c r="AV3" s="1184"/>
      <c r="AW3" s="1184"/>
      <c r="AX3" s="1184"/>
      <c r="AY3" s="1184"/>
      <c r="AZ3" s="1184"/>
      <c r="BA3" s="1184"/>
    </row>
    <row r="4" spans="1:53" customFormat="1" x14ac:dyDescent="0.2">
      <c r="A4" t="s">
        <v>337</v>
      </c>
      <c r="B4" t="s">
        <v>689</v>
      </c>
      <c r="C4" s="1"/>
      <c r="D4" s="8" t="str">
        <f>IF([1]RENAME!$H$3=1,B4,A4)</f>
        <v>(Em R$ Mil)</v>
      </c>
      <c r="E4" s="131"/>
      <c r="F4" s="131"/>
      <c r="G4" s="131"/>
      <c r="Y4" s="28"/>
      <c r="Z4" s="28"/>
      <c r="AA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row>
    <row r="5" spans="1:53" x14ac:dyDescent="0.2">
      <c r="A5" s="194" t="s">
        <v>96</v>
      </c>
      <c r="B5" s="194" t="s">
        <v>866</v>
      </c>
      <c r="D5" s="113" t="str">
        <f>IF([1]RENAME!$H$3=1,B5,A5)</f>
        <v>Consolidado</v>
      </c>
      <c r="E5" s="197">
        <f>IF([1]RENAME!$H$3=1,E2,E1)</f>
        <v>2013</v>
      </c>
      <c r="F5" s="197">
        <f>IF([1]RENAME!$H$3=1,F2,F1)</f>
        <v>2014</v>
      </c>
      <c r="G5" s="197" t="str">
        <f>IF([1]RENAME!$H$3=1,G2,G1)</f>
        <v>4T14</v>
      </c>
      <c r="H5" s="197" t="str">
        <f>IF([1]RENAME!$H$3=1,H2,H1)</f>
        <v>1T15</v>
      </c>
      <c r="I5" s="197" t="str">
        <f>IF([1]RENAME!$H$3=1,I2,I1)</f>
        <v>2T15</v>
      </c>
      <c r="J5" s="197" t="str">
        <f>IF([1]RENAME!$H$3=1,J2,J1)</f>
        <v>3T15</v>
      </c>
      <c r="K5" s="197" t="str">
        <f>IF([1]RENAME!$H$3=1,K2,K1)</f>
        <v>4T15</v>
      </c>
      <c r="L5" s="197" t="str">
        <f>IF([1]RENAME!$H$3=1,L2,L1)</f>
        <v>1T16</v>
      </c>
      <c r="M5" s="197" t="str">
        <f>IF([1]RENAME!$H$3=1,M2,M1)</f>
        <v>2T16</v>
      </c>
      <c r="N5" s="197" t="str">
        <f>IF([1]RENAME!$H$3=1,N2,N1)</f>
        <v>3T16</v>
      </c>
      <c r="O5" s="197" t="str">
        <f>IF([1]RENAME!$H$3=1,O2,O1)</f>
        <v>4T16</v>
      </c>
      <c r="P5" s="197" t="str">
        <f>IF([1]RENAME!$H$3=1,P2,P1)</f>
        <v>1T17</v>
      </c>
      <c r="Q5" s="197" t="str">
        <f>IF([1]RENAME!$H$3=1,Q2,Q1)</f>
        <v>2T17</v>
      </c>
      <c r="R5" s="197" t="str">
        <f>IF([1]RENAME!$H$3=1,R2,R1)</f>
        <v>3T17</v>
      </c>
      <c r="S5" s="197" t="str">
        <f>IF([1]RENAME!$H$3=1,S2,S1)</f>
        <v>4T17</v>
      </c>
      <c r="T5" s="197" t="str">
        <f>IF([1]RENAME!$H$3=1,T2,T1)</f>
        <v>1T18</v>
      </c>
      <c r="U5" s="197" t="str">
        <f>IF([1]RENAME!$H$3=1,U2,U1)</f>
        <v>2T18</v>
      </c>
      <c r="V5" s="197" t="str">
        <f>IF([1]RENAME!$H$3=1,V2,V1)</f>
        <v>3T18</v>
      </c>
      <c r="W5" s="197" t="str">
        <f>IF([1]RENAME!$H$3=1,W2,W1)</f>
        <v>4T18</v>
      </c>
      <c r="X5" s="197" t="str">
        <f>IF([1]RENAME!$H$3=1,X2,X1)</f>
        <v>1T19</v>
      </c>
      <c r="Y5" s="197" t="str">
        <f>IF([1]RENAME!$H$3=1,Y2,Y1)</f>
        <v>2T19</v>
      </c>
      <c r="Z5" s="197" t="str">
        <f>IF([1]RENAME!$H$3=1,Z2,Z1)</f>
        <v>3T19</v>
      </c>
      <c r="AA5" s="197" t="str">
        <f>IF([1]RENAME!$H$3=1,AA2,AA1)</f>
        <v>4T19</v>
      </c>
      <c r="AB5" s="197" t="str">
        <f>IF([1]RENAME!$H$3=1,AB2,AB1)</f>
        <v>1T20</v>
      </c>
      <c r="AC5" s="197" t="str">
        <f>IF([1]RENAME!$H$3=1,AC2,AC1)</f>
        <v>2T20</v>
      </c>
      <c r="AD5" s="197" t="str">
        <f>IF([1]RENAME!$H$3=1,AD2,AD1)</f>
        <v>3T20</v>
      </c>
      <c r="AE5" s="197" t="str">
        <f>IF([1]RENAME!$H$3=1,AE2,AE1)</f>
        <v>4T20</v>
      </c>
      <c r="AF5" s="197" t="str">
        <f>IF([1]RENAME!$H$3=1,AF2,AF1)</f>
        <v>1T21</v>
      </c>
      <c r="AG5" s="197" t="str">
        <f>IF([1]RENAME!$H$3=1,AG2,AG1)</f>
        <v>2T21</v>
      </c>
      <c r="AH5" s="197" t="str">
        <f>IF([1]RENAME!$H$3=1,AH2,AH1)</f>
        <v>3T21</v>
      </c>
      <c r="AI5" s="197" t="str">
        <f>IF([1]RENAME!$H$3=1,AI2,AI1)</f>
        <v>4T21</v>
      </c>
      <c r="AJ5" s="197" t="str">
        <f>IF([1]RENAME!$H$3=1,AJ2,AJ1)</f>
        <v>1T22</v>
      </c>
      <c r="AK5" s="197" t="str">
        <f>IF([1]RENAME!$H$3=1,AK2,AK1)</f>
        <v>2T22</v>
      </c>
      <c r="AL5" s="197" t="str">
        <f>IF([1]RENAME!$H$3=1,AL2,AL1)</f>
        <v>3T22</v>
      </c>
      <c r="AM5" s="197" t="str">
        <f>IF([1]RENAME!$H$3=1,AM2,AM1)</f>
        <v>4T22</v>
      </c>
      <c r="AN5" s="197" t="str">
        <f>IF([1]RENAME!$H$3=1,AN2,AN1)</f>
        <v>1T23</v>
      </c>
      <c r="AO5" s="197" t="str">
        <f>IF([1]RENAME!$H$3=1,AO2,AO1)</f>
        <v>2T23</v>
      </c>
      <c r="AP5" s="197" t="str">
        <f>IF([1]RENAME!$H$3=1,AP2,AP1)</f>
        <v>3T23</v>
      </c>
      <c r="AQ5" s="197" t="str">
        <f>IF([1]RENAME!$H$3=1,AQ2,AQ1)</f>
        <v>4T23</v>
      </c>
      <c r="AR5" s="197" t="str">
        <f>IF([1]RENAME!$H$3=1,AR2,AR1)</f>
        <v>1T24</v>
      </c>
      <c r="AS5" s="197" t="str">
        <f>IF([1]RENAME!$H$3=1,AS2,AS1)</f>
        <v>2T24</v>
      </c>
      <c r="AT5" s="197" t="str">
        <f>IF([1]RENAME!$H$3=1,AT2,AT1)</f>
        <v>3T24</v>
      </c>
      <c r="AU5" s="197" t="str">
        <f>IF([1]RENAME!$H$3=1,AU2,AU1)</f>
        <v>4T24</v>
      </c>
      <c r="AV5" s="197" t="str">
        <f>IF([1]RENAME!$H$3=1,AV2,AV1)</f>
        <v>1T25</v>
      </c>
      <c r="AW5" s="197" t="str">
        <f>IF([1]RENAME!$H$3=1,AW2,AW1)</f>
        <v>2T25</v>
      </c>
      <c r="AX5" s="197" t="str">
        <f>IF([1]RENAME!$H$3=1,AX2,AX1)</f>
        <v>3T25</v>
      </c>
      <c r="AY5" s="197" t="str">
        <f>IF([1]RENAME!$H$3=1,AY2,AY1)</f>
        <v>4T25</v>
      </c>
      <c r="AZ5" s="197" t="str">
        <f>IF([1]RENAME!$H$3=1,AZ2,AZ1)</f>
        <v>1T26</v>
      </c>
      <c r="BA5" s="197" t="str">
        <f>IF([1]RENAME!$H$3=1,BA2,BA1)</f>
        <v>2T26</v>
      </c>
    </row>
    <row r="6" spans="1:53" x14ac:dyDescent="0.2">
      <c r="A6" s="194" t="s">
        <v>413</v>
      </c>
      <c r="B6" s="194" t="s">
        <v>798</v>
      </c>
      <c r="D6" s="135" t="str">
        <f>IF([1]RENAME!$H$3=1,B6,A6)</f>
        <v>Vendas brutas de serviços, líquidos dos descontos</v>
      </c>
      <c r="E6" s="136">
        <v>2095548</v>
      </c>
      <c r="F6" s="136">
        <v>1872843</v>
      </c>
      <c r="G6" s="242">
        <v>466875</v>
      </c>
      <c r="H6" s="136">
        <v>338043</v>
      </c>
      <c r="I6" s="136">
        <v>327680</v>
      </c>
      <c r="J6" s="136">
        <v>327567</v>
      </c>
      <c r="K6" s="136">
        <v>338144</v>
      </c>
      <c r="L6" s="136">
        <v>237670</v>
      </c>
      <c r="M6" s="136">
        <v>266918</v>
      </c>
      <c r="N6" s="136">
        <v>277504</v>
      </c>
      <c r="O6" s="136">
        <v>297086</v>
      </c>
      <c r="P6" s="136">
        <v>249776</v>
      </c>
      <c r="Q6" s="136">
        <v>297588</v>
      </c>
      <c r="R6" s="136">
        <v>333803</v>
      </c>
      <c r="S6" s="136">
        <v>373138</v>
      </c>
      <c r="T6" s="136">
        <v>305470</v>
      </c>
      <c r="U6" s="136">
        <v>341672</v>
      </c>
      <c r="V6" s="136">
        <v>392686</v>
      </c>
      <c r="W6" s="136">
        <v>416553</v>
      </c>
      <c r="X6" s="136">
        <v>348722</v>
      </c>
      <c r="Y6" s="136">
        <v>386001</v>
      </c>
      <c r="Z6" s="136">
        <v>395540</v>
      </c>
      <c r="AA6" s="136">
        <v>440361</v>
      </c>
      <c r="AB6" s="136">
        <v>328198</v>
      </c>
      <c r="AC6" s="136">
        <v>153320</v>
      </c>
      <c r="AD6" s="136">
        <v>339209</v>
      </c>
      <c r="AE6" s="136">
        <v>366667</v>
      </c>
      <c r="AF6" s="136">
        <v>275047</v>
      </c>
      <c r="AG6" s="136">
        <v>276259</v>
      </c>
      <c r="AH6" s="136">
        <v>272524</v>
      </c>
      <c r="AI6" s="136">
        <v>358247</v>
      </c>
      <c r="AJ6" s="136">
        <v>282638</v>
      </c>
      <c r="AK6" s="136">
        <v>357438</v>
      </c>
      <c r="AL6" s="136">
        <v>488039</v>
      </c>
      <c r="AM6" s="136">
        <v>481054</v>
      </c>
      <c r="AN6" s="136">
        <v>394455</v>
      </c>
      <c r="AO6" s="136">
        <v>431899</v>
      </c>
      <c r="AP6" s="136">
        <v>503889</v>
      </c>
      <c r="AQ6" s="136">
        <v>536155</v>
      </c>
      <c r="AR6" s="136">
        <v>460692</v>
      </c>
      <c r="AS6" s="136">
        <v>558144</v>
      </c>
      <c r="AT6" s="136">
        <v>712963</v>
      </c>
      <c r="AU6" s="136">
        <v>736905</v>
      </c>
      <c r="AV6" s="136">
        <v>517580</v>
      </c>
      <c r="AW6" s="136">
        <v>637116</v>
      </c>
      <c r="AX6" s="136">
        <v>749373</v>
      </c>
      <c r="AY6" s="136">
        <v>729616</v>
      </c>
      <c r="AZ6" s="136">
        <v>621181</v>
      </c>
      <c r="BA6" s="136">
        <f>(VLOOKUP(D6,'[3]DVA '!$A$7:$I$46,9,FALSE))-AZ6</f>
        <v>883388</v>
      </c>
    </row>
    <row r="7" spans="1:53" x14ac:dyDescent="0.2">
      <c r="A7" s="194" t="s">
        <v>487</v>
      </c>
      <c r="B7" s="194" t="s">
        <v>799</v>
      </c>
      <c r="D7" s="135" t="str">
        <f>IF([1]RENAME!$H$3=1,B7,A7)</f>
        <v>Outras receitas</v>
      </c>
      <c r="E7" s="136">
        <v>39945</v>
      </c>
      <c r="F7" s="136">
        <v>155743</v>
      </c>
      <c r="G7" s="242">
        <v>18901</v>
      </c>
      <c r="H7" s="136">
        <v>3294</v>
      </c>
      <c r="I7" s="136">
        <v>5475</v>
      </c>
      <c r="J7" s="136">
        <v>3618</v>
      </c>
      <c r="K7" s="136">
        <v>2298</v>
      </c>
      <c r="L7" s="136">
        <v>1736</v>
      </c>
      <c r="M7" s="136">
        <v>2927</v>
      </c>
      <c r="N7" s="136">
        <v>387</v>
      </c>
      <c r="O7" s="136">
        <v>716</v>
      </c>
      <c r="P7" s="136">
        <v>604</v>
      </c>
      <c r="Q7" s="136">
        <v>1169</v>
      </c>
      <c r="R7" s="136">
        <v>1510</v>
      </c>
      <c r="S7" s="136">
        <v>1692</v>
      </c>
      <c r="T7" s="136">
        <v>7580</v>
      </c>
      <c r="U7" s="136">
        <v>670</v>
      </c>
      <c r="V7" s="136">
        <v>-1520</v>
      </c>
      <c r="W7" s="136">
        <v>2168</v>
      </c>
      <c r="X7" s="136">
        <v>1412</v>
      </c>
      <c r="Y7" s="136">
        <v>695</v>
      </c>
      <c r="Z7" s="136">
        <v>57349</v>
      </c>
      <c r="AA7" s="136">
        <v>1340</v>
      </c>
      <c r="AB7" s="136">
        <v>556</v>
      </c>
      <c r="AC7" s="136">
        <v>95</v>
      </c>
      <c r="AD7" s="136">
        <v>202</v>
      </c>
      <c r="AE7" s="136">
        <v>49</v>
      </c>
      <c r="AF7" s="136">
        <v>6857</v>
      </c>
      <c r="AG7" s="136">
        <v>4511</v>
      </c>
      <c r="AH7" s="136">
        <v>515</v>
      </c>
      <c r="AI7" s="136">
        <v>-447</v>
      </c>
      <c r="AJ7" s="136">
        <v>213</v>
      </c>
      <c r="AK7" s="136">
        <v>240</v>
      </c>
      <c r="AL7" s="136">
        <v>1507</v>
      </c>
      <c r="AM7" s="136">
        <v>9407</v>
      </c>
      <c r="AN7" s="136">
        <v>1708</v>
      </c>
      <c r="AO7" s="136">
        <v>-57</v>
      </c>
      <c r="AP7" s="136">
        <v>654</v>
      </c>
      <c r="AQ7" s="136">
        <v>-698</v>
      </c>
      <c r="AR7" s="136">
        <v>506</v>
      </c>
      <c r="AS7" s="136">
        <v>747</v>
      </c>
      <c r="AT7" s="136">
        <v>-37</v>
      </c>
      <c r="AU7" s="136">
        <v>2605</v>
      </c>
      <c r="AV7" s="136">
        <v>1623</v>
      </c>
      <c r="AW7" s="136">
        <v>-667</v>
      </c>
      <c r="AX7" s="136">
        <v>594</v>
      </c>
      <c r="AY7" s="136">
        <v>211</v>
      </c>
      <c r="AZ7" s="136">
        <v>4336</v>
      </c>
      <c r="BA7" s="136">
        <f>(VLOOKUP(D7,'[3]DVA '!$A$7:$I$46,9,FALSE))-AZ7</f>
        <v>-179</v>
      </c>
    </row>
    <row r="8" spans="1:53" ht="25.5" x14ac:dyDescent="0.2">
      <c r="A8" s="194" t="s">
        <v>1605</v>
      </c>
      <c r="B8" s="194" t="s">
        <v>800</v>
      </c>
      <c r="D8" s="135" t="s">
        <v>1605</v>
      </c>
      <c r="E8" s="136">
        <v>1896</v>
      </c>
      <c r="F8" s="136">
        <v>-13047</v>
      </c>
      <c r="G8" s="242">
        <v>-38</v>
      </c>
      <c r="H8" s="136">
        <v>460</v>
      </c>
      <c r="I8" s="136">
        <v>274</v>
      </c>
      <c r="J8" s="136">
        <v>-1122</v>
      </c>
      <c r="K8" s="136">
        <v>-812</v>
      </c>
      <c r="L8" s="136">
        <v>-628</v>
      </c>
      <c r="M8" s="136">
        <v>92</v>
      </c>
      <c r="N8" s="136">
        <v>424</v>
      </c>
      <c r="O8" s="136">
        <v>-755</v>
      </c>
      <c r="P8" s="136">
        <v>-169</v>
      </c>
      <c r="Q8" s="136">
        <v>20</v>
      </c>
      <c r="R8" s="136">
        <v>81</v>
      </c>
      <c r="S8" s="136">
        <v>-25</v>
      </c>
      <c r="T8" s="136">
        <v>-63</v>
      </c>
      <c r="U8" s="136">
        <v>1001</v>
      </c>
      <c r="V8" s="136">
        <v>-283</v>
      </c>
      <c r="W8" s="136">
        <v>-1751</v>
      </c>
      <c r="X8" s="136">
        <v>-76</v>
      </c>
      <c r="Y8" s="136">
        <v>1492</v>
      </c>
      <c r="Z8" s="136">
        <v>-132</v>
      </c>
      <c r="AA8" s="136">
        <v>825</v>
      </c>
      <c r="AB8" s="136">
        <v>80</v>
      </c>
      <c r="AC8" s="136">
        <v>-69</v>
      </c>
      <c r="AD8" s="136">
        <v>-111</v>
      </c>
      <c r="AE8" s="136">
        <v>34</v>
      </c>
      <c r="AF8" s="136">
        <v>-147</v>
      </c>
      <c r="AG8" s="136">
        <v>-38</v>
      </c>
      <c r="AH8" s="136">
        <v>-295</v>
      </c>
      <c r="AI8" s="136">
        <v>-659</v>
      </c>
      <c r="AJ8" s="136">
        <v>-116</v>
      </c>
      <c r="AK8" s="136">
        <v>-27</v>
      </c>
      <c r="AL8" s="136">
        <v>55</v>
      </c>
      <c r="AM8" s="136">
        <v>-319</v>
      </c>
      <c r="AN8" s="136">
        <v>-385</v>
      </c>
      <c r="AO8" s="136">
        <v>-464</v>
      </c>
      <c r="AP8" s="136">
        <v>-249</v>
      </c>
      <c r="AQ8" s="136">
        <v>-36</v>
      </c>
      <c r="AR8" s="136">
        <v>-19</v>
      </c>
      <c r="AS8" s="136">
        <v>-195</v>
      </c>
      <c r="AT8" s="136">
        <v>-825</v>
      </c>
      <c r="AU8" s="136">
        <v>-2122</v>
      </c>
      <c r="AV8" s="136">
        <v>-725</v>
      </c>
      <c r="AW8" s="136">
        <v>648</v>
      </c>
      <c r="AX8" s="136">
        <v>674</v>
      </c>
      <c r="AY8" s="136">
        <v>267</v>
      </c>
      <c r="AZ8" s="136">
        <v>-962</v>
      </c>
      <c r="BA8" s="136">
        <f>(VLOOKUP(D8,'[3]DVA '!$A$7:$I$46,9,FALSE))-AZ8</f>
        <v>-653</v>
      </c>
    </row>
    <row r="9" spans="1:53" x14ac:dyDescent="0.2">
      <c r="A9" s="194" t="s">
        <v>363</v>
      </c>
      <c r="B9" s="194" t="s">
        <v>801</v>
      </c>
      <c r="D9" s="195" t="str">
        <f>IF([1]RENAME!$H$3=1,B9,A9)</f>
        <v>Receitas</v>
      </c>
      <c r="E9" s="196">
        <f>+SUM(E6:E8)</f>
        <v>2137389</v>
      </c>
      <c r="F9" s="196">
        <f t="shared" ref="F9:K9" si="10">+SUM(F6:F8)</f>
        <v>2015539</v>
      </c>
      <c r="G9" s="243">
        <f t="shared" si="10"/>
        <v>485738</v>
      </c>
      <c r="H9" s="196">
        <f t="shared" si="10"/>
        <v>341797</v>
      </c>
      <c r="I9" s="196">
        <f t="shared" si="10"/>
        <v>333429</v>
      </c>
      <c r="J9" s="196">
        <f t="shared" si="10"/>
        <v>330063</v>
      </c>
      <c r="K9" s="196">
        <f t="shared" si="10"/>
        <v>339630</v>
      </c>
      <c r="L9" s="196">
        <f t="shared" ref="L9:AB9" si="11">+SUM(L6:L8)</f>
        <v>238778</v>
      </c>
      <c r="M9" s="196">
        <f t="shared" si="11"/>
        <v>269937</v>
      </c>
      <c r="N9" s="196">
        <f t="shared" si="11"/>
        <v>278315</v>
      </c>
      <c r="O9" s="196">
        <f t="shared" si="11"/>
        <v>297047</v>
      </c>
      <c r="P9" s="196">
        <f t="shared" si="11"/>
        <v>250211</v>
      </c>
      <c r="Q9" s="196">
        <f t="shared" si="11"/>
        <v>298777</v>
      </c>
      <c r="R9" s="196">
        <f t="shared" si="11"/>
        <v>335394</v>
      </c>
      <c r="S9" s="196">
        <f t="shared" si="11"/>
        <v>374805</v>
      </c>
      <c r="T9" s="196">
        <f t="shared" si="11"/>
        <v>312987</v>
      </c>
      <c r="U9" s="196">
        <f t="shared" si="11"/>
        <v>343343</v>
      </c>
      <c r="V9" s="196">
        <f t="shared" si="11"/>
        <v>390883</v>
      </c>
      <c r="W9" s="196">
        <f t="shared" si="11"/>
        <v>416970</v>
      </c>
      <c r="X9" s="196">
        <f t="shared" si="11"/>
        <v>350058</v>
      </c>
      <c r="Y9" s="196">
        <f t="shared" si="11"/>
        <v>388188</v>
      </c>
      <c r="Z9" s="196">
        <f t="shared" si="11"/>
        <v>452757</v>
      </c>
      <c r="AA9" s="196">
        <f t="shared" si="11"/>
        <v>442526</v>
      </c>
      <c r="AB9" s="196">
        <f t="shared" si="11"/>
        <v>328834</v>
      </c>
      <c r="AC9" s="196">
        <f t="shared" ref="AC9:AH9" si="12">+SUM(AC6:AC8)</f>
        <v>153346</v>
      </c>
      <c r="AD9" s="196">
        <f t="shared" si="12"/>
        <v>339300</v>
      </c>
      <c r="AE9" s="196">
        <f t="shared" si="12"/>
        <v>366750</v>
      </c>
      <c r="AF9" s="196">
        <f t="shared" si="12"/>
        <v>281757</v>
      </c>
      <c r="AG9" s="196">
        <f t="shared" si="12"/>
        <v>280732</v>
      </c>
      <c r="AH9" s="196">
        <f t="shared" si="12"/>
        <v>272744</v>
      </c>
      <c r="AI9" s="196">
        <f t="shared" ref="AI9:AN9" si="13">+SUM(AI6:AI8)</f>
        <v>357141</v>
      </c>
      <c r="AJ9" s="196">
        <f t="shared" si="13"/>
        <v>282735</v>
      </c>
      <c r="AK9" s="196">
        <f t="shared" si="13"/>
        <v>357651</v>
      </c>
      <c r="AL9" s="196">
        <f t="shared" si="13"/>
        <v>489601</v>
      </c>
      <c r="AM9" s="196">
        <f>+SUM(AM6:AM8)</f>
        <v>490142</v>
      </c>
      <c r="AN9" s="196">
        <f t="shared" si="13"/>
        <v>395778</v>
      </c>
      <c r="AO9" s="196">
        <f t="shared" ref="AO9:AU9" si="14">+SUM(AO6:AO8)</f>
        <v>431378</v>
      </c>
      <c r="AP9" s="196">
        <f t="shared" si="14"/>
        <v>504294</v>
      </c>
      <c r="AQ9" s="196">
        <f t="shared" si="14"/>
        <v>535421</v>
      </c>
      <c r="AR9" s="196">
        <f t="shared" si="14"/>
        <v>461179</v>
      </c>
      <c r="AS9" s="196">
        <f t="shared" si="14"/>
        <v>558696</v>
      </c>
      <c r="AT9" s="196">
        <f t="shared" si="14"/>
        <v>712101</v>
      </c>
      <c r="AU9" s="196">
        <f t="shared" si="14"/>
        <v>737388</v>
      </c>
      <c r="AV9" s="196">
        <v>518478</v>
      </c>
      <c r="AW9" s="196">
        <f>+SUM(AW6:AW8)</f>
        <v>637097</v>
      </c>
      <c r="AX9" s="196">
        <f>+SUM(AX6:AX8)</f>
        <v>750641</v>
      </c>
      <c r="AY9" s="196">
        <f>+SUM(AY6:AY8)</f>
        <v>730094</v>
      </c>
      <c r="AZ9" s="196">
        <f>+SUM(AZ6:AZ8)</f>
        <v>624555</v>
      </c>
      <c r="BA9" s="196">
        <f>+SUM(BA6:BA8)</f>
        <v>882556</v>
      </c>
    </row>
    <row r="10" spans="1:53" x14ac:dyDescent="0.2">
      <c r="A10" s="194" t="s">
        <v>242</v>
      </c>
      <c r="B10" s="194" t="s">
        <v>802</v>
      </c>
      <c r="D10" s="135" t="str">
        <f>IF([1]RENAME!$H$3=1,B10,A10)</f>
        <v>Custo dos serviços prestados</v>
      </c>
      <c r="E10" s="136">
        <v>-1141985</v>
      </c>
      <c r="F10" s="136">
        <v>-1022505</v>
      </c>
      <c r="G10" s="242">
        <v>-268182</v>
      </c>
      <c r="H10" s="136">
        <v>-188747</v>
      </c>
      <c r="I10" s="136">
        <v>-179253</v>
      </c>
      <c r="J10" s="136">
        <v>-176263</v>
      </c>
      <c r="K10" s="136">
        <v>-181951</v>
      </c>
      <c r="L10" s="136">
        <v>-123971</v>
      </c>
      <c r="M10" s="136">
        <v>-143509</v>
      </c>
      <c r="N10" s="136">
        <v>-148289</v>
      </c>
      <c r="O10" s="136">
        <v>-158010</v>
      </c>
      <c r="P10" s="136">
        <v>-130648</v>
      </c>
      <c r="Q10" s="136">
        <v>-160727</v>
      </c>
      <c r="R10" s="136">
        <v>-181957</v>
      </c>
      <c r="S10" s="136">
        <v>-200710</v>
      </c>
      <c r="T10" s="136">
        <v>-165476</v>
      </c>
      <c r="U10" s="136">
        <v>-188255</v>
      </c>
      <c r="V10" s="136">
        <v>-218673</v>
      </c>
      <c r="W10" s="136">
        <v>-230675</v>
      </c>
      <c r="X10" s="136">
        <v>-186759</v>
      </c>
      <c r="Y10" s="136">
        <v>-211130</v>
      </c>
      <c r="Z10" s="136">
        <v>-213636</v>
      </c>
      <c r="AA10" s="136">
        <v>-240468</v>
      </c>
      <c r="AB10" s="136">
        <v>-174726</v>
      </c>
      <c r="AC10" s="136">
        <v>-71320</v>
      </c>
      <c r="AD10" s="136">
        <v>-186852</v>
      </c>
      <c r="AE10" s="136">
        <v>-207649</v>
      </c>
      <c r="AF10" s="136">
        <v>-153175</v>
      </c>
      <c r="AG10" s="136">
        <v>-153626</v>
      </c>
      <c r="AH10" s="136">
        <v>-149148</v>
      </c>
      <c r="AI10" s="136">
        <v>-201800</v>
      </c>
      <c r="AJ10" s="136">
        <v>-155776</v>
      </c>
      <c r="AK10" s="136">
        <v>-198813</v>
      </c>
      <c r="AL10" s="136">
        <v>-277941</v>
      </c>
      <c r="AM10" s="136">
        <v>-275595</v>
      </c>
      <c r="AN10" s="136">
        <v>-222953</v>
      </c>
      <c r="AO10" s="136">
        <v>-245741</v>
      </c>
      <c r="AP10" s="136">
        <v>-286981</v>
      </c>
      <c r="AQ10" s="136">
        <v>-309845</v>
      </c>
      <c r="AR10" s="136">
        <v>-262321</v>
      </c>
      <c r="AS10" s="136">
        <v>-318742</v>
      </c>
      <c r="AT10" s="136">
        <v>-398358</v>
      </c>
      <c r="AU10" s="136">
        <v>-415515</v>
      </c>
      <c r="AV10" s="136">
        <v>-289245</v>
      </c>
      <c r="AW10" s="136">
        <v>-357840</v>
      </c>
      <c r="AX10" s="136">
        <v>-429070</v>
      </c>
      <c r="AY10" s="136">
        <v>-428389</v>
      </c>
      <c r="AZ10" s="136">
        <v>-365548</v>
      </c>
      <c r="BA10" s="136">
        <f>(VLOOKUP($D10,'[3]DVA '!$A$7:$I$46,9,FALSE))-AZ10</f>
        <v>-513070</v>
      </c>
    </row>
    <row r="11" spans="1:53" x14ac:dyDescent="0.2">
      <c r="A11" s="194" t="s">
        <v>452</v>
      </c>
      <c r="B11" s="194" t="s">
        <v>803</v>
      </c>
      <c r="D11" s="135" t="str">
        <f>IF([1]RENAME!$H$3=1,B11,A11)</f>
        <v>Materiais, energia, serviços de terceiros e outros operacionais</v>
      </c>
      <c r="E11" s="136">
        <v>-248270</v>
      </c>
      <c r="F11" s="136">
        <v>-421458</v>
      </c>
      <c r="G11" s="242">
        <v>-46950</v>
      </c>
      <c r="H11" s="136">
        <v>-35779</v>
      </c>
      <c r="I11" s="136">
        <v>-44250</v>
      </c>
      <c r="J11" s="136">
        <v>-38957</v>
      </c>
      <c r="K11" s="136">
        <v>-67687</v>
      </c>
      <c r="L11" s="136">
        <v>-26723</v>
      </c>
      <c r="M11" s="136">
        <v>-35209</v>
      </c>
      <c r="N11" s="136">
        <v>-32166</v>
      </c>
      <c r="O11" s="136">
        <v>-34889</v>
      </c>
      <c r="P11" s="136">
        <v>-29787</v>
      </c>
      <c r="Q11" s="136">
        <v>-52294</v>
      </c>
      <c r="R11" s="136">
        <v>-39416</v>
      </c>
      <c r="S11" s="136">
        <v>-54410</v>
      </c>
      <c r="T11" s="136">
        <v>-44902</v>
      </c>
      <c r="U11" s="136">
        <v>-34944</v>
      </c>
      <c r="V11" s="136">
        <v>-31327</v>
      </c>
      <c r="W11" s="136">
        <v>-50870</v>
      </c>
      <c r="X11" s="136">
        <v>-34591</v>
      </c>
      <c r="Y11" s="136">
        <v>-37378</v>
      </c>
      <c r="Z11" s="136">
        <v>-43318</v>
      </c>
      <c r="AA11" s="136">
        <v>-46766</v>
      </c>
      <c r="AB11" s="136">
        <v>-37305</v>
      </c>
      <c r="AC11" s="136">
        <v>-24620</v>
      </c>
      <c r="AD11" s="136">
        <v>-30112</v>
      </c>
      <c r="AE11" s="136">
        <v>-34886</v>
      </c>
      <c r="AF11" s="136">
        <v>-25162</v>
      </c>
      <c r="AG11" s="136">
        <v>-27748</v>
      </c>
      <c r="AH11" s="136">
        <v>-26944</v>
      </c>
      <c r="AI11" s="136">
        <v>-32912</v>
      </c>
      <c r="AJ11" s="136">
        <v>-28380</v>
      </c>
      <c r="AK11" s="136">
        <v>-33964</v>
      </c>
      <c r="AL11" s="136">
        <v>-41484</v>
      </c>
      <c r="AM11" s="136">
        <v>-43742</v>
      </c>
      <c r="AN11" s="136">
        <v>-38330</v>
      </c>
      <c r="AO11" s="136">
        <v>-35918</v>
      </c>
      <c r="AP11" s="136">
        <v>-37073</v>
      </c>
      <c r="AQ11" s="136">
        <v>-42863</v>
      </c>
      <c r="AR11" s="136">
        <v>-42788</v>
      </c>
      <c r="AS11" s="136">
        <v>-42450</v>
      </c>
      <c r="AT11" s="136">
        <v>-47224</v>
      </c>
      <c r="AU11" s="136">
        <v>-48370</v>
      </c>
      <c r="AV11" s="136">
        <v>-43719</v>
      </c>
      <c r="AW11" s="136">
        <v>-46470</v>
      </c>
      <c r="AX11" s="136">
        <v>-50726</v>
      </c>
      <c r="AY11" s="136">
        <v>-56910</v>
      </c>
      <c r="AZ11" s="136">
        <v>-45030</v>
      </c>
      <c r="BA11" s="136">
        <f>(VLOOKUP($D11,'[3]DVA '!$A$7:$I$46,9,FALSE))-AZ11</f>
        <v>-58398</v>
      </c>
    </row>
    <row r="12" spans="1:53" s="759" customFormat="1" hidden="1" outlineLevel="1" x14ac:dyDescent="0.2">
      <c r="A12" s="759" t="s">
        <v>1277</v>
      </c>
      <c r="B12" s="759" t="s">
        <v>756</v>
      </c>
      <c r="C12" s="220"/>
      <c r="D12" s="231" t="s">
        <v>580</v>
      </c>
      <c r="E12" s="232">
        <v>0</v>
      </c>
      <c r="F12" s="232">
        <v>0</v>
      </c>
      <c r="G12" s="760">
        <v>0</v>
      </c>
      <c r="H12" s="232">
        <v>0</v>
      </c>
      <c r="I12" s="232">
        <v>0</v>
      </c>
      <c r="J12" s="232">
        <v>0</v>
      </c>
      <c r="K12" s="232">
        <v>0</v>
      </c>
      <c r="L12" s="232">
        <v>0</v>
      </c>
      <c r="M12" s="232">
        <v>0</v>
      </c>
      <c r="N12" s="232">
        <v>0</v>
      </c>
      <c r="O12" s="232">
        <v>0</v>
      </c>
      <c r="P12" s="232">
        <v>0</v>
      </c>
      <c r="Q12" s="232">
        <v>-1364.59871</v>
      </c>
      <c r="R12" s="232">
        <v>0</v>
      </c>
      <c r="S12" s="232">
        <v>-0.40129000000001724</v>
      </c>
      <c r="T12" s="232">
        <v>0</v>
      </c>
      <c r="U12" s="232">
        <v>0</v>
      </c>
      <c r="V12" s="232">
        <v>0</v>
      </c>
      <c r="W12" s="232">
        <v>0</v>
      </c>
      <c r="X12" s="232">
        <v>0</v>
      </c>
      <c r="Y12" s="232"/>
      <c r="Z12" s="232">
        <v>0</v>
      </c>
      <c r="AA12" s="232">
        <v>0</v>
      </c>
      <c r="AB12" s="232">
        <v>0</v>
      </c>
      <c r="AC12" s="232">
        <v>0</v>
      </c>
      <c r="AD12" s="232">
        <v>0</v>
      </c>
      <c r="AE12" s="136">
        <v>0</v>
      </c>
      <c r="AF12" s="136">
        <v>0</v>
      </c>
      <c r="AG12" s="136">
        <v>0</v>
      </c>
      <c r="AH12" s="136">
        <v>0</v>
      </c>
      <c r="AI12" s="136"/>
      <c r="AJ12" s="136">
        <v>0</v>
      </c>
      <c r="AK12" s="136">
        <v>0</v>
      </c>
      <c r="AL12" s="136">
        <v>0</v>
      </c>
      <c r="AM12" s="136">
        <v>0</v>
      </c>
      <c r="AN12" s="136">
        <v>0</v>
      </c>
      <c r="AO12" s="136">
        <v>0</v>
      </c>
      <c r="AP12" s="136">
        <f>VLOOKUP(D12,'[3]DVA '!$A$7:$I$46,9,FALSE)</f>
        <v>0</v>
      </c>
      <c r="AQ12" s="136">
        <v>0</v>
      </c>
      <c r="AR12" s="136">
        <v>0</v>
      </c>
      <c r="AS12" s="136"/>
      <c r="AT12" s="136"/>
      <c r="AU12" s="136">
        <v>0</v>
      </c>
      <c r="AV12" s="136">
        <v>0</v>
      </c>
      <c r="AW12" s="136">
        <v>0</v>
      </c>
      <c r="AX12" s="136">
        <v>0</v>
      </c>
      <c r="AY12" s="136">
        <v>0</v>
      </c>
      <c r="AZ12" s="136">
        <v>0</v>
      </c>
      <c r="BA12" s="136">
        <v>0</v>
      </c>
    </row>
    <row r="13" spans="1:53" collapsed="1" x14ac:dyDescent="0.2">
      <c r="A13" s="194" t="s">
        <v>414</v>
      </c>
      <c r="B13" s="194" t="s">
        <v>804</v>
      </c>
      <c r="D13" s="195" t="str">
        <f>IF([1]RENAME!$H$3=1,B13,A13)</f>
        <v>Insumos adquiridos de terceiros</v>
      </c>
      <c r="E13" s="196">
        <f>+SUM(E10:E11)</f>
        <v>-1390255</v>
      </c>
      <c r="F13" s="196">
        <f t="shared" ref="F13:K13" si="15">+SUM(F10:F11)</f>
        <v>-1443963</v>
      </c>
      <c r="G13" s="243">
        <f t="shared" si="15"/>
        <v>-315132</v>
      </c>
      <c r="H13" s="196">
        <f t="shared" si="15"/>
        <v>-224526</v>
      </c>
      <c r="I13" s="196">
        <f t="shared" si="15"/>
        <v>-223503</v>
      </c>
      <c r="J13" s="196">
        <f t="shared" si="15"/>
        <v>-215220</v>
      </c>
      <c r="K13" s="196">
        <f t="shared" si="15"/>
        <v>-249638</v>
      </c>
      <c r="L13" s="196">
        <f>+SUM(L10:L11)</f>
        <v>-150694</v>
      </c>
      <c r="M13" s="196">
        <f>+SUM(M10:M11)</f>
        <v>-178718</v>
      </c>
      <c r="N13" s="196">
        <f>+SUM(N10:N11)</f>
        <v>-180455</v>
      </c>
      <c r="O13" s="196">
        <f>+SUM(O10:O11)</f>
        <v>-192899</v>
      </c>
      <c r="P13" s="196">
        <f>+SUM(P10:P11)</f>
        <v>-160435</v>
      </c>
      <c r="Q13" s="196">
        <f t="shared" ref="Q13:AB13" si="16">+SUM(Q10:Q12)</f>
        <v>-214385.59870999999</v>
      </c>
      <c r="R13" s="196">
        <f t="shared" si="16"/>
        <v>-221373</v>
      </c>
      <c r="S13" s="196">
        <f t="shared" si="16"/>
        <v>-255120.40129000001</v>
      </c>
      <c r="T13" s="196">
        <f t="shared" si="16"/>
        <v>-210378</v>
      </c>
      <c r="U13" s="196">
        <f t="shared" si="16"/>
        <v>-223199</v>
      </c>
      <c r="V13" s="196">
        <f t="shared" si="16"/>
        <v>-250000</v>
      </c>
      <c r="W13" s="196">
        <f t="shared" si="16"/>
        <v>-281545</v>
      </c>
      <c r="X13" s="196">
        <f t="shared" si="16"/>
        <v>-221350</v>
      </c>
      <c r="Y13" s="196">
        <f t="shared" si="16"/>
        <v>-248508</v>
      </c>
      <c r="Z13" s="196">
        <f t="shared" si="16"/>
        <v>-256954</v>
      </c>
      <c r="AA13" s="196">
        <f t="shared" si="16"/>
        <v>-287234</v>
      </c>
      <c r="AB13" s="196">
        <f t="shared" si="16"/>
        <v>-212031</v>
      </c>
      <c r="AC13" s="196">
        <f t="shared" ref="AC13:AH13" si="17">+SUM(AC10:AC12)</f>
        <v>-95940</v>
      </c>
      <c r="AD13" s="196">
        <f t="shared" si="17"/>
        <v>-216964</v>
      </c>
      <c r="AE13" s="196">
        <f t="shared" si="17"/>
        <v>-242535</v>
      </c>
      <c r="AF13" s="196">
        <f t="shared" si="17"/>
        <v>-178337</v>
      </c>
      <c r="AG13" s="196">
        <f t="shared" si="17"/>
        <v>-181374</v>
      </c>
      <c r="AH13" s="196">
        <f t="shared" si="17"/>
        <v>-176092</v>
      </c>
      <c r="AI13" s="196">
        <f t="shared" ref="AI13:AN13" si="18">+SUM(AI10:AI12)</f>
        <v>-234712</v>
      </c>
      <c r="AJ13" s="196">
        <f t="shared" si="18"/>
        <v>-184156</v>
      </c>
      <c r="AK13" s="196">
        <f t="shared" si="18"/>
        <v>-232777</v>
      </c>
      <c r="AL13" s="196">
        <f t="shared" si="18"/>
        <v>-319425</v>
      </c>
      <c r="AM13" s="196">
        <f>+SUM(AM10:AM12)</f>
        <v>-319337</v>
      </c>
      <c r="AN13" s="196">
        <f t="shared" si="18"/>
        <v>-261283</v>
      </c>
      <c r="AO13" s="196">
        <f t="shared" ref="AO13:AU13" si="19">+SUM(AO10:AO12)</f>
        <v>-281659</v>
      </c>
      <c r="AP13" s="196">
        <f t="shared" si="19"/>
        <v>-324054</v>
      </c>
      <c r="AQ13" s="196">
        <f t="shared" si="19"/>
        <v>-352708</v>
      </c>
      <c r="AR13" s="196">
        <f t="shared" si="19"/>
        <v>-305109</v>
      </c>
      <c r="AS13" s="196">
        <f t="shared" si="19"/>
        <v>-361192</v>
      </c>
      <c r="AT13" s="196">
        <f t="shared" si="19"/>
        <v>-445582</v>
      </c>
      <c r="AU13" s="196">
        <f t="shared" si="19"/>
        <v>-463885</v>
      </c>
      <c r="AV13" s="196">
        <v>-332964</v>
      </c>
      <c r="AW13" s="196">
        <f>+SUM(AW10:AW12)</f>
        <v>-404310</v>
      </c>
      <c r="AX13" s="196">
        <f>+SUM(AX10:AX12)</f>
        <v>-479796</v>
      </c>
      <c r="AY13" s="196">
        <f>+SUM(AY10:AY12)</f>
        <v>-485299</v>
      </c>
      <c r="AZ13" s="196">
        <f>+SUM(AZ10:AZ12)</f>
        <v>-410578</v>
      </c>
      <c r="BA13" s="196">
        <f>+SUM(BA10:BA12)</f>
        <v>-571468</v>
      </c>
    </row>
    <row r="14" spans="1:53" x14ac:dyDescent="0.2">
      <c r="A14" s="194" t="s">
        <v>415</v>
      </c>
      <c r="B14" s="194" t="s">
        <v>805</v>
      </c>
      <c r="D14" s="135" t="str">
        <f>IF([1]RENAME!$H$3=1,B14,A14)</f>
        <v>Valor adicionado bruto</v>
      </c>
      <c r="E14" s="136">
        <f t="shared" ref="E14:J14" si="20">+E13+E9</f>
        <v>747134</v>
      </c>
      <c r="F14" s="136">
        <f t="shared" si="20"/>
        <v>571576</v>
      </c>
      <c r="G14" s="242">
        <f t="shared" si="20"/>
        <v>170606</v>
      </c>
      <c r="H14" s="136">
        <f t="shared" si="20"/>
        <v>117271</v>
      </c>
      <c r="I14" s="136">
        <f t="shared" si="20"/>
        <v>109926</v>
      </c>
      <c r="J14" s="136">
        <f t="shared" si="20"/>
        <v>114843</v>
      </c>
      <c r="K14" s="136">
        <f t="shared" ref="K14:R14" si="21">+K13+K9</f>
        <v>89992</v>
      </c>
      <c r="L14" s="136">
        <f t="shared" si="21"/>
        <v>88084</v>
      </c>
      <c r="M14" s="136">
        <f t="shared" si="21"/>
        <v>91219</v>
      </c>
      <c r="N14" s="136">
        <f t="shared" si="21"/>
        <v>97860</v>
      </c>
      <c r="O14" s="136">
        <f t="shared" si="21"/>
        <v>104148</v>
      </c>
      <c r="P14" s="136">
        <f t="shared" si="21"/>
        <v>89776</v>
      </c>
      <c r="Q14" s="136">
        <f t="shared" si="21"/>
        <v>84391.401290000009</v>
      </c>
      <c r="R14" s="136">
        <f t="shared" si="21"/>
        <v>114021</v>
      </c>
      <c r="S14" s="136">
        <v>119684.59870999999</v>
      </c>
      <c r="T14" s="136">
        <v>102609</v>
      </c>
      <c r="U14" s="136">
        <v>120144</v>
      </c>
      <c r="V14" s="136">
        <v>140883</v>
      </c>
      <c r="W14" s="136">
        <v>135425</v>
      </c>
      <c r="X14" s="136">
        <v>128708</v>
      </c>
      <c r="Y14" s="136">
        <v>139680</v>
      </c>
      <c r="Z14" s="136">
        <v>195803</v>
      </c>
      <c r="AA14" s="136">
        <v>155292</v>
      </c>
      <c r="AB14" s="136">
        <v>116803</v>
      </c>
      <c r="AC14" s="136">
        <v>57406</v>
      </c>
      <c r="AD14" s="136">
        <v>122336</v>
      </c>
      <c r="AE14" s="136">
        <v>124215</v>
      </c>
      <c r="AF14" s="136">
        <v>103420</v>
      </c>
      <c r="AG14" s="136">
        <v>99358</v>
      </c>
      <c r="AH14" s="136">
        <v>96652</v>
      </c>
      <c r="AI14" s="136">
        <v>122429</v>
      </c>
      <c r="AJ14" s="136">
        <v>98579</v>
      </c>
      <c r="AK14" s="136">
        <v>124874</v>
      </c>
      <c r="AL14" s="136">
        <v>170176</v>
      </c>
      <c r="AM14" s="136">
        <v>170805</v>
      </c>
      <c r="AN14" s="136">
        <v>134495</v>
      </c>
      <c r="AO14" s="136">
        <v>149719</v>
      </c>
      <c r="AP14" s="136">
        <v>180240</v>
      </c>
      <c r="AQ14" s="136">
        <v>182713</v>
      </c>
      <c r="AR14" s="136">
        <v>156070</v>
      </c>
      <c r="AS14" s="136">
        <v>197504</v>
      </c>
      <c r="AT14" s="136">
        <v>266519</v>
      </c>
      <c r="AU14" s="136">
        <v>273503</v>
      </c>
      <c r="AV14" s="136">
        <v>185514</v>
      </c>
      <c r="AW14" s="136">
        <v>232787</v>
      </c>
      <c r="AX14" s="136">
        <v>270845</v>
      </c>
      <c r="AY14" s="136">
        <v>244795</v>
      </c>
      <c r="AZ14" s="136">
        <v>213977</v>
      </c>
      <c r="BA14" s="136">
        <f>(VLOOKUP(D14,'[3]DVA '!$A$7:$I$46,9,FALSE))-AZ14</f>
        <v>311088</v>
      </c>
    </row>
    <row r="15" spans="1:53" x14ac:dyDescent="0.2">
      <c r="A15" s="194" t="s">
        <v>416</v>
      </c>
      <c r="B15" s="194" t="s">
        <v>806</v>
      </c>
      <c r="D15" s="135" t="str">
        <f>IF([1]RENAME!$H$3=1,B15,A15)</f>
        <v xml:space="preserve">Depreciação e amortização </v>
      </c>
      <c r="E15" s="136">
        <v>-29054</v>
      </c>
      <c r="F15" s="136">
        <v>-27130</v>
      </c>
      <c r="G15" s="242">
        <v>-3224</v>
      </c>
      <c r="H15" s="136">
        <v>-6412</v>
      </c>
      <c r="I15" s="136">
        <v>-7112</v>
      </c>
      <c r="J15" s="136">
        <v>-6673</v>
      </c>
      <c r="K15" s="136">
        <v>-7719</v>
      </c>
      <c r="L15" s="136">
        <v>-7205</v>
      </c>
      <c r="M15" s="136">
        <v>-9299</v>
      </c>
      <c r="N15" s="136">
        <v>-6737</v>
      </c>
      <c r="O15" s="136">
        <v>-6859</v>
      </c>
      <c r="P15" s="136">
        <v>-6572</v>
      </c>
      <c r="Q15" s="136">
        <v>-6832</v>
      </c>
      <c r="R15" s="136">
        <v>-7305</v>
      </c>
      <c r="S15" s="136">
        <v>-7435</v>
      </c>
      <c r="T15" s="136">
        <v>-6910</v>
      </c>
      <c r="U15" s="136">
        <v>-8910</v>
      </c>
      <c r="V15" s="136">
        <v>-6854</v>
      </c>
      <c r="W15" s="136">
        <v>-6616</v>
      </c>
      <c r="X15" s="136">
        <v>-6470</v>
      </c>
      <c r="Y15" s="136">
        <v>-6502</v>
      </c>
      <c r="Z15" s="136">
        <v>-6554</v>
      </c>
      <c r="AA15" s="136">
        <v>-6284</v>
      </c>
      <c r="AB15" s="136">
        <v>-6272</v>
      </c>
      <c r="AC15" s="136">
        <v>-5955</v>
      </c>
      <c r="AD15" s="136">
        <v>-5671</v>
      </c>
      <c r="AE15" s="136">
        <v>-5527</v>
      </c>
      <c r="AF15" s="136">
        <v>-5447</v>
      </c>
      <c r="AG15" s="136">
        <v>-5539</v>
      </c>
      <c r="AH15" s="136">
        <v>-5488</v>
      </c>
      <c r="AI15" s="136">
        <v>-5541</v>
      </c>
      <c r="AJ15" s="136">
        <v>-5518</v>
      </c>
      <c r="AK15" s="136">
        <v>-5451</v>
      </c>
      <c r="AL15" s="136">
        <v>-5513</v>
      </c>
      <c r="AM15" s="136">
        <v>-5643</v>
      </c>
      <c r="AN15" s="136">
        <v>-6003</v>
      </c>
      <c r="AO15" s="136">
        <v>-6051</v>
      </c>
      <c r="AP15" s="136">
        <v>-6147</v>
      </c>
      <c r="AQ15" s="136">
        <v>-6141</v>
      </c>
      <c r="AR15" s="136">
        <v>-6324</v>
      </c>
      <c r="AS15" s="136">
        <v>-6355</v>
      </c>
      <c r="AT15" s="136">
        <v>-6566</v>
      </c>
      <c r="AU15" s="136">
        <v>-6901</v>
      </c>
      <c r="AV15" s="136">
        <v>-7591</v>
      </c>
      <c r="AW15" s="136">
        <v>-7605</v>
      </c>
      <c r="AX15" s="136">
        <v>-7838</v>
      </c>
      <c r="AY15" s="136">
        <v>-8225</v>
      </c>
      <c r="AZ15" s="136">
        <v>-8868</v>
      </c>
      <c r="BA15" s="136">
        <f>(VLOOKUP($D$15,'[3]DVA '!$A$7:$I$46,9,FALSE))-AZ15</f>
        <v>-8759</v>
      </c>
    </row>
    <row r="16" spans="1:53" x14ac:dyDescent="0.2">
      <c r="A16" s="715" t="s">
        <v>1432</v>
      </c>
      <c r="B16" s="194" t="s">
        <v>1450</v>
      </c>
      <c r="D16" s="135" t="str">
        <f>IF([1]RENAME!$H$3=1,B16,A16)</f>
        <v>Amortização direito de uso</v>
      </c>
      <c r="E16" s="136">
        <v>0</v>
      </c>
      <c r="F16" s="136">
        <v>0</v>
      </c>
      <c r="G16" s="242">
        <v>0</v>
      </c>
      <c r="H16" s="136">
        <v>0</v>
      </c>
      <c r="I16" s="136">
        <v>0</v>
      </c>
      <c r="J16" s="136">
        <v>0</v>
      </c>
      <c r="K16" s="136">
        <v>0</v>
      </c>
      <c r="L16" s="136">
        <v>0</v>
      </c>
      <c r="M16" s="136">
        <v>0</v>
      </c>
      <c r="N16" s="136">
        <v>0</v>
      </c>
      <c r="O16" s="136">
        <v>0</v>
      </c>
      <c r="P16" s="136">
        <v>0</v>
      </c>
      <c r="Q16" s="136">
        <v>0</v>
      </c>
      <c r="R16" s="136">
        <v>0</v>
      </c>
      <c r="S16" s="136">
        <v>0</v>
      </c>
      <c r="T16" s="136">
        <v>0</v>
      </c>
      <c r="U16" s="136">
        <v>0</v>
      </c>
      <c r="V16" s="136">
        <v>0</v>
      </c>
      <c r="W16" s="136">
        <v>0</v>
      </c>
      <c r="X16" s="136">
        <v>-8930</v>
      </c>
      <c r="Y16" s="136">
        <v>-7143</v>
      </c>
      <c r="Z16" s="136">
        <v>-8275</v>
      </c>
      <c r="AA16" s="136">
        <v>-8441</v>
      </c>
      <c r="AB16" s="136">
        <v>-7881</v>
      </c>
      <c r="AC16" s="136">
        <v>-7886</v>
      </c>
      <c r="AD16" s="136">
        <v>-7525</v>
      </c>
      <c r="AE16" s="136">
        <v>-7333</v>
      </c>
      <c r="AF16" s="136">
        <v>-7513</v>
      </c>
      <c r="AG16" s="136">
        <v>-7300</v>
      </c>
      <c r="AH16" s="136">
        <v>-7107</v>
      </c>
      <c r="AI16" s="136">
        <v>-6930</v>
      </c>
      <c r="AJ16" s="136">
        <v>-7970</v>
      </c>
      <c r="AK16" s="136">
        <v>-8240</v>
      </c>
      <c r="AL16" s="136">
        <v>-7033</v>
      </c>
      <c r="AM16" s="136">
        <v>-7727</v>
      </c>
      <c r="AN16" s="136">
        <v>-7410</v>
      </c>
      <c r="AO16" s="136">
        <v>-7342</v>
      </c>
      <c r="AP16" s="136">
        <v>-7638</v>
      </c>
      <c r="AQ16" s="136">
        <v>-8032</v>
      </c>
      <c r="AR16" s="136">
        <v>-7514</v>
      </c>
      <c r="AS16" s="136">
        <v>-7573</v>
      </c>
      <c r="AT16" s="136">
        <v>-7278</v>
      </c>
      <c r="AU16" s="136">
        <v>-7124</v>
      </c>
      <c r="AV16" s="136">
        <v>-7457</v>
      </c>
      <c r="AW16" s="136">
        <v>-7463</v>
      </c>
      <c r="AX16" s="136">
        <v>-7747</v>
      </c>
      <c r="AY16" s="136">
        <v>-7795</v>
      </c>
      <c r="AZ16" s="136">
        <v>-7846</v>
      </c>
      <c r="BA16" s="136">
        <f>(VLOOKUP($D$16,'[3]DVA '!$A$7:$I$46,9,FALSE))-AZ16</f>
        <v>-8704</v>
      </c>
    </row>
    <row r="17" spans="1:54" x14ac:dyDescent="0.2">
      <c r="A17" s="194" t="s">
        <v>417</v>
      </c>
      <c r="B17" s="194" t="s">
        <v>807</v>
      </c>
      <c r="D17" s="195" t="str">
        <f>IF([1]RENAME!$H$3=1,B17,A17)</f>
        <v>Valor adicionado líquido produzido pela Companhia</v>
      </c>
      <c r="E17" s="196">
        <f>+SUM(E14:E15)</f>
        <v>718080</v>
      </c>
      <c r="F17" s="196">
        <f t="shared" ref="F17:K17" si="22">+SUM(F14:F15)</f>
        <v>544446</v>
      </c>
      <c r="G17" s="243">
        <f t="shared" si="22"/>
        <v>167382</v>
      </c>
      <c r="H17" s="196">
        <f t="shared" si="22"/>
        <v>110859</v>
      </c>
      <c r="I17" s="196">
        <f t="shared" si="22"/>
        <v>102814</v>
      </c>
      <c r="J17" s="196">
        <f t="shared" si="22"/>
        <v>108170</v>
      </c>
      <c r="K17" s="196">
        <f t="shared" si="22"/>
        <v>82273</v>
      </c>
      <c r="L17" s="196">
        <f>+SUM(L14:L15)</f>
        <v>80879</v>
      </c>
      <c r="M17" s="196">
        <f>+SUM(M14:M15)</f>
        <v>81920</v>
      </c>
      <c r="N17" s="196">
        <f>+SUM(N14:N15)</f>
        <v>91123</v>
      </c>
      <c r="O17" s="196">
        <f>+SUM(O14:O15)</f>
        <v>97289</v>
      </c>
      <c r="P17" s="196">
        <f>+SUM(P14:P15)</f>
        <v>83204</v>
      </c>
      <c r="Q17" s="196">
        <f t="shared" ref="Q17:W17" si="23">+SUM(Q14:Q15)</f>
        <v>77559.401290000009</v>
      </c>
      <c r="R17" s="196">
        <f t="shared" si="23"/>
        <v>106716</v>
      </c>
      <c r="S17" s="196">
        <f t="shared" si="23"/>
        <v>112249.59870999999</v>
      </c>
      <c r="T17" s="196">
        <f t="shared" si="23"/>
        <v>95699</v>
      </c>
      <c r="U17" s="196">
        <f t="shared" si="23"/>
        <v>111234</v>
      </c>
      <c r="V17" s="196">
        <f t="shared" si="23"/>
        <v>134029</v>
      </c>
      <c r="W17" s="196">
        <f t="shared" si="23"/>
        <v>128809</v>
      </c>
      <c r="X17" s="196">
        <f t="shared" ref="X17:AC17" si="24">+SUM(X14:X16)</f>
        <v>113308</v>
      </c>
      <c r="Y17" s="196">
        <f t="shared" si="24"/>
        <v>126035</v>
      </c>
      <c r="Z17" s="196">
        <f t="shared" si="24"/>
        <v>180974</v>
      </c>
      <c r="AA17" s="196">
        <f t="shared" si="24"/>
        <v>140567</v>
      </c>
      <c r="AB17" s="196">
        <f t="shared" si="24"/>
        <v>102650</v>
      </c>
      <c r="AC17" s="196">
        <f t="shared" si="24"/>
        <v>43565</v>
      </c>
      <c r="AD17" s="196">
        <f t="shared" ref="AD17:AK17" si="25">+SUM(AD14:AD16)</f>
        <v>109140</v>
      </c>
      <c r="AE17" s="196">
        <f t="shared" si="25"/>
        <v>111355</v>
      </c>
      <c r="AF17" s="196">
        <f t="shared" si="25"/>
        <v>90460</v>
      </c>
      <c r="AG17" s="196">
        <f t="shared" si="25"/>
        <v>86519</v>
      </c>
      <c r="AH17" s="196">
        <f t="shared" si="25"/>
        <v>84057</v>
      </c>
      <c r="AI17" s="196">
        <f t="shared" si="25"/>
        <v>109958</v>
      </c>
      <c r="AJ17" s="196">
        <f t="shared" si="25"/>
        <v>85091</v>
      </c>
      <c r="AK17" s="196">
        <f t="shared" si="25"/>
        <v>111183</v>
      </c>
      <c r="AL17" s="196">
        <f t="shared" ref="AL17:AQ17" si="26">+SUM(AL14:AL16)</f>
        <v>157630</v>
      </c>
      <c r="AM17" s="196">
        <f t="shared" si="26"/>
        <v>157435</v>
      </c>
      <c r="AN17" s="196">
        <f t="shared" si="26"/>
        <v>121082</v>
      </c>
      <c r="AO17" s="196">
        <f t="shared" si="26"/>
        <v>136326</v>
      </c>
      <c r="AP17" s="196">
        <f t="shared" si="26"/>
        <v>166455</v>
      </c>
      <c r="AQ17" s="196">
        <f t="shared" si="26"/>
        <v>168540</v>
      </c>
      <c r="AR17" s="196">
        <f>+SUM(AR14:AR16)</f>
        <v>142232</v>
      </c>
      <c r="AS17" s="196">
        <f>+SUM(AS14:AS16)</f>
        <v>183576</v>
      </c>
      <c r="AT17" s="196">
        <f>+SUM(AT14:AT16)</f>
        <v>252675</v>
      </c>
      <c r="AU17" s="196">
        <f>+SUM(AU14:AU16)</f>
        <v>259478</v>
      </c>
      <c r="AV17" s="196">
        <v>170466</v>
      </c>
      <c r="AW17" s="196">
        <f>+SUM(AW14:AW16)</f>
        <v>217719</v>
      </c>
      <c r="AX17" s="196">
        <f>+SUM(AX14:AX16)</f>
        <v>255260</v>
      </c>
      <c r="AY17" s="196">
        <f>+SUM(AY14:AY16)</f>
        <v>228775</v>
      </c>
      <c r="AZ17" s="196">
        <f>+SUM(AZ14:AZ16)</f>
        <v>197263</v>
      </c>
      <c r="BA17" s="196">
        <f>+SUM(BA14:BA16)</f>
        <v>293625</v>
      </c>
    </row>
    <row r="18" spans="1:54" x14ac:dyDescent="0.2">
      <c r="A18" s="194" t="s">
        <v>451</v>
      </c>
      <c r="B18" s="194" t="s">
        <v>760</v>
      </c>
      <c r="D18" s="135" t="str">
        <f>IF([1]RENAME!$H$3=1,B18,A18)</f>
        <v>Resultado de equivalência patrimonial</v>
      </c>
      <c r="E18" s="136">
        <v>99</v>
      </c>
      <c r="F18" s="136">
        <v>2377</v>
      </c>
      <c r="G18" s="242">
        <v>2101</v>
      </c>
      <c r="H18" s="136">
        <v>373</v>
      </c>
      <c r="I18" s="136">
        <v>256</v>
      </c>
      <c r="J18" s="136">
        <v>785</v>
      </c>
      <c r="K18" s="136">
        <v>453</v>
      </c>
      <c r="L18" s="136">
        <v>-797</v>
      </c>
      <c r="M18" s="136">
        <v>-909</v>
      </c>
      <c r="N18" s="136">
        <v>-19</v>
      </c>
      <c r="O18" s="136">
        <v>-465</v>
      </c>
      <c r="P18" s="136">
        <v>-322</v>
      </c>
      <c r="Q18" s="136">
        <v>-382</v>
      </c>
      <c r="R18" s="136">
        <v>-656</v>
      </c>
      <c r="S18" s="136">
        <v>597</v>
      </c>
      <c r="T18" s="136">
        <v>-425</v>
      </c>
      <c r="U18" s="136">
        <v>-226</v>
      </c>
      <c r="V18" s="136">
        <v>342</v>
      </c>
      <c r="W18" s="136">
        <v>680</v>
      </c>
      <c r="X18" s="136">
        <v>-529</v>
      </c>
      <c r="Y18" s="136">
        <v>322</v>
      </c>
      <c r="Z18" s="136">
        <v>844</v>
      </c>
      <c r="AA18" s="136">
        <v>2349</v>
      </c>
      <c r="AB18" s="136">
        <v>1394</v>
      </c>
      <c r="AC18" s="136">
        <v>2412</v>
      </c>
      <c r="AD18" s="136">
        <v>2632</v>
      </c>
      <c r="AE18" s="136">
        <v>-162</v>
      </c>
      <c r="AF18" s="136">
        <v>810</v>
      </c>
      <c r="AG18" s="136">
        <v>2402</v>
      </c>
      <c r="AH18" s="136">
        <v>1799</v>
      </c>
      <c r="AI18" s="136">
        <v>4232</v>
      </c>
      <c r="AJ18" s="136">
        <v>3013</v>
      </c>
      <c r="AK18" s="136">
        <v>3006</v>
      </c>
      <c r="AL18" s="136">
        <v>2436</v>
      </c>
      <c r="AM18" s="136">
        <v>2118</v>
      </c>
      <c r="AN18" s="136">
        <v>3838</v>
      </c>
      <c r="AO18" s="136">
        <v>2884</v>
      </c>
      <c r="AP18" s="136">
        <v>5094</v>
      </c>
      <c r="AQ18" s="136">
        <v>4440</v>
      </c>
      <c r="AR18" s="136">
        <v>6604</v>
      </c>
      <c r="AS18" s="136">
        <v>9362</v>
      </c>
      <c r="AT18" s="136">
        <v>7433</v>
      </c>
      <c r="AU18" s="136">
        <v>5865</v>
      </c>
      <c r="AV18" s="136">
        <v>6307</v>
      </c>
      <c r="AW18" s="136">
        <v>8942</v>
      </c>
      <c r="AX18" s="136">
        <v>7375</v>
      </c>
      <c r="AY18" s="136">
        <v>4187</v>
      </c>
      <c r="AZ18" s="136">
        <v>1431</v>
      </c>
      <c r="BA18" s="136">
        <f>(VLOOKUP($D$18,'[3]DVA '!$A$7:$I$46,9,FALSE))-AZ18</f>
        <v>5692</v>
      </c>
    </row>
    <row r="19" spans="1:54" x14ac:dyDescent="0.2">
      <c r="A19" s="194" t="s">
        <v>418</v>
      </c>
      <c r="B19" s="194" t="s">
        <v>808</v>
      </c>
      <c r="D19" s="135" t="str">
        <f>IF([1]RENAME!$H$3=1,B19,A19)</f>
        <v xml:space="preserve">Receitas financeiras </v>
      </c>
      <c r="E19" s="136">
        <v>112506</v>
      </c>
      <c r="F19" s="136">
        <v>72929</v>
      </c>
      <c r="G19" s="242">
        <v>10445</v>
      </c>
      <c r="H19" s="136">
        <v>10027</v>
      </c>
      <c r="I19" s="136">
        <v>11296</v>
      </c>
      <c r="J19" s="136">
        <v>6419</v>
      </c>
      <c r="K19" s="136">
        <v>8050</v>
      </c>
      <c r="L19" s="136">
        <v>7501</v>
      </c>
      <c r="M19" s="136">
        <v>7702</v>
      </c>
      <c r="N19" s="136">
        <v>7922</v>
      </c>
      <c r="O19" s="136">
        <v>9355</v>
      </c>
      <c r="P19" s="136">
        <v>5307</v>
      </c>
      <c r="Q19" s="136">
        <v>11658</v>
      </c>
      <c r="R19" s="136">
        <v>5578</v>
      </c>
      <c r="S19" s="136">
        <v>18053</v>
      </c>
      <c r="T19" s="136">
        <v>2675</v>
      </c>
      <c r="U19" s="136">
        <v>3003</v>
      </c>
      <c r="V19" s="136">
        <v>10159</v>
      </c>
      <c r="W19" s="136">
        <v>8879</v>
      </c>
      <c r="X19" s="136">
        <v>3796</v>
      </c>
      <c r="Y19" s="136">
        <v>-3049</v>
      </c>
      <c r="Z19" s="136">
        <v>40347</v>
      </c>
      <c r="AA19" s="136">
        <v>1026</v>
      </c>
      <c r="AB19" s="136">
        <v>17050</v>
      </c>
      <c r="AC19" s="136">
        <v>6654</v>
      </c>
      <c r="AD19" s="136">
        <v>-1489</v>
      </c>
      <c r="AE19" s="136">
        <v>1867</v>
      </c>
      <c r="AF19" s="136">
        <v>1523</v>
      </c>
      <c r="AG19" s="136">
        <v>5703</v>
      </c>
      <c r="AH19" s="136">
        <v>3451</v>
      </c>
      <c r="AI19" s="136">
        <v>7583</v>
      </c>
      <c r="AJ19" s="136">
        <v>6273</v>
      </c>
      <c r="AK19" s="136">
        <v>7098</v>
      </c>
      <c r="AL19" s="136">
        <v>3710</v>
      </c>
      <c r="AM19" s="136">
        <v>11622</v>
      </c>
      <c r="AN19" s="136">
        <v>8149</v>
      </c>
      <c r="AO19" s="136">
        <v>10513</v>
      </c>
      <c r="AP19" s="136">
        <v>8543</v>
      </c>
      <c r="AQ19" s="136">
        <v>9381</v>
      </c>
      <c r="AR19" s="136">
        <v>8661</v>
      </c>
      <c r="AS19" s="136">
        <v>10518</v>
      </c>
      <c r="AT19" s="136">
        <v>7861</v>
      </c>
      <c r="AU19" s="136">
        <v>8247</v>
      </c>
      <c r="AV19" s="136">
        <v>10927</v>
      </c>
      <c r="AW19" s="136">
        <v>12109</v>
      </c>
      <c r="AX19" s="136">
        <v>12987</v>
      </c>
      <c r="AY19" s="136">
        <v>10471</v>
      </c>
      <c r="AZ19" s="136">
        <v>7949</v>
      </c>
      <c r="BA19" s="136">
        <f>(VLOOKUP($D$19,'[3]DVA '!$A$7:$I$46,9,FALSE))-AZ19</f>
        <v>6942</v>
      </c>
    </row>
    <row r="20" spans="1:54" x14ac:dyDescent="0.2">
      <c r="A20" s="194" t="s">
        <v>419</v>
      </c>
      <c r="B20" s="194" t="s">
        <v>809</v>
      </c>
      <c r="D20" s="240" t="str">
        <f>IF([1]RENAME!$H$3=1,B20,A20)</f>
        <v>Valor adicionado total a distribuir</v>
      </c>
      <c r="E20" s="241">
        <f>+SUM(E17:E19)</f>
        <v>830685</v>
      </c>
      <c r="F20" s="241">
        <f t="shared" ref="F20:K20" si="27">+SUM(F17:F19)</f>
        <v>619752</v>
      </c>
      <c r="G20" s="244">
        <f t="shared" si="27"/>
        <v>179928</v>
      </c>
      <c r="H20" s="241">
        <f t="shared" si="27"/>
        <v>121259</v>
      </c>
      <c r="I20" s="241">
        <f t="shared" si="27"/>
        <v>114366</v>
      </c>
      <c r="J20" s="241">
        <f t="shared" si="27"/>
        <v>115374</v>
      </c>
      <c r="K20" s="241">
        <f t="shared" si="27"/>
        <v>90776</v>
      </c>
      <c r="L20" s="241">
        <f>+SUM(L17:L19)</f>
        <v>87583</v>
      </c>
      <c r="M20" s="241">
        <f>+SUM(M17:M19)</f>
        <v>88713</v>
      </c>
      <c r="N20" s="241">
        <f>+SUM(N17:N19)</f>
        <v>99026</v>
      </c>
      <c r="O20" s="241">
        <f>+SUM(O17:O19)</f>
        <v>106179</v>
      </c>
      <c r="P20" s="241">
        <f>+SUM(P17:P19)</f>
        <v>88189</v>
      </c>
      <c r="Q20" s="241">
        <f t="shared" ref="Q20:AB20" si="28">+SUM(Q17:Q19)</f>
        <v>88835.401290000009</v>
      </c>
      <c r="R20" s="241">
        <f t="shared" si="28"/>
        <v>111638</v>
      </c>
      <c r="S20" s="241">
        <f t="shared" si="28"/>
        <v>130899.59870999999</v>
      </c>
      <c r="T20" s="241">
        <f t="shared" si="28"/>
        <v>97949</v>
      </c>
      <c r="U20" s="241">
        <f t="shared" si="28"/>
        <v>114011</v>
      </c>
      <c r="V20" s="241">
        <f t="shared" si="28"/>
        <v>144530</v>
      </c>
      <c r="W20" s="241">
        <f t="shared" si="28"/>
        <v>138368</v>
      </c>
      <c r="X20" s="241">
        <f t="shared" si="28"/>
        <v>116575</v>
      </c>
      <c r="Y20" s="241">
        <f t="shared" si="28"/>
        <v>123308</v>
      </c>
      <c r="Z20" s="241">
        <f t="shared" si="28"/>
        <v>222165</v>
      </c>
      <c r="AA20" s="241">
        <f t="shared" si="28"/>
        <v>143942</v>
      </c>
      <c r="AB20" s="241">
        <f t="shared" si="28"/>
        <v>121094</v>
      </c>
      <c r="AC20" s="241">
        <f t="shared" ref="AC20:AH20" si="29">+SUM(AC17:AC19)</f>
        <v>52631</v>
      </c>
      <c r="AD20" s="241">
        <f t="shared" si="29"/>
        <v>110283</v>
      </c>
      <c r="AE20" s="241">
        <f t="shared" si="29"/>
        <v>113060</v>
      </c>
      <c r="AF20" s="241">
        <f t="shared" si="29"/>
        <v>92793</v>
      </c>
      <c r="AG20" s="241">
        <f t="shared" si="29"/>
        <v>94624</v>
      </c>
      <c r="AH20" s="241">
        <f t="shared" si="29"/>
        <v>89307</v>
      </c>
      <c r="AI20" s="241">
        <f t="shared" ref="AI20:AN20" si="30">+SUM(AI17:AI19)</f>
        <v>121773</v>
      </c>
      <c r="AJ20" s="241">
        <f t="shared" si="30"/>
        <v>94377</v>
      </c>
      <c r="AK20" s="241">
        <f t="shared" si="30"/>
        <v>121287</v>
      </c>
      <c r="AL20" s="241">
        <f t="shared" si="30"/>
        <v>163776</v>
      </c>
      <c r="AM20" s="241">
        <f>+SUM(AM17:AM19)</f>
        <v>171175</v>
      </c>
      <c r="AN20" s="241">
        <f t="shared" si="30"/>
        <v>133069</v>
      </c>
      <c r="AO20" s="241">
        <f t="shared" ref="AO20:AW20" si="31">+SUM(AO17:AO19)</f>
        <v>149723</v>
      </c>
      <c r="AP20" s="241">
        <f t="shared" si="31"/>
        <v>180092</v>
      </c>
      <c r="AQ20" s="241">
        <f t="shared" si="31"/>
        <v>182361</v>
      </c>
      <c r="AR20" s="241">
        <f t="shared" si="31"/>
        <v>157497</v>
      </c>
      <c r="AS20" s="241">
        <f t="shared" si="31"/>
        <v>203456</v>
      </c>
      <c r="AT20" s="241">
        <f t="shared" si="31"/>
        <v>267969</v>
      </c>
      <c r="AU20" s="241">
        <f t="shared" si="31"/>
        <v>273590</v>
      </c>
      <c r="AV20" s="241">
        <f t="shared" si="31"/>
        <v>187700</v>
      </c>
      <c r="AW20" s="241">
        <f t="shared" si="31"/>
        <v>238770</v>
      </c>
      <c r="AX20" s="241">
        <f>+SUM(AX17:AX19)</f>
        <v>275622</v>
      </c>
      <c r="AY20" s="241">
        <f>+SUM(AY17:AY19)</f>
        <v>243433</v>
      </c>
      <c r="AZ20" s="241">
        <f>+SUM(AZ17:AZ19)</f>
        <v>206643</v>
      </c>
      <c r="BA20" s="241">
        <f>+SUM(BA17:BA19)</f>
        <v>306259</v>
      </c>
    </row>
    <row r="21" spans="1:54" x14ac:dyDescent="0.2">
      <c r="D21" s="199"/>
      <c r="E21" s="200"/>
      <c r="F21" s="200"/>
      <c r="G21" s="200"/>
      <c r="H21" s="652"/>
      <c r="I21" s="652"/>
      <c r="J21" s="652"/>
      <c r="K21" s="652"/>
      <c r="L21" s="652"/>
      <c r="M21" s="652" t="s">
        <v>500</v>
      </c>
      <c r="N21" s="652" t="s">
        <v>510</v>
      </c>
      <c r="O21" s="652" t="s">
        <v>538</v>
      </c>
      <c r="P21" s="652" t="s">
        <v>567</v>
      </c>
      <c r="Q21" s="652" t="s">
        <v>575</v>
      </c>
      <c r="R21" s="652" t="s">
        <v>595</v>
      </c>
      <c r="S21" s="652" t="s">
        <v>596</v>
      </c>
      <c r="T21" s="652" t="s">
        <v>623</v>
      </c>
      <c r="U21" s="652" t="s">
        <v>624</v>
      </c>
      <c r="V21" s="652" t="s">
        <v>624</v>
      </c>
      <c r="W21" s="652" t="s">
        <v>624</v>
      </c>
      <c r="X21" s="652" t="s">
        <v>624</v>
      </c>
      <c r="Y21" s="652"/>
      <c r="Z21" s="652" t="s">
        <v>624</v>
      </c>
      <c r="AA21" s="652" t="s">
        <v>624</v>
      </c>
      <c r="AB21" s="652" t="s">
        <v>624</v>
      </c>
      <c r="AC21" s="652" t="s">
        <v>624</v>
      </c>
      <c r="AD21" s="652" t="s">
        <v>624</v>
      </c>
      <c r="AE21" s="652" t="s">
        <v>624</v>
      </c>
      <c r="AF21" s="652" t="s">
        <v>624</v>
      </c>
      <c r="AG21" s="652" t="s">
        <v>624</v>
      </c>
      <c r="AH21" s="652" t="s">
        <v>624</v>
      </c>
      <c r="AI21" s="652"/>
      <c r="AJ21" s="652" t="s">
        <v>624</v>
      </c>
      <c r="AK21" s="652" t="s">
        <v>624</v>
      </c>
      <c r="AL21" s="652" t="s">
        <v>624</v>
      </c>
      <c r="AM21" s="652" t="s">
        <v>624</v>
      </c>
      <c r="AN21" s="652" t="s">
        <v>624</v>
      </c>
      <c r="AO21" s="652" t="s">
        <v>624</v>
      </c>
      <c r="AP21" s="652" t="s">
        <v>624</v>
      </c>
      <c r="AQ21" s="652" t="s">
        <v>624</v>
      </c>
      <c r="AR21" s="652" t="s">
        <v>624</v>
      </c>
      <c r="AS21" s="652"/>
      <c r="AT21" s="652"/>
      <c r="AU21" s="652" t="s">
        <v>624</v>
      </c>
      <c r="AV21" s="652"/>
      <c r="AW21" s="652" t="s">
        <v>624</v>
      </c>
      <c r="AX21" s="652" t="s">
        <v>624</v>
      </c>
      <c r="AY21" s="652" t="s">
        <v>624</v>
      </c>
      <c r="AZ21" s="652" t="s">
        <v>624</v>
      </c>
      <c r="BA21" s="652" t="s">
        <v>624</v>
      </c>
    </row>
    <row r="22" spans="1:54" x14ac:dyDescent="0.2">
      <c r="A22" s="194" t="s">
        <v>420</v>
      </c>
      <c r="B22" s="194" t="s">
        <v>810</v>
      </c>
      <c r="D22" s="195" t="str">
        <f>IF([1]RENAME!$H$3=1,B22,A22)</f>
        <v>Pessoal e encargos</v>
      </c>
      <c r="E22" s="196">
        <f>+SUM(E23:E25)</f>
        <v>277984</v>
      </c>
      <c r="F22" s="196">
        <f t="shared" ref="F22:K22" si="32">+SUM(F23:F25)</f>
        <v>202931</v>
      </c>
      <c r="G22" s="243">
        <f t="shared" si="32"/>
        <v>45861</v>
      </c>
      <c r="H22" s="196">
        <f t="shared" si="32"/>
        <v>40280</v>
      </c>
      <c r="I22" s="196">
        <f t="shared" si="32"/>
        <v>41052</v>
      </c>
      <c r="J22" s="196">
        <f t="shared" si="32"/>
        <v>40499</v>
      </c>
      <c r="K22" s="196">
        <f t="shared" si="32"/>
        <v>37293</v>
      </c>
      <c r="L22" s="196">
        <f>+SUM(L26:L28)</f>
        <v>34176.659289999996</v>
      </c>
      <c r="M22" s="196">
        <f t="shared" ref="M22:AB22" si="33">+SUM(M26:M28)</f>
        <v>34469.416570000023</v>
      </c>
      <c r="N22" s="196">
        <f t="shared" si="33"/>
        <v>33159.293279999983</v>
      </c>
      <c r="O22" s="196">
        <f t="shared" si="33"/>
        <v>32240.528329999986</v>
      </c>
      <c r="P22" s="196">
        <f t="shared" si="33"/>
        <v>31394.059510000003</v>
      </c>
      <c r="Q22" s="196">
        <f t="shared" si="33"/>
        <v>33093.008000000016</v>
      </c>
      <c r="R22" s="196">
        <f t="shared" si="33"/>
        <v>34993.300729999974</v>
      </c>
      <c r="S22" s="196">
        <f t="shared" si="33"/>
        <v>39190.631760000011</v>
      </c>
      <c r="T22" s="196">
        <f t="shared" si="33"/>
        <v>32911</v>
      </c>
      <c r="U22" s="196">
        <f t="shared" si="33"/>
        <v>32723</v>
      </c>
      <c r="V22" s="196">
        <f t="shared" si="33"/>
        <v>35674</v>
      </c>
      <c r="W22" s="196">
        <f t="shared" si="33"/>
        <v>38777</v>
      </c>
      <c r="X22" s="196">
        <f t="shared" si="33"/>
        <v>33628</v>
      </c>
      <c r="Y22" s="196">
        <f t="shared" si="33"/>
        <v>40258</v>
      </c>
      <c r="Z22" s="196">
        <f t="shared" si="33"/>
        <v>39610</v>
      </c>
      <c r="AA22" s="196">
        <f t="shared" si="33"/>
        <v>41845</v>
      </c>
      <c r="AB22" s="196">
        <f t="shared" si="33"/>
        <v>38468</v>
      </c>
      <c r="AC22" s="196">
        <f t="shared" ref="AC22:AH22" si="34">+SUM(AC26:AC28)</f>
        <v>32679</v>
      </c>
      <c r="AD22" s="196">
        <f t="shared" si="34"/>
        <v>30327</v>
      </c>
      <c r="AE22" s="196">
        <f t="shared" si="34"/>
        <v>31352</v>
      </c>
      <c r="AF22" s="196">
        <f t="shared" si="34"/>
        <v>30279</v>
      </c>
      <c r="AG22" s="196">
        <f t="shared" si="34"/>
        <v>31688</v>
      </c>
      <c r="AH22" s="196">
        <f t="shared" si="34"/>
        <v>29190</v>
      </c>
      <c r="AI22" s="196">
        <f t="shared" ref="AI22:AN22" si="35">+SUM(AI26:AI28)</f>
        <v>35099</v>
      </c>
      <c r="AJ22" s="196">
        <f t="shared" si="35"/>
        <v>31748</v>
      </c>
      <c r="AK22" s="196">
        <f t="shared" si="35"/>
        <v>36457</v>
      </c>
      <c r="AL22" s="196">
        <f t="shared" si="35"/>
        <v>37347</v>
      </c>
      <c r="AM22" s="196">
        <f>+SUM(AM26:AM28)</f>
        <v>41090</v>
      </c>
      <c r="AN22" s="196">
        <f t="shared" si="35"/>
        <v>37715</v>
      </c>
      <c r="AO22" s="196">
        <f t="shared" ref="AO22:AU22" si="36">+SUM(AO26:AO28)</f>
        <v>42280</v>
      </c>
      <c r="AP22" s="196">
        <f t="shared" si="36"/>
        <v>44517</v>
      </c>
      <c r="AQ22" s="196">
        <f t="shared" si="36"/>
        <v>46982</v>
      </c>
      <c r="AR22" s="196">
        <f t="shared" si="36"/>
        <v>43054</v>
      </c>
      <c r="AS22" s="196">
        <f t="shared" si="36"/>
        <v>46358</v>
      </c>
      <c r="AT22" s="196">
        <f t="shared" si="36"/>
        <v>52344</v>
      </c>
      <c r="AU22" s="196">
        <f t="shared" si="36"/>
        <v>55874</v>
      </c>
      <c r="AV22" s="196">
        <f t="shared" ref="AV22:BA22" si="37">+SUM(AV26:AV28)</f>
        <v>52146</v>
      </c>
      <c r="AW22" s="196">
        <f t="shared" si="37"/>
        <v>58876</v>
      </c>
      <c r="AX22" s="196">
        <f t="shared" si="37"/>
        <v>61305</v>
      </c>
      <c r="AY22" s="196">
        <f t="shared" si="37"/>
        <v>67129</v>
      </c>
      <c r="AZ22" s="196">
        <f t="shared" si="37"/>
        <v>58306</v>
      </c>
      <c r="BA22" s="196">
        <f t="shared" si="37"/>
        <v>67453</v>
      </c>
      <c r="BB22" s="1238"/>
    </row>
    <row r="23" spans="1:54" s="625" customFormat="1" hidden="1" outlineLevel="1" x14ac:dyDescent="0.2">
      <c r="A23" s="625" t="s">
        <v>421</v>
      </c>
      <c r="B23" s="625" t="s">
        <v>811</v>
      </c>
      <c r="C23" s="626"/>
      <c r="D23" s="627" t="str">
        <f>IF([1]RENAME!$H$3=1,B23,A23)</f>
        <v xml:space="preserve">Salários e encargos </v>
      </c>
      <c r="E23" s="628">
        <v>262966</v>
      </c>
      <c r="F23" s="628">
        <v>188024</v>
      </c>
      <c r="G23" s="629">
        <v>43087</v>
      </c>
      <c r="H23" s="136">
        <v>36172</v>
      </c>
      <c r="I23" s="136">
        <v>34571</v>
      </c>
      <c r="J23" s="136">
        <v>37197</v>
      </c>
      <c r="K23" s="136">
        <v>38605</v>
      </c>
      <c r="L23" s="136">
        <v>0</v>
      </c>
      <c r="M23" s="136">
        <v>0</v>
      </c>
      <c r="N23" s="136">
        <v>0</v>
      </c>
      <c r="O23" s="136">
        <v>0</v>
      </c>
      <c r="P23" s="136" t="s">
        <v>160</v>
      </c>
      <c r="Q23" s="136" t="s">
        <v>160</v>
      </c>
      <c r="R23" s="136" t="s">
        <v>160</v>
      </c>
      <c r="S23" s="136" t="s">
        <v>160</v>
      </c>
      <c r="T23" s="136" t="s">
        <v>160</v>
      </c>
      <c r="U23" s="136" t="s">
        <v>160</v>
      </c>
      <c r="V23" s="136" t="s">
        <v>160</v>
      </c>
      <c r="W23" s="136" t="s">
        <v>160</v>
      </c>
      <c r="X23" s="136" t="s">
        <v>160</v>
      </c>
      <c r="Y23" s="136"/>
      <c r="Z23" s="136" t="s">
        <v>160</v>
      </c>
      <c r="AA23" s="136" t="s">
        <v>160</v>
      </c>
      <c r="AB23" s="136" t="s">
        <v>160</v>
      </c>
      <c r="AC23" s="136" t="s">
        <v>160</v>
      </c>
      <c r="AD23" s="136" t="s">
        <v>160</v>
      </c>
      <c r="AE23" s="136" t="s">
        <v>160</v>
      </c>
      <c r="AF23" s="136" t="s">
        <v>160</v>
      </c>
      <c r="AG23" s="136" t="s">
        <v>160</v>
      </c>
      <c r="AH23" s="136" t="s">
        <v>160</v>
      </c>
      <c r="AI23" s="136"/>
      <c r="AJ23" s="136" t="s">
        <v>160</v>
      </c>
      <c r="AK23" s="136" t="s">
        <v>160</v>
      </c>
      <c r="AL23" s="136" t="s">
        <v>160</v>
      </c>
      <c r="AM23" s="136" t="s">
        <v>160</v>
      </c>
      <c r="AN23" s="136" t="s">
        <v>160</v>
      </c>
      <c r="AO23" s="136" t="s">
        <v>160</v>
      </c>
      <c r="AP23" s="136" t="s">
        <v>160</v>
      </c>
      <c r="AQ23" s="136" t="s">
        <v>160</v>
      </c>
      <c r="AR23" s="136" t="s">
        <v>160</v>
      </c>
      <c r="AS23" s="136"/>
      <c r="AT23" s="136"/>
      <c r="AU23" s="136" t="s">
        <v>160</v>
      </c>
      <c r="AV23" s="136"/>
      <c r="AW23" s="136" t="s">
        <v>160</v>
      </c>
      <c r="AX23" s="136" t="s">
        <v>160</v>
      </c>
      <c r="AY23" s="136" t="s">
        <v>160</v>
      </c>
      <c r="AZ23" s="136" t="s">
        <v>160</v>
      </c>
      <c r="BA23" s="136" t="s">
        <v>160</v>
      </c>
    </row>
    <row r="24" spans="1:54" s="625" customFormat="1" hidden="1" outlineLevel="1" x14ac:dyDescent="0.2">
      <c r="A24" s="625" t="s">
        <v>394</v>
      </c>
      <c r="B24" s="625" t="s">
        <v>812</v>
      </c>
      <c r="C24" s="626"/>
      <c r="D24" s="627" t="str">
        <f>IF([1]RENAME!$H$3=1,B24,A24)</f>
        <v>Remuneração da administração</v>
      </c>
      <c r="E24" s="628">
        <v>8256</v>
      </c>
      <c r="F24" s="628">
        <v>8010</v>
      </c>
      <c r="G24" s="629">
        <v>1387</v>
      </c>
      <c r="H24" s="136">
        <v>2221</v>
      </c>
      <c r="I24" s="136">
        <v>2277</v>
      </c>
      <c r="J24" s="136">
        <v>1591</v>
      </c>
      <c r="K24" s="136">
        <v>680</v>
      </c>
      <c r="L24" s="136">
        <v>0</v>
      </c>
      <c r="M24" s="136">
        <v>0</v>
      </c>
      <c r="N24" s="136">
        <v>0</v>
      </c>
      <c r="O24" s="136">
        <v>0</v>
      </c>
      <c r="P24" s="136" t="s">
        <v>160</v>
      </c>
      <c r="Q24" s="136" t="s">
        <v>160</v>
      </c>
      <c r="R24" s="136" t="s">
        <v>160</v>
      </c>
      <c r="S24" s="136" t="s">
        <v>160</v>
      </c>
      <c r="T24" s="136" t="s">
        <v>160</v>
      </c>
      <c r="U24" s="136" t="s">
        <v>160</v>
      </c>
      <c r="V24" s="136" t="s">
        <v>160</v>
      </c>
      <c r="W24" s="136" t="s">
        <v>160</v>
      </c>
      <c r="X24" s="136" t="s">
        <v>160</v>
      </c>
      <c r="Y24" s="136"/>
      <c r="Z24" s="136" t="s">
        <v>160</v>
      </c>
      <c r="AA24" s="136" t="s">
        <v>160</v>
      </c>
      <c r="AB24" s="136" t="s">
        <v>160</v>
      </c>
      <c r="AC24" s="136" t="s">
        <v>160</v>
      </c>
      <c r="AD24" s="136" t="s">
        <v>160</v>
      </c>
      <c r="AE24" s="136" t="s">
        <v>160</v>
      </c>
      <c r="AF24" s="136" t="s">
        <v>160</v>
      </c>
      <c r="AG24" s="136" t="s">
        <v>160</v>
      </c>
      <c r="AH24" s="136" t="s">
        <v>160</v>
      </c>
      <c r="AI24" s="136"/>
      <c r="AJ24" s="136" t="s">
        <v>160</v>
      </c>
      <c r="AK24" s="136" t="s">
        <v>160</v>
      </c>
      <c r="AL24" s="136" t="s">
        <v>160</v>
      </c>
      <c r="AM24" s="136" t="s">
        <v>160</v>
      </c>
      <c r="AN24" s="136" t="s">
        <v>160</v>
      </c>
      <c r="AO24" s="136" t="s">
        <v>160</v>
      </c>
      <c r="AP24" s="136" t="s">
        <v>160</v>
      </c>
      <c r="AQ24" s="136" t="s">
        <v>160</v>
      </c>
      <c r="AR24" s="136" t="s">
        <v>160</v>
      </c>
      <c r="AS24" s="136"/>
      <c r="AT24" s="136"/>
      <c r="AU24" s="136" t="s">
        <v>160</v>
      </c>
      <c r="AV24" s="136"/>
      <c r="AW24" s="136" t="s">
        <v>160</v>
      </c>
      <c r="AX24" s="136" t="s">
        <v>160</v>
      </c>
      <c r="AY24" s="136" t="s">
        <v>160</v>
      </c>
      <c r="AZ24" s="136" t="s">
        <v>160</v>
      </c>
      <c r="BA24" s="136" t="s">
        <v>160</v>
      </c>
    </row>
    <row r="25" spans="1:54" s="625" customFormat="1" hidden="1" outlineLevel="1" x14ac:dyDescent="0.2">
      <c r="A25" s="625" t="s">
        <v>422</v>
      </c>
      <c r="B25" s="625" t="s">
        <v>813</v>
      </c>
      <c r="C25" s="626"/>
      <c r="D25" s="627" t="str">
        <f>IF([1]RENAME!$H$3=1,B25,A25)</f>
        <v>Participação dos empregados nos lucros</v>
      </c>
      <c r="E25" s="628">
        <v>6762</v>
      </c>
      <c r="F25" s="628">
        <v>6897</v>
      </c>
      <c r="G25" s="629">
        <v>1387</v>
      </c>
      <c r="H25" s="136">
        <v>1887</v>
      </c>
      <c r="I25" s="136">
        <v>4204</v>
      </c>
      <c r="J25" s="136">
        <v>1711</v>
      </c>
      <c r="K25" s="136">
        <v>-1992</v>
      </c>
      <c r="L25" s="136">
        <v>0</v>
      </c>
      <c r="M25" s="136">
        <v>0</v>
      </c>
      <c r="N25" s="136">
        <v>0</v>
      </c>
      <c r="O25" s="136">
        <v>0</v>
      </c>
      <c r="P25" s="136" t="s">
        <v>160</v>
      </c>
      <c r="Q25" s="136" t="s">
        <v>160</v>
      </c>
      <c r="R25" s="136" t="s">
        <v>160</v>
      </c>
      <c r="S25" s="136" t="s">
        <v>160</v>
      </c>
      <c r="T25" s="136" t="s">
        <v>160</v>
      </c>
      <c r="U25" s="136" t="s">
        <v>160</v>
      </c>
      <c r="V25" s="136" t="s">
        <v>160</v>
      </c>
      <c r="W25" s="136" t="s">
        <v>160</v>
      </c>
      <c r="X25" s="136" t="s">
        <v>160</v>
      </c>
      <c r="Y25" s="136"/>
      <c r="Z25" s="136" t="s">
        <v>160</v>
      </c>
      <c r="AA25" s="136" t="s">
        <v>160</v>
      </c>
      <c r="AB25" s="136" t="s">
        <v>160</v>
      </c>
      <c r="AC25" s="136" t="s">
        <v>160</v>
      </c>
      <c r="AD25" s="136" t="s">
        <v>160</v>
      </c>
      <c r="AE25" s="136" t="s">
        <v>160</v>
      </c>
      <c r="AF25" s="136" t="s">
        <v>160</v>
      </c>
      <c r="AG25" s="136" t="s">
        <v>160</v>
      </c>
      <c r="AH25" s="136" t="s">
        <v>160</v>
      </c>
      <c r="AI25" s="136"/>
      <c r="AJ25" s="136" t="s">
        <v>160</v>
      </c>
      <c r="AK25" s="136" t="s">
        <v>160</v>
      </c>
      <c r="AL25" s="136" t="s">
        <v>160</v>
      </c>
      <c r="AM25" s="136" t="s">
        <v>160</v>
      </c>
      <c r="AN25" s="136" t="s">
        <v>160</v>
      </c>
      <c r="AO25" s="136" t="s">
        <v>160</v>
      </c>
      <c r="AP25" s="136" t="s">
        <v>160</v>
      </c>
      <c r="AQ25" s="136" t="s">
        <v>160</v>
      </c>
      <c r="AR25" s="136" t="s">
        <v>160</v>
      </c>
      <c r="AS25" s="136"/>
      <c r="AT25" s="136"/>
      <c r="AU25" s="136" t="s">
        <v>160</v>
      </c>
      <c r="AV25" s="136"/>
      <c r="AW25" s="136" t="s">
        <v>160</v>
      </c>
      <c r="AX25" s="136" t="s">
        <v>160</v>
      </c>
      <c r="AY25" s="136" t="s">
        <v>160</v>
      </c>
      <c r="AZ25" s="136" t="s">
        <v>160</v>
      </c>
      <c r="BA25" s="136" t="s">
        <v>160</v>
      </c>
    </row>
    <row r="26" spans="1:54" collapsed="1" x14ac:dyDescent="0.2">
      <c r="A26" s="194" t="s">
        <v>1232</v>
      </c>
      <c r="B26" s="194" t="s">
        <v>1233</v>
      </c>
      <c r="D26" s="135" t="str">
        <f>IF([1]RENAME!$H$3=1,B26,A26)</f>
        <v>Remuneração direta</v>
      </c>
      <c r="E26" s="136">
        <v>0</v>
      </c>
      <c r="F26" s="136">
        <v>0</v>
      </c>
      <c r="G26" s="242">
        <v>0</v>
      </c>
      <c r="H26" s="136" t="s">
        <v>160</v>
      </c>
      <c r="I26" s="136" t="s">
        <v>160</v>
      </c>
      <c r="J26" s="136" t="s">
        <v>160</v>
      </c>
      <c r="K26" s="136" t="s">
        <v>160</v>
      </c>
      <c r="L26" s="136">
        <v>27779.164189999996</v>
      </c>
      <c r="M26" s="136">
        <v>28681.323850000023</v>
      </c>
      <c r="N26" s="136">
        <v>27431.973769999982</v>
      </c>
      <c r="O26" s="136">
        <v>26250.903959999992</v>
      </c>
      <c r="P26" s="136">
        <v>26103.674340000001</v>
      </c>
      <c r="Q26" s="136">
        <v>27956.350890000012</v>
      </c>
      <c r="R26" s="136">
        <v>29267.803309999978</v>
      </c>
      <c r="S26" s="136">
        <v>21726.171460000009</v>
      </c>
      <c r="T26" s="136">
        <v>25404</v>
      </c>
      <c r="U26" s="136">
        <v>26784</v>
      </c>
      <c r="V26" s="136">
        <v>27356</v>
      </c>
      <c r="W26" s="136">
        <v>29476</v>
      </c>
      <c r="X26" s="136">
        <v>25142</v>
      </c>
      <c r="Y26" s="136">
        <v>30980</v>
      </c>
      <c r="Z26" s="136">
        <v>30154</v>
      </c>
      <c r="AA26" s="136">
        <v>32177</v>
      </c>
      <c r="AB26" s="136">
        <v>29575</v>
      </c>
      <c r="AC26" s="136">
        <v>23523</v>
      </c>
      <c r="AD26" s="136">
        <v>23153</v>
      </c>
      <c r="AE26" s="136">
        <v>23937</v>
      </c>
      <c r="AF26" s="136">
        <v>22684</v>
      </c>
      <c r="AG26" s="136">
        <v>24527</v>
      </c>
      <c r="AH26" s="136">
        <v>22399</v>
      </c>
      <c r="AI26" s="136">
        <v>27275</v>
      </c>
      <c r="AJ26" s="136">
        <v>24385</v>
      </c>
      <c r="AK26" s="136">
        <v>28566</v>
      </c>
      <c r="AL26" s="136">
        <v>29051</v>
      </c>
      <c r="AM26" s="136">
        <v>32302</v>
      </c>
      <c r="AN26" s="136">
        <v>29122</v>
      </c>
      <c r="AO26" s="136">
        <v>33107</v>
      </c>
      <c r="AP26" s="136">
        <v>34275</v>
      </c>
      <c r="AQ26" s="136">
        <v>36564</v>
      </c>
      <c r="AR26" s="136">
        <v>32841</v>
      </c>
      <c r="AS26" s="136">
        <v>35467</v>
      </c>
      <c r="AT26" s="136">
        <v>40081</v>
      </c>
      <c r="AU26" s="136">
        <v>41264</v>
      </c>
      <c r="AV26" s="136">
        <v>39520</v>
      </c>
      <c r="AW26" s="136">
        <v>44952</v>
      </c>
      <c r="AX26" s="136">
        <v>47075</v>
      </c>
      <c r="AY26" s="136">
        <v>50518</v>
      </c>
      <c r="AZ26" s="136">
        <v>42919</v>
      </c>
      <c r="BA26" s="136">
        <f>(VLOOKUP($D$26,'[3]DVA '!$A$7:$I$46,9,FALSE))-AZ26</f>
        <v>50282</v>
      </c>
    </row>
    <row r="27" spans="1:54" x14ac:dyDescent="0.2">
      <c r="A27" s="194" t="s">
        <v>537</v>
      </c>
      <c r="B27" s="194" t="s">
        <v>1234</v>
      </c>
      <c r="D27" s="135" t="str">
        <f>IF([1]RENAME!$H$3=1,B27,A27)</f>
        <v>Benefícios</v>
      </c>
      <c r="E27" s="136">
        <v>0</v>
      </c>
      <c r="F27" s="136">
        <v>0</v>
      </c>
      <c r="G27" s="242">
        <v>0</v>
      </c>
      <c r="H27" s="136" t="s">
        <v>160</v>
      </c>
      <c r="I27" s="136" t="s">
        <v>160</v>
      </c>
      <c r="J27" s="136" t="s">
        <v>160</v>
      </c>
      <c r="K27" s="136" t="s">
        <v>160</v>
      </c>
      <c r="L27" s="136">
        <v>3707.2037100000002</v>
      </c>
      <c r="M27" s="136">
        <v>3749.6770000000006</v>
      </c>
      <c r="N27" s="136">
        <v>3784.1789899999999</v>
      </c>
      <c r="O27" s="136">
        <v>3662.2296899999983</v>
      </c>
      <c r="P27" s="136">
        <v>3644.5253099999995</v>
      </c>
      <c r="Q27" s="136">
        <v>3899.6382600000015</v>
      </c>
      <c r="R27" s="136">
        <v>4071.1457599999972</v>
      </c>
      <c r="S27" s="136">
        <v>13618.690670000002</v>
      </c>
      <c r="T27" s="136">
        <v>5902</v>
      </c>
      <c r="U27" s="136">
        <v>6133</v>
      </c>
      <c r="V27" s="136">
        <v>6652</v>
      </c>
      <c r="W27" s="136">
        <v>7194</v>
      </c>
      <c r="X27" s="136">
        <v>6634</v>
      </c>
      <c r="Y27" s="136">
        <v>7182</v>
      </c>
      <c r="Z27" s="136">
        <v>7594</v>
      </c>
      <c r="AA27" s="136">
        <v>7681</v>
      </c>
      <c r="AB27" s="136">
        <v>6940</v>
      </c>
      <c r="AC27" s="136">
        <v>5782</v>
      </c>
      <c r="AD27" s="136">
        <v>5557</v>
      </c>
      <c r="AE27" s="136">
        <v>5946</v>
      </c>
      <c r="AF27" s="136">
        <v>6002</v>
      </c>
      <c r="AG27" s="136">
        <v>5458</v>
      </c>
      <c r="AH27" s="136">
        <v>5574</v>
      </c>
      <c r="AI27" s="136">
        <v>5957</v>
      </c>
      <c r="AJ27" s="136">
        <v>5824</v>
      </c>
      <c r="AK27" s="136">
        <v>6256</v>
      </c>
      <c r="AL27" s="136">
        <v>6618</v>
      </c>
      <c r="AM27" s="136">
        <v>6865</v>
      </c>
      <c r="AN27" s="136">
        <v>6923</v>
      </c>
      <c r="AO27" s="136">
        <v>7294</v>
      </c>
      <c r="AP27" s="136">
        <v>7916</v>
      </c>
      <c r="AQ27" s="136">
        <v>8546</v>
      </c>
      <c r="AR27" s="136">
        <v>8204</v>
      </c>
      <c r="AS27" s="136">
        <v>8800</v>
      </c>
      <c r="AT27" s="136">
        <v>9964</v>
      </c>
      <c r="AU27" s="136">
        <v>12256</v>
      </c>
      <c r="AV27" s="136">
        <v>10149</v>
      </c>
      <c r="AW27" s="136">
        <v>11295</v>
      </c>
      <c r="AX27" s="136">
        <v>11572</v>
      </c>
      <c r="AY27" s="136">
        <v>13393</v>
      </c>
      <c r="AZ27" s="136">
        <v>12841</v>
      </c>
      <c r="BA27" s="136">
        <f>(VLOOKUP($D$27,'[3]DVA '!$A$7:$I$46,9,FALSE))-AZ27</f>
        <v>14255</v>
      </c>
      <c r="BB27" s="1238"/>
    </row>
    <row r="28" spans="1:54" x14ac:dyDescent="0.2">
      <c r="A28" s="194" t="s">
        <v>281</v>
      </c>
      <c r="B28" s="194" t="s">
        <v>281</v>
      </c>
      <c r="C28" s="194"/>
      <c r="D28" s="135" t="str">
        <f>IF([1]RENAME!$H$3=1,B28,A28)</f>
        <v>FGTS</v>
      </c>
      <c r="E28" s="136">
        <v>0</v>
      </c>
      <c r="F28" s="136">
        <v>0</v>
      </c>
      <c r="G28" s="242">
        <v>0</v>
      </c>
      <c r="H28" s="136" t="s">
        <v>160</v>
      </c>
      <c r="I28" s="136" t="s">
        <v>160</v>
      </c>
      <c r="J28" s="136" t="s">
        <v>160</v>
      </c>
      <c r="K28" s="136" t="s">
        <v>160</v>
      </c>
      <c r="L28" s="136">
        <v>2690.2913900000003</v>
      </c>
      <c r="M28" s="136">
        <v>2038.4157200000002</v>
      </c>
      <c r="N28" s="136">
        <v>1943.1405199999995</v>
      </c>
      <c r="O28" s="136">
        <v>2327.3946799999981</v>
      </c>
      <c r="P28" s="136">
        <v>1645.8598599999998</v>
      </c>
      <c r="Q28" s="136">
        <v>1237.0188499999997</v>
      </c>
      <c r="R28" s="136">
        <v>1654.3516599999996</v>
      </c>
      <c r="S28" s="136">
        <v>3845.7696300000016</v>
      </c>
      <c r="T28" s="136">
        <v>1605</v>
      </c>
      <c r="U28" s="136">
        <v>-194</v>
      </c>
      <c r="V28" s="136">
        <v>1666</v>
      </c>
      <c r="W28" s="136">
        <v>2107</v>
      </c>
      <c r="X28" s="136">
        <v>1852</v>
      </c>
      <c r="Y28" s="136">
        <v>2096</v>
      </c>
      <c r="Z28" s="136">
        <v>1862</v>
      </c>
      <c r="AA28" s="136">
        <v>1987</v>
      </c>
      <c r="AB28" s="136">
        <v>1953</v>
      </c>
      <c r="AC28" s="136">
        <v>3374</v>
      </c>
      <c r="AD28" s="136">
        <v>1617</v>
      </c>
      <c r="AE28" s="136">
        <v>1469</v>
      </c>
      <c r="AF28" s="136">
        <v>1593</v>
      </c>
      <c r="AG28" s="136">
        <v>1703</v>
      </c>
      <c r="AH28" s="136">
        <v>1217</v>
      </c>
      <c r="AI28" s="136">
        <v>1867</v>
      </c>
      <c r="AJ28" s="136">
        <v>1539</v>
      </c>
      <c r="AK28" s="136">
        <v>1635</v>
      </c>
      <c r="AL28" s="136">
        <v>1678</v>
      </c>
      <c r="AM28" s="136">
        <v>1923</v>
      </c>
      <c r="AN28" s="136">
        <v>1670</v>
      </c>
      <c r="AO28" s="136">
        <v>1879</v>
      </c>
      <c r="AP28" s="136">
        <v>2326</v>
      </c>
      <c r="AQ28" s="136">
        <v>1872</v>
      </c>
      <c r="AR28" s="136">
        <v>2009</v>
      </c>
      <c r="AS28" s="136">
        <v>2091</v>
      </c>
      <c r="AT28" s="136">
        <v>2299</v>
      </c>
      <c r="AU28" s="136">
        <v>2354</v>
      </c>
      <c r="AV28" s="136">
        <v>2477</v>
      </c>
      <c r="AW28" s="136">
        <v>2629</v>
      </c>
      <c r="AX28" s="136">
        <v>2658</v>
      </c>
      <c r="AY28" s="136">
        <v>3218</v>
      </c>
      <c r="AZ28" s="136">
        <v>2546</v>
      </c>
      <c r="BA28" s="136">
        <f>(VLOOKUP($D$28,'[3]DVA '!$A$7:$I$46,9,FALSE))-AZ28</f>
        <v>2916</v>
      </c>
      <c r="BB28" s="1238"/>
    </row>
    <row r="29" spans="1:54" x14ac:dyDescent="0.2">
      <c r="A29" s="194" t="s">
        <v>423</v>
      </c>
      <c r="B29" s="194" t="s">
        <v>814</v>
      </c>
      <c r="D29" s="195" t="str">
        <f>IF([1]RENAME!$H$3=1,B29,A29)</f>
        <v>Impostos, taxas e contribuições</v>
      </c>
      <c r="E29" s="196">
        <f>+SUM(E30:E32)</f>
        <v>276536</v>
      </c>
      <c r="F29" s="196">
        <f t="shared" ref="F29:K29" si="38">+SUM(F30:F32)</f>
        <v>242469</v>
      </c>
      <c r="G29" s="243">
        <f t="shared" si="38"/>
        <v>78518</v>
      </c>
      <c r="H29" s="196">
        <f t="shared" si="38"/>
        <v>37840</v>
      </c>
      <c r="I29" s="196">
        <f t="shared" si="38"/>
        <v>36747</v>
      </c>
      <c r="J29" s="196">
        <f t="shared" si="38"/>
        <v>39413</v>
      </c>
      <c r="K29" s="196">
        <f t="shared" si="38"/>
        <v>24615</v>
      </c>
      <c r="L29" s="196">
        <f t="shared" ref="L29:Q29" si="39">+SUM(L30:L32)</f>
        <v>25798</v>
      </c>
      <c r="M29" s="196">
        <f t="shared" si="39"/>
        <v>30051</v>
      </c>
      <c r="N29" s="196">
        <f t="shared" si="39"/>
        <v>32623</v>
      </c>
      <c r="O29" s="196">
        <f t="shared" si="39"/>
        <v>37990</v>
      </c>
      <c r="P29" s="196">
        <f t="shared" si="39"/>
        <v>31454</v>
      </c>
      <c r="Q29" s="196">
        <f t="shared" si="39"/>
        <v>13536</v>
      </c>
      <c r="R29" s="196">
        <f t="shared" ref="R29:AB29" si="40">+SUM(R30:R32)</f>
        <v>42768</v>
      </c>
      <c r="S29" s="196">
        <f t="shared" si="40"/>
        <v>16455</v>
      </c>
      <c r="T29" s="196">
        <f t="shared" si="40"/>
        <v>37006</v>
      </c>
      <c r="U29" s="196">
        <f t="shared" si="40"/>
        <v>40165</v>
      </c>
      <c r="V29" s="196">
        <f t="shared" si="40"/>
        <v>53565</v>
      </c>
      <c r="W29" s="196">
        <f t="shared" si="40"/>
        <v>43480</v>
      </c>
      <c r="X29" s="196">
        <f t="shared" si="40"/>
        <v>48774</v>
      </c>
      <c r="Y29" s="196">
        <f t="shared" si="40"/>
        <v>48249</v>
      </c>
      <c r="Z29" s="196">
        <f t="shared" si="40"/>
        <v>79604</v>
      </c>
      <c r="AA29" s="196">
        <f t="shared" si="40"/>
        <v>51970</v>
      </c>
      <c r="AB29" s="196">
        <f t="shared" si="40"/>
        <v>42161</v>
      </c>
      <c r="AC29" s="196">
        <f t="shared" ref="AC29:AH29" si="41">+SUM(AC30:AC32)</f>
        <v>14309</v>
      </c>
      <c r="AD29" s="196">
        <f t="shared" si="41"/>
        <v>47361</v>
      </c>
      <c r="AE29" s="196">
        <f t="shared" si="41"/>
        <v>46997</v>
      </c>
      <c r="AF29" s="196">
        <f t="shared" si="41"/>
        <v>37763</v>
      </c>
      <c r="AG29" s="196">
        <f t="shared" si="41"/>
        <v>34163</v>
      </c>
      <c r="AH29" s="196">
        <f t="shared" si="41"/>
        <v>20752</v>
      </c>
      <c r="AI29" s="196">
        <f t="shared" ref="AI29:AN29" si="42">+SUM(AI30:AI32)</f>
        <v>48009</v>
      </c>
      <c r="AJ29" s="196">
        <f t="shared" si="42"/>
        <v>36105</v>
      </c>
      <c r="AK29" s="196">
        <f t="shared" si="42"/>
        <v>45556</v>
      </c>
      <c r="AL29" s="196">
        <f t="shared" si="42"/>
        <v>67469</v>
      </c>
      <c r="AM29" s="196">
        <f>+SUM(AM30:AM32)</f>
        <v>67457</v>
      </c>
      <c r="AN29" s="196">
        <f t="shared" si="42"/>
        <v>52343</v>
      </c>
      <c r="AO29" s="196">
        <f t="shared" ref="AO29:AW29" si="43">+SUM(AO30:AO32)</f>
        <v>58312</v>
      </c>
      <c r="AP29" s="196">
        <f t="shared" si="43"/>
        <v>72159</v>
      </c>
      <c r="AQ29" s="196">
        <f t="shared" si="43"/>
        <v>73898</v>
      </c>
      <c r="AR29" s="196">
        <f t="shared" si="43"/>
        <v>68078</v>
      </c>
      <c r="AS29" s="196">
        <f t="shared" si="43"/>
        <v>81953</v>
      </c>
      <c r="AT29" s="196">
        <f t="shared" si="43"/>
        <v>113644</v>
      </c>
      <c r="AU29" s="196">
        <f t="shared" si="43"/>
        <v>116684</v>
      </c>
      <c r="AV29" s="196">
        <f t="shared" si="43"/>
        <v>76719</v>
      </c>
      <c r="AW29" s="196">
        <f t="shared" si="43"/>
        <v>95919</v>
      </c>
      <c r="AX29" s="196">
        <f>+SUM(AX30:AX32)</f>
        <v>117641</v>
      </c>
      <c r="AY29" s="196">
        <f>+SUM(AY30:AY32)</f>
        <v>108621</v>
      </c>
      <c r="AZ29" s="196">
        <f>+SUM(AZ30:AZ32)</f>
        <v>94408</v>
      </c>
      <c r="BA29" s="196">
        <f>+SUM(BA30:BA32)</f>
        <v>140630</v>
      </c>
      <c r="BB29" s="1238"/>
    </row>
    <row r="30" spans="1:54" x14ac:dyDescent="0.2">
      <c r="A30" s="194" t="s">
        <v>424</v>
      </c>
      <c r="B30" s="194" t="s">
        <v>815</v>
      </c>
      <c r="D30" s="135" t="str">
        <f>IF([1]RENAME!$H$3=1,B30,A30)</f>
        <v xml:space="preserve">Federais </v>
      </c>
      <c r="E30" s="136">
        <v>151047</v>
      </c>
      <c r="F30" s="136">
        <v>118191</v>
      </c>
      <c r="G30" s="242">
        <v>49525</v>
      </c>
      <c r="H30" s="136">
        <v>16109</v>
      </c>
      <c r="I30" s="136">
        <v>15028</v>
      </c>
      <c r="J30" s="136">
        <v>17348</v>
      </c>
      <c r="K30" s="136">
        <v>4534</v>
      </c>
      <c r="L30" s="136">
        <v>12808</v>
      </c>
      <c r="M30" s="136">
        <v>16038</v>
      </c>
      <c r="N30" s="136">
        <v>18428</v>
      </c>
      <c r="O30" s="136">
        <v>24713</v>
      </c>
      <c r="P30" s="136">
        <v>17923</v>
      </c>
      <c r="Q30" s="136">
        <v>8435</v>
      </c>
      <c r="R30" s="136">
        <v>25711</v>
      </c>
      <c r="S30" s="136">
        <v>-2563</v>
      </c>
      <c r="T30" s="136">
        <v>21578</v>
      </c>
      <c r="U30" s="136">
        <v>23387</v>
      </c>
      <c r="V30" s="136">
        <v>28550</v>
      </c>
      <c r="W30" s="136">
        <v>22292</v>
      </c>
      <c r="X30" s="136">
        <v>26985</v>
      </c>
      <c r="Y30" s="136">
        <v>28011</v>
      </c>
      <c r="Z30" s="136">
        <v>59570</v>
      </c>
      <c r="AA30" s="136">
        <v>27879</v>
      </c>
      <c r="AB30" s="136">
        <v>22468</v>
      </c>
      <c r="AC30" s="136">
        <v>4527</v>
      </c>
      <c r="AD30" s="136">
        <v>26986</v>
      </c>
      <c r="AE30" s="136">
        <v>25211</v>
      </c>
      <c r="AF30" s="136">
        <v>20054</v>
      </c>
      <c r="AG30" s="136">
        <v>16643</v>
      </c>
      <c r="AH30" s="136">
        <v>2684</v>
      </c>
      <c r="AI30" s="136">
        <v>24499</v>
      </c>
      <c r="AJ30" s="136">
        <v>17774</v>
      </c>
      <c r="AK30" s="136">
        <v>22841</v>
      </c>
      <c r="AL30" s="136">
        <v>35979</v>
      </c>
      <c r="AM30" s="136">
        <v>36157</v>
      </c>
      <c r="AN30" s="136">
        <v>26730</v>
      </c>
      <c r="AO30" s="136">
        <v>29373</v>
      </c>
      <c r="AP30" s="136">
        <v>38244</v>
      </c>
      <c r="AQ30" s="136">
        <v>37474</v>
      </c>
      <c r="AR30" s="136">
        <v>35520</v>
      </c>
      <c r="AS30" s="136">
        <v>44173</v>
      </c>
      <c r="AT30" s="136">
        <v>65355</v>
      </c>
      <c r="AU30" s="136">
        <v>66449</v>
      </c>
      <c r="AV30" s="136">
        <v>41714</v>
      </c>
      <c r="AW30" s="136">
        <v>52381</v>
      </c>
      <c r="AX30" s="136">
        <v>64663</v>
      </c>
      <c r="AY30" s="136">
        <v>52900</v>
      </c>
      <c r="AZ30" s="136">
        <v>47221</v>
      </c>
      <c r="BA30" s="136">
        <f>(VLOOKUP($D$30,'[3]DVA '!$A$7:$I$46,9,FALSE))-AZ30</f>
        <v>72676</v>
      </c>
      <c r="BB30" s="1238"/>
    </row>
    <row r="31" spans="1:54" x14ac:dyDescent="0.2">
      <c r="A31" s="194" t="s">
        <v>425</v>
      </c>
      <c r="B31" s="194" t="s">
        <v>816</v>
      </c>
      <c r="D31" s="135" t="str">
        <f>IF([1]RENAME!$H$3=1,B31,A31)</f>
        <v>Estaduais</v>
      </c>
      <c r="E31" s="136">
        <v>117202</v>
      </c>
      <c r="F31" s="136">
        <v>116549</v>
      </c>
      <c r="G31" s="242">
        <v>26995</v>
      </c>
      <c r="H31" s="136">
        <v>20055</v>
      </c>
      <c r="I31" s="136">
        <v>20139</v>
      </c>
      <c r="J31" s="136">
        <v>20334</v>
      </c>
      <c r="K31" s="136">
        <v>18426</v>
      </c>
      <c r="L31" s="136">
        <v>11419</v>
      </c>
      <c r="M31" s="136">
        <v>12510</v>
      </c>
      <c r="N31" s="136">
        <v>12855</v>
      </c>
      <c r="O31" s="136">
        <v>11732</v>
      </c>
      <c r="P31" s="136">
        <v>12007</v>
      </c>
      <c r="Q31" s="136">
        <v>3625</v>
      </c>
      <c r="R31" s="136">
        <v>15493</v>
      </c>
      <c r="S31" s="136">
        <v>17301</v>
      </c>
      <c r="T31" s="136">
        <v>14084</v>
      </c>
      <c r="U31" s="136">
        <v>15366</v>
      </c>
      <c r="V31" s="136">
        <v>23610</v>
      </c>
      <c r="W31" s="136">
        <v>19719</v>
      </c>
      <c r="X31" s="136">
        <v>20522</v>
      </c>
      <c r="Y31" s="136">
        <v>18854</v>
      </c>
      <c r="Z31" s="136">
        <v>18609</v>
      </c>
      <c r="AA31" s="136">
        <v>22469</v>
      </c>
      <c r="AB31" s="136">
        <v>18031</v>
      </c>
      <c r="AC31" s="136">
        <v>8428</v>
      </c>
      <c r="AD31" s="136">
        <v>19010</v>
      </c>
      <c r="AE31" s="136">
        <v>20560</v>
      </c>
      <c r="AF31" s="136">
        <v>16645</v>
      </c>
      <c r="AG31" s="136">
        <v>16401</v>
      </c>
      <c r="AH31" s="136">
        <v>16811</v>
      </c>
      <c r="AI31" s="136">
        <v>22366</v>
      </c>
      <c r="AJ31" s="136">
        <v>16745</v>
      </c>
      <c r="AK31" s="136">
        <v>21501</v>
      </c>
      <c r="AL31" s="136">
        <v>29883</v>
      </c>
      <c r="AM31" s="136">
        <v>29853</v>
      </c>
      <c r="AN31" s="136">
        <v>23967</v>
      </c>
      <c r="AO31" s="136">
        <v>27547</v>
      </c>
      <c r="AP31" s="136">
        <v>32167</v>
      </c>
      <c r="AQ31" s="136">
        <v>34646</v>
      </c>
      <c r="AR31" s="136">
        <v>30930</v>
      </c>
      <c r="AS31" s="136">
        <v>35819</v>
      </c>
      <c r="AT31" s="136">
        <v>45760</v>
      </c>
      <c r="AU31" s="136">
        <v>47898</v>
      </c>
      <c r="AV31" s="136">
        <v>32852</v>
      </c>
      <c r="AW31" s="136">
        <v>41314</v>
      </c>
      <c r="AX31" s="136">
        <v>50999</v>
      </c>
      <c r="AY31" s="136">
        <v>53752</v>
      </c>
      <c r="AZ31" s="136">
        <v>45218</v>
      </c>
      <c r="BA31" s="136">
        <f>(VLOOKUP($D$31,'[3]DVA '!$A$7:$I$46,9,FALSE))-AZ31</f>
        <v>65559</v>
      </c>
      <c r="BB31" s="1238"/>
    </row>
    <row r="32" spans="1:54" x14ac:dyDescent="0.2">
      <c r="A32" s="194" t="s">
        <v>426</v>
      </c>
      <c r="B32" s="194" t="s">
        <v>817</v>
      </c>
      <c r="D32" s="135" t="str">
        <f>IF([1]RENAME!$H$3=1,B32,A32)</f>
        <v>Municipais</v>
      </c>
      <c r="E32" s="136">
        <v>8287</v>
      </c>
      <c r="F32" s="136">
        <v>7729</v>
      </c>
      <c r="G32" s="242">
        <v>1998</v>
      </c>
      <c r="H32" s="136">
        <v>1676</v>
      </c>
      <c r="I32" s="136">
        <v>1580</v>
      </c>
      <c r="J32" s="136">
        <v>1731</v>
      </c>
      <c r="K32" s="136">
        <v>1655</v>
      </c>
      <c r="L32" s="136">
        <v>1571</v>
      </c>
      <c r="M32" s="136">
        <v>1503</v>
      </c>
      <c r="N32" s="136">
        <v>1340</v>
      </c>
      <c r="O32" s="136">
        <v>1545</v>
      </c>
      <c r="P32" s="136">
        <v>1524</v>
      </c>
      <c r="Q32" s="136">
        <v>1476</v>
      </c>
      <c r="R32" s="136">
        <v>1564</v>
      </c>
      <c r="S32" s="136">
        <v>1717</v>
      </c>
      <c r="T32" s="136">
        <v>1344</v>
      </c>
      <c r="U32" s="136">
        <v>1412</v>
      </c>
      <c r="V32" s="136">
        <v>1405</v>
      </c>
      <c r="W32" s="136">
        <v>1469</v>
      </c>
      <c r="X32" s="136">
        <v>1267</v>
      </c>
      <c r="Y32" s="136">
        <v>1384</v>
      </c>
      <c r="Z32" s="136">
        <v>1425</v>
      </c>
      <c r="AA32" s="136">
        <v>1622</v>
      </c>
      <c r="AB32" s="136">
        <v>1662</v>
      </c>
      <c r="AC32" s="136">
        <v>1354</v>
      </c>
      <c r="AD32" s="136">
        <v>1365</v>
      </c>
      <c r="AE32" s="136">
        <v>1226</v>
      </c>
      <c r="AF32" s="136">
        <v>1064</v>
      </c>
      <c r="AG32" s="136">
        <v>1119</v>
      </c>
      <c r="AH32" s="136">
        <v>1257</v>
      </c>
      <c r="AI32" s="136">
        <v>1144</v>
      </c>
      <c r="AJ32" s="136">
        <v>1586</v>
      </c>
      <c r="AK32" s="136">
        <v>1214</v>
      </c>
      <c r="AL32" s="136">
        <v>1607</v>
      </c>
      <c r="AM32" s="136">
        <v>1447</v>
      </c>
      <c r="AN32" s="136">
        <v>1646</v>
      </c>
      <c r="AO32" s="136">
        <v>1392</v>
      </c>
      <c r="AP32" s="136">
        <v>1748</v>
      </c>
      <c r="AQ32" s="136">
        <v>1778</v>
      </c>
      <c r="AR32" s="136">
        <v>1628</v>
      </c>
      <c r="AS32" s="136">
        <v>1961</v>
      </c>
      <c r="AT32" s="136">
        <v>2529</v>
      </c>
      <c r="AU32" s="136">
        <v>2337</v>
      </c>
      <c r="AV32" s="136">
        <v>2153</v>
      </c>
      <c r="AW32" s="136">
        <v>2224</v>
      </c>
      <c r="AX32" s="136">
        <v>1979</v>
      </c>
      <c r="AY32" s="136">
        <v>1969</v>
      </c>
      <c r="AZ32" s="136">
        <v>1969</v>
      </c>
      <c r="BA32" s="136">
        <f>(VLOOKUP($D$32,'[3]DVA '!$A$7:$I$46,9,FALSE))-AZ32</f>
        <v>2395</v>
      </c>
      <c r="BB32" s="1238"/>
    </row>
    <row r="33" spans="1:53" x14ac:dyDescent="0.2">
      <c r="A33" s="194" t="s">
        <v>427</v>
      </c>
      <c r="B33" s="194" t="s">
        <v>818</v>
      </c>
      <c r="D33" s="195" t="str">
        <f>IF([1]RENAME!$H$3=1,B33,A33)</f>
        <v>Financiadores</v>
      </c>
      <c r="E33" s="196">
        <f>+SUM(E34:E37)</f>
        <v>276165</v>
      </c>
      <c r="F33" s="196">
        <f t="shared" ref="F33:K33" si="44">+SUM(F34:F37)</f>
        <v>174352</v>
      </c>
      <c r="G33" s="243">
        <f t="shared" si="44"/>
        <v>55549</v>
      </c>
      <c r="H33" s="196">
        <f t="shared" si="44"/>
        <v>43139</v>
      </c>
      <c r="I33" s="196">
        <f t="shared" si="44"/>
        <v>36567</v>
      </c>
      <c r="J33" s="196">
        <f t="shared" si="44"/>
        <v>35462</v>
      </c>
      <c r="K33" s="196">
        <f t="shared" si="44"/>
        <v>28868</v>
      </c>
      <c r="L33" s="196">
        <f t="shared" ref="L33:Q33" si="45">+SUM(L34:L37)</f>
        <v>27609</v>
      </c>
      <c r="M33" s="196">
        <f t="shared" si="45"/>
        <v>24192</v>
      </c>
      <c r="N33" s="196">
        <f t="shared" si="45"/>
        <v>33243</v>
      </c>
      <c r="O33" s="196">
        <f t="shared" si="45"/>
        <v>35949</v>
      </c>
      <c r="P33" s="196">
        <f t="shared" si="45"/>
        <v>25341</v>
      </c>
      <c r="Q33" s="196">
        <f t="shared" si="45"/>
        <v>42206</v>
      </c>
      <c r="R33" s="196">
        <f t="shared" ref="R33:AB33" si="46">+SUM(R34:R37)</f>
        <v>33877</v>
      </c>
      <c r="S33" s="196">
        <f t="shared" si="46"/>
        <v>75254</v>
      </c>
      <c r="T33" s="196">
        <f t="shared" si="46"/>
        <v>28032</v>
      </c>
      <c r="U33" s="196">
        <f t="shared" si="46"/>
        <v>41123</v>
      </c>
      <c r="V33" s="196">
        <f t="shared" si="46"/>
        <v>55291</v>
      </c>
      <c r="W33" s="196">
        <f t="shared" si="46"/>
        <v>56111</v>
      </c>
      <c r="X33" s="196">
        <f t="shared" si="46"/>
        <v>34173</v>
      </c>
      <c r="Y33" s="196">
        <f t="shared" si="46"/>
        <v>34801</v>
      </c>
      <c r="Z33" s="196">
        <f t="shared" si="46"/>
        <v>102951</v>
      </c>
      <c r="AA33" s="196">
        <f t="shared" si="46"/>
        <v>50127</v>
      </c>
      <c r="AB33" s="196">
        <f t="shared" si="46"/>
        <v>40465</v>
      </c>
      <c r="AC33" s="196">
        <f>+SUM(AC34:AC37)</f>
        <v>5643</v>
      </c>
      <c r="AD33" s="196">
        <f>+SUM(AD34:AD37)</f>
        <v>32595</v>
      </c>
      <c r="AE33" s="196">
        <f>+SUM(AE34:AE37)</f>
        <v>34828</v>
      </c>
      <c r="AF33" s="196">
        <f t="shared" ref="AF33:AK33" si="47">+SUM(AF34:AF38)</f>
        <v>24751</v>
      </c>
      <c r="AG33" s="196">
        <f t="shared" si="47"/>
        <v>28773</v>
      </c>
      <c r="AH33" s="196">
        <f t="shared" si="47"/>
        <v>39365</v>
      </c>
      <c r="AI33" s="196">
        <f t="shared" si="47"/>
        <v>38665</v>
      </c>
      <c r="AJ33" s="196">
        <f t="shared" si="47"/>
        <v>26524</v>
      </c>
      <c r="AK33" s="196">
        <f t="shared" si="47"/>
        <v>39274</v>
      </c>
      <c r="AL33" s="196">
        <f t="shared" ref="AL33:AQ33" si="48">+SUM(AL34:AL38)</f>
        <v>58960</v>
      </c>
      <c r="AM33" s="196">
        <f t="shared" si="48"/>
        <v>62628</v>
      </c>
      <c r="AN33" s="196">
        <f t="shared" si="48"/>
        <v>43011</v>
      </c>
      <c r="AO33" s="196">
        <f t="shared" si="48"/>
        <v>49131</v>
      </c>
      <c r="AP33" s="196">
        <f t="shared" si="48"/>
        <v>63416</v>
      </c>
      <c r="AQ33" s="196">
        <f t="shared" si="48"/>
        <v>61481</v>
      </c>
      <c r="AR33" s="196">
        <f t="shared" ref="AR33:AW33" si="49">+SUM(AR34:AR38)</f>
        <v>46365</v>
      </c>
      <c r="AS33" s="196">
        <f t="shared" si="49"/>
        <v>75145</v>
      </c>
      <c r="AT33" s="196">
        <f t="shared" si="49"/>
        <v>101981</v>
      </c>
      <c r="AU33" s="196">
        <f t="shared" si="49"/>
        <v>101032</v>
      </c>
      <c r="AV33" s="196">
        <f t="shared" si="49"/>
        <v>58835</v>
      </c>
      <c r="AW33" s="196">
        <f t="shared" si="49"/>
        <v>83975</v>
      </c>
      <c r="AX33" s="196">
        <f>+SUM(AX34:AX38)</f>
        <v>96676</v>
      </c>
      <c r="AY33" s="196">
        <f>+SUM(AY34:AY38)</f>
        <v>67683</v>
      </c>
      <c r="AZ33" s="196">
        <f>+SUM(AZ34:AZ38)</f>
        <v>53929</v>
      </c>
      <c r="BA33" s="196">
        <f>+SUM(BA34:BA38)</f>
        <v>98176</v>
      </c>
    </row>
    <row r="34" spans="1:53" x14ac:dyDescent="0.2">
      <c r="A34" s="194" t="s">
        <v>428</v>
      </c>
      <c r="B34" s="194" t="s">
        <v>819</v>
      </c>
      <c r="D34" s="135" t="str">
        <f>IF([1]RENAME!$H$3=1,B34,A34)</f>
        <v>Juros e variações cambiais</v>
      </c>
      <c r="E34" s="136">
        <v>151385</v>
      </c>
      <c r="F34" s="136">
        <v>119133</v>
      </c>
      <c r="G34" s="242">
        <v>24653</v>
      </c>
      <c r="H34" s="136">
        <v>17705</v>
      </c>
      <c r="I34" s="136">
        <v>16495</v>
      </c>
      <c r="J34" s="136">
        <v>14912</v>
      </c>
      <c r="K34" s="136">
        <v>19635</v>
      </c>
      <c r="L34" s="136">
        <v>16295</v>
      </c>
      <c r="M34" s="136">
        <v>13908</v>
      </c>
      <c r="N34" s="136">
        <v>18995</v>
      </c>
      <c r="O34" s="136">
        <v>13159</v>
      </c>
      <c r="P34" s="136">
        <v>9594</v>
      </c>
      <c r="Q34" s="136">
        <v>8091</v>
      </c>
      <c r="R34" s="136">
        <v>8692</v>
      </c>
      <c r="S34" s="136">
        <v>5435</v>
      </c>
      <c r="T34" s="136">
        <v>4564</v>
      </c>
      <c r="U34" s="136">
        <v>3829</v>
      </c>
      <c r="V34" s="136">
        <v>15150</v>
      </c>
      <c r="W34" s="136">
        <v>10293</v>
      </c>
      <c r="X34" s="136">
        <v>5694</v>
      </c>
      <c r="Y34" s="136">
        <v>-361</v>
      </c>
      <c r="Z34" s="136">
        <v>9818</v>
      </c>
      <c r="AA34" s="136">
        <v>4272</v>
      </c>
      <c r="AB34" s="136">
        <v>19057</v>
      </c>
      <c r="AC34" s="136">
        <v>8867</v>
      </c>
      <c r="AD34" s="136">
        <v>1296</v>
      </c>
      <c r="AE34" s="136">
        <v>4019</v>
      </c>
      <c r="AF34" s="136">
        <v>4417</v>
      </c>
      <c r="AG34" s="136">
        <v>3983</v>
      </c>
      <c r="AH34" s="136">
        <v>4347</v>
      </c>
      <c r="AI34" s="136">
        <v>8536</v>
      </c>
      <c r="AJ34" s="136">
        <v>6814</v>
      </c>
      <c r="AK34" s="136">
        <v>6934</v>
      </c>
      <c r="AL34" s="136">
        <v>3763</v>
      </c>
      <c r="AM34" s="136">
        <v>4479</v>
      </c>
      <c r="AN34" s="136">
        <v>6870</v>
      </c>
      <c r="AO34" s="136">
        <v>7580</v>
      </c>
      <c r="AP34" s="136">
        <v>6026</v>
      </c>
      <c r="AQ34" s="136">
        <v>7171</v>
      </c>
      <c r="AR34" s="136">
        <v>6622</v>
      </c>
      <c r="AS34" s="136">
        <v>6460</v>
      </c>
      <c r="AT34" s="136">
        <v>6644</v>
      </c>
      <c r="AU34" s="136">
        <v>6786</v>
      </c>
      <c r="AV34" s="136">
        <v>8576</v>
      </c>
      <c r="AW34" s="136">
        <v>8848</v>
      </c>
      <c r="AX34" s="136">
        <v>9680</v>
      </c>
      <c r="AY34" s="136">
        <v>7901</v>
      </c>
      <c r="AZ34" s="136">
        <v>9071</v>
      </c>
      <c r="BA34" s="136">
        <f>(VLOOKUP($D$34,'[3]DVA '!$A$7:$I$46,9,FALSE))-AZ34</f>
        <v>8273</v>
      </c>
    </row>
    <row r="35" spans="1:53" x14ac:dyDescent="0.2">
      <c r="A35" s="194" t="s">
        <v>429</v>
      </c>
      <c r="B35" s="194" t="s">
        <v>820</v>
      </c>
      <c r="D35" s="135" t="str">
        <f>IF([1]RENAME!$H$3=1,B35,A35)</f>
        <v>Aluguéis</v>
      </c>
      <c r="E35" s="136">
        <v>85304</v>
      </c>
      <c r="F35" s="136">
        <v>78164</v>
      </c>
      <c r="G35" s="242">
        <v>17499</v>
      </c>
      <c r="H35" s="136">
        <v>17934</v>
      </c>
      <c r="I35" s="136">
        <v>18889</v>
      </c>
      <c r="J35" s="136">
        <v>15449</v>
      </c>
      <c r="K35" s="136">
        <v>13087</v>
      </c>
      <c r="L35" s="136">
        <v>13217</v>
      </c>
      <c r="M35" s="136">
        <v>10972</v>
      </c>
      <c r="N35" s="136">
        <v>10407</v>
      </c>
      <c r="O35" s="136">
        <v>10214</v>
      </c>
      <c r="P35" s="136">
        <v>10295</v>
      </c>
      <c r="Q35" s="136">
        <v>10058</v>
      </c>
      <c r="R35" s="136">
        <v>9899</v>
      </c>
      <c r="S35" s="136">
        <v>10851</v>
      </c>
      <c r="T35" s="136">
        <v>9472</v>
      </c>
      <c r="U35" s="136">
        <v>9109</v>
      </c>
      <c r="V35" s="136">
        <v>9034</v>
      </c>
      <c r="W35" s="136">
        <v>10857</v>
      </c>
      <c r="X35" s="136">
        <v>1858</v>
      </c>
      <c r="Y35" s="136">
        <v>2648</v>
      </c>
      <c r="Z35" s="136">
        <v>1741</v>
      </c>
      <c r="AA35" s="136">
        <v>2410</v>
      </c>
      <c r="AB35" s="136">
        <v>2122</v>
      </c>
      <c r="AC35" s="136">
        <v>1139</v>
      </c>
      <c r="AD35" s="136">
        <v>1360</v>
      </c>
      <c r="AE35" s="136">
        <v>2045</v>
      </c>
      <c r="AF35" s="136">
        <v>176</v>
      </c>
      <c r="AG35" s="136">
        <v>634</v>
      </c>
      <c r="AH35" s="136">
        <v>825</v>
      </c>
      <c r="AI35" s="136">
        <v>851</v>
      </c>
      <c r="AJ35" s="136">
        <v>927</v>
      </c>
      <c r="AK35" s="136">
        <v>1760</v>
      </c>
      <c r="AL35" s="136">
        <v>1728</v>
      </c>
      <c r="AM35" s="136">
        <v>1317</v>
      </c>
      <c r="AN35" s="136">
        <v>1418</v>
      </c>
      <c r="AO35" s="136">
        <v>1695</v>
      </c>
      <c r="AP35" s="136">
        <v>1078</v>
      </c>
      <c r="AQ35" s="136">
        <v>3289</v>
      </c>
      <c r="AR35" s="136">
        <v>2228</v>
      </c>
      <c r="AS35" s="136">
        <v>5170</v>
      </c>
      <c r="AT35" s="136">
        <v>10892</v>
      </c>
      <c r="AU35" s="136">
        <v>9109</v>
      </c>
      <c r="AV35" s="136">
        <v>6525</v>
      </c>
      <c r="AW35" s="136">
        <v>8008</v>
      </c>
      <c r="AX35" s="136">
        <v>7105</v>
      </c>
      <c r="AY35" s="136">
        <v>7563</v>
      </c>
      <c r="AZ35" s="136">
        <v>6073</v>
      </c>
      <c r="BA35" s="136">
        <f>(VLOOKUP($D$35,'[3]DVA '!$A$7:$I$46,9,FALSE))-AZ35</f>
        <v>6787</v>
      </c>
    </row>
    <row r="36" spans="1:53" x14ac:dyDescent="0.2">
      <c r="A36" s="194" t="s">
        <v>1405</v>
      </c>
      <c r="B36" s="194" t="s">
        <v>648</v>
      </c>
      <c r="D36" s="135" t="str">
        <f>IF([1]RENAME!$H$3=1,B36,A36)</f>
        <v>Dividendos e juros sobre capital proprio</v>
      </c>
      <c r="E36" s="136">
        <v>60000</v>
      </c>
      <c r="F36" s="136">
        <v>0</v>
      </c>
      <c r="G36" s="242">
        <v>0</v>
      </c>
      <c r="H36" s="136">
        <v>0</v>
      </c>
      <c r="I36" s="136">
        <v>0</v>
      </c>
      <c r="J36" s="136">
        <v>5000</v>
      </c>
      <c r="K36" s="136">
        <v>0</v>
      </c>
      <c r="L36" s="136">
        <v>0</v>
      </c>
      <c r="M36" s="136">
        <v>0</v>
      </c>
      <c r="N36" s="136">
        <v>0</v>
      </c>
      <c r="O36" s="136">
        <v>8000</v>
      </c>
      <c r="P36" s="136">
        <v>0</v>
      </c>
      <c r="Q36" s="136">
        <v>14750</v>
      </c>
      <c r="R36" s="136">
        <v>0</v>
      </c>
      <c r="S36" s="136">
        <v>46499</v>
      </c>
      <c r="T36" s="136">
        <v>0</v>
      </c>
      <c r="U36" s="136">
        <v>0</v>
      </c>
      <c r="V36" s="136">
        <v>21090</v>
      </c>
      <c r="W36" s="136">
        <v>43860</v>
      </c>
      <c r="X36" s="136">
        <v>0</v>
      </c>
      <c r="Y36" s="136">
        <v>0</v>
      </c>
      <c r="Z36" s="136">
        <v>29568</v>
      </c>
      <c r="AA36" s="136">
        <v>45696</v>
      </c>
      <c r="AB36" s="136">
        <v>0</v>
      </c>
      <c r="AC36" s="136">
        <v>0</v>
      </c>
      <c r="AD36" s="136">
        <v>0</v>
      </c>
      <c r="AE36" s="136">
        <v>34972</v>
      </c>
      <c r="AF36" s="136">
        <v>0</v>
      </c>
      <c r="AG36" s="136">
        <v>0</v>
      </c>
      <c r="AH36" s="136">
        <v>22157</v>
      </c>
      <c r="AI36" s="136">
        <v>39275</v>
      </c>
      <c r="AJ36" s="136">
        <v>0</v>
      </c>
      <c r="AK36" s="136">
        <v>0</v>
      </c>
      <c r="AL36" s="136">
        <v>24589</v>
      </c>
      <c r="AM36" s="136">
        <v>27035</v>
      </c>
      <c r="AN36" s="136">
        <v>0</v>
      </c>
      <c r="AO36" s="136">
        <v>0</v>
      </c>
      <c r="AP36" s="136">
        <v>37585</v>
      </c>
      <c r="AQ36" s="136">
        <v>35606</v>
      </c>
      <c r="AR36" s="136">
        <v>0</v>
      </c>
      <c r="AS36" s="136">
        <v>0</v>
      </c>
      <c r="AT36" s="136">
        <v>80444</v>
      </c>
      <c r="AU36" s="136">
        <v>50772</v>
      </c>
      <c r="AV36" s="136">
        <v>0</v>
      </c>
      <c r="AW36" s="136">
        <v>0</v>
      </c>
      <c r="AX36" s="136">
        <v>89016</v>
      </c>
      <c r="AY36" s="136">
        <v>63960</v>
      </c>
      <c r="AZ36" s="136">
        <v>0</v>
      </c>
      <c r="BA36" s="136">
        <f>(VLOOKUP($D$36,'[3]DVA '!$A$7:$I$46,9,FALSE))-AZ36</f>
        <v>0</v>
      </c>
    </row>
    <row r="37" spans="1:53" x14ac:dyDescent="0.2">
      <c r="A37" s="194" t="s">
        <v>1846</v>
      </c>
      <c r="B37" s="194" t="s">
        <v>821</v>
      </c>
      <c r="D37" s="135" t="str">
        <f>IF([1]RENAME!$H$3=1,B37,A37)</f>
        <v>Lucro retidos dos acionistas controladores</v>
      </c>
      <c r="E37" s="136">
        <v>-20524</v>
      </c>
      <c r="F37" s="136">
        <v>-22945</v>
      </c>
      <c r="G37" s="242">
        <v>13397</v>
      </c>
      <c r="H37" s="136">
        <v>7500</v>
      </c>
      <c r="I37" s="136">
        <v>1183</v>
      </c>
      <c r="J37" s="136">
        <f>5101-J36</f>
        <v>101</v>
      </c>
      <c r="K37" s="136">
        <v>-3854</v>
      </c>
      <c r="L37" s="136">
        <v>-1903</v>
      </c>
      <c r="M37" s="136">
        <v>-688</v>
      </c>
      <c r="N37" s="136">
        <v>3841</v>
      </c>
      <c r="O37" s="136">
        <v>4576</v>
      </c>
      <c r="P37" s="136">
        <v>5452</v>
      </c>
      <c r="Q37" s="136">
        <f>24057-Q36</f>
        <v>9307</v>
      </c>
      <c r="R37" s="136">
        <v>15286</v>
      </c>
      <c r="S37" s="136">
        <v>12469</v>
      </c>
      <c r="T37" s="136">
        <v>13996</v>
      </c>
      <c r="U37" s="136">
        <v>28185</v>
      </c>
      <c r="V37" s="136">
        <v>10017</v>
      </c>
      <c r="W37" s="136">
        <v>-8899</v>
      </c>
      <c r="X37" s="136">
        <v>26621</v>
      </c>
      <c r="Y37" s="136">
        <v>32514</v>
      </c>
      <c r="Z37" s="136">
        <v>61824</v>
      </c>
      <c r="AA37" s="136">
        <v>-2251</v>
      </c>
      <c r="AB37" s="136">
        <v>19286</v>
      </c>
      <c r="AC37" s="136">
        <v>-4363</v>
      </c>
      <c r="AD37" s="136">
        <v>29939</v>
      </c>
      <c r="AE37" s="136">
        <v>-6208</v>
      </c>
      <c r="AF37" s="136">
        <v>20248</v>
      </c>
      <c r="AG37" s="136">
        <v>24184</v>
      </c>
      <c r="AH37" s="136">
        <v>12080</v>
      </c>
      <c r="AI37" s="136">
        <v>-9851</v>
      </c>
      <c r="AJ37" s="136">
        <v>18708</v>
      </c>
      <c r="AK37" s="136">
        <v>30471</v>
      </c>
      <c r="AL37" s="136">
        <v>28806</v>
      </c>
      <c r="AM37" s="136">
        <v>29687</v>
      </c>
      <c r="AN37" s="136">
        <v>34499</v>
      </c>
      <c r="AO37" s="136">
        <v>39660</v>
      </c>
      <c r="AP37" s="136">
        <v>18591</v>
      </c>
      <c r="AQ37" s="136">
        <v>15471</v>
      </c>
      <c r="AR37" s="136">
        <v>37283</v>
      </c>
      <c r="AS37" s="136">
        <v>63252</v>
      </c>
      <c r="AT37" s="136">
        <v>3777</v>
      </c>
      <c r="AU37" s="136">
        <v>34289</v>
      </c>
      <c r="AV37" s="136">
        <v>43734</v>
      </c>
      <c r="AW37" s="136">
        <v>67119</v>
      </c>
      <c r="AX37" s="136">
        <v>-9125</v>
      </c>
      <c r="AY37" s="136">
        <v>-11741</v>
      </c>
      <c r="AZ37" s="136">
        <v>38785</v>
      </c>
      <c r="BA37" s="136">
        <f>(VLOOKUP($D$37,'[3]DVA '!$A$7:$I$46,9,FALSE))-AZ37</f>
        <v>83116</v>
      </c>
    </row>
    <row r="38" spans="1:53" x14ac:dyDescent="0.2">
      <c r="A38" s="194" t="s">
        <v>1847</v>
      </c>
      <c r="D38" s="135" t="str">
        <f>IF([1]RENAME!$H$3=1,B38,A38)</f>
        <v>Participação dos acionistas não controladores</v>
      </c>
      <c r="E38" s="136" t="s">
        <v>160</v>
      </c>
      <c r="F38" s="136" t="s">
        <v>160</v>
      </c>
      <c r="G38" s="242" t="s">
        <v>160</v>
      </c>
      <c r="H38" s="136" t="s">
        <v>160</v>
      </c>
      <c r="I38" s="136" t="s">
        <v>160</v>
      </c>
      <c r="J38" s="136" t="s">
        <v>160</v>
      </c>
      <c r="K38" s="136" t="s">
        <v>160</v>
      </c>
      <c r="L38" s="136" t="s">
        <v>160</v>
      </c>
      <c r="M38" s="136" t="s">
        <v>160</v>
      </c>
      <c r="N38" s="136" t="s">
        <v>160</v>
      </c>
      <c r="O38" s="136" t="s">
        <v>160</v>
      </c>
      <c r="P38" s="136" t="s">
        <v>160</v>
      </c>
      <c r="Q38" s="136" t="s">
        <v>160</v>
      </c>
      <c r="R38" s="136" t="s">
        <v>160</v>
      </c>
      <c r="S38" s="136" t="s">
        <v>160</v>
      </c>
      <c r="T38" s="136" t="s">
        <v>160</v>
      </c>
      <c r="U38" s="136" t="s">
        <v>160</v>
      </c>
      <c r="V38" s="136" t="s">
        <v>160</v>
      </c>
      <c r="W38" s="136" t="s">
        <v>160</v>
      </c>
      <c r="X38" s="136" t="s">
        <v>160</v>
      </c>
      <c r="Y38" s="136" t="s">
        <v>160</v>
      </c>
      <c r="Z38" s="136" t="s">
        <v>160</v>
      </c>
      <c r="AA38" s="136" t="s">
        <v>160</v>
      </c>
      <c r="AB38" s="136">
        <v>0</v>
      </c>
      <c r="AC38" s="136">
        <v>0</v>
      </c>
      <c r="AD38" s="136">
        <v>0</v>
      </c>
      <c r="AE38" s="136">
        <v>-117</v>
      </c>
      <c r="AF38" s="136">
        <v>-90</v>
      </c>
      <c r="AG38" s="136">
        <v>-28</v>
      </c>
      <c r="AH38" s="136">
        <v>-44</v>
      </c>
      <c r="AI38" s="136">
        <v>-146</v>
      </c>
      <c r="AJ38" s="136">
        <v>75</v>
      </c>
      <c r="AK38" s="136">
        <v>109</v>
      </c>
      <c r="AL38" s="136">
        <v>74</v>
      </c>
      <c r="AM38" s="136">
        <v>110</v>
      </c>
      <c r="AN38" s="136">
        <v>224</v>
      </c>
      <c r="AO38" s="136">
        <v>196</v>
      </c>
      <c r="AP38" s="136">
        <v>136</v>
      </c>
      <c r="AQ38" s="136">
        <v>-56</v>
      </c>
      <c r="AR38" s="136">
        <v>232</v>
      </c>
      <c r="AS38" s="136">
        <v>263</v>
      </c>
      <c r="AT38" s="136">
        <v>224</v>
      </c>
      <c r="AU38" s="136">
        <v>76</v>
      </c>
      <c r="AV38" s="136">
        <v>0</v>
      </c>
      <c r="AW38" s="136">
        <v>0</v>
      </c>
      <c r="AX38" s="136">
        <v>0</v>
      </c>
      <c r="AY38" s="136">
        <v>0</v>
      </c>
      <c r="AZ38" s="136">
        <v>0</v>
      </c>
      <c r="BA38" s="136">
        <f>(VLOOKUP($D$38,'[3]DVA '!$A$7:$I$46,9,FALSE))-AZ38</f>
        <v>0</v>
      </c>
    </row>
    <row r="39" spans="1:53" x14ac:dyDescent="0.2">
      <c r="A39" s="194" t="s">
        <v>431</v>
      </c>
      <c r="B39" s="194" t="s">
        <v>822</v>
      </c>
      <c r="D39" s="240" t="str">
        <f>IF([1]RENAME!$H$3=1,B39,A39)</f>
        <v>Valor adicionado distribuído</v>
      </c>
      <c r="E39" s="241">
        <f t="shared" ref="E39:AB39" si="50">+SUM(E33,E29,E22)</f>
        <v>830685</v>
      </c>
      <c r="F39" s="241">
        <f t="shared" si="50"/>
        <v>619752</v>
      </c>
      <c r="G39" s="244">
        <f t="shared" si="50"/>
        <v>179928</v>
      </c>
      <c r="H39" s="241">
        <f t="shared" si="50"/>
        <v>121259</v>
      </c>
      <c r="I39" s="241">
        <f t="shared" si="50"/>
        <v>114366</v>
      </c>
      <c r="J39" s="241">
        <f t="shared" si="50"/>
        <v>115374</v>
      </c>
      <c r="K39" s="241">
        <f t="shared" si="50"/>
        <v>90776</v>
      </c>
      <c r="L39" s="241">
        <f t="shared" si="50"/>
        <v>87583.659289999996</v>
      </c>
      <c r="M39" s="241">
        <f t="shared" si="50"/>
        <v>88712.41657000003</v>
      </c>
      <c r="N39" s="241">
        <f t="shared" si="50"/>
        <v>99025.293279999983</v>
      </c>
      <c r="O39" s="241">
        <f t="shared" si="50"/>
        <v>106179.52832999999</v>
      </c>
      <c r="P39" s="241">
        <f t="shared" si="50"/>
        <v>88189.059510000006</v>
      </c>
      <c r="Q39" s="241">
        <f t="shared" si="50"/>
        <v>88835.008000000016</v>
      </c>
      <c r="R39" s="241">
        <f t="shared" si="50"/>
        <v>111638.30072999997</v>
      </c>
      <c r="S39" s="241">
        <f t="shared" si="50"/>
        <v>130899.63176000002</v>
      </c>
      <c r="T39" s="241">
        <f t="shared" si="50"/>
        <v>97949</v>
      </c>
      <c r="U39" s="241">
        <f t="shared" si="50"/>
        <v>114011</v>
      </c>
      <c r="V39" s="241">
        <f t="shared" si="50"/>
        <v>144530</v>
      </c>
      <c r="W39" s="241">
        <f t="shared" si="50"/>
        <v>138368</v>
      </c>
      <c r="X39" s="241">
        <f t="shared" si="50"/>
        <v>116575</v>
      </c>
      <c r="Y39" s="241">
        <f t="shared" si="50"/>
        <v>123308</v>
      </c>
      <c r="Z39" s="241">
        <f t="shared" si="50"/>
        <v>222165</v>
      </c>
      <c r="AA39" s="241">
        <f t="shared" si="50"/>
        <v>143942</v>
      </c>
      <c r="AB39" s="241">
        <f t="shared" si="50"/>
        <v>121094</v>
      </c>
      <c r="AC39" s="241">
        <f t="shared" ref="AC39:AH39" si="51">+SUM(AC33,AC29,AC22)</f>
        <v>52631</v>
      </c>
      <c r="AD39" s="241">
        <f t="shared" si="51"/>
        <v>110283</v>
      </c>
      <c r="AE39" s="241">
        <f t="shared" si="51"/>
        <v>113177</v>
      </c>
      <c r="AF39" s="241">
        <f t="shared" si="51"/>
        <v>92793</v>
      </c>
      <c r="AG39" s="241">
        <f t="shared" si="51"/>
        <v>94624</v>
      </c>
      <c r="AH39" s="241">
        <f t="shared" si="51"/>
        <v>89307</v>
      </c>
      <c r="AI39" s="241">
        <f t="shared" ref="AI39:AN39" si="52">+SUM(AI33,AI29,AI22)</f>
        <v>121773</v>
      </c>
      <c r="AJ39" s="241">
        <f t="shared" si="52"/>
        <v>94377</v>
      </c>
      <c r="AK39" s="241">
        <f t="shared" si="52"/>
        <v>121287</v>
      </c>
      <c r="AL39" s="241">
        <f t="shared" si="52"/>
        <v>163776</v>
      </c>
      <c r="AM39" s="241">
        <f>+SUM(AM33,AM29,AM22)</f>
        <v>171175</v>
      </c>
      <c r="AN39" s="241">
        <f t="shared" si="52"/>
        <v>133069</v>
      </c>
      <c r="AO39" s="241">
        <f t="shared" ref="AO39:AV39" si="53">+SUM(AO33,AO29,AO22)</f>
        <v>149723</v>
      </c>
      <c r="AP39" s="241">
        <f t="shared" si="53"/>
        <v>180092</v>
      </c>
      <c r="AQ39" s="241">
        <f t="shared" si="53"/>
        <v>182361</v>
      </c>
      <c r="AR39" s="241">
        <f t="shared" si="53"/>
        <v>157497</v>
      </c>
      <c r="AS39" s="241">
        <f t="shared" si="53"/>
        <v>203456</v>
      </c>
      <c r="AT39" s="241">
        <f t="shared" si="53"/>
        <v>267969</v>
      </c>
      <c r="AU39" s="241">
        <f t="shared" si="53"/>
        <v>273590</v>
      </c>
      <c r="AV39" s="241">
        <f t="shared" si="53"/>
        <v>187700</v>
      </c>
      <c r="AW39" s="241">
        <f>+SUM(AW33,AW29,AW22)</f>
        <v>238770</v>
      </c>
      <c r="AX39" s="241">
        <f>+SUM(AX33,AX29,AX22)</f>
        <v>275622</v>
      </c>
      <c r="AY39" s="241">
        <f>+SUM(AY33,AY29,AY22)</f>
        <v>243433</v>
      </c>
      <c r="AZ39" s="241">
        <f>+SUM(AZ33,AZ29,AZ22)</f>
        <v>206643</v>
      </c>
      <c r="BA39" s="241">
        <f>+SUM(BA33,BA29,BA22)</f>
        <v>306259</v>
      </c>
    </row>
    <row r="40" spans="1:53" x14ac:dyDescent="0.2">
      <c r="E40" s="42"/>
      <c r="F40" s="42"/>
      <c r="G40" s="42"/>
    </row>
    <row r="41" spans="1:53" x14ac:dyDescent="0.2">
      <c r="E41" s="42"/>
      <c r="F41" s="42"/>
      <c r="G41" s="42"/>
      <c r="AR41" s="1231"/>
      <c r="AS41" s="1231"/>
      <c r="AT41" s="1231"/>
      <c r="AU41" s="1231"/>
      <c r="AV41" s="1231"/>
      <c r="AW41" s="1231"/>
      <c r="AX41" s="1231"/>
      <c r="AY41" s="1231"/>
      <c r="AZ41" s="1231"/>
    </row>
    <row r="42" spans="1:53" x14ac:dyDescent="0.2">
      <c r="E42" s="42"/>
      <c r="F42" s="42"/>
      <c r="G42" s="42"/>
      <c r="AR42" s="1231"/>
      <c r="AS42" s="1231"/>
      <c r="AT42" s="1231"/>
      <c r="AU42" s="1231"/>
      <c r="AV42" s="1231"/>
      <c r="AW42" s="1231"/>
      <c r="AX42" s="1231"/>
      <c r="AY42" s="1231"/>
      <c r="AZ42" s="1231"/>
    </row>
    <row r="43" spans="1:53" x14ac:dyDescent="0.2">
      <c r="E43" s="42"/>
      <c r="F43" s="42"/>
      <c r="G43" s="42"/>
      <c r="AR43" s="1231"/>
      <c r="AS43" s="1231"/>
      <c r="AT43" s="1231"/>
      <c r="AU43" s="1231"/>
      <c r="AV43" s="1231"/>
      <c r="AW43" s="1231"/>
      <c r="AX43" s="1231"/>
      <c r="AY43" s="1231"/>
      <c r="AZ43" s="1231"/>
    </row>
    <row r="44" spans="1:53" x14ac:dyDescent="0.2">
      <c r="AR44" s="1231"/>
      <c r="AS44" s="1231"/>
      <c r="AT44" s="1231"/>
      <c r="AU44" s="1231"/>
      <c r="AV44" s="1231"/>
      <c r="AW44" s="1231"/>
      <c r="AX44" s="1231"/>
      <c r="AY44" s="1231"/>
      <c r="AZ44" s="1231"/>
    </row>
    <row r="45" spans="1:53" x14ac:dyDescent="0.2">
      <c r="AR45" s="1231"/>
      <c r="AS45" s="1231"/>
      <c r="AT45" s="1231"/>
      <c r="AU45" s="1231"/>
      <c r="AV45" s="1231"/>
      <c r="AW45" s="1231"/>
      <c r="AX45" s="1231"/>
      <c r="AY45" s="1231"/>
      <c r="AZ45" s="1231"/>
    </row>
    <row r="46" spans="1:53" x14ac:dyDescent="0.2">
      <c r="AR46" s="1231"/>
      <c r="AS46" s="1231"/>
      <c r="AT46" s="1231"/>
      <c r="AU46" s="1231"/>
      <c r="AV46" s="1231"/>
      <c r="AW46" s="1231"/>
      <c r="AX46" s="1231"/>
      <c r="AY46" s="1231"/>
      <c r="AZ46" s="1231"/>
    </row>
    <row r="47" spans="1:53" x14ac:dyDescent="0.2">
      <c r="AR47" s="1231"/>
      <c r="AS47" s="1231"/>
      <c r="AT47" s="1231"/>
      <c r="AU47" s="1231"/>
      <c r="AV47" s="1231"/>
      <c r="AW47" s="1231"/>
      <c r="AX47" s="1231"/>
      <c r="AY47" s="1231"/>
      <c r="AZ47" s="1231"/>
    </row>
    <row r="48" spans="1:53" x14ac:dyDescent="0.2">
      <c r="AS48" s="1231"/>
      <c r="AT48" s="1231"/>
      <c r="AU48" s="1231"/>
      <c r="AV48" s="1231"/>
      <c r="AW48" s="1231"/>
      <c r="AX48" s="1231"/>
      <c r="AY48" s="1231"/>
      <c r="AZ48" s="1231"/>
    </row>
    <row r="49" spans="45:52" x14ac:dyDescent="0.2">
      <c r="AS49" s="1231"/>
      <c r="AT49" s="1231"/>
      <c r="AU49" s="1231"/>
      <c r="AV49" s="1231"/>
      <c r="AW49" s="1231"/>
      <c r="AX49" s="1231"/>
      <c r="AY49" s="1231"/>
      <c r="AZ49" s="1231"/>
    </row>
    <row r="50" spans="45:52" x14ac:dyDescent="0.2">
      <c r="AS50" s="1231"/>
      <c r="AT50" s="1231"/>
      <c r="AU50" s="1231"/>
      <c r="AV50" s="1231"/>
      <c r="AW50" s="1231"/>
      <c r="AX50" s="1231"/>
      <c r="AY50" s="1231"/>
      <c r="AZ50" s="1231"/>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W29 AW33" formula="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5">
    <tabColor rgb="FFFAB766"/>
    <pageSetUpPr autoPageBreaks="0"/>
  </sheetPr>
  <dimension ref="A1:T400"/>
  <sheetViews>
    <sheetView showGridLines="0" zoomScale="70" zoomScaleNormal="70" workbookViewId="0">
      <pane xSplit="4" ySplit="5" topLeftCell="E360" activePane="bottomRight" state="frozen"/>
      <selection activeCell="K34" sqref="K34"/>
      <selection pane="topRight" activeCell="K34" sqref="K34"/>
      <selection pane="bottomLeft" activeCell="K34" sqref="K34"/>
      <selection pane="bottomRight" activeCell="O404" sqref="A399:O404"/>
    </sheetView>
  </sheetViews>
  <sheetFormatPr defaultColWidth="9.140625" defaultRowHeight="12.75" outlineLevelRow="1" outlineLevelCol="1" x14ac:dyDescent="0.2"/>
  <cols>
    <col min="1" max="2" width="9.140625" style="532" hidden="1" customWidth="1"/>
    <col min="3" max="3" width="1.5703125" customWidth="1"/>
    <col min="4" max="4" width="40.85546875" bestFit="1" customWidth="1"/>
    <col min="5" max="8" width="10.85546875" customWidth="1"/>
    <col min="9" max="10" width="11.85546875" customWidth="1"/>
    <col min="11" max="15" width="10.85546875" customWidth="1"/>
    <col min="16" max="16" width="11.5703125" customWidth="1"/>
    <col min="17" max="17" width="10.85546875" customWidth="1"/>
    <col min="18" max="18" width="10.85546875" customWidth="1" outlineLevel="1"/>
    <col min="19" max="19" width="11.42578125" customWidth="1" outlineLevel="1"/>
    <col min="20" max="20" width="10.85546875" customWidth="1"/>
    <col min="21" max="16384" width="9.140625" style="532"/>
  </cols>
  <sheetData>
    <row r="1" spans="1:20" s="612" customFormat="1" ht="7.5" customHeight="1" x14ac:dyDescent="0.2">
      <c r="C1" s="547"/>
      <c r="D1" s="547"/>
      <c r="E1" s="553" t="s">
        <v>31</v>
      </c>
      <c r="F1" s="553" t="s">
        <v>84</v>
      </c>
      <c r="G1" s="553" t="s">
        <v>2246</v>
      </c>
      <c r="H1" s="553" t="s">
        <v>1192</v>
      </c>
      <c r="I1" s="553" t="s">
        <v>1595</v>
      </c>
      <c r="J1" s="553" t="s">
        <v>1596</v>
      </c>
      <c r="K1" s="553" t="s">
        <v>1193</v>
      </c>
      <c r="L1" s="553"/>
      <c r="M1" s="553" t="s">
        <v>1194</v>
      </c>
      <c r="N1" s="553" t="s">
        <v>1260</v>
      </c>
      <c r="O1" s="553" t="s">
        <v>32</v>
      </c>
      <c r="P1" s="553" t="s">
        <v>1341</v>
      </c>
      <c r="Q1" s="553" t="s">
        <v>1195</v>
      </c>
      <c r="R1" s="553" t="s">
        <v>1196</v>
      </c>
      <c r="S1" s="553" t="s">
        <v>86</v>
      </c>
      <c r="T1" s="553" t="s">
        <v>181</v>
      </c>
    </row>
    <row r="2" spans="1:20" s="612" customFormat="1" ht="12.75" customHeight="1" x14ac:dyDescent="0.2">
      <c r="C2" s="547"/>
      <c r="D2" s="547"/>
      <c r="E2" s="553" t="s">
        <v>1197</v>
      </c>
      <c r="F2" s="553" t="s">
        <v>681</v>
      </c>
      <c r="G2" s="553" t="s">
        <v>2247</v>
      </c>
      <c r="H2" s="553" t="s">
        <v>1198</v>
      </c>
      <c r="I2" s="553" t="s">
        <v>1597</v>
      </c>
      <c r="J2" s="553" t="s">
        <v>1598</v>
      </c>
      <c r="K2" s="553" t="s">
        <v>1199</v>
      </c>
      <c r="L2" s="553"/>
      <c r="M2" s="553" t="s">
        <v>1200</v>
      </c>
      <c r="N2" s="553" t="s">
        <v>2099</v>
      </c>
      <c r="O2" s="553" t="s">
        <v>1201</v>
      </c>
      <c r="P2" s="553" t="s">
        <v>2100</v>
      </c>
      <c r="Q2" s="553" t="s">
        <v>1202</v>
      </c>
      <c r="R2" s="553" t="s">
        <v>1196</v>
      </c>
      <c r="S2" s="553" t="s">
        <v>1203</v>
      </c>
      <c r="T2" s="553" t="s">
        <v>879</v>
      </c>
    </row>
    <row r="3" spans="1:20" ht="12.75" customHeight="1" x14ac:dyDescent="0.2">
      <c r="E3" s="28"/>
      <c r="F3" s="28"/>
      <c r="G3" s="28"/>
      <c r="H3" s="28"/>
      <c r="I3" s="28"/>
      <c r="J3" s="28"/>
      <c r="K3" s="28"/>
      <c r="L3" s="28"/>
      <c r="M3" s="28"/>
      <c r="N3" s="28"/>
      <c r="O3" s="28"/>
      <c r="P3" s="28"/>
      <c r="Q3" s="28"/>
      <c r="R3" s="28"/>
      <c r="S3" s="28"/>
      <c r="T3" s="28"/>
    </row>
    <row r="4" spans="1:20" ht="13.5" thickBot="1" x14ac:dyDescent="0.25">
      <c r="E4" s="1251"/>
      <c r="F4" s="1251"/>
      <c r="G4" s="1251"/>
      <c r="H4" s="1251"/>
      <c r="I4" s="1251"/>
      <c r="J4" s="1252" t="str">
        <f>IF([1]RENAME!$H$3=0,"Reserva de Lucro", "Profit Reserve")</f>
        <v>Reserva de Lucro</v>
      </c>
      <c r="K4" s="1252"/>
      <c r="L4" s="1252"/>
      <c r="M4" s="1252"/>
      <c r="N4" s="28"/>
      <c r="O4" s="28"/>
      <c r="P4" s="28"/>
      <c r="Q4" s="28"/>
      <c r="R4" s="28"/>
      <c r="S4" s="28"/>
      <c r="T4" s="28"/>
    </row>
    <row r="5" spans="1:20" ht="45.75" customHeight="1" x14ac:dyDescent="0.2">
      <c r="A5" s="532" t="s">
        <v>97</v>
      </c>
      <c r="B5" s="532" t="s">
        <v>872</v>
      </c>
      <c r="D5" s="141" t="str">
        <f>IF([1]RENAME!$H$3=1,B5,A5)</f>
        <v>Controladora</v>
      </c>
      <c r="E5" s="139" t="str">
        <f>IF([1]RENAME!$H$3=1,E2,E1)</f>
        <v>Capital social</v>
      </c>
      <c r="F5" s="139" t="str">
        <f>IF([1]RENAME!$H$3=1,F2,F1)</f>
        <v>Reservas de capital</v>
      </c>
      <c r="G5" s="139" t="str">
        <f>IF([1]RENAME!$H$3=1,G2,G1)</f>
        <v>Transação de Capital</v>
      </c>
      <c r="H5" s="139" t="str">
        <f>IF([1]RENAME!$H$3=1,H2,H1)</f>
        <v>Opções de ações outorgadas</v>
      </c>
      <c r="I5" s="139" t="str">
        <f>IF([1]RENAME!$H$3=1,I2,I1)</f>
        <v>Reserva de subvenções governamentais</v>
      </c>
      <c r="J5" s="139" t="str">
        <f>IF([1]RENAME!$H$3=1,J2,J1)</f>
        <v>Reserva de Incentivos fiscais</v>
      </c>
      <c r="K5" s="139" t="str">
        <f>IF([1]RENAME!$H$3=1,K2,K1)</f>
        <v>Reserva legal</v>
      </c>
      <c r="L5" s="139" t="s">
        <v>2311</v>
      </c>
      <c r="M5" s="139" t="str">
        <f>IF([1]RENAME!$H$3=1,M2,M1)</f>
        <v>Retenção de lucros</v>
      </c>
      <c r="N5" s="139" t="str">
        <f>IF([1]RENAME!$H$3=1,N2,N1)</f>
        <v>Dividendos adicionais propostos</v>
      </c>
      <c r="O5" s="139" t="str">
        <f>IF([1]RENAME!$H$3=1,O2,O1)</f>
        <v>Ações em tesouraria</v>
      </c>
      <c r="P5" s="139" t="str">
        <f>IF([1]RENAME!$H$3=1,P2,P1)</f>
        <v>Ajuste de avaliação patrimonial</v>
      </c>
      <c r="Q5" s="139" t="str">
        <f>IF([1]RENAME!$H$3=1,Q2,Q1)</f>
        <v xml:space="preserve">Lucros (prejuízos)
acumulados </v>
      </c>
      <c r="R5" s="139" t="str">
        <f>IF([1]RENAME!$H$3=1,R2,R1)</f>
        <v xml:space="preserve">Total </v>
      </c>
      <c r="S5" s="139" t="str">
        <f>IF([1]RENAME!$H$3=1,S2,S1)</f>
        <v>Participação dos não controladores</v>
      </c>
      <c r="T5" s="139" t="str">
        <f>IF([1]RENAME!$H$3=1,T2,T1)</f>
        <v>Total do patrimônio líquido</v>
      </c>
    </row>
    <row r="6" spans="1:20" x14ac:dyDescent="0.2">
      <c r="A6" s="532" t="s">
        <v>222</v>
      </c>
      <c r="B6" s="532" t="s">
        <v>1096</v>
      </c>
      <c r="D6" s="126" t="str">
        <f>IF([1]RENAME!$H$3=1,B6,A6)</f>
        <v>Em 31 de dezembro de 2012</v>
      </c>
      <c r="E6" s="120">
        <v>144469</v>
      </c>
      <c r="F6" s="120">
        <v>174055</v>
      </c>
      <c r="G6" s="120"/>
      <c r="H6" s="120">
        <v>760</v>
      </c>
      <c r="I6" s="120">
        <v>0</v>
      </c>
      <c r="J6" s="120">
        <v>0</v>
      </c>
      <c r="K6" s="120">
        <v>23550</v>
      </c>
      <c r="L6" s="120" t="s">
        <v>160</v>
      </c>
      <c r="M6" s="120">
        <v>128543</v>
      </c>
      <c r="N6" s="120"/>
      <c r="O6" s="120">
        <v>-342</v>
      </c>
      <c r="P6" s="120">
        <v>-46971</v>
      </c>
      <c r="Q6" s="120">
        <v>0</v>
      </c>
      <c r="R6" s="120">
        <f>SUM(E6:Q6)</f>
        <v>424064</v>
      </c>
      <c r="S6" s="120">
        <v>-8889</v>
      </c>
      <c r="T6" s="120">
        <f>SUM(R6:S6)</f>
        <v>415175</v>
      </c>
    </row>
    <row r="7" spans="1:20" x14ac:dyDescent="0.2">
      <c r="D7" s="153"/>
      <c r="E7" s="154"/>
      <c r="F7" s="154"/>
      <c r="G7" s="154"/>
      <c r="H7" s="154"/>
      <c r="I7" s="154"/>
      <c r="J7" s="154"/>
      <c r="K7" s="154"/>
      <c r="L7" s="154"/>
      <c r="M7" s="154"/>
      <c r="N7" s="154"/>
      <c r="O7" s="154"/>
      <c r="P7" s="154"/>
      <c r="Q7" s="154"/>
      <c r="R7" s="154"/>
      <c r="S7" s="154"/>
      <c r="T7" s="154"/>
    </row>
    <row r="8" spans="1:20" hidden="1" outlineLevel="1" x14ac:dyDescent="0.2">
      <c r="A8" s="60" t="s">
        <v>1204</v>
      </c>
      <c r="B8" s="60" t="s">
        <v>1205</v>
      </c>
      <c r="D8" s="129" t="str">
        <f>IF([1]RENAME!$H$3=1,B8,A8)</f>
        <v>Lucro líquido do exercício</v>
      </c>
      <c r="E8" s="118">
        <v>0</v>
      </c>
      <c r="F8" s="118">
        <v>0</v>
      </c>
      <c r="G8" s="118"/>
      <c r="H8" s="118">
        <v>0</v>
      </c>
      <c r="I8" s="118"/>
      <c r="J8" s="118"/>
      <c r="K8" s="118">
        <v>0</v>
      </c>
      <c r="L8" s="118"/>
      <c r="M8" s="118">
        <v>0</v>
      </c>
      <c r="N8" s="118">
        <v>0</v>
      </c>
      <c r="O8" s="118">
        <v>0</v>
      </c>
      <c r="P8" s="118">
        <v>0</v>
      </c>
      <c r="Q8" s="118">
        <v>49456</v>
      </c>
      <c r="R8" s="118">
        <f>SUM(E8:Q8)</f>
        <v>49456</v>
      </c>
      <c r="S8" s="118">
        <v>-9980</v>
      </c>
      <c r="T8" s="118">
        <f>SUM(R8:S8)</f>
        <v>39476</v>
      </c>
    </row>
    <row r="9" spans="1:20" hidden="1" outlineLevel="1" x14ac:dyDescent="0.2">
      <c r="A9" s="60" t="s">
        <v>1206</v>
      </c>
      <c r="B9" s="532" t="s">
        <v>1207</v>
      </c>
      <c r="D9" s="129" t="str">
        <f>IF([1]RENAME!$H$3=1,B9,A9)</f>
        <v>Dividendos e Juros sobre Capital Proprio</v>
      </c>
      <c r="E9" s="118">
        <v>0</v>
      </c>
      <c r="F9" s="118">
        <v>0</v>
      </c>
      <c r="G9" s="118"/>
      <c r="H9" s="118">
        <v>0</v>
      </c>
      <c r="I9" s="118"/>
      <c r="J9" s="118"/>
      <c r="K9" s="118">
        <v>0</v>
      </c>
      <c r="L9" s="118"/>
      <c r="M9" s="118">
        <v>-60000</v>
      </c>
      <c r="N9" s="118">
        <v>0</v>
      </c>
      <c r="O9" s="118">
        <v>0</v>
      </c>
      <c r="P9" s="118">
        <v>0</v>
      </c>
      <c r="Q9" s="118">
        <v>0</v>
      </c>
      <c r="R9" s="118">
        <f t="shared" ref="R9:R16" si="0">SUM(E9:Q9)</f>
        <v>-60000</v>
      </c>
      <c r="S9" s="118">
        <v>0</v>
      </c>
      <c r="T9" s="118">
        <f t="shared" ref="T9:T16" si="1">SUM(R9:S9)</f>
        <v>-60000</v>
      </c>
    </row>
    <row r="10" spans="1:20" hidden="1" outlineLevel="1" x14ac:dyDescent="0.2">
      <c r="A10" s="60" t="s">
        <v>41</v>
      </c>
      <c r="B10" s="532" t="s">
        <v>1100</v>
      </c>
      <c r="D10" s="129" t="str">
        <f>IF([1]RENAME!$H$3=1,B10,A10)</f>
        <v>Opção de compra em controlada</v>
      </c>
      <c r="E10" s="118">
        <v>0</v>
      </c>
      <c r="F10" s="118">
        <v>0</v>
      </c>
      <c r="G10" s="118"/>
      <c r="H10" s="118">
        <v>0</v>
      </c>
      <c r="I10" s="118"/>
      <c r="J10" s="118"/>
      <c r="K10" s="118">
        <v>0</v>
      </c>
      <c r="L10" s="118"/>
      <c r="M10" s="118">
        <v>-41114.614000000001</v>
      </c>
      <c r="N10" s="118">
        <v>0</v>
      </c>
      <c r="O10" s="118">
        <v>0</v>
      </c>
      <c r="P10" s="118">
        <v>47458</v>
      </c>
      <c r="Q10" s="118">
        <v>0</v>
      </c>
      <c r="R10" s="118">
        <f t="shared" si="0"/>
        <v>6343.3859999999986</v>
      </c>
      <c r="S10" s="118">
        <v>0</v>
      </c>
      <c r="T10" s="118">
        <f t="shared" si="1"/>
        <v>6343.3859999999986</v>
      </c>
    </row>
    <row r="11" spans="1:20" hidden="1" outlineLevel="1" x14ac:dyDescent="0.2">
      <c r="A11" s="60" t="s">
        <v>1208</v>
      </c>
      <c r="B11" s="532" t="s">
        <v>1209</v>
      </c>
      <c r="D11" s="129" t="str">
        <f>IF([1]RENAME!$H$3=1,B11,A11)</f>
        <v>Aquisição de participação dos não controladores</v>
      </c>
      <c r="E11" s="118">
        <v>0</v>
      </c>
      <c r="F11" s="118">
        <v>0</v>
      </c>
      <c r="G11" s="118"/>
      <c r="H11" s="118">
        <v>0</v>
      </c>
      <c r="I11" s="118"/>
      <c r="J11" s="118"/>
      <c r="K11" s="118">
        <v>0</v>
      </c>
      <c r="L11" s="118"/>
      <c r="M11" s="118">
        <v>-18864</v>
      </c>
      <c r="N11" s="118">
        <v>0</v>
      </c>
      <c r="O11" s="118">
        <v>0</v>
      </c>
      <c r="P11" s="118">
        <v>-63</v>
      </c>
      <c r="Q11" s="118">
        <v>0</v>
      </c>
      <c r="R11" s="118">
        <f t="shared" si="0"/>
        <v>-18927</v>
      </c>
      <c r="S11" s="118">
        <v>18927</v>
      </c>
      <c r="T11" s="118">
        <f t="shared" si="1"/>
        <v>0</v>
      </c>
    </row>
    <row r="12" spans="1:20" hidden="1" outlineLevel="1" x14ac:dyDescent="0.2">
      <c r="A12" s="60" t="s">
        <v>1210</v>
      </c>
      <c r="B12" s="532" t="s">
        <v>1099</v>
      </c>
      <c r="D12" s="129" t="str">
        <f>IF([1]RENAME!$H$3=1,B12,A12)</f>
        <v>Destinação:</v>
      </c>
      <c r="E12" s="118"/>
      <c r="F12" s="118"/>
      <c r="G12" s="118"/>
      <c r="H12" s="118"/>
      <c r="I12" s="118"/>
      <c r="J12" s="118"/>
      <c r="K12" s="118"/>
      <c r="L12" s="118"/>
      <c r="M12" s="118"/>
      <c r="N12" s="118">
        <v>0</v>
      </c>
      <c r="O12" s="118"/>
      <c r="P12" s="118"/>
      <c r="Q12" s="118"/>
      <c r="R12" s="118">
        <f t="shared" si="0"/>
        <v>0</v>
      </c>
      <c r="S12" s="118"/>
      <c r="T12" s="118">
        <f t="shared" si="1"/>
        <v>0</v>
      </c>
    </row>
    <row r="13" spans="1:20" hidden="1" outlineLevel="1" x14ac:dyDescent="0.2">
      <c r="A13" s="611" t="s">
        <v>1211</v>
      </c>
      <c r="B13" s="532" t="s">
        <v>1212</v>
      </c>
      <c r="D13" s="129" t="str">
        <f>IF([1]RENAME!$H$3=1,B13,A13)</f>
        <v>Constituição de Reservas</v>
      </c>
      <c r="E13" s="118">
        <v>0</v>
      </c>
      <c r="F13" s="118">
        <v>0</v>
      </c>
      <c r="G13" s="118"/>
      <c r="H13" s="118">
        <v>0</v>
      </c>
      <c r="I13" s="118"/>
      <c r="J13" s="118"/>
      <c r="K13" s="118">
        <v>0</v>
      </c>
      <c r="L13" s="118"/>
      <c r="M13" s="118">
        <v>46982</v>
      </c>
      <c r="N13" s="118">
        <v>0</v>
      </c>
      <c r="O13" s="118">
        <v>0</v>
      </c>
      <c r="P13" s="118">
        <v>0</v>
      </c>
      <c r="Q13" s="118">
        <v>-46982</v>
      </c>
      <c r="R13" s="118">
        <f t="shared" si="0"/>
        <v>0</v>
      </c>
      <c r="S13" s="118">
        <v>0</v>
      </c>
      <c r="T13" s="118">
        <f t="shared" si="1"/>
        <v>0</v>
      </c>
    </row>
    <row r="14" spans="1:20" hidden="1" outlineLevel="1" x14ac:dyDescent="0.2">
      <c r="A14" s="611" t="s">
        <v>1213</v>
      </c>
      <c r="B14" s="532" t="s">
        <v>1214</v>
      </c>
      <c r="D14" s="129" t="str">
        <f>IF([1]RENAME!$H$3=1,B14,A14)</f>
        <v>Constituição de Reserva Legal</v>
      </c>
      <c r="E14" s="118">
        <v>0</v>
      </c>
      <c r="F14" s="118">
        <v>0</v>
      </c>
      <c r="G14" s="118"/>
      <c r="H14" s="118">
        <v>0</v>
      </c>
      <c r="I14" s="118"/>
      <c r="J14" s="118"/>
      <c r="K14" s="118">
        <v>2474</v>
      </c>
      <c r="L14" s="118"/>
      <c r="M14" s="118">
        <v>0</v>
      </c>
      <c r="N14" s="118">
        <v>0</v>
      </c>
      <c r="O14" s="118">
        <v>0</v>
      </c>
      <c r="P14" s="118">
        <v>0</v>
      </c>
      <c r="Q14" s="118">
        <v>-2474</v>
      </c>
      <c r="R14" s="118">
        <f t="shared" si="0"/>
        <v>0</v>
      </c>
      <c r="S14" s="118">
        <v>0</v>
      </c>
      <c r="T14" s="118">
        <f t="shared" si="1"/>
        <v>0</v>
      </c>
    </row>
    <row r="15" spans="1:20" ht="25.5" hidden="1" outlineLevel="1" x14ac:dyDescent="0.2">
      <c r="A15" s="611" t="s">
        <v>1215</v>
      </c>
      <c r="B15" s="532" t="s">
        <v>1216</v>
      </c>
      <c r="D15" s="129" t="str">
        <f>IF([1]RENAME!$H$3=1,B15,A15)</f>
        <v xml:space="preserve">Variação cambial de investida localizada no exterior </v>
      </c>
      <c r="E15" s="118">
        <v>0</v>
      </c>
      <c r="F15" s="118">
        <v>0</v>
      </c>
      <c r="G15" s="118"/>
      <c r="H15" s="118">
        <v>0</v>
      </c>
      <c r="I15" s="118"/>
      <c r="J15" s="118"/>
      <c r="K15" s="118">
        <v>0</v>
      </c>
      <c r="L15" s="118"/>
      <c r="M15" s="118">
        <v>0</v>
      </c>
      <c r="N15" s="118">
        <v>0</v>
      </c>
      <c r="O15" s="118">
        <v>0</v>
      </c>
      <c r="P15" s="118">
        <v>-361</v>
      </c>
      <c r="Q15" s="118">
        <v>0</v>
      </c>
      <c r="R15" s="118">
        <f t="shared" si="0"/>
        <v>-361</v>
      </c>
      <c r="S15" s="118">
        <v>0</v>
      </c>
      <c r="T15" s="118">
        <f t="shared" si="1"/>
        <v>-361</v>
      </c>
    </row>
    <row r="16" spans="1:20" hidden="1" outlineLevel="1" x14ac:dyDescent="0.2">
      <c r="A16" s="611" t="s">
        <v>1217</v>
      </c>
      <c r="B16" s="532" t="s">
        <v>1218</v>
      </c>
      <c r="D16" s="129" t="str">
        <f>IF([1]RENAME!$H$3=1,B16,A16)</f>
        <v>Plano de opções de ações</v>
      </c>
      <c r="E16" s="118">
        <v>0</v>
      </c>
      <c r="F16" s="118">
        <v>0</v>
      </c>
      <c r="G16" s="118"/>
      <c r="H16" s="118">
        <v>965</v>
      </c>
      <c r="I16" s="118"/>
      <c r="J16" s="118"/>
      <c r="K16" s="118">
        <v>0</v>
      </c>
      <c r="L16" s="118"/>
      <c r="M16" s="118">
        <v>0</v>
      </c>
      <c r="N16" s="118">
        <v>0</v>
      </c>
      <c r="O16" s="118">
        <v>0</v>
      </c>
      <c r="P16" s="118">
        <v>0</v>
      </c>
      <c r="Q16" s="118">
        <v>0</v>
      </c>
      <c r="R16" s="118">
        <f t="shared" si="0"/>
        <v>965</v>
      </c>
      <c r="S16" s="118">
        <v>0</v>
      </c>
      <c r="T16" s="118">
        <f t="shared" si="1"/>
        <v>965</v>
      </c>
    </row>
    <row r="17" spans="1:20" collapsed="1" x14ac:dyDescent="0.2">
      <c r="A17" s="532" t="s">
        <v>171</v>
      </c>
      <c r="B17" s="532" t="s">
        <v>1101</v>
      </c>
      <c r="D17" s="126" t="str">
        <f>IF([1]RENAME!$H$3=1,B17,A17)</f>
        <v>Em 31 de dezembro de 2013</v>
      </c>
      <c r="E17" s="120">
        <f>SUM(E6:E16)</f>
        <v>144469</v>
      </c>
      <c r="F17" s="120">
        <f t="shared" ref="F17:S17" si="2">SUM(F6:F16)</f>
        <v>174055</v>
      </c>
      <c r="G17" s="120"/>
      <c r="H17" s="120">
        <f t="shared" si="2"/>
        <v>1725</v>
      </c>
      <c r="I17" s="120">
        <f>SUM(I6:I16)</f>
        <v>0</v>
      </c>
      <c r="J17" s="120">
        <v>0</v>
      </c>
      <c r="K17" s="120">
        <f t="shared" si="2"/>
        <v>26024</v>
      </c>
      <c r="L17" s="120" t="s">
        <v>160</v>
      </c>
      <c r="M17" s="120">
        <f t="shared" si="2"/>
        <v>55546.385999999999</v>
      </c>
      <c r="N17" s="120">
        <f t="shared" si="2"/>
        <v>0</v>
      </c>
      <c r="O17" s="120">
        <f t="shared" si="2"/>
        <v>-342</v>
      </c>
      <c r="P17" s="120">
        <f t="shared" si="2"/>
        <v>63</v>
      </c>
      <c r="Q17" s="120">
        <f t="shared" si="2"/>
        <v>0</v>
      </c>
      <c r="R17" s="120">
        <f t="shared" si="2"/>
        <v>401540.386</v>
      </c>
      <c r="S17" s="120">
        <f t="shared" si="2"/>
        <v>58</v>
      </c>
      <c r="T17" s="120">
        <f>SUM(T6:T16)</f>
        <v>401598.386</v>
      </c>
    </row>
    <row r="18" spans="1:20" x14ac:dyDescent="0.2">
      <c r="D18" s="153"/>
      <c r="E18" s="154"/>
      <c r="F18" s="154"/>
      <c r="G18" s="154"/>
      <c r="H18" s="154"/>
      <c r="I18" s="154"/>
      <c r="J18" s="154"/>
      <c r="K18" s="154"/>
      <c r="L18" s="154"/>
      <c r="M18" s="154"/>
      <c r="N18" s="154"/>
      <c r="O18" s="154"/>
      <c r="P18" s="154"/>
      <c r="Q18" s="154"/>
      <c r="R18" s="154"/>
      <c r="S18" s="154"/>
      <c r="T18" s="154"/>
    </row>
    <row r="19" spans="1:20" hidden="1" outlineLevel="1" x14ac:dyDescent="0.2">
      <c r="A19" s="60" t="s">
        <v>1219</v>
      </c>
      <c r="B19" s="532" t="s">
        <v>1220</v>
      </c>
      <c r="D19" s="129" t="str">
        <f>IF([1]RENAME!$H$3=1,B19,A19)</f>
        <v>Prejuízo do exercício</v>
      </c>
      <c r="E19" s="118">
        <v>0</v>
      </c>
      <c r="F19" s="118">
        <v>0</v>
      </c>
      <c r="G19" s="118"/>
      <c r="H19" s="118">
        <v>0</v>
      </c>
      <c r="I19" s="118">
        <v>0</v>
      </c>
      <c r="J19" s="118"/>
      <c r="K19" s="118">
        <v>0</v>
      </c>
      <c r="L19" s="118"/>
      <c r="M19" s="118"/>
      <c r="N19" s="118">
        <v>0</v>
      </c>
      <c r="O19" s="118">
        <v>0</v>
      </c>
      <c r="P19" s="118">
        <v>0</v>
      </c>
      <c r="Q19" s="118">
        <v>-22962</v>
      </c>
      <c r="R19" s="118">
        <f t="shared" ref="R19:R24" si="3">SUM(E19:Q19)</f>
        <v>-22962</v>
      </c>
      <c r="S19" s="118">
        <v>17</v>
      </c>
      <c r="T19" s="118">
        <f t="shared" ref="T19:T24" si="4">SUM(R19:S19)</f>
        <v>-22945</v>
      </c>
    </row>
    <row r="20" spans="1:20" hidden="1" outlineLevel="1" x14ac:dyDescent="0.2">
      <c r="A20" s="60" t="s">
        <v>430</v>
      </c>
      <c r="B20" s="532" t="s">
        <v>1207</v>
      </c>
      <c r="D20" s="129" t="str">
        <f>IF([1]RENAME!$H$3=1,B20,A20)</f>
        <v>Dividendos</v>
      </c>
      <c r="E20" s="118">
        <v>0</v>
      </c>
      <c r="F20" s="118">
        <v>0</v>
      </c>
      <c r="G20" s="118"/>
      <c r="H20" s="118">
        <v>0</v>
      </c>
      <c r="I20" s="118">
        <v>0</v>
      </c>
      <c r="J20" s="118"/>
      <c r="K20" s="118">
        <v>0</v>
      </c>
      <c r="L20" s="118"/>
      <c r="M20" s="118">
        <v>-16982</v>
      </c>
      <c r="N20" s="118">
        <v>0</v>
      </c>
      <c r="O20" s="118">
        <v>0</v>
      </c>
      <c r="P20" s="118">
        <v>0</v>
      </c>
      <c r="Q20" s="118">
        <v>0</v>
      </c>
      <c r="R20" s="118">
        <f t="shared" si="3"/>
        <v>-16982</v>
      </c>
      <c r="S20" s="118">
        <v>0</v>
      </c>
      <c r="T20" s="118">
        <f t="shared" si="4"/>
        <v>-16982</v>
      </c>
    </row>
    <row r="21" spans="1:20" hidden="1" outlineLevel="1" x14ac:dyDescent="0.2">
      <c r="A21" s="60" t="s">
        <v>1221</v>
      </c>
      <c r="B21" s="532" t="s">
        <v>1222</v>
      </c>
      <c r="D21" s="129" t="str">
        <f>IF([1]RENAME!$H$3=1,B21,A21)</f>
        <v>Absorção de prejuízo do exercício</v>
      </c>
      <c r="E21" s="118">
        <v>0</v>
      </c>
      <c r="F21" s="118">
        <v>0</v>
      </c>
      <c r="G21" s="118"/>
      <c r="H21" s="118">
        <v>0</v>
      </c>
      <c r="I21" s="118">
        <v>0</v>
      </c>
      <c r="J21" s="118"/>
      <c r="K21" s="118">
        <v>0</v>
      </c>
      <c r="L21" s="118"/>
      <c r="M21" s="118">
        <v>-22962</v>
      </c>
      <c r="N21" s="118">
        <v>0</v>
      </c>
      <c r="O21" s="118">
        <v>0</v>
      </c>
      <c r="P21" s="118">
        <v>0</v>
      </c>
      <c r="Q21" s="118">
        <v>22962</v>
      </c>
      <c r="R21" s="118">
        <f t="shared" si="3"/>
        <v>0</v>
      </c>
      <c r="S21" s="118">
        <v>0</v>
      </c>
      <c r="T21" s="118">
        <f t="shared" si="4"/>
        <v>0</v>
      </c>
    </row>
    <row r="22" spans="1:20" ht="25.5" hidden="1" outlineLevel="1" x14ac:dyDescent="0.2">
      <c r="A22" s="60" t="s">
        <v>1215</v>
      </c>
      <c r="B22" s="532" t="s">
        <v>1216</v>
      </c>
      <c r="D22" s="129" t="str">
        <f>IF([1]RENAME!$H$3=1,B22,A22)</f>
        <v xml:space="preserve">Variação cambial de investida localizada no exterior </v>
      </c>
      <c r="E22" s="118">
        <v>0</v>
      </c>
      <c r="F22" s="118">
        <v>0</v>
      </c>
      <c r="G22" s="118"/>
      <c r="H22" s="118">
        <v>0</v>
      </c>
      <c r="I22" s="118">
        <v>0</v>
      </c>
      <c r="J22" s="118"/>
      <c r="K22" s="118">
        <v>0</v>
      </c>
      <c r="L22" s="118"/>
      <c r="M22" s="118">
        <v>0</v>
      </c>
      <c r="N22" s="118">
        <v>0</v>
      </c>
      <c r="O22" s="118">
        <v>0</v>
      </c>
      <c r="P22" s="118">
        <v>69</v>
      </c>
      <c r="Q22" s="118">
        <v>0</v>
      </c>
      <c r="R22" s="118">
        <f t="shared" si="3"/>
        <v>69</v>
      </c>
      <c r="S22" s="118">
        <v>0</v>
      </c>
      <c r="T22" s="118">
        <f t="shared" si="4"/>
        <v>69</v>
      </c>
    </row>
    <row r="23" spans="1:20" hidden="1" outlineLevel="1" x14ac:dyDescent="0.2">
      <c r="A23" s="60" t="s">
        <v>1217</v>
      </c>
      <c r="B23" s="532" t="s">
        <v>1218</v>
      </c>
      <c r="D23" s="129" t="str">
        <f>IF([1]RENAME!$H$3=1,B23,A23)</f>
        <v>Plano de opções de ações</v>
      </c>
      <c r="E23" s="118">
        <v>0</v>
      </c>
      <c r="F23" s="118">
        <v>0</v>
      </c>
      <c r="G23" s="118"/>
      <c r="H23" s="118">
        <v>432</v>
      </c>
      <c r="I23" s="118">
        <v>432</v>
      </c>
      <c r="J23" s="118"/>
      <c r="K23" s="118">
        <v>0</v>
      </c>
      <c r="L23" s="118"/>
      <c r="M23" s="118">
        <v>0</v>
      </c>
      <c r="N23" s="118">
        <v>0</v>
      </c>
      <c r="O23" s="118">
        <v>0</v>
      </c>
      <c r="P23" s="118">
        <v>0</v>
      </c>
      <c r="Q23" s="118">
        <v>0</v>
      </c>
      <c r="R23" s="118">
        <f t="shared" si="3"/>
        <v>864</v>
      </c>
      <c r="S23" s="118">
        <v>0</v>
      </c>
      <c r="T23" s="118">
        <f t="shared" si="4"/>
        <v>864</v>
      </c>
    </row>
    <row r="24" spans="1:20" collapsed="1" x14ac:dyDescent="0.2">
      <c r="A24" s="532" t="s">
        <v>167</v>
      </c>
      <c r="B24" s="532" t="s">
        <v>1104</v>
      </c>
      <c r="D24" s="126" t="str">
        <f>IF([1]RENAME!$H$3=1,B24,A24)</f>
        <v>Em 31 de dezembro de 2014</v>
      </c>
      <c r="E24" s="120">
        <f>SUM(E17:E23)</f>
        <v>144469</v>
      </c>
      <c r="F24" s="120">
        <f>SUM(F17:F23)</f>
        <v>174055</v>
      </c>
      <c r="G24" s="120"/>
      <c r="H24" s="120">
        <f>SUM(H17:H23)</f>
        <v>2157</v>
      </c>
      <c r="I24" s="120">
        <f>SUM(I17:I23)</f>
        <v>432</v>
      </c>
      <c r="J24" s="120">
        <v>0</v>
      </c>
      <c r="K24" s="120">
        <f t="shared" ref="K24:Q24" si="5">SUM(K17:K23)</f>
        <v>26024</v>
      </c>
      <c r="L24" s="120" t="s">
        <v>160</v>
      </c>
      <c r="M24" s="120">
        <f t="shared" si="5"/>
        <v>15602.385999999999</v>
      </c>
      <c r="N24" s="120">
        <f t="shared" si="5"/>
        <v>0</v>
      </c>
      <c r="O24" s="120">
        <f t="shared" si="5"/>
        <v>-342</v>
      </c>
      <c r="P24" s="120">
        <f t="shared" si="5"/>
        <v>132</v>
      </c>
      <c r="Q24" s="120">
        <f t="shared" si="5"/>
        <v>0</v>
      </c>
      <c r="R24" s="120">
        <f t="shared" si="3"/>
        <v>362529.386</v>
      </c>
      <c r="S24" s="120">
        <f>SUM(S17:S23)</f>
        <v>75</v>
      </c>
      <c r="T24" s="120">
        <f t="shared" si="4"/>
        <v>362604.386</v>
      </c>
    </row>
    <row r="25" spans="1:20" x14ac:dyDescent="0.2">
      <c r="D25" s="153"/>
      <c r="E25" s="154"/>
      <c r="F25" s="154"/>
      <c r="G25" s="154"/>
      <c r="H25" s="154"/>
      <c r="I25" s="154"/>
      <c r="J25" s="154"/>
      <c r="K25" s="154"/>
      <c r="L25" s="154"/>
      <c r="M25" s="154"/>
      <c r="N25" s="154"/>
      <c r="O25" s="154"/>
      <c r="P25" s="154"/>
      <c r="Q25" s="154"/>
      <c r="R25" s="154"/>
      <c r="S25" s="154"/>
      <c r="T25" s="154"/>
    </row>
    <row r="26" spans="1:20" hidden="1" outlineLevel="1" x14ac:dyDescent="0.2">
      <c r="A26" s="532" t="s">
        <v>1204</v>
      </c>
      <c r="B26" s="532" t="s">
        <v>1205</v>
      </c>
      <c r="D26" s="129" t="str">
        <f>IF([1]RENAME!$H$3=1,B26,A26)</f>
        <v>Lucro líquido do exercício</v>
      </c>
      <c r="E26" s="118">
        <v>0</v>
      </c>
      <c r="F26" s="118">
        <v>0</v>
      </c>
      <c r="G26" s="118"/>
      <c r="H26" s="118">
        <v>0</v>
      </c>
      <c r="I26" s="118">
        <v>0</v>
      </c>
      <c r="J26" s="118"/>
      <c r="K26" s="118">
        <v>0</v>
      </c>
      <c r="L26" s="118"/>
      <c r="M26" s="118">
        <v>0</v>
      </c>
      <c r="N26" s="118"/>
      <c r="O26" s="118">
        <v>0</v>
      </c>
      <c r="P26" s="118">
        <v>0</v>
      </c>
      <c r="Q26" s="118">
        <v>9930</v>
      </c>
      <c r="R26" s="118">
        <f>SUM(E26:Q26)</f>
        <v>9930</v>
      </c>
      <c r="S26" s="118">
        <v>0</v>
      </c>
      <c r="T26" s="118">
        <f t="shared" ref="T26:T33" si="6">SUM(R26:S26)</f>
        <v>9930</v>
      </c>
    </row>
    <row r="27" spans="1:20" hidden="1" outlineLevel="1" x14ac:dyDescent="0.2">
      <c r="A27" s="532" t="s">
        <v>430</v>
      </c>
      <c r="B27" s="532" t="s">
        <v>648</v>
      </c>
      <c r="D27" s="129" t="str">
        <f>IF([1]RENAME!$H$3=1,B27,A27)</f>
        <v>Dividendos</v>
      </c>
      <c r="E27" s="118">
        <v>0</v>
      </c>
      <c r="F27" s="118">
        <v>0</v>
      </c>
      <c r="G27" s="118"/>
      <c r="H27" s="118">
        <v>0</v>
      </c>
      <c r="I27" s="118">
        <v>0</v>
      </c>
      <c r="J27" s="118"/>
      <c r="K27" s="118">
        <v>0</v>
      </c>
      <c r="L27" s="118"/>
      <c r="M27" s="118">
        <v>-5000</v>
      </c>
      <c r="N27" s="118"/>
      <c r="O27" s="118">
        <v>0</v>
      </c>
      <c r="P27" s="118">
        <v>0</v>
      </c>
      <c r="Q27" s="118">
        <v>0</v>
      </c>
      <c r="R27" s="118">
        <f t="shared" ref="R27:R33" si="7">SUM(E27:Q27)</f>
        <v>-5000</v>
      </c>
      <c r="S27" s="118">
        <v>0</v>
      </c>
      <c r="T27" s="118">
        <f t="shared" si="6"/>
        <v>-5000</v>
      </c>
    </row>
    <row r="28" spans="1:20" hidden="1" outlineLevel="1" x14ac:dyDescent="0.2">
      <c r="A28" s="532" t="s">
        <v>1208</v>
      </c>
      <c r="B28" s="532" t="s">
        <v>1209</v>
      </c>
      <c r="D28" s="129" t="str">
        <f>IF([1]RENAME!$H$3=1,B28,A28)</f>
        <v>Aquisição de participação dos não controladores</v>
      </c>
      <c r="E28" s="118">
        <v>0</v>
      </c>
      <c r="F28" s="118">
        <v>0</v>
      </c>
      <c r="G28" s="118"/>
      <c r="H28" s="118">
        <v>0</v>
      </c>
      <c r="I28" s="118">
        <v>0</v>
      </c>
      <c r="J28" s="118"/>
      <c r="K28" s="118">
        <v>0</v>
      </c>
      <c r="L28" s="118"/>
      <c r="M28" s="118">
        <v>0</v>
      </c>
      <c r="N28" s="118"/>
      <c r="O28" s="118">
        <v>0</v>
      </c>
      <c r="P28" s="118">
        <v>0</v>
      </c>
      <c r="Q28" s="118">
        <v>0</v>
      </c>
      <c r="R28" s="118">
        <f t="shared" si="7"/>
        <v>0</v>
      </c>
      <c r="S28" s="118">
        <v>-75</v>
      </c>
      <c r="T28" s="118">
        <f t="shared" si="6"/>
        <v>-75</v>
      </c>
    </row>
    <row r="29" spans="1:20" ht="25.5" hidden="1" outlineLevel="1" x14ac:dyDescent="0.2">
      <c r="A29" s="532" t="s">
        <v>1215</v>
      </c>
      <c r="B29" s="532" t="s">
        <v>1216</v>
      </c>
      <c r="D29" s="129" t="str">
        <f>IF([1]RENAME!$H$3=1,B29,A29)</f>
        <v xml:space="preserve">Variação cambial de investida localizada no exterior </v>
      </c>
      <c r="E29" s="118">
        <v>0</v>
      </c>
      <c r="F29" s="118">
        <v>0</v>
      </c>
      <c r="G29" s="118"/>
      <c r="H29" s="118">
        <v>0</v>
      </c>
      <c r="I29" s="118">
        <v>0</v>
      </c>
      <c r="J29" s="118"/>
      <c r="K29" s="118">
        <v>0</v>
      </c>
      <c r="L29" s="118"/>
      <c r="M29" s="118">
        <v>0</v>
      </c>
      <c r="N29" s="118"/>
      <c r="O29" s="118">
        <v>0</v>
      </c>
      <c r="P29" s="118">
        <v>449</v>
      </c>
      <c r="Q29" s="118">
        <v>0</v>
      </c>
      <c r="R29" s="118">
        <f t="shared" si="7"/>
        <v>449</v>
      </c>
      <c r="S29" s="118">
        <v>0</v>
      </c>
      <c r="T29" s="118">
        <f t="shared" si="6"/>
        <v>449</v>
      </c>
    </row>
    <row r="30" spans="1:20" hidden="1" outlineLevel="1" x14ac:dyDescent="0.2">
      <c r="A30" s="532" t="s">
        <v>1217</v>
      </c>
      <c r="B30" s="532" t="s">
        <v>1218</v>
      </c>
      <c r="D30" s="129" t="str">
        <f>IF([1]RENAME!$H$3=1,B30,A30)</f>
        <v>Plano de opções de ações</v>
      </c>
      <c r="E30" s="118">
        <v>0</v>
      </c>
      <c r="F30" s="118">
        <v>0</v>
      </c>
      <c r="G30" s="118"/>
      <c r="H30" s="118">
        <v>-2113</v>
      </c>
      <c r="I30" s="118">
        <v>-2113</v>
      </c>
      <c r="J30" s="118"/>
      <c r="K30" s="118">
        <v>0</v>
      </c>
      <c r="L30" s="118"/>
      <c r="M30" s="118">
        <v>0</v>
      </c>
      <c r="N30" s="118"/>
      <c r="O30" s="118">
        <v>0</v>
      </c>
      <c r="P30" s="118">
        <v>0</v>
      </c>
      <c r="Q30" s="118">
        <v>0</v>
      </c>
      <c r="R30" s="118">
        <f t="shared" si="7"/>
        <v>-4226</v>
      </c>
      <c r="S30" s="118">
        <v>0</v>
      </c>
      <c r="T30" s="118">
        <f t="shared" si="6"/>
        <v>-4226</v>
      </c>
    </row>
    <row r="31" spans="1:20" hidden="1" outlineLevel="1" x14ac:dyDescent="0.2">
      <c r="A31" s="532" t="s">
        <v>1210</v>
      </c>
      <c r="B31" s="532" t="s">
        <v>1223</v>
      </c>
      <c r="D31" s="129" t="str">
        <f>IF([1]RENAME!$H$3=1,B31,A31)</f>
        <v>Destinação:</v>
      </c>
      <c r="E31" s="118"/>
      <c r="F31" s="118"/>
      <c r="G31" s="118"/>
      <c r="H31" s="118"/>
      <c r="I31" s="118"/>
      <c r="J31" s="118"/>
      <c r="K31" s="118"/>
      <c r="L31" s="118"/>
      <c r="M31" s="118"/>
      <c r="N31" s="118"/>
      <c r="O31" s="118"/>
      <c r="P31" s="118"/>
      <c r="Q31" s="118"/>
      <c r="R31" s="118">
        <f t="shared" si="7"/>
        <v>0</v>
      </c>
      <c r="S31" s="118"/>
      <c r="T31" s="118">
        <f t="shared" si="6"/>
        <v>0</v>
      </c>
    </row>
    <row r="32" spans="1:20" hidden="1" outlineLevel="1" x14ac:dyDescent="0.2">
      <c r="A32" s="532" t="s">
        <v>1211</v>
      </c>
      <c r="B32" s="532" t="s">
        <v>1212</v>
      </c>
      <c r="D32" s="129" t="str">
        <f>IF([1]RENAME!$H$3=1,B32,A32)</f>
        <v>Constituição de Reservas</v>
      </c>
      <c r="E32" s="118">
        <v>0</v>
      </c>
      <c r="F32" s="118">
        <v>0</v>
      </c>
      <c r="G32" s="118"/>
      <c r="H32" s="118">
        <v>0</v>
      </c>
      <c r="I32" s="118">
        <v>0</v>
      </c>
      <c r="J32" s="118"/>
      <c r="K32" s="118">
        <v>0</v>
      </c>
      <c r="L32" s="118"/>
      <c r="M32" s="118">
        <v>9432</v>
      </c>
      <c r="N32" s="118"/>
      <c r="O32" s="118">
        <v>0</v>
      </c>
      <c r="P32" s="118">
        <v>0</v>
      </c>
      <c r="Q32" s="118">
        <v>-9432</v>
      </c>
      <c r="R32" s="118">
        <f t="shared" si="7"/>
        <v>0</v>
      </c>
      <c r="S32" s="118">
        <v>0</v>
      </c>
      <c r="T32" s="118">
        <f t="shared" si="6"/>
        <v>0</v>
      </c>
    </row>
    <row r="33" spans="1:20" hidden="1" outlineLevel="1" x14ac:dyDescent="0.2">
      <c r="A33" s="532" t="s">
        <v>1213</v>
      </c>
      <c r="B33" s="532" t="s">
        <v>1214</v>
      </c>
      <c r="D33" s="129" t="str">
        <f>IF([1]RENAME!$H$3=1,B33,A33)</f>
        <v>Constituição de Reserva Legal</v>
      </c>
      <c r="E33" s="118">
        <v>0</v>
      </c>
      <c r="F33" s="118">
        <v>0</v>
      </c>
      <c r="G33" s="118"/>
      <c r="H33" s="118">
        <v>0</v>
      </c>
      <c r="I33" s="118">
        <v>0</v>
      </c>
      <c r="J33" s="118"/>
      <c r="K33" s="118">
        <v>498</v>
      </c>
      <c r="L33" s="118"/>
      <c r="M33" s="118">
        <v>0</v>
      </c>
      <c r="N33" s="118"/>
      <c r="O33" s="118">
        <v>0</v>
      </c>
      <c r="P33" s="118">
        <v>0</v>
      </c>
      <c r="Q33" s="118">
        <v>-498</v>
      </c>
      <c r="R33" s="118">
        <f t="shared" si="7"/>
        <v>0</v>
      </c>
      <c r="S33" s="118">
        <v>0</v>
      </c>
      <c r="T33" s="118">
        <f t="shared" si="6"/>
        <v>0</v>
      </c>
    </row>
    <row r="34" spans="1:20" collapsed="1" x14ac:dyDescent="0.2">
      <c r="A34" s="532" t="s">
        <v>411</v>
      </c>
      <c r="B34" s="532" t="s">
        <v>1105</v>
      </c>
      <c r="D34" s="126" t="str">
        <f>IF([1]RENAME!$H$3=1,B34,A34)</f>
        <v>Em 30 de dezembro de 2015</v>
      </c>
      <c r="E34" s="120">
        <f>SUM(E24:E33)</f>
        <v>144469</v>
      </c>
      <c r="F34" s="120">
        <f t="shared" ref="F34:Q34" si="8">SUM(F24:F33)</f>
        <v>174055</v>
      </c>
      <c r="G34" s="120"/>
      <c r="H34" s="120">
        <f t="shared" si="8"/>
        <v>44</v>
      </c>
      <c r="I34" s="120">
        <f>SUM(I24:I33)</f>
        <v>-1681</v>
      </c>
      <c r="J34" s="120">
        <v>0</v>
      </c>
      <c r="K34" s="120">
        <f t="shared" si="8"/>
        <v>26522</v>
      </c>
      <c r="L34" s="120" t="s">
        <v>160</v>
      </c>
      <c r="M34" s="120">
        <f t="shared" si="8"/>
        <v>20034.385999999999</v>
      </c>
      <c r="N34" s="120">
        <f t="shared" si="8"/>
        <v>0</v>
      </c>
      <c r="O34" s="120">
        <f t="shared" si="8"/>
        <v>-342</v>
      </c>
      <c r="P34" s="120">
        <f t="shared" si="8"/>
        <v>581</v>
      </c>
      <c r="Q34" s="120">
        <f t="shared" si="8"/>
        <v>0</v>
      </c>
      <c r="R34" s="120">
        <f>SUM(E34:Q34)</f>
        <v>363682.386</v>
      </c>
      <c r="S34" s="120">
        <v>0</v>
      </c>
      <c r="T34" s="120">
        <f>SUM(R34:S34)</f>
        <v>363682.386</v>
      </c>
    </row>
    <row r="36" spans="1:20" hidden="1" outlineLevel="1" x14ac:dyDescent="0.2">
      <c r="A36" s="532" t="s">
        <v>1224</v>
      </c>
      <c r="B36" s="532" t="s">
        <v>1225</v>
      </c>
      <c r="D36" s="129" t="str">
        <f>IF([1]RENAME!$H$3=1,B36,A36)</f>
        <v>Prejuízo do período</v>
      </c>
      <c r="E36" s="118">
        <v>0</v>
      </c>
      <c r="F36" s="118">
        <v>0</v>
      </c>
      <c r="G36" s="118"/>
      <c r="H36" s="118">
        <v>0</v>
      </c>
      <c r="I36" s="118">
        <v>0</v>
      </c>
      <c r="J36" s="118"/>
      <c r="K36" s="118">
        <v>0</v>
      </c>
      <c r="L36" s="118"/>
      <c r="M36" s="118">
        <v>0</v>
      </c>
      <c r="N36" s="118">
        <v>0</v>
      </c>
      <c r="O36" s="118">
        <v>0</v>
      </c>
      <c r="P36" s="118">
        <v>0</v>
      </c>
      <c r="Q36" s="118">
        <v>-1903</v>
      </c>
      <c r="R36" s="118">
        <f>SUM(E36:Q36)</f>
        <v>-1903</v>
      </c>
      <c r="S36" s="118">
        <v>0</v>
      </c>
      <c r="T36" s="118">
        <f>SUM(R36:S36)</f>
        <v>-1903</v>
      </c>
    </row>
    <row r="37" spans="1:20" ht="25.5" hidden="1" outlineLevel="1" x14ac:dyDescent="0.2">
      <c r="A37" s="532" t="s">
        <v>1215</v>
      </c>
      <c r="B37" s="532" t="s">
        <v>1216</v>
      </c>
      <c r="D37" s="129" t="str">
        <f>IF([1]RENAME!$H$3=1,B37,A37)</f>
        <v xml:space="preserve">Variação cambial de investida localizada no exterior </v>
      </c>
      <c r="E37" s="118">
        <v>0</v>
      </c>
      <c r="F37" s="118">
        <v>0</v>
      </c>
      <c r="G37" s="118"/>
      <c r="H37" s="118">
        <v>0</v>
      </c>
      <c r="I37" s="118">
        <v>0</v>
      </c>
      <c r="J37" s="118"/>
      <c r="K37" s="118">
        <v>0</v>
      </c>
      <c r="L37" s="118"/>
      <c r="M37" s="118">
        <v>0</v>
      </c>
      <c r="N37" s="118">
        <v>0</v>
      </c>
      <c r="O37" s="118">
        <v>0</v>
      </c>
      <c r="P37" s="118">
        <v>-678</v>
      </c>
      <c r="Q37" s="118">
        <v>0</v>
      </c>
      <c r="R37" s="118">
        <f>SUM(E37:Q37)</f>
        <v>-678</v>
      </c>
      <c r="S37" s="118">
        <v>0</v>
      </c>
      <c r="T37" s="118">
        <f>SUM(R37:S37)</f>
        <v>-678</v>
      </c>
    </row>
    <row r="38" spans="1:20" collapsed="1" x14ac:dyDescent="0.2">
      <c r="A38" s="532" t="s">
        <v>474</v>
      </c>
      <c r="B38" s="532" t="s">
        <v>1106</v>
      </c>
      <c r="D38" s="126" t="str">
        <f>IF([1]RENAME!$H$3=1,B38,A38)</f>
        <v>Em 31 de março de 2016</v>
      </c>
      <c r="E38" s="120">
        <f>SUM(E34:E37)</f>
        <v>144469</v>
      </c>
      <c r="F38" s="120">
        <f>SUM(F34:F37)</f>
        <v>174055</v>
      </c>
      <c r="G38" s="120"/>
      <c r="H38" s="120">
        <f>SUM(H34:H37)</f>
        <v>44</v>
      </c>
      <c r="I38" s="120">
        <f>SUM(I34:I37)</f>
        <v>-1681</v>
      </c>
      <c r="J38" s="120">
        <v>0</v>
      </c>
      <c r="K38" s="120">
        <f t="shared" ref="K38:Q38" si="9">SUM(K34:K37)</f>
        <v>26522</v>
      </c>
      <c r="L38" s="120" t="s">
        <v>160</v>
      </c>
      <c r="M38" s="120">
        <f t="shared" si="9"/>
        <v>20034.385999999999</v>
      </c>
      <c r="N38" s="120">
        <f t="shared" si="9"/>
        <v>0</v>
      </c>
      <c r="O38" s="120">
        <f t="shared" si="9"/>
        <v>-342</v>
      </c>
      <c r="P38" s="120">
        <f t="shared" si="9"/>
        <v>-97</v>
      </c>
      <c r="Q38" s="120">
        <f t="shared" si="9"/>
        <v>-1903</v>
      </c>
      <c r="R38" s="120">
        <f>SUM(E38:Q38)</f>
        <v>361101.386</v>
      </c>
      <c r="S38" s="120">
        <v>0</v>
      </c>
      <c r="T38" s="120">
        <f>SUM(R38:S38)</f>
        <v>361101.386</v>
      </c>
    </row>
    <row r="40" spans="1:20" hidden="1" outlineLevel="1" x14ac:dyDescent="0.2">
      <c r="A40" s="532" t="s">
        <v>1224</v>
      </c>
      <c r="B40" s="532" t="s">
        <v>1225</v>
      </c>
      <c r="D40" s="129" t="str">
        <f>IF([1]RENAME!$H$3=1,B40,A40)</f>
        <v>Prejuízo do período</v>
      </c>
      <c r="E40" s="118">
        <v>0</v>
      </c>
      <c r="F40" s="118">
        <v>0</v>
      </c>
      <c r="G40" s="118"/>
      <c r="H40" s="118">
        <v>0</v>
      </c>
      <c r="I40" s="118">
        <v>0</v>
      </c>
      <c r="J40" s="118"/>
      <c r="K40" s="118">
        <v>0</v>
      </c>
      <c r="L40" s="118"/>
      <c r="M40" s="118">
        <v>0</v>
      </c>
      <c r="N40" s="118">
        <v>0</v>
      </c>
      <c r="O40" s="118">
        <v>0</v>
      </c>
      <c r="P40" s="118">
        <v>0</v>
      </c>
      <c r="Q40" s="118">
        <f>-2591-Q36</f>
        <v>-688</v>
      </c>
      <c r="R40" s="118">
        <f>SUM(E40:Q40)</f>
        <v>-688</v>
      </c>
      <c r="S40" s="118">
        <v>0</v>
      </c>
      <c r="T40" s="118">
        <f>SUM(R40:S40)</f>
        <v>-688</v>
      </c>
    </row>
    <row r="41" spans="1:20" ht="25.5" hidden="1" outlineLevel="1" x14ac:dyDescent="0.2">
      <c r="A41" s="532" t="s">
        <v>1215</v>
      </c>
      <c r="B41" s="532" t="s">
        <v>1216</v>
      </c>
      <c r="D41" s="129" t="str">
        <f>IF([1]RENAME!$H$3=1,B41,A41)</f>
        <v xml:space="preserve">Variação cambial de investida localizada no exterior </v>
      </c>
      <c r="E41" s="118">
        <v>0</v>
      </c>
      <c r="F41" s="118">
        <v>0</v>
      </c>
      <c r="G41" s="118"/>
      <c r="H41" s="118">
        <v>0</v>
      </c>
      <c r="I41" s="118">
        <v>0</v>
      </c>
      <c r="J41" s="118"/>
      <c r="K41" s="118">
        <v>0</v>
      </c>
      <c r="L41" s="118"/>
      <c r="M41" s="118">
        <v>0</v>
      </c>
      <c r="N41" s="118">
        <v>0</v>
      </c>
      <c r="O41" s="118">
        <v>0</v>
      </c>
      <c r="P41" s="118">
        <f>-674+678</f>
        <v>4</v>
      </c>
      <c r="Q41" s="118">
        <v>0</v>
      </c>
      <c r="R41" s="118">
        <f>SUM(E41:Q41)</f>
        <v>4</v>
      </c>
      <c r="S41" s="118">
        <v>0</v>
      </c>
      <c r="T41" s="118">
        <f>SUM(R41:S41)</f>
        <v>4</v>
      </c>
    </row>
    <row r="42" spans="1:20" hidden="1" outlineLevel="1" x14ac:dyDescent="0.2">
      <c r="A42" s="532" t="s">
        <v>1217</v>
      </c>
      <c r="B42" s="532" t="s">
        <v>1218</v>
      </c>
      <c r="D42" s="129" t="str">
        <f>IF([1]RENAME!$H$3=1,B42,A42)</f>
        <v>Plano de opções de ações</v>
      </c>
      <c r="E42" s="118">
        <v>0</v>
      </c>
      <c r="F42" s="118">
        <v>0</v>
      </c>
      <c r="G42" s="118"/>
      <c r="H42" s="118">
        <v>-44</v>
      </c>
      <c r="I42" s="118">
        <v>-44</v>
      </c>
      <c r="J42" s="118"/>
      <c r="K42" s="118">
        <v>0</v>
      </c>
      <c r="L42" s="118"/>
      <c r="M42" s="118">
        <v>0</v>
      </c>
      <c r="N42" s="118">
        <v>0</v>
      </c>
      <c r="O42" s="118">
        <v>0</v>
      </c>
      <c r="P42" s="118">
        <v>0</v>
      </c>
      <c r="Q42" s="118">
        <v>0</v>
      </c>
      <c r="R42" s="118">
        <f>SUM(E42:Q42)</f>
        <v>-88</v>
      </c>
      <c r="S42" s="118">
        <v>0</v>
      </c>
      <c r="T42" s="118">
        <f>SUM(R42:S42)</f>
        <v>-88</v>
      </c>
    </row>
    <row r="43" spans="1:20" collapsed="1" x14ac:dyDescent="0.2">
      <c r="A43" s="532" t="s">
        <v>501</v>
      </c>
      <c r="B43" s="532" t="s">
        <v>1107</v>
      </c>
      <c r="D43" s="126" t="str">
        <f>IF([1]RENAME!$H$3=1,B43,A43)</f>
        <v>Em 30 de junho de 2016</v>
      </c>
      <c r="E43" s="120">
        <f>SUM(E38:E42)</f>
        <v>144469</v>
      </c>
      <c r="F43" s="120">
        <f>SUM(F38:F42)</f>
        <v>174055</v>
      </c>
      <c r="G43" s="120"/>
      <c r="H43" s="120">
        <f>SUM(H38:H42)</f>
        <v>0</v>
      </c>
      <c r="I43" s="120">
        <f>SUM(I38:I42)</f>
        <v>-1725</v>
      </c>
      <c r="J43" s="120">
        <v>0</v>
      </c>
      <c r="K43" s="120">
        <f t="shared" ref="K43:Q43" si="10">SUM(K38:K42)</f>
        <v>26522</v>
      </c>
      <c r="L43" s="120" t="s">
        <v>160</v>
      </c>
      <c r="M43" s="120">
        <f t="shared" si="10"/>
        <v>20034.385999999999</v>
      </c>
      <c r="N43" s="120">
        <f t="shared" si="10"/>
        <v>0</v>
      </c>
      <c r="O43" s="120">
        <f t="shared" si="10"/>
        <v>-342</v>
      </c>
      <c r="P43" s="120">
        <f t="shared" si="10"/>
        <v>-93</v>
      </c>
      <c r="Q43" s="120">
        <f t="shared" si="10"/>
        <v>-2591</v>
      </c>
      <c r="R43" s="120">
        <f>SUM(E43:Q43)</f>
        <v>360329.386</v>
      </c>
      <c r="S43" s="120">
        <f>SUM(S38:S42)</f>
        <v>0</v>
      </c>
      <c r="T43" s="120">
        <f>SUM(R43:S43)</f>
        <v>360329.386</v>
      </c>
    </row>
    <row r="45" spans="1:20" hidden="1" outlineLevel="1" x14ac:dyDescent="0.2">
      <c r="A45" s="532" t="s">
        <v>1226</v>
      </c>
      <c r="B45" s="532" t="s">
        <v>1225</v>
      </c>
      <c r="D45" s="129" t="str">
        <f>IF([1]RENAME!$H$3=1,B45,A45)</f>
        <v>Lucro líquido do período</v>
      </c>
      <c r="E45" s="118">
        <v>0</v>
      </c>
      <c r="F45" s="118">
        <v>0</v>
      </c>
      <c r="G45" s="118"/>
      <c r="H45" s="118">
        <v>0</v>
      </c>
      <c r="I45" s="118">
        <v>0</v>
      </c>
      <c r="J45" s="118"/>
      <c r="K45" s="118">
        <v>0</v>
      </c>
      <c r="L45" s="118"/>
      <c r="M45" s="118">
        <v>0</v>
      </c>
      <c r="N45" s="118">
        <v>0</v>
      </c>
      <c r="O45" s="118">
        <v>0</v>
      </c>
      <c r="P45" s="118">
        <v>0</v>
      </c>
      <c r="Q45" s="118">
        <v>3841</v>
      </c>
      <c r="R45" s="118">
        <f>SUM(E45:Q45)</f>
        <v>3841</v>
      </c>
      <c r="S45" s="118">
        <v>0</v>
      </c>
      <c r="T45" s="118">
        <f>SUM(R45:S45)</f>
        <v>3841</v>
      </c>
    </row>
    <row r="46" spans="1:20" ht="25.5" hidden="1" outlineLevel="1" x14ac:dyDescent="0.2">
      <c r="A46" s="532" t="s">
        <v>1215</v>
      </c>
      <c r="B46" s="532" t="s">
        <v>1216</v>
      </c>
      <c r="D46" s="129" t="str">
        <f>IF([1]RENAME!$H$3=1,B46,A46)</f>
        <v xml:space="preserve">Variação cambial de investida localizada no exterior </v>
      </c>
      <c r="E46" s="118">
        <v>0</v>
      </c>
      <c r="F46" s="118">
        <v>0</v>
      </c>
      <c r="G46" s="118"/>
      <c r="H46" s="118">
        <v>0</v>
      </c>
      <c r="I46" s="118">
        <v>0</v>
      </c>
      <c r="J46" s="118"/>
      <c r="K46" s="118">
        <v>0</v>
      </c>
      <c r="L46" s="118"/>
      <c r="M46" s="118">
        <v>0</v>
      </c>
      <c r="N46" s="118">
        <v>0</v>
      </c>
      <c r="O46" s="118">
        <v>0</v>
      </c>
      <c r="P46" s="118">
        <f>-P41-P37</f>
        <v>674</v>
      </c>
      <c r="Q46" s="118">
        <v>0</v>
      </c>
      <c r="R46" s="118">
        <f>SUM(E46:Q46)</f>
        <v>674</v>
      </c>
      <c r="S46" s="118">
        <v>0</v>
      </c>
      <c r="T46" s="118">
        <f>SUM(R46:S46)</f>
        <v>674</v>
      </c>
    </row>
    <row r="47" spans="1:20" hidden="1" outlineLevel="1" x14ac:dyDescent="0.2">
      <c r="A47" s="532" t="s">
        <v>1217</v>
      </c>
      <c r="B47" s="532" t="s">
        <v>1218</v>
      </c>
      <c r="D47" s="129" t="str">
        <f>IF([1]RENAME!$H$3=1,B47,A47)</f>
        <v>Plano de opções de ações</v>
      </c>
      <c r="E47" s="118">
        <v>0</v>
      </c>
      <c r="F47" s="118">
        <v>0</v>
      </c>
      <c r="G47" s="118"/>
      <c r="H47" s="118">
        <v>0</v>
      </c>
      <c r="I47" s="118">
        <v>0</v>
      </c>
      <c r="J47" s="118"/>
      <c r="K47" s="118">
        <v>0</v>
      </c>
      <c r="L47" s="118"/>
      <c r="M47" s="118">
        <v>0</v>
      </c>
      <c r="N47" s="118">
        <v>0</v>
      </c>
      <c r="O47" s="118">
        <v>0</v>
      </c>
      <c r="P47" s="118">
        <v>-674</v>
      </c>
      <c r="Q47" s="118">
        <v>0</v>
      </c>
      <c r="R47" s="118">
        <f>SUM(E47:Q47)</f>
        <v>-674</v>
      </c>
      <c r="S47" s="118">
        <v>0</v>
      </c>
      <c r="T47" s="118">
        <f>SUM(R47:S47)</f>
        <v>-674</v>
      </c>
    </row>
    <row r="48" spans="1:20" collapsed="1" x14ac:dyDescent="0.2">
      <c r="A48" s="532" t="s">
        <v>518</v>
      </c>
      <c r="B48" s="532" t="s">
        <v>1108</v>
      </c>
      <c r="D48" s="126" t="str">
        <f>IF([1]RENAME!$H$3=1,B48,A48)</f>
        <v>Em 30 de setembro de 2016</v>
      </c>
      <c r="E48" s="120">
        <f t="shared" ref="E48:S48" si="11">SUM(E43:E47)</f>
        <v>144469</v>
      </c>
      <c r="F48" s="120">
        <f t="shared" si="11"/>
        <v>174055</v>
      </c>
      <c r="G48" s="120"/>
      <c r="H48" s="120">
        <f t="shared" si="11"/>
        <v>0</v>
      </c>
      <c r="I48" s="120">
        <f>SUM(I43:I47)</f>
        <v>-1725</v>
      </c>
      <c r="J48" s="120">
        <v>0</v>
      </c>
      <c r="K48" s="120">
        <f t="shared" si="11"/>
        <v>26522</v>
      </c>
      <c r="L48" s="120" t="s">
        <v>160</v>
      </c>
      <c r="M48" s="120">
        <f>SUM(M43:M47)</f>
        <v>20034.385999999999</v>
      </c>
      <c r="N48" s="120">
        <f t="shared" si="11"/>
        <v>0</v>
      </c>
      <c r="O48" s="120">
        <f>SUM(O43:O47)</f>
        <v>-342</v>
      </c>
      <c r="P48" s="120">
        <f>SUM(P43:P47)</f>
        <v>-93</v>
      </c>
      <c r="Q48" s="120">
        <f t="shared" si="11"/>
        <v>1250</v>
      </c>
      <c r="R48" s="120">
        <f>SUM(E48:Q48)</f>
        <v>364170.386</v>
      </c>
      <c r="S48" s="120">
        <f t="shared" si="11"/>
        <v>0</v>
      </c>
      <c r="T48" s="120">
        <f>SUM(R48:S48)</f>
        <v>364170.386</v>
      </c>
    </row>
    <row r="49" spans="1:20" x14ac:dyDescent="0.2">
      <c r="H49" s="154"/>
      <c r="I49" s="154"/>
      <c r="J49" s="154"/>
    </row>
    <row r="50" spans="1:20" hidden="1" outlineLevel="1" x14ac:dyDescent="0.2">
      <c r="A50" s="532" t="s">
        <v>1226</v>
      </c>
      <c r="B50" s="532" t="s">
        <v>1225</v>
      </c>
      <c r="D50" s="129" t="str">
        <f>IF([1]RENAME!$H$3=1,B50,A50)</f>
        <v>Lucro líquido do período</v>
      </c>
      <c r="E50" s="118">
        <v>0</v>
      </c>
      <c r="F50" s="118">
        <v>0</v>
      </c>
      <c r="G50" s="118"/>
      <c r="H50" s="118">
        <v>0</v>
      </c>
      <c r="I50" s="118">
        <v>0</v>
      </c>
      <c r="J50" s="118"/>
      <c r="K50" s="118">
        <v>0</v>
      </c>
      <c r="L50" s="118"/>
      <c r="M50" s="118">
        <v>0</v>
      </c>
      <c r="N50" s="118">
        <v>0</v>
      </c>
      <c r="O50" s="118">
        <v>0</v>
      </c>
      <c r="P50" s="118">
        <v>0</v>
      </c>
      <c r="Q50" s="118">
        <v>12606</v>
      </c>
      <c r="R50" s="118">
        <f t="shared" ref="R50:R56" si="12">SUM(E50:Q50)</f>
        <v>12606</v>
      </c>
      <c r="S50" s="118">
        <v>0</v>
      </c>
      <c r="T50" s="118">
        <f t="shared" ref="T50:T56" si="13">SUM(R50:S50)</f>
        <v>12606</v>
      </c>
    </row>
    <row r="51" spans="1:20" hidden="1" outlineLevel="1" x14ac:dyDescent="0.2">
      <c r="A51" s="532" t="s">
        <v>1215</v>
      </c>
      <c r="B51" s="532" t="s">
        <v>1227</v>
      </c>
      <c r="D51" s="129"/>
      <c r="E51" s="118">
        <v>0</v>
      </c>
      <c r="F51" s="118">
        <v>0</v>
      </c>
      <c r="G51" s="118"/>
      <c r="H51" s="118">
        <v>0</v>
      </c>
      <c r="I51" s="118">
        <v>0</v>
      </c>
      <c r="J51" s="118"/>
      <c r="K51" s="118">
        <v>0</v>
      </c>
      <c r="L51" s="118"/>
      <c r="M51" s="118">
        <v>0</v>
      </c>
      <c r="N51" s="118">
        <v>0</v>
      </c>
      <c r="O51" s="118">
        <v>0</v>
      </c>
      <c r="P51" s="118">
        <v>-110.00000000000003</v>
      </c>
      <c r="Q51" s="118">
        <v>0</v>
      </c>
      <c r="R51" s="118">
        <f t="shared" si="12"/>
        <v>-110.00000000000003</v>
      </c>
      <c r="S51" s="118">
        <v>0</v>
      </c>
      <c r="T51" s="118">
        <f t="shared" si="13"/>
        <v>-110.00000000000003</v>
      </c>
    </row>
    <row r="52" spans="1:20" hidden="1" outlineLevel="1" x14ac:dyDescent="0.2">
      <c r="A52" s="532" t="s">
        <v>1217</v>
      </c>
      <c r="B52" s="532" t="s">
        <v>1228</v>
      </c>
      <c r="D52" s="129" t="str">
        <f>IF([1]RENAME!$H$3=1,B52,A52)</f>
        <v>Plano de opções de ações</v>
      </c>
      <c r="E52" s="118">
        <v>0</v>
      </c>
      <c r="F52" s="118">
        <v>0</v>
      </c>
      <c r="G52" s="118"/>
      <c r="H52" s="118">
        <v>0</v>
      </c>
      <c r="I52" s="118">
        <v>0</v>
      </c>
      <c r="J52" s="118"/>
      <c r="K52" s="118">
        <v>0</v>
      </c>
      <c r="L52" s="118"/>
      <c r="M52" s="118">
        <v>0</v>
      </c>
      <c r="N52" s="118">
        <v>0</v>
      </c>
      <c r="O52" s="118">
        <v>0</v>
      </c>
      <c r="P52" s="118">
        <v>0</v>
      </c>
      <c r="Q52" s="118">
        <v>0</v>
      </c>
      <c r="R52" s="118">
        <f t="shared" si="12"/>
        <v>0</v>
      </c>
      <c r="S52" s="118">
        <v>0</v>
      </c>
      <c r="T52" s="118">
        <f t="shared" si="13"/>
        <v>0</v>
      </c>
    </row>
    <row r="53" spans="1:20" hidden="1" outlineLevel="1" x14ac:dyDescent="0.2">
      <c r="A53" s="532" t="s">
        <v>1210</v>
      </c>
      <c r="B53" s="532" t="s">
        <v>1229</v>
      </c>
      <c r="D53" s="129" t="str">
        <f>IF([1]RENAME!$H$3=1,B53,A53)</f>
        <v>Destinação:</v>
      </c>
      <c r="E53" s="118">
        <v>0</v>
      </c>
      <c r="F53" s="118">
        <v>0</v>
      </c>
      <c r="G53" s="118"/>
      <c r="H53" s="118">
        <v>0</v>
      </c>
      <c r="I53" s="118">
        <v>0</v>
      </c>
      <c r="J53" s="118"/>
      <c r="K53" s="118">
        <v>0</v>
      </c>
      <c r="L53" s="118"/>
      <c r="M53" s="118">
        <v>0</v>
      </c>
      <c r="N53" s="118">
        <v>0</v>
      </c>
      <c r="O53" s="118">
        <v>0</v>
      </c>
      <c r="P53" s="118">
        <v>0</v>
      </c>
      <c r="Q53" s="118">
        <v>0</v>
      </c>
      <c r="R53" s="118">
        <f t="shared" si="12"/>
        <v>0</v>
      </c>
      <c r="S53" s="118">
        <v>0</v>
      </c>
      <c r="T53" s="118">
        <f t="shared" si="13"/>
        <v>0</v>
      </c>
    </row>
    <row r="54" spans="1:20" hidden="1" outlineLevel="1" x14ac:dyDescent="0.2">
      <c r="A54" s="532" t="s">
        <v>1211</v>
      </c>
      <c r="B54" s="532" t="s">
        <v>1230</v>
      </c>
      <c r="D54" s="129" t="str">
        <f>IF([1]RENAME!$H$3=1,B54,A54)</f>
        <v>Constituição de Reservas</v>
      </c>
      <c r="E54" s="118">
        <v>0</v>
      </c>
      <c r="F54" s="118">
        <v>0</v>
      </c>
      <c r="G54" s="118"/>
      <c r="H54" s="118">
        <v>0</v>
      </c>
      <c r="I54" s="118">
        <v>0</v>
      </c>
      <c r="J54" s="118"/>
      <c r="K54" s="118">
        <v>0</v>
      </c>
      <c r="L54" s="118"/>
      <c r="M54" s="118">
        <v>13135</v>
      </c>
      <c r="N54" s="118">
        <v>0</v>
      </c>
      <c r="O54" s="118">
        <v>0</v>
      </c>
      <c r="P54" s="118">
        <v>0</v>
      </c>
      <c r="Q54" s="118">
        <v>-13165</v>
      </c>
      <c r="R54" s="118">
        <f>SUM(E54:Q54)</f>
        <v>-30</v>
      </c>
      <c r="S54" s="118">
        <v>0</v>
      </c>
      <c r="T54" s="118">
        <f t="shared" si="13"/>
        <v>-30</v>
      </c>
    </row>
    <row r="55" spans="1:20" hidden="1" outlineLevel="1" x14ac:dyDescent="0.2">
      <c r="A55" s="532" t="s">
        <v>1213</v>
      </c>
      <c r="B55" s="532" t="s">
        <v>1231</v>
      </c>
      <c r="D55" s="129" t="str">
        <f>IF([1]RENAME!$H$3=1,B55,A55)</f>
        <v>Constituição de Reserva Legal</v>
      </c>
      <c r="E55" s="118">
        <v>0</v>
      </c>
      <c r="F55" s="118">
        <v>0</v>
      </c>
      <c r="G55" s="118"/>
      <c r="H55" s="118">
        <v>0</v>
      </c>
      <c r="I55" s="118">
        <v>0</v>
      </c>
      <c r="J55" s="118"/>
      <c r="K55" s="118">
        <v>691</v>
      </c>
      <c r="L55" s="118"/>
      <c r="M55" s="118">
        <v>0</v>
      </c>
      <c r="N55" s="118">
        <v>0</v>
      </c>
      <c r="O55" s="118">
        <v>0</v>
      </c>
      <c r="P55" s="118">
        <v>0</v>
      </c>
      <c r="Q55" s="118">
        <v>-691</v>
      </c>
      <c r="R55" s="118">
        <f t="shared" si="12"/>
        <v>0</v>
      </c>
      <c r="S55" s="118">
        <v>0</v>
      </c>
      <c r="T55" s="118">
        <f t="shared" si="13"/>
        <v>0</v>
      </c>
    </row>
    <row r="56" spans="1:20" hidden="1" outlineLevel="1" x14ac:dyDescent="0.2">
      <c r="A56" s="532" t="s">
        <v>430</v>
      </c>
      <c r="B56" s="532" t="s">
        <v>648</v>
      </c>
      <c r="D56" s="129" t="str">
        <f>IF([1]RENAME!$H$3=1,B56,A56)</f>
        <v>Dividendos</v>
      </c>
      <c r="E56" s="118">
        <v>0</v>
      </c>
      <c r="F56" s="118">
        <v>0</v>
      </c>
      <c r="G56" s="118"/>
      <c r="H56" s="118">
        <v>0</v>
      </c>
      <c r="I56" s="118">
        <v>0</v>
      </c>
      <c r="J56" s="118"/>
      <c r="K56" s="118">
        <v>0</v>
      </c>
      <c r="L56" s="118"/>
      <c r="M56" s="118">
        <v>-8000</v>
      </c>
      <c r="N56" s="118">
        <v>4716</v>
      </c>
      <c r="O56" s="118">
        <v>0</v>
      </c>
      <c r="P56" s="118">
        <v>0</v>
      </c>
      <c r="Q56" s="118">
        <v>0</v>
      </c>
      <c r="R56" s="118">
        <f t="shared" si="12"/>
        <v>-3284</v>
      </c>
      <c r="S56" s="118">
        <v>0</v>
      </c>
      <c r="T56" s="118">
        <f t="shared" si="13"/>
        <v>-3284</v>
      </c>
    </row>
    <row r="57" spans="1:20" collapsed="1" x14ac:dyDescent="0.2">
      <c r="A57" s="532" t="s">
        <v>554</v>
      </c>
      <c r="B57" s="532" t="s">
        <v>1110</v>
      </c>
      <c r="D57" s="126" t="str">
        <f>IF([1]RENAME!$H$3=1,B57,A57)</f>
        <v>Em 31 de dezembro de 2016</v>
      </c>
      <c r="E57" s="120">
        <f t="shared" ref="E57:S57" si="14">SUM(E48:E56)</f>
        <v>144469</v>
      </c>
      <c r="F57" s="120">
        <f t="shared" si="14"/>
        <v>174055</v>
      </c>
      <c r="G57" s="120"/>
      <c r="H57" s="120">
        <f t="shared" si="14"/>
        <v>0</v>
      </c>
      <c r="I57" s="120">
        <f>SUM(I48:I56)</f>
        <v>-1725</v>
      </c>
      <c r="J57" s="120">
        <v>0</v>
      </c>
      <c r="K57" s="120">
        <f t="shared" si="14"/>
        <v>27213</v>
      </c>
      <c r="L57" s="120" t="s">
        <v>160</v>
      </c>
      <c r="M57" s="120">
        <f>SUM(M48:M56)</f>
        <v>25169.385999999999</v>
      </c>
      <c r="N57" s="120">
        <f t="shared" si="14"/>
        <v>4716</v>
      </c>
      <c r="O57" s="120">
        <f>SUM(O48:O56)</f>
        <v>-342</v>
      </c>
      <c r="P57" s="120">
        <f>SUM(P48:P56)</f>
        <v>-203.00000000000003</v>
      </c>
      <c r="Q57" s="120">
        <f t="shared" si="14"/>
        <v>0</v>
      </c>
      <c r="R57" s="120">
        <f>SUM(E57:Q57)</f>
        <v>373352.386</v>
      </c>
      <c r="S57" s="120">
        <f t="shared" si="14"/>
        <v>0</v>
      </c>
      <c r="T57" s="120">
        <f>SUM(R57:S57)</f>
        <v>373352.386</v>
      </c>
    </row>
    <row r="59" spans="1:20" hidden="1" outlineLevel="1" x14ac:dyDescent="0.2">
      <c r="A59" s="532" t="s">
        <v>1226</v>
      </c>
      <c r="B59" s="532" t="s">
        <v>1225</v>
      </c>
      <c r="D59" s="129" t="str">
        <f>IF([1]RENAME!$H$3=1,B59,A59)</f>
        <v>Lucro líquido do período</v>
      </c>
      <c r="E59" s="118">
        <v>0</v>
      </c>
      <c r="F59" s="118">
        <v>0</v>
      </c>
      <c r="G59" s="118"/>
      <c r="H59" s="118">
        <v>0</v>
      </c>
      <c r="I59" s="118">
        <v>0</v>
      </c>
      <c r="J59" s="118">
        <v>0</v>
      </c>
      <c r="K59" s="118">
        <v>0</v>
      </c>
      <c r="L59" s="118"/>
      <c r="M59" s="118">
        <v>0</v>
      </c>
      <c r="N59" s="118">
        <v>0</v>
      </c>
      <c r="O59" s="118">
        <v>0</v>
      </c>
      <c r="P59" s="118">
        <v>0</v>
      </c>
      <c r="Q59" s="118">
        <v>5452</v>
      </c>
      <c r="R59" s="118">
        <f>SUM(E59:Q59)</f>
        <v>5452</v>
      </c>
      <c r="S59" s="118">
        <v>0</v>
      </c>
      <c r="T59" s="118">
        <f>SUM(R59:S59)</f>
        <v>5452</v>
      </c>
    </row>
    <row r="60" spans="1:20" ht="25.5" hidden="1" outlineLevel="1" x14ac:dyDescent="0.2">
      <c r="A60" s="532" t="s">
        <v>1215</v>
      </c>
      <c r="B60" s="532" t="s">
        <v>1227</v>
      </c>
      <c r="D60" s="129" t="str">
        <f>IF([1]RENAME!$H$3=1,B60,A60)</f>
        <v xml:space="preserve">Variação cambial de investida localizada no exterior </v>
      </c>
      <c r="E60" s="118">
        <v>0</v>
      </c>
      <c r="F60" s="118">
        <v>0</v>
      </c>
      <c r="G60" s="118"/>
      <c r="H60" s="118">
        <v>0</v>
      </c>
      <c r="I60" s="118">
        <v>0</v>
      </c>
      <c r="J60" s="118">
        <v>0</v>
      </c>
      <c r="K60" s="118">
        <v>0</v>
      </c>
      <c r="L60" s="118"/>
      <c r="M60" s="118">
        <v>0</v>
      </c>
      <c r="N60" s="118">
        <v>0</v>
      </c>
      <c r="O60" s="118">
        <v>0</v>
      </c>
      <c r="P60" s="118">
        <v>-10</v>
      </c>
      <c r="Q60" s="118">
        <v>0</v>
      </c>
      <c r="R60" s="118">
        <f>SUM(E60:Q60)</f>
        <v>-10</v>
      </c>
      <c r="S60" s="118">
        <v>0</v>
      </c>
      <c r="T60" s="118">
        <f>SUM(R60:S60)</f>
        <v>-10</v>
      </c>
    </row>
    <row r="61" spans="1:20" collapsed="1" x14ac:dyDescent="0.2">
      <c r="A61" s="532" t="s">
        <v>568</v>
      </c>
      <c r="B61" s="532" t="s">
        <v>1111</v>
      </c>
      <c r="D61" s="126" t="str">
        <f>IF([1]RENAME!$H$3=1,B61,A61)</f>
        <v>Em 31 de março de 2017</v>
      </c>
      <c r="E61" s="120">
        <f>SUM(E57:E60)</f>
        <v>144469</v>
      </c>
      <c r="F61" s="120">
        <f>SUM(F57:F60)</f>
        <v>174055</v>
      </c>
      <c r="G61" s="120"/>
      <c r="H61" s="120">
        <v>0</v>
      </c>
      <c r="I61" s="120">
        <v>0</v>
      </c>
      <c r="J61" s="120">
        <v>0</v>
      </c>
      <c r="K61" s="120">
        <f>SUM(K57:K60)</f>
        <v>27213</v>
      </c>
      <c r="L61" s="120" t="s">
        <v>160</v>
      </c>
      <c r="M61" s="120">
        <f>SUM(M57:M60)</f>
        <v>25169.385999999999</v>
      </c>
      <c r="N61" s="120">
        <f>SUM(N57:N60)</f>
        <v>4716</v>
      </c>
      <c r="O61" s="120">
        <f>SUM(O57:O60)</f>
        <v>-342</v>
      </c>
      <c r="P61" s="120">
        <v>-213</v>
      </c>
      <c r="Q61" s="120">
        <f>SUM(Q57:Q60)</f>
        <v>5452</v>
      </c>
      <c r="R61" s="120">
        <f>SUM(E61:Q61)</f>
        <v>380519.386</v>
      </c>
      <c r="S61" s="120">
        <f>SUM(S57:S60)</f>
        <v>0</v>
      </c>
      <c r="T61" s="120">
        <f>SUM(R61:S61)</f>
        <v>380519.386</v>
      </c>
    </row>
    <row r="62" spans="1:20" s="606" customFormat="1" x14ac:dyDescent="0.2">
      <c r="C62"/>
      <c r="D62" s="607"/>
      <c r="E62" s="608"/>
      <c r="F62" s="608"/>
      <c r="G62" s="608"/>
      <c r="H62" s="608"/>
      <c r="I62" s="608"/>
      <c r="J62" s="608"/>
      <c r="K62" s="608"/>
      <c r="L62" s="608"/>
      <c r="M62" s="608"/>
      <c r="N62" s="608"/>
      <c r="O62" s="608"/>
      <c r="P62" s="608"/>
      <c r="Q62" s="608"/>
      <c r="R62" s="608"/>
      <c r="S62" s="608"/>
      <c r="T62" s="608"/>
    </row>
    <row r="63" spans="1:20" hidden="1" outlineLevel="1" x14ac:dyDescent="0.2">
      <c r="A63" s="532" t="s">
        <v>1226</v>
      </c>
      <c r="B63" s="532" t="s">
        <v>1225</v>
      </c>
      <c r="D63" s="129" t="str">
        <f>IF([1]RENAME!$H$3=1,B63,A63)</f>
        <v>Lucro líquido do período</v>
      </c>
      <c r="E63" s="118">
        <v>0</v>
      </c>
      <c r="F63" s="118">
        <v>0</v>
      </c>
      <c r="G63" s="118"/>
      <c r="H63" s="118">
        <v>0</v>
      </c>
      <c r="I63" s="118">
        <v>0</v>
      </c>
      <c r="J63" s="118">
        <v>0</v>
      </c>
      <c r="K63" s="118">
        <v>0</v>
      </c>
      <c r="L63" s="118"/>
      <c r="M63" s="118">
        <v>0</v>
      </c>
      <c r="N63" s="118">
        <v>0</v>
      </c>
      <c r="O63" s="118">
        <v>0</v>
      </c>
      <c r="P63" s="118">
        <v>0</v>
      </c>
      <c r="Q63" s="118">
        <v>24057</v>
      </c>
      <c r="R63" s="118">
        <f>SUM(E63:Q63)</f>
        <v>24057</v>
      </c>
      <c r="S63" s="118">
        <v>0</v>
      </c>
      <c r="T63" s="118">
        <f>SUM(R63:S63)</f>
        <v>24057</v>
      </c>
    </row>
    <row r="64" spans="1:20" ht="25.5" hidden="1" outlineLevel="1" x14ac:dyDescent="0.2">
      <c r="A64" s="532" t="s">
        <v>1215</v>
      </c>
      <c r="B64" s="532" t="s">
        <v>1227</v>
      </c>
      <c r="D64" s="129" t="str">
        <f>IF([1]RENAME!$H$3=1,B64,A64)</f>
        <v xml:space="preserve">Variação cambial de investida localizada no exterior </v>
      </c>
      <c r="E64" s="118">
        <v>0</v>
      </c>
      <c r="F64" s="118">
        <v>0</v>
      </c>
      <c r="G64" s="118"/>
      <c r="H64" s="118">
        <v>0</v>
      </c>
      <c r="I64" s="118">
        <v>0</v>
      </c>
      <c r="J64" s="118">
        <v>0</v>
      </c>
      <c r="K64" s="118">
        <v>0</v>
      </c>
      <c r="L64" s="118"/>
      <c r="M64" s="118">
        <v>0</v>
      </c>
      <c r="N64" s="118">
        <v>0</v>
      </c>
      <c r="O64" s="118">
        <v>0</v>
      </c>
      <c r="P64" s="118">
        <v>213</v>
      </c>
      <c r="Q64" s="118">
        <v>0</v>
      </c>
      <c r="R64" s="118">
        <f>SUM(E64:Q64)</f>
        <v>213</v>
      </c>
      <c r="S64" s="118">
        <v>0</v>
      </c>
      <c r="T64" s="118">
        <f>SUM(R64:S64)</f>
        <v>213</v>
      </c>
    </row>
    <row r="65" spans="1:20" hidden="1" outlineLevel="1" x14ac:dyDescent="0.2">
      <c r="A65" s="532" t="s">
        <v>430</v>
      </c>
      <c r="B65" s="532" t="s">
        <v>648</v>
      </c>
      <c r="D65" s="129" t="str">
        <f>IF([1]RENAME!$H$3=1,B65,A65)</f>
        <v>Dividendos</v>
      </c>
      <c r="E65" s="118">
        <v>0</v>
      </c>
      <c r="F65" s="118">
        <v>0</v>
      </c>
      <c r="G65" s="118"/>
      <c r="H65" s="118">
        <v>0</v>
      </c>
      <c r="I65" s="118">
        <v>0</v>
      </c>
      <c r="J65" s="118">
        <v>0</v>
      </c>
      <c r="K65" s="118">
        <v>0</v>
      </c>
      <c r="L65" s="118"/>
      <c r="M65" s="118">
        <v>0</v>
      </c>
      <c r="N65" s="118">
        <v>-4716</v>
      </c>
      <c r="O65" s="118">
        <v>0</v>
      </c>
      <c r="P65" s="118">
        <v>0</v>
      </c>
      <c r="Q65" s="118">
        <v>0</v>
      </c>
      <c r="R65" s="118">
        <f>SUM(E65:Q65)</f>
        <v>-4716</v>
      </c>
      <c r="S65" s="118" t="s">
        <v>160</v>
      </c>
      <c r="T65" s="118">
        <f>SUM(R65:S65)</f>
        <v>-4716</v>
      </c>
    </row>
    <row r="66" spans="1:20" collapsed="1" x14ac:dyDescent="0.2">
      <c r="A66" s="532" t="s">
        <v>577</v>
      </c>
      <c r="B66" s="532" t="s">
        <v>1112</v>
      </c>
      <c r="C66" s="153"/>
      <c r="D66" s="126" t="str">
        <f>IF([1]RENAME!$H$3=1,B66,A66)</f>
        <v>Em 30 de junho de 2017</v>
      </c>
      <c r="E66" s="120">
        <f>SUM(E61:E65)</f>
        <v>144469</v>
      </c>
      <c r="F66" s="120">
        <f>SUM(F61:F65)</f>
        <v>174055</v>
      </c>
      <c r="G66" s="120"/>
      <c r="H66" s="120">
        <v>0</v>
      </c>
      <c r="I66" s="120">
        <v>0</v>
      </c>
      <c r="J66" s="120">
        <v>0</v>
      </c>
      <c r="K66" s="120">
        <f t="shared" ref="K66:Q66" si="15">SUM(K61:K65)</f>
        <v>27213</v>
      </c>
      <c r="L66" s="120" t="s">
        <v>160</v>
      </c>
      <c r="M66" s="120">
        <f t="shared" si="15"/>
        <v>25169.385999999999</v>
      </c>
      <c r="N66" s="120">
        <f t="shared" si="15"/>
        <v>0</v>
      </c>
      <c r="O66" s="120">
        <f t="shared" si="15"/>
        <v>-342</v>
      </c>
      <c r="P66" s="120">
        <f t="shared" si="15"/>
        <v>0</v>
      </c>
      <c r="Q66" s="120">
        <f t="shared" si="15"/>
        <v>29509</v>
      </c>
      <c r="R66" s="120">
        <f>SUM(E66:Q66)</f>
        <v>400073.386</v>
      </c>
      <c r="S66" s="120">
        <f>SUM(S61:S65)</f>
        <v>0</v>
      </c>
      <c r="T66" s="120">
        <f>SUM(R66:S66)</f>
        <v>400073.386</v>
      </c>
    </row>
    <row r="67" spans="1:20" s="606" customFormat="1" x14ac:dyDescent="0.2">
      <c r="C67" s="149"/>
      <c r="D67" s="607"/>
      <c r="E67" s="607"/>
      <c r="F67" s="607"/>
      <c r="G67" s="607"/>
      <c r="H67" s="607"/>
      <c r="I67" s="607"/>
      <c r="J67" s="607"/>
      <c r="K67" s="607"/>
      <c r="L67" s="607"/>
      <c r="M67" s="607"/>
      <c r="N67" s="607"/>
      <c r="O67" s="607"/>
      <c r="P67" s="607"/>
      <c r="Q67" s="607"/>
      <c r="R67" s="607"/>
      <c r="S67" s="607"/>
      <c r="T67" s="607"/>
    </row>
    <row r="68" spans="1:20" hidden="1" outlineLevel="1" x14ac:dyDescent="0.2">
      <c r="A68" s="532" t="s">
        <v>1226</v>
      </c>
      <c r="B68" s="532" t="s">
        <v>1225</v>
      </c>
      <c r="D68" s="129" t="str">
        <f>IF([1]RENAME!$H$3=1,B68,A68)</f>
        <v>Lucro líquido do período</v>
      </c>
      <c r="E68" s="118">
        <v>0</v>
      </c>
      <c r="F68" s="118">
        <v>0</v>
      </c>
      <c r="G68" s="118"/>
      <c r="H68" s="118">
        <v>0</v>
      </c>
      <c r="I68" s="118">
        <v>0</v>
      </c>
      <c r="J68" s="118">
        <v>0</v>
      </c>
      <c r="K68" s="118">
        <v>0</v>
      </c>
      <c r="L68" s="118"/>
      <c r="M68" s="118">
        <v>0</v>
      </c>
      <c r="N68" s="118">
        <v>0</v>
      </c>
      <c r="O68" s="118">
        <v>0</v>
      </c>
      <c r="P68" s="118">
        <v>0</v>
      </c>
      <c r="Q68" s="118">
        <v>15286</v>
      </c>
      <c r="R68" s="118">
        <f>SUM(E68:Q68)</f>
        <v>15286</v>
      </c>
      <c r="S68" s="118">
        <v>0</v>
      </c>
      <c r="T68" s="118">
        <f t="shared" ref="T68:T74" si="16">SUM(R68:S68)</f>
        <v>15286</v>
      </c>
    </row>
    <row r="69" spans="1:20" ht="25.5" hidden="1" outlineLevel="1" x14ac:dyDescent="0.2">
      <c r="A69" s="532" t="s">
        <v>1215</v>
      </c>
      <c r="B69" s="532" t="s">
        <v>1227</v>
      </c>
      <c r="C69" s="153"/>
      <c r="D69" s="129" t="str">
        <f>IF([1]RENAME!$H$3=1,B69,A69)</f>
        <v xml:space="preserve">Variação cambial de investida localizada no exterior </v>
      </c>
      <c r="E69" s="118">
        <v>0</v>
      </c>
      <c r="F69" s="118">
        <v>0</v>
      </c>
      <c r="G69" s="118"/>
      <c r="H69" s="118">
        <v>0</v>
      </c>
      <c r="I69" s="118">
        <v>0</v>
      </c>
      <c r="J69" s="118">
        <v>0</v>
      </c>
      <c r="K69" s="118">
        <v>0</v>
      </c>
      <c r="L69" s="118"/>
      <c r="M69" s="118">
        <v>0</v>
      </c>
      <c r="N69" s="118">
        <v>0</v>
      </c>
      <c r="O69" s="118">
        <v>0</v>
      </c>
      <c r="P69" s="118">
        <v>0</v>
      </c>
      <c r="Q69" s="118">
        <v>0</v>
      </c>
      <c r="R69" s="118">
        <v>0</v>
      </c>
      <c r="S69" s="118">
        <v>0</v>
      </c>
      <c r="T69" s="118">
        <f t="shared" si="16"/>
        <v>0</v>
      </c>
    </row>
    <row r="70" spans="1:20" hidden="1" outlineLevel="1" x14ac:dyDescent="0.2">
      <c r="A70" s="532" t="s">
        <v>1217</v>
      </c>
      <c r="B70" s="532" t="s">
        <v>1228</v>
      </c>
      <c r="C70" s="153"/>
      <c r="D70" s="129" t="str">
        <f>IF([1]RENAME!$H$3=1,B70,A70)</f>
        <v>Plano de opções de ações</v>
      </c>
      <c r="E70" s="118">
        <v>0</v>
      </c>
      <c r="F70" s="118">
        <v>0</v>
      </c>
      <c r="G70" s="118"/>
      <c r="H70" s="118">
        <v>0</v>
      </c>
      <c r="I70" s="118">
        <v>0</v>
      </c>
      <c r="J70" s="118">
        <v>0</v>
      </c>
      <c r="K70" s="118">
        <v>0</v>
      </c>
      <c r="L70" s="118"/>
      <c r="M70" s="118">
        <v>0</v>
      </c>
      <c r="N70" s="118">
        <v>0</v>
      </c>
      <c r="O70" s="118">
        <v>0</v>
      </c>
      <c r="P70" s="118">
        <v>0</v>
      </c>
      <c r="Q70" s="118">
        <v>0</v>
      </c>
      <c r="R70" s="118">
        <v>0</v>
      </c>
      <c r="S70" s="118">
        <v>0</v>
      </c>
      <c r="T70" s="118">
        <f t="shared" si="16"/>
        <v>0</v>
      </c>
    </row>
    <row r="71" spans="1:20" hidden="1" outlineLevel="1" x14ac:dyDescent="0.2">
      <c r="A71" s="532" t="s">
        <v>1210</v>
      </c>
      <c r="B71" s="532" t="s">
        <v>1229</v>
      </c>
      <c r="C71" s="153"/>
      <c r="D71" s="129" t="str">
        <f>IF([1]RENAME!$H$3=1,B71,A71)</f>
        <v>Destinação:</v>
      </c>
      <c r="E71" s="118" t="s">
        <v>160</v>
      </c>
      <c r="F71" s="118" t="s">
        <v>160</v>
      </c>
      <c r="G71" s="118"/>
      <c r="H71" s="118" t="s">
        <v>160</v>
      </c>
      <c r="I71" s="118" t="s">
        <v>160</v>
      </c>
      <c r="J71" s="118">
        <v>0</v>
      </c>
      <c r="K71" s="118" t="s">
        <v>160</v>
      </c>
      <c r="L71" s="118"/>
      <c r="M71" s="118" t="s">
        <v>160</v>
      </c>
      <c r="N71" s="118" t="s">
        <v>160</v>
      </c>
      <c r="O71" s="118" t="s">
        <v>160</v>
      </c>
      <c r="P71" s="118" t="s">
        <v>160</v>
      </c>
      <c r="Q71" s="118" t="s">
        <v>160</v>
      </c>
      <c r="R71" s="118" t="s">
        <v>160</v>
      </c>
      <c r="S71" s="118" t="s">
        <v>160</v>
      </c>
      <c r="T71" s="118" t="s">
        <v>160</v>
      </c>
    </row>
    <row r="72" spans="1:20" hidden="1" outlineLevel="1" x14ac:dyDescent="0.2">
      <c r="A72" s="532" t="s">
        <v>1211</v>
      </c>
      <c r="B72" s="532" t="s">
        <v>1230</v>
      </c>
      <c r="C72" s="153"/>
      <c r="D72" s="129" t="str">
        <f>IF([1]RENAME!$H$3=1,B72,A72)</f>
        <v>Constituição de Reservas</v>
      </c>
      <c r="E72" s="118">
        <v>0</v>
      </c>
      <c r="F72" s="118">
        <v>0</v>
      </c>
      <c r="G72" s="118"/>
      <c r="H72" s="118">
        <v>0</v>
      </c>
      <c r="I72" s="118">
        <v>0</v>
      </c>
      <c r="J72" s="118">
        <v>0</v>
      </c>
      <c r="K72" s="118">
        <v>0</v>
      </c>
      <c r="L72" s="118"/>
      <c r="M72" s="118">
        <v>0</v>
      </c>
      <c r="N72" s="118">
        <v>0</v>
      </c>
      <c r="O72" s="118">
        <v>0</v>
      </c>
      <c r="P72" s="118">
        <v>0</v>
      </c>
      <c r="Q72" s="118">
        <v>0</v>
      </c>
      <c r="R72" s="118">
        <v>0</v>
      </c>
      <c r="S72" s="118">
        <v>0</v>
      </c>
      <c r="T72" s="118">
        <f t="shared" si="16"/>
        <v>0</v>
      </c>
    </row>
    <row r="73" spans="1:20" hidden="1" outlineLevel="1" x14ac:dyDescent="0.2">
      <c r="A73" s="532" t="s">
        <v>1213</v>
      </c>
      <c r="B73" s="532" t="s">
        <v>1231</v>
      </c>
      <c r="C73" s="153"/>
      <c r="D73" s="129" t="str">
        <f>IF([1]RENAME!$H$3=1,B73,A73)</f>
        <v>Constituição de Reserva Legal</v>
      </c>
      <c r="E73" s="118">
        <v>0</v>
      </c>
      <c r="F73" s="118">
        <v>0</v>
      </c>
      <c r="G73" s="118"/>
      <c r="H73" s="118">
        <v>0</v>
      </c>
      <c r="I73" s="118">
        <v>0</v>
      </c>
      <c r="J73" s="118">
        <v>0</v>
      </c>
      <c r="K73" s="118">
        <v>0</v>
      </c>
      <c r="L73" s="118"/>
      <c r="M73" s="118">
        <v>0</v>
      </c>
      <c r="N73" s="118">
        <v>0</v>
      </c>
      <c r="O73" s="118">
        <v>0</v>
      </c>
      <c r="P73" s="118">
        <v>0</v>
      </c>
      <c r="Q73" s="118">
        <v>0</v>
      </c>
      <c r="R73" s="118">
        <v>0</v>
      </c>
      <c r="S73" s="118">
        <v>0</v>
      </c>
      <c r="T73" s="118">
        <f t="shared" si="16"/>
        <v>0</v>
      </c>
    </row>
    <row r="74" spans="1:20" hidden="1" outlineLevel="1" x14ac:dyDescent="0.2">
      <c r="A74" s="532" t="s">
        <v>430</v>
      </c>
      <c r="B74" s="532" t="s">
        <v>648</v>
      </c>
      <c r="C74" s="153"/>
      <c r="D74" s="129" t="str">
        <f>IF([1]RENAME!$H$3=1,B74,A74)</f>
        <v>Dividendos</v>
      </c>
      <c r="E74" s="118">
        <v>0</v>
      </c>
      <c r="F74" s="118">
        <v>0</v>
      </c>
      <c r="G74" s="118"/>
      <c r="H74" s="118">
        <v>0</v>
      </c>
      <c r="I74" s="118">
        <v>0</v>
      </c>
      <c r="J74" s="118">
        <v>0</v>
      </c>
      <c r="K74" s="118">
        <v>0</v>
      </c>
      <c r="L74" s="118"/>
      <c r="M74" s="118">
        <v>0</v>
      </c>
      <c r="N74" s="118">
        <v>0</v>
      </c>
      <c r="O74" s="118">
        <v>0</v>
      </c>
      <c r="P74" s="118">
        <v>0</v>
      </c>
      <c r="Q74" s="118">
        <v>-14750</v>
      </c>
      <c r="R74" s="118">
        <f>SUM(E74:Q74)</f>
        <v>-14750</v>
      </c>
      <c r="S74" s="118">
        <v>0</v>
      </c>
      <c r="T74" s="118">
        <f t="shared" si="16"/>
        <v>-14750</v>
      </c>
    </row>
    <row r="75" spans="1:20" collapsed="1" x14ac:dyDescent="0.2">
      <c r="A75" s="532" t="s">
        <v>598</v>
      </c>
      <c r="B75" s="532" t="s">
        <v>1113</v>
      </c>
      <c r="C75" s="153"/>
      <c r="D75" s="126" t="str">
        <f>IF([1]RENAME!$H$3=1,B75,A75)</f>
        <v>Em 30 de setembro de 2017</v>
      </c>
      <c r="E75" s="120">
        <f>SUM(E66:E74)</f>
        <v>144469</v>
      </c>
      <c r="F75" s="120">
        <f>SUM(F66:F74)</f>
        <v>174055</v>
      </c>
      <c r="G75" s="120"/>
      <c r="H75" s="120">
        <v>0</v>
      </c>
      <c r="I75" s="120">
        <v>0</v>
      </c>
      <c r="J75" s="120">
        <v>0</v>
      </c>
      <c r="K75" s="120">
        <f t="shared" ref="K75:Q75" si="17">SUM(K66:K74)</f>
        <v>27213</v>
      </c>
      <c r="L75" s="120" t="s">
        <v>160</v>
      </c>
      <c r="M75" s="120">
        <f t="shared" si="17"/>
        <v>25169.385999999999</v>
      </c>
      <c r="N75" s="120">
        <f t="shared" si="17"/>
        <v>0</v>
      </c>
      <c r="O75" s="120">
        <f t="shared" si="17"/>
        <v>-342</v>
      </c>
      <c r="P75" s="120">
        <f t="shared" si="17"/>
        <v>0</v>
      </c>
      <c r="Q75" s="120">
        <f t="shared" si="17"/>
        <v>30045</v>
      </c>
      <c r="R75" s="120">
        <f>SUM(E75:Q75)</f>
        <v>400609.386</v>
      </c>
      <c r="S75" s="120">
        <f>SUM(S66:S74)</f>
        <v>0</v>
      </c>
      <c r="T75" s="120">
        <f>SUM(R75:S75)</f>
        <v>400609.386</v>
      </c>
    </row>
    <row r="77" spans="1:20" hidden="1" outlineLevel="1" x14ac:dyDescent="0.2">
      <c r="A77" s="532" t="s">
        <v>1226</v>
      </c>
      <c r="B77" s="532" t="s">
        <v>1225</v>
      </c>
      <c r="D77" s="129" t="str">
        <f>IF([1]RENAME!$H$3=1,B77,A77)</f>
        <v>Lucro líquido do período</v>
      </c>
      <c r="E77" s="118">
        <v>0</v>
      </c>
      <c r="F77" s="118">
        <v>0</v>
      </c>
      <c r="G77" s="118"/>
      <c r="H77" s="118">
        <v>0</v>
      </c>
      <c r="I77" s="118">
        <v>0</v>
      </c>
      <c r="J77" s="118">
        <v>0</v>
      </c>
      <c r="K77" s="118">
        <v>0</v>
      </c>
      <c r="L77" s="118"/>
      <c r="M77" s="118">
        <v>0</v>
      </c>
      <c r="N77" s="118">
        <v>0</v>
      </c>
      <c r="O77" s="118">
        <v>0</v>
      </c>
      <c r="P77" s="118">
        <v>0</v>
      </c>
      <c r="Q77" s="118">
        <v>58968</v>
      </c>
      <c r="R77" s="118">
        <f>Q77</f>
        <v>58968</v>
      </c>
      <c r="S77" s="118">
        <v>0</v>
      </c>
      <c r="T77" s="118">
        <f t="shared" ref="T77:T83" si="18">SUM(R77:S77)</f>
        <v>58968</v>
      </c>
    </row>
    <row r="78" spans="1:20" ht="25.5" hidden="1" outlineLevel="1" x14ac:dyDescent="0.2">
      <c r="A78" s="532" t="s">
        <v>1215</v>
      </c>
      <c r="B78" s="532" t="s">
        <v>1227</v>
      </c>
      <c r="D78" s="129" t="str">
        <f>IF([1]RENAME!$H$3=1,B78,A78)</f>
        <v xml:space="preserve">Variação cambial de investida localizada no exterior </v>
      </c>
      <c r="E78" s="118">
        <v>0</v>
      </c>
      <c r="F78" s="118">
        <v>0</v>
      </c>
      <c r="G78" s="118"/>
      <c r="H78" s="118">
        <v>0</v>
      </c>
      <c r="I78" s="118">
        <v>0</v>
      </c>
      <c r="J78" s="118">
        <v>0</v>
      </c>
      <c r="K78" s="118">
        <v>0</v>
      </c>
      <c r="L78" s="118"/>
      <c r="M78" s="118">
        <v>0</v>
      </c>
      <c r="N78" s="118">
        <v>0</v>
      </c>
      <c r="O78" s="118">
        <v>0</v>
      </c>
      <c r="P78" s="118">
        <v>0</v>
      </c>
      <c r="Q78" s="118">
        <v>0</v>
      </c>
      <c r="R78" s="118">
        <f>SUM(E78:Q78)</f>
        <v>0</v>
      </c>
      <c r="S78" s="118">
        <v>0</v>
      </c>
      <c r="T78" s="118">
        <f t="shared" si="18"/>
        <v>0</v>
      </c>
    </row>
    <row r="79" spans="1:20" hidden="1" outlineLevel="1" x14ac:dyDescent="0.2">
      <c r="A79" s="532" t="s">
        <v>1217</v>
      </c>
      <c r="B79" s="532" t="s">
        <v>1228</v>
      </c>
      <c r="D79" s="129" t="str">
        <f>IF([1]RENAME!$H$3=1,B79,A79)</f>
        <v>Plano de opções de ações</v>
      </c>
      <c r="E79" s="118">
        <v>0</v>
      </c>
      <c r="F79" s="118">
        <v>0</v>
      </c>
      <c r="G79" s="118"/>
      <c r="H79" s="118">
        <v>0</v>
      </c>
      <c r="I79" s="118">
        <v>0</v>
      </c>
      <c r="J79" s="118">
        <v>0</v>
      </c>
      <c r="K79" s="118">
        <v>0</v>
      </c>
      <c r="L79" s="118"/>
      <c r="M79" s="118">
        <v>0</v>
      </c>
      <c r="N79" s="118">
        <v>0</v>
      </c>
      <c r="O79" s="118">
        <v>0</v>
      </c>
      <c r="P79" s="118">
        <v>0</v>
      </c>
      <c r="Q79" s="118">
        <v>0</v>
      </c>
      <c r="R79" s="118">
        <v>0</v>
      </c>
      <c r="S79" s="118">
        <v>0</v>
      </c>
      <c r="T79" s="118">
        <f t="shared" si="18"/>
        <v>0</v>
      </c>
    </row>
    <row r="80" spans="1:20" hidden="1" outlineLevel="1" x14ac:dyDescent="0.2">
      <c r="A80" s="532" t="s">
        <v>1599</v>
      </c>
      <c r="B80" s="532" t="s">
        <v>1600</v>
      </c>
      <c r="D80" s="129" t="s">
        <v>1599</v>
      </c>
      <c r="E80" s="118">
        <v>0</v>
      </c>
      <c r="F80" s="118">
        <v>0</v>
      </c>
      <c r="G80" s="118"/>
      <c r="H80" s="118">
        <v>0</v>
      </c>
      <c r="I80" s="118">
        <v>0</v>
      </c>
      <c r="J80" s="118">
        <v>11960</v>
      </c>
      <c r="K80" s="118">
        <v>0</v>
      </c>
      <c r="L80" s="118"/>
      <c r="M80" s="118">
        <v>-11960</v>
      </c>
      <c r="N80" s="118">
        <v>0</v>
      </c>
      <c r="O80" s="118">
        <v>0</v>
      </c>
      <c r="P80" s="118">
        <v>0</v>
      </c>
      <c r="Q80" s="118">
        <v>0</v>
      </c>
      <c r="R80" s="118">
        <v>0</v>
      </c>
      <c r="S80" s="118">
        <v>0</v>
      </c>
      <c r="T80" s="118">
        <f>SUM(R80:S80)</f>
        <v>0</v>
      </c>
    </row>
    <row r="81" spans="1:20" hidden="1" outlineLevel="1" x14ac:dyDescent="0.2">
      <c r="A81" s="532" t="s">
        <v>1210</v>
      </c>
      <c r="B81" s="532" t="s">
        <v>1229</v>
      </c>
      <c r="D81" s="192" t="str">
        <f>IF([1]RENAME!$H$3=1,B81,A81)</f>
        <v>Destinação:</v>
      </c>
      <c r="E81" s="118"/>
      <c r="F81" s="118"/>
      <c r="G81" s="118"/>
      <c r="H81" s="118"/>
      <c r="I81" s="118"/>
      <c r="J81" s="118"/>
      <c r="K81" s="118"/>
      <c r="L81" s="118"/>
      <c r="M81" s="118"/>
      <c r="N81" s="118"/>
      <c r="O81" s="118"/>
      <c r="P81" s="118"/>
      <c r="Q81" s="118"/>
      <c r="R81" s="118"/>
      <c r="S81" s="118">
        <v>0</v>
      </c>
      <c r="T81" s="118"/>
    </row>
    <row r="82" spans="1:20" hidden="1" outlineLevel="1" x14ac:dyDescent="0.2">
      <c r="A82" s="532" t="s">
        <v>1211</v>
      </c>
      <c r="B82" s="532" t="s">
        <v>1230</v>
      </c>
      <c r="D82" s="129" t="str">
        <f>IF([1]RENAME!$H$3=1,B82,A82)</f>
        <v>Constituição de Reservas</v>
      </c>
      <c r="E82" s="118">
        <v>0</v>
      </c>
      <c r="F82" s="118">
        <v>0</v>
      </c>
      <c r="G82" s="118"/>
      <c r="H82" s="118">
        <v>0</v>
      </c>
      <c r="I82" s="118">
        <v>0</v>
      </c>
      <c r="J82" s="118">
        <v>0</v>
      </c>
      <c r="K82" s="118">
        <v>0</v>
      </c>
      <c r="L82" s="118"/>
      <c r="M82" s="118">
        <v>102082</v>
      </c>
      <c r="N82" s="118">
        <v>0</v>
      </c>
      <c r="O82" s="118">
        <v>0</v>
      </c>
      <c r="P82" s="118">
        <v>0</v>
      </c>
      <c r="Q82" s="118">
        <v>-102082</v>
      </c>
      <c r="R82" s="118">
        <f>SUM(E82:Q82)</f>
        <v>0</v>
      </c>
      <c r="S82" s="118">
        <v>0</v>
      </c>
      <c r="T82" s="118">
        <f t="shared" si="18"/>
        <v>0</v>
      </c>
    </row>
    <row r="83" spans="1:20" hidden="1" outlineLevel="1" x14ac:dyDescent="0.2">
      <c r="A83" s="532" t="s">
        <v>1213</v>
      </c>
      <c r="B83" s="532" t="s">
        <v>1231</v>
      </c>
      <c r="D83" s="129" t="str">
        <f>IF([1]RENAME!$H$3=1,B83,A83)</f>
        <v>Constituição de Reserva Legal</v>
      </c>
      <c r="E83" s="118">
        <v>0</v>
      </c>
      <c r="F83" s="118">
        <v>0</v>
      </c>
      <c r="G83" s="118"/>
      <c r="H83" s="118">
        <v>0</v>
      </c>
      <c r="I83" s="118">
        <v>0</v>
      </c>
      <c r="J83" s="118">
        <v>0</v>
      </c>
      <c r="K83" s="118">
        <v>1681</v>
      </c>
      <c r="L83" s="118"/>
      <c r="M83" s="118">
        <v>0</v>
      </c>
      <c r="N83" s="118">
        <v>0</v>
      </c>
      <c r="O83" s="118">
        <v>0</v>
      </c>
      <c r="P83" s="118">
        <v>0</v>
      </c>
      <c r="Q83" s="118">
        <v>-1681</v>
      </c>
      <c r="R83" s="118">
        <f>SUM(E83:Q83)</f>
        <v>0</v>
      </c>
      <c r="S83" s="118">
        <v>0</v>
      </c>
      <c r="T83" s="118">
        <f t="shared" si="18"/>
        <v>0</v>
      </c>
    </row>
    <row r="84" spans="1:20" ht="14.25" hidden="1" customHeight="1" outlineLevel="1" x14ac:dyDescent="0.2">
      <c r="A84" s="532" t="s">
        <v>1280</v>
      </c>
      <c r="B84" s="532" t="s">
        <v>1281</v>
      </c>
      <c r="D84" s="129" t="str">
        <f>IF([1]RENAME!$H$3=1,B84,A84)</f>
        <v>Dividendos e juros sobre capital próprio</v>
      </c>
      <c r="E84" s="118">
        <v>0</v>
      </c>
      <c r="F84" s="118">
        <v>0</v>
      </c>
      <c r="G84" s="118"/>
      <c r="H84" s="118">
        <v>0</v>
      </c>
      <c r="I84" s="118">
        <v>0</v>
      </c>
      <c r="J84" s="118">
        <v>0</v>
      </c>
      <c r="K84" s="118">
        <v>0</v>
      </c>
      <c r="L84" s="118"/>
      <c r="M84" s="118">
        <v>-61249</v>
      </c>
      <c r="N84" s="118">
        <v>35728</v>
      </c>
      <c r="O84" s="118">
        <v>0</v>
      </c>
      <c r="P84" s="118">
        <v>0</v>
      </c>
      <c r="Q84" s="118">
        <v>14750</v>
      </c>
      <c r="R84" s="118">
        <f>SUM(E84:Q84)</f>
        <v>-10771</v>
      </c>
      <c r="S84" s="118">
        <v>0</v>
      </c>
      <c r="T84" s="118">
        <f>SUM(R84:S84)</f>
        <v>-10771</v>
      </c>
    </row>
    <row r="85" spans="1:20" collapsed="1" x14ac:dyDescent="0.2">
      <c r="A85" s="532" t="s">
        <v>1167</v>
      </c>
      <c r="B85" s="532" t="s">
        <v>1168</v>
      </c>
      <c r="D85" s="126" t="str">
        <f>IF([1]RENAME!$H$3=1,B85,A85)</f>
        <v>Em 30 de dezembro de 2017</v>
      </c>
      <c r="E85" s="120">
        <f>SUM(E75:E84)</f>
        <v>144469</v>
      </c>
      <c r="F85" s="120">
        <f>SUM(F75:F84)</f>
        <v>174055</v>
      </c>
      <c r="G85" s="120"/>
      <c r="H85" s="120">
        <f>SUM(H75:H84)</f>
        <v>0</v>
      </c>
      <c r="I85" s="120">
        <f>SUM(I75:I84)</f>
        <v>0</v>
      </c>
      <c r="J85" s="120">
        <f>SUM(J76:J84)</f>
        <v>11960</v>
      </c>
      <c r="K85" s="120">
        <f t="shared" ref="K85:Q85" si="19">SUM(K75:K84)</f>
        <v>28894</v>
      </c>
      <c r="L85" s="120" t="s">
        <v>160</v>
      </c>
      <c r="M85" s="120">
        <f t="shared" si="19"/>
        <v>54042.385999999999</v>
      </c>
      <c r="N85" s="120">
        <f t="shared" si="19"/>
        <v>35728</v>
      </c>
      <c r="O85" s="120">
        <f t="shared" si="19"/>
        <v>-342</v>
      </c>
      <c r="P85" s="120">
        <f t="shared" si="19"/>
        <v>0</v>
      </c>
      <c r="Q85" s="120">
        <f t="shared" si="19"/>
        <v>0</v>
      </c>
      <c r="R85" s="120">
        <f>SUM(E85:Q85)</f>
        <v>448806.386</v>
      </c>
      <c r="S85" s="120">
        <f>SUM(S75:S84)</f>
        <v>0</v>
      </c>
      <c r="T85" s="120">
        <f>SUM(R85:S85)</f>
        <v>448806.386</v>
      </c>
    </row>
    <row r="87" spans="1:20" hidden="1" outlineLevel="1" x14ac:dyDescent="0.2">
      <c r="A87" s="532" t="s">
        <v>1226</v>
      </c>
      <c r="B87" s="532" t="s">
        <v>1225</v>
      </c>
      <c r="D87" s="129" t="str">
        <f>IF([1]RENAME!$H$3=1,B87,A87)</f>
        <v>Lucro líquido do período</v>
      </c>
      <c r="E87" s="118">
        <v>0</v>
      </c>
      <c r="F87" s="118">
        <v>0</v>
      </c>
      <c r="G87" s="118"/>
      <c r="H87" s="118">
        <v>0</v>
      </c>
      <c r="I87" s="118">
        <v>0</v>
      </c>
      <c r="J87" s="118" t="s">
        <v>160</v>
      </c>
      <c r="K87" s="118" t="s">
        <v>160</v>
      </c>
      <c r="L87" s="118"/>
      <c r="M87" s="118" t="s">
        <v>160</v>
      </c>
      <c r="N87" s="118" t="s">
        <v>160</v>
      </c>
      <c r="O87" s="118" t="s">
        <v>160</v>
      </c>
      <c r="P87" s="118" t="s">
        <v>160</v>
      </c>
      <c r="Q87" s="118">
        <v>13996</v>
      </c>
      <c r="R87" s="118">
        <f>Q87</f>
        <v>13996</v>
      </c>
      <c r="S87" s="118">
        <v>0</v>
      </c>
      <c r="T87" s="118">
        <f>SUM(R87:S87)</f>
        <v>13996</v>
      </c>
    </row>
    <row r="88" spans="1:20" ht="25.5" hidden="1" outlineLevel="1" x14ac:dyDescent="0.2">
      <c r="A88" s="532" t="s">
        <v>1215</v>
      </c>
      <c r="B88" s="532" t="s">
        <v>1227</v>
      </c>
      <c r="D88" s="129" t="str">
        <f>IF([1]RENAME!$H$3=1,B88,A88)</f>
        <v xml:space="preserve">Variação cambial de investida localizada no exterior </v>
      </c>
      <c r="E88" s="118">
        <v>0</v>
      </c>
      <c r="F88" s="118">
        <v>0</v>
      </c>
      <c r="G88" s="118"/>
      <c r="H88" s="118">
        <v>0</v>
      </c>
      <c r="I88" s="118">
        <v>0</v>
      </c>
      <c r="J88" s="118" t="s">
        <v>160</v>
      </c>
      <c r="K88" s="118" t="s">
        <v>160</v>
      </c>
      <c r="L88" s="118"/>
      <c r="M88" s="118" t="s">
        <v>160</v>
      </c>
      <c r="N88" s="118" t="s">
        <v>160</v>
      </c>
      <c r="O88" s="118" t="s">
        <v>160</v>
      </c>
      <c r="P88" s="118" t="s">
        <v>160</v>
      </c>
      <c r="Q88" s="118" t="s">
        <v>160</v>
      </c>
      <c r="R88" s="118" t="s">
        <v>160</v>
      </c>
      <c r="S88" s="118">
        <v>0</v>
      </c>
      <c r="T88" s="118">
        <f>SUM(R88:S88)</f>
        <v>0</v>
      </c>
    </row>
    <row r="89" spans="1:20" hidden="1" outlineLevel="1" x14ac:dyDescent="0.2">
      <c r="A89" s="532" t="s">
        <v>1217</v>
      </c>
      <c r="B89" s="532" t="s">
        <v>1228</v>
      </c>
      <c r="D89" s="129" t="str">
        <f>IF([1]RENAME!$H$3=1,B89,A89)</f>
        <v>Plano de opções de ações</v>
      </c>
      <c r="E89" s="118">
        <v>0</v>
      </c>
      <c r="F89" s="118">
        <v>0</v>
      </c>
      <c r="G89" s="118"/>
      <c r="H89" s="118">
        <v>0</v>
      </c>
      <c r="I89" s="118">
        <v>0</v>
      </c>
      <c r="J89" s="118" t="s">
        <v>160</v>
      </c>
      <c r="K89" s="118" t="s">
        <v>160</v>
      </c>
      <c r="L89" s="118"/>
      <c r="M89" s="118" t="s">
        <v>160</v>
      </c>
      <c r="N89" s="118" t="s">
        <v>160</v>
      </c>
      <c r="O89" s="118" t="s">
        <v>160</v>
      </c>
      <c r="P89" s="118" t="s">
        <v>160</v>
      </c>
      <c r="Q89" s="118" t="s">
        <v>160</v>
      </c>
      <c r="R89" s="118" t="s">
        <v>160</v>
      </c>
      <c r="S89" s="118">
        <v>0</v>
      </c>
      <c r="T89" s="118">
        <f>SUM(R89:S89)</f>
        <v>0</v>
      </c>
    </row>
    <row r="90" spans="1:20" hidden="1" outlineLevel="1" x14ac:dyDescent="0.2">
      <c r="A90" s="532" t="s">
        <v>1599</v>
      </c>
      <c r="B90" s="532" t="s">
        <v>1600</v>
      </c>
      <c r="D90" s="129" t="s">
        <v>1599</v>
      </c>
      <c r="E90" s="118">
        <v>0</v>
      </c>
      <c r="F90" s="118">
        <v>0</v>
      </c>
      <c r="G90" s="118"/>
      <c r="H90" s="118"/>
      <c r="I90" s="118"/>
      <c r="J90" s="118">
        <v>2811</v>
      </c>
      <c r="K90" s="118">
        <v>0</v>
      </c>
      <c r="L90" s="118"/>
      <c r="M90" s="118">
        <v>0</v>
      </c>
      <c r="N90" s="118">
        <v>0</v>
      </c>
      <c r="O90" s="118">
        <v>0</v>
      </c>
      <c r="P90" s="118">
        <v>0</v>
      </c>
      <c r="Q90" s="118">
        <v>-2811</v>
      </c>
      <c r="R90" s="118">
        <v>0</v>
      </c>
      <c r="S90" s="118">
        <v>0</v>
      </c>
      <c r="T90" s="118">
        <v>0</v>
      </c>
    </row>
    <row r="91" spans="1:20" hidden="1" outlineLevel="1" x14ac:dyDescent="0.2">
      <c r="A91" s="532" t="s">
        <v>1210</v>
      </c>
      <c r="B91" s="532" t="s">
        <v>1229</v>
      </c>
      <c r="D91" s="192" t="str">
        <f>IF([1]RENAME!$H$3=1,B91,A91)</f>
        <v>Destinação:</v>
      </c>
      <c r="E91" s="118"/>
      <c r="F91" s="118"/>
      <c r="G91" s="118"/>
      <c r="H91" s="118"/>
      <c r="I91" s="118"/>
      <c r="J91" s="118"/>
      <c r="K91" s="118"/>
      <c r="L91" s="118"/>
      <c r="M91" s="118"/>
      <c r="N91" s="118"/>
      <c r="O91" s="118"/>
      <c r="P91" s="118"/>
      <c r="Q91" s="118"/>
      <c r="R91" s="118"/>
      <c r="S91" s="118"/>
      <c r="T91" s="118"/>
    </row>
    <row r="92" spans="1:20" hidden="1" outlineLevel="1" x14ac:dyDescent="0.2">
      <c r="A92" s="532" t="s">
        <v>1211</v>
      </c>
      <c r="B92" s="532" t="s">
        <v>1230</v>
      </c>
      <c r="D92" s="129" t="str">
        <f>IF([1]RENAME!$H$3=1,B92,A92)</f>
        <v>Constituição de Reservas</v>
      </c>
      <c r="E92" s="118">
        <v>0</v>
      </c>
      <c r="F92" s="118">
        <v>0</v>
      </c>
      <c r="G92" s="118"/>
      <c r="H92" s="118">
        <v>0</v>
      </c>
      <c r="I92" s="118">
        <v>0</v>
      </c>
      <c r="J92" s="118" t="s">
        <v>160</v>
      </c>
      <c r="K92" s="118">
        <v>0</v>
      </c>
      <c r="L92" s="118"/>
      <c r="M92" s="118" t="s">
        <v>160</v>
      </c>
      <c r="N92" s="118" t="s">
        <v>160</v>
      </c>
      <c r="O92" s="118" t="s">
        <v>160</v>
      </c>
      <c r="P92" s="118" t="s">
        <v>160</v>
      </c>
      <c r="Q92" s="118" t="s">
        <v>160</v>
      </c>
      <c r="R92" s="118" t="s">
        <v>160</v>
      </c>
      <c r="S92" s="118">
        <v>0</v>
      </c>
      <c r="T92" s="118">
        <f>SUM(R92:S92)</f>
        <v>0</v>
      </c>
    </row>
    <row r="93" spans="1:20" hidden="1" outlineLevel="1" x14ac:dyDescent="0.2">
      <c r="A93" s="532" t="s">
        <v>1213</v>
      </c>
      <c r="B93" s="532" t="s">
        <v>1231</v>
      </c>
      <c r="D93" s="129" t="str">
        <f>IF([1]RENAME!$H$3=1,B93,A93)</f>
        <v>Constituição de Reserva Legal</v>
      </c>
      <c r="E93" s="118">
        <v>0</v>
      </c>
      <c r="F93" s="118">
        <v>0</v>
      </c>
      <c r="G93" s="118"/>
      <c r="H93" s="118">
        <v>0</v>
      </c>
      <c r="I93" s="118">
        <v>0</v>
      </c>
      <c r="J93" s="118" t="s">
        <v>160</v>
      </c>
      <c r="K93" s="118">
        <v>0</v>
      </c>
      <c r="L93" s="118"/>
      <c r="M93" s="118" t="s">
        <v>160</v>
      </c>
      <c r="N93" s="118" t="s">
        <v>160</v>
      </c>
      <c r="O93" s="118" t="s">
        <v>160</v>
      </c>
      <c r="P93" s="118" t="s">
        <v>160</v>
      </c>
      <c r="Q93" s="118" t="s">
        <v>160</v>
      </c>
      <c r="R93" s="118" t="s">
        <v>160</v>
      </c>
      <c r="S93" s="118">
        <v>0</v>
      </c>
      <c r="T93" s="118">
        <f>SUM(R93:S93)</f>
        <v>0</v>
      </c>
    </row>
    <row r="94" spans="1:20" ht="14.25" hidden="1" customHeight="1" outlineLevel="1" x14ac:dyDescent="0.2">
      <c r="A94" s="532" t="s">
        <v>1280</v>
      </c>
      <c r="B94" s="532" t="s">
        <v>1281</v>
      </c>
      <c r="D94" s="129" t="str">
        <f>IF([1]RENAME!$H$3=1,B94,A94)</f>
        <v>Dividendos e juros sobre capital próprio</v>
      </c>
      <c r="E94" s="118">
        <v>0</v>
      </c>
      <c r="F94" s="118">
        <v>0</v>
      </c>
      <c r="G94" s="118"/>
      <c r="H94" s="118">
        <v>0</v>
      </c>
      <c r="I94" s="118">
        <v>0</v>
      </c>
      <c r="J94" s="118">
        <v>0</v>
      </c>
      <c r="K94" s="118">
        <v>0</v>
      </c>
      <c r="L94" s="118"/>
      <c r="M94" s="118" t="s">
        <v>160</v>
      </c>
      <c r="N94" s="118" t="s">
        <v>160</v>
      </c>
      <c r="O94" s="118" t="s">
        <v>160</v>
      </c>
      <c r="P94" s="118" t="s">
        <v>160</v>
      </c>
      <c r="Q94" s="118" t="s">
        <v>160</v>
      </c>
      <c r="R94" s="118" t="s">
        <v>160</v>
      </c>
      <c r="S94" s="118">
        <v>0</v>
      </c>
      <c r="T94" s="118">
        <f>SUM(R94:S94)</f>
        <v>0</v>
      </c>
    </row>
    <row r="95" spans="1:20" collapsed="1" x14ac:dyDescent="0.2">
      <c r="A95" s="532" t="s">
        <v>1289</v>
      </c>
      <c r="B95" s="532" t="s">
        <v>1288</v>
      </c>
      <c r="D95" s="126" t="str">
        <f>IF([1]RENAME!$H$3=1,B95,A95)</f>
        <v>Em 30 de março de 2018</v>
      </c>
      <c r="E95" s="120">
        <f>SUM(E85:E94)</f>
        <v>144469</v>
      </c>
      <c r="F95" s="120">
        <f>SUM(F85:F94)</f>
        <v>174055</v>
      </c>
      <c r="G95" s="120"/>
      <c r="H95" s="120">
        <f>SUM(H85:H94)</f>
        <v>0</v>
      </c>
      <c r="I95" s="120">
        <f>SUM(I85:I94)</f>
        <v>0</v>
      </c>
      <c r="J95" s="120">
        <f>SUM(J85:J94)</f>
        <v>14771</v>
      </c>
      <c r="K95" s="120">
        <f t="shared" ref="K95:Q95" si="20">SUM(K85:K94)</f>
        <v>28894</v>
      </c>
      <c r="L95" s="120" t="s">
        <v>160</v>
      </c>
      <c r="M95" s="120">
        <f t="shared" si="20"/>
        <v>54042.385999999999</v>
      </c>
      <c r="N95" s="120">
        <f t="shared" si="20"/>
        <v>35728</v>
      </c>
      <c r="O95" s="120">
        <f t="shared" si="20"/>
        <v>-342</v>
      </c>
      <c r="P95" s="120">
        <f t="shared" si="20"/>
        <v>0</v>
      </c>
      <c r="Q95" s="120">
        <f t="shared" si="20"/>
        <v>11185</v>
      </c>
      <c r="R95" s="120">
        <f>SUM(E95:Q95)</f>
        <v>462802.386</v>
      </c>
      <c r="S95" s="120"/>
      <c r="T95" s="120">
        <f>SUM(R95:S95)</f>
        <v>462802.386</v>
      </c>
    </row>
    <row r="96" spans="1:20" ht="13.5" customHeight="1" x14ac:dyDescent="0.2"/>
    <row r="97" spans="1:20" hidden="1" outlineLevel="1" x14ac:dyDescent="0.2">
      <c r="A97" s="532" t="s">
        <v>1226</v>
      </c>
      <c r="B97" s="532" t="s">
        <v>1225</v>
      </c>
      <c r="D97" s="129" t="str">
        <f>IF([1]RENAME!$H$3=1,B97,A97)</f>
        <v>Lucro líquido do período</v>
      </c>
      <c r="E97" s="118" t="s">
        <v>160</v>
      </c>
      <c r="F97" s="118" t="s">
        <v>160</v>
      </c>
      <c r="G97" s="118"/>
      <c r="H97" s="118" t="s">
        <v>160</v>
      </c>
      <c r="I97" s="118" t="s">
        <v>160</v>
      </c>
      <c r="J97" s="118" t="s">
        <v>160</v>
      </c>
      <c r="K97" s="118" t="s">
        <v>160</v>
      </c>
      <c r="L97" s="118"/>
      <c r="M97" s="118" t="s">
        <v>160</v>
      </c>
      <c r="N97" s="118" t="s">
        <v>160</v>
      </c>
      <c r="O97" s="118" t="s">
        <v>160</v>
      </c>
      <c r="P97" s="118" t="s">
        <v>160</v>
      </c>
      <c r="Q97" s="118">
        <v>28185</v>
      </c>
      <c r="R97" s="118">
        <f>Q97</f>
        <v>28185</v>
      </c>
      <c r="S97" s="118">
        <v>0</v>
      </c>
      <c r="T97" s="118">
        <f>SUM(R97:S97)</f>
        <v>28185</v>
      </c>
    </row>
    <row r="98" spans="1:20" ht="25.5" hidden="1" outlineLevel="1" x14ac:dyDescent="0.2">
      <c r="A98" s="532" t="s">
        <v>1215</v>
      </c>
      <c r="B98" s="532" t="s">
        <v>1227</v>
      </c>
      <c r="D98" s="129" t="str">
        <f>IF([1]RENAME!$H$3=1,B98,A98)</f>
        <v xml:space="preserve">Variação cambial de investida localizada no exterior </v>
      </c>
      <c r="E98" s="118" t="s">
        <v>160</v>
      </c>
      <c r="F98" s="118" t="s">
        <v>160</v>
      </c>
      <c r="G98" s="118"/>
      <c r="H98" s="118" t="s">
        <v>160</v>
      </c>
      <c r="I98" s="118" t="s">
        <v>160</v>
      </c>
      <c r="J98" s="118" t="s">
        <v>160</v>
      </c>
      <c r="K98" s="118" t="s">
        <v>160</v>
      </c>
      <c r="L98" s="118"/>
      <c r="M98" s="118" t="s">
        <v>160</v>
      </c>
      <c r="N98" s="118" t="s">
        <v>160</v>
      </c>
      <c r="O98" s="118" t="s">
        <v>160</v>
      </c>
      <c r="P98" s="118" t="s">
        <v>160</v>
      </c>
      <c r="Q98" s="118" t="s">
        <v>160</v>
      </c>
      <c r="R98" s="118" t="s">
        <v>160</v>
      </c>
      <c r="S98" s="118">
        <v>0</v>
      </c>
      <c r="T98" s="118">
        <f>SUM(R98:S98)</f>
        <v>0</v>
      </c>
    </row>
    <row r="99" spans="1:20" hidden="1" outlineLevel="1" x14ac:dyDescent="0.2">
      <c r="A99" s="532" t="s">
        <v>1217</v>
      </c>
      <c r="B99" s="532" t="s">
        <v>1228</v>
      </c>
      <c r="D99" s="129" t="str">
        <f>IF([1]RENAME!$H$3=1,B99,A99)</f>
        <v>Plano de opções de ações</v>
      </c>
      <c r="E99" s="118" t="s">
        <v>160</v>
      </c>
      <c r="F99" s="118" t="s">
        <v>160</v>
      </c>
      <c r="G99" s="118"/>
      <c r="H99" s="118" t="s">
        <v>160</v>
      </c>
      <c r="I99" s="118" t="s">
        <v>160</v>
      </c>
      <c r="J99" s="118" t="s">
        <v>160</v>
      </c>
      <c r="K99" s="118" t="s">
        <v>160</v>
      </c>
      <c r="L99" s="118"/>
      <c r="M99" s="118" t="s">
        <v>160</v>
      </c>
      <c r="N99" s="118" t="s">
        <v>160</v>
      </c>
      <c r="O99" s="118" t="s">
        <v>160</v>
      </c>
      <c r="P99" s="118" t="s">
        <v>160</v>
      </c>
      <c r="Q99" s="118" t="s">
        <v>160</v>
      </c>
      <c r="R99" s="118" t="s">
        <v>160</v>
      </c>
      <c r="S99" s="118">
        <v>0</v>
      </c>
      <c r="T99" s="118">
        <f>SUM(R99:S99)</f>
        <v>0</v>
      </c>
    </row>
    <row r="100" spans="1:20" hidden="1" outlineLevel="1" x14ac:dyDescent="0.2">
      <c r="A100" s="532" t="s">
        <v>1599</v>
      </c>
      <c r="B100" s="532" t="s">
        <v>1600</v>
      </c>
      <c r="D100" s="129" t="str">
        <f>IF([1]RENAME!$H$3=1,B100,A100)</f>
        <v>Incentivos fiscais</v>
      </c>
      <c r="E100" s="118">
        <v>0</v>
      </c>
      <c r="F100" s="118">
        <v>0</v>
      </c>
      <c r="G100" s="118"/>
      <c r="H100" s="118"/>
      <c r="I100" s="118"/>
      <c r="J100" s="118">
        <v>3289</v>
      </c>
      <c r="K100" s="118">
        <v>0</v>
      </c>
      <c r="L100" s="118"/>
      <c r="M100" s="118">
        <v>0</v>
      </c>
      <c r="N100" s="118">
        <v>0</v>
      </c>
      <c r="O100" s="118">
        <v>0</v>
      </c>
      <c r="P100" s="118">
        <v>0</v>
      </c>
      <c r="Q100" s="118">
        <v>-3289</v>
      </c>
      <c r="R100" s="118">
        <v>0</v>
      </c>
      <c r="S100" s="118">
        <v>0</v>
      </c>
      <c r="T100" s="118">
        <v>0</v>
      </c>
    </row>
    <row r="101" spans="1:20" hidden="1" outlineLevel="1" x14ac:dyDescent="0.2">
      <c r="A101" s="532" t="s">
        <v>1210</v>
      </c>
      <c r="B101" s="532" t="s">
        <v>1229</v>
      </c>
      <c r="D101" s="129" t="str">
        <f>IF([1]RENAME!$H$3=1,B101,A101)</f>
        <v>Destinação:</v>
      </c>
      <c r="E101" s="118"/>
      <c r="F101" s="118"/>
      <c r="G101" s="118"/>
      <c r="H101" s="118"/>
      <c r="I101" s="118"/>
      <c r="J101" s="118"/>
      <c r="K101" s="118"/>
      <c r="L101" s="118"/>
      <c r="M101" s="118"/>
      <c r="N101" s="118"/>
      <c r="O101" s="118"/>
      <c r="P101" s="118"/>
      <c r="Q101" s="118"/>
      <c r="R101" s="118"/>
      <c r="S101" s="118"/>
      <c r="T101" s="118"/>
    </row>
    <row r="102" spans="1:20" hidden="1" outlineLevel="1" x14ac:dyDescent="0.2">
      <c r="A102" s="532" t="s">
        <v>1211</v>
      </c>
      <c r="B102" s="532" t="s">
        <v>1230</v>
      </c>
      <c r="D102" s="129" t="str">
        <f>IF([1]RENAME!$H$3=1,B102,A102)</f>
        <v>Constituição de Reservas</v>
      </c>
      <c r="E102" s="118" t="s">
        <v>160</v>
      </c>
      <c r="F102" s="118" t="s">
        <v>160</v>
      </c>
      <c r="G102" s="118"/>
      <c r="H102" s="118" t="s">
        <v>160</v>
      </c>
      <c r="I102" s="118" t="s">
        <v>160</v>
      </c>
      <c r="J102" s="118" t="s">
        <v>160</v>
      </c>
      <c r="K102" s="118" t="s">
        <v>160</v>
      </c>
      <c r="L102" s="118"/>
      <c r="M102" s="118" t="s">
        <v>160</v>
      </c>
      <c r="N102" s="118" t="s">
        <v>160</v>
      </c>
      <c r="O102" s="118" t="s">
        <v>160</v>
      </c>
      <c r="P102" s="118" t="s">
        <v>160</v>
      </c>
      <c r="Q102" s="118" t="s">
        <v>160</v>
      </c>
      <c r="R102" s="118" t="s">
        <v>160</v>
      </c>
      <c r="S102" s="118">
        <v>0</v>
      </c>
      <c r="T102" s="118">
        <f>SUM(R102:S102)</f>
        <v>0</v>
      </c>
    </row>
    <row r="103" spans="1:20" hidden="1" outlineLevel="1" x14ac:dyDescent="0.2">
      <c r="A103" s="532" t="s">
        <v>1213</v>
      </c>
      <c r="B103" s="532" t="s">
        <v>1231</v>
      </c>
      <c r="D103" s="129" t="str">
        <f>IF([1]RENAME!$H$3=1,B103,A103)</f>
        <v>Constituição de Reserva Legal</v>
      </c>
      <c r="E103" s="118" t="s">
        <v>160</v>
      </c>
      <c r="F103" s="118" t="s">
        <v>160</v>
      </c>
      <c r="G103" s="118"/>
      <c r="H103" s="118" t="s">
        <v>160</v>
      </c>
      <c r="I103" s="118" t="s">
        <v>160</v>
      </c>
      <c r="J103" s="118" t="s">
        <v>160</v>
      </c>
      <c r="K103" s="118" t="s">
        <v>160</v>
      </c>
      <c r="L103" s="118"/>
      <c r="M103" s="118" t="s">
        <v>160</v>
      </c>
      <c r="N103" s="118" t="s">
        <v>160</v>
      </c>
      <c r="O103" s="118" t="s">
        <v>160</v>
      </c>
      <c r="P103" s="118" t="s">
        <v>160</v>
      </c>
      <c r="Q103" s="118" t="s">
        <v>160</v>
      </c>
      <c r="R103" s="118" t="s">
        <v>160</v>
      </c>
      <c r="S103" s="118">
        <v>0</v>
      </c>
      <c r="T103" s="118">
        <f>SUM(R103:S103)</f>
        <v>0</v>
      </c>
    </row>
    <row r="104" spans="1:20" ht="14.25" hidden="1" customHeight="1" outlineLevel="1" x14ac:dyDescent="0.2">
      <c r="A104" s="532" t="s">
        <v>1280</v>
      </c>
      <c r="B104" s="532" t="s">
        <v>1281</v>
      </c>
      <c r="D104" s="129" t="str">
        <f>IF([1]RENAME!$H$3=1,B104,A104)</f>
        <v>Dividendos e juros sobre capital próprio</v>
      </c>
      <c r="E104" s="118">
        <v>0</v>
      </c>
      <c r="F104" s="118">
        <v>0</v>
      </c>
      <c r="G104" s="118"/>
      <c r="H104" s="118">
        <v>0</v>
      </c>
      <c r="I104" s="118">
        <v>0</v>
      </c>
      <c r="J104" s="118">
        <v>0</v>
      </c>
      <c r="K104" s="118">
        <v>0</v>
      </c>
      <c r="L104" s="118"/>
      <c r="M104" s="118">
        <v>0</v>
      </c>
      <c r="N104" s="118">
        <v>-35728</v>
      </c>
      <c r="O104" s="118">
        <v>0</v>
      </c>
      <c r="P104" s="118">
        <v>0</v>
      </c>
      <c r="Q104" s="118">
        <v>0</v>
      </c>
      <c r="R104" s="118">
        <f>+N104</f>
        <v>-35728</v>
      </c>
      <c r="S104" s="118">
        <v>0</v>
      </c>
      <c r="T104" s="118">
        <f>SUM(R104:S104)</f>
        <v>-35728</v>
      </c>
    </row>
    <row r="105" spans="1:20" collapsed="1" x14ac:dyDescent="0.2">
      <c r="A105" s="532" t="s">
        <v>1306</v>
      </c>
      <c r="B105" s="532" t="s">
        <v>1307</v>
      </c>
      <c r="D105" s="126" t="str">
        <f>IF([1]RENAME!$H$3=1,B105,A105)</f>
        <v>Em 30 de junho de 2018</v>
      </c>
      <c r="E105" s="120">
        <f t="shared" ref="E105:P105" si="21">SUM(E95:E104)</f>
        <v>144469</v>
      </c>
      <c r="F105" s="120">
        <f t="shared" si="21"/>
        <v>174055</v>
      </c>
      <c r="G105" s="120"/>
      <c r="H105" s="120">
        <f t="shared" si="21"/>
        <v>0</v>
      </c>
      <c r="I105" s="120">
        <f t="shared" si="21"/>
        <v>0</v>
      </c>
      <c r="J105" s="120">
        <f t="shared" si="21"/>
        <v>18060</v>
      </c>
      <c r="K105" s="120">
        <f t="shared" si="21"/>
        <v>28894</v>
      </c>
      <c r="L105" s="120" t="s">
        <v>160</v>
      </c>
      <c r="M105" s="120">
        <f t="shared" si="21"/>
        <v>54042.385999999999</v>
      </c>
      <c r="N105" s="120">
        <f t="shared" si="21"/>
        <v>0</v>
      </c>
      <c r="O105" s="120">
        <f t="shared" si="21"/>
        <v>-342</v>
      </c>
      <c r="P105" s="120">
        <f t="shared" si="21"/>
        <v>0</v>
      </c>
      <c r="Q105" s="120">
        <f>SUM(Q95:Q104)</f>
        <v>36081</v>
      </c>
      <c r="R105" s="120">
        <f>SUM(E105:Q105)</f>
        <v>455259.386</v>
      </c>
      <c r="S105" s="120"/>
      <c r="T105" s="120">
        <f>SUM(R105:S105)</f>
        <v>455259.386</v>
      </c>
    </row>
    <row r="106" spans="1:20" ht="13.5" customHeight="1" x14ac:dyDescent="0.2"/>
    <row r="107" spans="1:20" ht="12.75" hidden="1" customHeight="1" outlineLevel="1" x14ac:dyDescent="0.2">
      <c r="A107" s="532" t="s">
        <v>1226</v>
      </c>
      <c r="B107" s="532" t="s">
        <v>1225</v>
      </c>
      <c r="D107" s="129" t="str">
        <f>IF([1]RENAME!$H$3=1,B107,A107)</f>
        <v>Lucro líquido do período</v>
      </c>
      <c r="E107" s="118" t="s">
        <v>160</v>
      </c>
      <c r="F107" s="118" t="s">
        <v>160</v>
      </c>
      <c r="G107" s="118"/>
      <c r="H107" s="118" t="s">
        <v>160</v>
      </c>
      <c r="I107" s="118" t="s">
        <v>160</v>
      </c>
      <c r="J107" s="118" t="s">
        <v>160</v>
      </c>
      <c r="K107" s="118" t="s">
        <v>160</v>
      </c>
      <c r="L107" s="118"/>
      <c r="M107" s="118" t="s">
        <v>160</v>
      </c>
      <c r="N107" s="118" t="s">
        <v>160</v>
      </c>
      <c r="O107" s="118" t="s">
        <v>160</v>
      </c>
      <c r="P107" s="118" t="s">
        <v>160</v>
      </c>
      <c r="Q107" s="118">
        <v>31107</v>
      </c>
      <c r="R107" s="118">
        <f>+Q107</f>
        <v>31107</v>
      </c>
      <c r="S107" s="118">
        <v>0</v>
      </c>
      <c r="T107" s="118">
        <v>31107</v>
      </c>
    </row>
    <row r="108" spans="1:20" ht="12.75" hidden="1" customHeight="1" outlineLevel="1" x14ac:dyDescent="0.2">
      <c r="A108" s="532" t="s">
        <v>1215</v>
      </c>
      <c r="B108" s="532" t="s">
        <v>1227</v>
      </c>
      <c r="D108" s="129" t="str">
        <f>IF([1]RENAME!$H$3=1,B108,A108)</f>
        <v xml:space="preserve">Variação cambial de investida localizada no exterior </v>
      </c>
      <c r="E108" s="118" t="s">
        <v>160</v>
      </c>
      <c r="F108" s="118" t="s">
        <v>160</v>
      </c>
      <c r="G108" s="118"/>
      <c r="H108" s="118" t="s">
        <v>160</v>
      </c>
      <c r="I108" s="118" t="s">
        <v>160</v>
      </c>
      <c r="J108" s="118" t="s">
        <v>160</v>
      </c>
      <c r="K108" s="118" t="s">
        <v>160</v>
      </c>
      <c r="L108" s="118"/>
      <c r="M108" s="118" t="s">
        <v>160</v>
      </c>
      <c r="N108" s="118" t="s">
        <v>160</v>
      </c>
      <c r="O108" s="118" t="s">
        <v>160</v>
      </c>
      <c r="P108" s="118" t="s">
        <v>160</v>
      </c>
      <c r="Q108" s="118" t="s">
        <v>160</v>
      </c>
      <c r="R108" s="118">
        <v>0</v>
      </c>
      <c r="S108" s="118">
        <v>0</v>
      </c>
      <c r="T108" s="118">
        <v>0</v>
      </c>
    </row>
    <row r="109" spans="1:20" ht="12.75" hidden="1" customHeight="1" outlineLevel="1" x14ac:dyDescent="0.2">
      <c r="A109" s="532" t="s">
        <v>1217</v>
      </c>
      <c r="B109" s="532" t="s">
        <v>1228</v>
      </c>
      <c r="D109" s="129" t="str">
        <f>IF([1]RENAME!$H$3=1,B109,A109)</f>
        <v>Plano de opções de ações</v>
      </c>
      <c r="E109" s="118" t="s">
        <v>160</v>
      </c>
      <c r="F109" s="118" t="s">
        <v>160</v>
      </c>
      <c r="G109" s="118"/>
      <c r="H109" s="118" t="s">
        <v>160</v>
      </c>
      <c r="I109" s="118" t="s">
        <v>160</v>
      </c>
      <c r="J109" s="118" t="s">
        <v>160</v>
      </c>
      <c r="K109" s="118" t="s">
        <v>160</v>
      </c>
      <c r="L109" s="118"/>
      <c r="M109" s="118" t="s">
        <v>160</v>
      </c>
      <c r="N109" s="118" t="s">
        <v>160</v>
      </c>
      <c r="O109" s="118" t="s">
        <v>160</v>
      </c>
      <c r="P109" s="118" t="s">
        <v>160</v>
      </c>
      <c r="Q109" s="118" t="s">
        <v>160</v>
      </c>
      <c r="R109" s="118">
        <v>0</v>
      </c>
      <c r="S109" s="118">
        <v>0</v>
      </c>
      <c r="T109" s="118">
        <v>0</v>
      </c>
    </row>
    <row r="110" spans="1:20" ht="25.5" hidden="1" outlineLevel="1" x14ac:dyDescent="0.2">
      <c r="A110" s="532" t="s">
        <v>1347</v>
      </c>
      <c r="B110" s="532" t="s">
        <v>1386</v>
      </c>
      <c r="D110" s="129" t="str">
        <f>IF([1]RENAME!$H$3=1,B110,A110)</f>
        <v>Resultado líquido com instrumentos financeiros designados como hedge accounting</v>
      </c>
      <c r="E110" s="118">
        <v>0</v>
      </c>
      <c r="F110" s="118">
        <v>0</v>
      </c>
      <c r="G110" s="118"/>
      <c r="H110" s="118">
        <v>0</v>
      </c>
      <c r="I110" s="118">
        <v>0</v>
      </c>
      <c r="J110" s="118">
        <v>0</v>
      </c>
      <c r="K110" s="118">
        <v>0</v>
      </c>
      <c r="L110" s="118"/>
      <c r="M110" s="118">
        <v>0</v>
      </c>
      <c r="N110" s="118">
        <v>0</v>
      </c>
      <c r="O110" s="118">
        <v>0</v>
      </c>
      <c r="P110" s="118">
        <v>139</v>
      </c>
      <c r="Q110" s="118">
        <v>0</v>
      </c>
      <c r="R110" s="118">
        <f>+P110</f>
        <v>139</v>
      </c>
      <c r="S110" s="118">
        <v>0</v>
      </c>
      <c r="T110" s="118">
        <v>139</v>
      </c>
    </row>
    <row r="111" spans="1:20" hidden="1" outlineLevel="1" x14ac:dyDescent="0.2">
      <c r="A111" s="532" t="s">
        <v>1599</v>
      </c>
      <c r="B111" s="532" t="s">
        <v>1600</v>
      </c>
      <c r="D111" s="129" t="str">
        <f>IF([1]RENAME!$H$3=1,B111,A111)</f>
        <v>Incentivos fiscais</v>
      </c>
      <c r="E111" s="118">
        <v>0</v>
      </c>
      <c r="F111" s="118">
        <v>0</v>
      </c>
      <c r="G111" s="118"/>
      <c r="H111" s="118"/>
      <c r="I111" s="118"/>
      <c r="J111" s="118">
        <v>3761</v>
      </c>
      <c r="K111" s="118">
        <v>0</v>
      </c>
      <c r="L111" s="118"/>
      <c r="M111" s="118">
        <v>0</v>
      </c>
      <c r="N111" s="118">
        <v>0</v>
      </c>
      <c r="O111" s="118">
        <v>0</v>
      </c>
      <c r="P111" s="118">
        <v>0</v>
      </c>
      <c r="Q111" s="118">
        <v>-3761</v>
      </c>
      <c r="R111" s="118">
        <f>+SUM(E111:Q111)</f>
        <v>0</v>
      </c>
      <c r="S111" s="118">
        <v>0</v>
      </c>
      <c r="T111" s="118">
        <v>0</v>
      </c>
    </row>
    <row r="112" spans="1:20" ht="12.75" hidden="1" customHeight="1" outlineLevel="1" x14ac:dyDescent="0.2">
      <c r="A112" s="532" t="s">
        <v>1210</v>
      </c>
      <c r="B112" s="532" t="s">
        <v>1229</v>
      </c>
      <c r="D112" s="129" t="str">
        <f>IF([1]RENAME!$H$3=1,B112,A112)</f>
        <v>Destinação:</v>
      </c>
      <c r="E112" s="118"/>
      <c r="F112" s="118"/>
      <c r="G112" s="118"/>
      <c r="H112" s="118"/>
      <c r="I112" s="118"/>
      <c r="J112" s="118"/>
      <c r="K112" s="118"/>
      <c r="L112" s="118"/>
      <c r="M112" s="118"/>
      <c r="N112" s="118"/>
      <c r="O112" s="118"/>
      <c r="P112" s="118"/>
      <c r="Q112" s="118"/>
      <c r="R112" s="118"/>
      <c r="S112" s="118"/>
      <c r="T112" s="118"/>
    </row>
    <row r="113" spans="1:20" ht="12.75" hidden="1" customHeight="1" outlineLevel="1" x14ac:dyDescent="0.2">
      <c r="A113" s="532" t="s">
        <v>1211</v>
      </c>
      <c r="B113" s="532" t="s">
        <v>1230</v>
      </c>
      <c r="D113" s="129" t="str">
        <f>IF([1]RENAME!$H$3=1,B113,A113)</f>
        <v>Constituição de Reservas</v>
      </c>
      <c r="E113" s="118" t="s">
        <v>160</v>
      </c>
      <c r="F113" s="118" t="s">
        <v>160</v>
      </c>
      <c r="G113" s="118"/>
      <c r="H113" s="118" t="s">
        <v>160</v>
      </c>
      <c r="I113" s="118" t="s">
        <v>160</v>
      </c>
      <c r="J113" s="118" t="s">
        <v>160</v>
      </c>
      <c r="K113" s="118" t="s">
        <v>160</v>
      </c>
      <c r="L113" s="118"/>
      <c r="M113" s="118" t="s">
        <v>160</v>
      </c>
      <c r="N113" s="118" t="s">
        <v>160</v>
      </c>
      <c r="O113" s="118" t="s">
        <v>160</v>
      </c>
      <c r="P113" s="118" t="s">
        <v>160</v>
      </c>
      <c r="Q113" s="118" t="s">
        <v>160</v>
      </c>
      <c r="R113" s="118">
        <v>0</v>
      </c>
      <c r="S113" s="118">
        <v>0</v>
      </c>
      <c r="T113" s="118">
        <v>0</v>
      </c>
    </row>
    <row r="114" spans="1:20" ht="12.75" hidden="1" customHeight="1" outlineLevel="1" x14ac:dyDescent="0.2">
      <c r="A114" s="532" t="s">
        <v>1213</v>
      </c>
      <c r="B114" s="532" t="s">
        <v>1231</v>
      </c>
      <c r="D114" s="129" t="str">
        <f>IF([1]RENAME!$H$3=1,B114,A114)</f>
        <v>Constituição de Reserva Legal</v>
      </c>
      <c r="E114" s="118" t="s">
        <v>160</v>
      </c>
      <c r="F114" s="118" t="s">
        <v>160</v>
      </c>
      <c r="G114" s="118"/>
      <c r="H114" s="118" t="s">
        <v>160</v>
      </c>
      <c r="I114" s="118" t="s">
        <v>160</v>
      </c>
      <c r="J114" s="118" t="s">
        <v>160</v>
      </c>
      <c r="K114" s="118" t="s">
        <v>160</v>
      </c>
      <c r="L114" s="118"/>
      <c r="M114" s="118" t="s">
        <v>160</v>
      </c>
      <c r="N114" s="118" t="s">
        <v>160</v>
      </c>
      <c r="O114" s="118" t="s">
        <v>160</v>
      </c>
      <c r="P114" s="118" t="s">
        <v>160</v>
      </c>
      <c r="Q114" s="118" t="s">
        <v>160</v>
      </c>
      <c r="R114" s="118">
        <v>0</v>
      </c>
      <c r="S114" s="118">
        <v>0</v>
      </c>
      <c r="T114" s="118">
        <v>0</v>
      </c>
    </row>
    <row r="115" spans="1:20" ht="14.25" hidden="1" customHeight="1" outlineLevel="1" x14ac:dyDescent="0.2">
      <c r="A115" s="532" t="s">
        <v>1280</v>
      </c>
      <c r="B115" s="532" t="s">
        <v>1281</v>
      </c>
      <c r="D115" s="129" t="str">
        <f>IF([1]RENAME!$H$3=1,B115,A115)</f>
        <v>Dividendos e juros sobre capital próprio</v>
      </c>
      <c r="E115" s="118">
        <v>0</v>
      </c>
      <c r="F115" s="118">
        <v>0</v>
      </c>
      <c r="G115" s="118"/>
      <c r="H115" s="118">
        <v>0</v>
      </c>
      <c r="I115" s="118">
        <v>0</v>
      </c>
      <c r="J115" s="118">
        <v>0</v>
      </c>
      <c r="K115" s="118">
        <v>0</v>
      </c>
      <c r="L115" s="118"/>
      <c r="M115" s="118">
        <v>0</v>
      </c>
      <c r="N115" s="118">
        <v>0</v>
      </c>
      <c r="O115" s="118">
        <v>0</v>
      </c>
      <c r="P115" s="118">
        <v>0</v>
      </c>
      <c r="Q115" s="118">
        <v>-21090</v>
      </c>
      <c r="R115" s="118">
        <f>+Q115</f>
        <v>-21090</v>
      </c>
      <c r="S115" s="118">
        <v>0</v>
      </c>
      <c r="T115" s="118">
        <f>+R115</f>
        <v>-21090</v>
      </c>
    </row>
    <row r="116" spans="1:20" collapsed="1" x14ac:dyDescent="0.2">
      <c r="A116" s="532" t="s">
        <v>1339</v>
      </c>
      <c r="B116" s="532" t="s">
        <v>1338</v>
      </c>
      <c r="D116" s="126" t="s">
        <v>1339</v>
      </c>
      <c r="E116" s="120">
        <f>+SUM(E105:E115)</f>
        <v>144469</v>
      </c>
      <c r="F116" s="120">
        <f t="shared" ref="F116:T116" si="22">+SUM(F105:F115)</f>
        <v>174055</v>
      </c>
      <c r="G116" s="120"/>
      <c r="H116" s="120">
        <f t="shared" si="22"/>
        <v>0</v>
      </c>
      <c r="I116" s="120">
        <f t="shared" si="22"/>
        <v>0</v>
      </c>
      <c r="J116" s="120">
        <f t="shared" si="22"/>
        <v>21821</v>
      </c>
      <c r="K116" s="120">
        <f t="shared" si="22"/>
        <v>28894</v>
      </c>
      <c r="L116" s="120" t="s">
        <v>160</v>
      </c>
      <c r="M116" s="120">
        <f t="shared" si="22"/>
        <v>54042.385999999999</v>
      </c>
      <c r="N116" s="120">
        <f t="shared" si="22"/>
        <v>0</v>
      </c>
      <c r="O116" s="120">
        <f t="shared" si="22"/>
        <v>-342</v>
      </c>
      <c r="P116" s="120">
        <f t="shared" si="22"/>
        <v>139</v>
      </c>
      <c r="Q116" s="120">
        <f t="shared" si="22"/>
        <v>42337</v>
      </c>
      <c r="R116" s="120">
        <f t="shared" si="22"/>
        <v>465415.386</v>
      </c>
      <c r="S116" s="120">
        <f t="shared" si="22"/>
        <v>0</v>
      </c>
      <c r="T116" s="120">
        <f t="shared" si="22"/>
        <v>465415.386</v>
      </c>
    </row>
    <row r="117" spans="1:20" ht="13.5" customHeight="1" x14ac:dyDescent="0.2"/>
    <row r="118" spans="1:20" hidden="1" outlineLevel="1" x14ac:dyDescent="0.2">
      <c r="A118" s="532" t="s">
        <v>1226</v>
      </c>
      <c r="B118" s="532" t="s">
        <v>1225</v>
      </c>
      <c r="D118" s="129" t="str">
        <f>IF([1]RENAME!$H$3=1,B118,A118)</f>
        <v>Lucro líquido do período</v>
      </c>
      <c r="E118" s="118" t="s">
        <v>160</v>
      </c>
      <c r="F118" s="118" t="s">
        <v>160</v>
      </c>
      <c r="G118" s="118"/>
      <c r="H118" s="118" t="s">
        <v>160</v>
      </c>
      <c r="I118" s="118" t="s">
        <v>160</v>
      </c>
      <c r="J118" s="118">
        <v>0</v>
      </c>
      <c r="K118" s="118" t="s">
        <v>160</v>
      </c>
      <c r="L118" s="118"/>
      <c r="M118" s="118" t="s">
        <v>160</v>
      </c>
      <c r="N118" s="118" t="s">
        <v>160</v>
      </c>
      <c r="O118" s="118" t="s">
        <v>160</v>
      </c>
      <c r="P118" s="118" t="s">
        <v>160</v>
      </c>
      <c r="Q118" s="118">
        <v>34961</v>
      </c>
      <c r="R118" s="118">
        <f t="shared" ref="R118:R127" si="23">+SUM(E118:Q118)</f>
        <v>34961</v>
      </c>
      <c r="S118" s="118">
        <v>0</v>
      </c>
      <c r="T118" s="118">
        <f t="shared" ref="T118:T126" si="24">+SUM(R118:S118)</f>
        <v>34961</v>
      </c>
    </row>
    <row r="119" spans="1:20" ht="25.5" hidden="1" outlineLevel="1" x14ac:dyDescent="0.2">
      <c r="A119" s="532" t="s">
        <v>1215</v>
      </c>
      <c r="B119" s="532" t="s">
        <v>1227</v>
      </c>
      <c r="D119" s="129" t="str">
        <f>IF([1]RENAME!$H$3=1,B119,A119)</f>
        <v xml:space="preserve">Variação cambial de investida localizada no exterior </v>
      </c>
      <c r="E119" s="118" t="s">
        <v>160</v>
      </c>
      <c r="F119" s="118" t="s">
        <v>160</v>
      </c>
      <c r="G119" s="118"/>
      <c r="H119" s="118" t="s">
        <v>160</v>
      </c>
      <c r="I119" s="118" t="s">
        <v>160</v>
      </c>
      <c r="J119" s="118">
        <v>0</v>
      </c>
      <c r="K119" s="118" t="s">
        <v>160</v>
      </c>
      <c r="L119" s="118"/>
      <c r="M119" s="118" t="s">
        <v>160</v>
      </c>
      <c r="N119" s="118" t="s">
        <v>160</v>
      </c>
      <c r="O119" s="118" t="s">
        <v>160</v>
      </c>
      <c r="P119" s="118" t="s">
        <v>160</v>
      </c>
      <c r="Q119" s="118" t="s">
        <v>160</v>
      </c>
      <c r="R119" s="118">
        <f t="shared" si="23"/>
        <v>0</v>
      </c>
      <c r="S119" s="118">
        <v>0</v>
      </c>
      <c r="T119" s="118">
        <f t="shared" si="24"/>
        <v>0</v>
      </c>
    </row>
    <row r="120" spans="1:20" hidden="1" outlineLevel="1" x14ac:dyDescent="0.2">
      <c r="A120" s="532" t="s">
        <v>1217</v>
      </c>
      <c r="B120" s="532" t="s">
        <v>1228</v>
      </c>
      <c r="D120" s="129" t="str">
        <f>IF([1]RENAME!$H$3=1,B120,A120)</f>
        <v>Plano de opções de ações</v>
      </c>
      <c r="E120" s="118" t="s">
        <v>160</v>
      </c>
      <c r="F120" s="118" t="s">
        <v>160</v>
      </c>
      <c r="G120" s="118"/>
      <c r="H120" s="118" t="s">
        <v>160</v>
      </c>
      <c r="I120" s="118" t="s">
        <v>160</v>
      </c>
      <c r="J120" s="118">
        <v>0</v>
      </c>
      <c r="K120" s="118" t="s">
        <v>160</v>
      </c>
      <c r="L120" s="118"/>
      <c r="M120" s="118" t="s">
        <v>160</v>
      </c>
      <c r="N120" s="118" t="s">
        <v>160</v>
      </c>
      <c r="O120" s="118" t="s">
        <v>160</v>
      </c>
      <c r="P120" s="118" t="s">
        <v>160</v>
      </c>
      <c r="Q120" s="118" t="s">
        <v>160</v>
      </c>
      <c r="R120" s="118">
        <f t="shared" si="23"/>
        <v>0</v>
      </c>
      <c r="S120" s="118">
        <v>0</v>
      </c>
      <c r="T120" s="118">
        <f t="shared" si="24"/>
        <v>0</v>
      </c>
    </row>
    <row r="121" spans="1:20" ht="25.5" hidden="1" outlineLevel="1" x14ac:dyDescent="0.2">
      <c r="A121" s="532" t="s">
        <v>1347</v>
      </c>
      <c r="B121" s="532" t="s">
        <v>1386</v>
      </c>
      <c r="D121" s="129" t="str">
        <f>IF([1]RENAME!$H$3=1,B121,A121)</f>
        <v>Resultado líquido com instrumentos financeiros designados como hedge accounting</v>
      </c>
      <c r="E121" s="118" t="s">
        <v>160</v>
      </c>
      <c r="F121" s="118" t="s">
        <v>160</v>
      </c>
      <c r="G121" s="118"/>
      <c r="H121" s="118" t="s">
        <v>160</v>
      </c>
      <c r="I121" s="118" t="s">
        <v>160</v>
      </c>
      <c r="J121" s="118">
        <v>0</v>
      </c>
      <c r="K121" s="118" t="s">
        <v>160</v>
      </c>
      <c r="L121" s="118"/>
      <c r="M121" s="118" t="s">
        <v>160</v>
      </c>
      <c r="N121" s="118" t="s">
        <v>160</v>
      </c>
      <c r="O121" s="118" t="s">
        <v>160</v>
      </c>
      <c r="P121" s="118">
        <v>-450</v>
      </c>
      <c r="Q121" s="118" t="s">
        <v>160</v>
      </c>
      <c r="R121" s="118">
        <f t="shared" si="23"/>
        <v>-450</v>
      </c>
      <c r="S121" s="118">
        <v>0</v>
      </c>
      <c r="T121" s="118">
        <f t="shared" si="24"/>
        <v>-450</v>
      </c>
    </row>
    <row r="122" spans="1:20" hidden="1" outlineLevel="1" x14ac:dyDescent="0.2">
      <c r="A122" s="532" t="s">
        <v>1624</v>
      </c>
      <c r="B122" s="532" t="s">
        <v>1625</v>
      </c>
      <c r="D122" s="129" t="str">
        <f>IF([1]RENAME!$H$3=1,B122,A122)</f>
        <v>Tributos diferidos sobre hedge accounting</v>
      </c>
      <c r="E122" s="118" t="s">
        <v>160</v>
      </c>
      <c r="F122" s="118" t="s">
        <v>160</v>
      </c>
      <c r="G122" s="118"/>
      <c r="H122" s="118"/>
      <c r="I122" s="118"/>
      <c r="J122" s="118">
        <v>0</v>
      </c>
      <c r="K122" s="118" t="s">
        <v>160</v>
      </c>
      <c r="L122" s="118"/>
      <c r="M122" s="118" t="s">
        <v>160</v>
      </c>
      <c r="N122" s="118" t="s">
        <v>160</v>
      </c>
      <c r="O122" s="118" t="s">
        <v>160</v>
      </c>
      <c r="P122" s="118" t="s">
        <v>160</v>
      </c>
      <c r="Q122" s="118" t="s">
        <v>160</v>
      </c>
      <c r="R122" s="118">
        <f t="shared" si="23"/>
        <v>0</v>
      </c>
      <c r="S122" s="118">
        <v>0</v>
      </c>
      <c r="T122" s="118">
        <f t="shared" si="24"/>
        <v>0</v>
      </c>
    </row>
    <row r="123" spans="1:20" hidden="1" outlineLevel="1" x14ac:dyDescent="0.2">
      <c r="A123" s="532" t="s">
        <v>1599</v>
      </c>
      <c r="B123" s="532" t="s">
        <v>1600</v>
      </c>
      <c r="D123" s="129" t="str">
        <f>IF([1]RENAME!$H$3=1,B123,A123)</f>
        <v>Incentivos fiscais</v>
      </c>
      <c r="E123" s="118" t="s">
        <v>160</v>
      </c>
      <c r="F123" s="118" t="s">
        <v>160</v>
      </c>
      <c r="G123" s="118"/>
      <c r="H123" s="118"/>
      <c r="I123" s="118"/>
      <c r="J123" s="118">
        <v>4145</v>
      </c>
      <c r="K123" s="118" t="s">
        <v>160</v>
      </c>
      <c r="L123" s="118"/>
      <c r="M123" s="118" t="s">
        <v>160</v>
      </c>
      <c r="N123" s="118" t="s">
        <v>160</v>
      </c>
      <c r="O123" s="118" t="s">
        <v>160</v>
      </c>
      <c r="P123" s="118" t="s">
        <v>160</v>
      </c>
      <c r="Q123" s="118">
        <v>-4145</v>
      </c>
      <c r="R123" s="118">
        <f>+SUM(E123:Q123)</f>
        <v>0</v>
      </c>
      <c r="S123" s="118">
        <v>0</v>
      </c>
      <c r="T123" s="118">
        <f t="shared" si="24"/>
        <v>0</v>
      </c>
    </row>
    <row r="124" spans="1:20" hidden="1" outlineLevel="1" x14ac:dyDescent="0.2">
      <c r="A124" s="532" t="s">
        <v>1210</v>
      </c>
      <c r="B124" s="532" t="s">
        <v>1229</v>
      </c>
      <c r="D124" s="129" t="str">
        <f>IF([1]RENAME!$H$3=1,B124,A124)</f>
        <v>Destinação:</v>
      </c>
      <c r="E124" s="118"/>
      <c r="F124" s="118"/>
      <c r="G124" s="118"/>
      <c r="H124" s="118"/>
      <c r="I124" s="118"/>
      <c r="J124" s="118"/>
      <c r="K124" s="118"/>
      <c r="L124" s="118"/>
      <c r="M124" s="118"/>
      <c r="N124" s="118"/>
      <c r="O124" s="118"/>
      <c r="P124" s="118"/>
      <c r="Q124" s="118"/>
      <c r="R124" s="118"/>
      <c r="S124" s="118"/>
      <c r="T124" s="118"/>
    </row>
    <row r="125" spans="1:20" hidden="1" outlineLevel="1" x14ac:dyDescent="0.2">
      <c r="A125" s="532" t="s">
        <v>1211</v>
      </c>
      <c r="B125" s="532" t="s">
        <v>1230</v>
      </c>
      <c r="D125" s="129" t="str">
        <f>IF([1]RENAME!$H$3=1,B125,A125)</f>
        <v>Constituição de Reservas</v>
      </c>
      <c r="E125" s="118" t="s">
        <v>160</v>
      </c>
      <c r="F125" s="118" t="s">
        <v>160</v>
      </c>
      <c r="G125" s="118"/>
      <c r="H125" s="118" t="s">
        <v>160</v>
      </c>
      <c r="I125" s="118" t="s">
        <v>160</v>
      </c>
      <c r="J125" s="118">
        <v>0</v>
      </c>
      <c r="K125" s="118" t="s">
        <v>160</v>
      </c>
      <c r="L125" s="118"/>
      <c r="M125" s="118">
        <v>94243</v>
      </c>
      <c r="N125" s="118" t="s">
        <v>160</v>
      </c>
      <c r="O125" s="118" t="s">
        <v>160</v>
      </c>
      <c r="P125" s="118" t="s">
        <v>160</v>
      </c>
      <c r="Q125" s="118">
        <v>-94243</v>
      </c>
      <c r="R125" s="118">
        <f t="shared" si="23"/>
        <v>0</v>
      </c>
      <c r="S125" s="118">
        <v>0</v>
      </c>
      <c r="T125" s="118">
        <f t="shared" si="24"/>
        <v>0</v>
      </c>
    </row>
    <row r="126" spans="1:20" hidden="1" outlineLevel="1" x14ac:dyDescent="0.2">
      <c r="A126" s="532" t="s">
        <v>1213</v>
      </c>
      <c r="B126" s="532" t="s">
        <v>1231</v>
      </c>
      <c r="D126" s="129" t="str">
        <f>IF([1]RENAME!$H$3=1,B126,A126)</f>
        <v>Constituição de Reserva Legal</v>
      </c>
      <c r="E126" s="118" t="s">
        <v>160</v>
      </c>
      <c r="F126" s="118" t="s">
        <v>160</v>
      </c>
      <c r="G126" s="118"/>
      <c r="H126" s="118" t="s">
        <v>160</v>
      </c>
      <c r="I126" s="118" t="s">
        <v>160</v>
      </c>
      <c r="J126" s="118">
        <v>0</v>
      </c>
      <c r="K126" s="118" t="s">
        <v>160</v>
      </c>
      <c r="L126" s="118"/>
      <c r="M126" s="118" t="s">
        <v>160</v>
      </c>
      <c r="N126" s="118" t="s">
        <v>160</v>
      </c>
      <c r="O126" s="118" t="s">
        <v>160</v>
      </c>
      <c r="P126" s="118" t="s">
        <v>160</v>
      </c>
      <c r="Q126" s="118" t="s">
        <v>160</v>
      </c>
      <c r="R126" s="118">
        <f t="shared" si="23"/>
        <v>0</v>
      </c>
      <c r="S126" s="118">
        <v>0</v>
      </c>
      <c r="T126" s="118">
        <f t="shared" si="24"/>
        <v>0</v>
      </c>
    </row>
    <row r="127" spans="1:20" ht="14.25" hidden="1" customHeight="1" outlineLevel="1" x14ac:dyDescent="0.2">
      <c r="A127" s="532" t="s">
        <v>1280</v>
      </c>
      <c r="B127" s="532" t="s">
        <v>1281</v>
      </c>
      <c r="D127" s="129" t="str">
        <f>IF([1]RENAME!$H$3=1,B127,A127)</f>
        <v>Dividendos e juros sobre capital próprio</v>
      </c>
      <c r="E127" s="118" t="s">
        <v>160</v>
      </c>
      <c r="F127" s="118" t="s">
        <v>160</v>
      </c>
      <c r="G127" s="118"/>
      <c r="H127" s="118" t="s">
        <v>160</v>
      </c>
      <c r="I127" s="118" t="s">
        <v>160</v>
      </c>
      <c r="J127" s="118">
        <v>0</v>
      </c>
      <c r="K127" s="118" t="s">
        <v>160</v>
      </c>
      <c r="L127" s="118"/>
      <c r="M127" s="118">
        <v>-64950</v>
      </c>
      <c r="N127" s="118">
        <v>28306</v>
      </c>
      <c r="O127" s="118" t="s">
        <v>160</v>
      </c>
      <c r="P127" s="118" t="s">
        <v>160</v>
      </c>
      <c r="Q127" s="118">
        <v>21090</v>
      </c>
      <c r="R127" s="118">
        <f t="shared" si="23"/>
        <v>-15554</v>
      </c>
      <c r="S127" s="118">
        <v>0</v>
      </c>
      <c r="T127" s="118">
        <f>+SUM(R127:S127)</f>
        <v>-15554</v>
      </c>
    </row>
    <row r="128" spans="1:20" collapsed="1" x14ac:dyDescent="0.2">
      <c r="A128" s="532" t="s">
        <v>1393</v>
      </c>
      <c r="B128" s="532" t="s">
        <v>1395</v>
      </c>
      <c r="D128" s="126" t="str">
        <f>IF([1]RENAME!$H$3=1,B128,A128)</f>
        <v>Em 30 de dezembro de 2018</v>
      </c>
      <c r="E128" s="120">
        <f t="shared" ref="E128:T128" si="25">SUM(E116:E127)</f>
        <v>144469</v>
      </c>
      <c r="F128" s="120">
        <f t="shared" si="25"/>
        <v>174055</v>
      </c>
      <c r="G128" s="120"/>
      <c r="H128" s="120">
        <f t="shared" si="25"/>
        <v>0</v>
      </c>
      <c r="I128" s="120">
        <f t="shared" si="25"/>
        <v>0</v>
      </c>
      <c r="J128" s="120">
        <f t="shared" si="25"/>
        <v>25966</v>
      </c>
      <c r="K128" s="120">
        <f t="shared" si="25"/>
        <v>28894</v>
      </c>
      <c r="L128" s="120" t="s">
        <v>160</v>
      </c>
      <c r="M128" s="120">
        <f t="shared" si="25"/>
        <v>83335.385999999999</v>
      </c>
      <c r="N128" s="120">
        <f t="shared" si="25"/>
        <v>28306</v>
      </c>
      <c r="O128" s="120">
        <f t="shared" si="25"/>
        <v>-342</v>
      </c>
      <c r="P128" s="120">
        <f t="shared" si="25"/>
        <v>-311</v>
      </c>
      <c r="Q128" s="120">
        <f t="shared" si="25"/>
        <v>0</v>
      </c>
      <c r="R128" s="120">
        <f t="shared" si="25"/>
        <v>484372.386</v>
      </c>
      <c r="S128" s="120">
        <f t="shared" si="25"/>
        <v>0</v>
      </c>
      <c r="T128" s="120">
        <f t="shared" si="25"/>
        <v>484372.386</v>
      </c>
    </row>
    <row r="129" spans="1:20" ht="13.5" customHeight="1" x14ac:dyDescent="0.2"/>
    <row r="130" spans="1:20" hidden="1" outlineLevel="1" x14ac:dyDescent="0.2">
      <c r="A130" s="532" t="s">
        <v>1226</v>
      </c>
      <c r="B130" s="532" t="s">
        <v>1225</v>
      </c>
      <c r="D130" s="129" t="str">
        <f>IF([1]RENAME!$H$3=1,B130,A130)</f>
        <v>Lucro líquido do período</v>
      </c>
      <c r="E130" s="118">
        <v>0</v>
      </c>
      <c r="F130" s="118">
        <v>0</v>
      </c>
      <c r="G130" s="118"/>
      <c r="H130" s="118">
        <v>0</v>
      </c>
      <c r="I130" s="118">
        <v>0</v>
      </c>
      <c r="J130" s="118">
        <v>0</v>
      </c>
      <c r="K130" s="118">
        <v>0</v>
      </c>
      <c r="L130" s="118"/>
      <c r="M130" s="118">
        <v>0</v>
      </c>
      <c r="N130" s="118">
        <v>0</v>
      </c>
      <c r="O130" s="118">
        <v>0</v>
      </c>
      <c r="P130" s="118">
        <v>0</v>
      </c>
      <c r="Q130" s="118">
        <v>26621</v>
      </c>
      <c r="R130" s="118">
        <f>+SUM(E130:Q130)</f>
        <v>26621</v>
      </c>
      <c r="S130" s="118">
        <v>0</v>
      </c>
      <c r="T130" s="118">
        <f>+SUM(R130:S130)</f>
        <v>26621</v>
      </c>
    </row>
    <row r="131" spans="1:20" ht="25.5" hidden="1" outlineLevel="1" x14ac:dyDescent="0.2">
      <c r="A131" s="532" t="s">
        <v>1215</v>
      </c>
      <c r="B131" s="532" t="s">
        <v>1227</v>
      </c>
      <c r="D131" s="129" t="str">
        <f>IF([1]RENAME!$H$3=1,B131,A131)</f>
        <v xml:space="preserve">Variação cambial de investida localizada no exterior </v>
      </c>
      <c r="E131" s="118">
        <v>0</v>
      </c>
      <c r="F131" s="118">
        <v>0</v>
      </c>
      <c r="G131" s="118"/>
      <c r="H131" s="118">
        <v>0</v>
      </c>
      <c r="I131" s="118">
        <v>0</v>
      </c>
      <c r="J131" s="118">
        <v>0</v>
      </c>
      <c r="K131" s="118">
        <v>0</v>
      </c>
      <c r="L131" s="118"/>
      <c r="M131" s="118">
        <v>0</v>
      </c>
      <c r="N131" s="118">
        <v>0</v>
      </c>
      <c r="O131" s="118">
        <v>0</v>
      </c>
      <c r="P131" s="118">
        <v>0</v>
      </c>
      <c r="Q131" s="118">
        <v>0</v>
      </c>
      <c r="R131" s="118">
        <v>0</v>
      </c>
      <c r="S131" s="118">
        <v>0</v>
      </c>
      <c r="T131" s="118">
        <f t="shared" ref="T131:T139" si="26">+SUM(R131:S131)</f>
        <v>0</v>
      </c>
    </row>
    <row r="132" spans="1:20" hidden="1" outlineLevel="1" x14ac:dyDescent="0.2">
      <c r="A132" s="532" t="s">
        <v>1217</v>
      </c>
      <c r="B132" s="532" t="s">
        <v>1228</v>
      </c>
      <c r="D132" s="129" t="str">
        <f>IF([1]RENAME!$H$3=1,B132,A132)</f>
        <v>Plano de opções de ações</v>
      </c>
      <c r="E132" s="118">
        <v>0</v>
      </c>
      <c r="F132" s="118">
        <v>0</v>
      </c>
      <c r="G132" s="118"/>
      <c r="H132" s="118">
        <v>0</v>
      </c>
      <c r="I132" s="118">
        <v>0</v>
      </c>
      <c r="J132" s="118">
        <v>0</v>
      </c>
      <c r="K132" s="118">
        <v>0</v>
      </c>
      <c r="L132" s="118"/>
      <c r="M132" s="118">
        <v>0</v>
      </c>
      <c r="N132" s="118">
        <v>0</v>
      </c>
      <c r="O132" s="118">
        <v>0</v>
      </c>
      <c r="P132" s="118">
        <v>0</v>
      </c>
      <c r="Q132" s="118">
        <v>0</v>
      </c>
      <c r="R132" s="118">
        <v>0</v>
      </c>
      <c r="S132" s="118">
        <v>0</v>
      </c>
      <c r="T132" s="118">
        <f t="shared" si="26"/>
        <v>0</v>
      </c>
    </row>
    <row r="133" spans="1:20" ht="25.5" hidden="1" outlineLevel="1" x14ac:dyDescent="0.2">
      <c r="A133" s="532" t="s">
        <v>1347</v>
      </c>
      <c r="B133" s="532" t="s">
        <v>1386</v>
      </c>
      <c r="D133" s="129" t="str">
        <f>IF([1]RENAME!$H$3=1,B133,A133)</f>
        <v>Resultado líquido com instrumentos financeiros designados como hedge accounting</v>
      </c>
      <c r="E133" s="118" t="s">
        <v>160</v>
      </c>
      <c r="F133" s="118" t="s">
        <v>160</v>
      </c>
      <c r="G133" s="118"/>
      <c r="H133" s="118">
        <v>0</v>
      </c>
      <c r="I133" s="118">
        <v>0</v>
      </c>
      <c r="J133" s="118">
        <v>0</v>
      </c>
      <c r="K133" s="118" t="s">
        <v>160</v>
      </c>
      <c r="L133" s="118"/>
      <c r="M133" s="118" t="s">
        <v>160</v>
      </c>
      <c r="N133" s="118" t="s">
        <v>160</v>
      </c>
      <c r="O133" s="118" t="s">
        <v>160</v>
      </c>
      <c r="P133" s="118">
        <v>19</v>
      </c>
      <c r="Q133" s="118">
        <v>0</v>
      </c>
      <c r="R133" s="118">
        <f>+SUM(E133:Q133)</f>
        <v>19</v>
      </c>
      <c r="S133" s="118">
        <v>0</v>
      </c>
      <c r="T133" s="118">
        <f t="shared" si="26"/>
        <v>19</v>
      </c>
    </row>
    <row r="134" spans="1:20" hidden="1" outlineLevel="1" x14ac:dyDescent="0.2">
      <c r="A134" s="532" t="s">
        <v>1624</v>
      </c>
      <c r="B134" s="532" t="s">
        <v>1625</v>
      </c>
      <c r="D134" s="129" t="str">
        <f>IF([1]RENAME!$H$3=1,B134,A134)</f>
        <v>Tributos diferidos sobre hedge accounting</v>
      </c>
      <c r="E134" s="118" t="s">
        <v>160</v>
      </c>
      <c r="F134" s="118" t="s">
        <v>160</v>
      </c>
      <c r="G134" s="118"/>
      <c r="H134" s="118"/>
      <c r="I134" s="118"/>
      <c r="J134" s="118" t="s">
        <v>160</v>
      </c>
      <c r="K134" s="118" t="s">
        <v>160</v>
      </c>
      <c r="L134" s="118"/>
      <c r="M134" s="118" t="s">
        <v>160</v>
      </c>
      <c r="N134" s="118" t="s">
        <v>160</v>
      </c>
      <c r="O134" s="118" t="s">
        <v>160</v>
      </c>
      <c r="P134" s="118">
        <v>-7</v>
      </c>
      <c r="Q134" s="118" t="s">
        <v>160</v>
      </c>
      <c r="R134" s="118">
        <f>+SUM(E134:Q134)</f>
        <v>-7</v>
      </c>
      <c r="S134" s="118" t="s">
        <v>160</v>
      </c>
      <c r="T134" s="118">
        <f t="shared" si="26"/>
        <v>-7</v>
      </c>
    </row>
    <row r="135" spans="1:20" hidden="1" outlineLevel="1" x14ac:dyDescent="0.2">
      <c r="A135" s="532" t="s">
        <v>1599</v>
      </c>
      <c r="B135" s="532" t="s">
        <v>1600</v>
      </c>
      <c r="D135" s="129" t="str">
        <f>IF([1]RENAME!$H$3=1,B135,A135)</f>
        <v>Incentivos fiscais</v>
      </c>
      <c r="E135" s="118" t="s">
        <v>160</v>
      </c>
      <c r="F135" s="118" t="s">
        <v>160</v>
      </c>
      <c r="G135" s="118"/>
      <c r="H135" s="118"/>
      <c r="I135" s="118"/>
      <c r="J135" s="118">
        <v>4559</v>
      </c>
      <c r="K135" s="118" t="s">
        <v>160</v>
      </c>
      <c r="L135" s="118"/>
      <c r="M135" s="118" t="s">
        <v>160</v>
      </c>
      <c r="N135" s="118" t="s">
        <v>160</v>
      </c>
      <c r="O135" s="118" t="s">
        <v>160</v>
      </c>
      <c r="P135" s="118" t="s">
        <v>160</v>
      </c>
      <c r="Q135" s="118">
        <v>-4559</v>
      </c>
      <c r="R135" s="118">
        <f>+SUM(E135:Q135)</f>
        <v>0</v>
      </c>
      <c r="S135" s="118" t="s">
        <v>160</v>
      </c>
      <c r="T135" s="118">
        <f t="shared" si="26"/>
        <v>0</v>
      </c>
    </row>
    <row r="136" spans="1:20" hidden="1" outlineLevel="1" x14ac:dyDescent="0.2">
      <c r="A136" s="532" t="s">
        <v>1210</v>
      </c>
      <c r="B136" s="532" t="s">
        <v>1229</v>
      </c>
      <c r="D136" s="129" t="str">
        <f>IF([1]RENAME!$H$3=1,B136,A136)</f>
        <v>Destinação:</v>
      </c>
      <c r="E136" s="118"/>
      <c r="F136" s="118"/>
      <c r="G136" s="118"/>
      <c r="H136" s="118"/>
      <c r="I136" s="118"/>
      <c r="J136" s="118"/>
      <c r="K136" s="118"/>
      <c r="L136" s="118"/>
      <c r="M136" s="118"/>
      <c r="N136" s="118"/>
      <c r="O136" s="118"/>
      <c r="P136" s="118"/>
      <c r="Q136" s="118"/>
      <c r="R136" s="118"/>
      <c r="S136" s="118"/>
      <c r="T136" s="118"/>
    </row>
    <row r="137" spans="1:20" hidden="1" outlineLevel="1" x14ac:dyDescent="0.2">
      <c r="A137" s="532" t="s">
        <v>1211</v>
      </c>
      <c r="B137" s="532" t="s">
        <v>1230</v>
      </c>
      <c r="D137" s="129" t="str">
        <f>IF([1]RENAME!$H$3=1,B137,A137)</f>
        <v>Constituição de Reservas</v>
      </c>
      <c r="E137" s="118" t="s">
        <v>160</v>
      </c>
      <c r="F137" s="118" t="s">
        <v>160</v>
      </c>
      <c r="G137" s="118"/>
      <c r="H137" s="118">
        <v>0</v>
      </c>
      <c r="I137" s="118">
        <v>0</v>
      </c>
      <c r="J137" s="118">
        <v>0</v>
      </c>
      <c r="K137" s="118">
        <v>0</v>
      </c>
      <c r="L137" s="118"/>
      <c r="M137" s="118">
        <v>0</v>
      </c>
      <c r="N137" s="118">
        <v>0</v>
      </c>
      <c r="O137" s="118">
        <v>0</v>
      </c>
      <c r="P137" s="118">
        <v>0</v>
      </c>
      <c r="Q137" s="118">
        <v>0</v>
      </c>
      <c r="R137" s="118">
        <v>0</v>
      </c>
      <c r="S137" s="118">
        <v>0</v>
      </c>
      <c r="T137" s="118">
        <f t="shared" si="26"/>
        <v>0</v>
      </c>
    </row>
    <row r="138" spans="1:20" hidden="1" outlineLevel="1" x14ac:dyDescent="0.2">
      <c r="A138" s="532" t="s">
        <v>1213</v>
      </c>
      <c r="B138" s="532" t="s">
        <v>1231</v>
      </c>
      <c r="D138" s="129" t="str">
        <f>IF([1]RENAME!$H$3=1,B138,A138)</f>
        <v>Constituição de Reserva Legal</v>
      </c>
      <c r="E138" s="118">
        <v>0</v>
      </c>
      <c r="F138" s="118">
        <v>0</v>
      </c>
      <c r="G138" s="118"/>
      <c r="H138" s="118">
        <v>0</v>
      </c>
      <c r="I138" s="118">
        <v>0</v>
      </c>
      <c r="J138" s="118">
        <v>0</v>
      </c>
      <c r="K138" s="118">
        <v>0</v>
      </c>
      <c r="L138" s="118"/>
      <c r="M138" s="118">
        <v>0</v>
      </c>
      <c r="N138" s="118">
        <v>0</v>
      </c>
      <c r="O138" s="118">
        <v>0</v>
      </c>
      <c r="P138" s="118">
        <v>0</v>
      </c>
      <c r="Q138" s="118">
        <v>0</v>
      </c>
      <c r="R138" s="118">
        <v>0</v>
      </c>
      <c r="S138" s="118">
        <v>0</v>
      </c>
      <c r="T138" s="118">
        <f t="shared" si="26"/>
        <v>0</v>
      </c>
    </row>
    <row r="139" spans="1:20" ht="14.25" hidden="1" customHeight="1" outlineLevel="1" x14ac:dyDescent="0.2">
      <c r="A139" s="532" t="s">
        <v>1280</v>
      </c>
      <c r="B139" s="532" t="s">
        <v>1281</v>
      </c>
      <c r="D139" s="129" t="str">
        <f>IF([1]RENAME!$H$3=1,B139,A139)</f>
        <v>Dividendos e juros sobre capital próprio</v>
      </c>
      <c r="E139" s="118">
        <v>0</v>
      </c>
      <c r="F139" s="118">
        <v>0</v>
      </c>
      <c r="G139" s="118"/>
      <c r="H139" s="118">
        <v>0</v>
      </c>
      <c r="I139" s="118">
        <v>0</v>
      </c>
      <c r="J139" s="118">
        <v>0</v>
      </c>
      <c r="K139" s="118">
        <v>0</v>
      </c>
      <c r="L139" s="118"/>
      <c r="M139" s="118">
        <v>0</v>
      </c>
      <c r="N139" s="118">
        <v>0</v>
      </c>
      <c r="O139" s="118">
        <v>0</v>
      </c>
      <c r="P139" s="118">
        <v>0</v>
      </c>
      <c r="Q139" s="118">
        <v>0</v>
      </c>
      <c r="R139" s="118">
        <v>0</v>
      </c>
      <c r="S139" s="118">
        <v>0</v>
      </c>
      <c r="T139" s="118">
        <f t="shared" si="26"/>
        <v>0</v>
      </c>
    </row>
    <row r="140" spans="1:20" collapsed="1" x14ac:dyDescent="0.2">
      <c r="A140" s="532" t="s">
        <v>1424</v>
      </c>
      <c r="B140" s="532" t="s">
        <v>1425</v>
      </c>
      <c r="D140" s="126" t="str">
        <f>IF([1]RENAME!$H$3=1,B140,A140)</f>
        <v>Em 31 de março de 2019</v>
      </c>
      <c r="E140" s="120">
        <f t="shared" ref="E140:T140" si="27">SUM(E128:E139)</f>
        <v>144469</v>
      </c>
      <c r="F140" s="120">
        <f t="shared" si="27"/>
        <v>174055</v>
      </c>
      <c r="G140" s="120"/>
      <c r="H140" s="120">
        <f t="shared" si="27"/>
        <v>0</v>
      </c>
      <c r="I140" s="120">
        <f t="shared" si="27"/>
        <v>0</v>
      </c>
      <c r="J140" s="120">
        <f t="shared" si="27"/>
        <v>30525</v>
      </c>
      <c r="K140" s="120">
        <f t="shared" si="27"/>
        <v>28894</v>
      </c>
      <c r="L140" s="120" t="s">
        <v>160</v>
      </c>
      <c r="M140" s="120">
        <f t="shared" si="27"/>
        <v>83335.385999999999</v>
      </c>
      <c r="N140" s="120">
        <f t="shared" si="27"/>
        <v>28306</v>
      </c>
      <c r="O140" s="120">
        <f t="shared" si="27"/>
        <v>-342</v>
      </c>
      <c r="P140" s="120">
        <f t="shared" si="27"/>
        <v>-299</v>
      </c>
      <c r="Q140" s="120">
        <f t="shared" si="27"/>
        <v>22062</v>
      </c>
      <c r="R140" s="120">
        <f t="shared" si="27"/>
        <v>511005.386</v>
      </c>
      <c r="S140" s="120">
        <f t="shared" si="27"/>
        <v>0</v>
      </c>
      <c r="T140" s="120">
        <f t="shared" si="27"/>
        <v>511005.386</v>
      </c>
    </row>
    <row r="141" spans="1:20" s="606" customFormat="1" x14ac:dyDescent="0.2">
      <c r="C141"/>
      <c r="D141" s="149"/>
      <c r="E141" s="150"/>
      <c r="F141" s="150"/>
      <c r="G141" s="150"/>
      <c r="H141" s="150"/>
      <c r="I141" s="150"/>
      <c r="J141" s="150"/>
      <c r="K141" s="150"/>
      <c r="L141" s="150"/>
      <c r="M141" s="150"/>
      <c r="N141" s="150"/>
      <c r="O141" s="150"/>
      <c r="P141" s="150"/>
      <c r="Q141" s="150"/>
      <c r="R141" s="150"/>
      <c r="S141" s="150"/>
      <c r="T141" s="150"/>
    </row>
    <row r="142" spans="1:20" hidden="1" outlineLevel="1" x14ac:dyDescent="0.2">
      <c r="A142" s="532" t="s">
        <v>1226</v>
      </c>
      <c r="B142" s="532" t="s">
        <v>1225</v>
      </c>
      <c r="D142" s="129" t="str">
        <f>IF([1]RENAME!$H$3=1,B142,A142)</f>
        <v>Lucro líquido do período</v>
      </c>
      <c r="E142" s="118" t="s">
        <v>160</v>
      </c>
      <c r="F142" s="118" t="s">
        <v>160</v>
      </c>
      <c r="G142" s="118"/>
      <c r="H142" s="118" t="s">
        <v>160</v>
      </c>
      <c r="I142" s="118" t="s">
        <v>160</v>
      </c>
      <c r="J142" s="118" t="s">
        <v>160</v>
      </c>
      <c r="K142" s="118" t="s">
        <v>160</v>
      </c>
      <c r="L142" s="118"/>
      <c r="M142" s="118" t="s">
        <v>160</v>
      </c>
      <c r="N142" s="118" t="s">
        <v>160</v>
      </c>
      <c r="O142" s="118" t="s">
        <v>160</v>
      </c>
      <c r="P142" s="118">
        <v>0</v>
      </c>
      <c r="Q142" s="118">
        <v>32514</v>
      </c>
      <c r="R142" s="118">
        <f t="shared" ref="R142:R151" si="28">+SUM(E142:Q142)</f>
        <v>32514</v>
      </c>
      <c r="S142" s="118">
        <v>0</v>
      </c>
      <c r="T142" s="118">
        <f t="shared" ref="T142:T151" si="29">+SUM(R142:S142)</f>
        <v>32514</v>
      </c>
    </row>
    <row r="143" spans="1:20" ht="25.5" hidden="1" outlineLevel="1" x14ac:dyDescent="0.2">
      <c r="A143" s="532" t="s">
        <v>1215</v>
      </c>
      <c r="B143" s="532" t="s">
        <v>1227</v>
      </c>
      <c r="D143" s="129" t="str">
        <f>IF([1]RENAME!$H$3=1,B143,A143)</f>
        <v xml:space="preserve">Variação cambial de investida localizada no exterior </v>
      </c>
      <c r="E143" s="118" t="s">
        <v>160</v>
      </c>
      <c r="F143" s="118" t="s">
        <v>160</v>
      </c>
      <c r="G143" s="118"/>
      <c r="H143" s="118" t="s">
        <v>160</v>
      </c>
      <c r="I143" s="118" t="s">
        <v>160</v>
      </c>
      <c r="J143" s="118" t="s">
        <v>160</v>
      </c>
      <c r="K143" s="118" t="s">
        <v>160</v>
      </c>
      <c r="L143" s="118"/>
      <c r="M143" s="118" t="s">
        <v>160</v>
      </c>
      <c r="N143" s="118" t="s">
        <v>160</v>
      </c>
      <c r="O143" s="118" t="s">
        <v>160</v>
      </c>
      <c r="P143" s="118" t="s">
        <v>160</v>
      </c>
      <c r="Q143" s="118" t="s">
        <v>160</v>
      </c>
      <c r="R143" s="118">
        <f t="shared" si="28"/>
        <v>0</v>
      </c>
      <c r="S143" s="118">
        <v>0</v>
      </c>
      <c r="T143" s="118">
        <f t="shared" si="29"/>
        <v>0</v>
      </c>
    </row>
    <row r="144" spans="1:20" hidden="1" outlineLevel="1" x14ac:dyDescent="0.2">
      <c r="A144" s="532" t="s">
        <v>1217</v>
      </c>
      <c r="B144" s="532" t="s">
        <v>1228</v>
      </c>
      <c r="D144" s="129" t="str">
        <f>IF([1]RENAME!$H$3=1,B144,A144)</f>
        <v>Plano de opções de ações</v>
      </c>
      <c r="E144" s="118" t="s">
        <v>160</v>
      </c>
      <c r="F144" s="118" t="s">
        <v>160</v>
      </c>
      <c r="G144" s="118"/>
      <c r="H144" s="118" t="s">
        <v>160</v>
      </c>
      <c r="I144" s="118" t="s">
        <v>160</v>
      </c>
      <c r="J144" s="118" t="s">
        <v>160</v>
      </c>
      <c r="K144" s="118" t="s">
        <v>160</v>
      </c>
      <c r="L144" s="118"/>
      <c r="M144" s="118" t="s">
        <v>160</v>
      </c>
      <c r="N144" s="118" t="s">
        <v>160</v>
      </c>
      <c r="O144" s="118" t="s">
        <v>160</v>
      </c>
      <c r="P144" s="118" t="s">
        <v>160</v>
      </c>
      <c r="Q144" s="118" t="s">
        <v>160</v>
      </c>
      <c r="R144" s="118">
        <f t="shared" si="28"/>
        <v>0</v>
      </c>
      <c r="S144" s="118">
        <v>0</v>
      </c>
      <c r="T144" s="118">
        <f t="shared" si="29"/>
        <v>0</v>
      </c>
    </row>
    <row r="145" spans="1:20" ht="25.5" hidden="1" outlineLevel="1" x14ac:dyDescent="0.2">
      <c r="A145" s="532" t="s">
        <v>1347</v>
      </c>
      <c r="B145" s="532" t="s">
        <v>1386</v>
      </c>
      <c r="D145" s="129" t="str">
        <f>IF([1]RENAME!$H$3=1,B145,A145)</f>
        <v>Resultado líquido com instrumentos financeiros designados como hedge accounting</v>
      </c>
      <c r="E145" s="118" t="s">
        <v>160</v>
      </c>
      <c r="F145" s="118" t="s">
        <v>160</v>
      </c>
      <c r="G145" s="118"/>
      <c r="H145" s="118" t="s">
        <v>160</v>
      </c>
      <c r="I145" s="118" t="s">
        <v>160</v>
      </c>
      <c r="J145" s="118" t="s">
        <v>160</v>
      </c>
      <c r="K145" s="118" t="s">
        <v>160</v>
      </c>
      <c r="L145" s="118"/>
      <c r="M145" s="118" t="s">
        <v>160</v>
      </c>
      <c r="N145" s="118" t="s">
        <v>160</v>
      </c>
      <c r="O145" s="118" t="s">
        <v>160</v>
      </c>
      <c r="P145" s="118">
        <v>969</v>
      </c>
      <c r="Q145" s="118" t="s">
        <v>160</v>
      </c>
      <c r="R145" s="118">
        <f t="shared" si="28"/>
        <v>969</v>
      </c>
      <c r="S145" s="118">
        <v>0</v>
      </c>
      <c r="T145" s="118">
        <f t="shared" si="29"/>
        <v>969</v>
      </c>
    </row>
    <row r="146" spans="1:20" hidden="1" outlineLevel="1" x14ac:dyDescent="0.2">
      <c r="A146" s="532" t="s">
        <v>1624</v>
      </c>
      <c r="B146" s="532" t="s">
        <v>1625</v>
      </c>
      <c r="D146" s="129" t="str">
        <f>IF([1]RENAME!$H$3=1,B146,A146)</f>
        <v>Tributos diferidos sobre hedge accounting</v>
      </c>
      <c r="E146" s="118" t="s">
        <v>160</v>
      </c>
      <c r="F146" s="118" t="s">
        <v>160</v>
      </c>
      <c r="G146" s="118"/>
      <c r="H146" s="118"/>
      <c r="I146" s="118"/>
      <c r="J146" s="118" t="s">
        <v>160</v>
      </c>
      <c r="K146" s="118" t="s">
        <v>160</v>
      </c>
      <c r="L146" s="118"/>
      <c r="M146" s="118" t="s">
        <v>160</v>
      </c>
      <c r="N146" s="118" t="s">
        <v>160</v>
      </c>
      <c r="O146" s="118" t="s">
        <v>160</v>
      </c>
      <c r="P146" s="118">
        <v>-330</v>
      </c>
      <c r="Q146" s="118" t="s">
        <v>160</v>
      </c>
      <c r="R146" s="118">
        <f t="shared" si="28"/>
        <v>-330</v>
      </c>
      <c r="S146" s="118">
        <v>0</v>
      </c>
      <c r="T146" s="118">
        <f t="shared" si="29"/>
        <v>-330</v>
      </c>
    </row>
    <row r="147" spans="1:20" hidden="1" outlineLevel="1" x14ac:dyDescent="0.2">
      <c r="A147" s="532" t="s">
        <v>1599</v>
      </c>
      <c r="B147" s="532" t="s">
        <v>1600</v>
      </c>
      <c r="D147" s="129" t="str">
        <f>IF([1]RENAME!$H$3=1,B147,A147)</f>
        <v>Incentivos fiscais</v>
      </c>
      <c r="E147" s="118" t="s">
        <v>160</v>
      </c>
      <c r="F147" s="118" t="s">
        <v>160</v>
      </c>
      <c r="G147" s="118"/>
      <c r="H147" s="118"/>
      <c r="I147" s="118"/>
      <c r="J147" s="118">
        <v>4048</v>
      </c>
      <c r="K147" s="118" t="s">
        <v>160</v>
      </c>
      <c r="L147" s="118"/>
      <c r="M147" s="118" t="s">
        <v>160</v>
      </c>
      <c r="N147" s="118" t="s">
        <v>160</v>
      </c>
      <c r="O147" s="118" t="s">
        <v>160</v>
      </c>
      <c r="P147" s="118" t="s">
        <v>160</v>
      </c>
      <c r="Q147" s="118">
        <v>-4048</v>
      </c>
      <c r="R147" s="118">
        <f t="shared" si="28"/>
        <v>0</v>
      </c>
      <c r="S147" s="118">
        <v>0</v>
      </c>
      <c r="T147" s="118">
        <f t="shared" si="29"/>
        <v>0</v>
      </c>
    </row>
    <row r="148" spans="1:20" hidden="1" outlineLevel="1" x14ac:dyDescent="0.2">
      <c r="A148" s="532" t="s">
        <v>1210</v>
      </c>
      <c r="B148" s="532" t="s">
        <v>1229</v>
      </c>
      <c r="D148" s="129" t="str">
        <f>IF([1]RENAME!$H$3=1,B148,A148)</f>
        <v>Destinação:</v>
      </c>
      <c r="E148" s="118"/>
      <c r="F148" s="118"/>
      <c r="G148" s="118"/>
      <c r="H148" s="118"/>
      <c r="I148" s="118"/>
      <c r="J148" s="118"/>
      <c r="K148" s="118"/>
      <c r="L148" s="118"/>
      <c r="M148" s="118"/>
      <c r="N148" s="118"/>
      <c r="O148" s="118"/>
      <c r="P148" s="118"/>
      <c r="Q148" s="118"/>
      <c r="R148" s="118"/>
      <c r="S148" s="118"/>
      <c r="T148" s="118"/>
    </row>
    <row r="149" spans="1:20" hidden="1" outlineLevel="1" x14ac:dyDescent="0.2">
      <c r="A149" s="532" t="s">
        <v>1211</v>
      </c>
      <c r="B149" s="532" t="s">
        <v>1230</v>
      </c>
      <c r="D149" s="129" t="str">
        <f>IF([1]RENAME!$H$3=1,B149,A149)</f>
        <v>Constituição de Reservas</v>
      </c>
      <c r="E149" s="118" t="s">
        <v>160</v>
      </c>
      <c r="F149" s="118" t="s">
        <v>160</v>
      </c>
      <c r="G149" s="118"/>
      <c r="H149" s="118" t="s">
        <v>160</v>
      </c>
      <c r="I149" s="118" t="s">
        <v>160</v>
      </c>
      <c r="J149" s="118" t="s">
        <v>160</v>
      </c>
      <c r="K149" s="118" t="s">
        <v>160</v>
      </c>
      <c r="L149" s="118"/>
      <c r="M149" s="118" t="s">
        <v>160</v>
      </c>
      <c r="N149" s="118" t="s">
        <v>160</v>
      </c>
      <c r="O149" s="118" t="s">
        <v>160</v>
      </c>
      <c r="P149" s="118" t="s">
        <v>160</v>
      </c>
      <c r="Q149" s="118" t="s">
        <v>160</v>
      </c>
      <c r="R149" s="118">
        <f t="shared" si="28"/>
        <v>0</v>
      </c>
      <c r="S149" s="118">
        <v>0</v>
      </c>
      <c r="T149" s="118">
        <f t="shared" si="29"/>
        <v>0</v>
      </c>
    </row>
    <row r="150" spans="1:20" hidden="1" outlineLevel="1" x14ac:dyDescent="0.2">
      <c r="A150" s="532" t="s">
        <v>1213</v>
      </c>
      <c r="B150" s="532" t="s">
        <v>1231</v>
      </c>
      <c r="D150" s="129" t="str">
        <f>IF([1]RENAME!$H$3=1,B150,A150)</f>
        <v>Constituição de Reserva Legal</v>
      </c>
      <c r="E150" s="118" t="s">
        <v>160</v>
      </c>
      <c r="F150" s="118" t="s">
        <v>160</v>
      </c>
      <c r="G150" s="118"/>
      <c r="H150" s="118" t="s">
        <v>160</v>
      </c>
      <c r="I150" s="118" t="s">
        <v>160</v>
      </c>
      <c r="J150" s="118" t="s">
        <v>160</v>
      </c>
      <c r="K150" s="118" t="s">
        <v>160</v>
      </c>
      <c r="L150" s="118"/>
      <c r="M150" s="118" t="s">
        <v>160</v>
      </c>
      <c r="N150" s="118" t="s">
        <v>160</v>
      </c>
      <c r="O150" s="118" t="s">
        <v>160</v>
      </c>
      <c r="P150" s="118" t="s">
        <v>160</v>
      </c>
      <c r="Q150" s="118" t="s">
        <v>160</v>
      </c>
      <c r="R150" s="118">
        <f t="shared" si="28"/>
        <v>0</v>
      </c>
      <c r="S150" s="118">
        <v>0</v>
      </c>
      <c r="T150" s="118">
        <f t="shared" si="29"/>
        <v>0</v>
      </c>
    </row>
    <row r="151" spans="1:20" ht="14.25" hidden="1" customHeight="1" outlineLevel="1" x14ac:dyDescent="0.2">
      <c r="A151" s="532" t="s">
        <v>1280</v>
      </c>
      <c r="B151" s="532" t="s">
        <v>1281</v>
      </c>
      <c r="D151" s="129" t="str">
        <f>IF([1]RENAME!$H$3=1,B151,A151)</f>
        <v>Dividendos e juros sobre capital próprio</v>
      </c>
      <c r="E151" s="118" t="s">
        <v>160</v>
      </c>
      <c r="F151" s="118" t="s">
        <v>160</v>
      </c>
      <c r="G151" s="118"/>
      <c r="H151" s="118" t="s">
        <v>160</v>
      </c>
      <c r="I151" s="118" t="s">
        <v>160</v>
      </c>
      <c r="J151" s="118" t="s">
        <v>160</v>
      </c>
      <c r="K151" s="118">
        <v>0</v>
      </c>
      <c r="L151" s="118"/>
      <c r="M151" s="118" t="s">
        <v>160</v>
      </c>
      <c r="N151" s="118">
        <v>-28306</v>
      </c>
      <c r="O151" s="118" t="s">
        <v>160</v>
      </c>
      <c r="P151" s="118" t="s">
        <v>160</v>
      </c>
      <c r="Q151" s="118" t="s">
        <v>160</v>
      </c>
      <c r="R151" s="118">
        <f t="shared" si="28"/>
        <v>-28306</v>
      </c>
      <c r="S151" s="118">
        <v>0</v>
      </c>
      <c r="T151" s="118">
        <f t="shared" si="29"/>
        <v>-28306</v>
      </c>
    </row>
    <row r="152" spans="1:20" collapsed="1" x14ac:dyDescent="0.2">
      <c r="A152" s="532" t="s">
        <v>1515</v>
      </c>
      <c r="B152" s="532" t="s">
        <v>1516</v>
      </c>
      <c r="D152" s="126" t="str">
        <f>IF([1]RENAME!$H$3=1,B152,A152)</f>
        <v>Em 30 de junho de 2019</v>
      </c>
      <c r="E152" s="120">
        <f t="shared" ref="E152:K152" si="30">SUM(E140:E151)</f>
        <v>144469</v>
      </c>
      <c r="F152" s="120">
        <f t="shared" si="30"/>
        <v>174055</v>
      </c>
      <c r="G152" s="120"/>
      <c r="H152" s="120">
        <f t="shared" si="30"/>
        <v>0</v>
      </c>
      <c r="I152" s="120">
        <f t="shared" si="30"/>
        <v>0</v>
      </c>
      <c r="J152" s="120">
        <f t="shared" si="30"/>
        <v>34573</v>
      </c>
      <c r="K152" s="120">
        <f t="shared" si="30"/>
        <v>28894</v>
      </c>
      <c r="L152" s="120" t="s">
        <v>160</v>
      </c>
      <c r="M152" s="120">
        <f t="shared" ref="M152:S152" si="31">SUM(M140:M151)</f>
        <v>83335.385999999999</v>
      </c>
      <c r="N152" s="120">
        <f t="shared" si="31"/>
        <v>0</v>
      </c>
      <c r="O152" s="120">
        <f t="shared" si="31"/>
        <v>-342</v>
      </c>
      <c r="P152" s="120">
        <f t="shared" si="31"/>
        <v>340</v>
      </c>
      <c r="Q152" s="120">
        <f t="shared" si="31"/>
        <v>50528</v>
      </c>
      <c r="R152" s="120">
        <f>SUM(R140:R151)</f>
        <v>515852.38599999994</v>
      </c>
      <c r="S152" s="120">
        <f t="shared" si="31"/>
        <v>0</v>
      </c>
      <c r="T152" s="120">
        <f>SUM(T140:T151)</f>
        <v>515852.38599999994</v>
      </c>
    </row>
    <row r="153" spans="1:20" s="606" customFormat="1" x14ac:dyDescent="0.2">
      <c r="C153"/>
      <c r="D153" s="149"/>
      <c r="E153" s="150"/>
      <c r="F153" s="150"/>
      <c r="G153" s="150"/>
      <c r="H153" s="150"/>
      <c r="I153" s="150"/>
      <c r="J153" s="150"/>
      <c r="K153" s="150"/>
      <c r="L153" s="150"/>
      <c r="M153" s="150"/>
      <c r="N153" s="150"/>
      <c r="O153" s="150"/>
      <c r="P153" s="150"/>
      <c r="Q153" s="150"/>
      <c r="R153" s="150"/>
      <c r="S153" s="150"/>
      <c r="T153" s="150"/>
    </row>
    <row r="154" spans="1:20" hidden="1" outlineLevel="1" x14ac:dyDescent="0.2">
      <c r="A154" s="532" t="s">
        <v>1226</v>
      </c>
      <c r="B154" s="532" t="s">
        <v>1225</v>
      </c>
      <c r="D154" s="129" t="str">
        <f>IF([1]RENAME!$H$3=1,B154,A154)</f>
        <v>Lucro líquido do período</v>
      </c>
      <c r="E154" s="118" t="s">
        <v>160</v>
      </c>
      <c r="F154" s="118" t="s">
        <v>160</v>
      </c>
      <c r="G154" s="118"/>
      <c r="H154" s="118" t="s">
        <v>160</v>
      </c>
      <c r="I154" s="118" t="s">
        <v>160</v>
      </c>
      <c r="J154" s="118" t="s">
        <v>160</v>
      </c>
      <c r="K154" s="118" t="s">
        <v>160</v>
      </c>
      <c r="L154" s="118"/>
      <c r="M154" s="118" t="s">
        <v>160</v>
      </c>
      <c r="N154" s="118" t="s">
        <v>160</v>
      </c>
      <c r="O154" s="118" t="s">
        <v>160</v>
      </c>
      <c r="P154" s="118">
        <v>0</v>
      </c>
      <c r="Q154" s="118">
        <v>91392</v>
      </c>
      <c r="R154" s="118">
        <v>91392</v>
      </c>
      <c r="S154" s="118">
        <v>0</v>
      </c>
      <c r="T154" s="118">
        <f t="shared" ref="T154:T163" si="32">+SUM(R154:S154)</f>
        <v>91392</v>
      </c>
    </row>
    <row r="155" spans="1:20" ht="25.5" hidden="1" outlineLevel="1" x14ac:dyDescent="0.2">
      <c r="A155" s="532" t="s">
        <v>1215</v>
      </c>
      <c r="B155" s="532" t="s">
        <v>1227</v>
      </c>
      <c r="D155" s="129" t="str">
        <f>IF([1]RENAME!$H$3=1,B155,A155)</f>
        <v xml:space="preserve">Variação cambial de investida localizada no exterior </v>
      </c>
      <c r="E155" s="118" t="s">
        <v>160</v>
      </c>
      <c r="F155" s="118" t="s">
        <v>160</v>
      </c>
      <c r="G155" s="118"/>
      <c r="H155" s="118" t="s">
        <v>160</v>
      </c>
      <c r="I155" s="118" t="s">
        <v>160</v>
      </c>
      <c r="J155" s="118" t="s">
        <v>160</v>
      </c>
      <c r="K155" s="118" t="s">
        <v>160</v>
      </c>
      <c r="L155" s="118"/>
      <c r="M155" s="118" t="s">
        <v>160</v>
      </c>
      <c r="N155" s="118" t="s">
        <v>160</v>
      </c>
      <c r="O155" s="118" t="s">
        <v>160</v>
      </c>
      <c r="P155" s="118" t="s">
        <v>160</v>
      </c>
      <c r="Q155" s="118" t="s">
        <v>160</v>
      </c>
      <c r="R155" s="118">
        <v>0</v>
      </c>
      <c r="S155" s="118">
        <v>0</v>
      </c>
      <c r="T155" s="118">
        <f t="shared" si="32"/>
        <v>0</v>
      </c>
    </row>
    <row r="156" spans="1:20" hidden="1" outlineLevel="1" x14ac:dyDescent="0.2">
      <c r="A156" s="532" t="s">
        <v>1217</v>
      </c>
      <c r="B156" s="532" t="s">
        <v>1228</v>
      </c>
      <c r="D156" s="129" t="str">
        <f>IF([1]RENAME!$H$3=1,B156,A156)</f>
        <v>Plano de opções de ações</v>
      </c>
      <c r="E156" s="118" t="s">
        <v>160</v>
      </c>
      <c r="F156" s="118" t="s">
        <v>160</v>
      </c>
      <c r="G156" s="118"/>
      <c r="H156" s="118" t="s">
        <v>160</v>
      </c>
      <c r="I156" s="118" t="s">
        <v>160</v>
      </c>
      <c r="J156" s="118" t="s">
        <v>160</v>
      </c>
      <c r="K156" s="118" t="s">
        <v>160</v>
      </c>
      <c r="L156" s="118"/>
      <c r="M156" s="118" t="s">
        <v>160</v>
      </c>
      <c r="N156" s="118" t="s">
        <v>160</v>
      </c>
      <c r="O156" s="118" t="s">
        <v>160</v>
      </c>
      <c r="P156" s="118" t="s">
        <v>160</v>
      </c>
      <c r="Q156" s="118" t="s">
        <v>160</v>
      </c>
      <c r="R156" s="118">
        <v>0</v>
      </c>
      <c r="S156" s="118">
        <v>0</v>
      </c>
      <c r="T156" s="118">
        <f t="shared" si="32"/>
        <v>0</v>
      </c>
    </row>
    <row r="157" spans="1:20" ht="25.5" hidden="1" outlineLevel="1" x14ac:dyDescent="0.2">
      <c r="A157" s="532" t="s">
        <v>1347</v>
      </c>
      <c r="B157" s="532" t="s">
        <v>1386</v>
      </c>
      <c r="D157" s="129" t="str">
        <f>IF([1]RENAME!$H$3=1,B157,A157)</f>
        <v>Resultado líquido com instrumentos financeiros designados como hedge accounting</v>
      </c>
      <c r="E157" s="118" t="s">
        <v>160</v>
      </c>
      <c r="F157" s="118" t="s">
        <v>160</v>
      </c>
      <c r="G157" s="118"/>
      <c r="H157" s="118" t="s">
        <v>160</v>
      </c>
      <c r="I157" s="118" t="s">
        <v>160</v>
      </c>
      <c r="J157" s="118" t="s">
        <v>160</v>
      </c>
      <c r="K157" s="118" t="s">
        <v>160</v>
      </c>
      <c r="L157" s="118"/>
      <c r="M157" s="118" t="s">
        <v>160</v>
      </c>
      <c r="N157" s="118" t="s">
        <v>160</v>
      </c>
      <c r="O157" s="118" t="s">
        <v>160</v>
      </c>
      <c r="P157" s="118">
        <v>1077</v>
      </c>
      <c r="Q157" s="118" t="s">
        <v>160</v>
      </c>
      <c r="R157" s="118">
        <f>+SUM(E157:Q157)</f>
        <v>1077</v>
      </c>
      <c r="S157" s="118">
        <v>0</v>
      </c>
      <c r="T157" s="118">
        <f t="shared" si="32"/>
        <v>1077</v>
      </c>
    </row>
    <row r="158" spans="1:20" hidden="1" outlineLevel="1" x14ac:dyDescent="0.2">
      <c r="A158" s="532" t="s">
        <v>1624</v>
      </c>
      <c r="B158" s="532" t="s">
        <v>1625</v>
      </c>
      <c r="D158" s="129" t="str">
        <f>IF([1]RENAME!$H$3=1,B158,A158)</f>
        <v>Tributos diferidos sobre hedge accounting</v>
      </c>
      <c r="E158" s="118" t="s">
        <v>160</v>
      </c>
      <c r="F158" s="118" t="s">
        <v>160</v>
      </c>
      <c r="G158" s="118"/>
      <c r="H158" s="118"/>
      <c r="I158" s="118"/>
      <c r="J158" s="118" t="s">
        <v>160</v>
      </c>
      <c r="K158" s="118" t="s">
        <v>160</v>
      </c>
      <c r="L158" s="118"/>
      <c r="M158" s="118" t="s">
        <v>160</v>
      </c>
      <c r="N158" s="118" t="s">
        <v>160</v>
      </c>
      <c r="O158" s="118" t="s">
        <v>160</v>
      </c>
      <c r="P158" s="118">
        <v>-367</v>
      </c>
      <c r="Q158" s="118">
        <v>0</v>
      </c>
      <c r="R158" s="118">
        <f>+SUM(E158:Q158)</f>
        <v>-367</v>
      </c>
      <c r="S158" s="118">
        <v>0</v>
      </c>
      <c r="T158" s="118">
        <f t="shared" si="32"/>
        <v>-367</v>
      </c>
    </row>
    <row r="159" spans="1:20" hidden="1" outlineLevel="1" x14ac:dyDescent="0.2">
      <c r="A159" s="532" t="s">
        <v>1599</v>
      </c>
      <c r="B159" s="532" t="s">
        <v>1600</v>
      </c>
      <c r="D159" s="129" t="str">
        <f>IF([1]RENAME!$H$3=1,B159,A159)</f>
        <v>Incentivos fiscais</v>
      </c>
      <c r="E159" s="118" t="s">
        <v>160</v>
      </c>
      <c r="F159" s="118" t="s">
        <v>160</v>
      </c>
      <c r="G159" s="118"/>
      <c r="H159" s="118"/>
      <c r="I159" s="118"/>
      <c r="J159" s="118">
        <v>4145</v>
      </c>
      <c r="K159" s="118" t="s">
        <v>160</v>
      </c>
      <c r="L159" s="118"/>
      <c r="M159" s="118" t="s">
        <v>160</v>
      </c>
      <c r="N159" s="118" t="s">
        <v>160</v>
      </c>
      <c r="O159" s="118" t="s">
        <v>160</v>
      </c>
      <c r="P159" s="118" t="s">
        <v>160</v>
      </c>
      <c r="Q159" s="118">
        <v>-4145</v>
      </c>
      <c r="R159" s="118">
        <v>0</v>
      </c>
      <c r="S159" s="118">
        <v>0</v>
      </c>
      <c r="T159" s="118">
        <f t="shared" si="32"/>
        <v>0</v>
      </c>
    </row>
    <row r="160" spans="1:20" hidden="1" outlineLevel="1" x14ac:dyDescent="0.2">
      <c r="A160" s="532" t="s">
        <v>1210</v>
      </c>
      <c r="B160" s="532" t="s">
        <v>1229</v>
      </c>
      <c r="D160" s="129" t="str">
        <f>IF([1]RENAME!$H$3=1,B160,A160)</f>
        <v>Destinação:</v>
      </c>
      <c r="E160" s="118"/>
      <c r="F160" s="118"/>
      <c r="G160" s="118"/>
      <c r="H160" s="118"/>
      <c r="I160" s="118"/>
      <c r="J160" s="118"/>
      <c r="K160" s="118"/>
      <c r="L160" s="118"/>
      <c r="M160" s="118"/>
      <c r="N160" s="118"/>
      <c r="O160" s="118"/>
      <c r="P160" s="118"/>
      <c r="Q160" s="118"/>
      <c r="R160" s="118"/>
      <c r="S160" s="118"/>
      <c r="T160" s="118"/>
    </row>
    <row r="161" spans="1:20" hidden="1" outlineLevel="1" x14ac:dyDescent="0.2">
      <c r="A161" s="532" t="s">
        <v>1211</v>
      </c>
      <c r="B161" s="532" t="s">
        <v>1230</v>
      </c>
      <c r="D161" s="129" t="str">
        <f>IF([1]RENAME!$H$3=1,B161,A161)</f>
        <v>Constituição de Reservas</v>
      </c>
      <c r="E161" s="118" t="s">
        <v>160</v>
      </c>
      <c r="F161" s="118" t="s">
        <v>160</v>
      </c>
      <c r="G161" s="118"/>
      <c r="H161" s="118" t="s">
        <v>160</v>
      </c>
      <c r="I161" s="118" t="s">
        <v>160</v>
      </c>
      <c r="J161" s="118" t="s">
        <v>160</v>
      </c>
      <c r="K161" s="118" t="s">
        <v>160</v>
      </c>
      <c r="L161" s="118"/>
      <c r="M161" s="118" t="s">
        <v>160</v>
      </c>
      <c r="N161" s="118" t="s">
        <v>160</v>
      </c>
      <c r="O161" s="118" t="s">
        <v>160</v>
      </c>
      <c r="P161" s="118" t="s">
        <v>160</v>
      </c>
      <c r="Q161" s="118" t="s">
        <v>160</v>
      </c>
      <c r="R161" s="118">
        <v>0</v>
      </c>
      <c r="S161" s="118">
        <v>0</v>
      </c>
      <c r="T161" s="118">
        <f t="shared" si="32"/>
        <v>0</v>
      </c>
    </row>
    <row r="162" spans="1:20" hidden="1" outlineLevel="1" x14ac:dyDescent="0.2">
      <c r="A162" s="532" t="s">
        <v>1213</v>
      </c>
      <c r="B162" s="532" t="s">
        <v>1231</v>
      </c>
      <c r="D162" s="129" t="str">
        <f>IF([1]RENAME!$H$3=1,B162,A162)</f>
        <v>Constituição de Reserva Legal</v>
      </c>
      <c r="E162" s="118" t="s">
        <v>160</v>
      </c>
      <c r="F162" s="118" t="s">
        <v>160</v>
      </c>
      <c r="G162" s="118"/>
      <c r="H162" s="118" t="s">
        <v>160</v>
      </c>
      <c r="I162" s="118" t="s">
        <v>160</v>
      </c>
      <c r="J162" s="118" t="s">
        <v>160</v>
      </c>
      <c r="K162" s="118" t="s">
        <v>160</v>
      </c>
      <c r="L162" s="118"/>
      <c r="M162" s="118" t="s">
        <v>160</v>
      </c>
      <c r="N162" s="118" t="s">
        <v>160</v>
      </c>
      <c r="O162" s="118" t="s">
        <v>160</v>
      </c>
      <c r="P162" s="118" t="s">
        <v>160</v>
      </c>
      <c r="Q162" s="118" t="s">
        <v>160</v>
      </c>
      <c r="R162" s="118">
        <v>0</v>
      </c>
      <c r="S162" s="118">
        <v>0</v>
      </c>
      <c r="T162" s="118">
        <f t="shared" si="32"/>
        <v>0</v>
      </c>
    </row>
    <row r="163" spans="1:20" ht="14.25" hidden="1" customHeight="1" outlineLevel="1" x14ac:dyDescent="0.2">
      <c r="A163" s="532" t="s">
        <v>1280</v>
      </c>
      <c r="B163" s="532" t="s">
        <v>1281</v>
      </c>
      <c r="D163" s="129" t="str">
        <f>IF([1]RENAME!$H$3=1,B163,A163)</f>
        <v>Dividendos e juros sobre capital próprio</v>
      </c>
      <c r="E163" s="118" t="s">
        <v>160</v>
      </c>
      <c r="F163" s="118" t="s">
        <v>160</v>
      </c>
      <c r="G163" s="118"/>
      <c r="H163" s="118" t="s">
        <v>160</v>
      </c>
      <c r="I163" s="118" t="s">
        <v>160</v>
      </c>
      <c r="J163" s="118" t="s">
        <v>160</v>
      </c>
      <c r="K163" s="118">
        <v>0</v>
      </c>
      <c r="L163" s="118"/>
      <c r="M163" s="118" t="s">
        <v>160</v>
      </c>
      <c r="N163" s="118">
        <v>-29568</v>
      </c>
      <c r="O163" s="118" t="s">
        <v>160</v>
      </c>
      <c r="P163" s="118" t="s">
        <v>160</v>
      </c>
      <c r="Q163" s="118" t="s">
        <v>160</v>
      </c>
      <c r="R163" s="118">
        <v>-29568</v>
      </c>
      <c r="S163" s="118">
        <v>0</v>
      </c>
      <c r="T163" s="118">
        <f t="shared" si="32"/>
        <v>-29568</v>
      </c>
    </row>
    <row r="164" spans="1:20" collapsed="1" x14ac:dyDescent="0.2">
      <c r="A164" s="532" t="s">
        <v>1542</v>
      </c>
      <c r="B164" s="532" t="s">
        <v>1546</v>
      </c>
      <c r="D164" s="126" t="s">
        <v>1542</v>
      </c>
      <c r="E164" s="120">
        <f t="shared" ref="E164:K164" si="33">SUM(E152:E163)</f>
        <v>144469</v>
      </c>
      <c r="F164" s="120">
        <f t="shared" si="33"/>
        <v>174055</v>
      </c>
      <c r="G164" s="120"/>
      <c r="H164" s="120">
        <f t="shared" si="33"/>
        <v>0</v>
      </c>
      <c r="I164" s="120">
        <f t="shared" si="33"/>
        <v>0</v>
      </c>
      <c r="J164" s="120">
        <f t="shared" si="33"/>
        <v>38718</v>
      </c>
      <c r="K164" s="120">
        <f t="shared" si="33"/>
        <v>28894</v>
      </c>
      <c r="L164" s="120" t="s">
        <v>160</v>
      </c>
      <c r="M164" s="120">
        <f t="shared" ref="M164:S164" si="34">SUM(M152:M163)</f>
        <v>83335.385999999999</v>
      </c>
      <c r="N164" s="120">
        <f>SUM(N152:N163)</f>
        <v>-29568</v>
      </c>
      <c r="O164" s="120">
        <f t="shared" si="34"/>
        <v>-342</v>
      </c>
      <c r="P164" s="120">
        <f t="shared" si="34"/>
        <v>1050</v>
      </c>
      <c r="Q164" s="120">
        <f t="shared" si="34"/>
        <v>137775</v>
      </c>
      <c r="R164" s="120">
        <f>SUM(R152:R163)</f>
        <v>578386.38599999994</v>
      </c>
      <c r="S164" s="120">
        <f t="shared" si="34"/>
        <v>0</v>
      </c>
      <c r="T164" s="120">
        <f>SUM(T152:T163)</f>
        <v>578386.38599999994</v>
      </c>
    </row>
    <row r="165" spans="1:20" x14ac:dyDescent="0.2">
      <c r="N165" s="696"/>
    </row>
    <row r="166" spans="1:20" hidden="1" outlineLevel="1" x14ac:dyDescent="0.2">
      <c r="A166" s="532" t="s">
        <v>1226</v>
      </c>
      <c r="B166" s="532" t="s">
        <v>1225</v>
      </c>
      <c r="D166" s="129" t="str">
        <f>IF([1]RENAME!$H$3=1,B166,A166)</f>
        <v>Lucro líquido do período</v>
      </c>
      <c r="E166" s="118" t="s">
        <v>160</v>
      </c>
      <c r="F166" s="118" t="s">
        <v>160</v>
      </c>
      <c r="G166" s="118"/>
      <c r="H166" s="118" t="s">
        <v>160</v>
      </c>
      <c r="I166" s="118" t="s">
        <v>160</v>
      </c>
      <c r="J166" s="118" t="s">
        <v>160</v>
      </c>
      <c r="K166" s="118" t="s">
        <v>160</v>
      </c>
      <c r="L166" s="118"/>
      <c r="M166" s="118" t="s">
        <v>160</v>
      </c>
      <c r="N166" s="118" t="s">
        <v>160</v>
      </c>
      <c r="O166" s="118" t="s">
        <v>160</v>
      </c>
      <c r="P166" s="118">
        <v>0</v>
      </c>
      <c r="Q166" s="118">
        <v>43445</v>
      </c>
      <c r="R166" s="118">
        <f t="shared" ref="R166:R171" si="35">+SUM(E166:Q166)</f>
        <v>43445</v>
      </c>
      <c r="S166" s="118">
        <v>0</v>
      </c>
      <c r="T166" s="118">
        <f t="shared" ref="T166:T172" si="36">+SUM(R166:S166)</f>
        <v>43445</v>
      </c>
    </row>
    <row r="167" spans="1:20" ht="25.5" hidden="1" outlineLevel="1" x14ac:dyDescent="0.2">
      <c r="A167" s="532" t="s">
        <v>1347</v>
      </c>
      <c r="B167" s="532" t="s">
        <v>1386</v>
      </c>
      <c r="D167" s="129" t="str">
        <f>IF([1]RENAME!$H$3=1,B167,A167)</f>
        <v>Resultado líquido com instrumentos financeiros designados como hedge accounting</v>
      </c>
      <c r="E167" s="118" t="s">
        <v>160</v>
      </c>
      <c r="F167" s="118" t="s">
        <v>160</v>
      </c>
      <c r="G167" s="118"/>
      <c r="H167" s="118" t="s">
        <v>160</v>
      </c>
      <c r="I167" s="118" t="s">
        <v>160</v>
      </c>
      <c r="J167" s="118" t="s">
        <v>160</v>
      </c>
      <c r="K167" s="118" t="s">
        <v>160</v>
      </c>
      <c r="L167" s="118"/>
      <c r="M167" s="118" t="s">
        <v>160</v>
      </c>
      <c r="N167" s="118" t="s">
        <v>160</v>
      </c>
      <c r="O167" s="118" t="s">
        <v>160</v>
      </c>
      <c r="P167" s="118">
        <v>-1602</v>
      </c>
      <c r="Q167" s="118" t="s">
        <v>160</v>
      </c>
      <c r="R167" s="118">
        <f t="shared" si="35"/>
        <v>-1602</v>
      </c>
      <c r="S167" s="118">
        <v>0</v>
      </c>
      <c r="T167" s="118">
        <f t="shared" si="36"/>
        <v>-1602</v>
      </c>
    </row>
    <row r="168" spans="1:20" hidden="1" outlineLevel="1" x14ac:dyDescent="0.2">
      <c r="A168" s="532" t="s">
        <v>1624</v>
      </c>
      <c r="B168" s="532" t="s">
        <v>1625</v>
      </c>
      <c r="D168" s="129" t="str">
        <f>IF([1]RENAME!$H$3=1,B168,A168)</f>
        <v>Tributos diferidos sobre hedge accounting</v>
      </c>
      <c r="E168" s="118">
        <v>0</v>
      </c>
      <c r="F168" s="118">
        <v>0</v>
      </c>
      <c r="G168" s="118"/>
      <c r="H168" s="118"/>
      <c r="I168" s="118"/>
      <c r="J168" s="118">
        <v>0</v>
      </c>
      <c r="K168" s="118">
        <v>0</v>
      </c>
      <c r="L168" s="118"/>
      <c r="M168" s="118">
        <v>0</v>
      </c>
      <c r="N168" s="118">
        <v>0</v>
      </c>
      <c r="O168" s="118">
        <v>0</v>
      </c>
      <c r="P168" s="118">
        <v>546</v>
      </c>
      <c r="Q168" s="118">
        <v>0</v>
      </c>
      <c r="R168" s="118">
        <f t="shared" si="35"/>
        <v>546</v>
      </c>
      <c r="S168" s="118">
        <v>0</v>
      </c>
      <c r="T168" s="118">
        <f t="shared" si="36"/>
        <v>546</v>
      </c>
    </row>
    <row r="169" spans="1:20" hidden="1" outlineLevel="1" x14ac:dyDescent="0.2">
      <c r="A169" s="532" t="s">
        <v>1599</v>
      </c>
      <c r="B169" s="532" t="s">
        <v>1600</v>
      </c>
      <c r="D169" s="129" t="str">
        <f>IF([1]RENAME!$H$3=1,B169,A169)</f>
        <v>Incentivos fiscais</v>
      </c>
      <c r="E169" s="118" t="s">
        <v>160</v>
      </c>
      <c r="F169" s="118" t="s">
        <v>160</v>
      </c>
      <c r="G169" s="118"/>
      <c r="H169" s="118"/>
      <c r="I169" s="118"/>
      <c r="J169" s="118">
        <v>4987</v>
      </c>
      <c r="K169" s="118" t="s">
        <v>160</v>
      </c>
      <c r="L169" s="118"/>
      <c r="M169" s="118" t="s">
        <v>160</v>
      </c>
      <c r="N169" s="118" t="s">
        <v>160</v>
      </c>
      <c r="O169" s="118" t="s">
        <v>160</v>
      </c>
      <c r="P169" s="118">
        <v>0</v>
      </c>
      <c r="Q169" s="118">
        <v>-4987</v>
      </c>
      <c r="R169" s="118">
        <v>0</v>
      </c>
      <c r="S169" s="118">
        <v>0</v>
      </c>
      <c r="T169" s="118">
        <f t="shared" si="36"/>
        <v>0</v>
      </c>
    </row>
    <row r="170" spans="1:20" hidden="1" outlineLevel="1" x14ac:dyDescent="0.2">
      <c r="A170" s="532" t="s">
        <v>1210</v>
      </c>
      <c r="B170" s="532" t="s">
        <v>1229</v>
      </c>
      <c r="D170" s="129" t="str">
        <f>IF([1]RENAME!$H$3=1,B170,A170)</f>
        <v>Destinação:</v>
      </c>
      <c r="E170" s="118"/>
      <c r="F170" s="118"/>
      <c r="G170" s="118"/>
      <c r="H170" s="118"/>
      <c r="I170" s="118"/>
      <c r="J170" s="118"/>
      <c r="K170" s="118"/>
      <c r="L170" s="118"/>
      <c r="M170" s="118"/>
      <c r="N170" s="118"/>
      <c r="O170" s="118"/>
      <c r="P170" s="118"/>
      <c r="Q170" s="118"/>
      <c r="R170" s="118"/>
      <c r="S170" s="118"/>
      <c r="T170" s="118"/>
    </row>
    <row r="171" spans="1:20" hidden="1" outlineLevel="1" x14ac:dyDescent="0.2">
      <c r="A171" s="532" t="s">
        <v>1211</v>
      </c>
      <c r="B171" s="532" t="s">
        <v>1230</v>
      </c>
      <c r="D171" s="129" t="str">
        <f>IF([1]RENAME!$H$3=1,B171,A171)</f>
        <v>Constituição de Reservas</v>
      </c>
      <c r="E171" s="118" t="s">
        <v>160</v>
      </c>
      <c r="F171" s="118" t="s">
        <v>160</v>
      </c>
      <c r="G171" s="118"/>
      <c r="H171" s="118" t="s">
        <v>160</v>
      </c>
      <c r="I171" s="118" t="s">
        <v>160</v>
      </c>
      <c r="J171" s="118" t="s">
        <v>160</v>
      </c>
      <c r="K171" s="118" t="s">
        <v>160</v>
      </c>
      <c r="L171" s="118"/>
      <c r="M171" s="118">
        <v>176232</v>
      </c>
      <c r="N171" s="118">
        <v>0</v>
      </c>
      <c r="O171" s="118" t="s">
        <v>160</v>
      </c>
      <c r="P171" s="118" t="s">
        <v>160</v>
      </c>
      <c r="Q171" s="118">
        <v>-176233</v>
      </c>
      <c r="R171" s="118">
        <f t="shared" si="35"/>
        <v>-1</v>
      </c>
      <c r="S171" s="118">
        <v>0</v>
      </c>
      <c r="T171" s="118">
        <f t="shared" si="36"/>
        <v>-1</v>
      </c>
    </row>
    <row r="172" spans="1:20" hidden="1" outlineLevel="1" x14ac:dyDescent="0.2">
      <c r="A172" s="532" t="s">
        <v>1280</v>
      </c>
      <c r="B172" s="532" t="s">
        <v>1281</v>
      </c>
      <c r="D172" s="129" t="str">
        <f>IF([1]RENAME!$H$3=1,B172,A172)</f>
        <v>Dividendos e juros sobre capital próprio</v>
      </c>
      <c r="E172" s="118" t="s">
        <v>160</v>
      </c>
      <c r="F172" s="118" t="s">
        <v>160</v>
      </c>
      <c r="G172" s="118"/>
      <c r="H172" s="118" t="s">
        <v>160</v>
      </c>
      <c r="I172" s="118" t="s">
        <v>160</v>
      </c>
      <c r="J172" s="118" t="s">
        <v>160</v>
      </c>
      <c r="K172" s="118">
        <v>0</v>
      </c>
      <c r="L172" s="118"/>
      <c r="M172" s="118">
        <v>-75264</v>
      </c>
      <c r="N172" s="118">
        <v>29568</v>
      </c>
      <c r="O172" s="118" t="s">
        <v>160</v>
      </c>
      <c r="P172" s="118" t="s">
        <v>160</v>
      </c>
      <c r="Q172" s="118" t="s">
        <v>160</v>
      </c>
      <c r="R172" s="118">
        <f>+SUM(E172:P172)</f>
        <v>-45696</v>
      </c>
      <c r="S172" s="118">
        <v>0</v>
      </c>
      <c r="T172" s="118">
        <f t="shared" si="36"/>
        <v>-45696</v>
      </c>
    </row>
    <row r="173" spans="1:20" collapsed="1" x14ac:dyDescent="0.2">
      <c r="A173" s="532" t="s">
        <v>1586</v>
      </c>
      <c r="B173" s="532" t="s">
        <v>1587</v>
      </c>
      <c r="D173" s="126" t="str">
        <f>IF([1]RENAME!$H$3=1,B173,A173)</f>
        <v>Em 30 de dezembro de 2019</v>
      </c>
      <c r="E173" s="120">
        <f t="shared" ref="E173:T173" si="37">SUM(E164:E172)</f>
        <v>144469</v>
      </c>
      <c r="F173" s="120">
        <f t="shared" si="37"/>
        <v>174055</v>
      </c>
      <c r="G173" s="120"/>
      <c r="H173" s="120">
        <f t="shared" si="37"/>
        <v>0</v>
      </c>
      <c r="I173" s="120">
        <f t="shared" si="37"/>
        <v>0</v>
      </c>
      <c r="J173" s="120">
        <f t="shared" si="37"/>
        <v>43705</v>
      </c>
      <c r="K173" s="120">
        <f t="shared" si="37"/>
        <v>28894</v>
      </c>
      <c r="L173" s="120" t="s">
        <v>160</v>
      </c>
      <c r="M173" s="120">
        <f t="shared" si="37"/>
        <v>184303.386</v>
      </c>
      <c r="N173" s="120">
        <f t="shared" si="37"/>
        <v>0</v>
      </c>
      <c r="O173" s="120">
        <f t="shared" si="37"/>
        <v>-342</v>
      </c>
      <c r="P173" s="120">
        <f t="shared" si="37"/>
        <v>-6</v>
      </c>
      <c r="Q173" s="120">
        <f t="shared" si="37"/>
        <v>0</v>
      </c>
      <c r="R173" s="120">
        <f t="shared" si="37"/>
        <v>575078.38599999994</v>
      </c>
      <c r="S173" s="120">
        <f t="shared" si="37"/>
        <v>0</v>
      </c>
      <c r="T173" s="120">
        <f t="shared" si="37"/>
        <v>575078.38599999994</v>
      </c>
    </row>
    <row r="175" spans="1:20" hidden="1" outlineLevel="1" x14ac:dyDescent="0.2">
      <c r="A175" s="532" t="s">
        <v>1226</v>
      </c>
      <c r="B175" s="532" t="s">
        <v>1225</v>
      </c>
      <c r="D175" s="129" t="str">
        <f>IF([1]RENAME!$H$3=1,B175,A175)</f>
        <v>Lucro líquido do período</v>
      </c>
      <c r="E175" s="118" t="s">
        <v>160</v>
      </c>
      <c r="F175" s="118" t="s">
        <v>160</v>
      </c>
      <c r="G175" s="118"/>
      <c r="H175" s="118" t="s">
        <v>160</v>
      </c>
      <c r="I175" s="118" t="s">
        <v>160</v>
      </c>
      <c r="J175" s="118" t="s">
        <v>160</v>
      </c>
      <c r="K175" s="118" t="s">
        <v>160</v>
      </c>
      <c r="L175" s="118"/>
      <c r="M175" s="118" t="s">
        <v>160</v>
      </c>
      <c r="N175" s="118" t="s">
        <v>160</v>
      </c>
      <c r="O175" s="118" t="s">
        <v>160</v>
      </c>
      <c r="P175" s="118">
        <v>0</v>
      </c>
      <c r="Q175" s="118">
        <v>19286</v>
      </c>
      <c r="R175" s="118">
        <f t="shared" ref="R175:R181" si="38">+SUM(E175:Q175)</f>
        <v>19286</v>
      </c>
      <c r="S175" s="118">
        <v>0</v>
      </c>
      <c r="T175" s="118">
        <f t="shared" ref="T175:T181" si="39">+SUM(R175:S175)</f>
        <v>19286</v>
      </c>
    </row>
    <row r="176" spans="1:20" ht="25.5" hidden="1" outlineLevel="1" x14ac:dyDescent="0.2">
      <c r="A176" s="532" t="s">
        <v>1347</v>
      </c>
      <c r="B176" s="532" t="s">
        <v>1386</v>
      </c>
      <c r="D176" s="129" t="str">
        <f>IF([1]RENAME!$H$3=1,B176,A176)</f>
        <v>Resultado líquido com instrumentos financeiros designados como hedge accounting</v>
      </c>
      <c r="E176" s="118" t="s">
        <v>160</v>
      </c>
      <c r="F176" s="118" t="s">
        <v>160</v>
      </c>
      <c r="G176" s="118"/>
      <c r="H176" s="118" t="s">
        <v>160</v>
      </c>
      <c r="I176" s="118" t="s">
        <v>160</v>
      </c>
      <c r="J176" s="118" t="s">
        <v>160</v>
      </c>
      <c r="K176" s="118" t="s">
        <v>160</v>
      </c>
      <c r="L176" s="118"/>
      <c r="M176" s="118" t="s">
        <v>160</v>
      </c>
      <c r="N176" s="118" t="s">
        <v>160</v>
      </c>
      <c r="O176" s="118" t="s">
        <v>160</v>
      </c>
      <c r="P176" s="118">
        <v>1161</v>
      </c>
      <c r="Q176" s="118" t="s">
        <v>160</v>
      </c>
      <c r="R176" s="118">
        <f t="shared" si="38"/>
        <v>1161</v>
      </c>
      <c r="S176" s="118">
        <v>0</v>
      </c>
      <c r="T176" s="118">
        <f t="shared" si="39"/>
        <v>1161</v>
      </c>
    </row>
    <row r="177" spans="1:20" hidden="1" outlineLevel="1" x14ac:dyDescent="0.2">
      <c r="A177" s="532" t="s">
        <v>1624</v>
      </c>
      <c r="B177" s="532" t="s">
        <v>1625</v>
      </c>
      <c r="D177" s="129" t="str">
        <f>IF([1]RENAME!$H$3=1,B177,A177)</f>
        <v>Tributos diferidos sobre hedge accounting</v>
      </c>
      <c r="E177" s="118">
        <v>0</v>
      </c>
      <c r="F177" s="118">
        <v>0</v>
      </c>
      <c r="G177" s="118"/>
      <c r="H177" s="118"/>
      <c r="I177" s="118"/>
      <c r="J177" s="118">
        <v>0</v>
      </c>
      <c r="K177" s="118">
        <v>0</v>
      </c>
      <c r="L177" s="118"/>
      <c r="M177" s="118">
        <v>0</v>
      </c>
      <c r="N177" s="118">
        <v>0</v>
      </c>
      <c r="O177" s="118">
        <v>0</v>
      </c>
      <c r="P177" s="118">
        <v>-395</v>
      </c>
      <c r="Q177" s="118">
        <v>0</v>
      </c>
      <c r="R177" s="118">
        <f t="shared" si="38"/>
        <v>-395</v>
      </c>
      <c r="S177" s="118">
        <v>0</v>
      </c>
      <c r="T177" s="118">
        <f t="shared" si="39"/>
        <v>-395</v>
      </c>
    </row>
    <row r="178" spans="1:20" hidden="1" outlineLevel="1" x14ac:dyDescent="0.2">
      <c r="A178" s="532" t="s">
        <v>1599</v>
      </c>
      <c r="B178" s="532" t="s">
        <v>1600</v>
      </c>
      <c r="D178" s="129" t="str">
        <f>IF([1]RENAME!$H$3=1,B178,A178)</f>
        <v>Incentivos fiscais</v>
      </c>
      <c r="E178" s="118" t="s">
        <v>160</v>
      </c>
      <c r="F178" s="118" t="s">
        <v>160</v>
      </c>
      <c r="G178" s="118"/>
      <c r="H178" s="118"/>
      <c r="I178" s="118"/>
      <c r="J178" s="118">
        <v>4043</v>
      </c>
      <c r="K178" s="118" t="s">
        <v>160</v>
      </c>
      <c r="L178" s="118"/>
      <c r="M178" s="118" t="s">
        <v>160</v>
      </c>
      <c r="N178" s="118" t="s">
        <v>160</v>
      </c>
      <c r="O178" s="118" t="s">
        <v>160</v>
      </c>
      <c r="P178" s="118">
        <v>0</v>
      </c>
      <c r="Q178" s="118">
        <v>-4043</v>
      </c>
      <c r="R178" s="118">
        <f t="shared" si="38"/>
        <v>0</v>
      </c>
      <c r="S178" s="118">
        <v>0</v>
      </c>
      <c r="T178" s="118">
        <f t="shared" si="39"/>
        <v>0</v>
      </c>
    </row>
    <row r="179" spans="1:20" hidden="1" outlineLevel="1" x14ac:dyDescent="0.2">
      <c r="A179" s="532" t="s">
        <v>1210</v>
      </c>
      <c r="B179" s="532" t="s">
        <v>1229</v>
      </c>
      <c r="D179" s="129" t="str">
        <f>IF([1]RENAME!$H$3=1,B179,A179)</f>
        <v>Destinação:</v>
      </c>
      <c r="E179" s="118"/>
      <c r="F179" s="118"/>
      <c r="G179" s="118"/>
      <c r="H179" s="118"/>
      <c r="I179" s="118"/>
      <c r="J179" s="118"/>
      <c r="K179" s="118"/>
      <c r="L179" s="118"/>
      <c r="M179" s="118"/>
      <c r="N179" s="118"/>
      <c r="O179" s="118"/>
      <c r="P179" s="118"/>
      <c r="Q179" s="118"/>
      <c r="R179" s="118"/>
      <c r="S179" s="118"/>
      <c r="T179" s="118"/>
    </row>
    <row r="180" spans="1:20" hidden="1" outlineLevel="1" x14ac:dyDescent="0.2">
      <c r="A180" s="532" t="s">
        <v>1211</v>
      </c>
      <c r="B180" s="532" t="s">
        <v>1230</v>
      </c>
      <c r="D180" s="129" t="str">
        <f>IF([1]RENAME!$H$3=1,B180,A180)</f>
        <v>Constituição de Reservas</v>
      </c>
      <c r="E180" s="118" t="s">
        <v>160</v>
      </c>
      <c r="F180" s="118" t="s">
        <v>160</v>
      </c>
      <c r="G180" s="118"/>
      <c r="H180" s="118" t="s">
        <v>160</v>
      </c>
      <c r="I180" s="118" t="s">
        <v>160</v>
      </c>
      <c r="J180" s="118" t="s">
        <v>160</v>
      </c>
      <c r="K180" s="118" t="s">
        <v>160</v>
      </c>
      <c r="L180" s="118"/>
      <c r="M180" s="118">
        <v>0</v>
      </c>
      <c r="N180" s="118">
        <v>0</v>
      </c>
      <c r="O180" s="118" t="s">
        <v>160</v>
      </c>
      <c r="P180" s="118" t="s">
        <v>160</v>
      </c>
      <c r="Q180" s="118">
        <v>0</v>
      </c>
      <c r="R180" s="118">
        <f t="shared" si="38"/>
        <v>0</v>
      </c>
      <c r="S180" s="118">
        <v>0</v>
      </c>
      <c r="T180" s="118">
        <f t="shared" si="39"/>
        <v>0</v>
      </c>
    </row>
    <row r="181" spans="1:20" hidden="1" outlineLevel="1" x14ac:dyDescent="0.2">
      <c r="A181" s="532" t="s">
        <v>1280</v>
      </c>
      <c r="B181" s="532" t="s">
        <v>1281</v>
      </c>
      <c r="D181" s="129" t="str">
        <f>IF([1]RENAME!$H$3=1,B181,A181)</f>
        <v>Dividendos e juros sobre capital próprio</v>
      </c>
      <c r="E181" s="118" t="s">
        <v>160</v>
      </c>
      <c r="F181" s="118" t="s">
        <v>160</v>
      </c>
      <c r="G181" s="118"/>
      <c r="H181" s="118" t="s">
        <v>160</v>
      </c>
      <c r="I181" s="118" t="s">
        <v>160</v>
      </c>
      <c r="J181" s="118" t="s">
        <v>160</v>
      </c>
      <c r="K181" s="118">
        <v>0</v>
      </c>
      <c r="L181" s="118"/>
      <c r="M181" s="118">
        <v>0</v>
      </c>
      <c r="N181" s="118">
        <v>0</v>
      </c>
      <c r="O181" s="118" t="s">
        <v>160</v>
      </c>
      <c r="P181" s="118" t="s">
        <v>160</v>
      </c>
      <c r="Q181" s="118" t="s">
        <v>160</v>
      </c>
      <c r="R181" s="118">
        <f t="shared" si="38"/>
        <v>0</v>
      </c>
      <c r="S181" s="118">
        <v>0</v>
      </c>
      <c r="T181" s="118">
        <f t="shared" si="39"/>
        <v>0</v>
      </c>
    </row>
    <row r="182" spans="1:20" collapsed="1" x14ac:dyDescent="0.2">
      <c r="A182" s="532" t="s">
        <v>1629</v>
      </c>
      <c r="B182" s="532" t="s">
        <v>1630</v>
      </c>
      <c r="D182" s="126" t="str">
        <f>IF([1]RENAME!$H$3=1,B182,A182)</f>
        <v>Em 31 de março de 2020</v>
      </c>
      <c r="E182" s="120">
        <f t="shared" ref="E182:T182" si="40">SUM(E173:E181)</f>
        <v>144469</v>
      </c>
      <c r="F182" s="120">
        <f t="shared" si="40"/>
        <v>174055</v>
      </c>
      <c r="G182" s="120"/>
      <c r="H182" s="120">
        <f t="shared" si="40"/>
        <v>0</v>
      </c>
      <c r="I182" s="120">
        <f t="shared" si="40"/>
        <v>0</v>
      </c>
      <c r="J182" s="120">
        <f t="shared" si="40"/>
        <v>47748</v>
      </c>
      <c r="K182" s="120">
        <f t="shared" si="40"/>
        <v>28894</v>
      </c>
      <c r="L182" s="120" t="s">
        <v>160</v>
      </c>
      <c r="M182" s="120">
        <f t="shared" si="40"/>
        <v>184303.386</v>
      </c>
      <c r="N182" s="120">
        <f t="shared" si="40"/>
        <v>0</v>
      </c>
      <c r="O182" s="120">
        <f t="shared" si="40"/>
        <v>-342</v>
      </c>
      <c r="P182" s="120">
        <f t="shared" si="40"/>
        <v>760</v>
      </c>
      <c r="Q182" s="120">
        <f t="shared" si="40"/>
        <v>15243</v>
      </c>
      <c r="R182" s="120">
        <f t="shared" si="40"/>
        <v>595130.38599999994</v>
      </c>
      <c r="S182" s="120">
        <f t="shared" si="40"/>
        <v>0</v>
      </c>
      <c r="T182" s="120">
        <f t="shared" si="40"/>
        <v>595130.38599999994</v>
      </c>
    </row>
    <row r="184" spans="1:20" hidden="1" outlineLevel="1" x14ac:dyDescent="0.2">
      <c r="A184" s="532" t="s">
        <v>1226</v>
      </c>
      <c r="B184" s="532" t="s">
        <v>1225</v>
      </c>
      <c r="D184" s="129" t="str">
        <f>IF([1]RENAME!$H$3=1,B184,A184)</f>
        <v>Lucro líquido do período</v>
      </c>
      <c r="E184" s="118" t="s">
        <v>160</v>
      </c>
      <c r="F184" s="118" t="s">
        <v>160</v>
      </c>
      <c r="G184" s="118"/>
      <c r="H184" s="118" t="s">
        <v>160</v>
      </c>
      <c r="I184" s="118" t="s">
        <v>160</v>
      </c>
      <c r="J184" s="118" t="s">
        <v>160</v>
      </c>
      <c r="K184" s="118" t="s">
        <v>160</v>
      </c>
      <c r="L184" s="118"/>
      <c r="M184" s="118" t="s">
        <v>160</v>
      </c>
      <c r="N184" s="118" t="s">
        <v>160</v>
      </c>
      <c r="O184" s="118" t="s">
        <v>160</v>
      </c>
      <c r="P184" s="118">
        <v>0</v>
      </c>
      <c r="Q184" s="118">
        <v>-4363</v>
      </c>
      <c r="R184" s="118">
        <f>+SUM(E184:Q184)</f>
        <v>-4363</v>
      </c>
      <c r="S184" s="118">
        <v>0</v>
      </c>
      <c r="T184" s="118">
        <f>+SUM(R184:S184)</f>
        <v>-4363</v>
      </c>
    </row>
    <row r="185" spans="1:20" hidden="1" outlineLevel="1" x14ac:dyDescent="0.2">
      <c r="A185" s="532" t="s">
        <v>1769</v>
      </c>
      <c r="D185" s="129" t="str">
        <f>IF([1]RENAME!$H$3=1,B185,A185)</f>
        <v>Integralização do capital</v>
      </c>
      <c r="E185" s="118">
        <v>174055</v>
      </c>
      <c r="F185" s="118">
        <v>-174055</v>
      </c>
      <c r="G185" s="118"/>
      <c r="H185" s="118" t="s">
        <v>160</v>
      </c>
      <c r="I185" s="118" t="s">
        <v>160</v>
      </c>
      <c r="J185" s="118" t="s">
        <v>160</v>
      </c>
      <c r="K185" s="118" t="s">
        <v>160</v>
      </c>
      <c r="L185" s="118"/>
      <c r="M185" s="118" t="s">
        <v>160</v>
      </c>
      <c r="N185" s="118" t="s">
        <v>160</v>
      </c>
      <c r="O185" s="118" t="s">
        <v>160</v>
      </c>
      <c r="P185" s="118">
        <v>0</v>
      </c>
      <c r="Q185" s="118">
        <v>0</v>
      </c>
      <c r="R185" s="118">
        <f>+SUM(E185:Q185)</f>
        <v>0</v>
      </c>
      <c r="S185" s="118">
        <v>0</v>
      </c>
      <c r="T185" s="118">
        <f>+SUM(R185:S185)</f>
        <v>0</v>
      </c>
    </row>
    <row r="186" spans="1:20" ht="25.5" hidden="1" outlineLevel="1" x14ac:dyDescent="0.2">
      <c r="A186" s="532" t="s">
        <v>1347</v>
      </c>
      <c r="B186" s="532" t="s">
        <v>1386</v>
      </c>
      <c r="D186" s="129" t="str">
        <f>IF([1]RENAME!$H$3=1,B186,A186)</f>
        <v>Resultado líquido com instrumentos financeiros designados como hedge accounting</v>
      </c>
      <c r="E186" s="118" t="s">
        <v>160</v>
      </c>
      <c r="F186" s="118" t="s">
        <v>160</v>
      </c>
      <c r="G186" s="118"/>
      <c r="H186" s="118" t="s">
        <v>160</v>
      </c>
      <c r="I186" s="118" t="s">
        <v>160</v>
      </c>
      <c r="J186" s="118" t="s">
        <v>160</v>
      </c>
      <c r="K186" s="118" t="s">
        <v>160</v>
      </c>
      <c r="L186" s="118"/>
      <c r="M186" s="118" t="s">
        <v>160</v>
      </c>
      <c r="N186" s="118" t="s">
        <v>160</v>
      </c>
      <c r="O186" s="118" t="s">
        <v>160</v>
      </c>
      <c r="P186" s="118">
        <v>-1030</v>
      </c>
      <c r="Q186" s="118" t="s">
        <v>160</v>
      </c>
      <c r="R186" s="118">
        <f>+SUM(E186:Q186)</f>
        <v>-1030</v>
      </c>
      <c r="S186" s="118">
        <v>0</v>
      </c>
      <c r="T186" s="118">
        <f>+SUM(R186:S186)</f>
        <v>-1030</v>
      </c>
    </row>
    <row r="187" spans="1:20" hidden="1" outlineLevel="1" x14ac:dyDescent="0.2">
      <c r="A187" s="532" t="s">
        <v>1624</v>
      </c>
      <c r="B187" s="532" t="s">
        <v>1625</v>
      </c>
      <c r="D187" s="129" t="str">
        <f>IF([1]RENAME!$H$3=1,B187,A187)</f>
        <v>Tributos diferidos sobre hedge accounting</v>
      </c>
      <c r="E187" s="118">
        <v>0</v>
      </c>
      <c r="F187" s="118">
        <v>0</v>
      </c>
      <c r="G187" s="118"/>
      <c r="H187" s="118"/>
      <c r="I187" s="118"/>
      <c r="J187" s="118">
        <v>0</v>
      </c>
      <c r="K187" s="118">
        <v>0</v>
      </c>
      <c r="L187" s="118"/>
      <c r="M187" s="118">
        <v>0</v>
      </c>
      <c r="N187" s="118">
        <v>0</v>
      </c>
      <c r="O187" s="118">
        <v>0</v>
      </c>
      <c r="P187" s="118">
        <v>350</v>
      </c>
      <c r="Q187" s="118">
        <v>0</v>
      </c>
      <c r="R187" s="118">
        <f>+SUM(E187:Q187)</f>
        <v>350</v>
      </c>
      <c r="S187" s="118">
        <v>0</v>
      </c>
      <c r="T187" s="118">
        <f>+SUM(R187:S187)</f>
        <v>350</v>
      </c>
    </row>
    <row r="188" spans="1:20" hidden="1" outlineLevel="1" x14ac:dyDescent="0.2">
      <c r="A188" s="532" t="s">
        <v>1599</v>
      </c>
      <c r="B188" s="532" t="s">
        <v>1600</v>
      </c>
      <c r="D188" s="129" t="str">
        <f>IF([1]RENAME!$H$3=1,B188,A188)</f>
        <v>Incentivos fiscais</v>
      </c>
      <c r="E188" s="118" t="s">
        <v>160</v>
      </c>
      <c r="F188" s="118" t="s">
        <v>160</v>
      </c>
      <c r="G188" s="118"/>
      <c r="H188" s="118"/>
      <c r="I188" s="118"/>
      <c r="J188" s="118">
        <v>1607</v>
      </c>
      <c r="K188" s="118" t="s">
        <v>160</v>
      </c>
      <c r="L188" s="118"/>
      <c r="M188" s="118" t="s">
        <v>160</v>
      </c>
      <c r="N188" s="118" t="s">
        <v>160</v>
      </c>
      <c r="O188" s="118" t="s">
        <v>160</v>
      </c>
      <c r="P188" s="118">
        <v>0</v>
      </c>
      <c r="Q188" s="118">
        <v>-1607</v>
      </c>
      <c r="R188" s="118">
        <f>+SUM(E188:Q188)</f>
        <v>0</v>
      </c>
      <c r="S188" s="118">
        <v>0</v>
      </c>
      <c r="T188" s="118">
        <f>+SUM(R188:S188)</f>
        <v>0</v>
      </c>
    </row>
    <row r="189" spans="1:20" hidden="1" outlineLevel="1" x14ac:dyDescent="0.2">
      <c r="A189" s="532" t="s">
        <v>1210</v>
      </c>
      <c r="B189" s="532" t="s">
        <v>1229</v>
      </c>
      <c r="D189" s="129" t="str">
        <f>IF([1]RENAME!$H$3=1,B189,A189)</f>
        <v>Destinação:</v>
      </c>
      <c r="E189" s="118"/>
      <c r="F189" s="118"/>
      <c r="G189" s="118"/>
      <c r="H189" s="118"/>
      <c r="I189" s="118"/>
      <c r="J189" s="118"/>
      <c r="K189" s="118"/>
      <c r="L189" s="118"/>
      <c r="M189" s="118"/>
      <c r="N189" s="118"/>
      <c r="O189" s="118"/>
      <c r="P189" s="118"/>
      <c r="Q189" s="118"/>
      <c r="R189" s="118"/>
      <c r="S189" s="118"/>
      <c r="T189" s="118"/>
    </row>
    <row r="190" spans="1:20" hidden="1" outlineLevel="1" x14ac:dyDescent="0.2">
      <c r="A190" s="532" t="s">
        <v>1211</v>
      </c>
      <c r="B190" s="532" t="s">
        <v>1230</v>
      </c>
      <c r="D190" s="129" t="str">
        <f>IF([1]RENAME!$H$3=1,B190,A190)</f>
        <v>Constituição de Reservas</v>
      </c>
      <c r="E190" s="118" t="s">
        <v>160</v>
      </c>
      <c r="F190" s="118" t="s">
        <v>160</v>
      </c>
      <c r="G190" s="118"/>
      <c r="H190" s="118" t="s">
        <v>160</v>
      </c>
      <c r="I190" s="118" t="s">
        <v>160</v>
      </c>
      <c r="J190" s="118" t="s">
        <v>160</v>
      </c>
      <c r="K190" s="118" t="s">
        <v>160</v>
      </c>
      <c r="L190" s="118"/>
      <c r="M190" s="118">
        <v>0</v>
      </c>
      <c r="N190" s="118">
        <v>0</v>
      </c>
      <c r="O190" s="118" t="s">
        <v>160</v>
      </c>
      <c r="P190" s="118" t="s">
        <v>160</v>
      </c>
      <c r="Q190" s="118">
        <v>0</v>
      </c>
      <c r="R190" s="118">
        <f>+SUM(E190:Q190)</f>
        <v>0</v>
      </c>
      <c r="S190" s="118">
        <v>0</v>
      </c>
      <c r="T190" s="118">
        <f>+SUM(R190:S190)</f>
        <v>0</v>
      </c>
    </row>
    <row r="191" spans="1:20" hidden="1" outlineLevel="1" x14ac:dyDescent="0.2">
      <c r="A191" s="532" t="s">
        <v>1280</v>
      </c>
      <c r="B191" s="532" t="s">
        <v>1281</v>
      </c>
      <c r="D191" s="129" t="str">
        <f>IF([1]RENAME!$H$3=1,B191,A191)</f>
        <v>Dividendos e juros sobre capital próprio</v>
      </c>
      <c r="E191" s="118" t="s">
        <v>160</v>
      </c>
      <c r="F191" s="118" t="s">
        <v>160</v>
      </c>
      <c r="G191" s="118"/>
      <c r="H191" s="118" t="s">
        <v>160</v>
      </c>
      <c r="I191" s="118" t="s">
        <v>160</v>
      </c>
      <c r="J191" s="118" t="s">
        <v>160</v>
      </c>
      <c r="K191" s="118">
        <v>0</v>
      </c>
      <c r="L191" s="118"/>
      <c r="M191" s="118">
        <v>0</v>
      </c>
      <c r="N191" s="118">
        <v>0</v>
      </c>
      <c r="O191" s="118" t="s">
        <v>160</v>
      </c>
      <c r="P191" s="118" t="s">
        <v>160</v>
      </c>
      <c r="Q191" s="118" t="s">
        <v>160</v>
      </c>
      <c r="R191" s="118">
        <f>+SUM(E191:Q191)</f>
        <v>0</v>
      </c>
      <c r="S191" s="118">
        <v>0</v>
      </c>
      <c r="T191" s="118">
        <f>+SUM(R191:S191)</f>
        <v>0</v>
      </c>
    </row>
    <row r="192" spans="1:20" collapsed="1" x14ac:dyDescent="0.2">
      <c r="A192" s="532" t="s">
        <v>1670</v>
      </c>
      <c r="B192" s="532" t="s">
        <v>1671</v>
      </c>
      <c r="D192" s="126" t="str">
        <f>IF([1]RENAME!$H$3=1,B192,A192)</f>
        <v>Em 30 de junho de 2020</v>
      </c>
      <c r="E192" s="120">
        <f t="shared" ref="E192:T192" si="41">SUM(E182:E191)</f>
        <v>318524</v>
      </c>
      <c r="F192" s="120">
        <f t="shared" si="41"/>
        <v>0</v>
      </c>
      <c r="G192" s="120"/>
      <c r="H192" s="120">
        <f t="shared" si="41"/>
        <v>0</v>
      </c>
      <c r="I192" s="120">
        <f t="shared" si="41"/>
        <v>0</v>
      </c>
      <c r="J192" s="120">
        <f t="shared" si="41"/>
        <v>49355</v>
      </c>
      <c r="K192" s="120">
        <f t="shared" si="41"/>
        <v>28894</v>
      </c>
      <c r="L192" s="120" t="s">
        <v>160</v>
      </c>
      <c r="M192" s="120">
        <f t="shared" si="41"/>
        <v>184303.386</v>
      </c>
      <c r="N192" s="120">
        <f t="shared" si="41"/>
        <v>0</v>
      </c>
      <c r="O192" s="120">
        <f t="shared" si="41"/>
        <v>-342</v>
      </c>
      <c r="P192" s="120">
        <f t="shared" si="41"/>
        <v>80</v>
      </c>
      <c r="Q192" s="120">
        <f t="shared" si="41"/>
        <v>9273</v>
      </c>
      <c r="R192" s="120">
        <f t="shared" si="41"/>
        <v>590087.38599999994</v>
      </c>
      <c r="S192" s="120">
        <f t="shared" si="41"/>
        <v>0</v>
      </c>
      <c r="T192" s="120">
        <f t="shared" si="41"/>
        <v>590087.38599999994</v>
      </c>
    </row>
    <row r="194" spans="1:20" hidden="1" outlineLevel="1" x14ac:dyDescent="0.2">
      <c r="A194" s="532" t="s">
        <v>1226</v>
      </c>
      <c r="B194" s="532" t="s">
        <v>1225</v>
      </c>
      <c r="D194" s="129" t="str">
        <f>IF([1]RENAME!$H$3=1,B194,A194)</f>
        <v>Lucro líquido do período</v>
      </c>
      <c r="E194" s="118" t="s">
        <v>160</v>
      </c>
      <c r="F194" s="118" t="s">
        <v>160</v>
      </c>
      <c r="G194" s="118"/>
      <c r="H194" s="118" t="s">
        <v>160</v>
      </c>
      <c r="I194" s="118" t="s">
        <v>160</v>
      </c>
      <c r="J194" s="118" t="s">
        <v>160</v>
      </c>
      <c r="K194" s="118" t="s">
        <v>160</v>
      </c>
      <c r="L194" s="118"/>
      <c r="M194" s="118" t="s">
        <v>160</v>
      </c>
      <c r="N194" s="118" t="s">
        <v>160</v>
      </c>
      <c r="O194" s="118" t="s">
        <v>160</v>
      </c>
      <c r="P194" s="118">
        <v>0</v>
      </c>
      <c r="Q194" s="118">
        <v>29939</v>
      </c>
      <c r="R194" s="118">
        <f>+SUM(E194:Q194)</f>
        <v>29939</v>
      </c>
      <c r="S194" s="118">
        <v>0</v>
      </c>
      <c r="T194" s="118">
        <f>+SUM(R194:S194)</f>
        <v>29939</v>
      </c>
    </row>
    <row r="195" spans="1:20" hidden="1" outlineLevel="1" x14ac:dyDescent="0.2">
      <c r="A195" s="532" t="s">
        <v>1769</v>
      </c>
      <c r="D195" s="129" t="str">
        <f>IF([1]RENAME!$H$3=1,B195,A195)</f>
        <v>Integralização do capital</v>
      </c>
      <c r="E195" s="118">
        <v>0</v>
      </c>
      <c r="F195" s="118">
        <v>0</v>
      </c>
      <c r="G195" s="118"/>
      <c r="H195" s="118" t="s">
        <v>160</v>
      </c>
      <c r="I195" s="118" t="s">
        <v>160</v>
      </c>
      <c r="J195" s="118" t="s">
        <v>160</v>
      </c>
      <c r="K195" s="118" t="s">
        <v>160</v>
      </c>
      <c r="L195" s="118"/>
      <c r="M195" s="118" t="s">
        <v>160</v>
      </c>
      <c r="N195" s="118" t="s">
        <v>160</v>
      </c>
      <c r="O195" s="118" t="s">
        <v>160</v>
      </c>
      <c r="P195" s="118">
        <v>0</v>
      </c>
      <c r="Q195" s="118">
        <v>0</v>
      </c>
      <c r="R195" s="118">
        <f>+SUM(E195:Q195)</f>
        <v>0</v>
      </c>
      <c r="S195" s="118">
        <v>0</v>
      </c>
      <c r="T195" s="118">
        <f>+SUM(R195:S195)</f>
        <v>0</v>
      </c>
    </row>
    <row r="196" spans="1:20" ht="25.5" hidden="1" outlineLevel="1" x14ac:dyDescent="0.2">
      <c r="A196" s="532" t="s">
        <v>1347</v>
      </c>
      <c r="B196" s="532" t="s">
        <v>1386</v>
      </c>
      <c r="D196" s="129" t="str">
        <f>IF([1]RENAME!$H$3=1,B196,A196)</f>
        <v>Resultado líquido com instrumentos financeiros designados como hedge accounting</v>
      </c>
      <c r="E196" s="118" t="s">
        <v>160</v>
      </c>
      <c r="F196" s="118" t="s">
        <v>160</v>
      </c>
      <c r="G196" s="118"/>
      <c r="H196" s="118" t="s">
        <v>160</v>
      </c>
      <c r="I196" s="118" t="s">
        <v>160</v>
      </c>
      <c r="J196" s="118" t="s">
        <v>160</v>
      </c>
      <c r="K196" s="118" t="s">
        <v>160</v>
      </c>
      <c r="L196" s="118"/>
      <c r="M196" s="118" t="s">
        <v>160</v>
      </c>
      <c r="N196" s="118" t="s">
        <v>160</v>
      </c>
      <c r="O196" s="118" t="s">
        <v>160</v>
      </c>
      <c r="P196" s="118">
        <v>-122</v>
      </c>
      <c r="Q196" s="118" t="s">
        <v>160</v>
      </c>
      <c r="R196" s="118">
        <f>+SUM(E196:Q196)</f>
        <v>-122</v>
      </c>
      <c r="S196" s="118">
        <v>0</v>
      </c>
      <c r="T196" s="118">
        <f>+SUM(R196:S196)</f>
        <v>-122</v>
      </c>
    </row>
    <row r="197" spans="1:20" hidden="1" outlineLevel="1" x14ac:dyDescent="0.2">
      <c r="A197" s="532" t="s">
        <v>1624</v>
      </c>
      <c r="B197" s="532" t="s">
        <v>1625</v>
      </c>
      <c r="D197" s="129" t="str">
        <f>IF([1]RENAME!$H$3=1,B197,A197)</f>
        <v>Tributos diferidos sobre hedge accounting</v>
      </c>
      <c r="E197" s="118">
        <v>0</v>
      </c>
      <c r="F197" s="118">
        <v>0</v>
      </c>
      <c r="G197" s="118"/>
      <c r="H197" s="118"/>
      <c r="I197" s="118"/>
      <c r="J197" s="118">
        <v>0</v>
      </c>
      <c r="K197" s="118">
        <v>0</v>
      </c>
      <c r="L197" s="118"/>
      <c r="M197" s="118">
        <v>0</v>
      </c>
      <c r="N197" s="118">
        <v>0</v>
      </c>
      <c r="O197" s="118">
        <v>0</v>
      </c>
      <c r="P197" s="118">
        <v>36</v>
      </c>
      <c r="Q197" s="118">
        <v>0</v>
      </c>
      <c r="R197" s="118">
        <f>+SUM(E197:Q197)</f>
        <v>36</v>
      </c>
      <c r="S197" s="118">
        <v>0</v>
      </c>
      <c r="T197" s="118">
        <f>+SUM(R197:S197)</f>
        <v>36</v>
      </c>
    </row>
    <row r="198" spans="1:20" hidden="1" outlineLevel="1" x14ac:dyDescent="0.2">
      <c r="A198" s="532" t="s">
        <v>1599</v>
      </c>
      <c r="B198" s="532" t="s">
        <v>1600</v>
      </c>
      <c r="D198" s="129" t="str">
        <f>IF([1]RENAME!$H$3=1,B198,A198)</f>
        <v>Incentivos fiscais</v>
      </c>
      <c r="E198" s="118" t="s">
        <v>160</v>
      </c>
      <c r="F198" s="118" t="s">
        <v>160</v>
      </c>
      <c r="G198" s="118"/>
      <c r="H198" s="118"/>
      <c r="I198" s="118"/>
      <c r="J198" s="118">
        <v>4268</v>
      </c>
      <c r="K198" s="118" t="s">
        <v>160</v>
      </c>
      <c r="L198" s="118"/>
      <c r="M198" s="118" t="s">
        <v>160</v>
      </c>
      <c r="N198" s="118" t="s">
        <v>160</v>
      </c>
      <c r="O198" s="118" t="s">
        <v>160</v>
      </c>
      <c r="P198" s="118">
        <v>0</v>
      </c>
      <c r="Q198" s="118">
        <v>-4268</v>
      </c>
      <c r="R198" s="118">
        <f>+SUM(E198:Q198)</f>
        <v>0</v>
      </c>
      <c r="S198" s="118">
        <v>0</v>
      </c>
      <c r="T198" s="118">
        <f>+SUM(R198:S198)</f>
        <v>0</v>
      </c>
    </row>
    <row r="199" spans="1:20" hidden="1" outlineLevel="1" x14ac:dyDescent="0.2">
      <c r="A199" s="532" t="s">
        <v>1210</v>
      </c>
      <c r="B199" s="532" t="s">
        <v>1229</v>
      </c>
      <c r="D199" s="129" t="str">
        <f>IF([1]RENAME!$H$3=1,B199,A199)</f>
        <v>Destinação:</v>
      </c>
      <c r="E199" s="118"/>
      <c r="F199" s="118"/>
      <c r="G199" s="118"/>
      <c r="H199" s="118"/>
      <c r="I199" s="118"/>
      <c r="J199" s="118"/>
      <c r="K199" s="118"/>
      <c r="L199" s="118"/>
      <c r="M199" s="118"/>
      <c r="N199" s="118"/>
      <c r="O199" s="118"/>
      <c r="P199" s="118"/>
      <c r="Q199" s="118"/>
      <c r="R199" s="118"/>
      <c r="S199" s="118"/>
      <c r="T199" s="118"/>
    </row>
    <row r="200" spans="1:20" hidden="1" outlineLevel="1" x14ac:dyDescent="0.2">
      <c r="A200" s="532" t="s">
        <v>1211</v>
      </c>
      <c r="B200" s="532" t="s">
        <v>1230</v>
      </c>
      <c r="D200" s="129" t="str">
        <f>IF([1]RENAME!$H$3=1,B200,A200)</f>
        <v>Constituição de Reservas</v>
      </c>
      <c r="E200" s="118" t="s">
        <v>160</v>
      </c>
      <c r="F200" s="118" t="s">
        <v>160</v>
      </c>
      <c r="G200" s="118"/>
      <c r="H200" s="118" t="s">
        <v>160</v>
      </c>
      <c r="I200" s="118" t="s">
        <v>160</v>
      </c>
      <c r="J200" s="118" t="s">
        <v>160</v>
      </c>
      <c r="K200" s="118" t="s">
        <v>160</v>
      </c>
      <c r="L200" s="118"/>
      <c r="M200" s="118">
        <v>0</v>
      </c>
      <c r="N200" s="118">
        <v>0</v>
      </c>
      <c r="O200" s="118" t="s">
        <v>160</v>
      </c>
      <c r="P200" s="118" t="s">
        <v>160</v>
      </c>
      <c r="Q200" s="118">
        <v>0</v>
      </c>
      <c r="R200" s="118">
        <f>+SUM(E200:Q200)</f>
        <v>0</v>
      </c>
      <c r="S200" s="118">
        <v>0</v>
      </c>
      <c r="T200" s="118">
        <f>+SUM(R200:S200)</f>
        <v>0</v>
      </c>
    </row>
    <row r="201" spans="1:20" hidden="1" outlineLevel="1" x14ac:dyDescent="0.2">
      <c r="A201" s="532" t="s">
        <v>1280</v>
      </c>
      <c r="B201" s="532" t="s">
        <v>1281</v>
      </c>
      <c r="D201" s="129" t="str">
        <f>IF([1]RENAME!$H$3=1,B201,A201)</f>
        <v>Dividendos e juros sobre capital próprio</v>
      </c>
      <c r="E201" s="118" t="s">
        <v>160</v>
      </c>
      <c r="F201" s="118" t="s">
        <v>160</v>
      </c>
      <c r="G201" s="118"/>
      <c r="H201" s="118" t="s">
        <v>160</v>
      </c>
      <c r="I201" s="118" t="s">
        <v>160</v>
      </c>
      <c r="J201" s="118" t="s">
        <v>160</v>
      </c>
      <c r="K201" s="118">
        <v>0</v>
      </c>
      <c r="L201" s="118"/>
      <c r="M201" s="118">
        <v>0</v>
      </c>
      <c r="N201" s="118">
        <v>0</v>
      </c>
      <c r="O201" s="118" t="s">
        <v>160</v>
      </c>
      <c r="P201" s="118" t="s">
        <v>160</v>
      </c>
      <c r="Q201" s="118" t="s">
        <v>160</v>
      </c>
      <c r="R201" s="118">
        <f>+SUM(E201:Q201)</f>
        <v>0</v>
      </c>
      <c r="S201" s="118">
        <v>0</v>
      </c>
      <c r="T201" s="118">
        <f>+SUM(R201:S201)</f>
        <v>0</v>
      </c>
    </row>
    <row r="202" spans="1:20" collapsed="1" x14ac:dyDescent="0.2">
      <c r="A202" s="532" t="s">
        <v>1780</v>
      </c>
      <c r="B202" s="532" t="s">
        <v>1781</v>
      </c>
      <c r="D202" s="126" t="str">
        <f>IF([1]RENAME!$H$3=1,B202,A202)</f>
        <v>Em 30 de setembro de 2020</v>
      </c>
      <c r="E202" s="120">
        <f t="shared" ref="E202:T202" si="42">SUM(E192:E201)</f>
        <v>318524</v>
      </c>
      <c r="F202" s="120">
        <f t="shared" si="42"/>
        <v>0</v>
      </c>
      <c r="G202" s="120"/>
      <c r="H202" s="120">
        <f t="shared" si="42"/>
        <v>0</v>
      </c>
      <c r="I202" s="120">
        <f t="shared" si="42"/>
        <v>0</v>
      </c>
      <c r="J202" s="120">
        <f t="shared" si="42"/>
        <v>53623</v>
      </c>
      <c r="K202" s="120">
        <f t="shared" si="42"/>
        <v>28894</v>
      </c>
      <c r="L202" s="120" t="s">
        <v>160</v>
      </c>
      <c r="M202" s="120">
        <f t="shared" si="42"/>
        <v>184303.386</v>
      </c>
      <c r="N202" s="120">
        <f t="shared" si="42"/>
        <v>0</v>
      </c>
      <c r="O202" s="120">
        <f t="shared" si="42"/>
        <v>-342</v>
      </c>
      <c r="P202" s="120">
        <f t="shared" si="42"/>
        <v>-6</v>
      </c>
      <c r="Q202" s="120">
        <f t="shared" si="42"/>
        <v>34944</v>
      </c>
      <c r="R202" s="120">
        <f t="shared" si="42"/>
        <v>619940.38599999994</v>
      </c>
      <c r="S202" s="120">
        <f t="shared" si="42"/>
        <v>0</v>
      </c>
      <c r="T202" s="120">
        <f t="shared" si="42"/>
        <v>619940.38599999994</v>
      </c>
    </row>
    <row r="204" spans="1:20" hidden="1" outlineLevel="1" x14ac:dyDescent="0.2">
      <c r="A204" s="532" t="s">
        <v>1226</v>
      </c>
      <c r="B204" s="532" t="s">
        <v>1225</v>
      </c>
      <c r="D204" s="129" t="str">
        <f>IF([1]RENAME!$H$3=1,B204,A204)</f>
        <v>Lucro líquido do período</v>
      </c>
      <c r="E204" s="118" t="s">
        <v>160</v>
      </c>
      <c r="F204" s="118" t="s">
        <v>160</v>
      </c>
      <c r="G204" s="118"/>
      <c r="H204" s="118" t="s">
        <v>160</v>
      </c>
      <c r="I204" s="118" t="s">
        <v>160</v>
      </c>
      <c r="J204" s="118" t="s">
        <v>160</v>
      </c>
      <c r="K204" s="118" t="s">
        <v>160</v>
      </c>
      <c r="L204" s="118"/>
      <c r="M204" s="118" t="s">
        <v>160</v>
      </c>
      <c r="N204" s="118" t="s">
        <v>160</v>
      </c>
      <c r="O204" s="118" t="s">
        <v>160</v>
      </c>
      <c r="P204" s="118">
        <v>0</v>
      </c>
      <c r="Q204" s="118">
        <v>28764</v>
      </c>
      <c r="R204" s="118">
        <f t="shared" ref="R204:R213" si="43">+SUM(E204:Q204)</f>
        <v>28764</v>
      </c>
      <c r="S204" s="118">
        <v>0</v>
      </c>
      <c r="T204" s="118">
        <f t="shared" ref="T204:T213" si="44">+SUM(R204:S204)</f>
        <v>28764</v>
      </c>
    </row>
    <row r="205" spans="1:20" hidden="1" outlineLevel="1" x14ac:dyDescent="0.2">
      <c r="A205" s="532" t="s">
        <v>1769</v>
      </c>
      <c r="D205" s="129" t="str">
        <f>IF([1]RENAME!$H$3=1,B205,A205)</f>
        <v>Integralização do capital</v>
      </c>
      <c r="E205" s="118">
        <v>0</v>
      </c>
      <c r="F205" s="118">
        <v>0</v>
      </c>
      <c r="G205" s="118"/>
      <c r="H205" s="118" t="s">
        <v>160</v>
      </c>
      <c r="I205" s="118" t="s">
        <v>160</v>
      </c>
      <c r="J205" s="118" t="s">
        <v>160</v>
      </c>
      <c r="K205" s="118" t="s">
        <v>160</v>
      </c>
      <c r="L205" s="118"/>
      <c r="M205" s="118" t="s">
        <v>160</v>
      </c>
      <c r="N205" s="118" t="s">
        <v>160</v>
      </c>
      <c r="O205" s="118" t="s">
        <v>160</v>
      </c>
      <c r="P205" s="118">
        <v>0</v>
      </c>
      <c r="Q205" s="118">
        <v>0</v>
      </c>
      <c r="R205" s="118">
        <f t="shared" si="43"/>
        <v>0</v>
      </c>
      <c r="S205" s="118">
        <v>0</v>
      </c>
      <c r="T205" s="118">
        <f t="shared" si="44"/>
        <v>0</v>
      </c>
    </row>
    <row r="206" spans="1:20" ht="25.5" hidden="1" outlineLevel="1" x14ac:dyDescent="0.2">
      <c r="A206" s="532" t="s">
        <v>1347</v>
      </c>
      <c r="B206" s="532" t="s">
        <v>1386</v>
      </c>
      <c r="D206" s="129" t="str">
        <f>IF([1]RENAME!$H$3=1,B206,A206)</f>
        <v>Resultado líquido com instrumentos financeiros designados como hedge accounting</v>
      </c>
      <c r="E206" s="118" t="s">
        <v>160</v>
      </c>
      <c r="F206" s="118" t="s">
        <v>160</v>
      </c>
      <c r="G206" s="118"/>
      <c r="H206" s="118" t="s">
        <v>160</v>
      </c>
      <c r="I206" s="118" t="s">
        <v>160</v>
      </c>
      <c r="J206" s="118" t="s">
        <v>160</v>
      </c>
      <c r="K206" s="118" t="s">
        <v>160</v>
      </c>
      <c r="L206" s="118"/>
      <c r="M206" s="118" t="s">
        <v>160</v>
      </c>
      <c r="N206" s="118" t="s">
        <v>160</v>
      </c>
      <c r="O206" s="118" t="s">
        <v>160</v>
      </c>
      <c r="P206" s="118">
        <v>9</v>
      </c>
      <c r="Q206" s="118" t="s">
        <v>160</v>
      </c>
      <c r="R206" s="118">
        <f t="shared" si="43"/>
        <v>9</v>
      </c>
      <c r="S206" s="118">
        <v>0</v>
      </c>
      <c r="T206" s="118">
        <f t="shared" si="44"/>
        <v>9</v>
      </c>
    </row>
    <row r="207" spans="1:20" hidden="1" outlineLevel="1" x14ac:dyDescent="0.2">
      <c r="A207" s="532" t="s">
        <v>1624</v>
      </c>
      <c r="B207" s="532" t="s">
        <v>1625</v>
      </c>
      <c r="D207" s="129" t="str">
        <f>IF([1]RENAME!$H$3=1,B207,A207)</f>
        <v>Tributos diferidos sobre hedge accounting</v>
      </c>
      <c r="E207" s="118">
        <v>0</v>
      </c>
      <c r="F207" s="118">
        <v>0</v>
      </c>
      <c r="G207" s="118"/>
      <c r="H207" s="118"/>
      <c r="I207" s="118"/>
      <c r="J207" s="118">
        <v>0</v>
      </c>
      <c r="K207" s="118">
        <v>0</v>
      </c>
      <c r="L207" s="118"/>
      <c r="M207" s="118">
        <v>0</v>
      </c>
      <c r="N207" s="118">
        <v>0</v>
      </c>
      <c r="O207" s="118">
        <v>0</v>
      </c>
      <c r="P207" s="118">
        <v>-3</v>
      </c>
      <c r="Q207" s="118">
        <v>0</v>
      </c>
      <c r="R207" s="118">
        <f t="shared" si="43"/>
        <v>-3</v>
      </c>
      <c r="S207" s="118">
        <v>0</v>
      </c>
      <c r="T207" s="118">
        <f t="shared" si="44"/>
        <v>-3</v>
      </c>
    </row>
    <row r="208" spans="1:20" hidden="1" outlineLevel="1" x14ac:dyDescent="0.2">
      <c r="A208" s="532" t="s">
        <v>1843</v>
      </c>
      <c r="B208" s="532" t="s">
        <v>1848</v>
      </c>
      <c r="D208" s="129" t="str">
        <f>IF([1]RENAME!$H$3=1,B208,A208)</f>
        <v>Constituição de passivo atuarial</v>
      </c>
      <c r="E208" s="118">
        <v>0</v>
      </c>
      <c r="F208" s="118">
        <v>0</v>
      </c>
      <c r="G208" s="118"/>
      <c r="H208" s="118"/>
      <c r="I208" s="118"/>
      <c r="J208" s="118">
        <v>0</v>
      </c>
      <c r="K208" s="118">
        <v>0</v>
      </c>
      <c r="L208" s="118"/>
      <c r="M208" s="118">
        <v>0</v>
      </c>
      <c r="N208" s="118">
        <v>0</v>
      </c>
      <c r="O208" s="118">
        <v>0</v>
      </c>
      <c r="P208" s="118">
        <v>-2450</v>
      </c>
      <c r="Q208" s="118">
        <v>0</v>
      </c>
      <c r="R208" s="118">
        <f>+SUM(E208:Q208)</f>
        <v>-2450</v>
      </c>
      <c r="S208" s="118">
        <v>0</v>
      </c>
      <c r="T208" s="118">
        <f>+SUM(R208:S208)</f>
        <v>-2450</v>
      </c>
    </row>
    <row r="209" spans="1:20" hidden="1" outlineLevel="1" x14ac:dyDescent="0.2">
      <c r="A209" s="532" t="s">
        <v>1844</v>
      </c>
      <c r="B209" s="532" t="s">
        <v>1849</v>
      </c>
      <c r="D209" s="129" t="str">
        <f>IF([1]RENAME!$H$3=1,B209,A209)</f>
        <v>Tributos diferidos sobre passivo atuarial</v>
      </c>
      <c r="E209" s="118">
        <v>0</v>
      </c>
      <c r="F209" s="118">
        <v>0</v>
      </c>
      <c r="G209" s="118"/>
      <c r="H209" s="118"/>
      <c r="I209" s="118"/>
      <c r="J209" s="118">
        <v>0</v>
      </c>
      <c r="K209" s="118">
        <v>0</v>
      </c>
      <c r="L209" s="118"/>
      <c r="M209" s="118">
        <v>0</v>
      </c>
      <c r="N209" s="118">
        <v>0</v>
      </c>
      <c r="O209" s="118">
        <v>0</v>
      </c>
      <c r="P209" s="118">
        <v>833.00000000000011</v>
      </c>
      <c r="Q209" s="118">
        <v>0</v>
      </c>
      <c r="R209" s="118">
        <f>+SUM(E209:Q209)</f>
        <v>833.00000000000011</v>
      </c>
      <c r="S209" s="118">
        <v>0</v>
      </c>
      <c r="T209" s="118">
        <f>+SUM(R209:S209)</f>
        <v>833.00000000000011</v>
      </c>
    </row>
    <row r="210" spans="1:20" hidden="1" outlineLevel="1" x14ac:dyDescent="0.2">
      <c r="A210" s="532" t="s">
        <v>1599</v>
      </c>
      <c r="B210" s="532" t="s">
        <v>1600</v>
      </c>
      <c r="D210" s="129" t="str">
        <f>IF([1]RENAME!$H$3=1,B210,A210)</f>
        <v>Incentivos fiscais</v>
      </c>
      <c r="E210" s="118">
        <v>0</v>
      </c>
      <c r="F210" s="118">
        <v>0</v>
      </c>
      <c r="G210" s="118"/>
      <c r="H210" s="118"/>
      <c r="I210" s="118"/>
      <c r="J210" s="118">
        <v>4615</v>
      </c>
      <c r="K210" s="118">
        <v>0</v>
      </c>
      <c r="L210" s="118"/>
      <c r="M210" s="118">
        <v>0</v>
      </c>
      <c r="N210" s="118">
        <v>0</v>
      </c>
      <c r="O210" s="118">
        <v>0</v>
      </c>
      <c r="P210" s="118">
        <v>0</v>
      </c>
      <c r="Q210" s="118">
        <v>-4615</v>
      </c>
      <c r="R210" s="118">
        <f>+SUM(E210:Q210)</f>
        <v>0</v>
      </c>
      <c r="S210" s="118">
        <v>0</v>
      </c>
      <c r="T210" s="118">
        <f>+SUM(R210:S210)</f>
        <v>0</v>
      </c>
    </row>
    <row r="211" spans="1:20" hidden="1" outlineLevel="1" x14ac:dyDescent="0.2">
      <c r="A211" s="532" t="s">
        <v>1824</v>
      </c>
      <c r="B211" s="532" t="s">
        <v>1203</v>
      </c>
      <c r="D211" s="129" t="str">
        <f>IF([1]RENAME!$H$3=1,B211,A211)</f>
        <v>Participação de não controladores</v>
      </c>
      <c r="E211" s="118" t="s">
        <v>160</v>
      </c>
      <c r="F211" s="118" t="s">
        <v>160</v>
      </c>
      <c r="G211" s="118"/>
      <c r="H211" s="118" t="s">
        <v>160</v>
      </c>
      <c r="I211" s="118" t="s">
        <v>160</v>
      </c>
      <c r="J211" s="118" t="s">
        <v>160</v>
      </c>
      <c r="K211" s="118" t="s">
        <v>160</v>
      </c>
      <c r="L211" s="118"/>
      <c r="M211" s="118" t="s">
        <v>160</v>
      </c>
      <c r="N211" s="118" t="s">
        <v>160</v>
      </c>
      <c r="O211" s="118" t="s">
        <v>160</v>
      </c>
      <c r="P211" s="118">
        <v>0</v>
      </c>
      <c r="Q211" s="118">
        <v>0</v>
      </c>
      <c r="R211" s="118">
        <f t="shared" si="43"/>
        <v>0</v>
      </c>
      <c r="S211" s="118">
        <v>976</v>
      </c>
      <c r="T211" s="118">
        <f t="shared" si="44"/>
        <v>976</v>
      </c>
    </row>
    <row r="212" spans="1:20" hidden="1" outlineLevel="1" x14ac:dyDescent="0.2">
      <c r="A212" s="532" t="s">
        <v>1211</v>
      </c>
      <c r="B212" s="532" t="s">
        <v>1230</v>
      </c>
      <c r="D212" s="129" t="str">
        <f>IF([1]RENAME!$H$3=1,B212,A212)</f>
        <v>Constituição de Reservas</v>
      </c>
      <c r="E212" s="118" t="s">
        <v>160</v>
      </c>
      <c r="F212" s="118" t="s">
        <v>160</v>
      </c>
      <c r="G212" s="118"/>
      <c r="H212" s="118" t="s">
        <v>160</v>
      </c>
      <c r="I212" s="118" t="s">
        <v>160</v>
      </c>
      <c r="J212" s="118" t="s">
        <v>160</v>
      </c>
      <c r="K212" s="118">
        <v>3681.3</v>
      </c>
      <c r="L212" s="118"/>
      <c r="M212" s="118">
        <v>55412.7</v>
      </c>
      <c r="N212" s="118">
        <v>0</v>
      </c>
      <c r="O212" s="118" t="s">
        <v>160</v>
      </c>
      <c r="P212" s="118" t="s">
        <v>160</v>
      </c>
      <c r="Q212" s="118">
        <v>-59093</v>
      </c>
      <c r="R212" s="118">
        <f t="shared" si="43"/>
        <v>1</v>
      </c>
      <c r="S212" s="118">
        <v>0</v>
      </c>
      <c r="T212" s="118">
        <f t="shared" si="44"/>
        <v>1</v>
      </c>
    </row>
    <row r="213" spans="1:20" hidden="1" outlineLevel="1" x14ac:dyDescent="0.2">
      <c r="A213" s="532" t="s">
        <v>1280</v>
      </c>
      <c r="B213" s="532" t="s">
        <v>1281</v>
      </c>
      <c r="D213" s="129" t="str">
        <f>IF([1]RENAME!$H$3=1,B213,A213)</f>
        <v>Dividendos e juros sobre capital próprio</v>
      </c>
      <c r="E213" s="118" t="s">
        <v>160</v>
      </c>
      <c r="F213" s="118" t="s">
        <v>160</v>
      </c>
      <c r="G213" s="118"/>
      <c r="H213" s="118" t="s">
        <v>160</v>
      </c>
      <c r="I213" s="118" t="s">
        <v>160</v>
      </c>
      <c r="J213" s="118" t="s">
        <v>160</v>
      </c>
      <c r="K213" s="118">
        <v>0</v>
      </c>
      <c r="L213" s="118"/>
      <c r="M213" s="118">
        <v>-34972</v>
      </c>
      <c r="N213" s="118">
        <v>12541</v>
      </c>
      <c r="O213" s="118" t="s">
        <v>160</v>
      </c>
      <c r="P213" s="118" t="s">
        <v>160</v>
      </c>
      <c r="Q213" s="118" t="s">
        <v>160</v>
      </c>
      <c r="R213" s="118">
        <f t="shared" si="43"/>
        <v>-22431</v>
      </c>
      <c r="S213" s="118">
        <v>0</v>
      </c>
      <c r="T213" s="118">
        <f t="shared" si="44"/>
        <v>-22431</v>
      </c>
    </row>
    <row r="214" spans="1:20" collapsed="1" x14ac:dyDescent="0.2">
      <c r="A214" s="532" t="s">
        <v>1819</v>
      </c>
      <c r="B214" s="532" t="s">
        <v>1820</v>
      </c>
      <c r="D214" s="126" t="str">
        <f>IF([1]RENAME!$H$3=1,B214,A214)</f>
        <v>Em 30 de dezembro de 2020</v>
      </c>
      <c r="E214" s="120">
        <f t="shared" ref="E214:T214" si="45">SUM(E202:E213)</f>
        <v>318524</v>
      </c>
      <c r="F214" s="120">
        <f t="shared" si="45"/>
        <v>0</v>
      </c>
      <c r="G214" s="120"/>
      <c r="H214" s="120">
        <f t="shared" si="45"/>
        <v>0</v>
      </c>
      <c r="I214" s="120">
        <f t="shared" si="45"/>
        <v>0</v>
      </c>
      <c r="J214" s="120">
        <f t="shared" si="45"/>
        <v>58238</v>
      </c>
      <c r="K214" s="120">
        <f t="shared" si="45"/>
        <v>32575.3</v>
      </c>
      <c r="L214" s="120" t="s">
        <v>160</v>
      </c>
      <c r="M214" s="120">
        <f t="shared" si="45"/>
        <v>204744.08600000001</v>
      </c>
      <c r="N214" s="120">
        <f t="shared" si="45"/>
        <v>12541</v>
      </c>
      <c r="O214" s="120">
        <f t="shared" si="45"/>
        <v>-342</v>
      </c>
      <c r="P214" s="120">
        <f t="shared" si="45"/>
        <v>-1617</v>
      </c>
      <c r="Q214" s="120">
        <f t="shared" si="45"/>
        <v>0</v>
      </c>
      <c r="R214" s="120">
        <f t="shared" si="45"/>
        <v>624663.38599999994</v>
      </c>
      <c r="S214" s="120">
        <f t="shared" si="45"/>
        <v>976</v>
      </c>
      <c r="T214" s="120">
        <f t="shared" si="45"/>
        <v>625639.38599999994</v>
      </c>
    </row>
    <row r="216" spans="1:20" hidden="1" outlineLevel="1" x14ac:dyDescent="0.2">
      <c r="A216" s="532" t="s">
        <v>1226</v>
      </c>
      <c r="B216" s="532" t="s">
        <v>1225</v>
      </c>
      <c r="D216" s="129" t="str">
        <f>IF([1]RENAME!$H$3=1,B216,A216)</f>
        <v>Lucro líquido do período</v>
      </c>
      <c r="E216" s="118" t="s">
        <v>160</v>
      </c>
      <c r="F216" s="118" t="s">
        <v>160</v>
      </c>
      <c r="G216" s="118"/>
      <c r="H216" s="118" t="s">
        <v>160</v>
      </c>
      <c r="I216" s="118" t="s">
        <v>160</v>
      </c>
      <c r="J216" s="118" t="s">
        <v>160</v>
      </c>
      <c r="K216" s="118" t="s">
        <v>160</v>
      </c>
      <c r="L216" s="118"/>
      <c r="M216" s="118" t="s">
        <v>160</v>
      </c>
      <c r="N216" s="118" t="s">
        <v>160</v>
      </c>
      <c r="O216" s="118" t="s">
        <v>160</v>
      </c>
      <c r="P216" s="118">
        <v>0</v>
      </c>
      <c r="Q216" s="118">
        <v>20248</v>
      </c>
      <c r="R216" s="118">
        <f>+SUM(E216:Q216)</f>
        <v>20248</v>
      </c>
      <c r="S216" s="118">
        <v>0</v>
      </c>
      <c r="T216" s="118">
        <f>+SUM(R216:S216)</f>
        <v>20248</v>
      </c>
    </row>
    <row r="217" spans="1:20" hidden="1" outlineLevel="1" x14ac:dyDescent="0.2">
      <c r="A217" s="532" t="s">
        <v>1599</v>
      </c>
      <c r="B217" s="532" t="s">
        <v>1600</v>
      </c>
      <c r="D217" s="129" t="str">
        <f>IF([1]RENAME!$H$3=1,B217,A217)</f>
        <v>Incentivos fiscais</v>
      </c>
      <c r="E217" s="118">
        <v>0</v>
      </c>
      <c r="F217" s="118">
        <v>0</v>
      </c>
      <c r="G217" s="118"/>
      <c r="H217" s="118"/>
      <c r="I217" s="118"/>
      <c r="J217" s="118">
        <v>3592</v>
      </c>
      <c r="K217" s="118">
        <v>0</v>
      </c>
      <c r="L217" s="118"/>
      <c r="M217" s="118">
        <v>0</v>
      </c>
      <c r="N217" s="118">
        <v>0</v>
      </c>
      <c r="O217" s="118">
        <v>0</v>
      </c>
      <c r="P217" s="118">
        <v>0</v>
      </c>
      <c r="Q217" s="118">
        <v>-3592</v>
      </c>
      <c r="R217" s="118">
        <f>+SUM(E217:Q217)</f>
        <v>0</v>
      </c>
      <c r="S217" s="118">
        <v>0</v>
      </c>
      <c r="T217" s="118">
        <f>+SUM(R217:S217)</f>
        <v>0</v>
      </c>
    </row>
    <row r="218" spans="1:20" hidden="1" outlineLevel="1" x14ac:dyDescent="0.2">
      <c r="A218" s="532" t="s">
        <v>1824</v>
      </c>
      <c r="B218" s="532" t="s">
        <v>1203</v>
      </c>
      <c r="D218" s="129" t="str">
        <f>IF([1]RENAME!$H$3=1,B218,A218)</f>
        <v>Participação de não controladores</v>
      </c>
      <c r="E218" s="118" t="s">
        <v>160</v>
      </c>
      <c r="F218" s="118" t="s">
        <v>160</v>
      </c>
      <c r="G218" s="118"/>
      <c r="H218" s="118" t="s">
        <v>160</v>
      </c>
      <c r="I218" s="118" t="s">
        <v>160</v>
      </c>
      <c r="J218" s="118" t="s">
        <v>160</v>
      </c>
      <c r="K218" s="118" t="s">
        <v>160</v>
      </c>
      <c r="L218" s="118"/>
      <c r="M218" s="118" t="s">
        <v>160</v>
      </c>
      <c r="N218" s="118" t="s">
        <v>160</v>
      </c>
      <c r="O218" s="118" t="s">
        <v>160</v>
      </c>
      <c r="P218" s="118">
        <v>0</v>
      </c>
      <c r="Q218" s="118">
        <v>0</v>
      </c>
      <c r="R218" s="118">
        <f>+SUM(E218:Q218)</f>
        <v>0</v>
      </c>
      <c r="S218" s="118">
        <v>-90</v>
      </c>
      <c r="T218" s="118">
        <f>+SUM(R218:S218)</f>
        <v>-90</v>
      </c>
    </row>
    <row r="219" spans="1:20" collapsed="1" x14ac:dyDescent="0.2">
      <c r="A219" s="532" t="s">
        <v>1850</v>
      </c>
      <c r="B219" s="532" t="s">
        <v>1851</v>
      </c>
      <c r="D219" s="126" t="str">
        <f>IF([1]RENAME!$H$3=1,B219,A219)</f>
        <v>Em 31 de março de 2021</v>
      </c>
      <c r="E219" s="120">
        <f t="shared" ref="E219:S219" si="46">SUM(E214:E218)</f>
        <v>318524</v>
      </c>
      <c r="F219" s="120">
        <f t="shared" si="46"/>
        <v>0</v>
      </c>
      <c r="G219" s="120"/>
      <c r="H219" s="120">
        <f t="shared" si="46"/>
        <v>0</v>
      </c>
      <c r="I219" s="120">
        <f t="shared" si="46"/>
        <v>0</v>
      </c>
      <c r="J219" s="120">
        <f t="shared" si="46"/>
        <v>61830</v>
      </c>
      <c r="K219" s="120">
        <f t="shared" si="46"/>
        <v>32575.3</v>
      </c>
      <c r="L219" s="120" t="s">
        <v>160</v>
      </c>
      <c r="M219" s="120">
        <f t="shared" si="46"/>
        <v>204744.08600000001</v>
      </c>
      <c r="N219" s="120">
        <f t="shared" si="46"/>
        <v>12541</v>
      </c>
      <c r="O219" s="120">
        <f t="shared" si="46"/>
        <v>-342</v>
      </c>
      <c r="P219" s="120">
        <f t="shared" si="46"/>
        <v>-1617</v>
      </c>
      <c r="Q219" s="120">
        <f t="shared" si="46"/>
        <v>16656</v>
      </c>
      <c r="R219" s="120">
        <f t="shared" si="46"/>
        <v>644911.38599999994</v>
      </c>
      <c r="S219" s="120">
        <f t="shared" si="46"/>
        <v>886</v>
      </c>
      <c r="T219" s="120">
        <f>SUM(T214:T218)</f>
        <v>645797.38599999994</v>
      </c>
    </row>
    <row r="221" spans="1:20" hidden="1" outlineLevel="1" x14ac:dyDescent="0.2">
      <c r="A221" s="532" t="s">
        <v>1226</v>
      </c>
      <c r="B221" s="532" t="s">
        <v>1225</v>
      </c>
      <c r="D221" s="129" t="str">
        <f>IF([1]RENAME!$H$3=1,B221,A221)</f>
        <v>Lucro líquido do período</v>
      </c>
      <c r="E221" s="118" t="s">
        <v>160</v>
      </c>
      <c r="F221" s="118" t="s">
        <v>160</v>
      </c>
      <c r="G221" s="118"/>
      <c r="H221" s="118" t="s">
        <v>160</v>
      </c>
      <c r="I221" s="118" t="s">
        <v>160</v>
      </c>
      <c r="J221" s="118" t="s">
        <v>160</v>
      </c>
      <c r="K221" s="118" t="s">
        <v>160</v>
      </c>
      <c r="L221" s="118"/>
      <c r="M221" s="118" t="s">
        <v>160</v>
      </c>
      <c r="N221" s="118" t="s">
        <v>160</v>
      </c>
      <c r="O221" s="118" t="s">
        <v>160</v>
      </c>
      <c r="P221" s="118">
        <v>0</v>
      </c>
      <c r="Q221" s="118">
        <v>24184</v>
      </c>
      <c r="R221" s="118">
        <f>+SUM(E221:Q221)</f>
        <v>24184</v>
      </c>
      <c r="S221" s="118">
        <v>0</v>
      </c>
      <c r="T221" s="118">
        <f>+SUM(R221:S221)</f>
        <v>24184</v>
      </c>
    </row>
    <row r="222" spans="1:20" hidden="1" outlineLevel="1" x14ac:dyDescent="0.2">
      <c r="A222" s="532" t="s">
        <v>1599</v>
      </c>
      <c r="B222" s="532" t="s">
        <v>1600</v>
      </c>
      <c r="D222" s="129" t="str">
        <f>IF([1]RENAME!$H$3=1,B222,A222)</f>
        <v>Incentivos fiscais</v>
      </c>
      <c r="E222" s="118">
        <v>0</v>
      </c>
      <c r="F222" s="118">
        <v>0</v>
      </c>
      <c r="G222" s="118"/>
      <c r="H222" s="118"/>
      <c r="I222" s="118"/>
      <c r="J222" s="118">
        <v>3363</v>
      </c>
      <c r="K222" s="118">
        <v>0</v>
      </c>
      <c r="L222" s="118"/>
      <c r="M222" s="118">
        <v>0</v>
      </c>
      <c r="N222" s="118">
        <v>0</v>
      </c>
      <c r="O222" s="118">
        <v>0</v>
      </c>
      <c r="P222" s="118">
        <v>0</v>
      </c>
      <c r="Q222" s="118">
        <v>-3363</v>
      </c>
      <c r="R222" s="118">
        <f>+SUM(E222:Q222)</f>
        <v>0</v>
      </c>
      <c r="S222" s="118">
        <v>0</v>
      </c>
      <c r="T222" s="118">
        <f>+SUM(R222:S222)</f>
        <v>0</v>
      </c>
    </row>
    <row r="223" spans="1:20" hidden="1" outlineLevel="1" x14ac:dyDescent="0.2">
      <c r="A223" s="532" t="s">
        <v>1824</v>
      </c>
      <c r="B223" s="532" t="s">
        <v>1203</v>
      </c>
      <c r="D223" s="129" t="str">
        <f>IF([1]RENAME!$H$3=1,B223,A223)</f>
        <v>Participação de não controladores</v>
      </c>
      <c r="E223" s="118" t="s">
        <v>160</v>
      </c>
      <c r="F223" s="118" t="s">
        <v>160</v>
      </c>
      <c r="G223" s="118"/>
      <c r="H223" s="118" t="s">
        <v>160</v>
      </c>
      <c r="I223" s="118" t="s">
        <v>160</v>
      </c>
      <c r="J223" s="118" t="s">
        <v>160</v>
      </c>
      <c r="K223" s="118" t="s">
        <v>160</v>
      </c>
      <c r="L223" s="118"/>
      <c r="M223" s="118" t="s">
        <v>160</v>
      </c>
      <c r="N223" s="118">
        <v>0</v>
      </c>
      <c r="O223" s="118" t="s">
        <v>160</v>
      </c>
      <c r="P223" s="118">
        <v>0</v>
      </c>
      <c r="Q223" s="118">
        <v>0</v>
      </c>
      <c r="R223" s="118">
        <f>+SUM(E223:Q223)</f>
        <v>0</v>
      </c>
      <c r="S223" s="118">
        <v>-28</v>
      </c>
      <c r="T223" s="118">
        <f>+SUM(R223:S223)</f>
        <v>-28</v>
      </c>
    </row>
    <row r="224" spans="1:20" hidden="1" outlineLevel="1" x14ac:dyDescent="0.2">
      <c r="A224" s="532" t="s">
        <v>1280</v>
      </c>
      <c r="B224" s="532" t="s">
        <v>1281</v>
      </c>
      <c r="D224" s="129" t="str">
        <f>IF([1]RENAME!$H$3=1,B224,A224)</f>
        <v>Dividendos e juros sobre capital próprio</v>
      </c>
      <c r="E224" s="118" t="s">
        <v>160</v>
      </c>
      <c r="F224" s="118" t="s">
        <v>160</v>
      </c>
      <c r="G224" s="118"/>
      <c r="H224" s="118" t="s">
        <v>160</v>
      </c>
      <c r="I224" s="118" t="s">
        <v>160</v>
      </c>
      <c r="J224" s="118" t="s">
        <v>160</v>
      </c>
      <c r="K224" s="118">
        <v>0</v>
      </c>
      <c r="L224" s="118"/>
      <c r="M224" s="118">
        <v>0</v>
      </c>
      <c r="N224" s="118">
        <v>-12541</v>
      </c>
      <c r="O224" s="118" t="s">
        <v>160</v>
      </c>
      <c r="P224" s="118" t="s">
        <v>160</v>
      </c>
      <c r="Q224" s="118">
        <v>0</v>
      </c>
      <c r="R224" s="118">
        <f>+SUM(E224:Q224)</f>
        <v>-12541</v>
      </c>
      <c r="S224" s="118">
        <v>0</v>
      </c>
      <c r="T224" s="118">
        <f>+SUM(R224:S224)</f>
        <v>-12541</v>
      </c>
    </row>
    <row r="225" spans="1:20" collapsed="1" x14ac:dyDescent="0.2">
      <c r="A225" s="532" t="s">
        <v>1859</v>
      </c>
      <c r="B225" s="532" t="s">
        <v>1860</v>
      </c>
      <c r="D225" s="126" t="str">
        <f>IF([1]RENAME!$H$3=1,B225,A225)</f>
        <v>Em 30 de junho de 2021</v>
      </c>
      <c r="E225" s="120">
        <f t="shared" ref="E225:P225" si="47">SUM(E219:E223)</f>
        <v>318524</v>
      </c>
      <c r="F225" s="120">
        <f t="shared" si="47"/>
        <v>0</v>
      </c>
      <c r="G225" s="120"/>
      <c r="H225" s="120">
        <f t="shared" si="47"/>
        <v>0</v>
      </c>
      <c r="I225" s="120">
        <f t="shared" si="47"/>
        <v>0</v>
      </c>
      <c r="J225" s="120">
        <f t="shared" si="47"/>
        <v>65193</v>
      </c>
      <c r="K225" s="120">
        <f t="shared" si="47"/>
        <v>32575.3</v>
      </c>
      <c r="L225" s="120" t="s">
        <v>160</v>
      </c>
      <c r="M225" s="120">
        <f t="shared" si="47"/>
        <v>204744.08600000001</v>
      </c>
      <c r="N225" s="120">
        <f>SUM(N219:N224)</f>
        <v>0</v>
      </c>
      <c r="O225" s="120">
        <f t="shared" si="47"/>
        <v>-342</v>
      </c>
      <c r="P225" s="120">
        <f t="shared" si="47"/>
        <v>-1617</v>
      </c>
      <c r="Q225" s="120">
        <f>SUM(Q219:Q223)</f>
        <v>37477</v>
      </c>
      <c r="R225" s="120">
        <f>SUM(R219:R224)</f>
        <v>656554.38599999994</v>
      </c>
      <c r="S225" s="120">
        <f>SUM(S219:S223)</f>
        <v>858</v>
      </c>
      <c r="T225" s="120">
        <f>SUM(T219:T224)</f>
        <v>657412.38599999994</v>
      </c>
    </row>
    <row r="227" spans="1:20" hidden="1" outlineLevel="1" x14ac:dyDescent="0.2">
      <c r="A227" s="532" t="s">
        <v>1226</v>
      </c>
      <c r="B227" s="532" t="s">
        <v>1225</v>
      </c>
      <c r="D227" s="129" t="str">
        <f>IF([1]RENAME!$H$3=1,B227,A227)</f>
        <v>Lucro líquido do período</v>
      </c>
      <c r="E227" s="118" t="s">
        <v>160</v>
      </c>
      <c r="F227" s="118" t="s">
        <v>160</v>
      </c>
      <c r="G227" s="118"/>
      <c r="H227" s="118" t="s">
        <v>160</v>
      </c>
      <c r="I227" s="118" t="s">
        <v>160</v>
      </c>
      <c r="J227" s="118" t="s">
        <v>160</v>
      </c>
      <c r="K227" s="118" t="s">
        <v>160</v>
      </c>
      <c r="L227" s="118"/>
      <c r="M227" s="118" t="s">
        <v>160</v>
      </c>
      <c r="N227" s="118" t="s">
        <v>160</v>
      </c>
      <c r="O227" s="118" t="s">
        <v>160</v>
      </c>
      <c r="P227" s="118">
        <v>0</v>
      </c>
      <c r="Q227" s="118">
        <v>34237</v>
      </c>
      <c r="R227" s="118">
        <v>34237</v>
      </c>
      <c r="S227" s="118">
        <v>-162</v>
      </c>
      <c r="T227" s="118">
        <f>+SUM(R227:S227)</f>
        <v>34075</v>
      </c>
    </row>
    <row r="228" spans="1:20" hidden="1" outlineLevel="1" x14ac:dyDescent="0.2">
      <c r="A228" s="532" t="s">
        <v>1599</v>
      </c>
      <c r="B228" s="532" t="s">
        <v>1600</v>
      </c>
      <c r="D228" s="129" t="str">
        <f>IF([1]RENAME!$H$3=1,B228,A228)</f>
        <v>Incentivos fiscais</v>
      </c>
      <c r="E228" s="118">
        <v>0</v>
      </c>
      <c r="F228" s="118">
        <v>0</v>
      </c>
      <c r="G228" s="118"/>
      <c r="H228" s="118"/>
      <c r="I228" s="118"/>
      <c r="J228" s="118">
        <v>3599</v>
      </c>
      <c r="K228" s="118">
        <v>0</v>
      </c>
      <c r="L228" s="118"/>
      <c r="M228" s="118">
        <v>0</v>
      </c>
      <c r="N228" s="118">
        <v>0</v>
      </c>
      <c r="O228" s="118">
        <v>0</v>
      </c>
      <c r="P228" s="118">
        <v>0</v>
      </c>
      <c r="Q228" s="118">
        <v>-3599</v>
      </c>
      <c r="R228" s="118">
        <v>0</v>
      </c>
      <c r="S228" s="118">
        <v>0</v>
      </c>
      <c r="T228" s="118">
        <f>+SUM(R228:S228)</f>
        <v>0</v>
      </c>
    </row>
    <row r="229" spans="1:20" hidden="1" outlineLevel="1" x14ac:dyDescent="0.2">
      <c r="A229" s="532" t="s">
        <v>1824</v>
      </c>
      <c r="B229" s="532" t="s">
        <v>1203</v>
      </c>
      <c r="D229" s="129" t="str">
        <f>IF([1]RENAME!$H$3=1,B229,A229)</f>
        <v>Participação de não controladores</v>
      </c>
      <c r="E229" s="118" t="s">
        <v>160</v>
      </c>
      <c r="F229" s="118" t="s">
        <v>160</v>
      </c>
      <c r="G229" s="118"/>
      <c r="H229" s="118" t="s">
        <v>160</v>
      </c>
      <c r="I229" s="118" t="s">
        <v>160</v>
      </c>
      <c r="J229" s="118" t="s">
        <v>160</v>
      </c>
      <c r="K229" s="118" t="s">
        <v>160</v>
      </c>
      <c r="L229" s="118"/>
      <c r="M229" s="118" t="s">
        <v>160</v>
      </c>
      <c r="N229" s="118">
        <v>0</v>
      </c>
      <c r="O229" s="118" t="s">
        <v>160</v>
      </c>
      <c r="P229" s="118">
        <v>0</v>
      </c>
      <c r="Q229" s="118">
        <v>0</v>
      </c>
      <c r="R229" s="118">
        <v>0</v>
      </c>
      <c r="S229" s="118">
        <v>118</v>
      </c>
      <c r="T229" s="118">
        <f>+SUM(R229:S229)</f>
        <v>118</v>
      </c>
    </row>
    <row r="230" spans="1:20" hidden="1" outlineLevel="1" x14ac:dyDescent="0.2">
      <c r="A230" s="532" t="s">
        <v>1280</v>
      </c>
      <c r="B230" s="532" t="s">
        <v>1281</v>
      </c>
      <c r="D230" s="129" t="str">
        <f>IF([1]RENAME!$H$3=1,B230,A230)</f>
        <v>Dividendos e juros sobre capital próprio</v>
      </c>
      <c r="E230" s="118" t="s">
        <v>160</v>
      </c>
      <c r="F230" s="118" t="s">
        <v>160</v>
      </c>
      <c r="G230" s="118"/>
      <c r="H230" s="118" t="s">
        <v>160</v>
      </c>
      <c r="I230" s="118" t="s">
        <v>160</v>
      </c>
      <c r="J230" s="118" t="s">
        <v>160</v>
      </c>
      <c r="K230" s="118">
        <v>0</v>
      </c>
      <c r="L230" s="118"/>
      <c r="M230" s="118">
        <v>0</v>
      </c>
      <c r="N230" s="118">
        <v>0</v>
      </c>
      <c r="O230" s="118" t="s">
        <v>160</v>
      </c>
      <c r="P230" s="118" t="s">
        <v>160</v>
      </c>
      <c r="Q230" s="118">
        <v>-22157</v>
      </c>
      <c r="R230" s="118">
        <v>-22157</v>
      </c>
      <c r="S230" s="118">
        <v>0</v>
      </c>
      <c r="T230" s="118">
        <f>+SUM(R230:S230)</f>
        <v>-22157</v>
      </c>
    </row>
    <row r="231" spans="1:20" collapsed="1" x14ac:dyDescent="0.2">
      <c r="A231" s="532" t="s">
        <v>1905</v>
      </c>
      <c r="B231" s="532" t="s">
        <v>1906</v>
      </c>
      <c r="D231" s="126" t="str">
        <f>IF([1]RENAME!$H$3=1,B231,A231)</f>
        <v>Em 30 de setembro de 2021</v>
      </c>
      <c r="E231" s="120">
        <f t="shared" ref="E231:P231" si="48">SUM(E225:E230)</f>
        <v>318524</v>
      </c>
      <c r="F231" s="120">
        <f t="shared" si="48"/>
        <v>0</v>
      </c>
      <c r="G231" s="120"/>
      <c r="H231" s="120">
        <f t="shared" si="48"/>
        <v>0</v>
      </c>
      <c r="I231" s="120">
        <f t="shared" si="48"/>
        <v>0</v>
      </c>
      <c r="J231" s="120">
        <f t="shared" si="48"/>
        <v>68792</v>
      </c>
      <c r="K231" s="120">
        <f t="shared" si="48"/>
        <v>32575.3</v>
      </c>
      <c r="L231" s="120" t="s">
        <v>160</v>
      </c>
      <c r="M231" s="120">
        <f t="shared" si="48"/>
        <v>204744.08600000001</v>
      </c>
      <c r="N231" s="120">
        <f t="shared" si="48"/>
        <v>0</v>
      </c>
      <c r="O231" s="120">
        <f t="shared" si="48"/>
        <v>-342</v>
      </c>
      <c r="P231" s="120">
        <f t="shared" si="48"/>
        <v>-1617</v>
      </c>
      <c r="Q231" s="120">
        <f>SUM(Q225:Q230)</f>
        <v>45958</v>
      </c>
      <c r="R231" s="120">
        <f>SUM(R225:R230)</f>
        <v>668634.38599999994</v>
      </c>
      <c r="S231" s="120">
        <f>SUM(S225:S230)</f>
        <v>814</v>
      </c>
      <c r="T231" s="120">
        <f>SUM(T225:T230)</f>
        <v>669448.38599999994</v>
      </c>
    </row>
    <row r="233" spans="1:20" hidden="1" outlineLevel="1" x14ac:dyDescent="0.2">
      <c r="A233" s="532" t="s">
        <v>1226</v>
      </c>
      <c r="B233" s="532" t="s">
        <v>1225</v>
      </c>
      <c r="D233" s="129" t="str">
        <f>IF([1]RENAME!$H$3=1,B233,A233)</f>
        <v>Lucro líquido do período</v>
      </c>
      <c r="E233" s="118" t="s">
        <v>160</v>
      </c>
      <c r="F233" s="118" t="s">
        <v>160</v>
      </c>
      <c r="G233" s="121" t="s">
        <v>160</v>
      </c>
      <c r="H233" s="118" t="s">
        <v>160</v>
      </c>
      <c r="I233" s="118" t="s">
        <v>160</v>
      </c>
      <c r="J233" s="118" t="s">
        <v>160</v>
      </c>
      <c r="K233" s="118" t="s">
        <v>160</v>
      </c>
      <c r="L233" s="118"/>
      <c r="M233" s="118" t="s">
        <v>160</v>
      </c>
      <c r="N233" s="118" t="s">
        <v>160</v>
      </c>
      <c r="O233" s="118" t="s">
        <v>160</v>
      </c>
      <c r="P233" s="118">
        <v>0</v>
      </c>
      <c r="Q233" s="118">
        <v>29424</v>
      </c>
      <c r="R233" s="118">
        <f t="shared" ref="R233:R241" si="49">+SUM(E233:Q233)</f>
        <v>29424</v>
      </c>
      <c r="S233" s="118">
        <v>-146</v>
      </c>
      <c r="T233" s="118">
        <f>+SUM(R233:S233)</f>
        <v>29278</v>
      </c>
    </row>
    <row r="234" spans="1:20" hidden="1" outlineLevel="1" x14ac:dyDescent="0.2">
      <c r="A234" s="532" t="s">
        <v>1599</v>
      </c>
      <c r="B234" s="532" t="s">
        <v>1600</v>
      </c>
      <c r="D234" s="129" t="str">
        <f>IF([1]RENAME!$H$3=1,B234,A234)</f>
        <v>Incentivos fiscais</v>
      </c>
      <c r="E234" s="118">
        <v>0</v>
      </c>
      <c r="F234" s="118">
        <v>0</v>
      </c>
      <c r="G234" s="121" t="s">
        <v>160</v>
      </c>
      <c r="H234" s="118">
        <v>0</v>
      </c>
      <c r="I234" s="118">
        <v>0</v>
      </c>
      <c r="J234" s="118">
        <v>4931</v>
      </c>
      <c r="K234" s="118">
        <v>0</v>
      </c>
      <c r="L234" s="118"/>
      <c r="M234" s="118">
        <v>0</v>
      </c>
      <c r="N234" s="118">
        <v>0</v>
      </c>
      <c r="O234" s="118">
        <v>0</v>
      </c>
      <c r="P234" s="118">
        <v>0</v>
      </c>
      <c r="Q234" s="118">
        <v>-4931</v>
      </c>
      <c r="R234" s="118">
        <f t="shared" si="49"/>
        <v>0</v>
      </c>
      <c r="S234" s="118">
        <v>0</v>
      </c>
      <c r="T234" s="118">
        <f>+SUM(R234:S234)</f>
        <v>0</v>
      </c>
    </row>
    <row r="235" spans="1:20" hidden="1" outlineLevel="1" x14ac:dyDescent="0.2">
      <c r="A235" s="532" t="s">
        <v>1824</v>
      </c>
      <c r="B235" s="532" t="s">
        <v>1203</v>
      </c>
      <c r="D235" s="129" t="str">
        <f>IF([1]RENAME!$H$3=1,B235,A235)</f>
        <v>Participação de não controladores</v>
      </c>
      <c r="E235" s="118" t="s">
        <v>160</v>
      </c>
      <c r="F235" s="118" t="s">
        <v>160</v>
      </c>
      <c r="G235" s="121" t="s">
        <v>160</v>
      </c>
      <c r="H235" s="118" t="s">
        <v>160</v>
      </c>
      <c r="I235" s="118" t="s">
        <v>160</v>
      </c>
      <c r="J235" s="118" t="s">
        <v>160</v>
      </c>
      <c r="K235" s="118" t="s">
        <v>160</v>
      </c>
      <c r="L235" s="118"/>
      <c r="M235" s="118" t="s">
        <v>160</v>
      </c>
      <c r="N235" s="118">
        <v>0</v>
      </c>
      <c r="O235" s="118" t="s">
        <v>160</v>
      </c>
      <c r="P235" s="118">
        <v>0</v>
      </c>
      <c r="Q235" s="118">
        <v>0</v>
      </c>
      <c r="R235" s="118">
        <f t="shared" si="49"/>
        <v>0</v>
      </c>
      <c r="S235" s="118">
        <v>0</v>
      </c>
      <c r="T235" s="118">
        <f>+SUM(R235:S235)</f>
        <v>0</v>
      </c>
    </row>
    <row r="236" spans="1:20" hidden="1" outlineLevel="1" x14ac:dyDescent="0.2">
      <c r="A236" s="532" t="s">
        <v>1843</v>
      </c>
      <c r="B236" s="532" t="s">
        <v>1848</v>
      </c>
      <c r="D236" s="129" t="str">
        <f>IF([1]RENAME!$H$3=1,B236,A236)</f>
        <v>Constituição de passivo atuarial</v>
      </c>
      <c r="E236" s="118">
        <v>0</v>
      </c>
      <c r="F236" s="118">
        <v>0</v>
      </c>
      <c r="G236" s="121" t="s">
        <v>160</v>
      </c>
      <c r="H236" s="118">
        <v>0</v>
      </c>
      <c r="I236" s="118">
        <v>0</v>
      </c>
      <c r="J236" s="118">
        <v>0</v>
      </c>
      <c r="K236" s="118">
        <v>0</v>
      </c>
      <c r="L236" s="118"/>
      <c r="M236" s="118">
        <v>0</v>
      </c>
      <c r="N236" s="118">
        <v>0</v>
      </c>
      <c r="O236" s="118">
        <v>0</v>
      </c>
      <c r="P236" s="118">
        <v>-462</v>
      </c>
      <c r="Q236" s="118">
        <v>0</v>
      </c>
      <c r="R236" s="118">
        <f t="shared" si="49"/>
        <v>-462</v>
      </c>
      <c r="S236" s="118">
        <v>0</v>
      </c>
      <c r="T236" s="118">
        <f>+SUM(R236:S236)</f>
        <v>-462</v>
      </c>
    </row>
    <row r="237" spans="1:20" hidden="1" outlineLevel="1" x14ac:dyDescent="0.2">
      <c r="A237" s="532" t="s">
        <v>1844</v>
      </c>
      <c r="B237" s="532" t="s">
        <v>1849</v>
      </c>
      <c r="D237" s="129" t="str">
        <f>IF([1]RENAME!$H$3=1,B237,A237)</f>
        <v>Tributos diferidos sobre passivo atuarial</v>
      </c>
      <c r="E237" s="118">
        <v>0</v>
      </c>
      <c r="F237" s="118">
        <v>0</v>
      </c>
      <c r="G237" s="121" t="s">
        <v>160</v>
      </c>
      <c r="H237" s="118">
        <v>0</v>
      </c>
      <c r="I237" s="118">
        <v>0</v>
      </c>
      <c r="J237" s="118">
        <v>0</v>
      </c>
      <c r="K237" s="118">
        <v>0</v>
      </c>
      <c r="L237" s="118"/>
      <c r="M237" s="118">
        <v>0</v>
      </c>
      <c r="N237" s="118">
        <v>0</v>
      </c>
      <c r="O237" s="118">
        <v>0</v>
      </c>
      <c r="P237" s="118">
        <v>157</v>
      </c>
      <c r="Q237" s="118">
        <v>0</v>
      </c>
      <c r="R237" s="118">
        <f t="shared" si="49"/>
        <v>157</v>
      </c>
      <c r="S237" s="118">
        <v>0</v>
      </c>
      <c r="T237" s="118">
        <f>+SUM(R237:S237)</f>
        <v>157</v>
      </c>
    </row>
    <row r="238" spans="1:20" hidden="1" outlineLevel="1" x14ac:dyDescent="0.2">
      <c r="A238" s="532" t="s">
        <v>1940</v>
      </c>
      <c r="B238" s="532" t="s">
        <v>1941</v>
      </c>
      <c r="D238" s="129" t="str">
        <f>IF([1]RENAME!$H$3=1,B238,A238)</f>
        <v>Pagamento de dividendos adicionais</v>
      </c>
      <c r="E238" s="118">
        <v>0</v>
      </c>
      <c r="F238" s="118">
        <v>0</v>
      </c>
      <c r="G238" s="121" t="s">
        <v>160</v>
      </c>
      <c r="H238" s="118">
        <v>0</v>
      </c>
      <c r="I238" s="118">
        <v>0</v>
      </c>
      <c r="J238" s="118">
        <v>0</v>
      </c>
      <c r="K238" s="118">
        <v>0</v>
      </c>
      <c r="L238" s="118"/>
      <c r="M238" s="118">
        <v>0</v>
      </c>
      <c r="N238" s="118">
        <v>0</v>
      </c>
      <c r="O238" s="118">
        <v>0</v>
      </c>
      <c r="P238" s="118">
        <v>0</v>
      </c>
      <c r="Q238" s="118">
        <v>0</v>
      </c>
      <c r="R238" s="118">
        <f t="shared" si="49"/>
        <v>0</v>
      </c>
      <c r="S238" s="118">
        <v>0</v>
      </c>
      <c r="T238" s="118">
        <v>0</v>
      </c>
    </row>
    <row r="239" spans="1:20" hidden="1" outlineLevel="1" x14ac:dyDescent="0.2">
      <c r="A239" s="532" t="s">
        <v>49</v>
      </c>
      <c r="B239" s="532" t="s">
        <v>728</v>
      </c>
      <c r="D239" s="129" t="str">
        <f>IF([1]RENAME!$H$3=1,B239,A239)</f>
        <v>Outros</v>
      </c>
      <c r="E239" s="118">
        <v>0</v>
      </c>
      <c r="F239" s="118">
        <v>0</v>
      </c>
      <c r="G239" s="121" t="s">
        <v>160</v>
      </c>
      <c r="H239" s="118">
        <v>0</v>
      </c>
      <c r="I239" s="118">
        <v>0</v>
      </c>
      <c r="J239" s="118">
        <v>0</v>
      </c>
      <c r="K239" s="118">
        <v>0</v>
      </c>
      <c r="L239" s="118"/>
      <c r="M239" s="118">
        <v>453</v>
      </c>
      <c r="N239" s="118">
        <v>0</v>
      </c>
      <c r="O239" s="118">
        <v>0</v>
      </c>
      <c r="P239" s="118">
        <v>-354</v>
      </c>
      <c r="Q239" s="118">
        <v>0</v>
      </c>
      <c r="R239" s="118">
        <f t="shared" si="49"/>
        <v>99</v>
      </c>
      <c r="S239" s="118">
        <v>-101</v>
      </c>
      <c r="T239" s="118">
        <f>+SUM(R239:S239)</f>
        <v>-2</v>
      </c>
    </row>
    <row r="240" spans="1:20" hidden="1" outlineLevel="1" x14ac:dyDescent="0.2">
      <c r="A240" s="532" t="s">
        <v>1211</v>
      </c>
      <c r="B240" s="532" t="s">
        <v>1230</v>
      </c>
      <c r="D240" s="129" t="str">
        <f>IF([1]RENAME!$H$3=1,B240,A240)</f>
        <v>Constituição de Reservas</v>
      </c>
      <c r="E240" s="118" t="s">
        <v>160</v>
      </c>
      <c r="F240" s="118" t="s">
        <v>160</v>
      </c>
      <c r="G240" s="121" t="s">
        <v>160</v>
      </c>
      <c r="H240" s="118" t="s">
        <v>160</v>
      </c>
      <c r="I240" s="118" t="s">
        <v>160</v>
      </c>
      <c r="J240" s="118" t="s">
        <v>160</v>
      </c>
      <c r="K240" s="118">
        <v>5405</v>
      </c>
      <c r="L240" s="118"/>
      <c r="M240" s="118">
        <v>64864</v>
      </c>
      <c r="N240" s="118">
        <v>0</v>
      </c>
      <c r="O240" s="118" t="s">
        <v>160</v>
      </c>
      <c r="P240" s="118" t="s">
        <v>160</v>
      </c>
      <c r="Q240" s="118">
        <v>-70269</v>
      </c>
      <c r="R240" s="118">
        <f t="shared" si="49"/>
        <v>0</v>
      </c>
      <c r="S240" s="118">
        <v>0</v>
      </c>
      <c r="T240" s="118">
        <f>+SUM(R240:S240)</f>
        <v>0</v>
      </c>
    </row>
    <row r="241" spans="1:20" hidden="1" outlineLevel="1" x14ac:dyDescent="0.2">
      <c r="A241" s="532" t="s">
        <v>1280</v>
      </c>
      <c r="B241" s="532" t="s">
        <v>1281</v>
      </c>
      <c r="D241" s="129" t="str">
        <f>IF([1]RENAME!$H$3=1,B241,A241)</f>
        <v>Dividendos e juros sobre capital próprio</v>
      </c>
      <c r="E241" s="118" t="s">
        <v>160</v>
      </c>
      <c r="F241" s="118" t="s">
        <v>160</v>
      </c>
      <c r="G241" s="121" t="s">
        <v>160</v>
      </c>
      <c r="H241" s="118" t="s">
        <v>160</v>
      </c>
      <c r="I241" s="118" t="s">
        <v>160</v>
      </c>
      <c r="J241" s="118" t="s">
        <v>160</v>
      </c>
      <c r="K241" s="118">
        <v>0</v>
      </c>
      <c r="L241" s="118"/>
      <c r="M241" s="118">
        <v>-39275</v>
      </c>
      <c r="N241" s="118">
        <v>22339</v>
      </c>
      <c r="O241" s="118" t="s">
        <v>160</v>
      </c>
      <c r="P241" s="118" t="s">
        <v>160</v>
      </c>
      <c r="Q241" s="118">
        <v>-182</v>
      </c>
      <c r="R241" s="118">
        <f t="shared" si="49"/>
        <v>-17118</v>
      </c>
      <c r="S241" s="118">
        <v>0</v>
      </c>
      <c r="T241" s="118">
        <f>+SUM(R241:S241)</f>
        <v>-17118</v>
      </c>
    </row>
    <row r="242" spans="1:20" collapsed="1" x14ac:dyDescent="0.2">
      <c r="A242" s="532" t="s">
        <v>1921</v>
      </c>
      <c r="B242" s="532" t="s">
        <v>1920</v>
      </c>
      <c r="D242" s="126" t="str">
        <f>IF([1]RENAME!$H$3=1,B242,A242)</f>
        <v>Em 31 de dezembro de 2021</v>
      </c>
      <c r="E242" s="120">
        <f t="shared" ref="E242:Q242" si="50">SUM(E231:E241)</f>
        <v>318524</v>
      </c>
      <c r="F242" s="120">
        <f t="shared" si="50"/>
        <v>0</v>
      </c>
      <c r="G242" s="120" t="s">
        <v>160</v>
      </c>
      <c r="H242" s="120">
        <f t="shared" si="50"/>
        <v>0</v>
      </c>
      <c r="I242" s="120">
        <f t="shared" si="50"/>
        <v>0</v>
      </c>
      <c r="J242" s="120">
        <f t="shared" si="50"/>
        <v>73723</v>
      </c>
      <c r="K242" s="120">
        <f t="shared" si="50"/>
        <v>37980.300000000003</v>
      </c>
      <c r="L242" s="120" t="s">
        <v>160</v>
      </c>
      <c r="M242" s="120">
        <f t="shared" si="50"/>
        <v>230786.08600000001</v>
      </c>
      <c r="N242" s="120">
        <f t="shared" si="50"/>
        <v>22339</v>
      </c>
      <c r="O242" s="120">
        <f t="shared" si="50"/>
        <v>-342</v>
      </c>
      <c r="P242" s="120">
        <f t="shared" si="50"/>
        <v>-2276</v>
      </c>
      <c r="Q242" s="120">
        <f t="shared" si="50"/>
        <v>0</v>
      </c>
      <c r="R242" s="120">
        <f>SUM(R231:R241)</f>
        <v>680734.38599999994</v>
      </c>
      <c r="S242" s="120">
        <f>SUM(S231:S241)</f>
        <v>567</v>
      </c>
      <c r="T242" s="120">
        <f>SUM(T231:T241)</f>
        <v>681301.38599999994</v>
      </c>
    </row>
    <row r="243" spans="1:20" x14ac:dyDescent="0.2">
      <c r="G243" s="885"/>
    </row>
    <row r="244" spans="1:20" x14ac:dyDescent="0.2">
      <c r="A244" s="532" t="s">
        <v>1226</v>
      </c>
      <c r="B244" s="532" t="s">
        <v>1225</v>
      </c>
      <c r="D244" s="129" t="str">
        <f>IF([1]RENAME!$H$3=1,B244,A244)</f>
        <v>Lucro líquido do período</v>
      </c>
      <c r="E244" s="118" t="s">
        <v>160</v>
      </c>
      <c r="F244" s="118" t="s">
        <v>160</v>
      </c>
      <c r="G244" s="121" t="s">
        <v>160</v>
      </c>
      <c r="H244" s="118" t="s">
        <v>160</v>
      </c>
      <c r="I244" s="118" t="s">
        <v>160</v>
      </c>
      <c r="J244" s="118" t="s">
        <v>160</v>
      </c>
      <c r="K244" s="118" t="s">
        <v>160</v>
      </c>
      <c r="L244" s="118" t="s">
        <v>160</v>
      </c>
      <c r="M244" s="118" t="s">
        <v>160</v>
      </c>
      <c r="N244" s="118" t="s">
        <v>160</v>
      </c>
      <c r="O244" s="118" t="s">
        <v>160</v>
      </c>
      <c r="P244" s="118">
        <v>0</v>
      </c>
      <c r="Q244" s="118">
        <v>18708</v>
      </c>
      <c r="R244" s="118">
        <f>+SUM(E244:Q244)</f>
        <v>18708</v>
      </c>
      <c r="S244" s="118">
        <v>75</v>
      </c>
      <c r="T244" s="118">
        <f>+SUM(R244:S244)</f>
        <v>18783</v>
      </c>
    </row>
    <row r="245" spans="1:20" x14ac:dyDescent="0.2">
      <c r="A245" s="532" t="s">
        <v>1599</v>
      </c>
      <c r="B245" s="532" t="s">
        <v>1600</v>
      </c>
      <c r="D245" s="129" t="str">
        <f>IF([1]RENAME!$H$3=1,B245,A245)</f>
        <v>Incentivos fiscais</v>
      </c>
      <c r="E245" s="118">
        <v>0</v>
      </c>
      <c r="F245" s="118">
        <v>0</v>
      </c>
      <c r="G245" s="121" t="s">
        <v>160</v>
      </c>
      <c r="H245" s="118">
        <v>0</v>
      </c>
      <c r="I245" s="118">
        <v>0</v>
      </c>
      <c r="J245" s="118">
        <v>3471</v>
      </c>
      <c r="K245" s="118">
        <v>0</v>
      </c>
      <c r="L245" s="118" t="s">
        <v>160</v>
      </c>
      <c r="M245" s="118">
        <v>0</v>
      </c>
      <c r="N245" s="118">
        <v>0</v>
      </c>
      <c r="O245" s="118">
        <v>0</v>
      </c>
      <c r="P245" s="118">
        <v>0</v>
      </c>
      <c r="Q245" s="118">
        <v>-3471</v>
      </c>
      <c r="R245" s="118">
        <f>+SUM(E245:Q245)</f>
        <v>0</v>
      </c>
      <c r="S245" s="118">
        <v>0</v>
      </c>
      <c r="T245" s="118">
        <f>+SUM(R245:S245)</f>
        <v>0</v>
      </c>
    </row>
    <row r="246" spans="1:20" x14ac:dyDescent="0.2">
      <c r="A246" s="532" t="s">
        <v>1954</v>
      </c>
      <c r="B246" s="532" t="s">
        <v>1955</v>
      </c>
      <c r="D246" s="126" t="str">
        <f>IF([1]RENAME!$H$3=1,B246,A246)</f>
        <v>Em 31 de março de 2022</v>
      </c>
      <c r="E246" s="120">
        <f>SUM(E242:E245)</f>
        <v>318524</v>
      </c>
      <c r="F246" s="120">
        <f>SUM(F231:F245)</f>
        <v>0</v>
      </c>
      <c r="G246" s="120" t="s">
        <v>160</v>
      </c>
      <c r="H246" s="120">
        <f>SUM(H231:H245)</f>
        <v>0</v>
      </c>
      <c r="I246" s="120">
        <f>SUM(I231:I245)</f>
        <v>0</v>
      </c>
      <c r="J246" s="120">
        <f t="shared" ref="J246:T246" si="51">SUM(J242:J245)</f>
        <v>77194</v>
      </c>
      <c r="K246" s="120">
        <f t="shared" si="51"/>
        <v>37980.300000000003</v>
      </c>
      <c r="L246" s="120" t="s">
        <v>160</v>
      </c>
      <c r="M246" s="120">
        <f t="shared" si="51"/>
        <v>230786.08600000001</v>
      </c>
      <c r="N246" s="120">
        <f t="shared" si="51"/>
        <v>22339</v>
      </c>
      <c r="O246" s="120">
        <f t="shared" si="51"/>
        <v>-342</v>
      </c>
      <c r="P246" s="120">
        <f t="shared" si="51"/>
        <v>-2276</v>
      </c>
      <c r="Q246" s="120">
        <f t="shared" si="51"/>
        <v>15237</v>
      </c>
      <c r="R246" s="120">
        <f t="shared" si="51"/>
        <v>699442.38599999994</v>
      </c>
      <c r="S246" s="120">
        <f t="shared" si="51"/>
        <v>642</v>
      </c>
      <c r="T246" s="120">
        <f t="shared" si="51"/>
        <v>700084.38599999994</v>
      </c>
    </row>
    <row r="247" spans="1:20" x14ac:dyDescent="0.2">
      <c r="G247" s="885"/>
    </row>
    <row r="248" spans="1:20" hidden="1" outlineLevel="1" x14ac:dyDescent="0.2">
      <c r="A248" s="532" t="s">
        <v>2101</v>
      </c>
      <c r="B248" s="532" t="s">
        <v>2102</v>
      </c>
      <c r="D248" s="129" t="str">
        <f>IF([1]RENAME!$H$3=1,B248,A248)</f>
        <v>Resultados abrangentes</v>
      </c>
      <c r="E248" s="118" t="s">
        <v>160</v>
      </c>
      <c r="F248" s="118" t="s">
        <v>160</v>
      </c>
      <c r="G248" s="121" t="s">
        <v>160</v>
      </c>
      <c r="H248" s="118" t="s">
        <v>160</v>
      </c>
      <c r="I248" s="118" t="s">
        <v>160</v>
      </c>
      <c r="J248" s="118" t="s">
        <v>160</v>
      </c>
      <c r="K248" s="118" t="s">
        <v>160</v>
      </c>
      <c r="L248" s="118"/>
      <c r="M248" s="118" t="s">
        <v>160</v>
      </c>
      <c r="N248" s="118" t="s">
        <v>160</v>
      </c>
      <c r="O248" s="118" t="s">
        <v>160</v>
      </c>
      <c r="P248" s="118">
        <v>0</v>
      </c>
      <c r="Q248" s="118">
        <v>30471</v>
      </c>
      <c r="R248" s="118">
        <v>30471</v>
      </c>
      <c r="S248" s="118">
        <v>109</v>
      </c>
      <c r="T248" s="118">
        <v>30580</v>
      </c>
    </row>
    <row r="249" spans="1:20" hidden="1" outlineLevel="1" x14ac:dyDescent="0.2">
      <c r="A249" s="532" t="s">
        <v>1599</v>
      </c>
      <c r="B249" s="532" t="s">
        <v>1600</v>
      </c>
      <c r="D249" s="129" t="str">
        <f>IF([1]RENAME!$H$3=1,B249,A249)</f>
        <v>Incentivos fiscais</v>
      </c>
      <c r="E249" s="118">
        <v>0</v>
      </c>
      <c r="F249" s="118">
        <v>0</v>
      </c>
      <c r="G249" s="121" t="s">
        <v>160</v>
      </c>
      <c r="H249" s="118">
        <v>0</v>
      </c>
      <c r="I249" s="118">
        <v>0</v>
      </c>
      <c r="J249" s="118">
        <v>4701</v>
      </c>
      <c r="K249" s="118">
        <v>0</v>
      </c>
      <c r="L249" s="118"/>
      <c r="M249" s="118">
        <v>0</v>
      </c>
      <c r="N249" s="118">
        <v>0</v>
      </c>
      <c r="O249" s="118">
        <v>0</v>
      </c>
      <c r="P249" s="118">
        <v>0</v>
      </c>
      <c r="Q249" s="118">
        <v>-4701</v>
      </c>
      <c r="R249" s="118">
        <v>0</v>
      </c>
      <c r="S249" s="118">
        <v>0</v>
      </c>
      <c r="T249" s="118">
        <v>0</v>
      </c>
    </row>
    <row r="250" spans="1:20" hidden="1" outlineLevel="1" x14ac:dyDescent="0.2">
      <c r="A250" s="532" t="s">
        <v>1280</v>
      </c>
      <c r="B250" s="532" t="s">
        <v>1281</v>
      </c>
      <c r="D250" s="129" t="str">
        <f>IF([1]RENAME!$H$3=1,B250,A250)</f>
        <v>Dividendos e juros sobre capital próprio</v>
      </c>
      <c r="E250" s="118">
        <v>0</v>
      </c>
      <c r="F250" s="118">
        <v>0</v>
      </c>
      <c r="G250" s="121" t="s">
        <v>160</v>
      </c>
      <c r="H250" s="118">
        <v>0</v>
      </c>
      <c r="I250" s="118">
        <v>0</v>
      </c>
      <c r="J250" s="118">
        <v>0</v>
      </c>
      <c r="K250" s="118">
        <v>0</v>
      </c>
      <c r="L250" s="118"/>
      <c r="M250" s="118">
        <v>0</v>
      </c>
      <c r="N250" s="118">
        <v>-22339</v>
      </c>
      <c r="O250" s="118">
        <v>0</v>
      </c>
      <c r="P250" s="118">
        <v>0</v>
      </c>
      <c r="Q250" s="118">
        <v>0</v>
      </c>
      <c r="R250" s="118">
        <v>-22339</v>
      </c>
      <c r="S250" s="118">
        <v>0</v>
      </c>
      <c r="T250" s="118">
        <v>-22339</v>
      </c>
    </row>
    <row r="251" spans="1:20" hidden="1" outlineLevel="1" x14ac:dyDescent="0.2">
      <c r="A251" s="532" t="s">
        <v>1622</v>
      </c>
      <c r="B251" s="532" t="s">
        <v>1623</v>
      </c>
      <c r="D251" s="129" t="str">
        <f>IF([1]RENAME!$H$3=1,B251,A251)</f>
        <v>Outros resultados abrangentes</v>
      </c>
      <c r="E251" s="118">
        <v>0</v>
      </c>
      <c r="F251" s="118">
        <v>0</v>
      </c>
      <c r="G251" s="121" t="s">
        <v>160</v>
      </c>
      <c r="H251" s="118">
        <v>0</v>
      </c>
      <c r="I251" s="118">
        <v>0</v>
      </c>
      <c r="J251" s="118">
        <v>0</v>
      </c>
      <c r="K251" s="118">
        <v>0</v>
      </c>
      <c r="L251" s="118"/>
      <c r="M251" s="118">
        <v>0</v>
      </c>
      <c r="N251" s="118">
        <v>0</v>
      </c>
      <c r="O251" s="118">
        <v>-1</v>
      </c>
      <c r="P251" s="118">
        <v>-3</v>
      </c>
      <c r="Q251" s="118">
        <v>3</v>
      </c>
      <c r="R251" s="118">
        <v>-1</v>
      </c>
      <c r="S251" s="118">
        <v>3</v>
      </c>
      <c r="T251" s="118">
        <v>2</v>
      </c>
    </row>
    <row r="252" spans="1:20" collapsed="1" x14ac:dyDescent="0.2">
      <c r="A252" s="532" t="s">
        <v>1965</v>
      </c>
      <c r="B252" s="532" t="s">
        <v>1966</v>
      </c>
      <c r="D252" s="126" t="str">
        <f>IF([1]RENAME!$H$3=1,B252,A252)</f>
        <v>Em 30 de junho de 2022</v>
      </c>
      <c r="E252" s="120">
        <f t="shared" ref="E252:T252" si="52">SUM(E246:E251)</f>
        <v>318524</v>
      </c>
      <c r="F252" s="120">
        <f t="shared" si="52"/>
        <v>0</v>
      </c>
      <c r="G252" s="120" t="s">
        <v>160</v>
      </c>
      <c r="H252" s="120">
        <f t="shared" si="52"/>
        <v>0</v>
      </c>
      <c r="I252" s="120">
        <f t="shared" si="52"/>
        <v>0</v>
      </c>
      <c r="J252" s="120">
        <f t="shared" si="52"/>
        <v>81895</v>
      </c>
      <c r="K252" s="120">
        <f t="shared" si="52"/>
        <v>37980.300000000003</v>
      </c>
      <c r="L252" s="120" t="s">
        <v>160</v>
      </c>
      <c r="M252" s="120">
        <f t="shared" si="52"/>
        <v>230786.08600000001</v>
      </c>
      <c r="N252" s="120">
        <f t="shared" si="52"/>
        <v>0</v>
      </c>
      <c r="O252" s="120">
        <f t="shared" si="52"/>
        <v>-343</v>
      </c>
      <c r="P252" s="120">
        <f t="shared" si="52"/>
        <v>-2279</v>
      </c>
      <c r="Q252" s="120">
        <f t="shared" si="52"/>
        <v>41010</v>
      </c>
      <c r="R252" s="120">
        <f t="shared" si="52"/>
        <v>707573.38599999994</v>
      </c>
      <c r="S252" s="120">
        <f t="shared" si="52"/>
        <v>754</v>
      </c>
      <c r="T252" s="120">
        <f t="shared" si="52"/>
        <v>708327.38599999994</v>
      </c>
    </row>
    <row r="253" spans="1:20" x14ac:dyDescent="0.2">
      <c r="G253" s="885"/>
    </row>
    <row r="254" spans="1:20" hidden="1" outlineLevel="1" x14ac:dyDescent="0.2">
      <c r="A254" s="532" t="s">
        <v>2101</v>
      </c>
      <c r="B254" s="532" t="s">
        <v>2102</v>
      </c>
      <c r="D254" s="129" t="str">
        <f>IF([1]RENAME!$H$3=1,B254,A254)</f>
        <v>Resultados abrangentes</v>
      </c>
      <c r="E254" s="118" t="s">
        <v>160</v>
      </c>
      <c r="F254" s="118" t="s">
        <v>160</v>
      </c>
      <c r="G254" s="121" t="s">
        <v>160</v>
      </c>
      <c r="H254" s="118" t="s">
        <v>160</v>
      </c>
      <c r="I254" s="118" t="s">
        <v>160</v>
      </c>
      <c r="J254" s="118" t="s">
        <v>160</v>
      </c>
      <c r="K254" s="118" t="s">
        <v>160</v>
      </c>
      <c r="L254" s="118"/>
      <c r="M254" s="118" t="s">
        <v>160</v>
      </c>
      <c r="N254" s="118" t="s">
        <v>160</v>
      </c>
      <c r="O254" s="118" t="s">
        <v>160</v>
      </c>
      <c r="P254" s="118">
        <v>0</v>
      </c>
      <c r="Q254" s="118">
        <v>53395</v>
      </c>
      <c r="R254" s="118">
        <v>53395</v>
      </c>
      <c r="S254" s="118">
        <v>74</v>
      </c>
      <c r="T254" s="118">
        <v>53469</v>
      </c>
    </row>
    <row r="255" spans="1:20" hidden="1" outlineLevel="1" x14ac:dyDescent="0.2">
      <c r="A255" s="532" t="s">
        <v>1599</v>
      </c>
      <c r="B255" s="532" t="s">
        <v>1600</v>
      </c>
      <c r="D255" s="129" t="str">
        <f>IF([1]RENAME!$H$3=1,B255,A255)</f>
        <v>Incentivos fiscais</v>
      </c>
      <c r="E255" s="118">
        <v>0</v>
      </c>
      <c r="F255" s="118">
        <v>0</v>
      </c>
      <c r="G255" s="121" t="s">
        <v>160</v>
      </c>
      <c r="H255" s="118">
        <v>0</v>
      </c>
      <c r="I255" s="118">
        <v>0</v>
      </c>
      <c r="J255" s="118">
        <v>6665</v>
      </c>
      <c r="K255" s="118">
        <v>0</v>
      </c>
      <c r="L255" s="118"/>
      <c r="M255" s="118">
        <v>0</v>
      </c>
      <c r="N255" s="118">
        <v>0</v>
      </c>
      <c r="O255" s="118">
        <v>0</v>
      </c>
      <c r="P255" s="118">
        <v>0</v>
      </c>
      <c r="Q255" s="118">
        <v>-6665</v>
      </c>
      <c r="R255" s="118">
        <v>0</v>
      </c>
      <c r="S255" s="118">
        <v>0</v>
      </c>
      <c r="T255" s="118">
        <v>0</v>
      </c>
    </row>
    <row r="256" spans="1:20" hidden="1" outlineLevel="1" x14ac:dyDescent="0.2">
      <c r="A256" s="532" t="s">
        <v>1280</v>
      </c>
      <c r="B256" s="532" t="s">
        <v>1281</v>
      </c>
      <c r="D256" s="129" t="str">
        <f>IF([1]RENAME!$H$3=1,B256,A256)</f>
        <v>Dividendos e juros sobre capital próprio</v>
      </c>
      <c r="E256" s="118">
        <v>0</v>
      </c>
      <c r="F256" s="118">
        <v>0</v>
      </c>
      <c r="G256" s="121" t="s">
        <v>160</v>
      </c>
      <c r="H256" s="118">
        <v>0</v>
      </c>
      <c r="I256" s="118">
        <v>0</v>
      </c>
      <c r="J256" s="118">
        <v>0</v>
      </c>
      <c r="K256" s="118">
        <v>0</v>
      </c>
      <c r="L256" s="118"/>
      <c r="M256" s="118">
        <v>0</v>
      </c>
      <c r="N256" s="118">
        <v>0</v>
      </c>
      <c r="O256" s="118">
        <v>0</v>
      </c>
      <c r="P256" s="118">
        <v>0</v>
      </c>
      <c r="Q256" s="118">
        <v>-24589</v>
      </c>
      <c r="R256" s="118">
        <v>-24589</v>
      </c>
      <c r="S256" s="118">
        <v>0</v>
      </c>
      <c r="T256" s="118">
        <v>-24589</v>
      </c>
    </row>
    <row r="257" spans="1:20" hidden="1" outlineLevel="1" x14ac:dyDescent="0.2">
      <c r="A257" s="532" t="s">
        <v>1622</v>
      </c>
      <c r="B257" s="532" t="s">
        <v>1623</v>
      </c>
      <c r="D257" s="129" t="str">
        <f>IF([1]RENAME!$H$3=1,B257,A257)</f>
        <v>Outros resultados abrangentes</v>
      </c>
      <c r="E257" s="118">
        <v>0</v>
      </c>
      <c r="F257" s="118">
        <v>0</v>
      </c>
      <c r="G257" s="121" t="s">
        <v>160</v>
      </c>
      <c r="H257" s="118">
        <v>0</v>
      </c>
      <c r="I257" s="118">
        <v>0</v>
      </c>
      <c r="J257" s="118">
        <v>0</v>
      </c>
      <c r="K257" s="118">
        <v>0</v>
      </c>
      <c r="L257" s="118"/>
      <c r="M257" s="118">
        <v>0</v>
      </c>
      <c r="N257" s="118">
        <v>0</v>
      </c>
      <c r="O257" s="118">
        <v>0</v>
      </c>
      <c r="P257" s="118">
        <v>0</v>
      </c>
      <c r="Q257" s="118">
        <v>0</v>
      </c>
      <c r="R257" s="118">
        <v>0</v>
      </c>
      <c r="S257" s="118">
        <v>0</v>
      </c>
      <c r="T257" s="118">
        <v>0</v>
      </c>
    </row>
    <row r="258" spans="1:20" collapsed="1" x14ac:dyDescent="0.2">
      <c r="A258" s="532" t="s">
        <v>1986</v>
      </c>
      <c r="B258" s="532" t="s">
        <v>1987</v>
      </c>
      <c r="D258" s="126" t="str">
        <f>IF([1]RENAME!$H$3=1,B258,A258)</f>
        <v>Em 30 de setembro de 2022</v>
      </c>
      <c r="E258" s="120">
        <f t="shared" ref="E258:T258" si="53">SUM(E252:E257)</f>
        <v>318524</v>
      </c>
      <c r="F258" s="120">
        <f t="shared" si="53"/>
        <v>0</v>
      </c>
      <c r="G258" s="120" t="s">
        <v>160</v>
      </c>
      <c r="H258" s="120">
        <f t="shared" si="53"/>
        <v>0</v>
      </c>
      <c r="I258" s="120">
        <f t="shared" si="53"/>
        <v>0</v>
      </c>
      <c r="J258" s="120">
        <f t="shared" si="53"/>
        <v>88560</v>
      </c>
      <c r="K258" s="120">
        <f t="shared" si="53"/>
        <v>37980.300000000003</v>
      </c>
      <c r="L258" s="120" t="s">
        <v>160</v>
      </c>
      <c r="M258" s="120">
        <f t="shared" si="53"/>
        <v>230786.08600000001</v>
      </c>
      <c r="N258" s="120">
        <f t="shared" si="53"/>
        <v>0</v>
      </c>
      <c r="O258" s="120">
        <f t="shared" si="53"/>
        <v>-343</v>
      </c>
      <c r="P258" s="120">
        <f t="shared" si="53"/>
        <v>-2279</v>
      </c>
      <c r="Q258" s="120">
        <f t="shared" si="53"/>
        <v>63151</v>
      </c>
      <c r="R258" s="120">
        <f t="shared" si="53"/>
        <v>736379.38599999994</v>
      </c>
      <c r="S258" s="120">
        <f t="shared" si="53"/>
        <v>828</v>
      </c>
      <c r="T258" s="120">
        <f t="shared" si="53"/>
        <v>737207.38599999994</v>
      </c>
    </row>
    <row r="259" spans="1:20" x14ac:dyDescent="0.2">
      <c r="G259" s="885"/>
    </row>
    <row r="260" spans="1:20" hidden="1" outlineLevel="1" x14ac:dyDescent="0.2">
      <c r="A260" s="532" t="s">
        <v>2101</v>
      </c>
      <c r="B260" s="532" t="s">
        <v>2102</v>
      </c>
      <c r="D260" s="129" t="str">
        <f>IF([1]RENAME!$H$3=1,B260,A260)</f>
        <v>Resultados abrangentes</v>
      </c>
      <c r="E260" s="118" t="s">
        <v>160</v>
      </c>
      <c r="F260" s="118" t="s">
        <v>160</v>
      </c>
      <c r="G260" s="121" t="s">
        <v>160</v>
      </c>
      <c r="H260" s="118" t="s">
        <v>160</v>
      </c>
      <c r="I260" s="118" t="s">
        <v>160</v>
      </c>
      <c r="J260" s="118" t="s">
        <v>160</v>
      </c>
      <c r="K260" s="118" t="s">
        <v>160</v>
      </c>
      <c r="L260" s="118"/>
      <c r="M260" s="118" t="s">
        <v>160</v>
      </c>
      <c r="N260" s="118" t="s">
        <v>160</v>
      </c>
      <c r="O260" s="118" t="s">
        <v>160</v>
      </c>
      <c r="P260" s="118">
        <v>0</v>
      </c>
      <c r="Q260" s="118">
        <v>56722</v>
      </c>
      <c r="R260" s="118">
        <f t="shared" ref="R260:R267" si="54">+SUM(E260:Q260)</f>
        <v>56722</v>
      </c>
      <c r="S260" s="118">
        <v>110</v>
      </c>
      <c r="T260" s="118">
        <f t="shared" ref="T260:T267" si="55">+SUM(R260:S260)</f>
        <v>56832</v>
      </c>
    </row>
    <row r="261" spans="1:20" hidden="1" outlineLevel="1" x14ac:dyDescent="0.2">
      <c r="A261" s="532" t="s">
        <v>1599</v>
      </c>
      <c r="B261" s="532" t="s">
        <v>1600</v>
      </c>
      <c r="D261" s="129" t="str">
        <f>IF([1]RENAME!$H$3=1,B261,A261)</f>
        <v>Incentivos fiscais</v>
      </c>
      <c r="E261" s="118">
        <v>0</v>
      </c>
      <c r="F261" s="118">
        <v>0</v>
      </c>
      <c r="G261" s="121" t="s">
        <v>160</v>
      </c>
      <c r="H261" s="118">
        <v>0</v>
      </c>
      <c r="I261" s="118">
        <v>0</v>
      </c>
      <c r="J261" s="118">
        <v>6461</v>
      </c>
      <c r="K261" s="118">
        <v>0</v>
      </c>
      <c r="L261" s="118"/>
      <c r="M261" s="118">
        <v>0</v>
      </c>
      <c r="N261" s="118">
        <v>0</v>
      </c>
      <c r="O261" s="118">
        <v>0</v>
      </c>
      <c r="P261" s="118">
        <v>0</v>
      </c>
      <c r="Q261" s="118">
        <v>-6461</v>
      </c>
      <c r="R261" s="118">
        <f t="shared" si="54"/>
        <v>0</v>
      </c>
      <c r="S261" s="118">
        <v>0</v>
      </c>
      <c r="T261" s="118">
        <f t="shared" si="55"/>
        <v>0</v>
      </c>
    </row>
    <row r="262" spans="1:20" hidden="1" outlineLevel="1" x14ac:dyDescent="0.2">
      <c r="A262" s="532" t="s">
        <v>1280</v>
      </c>
      <c r="B262" s="532" t="s">
        <v>1281</v>
      </c>
      <c r="D262" s="129" t="str">
        <f>IF([1]RENAME!$H$3=1,B262,A262)</f>
        <v>Dividendos e juros sobre capital próprio</v>
      </c>
      <c r="E262" s="118">
        <v>0</v>
      </c>
      <c r="F262" s="118">
        <v>0</v>
      </c>
      <c r="G262" s="121" t="s">
        <v>160</v>
      </c>
      <c r="H262" s="118">
        <v>0</v>
      </c>
      <c r="I262" s="118">
        <v>0</v>
      </c>
      <c r="J262" s="118">
        <v>0</v>
      </c>
      <c r="K262" s="118">
        <v>0</v>
      </c>
      <c r="L262" s="118"/>
      <c r="M262" s="118">
        <v>-51624</v>
      </c>
      <c r="N262" s="118">
        <v>61902</v>
      </c>
      <c r="O262" s="118">
        <v>0</v>
      </c>
      <c r="P262" s="118">
        <v>0</v>
      </c>
      <c r="Q262" s="118">
        <v>-14974</v>
      </c>
      <c r="R262" s="118">
        <f t="shared" si="54"/>
        <v>-4696</v>
      </c>
      <c r="S262" s="118">
        <v>0</v>
      </c>
      <c r="T262" s="118">
        <f t="shared" si="55"/>
        <v>-4696</v>
      </c>
    </row>
    <row r="263" spans="1:20" hidden="1" outlineLevel="1" x14ac:dyDescent="0.2">
      <c r="A263" s="532" t="s">
        <v>1211</v>
      </c>
      <c r="B263" s="532" t="s">
        <v>1230</v>
      </c>
      <c r="D263" s="129" t="str">
        <f>IF([1]RENAME!$H$3=1,B263,A263)</f>
        <v>Constituição de Reservas</v>
      </c>
      <c r="E263" s="118" t="s">
        <v>160</v>
      </c>
      <c r="F263" s="118" t="s">
        <v>160</v>
      </c>
      <c r="G263" s="121" t="s">
        <v>160</v>
      </c>
      <c r="H263" s="118" t="s">
        <v>160</v>
      </c>
      <c r="I263" s="118" t="s">
        <v>160</v>
      </c>
      <c r="J263" s="118" t="s">
        <v>160</v>
      </c>
      <c r="K263" s="118">
        <v>7965</v>
      </c>
      <c r="L263" s="118"/>
      <c r="M263" s="118">
        <v>90473</v>
      </c>
      <c r="N263" s="118">
        <v>0</v>
      </c>
      <c r="O263" s="118" t="s">
        <v>160</v>
      </c>
      <c r="P263" s="118" t="s">
        <v>160</v>
      </c>
      <c r="Q263" s="118">
        <v>-98438</v>
      </c>
      <c r="R263" s="118">
        <f t="shared" si="54"/>
        <v>0</v>
      </c>
      <c r="S263" s="118">
        <v>0</v>
      </c>
      <c r="T263" s="118">
        <f t="shared" si="55"/>
        <v>0</v>
      </c>
    </row>
    <row r="264" spans="1:20" hidden="1" outlineLevel="1" x14ac:dyDescent="0.2">
      <c r="A264" s="532" t="s">
        <v>1843</v>
      </c>
      <c r="B264" s="532" t="s">
        <v>1848</v>
      </c>
      <c r="D264" s="129" t="str">
        <f>IF([1]RENAME!$H$3=1,B264,A264)</f>
        <v>Constituição de passivo atuarial</v>
      </c>
      <c r="E264" s="118" t="s">
        <v>160</v>
      </c>
      <c r="F264" s="118" t="s">
        <v>160</v>
      </c>
      <c r="G264" s="121" t="s">
        <v>160</v>
      </c>
      <c r="H264" s="118" t="s">
        <v>160</v>
      </c>
      <c r="I264" s="118" t="s">
        <v>160</v>
      </c>
      <c r="J264" s="118" t="s">
        <v>160</v>
      </c>
      <c r="K264" s="118" t="s">
        <v>160</v>
      </c>
      <c r="L264" s="118"/>
      <c r="M264" s="118" t="s">
        <v>160</v>
      </c>
      <c r="N264" s="118" t="s">
        <v>160</v>
      </c>
      <c r="O264" s="118" t="s">
        <v>160</v>
      </c>
      <c r="P264" s="118">
        <v>186</v>
      </c>
      <c r="Q264" s="118" t="s">
        <v>160</v>
      </c>
      <c r="R264" s="118">
        <f t="shared" si="54"/>
        <v>186</v>
      </c>
      <c r="S264" s="118">
        <v>0</v>
      </c>
      <c r="T264" s="118">
        <f t="shared" si="55"/>
        <v>186</v>
      </c>
    </row>
    <row r="265" spans="1:20" hidden="1" outlineLevel="1" x14ac:dyDescent="0.2">
      <c r="A265" s="532" t="s">
        <v>1844</v>
      </c>
      <c r="B265" s="532" t="s">
        <v>1849</v>
      </c>
      <c r="D265" s="129" t="str">
        <f>IF([1]RENAME!$H$3=1,B265,A265)</f>
        <v>Tributos diferidos sobre passivo atuarial</v>
      </c>
      <c r="E265" s="118" t="s">
        <v>160</v>
      </c>
      <c r="F265" s="118" t="s">
        <v>160</v>
      </c>
      <c r="G265" s="121" t="s">
        <v>160</v>
      </c>
      <c r="H265" s="118" t="s">
        <v>160</v>
      </c>
      <c r="I265" s="118" t="s">
        <v>160</v>
      </c>
      <c r="J265" s="118" t="s">
        <v>160</v>
      </c>
      <c r="K265" s="118" t="s">
        <v>160</v>
      </c>
      <c r="L265" s="118"/>
      <c r="M265" s="118" t="s">
        <v>160</v>
      </c>
      <c r="N265" s="118" t="s">
        <v>160</v>
      </c>
      <c r="O265" s="118" t="s">
        <v>160</v>
      </c>
      <c r="P265" s="118">
        <v>-63</v>
      </c>
      <c r="Q265" s="118" t="s">
        <v>160</v>
      </c>
      <c r="R265" s="118">
        <f t="shared" si="54"/>
        <v>-63</v>
      </c>
      <c r="S265" s="118" t="s">
        <v>160</v>
      </c>
      <c r="T265" s="118">
        <f t="shared" si="55"/>
        <v>-63</v>
      </c>
    </row>
    <row r="266" spans="1:20" hidden="1" outlineLevel="1" x14ac:dyDescent="0.2">
      <c r="A266" s="532" t="s">
        <v>1940</v>
      </c>
      <c r="B266" s="532" t="s">
        <v>1941</v>
      </c>
      <c r="D266" s="129" t="str">
        <f>IF([1]RENAME!$H$3=1,B266,A266)</f>
        <v>Pagamento de dividendos adicionais</v>
      </c>
      <c r="E266" s="118" t="s">
        <v>160</v>
      </c>
      <c r="F266" s="118" t="s">
        <v>160</v>
      </c>
      <c r="G266" s="121" t="s">
        <v>160</v>
      </c>
      <c r="H266" s="118" t="s">
        <v>160</v>
      </c>
      <c r="I266" s="118" t="s">
        <v>160</v>
      </c>
      <c r="J266" s="118" t="s">
        <v>160</v>
      </c>
      <c r="K266" s="118" t="s">
        <v>160</v>
      </c>
      <c r="L266" s="118"/>
      <c r="M266" s="118" t="s">
        <v>160</v>
      </c>
      <c r="N266" s="118">
        <v>-22339</v>
      </c>
      <c r="O266" s="118" t="s">
        <v>160</v>
      </c>
      <c r="P266" s="118" t="s">
        <v>160</v>
      </c>
      <c r="Q266" s="118" t="s">
        <v>160</v>
      </c>
      <c r="R266" s="118">
        <f t="shared" si="54"/>
        <v>-22339</v>
      </c>
      <c r="S266" s="118" t="s">
        <v>160</v>
      </c>
      <c r="T266" s="118">
        <f t="shared" si="55"/>
        <v>-22339</v>
      </c>
    </row>
    <row r="267" spans="1:20" hidden="1" outlineLevel="1" x14ac:dyDescent="0.2">
      <c r="A267" s="532" t="s">
        <v>1622</v>
      </c>
      <c r="B267" s="532" t="s">
        <v>1623</v>
      </c>
      <c r="D267" s="129" t="str">
        <f>IF([1]RENAME!$H$3=1,B267,A267)</f>
        <v>Outros resultados abrangentes</v>
      </c>
      <c r="E267" s="118">
        <v>0</v>
      </c>
      <c r="F267" s="118">
        <v>0</v>
      </c>
      <c r="G267" s="121" t="s">
        <v>160</v>
      </c>
      <c r="H267" s="118">
        <v>0</v>
      </c>
      <c r="I267" s="118">
        <v>0</v>
      </c>
      <c r="J267" s="118">
        <v>0</v>
      </c>
      <c r="K267" s="118">
        <v>0</v>
      </c>
      <c r="L267" s="118"/>
      <c r="M267" s="118">
        <v>0</v>
      </c>
      <c r="N267" s="118">
        <v>0</v>
      </c>
      <c r="O267" s="118">
        <v>0</v>
      </c>
      <c r="P267" s="118">
        <v>0</v>
      </c>
      <c r="Q267" s="118">
        <v>0</v>
      </c>
      <c r="R267" s="118">
        <f t="shared" si="54"/>
        <v>0</v>
      </c>
      <c r="S267" s="118">
        <v>0</v>
      </c>
      <c r="T267" s="118">
        <f t="shared" si="55"/>
        <v>0</v>
      </c>
    </row>
    <row r="268" spans="1:20" collapsed="1" x14ac:dyDescent="0.2">
      <c r="A268" s="532" t="s">
        <v>2000</v>
      </c>
      <c r="B268" s="532" t="s">
        <v>2001</v>
      </c>
      <c r="D268" s="126" t="str">
        <f>IF([1]RENAME!$H$3=1,B268,A268)</f>
        <v>Em 31 de dezembro de 2022</v>
      </c>
      <c r="E268" s="120">
        <f t="shared" ref="E268:T268" si="56">SUM(E258:E267)</f>
        <v>318524</v>
      </c>
      <c r="F268" s="120">
        <f t="shared" si="56"/>
        <v>0</v>
      </c>
      <c r="G268" s="120" t="s">
        <v>160</v>
      </c>
      <c r="H268" s="120">
        <f t="shared" si="56"/>
        <v>0</v>
      </c>
      <c r="I268" s="120">
        <f t="shared" si="56"/>
        <v>0</v>
      </c>
      <c r="J268" s="120">
        <f t="shared" si="56"/>
        <v>95021</v>
      </c>
      <c r="K268" s="120">
        <f t="shared" si="56"/>
        <v>45945.3</v>
      </c>
      <c r="L268" s="120" t="s">
        <v>160</v>
      </c>
      <c r="M268" s="120">
        <f t="shared" si="56"/>
        <v>269635.08600000001</v>
      </c>
      <c r="N268" s="120">
        <f t="shared" si="56"/>
        <v>39563</v>
      </c>
      <c r="O268" s="120">
        <f t="shared" si="56"/>
        <v>-343</v>
      </c>
      <c r="P268" s="120">
        <f t="shared" si="56"/>
        <v>-2156</v>
      </c>
      <c r="Q268" s="120">
        <f t="shared" si="56"/>
        <v>0</v>
      </c>
      <c r="R268" s="120">
        <f t="shared" si="56"/>
        <v>766189.38599999994</v>
      </c>
      <c r="S268" s="120">
        <f t="shared" si="56"/>
        <v>938</v>
      </c>
      <c r="T268" s="120">
        <f t="shared" si="56"/>
        <v>767127.38599999994</v>
      </c>
    </row>
    <row r="269" spans="1:20" x14ac:dyDescent="0.2">
      <c r="G269" s="885"/>
    </row>
    <row r="270" spans="1:20" x14ac:dyDescent="0.2">
      <c r="A270" s="532" t="s">
        <v>2101</v>
      </c>
      <c r="B270" s="532" t="s">
        <v>2102</v>
      </c>
      <c r="D270" s="129" t="str">
        <f>IF([1]RENAME!$H$3=1,B270,A270)</f>
        <v>Resultados abrangentes</v>
      </c>
      <c r="E270" s="118" t="s">
        <v>160</v>
      </c>
      <c r="F270" s="118" t="s">
        <v>160</v>
      </c>
      <c r="G270" s="121" t="s">
        <v>160</v>
      </c>
      <c r="H270" s="118" t="s">
        <v>160</v>
      </c>
      <c r="I270" s="118" t="s">
        <v>160</v>
      </c>
      <c r="J270" s="118" t="s">
        <v>160</v>
      </c>
      <c r="K270" s="118" t="s">
        <v>160</v>
      </c>
      <c r="L270" s="118" t="s">
        <v>160</v>
      </c>
      <c r="M270" s="118" t="s">
        <v>160</v>
      </c>
      <c r="N270" s="118" t="s">
        <v>160</v>
      </c>
      <c r="O270" s="118" t="s">
        <v>160</v>
      </c>
      <c r="P270" s="118">
        <v>0</v>
      </c>
      <c r="Q270" s="118">
        <v>34499</v>
      </c>
      <c r="R270" s="118">
        <f t="shared" ref="R270:R277" si="57">+SUM(E270:Q270)</f>
        <v>34499</v>
      </c>
      <c r="S270" s="118">
        <v>224</v>
      </c>
      <c r="T270" s="118">
        <f t="shared" ref="T270:T277" si="58">+SUM(R270:S270)</f>
        <v>34723</v>
      </c>
    </row>
    <row r="271" spans="1:20" x14ac:dyDescent="0.2">
      <c r="A271" s="532" t="s">
        <v>1599</v>
      </c>
      <c r="B271" s="532" t="s">
        <v>1600</v>
      </c>
      <c r="D271" s="129" t="str">
        <f>IF([1]RENAME!$H$3=1,B271,A271)</f>
        <v>Incentivos fiscais</v>
      </c>
      <c r="E271" s="118">
        <v>0</v>
      </c>
      <c r="F271" s="118">
        <v>0</v>
      </c>
      <c r="G271" s="121" t="s">
        <v>160</v>
      </c>
      <c r="H271" s="118">
        <v>0</v>
      </c>
      <c r="I271" s="118">
        <v>0</v>
      </c>
      <c r="J271" s="118">
        <v>4837</v>
      </c>
      <c r="K271" s="118">
        <v>0</v>
      </c>
      <c r="L271" s="118" t="s">
        <v>160</v>
      </c>
      <c r="M271" s="118">
        <v>0</v>
      </c>
      <c r="N271" s="118">
        <v>0</v>
      </c>
      <c r="O271" s="118">
        <v>0</v>
      </c>
      <c r="P271" s="118">
        <v>0</v>
      </c>
      <c r="Q271" s="118">
        <v>-4837</v>
      </c>
      <c r="R271" s="118">
        <f t="shared" si="57"/>
        <v>0</v>
      </c>
      <c r="S271" s="118">
        <v>0</v>
      </c>
      <c r="T271" s="118">
        <f t="shared" si="58"/>
        <v>0</v>
      </c>
    </row>
    <row r="272" spans="1:20" x14ac:dyDescent="0.2">
      <c r="A272" s="532" t="s">
        <v>1280</v>
      </c>
      <c r="B272" s="532" t="s">
        <v>1281</v>
      </c>
      <c r="D272" s="129" t="str">
        <f>IF([1]RENAME!$H$3=1,B272,A272)</f>
        <v>Dividendos e juros sobre capital próprio</v>
      </c>
      <c r="E272" s="118">
        <v>0</v>
      </c>
      <c r="F272" s="118">
        <v>0</v>
      </c>
      <c r="G272" s="121" t="s">
        <v>160</v>
      </c>
      <c r="H272" s="118">
        <v>0</v>
      </c>
      <c r="I272" s="118">
        <v>0</v>
      </c>
      <c r="J272" s="118">
        <v>0</v>
      </c>
      <c r="K272" s="118">
        <v>0</v>
      </c>
      <c r="L272" s="118" t="s">
        <v>160</v>
      </c>
      <c r="M272" s="118">
        <v>0</v>
      </c>
      <c r="N272" s="118">
        <v>0</v>
      </c>
      <c r="O272" s="118">
        <v>0</v>
      </c>
      <c r="P272" s="118">
        <v>0</v>
      </c>
      <c r="Q272" s="118">
        <v>0</v>
      </c>
      <c r="R272" s="118">
        <f t="shared" si="57"/>
        <v>0</v>
      </c>
      <c r="S272" s="118">
        <v>0</v>
      </c>
      <c r="T272" s="118">
        <f t="shared" si="58"/>
        <v>0</v>
      </c>
    </row>
    <row r="273" spans="1:20" x14ac:dyDescent="0.2">
      <c r="A273" s="532" t="s">
        <v>1211</v>
      </c>
      <c r="B273" s="532" t="s">
        <v>1230</v>
      </c>
      <c r="D273" s="129" t="str">
        <f>IF([1]RENAME!$H$3=1,B273,A273)</f>
        <v>Constituição de Reservas</v>
      </c>
      <c r="E273" s="118" t="s">
        <v>160</v>
      </c>
      <c r="F273" s="118" t="s">
        <v>160</v>
      </c>
      <c r="G273" s="121" t="s">
        <v>160</v>
      </c>
      <c r="H273" s="118" t="s">
        <v>160</v>
      </c>
      <c r="I273" s="118" t="s">
        <v>160</v>
      </c>
      <c r="J273" s="118" t="s">
        <v>160</v>
      </c>
      <c r="K273" s="118">
        <v>0</v>
      </c>
      <c r="L273" s="118" t="s">
        <v>160</v>
      </c>
      <c r="M273" s="118">
        <v>0</v>
      </c>
      <c r="N273" s="118">
        <v>0</v>
      </c>
      <c r="O273" s="118" t="s">
        <v>160</v>
      </c>
      <c r="P273" s="118" t="s">
        <v>160</v>
      </c>
      <c r="Q273" s="118">
        <v>0</v>
      </c>
      <c r="R273" s="118">
        <f t="shared" si="57"/>
        <v>0</v>
      </c>
      <c r="S273" s="118">
        <v>0</v>
      </c>
      <c r="T273" s="118">
        <f t="shared" si="58"/>
        <v>0</v>
      </c>
    </row>
    <row r="274" spans="1:20" x14ac:dyDescent="0.2">
      <c r="A274" s="532" t="s">
        <v>1843</v>
      </c>
      <c r="B274" s="532" t="s">
        <v>1848</v>
      </c>
      <c r="D274" s="129" t="str">
        <f>IF([1]RENAME!$H$3=1,B274,A274)</f>
        <v>Constituição de passivo atuarial</v>
      </c>
      <c r="E274" s="118" t="s">
        <v>160</v>
      </c>
      <c r="F274" s="118" t="s">
        <v>160</v>
      </c>
      <c r="G274" s="121" t="s">
        <v>160</v>
      </c>
      <c r="H274" s="118" t="s">
        <v>160</v>
      </c>
      <c r="I274" s="118" t="s">
        <v>160</v>
      </c>
      <c r="J274" s="118" t="s">
        <v>160</v>
      </c>
      <c r="K274" s="118" t="s">
        <v>160</v>
      </c>
      <c r="L274" s="118" t="s">
        <v>160</v>
      </c>
      <c r="M274" s="118" t="s">
        <v>160</v>
      </c>
      <c r="N274" s="118" t="s">
        <v>160</v>
      </c>
      <c r="O274" s="118" t="s">
        <v>160</v>
      </c>
      <c r="P274" s="118">
        <v>0</v>
      </c>
      <c r="Q274" s="118" t="s">
        <v>160</v>
      </c>
      <c r="R274" s="118">
        <f t="shared" si="57"/>
        <v>0</v>
      </c>
      <c r="S274" s="118">
        <v>0</v>
      </c>
      <c r="T274" s="118">
        <f t="shared" si="58"/>
        <v>0</v>
      </c>
    </row>
    <row r="275" spans="1:20" x14ac:dyDescent="0.2">
      <c r="A275" s="532" t="s">
        <v>1844</v>
      </c>
      <c r="B275" s="532" t="s">
        <v>1849</v>
      </c>
      <c r="D275" s="129" t="str">
        <f>IF([1]RENAME!$H$3=1,B275,A275)</f>
        <v>Tributos diferidos sobre passivo atuarial</v>
      </c>
      <c r="E275" s="118" t="s">
        <v>160</v>
      </c>
      <c r="F275" s="118" t="s">
        <v>160</v>
      </c>
      <c r="G275" s="121" t="s">
        <v>160</v>
      </c>
      <c r="H275" s="118" t="s">
        <v>160</v>
      </c>
      <c r="I275" s="118" t="s">
        <v>160</v>
      </c>
      <c r="J275" s="118" t="s">
        <v>160</v>
      </c>
      <c r="K275" s="118" t="s">
        <v>160</v>
      </c>
      <c r="L275" s="118" t="s">
        <v>160</v>
      </c>
      <c r="M275" s="118" t="s">
        <v>160</v>
      </c>
      <c r="N275" s="118" t="s">
        <v>160</v>
      </c>
      <c r="O275" s="118" t="s">
        <v>160</v>
      </c>
      <c r="P275" s="118">
        <v>0</v>
      </c>
      <c r="Q275" s="118" t="s">
        <v>160</v>
      </c>
      <c r="R275" s="118">
        <f t="shared" si="57"/>
        <v>0</v>
      </c>
      <c r="S275" s="118" t="s">
        <v>160</v>
      </c>
      <c r="T275" s="118">
        <f t="shared" si="58"/>
        <v>0</v>
      </c>
    </row>
    <row r="276" spans="1:20" x14ac:dyDescent="0.2">
      <c r="A276" s="532" t="s">
        <v>1940</v>
      </c>
      <c r="B276" s="532" t="s">
        <v>1941</v>
      </c>
      <c r="D276" s="129" t="str">
        <f>IF([1]RENAME!$H$3=1,B276,A276)</f>
        <v>Pagamento de dividendos adicionais</v>
      </c>
      <c r="E276" s="118" t="s">
        <v>160</v>
      </c>
      <c r="F276" s="118" t="s">
        <v>160</v>
      </c>
      <c r="G276" s="121" t="s">
        <v>160</v>
      </c>
      <c r="H276" s="118" t="s">
        <v>160</v>
      </c>
      <c r="I276" s="118" t="s">
        <v>160</v>
      </c>
      <c r="J276" s="118" t="s">
        <v>160</v>
      </c>
      <c r="K276" s="118" t="s">
        <v>160</v>
      </c>
      <c r="L276" s="118" t="s">
        <v>160</v>
      </c>
      <c r="M276" s="118" t="s">
        <v>160</v>
      </c>
      <c r="N276" s="118">
        <v>0</v>
      </c>
      <c r="O276" s="118" t="s">
        <v>160</v>
      </c>
      <c r="P276" s="118" t="s">
        <v>160</v>
      </c>
      <c r="Q276" s="118" t="s">
        <v>160</v>
      </c>
      <c r="R276" s="118">
        <f t="shared" si="57"/>
        <v>0</v>
      </c>
      <c r="S276" s="118" t="s">
        <v>160</v>
      </c>
      <c r="T276" s="118">
        <f t="shared" si="58"/>
        <v>0</v>
      </c>
    </row>
    <row r="277" spans="1:20" x14ac:dyDescent="0.2">
      <c r="A277" s="532" t="s">
        <v>1622</v>
      </c>
      <c r="B277" s="532" t="s">
        <v>1623</v>
      </c>
      <c r="D277" s="129" t="str">
        <f>IF([1]RENAME!$H$3=1,B277,A277)</f>
        <v>Outros resultados abrangentes</v>
      </c>
      <c r="E277" s="118">
        <v>0</v>
      </c>
      <c r="F277" s="118">
        <v>0</v>
      </c>
      <c r="G277" s="121" t="s">
        <v>160</v>
      </c>
      <c r="H277" s="118">
        <v>0</v>
      </c>
      <c r="I277" s="118">
        <v>0</v>
      </c>
      <c r="J277" s="118">
        <v>0</v>
      </c>
      <c r="K277" s="118">
        <v>0</v>
      </c>
      <c r="L277" s="118" t="s">
        <v>160</v>
      </c>
      <c r="M277" s="118">
        <f>[3]DMPL!$I$46</f>
        <v>0</v>
      </c>
      <c r="N277" s="118">
        <v>0</v>
      </c>
      <c r="O277" s="118">
        <f>+[3]DMPL!$D$36</f>
        <v>0</v>
      </c>
      <c r="P277" s="118">
        <v>157</v>
      </c>
      <c r="Q277" s="118">
        <f>+[3]DMPL!$J$36</f>
        <v>0</v>
      </c>
      <c r="R277" s="118">
        <f t="shared" si="57"/>
        <v>157</v>
      </c>
      <c r="S277" s="1152"/>
      <c r="T277" s="118">
        <f t="shared" si="58"/>
        <v>157</v>
      </c>
    </row>
    <row r="278" spans="1:20" x14ac:dyDescent="0.2">
      <c r="A278" s="532" t="s">
        <v>2035</v>
      </c>
      <c r="B278" s="532" t="s">
        <v>2036</v>
      </c>
      <c r="D278" s="126" t="str">
        <f>IF([1]RENAME!$H$3=1,B278,A278)</f>
        <v>Em 31 de março de 2023</v>
      </c>
      <c r="E278" s="120">
        <f t="shared" ref="E278:T278" si="59">SUM(E268:E277)</f>
        <v>318524</v>
      </c>
      <c r="F278" s="120">
        <f t="shared" si="59"/>
        <v>0</v>
      </c>
      <c r="G278" s="120" t="s">
        <v>160</v>
      </c>
      <c r="H278" s="120">
        <f t="shared" si="59"/>
        <v>0</v>
      </c>
      <c r="I278" s="120">
        <f t="shared" si="59"/>
        <v>0</v>
      </c>
      <c r="J278" s="120">
        <f t="shared" si="59"/>
        <v>99858</v>
      </c>
      <c r="K278" s="120">
        <f t="shared" si="59"/>
        <v>45945.3</v>
      </c>
      <c r="L278" s="120" t="s">
        <v>160</v>
      </c>
      <c r="M278" s="120">
        <f t="shared" si="59"/>
        <v>269635.08600000001</v>
      </c>
      <c r="N278" s="120">
        <f t="shared" si="59"/>
        <v>39563</v>
      </c>
      <c r="O278" s="120">
        <f t="shared" si="59"/>
        <v>-343</v>
      </c>
      <c r="P278" s="120">
        <f t="shared" si="59"/>
        <v>-1999</v>
      </c>
      <c r="Q278" s="120">
        <f t="shared" si="59"/>
        <v>29662</v>
      </c>
      <c r="R278" s="120">
        <f t="shared" si="59"/>
        <v>800845.38599999994</v>
      </c>
      <c r="S278" s="120">
        <f t="shared" si="59"/>
        <v>1162</v>
      </c>
      <c r="T278" s="120">
        <f t="shared" si="59"/>
        <v>802007.38599999994</v>
      </c>
    </row>
    <row r="279" spans="1:20" x14ac:dyDescent="0.2">
      <c r="G279" s="885"/>
    </row>
    <row r="280" spans="1:20" x14ac:dyDescent="0.2">
      <c r="A280" s="532" t="s">
        <v>2101</v>
      </c>
      <c r="B280" s="532" t="s">
        <v>2102</v>
      </c>
      <c r="D280" s="129" t="str">
        <f>IF([1]RENAME!$H$3=1,B280,A280)</f>
        <v>Resultados abrangentes</v>
      </c>
      <c r="E280" s="118" t="s">
        <v>160</v>
      </c>
      <c r="F280" s="118" t="s">
        <v>160</v>
      </c>
      <c r="G280" s="121" t="s">
        <v>160</v>
      </c>
      <c r="H280" s="118" t="s">
        <v>160</v>
      </c>
      <c r="I280" s="118" t="s">
        <v>160</v>
      </c>
      <c r="J280" s="118" t="s">
        <v>160</v>
      </c>
      <c r="K280" s="118" t="s">
        <v>160</v>
      </c>
      <c r="L280" s="118" t="s">
        <v>160</v>
      </c>
      <c r="M280" s="118" t="s">
        <v>160</v>
      </c>
      <c r="N280" s="118" t="s">
        <v>160</v>
      </c>
      <c r="O280" s="118" t="s">
        <v>160</v>
      </c>
      <c r="P280" s="118">
        <v>0</v>
      </c>
      <c r="Q280" s="118">
        <v>39660</v>
      </c>
      <c r="R280" s="118">
        <f t="shared" ref="R280:R287" si="60">+SUM(E280:Q280)</f>
        <v>39660</v>
      </c>
      <c r="S280" s="118">
        <v>196</v>
      </c>
      <c r="T280" s="118">
        <f t="shared" ref="T280:T287" si="61">+SUM(R280:S280)</f>
        <v>39856</v>
      </c>
    </row>
    <row r="281" spans="1:20" x14ac:dyDescent="0.2">
      <c r="A281" s="532" t="s">
        <v>1599</v>
      </c>
      <c r="B281" s="532" t="s">
        <v>1600</v>
      </c>
      <c r="D281" s="129" t="str">
        <f>IF([1]RENAME!$H$3=1,B281,A281)</f>
        <v>Incentivos fiscais</v>
      </c>
      <c r="E281" s="118">
        <v>0</v>
      </c>
      <c r="F281" s="118">
        <v>0</v>
      </c>
      <c r="G281" s="121" t="s">
        <v>160</v>
      </c>
      <c r="H281" s="118">
        <v>0</v>
      </c>
      <c r="I281" s="118">
        <v>0</v>
      </c>
      <c r="J281" s="118">
        <v>5894</v>
      </c>
      <c r="K281" s="118">
        <v>0</v>
      </c>
      <c r="L281" s="118" t="s">
        <v>160</v>
      </c>
      <c r="M281" s="118">
        <v>0</v>
      </c>
      <c r="N281" s="118">
        <v>0</v>
      </c>
      <c r="O281" s="118">
        <v>0</v>
      </c>
      <c r="P281" s="118">
        <v>0</v>
      </c>
      <c r="Q281" s="118">
        <v>-5894</v>
      </c>
      <c r="R281" s="118">
        <f t="shared" si="60"/>
        <v>0</v>
      </c>
      <c r="S281" s="118">
        <v>0</v>
      </c>
      <c r="T281" s="118">
        <f t="shared" si="61"/>
        <v>0</v>
      </c>
    </row>
    <row r="282" spans="1:20" x14ac:dyDescent="0.2">
      <c r="A282" s="532" t="s">
        <v>1280</v>
      </c>
      <c r="B282" s="532" t="s">
        <v>1281</v>
      </c>
      <c r="D282" s="129" t="str">
        <f>IF([1]RENAME!$H$3=1,B282,A282)</f>
        <v>Dividendos e juros sobre capital próprio</v>
      </c>
      <c r="E282" s="118">
        <v>0</v>
      </c>
      <c r="F282" s="118">
        <v>0</v>
      </c>
      <c r="G282" s="121" t="s">
        <v>160</v>
      </c>
      <c r="H282" s="118">
        <v>0</v>
      </c>
      <c r="I282" s="118">
        <v>0</v>
      </c>
      <c r="J282" s="118">
        <v>0</v>
      </c>
      <c r="K282" s="118">
        <v>0</v>
      </c>
      <c r="L282" s="118" t="s">
        <v>160</v>
      </c>
      <c r="M282" s="118">
        <v>0</v>
      </c>
      <c r="N282" s="118">
        <v>-39563</v>
      </c>
      <c r="O282" s="118">
        <v>0</v>
      </c>
      <c r="P282" s="118">
        <v>0</v>
      </c>
      <c r="Q282" s="118">
        <v>0</v>
      </c>
      <c r="R282" s="118">
        <f t="shared" si="60"/>
        <v>-39563</v>
      </c>
      <c r="S282" s="118">
        <v>0</v>
      </c>
      <c r="T282" s="118">
        <f t="shared" si="61"/>
        <v>-39563</v>
      </c>
    </row>
    <row r="283" spans="1:20" x14ac:dyDescent="0.2">
      <c r="A283" s="532" t="s">
        <v>1211</v>
      </c>
      <c r="B283" s="532" t="s">
        <v>1230</v>
      </c>
      <c r="D283" s="129" t="str">
        <f>IF([1]RENAME!$H$3=1,B283,A283)</f>
        <v>Constituição de Reservas</v>
      </c>
      <c r="E283" s="118" t="s">
        <v>160</v>
      </c>
      <c r="F283" s="118" t="s">
        <v>160</v>
      </c>
      <c r="G283" s="121" t="s">
        <v>160</v>
      </c>
      <c r="H283" s="118" t="s">
        <v>160</v>
      </c>
      <c r="I283" s="118" t="s">
        <v>160</v>
      </c>
      <c r="J283" s="118" t="s">
        <v>160</v>
      </c>
      <c r="K283" s="118">
        <v>0</v>
      </c>
      <c r="L283" s="118" t="s">
        <v>160</v>
      </c>
      <c r="M283" s="118">
        <v>0</v>
      </c>
      <c r="N283" s="118">
        <v>0</v>
      </c>
      <c r="O283" s="118" t="s">
        <v>160</v>
      </c>
      <c r="P283" s="118" t="s">
        <v>160</v>
      </c>
      <c r="Q283" s="118">
        <v>0</v>
      </c>
      <c r="R283" s="118">
        <f t="shared" si="60"/>
        <v>0</v>
      </c>
      <c r="S283" s="118">
        <v>0</v>
      </c>
      <c r="T283" s="118">
        <f t="shared" si="61"/>
        <v>0</v>
      </c>
    </row>
    <row r="284" spans="1:20" x14ac:dyDescent="0.2">
      <c r="A284" s="532" t="s">
        <v>1843</v>
      </c>
      <c r="B284" s="532" t="s">
        <v>1848</v>
      </c>
      <c r="D284" s="129" t="str">
        <f>IF([1]RENAME!$H$3=1,B284,A284)</f>
        <v>Constituição de passivo atuarial</v>
      </c>
      <c r="E284" s="118" t="s">
        <v>160</v>
      </c>
      <c r="F284" s="118" t="s">
        <v>160</v>
      </c>
      <c r="G284" s="121" t="s">
        <v>160</v>
      </c>
      <c r="H284" s="118" t="s">
        <v>160</v>
      </c>
      <c r="I284" s="118" t="s">
        <v>160</v>
      </c>
      <c r="J284" s="118" t="s">
        <v>160</v>
      </c>
      <c r="K284" s="118" t="s">
        <v>160</v>
      </c>
      <c r="L284" s="118" t="s">
        <v>160</v>
      </c>
      <c r="M284" s="118" t="s">
        <v>160</v>
      </c>
      <c r="N284" s="118" t="s">
        <v>160</v>
      </c>
      <c r="O284" s="118" t="s">
        <v>160</v>
      </c>
      <c r="P284" s="118">
        <v>0</v>
      </c>
      <c r="Q284" s="118" t="s">
        <v>160</v>
      </c>
      <c r="R284" s="118">
        <f t="shared" si="60"/>
        <v>0</v>
      </c>
      <c r="S284" s="118">
        <v>0</v>
      </c>
      <c r="T284" s="118">
        <f t="shared" si="61"/>
        <v>0</v>
      </c>
    </row>
    <row r="285" spans="1:20" x14ac:dyDescent="0.2">
      <c r="A285" s="532" t="s">
        <v>1844</v>
      </c>
      <c r="B285" s="532" t="s">
        <v>1849</v>
      </c>
      <c r="D285" s="129" t="str">
        <f>IF([1]RENAME!$H$3=1,B285,A285)</f>
        <v>Tributos diferidos sobre passivo atuarial</v>
      </c>
      <c r="E285" s="118" t="s">
        <v>160</v>
      </c>
      <c r="F285" s="118" t="s">
        <v>160</v>
      </c>
      <c r="G285" s="121" t="s">
        <v>160</v>
      </c>
      <c r="H285" s="118" t="s">
        <v>160</v>
      </c>
      <c r="I285" s="118" t="s">
        <v>160</v>
      </c>
      <c r="J285" s="118" t="s">
        <v>160</v>
      </c>
      <c r="K285" s="118" t="s">
        <v>160</v>
      </c>
      <c r="L285" s="118" t="s">
        <v>160</v>
      </c>
      <c r="M285" s="118" t="s">
        <v>160</v>
      </c>
      <c r="N285" s="118" t="s">
        <v>160</v>
      </c>
      <c r="O285" s="118" t="s">
        <v>160</v>
      </c>
      <c r="P285" s="118">
        <v>0</v>
      </c>
      <c r="Q285" s="118" t="s">
        <v>160</v>
      </c>
      <c r="R285" s="118">
        <f t="shared" si="60"/>
        <v>0</v>
      </c>
      <c r="S285" s="118" t="s">
        <v>160</v>
      </c>
      <c r="T285" s="118">
        <f t="shared" si="61"/>
        <v>0</v>
      </c>
    </row>
    <row r="286" spans="1:20" x14ac:dyDescent="0.2">
      <c r="A286" s="532" t="s">
        <v>1940</v>
      </c>
      <c r="B286" s="532" t="s">
        <v>1941</v>
      </c>
      <c r="D286" s="129" t="str">
        <f>IF([1]RENAME!$H$3=1,B286,A286)</f>
        <v>Pagamento de dividendos adicionais</v>
      </c>
      <c r="E286" s="118" t="s">
        <v>160</v>
      </c>
      <c r="F286" s="118" t="s">
        <v>160</v>
      </c>
      <c r="G286" s="121" t="s">
        <v>160</v>
      </c>
      <c r="H286" s="118" t="s">
        <v>160</v>
      </c>
      <c r="I286" s="118" t="s">
        <v>160</v>
      </c>
      <c r="J286" s="118" t="s">
        <v>160</v>
      </c>
      <c r="K286" s="118" t="s">
        <v>160</v>
      </c>
      <c r="L286" s="118" t="s">
        <v>160</v>
      </c>
      <c r="M286" s="118" t="s">
        <v>160</v>
      </c>
      <c r="N286" s="118">
        <v>0</v>
      </c>
      <c r="O286" s="118" t="s">
        <v>160</v>
      </c>
      <c r="P286" s="118" t="s">
        <v>160</v>
      </c>
      <c r="Q286" s="118" t="s">
        <v>160</v>
      </c>
      <c r="R286" s="118">
        <f t="shared" si="60"/>
        <v>0</v>
      </c>
      <c r="S286" s="118" t="s">
        <v>160</v>
      </c>
      <c r="T286" s="118">
        <f t="shared" si="61"/>
        <v>0</v>
      </c>
    </row>
    <row r="287" spans="1:20" x14ac:dyDescent="0.2">
      <c r="A287" s="532" t="s">
        <v>1622</v>
      </c>
      <c r="B287" s="532" t="s">
        <v>1623</v>
      </c>
      <c r="D287" s="129" t="str">
        <f>IF([1]RENAME!$H$3=1,B287,A287)</f>
        <v>Outros resultados abrangentes</v>
      </c>
      <c r="E287" s="118">
        <v>0</v>
      </c>
      <c r="F287" s="118">
        <v>0</v>
      </c>
      <c r="G287" s="121" t="s">
        <v>160</v>
      </c>
      <c r="H287" s="118">
        <v>0</v>
      </c>
      <c r="I287" s="118">
        <v>0</v>
      </c>
      <c r="J287" s="118">
        <v>0</v>
      </c>
      <c r="K287" s="118">
        <v>0</v>
      </c>
      <c r="L287" s="118" t="s">
        <v>160</v>
      </c>
      <c r="M287" s="118">
        <v>0</v>
      </c>
      <c r="N287" s="118">
        <v>0</v>
      </c>
      <c r="O287" s="118">
        <v>0</v>
      </c>
      <c r="P287" s="118">
        <v>0</v>
      </c>
      <c r="Q287" s="118">
        <v>0</v>
      </c>
      <c r="R287" s="118">
        <f t="shared" si="60"/>
        <v>0</v>
      </c>
      <c r="S287" s="118" t="s">
        <v>160</v>
      </c>
      <c r="T287" s="118">
        <f t="shared" si="61"/>
        <v>0</v>
      </c>
    </row>
    <row r="288" spans="1:20" x14ac:dyDescent="0.2">
      <c r="A288" s="532" t="s">
        <v>2074</v>
      </c>
      <c r="B288" s="532" t="s">
        <v>2073</v>
      </c>
      <c r="D288" s="126" t="str">
        <f>IF([1]RENAME!$H$3=1,B288,A288)</f>
        <v>Em 30 de junho de 2023</v>
      </c>
      <c r="E288" s="120">
        <f t="shared" ref="E288:T288" si="62">SUM(E278:E287)</f>
        <v>318524</v>
      </c>
      <c r="F288" s="120">
        <f t="shared" si="62"/>
        <v>0</v>
      </c>
      <c r="G288" s="120" t="s">
        <v>160</v>
      </c>
      <c r="H288" s="120">
        <f t="shared" si="62"/>
        <v>0</v>
      </c>
      <c r="I288" s="120">
        <f t="shared" si="62"/>
        <v>0</v>
      </c>
      <c r="J288" s="120">
        <f t="shared" si="62"/>
        <v>105752</v>
      </c>
      <c r="K288" s="120">
        <f t="shared" si="62"/>
        <v>45945.3</v>
      </c>
      <c r="L288" s="120" t="s">
        <v>160</v>
      </c>
      <c r="M288" s="120">
        <f t="shared" si="62"/>
        <v>269635.08600000001</v>
      </c>
      <c r="N288" s="120">
        <f t="shared" si="62"/>
        <v>0</v>
      </c>
      <c r="O288" s="120">
        <f t="shared" si="62"/>
        <v>-343</v>
      </c>
      <c r="P288" s="120">
        <f t="shared" si="62"/>
        <v>-1999</v>
      </c>
      <c r="Q288" s="120">
        <f t="shared" si="62"/>
        <v>63428</v>
      </c>
      <c r="R288" s="120">
        <f t="shared" si="62"/>
        <v>800942.38599999994</v>
      </c>
      <c r="S288" s="120">
        <f t="shared" si="62"/>
        <v>1358</v>
      </c>
      <c r="T288" s="120">
        <f t="shared" si="62"/>
        <v>802300.38599999994</v>
      </c>
    </row>
    <row r="289" spans="1:20" x14ac:dyDescent="0.2">
      <c r="G289" s="885"/>
    </row>
    <row r="290" spans="1:20" x14ac:dyDescent="0.2">
      <c r="A290" s="532" t="s">
        <v>2101</v>
      </c>
      <c r="B290" s="532" t="s">
        <v>2102</v>
      </c>
      <c r="D290" s="129" t="str">
        <f>IF([1]RENAME!$H$3=1,B290,A290)</f>
        <v>Resultados abrangentes</v>
      </c>
      <c r="E290" s="118" t="s">
        <v>160</v>
      </c>
      <c r="F290" s="118" t="s">
        <v>160</v>
      </c>
      <c r="G290" s="121" t="s">
        <v>160</v>
      </c>
      <c r="H290" s="118" t="s">
        <v>160</v>
      </c>
      <c r="I290" s="118" t="s">
        <v>160</v>
      </c>
      <c r="J290" s="118" t="s">
        <v>160</v>
      </c>
      <c r="K290" s="118" t="s">
        <v>160</v>
      </c>
      <c r="L290" s="118" t="s">
        <v>160</v>
      </c>
      <c r="M290" s="118" t="s">
        <v>160</v>
      </c>
      <c r="N290" s="118" t="s">
        <v>160</v>
      </c>
      <c r="O290" s="118" t="s">
        <v>160</v>
      </c>
      <c r="P290" s="118">
        <v>0</v>
      </c>
      <c r="Q290" s="118">
        <v>56176</v>
      </c>
      <c r="R290" s="118">
        <f t="shared" ref="R290:R297" si="63">+SUM(E290:Q290)</f>
        <v>56176</v>
      </c>
      <c r="S290" s="118">
        <v>136</v>
      </c>
      <c r="T290" s="118">
        <f t="shared" ref="T290:T297" si="64">+SUM(R290:S290)</f>
        <v>56312</v>
      </c>
    </row>
    <row r="291" spans="1:20" x14ac:dyDescent="0.2">
      <c r="A291" s="532" t="s">
        <v>1599</v>
      </c>
      <c r="B291" s="532" t="s">
        <v>1600</v>
      </c>
      <c r="D291" s="129" t="str">
        <f>IF([1]RENAME!$H$3=1,B291,A291)</f>
        <v>Incentivos fiscais</v>
      </c>
      <c r="E291" s="118">
        <v>0</v>
      </c>
      <c r="F291" s="118">
        <v>0</v>
      </c>
      <c r="G291" s="121" t="s">
        <v>160</v>
      </c>
      <c r="H291" s="118">
        <v>0</v>
      </c>
      <c r="I291" s="118">
        <v>0</v>
      </c>
      <c r="J291" s="118">
        <v>7003</v>
      </c>
      <c r="K291" s="118">
        <v>0</v>
      </c>
      <c r="L291" s="118" t="s">
        <v>160</v>
      </c>
      <c r="M291" s="118">
        <v>0</v>
      </c>
      <c r="N291" s="118">
        <v>0</v>
      </c>
      <c r="O291" s="118">
        <v>0</v>
      </c>
      <c r="P291" s="118">
        <v>0</v>
      </c>
      <c r="Q291" s="118">
        <v>-7003</v>
      </c>
      <c r="R291" s="118">
        <f t="shared" si="63"/>
        <v>0</v>
      </c>
      <c r="S291" s="118">
        <v>0</v>
      </c>
      <c r="T291" s="118">
        <f t="shared" si="64"/>
        <v>0</v>
      </c>
    </row>
    <row r="292" spans="1:20" x14ac:dyDescent="0.2">
      <c r="A292" s="532" t="s">
        <v>1280</v>
      </c>
      <c r="B292" s="532" t="s">
        <v>1281</v>
      </c>
      <c r="D292" s="129" t="str">
        <f>IF([1]RENAME!$H$3=1,B292,A292)</f>
        <v>Dividendos e juros sobre capital próprio</v>
      </c>
      <c r="E292" s="118">
        <v>0</v>
      </c>
      <c r="F292" s="118">
        <v>0</v>
      </c>
      <c r="G292" s="121" t="s">
        <v>160</v>
      </c>
      <c r="H292" s="118">
        <v>0</v>
      </c>
      <c r="I292" s="118">
        <v>0</v>
      </c>
      <c r="J292" s="118">
        <v>0</v>
      </c>
      <c r="K292" s="118">
        <v>0</v>
      </c>
      <c r="L292" s="118" t="s">
        <v>160</v>
      </c>
      <c r="M292" s="118">
        <v>0</v>
      </c>
      <c r="N292" s="118">
        <v>0</v>
      </c>
      <c r="O292" s="118">
        <v>0</v>
      </c>
      <c r="P292" s="118">
        <v>0</v>
      </c>
      <c r="Q292" s="118">
        <v>-37585</v>
      </c>
      <c r="R292" s="118">
        <f t="shared" si="63"/>
        <v>-37585</v>
      </c>
      <c r="S292" s="118">
        <v>-63</v>
      </c>
      <c r="T292" s="118">
        <f t="shared" si="64"/>
        <v>-37648</v>
      </c>
    </row>
    <row r="293" spans="1:20" x14ac:dyDescent="0.2">
      <c r="A293" s="532" t="s">
        <v>1211</v>
      </c>
      <c r="B293" s="532" t="s">
        <v>1230</v>
      </c>
      <c r="D293" s="129" t="str">
        <f>IF([1]RENAME!$H$3=1,B293,A293)</f>
        <v>Constituição de Reservas</v>
      </c>
      <c r="E293" s="118" t="s">
        <v>160</v>
      </c>
      <c r="F293" s="118" t="s">
        <v>160</v>
      </c>
      <c r="G293" s="121" t="s">
        <v>160</v>
      </c>
      <c r="H293" s="118" t="s">
        <v>160</v>
      </c>
      <c r="I293" s="118" t="s">
        <v>160</v>
      </c>
      <c r="J293" s="118" t="s">
        <v>160</v>
      </c>
      <c r="K293" s="118">
        <v>0</v>
      </c>
      <c r="L293" s="118" t="s">
        <v>160</v>
      </c>
      <c r="M293" s="118">
        <v>0</v>
      </c>
      <c r="N293" s="118">
        <v>0</v>
      </c>
      <c r="O293" s="118" t="s">
        <v>160</v>
      </c>
      <c r="P293" s="118" t="s">
        <v>160</v>
      </c>
      <c r="Q293" s="118">
        <v>0</v>
      </c>
      <c r="R293" s="118">
        <f t="shared" si="63"/>
        <v>0</v>
      </c>
      <c r="S293" s="118">
        <v>0</v>
      </c>
      <c r="T293" s="118">
        <f t="shared" si="64"/>
        <v>0</v>
      </c>
    </row>
    <row r="294" spans="1:20" x14ac:dyDescent="0.2">
      <c r="A294" s="532" t="s">
        <v>1843</v>
      </c>
      <c r="B294" s="532" t="s">
        <v>1848</v>
      </c>
      <c r="D294" s="129" t="str">
        <f>IF([1]RENAME!$H$3=1,B294,A294)</f>
        <v>Constituição de passivo atuarial</v>
      </c>
      <c r="E294" s="118" t="s">
        <v>160</v>
      </c>
      <c r="F294" s="118" t="s">
        <v>160</v>
      </c>
      <c r="G294" s="121" t="s">
        <v>160</v>
      </c>
      <c r="H294" s="118" t="s">
        <v>160</v>
      </c>
      <c r="I294" s="118" t="s">
        <v>160</v>
      </c>
      <c r="J294" s="118" t="s">
        <v>160</v>
      </c>
      <c r="K294" s="118" t="s">
        <v>160</v>
      </c>
      <c r="L294" s="118" t="s">
        <v>160</v>
      </c>
      <c r="M294" s="118" t="s">
        <v>160</v>
      </c>
      <c r="N294" s="118" t="s">
        <v>160</v>
      </c>
      <c r="O294" s="118" t="s">
        <v>160</v>
      </c>
      <c r="P294" s="118">
        <v>0</v>
      </c>
      <c r="Q294" s="118" t="s">
        <v>160</v>
      </c>
      <c r="R294" s="118">
        <f t="shared" si="63"/>
        <v>0</v>
      </c>
      <c r="S294" s="118">
        <v>0</v>
      </c>
      <c r="T294" s="118">
        <f t="shared" si="64"/>
        <v>0</v>
      </c>
    </row>
    <row r="295" spans="1:20" x14ac:dyDescent="0.2">
      <c r="A295" s="532" t="s">
        <v>1844</v>
      </c>
      <c r="B295" s="532" t="s">
        <v>1849</v>
      </c>
      <c r="D295" s="129" t="str">
        <f>IF([1]RENAME!$H$3=1,B295,A295)</f>
        <v>Tributos diferidos sobre passivo atuarial</v>
      </c>
      <c r="E295" s="118" t="s">
        <v>160</v>
      </c>
      <c r="F295" s="118" t="s">
        <v>160</v>
      </c>
      <c r="G295" s="121" t="s">
        <v>160</v>
      </c>
      <c r="H295" s="118" t="s">
        <v>160</v>
      </c>
      <c r="I295" s="118" t="s">
        <v>160</v>
      </c>
      <c r="J295" s="118" t="s">
        <v>160</v>
      </c>
      <c r="K295" s="118" t="s">
        <v>160</v>
      </c>
      <c r="L295" s="118" t="s">
        <v>160</v>
      </c>
      <c r="M295" s="118" t="s">
        <v>160</v>
      </c>
      <c r="N295" s="118" t="s">
        <v>160</v>
      </c>
      <c r="O295" s="118" t="s">
        <v>160</v>
      </c>
      <c r="P295" s="118">
        <v>0</v>
      </c>
      <c r="Q295" s="118" t="s">
        <v>160</v>
      </c>
      <c r="R295" s="118">
        <f t="shared" si="63"/>
        <v>0</v>
      </c>
      <c r="S295" s="118" t="s">
        <v>160</v>
      </c>
      <c r="T295" s="118">
        <f t="shared" si="64"/>
        <v>0</v>
      </c>
    </row>
    <row r="296" spans="1:20" x14ac:dyDescent="0.2">
      <c r="A296" s="532" t="s">
        <v>1940</v>
      </c>
      <c r="B296" s="532" t="s">
        <v>1941</v>
      </c>
      <c r="D296" s="129" t="str">
        <f>IF([1]RENAME!$H$3=1,B296,A296)</f>
        <v>Pagamento de dividendos adicionais</v>
      </c>
      <c r="E296" s="118" t="s">
        <v>160</v>
      </c>
      <c r="F296" s="118" t="s">
        <v>160</v>
      </c>
      <c r="G296" s="121" t="s">
        <v>160</v>
      </c>
      <c r="H296" s="118" t="s">
        <v>160</v>
      </c>
      <c r="I296" s="118" t="s">
        <v>160</v>
      </c>
      <c r="J296" s="118" t="s">
        <v>160</v>
      </c>
      <c r="K296" s="118" t="s">
        <v>160</v>
      </c>
      <c r="L296" s="118" t="s">
        <v>160</v>
      </c>
      <c r="M296" s="118" t="s">
        <v>160</v>
      </c>
      <c r="N296" s="118">
        <v>0</v>
      </c>
      <c r="O296" s="118" t="s">
        <v>160</v>
      </c>
      <c r="P296" s="118" t="s">
        <v>160</v>
      </c>
      <c r="Q296" s="118" t="s">
        <v>160</v>
      </c>
      <c r="R296" s="118">
        <f t="shared" si="63"/>
        <v>0</v>
      </c>
      <c r="S296" s="118" t="s">
        <v>160</v>
      </c>
      <c r="T296" s="118">
        <f t="shared" si="64"/>
        <v>0</v>
      </c>
    </row>
    <row r="297" spans="1:20" x14ac:dyDescent="0.2">
      <c r="A297" s="532" t="s">
        <v>1622</v>
      </c>
      <c r="B297" s="532" t="s">
        <v>1623</v>
      </c>
      <c r="D297" s="129" t="str">
        <f>IF([1]RENAME!$H$3=1,B297,A297)</f>
        <v>Outros resultados abrangentes</v>
      </c>
      <c r="E297" s="118">
        <v>0</v>
      </c>
      <c r="F297" s="118">
        <v>0</v>
      </c>
      <c r="G297" s="121" t="s">
        <v>160</v>
      </c>
      <c r="H297" s="118">
        <v>0</v>
      </c>
      <c r="I297" s="118">
        <v>0</v>
      </c>
      <c r="J297" s="118">
        <v>0</v>
      </c>
      <c r="K297" s="118">
        <v>0</v>
      </c>
      <c r="L297" s="118" t="s">
        <v>160</v>
      </c>
      <c r="M297" s="118">
        <v>0</v>
      </c>
      <c r="N297" s="118">
        <v>0</v>
      </c>
      <c r="O297" s="118">
        <v>0</v>
      </c>
      <c r="P297" s="118">
        <v>0</v>
      </c>
      <c r="Q297" s="118">
        <v>0</v>
      </c>
      <c r="R297" s="118">
        <f t="shared" si="63"/>
        <v>0</v>
      </c>
      <c r="S297" s="118">
        <v>0</v>
      </c>
      <c r="T297" s="118">
        <f t="shared" si="64"/>
        <v>0</v>
      </c>
    </row>
    <row r="298" spans="1:20" x14ac:dyDescent="0.2">
      <c r="A298" s="532" t="s">
        <v>2093</v>
      </c>
      <c r="B298" s="532" t="s">
        <v>2094</v>
      </c>
      <c r="D298" s="126" t="str">
        <f>IF([1]RENAME!$H$3=1,B298,A298)</f>
        <v>Em 30 de setembro de 2023</v>
      </c>
      <c r="E298" s="120">
        <f t="shared" ref="E298:T298" si="65">SUM(E288:E297)</f>
        <v>318524</v>
      </c>
      <c r="F298" s="120">
        <f t="shared" si="65"/>
        <v>0</v>
      </c>
      <c r="G298" s="120" t="s">
        <v>160</v>
      </c>
      <c r="H298" s="120">
        <f t="shared" si="65"/>
        <v>0</v>
      </c>
      <c r="I298" s="120">
        <f t="shared" si="65"/>
        <v>0</v>
      </c>
      <c r="J298" s="120">
        <f t="shared" si="65"/>
        <v>112755</v>
      </c>
      <c r="K298" s="120">
        <f t="shared" si="65"/>
        <v>45945.3</v>
      </c>
      <c r="L298" s="120" t="s">
        <v>160</v>
      </c>
      <c r="M298" s="120">
        <f t="shared" si="65"/>
        <v>269635.08600000001</v>
      </c>
      <c r="N298" s="120">
        <f t="shared" si="65"/>
        <v>0</v>
      </c>
      <c r="O298" s="120">
        <f t="shared" si="65"/>
        <v>-343</v>
      </c>
      <c r="P298" s="120">
        <f t="shared" si="65"/>
        <v>-1999</v>
      </c>
      <c r="Q298" s="120">
        <f t="shared" si="65"/>
        <v>75016</v>
      </c>
      <c r="R298" s="120">
        <f t="shared" si="65"/>
        <v>819533.38599999994</v>
      </c>
      <c r="S298" s="120">
        <f t="shared" si="65"/>
        <v>1431</v>
      </c>
      <c r="T298" s="120">
        <f t="shared" si="65"/>
        <v>820964.38599999994</v>
      </c>
    </row>
    <row r="299" spans="1:20" x14ac:dyDescent="0.2">
      <c r="G299" s="885"/>
    </row>
    <row r="300" spans="1:20" x14ac:dyDescent="0.2">
      <c r="A300" s="532" t="s">
        <v>2101</v>
      </c>
      <c r="B300" s="532" t="s">
        <v>2102</v>
      </c>
      <c r="D300" s="129" t="str">
        <f>IF([1]RENAME!$H$3=1,B300,A300)</f>
        <v>Resultados abrangentes</v>
      </c>
      <c r="E300" s="118" t="s">
        <v>160</v>
      </c>
      <c r="F300" s="118" t="s">
        <v>160</v>
      </c>
      <c r="G300" s="121" t="s">
        <v>160</v>
      </c>
      <c r="H300" s="118" t="s">
        <v>160</v>
      </c>
      <c r="I300" s="118" t="s">
        <v>160</v>
      </c>
      <c r="J300" s="118" t="s">
        <v>160</v>
      </c>
      <c r="K300" s="118" t="s">
        <v>160</v>
      </c>
      <c r="L300" s="118" t="s">
        <v>160</v>
      </c>
      <c r="M300" s="118" t="s">
        <v>160</v>
      </c>
      <c r="N300" s="118" t="s">
        <v>160</v>
      </c>
      <c r="O300" s="118" t="s">
        <v>160</v>
      </c>
      <c r="P300" s="118">
        <v>0</v>
      </c>
      <c r="Q300" s="118">
        <v>51077</v>
      </c>
      <c r="R300" s="118">
        <f t="shared" ref="R300:R307" si="66">+SUM(E300:Q300)</f>
        <v>51077</v>
      </c>
      <c r="S300" s="118">
        <v>-56</v>
      </c>
      <c r="T300" s="118">
        <f t="shared" ref="T300:T307" si="67">+SUM(R300:S300)</f>
        <v>51021</v>
      </c>
    </row>
    <row r="301" spans="1:20" x14ac:dyDescent="0.2">
      <c r="A301" s="532" t="s">
        <v>1599</v>
      </c>
      <c r="B301" s="532" t="s">
        <v>1600</v>
      </c>
      <c r="D301" s="129" t="str">
        <f>IF([1]RENAME!$H$3=1,B301,A301)</f>
        <v>Incentivos fiscais</v>
      </c>
      <c r="E301" s="118">
        <v>0</v>
      </c>
      <c r="F301" s="118">
        <v>0</v>
      </c>
      <c r="G301" s="121" t="s">
        <v>160</v>
      </c>
      <c r="H301" s="118">
        <v>0</v>
      </c>
      <c r="I301" s="118">
        <v>0</v>
      </c>
      <c r="J301" s="118">
        <v>7560</v>
      </c>
      <c r="K301" s="118">
        <v>0</v>
      </c>
      <c r="L301" s="118" t="s">
        <v>160</v>
      </c>
      <c r="M301" s="118">
        <v>0</v>
      </c>
      <c r="N301" s="118">
        <v>0</v>
      </c>
      <c r="O301" s="118">
        <v>0</v>
      </c>
      <c r="P301" s="118">
        <v>0</v>
      </c>
      <c r="Q301" s="118">
        <v>-7560</v>
      </c>
      <c r="R301" s="118">
        <f t="shared" si="66"/>
        <v>0</v>
      </c>
      <c r="S301" s="118">
        <v>0</v>
      </c>
      <c r="T301" s="118">
        <f t="shared" si="67"/>
        <v>0</v>
      </c>
    </row>
    <row r="302" spans="1:20" x14ac:dyDescent="0.2">
      <c r="A302" s="532" t="s">
        <v>1280</v>
      </c>
      <c r="B302" s="532" t="s">
        <v>1281</v>
      </c>
      <c r="D302" s="129" t="str">
        <f>IF([1]RENAME!$H$3=1,B302,A302)</f>
        <v>Dividendos e juros sobre capital próprio</v>
      </c>
      <c r="E302" s="118">
        <v>0</v>
      </c>
      <c r="F302" s="118">
        <v>0</v>
      </c>
      <c r="G302" s="121" t="s">
        <v>160</v>
      </c>
      <c r="H302" s="118">
        <v>0</v>
      </c>
      <c r="I302" s="118">
        <v>0</v>
      </c>
      <c r="J302" s="118">
        <v>0</v>
      </c>
      <c r="K302" s="118">
        <v>0</v>
      </c>
      <c r="L302" s="118" t="s">
        <v>160</v>
      </c>
      <c r="M302" s="118">
        <v>-73191</v>
      </c>
      <c r="N302" s="118">
        <v>87038</v>
      </c>
      <c r="O302" s="118">
        <v>0</v>
      </c>
      <c r="P302" s="118">
        <v>0</v>
      </c>
      <c r="Q302" s="118">
        <v>-9890</v>
      </c>
      <c r="R302" s="118">
        <f t="shared" si="66"/>
        <v>3957</v>
      </c>
      <c r="S302" s="118">
        <v>0</v>
      </c>
      <c r="T302" s="118">
        <f t="shared" si="67"/>
        <v>3957</v>
      </c>
    </row>
    <row r="303" spans="1:20" x14ac:dyDescent="0.2">
      <c r="A303" s="532" t="s">
        <v>1211</v>
      </c>
      <c r="B303" s="532" t="s">
        <v>1230</v>
      </c>
      <c r="D303" s="129" t="str">
        <f>IF([1]RENAME!$H$3=1,B303,A303)</f>
        <v>Constituição de Reservas</v>
      </c>
      <c r="E303" s="118" t="s">
        <v>160</v>
      </c>
      <c r="F303" s="118" t="s">
        <v>160</v>
      </c>
      <c r="G303" s="121" t="s">
        <v>160</v>
      </c>
      <c r="H303" s="118" t="s">
        <v>160</v>
      </c>
      <c r="I303" s="118" t="s">
        <v>160</v>
      </c>
      <c r="J303" s="118" t="s">
        <v>160</v>
      </c>
      <c r="K303" s="118">
        <v>9071</v>
      </c>
      <c r="L303" s="118" t="s">
        <v>160</v>
      </c>
      <c r="M303" s="118">
        <v>99572</v>
      </c>
      <c r="N303" s="118">
        <v>0</v>
      </c>
      <c r="O303" s="118" t="s">
        <v>160</v>
      </c>
      <c r="P303" s="118" t="s">
        <v>160</v>
      </c>
      <c r="Q303" s="118">
        <v>-108643</v>
      </c>
      <c r="R303" s="118">
        <f t="shared" si="66"/>
        <v>0</v>
      </c>
      <c r="S303" s="118">
        <v>0</v>
      </c>
      <c r="T303" s="118">
        <f t="shared" si="67"/>
        <v>0</v>
      </c>
    </row>
    <row r="304" spans="1:20" x14ac:dyDescent="0.2">
      <c r="A304" s="532" t="s">
        <v>1843</v>
      </c>
      <c r="B304" s="532" t="s">
        <v>1848</v>
      </c>
      <c r="D304" s="129" t="str">
        <f>IF([1]RENAME!$H$3=1,B304,A304)</f>
        <v>Constituição de passivo atuarial</v>
      </c>
      <c r="E304" s="118" t="s">
        <v>160</v>
      </c>
      <c r="F304" s="118" t="s">
        <v>160</v>
      </c>
      <c r="G304" s="121" t="s">
        <v>160</v>
      </c>
      <c r="H304" s="118" t="s">
        <v>160</v>
      </c>
      <c r="I304" s="118" t="s">
        <v>160</v>
      </c>
      <c r="J304" s="118" t="s">
        <v>160</v>
      </c>
      <c r="K304" s="118" t="s">
        <v>160</v>
      </c>
      <c r="L304" s="118" t="s">
        <v>160</v>
      </c>
      <c r="M304" s="118" t="s">
        <v>160</v>
      </c>
      <c r="N304" s="118" t="s">
        <v>160</v>
      </c>
      <c r="O304" s="118" t="s">
        <v>160</v>
      </c>
      <c r="P304" s="118">
        <v>251</v>
      </c>
      <c r="Q304" s="118" t="s">
        <v>160</v>
      </c>
      <c r="R304" s="118">
        <f t="shared" si="66"/>
        <v>251</v>
      </c>
      <c r="S304" s="118">
        <v>0</v>
      </c>
      <c r="T304" s="118">
        <f t="shared" si="67"/>
        <v>251</v>
      </c>
    </row>
    <row r="305" spans="1:20" x14ac:dyDescent="0.2">
      <c r="A305" s="532" t="s">
        <v>1844</v>
      </c>
      <c r="B305" s="532" t="s">
        <v>1849</v>
      </c>
      <c r="D305" s="129" t="str">
        <f>IF([1]RENAME!$H$3=1,B305,A305)</f>
        <v>Tributos diferidos sobre passivo atuarial</v>
      </c>
      <c r="E305" s="118" t="s">
        <v>160</v>
      </c>
      <c r="F305" s="118" t="s">
        <v>160</v>
      </c>
      <c r="G305" s="121" t="s">
        <v>160</v>
      </c>
      <c r="H305" s="118" t="s">
        <v>160</v>
      </c>
      <c r="I305" s="118" t="s">
        <v>160</v>
      </c>
      <c r="J305" s="118" t="s">
        <v>160</v>
      </c>
      <c r="K305" s="118" t="s">
        <v>160</v>
      </c>
      <c r="L305" s="118" t="s">
        <v>160</v>
      </c>
      <c r="M305" s="118" t="s">
        <v>160</v>
      </c>
      <c r="N305" s="118" t="s">
        <v>160</v>
      </c>
      <c r="O305" s="118" t="s">
        <v>160</v>
      </c>
      <c r="P305" s="118">
        <v>-85</v>
      </c>
      <c r="Q305" s="118" t="s">
        <v>160</v>
      </c>
      <c r="R305" s="118">
        <f t="shared" si="66"/>
        <v>-85</v>
      </c>
      <c r="S305" s="118" t="s">
        <v>160</v>
      </c>
      <c r="T305" s="118">
        <f t="shared" si="67"/>
        <v>-85</v>
      </c>
    </row>
    <row r="306" spans="1:20" x14ac:dyDescent="0.2">
      <c r="A306" s="532" t="s">
        <v>1940</v>
      </c>
      <c r="B306" s="532" t="s">
        <v>1941</v>
      </c>
      <c r="D306" s="129" t="str">
        <f>IF([1]RENAME!$H$3=1,B306,A306)</f>
        <v>Pagamento de dividendos adicionais</v>
      </c>
      <c r="E306" s="118" t="s">
        <v>160</v>
      </c>
      <c r="F306" s="118" t="s">
        <v>160</v>
      </c>
      <c r="G306" s="121" t="s">
        <v>160</v>
      </c>
      <c r="H306" s="118" t="s">
        <v>160</v>
      </c>
      <c r="I306" s="118" t="s">
        <v>160</v>
      </c>
      <c r="J306" s="118" t="s">
        <v>160</v>
      </c>
      <c r="K306" s="118" t="s">
        <v>160</v>
      </c>
      <c r="L306" s="118" t="s">
        <v>160</v>
      </c>
      <c r="M306" s="118" t="s">
        <v>160</v>
      </c>
      <c r="N306" s="118">
        <v>-39563</v>
      </c>
      <c r="O306" s="118" t="s">
        <v>160</v>
      </c>
      <c r="P306" s="118" t="s">
        <v>160</v>
      </c>
      <c r="Q306" s="118" t="s">
        <v>160</v>
      </c>
      <c r="R306" s="118">
        <f t="shared" si="66"/>
        <v>-39563</v>
      </c>
      <c r="S306" s="118" t="s">
        <v>160</v>
      </c>
      <c r="T306" s="118">
        <f t="shared" si="67"/>
        <v>-39563</v>
      </c>
    </row>
    <row r="307" spans="1:20" x14ac:dyDescent="0.2">
      <c r="A307" s="532" t="s">
        <v>1622</v>
      </c>
      <c r="B307" s="532" t="s">
        <v>1623</v>
      </c>
      <c r="D307" s="129" t="str">
        <f>IF([1]RENAME!$H$3=1,B307,A307)</f>
        <v>Outros resultados abrangentes</v>
      </c>
      <c r="E307" s="118">
        <v>0</v>
      </c>
      <c r="F307" s="118">
        <v>0</v>
      </c>
      <c r="G307" s="121" t="s">
        <v>160</v>
      </c>
      <c r="H307" s="118">
        <v>0</v>
      </c>
      <c r="I307" s="118">
        <v>0</v>
      </c>
      <c r="J307" s="118">
        <v>0</v>
      </c>
      <c r="K307" s="118">
        <v>0</v>
      </c>
      <c r="L307" s="118" t="s">
        <v>160</v>
      </c>
      <c r="M307" s="118">
        <v>0</v>
      </c>
      <c r="N307" s="118">
        <v>0</v>
      </c>
      <c r="O307" s="118">
        <v>0</v>
      </c>
      <c r="P307" s="118">
        <v>0</v>
      </c>
      <c r="Q307" s="118">
        <v>0</v>
      </c>
      <c r="R307" s="118">
        <f t="shared" si="66"/>
        <v>0</v>
      </c>
      <c r="S307" s="118" t="s">
        <v>160</v>
      </c>
      <c r="T307" s="118">
        <f t="shared" si="67"/>
        <v>0</v>
      </c>
    </row>
    <row r="308" spans="1:20" x14ac:dyDescent="0.2">
      <c r="A308" s="532" t="s">
        <v>2131</v>
      </c>
      <c r="B308" s="532" t="s">
        <v>2132</v>
      </c>
      <c r="D308" s="126" t="str">
        <f>IF([1]RENAME!$H$3=1,B308,A308)</f>
        <v>Em 31 de dezembro de 2023</v>
      </c>
      <c r="E308" s="120">
        <f t="shared" ref="E308:T308" si="68">SUM(E298:E307)</f>
        <v>318524</v>
      </c>
      <c r="F308" s="120">
        <f t="shared" si="68"/>
        <v>0</v>
      </c>
      <c r="G308" s="120" t="s">
        <v>160</v>
      </c>
      <c r="H308" s="120">
        <f t="shared" si="68"/>
        <v>0</v>
      </c>
      <c r="I308" s="120">
        <f t="shared" si="68"/>
        <v>0</v>
      </c>
      <c r="J308" s="120">
        <f t="shared" si="68"/>
        <v>120315</v>
      </c>
      <c r="K308" s="120">
        <f t="shared" si="68"/>
        <v>55016.3</v>
      </c>
      <c r="L308" s="120" t="s">
        <v>160</v>
      </c>
      <c r="M308" s="120">
        <f t="shared" si="68"/>
        <v>296016.08600000001</v>
      </c>
      <c r="N308" s="120">
        <f t="shared" si="68"/>
        <v>47475</v>
      </c>
      <c r="O308" s="120">
        <f t="shared" si="68"/>
        <v>-343</v>
      </c>
      <c r="P308" s="120">
        <f t="shared" si="68"/>
        <v>-1833</v>
      </c>
      <c r="Q308" s="120">
        <f t="shared" si="68"/>
        <v>0</v>
      </c>
      <c r="R308" s="120">
        <f t="shared" si="68"/>
        <v>835170.38599999994</v>
      </c>
      <c r="S308" s="120">
        <f t="shared" si="68"/>
        <v>1375</v>
      </c>
      <c r="T308" s="120">
        <f t="shared" si="68"/>
        <v>836545.38599999994</v>
      </c>
    </row>
    <row r="309" spans="1:20" x14ac:dyDescent="0.2">
      <c r="G309" s="885"/>
    </row>
    <row r="310" spans="1:20" x14ac:dyDescent="0.2">
      <c r="A310" s="532" t="s">
        <v>2101</v>
      </c>
      <c r="B310" s="532" t="s">
        <v>2102</v>
      </c>
      <c r="D310" s="129" t="str">
        <f>IF([1]RENAME!$H$3=1,B310,A310)</f>
        <v>Resultados abrangentes</v>
      </c>
      <c r="E310" s="118" t="s">
        <v>160</v>
      </c>
      <c r="F310" s="118" t="s">
        <v>160</v>
      </c>
      <c r="G310" s="121" t="s">
        <v>160</v>
      </c>
      <c r="H310" s="118" t="s">
        <v>160</v>
      </c>
      <c r="I310" s="118" t="s">
        <v>160</v>
      </c>
      <c r="J310" s="118" t="s">
        <v>160</v>
      </c>
      <c r="K310" s="118" t="s">
        <v>160</v>
      </c>
      <c r="L310" s="118" t="s">
        <v>160</v>
      </c>
      <c r="M310" s="118" t="s">
        <v>160</v>
      </c>
      <c r="N310" s="118" t="s">
        <v>160</v>
      </c>
      <c r="O310" s="118" t="s">
        <v>160</v>
      </c>
      <c r="P310" s="118">
        <v>0</v>
      </c>
      <c r="Q310" s="118">
        <v>37283</v>
      </c>
      <c r="R310" s="118">
        <f t="shared" ref="R310:R318" si="69">+SUM(E310:Q310)</f>
        <v>37283</v>
      </c>
      <c r="S310" s="118">
        <v>232</v>
      </c>
      <c r="T310" s="118">
        <f t="shared" ref="T310:T315" si="70">+SUM(R310:S310)</f>
        <v>37515</v>
      </c>
    </row>
    <row r="311" spans="1:20" x14ac:dyDescent="0.2">
      <c r="A311" s="532" t="s">
        <v>2164</v>
      </c>
      <c r="B311" s="532" t="s">
        <v>2163</v>
      </c>
      <c r="D311" s="129" t="str">
        <f>IF([1]RENAME!$H$3=1,B311,A311)</f>
        <v>Integralização de capital</v>
      </c>
      <c r="E311" s="118">
        <v>120315</v>
      </c>
      <c r="F311" s="118">
        <v>0</v>
      </c>
      <c r="G311" s="121" t="s">
        <v>160</v>
      </c>
      <c r="H311" s="118">
        <v>0</v>
      </c>
      <c r="I311" s="118">
        <v>0</v>
      </c>
      <c r="J311" s="118">
        <v>-120315</v>
      </c>
      <c r="K311" s="118">
        <v>0</v>
      </c>
      <c r="L311" s="118" t="s">
        <v>160</v>
      </c>
      <c r="M311" s="118">
        <v>0</v>
      </c>
      <c r="N311" s="118">
        <v>0</v>
      </c>
      <c r="O311" s="118">
        <v>0</v>
      </c>
      <c r="P311" s="118">
        <v>0</v>
      </c>
      <c r="Q311" s="118">
        <v>0</v>
      </c>
      <c r="R311" s="118">
        <f t="shared" si="69"/>
        <v>0</v>
      </c>
      <c r="S311" s="118">
        <v>0</v>
      </c>
      <c r="T311" s="118">
        <f t="shared" si="70"/>
        <v>0</v>
      </c>
    </row>
    <row r="312" spans="1:20" hidden="1" x14ac:dyDescent="0.2">
      <c r="A312" s="532" t="s">
        <v>1599</v>
      </c>
      <c r="B312" s="532" t="s">
        <v>1600</v>
      </c>
      <c r="D312" s="129" t="str">
        <f>IF([1]RENAME!$H$3=1,B312,A312)</f>
        <v>Incentivos fiscais</v>
      </c>
      <c r="E312" s="118">
        <v>0</v>
      </c>
      <c r="F312" s="118">
        <v>0</v>
      </c>
      <c r="G312" s="121" t="s">
        <v>160</v>
      </c>
      <c r="H312" s="118">
        <v>0</v>
      </c>
      <c r="I312" s="118">
        <v>0</v>
      </c>
      <c r="J312" s="118">
        <v>0</v>
      </c>
      <c r="K312" s="118">
        <v>0</v>
      </c>
      <c r="L312" s="118" t="s">
        <v>160</v>
      </c>
      <c r="M312" s="118">
        <v>0</v>
      </c>
      <c r="N312" s="118">
        <v>0</v>
      </c>
      <c r="O312" s="118">
        <v>0</v>
      </c>
      <c r="P312" s="118">
        <v>0</v>
      </c>
      <c r="Q312" s="118">
        <v>0</v>
      </c>
      <c r="R312" s="118">
        <f t="shared" si="69"/>
        <v>0</v>
      </c>
      <c r="S312" s="118">
        <v>0</v>
      </c>
      <c r="T312" s="118">
        <f t="shared" si="70"/>
        <v>0</v>
      </c>
    </row>
    <row r="313" spans="1:20" hidden="1" x14ac:dyDescent="0.2">
      <c r="A313" s="532" t="s">
        <v>1280</v>
      </c>
      <c r="B313" s="532" t="s">
        <v>1281</v>
      </c>
      <c r="D313" s="129" t="str">
        <f>IF([1]RENAME!$H$3=1,B313,A313)</f>
        <v>Dividendos e juros sobre capital próprio</v>
      </c>
      <c r="E313" s="118">
        <v>0</v>
      </c>
      <c r="F313" s="118">
        <v>0</v>
      </c>
      <c r="G313" s="121" t="s">
        <v>160</v>
      </c>
      <c r="H313" s="118">
        <v>0</v>
      </c>
      <c r="I313" s="118">
        <v>0</v>
      </c>
      <c r="J313" s="118">
        <v>0</v>
      </c>
      <c r="K313" s="118">
        <v>0</v>
      </c>
      <c r="L313" s="118" t="s">
        <v>160</v>
      </c>
      <c r="M313" s="118">
        <v>0</v>
      </c>
      <c r="N313" s="118">
        <v>0</v>
      </c>
      <c r="O313" s="118">
        <v>0</v>
      </c>
      <c r="P313" s="118">
        <v>0</v>
      </c>
      <c r="Q313" s="118">
        <v>0</v>
      </c>
      <c r="R313" s="118">
        <f t="shared" si="69"/>
        <v>0</v>
      </c>
      <c r="S313" s="118">
        <v>0</v>
      </c>
      <c r="T313" s="118">
        <f t="shared" si="70"/>
        <v>0</v>
      </c>
    </row>
    <row r="314" spans="1:20" hidden="1" x14ac:dyDescent="0.2">
      <c r="A314" s="532" t="s">
        <v>1211</v>
      </c>
      <c r="B314" s="532" t="s">
        <v>1230</v>
      </c>
      <c r="D314" s="129" t="str">
        <f>IF([1]RENAME!$H$3=1,B314,A314)</f>
        <v>Constituição de Reservas</v>
      </c>
      <c r="E314" s="118" t="s">
        <v>160</v>
      </c>
      <c r="F314" s="118" t="s">
        <v>160</v>
      </c>
      <c r="G314" s="121" t="s">
        <v>160</v>
      </c>
      <c r="H314" s="118" t="s">
        <v>160</v>
      </c>
      <c r="I314" s="118" t="s">
        <v>160</v>
      </c>
      <c r="J314" s="118" t="s">
        <v>160</v>
      </c>
      <c r="K314" s="118">
        <v>0</v>
      </c>
      <c r="L314" s="118" t="s">
        <v>160</v>
      </c>
      <c r="M314" s="118">
        <v>0</v>
      </c>
      <c r="N314" s="118">
        <v>0</v>
      </c>
      <c r="O314" s="118" t="s">
        <v>160</v>
      </c>
      <c r="P314" s="118" t="s">
        <v>160</v>
      </c>
      <c r="Q314" s="118">
        <v>0</v>
      </c>
      <c r="R314" s="118">
        <f t="shared" si="69"/>
        <v>0</v>
      </c>
      <c r="S314" s="118">
        <v>0</v>
      </c>
      <c r="T314" s="118">
        <f t="shared" si="70"/>
        <v>0</v>
      </c>
    </row>
    <row r="315" spans="1:20" hidden="1" x14ac:dyDescent="0.2">
      <c r="A315" s="532" t="s">
        <v>1843</v>
      </c>
      <c r="B315" s="532" t="s">
        <v>1848</v>
      </c>
      <c r="D315" s="129" t="str">
        <f>IF([1]RENAME!$H$3=1,B315,A315)</f>
        <v>Constituição de passivo atuarial</v>
      </c>
      <c r="E315" s="118" t="s">
        <v>160</v>
      </c>
      <c r="F315" s="118" t="s">
        <v>160</v>
      </c>
      <c r="G315" s="121" t="s">
        <v>160</v>
      </c>
      <c r="H315" s="118" t="s">
        <v>160</v>
      </c>
      <c r="I315" s="118" t="s">
        <v>160</v>
      </c>
      <c r="J315" s="118" t="s">
        <v>160</v>
      </c>
      <c r="K315" s="118" t="s">
        <v>160</v>
      </c>
      <c r="L315" s="118" t="s">
        <v>160</v>
      </c>
      <c r="M315" s="118" t="s">
        <v>160</v>
      </c>
      <c r="N315" s="118" t="s">
        <v>160</v>
      </c>
      <c r="O315" s="118" t="s">
        <v>160</v>
      </c>
      <c r="P315" s="118">
        <v>0</v>
      </c>
      <c r="Q315" s="118" t="s">
        <v>160</v>
      </c>
      <c r="R315" s="118">
        <f t="shared" si="69"/>
        <v>0</v>
      </c>
      <c r="S315" s="118">
        <v>0</v>
      </c>
      <c r="T315" s="118">
        <f t="shared" si="70"/>
        <v>0</v>
      </c>
    </row>
    <row r="316" spans="1:20" hidden="1" x14ac:dyDescent="0.2">
      <c r="A316" s="532" t="s">
        <v>1844</v>
      </c>
      <c r="B316" s="532" t="s">
        <v>1849</v>
      </c>
      <c r="D316" s="129" t="str">
        <f>IF([1]RENAME!$H$3=1,B316,A316)</f>
        <v>Tributos diferidos sobre passivo atuarial</v>
      </c>
      <c r="E316" s="118" t="s">
        <v>160</v>
      </c>
      <c r="F316" s="118" t="s">
        <v>160</v>
      </c>
      <c r="G316" s="121" t="s">
        <v>160</v>
      </c>
      <c r="H316" s="118" t="s">
        <v>160</v>
      </c>
      <c r="I316" s="118" t="s">
        <v>160</v>
      </c>
      <c r="J316" s="118" t="s">
        <v>160</v>
      </c>
      <c r="K316" s="118" t="s">
        <v>160</v>
      </c>
      <c r="L316" s="118" t="s">
        <v>160</v>
      </c>
      <c r="M316" s="118" t="s">
        <v>160</v>
      </c>
      <c r="N316" s="118" t="s">
        <v>160</v>
      </c>
      <c r="O316" s="118" t="s">
        <v>160</v>
      </c>
      <c r="P316" s="118">
        <v>0</v>
      </c>
      <c r="Q316" s="118" t="s">
        <v>160</v>
      </c>
      <c r="R316" s="118">
        <f t="shared" si="69"/>
        <v>0</v>
      </c>
      <c r="S316" s="118" t="s">
        <v>160</v>
      </c>
      <c r="T316" s="118">
        <f>+SUM(R316:S316)</f>
        <v>0</v>
      </c>
    </row>
    <row r="317" spans="1:20" hidden="1" x14ac:dyDescent="0.2">
      <c r="A317" s="532" t="s">
        <v>1940</v>
      </c>
      <c r="B317" s="532" t="s">
        <v>1941</v>
      </c>
      <c r="D317" s="129" t="str">
        <f>IF([1]RENAME!$H$3=1,B317,A317)</f>
        <v>Pagamento de dividendos adicionais</v>
      </c>
      <c r="E317" s="118" t="s">
        <v>160</v>
      </c>
      <c r="F317" s="118" t="s">
        <v>160</v>
      </c>
      <c r="G317" s="121" t="s">
        <v>160</v>
      </c>
      <c r="H317" s="118" t="s">
        <v>160</v>
      </c>
      <c r="I317" s="118" t="s">
        <v>160</v>
      </c>
      <c r="J317" s="118" t="s">
        <v>160</v>
      </c>
      <c r="K317" s="118" t="s">
        <v>160</v>
      </c>
      <c r="L317" s="118" t="s">
        <v>160</v>
      </c>
      <c r="M317" s="118" t="s">
        <v>160</v>
      </c>
      <c r="N317" s="118">
        <v>0</v>
      </c>
      <c r="O317" s="118" t="s">
        <v>160</v>
      </c>
      <c r="P317" s="118" t="s">
        <v>160</v>
      </c>
      <c r="Q317" s="118" t="s">
        <v>160</v>
      </c>
      <c r="R317" s="118">
        <f t="shared" si="69"/>
        <v>0</v>
      </c>
      <c r="S317" s="118" t="s">
        <v>160</v>
      </c>
      <c r="T317" s="118">
        <f>+SUM(R317:S317)</f>
        <v>0</v>
      </c>
    </row>
    <row r="318" spans="1:20" hidden="1" x14ac:dyDescent="0.2">
      <c r="A318" s="532" t="s">
        <v>1622</v>
      </c>
      <c r="B318" s="532" t="s">
        <v>1623</v>
      </c>
      <c r="D318" s="129" t="str">
        <f>IF([1]RENAME!$H$3=1,B318,A318)</f>
        <v>Outros resultados abrangentes</v>
      </c>
      <c r="E318" s="118">
        <v>0</v>
      </c>
      <c r="F318" s="118">
        <v>0</v>
      </c>
      <c r="G318" s="121" t="s">
        <v>160</v>
      </c>
      <c r="H318" s="118">
        <v>0</v>
      </c>
      <c r="I318" s="118">
        <v>0</v>
      </c>
      <c r="J318" s="118">
        <v>0</v>
      </c>
      <c r="K318" s="118">
        <v>0</v>
      </c>
      <c r="L318" s="118" t="s">
        <v>160</v>
      </c>
      <c r="M318" s="118">
        <v>0</v>
      </c>
      <c r="N318" s="118">
        <v>0</v>
      </c>
      <c r="O318" s="118">
        <v>0</v>
      </c>
      <c r="P318" s="118">
        <v>0</v>
      </c>
      <c r="Q318" s="118">
        <v>0</v>
      </c>
      <c r="R318" s="118">
        <f t="shared" si="69"/>
        <v>0</v>
      </c>
      <c r="S318" s="118">
        <v>0</v>
      </c>
      <c r="T318" s="118">
        <f>+SUM(R318:S318)</f>
        <v>0</v>
      </c>
    </row>
    <row r="319" spans="1:20" x14ac:dyDescent="0.2">
      <c r="A319" s="532" t="s">
        <v>2158</v>
      </c>
      <c r="B319" s="532" t="s">
        <v>2159</v>
      </c>
      <c r="D319" s="126" t="str">
        <f>IF([1]RENAME!$H$3=1,B319,A319)</f>
        <v>Em 31 de março de 2024</v>
      </c>
      <c r="E319" s="120">
        <f t="shared" ref="E319:T319" si="71">SUM(E308:E318)</f>
        <v>438839</v>
      </c>
      <c r="F319" s="120">
        <f t="shared" si="71"/>
        <v>0</v>
      </c>
      <c r="G319" s="120" t="s">
        <v>160</v>
      </c>
      <c r="H319" s="120">
        <f t="shared" si="71"/>
        <v>0</v>
      </c>
      <c r="I319" s="120">
        <f t="shared" si="71"/>
        <v>0</v>
      </c>
      <c r="J319" s="120">
        <f t="shared" si="71"/>
        <v>0</v>
      </c>
      <c r="K319" s="120">
        <f t="shared" si="71"/>
        <v>55016.3</v>
      </c>
      <c r="L319" s="120" t="s">
        <v>160</v>
      </c>
      <c r="M319" s="120">
        <f t="shared" si="71"/>
        <v>296016.08600000001</v>
      </c>
      <c r="N319" s="120">
        <f t="shared" si="71"/>
        <v>47475</v>
      </c>
      <c r="O319" s="120">
        <f t="shared" si="71"/>
        <v>-343</v>
      </c>
      <c r="P319" s="120">
        <f t="shared" si="71"/>
        <v>-1833</v>
      </c>
      <c r="Q319" s="120">
        <f t="shared" si="71"/>
        <v>37283</v>
      </c>
      <c r="R319" s="120">
        <f t="shared" si="71"/>
        <v>872453.38599999994</v>
      </c>
      <c r="S319" s="120">
        <f t="shared" si="71"/>
        <v>1607</v>
      </c>
      <c r="T319" s="120">
        <f t="shared" si="71"/>
        <v>874060.38599999994</v>
      </c>
    </row>
    <row r="320" spans="1:20" x14ac:dyDescent="0.2">
      <c r="G320" s="885"/>
    </row>
    <row r="321" spans="1:20" x14ac:dyDescent="0.2">
      <c r="A321" s="532" t="s">
        <v>2101</v>
      </c>
      <c r="B321" s="532" t="s">
        <v>2102</v>
      </c>
      <c r="D321" s="129" t="str">
        <f>IF([1]RENAME!$H$3=1,B321,A321)</f>
        <v>Resultados abrangentes</v>
      </c>
      <c r="E321" s="118" t="s">
        <v>160</v>
      </c>
      <c r="F321" s="118" t="s">
        <v>160</v>
      </c>
      <c r="G321" s="121" t="s">
        <v>160</v>
      </c>
      <c r="H321" s="118" t="s">
        <v>160</v>
      </c>
      <c r="I321" s="118" t="s">
        <v>160</v>
      </c>
      <c r="J321" s="118" t="s">
        <v>160</v>
      </c>
      <c r="K321" s="118" t="s">
        <v>160</v>
      </c>
      <c r="L321" s="118" t="s">
        <v>160</v>
      </c>
      <c r="M321" s="118" t="s">
        <v>160</v>
      </c>
      <c r="N321" s="118" t="s">
        <v>160</v>
      </c>
      <c r="O321" s="118" t="s">
        <v>160</v>
      </c>
      <c r="P321" s="118">
        <v>0</v>
      </c>
      <c r="Q321" s="118">
        <v>63252</v>
      </c>
      <c r="R321" s="118">
        <f t="shared" ref="R321:R329" si="72">+SUM(E321:Q321)</f>
        <v>63252</v>
      </c>
      <c r="S321" s="118">
        <v>263</v>
      </c>
      <c r="T321" s="118">
        <f t="shared" ref="T321:T326" si="73">+SUM(R321:S321)</f>
        <v>63515</v>
      </c>
    </row>
    <row r="322" spans="1:20" x14ac:dyDescent="0.2">
      <c r="A322" s="532" t="s">
        <v>2164</v>
      </c>
      <c r="B322" s="532" t="s">
        <v>2163</v>
      </c>
      <c r="D322" s="129" t="str">
        <f>IF([1]RENAME!$H$3=1,B322,A322)</f>
        <v>Integralização de capital</v>
      </c>
      <c r="E322" s="118">
        <v>0</v>
      </c>
      <c r="F322" s="118">
        <v>0</v>
      </c>
      <c r="G322" s="121" t="s">
        <v>160</v>
      </c>
      <c r="H322" s="118">
        <v>0</v>
      </c>
      <c r="I322" s="118">
        <v>0</v>
      </c>
      <c r="J322" s="118">
        <v>0</v>
      </c>
      <c r="K322" s="118">
        <v>0</v>
      </c>
      <c r="L322" s="118" t="s">
        <v>160</v>
      </c>
      <c r="M322" s="118">
        <v>0</v>
      </c>
      <c r="N322" s="118">
        <v>0</v>
      </c>
      <c r="O322" s="118">
        <v>0</v>
      </c>
      <c r="P322" s="118">
        <v>0</v>
      </c>
      <c r="Q322" s="118">
        <v>0</v>
      </c>
      <c r="R322" s="118">
        <f t="shared" si="72"/>
        <v>0</v>
      </c>
      <c r="S322" s="118">
        <v>0</v>
      </c>
      <c r="T322" s="118">
        <f t="shared" si="73"/>
        <v>0</v>
      </c>
    </row>
    <row r="323" spans="1:20" x14ac:dyDescent="0.2">
      <c r="A323" s="532" t="s">
        <v>1599</v>
      </c>
      <c r="B323" s="532" t="s">
        <v>1600</v>
      </c>
      <c r="D323" s="129" t="str">
        <f>IF([1]RENAME!$H$3=1,B323,A323)</f>
        <v>Incentivos fiscais</v>
      </c>
      <c r="E323" s="118">
        <v>0</v>
      </c>
      <c r="F323" s="118">
        <v>0</v>
      </c>
      <c r="G323" s="121" t="s">
        <v>160</v>
      </c>
      <c r="H323" s="118">
        <v>0</v>
      </c>
      <c r="I323" s="118">
        <v>0</v>
      </c>
      <c r="J323" s="118">
        <v>0</v>
      </c>
      <c r="K323" s="118">
        <v>0</v>
      </c>
      <c r="L323" s="118" t="s">
        <v>160</v>
      </c>
      <c r="M323" s="118">
        <v>0</v>
      </c>
      <c r="N323" s="118">
        <v>0</v>
      </c>
      <c r="O323" s="118">
        <v>0</v>
      </c>
      <c r="P323" s="118">
        <v>0</v>
      </c>
      <c r="Q323" s="118">
        <v>0</v>
      </c>
      <c r="R323" s="118">
        <f t="shared" si="72"/>
        <v>0</v>
      </c>
      <c r="S323" s="118">
        <v>0</v>
      </c>
      <c r="T323" s="118">
        <f t="shared" si="73"/>
        <v>0</v>
      </c>
    </row>
    <row r="324" spans="1:20" x14ac:dyDescent="0.2">
      <c r="A324" s="532" t="s">
        <v>1280</v>
      </c>
      <c r="B324" s="532" t="s">
        <v>1281</v>
      </c>
      <c r="D324" s="129" t="str">
        <f>IF([1]RENAME!$H$3=1,B324,A324)</f>
        <v>Dividendos e juros sobre capital próprio</v>
      </c>
      <c r="E324" s="118">
        <v>0</v>
      </c>
      <c r="F324" s="118">
        <v>0</v>
      </c>
      <c r="G324" s="121" t="s">
        <v>160</v>
      </c>
      <c r="H324" s="118">
        <v>0</v>
      </c>
      <c r="I324" s="118">
        <v>0</v>
      </c>
      <c r="J324" s="118">
        <v>0</v>
      </c>
      <c r="K324" s="118">
        <v>0</v>
      </c>
      <c r="L324" s="118" t="s">
        <v>160</v>
      </c>
      <c r="M324" s="118">
        <v>0</v>
      </c>
      <c r="N324" s="118">
        <v>-47475</v>
      </c>
      <c r="O324" s="118">
        <v>0</v>
      </c>
      <c r="P324" s="118">
        <v>0</v>
      </c>
      <c r="Q324" s="118">
        <v>0</v>
      </c>
      <c r="R324" s="118">
        <f t="shared" si="72"/>
        <v>-47475</v>
      </c>
      <c r="S324" s="118">
        <v>-238</v>
      </c>
      <c r="T324" s="118">
        <f t="shared" si="73"/>
        <v>-47713</v>
      </c>
    </row>
    <row r="325" spans="1:20" x14ac:dyDescent="0.2">
      <c r="A325" s="532" t="s">
        <v>1211</v>
      </c>
      <c r="B325" s="532" t="s">
        <v>1230</v>
      </c>
      <c r="D325" s="129" t="str">
        <f>IF([1]RENAME!$H$3=1,B325,A325)</f>
        <v>Constituição de Reservas</v>
      </c>
      <c r="E325" s="118" t="s">
        <v>160</v>
      </c>
      <c r="F325" s="118" t="s">
        <v>160</v>
      </c>
      <c r="G325" s="121" t="s">
        <v>160</v>
      </c>
      <c r="H325" s="118" t="s">
        <v>160</v>
      </c>
      <c r="I325" s="118" t="s">
        <v>160</v>
      </c>
      <c r="J325" s="118" t="s">
        <v>160</v>
      </c>
      <c r="K325" s="118">
        <v>0</v>
      </c>
      <c r="L325" s="118" t="s">
        <v>160</v>
      </c>
      <c r="M325" s="118">
        <v>0</v>
      </c>
      <c r="N325" s="118">
        <v>0</v>
      </c>
      <c r="O325" s="118" t="s">
        <v>160</v>
      </c>
      <c r="P325" s="118" t="s">
        <v>160</v>
      </c>
      <c r="Q325" s="118">
        <v>0</v>
      </c>
      <c r="R325" s="118">
        <f t="shared" si="72"/>
        <v>0</v>
      </c>
      <c r="S325" s="118">
        <v>0</v>
      </c>
      <c r="T325" s="118">
        <f t="shared" si="73"/>
        <v>0</v>
      </c>
    </row>
    <row r="326" spans="1:20" x14ac:dyDescent="0.2">
      <c r="A326" s="532" t="s">
        <v>1843</v>
      </c>
      <c r="B326" s="532" t="s">
        <v>1848</v>
      </c>
      <c r="D326" s="129" t="str">
        <f>IF([1]RENAME!$H$3=1,B326,A326)</f>
        <v>Constituição de passivo atuarial</v>
      </c>
      <c r="E326" s="118" t="s">
        <v>160</v>
      </c>
      <c r="F326" s="118" t="s">
        <v>160</v>
      </c>
      <c r="G326" s="121" t="s">
        <v>160</v>
      </c>
      <c r="H326" s="118" t="s">
        <v>160</v>
      </c>
      <c r="I326" s="118" t="s">
        <v>160</v>
      </c>
      <c r="J326" s="118" t="s">
        <v>160</v>
      </c>
      <c r="K326" s="118" t="s">
        <v>160</v>
      </c>
      <c r="L326" s="118" t="s">
        <v>160</v>
      </c>
      <c r="M326" s="118" t="s">
        <v>160</v>
      </c>
      <c r="N326" s="118" t="s">
        <v>160</v>
      </c>
      <c r="O326" s="118" t="s">
        <v>160</v>
      </c>
      <c r="P326" s="118">
        <v>0</v>
      </c>
      <c r="Q326" s="118" t="s">
        <v>160</v>
      </c>
      <c r="R326" s="118">
        <f t="shared" si="72"/>
        <v>0</v>
      </c>
      <c r="S326" s="118">
        <v>0</v>
      </c>
      <c r="T326" s="118">
        <f t="shared" si="73"/>
        <v>0</v>
      </c>
    </row>
    <row r="327" spans="1:20" x14ac:dyDescent="0.2">
      <c r="A327" s="532" t="s">
        <v>1844</v>
      </c>
      <c r="B327" s="532" t="s">
        <v>1849</v>
      </c>
      <c r="D327" s="129" t="str">
        <f>IF([1]RENAME!$H$3=1,B327,A327)</f>
        <v>Tributos diferidos sobre passivo atuarial</v>
      </c>
      <c r="E327" s="118" t="s">
        <v>160</v>
      </c>
      <c r="F327" s="118" t="s">
        <v>160</v>
      </c>
      <c r="G327" s="121" t="s">
        <v>160</v>
      </c>
      <c r="H327" s="118" t="s">
        <v>160</v>
      </c>
      <c r="I327" s="118" t="s">
        <v>160</v>
      </c>
      <c r="J327" s="118" t="s">
        <v>160</v>
      </c>
      <c r="K327" s="118" t="s">
        <v>160</v>
      </c>
      <c r="L327" s="118" t="s">
        <v>160</v>
      </c>
      <c r="M327" s="118" t="s">
        <v>160</v>
      </c>
      <c r="N327" s="118" t="s">
        <v>160</v>
      </c>
      <c r="O327" s="118" t="s">
        <v>160</v>
      </c>
      <c r="P327" s="118">
        <v>0</v>
      </c>
      <c r="Q327" s="118" t="s">
        <v>160</v>
      </c>
      <c r="R327" s="118">
        <f t="shared" si="72"/>
        <v>0</v>
      </c>
      <c r="S327" s="118" t="s">
        <v>160</v>
      </c>
      <c r="T327" s="118">
        <f>+SUM(R327:S327)</f>
        <v>0</v>
      </c>
    </row>
    <row r="328" spans="1:20" x14ac:dyDescent="0.2">
      <c r="A328" s="532" t="s">
        <v>1940</v>
      </c>
      <c r="B328" s="532" t="s">
        <v>1941</v>
      </c>
      <c r="D328" s="129" t="str">
        <f>IF([1]RENAME!$H$3=1,B328,A328)</f>
        <v>Pagamento de dividendos adicionais</v>
      </c>
      <c r="E328" s="118" t="s">
        <v>160</v>
      </c>
      <c r="F328" s="118" t="s">
        <v>160</v>
      </c>
      <c r="G328" s="121" t="s">
        <v>160</v>
      </c>
      <c r="H328" s="118" t="s">
        <v>160</v>
      </c>
      <c r="I328" s="118" t="s">
        <v>160</v>
      </c>
      <c r="J328" s="118" t="s">
        <v>160</v>
      </c>
      <c r="K328" s="118" t="s">
        <v>160</v>
      </c>
      <c r="L328" s="118" t="s">
        <v>160</v>
      </c>
      <c r="M328" s="118" t="s">
        <v>160</v>
      </c>
      <c r="N328" s="118">
        <v>0</v>
      </c>
      <c r="O328" s="118" t="s">
        <v>160</v>
      </c>
      <c r="P328" s="118" t="s">
        <v>160</v>
      </c>
      <c r="Q328" s="118" t="s">
        <v>160</v>
      </c>
      <c r="R328" s="118">
        <f t="shared" si="72"/>
        <v>0</v>
      </c>
      <c r="S328" s="118" t="s">
        <v>160</v>
      </c>
      <c r="T328" s="118">
        <f>+SUM(R328:S328)</f>
        <v>0</v>
      </c>
    </row>
    <row r="329" spans="1:20" x14ac:dyDescent="0.2">
      <c r="A329" s="532" t="s">
        <v>1622</v>
      </c>
      <c r="B329" s="532" t="s">
        <v>1623</v>
      </c>
      <c r="D329" s="129" t="str">
        <f>IF([1]RENAME!$H$3=1,B329,A329)</f>
        <v>Outros resultados abrangentes</v>
      </c>
      <c r="E329" s="118">
        <v>0</v>
      </c>
      <c r="F329" s="118">
        <v>0</v>
      </c>
      <c r="G329" s="121" t="s">
        <v>160</v>
      </c>
      <c r="H329" s="118">
        <v>0</v>
      </c>
      <c r="I329" s="118">
        <v>0</v>
      </c>
      <c r="J329" s="118">
        <v>0</v>
      </c>
      <c r="K329" s="118">
        <v>0</v>
      </c>
      <c r="L329" s="118" t="s">
        <v>160</v>
      </c>
      <c r="M329" s="118">
        <v>0</v>
      </c>
      <c r="N329" s="118">
        <v>0</v>
      </c>
      <c r="O329" s="118">
        <v>0</v>
      </c>
      <c r="P329" s="118">
        <v>0</v>
      </c>
      <c r="Q329" s="118">
        <v>0</v>
      </c>
      <c r="R329" s="118">
        <f t="shared" si="72"/>
        <v>0</v>
      </c>
      <c r="S329" s="118">
        <v>0</v>
      </c>
      <c r="T329" s="118">
        <f>+SUM(R329:S329)</f>
        <v>0</v>
      </c>
    </row>
    <row r="330" spans="1:20" x14ac:dyDescent="0.2">
      <c r="A330" s="532" t="s">
        <v>2177</v>
      </c>
      <c r="B330" s="532" t="s">
        <v>2176</v>
      </c>
      <c r="D330" s="126" t="str">
        <f>IF([1]RENAME!$H$3=1,B330,A330)</f>
        <v>Em 30 de junho de 2024</v>
      </c>
      <c r="E330" s="120">
        <f t="shared" ref="E330:T330" si="74">SUM(E319:E329)</f>
        <v>438839</v>
      </c>
      <c r="F330" s="120">
        <f t="shared" si="74"/>
        <v>0</v>
      </c>
      <c r="G330" s="120" t="s">
        <v>160</v>
      </c>
      <c r="H330" s="120">
        <f t="shared" si="74"/>
        <v>0</v>
      </c>
      <c r="I330" s="120">
        <f t="shared" si="74"/>
        <v>0</v>
      </c>
      <c r="J330" s="120">
        <f t="shared" si="74"/>
        <v>0</v>
      </c>
      <c r="K330" s="120">
        <f t="shared" si="74"/>
        <v>55016.3</v>
      </c>
      <c r="L330" s="120" t="s">
        <v>160</v>
      </c>
      <c r="M330" s="120">
        <f t="shared" si="74"/>
        <v>296016.08600000001</v>
      </c>
      <c r="N330" s="120">
        <f t="shared" si="74"/>
        <v>0</v>
      </c>
      <c r="O330" s="120">
        <f t="shared" si="74"/>
        <v>-343</v>
      </c>
      <c r="P330" s="120">
        <f t="shared" si="74"/>
        <v>-1833</v>
      </c>
      <c r="Q330" s="120">
        <f t="shared" si="74"/>
        <v>100535</v>
      </c>
      <c r="R330" s="120">
        <f t="shared" si="74"/>
        <v>888230.38599999994</v>
      </c>
      <c r="S330" s="120">
        <f t="shared" si="74"/>
        <v>1632</v>
      </c>
      <c r="T330" s="120">
        <f t="shared" si="74"/>
        <v>889862.38599999994</v>
      </c>
    </row>
    <row r="332" spans="1:20" x14ac:dyDescent="0.2">
      <c r="A332" s="532" t="s">
        <v>2101</v>
      </c>
      <c r="B332" s="532" t="s">
        <v>2102</v>
      </c>
      <c r="D332" s="129" t="str">
        <f>IF([1]RENAME!$H$3=1,B332,A332)</f>
        <v>Resultados abrangentes</v>
      </c>
      <c r="E332" s="118" t="s">
        <v>160</v>
      </c>
      <c r="F332" s="118" t="s">
        <v>160</v>
      </c>
      <c r="G332" s="121" t="s">
        <v>160</v>
      </c>
      <c r="H332" s="118" t="s">
        <v>160</v>
      </c>
      <c r="I332" s="118" t="s">
        <v>160</v>
      </c>
      <c r="J332" s="118" t="s">
        <v>160</v>
      </c>
      <c r="K332" s="118" t="s">
        <v>160</v>
      </c>
      <c r="L332" s="118" t="s">
        <v>160</v>
      </c>
      <c r="M332" s="118" t="s">
        <v>160</v>
      </c>
      <c r="N332" s="118" t="s">
        <v>160</v>
      </c>
      <c r="O332" s="118" t="s">
        <v>160</v>
      </c>
      <c r="P332" s="118" t="s">
        <v>160</v>
      </c>
      <c r="Q332" s="118">
        <v>84221</v>
      </c>
      <c r="R332" s="118">
        <f t="shared" ref="R332:R340" si="75">+SUM(E332:Q332)</f>
        <v>84221</v>
      </c>
      <c r="S332" s="118">
        <v>224</v>
      </c>
      <c r="T332" s="118">
        <f t="shared" ref="T332:T337" si="76">+SUM(R332:S332)</f>
        <v>84445</v>
      </c>
    </row>
    <row r="333" spans="1:20" x14ac:dyDescent="0.2">
      <c r="A333" s="532" t="s">
        <v>2164</v>
      </c>
      <c r="B333" s="532" t="s">
        <v>2163</v>
      </c>
      <c r="D333" s="129" t="str">
        <f>IF([1]RENAME!$H$3=1,B333,A333)</f>
        <v>Integralização de capital</v>
      </c>
      <c r="E333" s="118" t="s">
        <v>160</v>
      </c>
      <c r="F333" s="118" t="s">
        <v>160</v>
      </c>
      <c r="G333" s="121" t="s">
        <v>160</v>
      </c>
      <c r="H333" s="118" t="s">
        <v>160</v>
      </c>
      <c r="I333" s="118" t="s">
        <v>160</v>
      </c>
      <c r="J333" s="118" t="s">
        <v>160</v>
      </c>
      <c r="K333" s="118" t="s">
        <v>160</v>
      </c>
      <c r="L333" s="118" t="s">
        <v>160</v>
      </c>
      <c r="M333" s="118" t="s">
        <v>160</v>
      </c>
      <c r="N333" s="118" t="s">
        <v>160</v>
      </c>
      <c r="O333" s="118" t="s">
        <v>160</v>
      </c>
      <c r="P333" s="118" t="s">
        <v>160</v>
      </c>
      <c r="Q333" s="118" t="s">
        <v>160</v>
      </c>
      <c r="R333" s="118">
        <f t="shared" si="75"/>
        <v>0</v>
      </c>
      <c r="S333" s="118" t="s">
        <v>160</v>
      </c>
      <c r="T333" s="118">
        <f t="shared" si="76"/>
        <v>0</v>
      </c>
    </row>
    <row r="334" spans="1:20" x14ac:dyDescent="0.2">
      <c r="A334" s="532" t="s">
        <v>1599</v>
      </c>
      <c r="B334" s="532" t="s">
        <v>1600</v>
      </c>
      <c r="D334" s="129" t="str">
        <f>IF([1]RENAME!$H$3=1,B334,A334)</f>
        <v>Incentivos fiscais</v>
      </c>
      <c r="E334" s="118" t="s">
        <v>160</v>
      </c>
      <c r="F334" s="118" t="s">
        <v>160</v>
      </c>
      <c r="G334" s="121" t="s">
        <v>160</v>
      </c>
      <c r="H334" s="118" t="s">
        <v>160</v>
      </c>
      <c r="I334" s="118" t="s">
        <v>160</v>
      </c>
      <c r="J334" s="118" t="s">
        <v>160</v>
      </c>
      <c r="K334" s="118" t="s">
        <v>160</v>
      </c>
      <c r="L334" s="118" t="s">
        <v>160</v>
      </c>
      <c r="M334" s="118" t="s">
        <v>160</v>
      </c>
      <c r="N334" s="118" t="s">
        <v>160</v>
      </c>
      <c r="O334" s="118" t="s">
        <v>160</v>
      </c>
      <c r="P334" s="118" t="s">
        <v>160</v>
      </c>
      <c r="Q334" s="118" t="s">
        <v>160</v>
      </c>
      <c r="R334" s="118">
        <f t="shared" si="75"/>
        <v>0</v>
      </c>
      <c r="S334" s="118" t="s">
        <v>160</v>
      </c>
      <c r="T334" s="118">
        <f t="shared" si="76"/>
        <v>0</v>
      </c>
    </row>
    <row r="335" spans="1:20" x14ac:dyDescent="0.2">
      <c r="A335" s="532" t="s">
        <v>1280</v>
      </c>
      <c r="B335" s="532" t="s">
        <v>1281</v>
      </c>
      <c r="D335" s="129" t="str">
        <f>IF([1]RENAME!$H$3=1,B335,A335)</f>
        <v>Dividendos e juros sobre capital próprio</v>
      </c>
      <c r="E335" s="118" t="s">
        <v>160</v>
      </c>
      <c r="F335" s="118" t="s">
        <v>160</v>
      </c>
      <c r="G335" s="121" t="s">
        <v>160</v>
      </c>
      <c r="H335" s="118" t="s">
        <v>160</v>
      </c>
      <c r="I335" s="118" t="s">
        <v>160</v>
      </c>
      <c r="J335" s="118" t="s">
        <v>160</v>
      </c>
      <c r="K335" s="118" t="s">
        <v>160</v>
      </c>
      <c r="L335" s="118" t="s">
        <v>160</v>
      </c>
      <c r="M335" s="118">
        <v>-80444</v>
      </c>
      <c r="N335" s="118">
        <v>0</v>
      </c>
      <c r="O335" s="118" t="s">
        <v>160</v>
      </c>
      <c r="P335" s="118" t="s">
        <v>160</v>
      </c>
      <c r="Q335" s="118" t="s">
        <v>160</v>
      </c>
      <c r="R335" s="118">
        <f t="shared" si="75"/>
        <v>-80444</v>
      </c>
      <c r="S335" s="118">
        <v>0</v>
      </c>
      <c r="T335" s="118">
        <f t="shared" si="76"/>
        <v>-80444</v>
      </c>
    </row>
    <row r="336" spans="1:20" x14ac:dyDescent="0.2">
      <c r="A336" s="532" t="s">
        <v>1211</v>
      </c>
      <c r="B336" s="532" t="s">
        <v>1230</v>
      </c>
      <c r="D336" s="129" t="str">
        <f>IF([1]RENAME!$H$3=1,B336,A336)</f>
        <v>Constituição de Reservas</v>
      </c>
      <c r="E336" s="118" t="s">
        <v>160</v>
      </c>
      <c r="F336" s="118" t="s">
        <v>160</v>
      </c>
      <c r="G336" s="121" t="s">
        <v>160</v>
      </c>
      <c r="H336" s="118" t="s">
        <v>160</v>
      </c>
      <c r="I336" s="118" t="s">
        <v>160</v>
      </c>
      <c r="J336" s="118" t="s">
        <v>160</v>
      </c>
      <c r="K336" s="118" t="s">
        <v>160</v>
      </c>
      <c r="L336" s="118" t="s">
        <v>160</v>
      </c>
      <c r="M336" s="118" t="s">
        <v>160</v>
      </c>
      <c r="N336" s="118" t="s">
        <v>160</v>
      </c>
      <c r="O336" s="118" t="s">
        <v>160</v>
      </c>
      <c r="P336" s="118" t="s">
        <v>160</v>
      </c>
      <c r="Q336" s="118" t="s">
        <v>160</v>
      </c>
      <c r="R336" s="118">
        <f t="shared" si="75"/>
        <v>0</v>
      </c>
      <c r="S336" s="118" t="s">
        <v>160</v>
      </c>
      <c r="T336" s="118">
        <f t="shared" si="76"/>
        <v>0</v>
      </c>
    </row>
    <row r="337" spans="1:20" x14ac:dyDescent="0.2">
      <c r="A337" s="532" t="s">
        <v>1843</v>
      </c>
      <c r="B337" s="532" t="s">
        <v>1848</v>
      </c>
      <c r="D337" s="129" t="str">
        <f>IF([1]RENAME!$H$3=1,B337,A337)</f>
        <v>Constituição de passivo atuarial</v>
      </c>
      <c r="E337" s="118" t="s">
        <v>160</v>
      </c>
      <c r="F337" s="118" t="s">
        <v>160</v>
      </c>
      <c r="G337" s="121" t="s">
        <v>160</v>
      </c>
      <c r="H337" s="118" t="s">
        <v>160</v>
      </c>
      <c r="I337" s="118" t="s">
        <v>160</v>
      </c>
      <c r="J337" s="118" t="s">
        <v>160</v>
      </c>
      <c r="K337" s="118" t="s">
        <v>160</v>
      </c>
      <c r="L337" s="118" t="s">
        <v>160</v>
      </c>
      <c r="M337" s="118" t="s">
        <v>160</v>
      </c>
      <c r="N337" s="118" t="s">
        <v>160</v>
      </c>
      <c r="O337" s="118" t="s">
        <v>160</v>
      </c>
      <c r="P337" s="118" t="s">
        <v>160</v>
      </c>
      <c r="Q337" s="118" t="s">
        <v>160</v>
      </c>
      <c r="R337" s="118">
        <f t="shared" si="75"/>
        <v>0</v>
      </c>
      <c r="S337" s="118" t="s">
        <v>160</v>
      </c>
      <c r="T337" s="118">
        <f t="shared" si="76"/>
        <v>0</v>
      </c>
    </row>
    <row r="338" spans="1:20" x14ac:dyDescent="0.2">
      <c r="A338" s="532" t="s">
        <v>1844</v>
      </c>
      <c r="B338" s="532" t="s">
        <v>1849</v>
      </c>
      <c r="D338" s="129" t="str">
        <f>IF([1]RENAME!$H$3=1,B338,A338)</f>
        <v>Tributos diferidos sobre passivo atuarial</v>
      </c>
      <c r="E338" s="118" t="s">
        <v>160</v>
      </c>
      <c r="F338" s="118" t="s">
        <v>160</v>
      </c>
      <c r="G338" s="121" t="s">
        <v>160</v>
      </c>
      <c r="H338" s="118" t="s">
        <v>160</v>
      </c>
      <c r="I338" s="118" t="s">
        <v>160</v>
      </c>
      <c r="J338" s="118" t="s">
        <v>160</v>
      </c>
      <c r="K338" s="118" t="s">
        <v>160</v>
      </c>
      <c r="L338" s="118" t="s">
        <v>160</v>
      </c>
      <c r="M338" s="118" t="s">
        <v>160</v>
      </c>
      <c r="N338" s="118" t="s">
        <v>160</v>
      </c>
      <c r="O338" s="118" t="s">
        <v>160</v>
      </c>
      <c r="P338" s="118" t="s">
        <v>160</v>
      </c>
      <c r="Q338" s="118" t="s">
        <v>160</v>
      </c>
      <c r="R338" s="118">
        <f t="shared" si="75"/>
        <v>0</v>
      </c>
      <c r="S338" s="118" t="s">
        <v>160</v>
      </c>
      <c r="T338" s="118">
        <f>+SUM(R338:S338)</f>
        <v>0</v>
      </c>
    </row>
    <row r="339" spans="1:20" x14ac:dyDescent="0.2">
      <c r="A339" s="532" t="s">
        <v>1940</v>
      </c>
      <c r="B339" s="532" t="s">
        <v>1941</v>
      </c>
      <c r="D339" s="129" t="str">
        <f>IF([1]RENAME!$H$3=1,B339,A339)</f>
        <v>Pagamento de dividendos adicionais</v>
      </c>
      <c r="E339" s="118" t="s">
        <v>160</v>
      </c>
      <c r="F339" s="118" t="s">
        <v>160</v>
      </c>
      <c r="G339" s="121" t="s">
        <v>160</v>
      </c>
      <c r="H339" s="118" t="s">
        <v>160</v>
      </c>
      <c r="I339" s="118" t="s">
        <v>160</v>
      </c>
      <c r="J339" s="118" t="s">
        <v>160</v>
      </c>
      <c r="K339" s="118" t="s">
        <v>160</v>
      </c>
      <c r="L339" s="118" t="s">
        <v>160</v>
      </c>
      <c r="M339" s="118" t="s">
        <v>160</v>
      </c>
      <c r="N339" s="118" t="s">
        <v>160</v>
      </c>
      <c r="O339" s="118" t="s">
        <v>160</v>
      </c>
      <c r="P339" s="118" t="s">
        <v>160</v>
      </c>
      <c r="Q339" s="118" t="s">
        <v>160</v>
      </c>
      <c r="R339" s="118">
        <f t="shared" si="75"/>
        <v>0</v>
      </c>
      <c r="S339" s="118" t="s">
        <v>160</v>
      </c>
      <c r="T339" s="118">
        <f>+SUM(R339:S339)</f>
        <v>0</v>
      </c>
    </row>
    <row r="340" spans="1:20" x14ac:dyDescent="0.2">
      <c r="A340" s="532" t="s">
        <v>1622</v>
      </c>
      <c r="B340" s="532" t="s">
        <v>1623</v>
      </c>
      <c r="D340" s="129" t="str">
        <f>IF([1]RENAME!$H$3=1,B340,A340)</f>
        <v>Outros resultados abrangentes</v>
      </c>
      <c r="E340" s="118" t="s">
        <v>160</v>
      </c>
      <c r="F340" s="118" t="s">
        <v>160</v>
      </c>
      <c r="G340" s="121" t="s">
        <v>160</v>
      </c>
      <c r="H340" s="118" t="s">
        <v>160</v>
      </c>
      <c r="I340" s="118" t="s">
        <v>160</v>
      </c>
      <c r="J340" s="118" t="s">
        <v>160</v>
      </c>
      <c r="K340" s="118" t="s">
        <v>160</v>
      </c>
      <c r="L340" s="118" t="s">
        <v>160</v>
      </c>
      <c r="M340" s="118" t="s">
        <v>160</v>
      </c>
      <c r="N340" s="118" t="s">
        <v>160</v>
      </c>
      <c r="O340" s="118" t="s">
        <v>160</v>
      </c>
      <c r="P340" s="118" t="s">
        <v>160</v>
      </c>
      <c r="Q340" s="118" t="s">
        <v>160</v>
      </c>
      <c r="R340" s="118">
        <f t="shared" si="75"/>
        <v>0</v>
      </c>
      <c r="S340" s="118" t="s">
        <v>160</v>
      </c>
      <c r="T340" s="118">
        <f>+SUM(R340:S340)</f>
        <v>0</v>
      </c>
    </row>
    <row r="341" spans="1:20" x14ac:dyDescent="0.2">
      <c r="A341" s="532" t="s">
        <v>2203</v>
      </c>
      <c r="B341" s="532" t="s">
        <v>2204</v>
      </c>
      <c r="D341" s="126" t="str">
        <f>IF([1]RENAME!$H$3=1,B341,A341)</f>
        <v>Em 30 de Setembro de 2024</v>
      </c>
      <c r="E341" s="120">
        <f t="shared" ref="E341:T341" si="77">SUM(E330:E340)</f>
        <v>438839</v>
      </c>
      <c r="F341" s="120">
        <f t="shared" si="77"/>
        <v>0</v>
      </c>
      <c r="G341" s="120" t="s">
        <v>160</v>
      </c>
      <c r="H341" s="120">
        <f t="shared" si="77"/>
        <v>0</v>
      </c>
      <c r="I341" s="120">
        <f t="shared" si="77"/>
        <v>0</v>
      </c>
      <c r="J341" s="120">
        <f t="shared" si="77"/>
        <v>0</v>
      </c>
      <c r="K341" s="120">
        <f t="shared" si="77"/>
        <v>55016.3</v>
      </c>
      <c r="L341" s="120" t="s">
        <v>160</v>
      </c>
      <c r="M341" s="120">
        <f t="shared" si="77"/>
        <v>215572.08600000001</v>
      </c>
      <c r="N341" s="120">
        <f t="shared" si="77"/>
        <v>0</v>
      </c>
      <c r="O341" s="120">
        <f t="shared" si="77"/>
        <v>-343</v>
      </c>
      <c r="P341" s="120">
        <f t="shared" si="77"/>
        <v>-1833</v>
      </c>
      <c r="Q341" s="120">
        <f t="shared" si="77"/>
        <v>184756</v>
      </c>
      <c r="R341" s="120">
        <f t="shared" si="77"/>
        <v>892007.38599999994</v>
      </c>
      <c r="S341" s="120">
        <f t="shared" si="77"/>
        <v>1856</v>
      </c>
      <c r="T341" s="120">
        <f t="shared" si="77"/>
        <v>893863.38599999994</v>
      </c>
    </row>
    <row r="343" spans="1:20" x14ac:dyDescent="0.2">
      <c r="A343" s="532" t="s">
        <v>2101</v>
      </c>
      <c r="B343" s="532" t="s">
        <v>2102</v>
      </c>
      <c r="D343" s="129" t="str">
        <f>IF([1]RENAME!$H$3=1,B343,A343)</f>
        <v>Resultados abrangentes</v>
      </c>
      <c r="E343" s="118" t="s">
        <v>160</v>
      </c>
      <c r="F343" s="118" t="s">
        <v>160</v>
      </c>
      <c r="G343" s="118" t="s">
        <v>160</v>
      </c>
      <c r="H343" s="118" t="s">
        <v>160</v>
      </c>
      <c r="I343" s="118" t="s">
        <v>160</v>
      </c>
      <c r="J343" s="118" t="s">
        <v>160</v>
      </c>
      <c r="K343" s="118" t="s">
        <v>160</v>
      </c>
      <c r="L343" s="118" t="s">
        <v>160</v>
      </c>
      <c r="M343" s="118" t="s">
        <v>160</v>
      </c>
      <c r="N343" s="118" t="s">
        <v>160</v>
      </c>
      <c r="O343" s="118" t="s">
        <v>160</v>
      </c>
      <c r="P343" s="118" t="s">
        <v>160</v>
      </c>
      <c r="Q343" s="118">
        <v>85061</v>
      </c>
      <c r="R343" s="118">
        <v>85061</v>
      </c>
      <c r="S343" s="118">
        <v>76</v>
      </c>
      <c r="T343" s="118">
        <v>85137</v>
      </c>
    </row>
    <row r="344" spans="1:20" x14ac:dyDescent="0.2">
      <c r="A344" s="532" t="s">
        <v>1280</v>
      </c>
      <c r="B344" s="532" t="s">
        <v>1281</v>
      </c>
      <c r="D344" s="129" t="str">
        <f>IF([1]RENAME!$H$3=1,B344,A344)</f>
        <v>Dividendos e juros sobre capital próprio</v>
      </c>
      <c r="E344" s="118" t="s">
        <v>160</v>
      </c>
      <c r="F344" s="118" t="s">
        <v>160</v>
      </c>
      <c r="G344" s="118" t="s">
        <v>160</v>
      </c>
      <c r="H344" s="118" t="s">
        <v>160</v>
      </c>
      <c r="I344" s="118" t="s">
        <v>160</v>
      </c>
      <c r="J344" s="118" t="s">
        <v>160</v>
      </c>
      <c r="K344" s="118" t="s">
        <v>160</v>
      </c>
      <c r="L344" s="118" t="s">
        <v>160</v>
      </c>
      <c r="M344" s="118">
        <v>-50772</v>
      </c>
      <c r="N344" s="118">
        <v>38903</v>
      </c>
      <c r="O344" s="118" t="s">
        <v>160</v>
      </c>
      <c r="P344" s="118" t="s">
        <v>160</v>
      </c>
      <c r="Q344" s="118">
        <v>-38903</v>
      </c>
      <c r="R344" s="118">
        <v>-50772</v>
      </c>
      <c r="S344" s="118">
        <v>0</v>
      </c>
      <c r="T344" s="118">
        <v>-50772</v>
      </c>
    </row>
    <row r="345" spans="1:20" x14ac:dyDescent="0.2">
      <c r="A345" s="532" t="s">
        <v>1843</v>
      </c>
      <c r="B345" s="532" t="s">
        <v>1848</v>
      </c>
      <c r="D345" s="129" t="str">
        <f>IF([1]RENAME!$H$3=1,B345,A345)</f>
        <v>Constituição de passivo atuarial</v>
      </c>
      <c r="E345" s="118" t="s">
        <v>160</v>
      </c>
      <c r="F345" s="118" t="s">
        <v>160</v>
      </c>
      <c r="G345" s="121" t="s">
        <v>160</v>
      </c>
      <c r="H345" s="118" t="s">
        <v>160</v>
      </c>
      <c r="I345" s="118" t="s">
        <v>160</v>
      </c>
      <c r="J345" s="118" t="s">
        <v>160</v>
      </c>
      <c r="K345" s="118" t="s">
        <v>160</v>
      </c>
      <c r="L345" s="118" t="s">
        <v>160</v>
      </c>
      <c r="M345" s="118" t="s">
        <v>160</v>
      </c>
      <c r="N345" s="118" t="s">
        <v>160</v>
      </c>
      <c r="O345" s="118" t="s">
        <v>160</v>
      </c>
      <c r="P345" s="118">
        <v>619</v>
      </c>
      <c r="Q345" s="118" t="s">
        <v>160</v>
      </c>
      <c r="R345" s="118">
        <v>619</v>
      </c>
      <c r="S345" s="118" t="s">
        <v>160</v>
      </c>
      <c r="T345" s="118">
        <v>619</v>
      </c>
    </row>
    <row r="346" spans="1:20" x14ac:dyDescent="0.2">
      <c r="A346" s="532" t="s">
        <v>1844</v>
      </c>
      <c r="B346" s="532" t="s">
        <v>1849</v>
      </c>
      <c r="D346" s="129" t="str">
        <f>IF([1]RENAME!$H$3=1,B346,A346)</f>
        <v>Tributos diferidos sobre passivo atuarial</v>
      </c>
      <c r="E346" s="118" t="s">
        <v>160</v>
      </c>
      <c r="F346" s="118" t="s">
        <v>160</v>
      </c>
      <c r="G346" s="121" t="s">
        <v>160</v>
      </c>
      <c r="H346" s="118" t="s">
        <v>160</v>
      </c>
      <c r="I346" s="118" t="s">
        <v>160</v>
      </c>
      <c r="J346" s="118" t="s">
        <v>160</v>
      </c>
      <c r="K346" s="118" t="s">
        <v>160</v>
      </c>
      <c r="L346" s="118" t="s">
        <v>160</v>
      </c>
      <c r="M346" s="118" t="s">
        <v>160</v>
      </c>
      <c r="N346" s="118" t="s">
        <v>160</v>
      </c>
      <c r="O346" s="118" t="s">
        <v>160</v>
      </c>
      <c r="P346" s="118">
        <v>-210</v>
      </c>
      <c r="Q346" s="118" t="s">
        <v>160</v>
      </c>
      <c r="R346" s="118">
        <v>-210</v>
      </c>
      <c r="S346" s="118" t="s">
        <v>160</v>
      </c>
      <c r="T346" s="118">
        <v>-210</v>
      </c>
    </row>
    <row r="347" spans="1:20" x14ac:dyDescent="0.2">
      <c r="A347" s="532" t="s">
        <v>1211</v>
      </c>
      <c r="B347" s="532" t="s">
        <v>1230</v>
      </c>
      <c r="D347" s="129" t="str">
        <f>IF([1]RENAME!$H$3=1,B347,A347)</f>
        <v>Constituição de Reservas</v>
      </c>
      <c r="E347" s="118" t="s">
        <v>160</v>
      </c>
      <c r="F347" s="118" t="s">
        <v>160</v>
      </c>
      <c r="G347" s="118" t="s">
        <v>160</v>
      </c>
      <c r="H347" s="118" t="s">
        <v>160</v>
      </c>
      <c r="I347" s="118" t="s">
        <v>160</v>
      </c>
      <c r="J347" s="118" t="s">
        <v>160</v>
      </c>
      <c r="K347" s="118">
        <v>13491</v>
      </c>
      <c r="L347" s="118" t="s">
        <v>160</v>
      </c>
      <c r="M347" s="118">
        <v>217423</v>
      </c>
      <c r="N347" s="118" t="s">
        <v>160</v>
      </c>
      <c r="O347" s="118" t="s">
        <v>160</v>
      </c>
      <c r="P347" s="118" t="s">
        <v>160</v>
      </c>
      <c r="Q347" s="118">
        <v>-230914</v>
      </c>
      <c r="R347" s="118">
        <v>0</v>
      </c>
      <c r="S347" s="118" t="s">
        <v>160</v>
      </c>
      <c r="T347" s="118">
        <v>0</v>
      </c>
    </row>
    <row r="348" spans="1:20" x14ac:dyDescent="0.2">
      <c r="A348" s="532" t="s">
        <v>2246</v>
      </c>
      <c r="B348" s="532" t="s">
        <v>2247</v>
      </c>
      <c r="D348" s="129" t="str">
        <f>IF([1]RENAME!$H$3=1,B348,A348)</f>
        <v>Transação de Capital</v>
      </c>
      <c r="E348" s="118" t="s">
        <v>160</v>
      </c>
      <c r="F348" s="118" t="s">
        <v>160</v>
      </c>
      <c r="G348" s="118">
        <v>-5296</v>
      </c>
      <c r="H348" s="118" t="s">
        <v>160</v>
      </c>
      <c r="I348" s="118" t="s">
        <v>160</v>
      </c>
      <c r="J348" s="118" t="s">
        <v>160</v>
      </c>
      <c r="K348" s="118" t="s">
        <v>160</v>
      </c>
      <c r="L348" s="118" t="s">
        <v>160</v>
      </c>
      <c r="M348" s="118" t="s">
        <v>160</v>
      </c>
      <c r="N348" s="118" t="s">
        <v>160</v>
      </c>
      <c r="O348" s="118" t="s">
        <v>160</v>
      </c>
      <c r="P348" s="118" t="s">
        <v>160</v>
      </c>
      <c r="Q348" s="118" t="s">
        <v>160</v>
      </c>
      <c r="R348" s="118">
        <v>-5296</v>
      </c>
      <c r="S348" s="118">
        <v>-1932</v>
      </c>
      <c r="T348" s="118">
        <v>-7228</v>
      </c>
    </row>
    <row r="349" spans="1:20" x14ac:dyDescent="0.2">
      <c r="A349" s="532" t="s">
        <v>2229</v>
      </c>
      <c r="B349" s="532" t="s">
        <v>2228</v>
      </c>
      <c r="D349" s="126" t="str">
        <f>IF([1]RENAME!$H$3=1,B349,A349)</f>
        <v>Em 31 de dezembro de 2024</v>
      </c>
      <c r="E349" s="120">
        <f t="shared" ref="E349:S349" si="78">SUM(E341:E348)</f>
        <v>438839</v>
      </c>
      <c r="F349" s="120">
        <f t="shared" si="78"/>
        <v>0</v>
      </c>
      <c r="G349" s="120">
        <f>SUM(G341:G348)</f>
        <v>-5296</v>
      </c>
      <c r="H349" s="120">
        <f t="shared" si="78"/>
        <v>0</v>
      </c>
      <c r="I349" s="120">
        <f t="shared" si="78"/>
        <v>0</v>
      </c>
      <c r="J349" s="120">
        <f t="shared" si="78"/>
        <v>0</v>
      </c>
      <c r="K349" s="120">
        <f t="shared" si="78"/>
        <v>68507.3</v>
      </c>
      <c r="L349" s="120" t="s">
        <v>160</v>
      </c>
      <c r="M349" s="120">
        <f t="shared" si="78"/>
        <v>382223.08600000001</v>
      </c>
      <c r="N349" s="120">
        <f t="shared" si="78"/>
        <v>38903</v>
      </c>
      <c r="O349" s="120">
        <f t="shared" si="78"/>
        <v>-343</v>
      </c>
      <c r="P349" s="120">
        <f t="shared" si="78"/>
        <v>-1424</v>
      </c>
      <c r="Q349" s="120">
        <f t="shared" si="78"/>
        <v>0</v>
      </c>
      <c r="R349" s="120">
        <f t="shared" si="78"/>
        <v>921409.38599999994</v>
      </c>
      <c r="S349" s="120">
        <f t="shared" si="78"/>
        <v>0</v>
      </c>
      <c r="T349" s="120">
        <f>SUM(T341:T348)</f>
        <v>921409.38599999994</v>
      </c>
    </row>
    <row r="351" spans="1:20" x14ac:dyDescent="0.2">
      <c r="A351" s="532" t="s">
        <v>2101</v>
      </c>
      <c r="B351" s="532" t="s">
        <v>2102</v>
      </c>
      <c r="D351" s="129" t="str">
        <f>IF([1]RENAME!$H$3=1,B351,A351)</f>
        <v>Resultados abrangentes</v>
      </c>
      <c r="E351" s="118" t="s">
        <v>160</v>
      </c>
      <c r="F351" s="118" t="s">
        <v>160</v>
      </c>
      <c r="G351" s="118" t="s">
        <v>160</v>
      </c>
      <c r="H351" s="118" t="s">
        <v>160</v>
      </c>
      <c r="I351" s="118" t="s">
        <v>160</v>
      </c>
      <c r="J351" s="118" t="s">
        <v>160</v>
      </c>
      <c r="K351" s="118" t="s">
        <v>160</v>
      </c>
      <c r="L351" s="118" t="s">
        <v>160</v>
      </c>
      <c r="M351" s="118" t="s">
        <v>160</v>
      </c>
      <c r="N351" s="118" t="s">
        <v>160</v>
      </c>
      <c r="O351" s="118" t="s">
        <v>160</v>
      </c>
      <c r="P351" s="118" t="s">
        <v>160</v>
      </c>
      <c r="Q351" s="118">
        <v>43734</v>
      </c>
      <c r="R351" s="118">
        <v>43734</v>
      </c>
      <c r="S351" s="118">
        <v>0</v>
      </c>
      <c r="T351" s="118">
        <v>43734</v>
      </c>
    </row>
    <row r="352" spans="1:20" x14ac:dyDescent="0.2">
      <c r="A352" s="532" t="s">
        <v>1280</v>
      </c>
      <c r="B352" s="532" t="s">
        <v>1281</v>
      </c>
      <c r="D352" s="129" t="str">
        <f>IF([1]RENAME!$H$3=1,B352,A352)</f>
        <v>Dividendos e juros sobre capital próprio</v>
      </c>
      <c r="E352" s="118" t="s">
        <v>160</v>
      </c>
      <c r="F352" s="118" t="s">
        <v>160</v>
      </c>
      <c r="G352" s="118" t="s">
        <v>160</v>
      </c>
      <c r="H352" s="118" t="s">
        <v>160</v>
      </c>
      <c r="I352" s="118" t="s">
        <v>160</v>
      </c>
      <c r="J352" s="118" t="s">
        <v>160</v>
      </c>
      <c r="K352" s="118" t="s">
        <v>160</v>
      </c>
      <c r="L352" s="118" t="s">
        <v>160</v>
      </c>
      <c r="M352" s="118" t="s">
        <v>160</v>
      </c>
      <c r="N352" s="118">
        <v>0</v>
      </c>
      <c r="O352" s="118" t="s">
        <v>160</v>
      </c>
      <c r="P352" s="118" t="s">
        <v>160</v>
      </c>
      <c r="Q352" s="118">
        <v>0</v>
      </c>
      <c r="R352" s="118">
        <v>0</v>
      </c>
      <c r="S352" s="118">
        <v>0</v>
      </c>
      <c r="T352" s="118">
        <v>0</v>
      </c>
    </row>
    <row r="353" spans="1:20" x14ac:dyDescent="0.2">
      <c r="A353" s="532" t="s">
        <v>1843</v>
      </c>
      <c r="B353" s="532" t="s">
        <v>1848</v>
      </c>
      <c r="D353" s="129" t="str">
        <f>IF([1]RENAME!$H$3=1,B353,A353)</f>
        <v>Constituição de passivo atuarial</v>
      </c>
      <c r="E353" s="118" t="s">
        <v>160</v>
      </c>
      <c r="F353" s="118" t="s">
        <v>160</v>
      </c>
      <c r="G353" s="121" t="s">
        <v>160</v>
      </c>
      <c r="H353" s="118" t="s">
        <v>160</v>
      </c>
      <c r="I353" s="118" t="s">
        <v>160</v>
      </c>
      <c r="J353" s="118" t="s">
        <v>160</v>
      </c>
      <c r="K353" s="118" t="s">
        <v>160</v>
      </c>
      <c r="L353" s="118" t="s">
        <v>160</v>
      </c>
      <c r="M353" s="118" t="s">
        <v>160</v>
      </c>
      <c r="N353" s="118" t="s">
        <v>160</v>
      </c>
      <c r="O353" s="118" t="s">
        <v>160</v>
      </c>
      <c r="P353" s="118">
        <v>0</v>
      </c>
      <c r="Q353" s="118" t="s">
        <v>160</v>
      </c>
      <c r="R353" s="118">
        <v>0</v>
      </c>
      <c r="S353" s="118" t="s">
        <v>160</v>
      </c>
      <c r="T353" s="118">
        <v>0</v>
      </c>
    </row>
    <row r="354" spans="1:20" x14ac:dyDescent="0.2">
      <c r="A354" s="532" t="s">
        <v>1844</v>
      </c>
      <c r="B354" s="532" t="s">
        <v>1849</v>
      </c>
      <c r="D354" s="129" t="str">
        <f>IF([1]RENAME!$H$3=1,B354,A354)</f>
        <v>Tributos diferidos sobre passivo atuarial</v>
      </c>
      <c r="E354" s="118" t="s">
        <v>160</v>
      </c>
      <c r="F354" s="118" t="s">
        <v>160</v>
      </c>
      <c r="G354" s="121" t="s">
        <v>160</v>
      </c>
      <c r="H354" s="118" t="s">
        <v>160</v>
      </c>
      <c r="I354" s="118" t="s">
        <v>160</v>
      </c>
      <c r="J354" s="118" t="s">
        <v>160</v>
      </c>
      <c r="K354" s="118" t="s">
        <v>160</v>
      </c>
      <c r="L354" s="118" t="s">
        <v>160</v>
      </c>
      <c r="M354" s="118" t="s">
        <v>160</v>
      </c>
      <c r="N354" s="118" t="s">
        <v>160</v>
      </c>
      <c r="O354" s="118" t="s">
        <v>160</v>
      </c>
      <c r="P354" s="118">
        <v>0</v>
      </c>
      <c r="Q354" s="118" t="s">
        <v>160</v>
      </c>
      <c r="R354" s="118">
        <v>0</v>
      </c>
      <c r="S354" s="118" t="s">
        <v>160</v>
      </c>
      <c r="T354" s="118">
        <v>0</v>
      </c>
    </row>
    <row r="355" spans="1:20" x14ac:dyDescent="0.2">
      <c r="A355" s="532" t="s">
        <v>1211</v>
      </c>
      <c r="B355" s="532" t="s">
        <v>1230</v>
      </c>
      <c r="D355" s="129" t="str">
        <f>IF([1]RENAME!$H$3=1,B355,A355)</f>
        <v>Constituição de Reservas</v>
      </c>
      <c r="E355" s="118" t="s">
        <v>160</v>
      </c>
      <c r="F355" s="118" t="s">
        <v>160</v>
      </c>
      <c r="G355" s="118" t="s">
        <v>160</v>
      </c>
      <c r="H355" s="118" t="s">
        <v>160</v>
      </c>
      <c r="I355" s="118" t="s">
        <v>160</v>
      </c>
      <c r="J355" s="118" t="s">
        <v>160</v>
      </c>
      <c r="K355" s="118">
        <v>0</v>
      </c>
      <c r="L355" s="118" t="s">
        <v>160</v>
      </c>
      <c r="M355" s="118">
        <v>0</v>
      </c>
      <c r="N355" s="118" t="s">
        <v>160</v>
      </c>
      <c r="O355" s="118" t="s">
        <v>160</v>
      </c>
      <c r="P355" s="118" t="s">
        <v>160</v>
      </c>
      <c r="Q355" s="118">
        <v>0</v>
      </c>
      <c r="R355" s="118">
        <v>0</v>
      </c>
      <c r="S355" s="118" t="s">
        <v>160</v>
      </c>
      <c r="T355" s="118">
        <v>0</v>
      </c>
    </row>
    <row r="356" spans="1:20" x14ac:dyDescent="0.2">
      <c r="A356" s="532" t="s">
        <v>2246</v>
      </c>
      <c r="B356" s="532" t="s">
        <v>2247</v>
      </c>
      <c r="D356" s="129" t="str">
        <f>IF([1]RENAME!$H$3=1,B356,A356)</f>
        <v>Transação de Capital</v>
      </c>
      <c r="E356" s="118" t="s">
        <v>160</v>
      </c>
      <c r="F356" s="118" t="s">
        <v>160</v>
      </c>
      <c r="G356" s="118">
        <v>0</v>
      </c>
      <c r="H356" s="118" t="s">
        <v>160</v>
      </c>
      <c r="I356" s="118" t="s">
        <v>160</v>
      </c>
      <c r="J356" s="118" t="s">
        <v>160</v>
      </c>
      <c r="K356" s="118" t="s">
        <v>160</v>
      </c>
      <c r="L356" s="118" t="s">
        <v>160</v>
      </c>
      <c r="M356" s="118" t="s">
        <v>160</v>
      </c>
      <c r="N356" s="118" t="s">
        <v>160</v>
      </c>
      <c r="O356" s="118" t="s">
        <v>160</v>
      </c>
      <c r="P356" s="118" t="s">
        <v>160</v>
      </c>
      <c r="Q356" s="118" t="s">
        <v>160</v>
      </c>
      <c r="R356" s="118">
        <v>0</v>
      </c>
      <c r="S356" s="118">
        <v>0</v>
      </c>
      <c r="T356" s="118">
        <v>0</v>
      </c>
    </row>
    <row r="357" spans="1:20" x14ac:dyDescent="0.2">
      <c r="A357" s="532" t="s">
        <v>2256</v>
      </c>
      <c r="B357" s="532" t="s">
        <v>2257</v>
      </c>
      <c r="D357" s="126" t="str">
        <f>IF([1]RENAME!$H$3=1,B357,A357)</f>
        <v>Em 31 de março de 2025</v>
      </c>
      <c r="E357" s="120">
        <f t="shared" ref="E357:P357" si="79">SUM(E349:E356)</f>
        <v>438839</v>
      </c>
      <c r="F357" s="120">
        <f t="shared" si="79"/>
        <v>0</v>
      </c>
      <c r="G357" s="120">
        <f t="shared" si="79"/>
        <v>-5296</v>
      </c>
      <c r="H357" s="120">
        <f t="shared" si="79"/>
        <v>0</v>
      </c>
      <c r="I357" s="120">
        <f t="shared" si="79"/>
        <v>0</v>
      </c>
      <c r="J357" s="120">
        <f t="shared" si="79"/>
        <v>0</v>
      </c>
      <c r="K357" s="120">
        <f t="shared" si="79"/>
        <v>68507.3</v>
      </c>
      <c r="L357" s="120" t="s">
        <v>160</v>
      </c>
      <c r="M357" s="120">
        <f t="shared" si="79"/>
        <v>382223.08600000001</v>
      </c>
      <c r="N357" s="120">
        <f t="shared" si="79"/>
        <v>38903</v>
      </c>
      <c r="O357" s="120">
        <f t="shared" si="79"/>
        <v>-343</v>
      </c>
      <c r="P357" s="120">
        <f t="shared" si="79"/>
        <v>-1424</v>
      </c>
      <c r="Q357" s="120">
        <f>SUM(Q349:Q356)</f>
        <v>43734</v>
      </c>
      <c r="R357" s="120">
        <f>SUM(R349:R356)</f>
        <v>965143.38599999994</v>
      </c>
      <c r="S357" s="120">
        <f>SUM(S349:S356)</f>
        <v>0</v>
      </c>
      <c r="T357" s="120">
        <f>SUM(T349:T356)</f>
        <v>965143.38599999994</v>
      </c>
    </row>
    <row r="359" spans="1:20" x14ac:dyDescent="0.2">
      <c r="A359" s="532" t="s">
        <v>2101</v>
      </c>
      <c r="B359" s="532" t="s">
        <v>2102</v>
      </c>
      <c r="D359" s="129" t="str">
        <f>IF([1]RENAME!$H$3=1,B359,A359)</f>
        <v>Resultados abrangentes</v>
      </c>
      <c r="E359" s="118" t="s">
        <v>160</v>
      </c>
      <c r="F359" s="118" t="s">
        <v>160</v>
      </c>
      <c r="G359" s="118" t="s">
        <v>160</v>
      </c>
      <c r="H359" s="118" t="s">
        <v>160</v>
      </c>
      <c r="I359" s="118" t="s">
        <v>160</v>
      </c>
      <c r="J359" s="118" t="s">
        <v>160</v>
      </c>
      <c r="K359" s="118" t="s">
        <v>160</v>
      </c>
      <c r="L359" s="118" t="s">
        <v>160</v>
      </c>
      <c r="M359" s="118" t="s">
        <v>160</v>
      </c>
      <c r="N359" s="118" t="s">
        <v>160</v>
      </c>
      <c r="O359" s="118" t="s">
        <v>160</v>
      </c>
      <c r="P359" s="118" t="s">
        <v>160</v>
      </c>
      <c r="Q359" s="118">
        <v>67119</v>
      </c>
      <c r="R359" s="118">
        <v>67119</v>
      </c>
      <c r="S359" s="118">
        <v>0</v>
      </c>
      <c r="T359" s="118">
        <v>67119</v>
      </c>
    </row>
    <row r="360" spans="1:20" x14ac:dyDescent="0.2">
      <c r="A360" s="532" t="s">
        <v>1280</v>
      </c>
      <c r="B360" s="532" t="s">
        <v>1281</v>
      </c>
      <c r="D360" s="129" t="str">
        <f>IF([1]RENAME!$H$3=1,B360,A360)</f>
        <v>Dividendos e juros sobre capital próprio</v>
      </c>
      <c r="E360" s="118" t="s">
        <v>160</v>
      </c>
      <c r="F360" s="118" t="s">
        <v>160</v>
      </c>
      <c r="G360" s="118" t="s">
        <v>160</v>
      </c>
      <c r="H360" s="118" t="s">
        <v>160</v>
      </c>
      <c r="I360" s="118" t="s">
        <v>160</v>
      </c>
      <c r="J360" s="118" t="s">
        <v>160</v>
      </c>
      <c r="K360" s="118" t="s">
        <v>160</v>
      </c>
      <c r="L360" s="118" t="s">
        <v>160</v>
      </c>
      <c r="M360" s="118" t="s">
        <v>160</v>
      </c>
      <c r="N360" s="118">
        <v>-38903</v>
      </c>
      <c r="O360" s="118" t="s">
        <v>160</v>
      </c>
      <c r="P360" s="118" t="s">
        <v>160</v>
      </c>
      <c r="Q360" s="118">
        <v>0</v>
      </c>
      <c r="R360" s="118">
        <v>-38903</v>
      </c>
      <c r="S360" s="118">
        <v>0</v>
      </c>
      <c r="T360" s="118">
        <v>-38903</v>
      </c>
    </row>
    <row r="361" spans="1:20" x14ac:dyDescent="0.2">
      <c r="A361" s="532" t="s">
        <v>1843</v>
      </c>
      <c r="B361" s="532" t="s">
        <v>1848</v>
      </c>
      <c r="D361" s="129" t="str">
        <f>IF([1]RENAME!$H$3=1,B361,A361)</f>
        <v>Constituição de passivo atuarial</v>
      </c>
      <c r="E361" s="118" t="s">
        <v>160</v>
      </c>
      <c r="F361" s="118" t="s">
        <v>160</v>
      </c>
      <c r="G361" s="121" t="s">
        <v>160</v>
      </c>
      <c r="H361" s="118" t="s">
        <v>160</v>
      </c>
      <c r="I361" s="118" t="s">
        <v>160</v>
      </c>
      <c r="J361" s="118" t="s">
        <v>160</v>
      </c>
      <c r="K361" s="118" t="s">
        <v>160</v>
      </c>
      <c r="L361" s="118" t="s">
        <v>160</v>
      </c>
      <c r="M361" s="118" t="s">
        <v>160</v>
      </c>
      <c r="N361" s="118" t="s">
        <v>160</v>
      </c>
      <c r="O361" s="118" t="s">
        <v>160</v>
      </c>
      <c r="P361" s="118">
        <v>0</v>
      </c>
      <c r="Q361" s="118" t="s">
        <v>160</v>
      </c>
      <c r="R361" s="118">
        <v>0</v>
      </c>
      <c r="S361" s="118" t="s">
        <v>160</v>
      </c>
      <c r="T361" s="118">
        <v>0</v>
      </c>
    </row>
    <row r="362" spans="1:20" x14ac:dyDescent="0.2">
      <c r="A362" s="532" t="s">
        <v>1844</v>
      </c>
      <c r="B362" s="532" t="s">
        <v>1849</v>
      </c>
      <c r="D362" s="129" t="str">
        <f>IF([1]RENAME!$H$3=1,B362,A362)</f>
        <v>Tributos diferidos sobre passivo atuarial</v>
      </c>
      <c r="E362" s="118" t="s">
        <v>160</v>
      </c>
      <c r="F362" s="118" t="s">
        <v>160</v>
      </c>
      <c r="G362" s="121" t="s">
        <v>160</v>
      </c>
      <c r="H362" s="118" t="s">
        <v>160</v>
      </c>
      <c r="I362" s="118" t="s">
        <v>160</v>
      </c>
      <c r="J362" s="118" t="s">
        <v>160</v>
      </c>
      <c r="K362" s="118" t="s">
        <v>160</v>
      </c>
      <c r="L362" s="118" t="s">
        <v>160</v>
      </c>
      <c r="M362" s="118" t="s">
        <v>160</v>
      </c>
      <c r="N362" s="118" t="s">
        <v>160</v>
      </c>
      <c r="O362" s="118" t="s">
        <v>160</v>
      </c>
      <c r="P362" s="118">
        <v>0</v>
      </c>
      <c r="Q362" s="118" t="s">
        <v>160</v>
      </c>
      <c r="R362" s="118">
        <v>0</v>
      </c>
      <c r="S362" s="118" t="s">
        <v>160</v>
      </c>
      <c r="T362" s="118">
        <v>0</v>
      </c>
    </row>
    <row r="363" spans="1:20" x14ac:dyDescent="0.2">
      <c r="A363" s="532" t="s">
        <v>1211</v>
      </c>
      <c r="B363" s="532" t="s">
        <v>1230</v>
      </c>
      <c r="D363" s="129" t="str">
        <f>IF([1]RENAME!$H$3=1,B363,A363)</f>
        <v>Constituição de Reservas</v>
      </c>
      <c r="E363" s="118" t="s">
        <v>160</v>
      </c>
      <c r="F363" s="118" t="s">
        <v>160</v>
      </c>
      <c r="G363" s="118" t="s">
        <v>160</v>
      </c>
      <c r="H363" s="118" t="s">
        <v>160</v>
      </c>
      <c r="I363" s="118" t="s">
        <v>160</v>
      </c>
      <c r="J363" s="118" t="s">
        <v>160</v>
      </c>
      <c r="K363" s="118">
        <v>0</v>
      </c>
      <c r="L363" s="118" t="s">
        <v>160</v>
      </c>
      <c r="M363" s="118">
        <v>0</v>
      </c>
      <c r="N363" s="118" t="s">
        <v>160</v>
      </c>
      <c r="O363" s="118" t="s">
        <v>160</v>
      </c>
      <c r="P363" s="118" t="s">
        <v>160</v>
      </c>
      <c r="Q363" s="118">
        <v>0</v>
      </c>
      <c r="R363" s="118">
        <v>0</v>
      </c>
      <c r="S363" s="118" t="s">
        <v>160</v>
      </c>
      <c r="T363" s="118">
        <v>0</v>
      </c>
    </row>
    <row r="364" spans="1:20" x14ac:dyDescent="0.2">
      <c r="A364" s="532" t="s">
        <v>2246</v>
      </c>
      <c r="B364" s="532" t="s">
        <v>2247</v>
      </c>
      <c r="D364" s="129" t="str">
        <f>IF([1]RENAME!$H$3=1,B364,A364)</f>
        <v>Transação de Capital</v>
      </c>
      <c r="E364" s="118" t="s">
        <v>160</v>
      </c>
      <c r="F364" s="118" t="s">
        <v>160</v>
      </c>
      <c r="G364" s="118">
        <v>0</v>
      </c>
      <c r="H364" s="118" t="s">
        <v>160</v>
      </c>
      <c r="I364" s="118" t="s">
        <v>160</v>
      </c>
      <c r="J364" s="118" t="s">
        <v>160</v>
      </c>
      <c r="K364" s="118" t="s">
        <v>160</v>
      </c>
      <c r="L364" s="118" t="s">
        <v>160</v>
      </c>
      <c r="M364" s="118" t="s">
        <v>160</v>
      </c>
      <c r="N364" s="118" t="s">
        <v>160</v>
      </c>
      <c r="O364" s="118" t="s">
        <v>160</v>
      </c>
      <c r="P364" s="118" t="s">
        <v>160</v>
      </c>
      <c r="Q364" s="118" t="s">
        <v>160</v>
      </c>
      <c r="R364" s="118">
        <v>0</v>
      </c>
      <c r="S364" s="118">
        <v>0</v>
      </c>
      <c r="T364" s="118">
        <v>0</v>
      </c>
    </row>
    <row r="365" spans="1:20" x14ac:dyDescent="0.2">
      <c r="A365" s="532" t="s">
        <v>2268</v>
      </c>
      <c r="B365" s="532" t="s">
        <v>2269</v>
      </c>
      <c r="D365" s="126" t="str">
        <f>IF([1]RENAME!$H$3=1,B365,A365)</f>
        <v>Em 30 de junho de 2025</v>
      </c>
      <c r="E365" s="120">
        <f t="shared" ref="E365:T365" si="80">SUM(E357:E364)</f>
        <v>438839</v>
      </c>
      <c r="F365" s="120">
        <f t="shared" si="80"/>
        <v>0</v>
      </c>
      <c r="G365" s="120">
        <f t="shared" si="80"/>
        <v>-5296</v>
      </c>
      <c r="H365" s="120">
        <f t="shared" si="80"/>
        <v>0</v>
      </c>
      <c r="I365" s="120">
        <f t="shared" si="80"/>
        <v>0</v>
      </c>
      <c r="J365" s="120">
        <f t="shared" si="80"/>
        <v>0</v>
      </c>
      <c r="K365" s="120">
        <f t="shared" si="80"/>
        <v>68507.3</v>
      </c>
      <c r="L365" s="120" t="s">
        <v>160</v>
      </c>
      <c r="M365" s="120">
        <f t="shared" si="80"/>
        <v>382223.08600000001</v>
      </c>
      <c r="N365" s="120">
        <f t="shared" si="80"/>
        <v>0</v>
      </c>
      <c r="O365" s="120">
        <f t="shared" si="80"/>
        <v>-343</v>
      </c>
      <c r="P365" s="120">
        <f t="shared" si="80"/>
        <v>-1424</v>
      </c>
      <c r="Q365" s="120">
        <f t="shared" si="80"/>
        <v>110853</v>
      </c>
      <c r="R365" s="120">
        <f t="shared" si="80"/>
        <v>993359.38599999994</v>
      </c>
      <c r="S365" s="120">
        <f t="shared" si="80"/>
        <v>0</v>
      </c>
      <c r="T365" s="120">
        <f t="shared" si="80"/>
        <v>993359.38599999994</v>
      </c>
    </row>
    <row r="367" spans="1:20" x14ac:dyDescent="0.2">
      <c r="A367" s="532" t="s">
        <v>2101</v>
      </c>
      <c r="B367" s="532" t="s">
        <v>2102</v>
      </c>
      <c r="D367" s="129" t="str">
        <f>IF([1]RENAME!$H$3=1,B367,A367)</f>
        <v>Resultados abrangentes</v>
      </c>
      <c r="E367" s="118" t="s">
        <v>160</v>
      </c>
      <c r="F367" s="118" t="s">
        <v>160</v>
      </c>
      <c r="G367" s="118" t="s">
        <v>160</v>
      </c>
      <c r="H367" s="118" t="s">
        <v>160</v>
      </c>
      <c r="I367" s="118" t="s">
        <v>160</v>
      </c>
      <c r="J367" s="118" t="s">
        <v>160</v>
      </c>
      <c r="K367" s="118" t="s">
        <v>160</v>
      </c>
      <c r="L367" s="118" t="s">
        <v>160</v>
      </c>
      <c r="M367" s="118" t="s">
        <v>160</v>
      </c>
      <c r="N367" s="118" t="s">
        <v>160</v>
      </c>
      <c r="O367" s="118" t="s">
        <v>160</v>
      </c>
      <c r="P367" s="118" t="s">
        <v>160</v>
      </c>
      <c r="Q367" s="118">
        <v>79891</v>
      </c>
      <c r="R367" s="118">
        <v>79891</v>
      </c>
      <c r="S367" s="118" t="s">
        <v>160</v>
      </c>
      <c r="T367" s="118">
        <v>79891</v>
      </c>
    </row>
    <row r="368" spans="1:20" x14ac:dyDescent="0.2">
      <c r="A368" s="532" t="s">
        <v>1280</v>
      </c>
      <c r="B368" s="532" t="s">
        <v>1281</v>
      </c>
      <c r="D368" s="129" t="str">
        <f>IF([1]RENAME!$H$3=1,B368,A368)</f>
        <v>Dividendos e juros sobre capital próprio</v>
      </c>
      <c r="E368" s="118" t="s">
        <v>160</v>
      </c>
      <c r="F368" s="118" t="s">
        <v>160</v>
      </c>
      <c r="G368" s="118" t="s">
        <v>160</v>
      </c>
      <c r="H368" s="118" t="s">
        <v>160</v>
      </c>
      <c r="I368" s="118" t="s">
        <v>160</v>
      </c>
      <c r="J368" s="118" t="s">
        <v>160</v>
      </c>
      <c r="K368" s="118" t="s">
        <v>160</v>
      </c>
      <c r="L368" s="118" t="s">
        <v>160</v>
      </c>
      <c r="M368" s="118">
        <v>0</v>
      </c>
      <c r="N368" s="118">
        <v>0</v>
      </c>
      <c r="O368" s="118" t="s">
        <v>160</v>
      </c>
      <c r="P368" s="118" t="s">
        <v>160</v>
      </c>
      <c r="Q368" s="118">
        <v>-89016</v>
      </c>
      <c r="R368" s="118">
        <v>-89016</v>
      </c>
      <c r="S368" s="118" t="s">
        <v>160</v>
      </c>
      <c r="T368" s="118">
        <v>-89016</v>
      </c>
    </row>
    <row r="369" spans="1:20" x14ac:dyDescent="0.2">
      <c r="A369" s="532" t="s">
        <v>1843</v>
      </c>
      <c r="B369" s="532" t="s">
        <v>1848</v>
      </c>
      <c r="D369" s="129" t="str">
        <f>IF([1]RENAME!$H$3=1,B369,A369)</f>
        <v>Constituição de passivo atuarial</v>
      </c>
      <c r="E369" s="118" t="s">
        <v>160</v>
      </c>
      <c r="F369" s="118" t="s">
        <v>160</v>
      </c>
      <c r="G369" s="121" t="s">
        <v>160</v>
      </c>
      <c r="H369" s="118" t="s">
        <v>160</v>
      </c>
      <c r="I369" s="118" t="s">
        <v>160</v>
      </c>
      <c r="J369" s="118" t="s">
        <v>160</v>
      </c>
      <c r="K369" s="118" t="s">
        <v>160</v>
      </c>
      <c r="L369" s="118" t="s">
        <v>160</v>
      </c>
      <c r="M369" s="118" t="s">
        <v>160</v>
      </c>
      <c r="N369" s="118" t="s">
        <v>160</v>
      </c>
      <c r="O369" s="118" t="s">
        <v>160</v>
      </c>
      <c r="P369" s="118">
        <v>0</v>
      </c>
      <c r="Q369" s="118" t="s">
        <v>160</v>
      </c>
      <c r="R369" s="118">
        <v>0</v>
      </c>
      <c r="S369" s="118" t="s">
        <v>160</v>
      </c>
      <c r="T369" s="118">
        <v>0</v>
      </c>
    </row>
    <row r="370" spans="1:20" x14ac:dyDescent="0.2">
      <c r="A370" s="532" t="s">
        <v>1844</v>
      </c>
      <c r="B370" s="532" t="s">
        <v>1849</v>
      </c>
      <c r="D370" s="129" t="str">
        <f>IF([1]RENAME!$H$3=1,B370,A370)</f>
        <v>Tributos diferidos sobre passivo atuarial</v>
      </c>
      <c r="E370" s="118" t="s">
        <v>160</v>
      </c>
      <c r="F370" s="118" t="s">
        <v>160</v>
      </c>
      <c r="G370" s="121" t="s">
        <v>160</v>
      </c>
      <c r="H370" s="118" t="s">
        <v>160</v>
      </c>
      <c r="I370" s="118" t="s">
        <v>160</v>
      </c>
      <c r="J370" s="118" t="s">
        <v>160</v>
      </c>
      <c r="K370" s="118" t="s">
        <v>160</v>
      </c>
      <c r="L370" s="118" t="s">
        <v>160</v>
      </c>
      <c r="M370" s="118" t="s">
        <v>160</v>
      </c>
      <c r="N370" s="118" t="s">
        <v>160</v>
      </c>
      <c r="O370" s="118" t="s">
        <v>160</v>
      </c>
      <c r="P370" s="118">
        <v>0</v>
      </c>
      <c r="Q370" s="118" t="s">
        <v>160</v>
      </c>
      <c r="R370" s="118">
        <v>0</v>
      </c>
      <c r="S370" s="118" t="s">
        <v>160</v>
      </c>
      <c r="T370" s="118">
        <v>0</v>
      </c>
    </row>
    <row r="371" spans="1:20" x14ac:dyDescent="0.2">
      <c r="A371" s="532" t="s">
        <v>1211</v>
      </c>
      <c r="B371" s="532" t="s">
        <v>1230</v>
      </c>
      <c r="D371" s="129" t="str">
        <f>IF([1]RENAME!$H$3=1,B371,A371)</f>
        <v>Constituição de Reservas</v>
      </c>
      <c r="E371" s="118" t="s">
        <v>160</v>
      </c>
      <c r="F371" s="118" t="s">
        <v>160</v>
      </c>
      <c r="G371" s="118" t="s">
        <v>160</v>
      </c>
      <c r="H371" s="118" t="s">
        <v>160</v>
      </c>
      <c r="I371" s="118" t="s">
        <v>160</v>
      </c>
      <c r="J371" s="118" t="s">
        <v>160</v>
      </c>
      <c r="K371" s="118">
        <v>0</v>
      </c>
      <c r="L371" s="118" t="s">
        <v>160</v>
      </c>
      <c r="M371" s="118">
        <v>0</v>
      </c>
      <c r="N371" s="118" t="s">
        <v>160</v>
      </c>
      <c r="O371" s="118" t="s">
        <v>160</v>
      </c>
      <c r="P371" s="118" t="s">
        <v>160</v>
      </c>
      <c r="Q371" s="118">
        <v>0</v>
      </c>
      <c r="R371" s="118">
        <v>0</v>
      </c>
      <c r="S371" s="118" t="s">
        <v>160</v>
      </c>
      <c r="T371" s="118">
        <v>0</v>
      </c>
    </row>
    <row r="372" spans="1:20" x14ac:dyDescent="0.2">
      <c r="A372" s="532" t="s">
        <v>2246</v>
      </c>
      <c r="B372" s="532" t="s">
        <v>2247</v>
      </c>
      <c r="D372" s="129" t="str">
        <f>IF([1]RENAME!$H$3=1,B372,A372)</f>
        <v>Transação de Capital</v>
      </c>
      <c r="E372" s="118" t="s">
        <v>160</v>
      </c>
      <c r="F372" s="118" t="s">
        <v>160</v>
      </c>
      <c r="G372" s="118">
        <f>'[3]DMPL NL'!$H$57</f>
        <v>0</v>
      </c>
      <c r="H372" s="118" t="s">
        <v>160</v>
      </c>
      <c r="I372" s="118" t="s">
        <v>160</v>
      </c>
      <c r="J372" s="118" t="s">
        <v>160</v>
      </c>
      <c r="K372" s="118" t="s">
        <v>160</v>
      </c>
      <c r="L372" s="118" t="s">
        <v>160</v>
      </c>
      <c r="M372" s="118" t="s">
        <v>160</v>
      </c>
      <c r="N372" s="118" t="s">
        <v>160</v>
      </c>
      <c r="O372" s="118" t="s">
        <v>160</v>
      </c>
      <c r="P372" s="118" t="s">
        <v>160</v>
      </c>
      <c r="Q372" s="118" t="s">
        <v>160</v>
      </c>
      <c r="R372" s="118">
        <v>0</v>
      </c>
      <c r="S372" s="118">
        <v>0</v>
      </c>
      <c r="T372" s="118">
        <v>0</v>
      </c>
    </row>
    <row r="373" spans="1:20" x14ac:dyDescent="0.2">
      <c r="A373" s="532" t="s">
        <v>2279</v>
      </c>
      <c r="B373" s="532" t="s">
        <v>2280</v>
      </c>
      <c r="D373" s="126" t="str">
        <f>IF([1]RENAME!$H$3=1,B373,A373)</f>
        <v>Em 30 de setembro de 2025</v>
      </c>
      <c r="E373" s="120">
        <f t="shared" ref="E373:T373" si="81">SUM(E365:E372)</f>
        <v>438839</v>
      </c>
      <c r="F373" s="120">
        <f t="shared" si="81"/>
        <v>0</v>
      </c>
      <c r="G373" s="120">
        <f t="shared" si="81"/>
        <v>-5296</v>
      </c>
      <c r="H373" s="120">
        <f t="shared" si="81"/>
        <v>0</v>
      </c>
      <c r="I373" s="120">
        <f t="shared" si="81"/>
        <v>0</v>
      </c>
      <c r="J373" s="120">
        <f t="shared" si="81"/>
        <v>0</v>
      </c>
      <c r="K373" s="120">
        <f t="shared" si="81"/>
        <v>68507.3</v>
      </c>
      <c r="L373" s="120" t="s">
        <v>160</v>
      </c>
      <c r="M373" s="120">
        <f t="shared" si="81"/>
        <v>382223.08600000001</v>
      </c>
      <c r="N373" s="120">
        <f t="shared" si="81"/>
        <v>0</v>
      </c>
      <c r="O373" s="120">
        <f t="shared" si="81"/>
        <v>-343</v>
      </c>
      <c r="P373" s="120">
        <f t="shared" si="81"/>
        <v>-1424</v>
      </c>
      <c r="Q373" s="120">
        <f t="shared" si="81"/>
        <v>101728</v>
      </c>
      <c r="R373" s="120">
        <f t="shared" si="81"/>
        <v>984234.38599999994</v>
      </c>
      <c r="S373" s="120">
        <f t="shared" si="81"/>
        <v>0</v>
      </c>
      <c r="T373" s="120">
        <f t="shared" si="81"/>
        <v>984234.38599999994</v>
      </c>
    </row>
    <row r="375" spans="1:20" x14ac:dyDescent="0.2">
      <c r="A375" s="532" t="s">
        <v>2101</v>
      </c>
      <c r="B375" s="532" t="s">
        <v>2102</v>
      </c>
      <c r="D375" s="129" t="str">
        <f>IF([1]RENAME!$H$3=1,B375,A375)</f>
        <v>Resultados abrangentes</v>
      </c>
      <c r="E375" s="118" t="s">
        <v>160</v>
      </c>
      <c r="F375" s="118" t="s">
        <v>160</v>
      </c>
      <c r="G375" s="118" t="s">
        <v>160</v>
      </c>
      <c r="H375" s="118" t="s">
        <v>160</v>
      </c>
      <c r="I375" s="118" t="s">
        <v>160</v>
      </c>
      <c r="J375" s="118" t="s">
        <v>160</v>
      </c>
      <c r="K375" s="118" t="s">
        <v>160</v>
      </c>
      <c r="L375" s="118">
        <v>0</v>
      </c>
      <c r="M375" s="118" t="s">
        <v>160</v>
      </c>
      <c r="N375" s="118" t="s">
        <v>160</v>
      </c>
      <c r="O375" s="118" t="s">
        <v>160</v>
      </c>
      <c r="P375" s="118" t="s">
        <v>160</v>
      </c>
      <c r="Q375" s="118">
        <v>52219</v>
      </c>
      <c r="R375" s="118">
        <v>52219</v>
      </c>
      <c r="S375" s="118">
        <v>0</v>
      </c>
      <c r="T375" s="118">
        <v>52219</v>
      </c>
    </row>
    <row r="376" spans="1:20" x14ac:dyDescent="0.2">
      <c r="D376" s="129" t="s">
        <v>2309</v>
      </c>
      <c r="E376" s="118">
        <v>21161</v>
      </c>
      <c r="F376" s="118" t="s">
        <v>160</v>
      </c>
      <c r="G376" s="118" t="s">
        <v>160</v>
      </c>
      <c r="H376" s="118" t="s">
        <v>160</v>
      </c>
      <c r="I376" s="118" t="s">
        <v>160</v>
      </c>
      <c r="J376" s="118" t="s">
        <v>160</v>
      </c>
      <c r="K376" s="118" t="s">
        <v>160</v>
      </c>
      <c r="L376" s="118">
        <v>0</v>
      </c>
      <c r="M376" s="118">
        <v>-21161</v>
      </c>
      <c r="N376" s="118"/>
      <c r="O376" s="118"/>
      <c r="P376" s="118"/>
      <c r="Q376" s="118"/>
      <c r="R376" s="118"/>
      <c r="S376" s="118"/>
      <c r="T376" s="118"/>
    </row>
    <row r="377" spans="1:20" x14ac:dyDescent="0.2">
      <c r="A377" s="532" t="s">
        <v>1280</v>
      </c>
      <c r="B377" s="532" t="s">
        <v>1281</v>
      </c>
      <c r="D377" s="129" t="str">
        <f>IF([1]RENAME!$H$3=1,B377,A377)</f>
        <v>Dividendos e juros sobre capital próprio</v>
      </c>
      <c r="E377" s="118" t="s">
        <v>160</v>
      </c>
      <c r="F377" s="118" t="s">
        <v>160</v>
      </c>
      <c r="G377" s="118" t="s">
        <v>160</v>
      </c>
      <c r="H377" s="118" t="s">
        <v>160</v>
      </c>
      <c r="I377" s="118" t="s">
        <v>160</v>
      </c>
      <c r="J377" s="118" t="s">
        <v>160</v>
      </c>
      <c r="K377" s="118" t="s">
        <v>160</v>
      </c>
      <c r="L377" s="118">
        <v>0</v>
      </c>
      <c r="M377" s="118">
        <v>-100225</v>
      </c>
      <c r="N377" s="118">
        <v>0</v>
      </c>
      <c r="O377" s="118" t="s">
        <v>160</v>
      </c>
      <c r="P377" s="118" t="s">
        <v>160</v>
      </c>
      <c r="Q377" s="118">
        <v>-63960</v>
      </c>
      <c r="R377" s="118">
        <v>-164185</v>
      </c>
      <c r="S377" s="118">
        <v>0</v>
      </c>
      <c r="T377" s="118">
        <v>-164185</v>
      </c>
    </row>
    <row r="378" spans="1:20" x14ac:dyDescent="0.2">
      <c r="A378" s="532" t="s">
        <v>1843</v>
      </c>
      <c r="B378" s="532" t="s">
        <v>1848</v>
      </c>
      <c r="D378" s="129" t="str">
        <f>IF([1]RENAME!$H$3=1,B378,A378)</f>
        <v>Constituição de passivo atuarial</v>
      </c>
      <c r="E378" s="118" t="s">
        <v>160</v>
      </c>
      <c r="F378" s="118" t="s">
        <v>160</v>
      </c>
      <c r="G378" s="121" t="s">
        <v>160</v>
      </c>
      <c r="H378" s="118" t="s">
        <v>160</v>
      </c>
      <c r="I378" s="118" t="s">
        <v>160</v>
      </c>
      <c r="J378" s="118" t="s">
        <v>160</v>
      </c>
      <c r="K378" s="118" t="s">
        <v>160</v>
      </c>
      <c r="L378" s="118">
        <v>0</v>
      </c>
      <c r="M378" s="118" t="s">
        <v>160</v>
      </c>
      <c r="N378" s="118" t="s">
        <v>160</v>
      </c>
      <c r="O378" s="118" t="s">
        <v>160</v>
      </c>
      <c r="P378" s="118">
        <v>-53</v>
      </c>
      <c r="Q378" s="118" t="s">
        <v>160</v>
      </c>
      <c r="R378" s="118">
        <v>-53</v>
      </c>
      <c r="S378" s="118" t="s">
        <v>160</v>
      </c>
      <c r="T378" s="118">
        <v>-53</v>
      </c>
    </row>
    <row r="379" spans="1:20" x14ac:dyDescent="0.2">
      <c r="A379" s="532" t="s">
        <v>1844</v>
      </c>
      <c r="B379" s="532" t="s">
        <v>1849</v>
      </c>
      <c r="D379" s="129" t="str">
        <f>IF([1]RENAME!$H$3=1,B379,A379)</f>
        <v>Tributos diferidos sobre passivo atuarial</v>
      </c>
      <c r="E379" s="118" t="s">
        <v>160</v>
      </c>
      <c r="F379" s="118" t="s">
        <v>160</v>
      </c>
      <c r="G379" s="121" t="s">
        <v>160</v>
      </c>
      <c r="H379" s="118" t="s">
        <v>160</v>
      </c>
      <c r="I379" s="118" t="s">
        <v>160</v>
      </c>
      <c r="J379" s="118" t="s">
        <v>160</v>
      </c>
      <c r="K379" s="118" t="s">
        <v>160</v>
      </c>
      <c r="L379" s="118">
        <v>0</v>
      </c>
      <c r="M379" s="118" t="s">
        <v>160</v>
      </c>
      <c r="N379" s="118" t="s">
        <v>160</v>
      </c>
      <c r="O379" s="118" t="s">
        <v>160</v>
      </c>
      <c r="P379" s="118">
        <v>18</v>
      </c>
      <c r="Q379" s="118" t="s">
        <v>160</v>
      </c>
      <c r="R379" s="118">
        <v>18</v>
      </c>
      <c r="S379" s="118" t="s">
        <v>160</v>
      </c>
      <c r="T379" s="118">
        <v>18</v>
      </c>
    </row>
    <row r="380" spans="1:20" x14ac:dyDescent="0.2">
      <c r="A380" s="532" t="s">
        <v>1211</v>
      </c>
      <c r="B380" s="532" t="s">
        <v>1230</v>
      </c>
      <c r="D380" s="129" t="str">
        <f>IF([1]RENAME!$H$3=1,B380,A380)</f>
        <v>Constituição de Reservas</v>
      </c>
      <c r="E380" s="118" t="s">
        <v>160</v>
      </c>
      <c r="F380" s="118" t="s">
        <v>160</v>
      </c>
      <c r="G380" s="118" t="s">
        <v>160</v>
      </c>
      <c r="H380" s="118" t="s">
        <v>160</v>
      </c>
      <c r="I380" s="118" t="s">
        <v>160</v>
      </c>
      <c r="J380" s="118" t="s">
        <v>160</v>
      </c>
      <c r="K380" s="118">
        <v>12148</v>
      </c>
      <c r="L380" s="118">
        <v>77839</v>
      </c>
      <c r="M380" s="118">
        <v>0</v>
      </c>
      <c r="N380" s="118" t="s">
        <v>160</v>
      </c>
      <c r="O380" s="118" t="s">
        <v>160</v>
      </c>
      <c r="P380" s="118" t="s">
        <v>160</v>
      </c>
      <c r="Q380" s="118">
        <v>-89987</v>
      </c>
      <c r="R380" s="118">
        <v>0</v>
      </c>
      <c r="S380" s="118" t="s">
        <v>160</v>
      </c>
      <c r="T380" s="118">
        <v>0</v>
      </c>
    </row>
    <row r="381" spans="1:20" x14ac:dyDescent="0.2">
      <c r="A381" s="532" t="s">
        <v>2246</v>
      </c>
      <c r="B381" s="532" t="s">
        <v>2247</v>
      </c>
      <c r="D381" s="129" t="str">
        <f>IF([1]RENAME!$H$3=1,B381,A381)</f>
        <v>Transação de Capital</v>
      </c>
      <c r="E381" s="118" t="s">
        <v>160</v>
      </c>
      <c r="F381" s="118" t="s">
        <v>160</v>
      </c>
      <c r="G381" s="118">
        <v>0</v>
      </c>
      <c r="H381" s="118" t="s">
        <v>160</v>
      </c>
      <c r="I381" s="118" t="s">
        <v>160</v>
      </c>
      <c r="J381" s="118" t="s">
        <v>160</v>
      </c>
      <c r="K381" s="118" t="s">
        <v>160</v>
      </c>
      <c r="L381" s="118">
        <v>0</v>
      </c>
      <c r="M381" s="118" t="s">
        <v>160</v>
      </c>
      <c r="N381" s="118" t="s">
        <v>160</v>
      </c>
      <c r="O381" s="118" t="s">
        <v>160</v>
      </c>
      <c r="P381" s="118" t="s">
        <v>160</v>
      </c>
      <c r="Q381" s="118" t="s">
        <v>160</v>
      </c>
      <c r="R381" s="118">
        <v>0</v>
      </c>
      <c r="S381" s="118">
        <v>0</v>
      </c>
      <c r="T381" s="118">
        <v>0</v>
      </c>
    </row>
    <row r="382" spans="1:20" x14ac:dyDescent="0.2">
      <c r="A382" s="532" t="s">
        <v>2297</v>
      </c>
      <c r="B382" s="532" t="s">
        <v>2298</v>
      </c>
      <c r="D382" s="126" t="str">
        <f>IF([1]RENAME!$H$3=1,B382,A382)</f>
        <v>Em 31 de dezembro de 2025</v>
      </c>
      <c r="E382" s="120">
        <f t="shared" ref="E382:T382" si="82">SUM(E373:E381)</f>
        <v>460000</v>
      </c>
      <c r="F382" s="120">
        <f t="shared" si="82"/>
        <v>0</v>
      </c>
      <c r="G382" s="120">
        <f t="shared" si="82"/>
        <v>-5296</v>
      </c>
      <c r="H382" s="120">
        <f t="shared" si="82"/>
        <v>0</v>
      </c>
      <c r="I382" s="120">
        <f t="shared" si="82"/>
        <v>0</v>
      </c>
      <c r="J382" s="120">
        <f t="shared" si="82"/>
        <v>0</v>
      </c>
      <c r="K382" s="120">
        <f t="shared" si="82"/>
        <v>80655.3</v>
      </c>
      <c r="L382" s="120">
        <f t="shared" si="82"/>
        <v>77839</v>
      </c>
      <c r="M382" s="120">
        <f t="shared" si="82"/>
        <v>260837.08600000001</v>
      </c>
      <c r="N382" s="120">
        <f t="shared" si="82"/>
        <v>0</v>
      </c>
      <c r="O382" s="120">
        <f t="shared" si="82"/>
        <v>-343</v>
      </c>
      <c r="P382" s="120">
        <f t="shared" si="82"/>
        <v>-1459</v>
      </c>
      <c r="Q382" s="120">
        <f t="shared" si="82"/>
        <v>0</v>
      </c>
      <c r="R382" s="120">
        <f>SUM(R373:R381)</f>
        <v>872233.38599999994</v>
      </c>
      <c r="S382" s="120">
        <f t="shared" si="82"/>
        <v>0</v>
      </c>
      <c r="T382" s="120">
        <f t="shared" si="82"/>
        <v>872233.38599999994</v>
      </c>
    </row>
    <row r="384" spans="1:20" x14ac:dyDescent="0.2">
      <c r="A384" s="532" t="s">
        <v>2101</v>
      </c>
      <c r="B384" s="532" t="s">
        <v>2102</v>
      </c>
      <c r="D384" s="129" t="str">
        <f>IF([1]RENAME!$H$3=1,B384,A384)</f>
        <v>Resultados abrangentes</v>
      </c>
      <c r="E384" s="118" t="s">
        <v>160</v>
      </c>
      <c r="F384" s="118" t="s">
        <v>160</v>
      </c>
      <c r="G384" s="118" t="s">
        <v>160</v>
      </c>
      <c r="H384" s="118" t="s">
        <v>160</v>
      </c>
      <c r="I384" s="118" t="s">
        <v>160</v>
      </c>
      <c r="J384" s="118" t="s">
        <v>160</v>
      </c>
      <c r="K384" s="118" t="s">
        <v>160</v>
      </c>
      <c r="L384" s="118">
        <v>0</v>
      </c>
      <c r="M384" s="118" t="s">
        <v>160</v>
      </c>
      <c r="N384" s="118" t="s">
        <v>160</v>
      </c>
      <c r="O384" s="118" t="s">
        <v>160</v>
      </c>
      <c r="P384" s="118" t="s">
        <v>160</v>
      </c>
      <c r="Q384" s="118">
        <v>38785</v>
      </c>
      <c r="R384" s="118">
        <f>+SUM(E384:Q384)</f>
        <v>38785</v>
      </c>
      <c r="S384" s="118">
        <v>0</v>
      </c>
      <c r="T384" s="118">
        <f>+SUM(R384:S384)</f>
        <v>38785</v>
      </c>
    </row>
    <row r="385" spans="1:20" x14ac:dyDescent="0.2">
      <c r="D385" s="129" t="s">
        <v>2309</v>
      </c>
      <c r="E385" s="118">
        <v>0</v>
      </c>
      <c r="F385" s="118" t="s">
        <v>160</v>
      </c>
      <c r="G385" s="118" t="s">
        <v>160</v>
      </c>
      <c r="H385" s="118" t="s">
        <v>160</v>
      </c>
      <c r="I385" s="118" t="s">
        <v>160</v>
      </c>
      <c r="J385" s="118" t="s">
        <v>160</v>
      </c>
      <c r="K385" s="118" t="s">
        <v>160</v>
      </c>
      <c r="L385" s="118">
        <v>0</v>
      </c>
      <c r="M385" s="118">
        <v>0</v>
      </c>
      <c r="N385" s="118"/>
      <c r="O385" s="118"/>
      <c r="P385" s="118"/>
      <c r="Q385" s="118"/>
      <c r="R385" s="118"/>
      <c r="S385" s="118"/>
      <c r="T385" s="118"/>
    </row>
    <row r="386" spans="1:20" x14ac:dyDescent="0.2">
      <c r="A386" s="532" t="s">
        <v>1280</v>
      </c>
      <c r="B386" s="532" t="s">
        <v>1281</v>
      </c>
      <c r="D386" s="129" t="str">
        <f>IF([1]RENAME!$H$3=1,B386,A386)</f>
        <v>Dividendos e juros sobre capital próprio</v>
      </c>
      <c r="E386" s="118" t="s">
        <v>160</v>
      </c>
      <c r="F386" s="118" t="s">
        <v>160</v>
      </c>
      <c r="G386" s="118" t="s">
        <v>160</v>
      </c>
      <c r="H386" s="118" t="s">
        <v>160</v>
      </c>
      <c r="I386" s="118" t="s">
        <v>160</v>
      </c>
      <c r="J386" s="118" t="s">
        <v>160</v>
      </c>
      <c r="K386" s="118" t="s">
        <v>160</v>
      </c>
      <c r="L386" s="118">
        <v>0</v>
      </c>
      <c r="M386" s="118">
        <v>0</v>
      </c>
      <c r="N386" s="118">
        <v>0</v>
      </c>
      <c r="O386" s="118" t="s">
        <v>160</v>
      </c>
      <c r="P386" s="118" t="s">
        <v>160</v>
      </c>
      <c r="Q386" s="118" t="s">
        <v>160</v>
      </c>
      <c r="R386" s="118">
        <f>+SUM(E386:Q386)</f>
        <v>0</v>
      </c>
      <c r="S386" s="118">
        <v>0</v>
      </c>
      <c r="T386" s="118">
        <f>+SUM(R386:S386)</f>
        <v>0</v>
      </c>
    </row>
    <row r="387" spans="1:20" x14ac:dyDescent="0.2">
      <c r="A387" s="532" t="s">
        <v>1843</v>
      </c>
      <c r="B387" s="532" t="s">
        <v>1848</v>
      </c>
      <c r="D387" s="129" t="str">
        <f>IF([1]RENAME!$H$3=1,B387,A387)</f>
        <v>Constituição de passivo atuarial</v>
      </c>
      <c r="E387" s="118" t="s">
        <v>160</v>
      </c>
      <c r="F387" s="118" t="s">
        <v>160</v>
      </c>
      <c r="G387" s="121" t="s">
        <v>160</v>
      </c>
      <c r="H387" s="118" t="s">
        <v>160</v>
      </c>
      <c r="I387" s="118" t="s">
        <v>160</v>
      </c>
      <c r="J387" s="118" t="s">
        <v>160</v>
      </c>
      <c r="K387" s="118" t="s">
        <v>160</v>
      </c>
      <c r="L387" s="118">
        <v>0</v>
      </c>
      <c r="M387" s="118" t="s">
        <v>160</v>
      </c>
      <c r="N387" s="118" t="s">
        <v>160</v>
      </c>
      <c r="O387" s="118" t="s">
        <v>160</v>
      </c>
      <c r="P387" s="118">
        <v>0</v>
      </c>
      <c r="Q387" s="118" t="s">
        <v>160</v>
      </c>
      <c r="R387" s="118">
        <f>+SUM(E387:Q387)</f>
        <v>0</v>
      </c>
      <c r="S387" s="118" t="s">
        <v>160</v>
      </c>
      <c r="T387" s="118">
        <f>+SUM(R387:S387)</f>
        <v>0</v>
      </c>
    </row>
    <row r="388" spans="1:20" x14ac:dyDescent="0.2">
      <c r="A388" s="532" t="s">
        <v>1844</v>
      </c>
      <c r="B388" s="532" t="s">
        <v>1849</v>
      </c>
      <c r="D388" s="129" t="str">
        <f>IF([1]RENAME!$H$3=1,B388,A388)</f>
        <v>Tributos diferidos sobre passivo atuarial</v>
      </c>
      <c r="E388" s="118" t="s">
        <v>160</v>
      </c>
      <c r="F388" s="118" t="s">
        <v>160</v>
      </c>
      <c r="G388" s="121" t="s">
        <v>160</v>
      </c>
      <c r="H388" s="118" t="s">
        <v>160</v>
      </c>
      <c r="I388" s="118" t="s">
        <v>160</v>
      </c>
      <c r="J388" s="118" t="s">
        <v>160</v>
      </c>
      <c r="K388" s="118" t="s">
        <v>160</v>
      </c>
      <c r="L388" s="118">
        <v>0</v>
      </c>
      <c r="M388" s="118" t="s">
        <v>160</v>
      </c>
      <c r="N388" s="118" t="s">
        <v>160</v>
      </c>
      <c r="O388" s="118" t="s">
        <v>160</v>
      </c>
      <c r="P388" s="118">
        <v>0</v>
      </c>
      <c r="Q388" s="118" t="s">
        <v>160</v>
      </c>
      <c r="R388" s="118">
        <f>+SUM(E388:Q388)</f>
        <v>0</v>
      </c>
      <c r="S388" s="118" t="s">
        <v>160</v>
      </c>
      <c r="T388" s="118">
        <f>+SUM(R388:S388)</f>
        <v>0</v>
      </c>
    </row>
    <row r="389" spans="1:20" x14ac:dyDescent="0.2">
      <c r="A389" s="532" t="s">
        <v>1211</v>
      </c>
      <c r="B389" s="532" t="s">
        <v>1230</v>
      </c>
      <c r="D389" s="129" t="str">
        <f>IF([1]RENAME!$H$3=1,B389,A389)</f>
        <v>Constituição de Reservas</v>
      </c>
      <c r="E389" s="118" t="s">
        <v>160</v>
      </c>
      <c r="F389" s="118" t="s">
        <v>160</v>
      </c>
      <c r="G389" s="118" t="s">
        <v>160</v>
      </c>
      <c r="H389" s="118" t="s">
        <v>160</v>
      </c>
      <c r="I389" s="118" t="s">
        <v>160</v>
      </c>
      <c r="J389" s="118" t="s">
        <v>160</v>
      </c>
      <c r="K389" s="118">
        <v>0</v>
      </c>
      <c r="L389" s="118">
        <v>0</v>
      </c>
      <c r="M389" s="118">
        <v>0</v>
      </c>
      <c r="N389" s="118" t="s">
        <v>160</v>
      </c>
      <c r="O389" s="118" t="s">
        <v>160</v>
      </c>
      <c r="P389" s="118" t="s">
        <v>160</v>
      </c>
      <c r="Q389" s="118">
        <f>'[3]DMPL NL'!$R$57</f>
        <v>0</v>
      </c>
      <c r="R389" s="118">
        <f>+SUM(E389:Q389)</f>
        <v>0</v>
      </c>
      <c r="S389" s="118" t="s">
        <v>160</v>
      </c>
      <c r="T389" s="118">
        <f>+SUM(R389:S389)</f>
        <v>0</v>
      </c>
    </row>
    <row r="390" spans="1:20" x14ac:dyDescent="0.2">
      <c r="A390" s="532" t="s">
        <v>2246</v>
      </c>
      <c r="B390" s="532" t="s">
        <v>2247</v>
      </c>
      <c r="D390" s="129" t="str">
        <f>IF([1]RENAME!$H$3=1,B390,A390)</f>
        <v>Transação de Capital</v>
      </c>
      <c r="E390" s="118" t="s">
        <v>160</v>
      </c>
      <c r="F390" s="118" t="s">
        <v>160</v>
      </c>
      <c r="G390" s="118">
        <v>0</v>
      </c>
      <c r="H390" s="118" t="s">
        <v>160</v>
      </c>
      <c r="I390" s="118" t="s">
        <v>160</v>
      </c>
      <c r="J390" s="118" t="s">
        <v>160</v>
      </c>
      <c r="K390" s="118" t="s">
        <v>160</v>
      </c>
      <c r="L390" s="118">
        <v>0</v>
      </c>
      <c r="M390" s="118" t="s">
        <v>160</v>
      </c>
      <c r="N390" s="118" t="s">
        <v>160</v>
      </c>
      <c r="O390" s="118" t="s">
        <v>160</v>
      </c>
      <c r="P390" s="118" t="s">
        <v>160</v>
      </c>
      <c r="Q390" s="118" t="s">
        <v>160</v>
      </c>
      <c r="R390" s="118">
        <f>+SUM(E390:Q390)</f>
        <v>0</v>
      </c>
      <c r="S390" s="118">
        <f>'[3]DMPL NL'!$X$57</f>
        <v>0</v>
      </c>
      <c r="T390" s="118">
        <f>+SUM(R390:S390)</f>
        <v>0</v>
      </c>
    </row>
    <row r="391" spans="1:20" x14ac:dyDescent="0.2">
      <c r="A391" s="532" t="s">
        <v>2321</v>
      </c>
      <c r="B391" s="532" t="s">
        <v>2322</v>
      </c>
      <c r="D391" s="126" t="str">
        <f>IF([1]RENAME!$H$3=1,B391,A391)</f>
        <v>Em 31 de março de 2026</v>
      </c>
      <c r="E391" s="120">
        <f t="shared" ref="E391:S391" si="83">SUM(E382:E390)</f>
        <v>460000</v>
      </c>
      <c r="F391" s="120">
        <f t="shared" si="83"/>
        <v>0</v>
      </c>
      <c r="G391" s="120">
        <f t="shared" si="83"/>
        <v>-5296</v>
      </c>
      <c r="H391" s="120">
        <f t="shared" si="83"/>
        <v>0</v>
      </c>
      <c r="I391" s="120">
        <f t="shared" si="83"/>
        <v>0</v>
      </c>
      <c r="J391" s="120">
        <f t="shared" si="83"/>
        <v>0</v>
      </c>
      <c r="K391" s="120">
        <f t="shared" si="83"/>
        <v>80655.3</v>
      </c>
      <c r="L391" s="120">
        <f t="shared" si="83"/>
        <v>77839</v>
      </c>
      <c r="M391" s="120">
        <f t="shared" si="83"/>
        <v>260837.08600000001</v>
      </c>
      <c r="N391" s="120">
        <f t="shared" si="83"/>
        <v>0</v>
      </c>
      <c r="O391" s="120">
        <f t="shared" si="83"/>
        <v>-343</v>
      </c>
      <c r="P391" s="120">
        <f t="shared" si="83"/>
        <v>-1459</v>
      </c>
      <c r="Q391" s="120">
        <f t="shared" si="83"/>
        <v>38785</v>
      </c>
      <c r="R391" s="120">
        <f t="shared" si="83"/>
        <v>911018.38599999994</v>
      </c>
      <c r="S391" s="120">
        <f t="shared" si="83"/>
        <v>0</v>
      </c>
      <c r="T391" s="120">
        <f>SUM(T382:T390)</f>
        <v>911018.38599999994</v>
      </c>
    </row>
    <row r="393" spans="1:20" x14ac:dyDescent="0.2">
      <c r="A393" s="532" t="s">
        <v>2101</v>
      </c>
      <c r="B393" s="532" t="s">
        <v>2102</v>
      </c>
      <c r="D393" s="129" t="str">
        <f>IF([1]RENAME!$H$3=1,B393,A393)</f>
        <v>Resultados abrangentes</v>
      </c>
      <c r="E393" s="118" t="s">
        <v>160</v>
      </c>
      <c r="F393" s="118" t="s">
        <v>160</v>
      </c>
      <c r="G393" s="118" t="s">
        <v>160</v>
      </c>
      <c r="H393" s="118" t="s">
        <v>160</v>
      </c>
      <c r="I393" s="118" t="s">
        <v>160</v>
      </c>
      <c r="J393" s="118" t="s">
        <v>160</v>
      </c>
      <c r="K393" s="118" t="s">
        <v>160</v>
      </c>
      <c r="L393" s="118">
        <f>'[3]DMPL NL'!$N$49</f>
        <v>0</v>
      </c>
      <c r="M393" s="118" t="s">
        <v>160</v>
      </c>
      <c r="N393" s="118" t="s">
        <v>160</v>
      </c>
      <c r="O393" s="118" t="s">
        <v>160</v>
      </c>
      <c r="P393" s="118" t="s">
        <v>160</v>
      </c>
      <c r="Q393" s="118">
        <f>[3]DMPL!$K$33-Q384</f>
        <v>83116</v>
      </c>
      <c r="R393" s="118">
        <f>+SUM(E393:Q393)</f>
        <v>83116</v>
      </c>
      <c r="S393" s="118">
        <v>0</v>
      </c>
      <c r="T393" s="118">
        <f>+SUM(R393:S393)</f>
        <v>83116</v>
      </c>
    </row>
    <row r="394" spans="1:20" x14ac:dyDescent="0.2">
      <c r="D394" s="129" t="s">
        <v>2309</v>
      </c>
      <c r="E394" s="118">
        <f>'[3]DMPL NL'!$D$50</f>
        <v>0</v>
      </c>
      <c r="F394" s="118" t="s">
        <v>160</v>
      </c>
      <c r="G394" s="118" t="s">
        <v>160</v>
      </c>
      <c r="H394" s="118" t="s">
        <v>160</v>
      </c>
      <c r="I394" s="118" t="s">
        <v>160</v>
      </c>
      <c r="J394" s="118" t="s">
        <v>160</v>
      </c>
      <c r="K394" s="118" t="s">
        <v>160</v>
      </c>
      <c r="L394" s="118">
        <f>'[3]DMPL NL'!$N$49</f>
        <v>0</v>
      </c>
      <c r="M394" s="118">
        <f>'[3]DMPL NL'!$P$50</f>
        <v>0</v>
      </c>
      <c r="N394" s="118"/>
      <c r="O394" s="118"/>
      <c r="P394" s="118"/>
      <c r="Q394" s="118"/>
      <c r="R394" s="118"/>
      <c r="S394" s="118"/>
      <c r="T394" s="118"/>
    </row>
    <row r="395" spans="1:20" x14ac:dyDescent="0.2">
      <c r="A395" s="532" t="s">
        <v>1280</v>
      </c>
      <c r="B395" s="532" t="s">
        <v>1281</v>
      </c>
      <c r="D395" s="129" t="str">
        <f>IF([1]RENAME!$H$3=1,B395,A395)</f>
        <v>Dividendos e juros sobre capital próprio</v>
      </c>
      <c r="E395" s="118" t="s">
        <v>160</v>
      </c>
      <c r="F395" s="118" t="s">
        <v>160</v>
      </c>
      <c r="G395" s="118" t="s">
        <v>160</v>
      </c>
      <c r="H395" s="118" t="s">
        <v>160</v>
      </c>
      <c r="I395" s="118" t="s">
        <v>160</v>
      </c>
      <c r="J395" s="118" t="s">
        <v>160</v>
      </c>
      <c r="K395" s="118" t="s">
        <v>160</v>
      </c>
      <c r="L395" s="118">
        <f>'[3]DMPL NL'!$N$54</f>
        <v>0</v>
      </c>
      <c r="M395" s="118">
        <f>'[3]DMPL NL'!$P$58</f>
        <v>0</v>
      </c>
      <c r="N395" s="118">
        <f>+'[3]DMPL NL'!$T$56</f>
        <v>0</v>
      </c>
      <c r="O395" s="118" t="s">
        <v>160</v>
      </c>
      <c r="P395" s="118" t="s">
        <v>160</v>
      </c>
      <c r="Q395" s="118" t="s">
        <v>160</v>
      </c>
      <c r="R395" s="118">
        <f>+SUM(E395:Q395)</f>
        <v>0</v>
      </c>
      <c r="S395" s="118">
        <v>0</v>
      </c>
      <c r="T395" s="118">
        <f>+SUM(R395:S395)</f>
        <v>0</v>
      </c>
    </row>
    <row r="396" spans="1:20" x14ac:dyDescent="0.2">
      <c r="A396" s="532" t="s">
        <v>1843</v>
      </c>
      <c r="B396" s="532" t="s">
        <v>1848</v>
      </c>
      <c r="D396" s="129" t="str">
        <f>IF([1]RENAME!$H$3=1,B396,A396)</f>
        <v>Constituição de passivo atuarial</v>
      </c>
      <c r="E396" s="118" t="s">
        <v>160</v>
      </c>
      <c r="F396" s="118" t="s">
        <v>160</v>
      </c>
      <c r="G396" s="121" t="s">
        <v>160</v>
      </c>
      <c r="H396" s="118" t="s">
        <v>160</v>
      </c>
      <c r="I396" s="118" t="s">
        <v>160</v>
      </c>
      <c r="J396" s="118" t="s">
        <v>160</v>
      </c>
      <c r="K396" s="118" t="s">
        <v>160</v>
      </c>
      <c r="L396" s="118">
        <f>'[3]DMPL NL'!$N$53</f>
        <v>0</v>
      </c>
      <c r="M396" s="118" t="s">
        <v>160</v>
      </c>
      <c r="N396" s="118" t="s">
        <v>160</v>
      </c>
      <c r="O396" s="118" t="s">
        <v>160</v>
      </c>
      <c r="P396" s="118">
        <f>'[3]DMPL NL'!$T$52-P362</f>
        <v>0</v>
      </c>
      <c r="Q396" s="118" t="s">
        <v>160</v>
      </c>
      <c r="R396" s="118">
        <f>+SUM(E396:Q396)</f>
        <v>0</v>
      </c>
      <c r="S396" s="118" t="s">
        <v>160</v>
      </c>
      <c r="T396" s="118">
        <f>+SUM(R396:S396)</f>
        <v>0</v>
      </c>
    </row>
    <row r="397" spans="1:20" x14ac:dyDescent="0.2">
      <c r="A397" s="532" t="s">
        <v>1844</v>
      </c>
      <c r="B397" s="532" t="s">
        <v>1849</v>
      </c>
      <c r="D397" s="129" t="str">
        <f>IF([1]RENAME!$H$3=1,B397,A397)</f>
        <v>Tributos diferidos sobre passivo atuarial</v>
      </c>
      <c r="E397" s="118" t="s">
        <v>160</v>
      </c>
      <c r="F397" s="118" t="s">
        <v>160</v>
      </c>
      <c r="G397" s="121" t="s">
        <v>160</v>
      </c>
      <c r="H397" s="118" t="s">
        <v>160</v>
      </c>
      <c r="I397" s="118" t="s">
        <v>160</v>
      </c>
      <c r="J397" s="118" t="s">
        <v>160</v>
      </c>
      <c r="K397" s="118" t="s">
        <v>160</v>
      </c>
      <c r="L397" s="118">
        <f>'[3]DMPL NL'!$N$49</f>
        <v>0</v>
      </c>
      <c r="M397" s="118" t="s">
        <v>160</v>
      </c>
      <c r="N397" s="118" t="s">
        <v>160</v>
      </c>
      <c r="O397" s="118" t="s">
        <v>160</v>
      </c>
      <c r="P397" s="118">
        <f>'[3]DMPL NL'!$T$42</f>
        <v>0</v>
      </c>
      <c r="Q397" s="118" t="s">
        <v>160</v>
      </c>
      <c r="R397" s="118">
        <f>+SUM(E397:Q397)</f>
        <v>0</v>
      </c>
      <c r="S397" s="118" t="s">
        <v>160</v>
      </c>
      <c r="T397" s="118">
        <f>+SUM(R397:S397)</f>
        <v>0</v>
      </c>
    </row>
    <row r="398" spans="1:20" x14ac:dyDescent="0.2">
      <c r="A398" s="532" t="s">
        <v>1211</v>
      </c>
      <c r="B398" s="532" t="s">
        <v>1230</v>
      </c>
      <c r="D398" s="129" t="str">
        <f>IF([1]RENAME!$H$3=1,B398,A398)</f>
        <v>Constituição de Reservas</v>
      </c>
      <c r="E398" s="118" t="s">
        <v>160</v>
      </c>
      <c r="F398" s="118" t="s">
        <v>160</v>
      </c>
      <c r="G398" s="118" t="s">
        <v>160</v>
      </c>
      <c r="H398" s="118" t="s">
        <v>160</v>
      </c>
      <c r="I398" s="118" t="s">
        <v>160</v>
      </c>
      <c r="J398" s="118" t="s">
        <v>160</v>
      </c>
      <c r="K398" s="118">
        <f>'[3]DMPL NL'!$J$57</f>
        <v>0</v>
      </c>
      <c r="L398" s="118">
        <f>'[3]DMPL NL'!$N$57</f>
        <v>0</v>
      </c>
      <c r="M398" s="118">
        <f>'[3]DMPL NL'!$P$57</f>
        <v>0</v>
      </c>
      <c r="N398" s="118" t="s">
        <v>160</v>
      </c>
      <c r="O398" s="118" t="s">
        <v>160</v>
      </c>
      <c r="P398" s="118" t="s">
        <v>160</v>
      </c>
      <c r="Q398" s="118">
        <f>'[3]DMPL NL'!$R$57</f>
        <v>0</v>
      </c>
      <c r="R398" s="118">
        <f>+SUM(E398:Q398)</f>
        <v>0</v>
      </c>
      <c r="S398" s="118" t="s">
        <v>160</v>
      </c>
      <c r="T398" s="118">
        <f>+SUM(R398:S398)</f>
        <v>0</v>
      </c>
    </row>
    <row r="399" spans="1:20" x14ac:dyDescent="0.2">
      <c r="A399" s="532" t="s">
        <v>2246</v>
      </c>
      <c r="B399" s="532" t="s">
        <v>2247</v>
      </c>
      <c r="D399" s="129" t="str">
        <f>IF([1]RENAME!$H$3=1,B399,A399)</f>
        <v>Transação de Capital</v>
      </c>
      <c r="E399" s="118" t="s">
        <v>160</v>
      </c>
      <c r="F399" s="118" t="s">
        <v>160</v>
      </c>
      <c r="G399" s="118">
        <f>'[3]DMPL NL'!$H$57</f>
        <v>0</v>
      </c>
      <c r="H399" s="118" t="s">
        <v>160</v>
      </c>
      <c r="I399" s="118" t="s">
        <v>160</v>
      </c>
      <c r="J399" s="118" t="s">
        <v>160</v>
      </c>
      <c r="K399" s="118" t="s">
        <v>160</v>
      </c>
      <c r="L399" s="118">
        <f>'[3]DMPL NL'!$N$49</f>
        <v>0</v>
      </c>
      <c r="M399" s="118" t="s">
        <v>160</v>
      </c>
      <c r="N399" s="118" t="s">
        <v>160</v>
      </c>
      <c r="O399" s="118" t="s">
        <v>160</v>
      </c>
      <c r="P399" s="118" t="s">
        <v>160</v>
      </c>
      <c r="Q399" s="118" t="s">
        <v>160</v>
      </c>
      <c r="R399" s="118">
        <f>+SUM(E399:Q399)</f>
        <v>0</v>
      </c>
      <c r="S399" s="118">
        <f>'[3]DMPL NL'!$X$57</f>
        <v>0</v>
      </c>
      <c r="T399" s="118">
        <f>+SUM(R399:S399)</f>
        <v>0</v>
      </c>
    </row>
    <row r="400" spans="1:20" x14ac:dyDescent="0.2">
      <c r="A400" s="532" t="s">
        <v>2391</v>
      </c>
      <c r="B400" s="532" t="s">
        <v>2392</v>
      </c>
      <c r="D400" s="126" t="str">
        <f>IF([1]RENAME!$H$3=1,B400,A400)</f>
        <v>Em 30 de junho de 2026</v>
      </c>
      <c r="E400" s="120">
        <f t="shared" ref="E400:S400" si="84">SUM(E391:E399)</f>
        <v>460000</v>
      </c>
      <c r="F400" s="120">
        <f t="shared" si="84"/>
        <v>0</v>
      </c>
      <c r="G400" s="120">
        <f t="shared" si="84"/>
        <v>-5296</v>
      </c>
      <c r="H400" s="120">
        <f t="shared" si="84"/>
        <v>0</v>
      </c>
      <c r="I400" s="120">
        <f t="shared" si="84"/>
        <v>0</v>
      </c>
      <c r="J400" s="120">
        <f t="shared" si="84"/>
        <v>0</v>
      </c>
      <c r="K400" s="120">
        <f t="shared" si="84"/>
        <v>80655.3</v>
      </c>
      <c r="L400" s="120">
        <f t="shared" si="84"/>
        <v>77839</v>
      </c>
      <c r="M400" s="120">
        <f t="shared" si="84"/>
        <v>260837.08600000001</v>
      </c>
      <c r="N400" s="120">
        <f t="shared" si="84"/>
        <v>0</v>
      </c>
      <c r="O400" s="120">
        <f t="shared" si="84"/>
        <v>-343</v>
      </c>
      <c r="P400" s="120">
        <f t="shared" si="84"/>
        <v>-1459</v>
      </c>
      <c r="Q400" s="120">
        <f t="shared" si="84"/>
        <v>121901</v>
      </c>
      <c r="R400" s="120">
        <f t="shared" si="84"/>
        <v>994134.38599999994</v>
      </c>
      <c r="S400" s="120">
        <f t="shared" si="84"/>
        <v>0</v>
      </c>
      <c r="T400" s="120">
        <f>SUM(T391:T399)</f>
        <v>994134.38599999994</v>
      </c>
    </row>
  </sheetData>
  <mergeCells count="2">
    <mergeCell ref="E4:I4"/>
    <mergeCell ref="J4:M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7">
    <tabColor rgb="FFFAB766"/>
    <pageSetUpPr autoPageBreaks="0"/>
  </sheetPr>
  <dimension ref="A1:BM178"/>
  <sheetViews>
    <sheetView showGridLines="0" zoomScaleNormal="100" workbookViewId="0">
      <pane xSplit="4" topLeftCell="AX1" activePane="topRight" state="frozen"/>
      <selection activeCell="C84" sqref="C84"/>
      <selection pane="topRight" activeCell="BJ50" sqref="BJ50"/>
    </sheetView>
  </sheetViews>
  <sheetFormatPr defaultColWidth="9.140625" defaultRowHeight="12.75" outlineLevelRow="1" x14ac:dyDescent="0.2"/>
  <cols>
    <col min="1" max="2" width="9.140625" style="1" hidden="1" customWidth="1"/>
    <col min="3" max="3" width="1.42578125" style="1" customWidth="1"/>
    <col min="4" max="4" width="40.140625" style="1" customWidth="1"/>
    <col min="5" max="5" width="8.5703125" style="38" customWidth="1"/>
    <col min="6" max="17" width="10.85546875" style="38" customWidth="1"/>
    <col min="18" max="18" width="10.85546875" style="1" customWidth="1"/>
    <col min="19" max="19" width="9.140625" style="1" customWidth="1"/>
    <col min="20" max="31" width="10.85546875" style="1" customWidth="1"/>
    <col min="32" max="32" width="10.42578125" style="1" customWidth="1"/>
    <col min="33" max="33" width="10.85546875" style="1" customWidth="1"/>
    <col min="34" max="35" width="10.42578125" style="1" customWidth="1"/>
    <col min="36" max="43" width="9.140625" style="1" customWidth="1"/>
    <col min="44" max="45" width="9.42578125" style="1" customWidth="1"/>
    <col min="46" max="52" width="9.140625" style="1" customWidth="1"/>
    <col min="53" max="56" width="9.140625" style="1"/>
    <col min="57" max="62" width="10.42578125" style="1" bestFit="1" customWidth="1"/>
    <col min="63" max="66" width="9.140625" style="1"/>
    <col min="67" max="67" width="10" style="1" bestFit="1" customWidth="1"/>
    <col min="68" max="16384" width="9.140625" style="1"/>
  </cols>
  <sheetData>
    <row r="1" spans="1:62" s="266" customFormat="1" ht="7.5" customHeight="1" x14ac:dyDescent="0.2">
      <c r="A1" s="1"/>
      <c r="B1" s="1"/>
      <c r="E1" s="550" t="s">
        <v>7</v>
      </c>
      <c r="F1" s="550" t="str">
        <f>IF(LEFT(E1,1)="4","1T"&amp;RIGHT(E1,2)+1,LEFT(E1,1)+1&amp;RIGHT(E1,3))</f>
        <v>2T12</v>
      </c>
      <c r="G1" s="550" t="str">
        <f t="shared" ref="G1:AD1" si="0">IF(LEFT(F1,1)="4","1T"&amp;RIGHT(F1,2)+1,LEFT(F1,1)+1&amp;RIGHT(F1,3))</f>
        <v>3T12</v>
      </c>
      <c r="H1" s="550" t="str">
        <f t="shared" si="0"/>
        <v>4T12</v>
      </c>
      <c r="I1" s="550" t="str">
        <f t="shared" si="0"/>
        <v>1T13</v>
      </c>
      <c r="J1" s="550" t="str">
        <f t="shared" si="0"/>
        <v>2T13</v>
      </c>
      <c r="K1" s="550" t="str">
        <f t="shared" si="0"/>
        <v>3T13</v>
      </c>
      <c r="L1" s="550" t="str">
        <f t="shared" si="0"/>
        <v>4T13</v>
      </c>
      <c r="M1" s="550" t="str">
        <f t="shared" si="0"/>
        <v>1T14</v>
      </c>
      <c r="N1" s="550" t="str">
        <f t="shared" si="0"/>
        <v>2T14</v>
      </c>
      <c r="O1" s="550" t="str">
        <f t="shared" si="0"/>
        <v>3T14</v>
      </c>
      <c r="P1" s="550" t="str">
        <f t="shared" si="0"/>
        <v>4T14</v>
      </c>
      <c r="Q1" s="550" t="str">
        <f t="shared" si="0"/>
        <v>1T15</v>
      </c>
      <c r="R1" s="266" t="str">
        <f t="shared" si="0"/>
        <v>2T15</v>
      </c>
      <c r="S1" s="266" t="str">
        <f t="shared" si="0"/>
        <v>3T15</v>
      </c>
      <c r="T1" s="266" t="str">
        <f t="shared" si="0"/>
        <v>4T15</v>
      </c>
      <c r="U1" s="266" t="str">
        <f t="shared" si="0"/>
        <v>1T16</v>
      </c>
      <c r="V1" s="266" t="str">
        <f t="shared" si="0"/>
        <v>2T16</v>
      </c>
      <c r="W1" s="266" t="str">
        <f t="shared" si="0"/>
        <v>3T16</v>
      </c>
      <c r="X1" s="266" t="str">
        <f t="shared" si="0"/>
        <v>4T16</v>
      </c>
      <c r="Y1" s="266" t="str">
        <f t="shared" si="0"/>
        <v>1T17</v>
      </c>
      <c r="Z1" s="266" t="str">
        <f t="shared" si="0"/>
        <v>2T17</v>
      </c>
      <c r="AA1" s="266" t="str">
        <f t="shared" si="0"/>
        <v>3T17</v>
      </c>
      <c r="AB1" s="266" t="str">
        <f t="shared" si="0"/>
        <v>4T17</v>
      </c>
      <c r="AC1" s="266" t="str">
        <f t="shared" si="0"/>
        <v>1T18</v>
      </c>
      <c r="AD1" s="266" t="str">
        <f t="shared" si="0"/>
        <v>2T18</v>
      </c>
      <c r="AE1" s="266" t="str">
        <f>IF(LEFT(AD1,1)="4","1T"&amp;RIGHT(AD1,2)+1,LEFT(AD1,1)+1&amp;RIGHT(AD1,3))</f>
        <v>3T18</v>
      </c>
      <c r="AF1" s="266" t="str">
        <f>IF(LEFT(AE1,1)="4","1T"&amp;RIGHT(AE1,2)+1,LEFT(AE1,1)+1&amp;RIGHT(AE1,3))</f>
        <v>4T18</v>
      </c>
      <c r="AG1" s="266" t="str">
        <f>IF(LEFT(AF1,1)="4","1T"&amp;RIGHT(AF1,2)+1,LEFT(AF1,1)+1&amp;RIGHT(AF1,3))</f>
        <v>1T19</v>
      </c>
      <c r="AH1" s="266" t="str">
        <f>IF(LEFT(AG1,1)="4","1T"&amp;RIGHT(AG1,2)+1,LEFT(AG1,1)+1&amp;RIGHT(AG1,3))</f>
        <v>2T19</v>
      </c>
      <c r="AI1" s="266" t="str">
        <f>IF(LEFT(AH1,1)="4","1T"&amp;RIGHT(AH1,2)+1,LEFT(AH1,1)+1&amp;RIGHT(AH1,3))</f>
        <v>3T19</v>
      </c>
      <c r="AJ1" s="266" t="s">
        <v>1411</v>
      </c>
      <c r="AK1" s="266" t="str">
        <f t="shared" ref="AK1:BC1" si="1">IF(LEFT(AJ1,1)="4","1T"&amp;RIGHT(AJ1,2)+1,LEFT(AJ1,1)+1&amp;RIGHT(AJ1,3))</f>
        <v>1T20</v>
      </c>
      <c r="AL1" s="266" t="str">
        <f t="shared" si="1"/>
        <v>2T20</v>
      </c>
      <c r="AM1" s="266" t="str">
        <f t="shared" si="1"/>
        <v>3T20</v>
      </c>
      <c r="AN1" s="266" t="str">
        <f t="shared" si="1"/>
        <v>4T20</v>
      </c>
      <c r="AO1" s="266" t="str">
        <f t="shared" si="1"/>
        <v>1T21</v>
      </c>
      <c r="AP1" s="266" t="str">
        <f t="shared" si="1"/>
        <v>2T21</v>
      </c>
      <c r="AQ1" s="266" t="str">
        <f t="shared" si="1"/>
        <v>3T21</v>
      </c>
      <c r="AR1" s="266" t="str">
        <f t="shared" si="1"/>
        <v>4T21</v>
      </c>
      <c r="AS1" s="266" t="str">
        <f t="shared" si="1"/>
        <v>1T22</v>
      </c>
      <c r="AT1" s="266" t="str">
        <f>IF(LEFT(AS1,1)="4","1T"&amp;RIGHT(AS1,2)+1,LEFT(AS1,1)+1&amp;RIGHT(AS1,3))</f>
        <v>2T22</v>
      </c>
      <c r="AU1" s="266" t="str">
        <f t="shared" si="1"/>
        <v>3T22</v>
      </c>
      <c r="AV1" s="266" t="str">
        <f t="shared" si="1"/>
        <v>4T22</v>
      </c>
      <c r="AW1" s="266" t="str">
        <f t="shared" si="1"/>
        <v>1T23</v>
      </c>
      <c r="AX1" s="266" t="str">
        <f t="shared" si="1"/>
        <v>2T23</v>
      </c>
      <c r="AY1" s="266" t="str">
        <f t="shared" si="1"/>
        <v>3T23</v>
      </c>
      <c r="AZ1" s="266" t="str">
        <f t="shared" si="1"/>
        <v>4T23</v>
      </c>
      <c r="BA1" s="266" t="str">
        <f t="shared" si="1"/>
        <v>1T24</v>
      </c>
      <c r="BB1" s="266" t="str">
        <f t="shared" si="1"/>
        <v>2T24</v>
      </c>
      <c r="BC1" s="266" t="str">
        <f t="shared" si="1"/>
        <v>3T24</v>
      </c>
      <c r="BD1" s="266" t="str">
        <f t="shared" ref="BD1:BJ1" si="2">IF(LEFT(BC1,1)="4","1T"&amp;RIGHT(BC1,2)+1,LEFT(BC1,1)+1&amp;RIGHT(BC1,3))</f>
        <v>4T24</v>
      </c>
      <c r="BE1" s="266" t="str">
        <f t="shared" si="2"/>
        <v>1T25</v>
      </c>
      <c r="BF1" s="266" t="str">
        <f t="shared" si="2"/>
        <v>2T25</v>
      </c>
      <c r="BG1" s="266" t="str">
        <f t="shared" si="2"/>
        <v>3T25</v>
      </c>
      <c r="BH1" s="266" t="str">
        <f t="shared" si="2"/>
        <v>4T25</v>
      </c>
      <c r="BI1" s="266" t="str">
        <f t="shared" si="2"/>
        <v>1T26</v>
      </c>
      <c r="BJ1" s="266" t="str">
        <f t="shared" si="2"/>
        <v>2T26</v>
      </c>
    </row>
    <row r="2" spans="1:62" s="266" customFormat="1" ht="12.75" customHeight="1" x14ac:dyDescent="0.2">
      <c r="A2" s="1"/>
      <c r="B2" s="1"/>
      <c r="E2" s="550" t="str">
        <f>SUBSTITUTE(E1,"T","Q")</f>
        <v>1Q12</v>
      </c>
      <c r="F2" s="550" t="str">
        <f t="shared" ref="F2:AA2" si="3">SUBSTITUTE(F1,"T","Q")</f>
        <v>2Q12</v>
      </c>
      <c r="G2" s="550" t="str">
        <f t="shared" si="3"/>
        <v>3Q12</v>
      </c>
      <c r="H2" s="550" t="str">
        <f t="shared" si="3"/>
        <v>4Q12</v>
      </c>
      <c r="I2" s="550" t="str">
        <f t="shared" si="3"/>
        <v>1Q13</v>
      </c>
      <c r="J2" s="550" t="str">
        <f t="shared" si="3"/>
        <v>2Q13</v>
      </c>
      <c r="K2" s="550" t="str">
        <f t="shared" si="3"/>
        <v>3Q13</v>
      </c>
      <c r="L2" s="550" t="str">
        <f t="shared" si="3"/>
        <v>4Q13</v>
      </c>
      <c r="M2" s="550" t="str">
        <f t="shared" si="3"/>
        <v>1Q14</v>
      </c>
      <c r="N2" s="550" t="str">
        <f t="shared" si="3"/>
        <v>2Q14</v>
      </c>
      <c r="O2" s="550" t="str">
        <f t="shared" si="3"/>
        <v>3Q14</v>
      </c>
      <c r="P2" s="550" t="str">
        <f t="shared" si="3"/>
        <v>4Q14</v>
      </c>
      <c r="Q2" s="550" t="str">
        <f t="shared" si="3"/>
        <v>1Q15</v>
      </c>
      <c r="R2" s="550" t="str">
        <f t="shared" si="3"/>
        <v>2Q15</v>
      </c>
      <c r="S2" s="550" t="str">
        <f t="shared" si="3"/>
        <v>3Q15</v>
      </c>
      <c r="T2" s="550" t="str">
        <f t="shared" si="3"/>
        <v>4Q15</v>
      </c>
      <c r="U2" s="550" t="str">
        <f t="shared" si="3"/>
        <v>1Q16</v>
      </c>
      <c r="V2" s="550" t="str">
        <f t="shared" si="3"/>
        <v>2Q16</v>
      </c>
      <c r="W2" s="550" t="str">
        <f t="shared" si="3"/>
        <v>3Q16</v>
      </c>
      <c r="X2" s="550" t="str">
        <f t="shared" si="3"/>
        <v>4Q16</v>
      </c>
      <c r="Y2" s="550" t="str">
        <f t="shared" si="3"/>
        <v>1Q17</v>
      </c>
      <c r="Z2" s="550" t="str">
        <f t="shared" si="3"/>
        <v>2Q17</v>
      </c>
      <c r="AA2" s="550" t="str">
        <f t="shared" si="3"/>
        <v>3Q17</v>
      </c>
      <c r="AB2" s="550" t="str">
        <f t="shared" ref="AB2:AG2" si="4">SUBSTITUTE(AB1,"T","Q")</f>
        <v>4Q17</v>
      </c>
      <c r="AC2" s="550" t="str">
        <f t="shared" si="4"/>
        <v>1Q18</v>
      </c>
      <c r="AD2" s="550" t="str">
        <f t="shared" si="4"/>
        <v>2Q18</v>
      </c>
      <c r="AE2" s="550" t="str">
        <f t="shared" si="4"/>
        <v>3Q18</v>
      </c>
      <c r="AF2" s="550" t="str">
        <f t="shared" si="4"/>
        <v>4Q18</v>
      </c>
      <c r="AG2" s="550" t="str">
        <f t="shared" si="4"/>
        <v>1Q19</v>
      </c>
      <c r="AH2" s="550" t="str">
        <f>SUBSTITUTE(AH1,"T","Q")</f>
        <v>2Q19</v>
      </c>
      <c r="AI2" s="550" t="str">
        <f>SUBSTITUTE(AI1,"T","Q")</f>
        <v>3Q19</v>
      </c>
      <c r="AJ2" s="550" t="s">
        <v>1514</v>
      </c>
      <c r="AK2" s="550" t="str">
        <f t="shared" ref="AK2:AP2" si="5">SUBSTITUTE(AK1,"T","Q")</f>
        <v>1Q20</v>
      </c>
      <c r="AL2" s="550" t="str">
        <f t="shared" si="5"/>
        <v>2Q20</v>
      </c>
      <c r="AM2" s="550" t="str">
        <f t="shared" si="5"/>
        <v>3Q20</v>
      </c>
      <c r="AN2" s="550" t="str">
        <f t="shared" si="5"/>
        <v>4Q20</v>
      </c>
      <c r="AO2" s="550" t="str">
        <f t="shared" si="5"/>
        <v>1Q21</v>
      </c>
      <c r="AP2" s="550" t="str">
        <f t="shared" si="5"/>
        <v>2Q21</v>
      </c>
      <c r="AQ2" s="550" t="str">
        <f t="shared" ref="AQ2:AV2" si="6">SUBSTITUTE(AQ1,"T","Q")</f>
        <v>3Q21</v>
      </c>
      <c r="AR2" s="550" t="str">
        <f t="shared" si="6"/>
        <v>4Q21</v>
      </c>
      <c r="AS2" s="550" t="str">
        <f t="shared" si="6"/>
        <v>1Q22</v>
      </c>
      <c r="AT2" s="550" t="str">
        <f t="shared" si="6"/>
        <v>2Q22</v>
      </c>
      <c r="AU2" s="550" t="str">
        <f t="shared" si="6"/>
        <v>3Q22</v>
      </c>
      <c r="AV2" s="550" t="str">
        <f t="shared" si="6"/>
        <v>4Q22</v>
      </c>
      <c r="AW2" s="550" t="str">
        <f t="shared" ref="AW2:BB2" si="7">SUBSTITUTE(AW1,"T","Q")</f>
        <v>1Q23</v>
      </c>
      <c r="AX2" s="550" t="str">
        <f t="shared" si="7"/>
        <v>2Q23</v>
      </c>
      <c r="AY2" s="550" t="str">
        <f t="shared" si="7"/>
        <v>3Q23</v>
      </c>
      <c r="AZ2" s="550" t="str">
        <f t="shared" si="7"/>
        <v>4Q23</v>
      </c>
      <c r="BA2" s="550" t="str">
        <f t="shared" si="7"/>
        <v>1Q24</v>
      </c>
      <c r="BB2" s="550" t="str">
        <f t="shared" si="7"/>
        <v>2Q24</v>
      </c>
      <c r="BC2" s="550" t="str">
        <f t="shared" ref="BC2:BI2" si="8">SUBSTITUTE(BC1,"T","Q")</f>
        <v>3Q24</v>
      </c>
      <c r="BD2" s="550" t="str">
        <f t="shared" si="8"/>
        <v>4Q24</v>
      </c>
      <c r="BE2" s="550" t="str">
        <f t="shared" si="8"/>
        <v>1Q25</v>
      </c>
      <c r="BF2" s="550" t="str">
        <f t="shared" si="8"/>
        <v>2Q25</v>
      </c>
      <c r="BG2" s="550" t="str">
        <f t="shared" si="8"/>
        <v>3Q25</v>
      </c>
      <c r="BH2" s="550" t="str">
        <f t="shared" si="8"/>
        <v>4Q25</v>
      </c>
      <c r="BI2" s="550" t="str">
        <f t="shared" si="8"/>
        <v>1Q26</v>
      </c>
      <c r="BJ2" s="550" t="str">
        <f>SUBSTITUTE(BJ1,"T","Q")</f>
        <v>2Q26</v>
      </c>
    </row>
    <row r="3" spans="1:62" ht="12.75" customHeight="1" x14ac:dyDescent="0.2">
      <c r="C3" s="9"/>
      <c r="D3" s="9"/>
      <c r="E3" s="266" t="str">
        <f>IF([1]RENAME!$H$3=1,E2,E1)</f>
        <v>1T12</v>
      </c>
      <c r="F3" s="266" t="str">
        <f>IF([1]RENAME!$H$3=1,F2,F1)</f>
        <v>2T12</v>
      </c>
      <c r="G3" s="266" t="str">
        <f>IF([1]RENAME!$H$3=1,G2,G1)</f>
        <v>3T12</v>
      </c>
      <c r="H3" s="266" t="str">
        <f>IF([1]RENAME!$H$3=1,H2,H1)</f>
        <v>4T12</v>
      </c>
      <c r="I3" s="266" t="str">
        <f>IF([1]RENAME!$H$3=1,I2,I1)</f>
        <v>1T13</v>
      </c>
      <c r="J3" s="266" t="str">
        <f>IF([1]RENAME!$H$3=1,J2,J1)</f>
        <v>2T13</v>
      </c>
      <c r="K3" s="266" t="str">
        <f>IF([1]RENAME!$H$3=1,K2,K1)</f>
        <v>3T13</v>
      </c>
      <c r="L3" s="266" t="str">
        <f>IF([1]RENAME!$H$3=1,L2,L1)</f>
        <v>4T13</v>
      </c>
      <c r="M3" s="266" t="str">
        <f>IF([1]RENAME!$H$3=1,M2,M1)</f>
        <v>1T14</v>
      </c>
      <c r="N3" s="266" t="str">
        <f>IF([1]RENAME!$H$3=1,N2,N1)</f>
        <v>2T14</v>
      </c>
      <c r="O3" s="266" t="str">
        <f>IF([1]RENAME!$H$3=1,O2,O1)</f>
        <v>3T14</v>
      </c>
      <c r="P3" s="266" t="str">
        <f>IF([1]RENAME!$H$3=1,P2,P1)</f>
        <v>4T14</v>
      </c>
      <c r="Q3" s="266" t="str">
        <f>IF([1]RENAME!$H$3=1,Q2,Q1)</f>
        <v>1T15</v>
      </c>
      <c r="R3" s="266" t="str">
        <f>IF([1]RENAME!$H$3=1,R2,R1)</f>
        <v>2T15</v>
      </c>
      <c r="S3" s="266" t="str">
        <f>IF([1]RENAME!$H$3=1,S2,S1)</f>
        <v>3T15</v>
      </c>
      <c r="T3" s="266" t="str">
        <f>IF([1]RENAME!$H$3=1,T2,T1)</f>
        <v>4T15</v>
      </c>
      <c r="U3" s="266" t="str">
        <f>IF([1]RENAME!$H$3=1,U2,U1)</f>
        <v>1T16</v>
      </c>
      <c r="V3" s="266" t="str">
        <f>IF([1]RENAME!$H$3=1,V2,V1)</f>
        <v>2T16</v>
      </c>
      <c r="W3" s="266" t="str">
        <f>IF([1]RENAME!$H$3=1,W2,W1)</f>
        <v>3T16</v>
      </c>
      <c r="X3" s="266" t="str">
        <f>IF([1]RENAME!$H$3=1,X2,X1)</f>
        <v>4T16</v>
      </c>
      <c r="Y3" s="266" t="str">
        <f>IF([1]RENAME!$H$3=1,Y2,Y1)</f>
        <v>1T17</v>
      </c>
      <c r="Z3" s="266" t="str">
        <f>IF([1]RENAME!$H$3=1,Z2,Z1)</f>
        <v>2T17</v>
      </c>
      <c r="AA3" s="266" t="str">
        <f>IF([1]RENAME!$H$3=1,AA2,AA1)</f>
        <v>3T17</v>
      </c>
      <c r="AB3" s="266" t="str">
        <f>IF([1]RENAME!$H$3=1,AB2,AB1)</f>
        <v>4T17</v>
      </c>
      <c r="AC3" s="266" t="str">
        <f>IF([1]RENAME!$H$3=1,AC2,AC1)</f>
        <v>1T18</v>
      </c>
      <c r="AD3" s="266" t="str">
        <f>IF([1]RENAME!$H$3=1,AD2,AD1)</f>
        <v>2T18</v>
      </c>
      <c r="AE3" s="266" t="str">
        <f>IF([1]RENAME!$H$3=1,AE2,AE1)</f>
        <v>3T18</v>
      </c>
      <c r="AF3" s="266" t="str">
        <f>IF([1]RENAME!$H$3=1,AF2,AF1)</f>
        <v>4T18</v>
      </c>
      <c r="AG3" s="266" t="str">
        <f>IF([1]RENAME!$H$3=1,AG2,AG1)</f>
        <v>1T19</v>
      </c>
      <c r="AH3" s="266" t="str">
        <f>IF([1]RENAME!$H$3=1,AH2,AH1)</f>
        <v>2T19</v>
      </c>
      <c r="AI3" s="266" t="str">
        <f>IF([1]RENAME!$H$3=1,AI2,AI1)</f>
        <v>3T19</v>
      </c>
      <c r="AJ3" s="266" t="str">
        <f>IF([1]RENAME!$H$3=1,AJ2,AJ1)</f>
        <v>4T19</v>
      </c>
      <c r="AK3" s="266" t="str">
        <f>IF([1]RENAME!$H$3=1,AK2,AK1)</f>
        <v>1T20</v>
      </c>
      <c r="AL3" s="266" t="str">
        <f>IF([1]RENAME!$H$3=1,AL2,AL1)</f>
        <v>2T20</v>
      </c>
      <c r="AM3" s="266" t="str">
        <f>IF([1]RENAME!$H$3=1,AM2,AM1)</f>
        <v>3T20</v>
      </c>
      <c r="AN3" s="266" t="str">
        <f>IF([1]RENAME!$H$3=1,AN2,AN1)</f>
        <v>4T20</v>
      </c>
      <c r="AO3" s="266" t="str">
        <f>IF([1]RENAME!$H$3=1,AO2,AO1)</f>
        <v>1T21</v>
      </c>
      <c r="AP3" s="266" t="str">
        <f>IF([1]RENAME!$H$3=1,AP2,AP1)</f>
        <v>2T21</v>
      </c>
      <c r="AQ3" s="266" t="str">
        <f>IF([1]RENAME!$H$3=1,AQ2,AQ1)</f>
        <v>3T21</v>
      </c>
      <c r="AR3" s="266" t="str">
        <f>IF([1]RENAME!$H$3=1,AR2,AR1)</f>
        <v>4T21</v>
      </c>
      <c r="AS3" s="266" t="str">
        <f>IF([1]RENAME!$H$3=1,AS2,AS1)</f>
        <v>1T22</v>
      </c>
      <c r="AT3" s="266" t="str">
        <f>IF([1]RENAME!$H$3=1,AT2,AT1)</f>
        <v>2T22</v>
      </c>
      <c r="AU3" s="266" t="str">
        <f>IF([1]RENAME!$H$3=1,AU2,AU1)</f>
        <v>3T22</v>
      </c>
      <c r="AV3" s="266" t="str">
        <f>IF([1]RENAME!$H$3=1,AV2,AV1)</f>
        <v>4T22</v>
      </c>
      <c r="AW3" s="266" t="str">
        <f>IF([1]RENAME!$H$3=1,AW2,AW1)</f>
        <v>1T23</v>
      </c>
      <c r="AX3" s="266" t="str">
        <f>IF([1]RENAME!$H$3=1,AX2,AX1)</f>
        <v>2T23</v>
      </c>
      <c r="AY3" s="266" t="str">
        <f>IF([1]RENAME!$H$3=1,AY2,AY1)</f>
        <v>3T23</v>
      </c>
      <c r="AZ3" s="266" t="str">
        <f>IF([1]RENAME!$H$3=1,AZ2,AZ1)</f>
        <v>4T23</v>
      </c>
      <c r="BA3" s="266" t="str">
        <f>IF([1]RENAME!$H$3=1,BA2,BA1)</f>
        <v>1T24</v>
      </c>
      <c r="BB3" s="266" t="str">
        <f>IF([1]RENAME!$H$3=1,BB2,BB1)</f>
        <v>2T24</v>
      </c>
      <c r="BC3" s="266" t="str">
        <f>IF([1]RENAME!$H$3=1,BC2,BC1)</f>
        <v>3T24</v>
      </c>
      <c r="BD3" s="266" t="str">
        <f>IF([1]RENAME!$H$3=1,BD2,BD1)</f>
        <v>4T24</v>
      </c>
      <c r="BE3" s="266" t="str">
        <f>IF([1]RENAME!$H$3=1,BE2,BE1)</f>
        <v>1T25</v>
      </c>
      <c r="BF3" s="266" t="str">
        <f>IF([1]RENAME!$H$3=1,BF2,BF1)</f>
        <v>2T25</v>
      </c>
      <c r="BG3" s="266" t="str">
        <f>IF([1]RENAME!$H$3=1,BG2,BG1)</f>
        <v>3T25</v>
      </c>
      <c r="BH3" s="266" t="str">
        <f>IF([1]RENAME!$H$3=1,BH2,BH1)</f>
        <v>4T25</v>
      </c>
      <c r="BI3" s="266" t="str">
        <f>IF([1]RENAME!$H$3=1,BI2,BI1)</f>
        <v>1T26</v>
      </c>
      <c r="BJ3" s="266" t="str">
        <f>IF([1]RENAME!$H$3=1,BJ2,BJ1)</f>
        <v>2T26</v>
      </c>
    </row>
    <row r="4" spans="1:62" x14ac:dyDescent="0.2">
      <c r="A4" s="1" t="s">
        <v>482</v>
      </c>
      <c r="B4" s="1" t="s">
        <v>825</v>
      </c>
      <c r="C4" s="9"/>
      <c r="D4" s="9" t="str">
        <f>IF([1]RENAME!$H$3=1,B4,A4)</f>
        <v>(consolidado)</v>
      </c>
      <c r="E4" s="10"/>
      <c r="F4" s="10"/>
      <c r="G4" s="10"/>
      <c r="H4" s="10"/>
      <c r="I4" s="10"/>
      <c r="J4" s="10"/>
      <c r="K4" s="10"/>
      <c r="L4" s="10"/>
      <c r="M4" s="10"/>
      <c r="N4" s="10"/>
      <c r="O4" s="10"/>
      <c r="P4" s="10"/>
      <c r="Q4" s="265"/>
      <c r="R4" s="265"/>
      <c r="S4" s="265"/>
      <c r="T4" s="265"/>
      <c r="U4" s="265"/>
      <c r="V4" s="265"/>
      <c r="W4" s="265"/>
      <c r="X4" s="265"/>
      <c r="Y4" s="265"/>
      <c r="Z4" s="265"/>
      <c r="AA4" s="265"/>
      <c r="AB4" s="265"/>
      <c r="AC4" s="265"/>
      <c r="AD4" s="265"/>
      <c r="AE4" s="265"/>
      <c r="AG4" s="187"/>
      <c r="AH4" s="187"/>
      <c r="AI4" s="187"/>
      <c r="AJ4" s="187"/>
      <c r="AK4" s="187"/>
      <c r="AL4" s="187"/>
      <c r="AM4" s="187"/>
      <c r="AN4" s="187"/>
      <c r="AO4" s="187"/>
      <c r="AP4" s="187"/>
      <c r="AQ4" s="187"/>
      <c r="AR4" s="187"/>
      <c r="AS4" s="187"/>
    </row>
    <row r="5" spans="1:62" x14ac:dyDescent="0.2">
      <c r="A5" s="1" t="s">
        <v>463</v>
      </c>
      <c r="B5" s="1" t="s">
        <v>826</v>
      </c>
      <c r="C5" s="9"/>
      <c r="D5" s="127" t="str">
        <f>IF([1]RENAME!$H$3=1,B5,A5)</f>
        <v>Indicadores de liquidez</v>
      </c>
      <c r="E5" s="141" t="str">
        <f t="shared" ref="E5:AG5" si="9">+E$3</f>
        <v>1T12</v>
      </c>
      <c r="F5" s="141" t="str">
        <f t="shared" si="9"/>
        <v>2T12</v>
      </c>
      <c r="G5" s="141" t="str">
        <f t="shared" si="9"/>
        <v>3T12</v>
      </c>
      <c r="H5" s="141" t="str">
        <f t="shared" si="9"/>
        <v>4T12</v>
      </c>
      <c r="I5" s="141" t="str">
        <f t="shared" si="9"/>
        <v>1T13</v>
      </c>
      <c r="J5" s="141" t="str">
        <f t="shared" si="9"/>
        <v>2T13</v>
      </c>
      <c r="K5" s="141" t="str">
        <f t="shared" si="9"/>
        <v>3T13</v>
      </c>
      <c r="L5" s="141" t="str">
        <f t="shared" si="9"/>
        <v>4T13</v>
      </c>
      <c r="M5" s="141" t="str">
        <f t="shared" si="9"/>
        <v>1T14</v>
      </c>
      <c r="N5" s="141" t="str">
        <f t="shared" si="9"/>
        <v>2T14</v>
      </c>
      <c r="O5" s="141" t="str">
        <f t="shared" si="9"/>
        <v>3T14</v>
      </c>
      <c r="P5" s="141" t="str">
        <f t="shared" si="9"/>
        <v>4T14</v>
      </c>
      <c r="Q5" s="141" t="str">
        <f t="shared" si="9"/>
        <v>1T15</v>
      </c>
      <c r="R5" s="141" t="str">
        <f t="shared" si="9"/>
        <v>2T15</v>
      </c>
      <c r="S5" s="141" t="str">
        <f t="shared" si="9"/>
        <v>3T15</v>
      </c>
      <c r="T5" s="141" t="str">
        <f t="shared" si="9"/>
        <v>4T15</v>
      </c>
      <c r="U5" s="141" t="str">
        <f t="shared" si="9"/>
        <v>1T16</v>
      </c>
      <c r="V5" s="141" t="str">
        <f t="shared" si="9"/>
        <v>2T16</v>
      </c>
      <c r="W5" s="141" t="str">
        <f t="shared" si="9"/>
        <v>3T16</v>
      </c>
      <c r="X5" s="141" t="str">
        <f t="shared" si="9"/>
        <v>4T16</v>
      </c>
      <c r="Y5" s="141" t="str">
        <f t="shared" si="9"/>
        <v>1T17</v>
      </c>
      <c r="Z5" s="141" t="str">
        <f t="shared" si="9"/>
        <v>2T17</v>
      </c>
      <c r="AA5" s="141" t="str">
        <f t="shared" si="9"/>
        <v>3T17</v>
      </c>
      <c r="AB5" s="141" t="str">
        <f t="shared" si="9"/>
        <v>4T17</v>
      </c>
      <c r="AC5" s="141" t="str">
        <f t="shared" si="9"/>
        <v>1T18</v>
      </c>
      <c r="AD5" s="141" t="str">
        <f t="shared" si="9"/>
        <v>2T18</v>
      </c>
      <c r="AE5" s="141" t="str">
        <f t="shared" si="9"/>
        <v>3T18</v>
      </c>
      <c r="AF5" s="141" t="str">
        <f t="shared" si="9"/>
        <v>4T18</v>
      </c>
      <c r="AG5" s="141" t="str">
        <f t="shared" si="9"/>
        <v>1T19</v>
      </c>
      <c r="AH5" s="141" t="str">
        <f t="shared" ref="AH5:BJ5" si="10">+AH$3</f>
        <v>2T19</v>
      </c>
      <c r="AI5" s="141" t="str">
        <f t="shared" si="10"/>
        <v>3T19</v>
      </c>
      <c r="AJ5" s="141" t="str">
        <f t="shared" si="10"/>
        <v>4T19</v>
      </c>
      <c r="AK5" s="141" t="str">
        <f t="shared" si="10"/>
        <v>1T20</v>
      </c>
      <c r="AL5" s="141" t="str">
        <f t="shared" si="10"/>
        <v>2T20</v>
      </c>
      <c r="AM5" s="141" t="str">
        <f t="shared" si="10"/>
        <v>3T20</v>
      </c>
      <c r="AN5" s="141" t="str">
        <f t="shared" si="10"/>
        <v>4T20</v>
      </c>
      <c r="AO5" s="141" t="str">
        <f t="shared" si="10"/>
        <v>1T21</v>
      </c>
      <c r="AP5" s="141" t="str">
        <f t="shared" si="10"/>
        <v>2T21</v>
      </c>
      <c r="AQ5" s="141" t="str">
        <f t="shared" si="10"/>
        <v>3T21</v>
      </c>
      <c r="AR5" s="141" t="str">
        <f t="shared" si="10"/>
        <v>4T21</v>
      </c>
      <c r="AS5" s="141" t="str">
        <f t="shared" si="10"/>
        <v>1T22</v>
      </c>
      <c r="AT5" s="141" t="str">
        <f t="shared" si="10"/>
        <v>2T22</v>
      </c>
      <c r="AU5" s="141" t="str">
        <f t="shared" si="10"/>
        <v>3T22</v>
      </c>
      <c r="AV5" s="141" t="str">
        <f t="shared" si="10"/>
        <v>4T22</v>
      </c>
      <c r="AW5" s="141" t="str">
        <f t="shared" si="10"/>
        <v>1T23</v>
      </c>
      <c r="AX5" s="141" t="str">
        <f t="shared" si="10"/>
        <v>2T23</v>
      </c>
      <c r="AY5" s="141" t="str">
        <f t="shared" si="10"/>
        <v>3T23</v>
      </c>
      <c r="AZ5" s="141" t="str">
        <f t="shared" si="10"/>
        <v>4T23</v>
      </c>
      <c r="BA5" s="141" t="str">
        <f t="shared" si="10"/>
        <v>1T24</v>
      </c>
      <c r="BB5" s="141" t="str">
        <f t="shared" si="10"/>
        <v>2T24</v>
      </c>
      <c r="BC5" s="141" t="str">
        <f t="shared" si="10"/>
        <v>3T24</v>
      </c>
      <c r="BD5" s="141" t="str">
        <f t="shared" si="10"/>
        <v>4T24</v>
      </c>
      <c r="BE5" s="141" t="str">
        <f t="shared" si="10"/>
        <v>1T25</v>
      </c>
      <c r="BF5" s="141" t="str">
        <f t="shared" si="10"/>
        <v>2T25</v>
      </c>
      <c r="BG5" s="141" t="str">
        <f t="shared" si="10"/>
        <v>3T25</v>
      </c>
      <c r="BH5" s="141" t="str">
        <f t="shared" si="10"/>
        <v>4T25</v>
      </c>
      <c r="BI5" s="141" t="str">
        <f t="shared" si="10"/>
        <v>1T26</v>
      </c>
      <c r="BJ5" s="141" t="str">
        <f t="shared" si="10"/>
        <v>2T26</v>
      </c>
    </row>
    <row r="6" spans="1:62" x14ac:dyDescent="0.2">
      <c r="A6" s="1" t="s">
        <v>460</v>
      </c>
      <c r="B6" s="1" t="s">
        <v>827</v>
      </c>
      <c r="C6" s="9"/>
      <c r="D6" s="117" t="str">
        <f>IF([1]RENAME!$H$3=1,B6,A6)</f>
        <v>Liquidez corrente</v>
      </c>
      <c r="E6" s="209">
        <f>BP!M6/BP!M42</f>
        <v>2.2364955715599977</v>
      </c>
      <c r="F6" s="209">
        <f>BP!N6/BP!N42</f>
        <v>1.1627723824826701</v>
      </c>
      <c r="G6" s="209">
        <f>BP!O6/BP!O42</f>
        <v>1.3313881674598933</v>
      </c>
      <c r="H6" s="209">
        <f>BP!P6/BP!P42</f>
        <v>1.3311960183728813</v>
      </c>
      <c r="I6" s="209">
        <f>BP!Q6/BP!Q42</f>
        <v>1.7787891963663736</v>
      </c>
      <c r="J6" s="209">
        <f>BP!R6/BP!R42</f>
        <v>1.679611827917687</v>
      </c>
      <c r="K6" s="209">
        <f>BP!S6/BP!S42</f>
        <v>1.6426202518620536</v>
      </c>
      <c r="L6" s="209">
        <f>BP!T6/BP!T42</f>
        <v>2.288819059632683</v>
      </c>
      <c r="M6" s="209">
        <f>BP!U6/BP!U42</f>
        <v>2.4164946316793103</v>
      </c>
      <c r="N6" s="209">
        <f>BP!V6/BP!V42</f>
        <v>2.5371847111466641</v>
      </c>
      <c r="O6" s="209">
        <f>BP!W6/BP!W42</f>
        <v>3.6846806140133697</v>
      </c>
      <c r="P6" s="209">
        <f>BP!X6/BP!X42</f>
        <v>3.5697091216196806</v>
      </c>
      <c r="Q6" s="209">
        <f>BP!Y6/BP!Y42</f>
        <v>2.5214870204290993</v>
      </c>
      <c r="R6" s="209">
        <f>BP!Z6/BP!Z42</f>
        <v>3.158675608875559</v>
      </c>
      <c r="S6" s="209">
        <f>BP!AA6/BP!AA42</f>
        <v>3.0543052429774109</v>
      </c>
      <c r="T6" s="209">
        <f>BP!AB6/BP!AB42</f>
        <v>2.1445947492940549</v>
      </c>
      <c r="U6" s="209">
        <f>BP!AC6/BP!AC42</f>
        <v>1.6166125820195656</v>
      </c>
      <c r="V6" s="209">
        <f>BP!AD6/BP!AD42</f>
        <v>1.6186253045367749</v>
      </c>
      <c r="W6" s="209">
        <f>BP!AE6/BP!AE42</f>
        <v>1.6568172662826577</v>
      </c>
      <c r="X6" s="209">
        <f>BP!AF6/BP!AF42</f>
        <v>1.498823989029213</v>
      </c>
      <c r="Y6" s="209">
        <f>BP!AG6/BP!AG42</f>
        <v>1.2533849403156763</v>
      </c>
      <c r="Z6" s="209">
        <v>1.668093304024185</v>
      </c>
      <c r="AA6" s="209">
        <f>BP!AI6/BP!AI42</f>
        <v>1.8680480228078</v>
      </c>
      <c r="AB6" s="209">
        <f>BP!AJ6/BP!AJ42</f>
        <v>2.0028009707180963</v>
      </c>
      <c r="AC6" s="209">
        <f>BP!AK6/BP!AK42</f>
        <v>2.0712162905888829</v>
      </c>
      <c r="AD6" s="209">
        <f>BP!AL6/BP!AL42</f>
        <v>1.5957810202465785</v>
      </c>
      <c r="AE6" s="209">
        <f>BP!AM6/BP!AM42</f>
        <v>2.0035162114467826</v>
      </c>
      <c r="AF6" s="209">
        <f>BP!AN6/BP!AN42</f>
        <v>1.9778893824498072</v>
      </c>
      <c r="AG6" s="209">
        <f>BP!AO6/BP!AO42</f>
        <v>2.5132489874498853</v>
      </c>
      <c r="AH6" s="209">
        <f>BP!AP6/BP!AP42</f>
        <v>2.441727700576457</v>
      </c>
      <c r="AI6" s="209">
        <f>BP!AQ6/BP!AQ42</f>
        <v>1.6965456103323826</v>
      </c>
      <c r="AJ6" s="209">
        <f>BP!AR6/BP!AR42</f>
        <v>1.6711832238617121</v>
      </c>
      <c r="AK6" s="209">
        <f>BP!AS6/BP!AS42</f>
        <v>1.8969015617056573</v>
      </c>
      <c r="AL6" s="209">
        <f>BP!AT6/BP!AT42</f>
        <v>1.8973730141304226</v>
      </c>
      <c r="AM6" s="209">
        <f>BP!AU6/BP!AU42</f>
        <v>2.4206379644228537</v>
      </c>
      <c r="AN6" s="209">
        <f>BP!AV6/BP!AV42</f>
        <v>2.5150331560154484</v>
      </c>
      <c r="AO6" s="209">
        <f>BP!AW6/BP!AW42</f>
        <v>2.5765767996513609</v>
      </c>
      <c r="AP6" s="209">
        <f>BP!AX6/BP!AX42</f>
        <v>2.3061999741205614</v>
      </c>
      <c r="AQ6" s="209">
        <f>BP!AY6/BP!AY42</f>
        <v>2.3936354587209272</v>
      </c>
      <c r="AR6" s="209">
        <f>BP!AZ6/BP!AZ42</f>
        <v>2.3081918718427161</v>
      </c>
      <c r="AS6" s="209">
        <f>BP!BA6/BP!BA42</f>
        <v>2.5084837004271052</v>
      </c>
      <c r="AT6" s="209">
        <f>BP!BB6/BP!BB42</f>
        <v>2.8808165368021124</v>
      </c>
      <c r="AU6" s="209">
        <f>BP!BC6/BP!BC42</f>
        <v>2.260233585542629</v>
      </c>
      <c r="AV6" s="209">
        <f>BP!BD6/BP!BD42</f>
        <v>2.2994903584132467</v>
      </c>
      <c r="AW6" s="209">
        <f>BP!BE6/BP!BE42</f>
        <v>2.6808115291765224</v>
      </c>
      <c r="AX6" s="209">
        <f>BP!BF6/BP!BF42</f>
        <v>2.6167242358057594</v>
      </c>
      <c r="AY6" s="209">
        <f>BP!BG6/BP!BG42</f>
        <v>3.1988518524663601</v>
      </c>
      <c r="AZ6" s="209">
        <f>BP!BH6/BP!BH42</f>
        <v>3.0931376013407776</v>
      </c>
      <c r="BA6" s="209">
        <f>BP!BI6/BP!BI42</f>
        <v>3.5492200656607755</v>
      </c>
      <c r="BB6" s="209">
        <f>BP!BJ6/BP!BJ42</f>
        <v>3.2573353812614578</v>
      </c>
      <c r="BC6" s="209">
        <f>BP!BK6/BP!BK42</f>
        <v>2.8019919883024356</v>
      </c>
      <c r="BD6" s="209">
        <f>BP!BL6/BP!BL42</f>
        <v>2.7108788425112396</v>
      </c>
      <c r="BE6" s="209">
        <f>BP!BM6/BP!BM42</f>
        <v>3.1992926126354018</v>
      </c>
      <c r="BF6" s="209">
        <f>BP!BN6/BP!BN42</f>
        <v>3.0259160827897236</v>
      </c>
      <c r="BG6" s="209">
        <f>BP!BO6/BP!BO42</f>
        <v>2.6134832275611966</v>
      </c>
      <c r="BH6" s="209">
        <f>BP!BP6/BP!BP42</f>
        <v>2.0990778862839838</v>
      </c>
      <c r="BI6" s="209">
        <f>BP!BQ6/BP!BQ42</f>
        <v>2.222591680350301</v>
      </c>
      <c r="BJ6" s="209">
        <f>BP!BR6/BP!BR42</f>
        <v>2.2192518369694891</v>
      </c>
    </row>
    <row r="7" spans="1:62" x14ac:dyDescent="0.2">
      <c r="A7" s="1" t="s">
        <v>461</v>
      </c>
      <c r="B7" s="1" t="s">
        <v>828</v>
      </c>
      <c r="C7" s="9"/>
      <c r="D7" s="117" t="str">
        <f>IF([1]RENAME!$H$3=1,B7,A7)</f>
        <v>Liquidez imediata</v>
      </c>
      <c r="E7" s="209">
        <f>(BP!M7+BP!M19)/BP!M42</f>
        <v>0.33382326523279932</v>
      </c>
      <c r="F7" s="209">
        <f>(BP!N7+BP!N19)/BP!N42</f>
        <v>0.13216021222487448</v>
      </c>
      <c r="G7" s="209">
        <f>(BP!O7+BP!O19)/BP!O42</f>
        <v>0.20020130975606726</v>
      </c>
      <c r="H7" s="209">
        <f>(BP!P7+BP!P19)/BP!P42</f>
        <v>0.16743053099232122</v>
      </c>
      <c r="I7" s="209">
        <f>(BP!Q7+BP!Q19)/BP!Q42</f>
        <v>0.70783483176010209</v>
      </c>
      <c r="J7" s="209">
        <f>(BP!R7+BP!R19)/BP!R42</f>
        <v>0.58335668538892338</v>
      </c>
      <c r="K7" s="209">
        <f>(BP!S7+BP!S19)/BP!S42</f>
        <v>0.48919969288976484</v>
      </c>
      <c r="L7" s="209">
        <f>(BP!T7+BP!T19)/BP!T42</f>
        <v>0.76755117057860667</v>
      </c>
      <c r="M7" s="209">
        <f>(BP!U7+BP!U19)/BP!U42</f>
        <v>0.91810305517555857</v>
      </c>
      <c r="N7" s="209">
        <f>(BP!V7+BP!V19)/BP!V42</f>
        <v>0.64238753522057279</v>
      </c>
      <c r="O7" s="209">
        <f>(BP!W7+BP!W19)/BP!W42</f>
        <v>1.151850705620203</v>
      </c>
      <c r="P7" s="209">
        <f>(BP!X7+BP!X19)/BP!X42</f>
        <v>1.3090791053608259</v>
      </c>
      <c r="Q7" s="209">
        <f>(BP!Y7+BP!Y19)/BP!Y42</f>
        <v>1.2300738140463081</v>
      </c>
      <c r="R7" s="209">
        <f>(BP!Z7+BP!Z19)/BP!Z42</f>
        <v>0.91300091643755732</v>
      </c>
      <c r="S7" s="209">
        <f>(BP!AA7+BP!AA19)/BP!AA42</f>
        <v>1.4361298657997832</v>
      </c>
      <c r="T7" s="209">
        <f>(BP!AB7+BP!AB19)/BP!AB42</f>
        <v>1.0219940090055712</v>
      </c>
      <c r="U7" s="209">
        <f>(BP!AC7+BP!AC19)/BP!AC42</f>
        <v>0.92311384752096604</v>
      </c>
      <c r="V7" s="209">
        <f>(BP!AD7+BP!AD19)/BP!AD42</f>
        <v>0.90215315730559031</v>
      </c>
      <c r="W7" s="209">
        <f>(BP!AE7+BP!AE19)/BP!AE42</f>
        <v>1.0046720627260759</v>
      </c>
      <c r="X7" s="209">
        <f>(BP!AF7+BP!AF19)/BP!AF42</f>
        <v>0.76882414848832759</v>
      </c>
      <c r="Y7" s="209">
        <f>(BP!AG7+BP!AG19)/BP!AG42</f>
        <v>0.59407588300741099</v>
      </c>
      <c r="Z7" s="209">
        <v>0.88815454267538174</v>
      </c>
      <c r="AA7" s="209">
        <f>(BP!AI7+BP!AI19)/BP!AI42</f>
        <v>0.90009043831611291</v>
      </c>
      <c r="AB7" s="209">
        <f>(BP!AJ7+BP!AJ19)/BP!AJ42</f>
        <v>0.79502667336618948</v>
      </c>
      <c r="AC7" s="209">
        <f>(BP!AK7+BP!AK19)/BP!AK42</f>
        <v>0.86313979086406167</v>
      </c>
      <c r="AD7" s="209">
        <f>(BP!AL7+BP!AL19)/BP!AL42</f>
        <v>0.51288881348263771</v>
      </c>
      <c r="AE7" s="209">
        <f>(BP!AM7+BP!AM19)/BP!AM42</f>
        <v>0.64506018384386443</v>
      </c>
      <c r="AF7" s="209">
        <f>(BP!AN7+BP!AN19)/BP!AN42</f>
        <v>0.48957466508831354</v>
      </c>
      <c r="AG7" s="209">
        <f>(BP!AO7+BP!AO19)/BP!AO42</f>
        <v>0.8019993001402469</v>
      </c>
      <c r="AH7" s="209">
        <f>(BP!AP7+BP!AP19)/BP!AP42</f>
        <v>0.74337213511932942</v>
      </c>
      <c r="AI7" s="209">
        <f>(BP!AQ7+BP!AQ19)/BP!AQ42</f>
        <v>0.41583240293918006</v>
      </c>
      <c r="AJ7" s="209">
        <f>(BP!AR7+BP!AR19)/BP!AR42</f>
        <v>0.25057030683065701</v>
      </c>
      <c r="AK7" s="209">
        <f>(BP!AS7+BP!AS19)/BP!AS42</f>
        <v>0.56162538685884</v>
      </c>
      <c r="AL7" s="209">
        <f>(BP!AT7+BP!AT19)/BP!AT42</f>
        <v>1.0662123991946739</v>
      </c>
      <c r="AM7" s="209">
        <f>(BP!AU7+BP!AU19)/BP!AU42</f>
        <v>1.1732456451849642</v>
      </c>
      <c r="AN7" s="209">
        <f>(BP!AV7+BP!AV19)/BP!AV42</f>
        <v>1.2649663581821273</v>
      </c>
      <c r="AO7" s="209">
        <f>(BP!AW7+BP!AW19)/BP!AW42</f>
        <v>1.5099887088467177</v>
      </c>
      <c r="AP7" s="209">
        <f>(BP!AX7+BP!AX19)/BP!AX42</f>
        <v>1.1300488012274248</v>
      </c>
      <c r="AQ7" s="209">
        <f>(BP!AY7+BP!AY19)/BP!AY42</f>
        <v>1.1188020757014587</v>
      </c>
      <c r="AR7" s="209">
        <f>(BP!AZ7+BP!AZ19)/BP!AZ42</f>
        <v>0.6695854002639603</v>
      </c>
      <c r="AS7" s="209">
        <f>(BP!BA7+BP!BA19)/BP!BA42</f>
        <v>1.0690529031471709</v>
      </c>
      <c r="AT7" s="209">
        <f>(BP!BB7+BP!BB19)/BP!BB42</f>
        <v>0.77096400283340849</v>
      </c>
      <c r="AU7" s="209">
        <f>(BP!BC7+BP!BC19)/BP!BC42</f>
        <v>0.62442047217583974</v>
      </c>
      <c r="AV7" s="209">
        <f>(BP!BD7+BP!BD19)/BP!BD42</f>
        <v>0.79170844340898217</v>
      </c>
      <c r="AW7" s="209">
        <f>(BP!BE7+BP!BE19)/BP!BE42</f>
        <v>1.1804628252334852</v>
      </c>
      <c r="AX7" s="209">
        <f>(BP!BF7+BP!BF19)/BP!BF42</f>
        <v>1.1403404116113265</v>
      </c>
      <c r="AY7" s="209">
        <f>(BP!BG7+BP!BG19)/BP!BG42</f>
        <v>1.4303728161138856</v>
      </c>
      <c r="AZ7" s="209">
        <f>(BP!BH7+BP!BH19)/BP!BH42</f>
        <v>1.1738820963784871</v>
      </c>
      <c r="BA7" s="209">
        <f>(BP!BI7+BP!BI19)/BP!BI42</f>
        <v>1.6998996376749962</v>
      </c>
      <c r="BB7" s="209">
        <f>(BP!BJ7+BP!BJ19)/BP!BJ42</f>
        <v>1.401189119556062</v>
      </c>
      <c r="BC7" s="209">
        <f>(BP!BK7+BP!BK19)/BP!BK42</f>
        <v>1.0698168002624662</v>
      </c>
      <c r="BD7" s="209">
        <f>(BP!BL7+BP!BL19)/BP!BL42</f>
        <v>0.91792373171455299</v>
      </c>
      <c r="BE7" s="209">
        <f>(BP!BM7+BP!BM19)/BP!BM42</f>
        <v>1.5322073557444733</v>
      </c>
      <c r="BF7" s="209">
        <f>(BP!BN7+BP!BN19)/BP!BN42</f>
        <v>1.3978859627929452</v>
      </c>
      <c r="BG7" s="209">
        <f>(BP!BO7+BP!BO19)/BP!BO42</f>
        <v>0.8908939256572983</v>
      </c>
      <c r="BH7" s="209">
        <f>(BP!BP7+BP!BP19)/BP!BP42</f>
        <v>0.38742386607233997</v>
      </c>
      <c r="BI7" s="209">
        <f>(BP!BQ7+BP!BQ19)/BP!BQ42</f>
        <v>0.630093732895457</v>
      </c>
      <c r="BJ7" s="209">
        <f>(BP!BR7+BP!BR19)/BP!BR42</f>
        <v>0.55802783295691871</v>
      </c>
    </row>
    <row r="8" spans="1:62" x14ac:dyDescent="0.2">
      <c r="A8" s="1" t="s">
        <v>462</v>
      </c>
      <c r="B8" s="1" t="s">
        <v>829</v>
      </c>
      <c r="C8" s="9"/>
      <c r="D8" s="117" t="str">
        <f>IF([1]RENAME!$H$3=1,B8,A8)</f>
        <v>Liquidez geral</v>
      </c>
      <c r="E8" s="209">
        <f>(BP!M6+BP!M23)/(BP!M42+BP!M61)</f>
        <v>0.86517859998081292</v>
      </c>
      <c r="F8" s="209">
        <f>(BP!N6+BP!N23)/(BP!N42+BP!N61)</f>
        <v>0.86646852088382087</v>
      </c>
      <c r="G8" s="209">
        <f>(BP!O6+BP!O23)/(BP!O42+BP!O61)</f>
        <v>0.90078514585629299</v>
      </c>
      <c r="H8" s="209">
        <f>(BP!P6+BP!P23)/(BP!P42+BP!P61)</f>
        <v>0.91041411724358323</v>
      </c>
      <c r="I8" s="209">
        <f>(BP!Q6+BP!Q23)/(BP!Q42+BP!Q61)</f>
        <v>0.93754285400839255</v>
      </c>
      <c r="J8" s="209">
        <f>(BP!R6+BP!R23)/(BP!R42+BP!R61)</f>
        <v>0.9345572390152177</v>
      </c>
      <c r="K8" s="209">
        <f>(BP!S6+BP!S23)/(BP!S42+BP!S61)</f>
        <v>0.91350737941877569</v>
      </c>
      <c r="L8" s="209">
        <f>(BP!T6+BP!T23)/(BP!T42+BP!T61)</f>
        <v>0.9092985849027081</v>
      </c>
      <c r="M8" s="209">
        <f>(BP!U6+BP!U23)/(BP!U42+BP!U61)</f>
        <v>0.91109843599954154</v>
      </c>
      <c r="N8" s="209">
        <f>(BP!V6+BP!V23)/(BP!V42+BP!V61)</f>
        <v>1.0448666475878758</v>
      </c>
      <c r="O8" s="209">
        <f>(BP!W6+BP!W23)/(BP!W42+BP!W61)</f>
        <v>1.004819306194936</v>
      </c>
      <c r="P8" s="209">
        <f>(BP!X6+BP!X23)/(BP!X42+BP!X61)</f>
        <v>0.99553021941508568</v>
      </c>
      <c r="Q8" s="209">
        <f>(BP!Y6+BP!Y23)/(BP!Y42+BP!Y61)</f>
        <v>0.99930463501127309</v>
      </c>
      <c r="R8" s="209">
        <f>(BP!Z6+BP!Z23)/(BP!Z42+BP!Z61)</f>
        <v>0.9810099340598798</v>
      </c>
      <c r="S8" s="209">
        <f>(BP!AA6+BP!AA23)/(BP!AA42+BP!AA61)</f>
        <v>0.94788977641248684</v>
      </c>
      <c r="T8" s="209">
        <f>(BP!AB6+BP!AB23)/(BP!AB42+BP!AB61)</f>
        <v>0.92618133216654008</v>
      </c>
      <c r="U8" s="209">
        <f>(BP!AC6+BP!AC23)/(BP!AC42+BP!AC61)</f>
        <v>0.91311251598210397</v>
      </c>
      <c r="V8" s="209">
        <f>(BP!AD6+BP!AD23)/(BP!AD42+BP!AD61)</f>
        <v>0.90923822996991022</v>
      </c>
      <c r="W8" s="209">
        <f>(BP!AE6+BP!AE23)/(BP!AE42+BP!AE61)</f>
        <v>0.92435622426059549</v>
      </c>
      <c r="X8" s="209">
        <f>(BP!AF6+BP!AF23)/(BP!AF42+BP!AF61)</f>
        <v>0.95831981370504038</v>
      </c>
      <c r="Y8" s="209">
        <f>(BP!AG6+BP!AG23)/(BP!AG42+BP!AG61)</f>
        <v>0.96119366115258564</v>
      </c>
      <c r="Z8" s="209">
        <v>1.9744449721724939</v>
      </c>
      <c r="AA8" s="209">
        <f>(BP!AI6+BP!AI23)/(BP!AI42+BP!AI61)</f>
        <v>1.0283270830924101</v>
      </c>
      <c r="AB8" s="209">
        <f>(BP!AJ6+BP!AJ23)/(BP!AJ42+BP!AJ61)</f>
        <v>1.1765876175880066</v>
      </c>
      <c r="AC8" s="209">
        <f>(BP!AK6+BP!AK23)/(BP!AK42+BP!AK61)</f>
        <v>1.2075054668579088</v>
      </c>
      <c r="AD8" s="209">
        <f>(BP!AL6+BP!AL23)/(BP!AL42+BP!AL61)</f>
        <v>1.2098263537842104</v>
      </c>
      <c r="AE8" s="209">
        <f>(BP!AM6+BP!AM23)/(BP!AM42+BP!AM61)</f>
        <v>1.1992792008163424</v>
      </c>
      <c r="AF8" s="209">
        <f>(BP!AN6+BP!AN23)/(BP!AN42+BP!AN61)</f>
        <v>1.2270589212486271</v>
      </c>
      <c r="AG8" s="209">
        <f>(BP!AO6+BP!AO23)/(BP!AO42+BP!AO61)</f>
        <v>1.0973444846247797</v>
      </c>
      <c r="AH8" s="209">
        <f>(BP!AP6+BP!AP23)/(BP!AP42+BP!AP61)</f>
        <v>1.0426058767624429</v>
      </c>
      <c r="AI8" s="209">
        <f>(BP!AQ6+BP!AQ23)/(BP!AQ42+BP!AQ61)</f>
        <v>1.191324580276983</v>
      </c>
      <c r="AJ8" s="209">
        <f>(BP!AR6+BP!AR23)/(BP!AR42+BP!AR61)</f>
        <v>1.2079436177627443</v>
      </c>
      <c r="AK8" s="209">
        <f>(BP!AS6+BP!AS23)/(BP!AS42+BP!AS61)</f>
        <v>1.2608747932459912</v>
      </c>
      <c r="AL8" s="209">
        <f>(BP!AT6+BP!AT23)/(BP!AT42+BP!AT61)</f>
        <v>1.2302681882584179</v>
      </c>
      <c r="AM8" s="209">
        <f>(BP!AU6+BP!AU23)/(BP!AU42+BP!AU61)</f>
        <v>1.3547759895395355</v>
      </c>
      <c r="AN8" s="209">
        <f>(BP!AV6+BP!AV23)/(BP!AV42+BP!AV61)</f>
        <v>1.406580727797395</v>
      </c>
      <c r="AO8" s="209">
        <f>(BP!AW6+BP!AW23)/(BP!AW42+BP!AW61)</f>
        <v>1.368460495238832</v>
      </c>
      <c r="AP8" s="209">
        <f>(BP!AX6+BP!AX23)/(BP!AX42+BP!AX61)</f>
        <v>1.4582680858060013</v>
      </c>
      <c r="AQ8" s="209">
        <f>(BP!AY6+BP!AY23)/(BP!AY42+BP!AY61)</f>
        <v>1.5345177841753344</v>
      </c>
      <c r="AR8" s="209">
        <f>(BP!AZ6+BP!AZ23)/(BP!AZ42+BP!AZ61)</f>
        <v>1.550155855803806</v>
      </c>
      <c r="AS8" s="209">
        <f>(BP!BA6+BP!BA23)/(BP!BA42+BP!BA61)</f>
        <v>1.6737452970500299</v>
      </c>
      <c r="AT8" s="209">
        <f>(BP!BB6+BP!BB23)/(BP!BB42+BP!BB61)</f>
        <v>1.7914738036489384</v>
      </c>
      <c r="AU8" s="209">
        <f>(BP!BC6+BP!BC23)/(BP!BC42+BP!BC61)</f>
        <v>1.8280431618973529</v>
      </c>
      <c r="AV8" s="209">
        <f>(BP!BD6+BP!BD23)/(BP!BD42+BP!BD61)</f>
        <v>1.7834006390407993</v>
      </c>
      <c r="AW8" s="209">
        <f>(BP!BE6+BP!BE23)/(BP!BE42+BP!BE61)</f>
        <v>1.8602547181860756</v>
      </c>
      <c r="AX8" s="209">
        <f>(BP!BF6+BP!BF23)/(BP!BF42+BP!BF61)</f>
        <v>1.8532184933515838</v>
      </c>
      <c r="AY8" s="209">
        <f>(BP!BG6+BP!BG23)/(BP!BG42+BP!BG61)</f>
        <v>1.8623838856791854</v>
      </c>
      <c r="AZ8" s="209">
        <f>(BP!BH6+BP!BH23)/(BP!BH42+BP!BH61)</f>
        <v>1.8667358728515335</v>
      </c>
      <c r="BA8" s="209">
        <f>(BP!BI6+BP!BI23)/(BP!BI42+BP!BI61)</f>
        <v>1.9817952373834355</v>
      </c>
      <c r="BB8" s="209">
        <f>(BP!BJ6+BP!BJ23)/(BP!BJ42+BP!BJ61)</f>
        <v>1.910756980531918</v>
      </c>
      <c r="BC8" s="209">
        <f>(BP!BK6+BP!BK23)/(BP!BK42+BP!BK61)</f>
        <v>1.891611651175964</v>
      </c>
      <c r="BD8" s="209">
        <f>(BP!BL6+BP!BL23)/(BP!BL42+BP!BL61)</f>
        <v>1.878409745456328</v>
      </c>
      <c r="BE8" s="209">
        <f>(BP!BM6+BP!BM23)/(BP!BM42+BP!BM61)</f>
        <v>1.9820075437121416</v>
      </c>
      <c r="BF8" s="209">
        <f>(BP!BN6+BP!BN23)/(BP!BN42+BP!BN61)</f>
        <v>1.9946051585384883</v>
      </c>
      <c r="BG8" s="209">
        <f>(BP!BO6+BP!BO23)/(BP!BO42+BP!BO61)</f>
        <v>1.9005491811317055</v>
      </c>
      <c r="BH8" s="209">
        <f>(BP!BP6+BP!BP23)/(BP!BP42+BP!BP61)</f>
        <v>1.4456354195370626</v>
      </c>
      <c r="BI8" s="209">
        <f>(BP!BQ6+BP!BQ23)/(BP!BQ42+BP!BQ61)</f>
        <v>1.5488767375979973</v>
      </c>
      <c r="BJ8" s="209">
        <f>(BP!BR6+BP!BR23)/(BP!BR42+BP!BR61)</f>
        <v>1.5713282838304834</v>
      </c>
    </row>
    <row r="9" spans="1:62" ht="7.35" customHeight="1" x14ac:dyDescent="0.2">
      <c r="C9" s="9"/>
      <c r="D9" s="9"/>
      <c r="E9" s="10"/>
      <c r="F9" s="10"/>
      <c r="G9" s="10"/>
      <c r="H9" s="10"/>
      <c r="I9" s="10"/>
      <c r="J9" s="10"/>
      <c r="K9" s="10"/>
      <c r="L9" s="10"/>
      <c r="M9" s="10"/>
      <c r="N9" s="10"/>
      <c r="O9" s="10"/>
      <c r="P9" s="10"/>
      <c r="Q9" s="10"/>
      <c r="R9" s="10"/>
    </row>
    <row r="10" spans="1:62" x14ac:dyDescent="0.2">
      <c r="A10" s="1" t="s">
        <v>516</v>
      </c>
      <c r="B10" s="1" t="s">
        <v>825</v>
      </c>
      <c r="C10" s="9"/>
      <c r="D10" s="9" t="str">
        <f>IF([1]RENAME!$H$3=1,B10,A10)</f>
        <v>(consolidado, em R$ mil)</v>
      </c>
      <c r="E10" s="10"/>
      <c r="F10" s="10"/>
      <c r="G10" s="10"/>
      <c r="H10" s="10"/>
      <c r="I10" s="10"/>
      <c r="J10" s="10"/>
      <c r="K10" s="10"/>
      <c r="L10" s="1253" t="str">
        <f>IF([1]RENAME!$H$3=1,"&lt;== with Direct Express","&lt;== Com Direct Express")</f>
        <v>&lt;== Com Direct Express</v>
      </c>
      <c r="M10" s="1254"/>
      <c r="N10" s="224" t="str">
        <f>IF([1]RENAME!$H$3=1,"without Direct Express ==&gt;","Sem Direct Express ==&gt;")</f>
        <v>Sem Direct Express ==&gt;</v>
      </c>
      <c r="O10" s="223"/>
      <c r="P10" s="10"/>
      <c r="Q10" s="10"/>
      <c r="R10" s="10"/>
    </row>
    <row r="11" spans="1:62" x14ac:dyDescent="0.2">
      <c r="A11" s="1" t="s">
        <v>495</v>
      </c>
      <c r="B11" s="1" t="s">
        <v>830</v>
      </c>
      <c r="C11" s="9"/>
      <c r="D11" s="127" t="str">
        <f>IF([1]RENAME!$H$3=1,B11,A11)</f>
        <v>Indicadores de endividamento</v>
      </c>
      <c r="E11" s="141" t="str">
        <f t="shared" ref="E11:BJ11" si="11">+E$3</f>
        <v>1T12</v>
      </c>
      <c r="F11" s="141" t="str">
        <f t="shared" si="11"/>
        <v>2T12</v>
      </c>
      <c r="G11" s="141" t="str">
        <f t="shared" si="11"/>
        <v>3T12</v>
      </c>
      <c r="H11" s="141" t="str">
        <f t="shared" si="11"/>
        <v>4T12</v>
      </c>
      <c r="I11" s="141" t="str">
        <f t="shared" si="11"/>
        <v>1T13</v>
      </c>
      <c r="J11" s="141" t="str">
        <f t="shared" si="11"/>
        <v>2T13</v>
      </c>
      <c r="K11" s="141" t="str">
        <f t="shared" si="11"/>
        <v>3T13</v>
      </c>
      <c r="L11" s="141" t="str">
        <f t="shared" si="11"/>
        <v>4T13</v>
      </c>
      <c r="M11" s="141" t="str">
        <f t="shared" si="11"/>
        <v>1T14</v>
      </c>
      <c r="N11" s="141" t="str">
        <f t="shared" si="11"/>
        <v>2T14</v>
      </c>
      <c r="O11" s="141" t="str">
        <f t="shared" si="11"/>
        <v>3T14</v>
      </c>
      <c r="P11" s="141" t="str">
        <f t="shared" si="11"/>
        <v>4T14</v>
      </c>
      <c r="Q11" s="141" t="str">
        <f t="shared" si="11"/>
        <v>1T15</v>
      </c>
      <c r="R11" s="141" t="str">
        <f t="shared" si="11"/>
        <v>2T15</v>
      </c>
      <c r="S11" s="141" t="str">
        <f t="shared" si="11"/>
        <v>3T15</v>
      </c>
      <c r="T11" s="141" t="str">
        <f t="shared" si="11"/>
        <v>4T15</v>
      </c>
      <c r="U11" s="141" t="str">
        <f t="shared" si="11"/>
        <v>1T16</v>
      </c>
      <c r="V11" s="141" t="str">
        <f t="shared" si="11"/>
        <v>2T16</v>
      </c>
      <c r="W11" s="141" t="str">
        <f t="shared" si="11"/>
        <v>3T16</v>
      </c>
      <c r="X11" s="141" t="str">
        <f t="shared" si="11"/>
        <v>4T16</v>
      </c>
      <c r="Y11" s="141" t="str">
        <f t="shared" si="11"/>
        <v>1T17</v>
      </c>
      <c r="Z11" s="141" t="str">
        <f t="shared" si="11"/>
        <v>2T17</v>
      </c>
      <c r="AA11" s="141" t="str">
        <f t="shared" si="11"/>
        <v>3T17</v>
      </c>
      <c r="AB11" s="141" t="str">
        <f t="shared" si="11"/>
        <v>4T17</v>
      </c>
      <c r="AC11" s="141" t="str">
        <f t="shared" si="11"/>
        <v>1T18</v>
      </c>
      <c r="AD11" s="141" t="str">
        <f t="shared" si="11"/>
        <v>2T18</v>
      </c>
      <c r="AE11" s="141" t="str">
        <f t="shared" si="11"/>
        <v>3T18</v>
      </c>
      <c r="AF11" s="141" t="str">
        <f t="shared" si="11"/>
        <v>4T18</v>
      </c>
      <c r="AG11" s="141" t="str">
        <f t="shared" si="11"/>
        <v>1T19</v>
      </c>
      <c r="AH11" s="141" t="str">
        <f t="shared" si="11"/>
        <v>2T19</v>
      </c>
      <c r="AI11" s="141" t="str">
        <f t="shared" si="11"/>
        <v>3T19</v>
      </c>
      <c r="AJ11" s="141" t="str">
        <f t="shared" si="11"/>
        <v>4T19</v>
      </c>
      <c r="AK11" s="141" t="str">
        <f t="shared" si="11"/>
        <v>1T20</v>
      </c>
      <c r="AL11" s="141" t="str">
        <f t="shared" si="11"/>
        <v>2T20</v>
      </c>
      <c r="AM11" s="141" t="str">
        <f t="shared" si="11"/>
        <v>3T20</v>
      </c>
      <c r="AN11" s="141" t="str">
        <f t="shared" si="11"/>
        <v>4T20</v>
      </c>
      <c r="AO11" s="141" t="str">
        <f t="shared" si="11"/>
        <v>1T21</v>
      </c>
      <c r="AP11" s="141" t="str">
        <f t="shared" si="11"/>
        <v>2T21</v>
      </c>
      <c r="AQ11" s="141" t="str">
        <f t="shared" si="11"/>
        <v>3T21</v>
      </c>
      <c r="AR11" s="141" t="str">
        <f t="shared" si="11"/>
        <v>4T21</v>
      </c>
      <c r="AS11" s="141" t="str">
        <f t="shared" si="11"/>
        <v>1T22</v>
      </c>
      <c r="AT11" s="141" t="str">
        <f t="shared" si="11"/>
        <v>2T22</v>
      </c>
      <c r="AU11" s="141" t="str">
        <f t="shared" si="11"/>
        <v>3T22</v>
      </c>
      <c r="AV11" s="141" t="str">
        <f t="shared" si="11"/>
        <v>4T22</v>
      </c>
      <c r="AW11" s="141" t="str">
        <f t="shared" si="11"/>
        <v>1T23</v>
      </c>
      <c r="AX11" s="141" t="str">
        <f t="shared" si="11"/>
        <v>2T23</v>
      </c>
      <c r="AY11" s="141" t="str">
        <f t="shared" si="11"/>
        <v>3T23</v>
      </c>
      <c r="AZ11" s="141" t="str">
        <f t="shared" si="11"/>
        <v>4T23</v>
      </c>
      <c r="BA11" s="141" t="str">
        <f t="shared" si="11"/>
        <v>1T24</v>
      </c>
      <c r="BB11" s="141" t="str">
        <f t="shared" si="11"/>
        <v>2T24</v>
      </c>
      <c r="BC11" s="141" t="str">
        <f t="shared" si="11"/>
        <v>3T24</v>
      </c>
      <c r="BD11" s="141" t="str">
        <f t="shared" si="11"/>
        <v>4T24</v>
      </c>
      <c r="BE11" s="141" t="str">
        <f t="shared" si="11"/>
        <v>1T25</v>
      </c>
      <c r="BF11" s="141" t="str">
        <f t="shared" si="11"/>
        <v>2T25</v>
      </c>
      <c r="BG11" s="141" t="str">
        <f t="shared" si="11"/>
        <v>3T25</v>
      </c>
      <c r="BH11" s="141" t="str">
        <f t="shared" si="11"/>
        <v>4T25</v>
      </c>
      <c r="BI11" s="141" t="str">
        <f t="shared" si="11"/>
        <v>1T26</v>
      </c>
      <c r="BJ11" s="141" t="str">
        <f t="shared" si="11"/>
        <v>2T26</v>
      </c>
    </row>
    <row r="12" spans="1:62" x14ac:dyDescent="0.2">
      <c r="A12" s="1" t="s">
        <v>503</v>
      </c>
      <c r="B12" s="1" t="s">
        <v>831</v>
      </c>
      <c r="C12" s="9"/>
      <c r="D12" s="117" t="str">
        <f>IF([1]RENAME!$H$3=1,B12,A12)</f>
        <v>Dívida bruta</v>
      </c>
      <c r="E12" s="118">
        <f>+(BP!M43+BP!M44+BP!M62+BP!M66+BP!M64-BP!M16-BP!M30)</f>
        <v>263571</v>
      </c>
      <c r="F12" s="118">
        <f>+(BP!N43+BP!N44+BP!N62+BP!N66+BP!N64-BP!N16-BP!N30)</f>
        <v>280597</v>
      </c>
      <c r="G12" s="118">
        <f>+(BP!O43+BP!O44+BP!O62+BP!O66+BP!O64-BP!O16-BP!O30)</f>
        <v>293629</v>
      </c>
      <c r="H12" s="118">
        <f>+(BP!P43+BP!P44+BP!P62+BP!P66+BP!P64-BP!P16-BP!P30)</f>
        <v>302392</v>
      </c>
      <c r="I12" s="118">
        <f>+(BP!Q43+BP!Q44+BP!Q62+BP!Q66+BP!Q64-BP!Q16-BP!Q30)</f>
        <v>534863</v>
      </c>
      <c r="J12" s="118">
        <f>+(BP!R43+BP!R44+BP!R62+BP!R66+BP!R64-BP!R16-BP!R30)</f>
        <v>566387</v>
      </c>
      <c r="K12" s="118">
        <f>+(BP!S43+BP!S44+BP!S62+BP!S66+BP!S64-BP!S16-BP!S30)</f>
        <v>461495</v>
      </c>
      <c r="L12" s="118">
        <f>+(BP!T43+BP!T44+BP!T62+BP!T66+BP!T64-BP!T16-BP!T30)</f>
        <v>484647</v>
      </c>
      <c r="M12" s="118">
        <f>+(BP!U43+BP!U44+BP!U62+BP!U66+BP!U64-BP!U16-BP!U30)</f>
        <v>495401</v>
      </c>
      <c r="N12" s="160">
        <f>+(BP!V43+BP!V44+BP!V62+BP!V66+BP!V64-BP!V16-BP!V30)</f>
        <v>416441</v>
      </c>
      <c r="O12" s="118">
        <f>+(BP!W43+BP!W44+BP!W62+BP!W66+BP!W64-BP!W16-BP!W30)</f>
        <v>489051</v>
      </c>
      <c r="P12" s="118">
        <f>+(BP!X43+BP!X44+BP!X62+BP!X66+BP!X64-BP!X16-BP!X30)</f>
        <v>493332</v>
      </c>
      <c r="Q12" s="118">
        <f>+(BP!Y43+BP!Y44+BP!Y62+BP!Y66+BP!Y64-BP!Y16-BP!Y30)</f>
        <v>490649</v>
      </c>
      <c r="R12" s="118">
        <f>+(BP!Z43+BP!Z44+BP!Z62+BP!Z66+BP!Z64-BP!Z16-BP!Z30)</f>
        <v>364474</v>
      </c>
      <c r="S12" s="118">
        <f>+(BP!AA43+BP!AA44+BP!AA62+BP!AA66+BP!AA64-BP!AA16-BP!AA30)</f>
        <v>363556</v>
      </c>
      <c r="T12" s="118">
        <f>+(BP!AB43+BP!AB44+BP!AB62+BP!AB66+BP!AB64-BP!AB16-BP!AB30)</f>
        <v>364297</v>
      </c>
      <c r="U12" s="118">
        <f>+(BP!AC43+BP!AC44+BP!AC62+BP!AC66+BP!AC64-BP!AC16-BP!AC30)</f>
        <v>341865</v>
      </c>
      <c r="V12" s="118">
        <f>+(BP!AD43+BP!AD44+BP!AD62+BP!AD66+BP!AD64-BP!AD16-BP!AD30)</f>
        <v>342593</v>
      </c>
      <c r="W12" s="118">
        <f>+(BP!AE43+BP!AE44+BP!AE62+BP!AE66+BP!AE64)</f>
        <v>341733</v>
      </c>
      <c r="X12" s="118">
        <f>+(BP!AF43+BP!AF44+BP!AF62+BP!AF66+BP!AF64)</f>
        <v>291577</v>
      </c>
      <c r="Y12" s="118">
        <f>+(BP!AG43+BP!AG44+BP!AG62+BP!AG66+BP!AG64)</f>
        <v>221452</v>
      </c>
      <c r="Z12" s="118">
        <f>+(BP!AH43+BP!AH44+BP!AH62+BP!AH66+BP!AH64)</f>
        <v>273851</v>
      </c>
      <c r="AA12" s="118">
        <f>+(BP!AI43+BP!AI44+BP!AI62+BP!AI66+BP!AI64)</f>
        <v>219975</v>
      </c>
      <c r="AB12" s="118">
        <f>+(BP!AJ43+BP!AJ44+BP!AJ62+BP!AJ66+BP!AJ64)</f>
        <v>222874</v>
      </c>
      <c r="AC12" s="118">
        <f>+BP!AK40</f>
        <v>154169</v>
      </c>
      <c r="AD12" s="118">
        <f>+BP!AL40</f>
        <v>148113</v>
      </c>
      <c r="AE12" s="118">
        <f>+BP!AM40</f>
        <v>158913</v>
      </c>
      <c r="AF12" s="118">
        <f>+BP!AN40</f>
        <v>158586</v>
      </c>
      <c r="AG12" s="118">
        <f>+BP!AO40</f>
        <v>142726</v>
      </c>
      <c r="AH12" s="118">
        <f>+BP!AP40</f>
        <v>138647</v>
      </c>
      <c r="AI12" s="118">
        <f>+BP!AQ40</f>
        <v>140100</v>
      </c>
      <c r="AJ12" s="118">
        <f>+BP!AR40</f>
        <v>137418</v>
      </c>
      <c r="AK12" s="118">
        <f>+BP!AS40</f>
        <v>133519</v>
      </c>
      <c r="AL12" s="118">
        <f>+BP!AT40</f>
        <v>223997</v>
      </c>
      <c r="AM12" s="118">
        <f>+BP!AU40</f>
        <v>193443</v>
      </c>
      <c r="AN12" s="118">
        <f>+BP!AV40</f>
        <v>193811</v>
      </c>
      <c r="AO12" s="118">
        <f>+BP!AW40</f>
        <v>194589</v>
      </c>
      <c r="AP12" s="118">
        <f>+BP!AX40</f>
        <v>152313</v>
      </c>
      <c r="AQ12" s="118">
        <f>+BP!AY40</f>
        <v>127676</v>
      </c>
      <c r="AR12" s="118">
        <f>+BP!AZ40</f>
        <v>128886</v>
      </c>
      <c r="AS12" s="118">
        <f>+BP!BA40</f>
        <v>119250</v>
      </c>
      <c r="AT12" s="118">
        <f>+BP!BB40</f>
        <v>68411</v>
      </c>
      <c r="AU12" s="118">
        <f>+BP!BC40</f>
        <v>66432</v>
      </c>
      <c r="AV12" s="118">
        <f>+BP!BD40</f>
        <v>101740</v>
      </c>
      <c r="AW12" s="118">
        <f>+BP!BE40</f>
        <v>90366</v>
      </c>
      <c r="AX12" s="118">
        <f>+BP!BF40</f>
        <v>91267</v>
      </c>
      <c r="AY12" s="118">
        <f>+BP!BG40</f>
        <v>95806</v>
      </c>
      <c r="AZ12" s="118">
        <f>+BP!BH40</f>
        <v>101599</v>
      </c>
      <c r="BA12" s="118">
        <f>+BP!BI40</f>
        <v>107217</v>
      </c>
      <c r="BB12" s="118">
        <f>+BP!BJ40</f>
        <v>105966</v>
      </c>
      <c r="BC12" s="118">
        <f>+BP!BK40</f>
        <v>105679</v>
      </c>
      <c r="BD12" s="118">
        <f>+BP!BL40</f>
        <v>105996</v>
      </c>
      <c r="BE12" s="118">
        <f>+BP!BM40</f>
        <v>110285</v>
      </c>
      <c r="BF12" s="118">
        <f>+BP!BN40</f>
        <v>111205</v>
      </c>
      <c r="BG12" s="118">
        <f>+BP!BO40</f>
        <v>85819</v>
      </c>
      <c r="BH12" s="118">
        <f>+BP!BP40</f>
        <v>125950</v>
      </c>
      <c r="BI12" s="118">
        <f>+BP!BQ40</f>
        <v>125204</v>
      </c>
      <c r="BJ12" s="118">
        <f>+BP!BR40</f>
        <v>141014</v>
      </c>
    </row>
    <row r="13" spans="1:62" x14ac:dyDescent="0.2">
      <c r="A13" s="1" t="s">
        <v>504</v>
      </c>
      <c r="B13" s="1" t="s">
        <v>832</v>
      </c>
      <c r="C13" s="9"/>
      <c r="D13" s="117" t="str">
        <f>IF([1]RENAME!$H$3=1,B13,A13)</f>
        <v>Caixa e aplicações</v>
      </c>
      <c r="E13" s="118">
        <f>+BP!M7+BP!M19</f>
        <v>61323</v>
      </c>
      <c r="F13" s="118">
        <f>+BP!N7+BP!N19</f>
        <v>54203</v>
      </c>
      <c r="G13" s="118">
        <f>+BP!O7+BP!O19</f>
        <v>80554</v>
      </c>
      <c r="H13" s="118">
        <f>+BP!P7+BP!P19</f>
        <v>66743</v>
      </c>
      <c r="I13" s="118">
        <f>+BP!Q7+BP!Q19</f>
        <v>302799</v>
      </c>
      <c r="J13" s="118">
        <f>+BP!R7+BP!R19</f>
        <v>287281</v>
      </c>
      <c r="K13" s="118">
        <f>+BP!S7+BP!S19</f>
        <v>185415</v>
      </c>
      <c r="L13" s="118">
        <f>+BP!T7+BP!T19</f>
        <v>204448</v>
      </c>
      <c r="M13" s="118">
        <f>+BP!U7+BP!U19</f>
        <v>221474</v>
      </c>
      <c r="N13" s="160">
        <f>+BP!V7+BP!V19</f>
        <v>179882</v>
      </c>
      <c r="O13" s="118">
        <f>+BP!W7+BP!W19</f>
        <v>186093</v>
      </c>
      <c r="P13" s="118">
        <f>+BP!X7+BP!X19</f>
        <v>227857</v>
      </c>
      <c r="Q13" s="118">
        <f>+BP!Y7+BP!Y19</f>
        <v>306960</v>
      </c>
      <c r="R13" s="118">
        <f>+BP!Z7+BP!Z19</f>
        <v>131505</v>
      </c>
      <c r="S13" s="118">
        <f>+BP!AA7+BP!AA19</f>
        <v>206751</v>
      </c>
      <c r="T13" s="118">
        <f>+BP!AB7+BP!AB19</f>
        <v>214259</v>
      </c>
      <c r="U13" s="118">
        <f>+BP!AC7+BP!AC19</f>
        <v>232693</v>
      </c>
      <c r="V13" s="118">
        <f>+BP!AD7+BP!AD19</f>
        <v>219216</v>
      </c>
      <c r="W13" s="118">
        <f>+BP!AE7+BP!AE19</f>
        <v>241918</v>
      </c>
      <c r="X13" s="118">
        <f>+BP!AF7+BP!AF19</f>
        <v>192858</v>
      </c>
      <c r="Y13" s="118">
        <f>+BP!AG7+BP!AG19</f>
        <v>126013</v>
      </c>
      <c r="Z13" s="118">
        <f>+BP!AH7+BP!AH19</f>
        <v>183030</v>
      </c>
      <c r="AA13" s="118">
        <f>+BP!AI7+BP!AI19</f>
        <v>145307</v>
      </c>
      <c r="AB13" s="118">
        <f>+BP!AJ7+BP!AJ19</f>
        <v>148732</v>
      </c>
      <c r="AC13" s="118">
        <f>+BP!AK7+BP!AK19</f>
        <v>125466</v>
      </c>
      <c r="AD13" s="118">
        <f>+BP!AL7+BP!AL19</f>
        <v>90689</v>
      </c>
      <c r="AE13" s="118">
        <f>+BP!AM7+BP!AM19</f>
        <v>97964</v>
      </c>
      <c r="AF13" s="118">
        <f>+BP!AN7+BP!AN19</f>
        <v>83542</v>
      </c>
      <c r="AG13" s="118">
        <f>+BP!AO7+BP!AO19</f>
        <v>107994</v>
      </c>
      <c r="AH13" s="118">
        <f>+BP!AP7+BP!AP19</f>
        <v>106775</v>
      </c>
      <c r="AI13" s="118">
        <f>+BP!AQ7+BP!AQ19</f>
        <v>112108</v>
      </c>
      <c r="AJ13" s="118">
        <f>+BP!AR7+BP!AR19</f>
        <v>67332</v>
      </c>
      <c r="AK13" s="118">
        <f>+BP!AS7+BP!AS19</f>
        <v>125940</v>
      </c>
      <c r="AL13" s="118">
        <f>+BP!AT7+BP!AT19</f>
        <v>286503</v>
      </c>
      <c r="AM13" s="118">
        <f>+BP!AU7+BP!AU19</f>
        <v>247793</v>
      </c>
      <c r="AN13" s="118">
        <f>+BP!AV7+BP!AV19</f>
        <v>260387</v>
      </c>
      <c r="AO13" s="118">
        <f>+BP!AW7+BP!AW19</f>
        <v>304909</v>
      </c>
      <c r="AP13" s="118">
        <f>+BP!AX7+BP!AX19</f>
        <v>244529</v>
      </c>
      <c r="AQ13" s="118">
        <f>+BP!AY7+BP!AY19</f>
        <v>221421</v>
      </c>
      <c r="AR13" s="118">
        <f>+BP!AZ7+BP!AZ19</f>
        <v>147128</v>
      </c>
      <c r="AS13" s="118">
        <f>+BP!BA7+BP!BA19</f>
        <v>210504</v>
      </c>
      <c r="AT13" s="118">
        <f>+BP!BB7+BP!BB19</f>
        <v>119723</v>
      </c>
      <c r="AU13" s="118">
        <f>+BP!BC7+BP!BC19</f>
        <v>137242</v>
      </c>
      <c r="AV13" s="118">
        <f>+BP!BD7+BP!BD19</f>
        <v>190299</v>
      </c>
      <c r="AW13" s="118">
        <f>+BP!BE7+BP!BE19</f>
        <v>242048</v>
      </c>
      <c r="AX13" s="118">
        <f>+BP!BF7+BP!BF19</f>
        <v>237038</v>
      </c>
      <c r="AY13" s="118">
        <f>+BP!BG7+BP!BG19</f>
        <v>258630</v>
      </c>
      <c r="AZ13" s="118">
        <f>+BP!BH7+BP!BH19</f>
        <v>232539</v>
      </c>
      <c r="BA13" s="118">
        <f>+BP!BI7+BP!BI19</f>
        <v>299796</v>
      </c>
      <c r="BB13" s="118">
        <f>+BP!BJ7+BP!BJ19</f>
        <v>282802</v>
      </c>
      <c r="BC13" s="118">
        <f>+BP!BK7+BP!BK19</f>
        <v>264126</v>
      </c>
      <c r="BD13" s="118">
        <f>+BP!BL7+BP!BL19</f>
        <v>241335</v>
      </c>
      <c r="BE13" s="118">
        <f>+BP!BM7+BP!BM19</f>
        <v>339197</v>
      </c>
      <c r="BF13" s="118">
        <f>+BP!BN7+BP!BN19</f>
        <v>347151</v>
      </c>
      <c r="BG13" s="118">
        <f>+BP!BO7+BP!BO19</f>
        <v>245664</v>
      </c>
      <c r="BH13" s="118">
        <f>+BP!BP7+BP!BP19</f>
        <v>113860</v>
      </c>
      <c r="BI13" s="118">
        <f>+BP!BQ7+BP!BQ19</f>
        <v>184189</v>
      </c>
      <c r="BJ13" s="118">
        <f>+BP!BR7+BP!BR19</f>
        <v>196923</v>
      </c>
    </row>
    <row r="14" spans="1:62" x14ac:dyDescent="0.2">
      <c r="A14" s="1" t="s">
        <v>1855</v>
      </c>
      <c r="B14" s="1" t="s">
        <v>1856</v>
      </c>
      <c r="C14" s="9"/>
      <c r="D14" s="117" t="str">
        <f>IF([1]RENAME!$H$3=1,B14,A14)</f>
        <v>Dívida (caixa) líquido</v>
      </c>
      <c r="E14" s="118">
        <f>+E12-E13</f>
        <v>202248</v>
      </c>
      <c r="F14" s="118">
        <f t="shared" ref="F14:W14" si="12">+F12-F13</f>
        <v>226394</v>
      </c>
      <c r="G14" s="118">
        <f t="shared" si="12"/>
        <v>213075</v>
      </c>
      <c r="H14" s="118">
        <f t="shared" si="12"/>
        <v>235649</v>
      </c>
      <c r="I14" s="118">
        <f t="shared" si="12"/>
        <v>232064</v>
      </c>
      <c r="J14" s="118">
        <f t="shared" si="12"/>
        <v>279106</v>
      </c>
      <c r="K14" s="118">
        <f t="shared" si="12"/>
        <v>276080</v>
      </c>
      <c r="L14" s="118">
        <f t="shared" si="12"/>
        <v>280199</v>
      </c>
      <c r="M14" s="118">
        <f t="shared" si="12"/>
        <v>273927</v>
      </c>
      <c r="N14" s="160">
        <f t="shared" si="12"/>
        <v>236559</v>
      </c>
      <c r="O14" s="118">
        <f t="shared" si="12"/>
        <v>302958</v>
      </c>
      <c r="P14" s="118">
        <f t="shared" si="12"/>
        <v>265475</v>
      </c>
      <c r="Q14" s="118">
        <f>+Q12-Q13</f>
        <v>183689</v>
      </c>
      <c r="R14" s="118">
        <f t="shared" si="12"/>
        <v>232969</v>
      </c>
      <c r="S14" s="118">
        <f t="shared" si="12"/>
        <v>156805</v>
      </c>
      <c r="T14" s="118">
        <f t="shared" si="12"/>
        <v>150038</v>
      </c>
      <c r="U14" s="118">
        <f t="shared" si="12"/>
        <v>109172</v>
      </c>
      <c r="V14" s="118">
        <f t="shared" si="12"/>
        <v>123377</v>
      </c>
      <c r="W14" s="118">
        <f t="shared" si="12"/>
        <v>99815</v>
      </c>
      <c r="X14" s="118">
        <f t="shared" ref="X14:AE14" si="13">+X12-X13</f>
        <v>98719</v>
      </c>
      <c r="Y14" s="118">
        <f t="shared" si="13"/>
        <v>95439</v>
      </c>
      <c r="Z14" s="118">
        <f t="shared" si="13"/>
        <v>90821</v>
      </c>
      <c r="AA14" s="118">
        <f t="shared" si="13"/>
        <v>74668</v>
      </c>
      <c r="AB14" s="118">
        <f t="shared" si="13"/>
        <v>74142</v>
      </c>
      <c r="AC14" s="118">
        <f t="shared" si="13"/>
        <v>28703</v>
      </c>
      <c r="AD14" s="118">
        <f t="shared" si="13"/>
        <v>57424</v>
      </c>
      <c r="AE14" s="118">
        <f t="shared" si="13"/>
        <v>60949</v>
      </c>
      <c r="AF14" s="118">
        <f t="shared" ref="AF14:AL14" si="14">+AF12-AF13</f>
        <v>75044</v>
      </c>
      <c r="AG14" s="118">
        <f t="shared" si="14"/>
        <v>34732</v>
      </c>
      <c r="AH14" s="118">
        <f t="shared" si="14"/>
        <v>31872</v>
      </c>
      <c r="AI14" s="118">
        <f t="shared" si="14"/>
        <v>27992</v>
      </c>
      <c r="AJ14" s="118">
        <f t="shared" si="14"/>
        <v>70086</v>
      </c>
      <c r="AK14" s="118">
        <f t="shared" si="14"/>
        <v>7579</v>
      </c>
      <c r="AL14" s="118">
        <f t="shared" si="14"/>
        <v>-62506</v>
      </c>
      <c r="AM14" s="118">
        <f t="shared" ref="AM14:AR14" si="15">+AM12-AM13</f>
        <v>-54350</v>
      </c>
      <c r="AN14" s="118">
        <f t="shared" si="15"/>
        <v>-66576</v>
      </c>
      <c r="AO14" s="118">
        <f t="shared" si="15"/>
        <v>-110320</v>
      </c>
      <c r="AP14" s="118">
        <f t="shared" si="15"/>
        <v>-92216</v>
      </c>
      <c r="AQ14" s="118">
        <f t="shared" si="15"/>
        <v>-93745</v>
      </c>
      <c r="AR14" s="118">
        <f t="shared" si="15"/>
        <v>-18242</v>
      </c>
      <c r="AS14" s="118">
        <f t="shared" ref="AS14:AX14" si="16">+AS12-AS13</f>
        <v>-91254</v>
      </c>
      <c r="AT14" s="118">
        <f t="shared" si="16"/>
        <v>-51312</v>
      </c>
      <c r="AU14" s="118">
        <f t="shared" si="16"/>
        <v>-70810</v>
      </c>
      <c r="AV14" s="118">
        <f t="shared" si="16"/>
        <v>-88559</v>
      </c>
      <c r="AW14" s="118">
        <f t="shared" si="16"/>
        <v>-151682</v>
      </c>
      <c r="AX14" s="118">
        <f t="shared" si="16"/>
        <v>-145771</v>
      </c>
      <c r="AY14" s="118">
        <f t="shared" ref="AY14:BH14" si="17">+AY12-AY13</f>
        <v>-162824</v>
      </c>
      <c r="AZ14" s="118">
        <f t="shared" si="17"/>
        <v>-130940</v>
      </c>
      <c r="BA14" s="118">
        <f t="shared" si="17"/>
        <v>-192579</v>
      </c>
      <c r="BB14" s="118">
        <f t="shared" si="17"/>
        <v>-176836</v>
      </c>
      <c r="BC14" s="118">
        <f t="shared" si="17"/>
        <v>-158447</v>
      </c>
      <c r="BD14" s="118">
        <f t="shared" si="17"/>
        <v>-135339</v>
      </c>
      <c r="BE14" s="118">
        <f t="shared" si="17"/>
        <v>-228912</v>
      </c>
      <c r="BF14" s="118">
        <f t="shared" si="17"/>
        <v>-235946</v>
      </c>
      <c r="BG14" s="118">
        <f t="shared" si="17"/>
        <v>-159845</v>
      </c>
      <c r="BH14" s="118">
        <f t="shared" si="17"/>
        <v>12090</v>
      </c>
      <c r="BI14" s="118">
        <f>+BI12-BI13</f>
        <v>-58985</v>
      </c>
      <c r="BJ14" s="118">
        <f>+BJ12-BJ13</f>
        <v>-55909</v>
      </c>
    </row>
    <row r="15" spans="1:62" s="282" customFormat="1" x14ac:dyDescent="0.2">
      <c r="A15" s="282" t="s">
        <v>522</v>
      </c>
      <c r="B15" s="282" t="s">
        <v>834</v>
      </c>
      <c r="C15" s="12"/>
      <c r="D15" s="279" t="str">
        <f>IF([1]RENAME!$H$3=1,B15,A15)</f>
        <v>EBITDA ajustado / Juros de empréstimos</v>
      </c>
      <c r="E15" s="280">
        <v>0</v>
      </c>
      <c r="F15" s="280">
        <v>0</v>
      </c>
      <c r="G15" s="280">
        <v>0</v>
      </c>
      <c r="H15" s="280">
        <v>0</v>
      </c>
      <c r="I15" s="280">
        <v>0</v>
      </c>
      <c r="J15" s="280">
        <v>0</v>
      </c>
      <c r="K15" s="280">
        <v>0</v>
      </c>
      <c r="L15" s="280">
        <v>0</v>
      </c>
      <c r="M15" s="280">
        <v>0</v>
      </c>
      <c r="N15" s="281">
        <v>0</v>
      </c>
      <c r="O15" s="280">
        <v>0</v>
      </c>
      <c r="P15" s="280">
        <f>SUM(Consolidado!M34:P34)/-SUM('Resultado Financeiro'!E4:H4)</f>
        <v>3.0640042172616884</v>
      </c>
      <c r="Q15" s="280">
        <f>SUM(Consolidado!N34:Q34)/-SUM('Resultado Financeiro'!F4:I4)</f>
        <v>2.664429420066297</v>
      </c>
      <c r="R15" s="280">
        <f>SUM(Consolidado!O34:R34)/-SUM('Resultado Financeiro'!G4:J4)</f>
        <v>2.2788113547079356</v>
      </c>
      <c r="S15" s="280">
        <f>SUM(Consolidado!P34:S34)/-SUM('Resultado Financeiro'!H4:K4)</f>
        <v>2.0231127629980867</v>
      </c>
      <c r="T15" s="280">
        <f>SUM(Consolidado!Q34:T34)/-SUM('Resultado Financeiro'!I4:L4)</f>
        <v>1.7834746113774824</v>
      </c>
      <c r="U15" s="280">
        <f>SUM(Consolidado!R34:U34)/-SUM('Resultado Financeiro'!J4:M4)</f>
        <v>1.7150992957529836</v>
      </c>
      <c r="V15" s="280">
        <f>SUM(Consolidado!S34:V34)/-SUM('Resultado Financeiro'!K4:N4)</f>
        <v>1.7271654027420733</v>
      </c>
      <c r="W15" s="280">
        <f>SUM(Consolidado!T34:W34)/-SUM('Resultado Financeiro'!L4:O4)</f>
        <v>1.7948633775226364</v>
      </c>
      <c r="X15" s="280">
        <f>SUM(Consolidado!U34:X34)/-SUM('Resultado Financeiro'!M4:P4)</f>
        <v>1.8027789331306991</v>
      </c>
      <c r="Y15" s="280">
        <f>SUM(Consolidado!V34:Y34)/-SUM('Resultado Financeiro'!N4:Q4)</f>
        <v>2.0888886962914208</v>
      </c>
      <c r="Z15" s="280">
        <f>SUM(Consolidado!W34:Z34)/-SUM('Resultado Financeiro'!O4:R4)</f>
        <v>2.7012316426922411</v>
      </c>
      <c r="AA15" s="280">
        <f>SUM(Consolidado!X34:AA34)/-SUM('Resultado Financeiro'!P4:S4)</f>
        <v>3.6265207421759467</v>
      </c>
      <c r="AB15" s="280">
        <f>SUM(Consolidado!Y34:AB34)/-SUM('Resultado Financeiro'!Q4:T4)</f>
        <v>5.0454636577696288</v>
      </c>
      <c r="AC15" s="280">
        <f>SUM(Consolidado!Z34:AC34)/-SUM('Resultado Financeiro'!R4:U4)</f>
        <v>6.537680184771208</v>
      </c>
      <c r="AD15" s="280">
        <f>SUM(Consolidado!AA34:AD34)/-SUM('Resultado Financeiro'!S4:V4)</f>
        <v>8.6233145072923953</v>
      </c>
      <c r="AE15" s="280">
        <f>SUM(Consolidado!AB34:AE34)/-SUM('Resultado Financeiro'!T4:W4)</f>
        <v>16.778615634950718</v>
      </c>
      <c r="AF15" s="280">
        <f>SUM(Consolidado!AC34:AF34)/-SUM('Resultado Financeiro'!U4:X4)</f>
        <v>18.848052058805699</v>
      </c>
      <c r="AG15" s="280">
        <f>SUM(Consolidado!AD34:AG34)/-SUM('Resultado Financeiro'!V4:Y4)</f>
        <v>27.878201872232008</v>
      </c>
      <c r="AH15" s="280">
        <f>SUM(Consolidado!AE34:AH34)/-SUM('Resultado Financeiro'!W4:Z4)</f>
        <v>26.160977742813827</v>
      </c>
      <c r="AI15" s="280">
        <f>SUM(Consolidado!AF34:AI34)/-SUM('Resultado Financeiro'!X4:AB4)</f>
        <v>18.034247271352797</v>
      </c>
      <c r="AJ15" s="280">
        <f>SUM(Consolidado!AG34:AJ34)/-SUM('Resultado Financeiro'!Y4:AC4)</f>
        <v>-57.411186834251659</v>
      </c>
      <c r="AK15" s="280">
        <f>SUM(Consolidado!AH34:AK34)/-SUM('Resultado Financeiro'!Z4:AD4)</f>
        <v>-34.932996053364633</v>
      </c>
      <c r="AL15" s="280">
        <f>SUM(Consolidado!AI34:AL34)/-SUM('Resultado Financeiro'!AA4:AE4)</f>
        <v>-35.635669980578776</v>
      </c>
      <c r="AM15" s="280">
        <f>SUM(Consolidado!AJ34:AM34)/-SUM('Resultado Financeiro'!AB4:AF4)</f>
        <v>-61.430973313359189</v>
      </c>
      <c r="AN15" s="280">
        <f>SUM(Consolidado!AK34:AN34)/-SUM('Resultado Financeiro'!AC4:AG4)</f>
        <v>-38.94533389887372</v>
      </c>
      <c r="AO15" s="280">
        <f>SUM(Consolidado!AL34:AO34)/-SUM('Resultado Financeiro'!AD4:AH4)</f>
        <v>14.239508150956707</v>
      </c>
      <c r="AP15" s="280">
        <f>SUM(Consolidado!AM34:AP34)/-SUM('Resultado Financeiro'!AE4:AI4)</f>
        <v>12.691328877881251</v>
      </c>
      <c r="AQ15" s="280">
        <f>SUM(Consolidado!AN34:AQ34)/-SUM('Resultado Financeiro'!AF4:AJ4)</f>
        <v>18.589298845169544</v>
      </c>
      <c r="AR15" s="280">
        <f>SUM(Consolidado!AO34:AR34)/-SUM('Resultado Financeiro'!AG4:AK4)</f>
        <v>22.907934208887614</v>
      </c>
      <c r="AS15" s="280">
        <f>SUM(Consolidado!AP34:AS34)/-SUM('Resultado Financeiro'!AH4:AL4)</f>
        <v>21.736622335312386</v>
      </c>
      <c r="AT15" s="280">
        <f>SUM(Consolidado!AQ34:AT34)/-SUM('Resultado Financeiro'!AI4:AM4)</f>
        <v>22.462300254657531</v>
      </c>
      <c r="AU15" s="280">
        <f>SUM(Consolidado!AR34:AU34)/-SUM('Resultado Financeiro'!AJ4:AN4)</f>
        <v>28.602378444182051</v>
      </c>
      <c r="AV15" s="280">
        <f>SUM(Consolidado!AS34:AV34)/-SUM('Resultado Financeiro'!AK4:AO4)</f>
        <v>21.662269961260254</v>
      </c>
      <c r="AW15" s="280">
        <f>SUM(Consolidado!AT34:AW34)/-SUM('Resultado Financeiro'!AL4:AP4)</f>
        <v>18.047424637076794</v>
      </c>
      <c r="AX15" s="280">
        <f>SUM(Consolidado!AU34:AX34)/-SUM('Resultado Financeiro'!AM4:AQ4)</f>
        <v>18.404973375374912</v>
      </c>
      <c r="AY15" s="280">
        <f>SUM(Consolidado!AV34:AY34)/-SUM('Resultado Financeiro'!AN4:AR4)</f>
        <v>17.165742236607027</v>
      </c>
      <c r="AZ15" s="280">
        <f>SUM(Consolidado!AW34:AZ34)/-SUM('Resultado Financeiro'!AO4:AS4)</f>
        <v>16.848698416502465</v>
      </c>
      <c r="BA15" s="280">
        <f>SUM(Consolidado!AX34:BA34)/-SUM('Resultado Financeiro'!AP4:AX4)</f>
        <v>9.3045772156484006</v>
      </c>
      <c r="BB15" s="280">
        <f>SUM(Consolidado!AY34:BB34)/-SUM('Resultado Financeiro'!AQ4:BB4)</f>
        <v>6.9532280529336017</v>
      </c>
      <c r="BC15" s="280">
        <f>SUM(Consolidado!AZ34:BC34)/-SUM('Resultado Financeiro'!AR4:BC4)</f>
        <v>8.5418664156109259</v>
      </c>
      <c r="BD15" s="280">
        <f>SUM(Consolidado!BA34:BD34)/-SUM('Resultado Financeiro'!AS4:BD4)</f>
        <v>10.663017326585692</v>
      </c>
      <c r="BE15" s="280">
        <f>SUM(Consolidado!BB34:BE34)/-SUM('Resultado Financeiro'!AT4:BE4)</f>
        <v>11.952286690238365</v>
      </c>
      <c r="BF15" s="280">
        <f>SUM(Consolidado!BC34:BF34)/-SUM('Resultado Financeiro'!AU4:BF4)</f>
        <v>13.402230256948245</v>
      </c>
      <c r="BG15" s="280">
        <f>SUM(Consolidado!BD34:BG34)/-SUM('Resultado Financeiro'!AV4:BG4)</f>
        <v>14.642935850776368</v>
      </c>
      <c r="BH15" s="280">
        <f>SUM(Consolidado!BE34:BH34)/-SUM('Resultado Financeiro'!AW4:BH4)</f>
        <v>14.724403440234415</v>
      </c>
      <c r="BI15" s="280">
        <f>SUM(Consolidado!BF34:BI34)/-SUM('Resultado Financeiro'!AX4:BI4)</f>
        <v>17.441867819270229</v>
      </c>
      <c r="BJ15" s="280">
        <f>SUM(Consolidado!BG34:BJ34)/-SUM('Resultado Financeiro'!AY4:BJ4)</f>
        <v>24.171659187694832</v>
      </c>
    </row>
    <row r="16" spans="1:62" s="282" customFormat="1" x14ac:dyDescent="0.2">
      <c r="A16" s="282" t="s">
        <v>494</v>
      </c>
      <c r="B16" s="282" t="s">
        <v>835</v>
      </c>
      <c r="C16" s="12"/>
      <c r="D16" s="279" t="str">
        <f>IF([1]RENAME!$H$3=1,B16,A16)</f>
        <v>Dívida bruta / EBITDA ajustado</v>
      </c>
      <c r="E16" s="280">
        <v>0</v>
      </c>
      <c r="F16" s="280">
        <v>0</v>
      </c>
      <c r="G16" s="280">
        <v>0</v>
      </c>
      <c r="H16" s="280">
        <f>H12/SUM(Consolidado!E34:H34)</f>
        <v>1.6975058802395881</v>
      </c>
      <c r="I16" s="280">
        <f>I12/SUM(Consolidado!F34:I34)</f>
        <v>3.4133146988812948</v>
      </c>
      <c r="J16" s="280">
        <f>J12/SUM(Consolidado!G34:J34)</f>
        <v>3.7100962262791413</v>
      </c>
      <c r="K16" s="280">
        <f>K12/SUM(Consolidado!H34:K34)</f>
        <v>3.063541798049668</v>
      </c>
      <c r="L16" s="280">
        <f>L12/SUM(Consolidado!I34:L34)</f>
        <v>3.1545350994239594</v>
      </c>
      <c r="M16" s="280">
        <f>M12/SUM(Consolidado!J34:M34)</f>
        <v>3.0168012471531052</v>
      </c>
      <c r="N16" s="281">
        <f>N12/SUM(Consolidado!K34:N34)</f>
        <v>2.5929193621697686</v>
      </c>
      <c r="O16" s="280">
        <f>O12/SUM(Consolidado!L34:O34)</f>
        <v>3.1767904121601869</v>
      </c>
      <c r="P16" s="280">
        <f>P12/SUM(Consolidado!M34:P34)</f>
        <v>2.9267962766304572</v>
      </c>
      <c r="Q16" s="280">
        <f>Q12/SUM(Consolidado!N34:Q34)</f>
        <v>3.0218889539001634</v>
      </c>
      <c r="R16" s="280">
        <f>R12/SUM(Consolidado!O34:R34)</f>
        <v>2.5730023676751212</v>
      </c>
      <c r="S16" s="280">
        <f>S12/SUM(Consolidado!P34:S34)</f>
        <v>2.9897895879631373</v>
      </c>
      <c r="T16" s="280">
        <f>T12/SUM(Consolidado!Q34:T34)</f>
        <v>3.6818650571479714</v>
      </c>
      <c r="U16" s="280">
        <f>U12/SUM(Consolidado!R34:U34)</f>
        <v>3.8322467791891133</v>
      </c>
      <c r="V16" s="280">
        <f>V12/SUM(Consolidado!S34:V34)</f>
        <v>3.8629672171789702</v>
      </c>
      <c r="W16" s="280">
        <f>W12/SUM(Consolidado!T34:W34)</f>
        <v>3.7559920476794115</v>
      </c>
      <c r="X16" s="280">
        <f>X12/SUM(Consolidado!U34:X34)</f>
        <v>3.2773560985879211</v>
      </c>
      <c r="Y16" s="280">
        <f>Y12/SUM(Consolidado!V34:Y34)</f>
        <v>2.3264047639622829</v>
      </c>
      <c r="Z16" s="280">
        <f>Z12/SUM(Consolidado!W34:Z34)</f>
        <v>2.5719879841450388</v>
      </c>
      <c r="AA16" s="280">
        <f>AA12/SUM(Consolidado!X34:AA34)</f>
        <v>1.7942765178792393</v>
      </c>
      <c r="AB16" s="280">
        <f>AB12/SUM(Consolidado!Y34:AB34)</f>
        <v>1.6536197898611871</v>
      </c>
      <c r="AC16" s="280">
        <f>AC12/SUM(Consolidado!Z34:AC34)</f>
        <v>1.0758522863462654</v>
      </c>
      <c r="AD16" s="280">
        <f>AD12/SUM(Consolidado!AA34:AD34)</f>
        <v>0.92437857164374537</v>
      </c>
      <c r="AE16" s="280">
        <f>AE12/SUM(Consolidado!AB34:AE34)</f>
        <v>0.89757039289806284</v>
      </c>
      <c r="AF16" s="280">
        <f>AF12/SUM(Consolidado!AC34:AF34)</f>
        <v>0.79107934227257004</v>
      </c>
      <c r="AG16" s="280">
        <f>AG12/SUM(Consolidado!AD34:AG34)</f>
        <v>0.62863791487704768</v>
      </c>
      <c r="AH16" s="280">
        <f>AH12/SUM(Consolidado!AE34:AH34)</f>
        <v>0.57450012926139227</v>
      </c>
      <c r="AI16" s="280">
        <f>AI12/SUM(Consolidado!AE34:AI34)</f>
        <v>0.45806339770214599</v>
      </c>
      <c r="AJ16" s="280">
        <f>AJ12/SUM(Consolidado!AF34:AJ34)</f>
        <v>0.43191815021840085</v>
      </c>
      <c r="AK16" s="280">
        <f>AK12/SUM(Consolidado!AG34:AK34)</f>
        <v>0.4536779603387161</v>
      </c>
      <c r="AL16" s="280">
        <f>AL12/SUM(Consolidado!AH34:AL34)</f>
        <v>0.92205859804280876</v>
      </c>
      <c r="AM16" s="280">
        <f>AM12/SUM(Consolidado!AI34:AM34)</f>
        <v>0.81007125716354267</v>
      </c>
      <c r="AN16" s="280">
        <f>AN12/SUM(Consolidado!AJ34:AN34)</f>
        <v>0.83318247718358429</v>
      </c>
      <c r="AO16" s="280">
        <f>AO12/SUM(Consolidado!AK34:AO34)</f>
        <v>0.94593566803314666</v>
      </c>
      <c r="AP16" s="280">
        <f>AP12/SUM(Consolidado!AL34:AP34)</f>
        <v>0.77389760183217637</v>
      </c>
      <c r="AQ16" s="280">
        <f>AQ12/SUM(Consolidado!AM34:AQ34)</f>
        <v>0.55598354229334879</v>
      </c>
      <c r="AR16" s="280">
        <f>AR12/SUM(Consolidado!AN34:AR34)</f>
        <v>0.58530510733532382</v>
      </c>
      <c r="AS16" s="280">
        <f>AS12/SUM(Consolidado!AO34:AS34)</f>
        <v>0.60546335230056125</v>
      </c>
      <c r="AT16" s="280">
        <f>AT12/SUM(Consolidado!AP34:AT34)</f>
        <v>0.33714312840199911</v>
      </c>
      <c r="AU16" s="280">
        <f>AU12/SUM(Consolidado!AQ34:AU34)</f>
        <v>0.25999112806496905</v>
      </c>
      <c r="AV16" s="280">
        <f>AV12/SUM(Consolidado!AR34:AV34)</f>
        <v>0.34990502070258822</v>
      </c>
      <c r="AW16" s="280">
        <f>AW12/SUM(Consolidado!AS34:AW34)</f>
        <v>0.30268759463333744</v>
      </c>
      <c r="AX16" s="280">
        <f>AX12/SUM(Consolidado!AT34:AX34)</f>
        <v>0.28390612217642919</v>
      </c>
      <c r="AY16" s="280">
        <f>AY12/SUM(Consolidado!AU34:AY34)</f>
        <v>0.27250606684271167</v>
      </c>
      <c r="AZ16" s="280">
        <f>AZ12/SUM(Consolidado!AV34:AZ34)</f>
        <v>0.30078848555875559</v>
      </c>
      <c r="BA16" s="280">
        <f>BA12/SUM(Consolidado!AW34:BA34)</f>
        <v>0.33156623548953212</v>
      </c>
      <c r="BB16" s="280">
        <f>BB12/SUM(Consolidado!AX34:BB34)</f>
        <v>0.29859611444880635</v>
      </c>
      <c r="BC16" s="280">
        <f>BC12/SUM(Consolidado!AY34:BC34)</f>
        <v>0.25016309698169903</v>
      </c>
      <c r="BD16" s="280">
        <f>BD12/SUM(Consolidado!AZ34:BD34)</f>
        <v>0.22591191518515891</v>
      </c>
      <c r="BE16" s="280">
        <f>BE12/SUM(Consolidado!BA34:BE34)</f>
        <v>0.23770007593004075</v>
      </c>
      <c r="BF16" s="280">
        <f>BF12/SUM(Consolidado!BB34:BF34)</f>
        <v>0.22225148237506775</v>
      </c>
      <c r="BG16" s="280">
        <f>BG12/SUM(Consolidado!BC34:BG34)</f>
        <v>0.16130896630046132</v>
      </c>
      <c r="BH16" s="280">
        <f>BH12/SUM(Consolidado!BD34:BH34)</f>
        <v>0.25820089200951846</v>
      </c>
      <c r="BI16" s="280">
        <f>BI12/SUM(Consolidado!BE34:BI34)</f>
        <v>0.28715283533519192</v>
      </c>
      <c r="BJ16" s="280">
        <f>BJ12/SUM(Consolidado!BF34:BJ34)</f>
        <v>0.27887650718808982</v>
      </c>
    </row>
    <row r="17" spans="1:63" s="282" customFormat="1" x14ac:dyDescent="0.2">
      <c r="A17" s="282" t="s">
        <v>508</v>
      </c>
      <c r="B17" s="282" t="s">
        <v>836</v>
      </c>
      <c r="C17" s="12"/>
      <c r="D17" s="279" t="str">
        <f>IF([1]RENAME!$H$3=1,B17,A17)</f>
        <v>Dívida bruta / Patrimônio Líquido</v>
      </c>
      <c r="E17" s="280">
        <f>+(BP!M43+BP!M44+BP!M62+BP!M66+BP!M64)/BP!M78</f>
        <v>0.69584907464970591</v>
      </c>
      <c r="F17" s="280">
        <f>+(BP!N43+BP!N44+BP!N62+BP!N66+BP!N64)/BP!N78</f>
        <v>0.81221317469900212</v>
      </c>
      <c r="G17" s="280">
        <f>+(BP!O43+BP!O44+BP!O62+BP!O66+BP!O64)/BP!O78</f>
        <v>0.83580577517073307</v>
      </c>
      <c r="H17" s="280">
        <f>+(BP!P43+BP!P44+BP!P62+BP!P66+BP!P64)/BP!P78</f>
        <v>0.8494684764563839</v>
      </c>
      <c r="I17" s="280">
        <f>+(BP!Q43+BP!Q44+BP!Q62+BP!Q66+BP!Q64)/BP!Q78</f>
        <v>1.3756140957148728</v>
      </c>
      <c r="J17" s="280">
        <f>+(BP!R43+BP!R44+BP!R62+BP!R66+BP!R64)/BP!R78</f>
        <v>1.5877715394479639</v>
      </c>
      <c r="K17" s="280">
        <f>+(BP!S43+BP!S44+BP!S62+BP!S66+BP!S64)/BP!S78</f>
        <v>1.1759189380371857</v>
      </c>
      <c r="L17" s="280">
        <f>+(BP!T43+BP!T44+BP!T62+BP!T66+BP!T64)/BP!T78</f>
        <v>1.3150371071375206</v>
      </c>
      <c r="M17" s="280">
        <f>+(BP!U43+BP!U44+BP!U62+BP!U66+BP!U64)/BP!U78</f>
        <v>1.281198973641241</v>
      </c>
      <c r="N17" s="281">
        <f>+(BP!V43+BP!V44+BP!V62+BP!V66+BP!V64)/BP!V78</f>
        <v>1.1064464619251442</v>
      </c>
      <c r="O17" s="280">
        <f>+(BP!W43+BP!W44+BP!W62+BP!W66+BP!W64)/BP!W78</f>
        <v>1.4270918209256687</v>
      </c>
      <c r="P17" s="280">
        <f>+(BP!X43+BP!X44+BP!X62+BP!X66+BP!X64)/BP!X78</f>
        <v>1.4066810826933114</v>
      </c>
      <c r="Q17" s="280">
        <f>Q12/BP!Y78</f>
        <v>1.3266879377011058</v>
      </c>
      <c r="R17" s="280">
        <f>+(BP!Z43+BP!Z44+BP!Z62+BP!Z66+BP!Z64)/BP!Z78</f>
        <v>0.98215820746709059</v>
      </c>
      <c r="S17" s="280">
        <f>+(BP!AA43+BP!AA44+BP!AA62+BP!AA66+BP!AA64)/BP!AA78</f>
        <v>0.97997757315679379</v>
      </c>
      <c r="T17" s="280">
        <f>+(BP!AB43+BP!AB44+BP!AB62+BP!AB66+BP!AB64)/BP!AB78</f>
        <v>0.99708235371397758</v>
      </c>
      <c r="U17" s="280">
        <f>+(BP!AC43+BP!AC44+BP!AC62+BP!AC66+BP!AC64)/BP!AC78</f>
        <v>0.94234278437188168</v>
      </c>
      <c r="V17" s="280">
        <f>+(BP!AD43+BP!AD44+BP!AD62+BP!AD66+BP!AD64)/BP!AD78</f>
        <v>0.94624834969369209</v>
      </c>
      <c r="W17" s="280">
        <f>+(BP!AE43+BP!AE44+BP!AE62+BP!AE66+BP!AE64)/BP!AE78</f>
        <v>0.93396466199319472</v>
      </c>
      <c r="X17" s="280">
        <f>+(BP!AF43+BP!AF44+BP!AF62+BP!AF66+BP!AF64)/BP!AF78</f>
        <v>0.77737904483612696</v>
      </c>
      <c r="Y17" s="280">
        <f>+(BP!AG43+BP!AG44+BP!AG62+BP!AG66+BP!AG64)/BP!AG78</f>
        <v>0.581959803220788</v>
      </c>
      <c r="Z17" s="280">
        <f>+(BP!AH43+BP!AH44+BP!AH62+BP!AH66+BP!AH64)/BP!AH78</f>
        <v>0.68450257827946404</v>
      </c>
      <c r="AA17" s="280">
        <f>+(BP!AI43+BP!AI44+BP!AI62+BP!AI66+BP!AI64)/BP!AI78</f>
        <v>0.54910149297694255</v>
      </c>
      <c r="AB17" s="280">
        <f>+(BP!AJ43+BP!AJ44+BP!AJ62+BP!AJ66+BP!AJ64)/BP!AJ78</f>
        <v>0.49659318280058645</v>
      </c>
      <c r="AC17" s="280">
        <f>+(BP!AK43+BP!AK44+BP!AK62+BP!AK66+BP!AK64)/BP!AK78</f>
        <v>0.3331208594604172</v>
      </c>
      <c r="AD17" s="280">
        <f>+(BP!AL43+BP!AL44+BP!AL62+BP!AL66+BP!AL64)/BP!AL78</f>
        <v>0.32533788458877255</v>
      </c>
      <c r="AE17" s="280">
        <f>+(BP!AM43+BP!AM44+BP!AM62+BP!AM66+BP!AM64)/BP!AM78</f>
        <v>0.3499199639031832</v>
      </c>
      <c r="AF17" s="280">
        <f>+(BP!AN43+BP!AN44+BP!AN62+BP!AN66+BP!AN64)/BP!AN78</f>
        <v>0.33073753230987751</v>
      </c>
      <c r="AG17" s="280">
        <f>+(BP!AO43+BP!AO44+BP!AO62+BP!AO66+BP!AO64)/BP!AO78</f>
        <v>0.28451189323000753</v>
      </c>
      <c r="AH17" s="280">
        <f>+(BP!AP43+BP!AP44+BP!AP62+BP!AP66+BP!AP64)/BP!AP78</f>
        <v>0.27254381203473943</v>
      </c>
      <c r="AI17" s="280">
        <f>+(BP!AQ43+BP!AQ44+BP!AQ62+BP!AQ66+BP!AQ64)/BP!AQ78</f>
        <v>0.25270928712991253</v>
      </c>
      <c r="AJ17" s="280">
        <f>+(BP!AR43+BP!AR44+BP!AR62+BP!AR66+BP!AR64)/BP!AR78</f>
        <v>0.24545671116490081</v>
      </c>
      <c r="AK17" s="280">
        <f>+(BP!AS43+BP!AS44+BP!AS62+BP!AS66+BP!AS64)/BP!AS78</f>
        <v>0.25906397078962445</v>
      </c>
      <c r="AL17" s="280">
        <f>+(BP!AT43+BP!AT44+BP!AT62+BP!AT66+BP!AT64)/BP!AT78</f>
        <v>0.42005260232372121</v>
      </c>
      <c r="AM17" s="280">
        <f>+(BP!AU43+BP!AU44+BP!AU62+BP!AU66+BP!AU64)/BP!AU78</f>
        <v>0.31203151237121884</v>
      </c>
      <c r="AN17" s="280">
        <f>+(BP!AV43+BP!AV44+BP!AV62+BP!AV66+BP!AV64)/BP!AV78</f>
        <v>0.31026489483129305</v>
      </c>
      <c r="AO17" s="280">
        <f>+(BP!AW43+BP!AW44+BP!AW62+BP!AW66+BP!AW64)/BP!AW78</f>
        <v>0.30173000615588819</v>
      </c>
      <c r="AP17" s="280">
        <f>+(BP!AX43+BP!AX44+BP!AX62+BP!AX66+BP!AX64)/BP!AX78</f>
        <v>0.23198853407335879</v>
      </c>
      <c r="AQ17" s="280">
        <f>+(BP!AY43+BP!AY44+BP!AY62+BP!AY66+BP!AY64)/BP!AY78</f>
        <v>0.1909505050595692</v>
      </c>
      <c r="AR17" s="280">
        <f>+(BP!AZ43+BP!AZ44+BP!AZ62+BP!AZ66+BP!AZ64)/BP!AZ78</f>
        <v>0.18933386609160113</v>
      </c>
      <c r="AS17" s="280">
        <f>+(BP!BA43+BP!BA44+BP!BA62+BP!BA66+BP!BA64)/BP!BA78</f>
        <v>0.17049305017428179</v>
      </c>
      <c r="AT17" s="280">
        <f>+(BP!BB43+BP!BB44+BP!BB62+BP!BB66+BP!BB64)/BP!BB78</f>
        <v>9.6684017055484031E-2</v>
      </c>
      <c r="AU17" s="280">
        <f>+(BP!BC43+BP!BC44+BP!BC62+BP!BC66+BP!BC64)/BP!BC78</f>
        <v>9.0214414044941529E-2</v>
      </c>
      <c r="AV17" s="280">
        <f>+(BP!BD43+BP!BD44+BP!BD62+BP!BD66+BP!BD64)/BP!BD78</f>
        <v>0.13278707995024727</v>
      </c>
      <c r="AW17" s="280">
        <f>+(BP!BE43+BP!BE44+BP!BE62+BP!BE66+BP!BE64)/BP!BE78</f>
        <v>0.11283845542952185</v>
      </c>
      <c r="AX17" s="280">
        <f>+(BP!BF43+BP!BF44+BP!BF62+BP!BF66+BP!BF64)/BP!BF78</f>
        <v>0.11394957437617206</v>
      </c>
      <c r="AY17" s="280">
        <f>+(BP!BG43+BP!BG44+BP!BG62+BP!BG66+BP!BG64)/BP!BG78</f>
        <v>0.11690316314291188</v>
      </c>
      <c r="AZ17" s="280">
        <f>+(BP!BH43+BP!BH44+BP!BH62+BP!BH66+BP!BH64)/BP!BH78</f>
        <v>0.12165068189709879</v>
      </c>
      <c r="BA17" s="280">
        <f>+(BP!BI43+BP!BI44+BP!BI62+BP!BI66+BP!BI64)/BP!BI78</f>
        <v>0.12289143369327632</v>
      </c>
      <c r="BB17" s="280">
        <f>+(BP!BJ43+BP!BJ44+BP!BJ62+BP!BJ66+BP!BJ64)/BP!BJ78</f>
        <v>0.1193001812593585</v>
      </c>
      <c r="BC17" s="280">
        <f>+(BP!BK43+BP!BK44+BP!BK62+BP!BK66+BP!BK64)/BP!BK78</f>
        <v>0.11847328552354409</v>
      </c>
      <c r="BD17" s="280">
        <f>+(BP!BL43+BP!BL44+BP!BL62+BP!BL66+BP!BL64)/BP!BL78</f>
        <v>0.11503686202327087</v>
      </c>
      <c r="BE17" s="280">
        <f>+(BP!BM43+BP!BM44+BP!BM62+BP!BM66+BP!BM64)/BP!BM78</f>
        <v>0.11426804110893411</v>
      </c>
      <c r="BF17" s="280">
        <f>+(BP!BN43+BP!BN44+BP!BN62+BP!BN66+BP!BN64)/BP!BN78</f>
        <v>0.11194844965415324</v>
      </c>
      <c r="BG17" s="280">
        <f>+(BP!BO43+BP!BO44+BP!BO62+BP!BO66+BP!BO64)/BP!BO78</f>
        <v>8.7193695808110677E-2</v>
      </c>
      <c r="BH17" s="280">
        <f>+(BP!BP43+BP!BP44+BP!BP62+BP!BP66+BP!BP64)/BP!BP78</f>
        <v>0.14439948958592486</v>
      </c>
      <c r="BI17" s="280">
        <f>+(BP!BQ43+BP!BQ44+BP!BQ62+BP!BQ66+BP!BQ64)/BP!BQ78</f>
        <v>0.13743306937952926</v>
      </c>
      <c r="BJ17" s="280">
        <f>+(BP!BR43+BP!BR44+BP!BR62+BP!BR66+BP!BR64)/BP!BR78</f>
        <v>0.14215588642979718</v>
      </c>
    </row>
    <row r="18" spans="1:63" s="282" customFormat="1" x14ac:dyDescent="0.2">
      <c r="A18" s="282" t="s">
        <v>559</v>
      </c>
      <c r="B18" s="282" t="s">
        <v>837</v>
      </c>
      <c r="C18" s="12"/>
      <c r="D18" s="279" t="str">
        <f>IF([1]RENAME!$H$3=1,B18,A18)</f>
        <v>Dívida bruta / Market cap</v>
      </c>
      <c r="E18" s="283">
        <f>+(BP!M43+BP!M44+BP!M62+BP!M66+BP!M64)/(E60*E59)</f>
        <v>0.14900874951235682</v>
      </c>
      <c r="F18" s="283">
        <f>+(BP!N43+BP!N44+BP!N62+BP!N66+BP!N64)/(F60*F59)</f>
        <v>0.16902164621539226</v>
      </c>
      <c r="G18" s="283">
        <f>+(BP!O43+BP!O44+BP!O62+BP!O66+BP!O64)/(G60*G59)</f>
        <v>0.16173052106751809</v>
      </c>
      <c r="H18" s="283">
        <f>+(BP!P43+BP!P44+BP!P62+BP!P66+BP!P64)/(H60*H59)</f>
        <v>0.1601302914374301</v>
      </c>
      <c r="I18" s="283">
        <f>+(BP!Q43+BP!Q44+BP!Q62+BP!Q66+BP!Q64)/(I60*I59)</f>
        <v>0.27748986383969643</v>
      </c>
      <c r="J18" s="283">
        <f>+(BP!R43+BP!R44+BP!R62+BP!R66+BP!R64)/(J60*J59)</f>
        <v>0.38132781894345574</v>
      </c>
      <c r="K18" s="283">
        <f>+(BP!S43+BP!S44+BP!S62+BP!S66+BP!S64)/(K60*K59)</f>
        <v>0.34666400324759905</v>
      </c>
      <c r="L18" s="283">
        <f>+(BP!T43+BP!T44+BP!T62+BP!T66+BP!T64)/(L60*L59)</f>
        <v>0.3918491126258497</v>
      </c>
      <c r="M18" s="283">
        <f>+(BP!U43+BP!U44+BP!U62+BP!U66+BP!U64)/(M60*M59)</f>
        <v>0.41763513240622135</v>
      </c>
      <c r="N18" s="284">
        <f>+(BP!V43+BP!V44+BP!V62+BP!V66+BP!V64)/(N60*N59)</f>
        <v>0.32770603122755598</v>
      </c>
      <c r="O18" s="283">
        <f>+(BP!W43+BP!W44+BP!W62+BP!W66+BP!W64)/(O60*O59)</f>
        <v>0.40670168933963385</v>
      </c>
      <c r="P18" s="283">
        <f>+(BP!X43+BP!X44+BP!X62+BP!X66+BP!X64)/(P60*P59)</f>
        <v>0.4453063565380162</v>
      </c>
      <c r="Q18" s="283">
        <f>+(BP!Y43+BP!Y44+BP!Y62+BP!Y66+BP!Y64)/(Q60*Q59)</f>
        <v>0.57769811622255562</v>
      </c>
      <c r="R18" s="283">
        <f>+(BP!Z43+BP!Z44+BP!Z62+BP!Z66+BP!Z64)/(R60*R59)</f>
        <v>0.40613553133486302</v>
      </c>
      <c r="S18" s="283">
        <f>+(BP!AA43+BP!AA44+BP!AA62+BP!AA66+BP!AA64)/(S60*S59)</f>
        <v>0.90944099577847792</v>
      </c>
      <c r="T18" s="283">
        <f>+(BP!AB43+BP!AB44+BP!AB62+BP!AB66+BP!AB64)/(T60*T59)</f>
        <v>1.3451034300510822</v>
      </c>
      <c r="U18" s="283">
        <f>+(BP!AC43+BP!AC44+BP!AC62+BP!AC66+BP!AC64)/(U60*U59)</f>
        <v>1.3235631935470991</v>
      </c>
      <c r="V18" s="283">
        <f>+(BP!AD43+BP!AD44+BP!AD62+BP!AD66+BP!AD64)/(V60*V59)</f>
        <v>1.0078784038759383</v>
      </c>
      <c r="W18" s="283">
        <f>+(BP!AE43+BP!AE44+BP!AE62+BP!AE66+BP!AE64)/(W60*W59)</f>
        <v>0.62530725270657161</v>
      </c>
      <c r="X18" s="283">
        <f>+(BP!AF43+BP!AF44+BP!AF62+BP!AF66+BP!AF64)/(X60*X59)</f>
        <v>0.57001783496497727</v>
      </c>
      <c r="Y18" s="283">
        <f>+(BP!AG43+BP!AG44+BP!AG62+BP!AG66+BP!AG64)/(Y60*Y59)</f>
        <v>0.32797508758449517</v>
      </c>
      <c r="Z18" s="283">
        <f>+(BP!AH43+BP!AH44+BP!AH62+BP!AH66+BP!AH64)/(Z60*Z59)</f>
        <v>0.31818054639377991</v>
      </c>
      <c r="AA18" s="283">
        <f>+(BP!AI43+BP!AI44+BP!AI62+BP!AI66+BP!AI64)/(AA60*AA59)</f>
        <v>0.20674983538854902</v>
      </c>
      <c r="AB18" s="283">
        <f>+(BP!AJ43+BP!AJ44+BP!AJ62+BP!AJ66+BP!AJ64)/(AB60*AB59)</f>
        <v>0.17106026590607692</v>
      </c>
      <c r="AC18" s="283">
        <f>+(BP!AK43+BP!AK44+BP!AK62+BP!AK66+BP!AK64)/(AC60*AC59)</f>
        <v>0.10276246261774588</v>
      </c>
      <c r="AD18" s="283">
        <f>+(BP!AL43+BP!AL44+BP!AL62+BP!AL66+BP!AL64)/(AD60*AD59)</f>
        <v>0.11312300708582364</v>
      </c>
      <c r="AE18" s="283">
        <f>+(BP!AM43+BP!AM44+BP!AM62+BP!AM66+BP!AM64)/(AE60*AE59)</f>
        <v>0.12438467040693975</v>
      </c>
      <c r="AF18" s="283">
        <f>+(BP!AN43+BP!AN44+BP!AN62+BP!AN66+BP!AN64)/(AF60*AF59)</f>
        <v>0.10419899740981282</v>
      </c>
      <c r="AG18" s="283">
        <f>+(BP!AO43+BP!AO44+BP!AO62+BP!AO66+BP!AO64)/(AG60*AG59)</f>
        <v>7.8364084308393825E-2</v>
      </c>
      <c r="AH18" s="283">
        <f>+(BP!AP43+BP!AP44+BP!AP62+BP!AP66+BP!AP64)/(AH60*AH59)</f>
        <v>7.9466755189762844E-2</v>
      </c>
      <c r="AI18" s="283">
        <f>+(BP!AQ43+BP!AQ44+BP!AQ62+BP!AQ66+BP!AQ64)/(AI60*AI59)</f>
        <v>7.0158106533429243E-2</v>
      </c>
      <c r="AJ18" s="283">
        <f>+(BP!AR43+BP!AR44+BP!AR62+BP!AR66+BP!AR64)/(AJ60*AJ59)</f>
        <v>6.5976982712857665E-2</v>
      </c>
      <c r="AK18" s="283">
        <f>+(BP!AS43+BP!AS44+BP!AS62+BP!AS66+BP!AS64)/(AK60*AK59)</f>
        <v>6.7839848085465906E-2</v>
      </c>
      <c r="AL18" s="283">
        <f>+(BP!AT43+BP!AT44+BP!AT62+BP!AT66+BP!AT64)/(AL60*AL59)</f>
        <v>0.18880894387324226</v>
      </c>
      <c r="AM18" s="283">
        <f>+(BP!AU43+BP!AU44+BP!AU62+BP!AU66+BP!AU64)/(AM60*AM59)</f>
        <v>0.11634875350056631</v>
      </c>
      <c r="AN18" s="283">
        <f>+(BP!AV43+BP!AV44+BP!AV62+BP!AV66+BP!AV64)/(AN60*AN59)</f>
        <v>0.11769140729472037</v>
      </c>
      <c r="AO18" s="283">
        <f>+(BP!AW43+BP!AW44+BP!AW62+BP!AW66+BP!AW64)/(AO60*AO59)</f>
        <v>0.12918561451040478</v>
      </c>
      <c r="AP18" s="283">
        <f>+(BP!AX43+BP!AX44+BP!AX62+BP!AX66+BP!AX64)/(AP60*AP59)</f>
        <v>0.10084196609766005</v>
      </c>
      <c r="AQ18" s="283">
        <f>+(BP!AY43+BP!AY44+BP!AY62+BP!AY66+BP!AY64)/(AQ60*AQ59)</f>
        <v>9.6024164754778291E-2</v>
      </c>
      <c r="AR18" s="283">
        <f>+(BP!AZ43+BP!AZ44+BP!AZ62+BP!AZ66+BP!AZ64)/(AR60*AR59)</f>
        <v>0.12390431066990282</v>
      </c>
      <c r="AS18" s="283">
        <f>+(BP!BA43+BP!BA44+BP!BA62+BP!BA66+BP!BA64)/(AS60*AS59)</f>
        <v>0.12307482181241232</v>
      </c>
      <c r="AT18" s="283">
        <f>+(BP!BB43+BP!BB44+BP!BB62+BP!BB66+BP!BB64)/(AT60*AT59)</f>
        <v>6.9984688528750519E-2</v>
      </c>
      <c r="AU18" s="283">
        <f>+(BP!BC43+BP!BC44+BP!BC62+BP!BC66+BP!BC64)/(AU60*AU59)</f>
        <v>6.1957293616841609E-2</v>
      </c>
      <c r="AV18" s="283">
        <f>+(BP!BD43+BP!BD44+BP!BD62+BP!BD66+BP!BD64)/(AV60*AV59)</f>
        <v>7.3840906028088252E-2</v>
      </c>
      <c r="AW18" s="283">
        <f>+(BP!BE43+BP!BE44+BP!BE62+BP!BE66+BP!BE64)/(AW60*AW59)</f>
        <v>7.5102652147865392E-2</v>
      </c>
      <c r="AX18" s="283">
        <f>+(BP!BF43+BP!BF44+BP!BF62+BP!BF66+BP!BF64)/(AX60*AX59)</f>
        <v>7.0155873206078675E-2</v>
      </c>
      <c r="AY18" s="283">
        <f>+(BP!BG43+BP!BG44+BP!BG62+BP!BG66+BP!BG64)/(AY60*AY59)</f>
        <v>6.0105256763418866E-2</v>
      </c>
      <c r="AZ18" s="283">
        <f>+(BP!BH43+BP!BH44+BP!BH62+BP!BH66+BP!BH64)/(AZ60*AZ59)</f>
        <v>5.980228444645358E-2</v>
      </c>
      <c r="BA18" s="283">
        <f>+(BP!BI43+BP!BI44+BP!BI62+BP!BI66+BP!BI64)/(BA60*BA59)</f>
        <v>6.0658261927511697E-2</v>
      </c>
      <c r="BB18" s="283">
        <f>+(BP!BJ43+BP!BJ44+BP!BJ62+BP!BJ66+BP!BJ64)/(BB60*BB59)</f>
        <v>6.4425142298809621E-2</v>
      </c>
      <c r="BC18" s="283">
        <f>+(BP!BK43+BP!BK44+BP!BK62+BP!BK66+BP!BK64)/(BC60*BC59)</f>
        <v>6.1795687120318396E-2</v>
      </c>
      <c r="BD18" s="283">
        <f>+(BP!BL43+BP!BL44+BP!BL62+BP!BL66+BP!BL64)/(BD60*BD59)</f>
        <v>5.4396557993551295E-2</v>
      </c>
      <c r="BE18" s="283">
        <f>+(BP!BM43+BP!BM44+BP!BM62+BP!BM66+BP!BM64)/(BE60*BE59)</f>
        <v>5.3230680150158569E-2</v>
      </c>
      <c r="BF18" s="283">
        <f>+(BP!BN43+BP!BN44+BP!BN62+BP!BN66+BP!BN64)/(BF60*BF59)</f>
        <v>4.7788490645404733E-2</v>
      </c>
      <c r="BG18" s="283">
        <f>+(BP!BO43+BP!BO44+BP!BO62+BP!BO66+BP!BO64)/(BG60*BG59)</f>
        <v>3.59142103112568E-2</v>
      </c>
      <c r="BH18" s="283">
        <f>+(BP!BP43+BP!BP44+BP!BP62+BP!BP66+BP!BP64)/(BH60*BH59)</f>
        <v>5.239563570383092E-2</v>
      </c>
      <c r="BI18" s="283">
        <f>+(BP!BQ43+BP!BQ44+BP!BQ62+BP!BQ66+BP!BQ64)/(BI60*BI59)</f>
        <v>5.2085297123163531E-2</v>
      </c>
      <c r="BJ18" s="283">
        <f>+(BP!BR43+BP!BR44+BP!BR62+BP!BR66+BP!BR64)/(BJ60*BJ59)</f>
        <v>6.7994533403580373E-2</v>
      </c>
    </row>
    <row r="19" spans="1:63" s="282" customFormat="1" ht="13.5" x14ac:dyDescent="0.2">
      <c r="A19" s="282" t="s">
        <v>550</v>
      </c>
      <c r="B19" s="282" t="s">
        <v>838</v>
      </c>
      <c r="C19" s="12"/>
      <c r="D19" s="462" t="str">
        <f>IF([1]RENAME!$H$3=1,B19,A19)</f>
        <v>EBITDA ajustado / resultado financeiro (&gt; 1,5)</v>
      </c>
      <c r="E19" s="285">
        <v>0</v>
      </c>
      <c r="F19" s="285">
        <v>0</v>
      </c>
      <c r="G19" s="285">
        <v>0</v>
      </c>
      <c r="H19" s="285">
        <f>-SUM(Consolidado!E34:H34)/SUM(Consolidado!E40:H40)</f>
        <v>5.3466294495467919</v>
      </c>
      <c r="I19" s="285">
        <f>-SUM(Consolidado!F34:I34)/SUM(Consolidado!F40:I40)</f>
        <v>4.7790112537741312</v>
      </c>
      <c r="J19" s="285">
        <f>-SUM(Consolidado!G34:J34)/SUM(Consolidado!G40:J40)</f>
        <v>6.4544647387113141</v>
      </c>
      <c r="K19" s="285">
        <f>-SUM(Consolidado!H34:K34)/SUM(Consolidado!H40:K40)</f>
        <v>4.6289831914697475</v>
      </c>
      <c r="L19" s="285">
        <f>-SUM(Consolidado!I34:L34)/SUM(Consolidado!I40:L40)</f>
        <v>3.9516191260063271</v>
      </c>
      <c r="M19" s="285">
        <f>-SUM(Consolidado!J34:M34)/SUM(Consolidado!J40:M40)</f>
        <v>3.9746823187704226</v>
      </c>
      <c r="N19" s="286">
        <f>-SUM(Consolidado!K34:N34)/SUM(Consolidado!K40:N40)</f>
        <v>3.1749298224805282</v>
      </c>
      <c r="O19" s="285">
        <f>-SUM(Consolidado!L34:O34)/SUM(Consolidado!L40:O40)</f>
        <v>3.4720781271144392</v>
      </c>
      <c r="P19" s="285">
        <f>-SUM(Consolidado!M34:P34)/SUM(Consolidado!M40:P40)</f>
        <v>3.6469990047167768</v>
      </c>
      <c r="Q19" s="285">
        <f>-SUM(Consolidado!N34:Q34)/SUM(Consolidado!N40:Q40)</f>
        <v>3.718765030576487</v>
      </c>
      <c r="R19" s="285">
        <f>-SUM(Consolidado!O34:R34)/SUM(Consolidado!O40:R40)</f>
        <v>3.5684500357718658</v>
      </c>
      <c r="S19" s="285">
        <f>-SUM(Consolidado!P34:S34)/SUM(Consolidado!P40:S40)</f>
        <v>3.4162834359723551</v>
      </c>
      <c r="T19" s="285">
        <f>-SUM(Consolidado!Q34:T34)/SUM(Consolidado!Q40:T40)</f>
        <v>3.0024235600135345</v>
      </c>
      <c r="U19" s="285">
        <f>-SUM(Consolidado!R34:U34)/SUM(Consolidado!R40:U40)</f>
        <v>2.6182867027416385</v>
      </c>
      <c r="V19" s="285">
        <f>-SUM(Consolidado!S34:V34)/SUM(Consolidado!S40:V40)</f>
        <v>2.528274070723231</v>
      </c>
      <c r="W19" s="285">
        <f>-SUM(Consolidado!T34:W34)/SUM(Consolidado!T40:W40)</f>
        <v>2.4159786148202369</v>
      </c>
      <c r="X19" s="285">
        <f>-SUM(Consolidado!U34:X34)/SUM(Consolidado!U40:X40)</f>
        <v>2.9778116108408499</v>
      </c>
      <c r="Y19" s="285">
        <f>-SUM(Consolidado!V34:Y34)/SUM(Consolidado!V40:Y40)</f>
        <v>3.7521644694408436</v>
      </c>
      <c r="Z19" s="285">
        <f>-SUM(Consolidado!W34:Z34)/SUM(Consolidado!W40:Z40)</f>
        <v>6.8266400981966244</v>
      </c>
      <c r="AA19" s="285">
        <f>-SUM(Consolidado!X34:AA34)/SUM(Consolidado!X40:AA40)</f>
        <v>16.053482023369082</v>
      </c>
      <c r="AB19" s="285" t="s">
        <v>160</v>
      </c>
      <c r="AC19" s="285" t="s">
        <v>160</v>
      </c>
      <c r="AD19" s="285" t="s">
        <v>160</v>
      </c>
      <c r="AE19" s="285" t="s">
        <v>160</v>
      </c>
      <c r="AF19" s="285">
        <f>-SUM(Consolidado!AC34:AF34)/SUM(Consolidado!AC40:AF40)</f>
        <v>21.981576868610489</v>
      </c>
      <c r="AG19" s="285">
        <f>-SUM(Consolidado!AD34:AG34)/SUM(Consolidado!AD40:AG40)</f>
        <v>24.868551478948159</v>
      </c>
      <c r="AH19" s="285">
        <f>-SUM(Consolidado!AE34:AH34)/SUM(Consolidado!AE40:AH40)</f>
        <v>21.956533156783561</v>
      </c>
      <c r="AI19" s="285" t="s">
        <v>160</v>
      </c>
      <c r="AJ19" s="285" t="s">
        <v>160</v>
      </c>
      <c r="AK19" s="285" t="s">
        <v>160</v>
      </c>
      <c r="AL19" s="285" t="s">
        <v>160</v>
      </c>
      <c r="AM19" s="285">
        <f>-SUM(Consolidado!AJ34:AM34)/SUM(Consolidado!AJ40:AM40)</f>
        <v>17.002103556743851</v>
      </c>
      <c r="AN19" s="285">
        <f>-SUM(Consolidado!AK34:AN34)/SUM(Consolidado!AK40:AN40)</f>
        <v>17.74811044713563</v>
      </c>
      <c r="AO19" s="285">
        <f>-SUM(Consolidado!AL34:AO34)/SUM(Consolidado!AL40:AO40)</f>
        <v>16.079585475032609</v>
      </c>
      <c r="AP19" s="285">
        <f>-SUM(Consolidado!AM34:AP34)/SUM(Consolidado!AM40:AP40)</f>
        <v>31.445550506493145</v>
      </c>
      <c r="AQ19" s="285">
        <f>-SUM(Consolidado!AN34:AQ34)/SUM(Consolidado!AN40:AQ40)</f>
        <v>41.290286830477761</v>
      </c>
      <c r="AR19" s="285">
        <f>-SUM(Consolidado!AO34:AR34)/SUM(Consolidado!AO40:AR40)</f>
        <v>53.555773337668619</v>
      </c>
      <c r="AS19" s="285">
        <f>-SUM(Consolidado!AP34:AS34)/SUM(Consolidado!AP40:AS40)</f>
        <v>229.30509319318034</v>
      </c>
      <c r="AT19" s="285">
        <f>-SUM(Consolidado!AQ34:AT34)/SUM(Consolidado!AQ40:AT40)</f>
        <v>75.311819373384793</v>
      </c>
      <c r="AU19" s="285">
        <f>-SUM(Consolidado!AR34:AU34)/SUM(Consolidado!AR40:AU40)</f>
        <v>157.7690864649191</v>
      </c>
      <c r="AV19" s="285" t="s">
        <v>160</v>
      </c>
      <c r="AW19" s="285" t="s">
        <v>160</v>
      </c>
      <c r="AX19" s="285" t="s">
        <v>160</v>
      </c>
      <c r="AY19" s="285" t="s">
        <v>160</v>
      </c>
      <c r="AZ19" s="285" t="s">
        <v>160</v>
      </c>
      <c r="BA19" s="285" t="s">
        <v>160</v>
      </c>
      <c r="BB19" s="285" t="s">
        <v>160</v>
      </c>
      <c r="BC19" s="285" t="s">
        <v>160</v>
      </c>
      <c r="BD19" s="285" t="s">
        <v>160</v>
      </c>
      <c r="BE19" s="285" t="s">
        <v>160</v>
      </c>
      <c r="BF19" s="285" t="s">
        <v>160</v>
      </c>
      <c r="BG19" s="285" t="s">
        <v>160</v>
      </c>
      <c r="BH19" s="285" t="s">
        <v>160</v>
      </c>
      <c r="BI19" s="285" t="s">
        <v>160</v>
      </c>
      <c r="BJ19" s="285" t="s">
        <v>160</v>
      </c>
    </row>
    <row r="20" spans="1:63" s="282" customFormat="1" ht="13.5" x14ac:dyDescent="0.2">
      <c r="A20" s="282" t="s">
        <v>520</v>
      </c>
      <c r="B20" s="282" t="s">
        <v>839</v>
      </c>
      <c r="C20" s="12"/>
      <c r="D20" s="462" t="str">
        <f>IF([1]RENAME!$H$3=1,B20,A20)</f>
        <v>Dívida líquida / EBITDA ajustado (&lt; 2,5)</v>
      </c>
      <c r="E20" s="285">
        <v>0</v>
      </c>
      <c r="F20" s="285">
        <v>0</v>
      </c>
      <c r="G20" s="285">
        <v>0</v>
      </c>
      <c r="H20" s="285">
        <f>+(H12-H13)/SUM(Consolidado!E34:H34)</f>
        <v>1.3228377839776804</v>
      </c>
      <c r="I20" s="285">
        <f>+(I12-I13)/SUM(Consolidado!F34:I34)</f>
        <v>1.4809539307844977</v>
      </c>
      <c r="J20" s="285">
        <f>+(J12-J13)/SUM(Consolidado!G34:J34)</f>
        <v>1.8282731018400247</v>
      </c>
      <c r="K20" s="285">
        <f>+(K12-K13)/SUM(Consolidado!H34:K34)</f>
        <v>1.8327015885449511</v>
      </c>
      <c r="L20" s="285">
        <f>+(L12-L13)/SUM(Consolidado!I34:L34)</f>
        <v>1.8237966609171088</v>
      </c>
      <c r="M20" s="285">
        <f>+(M12-M13)/SUM(Consolidado!J34:M34)</f>
        <v>1.6681099053673865</v>
      </c>
      <c r="N20" s="286">
        <f>+(N12-N13)/SUM(Consolidado!K34:N34)</f>
        <v>1.4729059131918285</v>
      </c>
      <c r="O20" s="285">
        <f>+(O12-O13)/SUM(Consolidado!L34:O34)</f>
        <v>1.9679625840397545</v>
      </c>
      <c r="P20" s="285">
        <f>+(P12-P13)/SUM(Consolidado!M34:P34)</f>
        <v>1.5749865030820434</v>
      </c>
      <c r="Q20" s="285">
        <f>+(Q12-Q13)/SUM(Consolidado!N34:Q34)</f>
        <v>1.1313337234009793</v>
      </c>
      <c r="R20" s="285">
        <f>+(R12-R13)/SUM(Consolidado!O34:R34)</f>
        <v>1.6446434823743405</v>
      </c>
      <c r="S20" s="285">
        <f>+(S12-S13)/SUM(Consolidado!P34:S34)</f>
        <v>1.2895233646001161</v>
      </c>
      <c r="T20" s="285">
        <f>+(T12-T13)/SUM(Consolidado!Q34:T34)</f>
        <v>1.5163991727748714</v>
      </c>
      <c r="U20" s="285">
        <f>+(U12-U13)/SUM(Consolidado!R34:U34)</f>
        <v>1.2237990007097359</v>
      </c>
      <c r="V20" s="285">
        <f>+(V12-V13)/SUM(Consolidado!S34:V34)</f>
        <v>1.3911589155466977</v>
      </c>
      <c r="W20" s="285">
        <f>+(W12-W13)/SUM(Consolidado!T34:W34)</f>
        <v>1.0970680216400537</v>
      </c>
      <c r="X20" s="285">
        <f>+(X12-X13)/SUM(Consolidado!U34:X34)</f>
        <v>1.1096119265116966</v>
      </c>
      <c r="Y20" s="285">
        <f>+(Y12-Y13)/SUM(Consolidado!V34:Y34)</f>
        <v>1.0026088916234503</v>
      </c>
      <c r="Z20" s="285">
        <f>+(Z12-Z13)/SUM(Consolidado!W34:Z34)</f>
        <v>0.85298399753163789</v>
      </c>
      <c r="AA20" s="285">
        <f>+(AA12-AA13)/SUM(Consolidado!X34:AA34)</f>
        <v>0.60904666001594288</v>
      </c>
      <c r="AB20" s="285">
        <f>+(AB12-AB13)/SUM(Consolidado!Y34:AB34)</f>
        <v>0.55009861383511816</v>
      </c>
      <c r="AC20" s="285">
        <f>+(AC12-AC13)/SUM(Consolidado!Z34:AC34)</f>
        <v>0.2003008917162131</v>
      </c>
      <c r="AD20" s="285">
        <f>+(AD12-AD13)/SUM(Consolidado!AA34:AD34)</f>
        <v>0.35838525381344266</v>
      </c>
      <c r="AE20" s="285">
        <f>+(AE12-AE13)/SUM(Consolidado!AB34:AE34)</f>
        <v>0.34425136947099372</v>
      </c>
      <c r="AF20" s="285">
        <f>+(AF12-AF13)/SUM(Consolidado!AC34:AF34)</f>
        <v>0.37434425587064901</v>
      </c>
      <c r="AG20" s="285">
        <f>+(AG12-AG13)/SUM(Consolidado!AD34:AG34)</f>
        <v>0.15297739766762622</v>
      </c>
      <c r="AH20" s="285">
        <f>+(AH12-AH13)/SUM(Consolidado!AE34:AH34)</f>
        <v>0.13206537552070433</v>
      </c>
      <c r="AI20" s="285">
        <f>+(AI12-AI13)/SUM(Consolidado!AF34:AI34)</f>
        <v>0.11284317955501118</v>
      </c>
      <c r="AJ20" s="285">
        <f>+(AJ12-AJ13)/SUM(Consolidado!AG34:AJ34)</f>
        <v>0.28025081116842049</v>
      </c>
      <c r="AK20" s="285">
        <f>+(AK12-AK13)/SUM(Consolidado!AG34:AK34)</f>
        <v>2.5752329341944814E-2</v>
      </c>
      <c r="AL20" s="285" t="s">
        <v>160</v>
      </c>
      <c r="AM20" s="285" t="s">
        <v>160</v>
      </c>
      <c r="AN20" s="285" t="s">
        <v>160</v>
      </c>
      <c r="AO20" s="285" t="s">
        <v>160</v>
      </c>
      <c r="AP20" s="285" t="s">
        <v>160</v>
      </c>
      <c r="AQ20" s="285" t="s">
        <v>160</v>
      </c>
      <c r="AR20" s="285" t="s">
        <v>160</v>
      </c>
      <c r="AS20" s="285" t="s">
        <v>160</v>
      </c>
      <c r="AT20" s="285" t="s">
        <v>160</v>
      </c>
      <c r="AU20" s="285" t="s">
        <v>160</v>
      </c>
      <c r="AV20" s="285" t="s">
        <v>160</v>
      </c>
      <c r="AW20" s="285" t="s">
        <v>160</v>
      </c>
      <c r="AX20" s="285" t="s">
        <v>160</v>
      </c>
      <c r="AY20" s="285" t="s">
        <v>160</v>
      </c>
      <c r="AZ20" s="285" t="s">
        <v>160</v>
      </c>
      <c r="BA20" s="285" t="s">
        <v>160</v>
      </c>
      <c r="BB20" s="285" t="s">
        <v>160</v>
      </c>
      <c r="BC20" s="285" t="s">
        <v>160</v>
      </c>
      <c r="BD20" s="285" t="s">
        <v>160</v>
      </c>
      <c r="BE20" s="285" t="s">
        <v>160</v>
      </c>
      <c r="BF20" s="285" t="s">
        <v>160</v>
      </c>
      <c r="BG20" s="285" t="s">
        <v>160</v>
      </c>
      <c r="BH20" s="1234">
        <f>+(BH12-BH13)/SUM(Consolidado!BD34:BH34)</f>
        <v>2.4784825600596097E-2</v>
      </c>
      <c r="BI20" s="1234">
        <f>+(BI12-BI13)/SUM(Consolidado!BE34:BI34)</f>
        <v>-0.13528090150671143</v>
      </c>
      <c r="BJ20" s="1234">
        <f>+(BJ12-BJ13)/SUM(Consolidado!BF34:BJ34)</f>
        <v>-0.11056850128624755</v>
      </c>
    </row>
    <row r="21" spans="1:63" ht="7.35" customHeight="1" x14ac:dyDescent="0.2">
      <c r="C21" s="9"/>
      <c r="D21" s="9"/>
      <c r="E21" s="10"/>
      <c r="F21" s="10"/>
      <c r="G21" s="10"/>
      <c r="H21" s="10"/>
      <c r="I21" s="10"/>
      <c r="J21" s="10"/>
      <c r="K21" s="10"/>
      <c r="L21" s="10"/>
      <c r="M21" s="10"/>
      <c r="N21" s="10"/>
      <c r="O21" s="10"/>
      <c r="P21" s="10"/>
      <c r="Q21" s="10"/>
      <c r="R21" s="10"/>
    </row>
    <row r="22" spans="1:63" x14ac:dyDescent="0.2">
      <c r="A22" s="1" t="s">
        <v>1244</v>
      </c>
      <c r="B22" s="1" t="s">
        <v>1245</v>
      </c>
      <c r="C22" s="9"/>
      <c r="D22" s="9" t="str">
        <f>IF([1]RENAME!$H$3=1,B22,A22)</f>
        <v>(consolidado, R$ milhões, exceto %)</v>
      </c>
      <c r="E22" s="10"/>
      <c r="F22" s="10"/>
      <c r="G22" s="10"/>
      <c r="H22" s="10"/>
      <c r="I22" s="10"/>
      <c r="J22" s="10"/>
      <c r="K22" s="10"/>
      <c r="L22" s="1253" t="str">
        <f>L10</f>
        <v>&lt;== Com Direct Express</v>
      </c>
      <c r="M22" s="1254"/>
      <c r="N22" s="224" t="str">
        <f>N10</f>
        <v>Sem Direct Express ==&gt;</v>
      </c>
      <c r="O22" s="223"/>
      <c r="P22" s="10"/>
      <c r="Q22" s="10"/>
      <c r="R22" s="10"/>
    </row>
    <row r="23" spans="1:63" x14ac:dyDescent="0.2">
      <c r="A23" s="1" t="s">
        <v>511</v>
      </c>
      <c r="B23" s="1" t="s">
        <v>840</v>
      </c>
      <c r="C23" s="9"/>
      <c r="D23" s="127" t="str">
        <f>IF([1]RENAME!$H$3=1,B23,A23)</f>
        <v>Indices de retorno</v>
      </c>
      <c r="E23" s="141" t="str">
        <f t="shared" ref="E23:AG23" si="18">+E$3</f>
        <v>1T12</v>
      </c>
      <c r="F23" s="141" t="str">
        <f t="shared" si="18"/>
        <v>2T12</v>
      </c>
      <c r="G23" s="141" t="str">
        <f t="shared" si="18"/>
        <v>3T12</v>
      </c>
      <c r="H23" s="141" t="str">
        <f t="shared" si="18"/>
        <v>4T12</v>
      </c>
      <c r="I23" s="141" t="str">
        <f t="shared" si="18"/>
        <v>1T13</v>
      </c>
      <c r="J23" s="141" t="str">
        <f t="shared" si="18"/>
        <v>2T13</v>
      </c>
      <c r="K23" s="141" t="str">
        <f t="shared" si="18"/>
        <v>3T13</v>
      </c>
      <c r="L23" s="141" t="str">
        <f t="shared" si="18"/>
        <v>4T13</v>
      </c>
      <c r="M23" s="141" t="str">
        <f t="shared" si="18"/>
        <v>1T14</v>
      </c>
      <c r="N23" s="141" t="str">
        <f t="shared" si="18"/>
        <v>2T14</v>
      </c>
      <c r="O23" s="141" t="str">
        <f t="shared" si="18"/>
        <v>3T14</v>
      </c>
      <c r="P23" s="141" t="str">
        <f t="shared" si="18"/>
        <v>4T14</v>
      </c>
      <c r="Q23" s="141" t="str">
        <f t="shared" si="18"/>
        <v>1T15</v>
      </c>
      <c r="R23" s="141" t="str">
        <f t="shared" si="18"/>
        <v>2T15</v>
      </c>
      <c r="S23" s="141" t="str">
        <f t="shared" si="18"/>
        <v>3T15</v>
      </c>
      <c r="T23" s="141" t="str">
        <f t="shared" si="18"/>
        <v>4T15</v>
      </c>
      <c r="U23" s="141" t="str">
        <f t="shared" si="18"/>
        <v>1T16</v>
      </c>
      <c r="V23" s="141" t="str">
        <f t="shared" si="18"/>
        <v>2T16</v>
      </c>
      <c r="W23" s="141" t="str">
        <f t="shared" si="18"/>
        <v>3T16</v>
      </c>
      <c r="X23" s="141" t="str">
        <f t="shared" si="18"/>
        <v>4T16</v>
      </c>
      <c r="Y23" s="141" t="str">
        <f t="shared" si="18"/>
        <v>1T17</v>
      </c>
      <c r="Z23" s="141" t="str">
        <f t="shared" si="18"/>
        <v>2T17</v>
      </c>
      <c r="AA23" s="141" t="str">
        <f t="shared" si="18"/>
        <v>3T17</v>
      </c>
      <c r="AB23" s="141" t="str">
        <f t="shared" si="18"/>
        <v>4T17</v>
      </c>
      <c r="AC23" s="141" t="str">
        <f t="shared" si="18"/>
        <v>1T18</v>
      </c>
      <c r="AD23" s="141" t="str">
        <f t="shared" si="18"/>
        <v>2T18</v>
      </c>
      <c r="AE23" s="141" t="str">
        <f t="shared" si="18"/>
        <v>3T18</v>
      </c>
      <c r="AF23" s="141" t="str">
        <f t="shared" si="18"/>
        <v>4T18</v>
      </c>
      <c r="AG23" s="141" t="str">
        <f t="shared" si="18"/>
        <v>1T19</v>
      </c>
      <c r="AH23" s="141" t="str">
        <f t="shared" ref="AH23:BJ23" si="19">+AH$3</f>
        <v>2T19</v>
      </c>
      <c r="AI23" s="141" t="str">
        <f t="shared" si="19"/>
        <v>3T19</v>
      </c>
      <c r="AJ23" s="141" t="str">
        <f t="shared" si="19"/>
        <v>4T19</v>
      </c>
      <c r="AK23" s="141" t="str">
        <f t="shared" si="19"/>
        <v>1T20</v>
      </c>
      <c r="AL23" s="141" t="str">
        <f t="shared" si="19"/>
        <v>2T20</v>
      </c>
      <c r="AM23" s="141" t="str">
        <f t="shared" si="19"/>
        <v>3T20</v>
      </c>
      <c r="AN23" s="141" t="str">
        <f t="shared" si="19"/>
        <v>4T20</v>
      </c>
      <c r="AO23" s="141" t="str">
        <f t="shared" si="19"/>
        <v>1T21</v>
      </c>
      <c r="AP23" s="141" t="str">
        <f t="shared" si="19"/>
        <v>2T21</v>
      </c>
      <c r="AQ23" s="141" t="str">
        <f t="shared" si="19"/>
        <v>3T21</v>
      </c>
      <c r="AR23" s="141" t="str">
        <f t="shared" si="19"/>
        <v>4T21</v>
      </c>
      <c r="AS23" s="141" t="str">
        <f t="shared" si="19"/>
        <v>1T22</v>
      </c>
      <c r="AT23" s="141" t="str">
        <f t="shared" si="19"/>
        <v>2T22</v>
      </c>
      <c r="AU23" s="141" t="str">
        <f t="shared" si="19"/>
        <v>3T22</v>
      </c>
      <c r="AV23" s="141" t="str">
        <f t="shared" si="19"/>
        <v>4T22</v>
      </c>
      <c r="AW23" s="141" t="str">
        <f t="shared" si="19"/>
        <v>1T23</v>
      </c>
      <c r="AX23" s="141" t="str">
        <f t="shared" si="19"/>
        <v>2T23</v>
      </c>
      <c r="AY23" s="141" t="str">
        <f t="shared" si="19"/>
        <v>3T23</v>
      </c>
      <c r="AZ23" s="141" t="str">
        <f t="shared" si="19"/>
        <v>4T23</v>
      </c>
      <c r="BA23" s="141" t="str">
        <f t="shared" si="19"/>
        <v>1T24</v>
      </c>
      <c r="BB23" s="141" t="str">
        <f t="shared" si="19"/>
        <v>2T24</v>
      </c>
      <c r="BC23" s="141" t="str">
        <f t="shared" si="19"/>
        <v>3T24</v>
      </c>
      <c r="BD23" s="141" t="str">
        <f t="shared" si="19"/>
        <v>4T24</v>
      </c>
      <c r="BE23" s="141" t="str">
        <f t="shared" si="19"/>
        <v>1T25</v>
      </c>
      <c r="BF23" s="141" t="str">
        <f t="shared" si="19"/>
        <v>2T25</v>
      </c>
      <c r="BG23" s="141" t="str">
        <f t="shared" si="19"/>
        <v>3T25</v>
      </c>
      <c r="BH23" s="141" t="str">
        <f t="shared" si="19"/>
        <v>4T25</v>
      </c>
      <c r="BI23" s="141" t="str">
        <f t="shared" si="19"/>
        <v>1T26</v>
      </c>
      <c r="BJ23" s="141" t="str">
        <f t="shared" si="19"/>
        <v>2T26</v>
      </c>
    </row>
    <row r="24" spans="1:63" x14ac:dyDescent="0.2">
      <c r="A24" s="1" t="s">
        <v>464</v>
      </c>
      <c r="B24" s="1" t="s">
        <v>464</v>
      </c>
      <c r="C24" s="9"/>
      <c r="D24" s="619" t="str">
        <f>IF([1]RENAME!$H$3=1,B24,A24)</f>
        <v>ROA</v>
      </c>
      <c r="E24" s="836">
        <v>0</v>
      </c>
      <c r="F24" s="836">
        <v>0</v>
      </c>
      <c r="G24" s="836">
        <v>0</v>
      </c>
      <c r="H24" s="622">
        <f>(SUM(Consolidado!E39:H39)*0.66)/AVERAGE(BP!M39:P39)</f>
        <v>9.7557634888823797E-2</v>
      </c>
      <c r="I24" s="622">
        <f>(SUM(Consolidado!F39:I39)*0.66)/AVERAGE(BP!N39:Q39)</f>
        <v>7.888865937069113E-2</v>
      </c>
      <c r="J24" s="622">
        <f>(SUM(Consolidado!G39:J39)*0.66)/AVERAGE(BP!O39:R39)</f>
        <v>6.9673261046188539E-2</v>
      </c>
      <c r="K24" s="622">
        <f>(SUM(Consolidado!H39:K39)*0.66)/AVERAGE(BP!P39:S39)</f>
        <v>6.3295160608635076E-2</v>
      </c>
      <c r="L24" s="622">
        <f>(SUM(Consolidado!I39:L39)*0.66)/AVERAGE(BP!Q39:T39)</f>
        <v>5.7910603145326041E-2</v>
      </c>
      <c r="M24" s="622">
        <f>(SUM(Consolidado!J39:M39)*0.66)/AVERAGE(BP!R39:U39)</f>
        <v>5.9698450664516359E-2</v>
      </c>
      <c r="N24" s="837">
        <f>(SUM(Consolidado!K39:N39)*0.66)/AVERAGE(BP!S39:V39)</f>
        <v>6.319497982158051E-2</v>
      </c>
      <c r="O24" s="836">
        <f>(SUM(Consolidado!L39:O39)*0.66)/AVERAGE(BP!T39:W39)</f>
        <v>6.2988332342349712E-2</v>
      </c>
      <c r="P24" s="836">
        <f>(SUM(Consolidado!M39:P39)*0.66)/AVERAGE(BP!U39:X39)</f>
        <v>7.9249470248709653E-2</v>
      </c>
      <c r="Q24" s="622">
        <f>(SUM(Consolidado!N39:Q39)*0.66)/AVERAGE(BP!V39:Y39)</f>
        <v>8.5036661593459101E-2</v>
      </c>
      <c r="R24" s="622">
        <f>(SUM(Consolidado!O39:R39)*0.66)/AVERAGE(BP!W39:Z39)</f>
        <v>7.4149181122451502E-2</v>
      </c>
      <c r="S24" s="622">
        <f>(SUM(Consolidado!P39:S39)*0.66)/AVERAGE(BP!X39:AA39)</f>
        <v>6.3014847008334707E-2</v>
      </c>
      <c r="T24" s="622">
        <f>(SUM(Consolidado!Q39:T39)*0.66)/AVERAGE(BP!Y39:AB39)</f>
        <v>2.9548600052646586E-2</v>
      </c>
      <c r="U24" s="622">
        <f>(SUM(Consolidado!R39:U39)*0.66)/AVERAGE(BP!Z39:AC39)</f>
        <v>2.3464727299654441E-2</v>
      </c>
      <c r="V24" s="622">
        <f>(SUM(Consolidado!S39:V39)*0.66)/AVERAGE(BP!AA39:AD39)</f>
        <v>2.4449693962648296E-2</v>
      </c>
      <c r="W24" s="622">
        <f>(SUM(Consolidado!T39:W39)*0.66)/AVERAGE(BP!AB39:AE39)</f>
        <v>2.6390698208802597E-2</v>
      </c>
      <c r="X24" s="622">
        <f>(SUM(Consolidado!U39:X39)*0.66)/AVERAGE(BP!AC39:AF39)</f>
        <v>4.5486908259287771E-2</v>
      </c>
      <c r="Y24" s="622">
        <f>(SUM(Consolidado!V39:Y39)*0.66)/AVERAGE(BP!AD39:AG39)</f>
        <v>5.2981818976474269E-2</v>
      </c>
      <c r="Z24" s="622">
        <f>(SUM(Consolidado!W39:Z39)*0.66)/AVERAGE(BP!AE39:AH39)</f>
        <v>5.8224092468547359E-2</v>
      </c>
      <c r="AA24" s="622">
        <f>(SUM(Consolidado!X39:AA39)*0.66)/AVERAGE(BP!AF39:AI39)</f>
        <v>6.8296537931184273E-2</v>
      </c>
      <c r="AB24" s="622">
        <f>(SUM(Consolidado!Y39:AB39)*0.66)/AVERAGE(BP!AG39:AJ39)</f>
        <v>9.200089577374225E-2</v>
      </c>
      <c r="AC24" s="622">
        <f>(SUM(Consolidado!Z39:AC39)*0.66)/AVERAGE(BP!AH39:AK39)</f>
        <v>9.7885808307452346E-2</v>
      </c>
      <c r="AD24" s="622">
        <f>(SUM(Consolidado!AA39:AD39)*0.66)/AVERAGE(BP!AI39:AL39)</f>
        <v>0.11991038037636652</v>
      </c>
      <c r="AE24" s="622">
        <f>(SUM(Consolidado!AB39:AE39)*0.66)/AVERAGE(BP!AJ39:AM39)</f>
        <v>0.13463962967768203</v>
      </c>
      <c r="AF24" s="622">
        <f>(SUM(Consolidado!AC39:AF39)*0.66)/AVERAGE(BP!AK39:AN39)</f>
        <v>0.1311713950236687</v>
      </c>
      <c r="AG24" s="622">
        <f>(SUM(Consolidado!AD39:AG39)*0.66)/AVERAGE(BP!AL39:AO39)</f>
        <v>0.14136886379618624</v>
      </c>
      <c r="AH24" s="622">
        <f>(SUM(Consolidado!AE39:AH39)*0.66)/AVERAGE(BP!AM39:AP39)</f>
        <v>0.1420374430152431</v>
      </c>
      <c r="AI24" s="622">
        <f>(SUM(Consolidado!AF39:AI39)*0.66)/AVERAGE(BP!AN39:AQ39)</f>
        <v>0.17308873864841659</v>
      </c>
      <c r="AJ24" s="622">
        <f>(SUM(Consolidado!AG39:AJ39)*0.66)/AVERAGE(BP!AO39:AR39)</f>
        <v>0.16817225458227569</v>
      </c>
      <c r="AK24" s="622">
        <f>(SUM(Consolidado!AH39:AK39)*0.66)/AVERAGE(BP!AP39:AS39)</f>
        <v>0.15459625640135943</v>
      </c>
      <c r="AL24" s="622">
        <f>(SUM(Consolidado!AI39:AL39)*0.66)/AVERAGE(BP!AQ39:AT39)</f>
        <v>0.11272572709644321</v>
      </c>
      <c r="AM24" s="622">
        <f>(SUM(Consolidado!AJ39:AM39)*0.66)/AVERAGE(BP!AR39:AU39)</f>
        <v>7.3883477832044436E-2</v>
      </c>
      <c r="AN24" s="622">
        <f>(SUM(Consolidado!AK39:AN39)*0.66)/AVERAGE(BP!AS39:AV39)</f>
        <v>6.4795237942711664E-2</v>
      </c>
      <c r="AO24" s="622">
        <f>(SUM(Consolidado!AL39:AO39)*0.66)/AVERAGE(BP!AT39:AW39)</f>
        <v>6.5601363755388456E-2</v>
      </c>
      <c r="AP24" s="622">
        <f>(SUM(Consolidado!AM39:AP39)*0.66)/AVERAGE(BP!AU39:AX39)</f>
        <v>8.9661015720713597E-2</v>
      </c>
      <c r="AQ24" s="622">
        <f>(SUM(Consolidado!AN39:AQ39)*0.66)/AVERAGE(BP!AV39:AY39)</f>
        <v>7.8282644638369994E-2</v>
      </c>
      <c r="AR24" s="622">
        <f>(SUM(Consolidado!AO39:AR39)*0.66)/AVERAGE(BP!AW39:AZ39)</f>
        <v>7.5230633780894743E-2</v>
      </c>
      <c r="AS24" s="622">
        <f>(SUM(Consolidado!AP39:AS39)*0.66)/AVERAGE(BP!AX39:BA39)</f>
        <v>7.0254281492732593E-2</v>
      </c>
      <c r="AT24" s="622">
        <f>(SUM(Consolidado!AQ39:AT39)*0.66)/AVERAGE(BP!AY39:BB39)</f>
        <v>7.5680978725645873E-2</v>
      </c>
      <c r="AU24" s="622">
        <f>(SUM(Consolidado!AR39:AU39)*0.66)/AVERAGE(BP!AZ39:BC39)</f>
        <v>0.10430033676218257</v>
      </c>
      <c r="AV24" s="622">
        <f>(SUM(Consolidado!AS39:AV39)*0.66)/AVERAGE(BP!BA39:BD39)</f>
        <v>0.12092536589293773</v>
      </c>
      <c r="AW24" s="622">
        <f>(SUM(Consolidado!AT39:AW39)*0.66)/AVERAGE(BP!BB39:BE39)</f>
        <v>0.12957405435898742</v>
      </c>
      <c r="AX24" s="622">
        <f>(SUM(Consolidado!AU39:AX39)*0.66)/AVERAGE(BP!BC39:BF39)</f>
        <v>0.13083975558709657</v>
      </c>
      <c r="AY24" s="622">
        <f>(SUM(Consolidado!AV39:AY39)*0.66)/AVERAGE(BP!BD39:BG39)</f>
        <v>0.12517244508290037</v>
      </c>
      <c r="AZ24" s="622">
        <f>(SUM(Consolidado!AW39:AZ39)*0.66)/AVERAGE(BP!BE39:BH39)</f>
        <v>0.11999963074692341</v>
      </c>
      <c r="BA24" s="622">
        <f>(SUM(Consolidado!AX39:BA39)*0.66)/AVERAGE(BP!BF39:BI39)</f>
        <v>0.12005599382262179</v>
      </c>
      <c r="BB24" s="622">
        <f>(SUM(Consolidado!AY39:BB39)*0.66)/AVERAGE(BP!BG39:BJ39)</f>
        <v>0.13109560851790447</v>
      </c>
      <c r="BC24" s="622">
        <f>(SUM(Consolidado!AZ39:BC39)*0.66)/AVERAGE(BP!BH39:BK39)</f>
        <v>0.15243218041219353</v>
      </c>
      <c r="BD24" s="622">
        <f>(SUM(Consolidado!BA39:BD39)*0.66)/AVERAGE(BP!BI39:BL39)</f>
        <v>0.17545519295902737</v>
      </c>
      <c r="BE24" s="622">
        <f>(SUM(Consolidado!BB39:BE39)*0.66)/AVERAGE(BP!BJ39:BM39)</f>
        <v>0.17591340167611114</v>
      </c>
      <c r="BF24" s="622">
        <f>(SUM(Consolidado!BC39:BF39)*0.66)/AVERAGE(BP!BK39:BO39)</f>
        <v>0.1744939991695568</v>
      </c>
      <c r="BG24" s="622">
        <f>(SUM(Consolidado!BD39:BG39)*0.66)/AVERAGE(BP!BL39:BO39)</f>
        <v>0.16740247154408722</v>
      </c>
      <c r="BH24" s="622">
        <f>(SUM(Consolidado!BE39:BH39)*0.66)/AVERAGE(BP!BM39:BP39)</f>
        <v>0.14468627078749582</v>
      </c>
      <c r="BI24" s="622">
        <f>(SUM(Consolidado!BF39:BI39)*0.66)/AVERAGE(BP!BN39:BQ39)</f>
        <v>0.14599466035400299</v>
      </c>
      <c r="BJ24" s="622">
        <f>(SUM(Consolidado!BG39:BJ39)*0.66)/AVERAGE(BP!BO39:BR39)</f>
        <v>0.15864992810495976</v>
      </c>
    </row>
    <row r="25" spans="1:63" x14ac:dyDescent="0.2">
      <c r="A25" s="1" t="s">
        <v>465</v>
      </c>
      <c r="B25" s="1" t="s">
        <v>465</v>
      </c>
      <c r="C25" s="9"/>
      <c r="D25" s="619" t="str">
        <f>IF([1]RENAME!$H$3=1,B25,A25)</f>
        <v>ROE</v>
      </c>
      <c r="E25" s="836">
        <v>0</v>
      </c>
      <c r="F25" s="836">
        <v>0</v>
      </c>
      <c r="G25" s="836">
        <v>0</v>
      </c>
      <c r="H25" s="622">
        <f>SUM(Consolidado!E48:H48)/AVERAGE(BP!M78:P78)</f>
        <v>0.19929597246045075</v>
      </c>
      <c r="I25" s="622">
        <f>SUM(Consolidado!F48:I48)/AVERAGE(BP!N78:Q78)</f>
        <v>0.1751150431122058</v>
      </c>
      <c r="J25" s="622">
        <f>SUM(Consolidado!G48:J48)/AVERAGE(BP!O78:R78)</f>
        <v>0.17129390518760496</v>
      </c>
      <c r="K25" s="622">
        <f>SUM(Consolidado!H48:K48)/AVERAGE(BP!P78:S78)</f>
        <v>0.14340147814267901</v>
      </c>
      <c r="L25" s="622">
        <f>SUM(Consolidado!I48:L48)/AVERAGE(BP!Q78:T78)</f>
        <v>0.1185315320119622</v>
      </c>
      <c r="M25" s="622">
        <f>SUM(Consolidado!J48:M48)/AVERAGE(BP!R78:U78)</f>
        <v>0.11324210025498455</v>
      </c>
      <c r="N25" s="623">
        <f>SUM(Consolidado!K48:N48)/AVERAGE(BP!S78:V78)</f>
        <v>4.6520793422733075E-2</v>
      </c>
      <c r="O25" s="622">
        <f>SUM(Consolidado!L48:O48)/AVERAGE(BP!T78:W78)</f>
        <v>-7.8794698462119866E-2</v>
      </c>
      <c r="P25" s="622">
        <f>SUM(Consolidado!M48:P48)/AVERAGE(BP!U78:X78)</f>
        <v>-6.1645637583892618E-2</v>
      </c>
      <c r="Q25" s="622">
        <f>SUM(Consolidado!N48:Q48)/AVERAGE(BP!V78:Y78)</f>
        <v>-4.6022519789244203E-2</v>
      </c>
      <c r="R25" s="622">
        <f>SUM(Consolidado!O48:R48)/AVERAGE(BP!W78:Z78)</f>
        <v>-1.5456367932652232E-2</v>
      </c>
      <c r="S25" s="622">
        <f>SUM(Consolidado!P48:S48)/AVERAGE(BP!X78:AA78)</f>
        <v>7.3752752702499175E-2</v>
      </c>
      <c r="T25" s="622">
        <f>SUM(Consolidado!Q48:T48)/AVERAGE(BP!Y78:AB78)</f>
        <v>2.6889882146551133E-2</v>
      </c>
      <c r="U25" s="622">
        <f>SUM(Consolidado!R48:U48)/AVERAGE(BP!Z78:AC78)</f>
        <v>1.4363697357680017E-3</v>
      </c>
      <c r="V25" s="622">
        <f>SUM(Consolidado!S48:V48)/AVERAGE(BP!AA78:AD78)</f>
        <v>-3.6788887234522195E-3</v>
      </c>
      <c r="W25" s="622">
        <f>SUM(Consolidado!T48:W48)/AVERAGE(BP!AB78:AE78)</f>
        <v>-7.1487289567844859E-3</v>
      </c>
      <c r="X25" s="622">
        <f>SUM(Consolidado!U48:X48)/AVERAGE(BP!AC78:AF78)</f>
        <v>3.7734504082390048E-2</v>
      </c>
      <c r="Y25" s="622">
        <f>SUM(Consolidado!V48:Y48)/AVERAGE(BP!AD78:AG78)</f>
        <v>5.7114439703576818E-2</v>
      </c>
      <c r="Z25" s="622">
        <f>SUM(Consolidado!W48:Z48)/AVERAGE(BP!AE78:AH78)</f>
        <v>0.12073728327198248</v>
      </c>
      <c r="AA25" s="622">
        <f>SUM(Consolidado!X48:AA48)/AVERAGE(BP!AF78:AI78)</f>
        <v>0.14745848579343029</v>
      </c>
      <c r="AB25" s="622">
        <f>SUM(Consolidado!Y48:AB48)/AVERAGE(BP!AG78:AJ78)</f>
        <v>0.25462845871451589</v>
      </c>
      <c r="AC25" s="622">
        <f>SUM(Consolidado!Z48:AC48)/AVERAGE(BP!AH78:AK78)</f>
        <v>0.26234883925036073</v>
      </c>
      <c r="AD25" s="622">
        <f>SUM(Consolidado!AA48:AD48)/AVERAGE(BP!AI78:AL78)</f>
        <v>0.26350223131742656</v>
      </c>
      <c r="AE25" s="622">
        <f>SUM(Consolidado!AB48:AE48)/AVERAGE(BP!AJ78:AM78)</f>
        <v>0.28871799860501807</v>
      </c>
      <c r="AF25" s="622">
        <f>SUM(Consolidado!AC48:AF48)/AVERAGE(BP!AK78:AN78)</f>
        <v>0.23181309881746254</v>
      </c>
      <c r="AG25" s="622">
        <f>SUM(Consolidado!AD48:AG48)/AVERAGE(BP!AL78:AO78)</f>
        <v>0.25234109557626594</v>
      </c>
      <c r="AH25" s="622">
        <f>SUM(Consolidado!AE48:AH48)/AVERAGE(BP!AM78:AP78)</f>
        <v>0.25336637878977991</v>
      </c>
      <c r="AI25" s="622">
        <f>SUM(Consolidado!AF48:AI48)/AVERAGE(BP!AN78:AQ78)</f>
        <v>0.35517886526832637</v>
      </c>
      <c r="AJ25" s="622">
        <f>SUM(Consolidado!AG48:AJ48)/AVERAGE(BP!AO78:AR78)</f>
        <v>0.35596734511224037</v>
      </c>
      <c r="AK25" s="622">
        <f>SUM(Consolidado!AH48:AK48)/AVERAGE(BP!AP78:AS78)</f>
        <v>0.32977874877693797</v>
      </c>
      <c r="AL25" s="622">
        <f>SUM(Consolidado!AI48:AL48)/AVERAGE(BP!AQ78:AT78)</f>
        <v>0.25621544313531947</v>
      </c>
      <c r="AM25" s="622">
        <f>SUM(Consolidado!AJ48:AM48)/AVERAGE(BP!AR78:AU78)</f>
        <v>0.14840028274400327</v>
      </c>
      <c r="AN25" s="622">
        <f>SUM(Consolidado!AK48:AN48)/AVERAGE(BP!AS78:AV78)</f>
        <v>0.12101064856827377</v>
      </c>
      <c r="AO25" s="622">
        <f>SUM(Consolidado!AL48:AO48)/AVERAGE(BP!AT78:AW78)</f>
        <v>0.11998781530475172</v>
      </c>
      <c r="AP25" s="622">
        <f>SUM(Consolidado!AM48:AP48)/AVERAGE(BP!AU78:AX78)</f>
        <v>0.16165963472592129</v>
      </c>
      <c r="AQ25" s="622">
        <f>SUM(Consolidado!AN48:AQ48)/AVERAGE(BP!AV78:AY78)</f>
        <v>0.16518461095268083</v>
      </c>
      <c r="AR25" s="622">
        <f>SUM(Consolidado!AO48:AR48)/AVERAGE(BP!AW78:AZ78)</f>
        <v>0.16264423190929023</v>
      </c>
      <c r="AS25" s="622">
        <f>SUM(Consolidado!AP48:AS48)/AVERAGE(BP!AX78:BA78)</f>
        <v>0.15733193487962113</v>
      </c>
      <c r="AT25" s="622">
        <f>SUM(Consolidado!AQ48:AT48)/AVERAGE(BP!AY78:BB78)</f>
        <v>0.16374324812305521</v>
      </c>
      <c r="AU25" s="622">
        <f>SUM(Consolidado!AR48:AU48)/AVERAGE(BP!AZ78:BC78)</f>
        <v>0.18711728979875242</v>
      </c>
      <c r="AV25" s="622">
        <f>SUM(Consolidado!AS48:AV48)/AVERAGE(BP!BA78:BD78)</f>
        <v>0.21950179551969173</v>
      </c>
      <c r="AW25" s="622">
        <f>SUM(Consolidado!AT48:AW48)/AVERAGE(BP!BB78:BE78)</f>
        <v>0.23328566959845332</v>
      </c>
      <c r="AX25" s="622">
        <f>SUM(Consolidado!AU48:AX48)/AVERAGE(BP!BC78:BF78)</f>
        <v>0.23822094072183758</v>
      </c>
      <c r="AY25" s="622">
        <f>SUM(Consolidado!AV48:AY48)/AVERAGE(BP!BD78:BG78)</f>
        <v>0.23557491396413743</v>
      </c>
      <c r="AZ25" s="622">
        <f>SUM(Consolidado!AW48:AZ48)/AVERAGE(BP!BE78:BH78)</f>
        <v>0.22344624579146463</v>
      </c>
      <c r="BA25" s="622">
        <f>SUM(Consolidado!AX48:BA48)/AVERAGE(BP!BF78:BI78)</f>
        <v>0.22199439826591663</v>
      </c>
      <c r="BB25" s="622">
        <f>SUM(Consolidado!AY48:BB48)/AVERAGE(BP!BG78:BJ78)</f>
        <v>0.24402877713968504</v>
      </c>
      <c r="BC25" s="622">
        <f>SUM(Consolidado!AZ48:BC48)/AVERAGE(BP!BH78:BK78)</f>
        <v>0.27122201410607094</v>
      </c>
      <c r="BD25" s="622">
        <f>SUM(Consolidado!BA48:BD48)/AVERAGE(BP!BI78:BL78)</f>
        <v>0.30285940514764675</v>
      </c>
      <c r="BE25" s="622">
        <f>SUM(Consolidado!BB48:BE48)/AVERAGE(BP!BJ78:BM78)</f>
        <v>0.30198846099920107</v>
      </c>
      <c r="BF25" s="622">
        <f>SUM(Consolidado!BC48:BF48)/AVERAGE(BP!BK78:BN78)</f>
        <v>0.29739336107486936</v>
      </c>
      <c r="BG25" s="622">
        <f>SUM(Consolidado!BD48:BG48)/AVERAGE(BP!BL78:BO78)</f>
        <v>0.28558025299744155</v>
      </c>
      <c r="BH25" s="622">
        <f>SUM(Consolidado!BE48:BH48)/AVERAGE(BP!BM78:BP78)</f>
        <v>0.2547462821847305</v>
      </c>
      <c r="BI25" s="622">
        <f>SUM(Consolidado!BF48:BI48)/AVERAGE(BP!BN78:BQ78)</f>
        <v>0.25314796803058015</v>
      </c>
      <c r="BJ25" s="622">
        <f>SUM(Consolidado!BG48:BJ48)/AVERAGE(BP!BO78:BR78)</f>
        <v>0.27010676074317969</v>
      </c>
    </row>
    <row r="26" spans="1:63" x14ac:dyDescent="0.2">
      <c r="C26" s="9"/>
      <c r="D26" s="619" t="s">
        <v>1243</v>
      </c>
      <c r="E26" s="209">
        <v>0</v>
      </c>
      <c r="F26" s="209">
        <v>0</v>
      </c>
      <c r="G26" s="209">
        <v>0</v>
      </c>
      <c r="H26" s="209">
        <v>0</v>
      </c>
      <c r="I26" s="622">
        <f t="shared" ref="I26:P26" si="20">I27/I28</f>
        <v>0.18100700445738196</v>
      </c>
      <c r="J26" s="622">
        <f t="shared" si="20"/>
        <v>0.16692073427287987</v>
      </c>
      <c r="K26" s="622">
        <f t="shared" si="20"/>
        <v>0.15080309911835427</v>
      </c>
      <c r="L26" s="622">
        <f t="shared" si="20"/>
        <v>0.14051656288629266</v>
      </c>
      <c r="M26" s="622">
        <f t="shared" si="20"/>
        <v>0.14003708674952139</v>
      </c>
      <c r="N26" s="623">
        <f t="shared" si="20"/>
        <v>0.14594572861927085</v>
      </c>
      <c r="O26" s="622">
        <f t="shared" si="20"/>
        <v>0.14312216693182331</v>
      </c>
      <c r="P26" s="622">
        <f t="shared" si="20"/>
        <v>0.17911685151182064</v>
      </c>
      <c r="Q26" s="622">
        <f t="shared" ref="Q26:AB26" si="21">Q27/Q28</f>
        <v>0.20134856973009263</v>
      </c>
      <c r="R26" s="622">
        <f t="shared" si="21"/>
        <v>0.16801313894433623</v>
      </c>
      <c r="S26" s="622">
        <f t="shared" si="21"/>
        <v>0.14909703500405472</v>
      </c>
      <c r="T26" s="622">
        <f t="shared" si="21"/>
        <v>7.2214162656229819E-2</v>
      </c>
      <c r="U26" s="622">
        <f t="shared" si="21"/>
        <v>5.7244757064376463E-2</v>
      </c>
      <c r="V26" s="622">
        <f t="shared" si="21"/>
        <v>6.4253918370351423E-2</v>
      </c>
      <c r="W26" s="622">
        <f t="shared" si="21"/>
        <v>7.1955554802619212E-2</v>
      </c>
      <c r="X26" s="622">
        <f t="shared" si="21"/>
        <v>0.12520680177989765</v>
      </c>
      <c r="Y26" s="622">
        <f t="shared" si="21"/>
        <v>0.13933912238212409</v>
      </c>
      <c r="Z26" s="622">
        <f t="shared" si="21"/>
        <v>0.15010863461840857</v>
      </c>
      <c r="AA26" s="622">
        <f t="shared" si="21"/>
        <v>0.16934563700032096</v>
      </c>
      <c r="AB26" s="622">
        <f t="shared" si="21"/>
        <v>0.2200299162295801</v>
      </c>
      <c r="AC26" s="622">
        <f t="shared" ref="AC26:AH26" si="22">AC27/AC28</f>
        <v>0.2359852586972781</v>
      </c>
      <c r="AD26" s="622">
        <f t="shared" si="22"/>
        <v>0.28076190152634428</v>
      </c>
      <c r="AE26" s="622">
        <f t="shared" si="22"/>
        <v>0.30758117395760876</v>
      </c>
      <c r="AF26" s="622">
        <f t="shared" si="22"/>
        <v>0.28864705156894621</v>
      </c>
      <c r="AG26" s="622">
        <f t="shared" si="22"/>
        <v>0.30718476086180174</v>
      </c>
      <c r="AH26" s="622">
        <f t="shared" si="22"/>
        <v>0.31333533474968595</v>
      </c>
      <c r="AI26" s="777">
        <f t="shared" ref="AI26:AN26" si="23">AI27/AI28</f>
        <v>0.38345845384067889</v>
      </c>
      <c r="AJ26" s="622">
        <f t="shared" si="23"/>
        <v>0.37118706293121845</v>
      </c>
      <c r="AK26" s="622">
        <f t="shared" si="23"/>
        <v>0.33838149785337857</v>
      </c>
      <c r="AL26" s="622">
        <f t="shared" si="23"/>
        <v>0.25891184452470239</v>
      </c>
      <c r="AM26" s="622">
        <f t="shared" si="23"/>
        <v>0.17505722453581155</v>
      </c>
      <c r="AN26" s="622">
        <f t="shared" si="23"/>
        <v>0.16347423992643662</v>
      </c>
      <c r="AO26" s="622">
        <f t="shared" ref="AO26:AT26" si="24">AO27/AO28</f>
        <v>0.17662503475525132</v>
      </c>
      <c r="AP26" s="622">
        <f t="shared" si="24"/>
        <v>0.23491928153859268</v>
      </c>
      <c r="AQ26" s="622">
        <f t="shared" si="24"/>
        <v>0.20305423590565752</v>
      </c>
      <c r="AR26" s="622">
        <f t="shared" si="24"/>
        <v>0.18391796545700856</v>
      </c>
      <c r="AS26" s="622">
        <f t="shared" si="24"/>
        <v>0.16339542313520486</v>
      </c>
      <c r="AT26" s="622">
        <f t="shared" si="24"/>
        <v>0.16559831598483518</v>
      </c>
      <c r="AU26" s="622">
        <f t="shared" ref="AU26:AZ26" si="25">AU27/AU28</f>
        <v>0.21876444079447549</v>
      </c>
      <c r="AV26" s="622">
        <f t="shared" si="25"/>
        <v>0.25575808306782127</v>
      </c>
      <c r="AW26" s="622">
        <f t="shared" si="25"/>
        <v>0.27503812213449441</v>
      </c>
      <c r="AX26" s="622">
        <f t="shared" si="25"/>
        <v>0.28723870732787221</v>
      </c>
      <c r="AY26" s="622">
        <f t="shared" si="25"/>
        <v>0.28419901649520862</v>
      </c>
      <c r="AZ26" s="622">
        <f t="shared" si="25"/>
        <v>0.27412751475687691</v>
      </c>
      <c r="BA26" s="622">
        <f t="shared" ref="BA26:BH26" si="26">BA27/BA28</f>
        <v>0.27547895472990364</v>
      </c>
      <c r="BB26" s="622">
        <f t="shared" si="26"/>
        <v>0.30141700704301322</v>
      </c>
      <c r="BC26" s="622">
        <f t="shared" si="26"/>
        <v>0.3466265428888089</v>
      </c>
      <c r="BD26" s="622">
        <f t="shared" si="26"/>
        <v>0.39462092540627164</v>
      </c>
      <c r="BE26" s="622">
        <f t="shared" si="26"/>
        <v>0.39569790687899709</v>
      </c>
      <c r="BF26" s="622">
        <f t="shared" si="26"/>
        <v>0.39192309466044789</v>
      </c>
      <c r="BG26" s="622">
        <f t="shared" si="26"/>
        <v>0.3734565483487497</v>
      </c>
      <c r="BH26" s="622">
        <f t="shared" si="26"/>
        <v>0.31253825951954156</v>
      </c>
      <c r="BI26" s="622">
        <f>BI27/BI28</f>
        <v>0.29895050164352677</v>
      </c>
      <c r="BJ26" s="622">
        <f>BJ27/BJ28</f>
        <v>0.31784868886540685</v>
      </c>
    </row>
    <row r="27" spans="1:63" x14ac:dyDescent="0.2">
      <c r="A27" s="1" t="s">
        <v>1241</v>
      </c>
      <c r="B27" s="1" t="s">
        <v>1242</v>
      </c>
      <c r="C27" s="9"/>
      <c r="D27" s="620" t="str">
        <f>IF([1]RENAME!$H$3=1,B27,A27)</f>
        <v>NOPAT (soma 4 trimestres) (A)</v>
      </c>
      <c r="E27" s="209">
        <v>0</v>
      </c>
      <c r="F27" s="209">
        <v>0</v>
      </c>
      <c r="G27" s="209">
        <v>0</v>
      </c>
      <c r="H27" s="209">
        <v>0</v>
      </c>
      <c r="I27" s="118">
        <f>SUM(DRE!K19:N19)*(1-34%)/1000</f>
        <v>87.551639999999992</v>
      </c>
      <c r="J27" s="118">
        <f>SUM(DRE!L19:O19)*(1-34%)/1000</f>
        <v>83.31113999999998</v>
      </c>
      <c r="K27" s="118">
        <f>SUM(DRE!M19:P19)*(1-34%)/1000</f>
        <v>77.612700000000004</v>
      </c>
      <c r="L27" s="118">
        <f>SUM(DRE!N19:Q19)*(1-34%)/1000</f>
        <v>73.092359999999985</v>
      </c>
      <c r="M27" s="118">
        <f>SUM(DRE!O19:R19)*(1-34%)/1000</f>
        <v>73.423019999999994</v>
      </c>
      <c r="N27" s="160">
        <f>SUM(DRE!P19:S19)*(1-34%)/1000</f>
        <v>73.507499999999979</v>
      </c>
      <c r="O27" s="118">
        <f>SUM(DRE!Q19:T19)*(1-34%)/1000</f>
        <v>70.394279999999981</v>
      </c>
      <c r="P27" s="118">
        <f>SUM(DRE!R19:U19)*(1-34%)/1000</f>
        <v>85.672619999999995</v>
      </c>
      <c r="Q27" s="118">
        <f>SUM(DRE!S19:V19)*(1-34%)/1000</f>
        <v>90.095279999999974</v>
      </c>
      <c r="R27" s="118">
        <f>SUM(DRE!T19:W19)*(1-34%)/1000</f>
        <v>74.806379999999947</v>
      </c>
      <c r="S27" s="118">
        <f>SUM(DRE!U19:X19)*(1-34%)/1000</f>
        <v>61.772690766599922</v>
      </c>
      <c r="T27" s="118">
        <f>SUM(DRE!V19:Y19)*(1-34%)/1000</f>
        <v>27.894110448599903</v>
      </c>
      <c r="U27" s="118">
        <f>SUM(DRE!W19:Z19)*(1-34%)/1000</f>
        <v>20.944597225199935</v>
      </c>
      <c r="V27" s="118">
        <f>SUM(DRE!X19:AA19)*(1-34%)/1000</f>
        <v>21.603436370999962</v>
      </c>
      <c r="W27" s="118">
        <f>SUM(DRE!Y19:AB19)*(1-34%)/1000</f>
        <v>23.076146425199983</v>
      </c>
      <c r="X27" s="118">
        <f>SUM(DRE!Z19:AC19)*(1-34%)/1000</f>
        <v>38.851514083800019</v>
      </c>
      <c r="Y27" s="118">
        <f>SUM(DRE!AA19:AD19)*(1-34%)/1000</f>
        <v>43.376547475799995</v>
      </c>
      <c r="Z27" s="118">
        <f>SUM(DRE!AB19:AE19)*(1-34%)/1000</f>
        <v>46.985338553999959</v>
      </c>
      <c r="AA27" s="118">
        <f>SUM(DRE!AC19:AF19)*(1-34%)/1000</f>
        <v>53.469496139400007</v>
      </c>
      <c r="AB27" s="118">
        <f>SUM(DRE!AD19:AG19)*(1-34%)/1000</f>
        <v>72.251454481799954</v>
      </c>
      <c r="AC27" s="118">
        <f>SUM(DRE!AE19:AH19)*(1-34%)/1000</f>
        <v>77.65219994399996</v>
      </c>
      <c r="AD27" s="118">
        <f>SUM(DRE!AF19:AI19)*(1-34%)/1000</f>
        <v>92.921281714799932</v>
      </c>
      <c r="AE27" s="118">
        <f>SUM(DRE!AG19:AJ19)*(1-34%)/1000</f>
        <v>104.63650094039987</v>
      </c>
      <c r="AF27" s="118">
        <f>SUM(DRE!AH19:AK19)*(1-34%)/1000</f>
        <v>101.00922138779993</v>
      </c>
      <c r="AG27" s="118">
        <f>SUM(DRE!AI19:AL19)*(1-34%)/1000</f>
        <v>112.94308180319992</v>
      </c>
      <c r="AH27" s="118">
        <f>SUM(DRE!AJ19:AM19)*(1-34%)/1000</f>
        <v>119.25605507639999</v>
      </c>
      <c r="AI27" s="118">
        <f>SUM(DRE!AK19:AN19,)*(1-34%)/1000</f>
        <v>155.15342575920013</v>
      </c>
      <c r="AJ27" s="118">
        <f>SUM(DRE!AL19:AO19,)*(1-34%)/1000</f>
        <v>158.14545451980013</v>
      </c>
      <c r="AK27" s="118">
        <f>SUM(DRE!AM19:AP19)*(1-34%)/1000</f>
        <v>148.98818916960008</v>
      </c>
      <c r="AL27" s="118">
        <f>SUM(DRE!AN19:AQ19)*(1-34%)/1000</f>
        <v>112.69500509520005</v>
      </c>
      <c r="AM27" s="118">
        <f>(SUM(DRE!AO19:AR19))*(1-34%)/1000</f>
        <v>74.439846175199946</v>
      </c>
      <c r="AN27" s="118">
        <f>(SUM(DRE!AP19:AS19))*(1-34%)/1000</f>
        <v>65.955643789199968</v>
      </c>
      <c r="AO27" s="118">
        <f>(SUM(DRE!AQ19:AT19))*(1-34%)/1000</f>
        <v>68.253609586799953</v>
      </c>
      <c r="AP27" s="118">
        <f>(SUM(DRE!AR19:AU19))*(1-34%)/1000</f>
        <v>92.939059811399943</v>
      </c>
      <c r="AQ27" s="118">
        <f>(SUM(DRE!AS19:AV19))*(1-34%)/1000</f>
        <v>80.804265616799952</v>
      </c>
      <c r="AR27" s="118">
        <f>(SUM(DRE!AT19:AW19))*(1-34%)/1000</f>
        <v>77.989585621199907</v>
      </c>
      <c r="AS27" s="118">
        <f>(SUM(DRE!AU19:AX19))*(1-34%)/1000</f>
        <v>72.29344714019993</v>
      </c>
      <c r="AT27" s="118">
        <f>(SUM(DRE!AV19:AY19))*(1-34%)/1000</f>
        <v>77.073679016399893</v>
      </c>
      <c r="AU27" s="118">
        <f>(SUM(DRE!AW19:AZ19))*(1-34%)/1000</f>
        <v>106.77793911179991</v>
      </c>
      <c r="AV27" s="118">
        <f>(SUM(DRE!AX19:BA19))*(1-34%)/1000</f>
        <v>125.80228589939992</v>
      </c>
      <c r="AW27" s="118">
        <f>(SUM(DRE!AY19:BB19))*(1-34%)/1000</f>
        <v>138.10310451959981</v>
      </c>
      <c r="AX27" s="118">
        <f>(SUM(DRE!AZ19:BC19))*(1-34%)/1000</f>
        <v>144.15103251119996</v>
      </c>
      <c r="AY27" s="118">
        <f>(SUM(DRE!BA19:BD19))*(1-34%)/1000</f>
        <v>141.99605980560003</v>
      </c>
      <c r="AZ27" s="118">
        <f>(SUM(DRE!BB19:BE19))*(1-34%)/1000</f>
        <v>138.78692293620017</v>
      </c>
      <c r="BA27" s="118">
        <f>(SUM(DRE!BC19:BF19))*(1-34%)/1000</f>
        <v>141.58626548880017</v>
      </c>
      <c r="BB27" s="118">
        <f>(SUM(DRE!BD19:BG19))*(1-34%)/1000</f>
        <v>159.15413270460004</v>
      </c>
      <c r="BC27" s="118">
        <f>(SUM(DRE!BE19:BH19))*(1-34%)/1000</f>
        <v>189.68530963140009</v>
      </c>
      <c r="BD27" s="118">
        <f>(SUM(DRE!BF19:BI19))*(1-34%)/1000</f>
        <v>224.02333969619986</v>
      </c>
      <c r="BE27" s="118">
        <f>(SUM(DRE!BG19:BJ19))*(1-34%)/1000</f>
        <v>230.20982073539994</v>
      </c>
      <c r="BF27" s="118">
        <f>(SUM(DRE!BH19:BK19))*(1-34%)/1000</f>
        <v>235.75639936199974</v>
      </c>
      <c r="BG27" s="118">
        <f>(SUM(DRE!BI19:BL19))*(1-34%)/1000</f>
        <v>228.83475308759969</v>
      </c>
      <c r="BH27" s="118">
        <f>(SUM(DRE!BJ19:BM19))*(1-34%)/1000</f>
        <v>198.04822854299968</v>
      </c>
      <c r="BI27" s="118">
        <f>(SUM(DRE!BK19:BN19))*(1-34%)/1000</f>
        <v>200.46270878699983</v>
      </c>
      <c r="BJ27" s="118">
        <f>(SUM(DRE!BL19:BO19))*(1-34%)/1000</f>
        <v>223.0431658157998</v>
      </c>
      <c r="BK27" s="274"/>
    </row>
    <row r="28" spans="1:63" x14ac:dyDescent="0.2">
      <c r="A28" s="1" t="s">
        <v>1836</v>
      </c>
      <c r="B28" s="1" t="s">
        <v>1837</v>
      </c>
      <c r="C28" s="9"/>
      <c r="D28" s="620" t="str">
        <f>IF([1]RENAME!$H$3=1,B28,A28)</f>
        <v>Capital empregado (média 4 trimestres) (B)</v>
      </c>
      <c r="E28" s="209">
        <v>0</v>
      </c>
      <c r="F28" s="209">
        <v>0</v>
      </c>
      <c r="G28" s="209">
        <v>0</v>
      </c>
      <c r="H28" s="209">
        <v>0</v>
      </c>
      <c r="I28" s="118">
        <f>(I29+I30-I31)</f>
        <v>483.69200000000001</v>
      </c>
      <c r="J28" s="118">
        <f t="shared" ref="J28:AB28" si="27">(J29+J30-J31)</f>
        <v>499.10599999999999</v>
      </c>
      <c r="K28" s="118">
        <f t="shared" si="27"/>
        <v>514.66250000000002</v>
      </c>
      <c r="L28" s="118">
        <f t="shared" si="27"/>
        <v>520.1690000000001</v>
      </c>
      <c r="M28" s="118">
        <f t="shared" si="27"/>
        <v>524.31124999999997</v>
      </c>
      <c r="N28" s="160">
        <f t="shared" si="27"/>
        <v>503.66325000000006</v>
      </c>
      <c r="O28" s="118">
        <f t="shared" si="27"/>
        <v>491.84750000000008</v>
      </c>
      <c r="P28" s="118">
        <f t="shared" si="27"/>
        <v>478.30574999999999</v>
      </c>
      <c r="Q28" s="118">
        <f t="shared" si="27"/>
        <v>447.45925000000011</v>
      </c>
      <c r="R28" s="118">
        <f t="shared" si="27"/>
        <v>445.24125000000004</v>
      </c>
      <c r="S28" s="118">
        <f t="shared" si="27"/>
        <v>414.31200000000001</v>
      </c>
      <c r="T28" s="118">
        <f t="shared" si="27"/>
        <v>386.26925000000006</v>
      </c>
      <c r="U28" s="118">
        <f t="shared" si="27"/>
        <v>365.87800000000004</v>
      </c>
      <c r="V28" s="118">
        <f t="shared" si="27"/>
        <v>336.21974999999998</v>
      </c>
      <c r="W28" s="118">
        <f t="shared" si="27"/>
        <v>320.70000000000005</v>
      </c>
      <c r="X28" s="118">
        <f t="shared" si="27"/>
        <v>310.29875000000004</v>
      </c>
      <c r="Y28" s="118">
        <f t="shared" si="27"/>
        <v>311.30200000000002</v>
      </c>
      <c r="Z28" s="118">
        <f t="shared" si="27"/>
        <v>313.00889967750004</v>
      </c>
      <c r="AA28" s="118">
        <f t="shared" si="27"/>
        <v>315.74179935500001</v>
      </c>
      <c r="AB28" s="118">
        <f t="shared" si="27"/>
        <v>328.37104935499997</v>
      </c>
      <c r="AC28" s="118">
        <f t="shared" ref="AC28:AH28" si="28">(AC29+AC30-AC31)</f>
        <v>329.05529935499999</v>
      </c>
      <c r="AD28" s="118">
        <f t="shared" si="28"/>
        <v>330.96114967749998</v>
      </c>
      <c r="AE28" s="118">
        <f t="shared" si="28"/>
        <v>340.19150000000002</v>
      </c>
      <c r="AF28" s="118">
        <f t="shared" si="28"/>
        <v>349.94024999999999</v>
      </c>
      <c r="AG28" s="118">
        <f t="shared" si="28"/>
        <v>367.67149999999992</v>
      </c>
      <c r="AH28" s="118">
        <f t="shared" si="28"/>
        <v>380.60200000000009</v>
      </c>
      <c r="AI28" s="118">
        <f t="shared" ref="AI28:AN28" si="29">(AI29+AI30-AI31)</f>
        <v>404.61599999999999</v>
      </c>
      <c r="AJ28" s="118">
        <f t="shared" si="29"/>
        <v>426.05324999999993</v>
      </c>
      <c r="AK28" s="118">
        <f t="shared" si="29"/>
        <v>440.29649999999992</v>
      </c>
      <c r="AL28" s="118">
        <f t="shared" si="29"/>
        <v>435.2639999999999</v>
      </c>
      <c r="AM28" s="118">
        <f t="shared" si="29"/>
        <v>425.23149999999998</v>
      </c>
      <c r="AN28" s="118">
        <f t="shared" si="29"/>
        <v>403.46199999999999</v>
      </c>
      <c r="AO28" s="118">
        <f t="shared" ref="AO28:AT28" si="30">(AO29+AO30-AO31)</f>
        <v>386.43224999999995</v>
      </c>
      <c r="AP28" s="118">
        <f t="shared" si="30"/>
        <v>395.62124999999992</v>
      </c>
      <c r="AQ28" s="118">
        <f t="shared" si="30"/>
        <v>397.94425000000001</v>
      </c>
      <c r="AR28" s="118">
        <f t="shared" si="30"/>
        <v>424.04549999999995</v>
      </c>
      <c r="AS28" s="118">
        <f t="shared" si="30"/>
        <v>442.44475</v>
      </c>
      <c r="AT28" s="118">
        <f t="shared" si="30"/>
        <v>465.42549999999994</v>
      </c>
      <c r="AU28" s="118">
        <f t="shared" ref="AU28:AZ28" si="31">(AU29+AU30-AU31)</f>
        <v>488.09550000000002</v>
      </c>
      <c r="AV28" s="118">
        <f t="shared" si="31"/>
        <v>491.88</v>
      </c>
      <c r="AW28" s="118">
        <f t="shared" si="31"/>
        <v>502.12350000000004</v>
      </c>
      <c r="AX28" s="118">
        <f t="shared" si="31"/>
        <v>501.85099999999989</v>
      </c>
      <c r="AY28" s="118">
        <f t="shared" si="31"/>
        <v>499.63599999999985</v>
      </c>
      <c r="AZ28" s="118">
        <f t="shared" si="31"/>
        <v>506.28599999999994</v>
      </c>
      <c r="BA28" s="118">
        <f t="shared" ref="BA28:BH28" si="32">(BA29+BA30-BA31)</f>
        <v>513.96399999999994</v>
      </c>
      <c r="BB28" s="118">
        <f t="shared" si="32"/>
        <v>528.01974999999993</v>
      </c>
      <c r="BC28" s="118">
        <f t="shared" si="32"/>
        <v>547.23249999999996</v>
      </c>
      <c r="BD28" s="118">
        <f t="shared" si="32"/>
        <v>567.6925</v>
      </c>
      <c r="BE28" s="118">
        <f t="shared" si="32"/>
        <v>581.78174999999999</v>
      </c>
      <c r="BF28" s="118">
        <f t="shared" si="32"/>
        <v>601.53740000000005</v>
      </c>
      <c r="BG28" s="118">
        <f t="shared" si="32"/>
        <v>612.74800000000005</v>
      </c>
      <c r="BH28" s="118">
        <f t="shared" si="32"/>
        <v>633.67675000000008</v>
      </c>
      <c r="BI28" s="118">
        <f>(BI29+BI30-BI31)</f>
        <v>670.55484999999999</v>
      </c>
      <c r="BJ28" s="118">
        <f>(BJ29+BJ30-BJ31)</f>
        <v>701.72750000000008</v>
      </c>
      <c r="BK28" s="274"/>
    </row>
    <row r="29" spans="1:63" x14ac:dyDescent="0.2">
      <c r="A29" s="1" t="s">
        <v>1240</v>
      </c>
      <c r="B29" s="1" t="s">
        <v>1235</v>
      </c>
      <c r="C29" s="9"/>
      <c r="D29" s="621" t="str">
        <f>IF([1]RENAME!$H$3=1,B29,A29)</f>
        <v xml:space="preserve">(+)Dívida líquida </v>
      </c>
      <c r="E29" s="209">
        <v>0</v>
      </c>
      <c r="F29" s="209">
        <v>0</v>
      </c>
      <c r="G29" s="209">
        <v>0</v>
      </c>
      <c r="H29" s="209">
        <v>0</v>
      </c>
      <c r="I29" s="257">
        <f t="shared" ref="I29:AM29" si="33">AVERAGE(F14:I14)/1000</f>
        <v>226.7955</v>
      </c>
      <c r="J29" s="257">
        <f t="shared" si="33"/>
        <v>239.9735</v>
      </c>
      <c r="K29" s="257">
        <f t="shared" si="33"/>
        <v>255.72475</v>
      </c>
      <c r="L29" s="257">
        <f t="shared" si="33"/>
        <v>266.86225000000002</v>
      </c>
      <c r="M29" s="257">
        <f t="shared" si="33"/>
        <v>277.32799999999997</v>
      </c>
      <c r="N29" s="257">
        <f t="shared" si="33"/>
        <v>266.69125000000003</v>
      </c>
      <c r="O29" s="257">
        <f t="shared" si="33"/>
        <v>273.41075000000001</v>
      </c>
      <c r="P29" s="257">
        <f t="shared" si="33"/>
        <v>269.72975000000002</v>
      </c>
      <c r="Q29" s="257">
        <f t="shared" si="33"/>
        <v>247.17025000000001</v>
      </c>
      <c r="R29" s="257">
        <f t="shared" si="33"/>
        <v>246.27275</v>
      </c>
      <c r="S29" s="257">
        <f t="shared" si="33"/>
        <v>209.7345</v>
      </c>
      <c r="T29" s="257">
        <f t="shared" si="33"/>
        <v>180.87524999999999</v>
      </c>
      <c r="U29" s="257">
        <f t="shared" si="33"/>
        <v>162.24600000000001</v>
      </c>
      <c r="V29" s="257">
        <f t="shared" si="33"/>
        <v>134.84800000000001</v>
      </c>
      <c r="W29" s="257">
        <f t="shared" si="33"/>
        <v>120.6005</v>
      </c>
      <c r="X29" s="257">
        <f t="shared" si="33"/>
        <v>107.77075000000001</v>
      </c>
      <c r="Y29" s="257">
        <f t="shared" si="33"/>
        <v>104.33750000000001</v>
      </c>
      <c r="Z29" s="257">
        <f t="shared" si="33"/>
        <v>96.198499999999996</v>
      </c>
      <c r="AA29" s="257">
        <f t="shared" si="33"/>
        <v>89.911749999999998</v>
      </c>
      <c r="AB29" s="257">
        <f t="shared" si="33"/>
        <v>83.767499999999998</v>
      </c>
      <c r="AC29" s="257">
        <f t="shared" si="33"/>
        <v>67.083500000000001</v>
      </c>
      <c r="AD29" s="257">
        <f t="shared" si="33"/>
        <v>58.734250000000003</v>
      </c>
      <c r="AE29" s="257">
        <f t="shared" si="33"/>
        <v>55.304499999999997</v>
      </c>
      <c r="AF29" s="257">
        <f t="shared" si="33"/>
        <v>55.53</v>
      </c>
      <c r="AG29" s="257">
        <f t="shared" si="33"/>
        <v>57.03725</v>
      </c>
      <c r="AH29" s="257">
        <f t="shared" si="33"/>
        <v>50.649250000000002</v>
      </c>
      <c r="AI29" s="257">
        <f t="shared" si="33"/>
        <v>42.41</v>
      </c>
      <c r="AJ29" s="257">
        <f t="shared" si="33"/>
        <v>41.170499999999997</v>
      </c>
      <c r="AK29" s="257">
        <f t="shared" si="33"/>
        <v>34.382249999999999</v>
      </c>
      <c r="AL29" s="257">
        <f t="shared" si="33"/>
        <v>10.787750000000001</v>
      </c>
      <c r="AM29" s="257">
        <f t="shared" si="33"/>
        <v>-9.7977500000000006</v>
      </c>
      <c r="AN29" s="257">
        <f t="shared" ref="AN29:AZ29" si="34">AVERAGE(AK14:AN14)/1000</f>
        <v>-43.963250000000002</v>
      </c>
      <c r="AO29" s="257">
        <f t="shared" si="34"/>
        <v>-73.438000000000002</v>
      </c>
      <c r="AP29" s="257">
        <f t="shared" si="34"/>
        <v>-80.865499999999997</v>
      </c>
      <c r="AQ29" s="257">
        <f t="shared" si="34"/>
        <v>-90.714250000000007</v>
      </c>
      <c r="AR29" s="257">
        <f t="shared" si="34"/>
        <v>-78.630750000000006</v>
      </c>
      <c r="AS29" s="257">
        <f t="shared" si="34"/>
        <v>-73.864249999999998</v>
      </c>
      <c r="AT29" s="257">
        <f t="shared" si="34"/>
        <v>-63.638249999999999</v>
      </c>
      <c r="AU29" s="257">
        <f t="shared" si="34"/>
        <v>-57.904499999999999</v>
      </c>
      <c r="AV29" s="257">
        <f t="shared" si="34"/>
        <v>-75.483750000000001</v>
      </c>
      <c r="AW29" s="257">
        <f t="shared" si="34"/>
        <v>-90.59075</v>
      </c>
      <c r="AX29" s="257">
        <f t="shared" si="34"/>
        <v>-114.2055</v>
      </c>
      <c r="AY29" s="257">
        <f t="shared" si="34"/>
        <v>-137.209</v>
      </c>
      <c r="AZ29" s="257">
        <f t="shared" si="34"/>
        <v>-147.80425</v>
      </c>
      <c r="BA29" s="257">
        <f t="shared" ref="BA29:BH29" si="35">AVERAGE(AX14:BA14)/1000</f>
        <v>-158.02850000000001</v>
      </c>
      <c r="BB29" s="257">
        <f t="shared" si="35"/>
        <v>-165.79474999999999</v>
      </c>
      <c r="BC29" s="257">
        <f t="shared" si="35"/>
        <v>-164.70050000000001</v>
      </c>
      <c r="BD29" s="257">
        <f t="shared" si="35"/>
        <v>-165.80025000000001</v>
      </c>
      <c r="BE29" s="257">
        <f t="shared" si="35"/>
        <v>-174.8835</v>
      </c>
      <c r="BF29" s="257">
        <f t="shared" si="35"/>
        <v>-189.661</v>
      </c>
      <c r="BG29" s="257">
        <f t="shared" si="35"/>
        <v>-190.01050000000001</v>
      </c>
      <c r="BH29" s="257">
        <f t="shared" si="35"/>
        <v>-153.15325000000001</v>
      </c>
      <c r="BI29" s="257">
        <f>AVERAGE(BF14:BI14)/1000</f>
        <v>-110.67149999999999</v>
      </c>
      <c r="BJ29" s="257">
        <f>AVERAGE(BG14:BJ14)/1000</f>
        <v>-65.66225</v>
      </c>
    </row>
    <row r="30" spans="1:63" x14ac:dyDescent="0.2">
      <c r="A30" s="1" t="s">
        <v>1236</v>
      </c>
      <c r="B30" s="1" t="s">
        <v>1237</v>
      </c>
      <c r="C30" s="9"/>
      <c r="D30" s="621" t="str">
        <f>IF([1]RENAME!$H$3=1,B30,A30)</f>
        <v>(+)Patrimônio Líquido</v>
      </c>
      <c r="E30" s="209">
        <v>0</v>
      </c>
      <c r="F30" s="209">
        <v>0</v>
      </c>
      <c r="G30" s="209">
        <v>0</v>
      </c>
      <c r="H30" s="209">
        <v>0</v>
      </c>
      <c r="I30" s="257">
        <f>AVERAGE(BP!N78:'BP'!Q78)/1000</f>
        <v>420.82049999999998</v>
      </c>
      <c r="J30" s="257">
        <f>AVERAGE(BP!O78:'BP'!R78)/1000</f>
        <v>423.05650000000003</v>
      </c>
      <c r="K30" s="257">
        <f>AVERAGE(BP!P78:'BP'!S78)/1000</f>
        <v>422.86174999999997</v>
      </c>
      <c r="L30" s="257">
        <f>AVERAGE(BP!Q78:'BP'!T78)/1000</f>
        <v>417.23075</v>
      </c>
      <c r="M30" s="257">
        <f>AVERAGE(BP!R78:'BP'!U78)/1000</f>
        <v>410.90724999999998</v>
      </c>
      <c r="N30" s="257">
        <f>AVERAGE(BP!S78:'BP'!V78)/1000</f>
        <v>400.89600000000002</v>
      </c>
      <c r="O30" s="257">
        <f>AVERAGE(BP!T78:'BP'!W78)/1000</f>
        <v>382.36075</v>
      </c>
      <c r="P30" s="257">
        <f>AVERAGE(BP!U78:'BP'!X78)/1000</f>
        <v>372.5</v>
      </c>
      <c r="Q30" s="257">
        <f>AVERAGE(BP!V78:'BP'!Y78)/1000</f>
        <v>364.21300000000002</v>
      </c>
      <c r="R30" s="257">
        <f>AVERAGE(BP!W78:'BP'!Z78)/1000</f>
        <v>362.89249999999998</v>
      </c>
      <c r="S30" s="257">
        <f>AVERAGE(BP!X78:'BP'!AA78)/1000</f>
        <v>368.50150000000002</v>
      </c>
      <c r="T30" s="257">
        <f>AVERAGE(BP!Y78:'BP'!AB78)/1000</f>
        <v>369.31799999999998</v>
      </c>
      <c r="U30" s="257">
        <f>AVERAGE(BP!Z78:'BP'!AC78)/1000</f>
        <v>367.55599999999998</v>
      </c>
      <c r="V30" s="257">
        <f>AVERAGE(BP!AA78:'BP'!AD78)/1000</f>
        <v>365.29575</v>
      </c>
      <c r="W30" s="257">
        <f>AVERAGE(BP!AB78:'BP'!AE78)/1000</f>
        <v>364.02350000000001</v>
      </c>
      <c r="X30" s="257">
        <f>AVERAGE(BP!AC78:'BP'!AF78)/1000</f>
        <v>366.452</v>
      </c>
      <c r="Y30" s="257">
        <f>AVERAGE(BP!AD78:'BP'!AG78)/1000</f>
        <v>370.88850000000002</v>
      </c>
      <c r="Z30" s="257">
        <f>AVERAGE(BP!AE78:'BP'!AH78)/1000</f>
        <v>380.39325000000002</v>
      </c>
      <c r="AA30" s="257">
        <f>AVERAGE(BP!AF78:'BP'!AI78)/1000</f>
        <v>389.07175000000001</v>
      </c>
      <c r="AB30" s="257">
        <f>AVERAGE(BP!AG78:'BP'!AJ78)/1000</f>
        <v>407.50400000000002</v>
      </c>
      <c r="AC30" s="257">
        <f>AVERAGE(BP!AH78:'BP'!AK78)/1000</f>
        <v>428.07249999999999</v>
      </c>
      <c r="AD30" s="257">
        <f>AVERAGE(BP!AI78:'BP'!AL78)/1000</f>
        <v>441.86900000000003</v>
      </c>
      <c r="AE30" s="257">
        <f>AVERAGE(BP!AJ78:'BP'!AM78)/1000</f>
        <v>458.07049999999998</v>
      </c>
      <c r="AF30" s="257">
        <f>AVERAGE(BP!AK78:'BP'!AN78)/1000</f>
        <v>466.96199999999999</v>
      </c>
      <c r="AG30" s="257">
        <f>AVERAGE(BP!AL78:'BP'!AO78)/1000</f>
        <v>479.01274999999998</v>
      </c>
      <c r="AH30" s="257">
        <f>AVERAGE(BP!AM78:'BP'!AP78)/1000</f>
        <v>494.15800000000002</v>
      </c>
      <c r="AI30" s="257">
        <f>AVERAGE(BP!AN78:'BP'!AQ78)/1000</f>
        <v>522.23800000000006</v>
      </c>
      <c r="AJ30" s="257">
        <f>AVERAGE(BP!AO78:'BP'!AR78)/1000</f>
        <v>544.91475000000003</v>
      </c>
      <c r="AK30" s="257">
        <f>AVERAGE(BP!AP78:'BP'!AS78)/1000</f>
        <v>565.94624999999996</v>
      </c>
      <c r="AL30" s="257">
        <f>AVERAGE(BP!AQ78:'BP'!AT78)/1000</f>
        <v>584.50824999999998</v>
      </c>
      <c r="AM30" s="257">
        <f>AVERAGE(BP!AR78:'BP'!AU78)/1000</f>
        <v>595.06124999999997</v>
      </c>
      <c r="AN30" s="257">
        <f>AVERAGE(BP!AS78:'BP'!AV78)/1000</f>
        <v>607.45725000000004</v>
      </c>
      <c r="AO30" s="257">
        <f>AVERAGE(BP!AT78:'BP'!AW78)/1000</f>
        <v>619.90224999999998</v>
      </c>
      <c r="AP30" s="257">
        <f>AVERAGE(BP!AU78:'BP'!AX78)/1000</f>
        <v>636.51874999999995</v>
      </c>
      <c r="AQ30" s="257">
        <f>AVERAGE(BP!AV78:'BP'!AY78)/1000</f>
        <v>648.69050000000004</v>
      </c>
      <c r="AR30" s="257">
        <f>AVERAGE(BP!AW78:'BP'!AZ78)/1000</f>
        <v>662.70825000000002</v>
      </c>
      <c r="AS30" s="257">
        <f>AVERAGE(BP!AX78:'BP'!BA78)/1000</f>
        <v>676.34100000000001</v>
      </c>
      <c r="AT30" s="257">
        <f>AVERAGE(BP!AY78:'BP'!BB78)/1000</f>
        <v>689.09574999999995</v>
      </c>
      <c r="AU30" s="257">
        <f>AVERAGE(BP!AZ78:'BP'!BC78)/1000</f>
        <v>706.03200000000004</v>
      </c>
      <c r="AV30" s="257">
        <f>AVERAGE(BP!BA78:'BP'!BD78)/1000</f>
        <v>727.39575000000002</v>
      </c>
      <c r="AW30" s="257">
        <f>AVERAGE(BP!BB78:'BP'!BE78)/1000</f>
        <v>752.74625000000003</v>
      </c>
      <c r="AX30" s="257">
        <f>AVERAGE(BP!BC78:'BP'!BF78)/1000</f>
        <v>776.08849999999995</v>
      </c>
      <c r="AY30" s="257">
        <f>AVERAGE(BP!BD78:'BP'!BG78)/1000</f>
        <v>796.87699999999995</v>
      </c>
      <c r="AZ30" s="257">
        <f>AVERAGE(BP!BE78:'BP'!BH78)/1000</f>
        <v>814.12225000000001</v>
      </c>
      <c r="BA30" s="257">
        <f>AVERAGE(BP!BF78:'BP'!BI78)/1000</f>
        <v>832.02449999999999</v>
      </c>
      <c r="BB30" s="257">
        <f>AVERAGE(BP!BG78:'BP'!BJ78)/1000</f>
        <v>853.84649999999999</v>
      </c>
      <c r="BC30" s="257">
        <f>AVERAGE(BP!BH78:'BP'!BK78)/1000</f>
        <v>871.96500000000003</v>
      </c>
      <c r="BD30" s="257">
        <f>AVERAGE(BP!BI78:'BP'!BL78)/1000</f>
        <v>893.52475000000004</v>
      </c>
      <c r="BE30" s="257">
        <f>AVERAGE(BP!BJ78:'BP'!BM78)/1000</f>
        <v>916.69725000000005</v>
      </c>
      <c r="BF30" s="257">
        <f>AVERAGE(BP!BK78:'BP'!BO78)/1000</f>
        <v>951.23040000000003</v>
      </c>
      <c r="BG30" s="257">
        <f>AVERAGE(BP!BL78:'BP'!BO78)/1000</f>
        <v>966.03625</v>
      </c>
      <c r="BH30" s="257">
        <f>AVERAGE(BP!BM78:'BP'!BT78)/1000</f>
        <v>953.35350000000005</v>
      </c>
      <c r="BI30" s="257">
        <f>AVERAGE(BP!BN78:'BP'!BU78)/1000</f>
        <v>950.99559999999997</v>
      </c>
      <c r="BJ30" s="257">
        <f>AVERAGE(BP!BO78:'BP'!BV78)/1000</f>
        <v>940.40475000000004</v>
      </c>
    </row>
    <row r="31" spans="1:63" x14ac:dyDescent="0.2">
      <c r="A31" s="1" t="s">
        <v>1238</v>
      </c>
      <c r="B31" s="1" t="s">
        <v>1239</v>
      </c>
      <c r="C31" s="9"/>
      <c r="D31" s="621" t="str">
        <f>IF([1]RENAME!$H$3=1,B31,A31)</f>
        <v>(-)Ágios de aquisição</v>
      </c>
      <c r="E31" s="209">
        <v>0</v>
      </c>
      <c r="F31" s="209">
        <v>0</v>
      </c>
      <c r="G31" s="209">
        <v>0</v>
      </c>
      <c r="H31" s="209">
        <v>0</v>
      </c>
      <c r="I31" s="257">
        <f>163924/1000</f>
        <v>163.92400000000001</v>
      </c>
      <c r="J31" s="257">
        <f t="shared" ref="J31:X31" si="36">163924/1000</f>
        <v>163.92400000000001</v>
      </c>
      <c r="K31" s="257">
        <f t="shared" si="36"/>
        <v>163.92400000000001</v>
      </c>
      <c r="L31" s="257">
        <f t="shared" si="36"/>
        <v>163.92400000000001</v>
      </c>
      <c r="M31" s="257">
        <f t="shared" si="36"/>
        <v>163.92400000000001</v>
      </c>
      <c r="N31" s="258">
        <f t="shared" si="36"/>
        <v>163.92400000000001</v>
      </c>
      <c r="O31" s="257">
        <f t="shared" si="36"/>
        <v>163.92400000000001</v>
      </c>
      <c r="P31" s="257">
        <f t="shared" si="36"/>
        <v>163.92400000000001</v>
      </c>
      <c r="Q31" s="257">
        <f t="shared" si="36"/>
        <v>163.92400000000001</v>
      </c>
      <c r="R31" s="257">
        <f t="shared" si="36"/>
        <v>163.92400000000001</v>
      </c>
      <c r="S31" s="257">
        <f t="shared" si="36"/>
        <v>163.92400000000001</v>
      </c>
      <c r="T31" s="257">
        <f t="shared" si="36"/>
        <v>163.92400000000001</v>
      </c>
      <c r="U31" s="257">
        <f t="shared" si="36"/>
        <v>163.92400000000001</v>
      </c>
      <c r="V31" s="257">
        <f t="shared" si="36"/>
        <v>163.92400000000001</v>
      </c>
      <c r="W31" s="257">
        <f t="shared" si="36"/>
        <v>163.92400000000001</v>
      </c>
      <c r="X31" s="257">
        <f t="shared" si="36"/>
        <v>163.92400000000001</v>
      </c>
      <c r="Y31" s="257">
        <f>AVERAGE(Intangível!CX41:DA41)/1000</f>
        <v>163.92400000000001</v>
      </c>
      <c r="Z31" s="257">
        <f>AVERAGE(Intangível!CY41:DB41)/1000</f>
        <v>163.58285032249998</v>
      </c>
      <c r="AA31" s="257">
        <f>AVERAGE(Intangível!CZ41:DC41)/1000</f>
        <v>163.24170064500001</v>
      </c>
      <c r="AB31" s="257">
        <f>AVERAGE(Intangível!DA41:DD41)/1000</f>
        <v>162.90045064500001</v>
      </c>
      <c r="AC31" s="257">
        <f>AVERAGE(Intangível!DB41:DE41)/1000</f>
        <v>166.10070064500002</v>
      </c>
      <c r="AD31" s="257">
        <f>AVERAGE(Intangível!DC41:DF41)/1000</f>
        <v>169.6421003225</v>
      </c>
      <c r="AE31" s="257">
        <f>AVERAGE(Intangível!DD41:DG41)/1000</f>
        <v>173.18350000000001</v>
      </c>
      <c r="AF31" s="257">
        <f>AVERAGE(Intangível!DE41:DH41)/1000</f>
        <v>172.55175</v>
      </c>
      <c r="AG31" s="257">
        <f>AVERAGE(Intangível!DF41:DI41)/1000</f>
        <v>168.3785</v>
      </c>
      <c r="AH31" s="257">
        <f>AVERAGE(Intangível!DG41:DJ41)/1000</f>
        <v>164.20525000000001</v>
      </c>
      <c r="AI31" s="257">
        <f>AVERAGE(Intangível!DK41:DN41)/1000</f>
        <v>160.03200000000001</v>
      </c>
      <c r="AJ31" s="257">
        <f>AVERAGE(Intangível!DL41:DO41)/1000</f>
        <v>160.03200000000001</v>
      </c>
      <c r="AK31" s="257">
        <f>AVERAGE(Intangível!DM41:DP41)/1000</f>
        <v>160.03200000000001</v>
      </c>
      <c r="AL31" s="257">
        <f>AVERAGE(Intangível!DN41:DQ41)/1000</f>
        <v>160.03200000000001</v>
      </c>
      <c r="AM31" s="257">
        <f>AVERAGE(Intangível!DO41:DR41)/1000</f>
        <v>160.03200000000001</v>
      </c>
      <c r="AN31" s="257">
        <f>AVERAGE(Intangível!DP41:DS41)/1000</f>
        <v>160.03200000000001</v>
      </c>
      <c r="AO31" s="257">
        <f>AVERAGE(Intangível!DQ41:DT41)/1000</f>
        <v>160.03200000000001</v>
      </c>
      <c r="AP31" s="257">
        <f>AVERAGE(Intangível!DR41:DU41)/1000</f>
        <v>160.03200000000001</v>
      </c>
      <c r="AQ31" s="257">
        <f>AVERAGE(Intangível!DS41:DV41)/1000</f>
        <v>160.03200000000001</v>
      </c>
      <c r="AR31" s="257">
        <f>AVERAGE(Intangível!DT41:DW41)/1000</f>
        <v>160.03200000000001</v>
      </c>
      <c r="AS31" s="257">
        <f>AVERAGE(Intangível!DU41:DX41)/1000</f>
        <v>160.03200000000001</v>
      </c>
      <c r="AT31" s="257">
        <f>AVERAGE(Intangível!DV41:DY41)/1000</f>
        <v>160.03200000000001</v>
      </c>
      <c r="AU31" s="257">
        <f>AVERAGE(Intangível!DW41:DZ41)/1000</f>
        <v>160.03200000000001</v>
      </c>
      <c r="AV31" s="257">
        <f>AVERAGE(Intangível!DX41:EA41)/1000</f>
        <v>160.03200000000001</v>
      </c>
      <c r="AW31" s="257">
        <f>AVERAGE(Intangível!DY41:EB41)/1000</f>
        <v>160.03200000000001</v>
      </c>
      <c r="AX31" s="257">
        <f>AVERAGE(Intangível!DZ41:EC41)/1000</f>
        <v>160.03200000000001</v>
      </c>
      <c r="AY31" s="257">
        <f>AVERAGE(Intangível!EA41:ED41)/1000</f>
        <v>160.03200000000001</v>
      </c>
      <c r="AZ31" s="257">
        <f>AVERAGE(Intangível!EB41:EE41)/1000</f>
        <v>160.03200000000001</v>
      </c>
      <c r="BA31" s="257">
        <f>AVERAGE(Intangível!EC41:EF41)/1000</f>
        <v>160.03200000000001</v>
      </c>
      <c r="BB31" s="257">
        <f>AVERAGE(Intangível!ED41:EG41)/1000</f>
        <v>160.03200000000001</v>
      </c>
      <c r="BC31" s="257">
        <f>+BB31</f>
        <v>160.03200000000001</v>
      </c>
      <c r="BD31" s="257">
        <f>+BC31</f>
        <v>160.03200000000001</v>
      </c>
      <c r="BE31" s="257">
        <f>+BD31</f>
        <v>160.03200000000001</v>
      </c>
      <c r="BF31" s="257">
        <f>+BE31</f>
        <v>160.03200000000001</v>
      </c>
      <c r="BG31" s="257">
        <f>+AVERAGE(Intangível!GV37,Intangível!GP37,Intangível!GJ37,Intangível!GD37)/1000</f>
        <v>163.27775</v>
      </c>
      <c r="BH31" s="257">
        <f>+AVERAGE(Intangível!HB37,Intangível!GV37,Intangível!GP37,Intangível!GJ37)/1000</f>
        <v>166.52350000000001</v>
      </c>
      <c r="BI31" s="257">
        <f>+AVERAGE(Intangível!HH37,Intangível!HB37,Intangível!GV37,Intangível!GP37)/1000</f>
        <v>169.76925</v>
      </c>
      <c r="BJ31" s="257">
        <f>+AVERAGE(Intangível!HH37,Intangível!HB37,Intangível!GV37,Intangível!NH37)/1000</f>
        <v>173.01499999999999</v>
      </c>
    </row>
    <row r="32" spans="1:63" ht="12" customHeight="1" x14ac:dyDescent="0.2">
      <c r="C32" s="9"/>
      <c r="D32" s="9"/>
      <c r="E32" s="10"/>
      <c r="F32" s="10"/>
      <c r="G32" s="10"/>
      <c r="H32" s="10"/>
      <c r="I32" s="10"/>
      <c r="J32" s="10"/>
      <c r="K32" s="10"/>
      <c r="L32" s="10"/>
      <c r="M32" s="10"/>
      <c r="N32" s="10"/>
      <c r="O32" s="10"/>
      <c r="P32" s="10"/>
      <c r="Q32" s="10"/>
      <c r="R32" s="10"/>
    </row>
    <row r="33" spans="1:62" x14ac:dyDescent="0.2">
      <c r="A33" s="1" t="s">
        <v>496</v>
      </c>
      <c r="B33" s="1" t="s">
        <v>853</v>
      </c>
      <c r="C33" s="9"/>
      <c r="D33" s="9" t="str">
        <f>IF([1]RENAME!$H$3=1,B33,A33)</f>
        <v>(consolidado em R$ mil)</v>
      </c>
      <c r="E33" s="10"/>
      <c r="F33" s="10"/>
      <c r="G33" s="10"/>
      <c r="H33" s="10"/>
      <c r="I33" s="10"/>
      <c r="J33" s="10"/>
      <c r="K33" s="10"/>
      <c r="L33" s="10"/>
      <c r="M33" s="10"/>
      <c r="N33" s="10"/>
      <c r="O33" s="10"/>
      <c r="P33" s="10"/>
      <c r="Q33" s="10"/>
      <c r="R33" s="10"/>
    </row>
    <row r="34" spans="1:62" x14ac:dyDescent="0.2">
      <c r="A34" s="1" t="s">
        <v>631</v>
      </c>
      <c r="B34" s="1" t="s">
        <v>854</v>
      </c>
      <c r="C34" s="9"/>
      <c r="D34" s="127" t="str">
        <f>IF([1]RENAME!$H$3=1,B34,A34)</f>
        <v>Receita média por km (Div automotiva)</v>
      </c>
      <c r="E34" s="141" t="str">
        <f t="shared" ref="E34:AG34" si="37">+E$3</f>
        <v>1T12</v>
      </c>
      <c r="F34" s="141" t="str">
        <f t="shared" si="37"/>
        <v>2T12</v>
      </c>
      <c r="G34" s="141" t="str">
        <f t="shared" si="37"/>
        <v>3T12</v>
      </c>
      <c r="H34" s="141" t="str">
        <f t="shared" si="37"/>
        <v>4T12</v>
      </c>
      <c r="I34" s="141" t="str">
        <f t="shared" si="37"/>
        <v>1T13</v>
      </c>
      <c r="J34" s="141" t="str">
        <f t="shared" si="37"/>
        <v>2T13</v>
      </c>
      <c r="K34" s="141" t="str">
        <f t="shared" si="37"/>
        <v>3T13</v>
      </c>
      <c r="L34" s="141" t="str">
        <f t="shared" si="37"/>
        <v>4T13</v>
      </c>
      <c r="M34" s="141" t="str">
        <f t="shared" si="37"/>
        <v>1T14</v>
      </c>
      <c r="N34" s="141" t="str">
        <f t="shared" si="37"/>
        <v>2T14</v>
      </c>
      <c r="O34" s="141" t="str">
        <f t="shared" si="37"/>
        <v>3T14</v>
      </c>
      <c r="P34" s="141" t="str">
        <f t="shared" si="37"/>
        <v>4T14</v>
      </c>
      <c r="Q34" s="141" t="str">
        <f t="shared" si="37"/>
        <v>1T15</v>
      </c>
      <c r="R34" s="141" t="str">
        <f t="shared" si="37"/>
        <v>2T15</v>
      </c>
      <c r="S34" s="141" t="str">
        <f t="shared" si="37"/>
        <v>3T15</v>
      </c>
      <c r="T34" s="141" t="str">
        <f t="shared" si="37"/>
        <v>4T15</v>
      </c>
      <c r="U34" s="141" t="str">
        <f t="shared" si="37"/>
        <v>1T16</v>
      </c>
      <c r="V34" s="141" t="str">
        <f t="shared" si="37"/>
        <v>2T16</v>
      </c>
      <c r="W34" s="141" t="str">
        <f t="shared" si="37"/>
        <v>3T16</v>
      </c>
      <c r="X34" s="141" t="str">
        <f t="shared" si="37"/>
        <v>4T16</v>
      </c>
      <c r="Y34" s="141" t="str">
        <f t="shared" si="37"/>
        <v>1T17</v>
      </c>
      <c r="Z34" s="141" t="str">
        <f t="shared" si="37"/>
        <v>2T17</v>
      </c>
      <c r="AA34" s="141" t="str">
        <f t="shared" si="37"/>
        <v>3T17</v>
      </c>
      <c r="AB34" s="141" t="str">
        <f t="shared" si="37"/>
        <v>4T17</v>
      </c>
      <c r="AC34" s="141" t="str">
        <f t="shared" si="37"/>
        <v>1T18</v>
      </c>
      <c r="AD34" s="141" t="str">
        <f t="shared" si="37"/>
        <v>2T18</v>
      </c>
      <c r="AE34" s="141" t="str">
        <f t="shared" si="37"/>
        <v>3T18</v>
      </c>
      <c r="AF34" s="141" t="str">
        <f t="shared" si="37"/>
        <v>4T18</v>
      </c>
      <c r="AG34" s="141" t="str">
        <f t="shared" si="37"/>
        <v>1T19</v>
      </c>
      <c r="AH34" s="141" t="str">
        <f t="shared" ref="AH34:BJ34" si="38">+AH$3</f>
        <v>2T19</v>
      </c>
      <c r="AI34" s="141" t="str">
        <f t="shared" si="38"/>
        <v>3T19</v>
      </c>
      <c r="AJ34" s="141" t="str">
        <f t="shared" si="38"/>
        <v>4T19</v>
      </c>
      <c r="AK34" s="141" t="str">
        <f t="shared" si="38"/>
        <v>1T20</v>
      </c>
      <c r="AL34" s="141" t="str">
        <f t="shared" si="38"/>
        <v>2T20</v>
      </c>
      <c r="AM34" s="141" t="str">
        <f t="shared" si="38"/>
        <v>3T20</v>
      </c>
      <c r="AN34" s="141" t="str">
        <f t="shared" si="38"/>
        <v>4T20</v>
      </c>
      <c r="AO34" s="141" t="str">
        <f t="shared" si="38"/>
        <v>1T21</v>
      </c>
      <c r="AP34" s="141" t="str">
        <f t="shared" si="38"/>
        <v>2T21</v>
      </c>
      <c r="AQ34" s="141" t="str">
        <f t="shared" si="38"/>
        <v>3T21</v>
      </c>
      <c r="AR34" s="141" t="str">
        <f t="shared" si="38"/>
        <v>4T21</v>
      </c>
      <c r="AS34" s="141" t="str">
        <f t="shared" si="38"/>
        <v>1T22</v>
      </c>
      <c r="AT34" s="141" t="str">
        <f t="shared" si="38"/>
        <v>2T22</v>
      </c>
      <c r="AU34" s="141" t="str">
        <f t="shared" si="38"/>
        <v>3T22</v>
      </c>
      <c r="AV34" s="141" t="str">
        <f t="shared" si="38"/>
        <v>4T22</v>
      </c>
      <c r="AW34" s="141" t="str">
        <f t="shared" si="38"/>
        <v>1T23</v>
      </c>
      <c r="AX34" s="141" t="str">
        <f t="shared" si="38"/>
        <v>2T23</v>
      </c>
      <c r="AY34" s="141" t="str">
        <f t="shared" si="38"/>
        <v>3T23</v>
      </c>
      <c r="AZ34" s="141" t="str">
        <f t="shared" si="38"/>
        <v>4T23</v>
      </c>
      <c r="BA34" s="141" t="str">
        <f t="shared" si="38"/>
        <v>1T24</v>
      </c>
      <c r="BB34" s="141" t="str">
        <f t="shared" si="38"/>
        <v>2T24</v>
      </c>
      <c r="BC34" s="141" t="str">
        <f t="shared" si="38"/>
        <v>3T24</v>
      </c>
      <c r="BD34" s="141" t="str">
        <f t="shared" si="38"/>
        <v>4T24</v>
      </c>
      <c r="BE34" s="141" t="str">
        <f t="shared" si="38"/>
        <v>1T25</v>
      </c>
      <c r="BF34" s="141" t="str">
        <f t="shared" si="38"/>
        <v>2T25</v>
      </c>
      <c r="BG34" s="141" t="str">
        <f t="shared" si="38"/>
        <v>3T25</v>
      </c>
      <c r="BH34" s="141" t="str">
        <f t="shared" si="38"/>
        <v>4T25</v>
      </c>
      <c r="BI34" s="141" t="str">
        <f t="shared" si="38"/>
        <v>1T26</v>
      </c>
      <c r="BJ34" s="141" t="str">
        <f t="shared" si="38"/>
        <v>2T26</v>
      </c>
    </row>
    <row r="35" spans="1:62" x14ac:dyDescent="0.2">
      <c r="A35" s="1" t="s">
        <v>631</v>
      </c>
      <c r="B35" s="1" t="s">
        <v>1329</v>
      </c>
      <c r="C35" s="9"/>
      <c r="D35" s="117" t="str">
        <f>IF([1]RENAME!$H$3=1,B35,A35)</f>
        <v>Receita média por km (Div automotiva)</v>
      </c>
      <c r="E35" s="460">
        <f>+Auto!E6/(HLOOKUP(E34,'Dados Operacionais Auto'!5:9,5,0)/1000)</f>
        <v>1.021284234045956</v>
      </c>
      <c r="F35" s="460">
        <f>+Auto!F6/(HLOOKUP(F34,'Dados Operacionais Auto'!5:9,5,0)/1000)</f>
        <v>1.0271750486803555</v>
      </c>
      <c r="G35" s="460">
        <f>+Auto!G6/(HLOOKUP(G34,'Dados Operacionais Auto'!5:9,5,0)/1000)</f>
        <v>1.0688695032100914</v>
      </c>
      <c r="H35" s="460">
        <f>+Auto!H6/(HLOOKUP(H34,'Dados Operacionais Auto'!5:9,5,0)/1000)</f>
        <v>1.065596701888742</v>
      </c>
      <c r="I35" s="460">
        <f>+Auto!I6/(HLOOKUP(I34,'Dados Operacionais Auto'!5:9,5,0)/1000)</f>
        <v>1.0634876946654175</v>
      </c>
      <c r="J35" s="460">
        <f>+Auto!J6/(HLOOKUP(J34,'Dados Operacionais Auto'!5:9,5,0)/1000)</f>
        <v>1.1867760252936781</v>
      </c>
      <c r="K35" s="460">
        <f>+Auto!K6/(HLOOKUP(K34,'Dados Operacionais Auto'!5:9,5,0)/1000)</f>
        <v>1.2197740002434432</v>
      </c>
      <c r="L35" s="460">
        <f>+Auto!L6/(HLOOKUP(L34,'Dados Operacionais Auto'!5:9,5,0)/1000)</f>
        <v>1.2206737168833925</v>
      </c>
      <c r="M35" s="460">
        <f>+Auto!M6/(HLOOKUP(M34,'Dados Operacionais Auto'!5:9,5,0)/1000)</f>
        <v>1.1894166448730146</v>
      </c>
      <c r="N35" s="460">
        <f>+Auto!N6/(HLOOKUP(N34,'Dados Operacionais Auto'!5:9,5,0)/1000)</f>
        <v>1.2618923995781626</v>
      </c>
      <c r="O35" s="460">
        <f>+Auto!O6/(HLOOKUP(O34,'Dados Operacionais Auto'!5:9,5,0)/1000)</f>
        <v>1.2637716962754904</v>
      </c>
      <c r="P35" s="460">
        <f>+Auto!P6/(HLOOKUP(P34,'Dados Operacionais Auto'!5:9,5,0)/1000)</f>
        <v>1.2848960436847068</v>
      </c>
      <c r="Q35" s="460">
        <f>+Auto!Q6/(HLOOKUP(Q34,'Dados Operacionais Auto'!5:9,5,0)/1000)</f>
        <v>1.2605387080123669</v>
      </c>
      <c r="R35" s="460">
        <f>+Auto!R6/(HLOOKUP(R34,'Dados Operacionais Auto'!5:9,5,0)/1000)</f>
        <v>1.3208670683603603</v>
      </c>
      <c r="S35" s="460">
        <f>+Auto!S6/(HLOOKUP(S34,'Dados Operacionais Auto'!5:9,5,0)/1000)</f>
        <v>1.3462974186190662</v>
      </c>
      <c r="T35" s="460">
        <f>+Auto!T6/(HLOOKUP(T34,'Dados Operacionais Auto'!5:9,5,0)/1000)</f>
        <v>1.3309078714439726</v>
      </c>
      <c r="U35" s="460">
        <f>+Auto!U6/(HLOOKUP(U34,'Dados Operacionais Auto'!5:9,5,0)/1000)</f>
        <v>1.3829162835409414</v>
      </c>
      <c r="V35" s="460">
        <f>+Auto!V6/(HLOOKUP(V34,'Dados Operacionais Auto'!5:9,5,0)/1000)</f>
        <v>1.4495390942766722</v>
      </c>
      <c r="W35" s="460">
        <f>+Auto!W6/(HLOOKUP(W34,'Dados Operacionais Auto'!5:9,5,0)/1000)</f>
        <v>1.444089329720039</v>
      </c>
      <c r="X35" s="460">
        <f>+Auto!X6/(HLOOKUP(X34,'Dados Operacionais Auto'!5:9,5,0)/1000)</f>
        <v>1.5133848823488343</v>
      </c>
      <c r="Y35" s="460">
        <f>+Auto!Y6/(HLOOKUP(Y34,'Dados Operacionais Auto'!5:9,5,0)/1000)</f>
        <v>1.4638722454190447</v>
      </c>
      <c r="Z35" s="460">
        <f>+Auto!Z6/(HLOOKUP(Z34,'Dados Operacionais Auto'!5:9,5,0)/1000)</f>
        <v>1.6527902497199991</v>
      </c>
      <c r="AA35" s="460">
        <f>+Auto!AA6/(HLOOKUP(AA34,'Dados Operacionais Auto'!5:9,5,0)/1000)</f>
        <v>1.5972489442563604</v>
      </c>
      <c r="AB35" s="460">
        <f>+Auto!AB6/(HLOOKUP(AB34,'Dados Operacionais Auto'!5:9,5,0)/1000)</f>
        <v>1.6674908186966177</v>
      </c>
      <c r="AC35" s="460">
        <f>+Auto!AC6/(HLOOKUP(AC34,'Dados Operacionais Auto'!5:9,5,0)/1000)</f>
        <v>1.6014399176312468</v>
      </c>
      <c r="AD35" s="460">
        <f>+Auto!AD6/(HLOOKUP(AD34,'Dados Operacionais Auto'!5:9,5,0)/1000)</f>
        <v>1.6593197481071922</v>
      </c>
      <c r="AE35" s="460">
        <f>+Auto!AE6/(HLOOKUP(AE34,'Dados Operacionais Auto'!5:9,5,0)/1000)</f>
        <v>1.7017403255931354</v>
      </c>
      <c r="AF35" s="460">
        <f>+Auto!AF6/(HLOOKUP(AF34,'Dados Operacionais Auto'!5:9,5,0)/1000)</f>
        <v>1.8241325920083793</v>
      </c>
      <c r="AG35" s="460">
        <f>+Auto!AG6/(HLOOKUP(AG34,'Dados Operacionais Auto'!5:9,5,0)/1000)</f>
        <v>1.704438231051103</v>
      </c>
      <c r="AH35" s="460">
        <f>+Auto!AH6/(HLOOKUP(AH34,'Dados Operacionais Auto'!5:9,5,0)/1000)</f>
        <v>1.6387093583983541</v>
      </c>
      <c r="AI35" s="460">
        <f>+Auto!AI6/(HLOOKUP(AI34,'Dados Operacionais Auto'!5:9,5,0)/1000)</f>
        <v>1.6199998789880523</v>
      </c>
      <c r="AJ35" s="460">
        <f>+Auto!AJ6/(HLOOKUP(AJ34,'Dados Operacionais Auto'!5:9,5,0)/1000)</f>
        <v>1.6879303889862884</v>
      </c>
      <c r="AK35" s="460">
        <f>+Auto!AK6/(HLOOKUP(AK34,'Dados Operacionais Auto'!5:9,5,0)/1000)</f>
        <v>1.6978181649041046</v>
      </c>
      <c r="AL35" s="460">
        <f>+Auto!AL6/(HLOOKUP(AL34,'Dados Operacionais Auto'!5:9,5,0)/1000)</f>
        <v>1.7757660163478872</v>
      </c>
      <c r="AM35" s="460">
        <f>+Auto!AM6/(HLOOKUP(AM34,'Dados Operacionais Auto'!5:9,5,0)/1000)</f>
        <v>1.6084004787692068</v>
      </c>
      <c r="AN35" s="460">
        <f>+Auto!AN6/(HLOOKUP(AN34,'Dados Operacionais Auto'!5:9,5,0)/1000)</f>
        <v>1.6173521781082087</v>
      </c>
      <c r="AO35" s="460">
        <f>+Auto!AO6/(HLOOKUP(AO34,'Dados Operacionais Auto'!5:9,5,0)/1000)</f>
        <v>1.7369218784993354</v>
      </c>
      <c r="AP35" s="460">
        <f>+Auto!AP6/(HLOOKUP(AP34,'Dados Operacionais Auto'!5:9,5,0)/1000)</f>
        <v>1.9767110052498353</v>
      </c>
      <c r="AQ35" s="460">
        <f>+Auto!AQ6/(HLOOKUP(AQ34,'Dados Operacionais Auto'!5:9,5,0)/1000)</f>
        <v>2.065011595326776</v>
      </c>
      <c r="AR35" s="460">
        <f>+Auto!AR6/(HLOOKUP(AR34,'Dados Operacionais Auto'!5:9,5,0)/1000)</f>
        <v>2.0641145013285183</v>
      </c>
      <c r="AS35" s="460">
        <f>+Auto!AS6/(HLOOKUP(AS34,'Dados Operacionais Auto'!5:9,5,0)/1000)</f>
        <v>2.1890266519477608</v>
      </c>
      <c r="AT35" s="460">
        <f>+Auto!AT6/(HLOOKUP(AT34,'Dados Operacionais Auto'!5:9,5,0)/1000)</f>
        <v>2.4777264093652351</v>
      </c>
      <c r="AU35" s="460">
        <f>+Auto!AU6/(HLOOKUP(AU34,'Dados Operacionais Auto'!5:9,5,0)/1000)</f>
        <v>2.6876931599601108</v>
      </c>
      <c r="AV35" s="460">
        <f>+Auto!AV6/(HLOOKUP(AV34,'Dados Operacionais Auto'!5:9,5,0)/1000)</f>
        <v>2.722997400728306</v>
      </c>
      <c r="AW35" s="460">
        <f>+Auto!AW6/(HLOOKUP(AW34,'Dados Operacionais Auto'!5:9,5,0)/1000)</f>
        <v>2.7048834821251102</v>
      </c>
      <c r="AX35" s="460">
        <f>+Auto!AX6/(HLOOKUP(AX34,'Dados Operacionais Auto'!5:9,5,0)/1000)</f>
        <v>2.7522027450955555</v>
      </c>
      <c r="AY35" s="460">
        <f>+Auto!AY6/(HLOOKUP(AY34,'Dados Operacionais Auto'!5:9,5,0)/1000)</f>
        <v>2.711493972519762</v>
      </c>
      <c r="AZ35" s="460">
        <f>+Auto!AZ6/(HLOOKUP(AZ34,'Dados Operacionais Auto'!5:9,5,0)/1000)</f>
        <v>2.7363086840878692</v>
      </c>
      <c r="BA35" s="460">
        <f>+Auto!BA6/(HLOOKUP(BA34,'Dados Operacionais Auto'!5:9,5,0)/1000)</f>
        <v>2.9068921499134639</v>
      </c>
      <c r="BB35" s="460">
        <f>+Auto!BB6/(HLOOKUP(BB34,'Dados Operacionais Auto'!5:9,5,0)/1000)</f>
        <v>2.9088245379598101</v>
      </c>
      <c r="BC35" s="460">
        <f>+Auto!BC6/(HLOOKUP(BC34,'Dados Operacionais Auto'!5:9,5,0)/1000)</f>
        <v>3.2152291515979066</v>
      </c>
      <c r="BD35" s="460">
        <f>+Auto!BD6/(HLOOKUP(BD34,'Dados Operacionais Auto'!5:9,5,0)/1000)</f>
        <v>3.2723003443856395</v>
      </c>
      <c r="BE35" s="460">
        <f>+Auto!BE6/(HLOOKUP(BE34,'Dados Operacionais Auto'!5:9,5,0)/1000)</f>
        <v>3.2979171948495583</v>
      </c>
      <c r="BF35" s="460">
        <f>+Auto!BF6/(HLOOKUP(BF34,'Dados Operacionais Auto'!5:9,5,0)/1000)</f>
        <v>3.3664326526290012</v>
      </c>
      <c r="BG35" s="460">
        <f>+Auto!BG6/(HLOOKUP(BG34,'Dados Operacionais Auto'!5:9,5,0)/1000)</f>
        <v>3.3768775593411795</v>
      </c>
      <c r="BH35" s="460">
        <f>+Auto!BH6/(HLOOKUP(BH34,'Dados Operacionais Auto'!5:9,5,0)/1000)</f>
        <v>3.2895891896757465</v>
      </c>
      <c r="BI35" s="460">
        <f>+Auto!BI6/(HLOOKUP(BI34,'Dados Operacionais Auto'!5:9,5,0)/1000)</f>
        <v>3.4020229684175982</v>
      </c>
      <c r="BJ35" s="460">
        <f>+Auto!BJ6/(HLOOKUP(BJ34,'Dados Operacionais Auto'!5:9,5,0)/1000)</f>
        <v>3.5849585355744371</v>
      </c>
    </row>
    <row r="36" spans="1:62" x14ac:dyDescent="0.2">
      <c r="A36" s="1" t="s">
        <v>632</v>
      </c>
      <c r="B36" s="1" t="s">
        <v>1305</v>
      </c>
      <c r="D36" s="461" t="str">
        <f>IF([1]RENAME!$H$3=1,B36,A36)</f>
        <v>* Esse indicador não reflete exatamente o valor cobrado dos clientes porque a receita bruta inclui outros serviços que não transporte</v>
      </c>
      <c r="AE36" s="274"/>
      <c r="AH36" s="274">
        <f>AI35/AH35-1</f>
        <v>-1.1417204225029898E-2</v>
      </c>
      <c r="AI36" s="274">
        <f>AJ35/AI35-1</f>
        <v>4.1932416711456533E-2</v>
      </c>
      <c r="AP36" s="274"/>
      <c r="AQ36" s="274"/>
      <c r="AR36" s="274"/>
      <c r="AS36" s="274">
        <f>AT35/AS35-1</f>
        <v>0.1318849896873544</v>
      </c>
      <c r="AT36" s="274"/>
      <c r="AU36" s="274"/>
      <c r="AV36" s="274"/>
      <c r="AW36" s="274"/>
      <c r="AX36" s="274"/>
      <c r="AY36" s="274"/>
      <c r="AZ36" s="274"/>
      <c r="BA36" s="328"/>
      <c r="BB36" s="328"/>
      <c r="BC36" s="328"/>
      <c r="BD36" s="274"/>
      <c r="BJ36" s="274"/>
    </row>
    <row r="37" spans="1:62" x14ac:dyDescent="0.2">
      <c r="D37" s="461"/>
    </row>
    <row r="38" spans="1:62" x14ac:dyDescent="0.2">
      <c r="D38" s="127" t="s">
        <v>64</v>
      </c>
      <c r="E38" s="141" t="str">
        <f t="shared" ref="E38:AG38" si="39">+E$3</f>
        <v>1T12</v>
      </c>
      <c r="F38" s="141" t="str">
        <f t="shared" si="39"/>
        <v>2T12</v>
      </c>
      <c r="G38" s="141" t="str">
        <f t="shared" si="39"/>
        <v>3T12</v>
      </c>
      <c r="H38" s="141" t="str">
        <f t="shared" si="39"/>
        <v>4T12</v>
      </c>
      <c r="I38" s="141" t="str">
        <f t="shared" si="39"/>
        <v>1T13</v>
      </c>
      <c r="J38" s="141" t="str">
        <f t="shared" si="39"/>
        <v>2T13</v>
      </c>
      <c r="K38" s="141" t="str">
        <f t="shared" si="39"/>
        <v>3T13</v>
      </c>
      <c r="L38" s="141" t="str">
        <f t="shared" si="39"/>
        <v>4T13</v>
      </c>
      <c r="M38" s="141" t="str">
        <f t="shared" si="39"/>
        <v>1T14</v>
      </c>
      <c r="N38" s="141" t="str">
        <f t="shared" si="39"/>
        <v>2T14</v>
      </c>
      <c r="O38" s="141" t="str">
        <f t="shared" si="39"/>
        <v>3T14</v>
      </c>
      <c r="P38" s="141" t="str">
        <f t="shared" si="39"/>
        <v>4T14</v>
      </c>
      <c r="Q38" s="141" t="str">
        <f t="shared" si="39"/>
        <v>1T15</v>
      </c>
      <c r="R38" s="141" t="str">
        <f t="shared" si="39"/>
        <v>2T15</v>
      </c>
      <c r="S38" s="141" t="str">
        <f t="shared" si="39"/>
        <v>3T15</v>
      </c>
      <c r="T38" s="141" t="str">
        <f t="shared" si="39"/>
        <v>4T15</v>
      </c>
      <c r="U38" s="141" t="str">
        <f t="shared" si="39"/>
        <v>1T16</v>
      </c>
      <c r="V38" s="141" t="str">
        <f t="shared" si="39"/>
        <v>2T16</v>
      </c>
      <c r="W38" s="141" t="str">
        <f t="shared" si="39"/>
        <v>3T16</v>
      </c>
      <c r="X38" s="141" t="str">
        <f t="shared" si="39"/>
        <v>4T16</v>
      </c>
      <c r="Y38" s="141" t="str">
        <f t="shared" si="39"/>
        <v>1T17</v>
      </c>
      <c r="Z38" s="141" t="str">
        <f t="shared" si="39"/>
        <v>2T17</v>
      </c>
      <c r="AA38" s="141" t="str">
        <f t="shared" si="39"/>
        <v>3T17</v>
      </c>
      <c r="AB38" s="141" t="str">
        <f t="shared" si="39"/>
        <v>4T17</v>
      </c>
      <c r="AC38" s="141" t="str">
        <f t="shared" si="39"/>
        <v>1T18</v>
      </c>
      <c r="AD38" s="141" t="str">
        <f t="shared" si="39"/>
        <v>2T18</v>
      </c>
      <c r="AE38" s="141" t="str">
        <f t="shared" si="39"/>
        <v>3T18</v>
      </c>
      <c r="AF38" s="141" t="str">
        <f t="shared" si="39"/>
        <v>4T18</v>
      </c>
      <c r="AG38" s="141" t="str">
        <f t="shared" si="39"/>
        <v>1T19</v>
      </c>
      <c r="AH38" s="141" t="str">
        <f t="shared" ref="AH38:BJ38" si="40">+AH$3</f>
        <v>2T19</v>
      </c>
      <c r="AI38" s="141" t="str">
        <f t="shared" si="40"/>
        <v>3T19</v>
      </c>
      <c r="AJ38" s="141" t="str">
        <f t="shared" si="40"/>
        <v>4T19</v>
      </c>
      <c r="AK38" s="141" t="str">
        <f t="shared" si="40"/>
        <v>1T20</v>
      </c>
      <c r="AL38" s="141" t="str">
        <f t="shared" si="40"/>
        <v>2T20</v>
      </c>
      <c r="AM38" s="141" t="str">
        <f t="shared" si="40"/>
        <v>3T20</v>
      </c>
      <c r="AN38" s="141" t="str">
        <f t="shared" si="40"/>
        <v>4T20</v>
      </c>
      <c r="AO38" s="141" t="str">
        <f t="shared" si="40"/>
        <v>1T21</v>
      </c>
      <c r="AP38" s="141" t="str">
        <f t="shared" si="40"/>
        <v>2T21</v>
      </c>
      <c r="AQ38" s="141" t="str">
        <f t="shared" si="40"/>
        <v>3T21</v>
      </c>
      <c r="AR38" s="141" t="str">
        <f t="shared" si="40"/>
        <v>4T21</v>
      </c>
      <c r="AS38" s="141" t="str">
        <f t="shared" si="40"/>
        <v>1T22</v>
      </c>
      <c r="AT38" s="141" t="str">
        <f t="shared" si="40"/>
        <v>2T22</v>
      </c>
      <c r="AU38" s="141" t="str">
        <f t="shared" si="40"/>
        <v>3T22</v>
      </c>
      <c r="AV38" s="141" t="str">
        <f t="shared" si="40"/>
        <v>4T22</v>
      </c>
      <c r="AW38" s="141" t="str">
        <f t="shared" si="40"/>
        <v>1T23</v>
      </c>
      <c r="AX38" s="141" t="str">
        <f t="shared" si="40"/>
        <v>2T23</v>
      </c>
      <c r="AY38" s="141" t="str">
        <f t="shared" si="40"/>
        <v>3T23</v>
      </c>
      <c r="AZ38" s="141" t="str">
        <f t="shared" si="40"/>
        <v>4T23</v>
      </c>
      <c r="BA38" s="141" t="str">
        <f t="shared" si="40"/>
        <v>1T24</v>
      </c>
      <c r="BB38" s="141" t="str">
        <f t="shared" si="40"/>
        <v>2T24</v>
      </c>
      <c r="BC38" s="141" t="str">
        <f t="shared" si="40"/>
        <v>3T24</v>
      </c>
      <c r="BD38" s="141" t="str">
        <f t="shared" si="40"/>
        <v>4T24</v>
      </c>
      <c r="BE38" s="141" t="str">
        <f t="shared" si="40"/>
        <v>1T25</v>
      </c>
      <c r="BF38" s="141" t="str">
        <f t="shared" si="40"/>
        <v>2T25</v>
      </c>
      <c r="BG38" s="141" t="str">
        <f t="shared" si="40"/>
        <v>3T25</v>
      </c>
      <c r="BH38" s="141" t="str">
        <f t="shared" si="40"/>
        <v>4T25</v>
      </c>
      <c r="BI38" s="141" t="str">
        <f t="shared" si="40"/>
        <v>1T26</v>
      </c>
      <c r="BJ38" s="141" t="str">
        <f t="shared" si="40"/>
        <v>2T26</v>
      </c>
    </row>
    <row r="39" spans="1:62" x14ac:dyDescent="0.2">
      <c r="A39" s="1" t="s">
        <v>1639</v>
      </c>
      <c r="B39" s="1" t="s">
        <v>1640</v>
      </c>
      <c r="D39" s="117" t="str">
        <f>IF([1]RENAME!$H$3=1,B39,A39)</f>
        <v>Manutenção &amp; Benfeitorias gerais</v>
      </c>
      <c r="E39" s="118">
        <v>0</v>
      </c>
      <c r="F39" s="118">
        <v>0</v>
      </c>
      <c r="G39" s="118">
        <v>0</v>
      </c>
      <c r="H39" s="118">
        <v>0</v>
      </c>
      <c r="I39" s="118">
        <v>0</v>
      </c>
      <c r="J39" s="118">
        <v>0</v>
      </c>
      <c r="K39" s="118">
        <v>0</v>
      </c>
      <c r="L39" s="118">
        <v>0</v>
      </c>
      <c r="M39" s="118">
        <v>4328.7771300000004</v>
      </c>
      <c r="N39" s="118">
        <v>6848.2228699999996</v>
      </c>
      <c r="O39" s="118">
        <v>3604</v>
      </c>
      <c r="P39" s="118">
        <v>4632</v>
      </c>
      <c r="Q39" s="118">
        <v>6222.5027399999999</v>
      </c>
      <c r="R39" s="118">
        <v>3531.6223799999989</v>
      </c>
      <c r="S39" s="118">
        <v>2515.0915399999976</v>
      </c>
      <c r="T39" s="118">
        <v>2702.7663199999988</v>
      </c>
      <c r="U39" s="118">
        <v>2509.7773099999986</v>
      </c>
      <c r="V39" s="118">
        <v>2225.4309000000012</v>
      </c>
      <c r="W39" s="118">
        <v>1203</v>
      </c>
      <c r="X39" s="118">
        <v>1736</v>
      </c>
      <c r="Y39" s="118">
        <v>2522</v>
      </c>
      <c r="Z39" s="118">
        <v>3690</v>
      </c>
      <c r="AA39" s="118">
        <v>3297.9759600000002</v>
      </c>
      <c r="AB39" s="118">
        <v>2843</v>
      </c>
      <c r="AC39" s="118">
        <v>1421.03973</v>
      </c>
      <c r="AD39" s="118">
        <v>2109.0640800000001</v>
      </c>
      <c r="AE39" s="118">
        <v>2054.6063599999998</v>
      </c>
      <c r="AF39" s="118">
        <v>3383.4123600000003</v>
      </c>
      <c r="AG39" s="118">
        <v>991.43054000000018</v>
      </c>
      <c r="AH39" s="118">
        <v>3747.3046499999996</v>
      </c>
      <c r="AI39" s="118">
        <v>2713.3493199999998</v>
      </c>
      <c r="AJ39" s="118">
        <v>2935.5512100000001</v>
      </c>
      <c r="AK39" s="118">
        <v>1365</v>
      </c>
      <c r="AL39" s="118">
        <v>1517</v>
      </c>
      <c r="AM39" s="118">
        <v>3479</v>
      </c>
      <c r="AN39" s="118">
        <v>2675</v>
      </c>
      <c r="AO39" s="118">
        <v>1428</v>
      </c>
      <c r="AP39" s="118">
        <v>3155</v>
      </c>
      <c r="AQ39" s="118">
        <v>1791</v>
      </c>
      <c r="AR39" s="118">
        <v>3713</v>
      </c>
      <c r="AS39" s="118">
        <v>1842.4698800000049</v>
      </c>
      <c r="AT39" s="118">
        <v>2276.4484799999991</v>
      </c>
      <c r="AU39" s="118">
        <v>2638.0827999999992</v>
      </c>
      <c r="AV39" s="118">
        <v>5139.1214599999967</v>
      </c>
      <c r="AW39" s="118">
        <v>2664.2619599999998</v>
      </c>
      <c r="AX39" s="118">
        <v>3370.3146099999981</v>
      </c>
      <c r="AY39" s="118">
        <v>4021</v>
      </c>
      <c r="AZ39" s="118">
        <v>3811</v>
      </c>
      <c r="BA39" s="118">
        <v>1663</v>
      </c>
      <c r="BB39" s="118">
        <v>3371.5504099999926</v>
      </c>
      <c r="BC39" s="118">
        <v>6454.9132299999892</v>
      </c>
      <c r="BD39" s="118">
        <v>7131.5363600000201</v>
      </c>
      <c r="BE39" s="118">
        <v>4181.0433999999996</v>
      </c>
      <c r="BF39" s="118">
        <v>6260.9870200000096</v>
      </c>
      <c r="BG39" s="118">
        <v>7086.9593531217497</v>
      </c>
      <c r="BH39" s="118">
        <v>22799</v>
      </c>
      <c r="BI39" s="118">
        <v>6513.6521000000002</v>
      </c>
      <c r="BJ39" s="118">
        <f>10546.35605+51-BJ42</f>
        <v>6458.3560500000003</v>
      </c>
    </row>
    <row r="40" spans="1:62" x14ac:dyDescent="0.2">
      <c r="A40" s="1" t="s">
        <v>1866</v>
      </c>
      <c r="B40" s="1" t="s">
        <v>1867</v>
      </c>
      <c r="D40" s="117" t="str">
        <f>IF([1]RENAME!$H$3=1,B40,A40)</f>
        <v xml:space="preserve">Aquisição de equipamentos logísticos </v>
      </c>
      <c r="E40" s="118">
        <v>0</v>
      </c>
      <c r="F40" s="118">
        <v>0</v>
      </c>
      <c r="G40" s="118">
        <v>0</v>
      </c>
      <c r="H40" s="118">
        <v>0</v>
      </c>
      <c r="I40" s="118">
        <v>0</v>
      </c>
      <c r="J40" s="118">
        <v>0</v>
      </c>
      <c r="K40" s="118">
        <v>0</v>
      </c>
      <c r="L40" s="118">
        <v>0</v>
      </c>
      <c r="M40" s="118">
        <v>0</v>
      </c>
      <c r="N40" s="118">
        <v>0</v>
      </c>
      <c r="O40" s="118">
        <v>0</v>
      </c>
      <c r="P40" s="118">
        <v>0</v>
      </c>
      <c r="Q40" s="118">
        <v>0</v>
      </c>
      <c r="R40" s="118">
        <v>0</v>
      </c>
      <c r="S40" s="118">
        <v>0</v>
      </c>
      <c r="T40" s="118">
        <v>0</v>
      </c>
      <c r="U40" s="118">
        <v>0</v>
      </c>
      <c r="V40" s="118">
        <v>0</v>
      </c>
      <c r="W40" s="118">
        <v>0</v>
      </c>
      <c r="X40" s="118">
        <v>0</v>
      </c>
      <c r="Y40" s="118">
        <v>0</v>
      </c>
      <c r="Z40" s="118">
        <v>0</v>
      </c>
      <c r="AA40" s="118">
        <v>0</v>
      </c>
      <c r="AB40" s="118">
        <v>0</v>
      </c>
      <c r="AC40" s="118">
        <v>0</v>
      </c>
      <c r="AD40" s="118">
        <v>0</v>
      </c>
      <c r="AE40" s="118">
        <v>0</v>
      </c>
      <c r="AF40" s="118">
        <v>0</v>
      </c>
      <c r="AG40" s="118">
        <v>152.58170000000001</v>
      </c>
      <c r="AH40" s="118">
        <v>5202.2970599999999</v>
      </c>
      <c r="AI40" s="118">
        <v>0</v>
      </c>
      <c r="AJ40" s="118">
        <v>0</v>
      </c>
      <c r="AK40" s="118">
        <v>0</v>
      </c>
      <c r="AL40" s="118" t="s">
        <v>160</v>
      </c>
      <c r="AM40" s="118">
        <v>0</v>
      </c>
      <c r="AN40" s="118">
        <v>1093</v>
      </c>
      <c r="AO40" s="118">
        <v>3209</v>
      </c>
      <c r="AP40" s="118">
        <v>2309</v>
      </c>
      <c r="AQ40" s="118">
        <v>6929</v>
      </c>
      <c r="AR40" s="118">
        <v>786</v>
      </c>
      <c r="AS40" s="118">
        <v>240.86632</v>
      </c>
      <c r="AT40" s="118">
        <v>9100.2381199999891</v>
      </c>
      <c r="AU40" s="118">
        <v>2741.8408799999997</v>
      </c>
      <c r="AV40" s="118">
        <v>11720</v>
      </c>
      <c r="AW40" s="118">
        <v>0</v>
      </c>
      <c r="AX40" s="118">
        <v>105.30797</v>
      </c>
      <c r="AY40" s="118">
        <v>5887.9614700000002</v>
      </c>
      <c r="AZ40" s="118">
        <v>3737</v>
      </c>
      <c r="BA40" s="118">
        <v>9320</v>
      </c>
      <c r="BB40" s="118">
        <v>5363.5993600000002</v>
      </c>
      <c r="BC40" s="118">
        <v>480</v>
      </c>
      <c r="BD40" s="118">
        <v>6715.4006399999998</v>
      </c>
      <c r="BE40" s="118">
        <v>0</v>
      </c>
      <c r="BF40" s="118">
        <v>2543</v>
      </c>
      <c r="BG40" s="118">
        <v>8794.1542762434892</v>
      </c>
      <c r="BH40" s="118">
        <v>6211</v>
      </c>
      <c r="BI40" s="118">
        <v>267.3</v>
      </c>
      <c r="BJ40" s="118">
        <v>1888.20506</v>
      </c>
    </row>
    <row r="41" spans="1:62" x14ac:dyDescent="0.2">
      <c r="A41" s="1" t="s">
        <v>1314</v>
      </c>
      <c r="B41" s="1" t="s">
        <v>1317</v>
      </c>
      <c r="D41" s="117" t="str">
        <f>IF([1]RENAME!$H$3=1,B41,A41)</f>
        <v>TI</v>
      </c>
      <c r="E41" s="118" t="s">
        <v>160</v>
      </c>
      <c r="F41" s="118" t="s">
        <v>160</v>
      </c>
      <c r="G41" s="118" t="s">
        <v>160</v>
      </c>
      <c r="H41" s="118" t="s">
        <v>160</v>
      </c>
      <c r="I41" s="118" t="s">
        <v>160</v>
      </c>
      <c r="J41" s="118" t="s">
        <v>160</v>
      </c>
      <c r="K41" s="118" t="s">
        <v>160</v>
      </c>
      <c r="L41" s="118" t="s">
        <v>160</v>
      </c>
      <c r="M41" s="118" t="s">
        <v>160</v>
      </c>
      <c r="N41" s="118" t="s">
        <v>160</v>
      </c>
      <c r="O41" s="118" t="s">
        <v>160</v>
      </c>
      <c r="P41" s="118" t="s">
        <v>160</v>
      </c>
      <c r="Q41" s="118" t="s">
        <v>160</v>
      </c>
      <c r="R41" s="118" t="s">
        <v>160</v>
      </c>
      <c r="S41" s="118" t="s">
        <v>160</v>
      </c>
      <c r="T41" s="118" t="s">
        <v>160</v>
      </c>
      <c r="U41" s="118" t="s">
        <v>160</v>
      </c>
      <c r="V41" s="118" t="s">
        <v>160</v>
      </c>
      <c r="W41" s="118" t="s">
        <v>160</v>
      </c>
      <c r="X41" s="118" t="s">
        <v>160</v>
      </c>
      <c r="Y41" s="118">
        <v>1244</v>
      </c>
      <c r="Z41" s="118">
        <v>878</v>
      </c>
      <c r="AA41" s="118">
        <v>1650.0240399999998</v>
      </c>
      <c r="AB41" s="118">
        <v>1273</v>
      </c>
      <c r="AC41" s="118">
        <v>1039.1589100000001</v>
      </c>
      <c r="AD41" s="118">
        <v>1076.8006200000002</v>
      </c>
      <c r="AE41" s="118">
        <v>1907.9771699999997</v>
      </c>
      <c r="AF41" s="118">
        <v>2676.5601699999997</v>
      </c>
      <c r="AG41" s="118">
        <v>1782.2983599999993</v>
      </c>
      <c r="AH41" s="118">
        <v>849.06035999999995</v>
      </c>
      <c r="AI41" s="118">
        <v>954.18462999999997</v>
      </c>
      <c r="AJ41" s="118">
        <v>1674.6355200000007</v>
      </c>
      <c r="AK41" s="118">
        <v>1636</v>
      </c>
      <c r="AL41" s="118">
        <v>986</v>
      </c>
      <c r="AM41" s="118">
        <v>730</v>
      </c>
      <c r="AN41" s="118">
        <v>1904</v>
      </c>
      <c r="AO41" s="118">
        <v>1889</v>
      </c>
      <c r="AP41" s="118">
        <v>992</v>
      </c>
      <c r="AQ41" s="118">
        <v>1572</v>
      </c>
      <c r="AR41" s="118">
        <v>1829</v>
      </c>
      <c r="AS41" s="118">
        <v>2326.0203700000006</v>
      </c>
      <c r="AT41" s="118">
        <v>955.61133000000018</v>
      </c>
      <c r="AU41" s="118">
        <v>2614.1886199999999</v>
      </c>
      <c r="AV41" s="118">
        <v>3383.0074600000007</v>
      </c>
      <c r="AW41" s="118">
        <v>2791.2877100000001</v>
      </c>
      <c r="AX41" s="118">
        <v>1686.6533399999998</v>
      </c>
      <c r="AY41" s="118">
        <v>2035.07331</v>
      </c>
      <c r="AZ41" s="118">
        <v>3042</v>
      </c>
      <c r="BA41" s="118">
        <v>5153</v>
      </c>
      <c r="BB41" s="118">
        <v>3324.3858000000114</v>
      </c>
      <c r="BC41" s="118">
        <v>5639.2999999999975</v>
      </c>
      <c r="BD41" s="118">
        <v>2958.3141999999934</v>
      </c>
      <c r="BE41" s="118">
        <v>5762.9570400000002</v>
      </c>
      <c r="BF41" s="118">
        <v>2641.0125400000002</v>
      </c>
      <c r="BG41" s="118">
        <v>2300.2855800000002</v>
      </c>
      <c r="BH41" s="118">
        <v>3793.0479999999998</v>
      </c>
      <c r="BI41" s="118">
        <v>4058.4540000000002</v>
      </c>
      <c r="BJ41" s="118">
        <v>2210.260479999999</v>
      </c>
    </row>
    <row r="42" spans="1:62" x14ac:dyDescent="0.2">
      <c r="A42" s="1" t="s">
        <v>1372</v>
      </c>
      <c r="B42" s="1" t="s">
        <v>1373</v>
      </c>
      <c r="D42" s="117" t="s">
        <v>2310</v>
      </c>
      <c r="E42" s="118" t="s">
        <v>160</v>
      </c>
      <c r="F42" s="118" t="s">
        <v>160</v>
      </c>
      <c r="G42" s="118" t="s">
        <v>160</v>
      </c>
      <c r="H42" s="118" t="s">
        <v>160</v>
      </c>
      <c r="I42" s="118" t="s">
        <v>160</v>
      </c>
      <c r="J42" s="118" t="s">
        <v>160</v>
      </c>
      <c r="K42" s="118" t="s">
        <v>160</v>
      </c>
      <c r="L42" s="118" t="s">
        <v>160</v>
      </c>
      <c r="M42" s="118" t="s">
        <v>160</v>
      </c>
      <c r="N42" s="118" t="s">
        <v>160</v>
      </c>
      <c r="O42" s="118">
        <v>3400</v>
      </c>
      <c r="P42" s="118">
        <v>17000</v>
      </c>
      <c r="Q42" s="118">
        <v>647.87880000000007</v>
      </c>
      <c r="R42" s="118">
        <v>10471.601050000001</v>
      </c>
      <c r="S42" s="118">
        <v>16744.132700000002</v>
      </c>
      <c r="T42" s="118">
        <v>5241.9889500000018</v>
      </c>
      <c r="U42" s="118">
        <v>5338.6158999999998</v>
      </c>
      <c r="V42" s="118">
        <v>6670</v>
      </c>
      <c r="W42" s="118">
        <v>2790</v>
      </c>
      <c r="X42" s="118">
        <v>3395</v>
      </c>
      <c r="Y42" s="118" t="s">
        <v>160</v>
      </c>
      <c r="Z42" s="118" t="s">
        <v>160</v>
      </c>
      <c r="AA42" s="118" t="s">
        <v>160</v>
      </c>
      <c r="AB42" s="118" t="s">
        <v>160</v>
      </c>
      <c r="AC42" s="118" t="s">
        <v>160</v>
      </c>
      <c r="AD42" s="118">
        <v>165</v>
      </c>
      <c r="AE42" s="118">
        <v>10508.144619999999</v>
      </c>
      <c r="AF42" s="118">
        <v>6750.4519999999984</v>
      </c>
      <c r="AG42" s="646">
        <v>3413.339320000001</v>
      </c>
      <c r="AH42" s="118">
        <v>1593.1054199999999</v>
      </c>
      <c r="AI42" s="118">
        <v>395.59154999999998</v>
      </c>
      <c r="AJ42" s="118">
        <v>6076.4810599999992</v>
      </c>
      <c r="AK42" s="118">
        <v>2426</v>
      </c>
      <c r="AL42" s="118">
        <v>1763</v>
      </c>
      <c r="AM42" s="118">
        <v>197</v>
      </c>
      <c r="AN42" s="118">
        <v>0</v>
      </c>
      <c r="AO42" s="118">
        <v>0</v>
      </c>
      <c r="AP42" s="118" t="s">
        <v>160</v>
      </c>
      <c r="AQ42" s="118" t="s">
        <v>160</v>
      </c>
      <c r="AR42" s="118" t="s">
        <v>160</v>
      </c>
      <c r="AS42" s="118" t="s">
        <v>160</v>
      </c>
      <c r="AT42" s="118" t="s">
        <v>160</v>
      </c>
      <c r="AU42" s="118" t="s">
        <v>160</v>
      </c>
      <c r="AV42" s="118" t="s">
        <v>160</v>
      </c>
      <c r="AW42" s="118" t="s">
        <v>160</v>
      </c>
      <c r="AX42" s="118" t="s">
        <v>160</v>
      </c>
      <c r="AY42" s="118" t="s">
        <v>160</v>
      </c>
      <c r="AZ42" s="118" t="s">
        <v>160</v>
      </c>
      <c r="BA42" s="118" t="s">
        <v>160</v>
      </c>
      <c r="BB42" s="118" t="s">
        <v>160</v>
      </c>
      <c r="BC42" s="118" t="s">
        <v>160</v>
      </c>
      <c r="BD42" s="118" t="s">
        <v>160</v>
      </c>
      <c r="BE42" s="118" t="s">
        <v>160</v>
      </c>
      <c r="BF42" s="118" t="s">
        <v>160</v>
      </c>
      <c r="BG42" s="118" t="s">
        <v>160</v>
      </c>
      <c r="BH42" s="118">
        <v>40000</v>
      </c>
      <c r="BI42" s="118">
        <v>1500</v>
      </c>
      <c r="BJ42" s="118">
        <v>4139</v>
      </c>
    </row>
    <row r="43" spans="1:62" hidden="1" outlineLevel="1" x14ac:dyDescent="0.2">
      <c r="A43" s="1" t="s">
        <v>1313</v>
      </c>
      <c r="B43" s="1" t="s">
        <v>1316</v>
      </c>
      <c r="D43" s="779" t="str">
        <f>IF([1]RENAME!$H$3=1,B43,A43)</f>
        <v>Novas operações</v>
      </c>
      <c r="E43" s="311" t="s">
        <v>160</v>
      </c>
      <c r="F43" s="311" t="s">
        <v>160</v>
      </c>
      <c r="G43" s="311" t="s">
        <v>160</v>
      </c>
      <c r="H43" s="311" t="s">
        <v>160</v>
      </c>
      <c r="I43" s="311" t="s">
        <v>160</v>
      </c>
      <c r="J43" s="311" t="s">
        <v>160</v>
      </c>
      <c r="K43" s="311" t="s">
        <v>160</v>
      </c>
      <c r="L43" s="311" t="s">
        <v>160</v>
      </c>
      <c r="M43" s="311" t="s">
        <v>160</v>
      </c>
      <c r="N43" s="311" t="s">
        <v>160</v>
      </c>
      <c r="O43" s="311" t="s">
        <v>160</v>
      </c>
      <c r="P43" s="311" t="s">
        <v>160</v>
      </c>
      <c r="Q43" s="311">
        <v>4691.6184599999997</v>
      </c>
      <c r="R43" s="311">
        <v>3715.77657</v>
      </c>
      <c r="S43" s="311">
        <v>5007.7757600000004</v>
      </c>
      <c r="T43" s="311">
        <v>6985.2447299999994</v>
      </c>
      <c r="U43" s="311">
        <v>2656.6067900000007</v>
      </c>
      <c r="V43" s="311">
        <v>1441.1324700000002</v>
      </c>
      <c r="W43" s="311" t="s">
        <v>160</v>
      </c>
      <c r="X43" s="311">
        <v>1173</v>
      </c>
      <c r="Y43" s="311" t="s">
        <v>160</v>
      </c>
      <c r="Z43" s="311" t="s">
        <v>160</v>
      </c>
      <c r="AA43" s="311" t="s">
        <v>160</v>
      </c>
      <c r="AB43" s="311" t="s">
        <v>160</v>
      </c>
      <c r="AC43" s="311" t="s">
        <v>160</v>
      </c>
      <c r="AD43" s="311">
        <v>1373.4128699999997</v>
      </c>
      <c r="AE43" s="311">
        <v>528.54906000000028</v>
      </c>
      <c r="AF43" s="311">
        <v>445.90744000000007</v>
      </c>
      <c r="AG43" s="311">
        <v>218.71389000000002</v>
      </c>
      <c r="AH43" s="311">
        <v>82.789210000000011</v>
      </c>
      <c r="AI43" s="311">
        <v>56.596550000000001</v>
      </c>
      <c r="AJ43" s="311">
        <v>3</v>
      </c>
      <c r="AK43" s="311">
        <v>0</v>
      </c>
      <c r="AL43" s="311" t="s">
        <v>160</v>
      </c>
      <c r="AM43" s="311">
        <v>0</v>
      </c>
      <c r="AN43" s="311">
        <v>0</v>
      </c>
      <c r="AO43" s="311">
        <v>0</v>
      </c>
      <c r="AP43" s="311" t="s">
        <v>160</v>
      </c>
      <c r="AQ43" s="311" t="s">
        <v>160</v>
      </c>
      <c r="AR43" s="311" t="s">
        <v>160</v>
      </c>
      <c r="AS43" s="311" t="s">
        <v>160</v>
      </c>
      <c r="AT43" s="311" t="s">
        <v>160</v>
      </c>
      <c r="AU43" s="311" t="s">
        <v>160</v>
      </c>
      <c r="AV43" s="311" t="s">
        <v>160</v>
      </c>
      <c r="AW43" s="311" t="s">
        <v>160</v>
      </c>
      <c r="AX43" s="311" t="s">
        <v>160</v>
      </c>
      <c r="AY43" s="311" t="s">
        <v>160</v>
      </c>
      <c r="AZ43" s="311" t="s">
        <v>160</v>
      </c>
      <c r="BA43" s="311" t="s">
        <v>160</v>
      </c>
      <c r="BB43" s="311" t="s">
        <v>160</v>
      </c>
      <c r="BC43" s="311" t="s">
        <v>160</v>
      </c>
      <c r="BD43" s="311"/>
      <c r="BE43" s="311"/>
      <c r="BF43" s="311"/>
      <c r="BG43" s="311"/>
      <c r="BH43" s="311"/>
      <c r="BI43" s="311"/>
      <c r="BJ43" s="311"/>
    </row>
    <row r="44" spans="1:62" hidden="1" outlineLevel="1" x14ac:dyDescent="0.2">
      <c r="A44" s="1" t="s">
        <v>1315</v>
      </c>
      <c r="B44" s="1" t="s">
        <v>1318</v>
      </c>
      <c r="D44" s="779" t="str">
        <f>IF([1]RENAME!$H$3=1,B44,A44)</f>
        <v>Renovação de contratos</v>
      </c>
      <c r="E44" s="311" t="s">
        <v>160</v>
      </c>
      <c r="F44" s="311" t="s">
        <v>160</v>
      </c>
      <c r="G44" s="311" t="s">
        <v>160</v>
      </c>
      <c r="H44" s="311" t="s">
        <v>160</v>
      </c>
      <c r="I44" s="311" t="s">
        <v>160</v>
      </c>
      <c r="J44" s="311" t="s">
        <v>160</v>
      </c>
      <c r="K44" s="311" t="s">
        <v>160</v>
      </c>
      <c r="L44" s="311" t="s">
        <v>160</v>
      </c>
      <c r="M44" s="311" t="s">
        <v>160</v>
      </c>
      <c r="N44" s="311" t="s">
        <v>160</v>
      </c>
      <c r="O44" s="311" t="s">
        <v>160</v>
      </c>
      <c r="P44" s="311" t="s">
        <v>160</v>
      </c>
      <c r="Q44" s="311" t="s">
        <v>160</v>
      </c>
      <c r="R44" s="311" t="s">
        <v>160</v>
      </c>
      <c r="S44" s="311" t="s">
        <v>160</v>
      </c>
      <c r="T44" s="311" t="s">
        <v>160</v>
      </c>
      <c r="U44" s="311" t="s">
        <v>160</v>
      </c>
      <c r="V44" s="311" t="s">
        <v>160</v>
      </c>
      <c r="W44" s="311" t="s">
        <v>160</v>
      </c>
      <c r="X44" s="311" t="s">
        <v>160</v>
      </c>
      <c r="Y44" s="311">
        <v>3054</v>
      </c>
      <c r="Z44" s="311">
        <v>3864</v>
      </c>
      <c r="AA44" s="311">
        <v>914</v>
      </c>
      <c r="AB44" s="311">
        <v>0</v>
      </c>
      <c r="AC44" s="311" t="s">
        <v>160</v>
      </c>
      <c r="AD44" s="311" t="s">
        <v>160</v>
      </c>
      <c r="AE44" s="311" t="s">
        <v>160</v>
      </c>
      <c r="AF44" s="311">
        <v>0</v>
      </c>
      <c r="AG44" s="311">
        <v>77.271439999999998</v>
      </c>
      <c r="AH44" s="311">
        <v>3077.5007999999998</v>
      </c>
      <c r="AI44" s="311">
        <v>12.58652</v>
      </c>
      <c r="AJ44" s="311">
        <v>0</v>
      </c>
      <c r="AK44" s="311">
        <v>0</v>
      </c>
      <c r="AL44" s="311" t="s">
        <v>160</v>
      </c>
      <c r="AM44" s="311">
        <v>0</v>
      </c>
      <c r="AN44" s="311">
        <v>0</v>
      </c>
      <c r="AO44" s="311">
        <v>0</v>
      </c>
      <c r="AP44" s="311" t="s">
        <v>160</v>
      </c>
      <c r="AQ44" s="311" t="s">
        <v>160</v>
      </c>
      <c r="AR44" s="311" t="s">
        <v>160</v>
      </c>
      <c r="AS44" s="311" t="s">
        <v>160</v>
      </c>
      <c r="AT44" s="311" t="s">
        <v>160</v>
      </c>
      <c r="AU44" s="311" t="s">
        <v>160</v>
      </c>
      <c r="AV44" s="311" t="s">
        <v>160</v>
      </c>
      <c r="AW44" s="311" t="s">
        <v>160</v>
      </c>
      <c r="AX44" s="311" t="s">
        <v>160</v>
      </c>
      <c r="AY44" s="311" t="s">
        <v>160</v>
      </c>
      <c r="AZ44" s="311" t="s">
        <v>160</v>
      </c>
      <c r="BA44" s="311" t="s">
        <v>160</v>
      </c>
      <c r="BB44" s="311" t="s">
        <v>160</v>
      </c>
      <c r="BC44" s="311" t="s">
        <v>160</v>
      </c>
      <c r="BD44" s="311"/>
      <c r="BE44" s="311"/>
      <c r="BF44" s="311"/>
      <c r="BG44" s="311"/>
      <c r="BH44" s="311"/>
      <c r="BI44" s="311"/>
      <c r="BJ44" s="311"/>
    </row>
    <row r="45" spans="1:62" collapsed="1" x14ac:dyDescent="0.2">
      <c r="C45" s="9"/>
      <c r="D45" s="126" t="s">
        <v>112</v>
      </c>
      <c r="E45" s="120" t="s">
        <v>160</v>
      </c>
      <c r="F45" s="120" t="s">
        <v>160</v>
      </c>
      <c r="G45" s="120" t="s">
        <v>160</v>
      </c>
      <c r="H45" s="120" t="s">
        <v>160</v>
      </c>
      <c r="I45" s="120" t="s">
        <v>160</v>
      </c>
      <c r="J45" s="120" t="s">
        <v>160</v>
      </c>
      <c r="K45" s="120" t="s">
        <v>160</v>
      </c>
      <c r="L45" s="120" t="s">
        <v>160</v>
      </c>
      <c r="M45" s="120">
        <f t="shared" ref="M45:AI45" si="41">+SUM(M39:M44)</f>
        <v>4328.7771300000004</v>
      </c>
      <c r="N45" s="120">
        <f t="shared" si="41"/>
        <v>6848.2228699999996</v>
      </c>
      <c r="O45" s="120">
        <f t="shared" si="41"/>
        <v>7004</v>
      </c>
      <c r="P45" s="120">
        <f t="shared" si="41"/>
        <v>21632</v>
      </c>
      <c r="Q45" s="120">
        <f t="shared" si="41"/>
        <v>11562</v>
      </c>
      <c r="R45" s="120">
        <f t="shared" si="41"/>
        <v>17719</v>
      </c>
      <c r="S45" s="120">
        <f t="shared" si="41"/>
        <v>24267</v>
      </c>
      <c r="T45" s="120">
        <f t="shared" si="41"/>
        <v>14930</v>
      </c>
      <c r="U45" s="120">
        <f t="shared" si="41"/>
        <v>10505</v>
      </c>
      <c r="V45" s="120">
        <f t="shared" si="41"/>
        <v>10336.563370000002</v>
      </c>
      <c r="W45" s="120">
        <f t="shared" si="41"/>
        <v>3993</v>
      </c>
      <c r="X45" s="120">
        <f t="shared" si="41"/>
        <v>6304</v>
      </c>
      <c r="Y45" s="120">
        <f t="shared" si="41"/>
        <v>6820</v>
      </c>
      <c r="Z45" s="120">
        <f t="shared" si="41"/>
        <v>8432</v>
      </c>
      <c r="AA45" s="120">
        <f t="shared" si="41"/>
        <v>5862</v>
      </c>
      <c r="AB45" s="120">
        <f t="shared" si="41"/>
        <v>4116</v>
      </c>
      <c r="AC45" s="120">
        <f t="shared" si="41"/>
        <v>2460.1986400000001</v>
      </c>
      <c r="AD45" s="120">
        <f t="shared" si="41"/>
        <v>4724.2775700000002</v>
      </c>
      <c r="AE45" s="120">
        <f t="shared" si="41"/>
        <v>14999.27721</v>
      </c>
      <c r="AF45" s="120">
        <f t="shared" si="41"/>
        <v>13256.331969999999</v>
      </c>
      <c r="AG45" s="120">
        <f t="shared" si="41"/>
        <v>6635.6352500000012</v>
      </c>
      <c r="AH45" s="120">
        <f t="shared" si="41"/>
        <v>14552.057499999999</v>
      </c>
      <c r="AI45" s="120">
        <f t="shared" si="41"/>
        <v>4132.3085700000001</v>
      </c>
      <c r="AJ45" s="120">
        <v>10689.66779</v>
      </c>
      <c r="AK45" s="120">
        <f t="shared" ref="AK45:AP45" si="42">+SUM(AK39:AK44)</f>
        <v>5427</v>
      </c>
      <c r="AL45" s="120">
        <f t="shared" si="42"/>
        <v>4266</v>
      </c>
      <c r="AM45" s="120">
        <f t="shared" si="42"/>
        <v>4406</v>
      </c>
      <c r="AN45" s="120">
        <f t="shared" si="42"/>
        <v>5672</v>
      </c>
      <c r="AO45" s="120">
        <f t="shared" si="42"/>
        <v>6526</v>
      </c>
      <c r="AP45" s="120">
        <f t="shared" si="42"/>
        <v>6456</v>
      </c>
      <c r="AQ45" s="120">
        <f t="shared" ref="AQ45:AV45" si="43">+SUM(AQ39:AQ44)</f>
        <v>10292</v>
      </c>
      <c r="AR45" s="120">
        <f t="shared" si="43"/>
        <v>6328</v>
      </c>
      <c r="AS45" s="120">
        <f t="shared" si="43"/>
        <v>4409.3565700000054</v>
      </c>
      <c r="AT45" s="120">
        <f t="shared" si="43"/>
        <v>12332.297929999988</v>
      </c>
      <c r="AU45" s="120">
        <f t="shared" si="43"/>
        <v>7994.1122999999989</v>
      </c>
      <c r="AV45" s="120">
        <f t="shared" si="43"/>
        <v>20242.128919999996</v>
      </c>
      <c r="AW45" s="120">
        <f t="shared" ref="AW45:BB45" si="44">+SUM(AW39:AW44)</f>
        <v>5455.5496700000003</v>
      </c>
      <c r="AX45" s="120">
        <f t="shared" si="44"/>
        <v>5162.2759199999982</v>
      </c>
      <c r="AY45" s="120">
        <f t="shared" si="44"/>
        <v>11944.03478</v>
      </c>
      <c r="AZ45" s="120">
        <f t="shared" si="44"/>
        <v>10590</v>
      </c>
      <c r="BA45" s="120">
        <f t="shared" si="44"/>
        <v>16136</v>
      </c>
      <c r="BB45" s="120">
        <f t="shared" si="44"/>
        <v>12059.535570000004</v>
      </c>
      <c r="BC45" s="120">
        <f t="shared" ref="BC45:BH45" si="45">+SUM(BC39:BC44)</f>
        <v>12574.213229999987</v>
      </c>
      <c r="BD45" s="120">
        <f t="shared" si="45"/>
        <v>16805.251200000013</v>
      </c>
      <c r="BE45" s="120">
        <f t="shared" si="45"/>
        <v>9944.0004399999998</v>
      </c>
      <c r="BF45" s="120">
        <f t="shared" si="45"/>
        <v>11444.999560000009</v>
      </c>
      <c r="BG45" s="120">
        <f t="shared" si="45"/>
        <v>18181.399209365238</v>
      </c>
      <c r="BH45" s="120">
        <f t="shared" si="45"/>
        <v>72803.04800000001</v>
      </c>
      <c r="BI45" s="120">
        <f>+SUM(BI39:BI44)</f>
        <v>12339.4061</v>
      </c>
      <c r="BJ45" s="120">
        <f>+SUM(BJ39:BJ44)</f>
        <v>14695.82159</v>
      </c>
    </row>
    <row r="46" spans="1:62" x14ac:dyDescent="0.2">
      <c r="D46" s="461"/>
      <c r="AZ46" s="1155"/>
      <c r="BA46" s="1155"/>
      <c r="BB46" s="1155"/>
      <c r="BC46" s="1155"/>
      <c r="BG46" s="1171"/>
      <c r="BH46" s="1171"/>
      <c r="BI46" s="1171"/>
      <c r="BJ46" s="1171"/>
    </row>
    <row r="47" spans="1:62" x14ac:dyDescent="0.2">
      <c r="A47" s="1" t="s">
        <v>481</v>
      </c>
      <c r="B47" s="1" t="s">
        <v>823</v>
      </c>
      <c r="C47" s="9"/>
      <c r="D47" s="9" t="str">
        <f>IF([1]RENAME!$H$3=1,B47,A47)</f>
        <v>(consolidado, em milhares)</v>
      </c>
      <c r="E47" s="10"/>
      <c r="F47" s="10"/>
      <c r="G47" s="10"/>
      <c r="H47" s="10"/>
      <c r="I47" s="10"/>
      <c r="J47" s="10"/>
      <c r="K47" s="10"/>
      <c r="L47" s="10"/>
      <c r="M47" s="248"/>
      <c r="N47" s="248"/>
      <c r="O47" s="248"/>
      <c r="P47" s="248"/>
      <c r="Q47" s="248"/>
      <c r="R47" s="248"/>
      <c r="S47" s="248"/>
      <c r="T47" s="274"/>
      <c r="U47" s="248"/>
      <c r="V47" s="248"/>
      <c r="W47" s="248"/>
      <c r="X47" s="274"/>
      <c r="Y47" s="274"/>
      <c r="Z47" s="274"/>
      <c r="AA47" s="274"/>
      <c r="AB47" s="274"/>
      <c r="AC47" s="274"/>
      <c r="AD47" s="274"/>
      <c r="AE47" s="274"/>
    </row>
    <row r="48" spans="1:62" x14ac:dyDescent="0.2">
      <c r="A48" s="1" t="s">
        <v>1374</v>
      </c>
      <c r="B48" s="1" t="s">
        <v>1375</v>
      </c>
      <c r="C48" s="9"/>
      <c r="D48" s="127" t="str">
        <f>IF([1]RENAME!$H$3=1,B48,A48)</f>
        <v>Ciclo de caixa</v>
      </c>
      <c r="E48" s="141" t="str">
        <f t="shared" ref="E48:AG48" si="46">+E$3</f>
        <v>1T12</v>
      </c>
      <c r="F48" s="141" t="str">
        <f t="shared" si="46"/>
        <v>2T12</v>
      </c>
      <c r="G48" s="141" t="str">
        <f t="shared" si="46"/>
        <v>3T12</v>
      </c>
      <c r="H48" s="141" t="str">
        <f t="shared" si="46"/>
        <v>4T12</v>
      </c>
      <c r="I48" s="141" t="str">
        <f t="shared" si="46"/>
        <v>1T13</v>
      </c>
      <c r="J48" s="141" t="str">
        <f t="shared" si="46"/>
        <v>2T13</v>
      </c>
      <c r="K48" s="141" t="str">
        <f t="shared" si="46"/>
        <v>3T13</v>
      </c>
      <c r="L48" s="141" t="str">
        <f t="shared" si="46"/>
        <v>4T13</v>
      </c>
      <c r="M48" s="141" t="str">
        <f t="shared" si="46"/>
        <v>1T14</v>
      </c>
      <c r="N48" s="141" t="str">
        <f t="shared" si="46"/>
        <v>2T14</v>
      </c>
      <c r="O48" s="141" t="str">
        <f t="shared" si="46"/>
        <v>3T14</v>
      </c>
      <c r="P48" s="141" t="str">
        <f t="shared" si="46"/>
        <v>4T14</v>
      </c>
      <c r="Q48" s="141" t="str">
        <f t="shared" si="46"/>
        <v>1T15</v>
      </c>
      <c r="R48" s="141" t="str">
        <f t="shared" si="46"/>
        <v>2T15</v>
      </c>
      <c r="S48" s="141" t="str">
        <f t="shared" si="46"/>
        <v>3T15</v>
      </c>
      <c r="T48" s="141" t="str">
        <f t="shared" si="46"/>
        <v>4T15</v>
      </c>
      <c r="U48" s="141" t="str">
        <f t="shared" si="46"/>
        <v>1T16</v>
      </c>
      <c r="V48" s="141" t="str">
        <f t="shared" si="46"/>
        <v>2T16</v>
      </c>
      <c r="W48" s="141" t="str">
        <f t="shared" si="46"/>
        <v>3T16</v>
      </c>
      <c r="X48" s="141" t="str">
        <f t="shared" si="46"/>
        <v>4T16</v>
      </c>
      <c r="Y48" s="141" t="str">
        <f t="shared" si="46"/>
        <v>1T17</v>
      </c>
      <c r="Z48" s="141" t="str">
        <f t="shared" si="46"/>
        <v>2T17</v>
      </c>
      <c r="AA48" s="141" t="str">
        <f t="shared" si="46"/>
        <v>3T17</v>
      </c>
      <c r="AB48" s="141" t="str">
        <f t="shared" si="46"/>
        <v>4T17</v>
      </c>
      <c r="AC48" s="141" t="str">
        <f t="shared" si="46"/>
        <v>1T18</v>
      </c>
      <c r="AD48" s="141" t="str">
        <f t="shared" si="46"/>
        <v>2T18</v>
      </c>
      <c r="AE48" s="141" t="str">
        <f t="shared" si="46"/>
        <v>3T18</v>
      </c>
      <c r="AF48" s="141" t="str">
        <f t="shared" si="46"/>
        <v>4T18</v>
      </c>
      <c r="AG48" s="141" t="str">
        <f t="shared" si="46"/>
        <v>1T19</v>
      </c>
      <c r="AH48" s="141" t="str">
        <f t="shared" ref="AH48:BJ48" si="47">+AH$3</f>
        <v>2T19</v>
      </c>
      <c r="AI48" s="141" t="str">
        <f t="shared" si="47"/>
        <v>3T19</v>
      </c>
      <c r="AJ48" s="141" t="str">
        <f t="shared" si="47"/>
        <v>4T19</v>
      </c>
      <c r="AK48" s="141" t="str">
        <f t="shared" si="47"/>
        <v>1T20</v>
      </c>
      <c r="AL48" s="141" t="str">
        <f t="shared" si="47"/>
        <v>2T20</v>
      </c>
      <c r="AM48" s="141" t="str">
        <f t="shared" si="47"/>
        <v>3T20</v>
      </c>
      <c r="AN48" s="141" t="str">
        <f t="shared" si="47"/>
        <v>4T20</v>
      </c>
      <c r="AO48" s="141" t="str">
        <f t="shared" si="47"/>
        <v>1T21</v>
      </c>
      <c r="AP48" s="141" t="str">
        <f t="shared" si="47"/>
        <v>2T21</v>
      </c>
      <c r="AQ48" s="141" t="str">
        <f t="shared" si="47"/>
        <v>3T21</v>
      </c>
      <c r="AR48" s="141" t="str">
        <f t="shared" si="47"/>
        <v>4T21</v>
      </c>
      <c r="AS48" s="141" t="str">
        <f t="shared" si="47"/>
        <v>1T22</v>
      </c>
      <c r="AT48" s="141" t="str">
        <f t="shared" si="47"/>
        <v>2T22</v>
      </c>
      <c r="AU48" s="141" t="str">
        <f t="shared" si="47"/>
        <v>3T22</v>
      </c>
      <c r="AV48" s="141" t="str">
        <f t="shared" si="47"/>
        <v>4T22</v>
      </c>
      <c r="AW48" s="141" t="str">
        <f t="shared" si="47"/>
        <v>1T23</v>
      </c>
      <c r="AX48" s="141" t="str">
        <f t="shared" si="47"/>
        <v>2T23</v>
      </c>
      <c r="AY48" s="141" t="str">
        <f t="shared" si="47"/>
        <v>3T23</v>
      </c>
      <c r="AZ48" s="141" t="str">
        <f t="shared" si="47"/>
        <v>4T23</v>
      </c>
      <c r="BA48" s="141" t="str">
        <f t="shared" si="47"/>
        <v>1T24</v>
      </c>
      <c r="BB48" s="141" t="str">
        <f t="shared" si="47"/>
        <v>2T24</v>
      </c>
      <c r="BC48" s="141" t="str">
        <f t="shared" si="47"/>
        <v>3T24</v>
      </c>
      <c r="BD48" s="141" t="str">
        <f t="shared" si="47"/>
        <v>4T24</v>
      </c>
      <c r="BE48" s="141" t="str">
        <f t="shared" si="47"/>
        <v>1T25</v>
      </c>
      <c r="BF48" s="141" t="str">
        <f t="shared" si="47"/>
        <v>2T25</v>
      </c>
      <c r="BG48" s="141" t="str">
        <f t="shared" si="47"/>
        <v>3T25</v>
      </c>
      <c r="BH48" s="141" t="str">
        <f t="shared" si="47"/>
        <v>4T25</v>
      </c>
      <c r="BI48" s="141" t="str">
        <f t="shared" si="47"/>
        <v>1T26</v>
      </c>
      <c r="BJ48" s="141" t="str">
        <f t="shared" si="47"/>
        <v>2T26</v>
      </c>
    </row>
    <row r="49" spans="1:62" x14ac:dyDescent="0.2">
      <c r="A49" s="1" t="s">
        <v>36</v>
      </c>
      <c r="B49" s="1" t="s">
        <v>1379</v>
      </c>
      <c r="C49" s="9"/>
      <c r="D49" s="117" t="str">
        <f>IF([1]RENAME!$H$3=1,B49,A49)</f>
        <v>Contas a receber</v>
      </c>
      <c r="E49" s="118">
        <f>+BP!M8</f>
        <v>294602</v>
      </c>
      <c r="F49" s="118">
        <f>+BP!N8</f>
        <v>331980</v>
      </c>
      <c r="G49" s="118">
        <f>+BP!O8</f>
        <v>352994</v>
      </c>
      <c r="H49" s="118">
        <f>+BP!P8</f>
        <v>361666</v>
      </c>
      <c r="I49" s="118">
        <f>+BP!Q8</f>
        <v>341441</v>
      </c>
      <c r="J49" s="118">
        <f>+BP!R8</f>
        <v>394608</v>
      </c>
      <c r="K49" s="118">
        <f>+BP!S8</f>
        <v>353269</v>
      </c>
      <c r="L49" s="118">
        <f>+BP!T8</f>
        <v>338425</v>
      </c>
      <c r="M49" s="118">
        <f>+BP!U8</f>
        <v>301539</v>
      </c>
      <c r="N49" s="118">
        <f>+BP!V8</f>
        <v>260290</v>
      </c>
      <c r="O49" s="118">
        <f>+BP!W8</f>
        <v>248659</v>
      </c>
      <c r="P49" s="118">
        <f>+BP!X8</f>
        <v>253604</v>
      </c>
      <c r="Q49" s="118">
        <f>+BP!Y8</f>
        <v>199309</v>
      </c>
      <c r="R49" s="118">
        <f>+BP!Z8</f>
        <v>221868</v>
      </c>
      <c r="S49" s="118">
        <f>+BP!AA8</f>
        <v>182340</v>
      </c>
      <c r="T49" s="118">
        <f>+BP!AB8</f>
        <v>187600</v>
      </c>
      <c r="U49" s="118">
        <f>+BP!AC8</f>
        <v>129251</v>
      </c>
      <c r="V49" s="118">
        <f>+BP!AD8</f>
        <v>138728</v>
      </c>
      <c r="W49" s="118">
        <f>+BP!AE8</f>
        <v>126437</v>
      </c>
      <c r="X49" s="118">
        <f>+BP!AF8</f>
        <v>154255</v>
      </c>
      <c r="Y49" s="118">
        <f>+BP!AG8</f>
        <v>116130</v>
      </c>
      <c r="Z49" s="118">
        <f>+BP!AH8</f>
        <v>123239</v>
      </c>
      <c r="AA49" s="118">
        <f>+BP!AI8</f>
        <v>137433</v>
      </c>
      <c r="AB49" s="118">
        <f>+BP!AJ8</f>
        <v>171180</v>
      </c>
      <c r="AC49" s="118">
        <f>+BP!AK8</f>
        <v>149456</v>
      </c>
      <c r="AD49" s="118">
        <f>+BP!AL8</f>
        <v>175884</v>
      </c>
      <c r="AE49" s="118">
        <f>+BP!AM8</f>
        <v>190482</v>
      </c>
      <c r="AF49" s="118">
        <f>+BP!AN8</f>
        <v>226227</v>
      </c>
      <c r="AG49" s="118">
        <f>+BP!AO8</f>
        <v>202605</v>
      </c>
      <c r="AH49" s="118">
        <f>+BP!AP8</f>
        <v>215878</v>
      </c>
      <c r="AI49" s="118">
        <f>+BP!AQ8</f>
        <v>222773</v>
      </c>
      <c r="AJ49" s="118">
        <f>+BP!AR8</f>
        <v>261173</v>
      </c>
      <c r="AK49" s="118">
        <f>+BP!AS8</f>
        <v>208452</v>
      </c>
      <c r="AL49" s="118">
        <f>+BP!AT8</f>
        <v>127444</v>
      </c>
      <c r="AM49" s="118">
        <f>+BP!AU8</f>
        <v>199717</v>
      </c>
      <c r="AN49" s="118">
        <f>+BP!AV8</f>
        <v>212138</v>
      </c>
      <c r="AO49" s="118">
        <f>+BP!AW8</f>
        <v>169120</v>
      </c>
      <c r="AP49" s="118">
        <f>+BP!AX8</f>
        <v>197088</v>
      </c>
      <c r="AQ49" s="118">
        <f>+BP!AY8</f>
        <v>196436</v>
      </c>
      <c r="AR49" s="118">
        <f>+BP!AZ8</f>
        <v>302669</v>
      </c>
      <c r="AS49" s="118">
        <f>+BP!BA8</f>
        <v>223696</v>
      </c>
      <c r="AT49" s="118">
        <f>+BP!BB8</f>
        <v>266460</v>
      </c>
      <c r="AU49" s="118">
        <f>+BP!BC8</f>
        <v>289087</v>
      </c>
      <c r="AV49" s="118">
        <f>+BP!BD8</f>
        <v>314053</v>
      </c>
      <c r="AW49" s="118">
        <f>+BP!BE8</f>
        <v>259933</v>
      </c>
      <c r="AX49" s="118">
        <f>+BP!BF8</f>
        <v>264045</v>
      </c>
      <c r="AY49" s="118">
        <f>+BP!BG8</f>
        <v>280755</v>
      </c>
      <c r="AZ49" s="118">
        <f>+BP!BH8</f>
        <v>345505</v>
      </c>
      <c r="BA49" s="118">
        <f>+BP!BI8</f>
        <v>294190</v>
      </c>
      <c r="BB49" s="118">
        <f>+BP!BJ8</f>
        <v>342942</v>
      </c>
      <c r="BC49" s="118">
        <f>+BP!BK8</f>
        <v>395339</v>
      </c>
      <c r="BD49" s="118">
        <f>+BP!BL8</f>
        <v>437934</v>
      </c>
      <c r="BE49" s="118">
        <f>+BP!BM8</f>
        <v>328402</v>
      </c>
      <c r="BF49" s="118">
        <f>+BP!BN8</f>
        <v>366152</v>
      </c>
      <c r="BG49" s="118">
        <f>+BP!BO8</f>
        <v>419796</v>
      </c>
      <c r="BH49" s="118">
        <f>+BP!BP8</f>
        <v>443159</v>
      </c>
      <c r="BI49" s="118">
        <f>+BP!BQ8</f>
        <v>413218</v>
      </c>
      <c r="BJ49" s="118">
        <f>+BP!BR8</f>
        <v>526955</v>
      </c>
    </row>
    <row r="50" spans="1:62" x14ac:dyDescent="0.2">
      <c r="A50" s="1" t="s">
        <v>535</v>
      </c>
      <c r="B50" s="1" t="s">
        <v>1380</v>
      </c>
      <c r="C50" s="9"/>
      <c r="D50" s="279" t="str">
        <f>IF([1]RENAME!$H$3=1,B50,A50)</f>
        <v>Dias a receber</v>
      </c>
      <c r="E50" s="257">
        <f>+E49/(DRE!J6/90)</f>
        <v>62.621911615702373</v>
      </c>
      <c r="F50" s="257">
        <f>+F49/(DRE!K6/90)</f>
        <v>62.493359157669282</v>
      </c>
      <c r="G50" s="257">
        <f>+G49/(DRE!L6/90)</f>
        <v>56.97249779422841</v>
      </c>
      <c r="H50" s="257">
        <f>+H49/(DRE!M6/90)</f>
        <v>58.667567859846436</v>
      </c>
      <c r="I50" s="257">
        <f>+I49/(DRE!N6/90)</f>
        <v>65.745739213781704</v>
      </c>
      <c r="J50" s="257">
        <f>+J49/(DRE!O6/90)</f>
        <v>62.839337753265852</v>
      </c>
      <c r="K50" s="257">
        <f>+K49/(DRE!P6/90)</f>
        <v>55.24460615411882</v>
      </c>
      <c r="L50" s="257">
        <f>+L49/(DRE!Q6/90)</f>
        <v>53.264519175279361</v>
      </c>
      <c r="M50" s="257">
        <f>+M49/(DRE!R6/90)</f>
        <v>57.289653731103819</v>
      </c>
      <c r="N50" s="257">
        <f>+N49/(DRE!S6/90)</f>
        <v>46.45261460913224</v>
      </c>
      <c r="O50" s="257">
        <f>+O49/(DRE!T6/90)</f>
        <v>46.287495992636792</v>
      </c>
      <c r="P50" s="257">
        <f>+P49/(DRE!U6/90)</f>
        <v>46.311248724249111</v>
      </c>
      <c r="Q50" s="257">
        <f>+Q49/(DRE!V6/90)</f>
        <v>50.832461934759877</v>
      </c>
      <c r="R50" s="257">
        <f>+R49/(DRE!W6/90)</f>
        <v>58.358331092692396</v>
      </c>
      <c r="S50" s="257">
        <f>+S49/(DRE!X6/90)</f>
        <v>47.823680693430958</v>
      </c>
      <c r="T50" s="257">
        <f>+T49/(DRE!Y6/90)</f>
        <v>47.713316679253914</v>
      </c>
      <c r="U50" s="257">
        <f>+U49/(DRE!Z6/90)</f>
        <v>46.336666535887467</v>
      </c>
      <c r="V50" s="257">
        <f>+V49/(DRE!AA6/90)</f>
        <v>44.110378040067964</v>
      </c>
      <c r="W50" s="257">
        <f>+W49/(DRE!AB6/90)</f>
        <v>38.894306878741482</v>
      </c>
      <c r="X50" s="257">
        <f>+X49/(DRE!AC6/90)</f>
        <v>44.275026198992798</v>
      </c>
      <c r="Y50" s="257">
        <f>+Y49/(DRE!AD6/90)</f>
        <v>39.719237402548863</v>
      </c>
      <c r="Z50" s="257">
        <f>+Z49/(DRE!AE6/90)</f>
        <v>35.014730035534399</v>
      </c>
      <c r="AA50" s="257">
        <f>+AA49/(DRE!AF6/90)</f>
        <v>34.780388227402035</v>
      </c>
      <c r="AB50" s="257">
        <f>+AB49/(DRE!AG6/90)</f>
        <v>39.037343944115563</v>
      </c>
      <c r="AC50" s="257">
        <f>+AC49/(DRE!AH6/90)</f>
        <v>41.663506875971962</v>
      </c>
      <c r="AD50" s="257">
        <f>+AD49/(DRE!AI6/90)</f>
        <v>43.922375863127726</v>
      </c>
      <c r="AE50" s="257">
        <f>+AE49/(DRE!AJ6/90)</f>
        <v>41.225349933842544</v>
      </c>
      <c r="AF50" s="257">
        <f>+AF49/(DRE!AK6/90)</f>
        <v>46.313049769519438</v>
      </c>
      <c r="AG50" s="257">
        <f>+AG49/(DRE!AL6/90)</f>
        <v>49.646939808097962</v>
      </c>
      <c r="AH50" s="257">
        <f>+AH49/(DRE!AM6/90)</f>
        <v>47.815763249532246</v>
      </c>
      <c r="AI50" s="257">
        <f>+AI49/(DRE!AN6/90)</f>
        <v>48.213560576659368</v>
      </c>
      <c r="AJ50" s="257">
        <f>+AJ49/(DRE!AO6/90)</f>
        <v>50.675232910702135</v>
      </c>
      <c r="AK50" s="257">
        <f>+AK49/(DRE!AP6/90)</f>
        <v>54.307420809725244</v>
      </c>
      <c r="AL50" s="257">
        <f>+AL49/(DRE!AQ6/90)</f>
        <v>71.568658460625841</v>
      </c>
      <c r="AM50" s="257">
        <f>+AM49/(DRE!AR6/90)</f>
        <v>50.163895693743683</v>
      </c>
      <c r="AN50" s="257">
        <f>+AN49/(DRE!AS6/90)</f>
        <v>49.36897007920826</v>
      </c>
      <c r="AO50" s="257">
        <f>+AO49/(DRE!AT6/90)</f>
        <v>52.347476219140027</v>
      </c>
      <c r="AP50" s="257">
        <f>+AP49/(DRE!AU6/90)</f>
        <v>60.187450597363473</v>
      </c>
      <c r="AQ50" s="257">
        <f>+AQ49/(DRE!AV6/90)</f>
        <v>61.114199538102213</v>
      </c>
      <c r="AR50" s="257">
        <f>+AR49/(DRE!AW6/90)</f>
        <v>71.782561682617512</v>
      </c>
      <c r="AS50" s="257">
        <f>+AS49/(DRE!AX6/90)</f>
        <v>67.482475285711402</v>
      </c>
      <c r="AT50" s="257">
        <f>+AT49/(DRE!AY6/90)</f>
        <v>63.808961158789771</v>
      </c>
      <c r="AU50" s="257">
        <f>+AU49/(DRE!AZ6/90)</f>
        <v>50.874665931595509</v>
      </c>
      <c r="AV50" s="257">
        <f>+AV49/(DRE!BA6/90)</f>
        <v>55.826079891574423</v>
      </c>
      <c r="AW50" s="257">
        <f>+AW49/(DRE!BB6/90)</f>
        <v>56.070215665586787</v>
      </c>
      <c r="AX50" s="257">
        <f>+AX49/(DRE!BC6/90)</f>
        <v>51.983792337188738</v>
      </c>
      <c r="AY50" s="257">
        <f>+AY49/(DRE!BD6/90)</f>
        <v>47.576690603690487</v>
      </c>
      <c r="AZ50" s="257">
        <f>+AZ49/(DRE!BE6/90)</f>
        <v>54.941851530098845</v>
      </c>
      <c r="BA50" s="257">
        <f>+BA49/(DRE!BF6/90)</f>
        <v>54.791267344803188</v>
      </c>
      <c r="BB50" s="257">
        <f>+BB49/(DRE!BG6/90)</f>
        <v>52.770403894665691</v>
      </c>
      <c r="BC50" s="257">
        <f>+BC49/(DRE!BH6/90)</f>
        <v>47.646607614023388</v>
      </c>
      <c r="BD50" s="257">
        <f>+BD49/(DRE!BI6/90)</f>
        <v>51.164407216993304</v>
      </c>
      <c r="BE50" s="257">
        <f>+BE49/(DRE!BJ6/90)</f>
        <v>54.216612160742947</v>
      </c>
      <c r="BF50" s="257">
        <f>+BF49/(DRE!BK6/90)</f>
        <v>48.770676288977057</v>
      </c>
      <c r="BG50" s="257">
        <f>+BG49/(DRE!BL6/90)</f>
        <v>48.041871445602425</v>
      </c>
      <c r="BH50" s="257">
        <f>+BH49/(DRE!BM6/90)</f>
        <v>52.153208861689272</v>
      </c>
      <c r="BI50" s="257">
        <f>+BI49/(DRE!BN6/90)</f>
        <v>57.211720784210797</v>
      </c>
      <c r="BJ50" s="257">
        <f>+BJ49/(DRE!BO6/90)</f>
        <v>51.285719448718311</v>
      </c>
    </row>
    <row r="51" spans="1:62" x14ac:dyDescent="0.2">
      <c r="A51" s="1" t="s">
        <v>480</v>
      </c>
      <c r="B51" s="1" t="s">
        <v>1381</v>
      </c>
      <c r="C51" s="9"/>
      <c r="D51" s="117" t="str">
        <f>IF([1]RENAME!$H$3=1,B51,A51)</f>
        <v>Fornecedores e fretes</v>
      </c>
      <c r="E51" s="118">
        <f>+BP!M46</f>
        <v>45173</v>
      </c>
      <c r="F51" s="118">
        <f>+BP!N46</f>
        <v>47474</v>
      </c>
      <c r="G51" s="118">
        <f>+BP!O46</f>
        <v>43965</v>
      </c>
      <c r="H51" s="118">
        <f>+BP!P46</f>
        <v>32532</v>
      </c>
      <c r="I51" s="118">
        <f>+BP!Q46</f>
        <v>42104</v>
      </c>
      <c r="J51" s="118">
        <f>+BP!R46</f>
        <v>54771</v>
      </c>
      <c r="K51" s="118">
        <f>+BP!S46</f>
        <v>65269</v>
      </c>
      <c r="L51" s="118">
        <f>+BP!T46</f>
        <v>56817</v>
      </c>
      <c r="M51" s="118">
        <f>+BP!U46</f>
        <v>53213</v>
      </c>
      <c r="N51" s="118">
        <f>+BP!V46</f>
        <v>46278</v>
      </c>
      <c r="O51" s="118">
        <f>+BP!W46</f>
        <v>53006</v>
      </c>
      <c r="P51" s="118">
        <f>+BP!X46</f>
        <v>51894</v>
      </c>
      <c r="Q51" s="118">
        <f>+BP!Y46</f>
        <v>48471</v>
      </c>
      <c r="R51" s="118">
        <f>+BP!Z46</f>
        <v>39196</v>
      </c>
      <c r="S51" s="118">
        <f>+BP!AA46</f>
        <v>39489</v>
      </c>
      <c r="T51" s="118">
        <f>+BP!AB46</f>
        <v>45404</v>
      </c>
      <c r="U51" s="118">
        <f>+BP!AC46</f>
        <v>33904</v>
      </c>
      <c r="V51" s="118">
        <f>+BP!AD46</f>
        <v>30891</v>
      </c>
      <c r="W51" s="118">
        <f>+BP!AE46</f>
        <v>32399</v>
      </c>
      <c r="X51" s="118">
        <f>+BP!AF46</f>
        <v>43164</v>
      </c>
      <c r="Y51" s="118">
        <f>+BP!AG46</f>
        <v>23189</v>
      </c>
      <c r="Z51" s="118">
        <f>+BP!AH46</f>
        <v>23235</v>
      </c>
      <c r="AA51" s="118">
        <f>+BP!AI46</f>
        <v>26706</v>
      </c>
      <c r="AB51" s="118">
        <f>+BP!AJ46</f>
        <v>32237</v>
      </c>
      <c r="AC51" s="118">
        <f>+BP!AK46</f>
        <v>28016</v>
      </c>
      <c r="AD51" s="118">
        <f>+BP!AL46</f>
        <v>24553</v>
      </c>
      <c r="AE51" s="118">
        <f>+BP!AM46</f>
        <v>27786</v>
      </c>
      <c r="AF51" s="118">
        <f>+BP!AN46</f>
        <v>36898</v>
      </c>
      <c r="AG51" s="118">
        <f>+BP!AO46</f>
        <v>32147</v>
      </c>
      <c r="AH51" s="118">
        <f>+BP!AP46</f>
        <v>30700</v>
      </c>
      <c r="AI51" s="118">
        <f>+BP!AQ46</f>
        <v>30325</v>
      </c>
      <c r="AJ51" s="118">
        <f>+BP!AR46</f>
        <v>36312</v>
      </c>
      <c r="AK51" s="118">
        <f>+BP!AS46</f>
        <v>21287</v>
      </c>
      <c r="AL51" s="118">
        <f>+BP!AT46</f>
        <v>17169</v>
      </c>
      <c r="AM51" s="118">
        <f>+BP!AU46</f>
        <v>28173</v>
      </c>
      <c r="AN51" s="118">
        <f>+BP!AV46</f>
        <v>31268</v>
      </c>
      <c r="AO51" s="118">
        <f>+BP!AW46</f>
        <v>27426</v>
      </c>
      <c r="AP51" s="118">
        <f>+BP!AX46</f>
        <v>29673</v>
      </c>
      <c r="AQ51" s="118">
        <f>+BP!AY46</f>
        <v>37709</v>
      </c>
      <c r="AR51" s="118">
        <f>+BP!AZ46</f>
        <v>47838</v>
      </c>
      <c r="AS51" s="118">
        <f>+BP!BA46</f>
        <v>39307</v>
      </c>
      <c r="AT51" s="118">
        <f>+BP!BB46</f>
        <v>34064</v>
      </c>
      <c r="AU51" s="118">
        <f>+BP!BC46</f>
        <v>30411</v>
      </c>
      <c r="AV51" s="118">
        <f>+BP!BD46</f>
        <v>49406</v>
      </c>
      <c r="AW51" s="118">
        <f>+BP!BE46</f>
        <v>36895</v>
      </c>
      <c r="AX51" s="118">
        <f>+BP!BF46</f>
        <v>36160</v>
      </c>
      <c r="AY51" s="118">
        <f>+BP!BG46</f>
        <v>43470</v>
      </c>
      <c r="AZ51" s="118">
        <f>+BP!BH46</f>
        <v>49620</v>
      </c>
      <c r="BA51" s="118">
        <f>+BP!BI46</f>
        <v>45666</v>
      </c>
      <c r="BB51" s="118">
        <f>+BP!BJ46</f>
        <v>54715</v>
      </c>
      <c r="BC51" s="118">
        <f>+BP!BK46</f>
        <v>56527</v>
      </c>
      <c r="BD51" s="118">
        <f>+BP!BL46</f>
        <v>62418</v>
      </c>
      <c r="BE51" s="118">
        <f>+BP!BM46</f>
        <v>48147</v>
      </c>
      <c r="BF51" s="118">
        <f>+BP!BN46</f>
        <v>52246</v>
      </c>
      <c r="BG51" s="118">
        <f>+BP!BO46</f>
        <v>59589</v>
      </c>
      <c r="BH51" s="118">
        <f>+BP!BP46</f>
        <v>62248</v>
      </c>
      <c r="BI51" s="118">
        <f>+BP!BQ46</f>
        <v>68197</v>
      </c>
      <c r="BJ51" s="118">
        <f>+BP!BR46</f>
        <v>77654</v>
      </c>
    </row>
    <row r="52" spans="1:62" x14ac:dyDescent="0.2">
      <c r="A52" s="1" t="s">
        <v>1376</v>
      </c>
      <c r="B52" s="1" t="s">
        <v>1382</v>
      </c>
      <c r="C52" s="9"/>
      <c r="D52" s="279" t="str">
        <f>IF([1]RENAME!$H$3=1,B52,A52)</f>
        <v>Dias a pagar</v>
      </c>
      <c r="E52" s="257">
        <f>+E51/((DRE!J11)/90)</f>
        <v>-14.30058319908264</v>
      </c>
      <c r="F52" s="257">
        <f>+F51/((DRE!K11)/90)</f>
        <v>-13.115169746454663</v>
      </c>
      <c r="G52" s="257">
        <f>+G51/((DRE!L11)/90)</f>
        <v>-10.292583700320209</v>
      </c>
      <c r="H52" s="257">
        <f>+H51/((DRE!M11)/90)</f>
        <v>-7.3106895750986904</v>
      </c>
      <c r="I52" s="257">
        <f>+I51/((DRE!N11)/90)</f>
        <v>-11.033478724209619</v>
      </c>
      <c r="J52" s="257">
        <f>+J51/((DRE!O11)/90)</f>
        <v>-12.435362171134786</v>
      </c>
      <c r="K52" s="257">
        <f>+K51/((DRE!P11)/90)</f>
        <v>-14.265651220453988</v>
      </c>
      <c r="L52" s="257">
        <f>+L51/((DRE!Q11)/90)</f>
        <v>-12.770352278346344</v>
      </c>
      <c r="M52" s="257">
        <f>+M51/((DRE!R11)/90)</f>
        <v>-14.111610063115464</v>
      </c>
      <c r="N52" s="257">
        <f>+N51/((DRE!S11)/90)</f>
        <v>-11.852140631447149</v>
      </c>
      <c r="O52" s="257">
        <f>+O51/((DRE!T11)/90)</f>
        <v>-15.240416715918203</v>
      </c>
      <c r="P52" s="257">
        <f>+P51/((DRE!U11)/90)</f>
        <v>-14.526142926900574</v>
      </c>
      <c r="Q52" s="257">
        <f>+Q51/((DRE!V11)/90)</f>
        <v>-17.658995688869997</v>
      </c>
      <c r="R52" s="257">
        <f>+R51/((DRE!W11)/90)</f>
        <v>-14.280266689336068</v>
      </c>
      <c r="S52" s="257">
        <f>+S51/((DRE!X11)/90)</f>
        <v>-15.003507936721643</v>
      </c>
      <c r="T52" s="257">
        <f>+T51/((DRE!Y11)/90)</f>
        <v>-16.782252339932771</v>
      </c>
      <c r="U52" s="257">
        <f>+U51/((DRE!Z11)/90)</f>
        <v>-17.055718131110005</v>
      </c>
      <c r="V52" s="257">
        <f>+V51/((DRE!AA11)/90)</f>
        <v>-14.082731402385987</v>
      </c>
      <c r="W52" s="257">
        <f>+W51/((DRE!AB11)/90)</f>
        <v>-14.705749394291326</v>
      </c>
      <c r="X52" s="257">
        <f>+X51/((DRE!AC11)/90)</f>
        <v>-18.795197830070208</v>
      </c>
      <c r="Y52" s="257">
        <f>+Y51/((DRE!AD11)/90)</f>
        <v>-11.548627625633276</v>
      </c>
      <c r="Z52" s="257">
        <f>+Z51/((DRE!AE11)/90)</f>
        <v>-9.8680231374766247</v>
      </c>
      <c r="AA52" s="257">
        <f>+AA51/((DRE!AF11)/90)</f>
        <v>-10.329163339596352</v>
      </c>
      <c r="AB52" s="257">
        <f>+AB51/((DRE!AG11)/90)</f>
        <v>-12.91072495633567</v>
      </c>
      <c r="AC52" s="257">
        <f>+AC51/((DRE!AH11)/90)</f>
        <v>-11.825070929411718</v>
      </c>
      <c r="AD52" s="257">
        <f>+AD51/((DRE!AI11)/90)</f>
        <v>-9.2832036156152729</v>
      </c>
      <c r="AE52" s="257">
        <f>+AE51/((DRE!AJ11)/90)</f>
        <v>-9.4595189229042056</v>
      </c>
      <c r="AF52" s="257">
        <f>+AF51/((DRE!AK11)/90)</f>
        <v>-11.852774825253992</v>
      </c>
      <c r="AG52" s="257">
        <f>+AG51/((DRE!AL11)/90)</f>
        <v>-12.356794322087181</v>
      </c>
      <c r="AH52" s="257">
        <f>+AH51/((DRE!AM11)/90)</f>
        <v>-10.535153399881665</v>
      </c>
      <c r="AI52" s="257">
        <f>+AI51/((DRE!AN11)/90)</f>
        <v>-10.054497925490397</v>
      </c>
      <c r="AJ52" s="257">
        <f>+AJ51/((DRE!AO11)/90)</f>
        <v>-11.168298617796204</v>
      </c>
      <c r="AK52" s="257">
        <f>+AK51/((DRE!AP11)/90)</f>
        <v>-8.6731594829882521</v>
      </c>
      <c r="AL52" s="257">
        <f>+AL51/((DRE!AQ11)/90)</f>
        <v>-13.022060546436977</v>
      </c>
      <c r="AM52" s="257">
        <f>+AM51/((DRE!AR11)/90)</f>
        <v>-11.29501744858489</v>
      </c>
      <c r="AN52" s="257">
        <f>+AN51/((DRE!AS11)/90)</f>
        <v>-11.353707310421859</v>
      </c>
      <c r="AO52" s="257">
        <f>+AO51/((DRE!AT11)/90)</f>
        <v>-12.900253937198039</v>
      </c>
      <c r="AP52" s="257">
        <f>+AP51/((DRE!AU11)/90)</f>
        <v>-13.859771247009496</v>
      </c>
      <c r="AQ52" s="257">
        <f>+AQ51/((DRE!AV11)/90)</f>
        <v>-17.904000611810467</v>
      </c>
      <c r="AR52" s="257">
        <f>+AR51/((DRE!AW11)/90)</f>
        <v>-17.514674024755848</v>
      </c>
      <c r="AS52" s="257">
        <f>+AS51/((DRE!AX11)/90)</f>
        <v>-17.513245219987983</v>
      </c>
      <c r="AT52" s="257">
        <f>+AT51/((DRE!AY11)/90)</f>
        <v>-12.405920817697677</v>
      </c>
      <c r="AU52" s="257">
        <f>+AU51/((DRE!AZ11)/90)</f>
        <v>-8.5556760923362312</v>
      </c>
      <c r="AV52" s="257">
        <f>+AV51/((DRE!BA11)/90)</f>
        <v>-13.606121800845154</v>
      </c>
      <c r="AW52" s="257">
        <f>+AW51/((DRE!BB11)/90)</f>
        <v>-12.025929277728443</v>
      </c>
      <c r="AX52" s="257">
        <f>+AX51/((DRE!BC11)/90)</f>
        <v>-10.931669182357853</v>
      </c>
      <c r="AY52" s="257">
        <f>+AY51/((DRE!BD11)/90)</f>
        <v>-11.658031592841706</v>
      </c>
      <c r="AZ52" s="257">
        <f>+AZ51/((DRE!BE11)/90)</f>
        <v>-12.326465417746961</v>
      </c>
      <c r="BA52" s="257">
        <f>+BA51/((DRE!BF11)/90)</f>
        <v>-13.022555621244376</v>
      </c>
      <c r="BB52" s="257">
        <f>+BB51/((DRE!BG11)/90)</f>
        <v>-13.070347587325504</v>
      </c>
      <c r="BC52" s="257">
        <f>+BC51/((DRE!BH11)/90)</f>
        <v>-10.958964100044357</v>
      </c>
      <c r="BD52" s="257">
        <f>+BD51/((DRE!BI11)/90)</f>
        <v>-11.642795298944984</v>
      </c>
      <c r="BE52" s="257">
        <f>+BE51/((DRE!BJ11)/90)</f>
        <v>-12.171349901523564</v>
      </c>
      <c r="BF52" s="257">
        <f>+BF51/((DRE!BK11)/90)</f>
        <v>-10.955863945469853</v>
      </c>
      <c r="BG52" s="257">
        <f>+BG51/((DRE!BL11)/90)</f>
        <v>-10.674166488581861</v>
      </c>
      <c r="BH52" s="257">
        <f>+BH51/((DRE!BM11)/90)</f>
        <v>-11.014863191203156</v>
      </c>
      <c r="BI52" s="257">
        <f>+BI51/((DRE!BN11)/90)</f>
        <v>-14.033727221353155</v>
      </c>
      <c r="BJ52" s="257">
        <f>+BJ51/((DRE!BO11)/90)</f>
        <v>-11.895216132664226</v>
      </c>
    </row>
    <row r="53" spans="1:62" ht="13.5" x14ac:dyDescent="0.2">
      <c r="A53" s="1" t="s">
        <v>1374</v>
      </c>
      <c r="B53" s="1" t="s">
        <v>1375</v>
      </c>
      <c r="C53" s="9"/>
      <c r="D53" s="687" t="str">
        <f>IF([1]RENAME!$H$3=1,B53,A53)</f>
        <v>Ciclo de caixa</v>
      </c>
      <c r="E53" s="688">
        <f t="shared" ref="E53:N53" si="48">+E50+E52</f>
        <v>48.321328416619735</v>
      </c>
      <c r="F53" s="688">
        <f t="shared" si="48"/>
        <v>49.37818941121462</v>
      </c>
      <c r="G53" s="688">
        <f t="shared" si="48"/>
        <v>46.679914093908202</v>
      </c>
      <c r="H53" s="688">
        <f t="shared" si="48"/>
        <v>51.356878284747744</v>
      </c>
      <c r="I53" s="688">
        <f t="shared" si="48"/>
        <v>54.712260489572088</v>
      </c>
      <c r="J53" s="688">
        <f t="shared" si="48"/>
        <v>50.403975582131068</v>
      </c>
      <c r="K53" s="688">
        <f t="shared" si="48"/>
        <v>40.978954933664831</v>
      </c>
      <c r="L53" s="688">
        <f t="shared" si="48"/>
        <v>40.494166896933017</v>
      </c>
      <c r="M53" s="688">
        <f t="shared" si="48"/>
        <v>43.178043667988355</v>
      </c>
      <c r="N53" s="688">
        <f t="shared" si="48"/>
        <v>34.600473977685091</v>
      </c>
      <c r="O53" s="688">
        <f t="shared" ref="O53:AE53" si="49">+O50+O52</f>
        <v>31.047079276718591</v>
      </c>
      <c r="P53" s="688">
        <f t="shared" si="49"/>
        <v>31.785105797348535</v>
      </c>
      <c r="Q53" s="688">
        <f t="shared" si="49"/>
        <v>33.173466245889884</v>
      </c>
      <c r="R53" s="688">
        <f t="shared" si="49"/>
        <v>44.078064403356329</v>
      </c>
      <c r="S53" s="688">
        <f t="shared" si="49"/>
        <v>32.820172756709312</v>
      </c>
      <c r="T53" s="688">
        <f t="shared" si="49"/>
        <v>30.931064339321143</v>
      </c>
      <c r="U53" s="688">
        <f t="shared" si="49"/>
        <v>29.280948404777462</v>
      </c>
      <c r="V53" s="688">
        <f t="shared" si="49"/>
        <v>30.027646637681976</v>
      </c>
      <c r="W53" s="688">
        <f t="shared" si="49"/>
        <v>24.188557484450158</v>
      </c>
      <c r="X53" s="688">
        <f t="shared" si="49"/>
        <v>25.47982836892259</v>
      </c>
      <c r="Y53" s="688">
        <f t="shared" si="49"/>
        <v>28.170609776915587</v>
      </c>
      <c r="Z53" s="688">
        <f t="shared" si="49"/>
        <v>25.146706898057772</v>
      </c>
      <c r="AA53" s="688">
        <f t="shared" si="49"/>
        <v>24.451224887805683</v>
      </c>
      <c r="AB53" s="688">
        <f t="shared" si="49"/>
        <v>26.126618987779892</v>
      </c>
      <c r="AC53" s="688">
        <f t="shared" si="49"/>
        <v>29.838435946560246</v>
      </c>
      <c r="AD53" s="688">
        <f t="shared" si="49"/>
        <v>34.639172247512455</v>
      </c>
      <c r="AE53" s="688">
        <f t="shared" si="49"/>
        <v>31.765831010938339</v>
      </c>
      <c r="AF53" s="688">
        <f t="shared" ref="AF53:AL53" si="50">+AF50+AF52</f>
        <v>34.46027494426545</v>
      </c>
      <c r="AG53" s="688">
        <f t="shared" si="50"/>
        <v>37.290145486010779</v>
      </c>
      <c r="AH53" s="688">
        <f t="shared" si="50"/>
        <v>37.280609849650581</v>
      </c>
      <c r="AI53" s="688">
        <f t="shared" si="50"/>
        <v>38.159062651168973</v>
      </c>
      <c r="AJ53" s="688">
        <f t="shared" si="50"/>
        <v>39.506934292905932</v>
      </c>
      <c r="AK53" s="688">
        <f t="shared" si="50"/>
        <v>45.63426132673699</v>
      </c>
      <c r="AL53" s="688">
        <f t="shared" si="50"/>
        <v>58.546597914188865</v>
      </c>
      <c r="AM53" s="688">
        <f t="shared" ref="AM53:AR53" si="51">+AM50+AM52</f>
        <v>38.868878245158797</v>
      </c>
      <c r="AN53" s="688">
        <f t="shared" si="51"/>
        <v>38.0152627687864</v>
      </c>
      <c r="AO53" s="688">
        <f t="shared" si="51"/>
        <v>39.44722228194199</v>
      </c>
      <c r="AP53" s="688">
        <f t="shared" si="51"/>
        <v>46.327679350353975</v>
      </c>
      <c r="AQ53" s="688">
        <f t="shared" si="51"/>
        <v>43.210198926291746</v>
      </c>
      <c r="AR53" s="688">
        <f t="shared" si="51"/>
        <v>54.267887657861664</v>
      </c>
      <c r="AS53" s="688">
        <f t="shared" ref="AS53:AX53" si="52">+AS50+AS52</f>
        <v>49.969230065723423</v>
      </c>
      <c r="AT53" s="688">
        <f t="shared" si="52"/>
        <v>51.403040341092094</v>
      </c>
      <c r="AU53" s="688">
        <f t="shared" si="52"/>
        <v>42.318989839259274</v>
      </c>
      <c r="AV53" s="688">
        <f t="shared" si="52"/>
        <v>42.219958090729271</v>
      </c>
      <c r="AW53" s="688">
        <f t="shared" si="52"/>
        <v>44.044286387858342</v>
      </c>
      <c r="AX53" s="688">
        <f t="shared" si="52"/>
        <v>41.052123154830888</v>
      </c>
      <c r="AY53" s="688">
        <f t="shared" ref="AY53:BH53" si="53">+AY50+AY52</f>
        <v>35.918659010848785</v>
      </c>
      <c r="AZ53" s="688">
        <f t="shared" si="53"/>
        <v>42.615386112351885</v>
      </c>
      <c r="BA53" s="688">
        <f t="shared" si="53"/>
        <v>41.768711723558809</v>
      </c>
      <c r="BB53" s="688">
        <f t="shared" si="53"/>
        <v>39.700056307340191</v>
      </c>
      <c r="BC53" s="688">
        <f t="shared" si="53"/>
        <v>36.687643513979033</v>
      </c>
      <c r="BD53" s="688">
        <f t="shared" si="53"/>
        <v>39.521611918048322</v>
      </c>
      <c r="BE53" s="688">
        <f t="shared" si="53"/>
        <v>42.045262259219385</v>
      </c>
      <c r="BF53" s="688">
        <f t="shared" si="53"/>
        <v>37.814812343507207</v>
      </c>
      <c r="BG53" s="688">
        <f t="shared" si="53"/>
        <v>37.367704957020564</v>
      </c>
      <c r="BH53" s="688">
        <f t="shared" si="53"/>
        <v>41.138345670486117</v>
      </c>
      <c r="BI53" s="688">
        <f>+BI50+BI52</f>
        <v>43.177993562857644</v>
      </c>
      <c r="BJ53" s="688">
        <f>+BJ50+BJ52</f>
        <v>39.390503316054087</v>
      </c>
    </row>
    <row r="54" spans="1:62" ht="7.35" customHeight="1" x14ac:dyDescent="0.2">
      <c r="C54" s="9"/>
      <c r="D54" s="9"/>
      <c r="E54" s="10"/>
      <c r="F54" s="10"/>
      <c r="G54" s="10"/>
      <c r="H54" s="10"/>
      <c r="I54" s="10"/>
      <c r="J54" s="10"/>
      <c r="K54" s="10"/>
      <c r="L54" s="10"/>
      <c r="M54" s="10"/>
      <c r="N54" s="10"/>
      <c r="O54" s="10"/>
      <c r="P54" s="10"/>
      <c r="Q54" s="10"/>
      <c r="R54" s="10"/>
    </row>
    <row r="55" spans="1:62" x14ac:dyDescent="0.2">
      <c r="A55" s="1" t="s">
        <v>496</v>
      </c>
      <c r="B55" s="1" t="s">
        <v>841</v>
      </c>
      <c r="C55" s="9"/>
      <c r="D55" s="9" t="str">
        <f>IF([1]RENAME!$H$3=1,B55,A55)</f>
        <v>(consolidado em R$ mil)</v>
      </c>
      <c r="E55" s="10"/>
      <c r="F55" s="10"/>
      <c r="G55" s="10"/>
      <c r="H55" s="10"/>
      <c r="I55" s="10"/>
      <c r="J55" s="10"/>
      <c r="K55" s="10"/>
      <c r="L55" s="1253" t="str">
        <f>L22</f>
        <v>&lt;== Com Direct Express</v>
      </c>
      <c r="M55" s="1254"/>
      <c r="N55" s="224" t="str">
        <f>N22</f>
        <v>Sem Direct Express ==&gt;</v>
      </c>
      <c r="O55" s="10"/>
      <c r="P55" s="10"/>
      <c r="Q55" s="10"/>
      <c r="R55" s="10"/>
      <c r="AB55" s="274"/>
      <c r="AC55" s="274"/>
      <c r="AD55" s="274"/>
      <c r="AE55" s="274"/>
      <c r="AF55" s="274"/>
      <c r="AG55" s="274"/>
      <c r="AH55" s="274"/>
      <c r="AI55" s="274"/>
      <c r="AJ55" s="274"/>
      <c r="AK55" s="274"/>
      <c r="AL55" s="274"/>
      <c r="AM55" s="274"/>
      <c r="AN55" s="274"/>
      <c r="AO55" s="274"/>
      <c r="AS55" s="274"/>
      <c r="AT55" s="274"/>
      <c r="AU55" s="274"/>
      <c r="AV55" s="274"/>
      <c r="AW55" s="274"/>
      <c r="AX55" s="274"/>
      <c r="AY55" s="274"/>
      <c r="AZ55" s="274"/>
      <c r="BA55" s="274"/>
      <c r="BB55" s="274"/>
      <c r="BC55" s="274"/>
      <c r="BD55" s="274"/>
      <c r="BE55" s="274"/>
      <c r="BF55" s="274"/>
      <c r="BG55" s="274"/>
      <c r="BH55" s="274"/>
      <c r="BI55" s="274"/>
      <c r="BJ55" s="274"/>
    </row>
    <row r="56" spans="1:62" x14ac:dyDescent="0.2">
      <c r="A56" s="1" t="s">
        <v>498</v>
      </c>
      <c r="B56" s="1" t="s">
        <v>498</v>
      </c>
      <c r="C56" s="9"/>
      <c r="D56" s="127" t="str">
        <f>IF([1]RENAME!$H$3=1,B56,A56)</f>
        <v>Indicadores TGMA3</v>
      </c>
      <c r="E56" s="141" t="str">
        <f t="shared" ref="E56:AG56" si="54">+E$3</f>
        <v>1T12</v>
      </c>
      <c r="F56" s="141" t="str">
        <f t="shared" si="54"/>
        <v>2T12</v>
      </c>
      <c r="G56" s="141" t="str">
        <f t="shared" si="54"/>
        <v>3T12</v>
      </c>
      <c r="H56" s="141" t="str">
        <f t="shared" si="54"/>
        <v>4T12</v>
      </c>
      <c r="I56" s="141" t="str">
        <f t="shared" si="54"/>
        <v>1T13</v>
      </c>
      <c r="J56" s="141" t="str">
        <f t="shared" si="54"/>
        <v>2T13</v>
      </c>
      <c r="K56" s="141" t="str">
        <f t="shared" si="54"/>
        <v>3T13</v>
      </c>
      <c r="L56" s="141" t="str">
        <f t="shared" si="54"/>
        <v>4T13</v>
      </c>
      <c r="M56" s="141" t="str">
        <f t="shared" si="54"/>
        <v>1T14</v>
      </c>
      <c r="N56" s="141" t="str">
        <f t="shared" si="54"/>
        <v>2T14</v>
      </c>
      <c r="O56" s="141" t="str">
        <f t="shared" si="54"/>
        <v>3T14</v>
      </c>
      <c r="P56" s="141" t="str">
        <f t="shared" si="54"/>
        <v>4T14</v>
      </c>
      <c r="Q56" s="141" t="str">
        <f t="shared" si="54"/>
        <v>1T15</v>
      </c>
      <c r="R56" s="141" t="str">
        <f t="shared" si="54"/>
        <v>2T15</v>
      </c>
      <c r="S56" s="141" t="str">
        <f t="shared" si="54"/>
        <v>3T15</v>
      </c>
      <c r="T56" s="141" t="str">
        <f t="shared" si="54"/>
        <v>4T15</v>
      </c>
      <c r="U56" s="141" t="str">
        <f t="shared" si="54"/>
        <v>1T16</v>
      </c>
      <c r="V56" s="141" t="str">
        <f t="shared" si="54"/>
        <v>2T16</v>
      </c>
      <c r="W56" s="141" t="str">
        <f t="shared" si="54"/>
        <v>3T16</v>
      </c>
      <c r="X56" s="141" t="str">
        <f t="shared" si="54"/>
        <v>4T16</v>
      </c>
      <c r="Y56" s="141" t="str">
        <f t="shared" si="54"/>
        <v>1T17</v>
      </c>
      <c r="Z56" s="141" t="str">
        <f t="shared" si="54"/>
        <v>2T17</v>
      </c>
      <c r="AA56" s="141" t="str">
        <f t="shared" si="54"/>
        <v>3T17</v>
      </c>
      <c r="AB56" s="141" t="str">
        <f t="shared" si="54"/>
        <v>4T17</v>
      </c>
      <c r="AC56" s="141" t="str">
        <f t="shared" si="54"/>
        <v>1T18</v>
      </c>
      <c r="AD56" s="141" t="str">
        <f t="shared" si="54"/>
        <v>2T18</v>
      </c>
      <c r="AE56" s="141" t="str">
        <f t="shared" si="54"/>
        <v>3T18</v>
      </c>
      <c r="AF56" s="141" t="str">
        <f t="shared" si="54"/>
        <v>4T18</v>
      </c>
      <c r="AG56" s="141" t="str">
        <f t="shared" si="54"/>
        <v>1T19</v>
      </c>
      <c r="AH56" s="141" t="str">
        <f t="shared" ref="AH56:BJ56" si="55">+AH$3</f>
        <v>2T19</v>
      </c>
      <c r="AI56" s="141" t="str">
        <f t="shared" si="55"/>
        <v>3T19</v>
      </c>
      <c r="AJ56" s="141" t="str">
        <f t="shared" si="55"/>
        <v>4T19</v>
      </c>
      <c r="AK56" s="141" t="str">
        <f t="shared" si="55"/>
        <v>1T20</v>
      </c>
      <c r="AL56" s="141" t="str">
        <f t="shared" si="55"/>
        <v>2T20</v>
      </c>
      <c r="AM56" s="141" t="str">
        <f t="shared" si="55"/>
        <v>3T20</v>
      </c>
      <c r="AN56" s="141" t="str">
        <f t="shared" si="55"/>
        <v>4T20</v>
      </c>
      <c r="AO56" s="141" t="str">
        <f t="shared" si="55"/>
        <v>1T21</v>
      </c>
      <c r="AP56" s="141" t="str">
        <f t="shared" si="55"/>
        <v>2T21</v>
      </c>
      <c r="AQ56" s="141" t="str">
        <f t="shared" si="55"/>
        <v>3T21</v>
      </c>
      <c r="AR56" s="141" t="str">
        <f t="shared" si="55"/>
        <v>4T21</v>
      </c>
      <c r="AS56" s="141" t="str">
        <f t="shared" si="55"/>
        <v>1T22</v>
      </c>
      <c r="AT56" s="141" t="str">
        <f t="shared" si="55"/>
        <v>2T22</v>
      </c>
      <c r="AU56" s="141" t="str">
        <f t="shared" si="55"/>
        <v>3T22</v>
      </c>
      <c r="AV56" s="141" t="str">
        <f t="shared" si="55"/>
        <v>4T22</v>
      </c>
      <c r="AW56" s="141" t="str">
        <f t="shared" si="55"/>
        <v>1T23</v>
      </c>
      <c r="AX56" s="141" t="str">
        <f t="shared" si="55"/>
        <v>2T23</v>
      </c>
      <c r="AY56" s="141" t="str">
        <f t="shared" si="55"/>
        <v>3T23</v>
      </c>
      <c r="AZ56" s="141" t="str">
        <f t="shared" si="55"/>
        <v>4T23</v>
      </c>
      <c r="BA56" s="141" t="str">
        <f t="shared" si="55"/>
        <v>1T24</v>
      </c>
      <c r="BB56" s="141" t="str">
        <f t="shared" si="55"/>
        <v>2T24</v>
      </c>
      <c r="BC56" s="141" t="str">
        <f t="shared" si="55"/>
        <v>3T24</v>
      </c>
      <c r="BD56" s="141" t="str">
        <f t="shared" si="55"/>
        <v>4T24</v>
      </c>
      <c r="BE56" s="141" t="str">
        <f t="shared" si="55"/>
        <v>1T25</v>
      </c>
      <c r="BF56" s="141" t="str">
        <f t="shared" si="55"/>
        <v>2T25</v>
      </c>
      <c r="BG56" s="141" t="str">
        <f t="shared" si="55"/>
        <v>3T25</v>
      </c>
      <c r="BH56" s="141" t="str">
        <f t="shared" si="55"/>
        <v>4T25</v>
      </c>
      <c r="BI56" s="141" t="str">
        <f t="shared" si="55"/>
        <v>1T26</v>
      </c>
      <c r="BJ56" s="141" t="str">
        <f t="shared" si="55"/>
        <v>2T26</v>
      </c>
    </row>
    <row r="57" spans="1:62" x14ac:dyDescent="0.2">
      <c r="A57" s="1" t="s">
        <v>569</v>
      </c>
      <c r="B57" s="1" t="s">
        <v>842</v>
      </c>
      <c r="C57" s="9"/>
      <c r="D57" s="117" t="str">
        <f>IF([1]RENAME!$H$3=1,B57,A57)</f>
        <v>Volume diário médio de negociação</v>
      </c>
      <c r="E57" s="209"/>
      <c r="F57" s="209"/>
      <c r="G57" s="209"/>
      <c r="H57" s="210"/>
      <c r="I57" s="215">
        <v>7553.9571866666665</v>
      </c>
      <c r="J57" s="215">
        <v>5568.01955</v>
      </c>
      <c r="K57" s="215">
        <v>2356.2241600000002</v>
      </c>
      <c r="L57" s="215">
        <v>3178.5515874999996</v>
      </c>
      <c r="M57" s="215">
        <v>2693.8325533333332</v>
      </c>
      <c r="N57" s="624">
        <v>3499.7332925000001</v>
      </c>
      <c r="O57" s="215">
        <v>4006.1908399999998</v>
      </c>
      <c r="P57" s="215">
        <v>2463.608936666667</v>
      </c>
      <c r="Q57" s="215">
        <v>1863.9312666666667</v>
      </c>
      <c r="R57" s="215">
        <v>1339.2537866666669</v>
      </c>
      <c r="S57" s="215">
        <v>959.08744333333334</v>
      </c>
      <c r="T57" s="215">
        <v>611.84621333333325</v>
      </c>
      <c r="U57" s="215">
        <v>982.90269666666666</v>
      </c>
      <c r="V57" s="215">
        <v>1027.1672633333333</v>
      </c>
      <c r="W57" s="215">
        <v>1350</v>
      </c>
      <c r="X57" s="215">
        <v>957</v>
      </c>
      <c r="Y57" s="215">
        <v>2232</v>
      </c>
      <c r="Z57" s="215">
        <v>2870</v>
      </c>
      <c r="AA57" s="215">
        <v>5148</v>
      </c>
      <c r="AB57" s="215">
        <v>6365</v>
      </c>
      <c r="AC57" s="215">
        <v>6667.9690000000001</v>
      </c>
      <c r="AD57" s="215">
        <v>8650</v>
      </c>
      <c r="AE57" s="215">
        <v>6036.7524642403096</v>
      </c>
      <c r="AF57" s="215">
        <v>9115.9603220338995</v>
      </c>
      <c r="AG57" s="215">
        <v>7410.1886440677972</v>
      </c>
      <c r="AH57" s="215">
        <v>5645.0656612903222</v>
      </c>
      <c r="AI57" s="215">
        <v>8155.2082968750001</v>
      </c>
      <c r="AJ57" s="215">
        <v>11250.830296296297</v>
      </c>
      <c r="AK57" s="215">
        <v>12616.978403225805</v>
      </c>
      <c r="AL57" s="215">
        <v>19092</v>
      </c>
      <c r="AM57" s="215">
        <v>16098</v>
      </c>
      <c r="AN57" s="215">
        <v>13822</v>
      </c>
      <c r="AO57" s="215">
        <v>11955</v>
      </c>
      <c r="AP57" s="215">
        <v>9699.8427580645166</v>
      </c>
      <c r="AQ57" s="215">
        <v>13091.498446153846</v>
      </c>
      <c r="AR57" s="215">
        <v>6429.0860000000002</v>
      </c>
      <c r="AS57" s="215">
        <v>4846</v>
      </c>
      <c r="AT57" s="215">
        <v>3137.7112580645162</v>
      </c>
      <c r="AU57" s="215">
        <v>3630.1029846153847</v>
      </c>
      <c r="AV57" s="215">
        <v>3630.1029846153847</v>
      </c>
      <c r="AW57" s="215">
        <v>3561</v>
      </c>
      <c r="AX57" s="215">
        <v>3145</v>
      </c>
      <c r="AY57" s="215">
        <v>4879</v>
      </c>
      <c r="AZ57" s="215">
        <v>5840</v>
      </c>
      <c r="BA57" s="215">
        <v>5230</v>
      </c>
      <c r="BB57" s="215">
        <v>6401</v>
      </c>
      <c r="BC57" s="215">
        <v>3992</v>
      </c>
      <c r="BD57" s="215">
        <f>+AVERAGE([5]DB!$D$4272:$D$4332)/1000</f>
        <v>8486.8065081967216</v>
      </c>
      <c r="BE57" s="215">
        <v>7267</v>
      </c>
      <c r="BF57" s="215">
        <v>9218.1956721311471</v>
      </c>
      <c r="BG57" s="215">
        <v>8007.0264999999999</v>
      </c>
      <c r="BH57" s="215">
        <v>7552</v>
      </c>
      <c r="BI57" s="215">
        <v>7552</v>
      </c>
      <c r="BJ57" s="215">
        <v>7198</v>
      </c>
    </row>
    <row r="58" spans="1:62" x14ac:dyDescent="0.2">
      <c r="A58" s="1" t="s">
        <v>499</v>
      </c>
      <c r="B58" s="1" t="s">
        <v>843</v>
      </c>
      <c r="C58" s="9"/>
      <c r="D58" s="117" t="str">
        <f>IF([1]RENAME!$H$3=1,B58,A58)</f>
        <v>Volume total de negociação</v>
      </c>
      <c r="E58" s="209"/>
      <c r="F58" s="209"/>
      <c r="G58" s="209"/>
      <c r="H58" s="209"/>
      <c r="I58" s="215">
        <v>432096.14600000001</v>
      </c>
      <c r="J58" s="215">
        <v>368689.61499999999</v>
      </c>
      <c r="K58" s="215">
        <v>228554.726</v>
      </c>
      <c r="L58" s="215">
        <v>230940.989</v>
      </c>
      <c r="M58" s="215">
        <v>164725.21299999999</v>
      </c>
      <c r="N58" s="624">
        <v>277954.71500000003</v>
      </c>
      <c r="O58" s="215">
        <v>261120.785</v>
      </c>
      <c r="P58" s="215">
        <v>152383.32199999999</v>
      </c>
      <c r="Q58" s="215">
        <v>115188.493</v>
      </c>
      <c r="R58" s="215">
        <v>81309.907000000007</v>
      </c>
      <c r="S58" s="215">
        <v>61602.510999999999</v>
      </c>
      <c r="T58" s="215">
        <v>36868.832000000002</v>
      </c>
      <c r="U58" s="215">
        <v>62022.053999999996</v>
      </c>
      <c r="V58" s="215">
        <v>64031.72</v>
      </c>
      <c r="W58" s="215">
        <v>87794</v>
      </c>
      <c r="X58" s="215">
        <v>58390</v>
      </c>
      <c r="Y58" s="215">
        <v>136182</v>
      </c>
      <c r="Z58" s="215">
        <v>175100</v>
      </c>
      <c r="AA58" s="215">
        <v>324337</v>
      </c>
      <c r="AB58" s="215">
        <v>375564.609</v>
      </c>
      <c r="AC58" s="215">
        <v>260050.79199999999</v>
      </c>
      <c r="AD58" s="215">
        <v>542171.76399999997</v>
      </c>
      <c r="AE58" s="215">
        <v>542171.76399999997</v>
      </c>
      <c r="AF58" s="215">
        <v>537841.65899999999</v>
      </c>
      <c r="AG58" s="215">
        <v>437201.13</v>
      </c>
      <c r="AH58" s="215">
        <v>349994.071</v>
      </c>
      <c r="AI58" s="215">
        <v>521933.33100000001</v>
      </c>
      <c r="AJ58" s="215">
        <v>911317.25399999996</v>
      </c>
      <c r="AK58" s="215">
        <v>782252.66099999996</v>
      </c>
      <c r="AL58" s="215">
        <v>1176621</v>
      </c>
      <c r="AM58" s="215">
        <v>1046414</v>
      </c>
      <c r="AN58" s="215">
        <v>843162</v>
      </c>
      <c r="AO58" s="215">
        <v>717334</v>
      </c>
      <c r="AP58" s="215">
        <v>601390.25100000005</v>
      </c>
      <c r="AQ58" s="215">
        <v>850947.39899999998</v>
      </c>
      <c r="AR58" s="215">
        <v>392174.22100000002</v>
      </c>
      <c r="AS58" s="215">
        <v>300504</v>
      </c>
      <c r="AT58" s="215">
        <v>194538.098</v>
      </c>
      <c r="AU58" s="215">
        <v>235956.69399999999</v>
      </c>
      <c r="AV58" s="215">
        <v>235956.69399999999</v>
      </c>
      <c r="AW58" s="215">
        <v>224349</v>
      </c>
      <c r="AX58" s="215">
        <v>191872</v>
      </c>
      <c r="AY58" s="215">
        <v>312279</v>
      </c>
      <c r="AZ58" s="215">
        <v>350421</v>
      </c>
      <c r="BA58" s="215">
        <v>319075</v>
      </c>
      <c r="BB58" s="215">
        <v>403257</v>
      </c>
      <c r="BC58" s="215">
        <v>262744</v>
      </c>
      <c r="BD58" s="215">
        <f>+SUM([5]DB!$D$4272:$D$4332)/1000</f>
        <v>517695.19699999999</v>
      </c>
      <c r="BE58" s="215">
        <v>443332</v>
      </c>
      <c r="BF58" s="215">
        <v>261272.13114754099</v>
      </c>
      <c r="BG58" s="215">
        <v>222539.39393939395</v>
      </c>
      <c r="BH58" s="215">
        <v>206306</v>
      </c>
      <c r="BI58" s="215">
        <v>206306</v>
      </c>
      <c r="BJ58" s="215">
        <v>439092</v>
      </c>
    </row>
    <row r="59" spans="1:62" x14ac:dyDescent="0.2">
      <c r="A59" s="1" t="s">
        <v>497</v>
      </c>
      <c r="B59" s="1" t="s">
        <v>844</v>
      </c>
      <c r="C59" s="9"/>
      <c r="D59" s="117" t="str">
        <f>IF([1]RENAME!$H$3=1,B59,A59)</f>
        <v>Cotação média</v>
      </c>
      <c r="E59" s="209">
        <v>29.59</v>
      </c>
      <c r="F59" s="209">
        <v>29.666666666666668</v>
      </c>
      <c r="G59" s="209">
        <v>33.156666666666666</v>
      </c>
      <c r="H59" s="209">
        <v>34.083333333333336</v>
      </c>
      <c r="I59" s="209">
        <v>32.166666666666664</v>
      </c>
      <c r="J59" s="209">
        <v>26.27</v>
      </c>
      <c r="K59" s="209">
        <v>21.723333333333333</v>
      </c>
      <c r="L59" s="209">
        <v>20.416666666666668</v>
      </c>
      <c r="M59" s="209">
        <v>18.73</v>
      </c>
      <c r="N59" s="237">
        <v>19.253333333333334</v>
      </c>
      <c r="O59" s="209">
        <v>18.53</v>
      </c>
      <c r="P59" s="209">
        <v>17.329999999999998</v>
      </c>
      <c r="Q59" s="209">
        <v>14.146666666666667</v>
      </c>
      <c r="R59" s="209">
        <v>13.596666666666666</v>
      </c>
      <c r="S59" s="209">
        <v>6.0566666666666658</v>
      </c>
      <c r="T59" s="209">
        <v>4.1033333333333335</v>
      </c>
      <c r="U59" s="209">
        <v>3.9133333333333336</v>
      </c>
      <c r="V59" s="209">
        <v>5.15</v>
      </c>
      <c r="W59" s="209">
        <v>8.2799999999999994</v>
      </c>
      <c r="X59" s="209">
        <v>7.75</v>
      </c>
      <c r="Y59" s="209">
        <v>10.23</v>
      </c>
      <c r="Z59" s="209">
        <v>13.04</v>
      </c>
      <c r="AA59" s="209">
        <v>16.12</v>
      </c>
      <c r="AB59" s="209">
        <v>19.739999999999998</v>
      </c>
      <c r="AC59" s="209">
        <v>22.73</v>
      </c>
      <c r="AD59" s="209">
        <v>19.837142857142862</v>
      </c>
      <c r="AE59" s="209">
        <v>19.837142857142862</v>
      </c>
      <c r="AF59" s="209">
        <v>23.293559322033897</v>
      </c>
      <c r="AG59" s="209">
        <v>28.109000000000012</v>
      </c>
      <c r="AH59" s="685">
        <v>26.804193548387101</v>
      </c>
      <c r="AI59" s="685">
        <v>31.528906249999999</v>
      </c>
      <c r="AJ59" s="685">
        <v>32.415061728395074</v>
      </c>
      <c r="AK59" s="685">
        <v>34.432741935483868</v>
      </c>
      <c r="AL59" s="685">
        <v>19.89</v>
      </c>
      <c r="AM59" s="685">
        <v>25.19</v>
      </c>
      <c r="AN59" s="685">
        <v>24.95</v>
      </c>
      <c r="AO59" s="685">
        <v>22.821333330000002</v>
      </c>
      <c r="AP59" s="685">
        <v>22.884032258064508</v>
      </c>
      <c r="AQ59" s="685">
        <v>20.144923076923071</v>
      </c>
      <c r="AR59" s="685">
        <v>15.76</v>
      </c>
      <c r="AS59" s="685">
        <v>14.68</v>
      </c>
      <c r="AT59" s="685">
        <v>14.810161290322583</v>
      </c>
      <c r="AU59" s="685">
        <v>16.245076923076923</v>
      </c>
      <c r="AV59" s="685">
        <v>20.875245901639346</v>
      </c>
      <c r="AW59" s="685">
        <v>18.23</v>
      </c>
      <c r="AX59" s="685">
        <v>19.71</v>
      </c>
      <c r="AY59" s="685">
        <v>24.15</v>
      </c>
      <c r="AZ59" s="685">
        <v>25.74</v>
      </c>
      <c r="BA59" s="685">
        <v>26.78</v>
      </c>
      <c r="BB59" s="685">
        <v>24.92</v>
      </c>
      <c r="BC59" s="685">
        <v>25.91</v>
      </c>
      <c r="BD59" s="685">
        <f>+AVERAGE([5]DB!$B$4272:$B$4332)</f>
        <v>29.522622950819667</v>
      </c>
      <c r="BE59" s="685">
        <v>31.39</v>
      </c>
      <c r="BF59" s="685">
        <v>35.256393442622958</v>
      </c>
      <c r="BG59" s="685">
        <v>36.203787878787892</v>
      </c>
      <c r="BH59" s="685">
        <v>36.42</v>
      </c>
      <c r="BI59" s="685">
        <v>36.42</v>
      </c>
      <c r="BJ59" s="685">
        <v>31.49</v>
      </c>
    </row>
    <row r="60" spans="1:62" x14ac:dyDescent="0.2">
      <c r="A60" s="1" t="s">
        <v>558</v>
      </c>
      <c r="B60" s="1" t="s">
        <v>845</v>
      </c>
      <c r="C60" s="9"/>
      <c r="D60" s="117" t="str">
        <f>IF([1]RENAME!$H$3=1,B60,A60)</f>
        <v>Quantidade de ações (total mil)</v>
      </c>
      <c r="E60" s="118">
        <v>66002.914999999994</v>
      </c>
      <c r="F60" s="118">
        <v>66002.914999999994</v>
      </c>
      <c r="G60" s="118">
        <v>66002.914999999994</v>
      </c>
      <c r="H60" s="118">
        <v>66002.914999999994</v>
      </c>
      <c r="I60" s="118">
        <v>66002.914999999994</v>
      </c>
      <c r="J60" s="118">
        <v>66002.914999999994</v>
      </c>
      <c r="K60" s="118">
        <v>66002.914999999994</v>
      </c>
      <c r="L60" s="118">
        <v>66002.914999999994</v>
      </c>
      <c r="M60" s="118">
        <v>66002.914999999994</v>
      </c>
      <c r="N60" s="160">
        <v>66002.914999999994</v>
      </c>
      <c r="O60" s="118">
        <v>66002.914999999994</v>
      </c>
      <c r="P60" s="118">
        <v>66002.914999999994</v>
      </c>
      <c r="Q60" s="118">
        <v>66002.914999999994</v>
      </c>
      <c r="R60" s="118">
        <v>66002.914999999994</v>
      </c>
      <c r="S60" s="118">
        <v>66002.914999999994</v>
      </c>
      <c r="T60" s="118">
        <v>66002.914999999994</v>
      </c>
      <c r="U60" s="118">
        <v>66002.914999999994</v>
      </c>
      <c r="V60" s="118">
        <v>66002.914999999994</v>
      </c>
      <c r="W60" s="118">
        <v>66002.914999999994</v>
      </c>
      <c r="X60" s="118">
        <v>66002.914999999994</v>
      </c>
      <c r="Y60" s="118">
        <v>66002.914999999994</v>
      </c>
      <c r="Z60" s="118">
        <v>66002.914999999994</v>
      </c>
      <c r="AA60" s="118">
        <v>66002.914999999994</v>
      </c>
      <c r="AB60" s="118">
        <v>66002.914999999994</v>
      </c>
      <c r="AC60" s="118">
        <v>66002.914999999994</v>
      </c>
      <c r="AD60" s="118">
        <v>66002.914999999994</v>
      </c>
      <c r="AE60" s="118">
        <v>66002.914999999994</v>
      </c>
      <c r="AF60" s="118">
        <v>66002.914999999994</v>
      </c>
      <c r="AG60" s="118">
        <v>66002.914999999994</v>
      </c>
      <c r="AH60" s="118">
        <v>66002.914999999994</v>
      </c>
      <c r="AI60" s="118">
        <v>66002.914999999994</v>
      </c>
      <c r="AJ60" s="118">
        <v>66002.914999999994</v>
      </c>
      <c r="AK60" s="118">
        <v>66002.914999999994</v>
      </c>
      <c r="AL60" s="118">
        <v>66002.914999999994</v>
      </c>
      <c r="AM60" s="118">
        <v>66002.914999999994</v>
      </c>
      <c r="AN60" s="118">
        <v>66002.914999999994</v>
      </c>
      <c r="AO60" s="118">
        <v>66002.914999999994</v>
      </c>
      <c r="AP60" s="118">
        <v>66002.914999999994</v>
      </c>
      <c r="AQ60" s="118">
        <v>66002.914999999994</v>
      </c>
      <c r="AR60" s="118">
        <v>66002.914999999994</v>
      </c>
      <c r="AS60" s="118">
        <v>66002.914999999994</v>
      </c>
      <c r="AT60" s="118">
        <v>66002.914999999994</v>
      </c>
      <c r="AU60" s="118">
        <v>66002.914999999994</v>
      </c>
      <c r="AV60" s="118">
        <v>66002.914999999994</v>
      </c>
      <c r="AW60" s="118">
        <v>66002.914999999994</v>
      </c>
      <c r="AX60" s="118">
        <v>66002.914999999994</v>
      </c>
      <c r="AY60" s="118">
        <v>66002.914999999994</v>
      </c>
      <c r="AZ60" s="118">
        <v>66002.914999999994</v>
      </c>
      <c r="BA60" s="118">
        <v>66002.914999999994</v>
      </c>
      <c r="BB60" s="118">
        <v>66002.914999999994</v>
      </c>
      <c r="BC60" s="118">
        <v>66002.914999999994</v>
      </c>
      <c r="BD60" s="118">
        <v>66002.914999999994</v>
      </c>
      <c r="BE60" s="118">
        <v>66002.914999999994</v>
      </c>
      <c r="BF60" s="118">
        <v>66002.914999999994</v>
      </c>
      <c r="BG60" s="118">
        <v>66002.914999999994</v>
      </c>
      <c r="BH60" s="118">
        <v>66002.914999999994</v>
      </c>
      <c r="BI60" s="118">
        <v>66002.914999999994</v>
      </c>
      <c r="BJ60" s="118">
        <v>66002.914999999994</v>
      </c>
    </row>
    <row r="61" spans="1:62" x14ac:dyDescent="0.2">
      <c r="A61" s="1" t="s">
        <v>1179</v>
      </c>
      <c r="B61" s="1" t="s">
        <v>684</v>
      </c>
      <c r="C61" s="9"/>
      <c r="D61" s="117" t="str">
        <f>IF([1]RENAME!$H$3=1,B61,A61)</f>
        <v>Quantidade de ações tesouraria</v>
      </c>
      <c r="E61" s="118">
        <v>65.2</v>
      </c>
      <c r="F61" s="118">
        <v>65.2</v>
      </c>
      <c r="G61" s="118">
        <v>65.2</v>
      </c>
      <c r="H61" s="118">
        <v>65.2</v>
      </c>
      <c r="I61" s="118">
        <v>65.2</v>
      </c>
      <c r="J61" s="118">
        <v>65.2</v>
      </c>
      <c r="K61" s="118">
        <v>65.2</v>
      </c>
      <c r="L61" s="118">
        <v>65.2</v>
      </c>
      <c r="M61" s="118">
        <v>65.2</v>
      </c>
      <c r="N61" s="160">
        <v>65.2</v>
      </c>
      <c r="O61" s="118">
        <v>65.2</v>
      </c>
      <c r="P61" s="118">
        <v>65.2</v>
      </c>
      <c r="Q61" s="118">
        <v>65.2</v>
      </c>
      <c r="R61" s="118">
        <v>65.2</v>
      </c>
      <c r="S61" s="118">
        <v>65.2</v>
      </c>
      <c r="T61" s="118">
        <v>65.2</v>
      </c>
      <c r="U61" s="118">
        <v>65.2</v>
      </c>
      <c r="V61" s="118">
        <v>65.2</v>
      </c>
      <c r="W61" s="118">
        <v>65.2</v>
      </c>
      <c r="X61" s="118">
        <v>65.2</v>
      </c>
      <c r="Y61" s="118">
        <v>65.2</v>
      </c>
      <c r="Z61" s="118">
        <v>65.2</v>
      </c>
      <c r="AA61" s="118">
        <v>65.2</v>
      </c>
      <c r="AB61" s="118">
        <v>65.2</v>
      </c>
      <c r="AC61" s="118">
        <v>65.2</v>
      </c>
      <c r="AD61" s="118">
        <v>65.2</v>
      </c>
      <c r="AE61" s="118">
        <v>65.2</v>
      </c>
      <c r="AF61" s="118">
        <v>65.2</v>
      </c>
      <c r="AG61" s="118">
        <v>65.2</v>
      </c>
      <c r="AH61" s="118">
        <v>65.2</v>
      </c>
      <c r="AI61" s="118">
        <v>65.2</v>
      </c>
      <c r="AJ61" s="118">
        <v>65.2</v>
      </c>
      <c r="AK61" s="118">
        <v>65.2</v>
      </c>
      <c r="AL61" s="118">
        <v>65.2</v>
      </c>
      <c r="AM61" s="118">
        <v>65.2</v>
      </c>
      <c r="AN61" s="118">
        <v>65.2</v>
      </c>
      <c r="AO61" s="118">
        <v>65.2</v>
      </c>
      <c r="AP61" s="118">
        <v>65.2</v>
      </c>
      <c r="AQ61" s="118">
        <v>65.2</v>
      </c>
      <c r="AR61" s="118">
        <v>65.2</v>
      </c>
      <c r="AS61" s="118">
        <v>66.2</v>
      </c>
      <c r="AT61" s="118">
        <v>66.2</v>
      </c>
      <c r="AU61" s="118">
        <v>66.2</v>
      </c>
      <c r="AV61" s="118">
        <v>66.2</v>
      </c>
      <c r="AW61" s="118">
        <v>66.2</v>
      </c>
      <c r="AX61" s="118">
        <v>66.2</v>
      </c>
      <c r="AY61" s="118">
        <v>66.2</v>
      </c>
      <c r="AZ61" s="118">
        <v>66.2</v>
      </c>
      <c r="BA61" s="118">
        <v>66.2</v>
      </c>
      <c r="BB61" s="118">
        <v>66.2</v>
      </c>
      <c r="BC61" s="118">
        <v>66.2</v>
      </c>
      <c r="BD61" s="118">
        <v>66.2</v>
      </c>
      <c r="BE61" s="118">
        <v>65.143000000000001</v>
      </c>
      <c r="BF61" s="118">
        <v>65.143000000000001</v>
      </c>
      <c r="BG61" s="118">
        <v>65.143000000000001</v>
      </c>
      <c r="BH61" s="118">
        <v>65.143000000000001</v>
      </c>
      <c r="BI61" s="118">
        <v>65.143000000000001</v>
      </c>
      <c r="BJ61" s="118">
        <v>65.143000000000001</v>
      </c>
    </row>
    <row r="62" spans="1:62" x14ac:dyDescent="0.2">
      <c r="D62" s="461"/>
    </row>
    <row r="63" spans="1:62" x14ac:dyDescent="0.2">
      <c r="A63" s="1" t="s">
        <v>1816</v>
      </c>
      <c r="B63" s="1" t="s">
        <v>1817</v>
      </c>
      <c r="D63" s="127" t="str">
        <f>IF([1]RENAME!$H$3=1,B63,A63)</f>
        <v>Multiplos TGMA3 (estimativas sell side)</v>
      </c>
      <c r="E63" s="141" t="str">
        <f t="shared" ref="E63:AJ63" si="56">+E$3</f>
        <v>1T12</v>
      </c>
      <c r="F63" s="141" t="str">
        <f t="shared" si="56"/>
        <v>2T12</v>
      </c>
      <c r="G63" s="141" t="str">
        <f t="shared" si="56"/>
        <v>3T12</v>
      </c>
      <c r="H63" s="141" t="str">
        <f t="shared" si="56"/>
        <v>4T12</v>
      </c>
      <c r="I63" s="141" t="str">
        <f t="shared" si="56"/>
        <v>1T13</v>
      </c>
      <c r="J63" s="141" t="str">
        <f t="shared" si="56"/>
        <v>2T13</v>
      </c>
      <c r="K63" s="141" t="str">
        <f t="shared" si="56"/>
        <v>3T13</v>
      </c>
      <c r="L63" s="141" t="str">
        <f t="shared" si="56"/>
        <v>4T13</v>
      </c>
      <c r="M63" s="141" t="str">
        <f t="shared" si="56"/>
        <v>1T14</v>
      </c>
      <c r="N63" s="141" t="str">
        <f t="shared" si="56"/>
        <v>2T14</v>
      </c>
      <c r="O63" s="141" t="str">
        <f t="shared" si="56"/>
        <v>3T14</v>
      </c>
      <c r="P63" s="141" t="str">
        <f t="shared" si="56"/>
        <v>4T14</v>
      </c>
      <c r="Q63" s="141" t="str">
        <f t="shared" si="56"/>
        <v>1T15</v>
      </c>
      <c r="R63" s="141" t="str">
        <f t="shared" si="56"/>
        <v>2T15</v>
      </c>
      <c r="S63" s="141" t="str">
        <f t="shared" si="56"/>
        <v>3T15</v>
      </c>
      <c r="T63" s="141" t="str">
        <f t="shared" si="56"/>
        <v>4T15</v>
      </c>
      <c r="U63" s="141" t="str">
        <f t="shared" si="56"/>
        <v>1T16</v>
      </c>
      <c r="V63" s="141" t="str">
        <f t="shared" si="56"/>
        <v>2T16</v>
      </c>
      <c r="W63" s="141" t="str">
        <f t="shared" si="56"/>
        <v>3T16</v>
      </c>
      <c r="X63" s="141" t="str">
        <f t="shared" si="56"/>
        <v>4T16</v>
      </c>
      <c r="Y63" s="141" t="str">
        <f t="shared" si="56"/>
        <v>1T17</v>
      </c>
      <c r="Z63" s="141" t="str">
        <f t="shared" si="56"/>
        <v>2T17</v>
      </c>
      <c r="AA63" s="141" t="str">
        <f t="shared" si="56"/>
        <v>3T17</v>
      </c>
      <c r="AB63" s="141" t="str">
        <f t="shared" si="56"/>
        <v>4T17</v>
      </c>
      <c r="AC63" s="141" t="str">
        <f t="shared" si="56"/>
        <v>1T18</v>
      </c>
      <c r="AD63" s="141" t="str">
        <f t="shared" si="56"/>
        <v>2T18</v>
      </c>
      <c r="AE63" s="141" t="str">
        <f t="shared" si="56"/>
        <v>3T18</v>
      </c>
      <c r="AF63" s="141" t="str">
        <f t="shared" si="56"/>
        <v>4T18</v>
      </c>
      <c r="AG63" s="141" t="str">
        <f t="shared" si="56"/>
        <v>1T19</v>
      </c>
      <c r="AH63" s="141" t="str">
        <f t="shared" si="56"/>
        <v>2T19</v>
      </c>
      <c r="AI63" s="141" t="str">
        <f t="shared" si="56"/>
        <v>3T19</v>
      </c>
      <c r="AJ63" s="141" t="str">
        <f t="shared" si="56"/>
        <v>4T19</v>
      </c>
      <c r="AK63" s="141" t="str">
        <f t="shared" ref="AK63:BJ63" si="57">+AK$3</f>
        <v>1T20</v>
      </c>
      <c r="AL63" s="141" t="str">
        <f t="shared" si="57"/>
        <v>2T20</v>
      </c>
      <c r="AM63" s="141" t="str">
        <f t="shared" si="57"/>
        <v>3T20</v>
      </c>
      <c r="AN63" s="141" t="str">
        <f t="shared" si="57"/>
        <v>4T20</v>
      </c>
      <c r="AO63" s="141" t="str">
        <f t="shared" si="57"/>
        <v>1T21</v>
      </c>
      <c r="AP63" s="141" t="str">
        <f t="shared" si="57"/>
        <v>2T21</v>
      </c>
      <c r="AQ63" s="141" t="str">
        <f t="shared" si="57"/>
        <v>3T21</v>
      </c>
      <c r="AR63" s="141" t="str">
        <f t="shared" si="57"/>
        <v>4T21</v>
      </c>
      <c r="AS63" s="141" t="str">
        <f t="shared" si="57"/>
        <v>1T22</v>
      </c>
      <c r="AT63" s="141" t="str">
        <f t="shared" si="57"/>
        <v>2T22</v>
      </c>
      <c r="AU63" s="141" t="str">
        <f t="shared" si="57"/>
        <v>3T22</v>
      </c>
      <c r="AV63" s="141" t="str">
        <f t="shared" si="57"/>
        <v>4T22</v>
      </c>
      <c r="AW63" s="141" t="str">
        <f t="shared" si="57"/>
        <v>1T23</v>
      </c>
      <c r="AX63" s="141" t="str">
        <f t="shared" si="57"/>
        <v>2T23</v>
      </c>
      <c r="AY63" s="141" t="str">
        <f t="shared" si="57"/>
        <v>3T23</v>
      </c>
      <c r="AZ63" s="141" t="str">
        <f t="shared" si="57"/>
        <v>4T23</v>
      </c>
      <c r="BA63" s="141" t="str">
        <f t="shared" si="57"/>
        <v>1T24</v>
      </c>
      <c r="BB63" s="141" t="str">
        <f t="shared" si="57"/>
        <v>2T24</v>
      </c>
      <c r="BC63" s="141" t="str">
        <f t="shared" si="57"/>
        <v>3T24</v>
      </c>
      <c r="BD63" s="141" t="str">
        <f t="shared" si="57"/>
        <v>4T24</v>
      </c>
      <c r="BE63" s="141" t="str">
        <f t="shared" si="57"/>
        <v>1T25</v>
      </c>
      <c r="BF63" s="141" t="str">
        <f t="shared" si="57"/>
        <v>2T25</v>
      </c>
      <c r="BG63" s="141" t="str">
        <f t="shared" si="57"/>
        <v>3T25</v>
      </c>
      <c r="BH63" s="141" t="str">
        <f t="shared" si="57"/>
        <v>4T25</v>
      </c>
      <c r="BI63" s="141" t="str">
        <f t="shared" si="57"/>
        <v>1T26</v>
      </c>
      <c r="BJ63" s="141" t="str">
        <f t="shared" si="57"/>
        <v>2T26</v>
      </c>
    </row>
    <row r="64" spans="1:62" x14ac:dyDescent="0.2">
      <c r="A64" s="1" t="s">
        <v>1812</v>
      </c>
      <c r="B64" s="1" t="s">
        <v>1813</v>
      </c>
      <c r="D64" s="619" t="str">
        <f>IF([1]RENAME!$H$3=1,B64,A64)</f>
        <v>EV/EBITDA (ano seguinte)</v>
      </c>
      <c r="E64" s="677" t="s">
        <v>160</v>
      </c>
      <c r="F64" s="677" t="s">
        <v>160</v>
      </c>
      <c r="G64" s="677" t="s">
        <v>160</v>
      </c>
      <c r="H64" s="677" t="s">
        <v>160</v>
      </c>
      <c r="I64" s="677" t="s">
        <v>160</v>
      </c>
      <c r="J64" s="677" t="s">
        <v>160</v>
      </c>
      <c r="K64" s="677" t="s">
        <v>160</v>
      </c>
      <c r="L64" s="677" t="s">
        <v>160</v>
      </c>
      <c r="M64" s="677" t="s">
        <v>160</v>
      </c>
      <c r="N64" s="677" t="s">
        <v>160</v>
      </c>
      <c r="O64" s="677" t="s">
        <v>160</v>
      </c>
      <c r="P64" s="677" t="s">
        <v>160</v>
      </c>
      <c r="Q64" s="677" t="s">
        <v>160</v>
      </c>
      <c r="R64" s="677" t="s">
        <v>160</v>
      </c>
      <c r="S64" s="677" t="s">
        <v>160</v>
      </c>
      <c r="T64" s="677" t="s">
        <v>160</v>
      </c>
      <c r="U64" s="677" t="s">
        <v>160</v>
      </c>
      <c r="V64" s="677" t="s">
        <v>160</v>
      </c>
      <c r="W64" s="677" t="s">
        <v>160</v>
      </c>
      <c r="X64" s="677" t="s">
        <v>160</v>
      </c>
      <c r="Y64" s="951">
        <f>+Y66</f>
        <v>6.0136466675770581</v>
      </c>
      <c r="Z64" s="951">
        <f>+Z66</f>
        <v>7.5665925375745511</v>
      </c>
      <c r="AA64" s="951">
        <f>+AA66</f>
        <v>8.722944252808988</v>
      </c>
      <c r="AB64" s="951">
        <f>+AB66</f>
        <v>9.8453732752621512</v>
      </c>
      <c r="AC64" s="951">
        <f>+AC67</f>
        <v>7.8431787111418894</v>
      </c>
      <c r="AD64" s="951">
        <f>+AD67</f>
        <v>6.9285879237699337</v>
      </c>
      <c r="AE64" s="951">
        <f>+AE67</f>
        <v>6.9347392987762264</v>
      </c>
      <c r="AF64" s="951">
        <f>+AF67</f>
        <v>7.8329292527915122</v>
      </c>
      <c r="AG64" s="951">
        <f>+AG68</f>
        <v>7.6752978925652764</v>
      </c>
      <c r="AH64" s="951">
        <f>+AH68</f>
        <v>7.1433816676695905</v>
      </c>
      <c r="AI64" s="951">
        <f>+AI68</f>
        <v>8.217844015121333</v>
      </c>
      <c r="AJ64" s="951">
        <f>+AJ68</f>
        <v>8.7093571507580485</v>
      </c>
      <c r="AK64" s="951">
        <f>+AK69</f>
        <v>8.3090595192715284</v>
      </c>
      <c r="AL64" s="951">
        <f>+AL69</f>
        <v>6.4753076362566846</v>
      </c>
      <c r="AM64" s="951">
        <f>+AM69</f>
        <v>8.4887757074557619</v>
      </c>
      <c r="AN64" s="951">
        <f>+AN69</f>
        <v>7.2453160718129226</v>
      </c>
      <c r="AO64" s="951">
        <f>+AO70</f>
        <v>5.5640279369380261</v>
      </c>
      <c r="AP64" s="951">
        <f>+AP70</f>
        <v>5.6207586263222646</v>
      </c>
      <c r="AQ64" s="951">
        <f>+AQ70</f>
        <v>5.2963204746249772</v>
      </c>
      <c r="AR64" s="951">
        <f>+AR70</f>
        <v>5.3813224140650657</v>
      </c>
      <c r="AS64" s="951">
        <f>+AS71</f>
        <v>4.1250787582393595</v>
      </c>
      <c r="AT64" s="951">
        <f>+AT71</f>
        <v>4.395675102248398</v>
      </c>
      <c r="AU64" s="951">
        <f>+AU71</f>
        <v>4.4694322062172258</v>
      </c>
      <c r="AV64" s="951">
        <f>+AV71</f>
        <v>5.3584640097765366</v>
      </c>
      <c r="AW64" s="951">
        <f t="shared" ref="AW64:BB64" si="58">+AW72</f>
        <v>3.9216308672705096</v>
      </c>
      <c r="AX64" s="951">
        <f t="shared" si="58"/>
        <v>4.3106611413579046</v>
      </c>
      <c r="AY64" s="951">
        <f t="shared" si="58"/>
        <v>5.4582888144049333</v>
      </c>
      <c r="AZ64" s="951">
        <f t="shared" si="58"/>
        <v>5.9000661261401808</v>
      </c>
      <c r="BA64" s="951">
        <f t="shared" si="58"/>
        <v>5.6885756107452332</v>
      </c>
      <c r="BB64" s="951">
        <f t="shared" si="58"/>
        <v>5.3858393129982662</v>
      </c>
      <c r="BC64" s="951">
        <f>+BC72</f>
        <v>5.6670104944540718</v>
      </c>
      <c r="BD64" s="951">
        <f>+BD73</f>
        <v>4.7969316751322735</v>
      </c>
      <c r="BE64" s="951">
        <f>+BE73</f>
        <v>4.1600891689616253</v>
      </c>
      <c r="BF64" s="951">
        <f>+BF73</f>
        <v>4.8516908111368924</v>
      </c>
      <c r="BG64" s="951">
        <f>+BG73</f>
        <v>5.2463777271568643</v>
      </c>
      <c r="BH64" s="951">
        <f>+BH73</f>
        <v>5.7843164348762963</v>
      </c>
      <c r="BI64" s="951">
        <f>+BI74</f>
        <v>5.8150697710526309</v>
      </c>
      <c r="BJ64" s="951">
        <f>+BJ74</f>
        <v>5.0439731898325357</v>
      </c>
    </row>
    <row r="65" spans="1:62" x14ac:dyDescent="0.2">
      <c r="A65" s="1" t="s">
        <v>1815</v>
      </c>
      <c r="B65" s="1" t="s">
        <v>1814</v>
      </c>
      <c r="D65" s="619" t="str">
        <f>IF([1]RENAME!$H$3=1,B65,A65)</f>
        <v>Preço/Lucro (ano seguinte)</v>
      </c>
      <c r="E65" s="677" t="s">
        <v>160</v>
      </c>
      <c r="F65" s="677" t="s">
        <v>160</v>
      </c>
      <c r="G65" s="677" t="s">
        <v>160</v>
      </c>
      <c r="H65" s="677" t="s">
        <v>160</v>
      </c>
      <c r="I65" s="677" t="s">
        <v>160</v>
      </c>
      <c r="J65" s="677" t="s">
        <v>160</v>
      </c>
      <c r="K65" s="677" t="s">
        <v>160</v>
      </c>
      <c r="L65" s="677" t="s">
        <v>160</v>
      </c>
      <c r="M65" s="677" t="s">
        <v>160</v>
      </c>
      <c r="N65" s="677" t="s">
        <v>160</v>
      </c>
      <c r="O65" s="677" t="s">
        <v>160</v>
      </c>
      <c r="P65" s="677" t="s">
        <v>160</v>
      </c>
      <c r="Q65" s="677" t="s">
        <v>160</v>
      </c>
      <c r="R65" s="677" t="s">
        <v>160</v>
      </c>
      <c r="S65" s="677" t="s">
        <v>160</v>
      </c>
      <c r="T65" s="677" t="s">
        <v>160</v>
      </c>
      <c r="U65" s="677" t="s">
        <v>160</v>
      </c>
      <c r="V65" s="677" t="s">
        <v>160</v>
      </c>
      <c r="W65" s="677" t="s">
        <v>160</v>
      </c>
      <c r="X65" s="677" t="s">
        <v>160</v>
      </c>
      <c r="Y65" s="951">
        <f>+Y76</f>
        <v>13.888443341446692</v>
      </c>
      <c r="Z65" s="951">
        <f>+Z76</f>
        <v>17.588787702997273</v>
      </c>
      <c r="AA65" s="951">
        <f>+AA76</f>
        <v>18.886987984615381</v>
      </c>
      <c r="AB65" s="951">
        <f>+AB76</f>
        <v>19.504454223053887</v>
      </c>
      <c r="AC65" s="951">
        <f>+AC77</f>
        <v>15.057674051020406</v>
      </c>
      <c r="AD65" s="951">
        <f>+AD77</f>
        <v>12.920815005028196</v>
      </c>
      <c r="AE65" s="951">
        <f>+AE77</f>
        <v>12.736471340883824</v>
      </c>
      <c r="AF65" s="951">
        <f>+AF77</f>
        <v>13.768144620713379</v>
      </c>
      <c r="AG65" s="951">
        <f>+AG78</f>
        <v>13.114065140086401</v>
      </c>
      <c r="AH65" s="951">
        <f>+AH78</f>
        <v>11.691738573087841</v>
      </c>
      <c r="AI65" s="951">
        <f>+AI78</f>
        <v>13.720877269857485</v>
      </c>
      <c r="AJ65" s="951">
        <f>+AJ78</f>
        <v>13.444628596432844</v>
      </c>
      <c r="AK65" s="951">
        <f>+AK79</f>
        <v>12.796516549463274</v>
      </c>
      <c r="AL65" s="951">
        <f>+AL79</f>
        <v>13.191172859979506</v>
      </c>
      <c r="AM65" s="951">
        <f>+AM79</f>
        <v>16.378979399784129</v>
      </c>
      <c r="AN65" s="951">
        <f>+AN79</f>
        <v>13.395412170759505</v>
      </c>
      <c r="AO65" s="951">
        <f>+AO80</f>
        <v>10.015123164671921</v>
      </c>
      <c r="AP65" s="951">
        <f>+AP80</f>
        <v>10.042638537142883</v>
      </c>
      <c r="AQ65" s="951">
        <f>+AQ80</f>
        <v>9.5131670321561526</v>
      </c>
      <c r="AR65" s="951">
        <f>+AR80</f>
        <v>9.0874135736750148</v>
      </c>
      <c r="AS65" s="951">
        <f>+AS81</f>
        <v>6.9456830982078843</v>
      </c>
      <c r="AT65" s="951">
        <f>+AT81</f>
        <v>7.200838429329294</v>
      </c>
      <c r="AU65" s="951">
        <f>+AU81</f>
        <v>7.2357829129837432</v>
      </c>
      <c r="AV65" s="951">
        <f>+AV81</f>
        <v>8.6801370066148671</v>
      </c>
      <c r="AW65" s="951">
        <f t="shared" ref="AW65:BB65" si="59">+AW82</f>
        <v>6.4249533597650501</v>
      </c>
      <c r="AX65" s="951">
        <f t="shared" si="59"/>
        <v>6.9785469181046045</v>
      </c>
      <c r="AY65" s="951">
        <f t="shared" si="59"/>
        <v>9.1318842580922333</v>
      </c>
      <c r="AZ65" s="951">
        <f t="shared" si="59"/>
        <v>9.5605798092290346</v>
      </c>
      <c r="BA65" s="951">
        <f t="shared" si="59"/>
        <v>9.2300682177545674</v>
      </c>
      <c r="BB65" s="951">
        <f t="shared" si="59"/>
        <v>8.5889955185378586</v>
      </c>
      <c r="BC65" s="951">
        <f>+BC82</f>
        <v>8.9302116326370751</v>
      </c>
      <c r="BD65" s="951">
        <f>+BD83</f>
        <v>7.2169599007407381</v>
      </c>
      <c r="BE65" s="951">
        <f>+BE83</f>
        <v>6.837727728877887</v>
      </c>
      <c r="BF65" s="951">
        <f>+BF83</f>
        <v>7.9150501346938791</v>
      </c>
      <c r="BG65" s="951">
        <f>+BG83</f>
        <v>8.2540778377950517</v>
      </c>
      <c r="BH65" s="951">
        <f>+BH83</f>
        <v>8.4641766348591538</v>
      </c>
      <c r="BI65" s="951">
        <f>+BI84</f>
        <v>8.8702072483394829</v>
      </c>
      <c r="BJ65" s="951">
        <f>+BJ84</f>
        <v>7.6694900123616225</v>
      </c>
    </row>
    <row r="66" spans="1:62" x14ac:dyDescent="0.2">
      <c r="A66" s="1" t="s">
        <v>1797</v>
      </c>
      <c r="B66" s="1" t="s">
        <v>1797</v>
      </c>
      <c r="D66" s="117" t="str">
        <f>IF([1]RENAME!$H$3=1,B66,A66)</f>
        <v>EV/EBITDA 18</v>
      </c>
      <c r="E66" s="677" t="s">
        <v>160</v>
      </c>
      <c r="F66" s="677" t="s">
        <v>160</v>
      </c>
      <c r="G66" s="677" t="s">
        <v>160</v>
      </c>
      <c r="H66" s="677" t="s">
        <v>160</v>
      </c>
      <c r="I66" s="677" t="s">
        <v>160</v>
      </c>
      <c r="J66" s="677" t="s">
        <v>160</v>
      </c>
      <c r="K66" s="677" t="s">
        <v>160</v>
      </c>
      <c r="L66" s="677" t="s">
        <v>160</v>
      </c>
      <c r="M66" s="677" t="s">
        <v>160</v>
      </c>
      <c r="N66" s="677" t="s">
        <v>160</v>
      </c>
      <c r="O66" s="677" t="s">
        <v>160</v>
      </c>
      <c r="P66" s="677" t="s">
        <v>160</v>
      </c>
      <c r="Q66" s="677" t="s">
        <v>160</v>
      </c>
      <c r="R66" s="677" t="s">
        <v>160</v>
      </c>
      <c r="S66" s="677" t="s">
        <v>160</v>
      </c>
      <c r="T66" s="677" t="s">
        <v>160</v>
      </c>
      <c r="U66" s="677" t="s">
        <v>160</v>
      </c>
      <c r="V66" s="677" t="s">
        <v>160</v>
      </c>
      <c r="W66" s="677" t="s">
        <v>160</v>
      </c>
      <c r="X66" s="677" t="s">
        <v>160</v>
      </c>
      <c r="Y66" s="685">
        <f>+((Y$59*66002.915)+Y$14)/(AVERAGEIFS(Estimativas!$73:$73,Estimativas!$315:$315,Indicadores!Y56)*1000)</f>
        <v>6.0136466675770581</v>
      </c>
      <c r="Z66" s="685">
        <f>+((Z$59*66002.915)+Z$14)/(AVERAGEIFS(Estimativas!$73:$73,Estimativas!$315:$315,Indicadores!Z56)*1000)</f>
        <v>7.5665925375745511</v>
      </c>
      <c r="AA66" s="685">
        <f>+((AA$59*66002.915)+AA$14)/(AVERAGEIFS(Estimativas!$73:$73,Estimativas!$315:$315,Indicadores!AA56)*1000)</f>
        <v>8.722944252808988</v>
      </c>
      <c r="AB66" s="685">
        <f>+((AB$59*66002.915)+AB$14)/(AVERAGEIFS(Estimativas!$73:$73,Estimativas!$315:$315,Indicadores!AB56)*1000)</f>
        <v>9.8453732752621512</v>
      </c>
      <c r="AC66" s="685">
        <f>+((AC$59*66002.915)+AC$14)/(AVERAGEIFS(Estimativas!$73:$73,Estimativas!$315:$315,Indicadores!AC56)*1000)</f>
        <v>9.3494654990827541</v>
      </c>
      <c r="AD66" s="685">
        <f>+((AD$59*66002.915)+AD$14)/(AVERAGEIFS(Estimativas!$73:$73,Estimativas!$315:$315,Indicadores!AC56)*1000)</f>
        <v>8.3575209162832689</v>
      </c>
      <c r="AE66" s="685">
        <f>+((AE$59*66002.915)+AE$14)/(AVERAGEIFS(Estimativas!$73:$73,Estimativas!$315:$315,Indicadores!AE56)*1000)</f>
        <v>8.0319944539440637</v>
      </c>
      <c r="AF66" s="685">
        <f>+((AF$59*66002.915)+AF$14)/(AVERAGEIFS(Estimativas!$73:$73,Estimativas!$315:$315,Indicadores!AF56)*1000)</f>
        <v>9.1307294223083844</v>
      </c>
      <c r="AG66" s="685" t="s">
        <v>160</v>
      </c>
      <c r="AH66" s="685" t="s">
        <v>160</v>
      </c>
      <c r="AI66" s="685" t="s">
        <v>160</v>
      </c>
      <c r="AJ66" s="685" t="s">
        <v>160</v>
      </c>
      <c r="AK66" s="685" t="s">
        <v>160</v>
      </c>
      <c r="AL66" s="685" t="s">
        <v>160</v>
      </c>
      <c r="AM66" s="685" t="s">
        <v>160</v>
      </c>
      <c r="AN66" s="685" t="s">
        <v>160</v>
      </c>
      <c r="AO66" s="685" t="s">
        <v>160</v>
      </c>
      <c r="AP66" s="685" t="s">
        <v>160</v>
      </c>
      <c r="AQ66" s="685" t="s">
        <v>160</v>
      </c>
      <c r="AR66" s="685" t="s">
        <v>160</v>
      </c>
      <c r="AS66" s="685" t="s">
        <v>160</v>
      </c>
      <c r="AT66" s="685" t="s">
        <v>160</v>
      </c>
      <c r="AU66" s="685" t="s">
        <v>160</v>
      </c>
      <c r="AV66" s="685" t="s">
        <v>160</v>
      </c>
      <c r="AW66" s="685" t="s">
        <v>160</v>
      </c>
      <c r="AX66" s="685" t="s">
        <v>160</v>
      </c>
      <c r="AY66" s="685" t="s">
        <v>160</v>
      </c>
      <c r="AZ66" s="685" t="s">
        <v>160</v>
      </c>
      <c r="BA66" s="685" t="s">
        <v>160</v>
      </c>
      <c r="BB66" s="685" t="s">
        <v>160</v>
      </c>
      <c r="BC66" s="685" t="s">
        <v>160</v>
      </c>
      <c r="BD66" s="685" t="s">
        <v>160</v>
      </c>
      <c r="BE66" s="685" t="s">
        <v>160</v>
      </c>
      <c r="BF66" s="685" t="s">
        <v>160</v>
      </c>
      <c r="BG66" s="685" t="s">
        <v>160</v>
      </c>
      <c r="BH66" s="685" t="s">
        <v>160</v>
      </c>
      <c r="BI66" s="685" t="s">
        <v>160</v>
      </c>
      <c r="BJ66" s="685" t="s">
        <v>160</v>
      </c>
    </row>
    <row r="67" spans="1:62" x14ac:dyDescent="0.2">
      <c r="A67" s="1" t="s">
        <v>1798</v>
      </c>
      <c r="B67" s="1" t="s">
        <v>1798</v>
      </c>
      <c r="D67" s="117" t="str">
        <f>IF([1]RENAME!$H$3=1,B67,A67)</f>
        <v>EV/EBITDA 19</v>
      </c>
      <c r="E67" s="677" t="s">
        <v>160</v>
      </c>
      <c r="F67" s="677" t="s">
        <v>160</v>
      </c>
      <c r="G67" s="677" t="s">
        <v>160</v>
      </c>
      <c r="H67" s="677" t="s">
        <v>160</v>
      </c>
      <c r="I67" s="677" t="s">
        <v>160</v>
      </c>
      <c r="J67" s="677" t="s">
        <v>160</v>
      </c>
      <c r="K67" s="677" t="s">
        <v>160</v>
      </c>
      <c r="L67" s="677" t="s">
        <v>160</v>
      </c>
      <c r="M67" s="677" t="s">
        <v>160</v>
      </c>
      <c r="N67" s="677" t="s">
        <v>160</v>
      </c>
      <c r="O67" s="677" t="s">
        <v>160</v>
      </c>
      <c r="P67" s="677" t="s">
        <v>160</v>
      </c>
      <c r="Q67" s="677" t="s">
        <v>160</v>
      </c>
      <c r="R67" s="677" t="s">
        <v>160</v>
      </c>
      <c r="S67" s="677" t="s">
        <v>160</v>
      </c>
      <c r="T67" s="677" t="s">
        <v>160</v>
      </c>
      <c r="U67" s="677" t="s">
        <v>160</v>
      </c>
      <c r="V67" s="677" t="s">
        <v>160</v>
      </c>
      <c r="W67" s="677" t="s">
        <v>160</v>
      </c>
      <c r="X67" s="677" t="s">
        <v>160</v>
      </c>
      <c r="Y67" s="685">
        <f>+((Y$59*66002.915)+Y$14)/(AVERAGEIFS(Estimativas!$107:$107,Estimativas!$315:$315,Indicadores!Y56)*1000)</f>
        <v>4.8165551278125003</v>
      </c>
      <c r="Z67" s="685">
        <f>+((Z$59*66002.915)+Z$14)/(AVERAGEIFS(Estimativas!$107:$107,Estimativas!$315:$315,Indicadores!Z56)*1000)</f>
        <v>5.9968425100840328</v>
      </c>
      <c r="AA67" s="685">
        <f>+((AA$59*66002.915)+AA$14)/(AVERAGEIFS(Estimativas!$107:$107,Estimativas!$315:$315,Indicadores!AA56)*1000)</f>
        <v>7.1362917188022275</v>
      </c>
      <c r="AB67" s="685">
        <f>+((AB$59*66002.915)+AB$14)/(AVERAGEIFS(Estimativas!$107:$107,Estimativas!$315:$315,Indicadores!AB56)*1000)</f>
        <v>8.0515548993990542</v>
      </c>
      <c r="AC67" s="685">
        <f>+((AC$59*66002.915)+AC$14)/(AVERAGEIFS(Estimativas!$107:$107,Estimativas!$315:$315,Indicadores!AC56)*1000)</f>
        <v>7.8431787111418894</v>
      </c>
      <c r="AD67" s="685">
        <f>+((AD$59*66002.915)+AD$14)/(AVERAGEIFS(Estimativas!$107:$107,Estimativas!$315:$315,Indicadores!AD56)*1000)</f>
        <v>6.9285879237699337</v>
      </c>
      <c r="AE67" s="685">
        <f>+((AE$59*66002.915)+AE$14)/(AVERAGEIFS(Estimativas!$107:$107,Estimativas!$315:$315,Indicadores!AE56)*1000)</f>
        <v>6.9347392987762264</v>
      </c>
      <c r="AF67" s="685">
        <f>+((AF$59*66002.915)+AF$14)/(AVERAGEIFS(Estimativas!$107:$107,Estimativas!$315:$315,Indicadores!AF56)*1000)</f>
        <v>7.8329292527915122</v>
      </c>
      <c r="AG67" s="685">
        <f>+((AG$59*66002.915)+AG$14)/(AVERAGEIFS(Estimativas!$107:$107,Estimativas!$315:$315,Indicadores!AG56)*1000)</f>
        <v>8.6596979247434192</v>
      </c>
      <c r="AH67" s="685">
        <f>+((AH$59*66002.915)+AH$14)/(AVERAGEIFS(Estimativas!$107:$107,Estimativas!$315:$315,Indicadores!AH56)*1000)</f>
        <v>7.7482963112655154</v>
      </c>
      <c r="AI67" s="685">
        <f>+((AI$59*66002.915)+AI$14)/(AVERAGEIFS(Estimativas!$107:$107,Estimativas!$315:$315,Indicadores!AI56)*1000)</f>
        <v>8.9765549649351932</v>
      </c>
      <c r="AJ67" s="685">
        <f>+((AJ$59*66002.915)+AJ$14)/(AVERAGEIFS(Estimativas!$107:$107,Estimativas!$315:$315,Indicadores!AJ56)*1000)</f>
        <v>9.5377319308446609</v>
      </c>
      <c r="AK67" s="685" t="s">
        <v>160</v>
      </c>
      <c r="AL67" s="685" t="s">
        <v>160</v>
      </c>
      <c r="AM67" s="685" t="s">
        <v>160</v>
      </c>
      <c r="AN67" s="685" t="s">
        <v>160</v>
      </c>
      <c r="AO67" s="685" t="s">
        <v>160</v>
      </c>
      <c r="AP67" s="685" t="s">
        <v>160</v>
      </c>
      <c r="AQ67" s="685" t="s">
        <v>160</v>
      </c>
      <c r="AR67" s="685" t="s">
        <v>160</v>
      </c>
      <c r="AS67" s="685" t="s">
        <v>160</v>
      </c>
      <c r="AT67" s="685" t="s">
        <v>160</v>
      </c>
      <c r="AU67" s="685" t="s">
        <v>160</v>
      </c>
      <c r="AV67" s="685" t="s">
        <v>160</v>
      </c>
      <c r="AW67" s="685" t="s">
        <v>160</v>
      </c>
      <c r="AX67" s="685" t="s">
        <v>160</v>
      </c>
      <c r="AY67" s="685" t="s">
        <v>160</v>
      </c>
      <c r="AZ67" s="685" t="s">
        <v>160</v>
      </c>
      <c r="BA67" s="685" t="s">
        <v>160</v>
      </c>
      <c r="BB67" s="685" t="s">
        <v>160</v>
      </c>
      <c r="BC67" s="685" t="s">
        <v>160</v>
      </c>
      <c r="BD67" s="685" t="s">
        <v>160</v>
      </c>
      <c r="BE67" s="685" t="s">
        <v>160</v>
      </c>
      <c r="BF67" s="685" t="s">
        <v>160</v>
      </c>
      <c r="BG67" s="685" t="s">
        <v>160</v>
      </c>
      <c r="BH67" s="685" t="s">
        <v>160</v>
      </c>
      <c r="BI67" s="685" t="s">
        <v>160</v>
      </c>
      <c r="BJ67" s="685" t="s">
        <v>160</v>
      </c>
    </row>
    <row r="68" spans="1:62" x14ac:dyDescent="0.2">
      <c r="A68" s="1" t="s">
        <v>1799</v>
      </c>
      <c r="B68" s="1" t="s">
        <v>1799</v>
      </c>
      <c r="D68" s="117" t="str">
        <f>IF([1]RENAME!$H$3=1,B68,A68)</f>
        <v>EV/EBITDA 20</v>
      </c>
      <c r="E68" s="677" t="s">
        <v>160</v>
      </c>
      <c r="F68" s="677" t="s">
        <v>160</v>
      </c>
      <c r="G68" s="677" t="s">
        <v>160</v>
      </c>
      <c r="H68" s="677" t="s">
        <v>160</v>
      </c>
      <c r="I68" s="677" t="s">
        <v>160</v>
      </c>
      <c r="J68" s="677" t="s">
        <v>160</v>
      </c>
      <c r="K68" s="677" t="s">
        <v>160</v>
      </c>
      <c r="L68" s="677" t="s">
        <v>160</v>
      </c>
      <c r="M68" s="677" t="s">
        <v>160</v>
      </c>
      <c r="N68" s="677" t="s">
        <v>160</v>
      </c>
      <c r="O68" s="677" t="s">
        <v>160</v>
      </c>
      <c r="P68" s="677" t="s">
        <v>160</v>
      </c>
      <c r="Q68" s="677" t="s">
        <v>160</v>
      </c>
      <c r="R68" s="677" t="s">
        <v>160</v>
      </c>
      <c r="S68" s="677" t="s">
        <v>160</v>
      </c>
      <c r="T68" s="677" t="s">
        <v>160</v>
      </c>
      <c r="U68" s="677" t="s">
        <v>160</v>
      </c>
      <c r="V68" s="677" t="s">
        <v>160</v>
      </c>
      <c r="W68" s="677" t="s">
        <v>160</v>
      </c>
      <c r="X68" s="677" t="s">
        <v>160</v>
      </c>
      <c r="Y68" s="685" t="s">
        <v>160</v>
      </c>
      <c r="Z68" s="685" t="s">
        <v>160</v>
      </c>
      <c r="AA68" s="685" t="s">
        <v>160</v>
      </c>
      <c r="AB68" s="685" t="s">
        <v>160</v>
      </c>
      <c r="AC68" s="685" t="s">
        <v>160</v>
      </c>
      <c r="AD68" s="685">
        <f>+((AD$59*66002.915)+AD$14)/(AVERAGEIFS(Estimativas!$139:$139,Estimativas!$315:$315,Indicadores!AD56)*1000)</f>
        <v>6.629263963667861</v>
      </c>
      <c r="AE68" s="685">
        <f>+((AE$59*66002.915)+AE$14)/(AVERAGEIFS(Estimativas!$139:$139,Estimativas!$315:$315,Indicadores!AE56)*1000)</f>
        <v>6.3881503675657676</v>
      </c>
      <c r="AF68" s="685">
        <f>+((AF$59*66002.915)+AF$14)/(AVERAGEIFS(Estimativas!$139:$139,Estimativas!$315:$315,Indicadores!AF56)*1000)</f>
        <v>6.8779058501502117</v>
      </c>
      <c r="AG68" s="685">
        <f>+((AG$59*66002.915)+AG$14+'Arrendamento Mercantil'!F18)/(AVERAGEIFS(Estimativas!$139:$139,Estimativas!$315:$315,Indicadores!AG56)*1000)</f>
        <v>7.6752978925652764</v>
      </c>
      <c r="AH68" s="685">
        <f>+((AH$59*66002.915)+AH$14+'Arrendamento Mercantil'!G18)/(AVERAGEIFS(Estimativas!$139:$139,Estimativas!$315:$315,Indicadores!AH56)*1000)</f>
        <v>7.1433816676695905</v>
      </c>
      <c r="AI68" s="685">
        <f>+((AI$59*66002.915)+AI$14+'Arrendamento Mercantil'!H18)/(AVERAGEIFS(Estimativas!$139:$139,Estimativas!$315:$315,Indicadores!AI56)*1000)</f>
        <v>8.217844015121333</v>
      </c>
      <c r="AJ68" s="685">
        <f>+((AJ$59*66002.915)+AJ$14+'Arrendamento Mercantil'!I18)/(AVERAGEIFS(Estimativas!$139:$139,Estimativas!$315:$315,Indicadores!AJ56)*1000)</f>
        <v>8.7093571507580485</v>
      </c>
      <c r="AK68" s="685">
        <f>+((AK$59*66002.915)+AK$14+'Arrendamento Mercantil'!J18)/(AVERAGEIFS(Estimativas!$139:$139,Estimativas!$315:$315,Indicadores!AK56)*1000)</f>
        <v>9.053439277123573</v>
      </c>
      <c r="AL68" s="685">
        <f>+((AL$59*66002.915)+AL$14+'Arrendamento Mercantil'!K18)/(AVERAGEIFS(Estimativas!$139:$139,Estimativas!$315:$315,Indicadores!AL56)*1000)</f>
        <v>10.287823324547489</v>
      </c>
      <c r="AM68" s="685">
        <f>+((AM$59*66002.915)+AM$14+'Arrendamento Mercantil'!L18)/(AVERAGEIFS(Estimativas!$139:$139,Estimativas!$315:$315,Indicadores!AM56)*1000)</f>
        <v>13.115939290218932</v>
      </c>
      <c r="AN68" s="685">
        <f>+((AN$59*66002.915)+AN$14+'Arrendamento Mercantil'!M18)/(AVERAGEIFS(Estimativas!$139:$139,Estimativas!$315:$315,Indicadores!AN56)*1000)</f>
        <v>11.138903250920517</v>
      </c>
      <c r="AO68" s="685" t="s">
        <v>160</v>
      </c>
      <c r="AP68" s="685" t="s">
        <v>160</v>
      </c>
      <c r="AQ68" s="685" t="s">
        <v>160</v>
      </c>
      <c r="AR68" s="685" t="s">
        <v>160</v>
      </c>
      <c r="AS68" s="685" t="s">
        <v>160</v>
      </c>
      <c r="AT68" s="685" t="s">
        <v>160</v>
      </c>
      <c r="AU68" s="685" t="s">
        <v>160</v>
      </c>
      <c r="AV68" s="685" t="s">
        <v>160</v>
      </c>
      <c r="AW68" s="685" t="s">
        <v>160</v>
      </c>
      <c r="AX68" s="685" t="s">
        <v>160</v>
      </c>
      <c r="AY68" s="685" t="s">
        <v>160</v>
      </c>
      <c r="AZ68" s="685" t="s">
        <v>160</v>
      </c>
      <c r="BA68" s="685" t="s">
        <v>160</v>
      </c>
      <c r="BB68" s="685" t="s">
        <v>160</v>
      </c>
      <c r="BC68" s="685" t="s">
        <v>160</v>
      </c>
      <c r="BD68" s="685" t="s">
        <v>160</v>
      </c>
      <c r="BE68" s="685" t="s">
        <v>160</v>
      </c>
      <c r="BF68" s="685" t="s">
        <v>160</v>
      </c>
      <c r="BG68" s="685" t="s">
        <v>160</v>
      </c>
      <c r="BH68" s="685" t="s">
        <v>160</v>
      </c>
      <c r="BI68" s="685" t="s">
        <v>160</v>
      </c>
      <c r="BJ68" s="685" t="s">
        <v>160</v>
      </c>
    </row>
    <row r="69" spans="1:62" x14ac:dyDescent="0.2">
      <c r="A69" s="1" t="s">
        <v>1800</v>
      </c>
      <c r="B69" s="1" t="s">
        <v>1800</v>
      </c>
      <c r="D69" s="117" t="str">
        <f>IF([1]RENAME!$H$3=1,B69,A69)</f>
        <v>EV/EBITDA 21</v>
      </c>
      <c r="E69" s="215" t="s">
        <v>160</v>
      </c>
      <c r="F69" s="215" t="s">
        <v>160</v>
      </c>
      <c r="G69" s="215" t="s">
        <v>160</v>
      </c>
      <c r="H69" s="215" t="s">
        <v>160</v>
      </c>
      <c r="I69" s="215" t="s">
        <v>160</v>
      </c>
      <c r="J69" s="215" t="s">
        <v>160</v>
      </c>
      <c r="K69" s="215" t="s">
        <v>160</v>
      </c>
      <c r="L69" s="215" t="s">
        <v>160</v>
      </c>
      <c r="M69" s="215" t="s">
        <v>160</v>
      </c>
      <c r="N69" s="215" t="s">
        <v>160</v>
      </c>
      <c r="O69" s="215" t="s">
        <v>160</v>
      </c>
      <c r="P69" s="215" t="s">
        <v>160</v>
      </c>
      <c r="Q69" s="215" t="s">
        <v>160</v>
      </c>
      <c r="R69" s="215" t="s">
        <v>160</v>
      </c>
      <c r="S69" s="215" t="s">
        <v>160</v>
      </c>
      <c r="T69" s="215" t="s">
        <v>160</v>
      </c>
      <c r="U69" s="215" t="s">
        <v>160</v>
      </c>
      <c r="V69" s="215" t="s">
        <v>160</v>
      </c>
      <c r="W69" s="215" t="s">
        <v>160</v>
      </c>
      <c r="X69" s="215" t="s">
        <v>160</v>
      </c>
      <c r="Y69" s="685" t="s">
        <v>160</v>
      </c>
      <c r="Z69" s="685" t="s">
        <v>160</v>
      </c>
      <c r="AA69" s="685" t="s">
        <v>160</v>
      </c>
      <c r="AB69" s="685" t="s">
        <v>160</v>
      </c>
      <c r="AC69" s="685" t="s">
        <v>160</v>
      </c>
      <c r="AD69" s="685" t="s">
        <v>160</v>
      </c>
      <c r="AE69" s="685" t="s">
        <v>160</v>
      </c>
      <c r="AF69" s="685" t="s">
        <v>160</v>
      </c>
      <c r="AG69" s="685">
        <f>+((AG$59*66002.915)+AG$14+'Arrendamento Mercantil'!F18)/(AVERAGEIFS(Estimativas!$163:$163,Estimativas!$315:$315,Indicadores!AG$56)*1000)</f>
        <v>7.3399228285955083</v>
      </c>
      <c r="AH69" s="685">
        <f>+((AH$59*66002.915)+AH$14+'Arrendamento Mercantil'!G18)/(AVERAGEIFS(Estimativas!$163:$163,Estimativas!$315:$315,Indicadores!AH$56)*1000)</f>
        <v>6.7967175573268017</v>
      </c>
      <c r="AI69" s="685">
        <f>+((AI$59*66002.915)+AI$14+'Arrendamento Mercantil'!H18)/(AVERAGEIFS(Estimativas!$163:$163,Estimativas!$315:$315,Indicadores!AI$56)*1000)</f>
        <v>7.7511775101433757</v>
      </c>
      <c r="AJ69" s="685">
        <f>+((AJ$59*66002.915)+AJ$14+'Arrendamento Mercantil'!I18)/(AVERAGEIFS(Estimativas!$163:$163,Estimativas!$315:$315,Indicadores!AJ$56)*1000)</f>
        <v>8.1263946119382044</v>
      </c>
      <c r="AK69" s="685">
        <f>+((AK$59*66002.915)+AK$14+'Arrendamento Mercantil'!J18)/(AVERAGEIFS(Estimativas!$163:$163,Estimativas!$315:$315,Indicadores!AK$56)*1000)</f>
        <v>8.3090595192715284</v>
      </c>
      <c r="AL69" s="685">
        <f>+((AL$59*66002.915)+AL$14+'Arrendamento Mercantil'!K18)/(AVERAGEIFS(Estimativas!$163:$163,Estimativas!$315:$315,Indicadores!AL$56)*1000)</f>
        <v>6.4753076362566846</v>
      </c>
      <c r="AM69" s="685">
        <f>+((AM$59*66002.915)+AM$14+'Arrendamento Mercantil'!L18)/(AVERAGEIFS(Estimativas!$163:$163,Estimativas!$315:$315,Indicadores!AM$56)*1000)</f>
        <v>8.4887757074557619</v>
      </c>
      <c r="AN69" s="685">
        <f>+((AN$59*66002.915)+AN$14+'Arrendamento Mercantil'!M18)/(AVERAGEIFS(Estimativas!$163:$163,Estimativas!$315:$315,Indicadores!AN$56)*1000)</f>
        <v>7.2453160718129226</v>
      </c>
      <c r="AO69" s="685">
        <f>+((AO$59*66002.915)+AO$14+'Arrendamento Mercantil'!N18)/(AVERAGEIFS(Estimativas!$163:$163,Estimativas!$315:$315,Indicadores!AO$56)*1000)</f>
        <v>5.9243100277888203</v>
      </c>
      <c r="AP69" s="685">
        <f>+((AP$59*66002.915)+AP$14+'Arrendamento Mercantil'!O18)/(AVERAGEIFS(Estimativas!$163:$163,Estimativas!$315:$315,Indicadores!AP$56)*1000)</f>
        <v>5.9827254708033086</v>
      </c>
      <c r="AQ69" s="685">
        <f>+((AQ$59*66002.915)+AQ$14+'Arrendamento Mercantil'!P18)/(AVERAGEIFS(Estimativas!$163:$163,Estimativas!$315:$315,Indicadores!AQ$56)*1000)</f>
        <v>5.8907919397860091</v>
      </c>
      <c r="AR69" s="685">
        <f>+((AR$59*66002.915)+AR$14+'Arrendamento Mercantil'!Q18)/(AVERAGEIFS(Estimativas!$163:$163,Estimativas!$315:$315,Indicadores!AR$56)*1000)</f>
        <v>6.6229986273003014</v>
      </c>
      <c r="AS69" s="685" t="s">
        <v>160</v>
      </c>
      <c r="AT69" s="685" t="s">
        <v>160</v>
      </c>
      <c r="AU69" s="685" t="s">
        <v>160</v>
      </c>
      <c r="AV69" s="685" t="s">
        <v>160</v>
      </c>
      <c r="AW69" s="685" t="s">
        <v>160</v>
      </c>
      <c r="AX69" s="685" t="s">
        <v>160</v>
      </c>
      <c r="AY69" s="685" t="s">
        <v>160</v>
      </c>
      <c r="AZ69" s="685" t="s">
        <v>160</v>
      </c>
      <c r="BA69" s="685" t="s">
        <v>160</v>
      </c>
      <c r="BB69" s="685" t="s">
        <v>160</v>
      </c>
      <c r="BC69" s="685" t="s">
        <v>160</v>
      </c>
      <c r="BD69" s="685" t="s">
        <v>160</v>
      </c>
      <c r="BE69" s="685" t="s">
        <v>160</v>
      </c>
      <c r="BF69" s="685" t="s">
        <v>160</v>
      </c>
      <c r="BG69" s="685" t="s">
        <v>160</v>
      </c>
      <c r="BH69" s="685" t="s">
        <v>160</v>
      </c>
      <c r="BI69" s="685" t="s">
        <v>160</v>
      </c>
      <c r="BJ69" s="685" t="s">
        <v>160</v>
      </c>
    </row>
    <row r="70" spans="1:62" x14ac:dyDescent="0.2">
      <c r="A70" s="1" t="s">
        <v>1801</v>
      </c>
      <c r="B70" s="1" t="s">
        <v>1801</v>
      </c>
      <c r="D70" s="117" t="str">
        <f>IF([1]RENAME!$H$3=1,B70,A70)</f>
        <v>EV/EBITDA 22</v>
      </c>
      <c r="E70" s="215" t="s">
        <v>160</v>
      </c>
      <c r="F70" s="215" t="s">
        <v>160</v>
      </c>
      <c r="G70" s="215" t="s">
        <v>160</v>
      </c>
      <c r="H70" s="215" t="s">
        <v>160</v>
      </c>
      <c r="I70" s="215" t="s">
        <v>160</v>
      </c>
      <c r="J70" s="215" t="s">
        <v>160</v>
      </c>
      <c r="K70" s="215" t="s">
        <v>160</v>
      </c>
      <c r="L70" s="215" t="s">
        <v>160</v>
      </c>
      <c r="M70" s="215" t="s">
        <v>160</v>
      </c>
      <c r="N70" s="215" t="s">
        <v>160</v>
      </c>
      <c r="O70" s="215" t="s">
        <v>160</v>
      </c>
      <c r="P70" s="215" t="s">
        <v>160</v>
      </c>
      <c r="Q70" s="215" t="s">
        <v>160</v>
      </c>
      <c r="R70" s="215" t="s">
        <v>160</v>
      </c>
      <c r="S70" s="215" t="s">
        <v>160</v>
      </c>
      <c r="T70" s="215" t="s">
        <v>160</v>
      </c>
      <c r="U70" s="215" t="s">
        <v>160</v>
      </c>
      <c r="V70" s="215" t="s">
        <v>160</v>
      </c>
      <c r="W70" s="215" t="s">
        <v>160</v>
      </c>
      <c r="X70" s="215" t="s">
        <v>160</v>
      </c>
      <c r="Y70" s="685" t="s">
        <v>160</v>
      </c>
      <c r="Z70" s="685" t="s">
        <v>160</v>
      </c>
      <c r="AA70" s="685" t="s">
        <v>160</v>
      </c>
      <c r="AB70" s="685" t="s">
        <v>160</v>
      </c>
      <c r="AC70" s="685" t="s">
        <v>160</v>
      </c>
      <c r="AD70" s="685" t="s">
        <v>160</v>
      </c>
      <c r="AE70" s="685" t="s">
        <v>160</v>
      </c>
      <c r="AF70" s="685" t="s">
        <v>160</v>
      </c>
      <c r="AG70" s="685" t="s">
        <v>160</v>
      </c>
      <c r="AH70" s="685" t="s">
        <v>160</v>
      </c>
      <c r="AI70" s="685" t="s">
        <v>160</v>
      </c>
      <c r="AJ70" s="685" t="s">
        <v>160</v>
      </c>
      <c r="AK70" s="685" t="s">
        <v>160</v>
      </c>
      <c r="AL70" s="685" t="s">
        <v>160</v>
      </c>
      <c r="AM70" s="685" t="s">
        <v>160</v>
      </c>
      <c r="AN70" s="685">
        <f>+((AN$59*66002.915)+AN$14+'Arrendamento Mercantil'!M18)/(AVERAGEIFS(Estimativas!197:197,Estimativas!$315:$315,Indicadores!AN$56)*1000)</f>
        <v>6.2748648974843819</v>
      </c>
      <c r="AO70" s="685">
        <f>+((AO$59*66002.915)+AO$14+'Arrendamento Mercantil'!N18)/(AVERAGEIFS(Estimativas!197:197,Estimativas!$315:$315,Indicadores!AO$56)*1000)</f>
        <v>5.5640279369380261</v>
      </c>
      <c r="AP70" s="685">
        <f>+((AP$59*66002.915)+AP$14+'Arrendamento Mercantil'!O18)/(AVERAGEIFS(Estimativas!197:197,Estimativas!$315:$315,Indicadores!AP$56)*1000)</f>
        <v>5.6207586263222646</v>
      </c>
      <c r="AQ70" s="685">
        <f>+((AQ$59*66002.915)+AQ$14+'Arrendamento Mercantil'!P18)/(AVERAGEIFS(Estimativas!197:197,Estimativas!$315:$315,Indicadores!AQ$56)*1000)</f>
        <v>5.2963204746249772</v>
      </c>
      <c r="AR70" s="685">
        <f>+((AR$59*66002.915)+AR$14+'Arrendamento Mercantil'!Q18)/(AVERAGEIFS(Estimativas!197:197,Estimativas!$315:$315,Indicadores!AR$56)*1000)</f>
        <v>5.3813224140650657</v>
      </c>
      <c r="AS70" s="685">
        <f>+((AS$59*66002.915)+AS$14+'Arrendamento Mercantil'!R18)/(AVERAGEIFS(Estimativas!197:197,Estimativas!$315:$315,Indicadores!AS$56)*1000)</f>
        <v>4.9583915637953639</v>
      </c>
      <c r="AT70" s="685">
        <f>+((AT$59*66002.915)+AT$14+'Arrendamento Mercantil'!S18)/(AVERAGEIFS(Estimativas!197:197,Estimativas!$315:$315,Indicadores!AT$56)*1000)</f>
        <v>5.2666266850077221</v>
      </c>
      <c r="AU70" s="685">
        <f>+((AU$59*66002.915)+AU$14+'Arrendamento Mercantil'!T18)/(AVERAGEIFS(Estimativas!197:197,Estimativas!$315:$315,Indicadores!AU$56)*1000)</f>
        <v>5.518356909977375</v>
      </c>
      <c r="AV70" s="685">
        <f>+((AV$59*66002.915)+AV$14+'Arrendamento Mercantil'!U18)/(AVERAGEIFS(Estimativas!197:197,Estimativas!$315:$315,Indicadores!AV$56)*1000)</f>
        <v>6.4808449847972964</v>
      </c>
      <c r="AW70" s="685" t="s">
        <v>160</v>
      </c>
      <c r="AX70" s="685" t="s">
        <v>160</v>
      </c>
      <c r="AY70" s="685" t="s">
        <v>160</v>
      </c>
      <c r="AZ70" s="685" t="s">
        <v>160</v>
      </c>
      <c r="BA70" s="685" t="s">
        <v>160</v>
      </c>
      <c r="BB70" s="685" t="s">
        <v>160</v>
      </c>
      <c r="BC70" s="685" t="s">
        <v>160</v>
      </c>
      <c r="BD70" s="685" t="s">
        <v>160</v>
      </c>
      <c r="BE70" s="685" t="s">
        <v>160</v>
      </c>
      <c r="BF70" s="685" t="s">
        <v>160</v>
      </c>
      <c r="BG70" s="685" t="s">
        <v>160</v>
      </c>
      <c r="BH70" s="685" t="s">
        <v>160</v>
      </c>
      <c r="BI70" s="685" t="s">
        <v>160</v>
      </c>
      <c r="BJ70" s="685" t="s">
        <v>160</v>
      </c>
    </row>
    <row r="71" spans="1:62" x14ac:dyDescent="0.2">
      <c r="A71" s="1" t="s">
        <v>1951</v>
      </c>
      <c r="B71" s="1" t="s">
        <v>1951</v>
      </c>
      <c r="D71" s="117" t="str">
        <f>IF([1]RENAME!$H$3=1,B71,A71)</f>
        <v>EV/EBITDA 23</v>
      </c>
      <c r="E71" s="215" t="s">
        <v>160</v>
      </c>
      <c r="F71" s="215" t="s">
        <v>160</v>
      </c>
      <c r="G71" s="215" t="s">
        <v>160</v>
      </c>
      <c r="H71" s="215" t="s">
        <v>160</v>
      </c>
      <c r="I71" s="215" t="s">
        <v>160</v>
      </c>
      <c r="J71" s="215" t="s">
        <v>160</v>
      </c>
      <c r="K71" s="215" t="s">
        <v>160</v>
      </c>
      <c r="L71" s="215" t="s">
        <v>160</v>
      </c>
      <c r="M71" s="215" t="s">
        <v>160</v>
      </c>
      <c r="N71" s="215" t="s">
        <v>160</v>
      </c>
      <c r="O71" s="215" t="s">
        <v>160</v>
      </c>
      <c r="P71" s="215" t="s">
        <v>160</v>
      </c>
      <c r="Q71" s="215" t="s">
        <v>160</v>
      </c>
      <c r="R71" s="215" t="s">
        <v>160</v>
      </c>
      <c r="S71" s="215" t="s">
        <v>160</v>
      </c>
      <c r="T71" s="215" t="s">
        <v>160</v>
      </c>
      <c r="U71" s="215" t="s">
        <v>160</v>
      </c>
      <c r="V71" s="215" t="s">
        <v>160</v>
      </c>
      <c r="W71" s="215" t="s">
        <v>160</v>
      </c>
      <c r="X71" s="215" t="s">
        <v>160</v>
      </c>
      <c r="Y71" s="685" t="s">
        <v>160</v>
      </c>
      <c r="Z71" s="685" t="s">
        <v>160</v>
      </c>
      <c r="AA71" s="685" t="s">
        <v>160</v>
      </c>
      <c r="AB71" s="685" t="s">
        <v>160</v>
      </c>
      <c r="AC71" s="685" t="s">
        <v>160</v>
      </c>
      <c r="AD71" s="685" t="s">
        <v>160</v>
      </c>
      <c r="AE71" s="685" t="s">
        <v>160</v>
      </c>
      <c r="AF71" s="685" t="s">
        <v>160</v>
      </c>
      <c r="AG71" s="685" t="s">
        <v>160</v>
      </c>
      <c r="AH71" s="685" t="s">
        <v>160</v>
      </c>
      <c r="AI71" s="685" t="s">
        <v>160</v>
      </c>
      <c r="AJ71" s="685" t="s">
        <v>160</v>
      </c>
      <c r="AK71" s="685" t="s">
        <v>160</v>
      </c>
      <c r="AL71" s="685" t="s">
        <v>160</v>
      </c>
      <c r="AM71" s="685" t="s">
        <v>160</v>
      </c>
      <c r="AN71" s="685" t="s">
        <v>160</v>
      </c>
      <c r="AO71" s="685" t="s">
        <v>160</v>
      </c>
      <c r="AP71" s="685" t="s">
        <v>160</v>
      </c>
      <c r="AQ71" s="685" t="s">
        <v>160</v>
      </c>
      <c r="AR71" s="685" t="s">
        <v>160</v>
      </c>
      <c r="AS71" s="685">
        <f>+((AS$59*66002.915)+AS$14+'Arrendamento Mercantil'!R18)/(AVERAGEIFS(Estimativas!$251:$251,Estimativas!$315:$315,Indicadores!AS$56)*1000)</f>
        <v>4.1250787582393595</v>
      </c>
      <c r="AT71" s="685">
        <f>+((AT$59*66002.915)+AT$14+'Arrendamento Mercantil'!S18)/(AVERAGEIFS(Estimativas!$251:$251,Estimativas!$315:$315,Indicadores!AT$56)*1000)</f>
        <v>4.395675102248398</v>
      </c>
      <c r="AU71" s="685">
        <f>+((AU$59*66002.915)+AU$14+'Arrendamento Mercantil'!T18)/(AVERAGEIFS(Estimativas!$251:$251,Estimativas!$315:$315,Indicadores!AU$56)*1000)</f>
        <v>4.4694322062172258</v>
      </c>
      <c r="AV71" s="685">
        <f>+((AV$59*66002.915)+AV$14+'Arrendamento Mercantil'!U18)/(AVERAGEIFS(Estimativas!$251:$251,Estimativas!$315:$315,Indicadores!AV$56)*1000)</f>
        <v>5.3584640097765366</v>
      </c>
      <c r="AW71" s="685">
        <f>+((AW$59*66002.915)+AW$14+'Arrendamento Mercantil'!V18)/(AVERAGEIFS(Estimativas!$251:$251,Estimativas!$315:$315,Indicadores!AW$56)*1000)</f>
        <v>4.307431470306879</v>
      </c>
      <c r="AX71" s="685">
        <f>+((AX$59*66002.915)+AX$14+'Arrendamento Mercantil'!W18)/(AVERAGEIFS(Estimativas!$251:$251,Estimativas!$315:$315,Indicadores!AX$56)*1000)</f>
        <v>4.727839056302698</v>
      </c>
      <c r="AY71" s="685">
        <f>+((AY$59*66002.915)+AY$14+'Arrendamento Mercantil'!X18)/(AVERAGEIFS(Estimativas!$251:$251,Estimativas!$315:$315,Indicadores!AY$56)*1000)</f>
        <v>5.9956333090872844</v>
      </c>
      <c r="AZ71" s="685">
        <f>+((AZ$59*66002.915)+AZ$14+'Arrendamento Mercantil'!Y18)/(AVERAGEIFS(Estimativas!$251:$251,Estimativas!$315:$315,Indicadores!AZ$56)*1000)</f>
        <v>6.5310682825827016</v>
      </c>
      <c r="BA71" s="685" t="s">
        <v>160</v>
      </c>
      <c r="BB71" s="685" t="s">
        <v>160</v>
      </c>
      <c r="BC71" s="685" t="s">
        <v>160</v>
      </c>
      <c r="BD71" s="685" t="s">
        <v>160</v>
      </c>
      <c r="BE71" s="685" t="s">
        <v>160</v>
      </c>
      <c r="BF71" s="685" t="s">
        <v>160</v>
      </c>
      <c r="BG71" s="685" t="s">
        <v>160</v>
      </c>
      <c r="BH71" s="685" t="s">
        <v>160</v>
      </c>
      <c r="BI71" s="685" t="s">
        <v>160</v>
      </c>
      <c r="BJ71" s="685" t="s">
        <v>160</v>
      </c>
    </row>
    <row r="72" spans="1:62" x14ac:dyDescent="0.2">
      <c r="A72" s="1" t="s">
        <v>2040</v>
      </c>
      <c r="B72" s="1" t="s">
        <v>2040</v>
      </c>
      <c r="D72" s="117" t="str">
        <f>IF([1]RENAME!$H$3=1,B72,A72)</f>
        <v>EV/EBITDA 24</v>
      </c>
      <c r="E72" s="215" t="s">
        <v>160</v>
      </c>
      <c r="F72" s="215" t="s">
        <v>160</v>
      </c>
      <c r="G72" s="215" t="s">
        <v>160</v>
      </c>
      <c r="H72" s="215" t="s">
        <v>160</v>
      </c>
      <c r="I72" s="215" t="s">
        <v>160</v>
      </c>
      <c r="J72" s="215" t="s">
        <v>160</v>
      </c>
      <c r="K72" s="215" t="s">
        <v>160</v>
      </c>
      <c r="L72" s="215" t="s">
        <v>160</v>
      </c>
      <c r="M72" s="215" t="s">
        <v>160</v>
      </c>
      <c r="N72" s="215" t="s">
        <v>160</v>
      </c>
      <c r="O72" s="215" t="s">
        <v>160</v>
      </c>
      <c r="P72" s="215" t="s">
        <v>160</v>
      </c>
      <c r="Q72" s="215" t="s">
        <v>160</v>
      </c>
      <c r="R72" s="215" t="s">
        <v>160</v>
      </c>
      <c r="S72" s="215" t="s">
        <v>160</v>
      </c>
      <c r="T72" s="215" t="s">
        <v>160</v>
      </c>
      <c r="U72" s="215" t="s">
        <v>160</v>
      </c>
      <c r="V72" s="215" t="s">
        <v>160</v>
      </c>
      <c r="W72" s="215" t="s">
        <v>160</v>
      </c>
      <c r="X72" s="215" t="s">
        <v>160</v>
      </c>
      <c r="Y72" s="685" t="s">
        <v>160</v>
      </c>
      <c r="Z72" s="685" t="s">
        <v>160</v>
      </c>
      <c r="AA72" s="685" t="s">
        <v>160</v>
      </c>
      <c r="AB72" s="685" t="s">
        <v>160</v>
      </c>
      <c r="AC72" s="685" t="s">
        <v>160</v>
      </c>
      <c r="AD72" s="685" t="s">
        <v>160</v>
      </c>
      <c r="AE72" s="685" t="s">
        <v>160</v>
      </c>
      <c r="AF72" s="685" t="s">
        <v>160</v>
      </c>
      <c r="AG72" s="685" t="s">
        <v>160</v>
      </c>
      <c r="AH72" s="685" t="s">
        <v>160</v>
      </c>
      <c r="AI72" s="685" t="s">
        <v>160</v>
      </c>
      <c r="AJ72" s="685" t="s">
        <v>160</v>
      </c>
      <c r="AK72" s="685" t="s">
        <v>160</v>
      </c>
      <c r="AL72" s="685" t="s">
        <v>160</v>
      </c>
      <c r="AM72" s="685" t="s">
        <v>160</v>
      </c>
      <c r="AN72" s="685" t="s">
        <v>160</v>
      </c>
      <c r="AO72" s="685" t="s">
        <v>160</v>
      </c>
      <c r="AP72" s="685" t="s">
        <v>160</v>
      </c>
      <c r="AQ72" s="685" t="s">
        <v>160</v>
      </c>
      <c r="AR72" s="685" t="s">
        <v>160</v>
      </c>
      <c r="AS72" s="685" t="s">
        <v>160</v>
      </c>
      <c r="AT72" s="685" t="s">
        <v>160</v>
      </c>
      <c r="AU72" s="685">
        <f>+((AU$59*66002.915)+AU$14+'Arrendamento Mercantil'!T18)/(AVERAGEIFS(Estimativas!275:275,Estimativas!$315:$315,Indicadores!AU$56)*1000)</f>
        <v>3.6101984085647114</v>
      </c>
      <c r="AV72" s="685">
        <f>+((AV$59*66002.915)+AV$14+'Arrendamento Mercantil'!U18)/(AVERAGEIFS(Estimativas!275:275,Estimativas!$315:$315,Indicadores!AV$56)*1000)</f>
        <v>4.6026772265638387</v>
      </c>
      <c r="AW72" s="685">
        <f>+((AW$59*66002.915)+AW$14+'Arrendamento Mercantil'!V18)/(AVERAGEIFS(Estimativas!275:275,Estimativas!$315:$315,Indicadores!AW$56)*1000)</f>
        <v>3.9216308672705096</v>
      </c>
      <c r="AX72" s="685">
        <f>+((AX$59*66002.915)+AX$14+'Arrendamento Mercantil'!W18)/(AVERAGEIFS(Estimativas!275:275,Estimativas!$315:$315,Indicadores!AX$56)*1000)</f>
        <v>4.3106611413579046</v>
      </c>
      <c r="AY72" s="685">
        <f>+((AY$59*66002.915)+AY$14+'Arrendamento Mercantil'!X18)/(AVERAGEIFS(Estimativas!275:275,Estimativas!$315:$315,Indicadores!AY$56)*1000)</f>
        <v>5.4582888144049333</v>
      </c>
      <c r="AZ72" s="685">
        <f>+((AZ$59*66002.915)+AZ$14+'Arrendamento Mercantil'!Y18)/(AVERAGEIFS(Estimativas!275:275,Estimativas!$315:$315,Indicadores!AZ$56)*1000)</f>
        <v>5.9000661261401808</v>
      </c>
      <c r="BA72" s="685">
        <f>+((BA$59*66002.915)+BA$14+'Arrendamento Mercantil'!Z18)/(AVERAGEIFS(Estimativas!275:275,Estimativas!$315:$315,Indicadores!BA$56)*1000)</f>
        <v>5.6885756107452332</v>
      </c>
      <c r="BB72" s="685">
        <f>+((BB$59*66002.915)+BB$14+'Arrendamento Mercantil'!AE18)/(AVERAGEIFS(Estimativas!275:275,Estimativas!$315:$315,Indicadores!BB$56)*1000)</f>
        <v>5.3858393129982662</v>
      </c>
      <c r="BC72" s="685">
        <f>+((BC$59*66002.915)+BC$14+'Arrendamento Mercantil'!AI18)/(AVERAGEIFS(Estimativas!275:275,Estimativas!$315:$315,Indicadores!BC$56)*1000)</f>
        <v>5.6670104944540718</v>
      </c>
      <c r="BD72" s="685">
        <f>+((BD$59*66002.915)+BD$14+'Arrendamento Mercantil'!AJ18)/(AVERAGEIFS(Estimativas!275:275,Estimativas!$315:$315,Indicadores!BD$56)*1000)</f>
        <v>5.7563180101587283</v>
      </c>
      <c r="BE72" s="685" t="s">
        <v>160</v>
      </c>
      <c r="BF72" s="685" t="s">
        <v>160</v>
      </c>
      <c r="BG72" s="685" t="s">
        <v>160</v>
      </c>
      <c r="BH72" s="685" t="s">
        <v>160</v>
      </c>
      <c r="BI72" s="685" t="s">
        <v>160</v>
      </c>
      <c r="BJ72" s="685" t="s">
        <v>160</v>
      </c>
    </row>
    <row r="73" spans="1:62" x14ac:dyDescent="0.2">
      <c r="A73" s="1" t="s">
        <v>2230</v>
      </c>
      <c r="B73" s="1" t="s">
        <v>2230</v>
      </c>
      <c r="D73" s="117" t="str">
        <f>IF([1]RENAME!$H$3=1,B73,A73)</f>
        <v>EV/EBITDA 25</v>
      </c>
      <c r="E73" s="215" t="s">
        <v>160</v>
      </c>
      <c r="F73" s="215" t="s">
        <v>160</v>
      </c>
      <c r="G73" s="215" t="s">
        <v>160</v>
      </c>
      <c r="H73" s="215" t="s">
        <v>160</v>
      </c>
      <c r="I73" s="215" t="s">
        <v>160</v>
      </c>
      <c r="J73" s="215" t="s">
        <v>160</v>
      </c>
      <c r="K73" s="215" t="s">
        <v>160</v>
      </c>
      <c r="L73" s="215" t="s">
        <v>160</v>
      </c>
      <c r="M73" s="215" t="s">
        <v>160</v>
      </c>
      <c r="N73" s="215" t="s">
        <v>160</v>
      </c>
      <c r="O73" s="215" t="s">
        <v>160</v>
      </c>
      <c r="P73" s="215" t="s">
        <v>160</v>
      </c>
      <c r="Q73" s="215" t="s">
        <v>160</v>
      </c>
      <c r="R73" s="215" t="s">
        <v>160</v>
      </c>
      <c r="S73" s="215" t="s">
        <v>160</v>
      </c>
      <c r="T73" s="215" t="s">
        <v>160</v>
      </c>
      <c r="U73" s="215" t="s">
        <v>160</v>
      </c>
      <c r="V73" s="215" t="s">
        <v>160</v>
      </c>
      <c r="W73" s="215" t="s">
        <v>160</v>
      </c>
      <c r="X73" s="215" t="s">
        <v>160</v>
      </c>
      <c r="Y73" s="685" t="s">
        <v>160</v>
      </c>
      <c r="Z73" s="685" t="s">
        <v>160</v>
      </c>
      <c r="AA73" s="685" t="s">
        <v>160</v>
      </c>
      <c r="AB73" s="685" t="s">
        <v>160</v>
      </c>
      <c r="AC73" s="685" t="s">
        <v>160</v>
      </c>
      <c r="AD73" s="685" t="s">
        <v>160</v>
      </c>
      <c r="AE73" s="685" t="s">
        <v>160</v>
      </c>
      <c r="AF73" s="685" t="s">
        <v>160</v>
      </c>
      <c r="AG73" s="685" t="s">
        <v>160</v>
      </c>
      <c r="AH73" s="685" t="s">
        <v>160</v>
      </c>
      <c r="AI73" s="685" t="s">
        <v>160</v>
      </c>
      <c r="AJ73" s="685" t="s">
        <v>160</v>
      </c>
      <c r="AK73" s="685" t="s">
        <v>160</v>
      </c>
      <c r="AL73" s="685" t="s">
        <v>160</v>
      </c>
      <c r="AM73" s="685" t="s">
        <v>160</v>
      </c>
      <c r="AN73" s="685" t="s">
        <v>160</v>
      </c>
      <c r="AO73" s="685" t="s">
        <v>160</v>
      </c>
      <c r="AP73" s="685" t="s">
        <v>160</v>
      </c>
      <c r="AQ73" s="685" t="s">
        <v>160</v>
      </c>
      <c r="AR73" s="685" t="s">
        <v>160</v>
      </c>
      <c r="AS73" s="685" t="s">
        <v>160</v>
      </c>
      <c r="AT73" s="685" t="s">
        <v>160</v>
      </c>
      <c r="AU73" s="685" t="s">
        <v>160</v>
      </c>
      <c r="AV73" s="685" t="s">
        <v>160</v>
      </c>
      <c r="AW73" s="685" t="s">
        <v>160</v>
      </c>
      <c r="AX73" s="685" t="s">
        <v>160</v>
      </c>
      <c r="AY73" s="685" t="s">
        <v>160</v>
      </c>
      <c r="AZ73" s="685" t="s">
        <v>160</v>
      </c>
      <c r="BA73" s="685" t="s">
        <v>160</v>
      </c>
      <c r="BB73" s="685" t="s">
        <v>160</v>
      </c>
      <c r="BC73" s="685" t="s">
        <v>160</v>
      </c>
      <c r="BD73" s="685">
        <f>+((BD$59*66002.915)+BD$14+'Arrendamento Mercantil'!AJ18)/(AVERAGEIFS(Estimativas!$295:$295,Estimativas!$315:$315,Indicadores!BD$56)*1000)</f>
        <v>4.7969316751322735</v>
      </c>
      <c r="BE73" s="685">
        <f>+((BE$59*66002.915)+BE$14+'Arrendamento Mercantil'!AK18)/(AVERAGEIFS(Estimativas!$295:$295,Estimativas!$315:$315,Indicadores!BE$56)*1000)</f>
        <v>4.1600891689616253</v>
      </c>
      <c r="BF73" s="685">
        <f>+((BF$59*66002.915)+BF$14+'Arrendamento Mercantil'!AL18)/(AVERAGEIFS(Estimativas!$295:$295,Estimativas!$315:$315,Indicadores!BF$56)*1000)</f>
        <v>4.8516908111368924</v>
      </c>
      <c r="BG73" s="685">
        <f>+((BG$59*66002.915)+BG$14+'Arrendamento Mercantil'!AM18)/(AVERAGEIFS(Estimativas!$295:$295,Estimativas!$315:$315,Indicadores!BG$56)*1000)</f>
        <v>5.2463777271568643</v>
      </c>
      <c r="BH73" s="685">
        <f>+((BH$59*66002.915)+BH$14+'Arrendamento Mercantil'!AN18)/(AVERAGEIFS(Estimativas!$295:$295,Estimativas!$315:$315,Indicadores!BH$56)*1000)</f>
        <v>5.7843164348762963</v>
      </c>
      <c r="BI73" s="685" t="s">
        <v>160</v>
      </c>
      <c r="BJ73" s="685" t="s">
        <v>160</v>
      </c>
    </row>
    <row r="74" spans="1:62" x14ac:dyDescent="0.2">
      <c r="A74" s="1" t="s">
        <v>2274</v>
      </c>
      <c r="B74" s="1" t="s">
        <v>2274</v>
      </c>
      <c r="D74" s="117" t="str">
        <f>IF([1]RENAME!$H$3=1,B74,A74)</f>
        <v>EV/EBITDA 26</v>
      </c>
      <c r="E74" s="215" t="s">
        <v>160</v>
      </c>
      <c r="F74" s="215" t="s">
        <v>160</v>
      </c>
      <c r="G74" s="215" t="s">
        <v>160</v>
      </c>
      <c r="H74" s="215" t="s">
        <v>160</v>
      </c>
      <c r="I74" s="215" t="s">
        <v>160</v>
      </c>
      <c r="J74" s="215" t="s">
        <v>160</v>
      </c>
      <c r="K74" s="215" t="s">
        <v>160</v>
      </c>
      <c r="L74" s="215" t="s">
        <v>160</v>
      </c>
      <c r="M74" s="215" t="s">
        <v>160</v>
      </c>
      <c r="N74" s="215" t="s">
        <v>160</v>
      </c>
      <c r="O74" s="215" t="s">
        <v>160</v>
      </c>
      <c r="P74" s="215" t="s">
        <v>160</v>
      </c>
      <c r="Q74" s="215" t="s">
        <v>160</v>
      </c>
      <c r="R74" s="215" t="s">
        <v>160</v>
      </c>
      <c r="S74" s="215" t="s">
        <v>160</v>
      </c>
      <c r="T74" s="215" t="s">
        <v>160</v>
      </c>
      <c r="U74" s="215" t="s">
        <v>160</v>
      </c>
      <c r="V74" s="215" t="s">
        <v>160</v>
      </c>
      <c r="W74" s="215" t="s">
        <v>160</v>
      </c>
      <c r="X74" s="215" t="s">
        <v>160</v>
      </c>
      <c r="Y74" s="685" t="s">
        <v>160</v>
      </c>
      <c r="Z74" s="685" t="s">
        <v>160</v>
      </c>
      <c r="AA74" s="685" t="s">
        <v>160</v>
      </c>
      <c r="AB74" s="685" t="s">
        <v>160</v>
      </c>
      <c r="AC74" s="685" t="s">
        <v>160</v>
      </c>
      <c r="AD74" s="685" t="s">
        <v>160</v>
      </c>
      <c r="AE74" s="685" t="s">
        <v>160</v>
      </c>
      <c r="AF74" s="685" t="s">
        <v>160</v>
      </c>
      <c r="AG74" s="685" t="s">
        <v>160</v>
      </c>
      <c r="AH74" s="685" t="s">
        <v>160</v>
      </c>
      <c r="AI74" s="685" t="s">
        <v>160</v>
      </c>
      <c r="AJ74" s="685" t="s">
        <v>160</v>
      </c>
      <c r="AK74" s="685" t="s">
        <v>160</v>
      </c>
      <c r="AL74" s="685" t="s">
        <v>160</v>
      </c>
      <c r="AM74" s="685" t="s">
        <v>160</v>
      </c>
      <c r="AN74" s="685" t="s">
        <v>160</v>
      </c>
      <c r="AO74" s="685" t="s">
        <v>160</v>
      </c>
      <c r="AP74" s="685" t="s">
        <v>160</v>
      </c>
      <c r="AQ74" s="685" t="s">
        <v>160</v>
      </c>
      <c r="AR74" s="685" t="s">
        <v>160</v>
      </c>
      <c r="AS74" s="685" t="s">
        <v>160</v>
      </c>
      <c r="AT74" s="685" t="s">
        <v>160</v>
      </c>
      <c r="AU74" s="685" t="s">
        <v>160</v>
      </c>
      <c r="AV74" s="685" t="s">
        <v>160</v>
      </c>
      <c r="AW74" s="685" t="s">
        <v>160</v>
      </c>
      <c r="AX74" s="685" t="s">
        <v>160</v>
      </c>
      <c r="AY74" s="685" t="s">
        <v>160</v>
      </c>
      <c r="AZ74" s="685" t="s">
        <v>160</v>
      </c>
      <c r="BA74" s="685" t="s">
        <v>160</v>
      </c>
      <c r="BB74" s="685" t="s">
        <v>160</v>
      </c>
      <c r="BC74" s="685" t="s">
        <v>160</v>
      </c>
      <c r="BD74" s="685">
        <f>+((BD$59*66002.915)+BD$14+'Arrendamento Mercantil'!$AE$18)/(AVERAGEIFS(Estimativas!$27:$27,Estimativas!$315:$315,Indicadores!BD$56)*1000)</f>
        <v>4.759644544360901</v>
      </c>
      <c r="BE74" s="685">
        <f>+((BE$59*66002.915)+BE$14+'Arrendamento Mercantil'!$AE$18)/(AVERAGEIFS(Estimativas!$27:$27,Estimativas!$315:$315,Indicadores!BE$56)*1000)</f>
        <v>4.0520535753151261</v>
      </c>
      <c r="BF74" s="685">
        <f>+((BF$59*66002.915)+BF$14+'Arrendamento Mercantil'!$AE$18)/(AVERAGEIFS(Estimativas!$27:$27,Estimativas!$315:$315,Indicadores!BF$56)*1000)</f>
        <v>4.7153864395667879</v>
      </c>
      <c r="BG74" s="685">
        <f>+((BG$59*66002.915)+BG$14+'Arrendamento Mercantil'!$AE$18)/(AVERAGEIFS(Estimativas!$27:$27,Estimativas!$315:$315,Indicadores!BG$56)*1000)</f>
        <v>5.0947602509167602</v>
      </c>
      <c r="BH74" s="685">
        <f>+((BH$59*66002.915)+BH$14+'Arrendamento Mercantil'!$AE$18)/(AVERAGEIFS(Estimativas!$27:$27,Estimativas!$315:$315,Indicadores!BH$56)*1000)</f>
        <v>5.655857191333836</v>
      </c>
      <c r="BI74" s="685">
        <f>+((BI$59*66002.915)+BI$14+'Arrendamento Mercantil'!$AE$18)/(AVERAGEIFS(Estimativas!$27:$27,Estimativas!$315:$315,Indicadores!BI$56)*1000)</f>
        <v>5.8150697710526309</v>
      </c>
      <c r="BJ74" s="685">
        <f>+((BJ$59*66002.915)+BJ$14+'Arrendamento Mercantil'!$AE$18)/(AVERAGEIFS(Estimativas!$27:$27,Estimativas!$315:$315,Indicadores!BJ$56)*1000)</f>
        <v>5.0439731898325357</v>
      </c>
    </row>
    <row r="75" spans="1:62" x14ac:dyDescent="0.2">
      <c r="A75" s="1" t="s">
        <v>2316</v>
      </c>
      <c r="B75" s="1" t="s">
        <v>2316</v>
      </c>
      <c r="D75" s="117" t="str">
        <f>IF([1]RENAME!$H$3=1,B75,A75)</f>
        <v>EV/EBITDA 27</v>
      </c>
      <c r="E75" s="215" t="s">
        <v>160</v>
      </c>
      <c r="F75" s="215" t="s">
        <v>160</v>
      </c>
      <c r="G75" s="215" t="s">
        <v>160</v>
      </c>
      <c r="H75" s="215" t="s">
        <v>160</v>
      </c>
      <c r="I75" s="215" t="s">
        <v>160</v>
      </c>
      <c r="J75" s="215" t="s">
        <v>160</v>
      </c>
      <c r="K75" s="215" t="s">
        <v>160</v>
      </c>
      <c r="L75" s="215" t="s">
        <v>160</v>
      </c>
      <c r="M75" s="215" t="s">
        <v>160</v>
      </c>
      <c r="N75" s="215" t="s">
        <v>160</v>
      </c>
      <c r="O75" s="215" t="s">
        <v>160</v>
      </c>
      <c r="P75" s="215" t="s">
        <v>160</v>
      </c>
      <c r="Q75" s="215" t="s">
        <v>160</v>
      </c>
      <c r="R75" s="215" t="s">
        <v>160</v>
      </c>
      <c r="S75" s="215" t="s">
        <v>160</v>
      </c>
      <c r="T75" s="215" t="s">
        <v>160</v>
      </c>
      <c r="U75" s="215" t="s">
        <v>160</v>
      </c>
      <c r="V75" s="215" t="s">
        <v>160</v>
      </c>
      <c r="W75" s="215" t="s">
        <v>160</v>
      </c>
      <c r="X75" s="215" t="s">
        <v>160</v>
      </c>
      <c r="Y75" s="685" t="s">
        <v>160</v>
      </c>
      <c r="Z75" s="685" t="s">
        <v>160</v>
      </c>
      <c r="AA75" s="685" t="s">
        <v>160</v>
      </c>
      <c r="AB75" s="685" t="s">
        <v>160</v>
      </c>
      <c r="AC75" s="685" t="s">
        <v>160</v>
      </c>
      <c r="AD75" s="685" t="s">
        <v>160</v>
      </c>
      <c r="AE75" s="685" t="s">
        <v>160</v>
      </c>
      <c r="AF75" s="685" t="s">
        <v>160</v>
      </c>
      <c r="AG75" s="685" t="s">
        <v>160</v>
      </c>
      <c r="AH75" s="685" t="s">
        <v>160</v>
      </c>
      <c r="AI75" s="685" t="s">
        <v>160</v>
      </c>
      <c r="AJ75" s="685" t="s">
        <v>160</v>
      </c>
      <c r="AK75" s="685" t="s">
        <v>160</v>
      </c>
      <c r="AL75" s="685" t="s">
        <v>160</v>
      </c>
      <c r="AM75" s="685" t="s">
        <v>160</v>
      </c>
      <c r="AN75" s="685" t="s">
        <v>160</v>
      </c>
      <c r="AO75" s="685" t="s">
        <v>160</v>
      </c>
      <c r="AP75" s="685" t="s">
        <v>160</v>
      </c>
      <c r="AQ75" s="685" t="s">
        <v>160</v>
      </c>
      <c r="AR75" s="685" t="s">
        <v>160</v>
      </c>
      <c r="AS75" s="685" t="s">
        <v>160</v>
      </c>
      <c r="AT75" s="685" t="s">
        <v>160</v>
      </c>
      <c r="AU75" s="685" t="s">
        <v>160</v>
      </c>
      <c r="AV75" s="685" t="s">
        <v>160</v>
      </c>
      <c r="AW75" s="685" t="s">
        <v>160</v>
      </c>
      <c r="AX75" s="685" t="s">
        <v>160</v>
      </c>
      <c r="AY75" s="685" t="s">
        <v>160</v>
      </c>
      <c r="AZ75" s="685" t="s">
        <v>160</v>
      </c>
      <c r="BA75" s="685" t="s">
        <v>160</v>
      </c>
      <c r="BB75" s="685" t="s">
        <v>160</v>
      </c>
      <c r="BC75" s="685" t="s">
        <v>160</v>
      </c>
      <c r="BD75" s="685" t="s">
        <v>160</v>
      </c>
      <c r="BE75" s="685" t="s">
        <v>160</v>
      </c>
      <c r="BF75" s="685">
        <f>+((BF$59*66002.915)+BF$14+'Arrendamento Mercantil'!$AE$18)/(AVERAGEIFS(Estimativas!$42:$42,Estimativas!$315:$315,Indicadores!BF$56)*1000)</f>
        <v>4.9140784189616262</v>
      </c>
      <c r="BG75" s="685">
        <f>+((BG$59*66002.915)+BG$14+'Arrendamento Mercantil'!$AE$18)/(AVERAGEIFS(Estimativas!$42:$42,Estimativas!$315:$315,Indicadores!BG$56)*1000)</f>
        <v>5.227017006866066</v>
      </c>
      <c r="BH75" s="685">
        <f>+((BH$59*66002.915)+BH$14+'Arrendamento Mercantil'!$AE$18)/(AVERAGEIFS(Estimativas!$42:$42,Estimativas!$315:$315,Indicadores!BH$56)*1000)</f>
        <v>5.5410280493909188</v>
      </c>
      <c r="BI75" s="685">
        <f>+((BI$59*66002.915)+BI$14+'Arrendamento Mercantil'!$AE$18)/(AVERAGEIFS(Estimativas!$42:$42,Estimativas!$315:$315,Indicadores!BI$56)*1000)</f>
        <v>5.1882586217716113</v>
      </c>
      <c r="BJ75" s="685">
        <f>+((BJ$59*66002.915)+BJ$14+'Arrendamento Mercantil'!$AE$18)/(AVERAGEIFS(Estimativas!$42:$42,Estimativas!$315:$315,Indicadores!BJ$56)*1000)</f>
        <v>4.5002791747065096</v>
      </c>
    </row>
    <row r="76" spans="1:62" x14ac:dyDescent="0.2">
      <c r="A76" s="1" t="s">
        <v>1807</v>
      </c>
      <c r="B76" s="1" t="s">
        <v>1802</v>
      </c>
      <c r="D76" s="117" t="str">
        <f>IF([1]RENAME!$H$3=1,B76,A76)</f>
        <v>Preço/Lucro 18</v>
      </c>
      <c r="E76" s="677" t="s">
        <v>160</v>
      </c>
      <c r="F76" s="677" t="s">
        <v>160</v>
      </c>
      <c r="G76" s="677" t="s">
        <v>160</v>
      </c>
      <c r="H76" s="677" t="s">
        <v>160</v>
      </c>
      <c r="I76" s="677" t="s">
        <v>160</v>
      </c>
      <c r="J76" s="677" t="s">
        <v>160</v>
      </c>
      <c r="K76" s="677" t="s">
        <v>160</v>
      </c>
      <c r="L76" s="677" t="s">
        <v>160</v>
      </c>
      <c r="M76" s="677" t="s">
        <v>160</v>
      </c>
      <c r="N76" s="677" t="s">
        <v>160</v>
      </c>
      <c r="O76" s="677" t="s">
        <v>160</v>
      </c>
      <c r="P76" s="677" t="s">
        <v>160</v>
      </c>
      <c r="Q76" s="677" t="s">
        <v>160</v>
      </c>
      <c r="R76" s="677" t="s">
        <v>160</v>
      </c>
      <c r="S76" s="677" t="s">
        <v>160</v>
      </c>
      <c r="T76" s="677" t="s">
        <v>160</v>
      </c>
      <c r="U76" s="677" t="s">
        <v>160</v>
      </c>
      <c r="V76" s="677" t="s">
        <v>160</v>
      </c>
      <c r="W76" s="677" t="s">
        <v>160</v>
      </c>
      <c r="X76" s="677" t="s">
        <v>160</v>
      </c>
      <c r="Y76" s="685">
        <f>+((Y$59*66002.915))/(AVERAGEIFS(Estimativas!$83:$83,Estimativas!$315:$315,Indicadores!Y56)*1000)</f>
        <v>13.888443341446692</v>
      </c>
      <c r="Z76" s="685">
        <f>+((Z$59*66002.915))/(AVERAGEIFS(Estimativas!$83:$83,Estimativas!$315:$315,Indicadores!Z56)*1000)</f>
        <v>17.588787702997273</v>
      </c>
      <c r="AA76" s="685">
        <f>+((AA$59*66002.915))/(AVERAGEIFS(Estimativas!$83:$83,Estimativas!$315:$315,Indicadores!AA56)*1000)</f>
        <v>18.886987984615381</v>
      </c>
      <c r="AB76" s="685">
        <f>+((AB$59*66002.915))/(AVERAGEIFS(Estimativas!$83:$83,Estimativas!$315:$315,Indicadores!AB56)*1000)</f>
        <v>19.504454223053887</v>
      </c>
      <c r="AC76" s="685">
        <f>+((AC$59*66002.915))/(AVERAGEIFS(Estimativas!$83:$83,Estimativas!$315:$315,Indicadores!AC56)*1000)</f>
        <v>18.248211051938043</v>
      </c>
      <c r="AD76" s="685">
        <f>+((AD$59*66002.915))/(AVERAGEIFS(Estimativas!$83:$83,Estimativas!$315:$315,Indicadores!AC56)*1000)</f>
        <v>15.925753168701634</v>
      </c>
      <c r="AE76" s="685">
        <f>+((AE$59*66002.915))/(AVERAGEIFS(Estimativas!$83:$83,Estimativas!$315:$315,Indicadores!AE56)*1000)</f>
        <v>15.119044501649618</v>
      </c>
      <c r="AF76" s="685">
        <f>+((AF$59*66002.915))/(AVERAGEIFS(Estimativas!$83:$83,Estimativas!$315:$315,Indicadores!AF56)*1000)</f>
        <v>16.355774638081495</v>
      </c>
      <c r="AG76" s="685" t="s">
        <v>160</v>
      </c>
      <c r="AH76" s="685" t="s">
        <v>160</v>
      </c>
      <c r="AI76" s="685" t="s">
        <v>160</v>
      </c>
      <c r="AJ76" s="685" t="s">
        <v>160</v>
      </c>
      <c r="AK76" s="685" t="s">
        <v>160</v>
      </c>
      <c r="AL76" s="685" t="s">
        <v>160</v>
      </c>
      <c r="AM76" s="685" t="s">
        <v>160</v>
      </c>
      <c r="AN76" s="685" t="s">
        <v>160</v>
      </c>
      <c r="AO76" s="685" t="s">
        <v>160</v>
      </c>
      <c r="AP76" s="685" t="s">
        <v>160</v>
      </c>
      <c r="AQ76" s="685" t="s">
        <v>160</v>
      </c>
      <c r="AR76" s="685" t="s">
        <v>160</v>
      </c>
      <c r="AS76" s="685" t="s">
        <v>160</v>
      </c>
      <c r="AT76" s="685" t="s">
        <v>160</v>
      </c>
      <c r="AU76" s="685" t="s">
        <v>160</v>
      </c>
      <c r="AV76" s="685" t="s">
        <v>160</v>
      </c>
      <c r="AW76" s="685" t="s">
        <v>160</v>
      </c>
      <c r="AX76" s="685" t="s">
        <v>160</v>
      </c>
      <c r="AY76" s="685" t="s">
        <v>160</v>
      </c>
      <c r="AZ76" s="685" t="s">
        <v>160</v>
      </c>
      <c r="BA76" s="685" t="s">
        <v>160</v>
      </c>
      <c r="BB76" s="685" t="s">
        <v>160</v>
      </c>
      <c r="BC76" s="685" t="s">
        <v>160</v>
      </c>
      <c r="BD76" s="685" t="s">
        <v>160</v>
      </c>
      <c r="BE76" s="685" t="s">
        <v>160</v>
      </c>
      <c r="BF76" s="685" t="s">
        <v>160</v>
      </c>
      <c r="BG76" s="685" t="s">
        <v>160</v>
      </c>
      <c r="BH76" s="685" t="s">
        <v>160</v>
      </c>
      <c r="BI76" s="685" t="s">
        <v>160</v>
      </c>
      <c r="BJ76" s="685" t="s">
        <v>160</v>
      </c>
    </row>
    <row r="77" spans="1:62" x14ac:dyDescent="0.2">
      <c r="A77" s="1" t="s">
        <v>1808</v>
      </c>
      <c r="B77" s="1" t="s">
        <v>1803</v>
      </c>
      <c r="D77" s="117" t="str">
        <f>IF([1]RENAME!$H$3=1,B77,A77)</f>
        <v>Preço/Lucro 19</v>
      </c>
      <c r="E77" s="677" t="s">
        <v>160</v>
      </c>
      <c r="F77" s="677" t="s">
        <v>160</v>
      </c>
      <c r="G77" s="677" t="s">
        <v>160</v>
      </c>
      <c r="H77" s="677" t="s">
        <v>160</v>
      </c>
      <c r="I77" s="677" t="s">
        <v>160</v>
      </c>
      <c r="J77" s="677" t="s">
        <v>160</v>
      </c>
      <c r="K77" s="677" t="s">
        <v>160</v>
      </c>
      <c r="L77" s="677" t="s">
        <v>160</v>
      </c>
      <c r="M77" s="677" t="s">
        <v>160</v>
      </c>
      <c r="N77" s="677" t="s">
        <v>160</v>
      </c>
      <c r="O77" s="677" t="s">
        <v>160</v>
      </c>
      <c r="P77" s="677" t="s">
        <v>160</v>
      </c>
      <c r="Q77" s="677" t="s">
        <v>160</v>
      </c>
      <c r="R77" s="677" t="s">
        <v>160</v>
      </c>
      <c r="S77" s="677" t="s">
        <v>160</v>
      </c>
      <c r="T77" s="677" t="s">
        <v>160</v>
      </c>
      <c r="U77" s="677" t="s">
        <v>160</v>
      </c>
      <c r="V77" s="677" t="s">
        <v>160</v>
      </c>
      <c r="W77" s="677" t="s">
        <v>160</v>
      </c>
      <c r="X77" s="677" t="s">
        <v>160</v>
      </c>
      <c r="Y77" s="685">
        <f>+((Y$59*66002.915))/(AVERAGEIFS(Estimativas!$115:$115,Estimativas!$315:$315,Indicadores!Y56)*1000)</f>
        <v>10.077758514179104</v>
      </c>
      <c r="Z77" s="685">
        <f>+((Z$59*66002.915))/(AVERAGEIFS(Estimativas!$115:$115,Estimativas!$315:$315,Indicadores!Z56)*1000)</f>
        <v>12.657029582352939</v>
      </c>
      <c r="AA77" s="685">
        <f>+((AA$59*66002.915))/(AVERAGEIFS(Estimativas!$115:$115,Estimativas!$315:$315,Indicadores!AA56)*1000)</f>
        <v>14.432106869932177</v>
      </c>
      <c r="AB77" s="685">
        <f>+((AB$59*66002.915))/(AVERAGEIFS(Estimativas!$115:$115,Estimativas!$315:$315,Indicadores!AB56)*1000)</f>
        <v>15.567312152538996</v>
      </c>
      <c r="AC77" s="685">
        <f>+((AC$59*66002.915))/(AVERAGEIFS(Estimativas!$115:$115,Estimativas!$315:$315,Indicadores!AC56)*1000)</f>
        <v>15.057674051020406</v>
      </c>
      <c r="AD77" s="685">
        <f>+((AD$59*66002.915))/(AVERAGEIFS(Estimativas!$115:$115,Estimativas!$315:$315,Indicadores!AD56)*1000)</f>
        <v>12.920815005028196</v>
      </c>
      <c r="AE77" s="685">
        <f>+((AE$59*66002.915))/(AVERAGEIFS(Estimativas!$115:$115,Estimativas!$315:$315,Indicadores!AE56)*1000)</f>
        <v>12.736471340883824</v>
      </c>
      <c r="AF77" s="685">
        <f>+((AF$59*66002.915))/(AVERAGEIFS(Estimativas!$115:$115,Estimativas!$315:$315,Indicadores!AF56)*1000)</f>
        <v>13.768144620713379</v>
      </c>
      <c r="AG77" s="685">
        <f>+((AG$59*66002.915))/(AVERAGEIFS(Estimativas!$115:$115,Estimativas!$315:$315,Indicadores!AG56)*1000)</f>
        <v>15.547005064818441</v>
      </c>
      <c r="AH77" s="685">
        <f>+((AH$59*66002.915))/(AVERAGEIFS(Estimativas!$115:$115,Estimativas!$315:$315,Indicadores!AH56)*1000)</f>
        <v>13.064528554469481</v>
      </c>
      <c r="AI77" s="685">
        <f>+((AI$59*66002.915))/(AVERAGEIFS(Estimativas!$115:$115,Estimativas!$315:$315,Indicadores!AI56)*1000)</f>
        <v>15.245419188730539</v>
      </c>
      <c r="AJ77" s="685">
        <f>+((AJ$59*66002.915))/(AVERAGEIFS(Estimativas!$115:$115,Estimativas!$315:$315,Indicadores!AJ56)*1000)</f>
        <v>15.267520675397332</v>
      </c>
      <c r="AK77" s="685" t="s">
        <v>160</v>
      </c>
      <c r="AL77" s="685" t="s">
        <v>160</v>
      </c>
      <c r="AM77" s="685" t="s">
        <v>160</v>
      </c>
      <c r="AN77" s="685" t="s">
        <v>160</v>
      </c>
      <c r="AO77" s="685" t="s">
        <v>160</v>
      </c>
      <c r="AP77" s="685" t="s">
        <v>160</v>
      </c>
      <c r="AQ77" s="685" t="s">
        <v>160</v>
      </c>
      <c r="AR77" s="685" t="s">
        <v>160</v>
      </c>
      <c r="AS77" s="685" t="s">
        <v>160</v>
      </c>
      <c r="AT77" s="685" t="s">
        <v>160</v>
      </c>
      <c r="AU77" s="685" t="s">
        <v>160</v>
      </c>
      <c r="AV77" s="685" t="s">
        <v>160</v>
      </c>
      <c r="AW77" s="685" t="s">
        <v>160</v>
      </c>
      <c r="AX77" s="685" t="s">
        <v>160</v>
      </c>
      <c r="AY77" s="685" t="s">
        <v>160</v>
      </c>
      <c r="AZ77" s="685" t="s">
        <v>160</v>
      </c>
      <c r="BA77" s="685" t="s">
        <v>160</v>
      </c>
      <c r="BB77" s="685" t="s">
        <v>160</v>
      </c>
      <c r="BC77" s="685" t="s">
        <v>160</v>
      </c>
      <c r="BD77" s="685" t="s">
        <v>160</v>
      </c>
      <c r="BE77" s="685" t="s">
        <v>160</v>
      </c>
      <c r="BF77" s="685" t="s">
        <v>160</v>
      </c>
      <c r="BG77" s="685" t="s">
        <v>160</v>
      </c>
      <c r="BH77" s="685" t="s">
        <v>160</v>
      </c>
      <c r="BI77" s="685" t="s">
        <v>160</v>
      </c>
      <c r="BJ77" s="685" t="s">
        <v>160</v>
      </c>
    </row>
    <row r="78" spans="1:62" x14ac:dyDescent="0.2">
      <c r="A78" s="1" t="s">
        <v>1809</v>
      </c>
      <c r="B78" s="1" t="s">
        <v>1804</v>
      </c>
      <c r="D78" s="117" t="str">
        <f>IF([1]RENAME!$H$3=1,B78,A78)</f>
        <v>Preço/Lucro 20</v>
      </c>
      <c r="E78" s="677" t="s">
        <v>160</v>
      </c>
      <c r="F78" s="677" t="s">
        <v>160</v>
      </c>
      <c r="G78" s="677" t="s">
        <v>160</v>
      </c>
      <c r="H78" s="677" t="s">
        <v>160</v>
      </c>
      <c r="I78" s="677" t="s">
        <v>160</v>
      </c>
      <c r="J78" s="677" t="s">
        <v>160</v>
      </c>
      <c r="K78" s="677" t="s">
        <v>160</v>
      </c>
      <c r="L78" s="677" t="s">
        <v>160</v>
      </c>
      <c r="M78" s="677" t="s">
        <v>160</v>
      </c>
      <c r="N78" s="677" t="s">
        <v>160</v>
      </c>
      <c r="O78" s="677" t="s">
        <v>160</v>
      </c>
      <c r="P78" s="677" t="s">
        <v>160</v>
      </c>
      <c r="Q78" s="677" t="s">
        <v>160</v>
      </c>
      <c r="R78" s="677" t="s">
        <v>160</v>
      </c>
      <c r="S78" s="677" t="s">
        <v>160</v>
      </c>
      <c r="T78" s="677" t="s">
        <v>160</v>
      </c>
      <c r="U78" s="677" t="s">
        <v>160</v>
      </c>
      <c r="V78" s="677" t="s">
        <v>160</v>
      </c>
      <c r="W78" s="677" t="s">
        <v>160</v>
      </c>
      <c r="X78" s="677" t="s">
        <v>160</v>
      </c>
      <c r="Y78" s="215" t="s">
        <v>160</v>
      </c>
      <c r="Z78" s="215" t="s">
        <v>160</v>
      </c>
      <c r="AA78" s="215" t="s">
        <v>160</v>
      </c>
      <c r="AB78" s="685" t="s">
        <v>160</v>
      </c>
      <c r="AC78" s="685" t="s">
        <v>160</v>
      </c>
      <c r="AD78" s="685">
        <f>+((AD$59*66002.915))/(AVERAGEIFS(Estimativas!$147:$147,Estimativas!$315:$315,Indicadores!AD56)*1000)</f>
        <v>11.920873327856061</v>
      </c>
      <c r="AE78" s="685">
        <f>+((AE$59*66002.915))/(AVERAGEIFS(Estimativas!$147:$147,Estimativas!$315:$315,Indicadores!AE56)*1000)</f>
        <v>11.180060042301438</v>
      </c>
      <c r="AF78" s="685">
        <f>+((AF$59*66002.915))/(AVERAGEIFS(Estimativas!$147:$147,Estimativas!$315:$315,Indicadores!AF56)*1000)</f>
        <v>11.813861552885333</v>
      </c>
      <c r="AG78" s="685">
        <f>+((AG$59*66002.915))/(AVERAGEIFS(Estimativas!$147:$147,Estimativas!$315:$315,Indicadores!AG56)*1000)</f>
        <v>13.114065140086401</v>
      </c>
      <c r="AH78" s="685">
        <f>+((AH$59*66002.915))/(AVERAGEIFS(Estimativas!$147:$147,Estimativas!$315:$315,Indicadores!AH56)*1000)</f>
        <v>11.691738573087841</v>
      </c>
      <c r="AI78" s="685">
        <f>+((AI$59*66002.915))/(AVERAGEIFS(Estimativas!$147:$147,Estimativas!$315:$315,Indicadores!AI56)*1000)</f>
        <v>13.720877269857485</v>
      </c>
      <c r="AJ78" s="685">
        <f>+((AJ$59*66002.915))/(AVERAGEIFS(Estimativas!$147:$147,Estimativas!$315:$315,Indicadores!AJ56)*1000)</f>
        <v>13.444628596432844</v>
      </c>
      <c r="AK78" s="685">
        <f>+((AK$59*66002.915))/(AVERAGEIFS(Estimativas!$147:$147,Estimativas!$315:$315,Indicadores!AK56)*1000)</f>
        <v>13.942707602359983</v>
      </c>
      <c r="AL78" s="685">
        <f>+((AL$59*66002.915))/(AVERAGEIFS(Estimativas!$147:$147,Estimativas!$315:$315,Indicadores!AL56)*1000)</f>
        <v>24.473579867651683</v>
      </c>
      <c r="AM78" s="685">
        <f>+((AM$59*66002.915))/(AVERAGEIFS(Estimativas!$147:$147,Estimativas!$315:$315,Indicadores!AM56)*1000)</f>
        <v>32.245802512489696</v>
      </c>
      <c r="AN78" s="685">
        <f>+((AN$59*66002.915))/(AVERAGEIFS(Estimativas!$147:$147,Estimativas!$315:$315,Indicadores!AN56)*1000)</f>
        <v>25.183802619797053</v>
      </c>
      <c r="AO78" s="685" t="s">
        <v>160</v>
      </c>
      <c r="AP78" s="685" t="s">
        <v>160</v>
      </c>
      <c r="AQ78" s="685" t="s">
        <v>160</v>
      </c>
      <c r="AR78" s="685" t="s">
        <v>160</v>
      </c>
      <c r="AS78" s="685" t="s">
        <v>160</v>
      </c>
      <c r="AT78" s="685" t="s">
        <v>160</v>
      </c>
      <c r="AU78" s="685" t="s">
        <v>160</v>
      </c>
      <c r="AV78" s="685" t="s">
        <v>160</v>
      </c>
      <c r="AW78" s="685" t="s">
        <v>160</v>
      </c>
      <c r="AX78" s="685" t="s">
        <v>160</v>
      </c>
      <c r="AY78" s="685" t="s">
        <v>160</v>
      </c>
      <c r="AZ78" s="685" t="s">
        <v>160</v>
      </c>
      <c r="BA78" s="685" t="s">
        <v>160</v>
      </c>
      <c r="BB78" s="685" t="s">
        <v>160</v>
      </c>
      <c r="BC78" s="685" t="s">
        <v>160</v>
      </c>
      <c r="BD78" s="685" t="s">
        <v>160</v>
      </c>
      <c r="BE78" s="685" t="s">
        <v>160</v>
      </c>
      <c r="BF78" s="685" t="s">
        <v>160</v>
      </c>
      <c r="BG78" s="685" t="s">
        <v>160</v>
      </c>
      <c r="BH78" s="685" t="s">
        <v>160</v>
      </c>
      <c r="BI78" s="685" t="s">
        <v>160</v>
      </c>
      <c r="BJ78" s="685" t="s">
        <v>160</v>
      </c>
    </row>
    <row r="79" spans="1:62" x14ac:dyDescent="0.2">
      <c r="A79" s="1" t="s">
        <v>1810</v>
      </c>
      <c r="B79" s="1" t="s">
        <v>1805</v>
      </c>
      <c r="D79" s="117" t="str">
        <f>IF([1]RENAME!$H$3=1,B79,A79)</f>
        <v>Preço/Lucro 21</v>
      </c>
      <c r="E79" s="215" t="s">
        <v>160</v>
      </c>
      <c r="F79" s="215" t="s">
        <v>160</v>
      </c>
      <c r="G79" s="215" t="s">
        <v>160</v>
      </c>
      <c r="H79" s="215" t="s">
        <v>160</v>
      </c>
      <c r="I79" s="215" t="s">
        <v>160</v>
      </c>
      <c r="J79" s="215" t="s">
        <v>160</v>
      </c>
      <c r="K79" s="215" t="s">
        <v>160</v>
      </c>
      <c r="L79" s="215" t="s">
        <v>160</v>
      </c>
      <c r="M79" s="215" t="s">
        <v>160</v>
      </c>
      <c r="N79" s="215" t="s">
        <v>160</v>
      </c>
      <c r="O79" s="215" t="s">
        <v>160</v>
      </c>
      <c r="P79" s="215" t="s">
        <v>160</v>
      </c>
      <c r="Q79" s="215" t="s">
        <v>160</v>
      </c>
      <c r="R79" s="215" t="s">
        <v>160</v>
      </c>
      <c r="S79" s="215" t="s">
        <v>160</v>
      </c>
      <c r="T79" s="215" t="s">
        <v>160</v>
      </c>
      <c r="U79" s="215" t="s">
        <v>160</v>
      </c>
      <c r="V79" s="215" t="s">
        <v>160</v>
      </c>
      <c r="W79" s="215" t="s">
        <v>160</v>
      </c>
      <c r="X79" s="215" t="s">
        <v>160</v>
      </c>
      <c r="Y79" s="215" t="s">
        <v>160</v>
      </c>
      <c r="Z79" s="215" t="s">
        <v>160</v>
      </c>
      <c r="AA79" s="215" t="s">
        <v>160</v>
      </c>
      <c r="AB79" s="685" t="s">
        <v>160</v>
      </c>
      <c r="AC79" s="685" t="s">
        <v>160</v>
      </c>
      <c r="AD79" s="685" t="s">
        <v>160</v>
      </c>
      <c r="AE79" s="685" t="s">
        <v>160</v>
      </c>
      <c r="AF79" s="685" t="s">
        <v>160</v>
      </c>
      <c r="AG79" s="685">
        <f>+((AG$59*66002.915))/(AVERAGEIFS(Estimativas!$171:$171,Estimativas!$315:$315,Indicadores!AG$56)*1000)</f>
        <v>12.7073694365411</v>
      </c>
      <c r="AH79" s="685">
        <f>+((AH$59*66002.915))/(AVERAGEIFS(Estimativas!$171:$171,Estimativas!$315:$315,Indicadores!AH$56)*1000)</f>
        <v>11.438501563045746</v>
      </c>
      <c r="AI79" s="685">
        <f>+((AI$59*66002.915))/(AVERAGEIFS(Estimativas!$171:$171,Estimativas!$315:$315,Indicadores!AI$56)*1000)</f>
        <v>12.907648155310454</v>
      </c>
      <c r="AJ79" s="685">
        <f>+((AJ$59*66002.915))/(AVERAGEIFS(Estimativas!$171:$171,Estimativas!$315:$315,Indicadores!AJ$56)*1000)</f>
        <v>12.412426400961202</v>
      </c>
      <c r="AK79" s="685">
        <f>+((AK$59*66002.915))/(AVERAGEIFS(Estimativas!$171:$171,Estimativas!$315:$315,Indicadores!AK$56)*1000)</f>
        <v>12.796516549463274</v>
      </c>
      <c r="AL79" s="685">
        <f>+((AL$59*66002.915))/(AVERAGEIFS(Estimativas!$171:$171,Estimativas!$315:$315,Indicadores!AL$56)*1000)</f>
        <v>13.191172859979506</v>
      </c>
      <c r="AM79" s="685">
        <f>+((AM$59*66002.915))/(AVERAGEIFS(Estimativas!$171:$171,Estimativas!$315:$315,Indicadores!AM$56)*1000)</f>
        <v>16.378979399784129</v>
      </c>
      <c r="AN79" s="685">
        <f>+((AN$59*66002.915))/(AVERAGEIFS(Estimativas!$171:$171,Estimativas!$315:$315,Indicadores!AN$56)*1000)</f>
        <v>13.395412170759505</v>
      </c>
      <c r="AO79" s="685">
        <f>+((AO$59*66002.915))/(AVERAGEIFS(Estimativas!$171:$171,Estimativas!$315:$315,Indicadores!AO$56)*1000)</f>
        <v>10.465690630305069</v>
      </c>
      <c r="AP79" s="685">
        <f>+((AP$59*66002.915))/(AVERAGEIFS(Estimativas!$171:$171,Estimativas!$315:$315,Indicadores!AP$56)*1000)</f>
        <v>10.48837106176464</v>
      </c>
      <c r="AQ79" s="685">
        <f>+((AQ$59*66002.915))/(AVERAGEIFS(Estimativas!$171:$171,Estimativas!$315:$315,Indicadores!AQ$56)*1000)</f>
        <v>10.741540155064158</v>
      </c>
      <c r="AR79" s="685">
        <f>+((AR$59*66002.915))/(AVERAGEIFS(Estimativas!$171:$171,Estimativas!$315:$315,Indicadores!AR$56)*1000)</f>
        <v>11.888067890285713</v>
      </c>
      <c r="AS79" s="685" t="s">
        <v>160</v>
      </c>
      <c r="AT79" s="685" t="s">
        <v>160</v>
      </c>
      <c r="AU79" s="685" t="s">
        <v>160</v>
      </c>
      <c r="AV79" s="685" t="s">
        <v>160</v>
      </c>
      <c r="AW79" s="685" t="s">
        <v>160</v>
      </c>
      <c r="AX79" s="685" t="s">
        <v>160</v>
      </c>
      <c r="AY79" s="685" t="s">
        <v>160</v>
      </c>
      <c r="AZ79" s="685" t="s">
        <v>160</v>
      </c>
      <c r="BA79" s="685" t="s">
        <v>160</v>
      </c>
      <c r="BB79" s="685" t="s">
        <v>160</v>
      </c>
      <c r="BC79" s="685" t="s">
        <v>160</v>
      </c>
      <c r="BD79" s="685" t="s">
        <v>160</v>
      </c>
      <c r="BE79" s="685" t="s">
        <v>160</v>
      </c>
      <c r="BF79" s="685" t="s">
        <v>160</v>
      </c>
      <c r="BG79" s="685" t="s">
        <v>160</v>
      </c>
      <c r="BH79" s="685" t="s">
        <v>160</v>
      </c>
      <c r="BI79" s="685" t="s">
        <v>160</v>
      </c>
      <c r="BJ79" s="685" t="s">
        <v>160</v>
      </c>
    </row>
    <row r="80" spans="1:62" x14ac:dyDescent="0.2">
      <c r="A80" s="1" t="s">
        <v>1811</v>
      </c>
      <c r="B80" s="1" t="s">
        <v>1806</v>
      </c>
      <c r="D80" s="117" t="str">
        <f>IF([1]RENAME!$H$3=1,B80,A80)</f>
        <v>Preço/Lucro 22</v>
      </c>
      <c r="E80" s="215" t="s">
        <v>160</v>
      </c>
      <c r="F80" s="215" t="s">
        <v>160</v>
      </c>
      <c r="G80" s="215" t="s">
        <v>160</v>
      </c>
      <c r="H80" s="215" t="s">
        <v>160</v>
      </c>
      <c r="I80" s="215" t="s">
        <v>160</v>
      </c>
      <c r="J80" s="215" t="s">
        <v>160</v>
      </c>
      <c r="K80" s="215" t="s">
        <v>160</v>
      </c>
      <c r="L80" s="215" t="s">
        <v>160</v>
      </c>
      <c r="M80" s="215" t="s">
        <v>160</v>
      </c>
      <c r="N80" s="215" t="s">
        <v>160</v>
      </c>
      <c r="O80" s="215" t="s">
        <v>160</v>
      </c>
      <c r="P80" s="215" t="s">
        <v>160</v>
      </c>
      <c r="Q80" s="215" t="s">
        <v>160</v>
      </c>
      <c r="R80" s="215" t="s">
        <v>160</v>
      </c>
      <c r="S80" s="215" t="s">
        <v>160</v>
      </c>
      <c r="T80" s="215" t="s">
        <v>160</v>
      </c>
      <c r="U80" s="215" t="s">
        <v>160</v>
      </c>
      <c r="V80" s="215" t="s">
        <v>160</v>
      </c>
      <c r="W80" s="215" t="s">
        <v>160</v>
      </c>
      <c r="X80" s="215" t="s">
        <v>160</v>
      </c>
      <c r="Y80" s="215" t="s">
        <v>160</v>
      </c>
      <c r="Z80" s="215" t="s">
        <v>160</v>
      </c>
      <c r="AA80" s="215" t="s">
        <v>160</v>
      </c>
      <c r="AB80" s="685" t="s">
        <v>160</v>
      </c>
      <c r="AC80" s="685" t="s">
        <v>160</v>
      </c>
      <c r="AD80" s="685" t="s">
        <v>160</v>
      </c>
      <c r="AE80" s="685" t="s">
        <v>160</v>
      </c>
      <c r="AF80" s="685" t="s">
        <v>160</v>
      </c>
      <c r="AG80" s="685" t="s">
        <v>160</v>
      </c>
      <c r="AH80" s="685" t="s">
        <v>160</v>
      </c>
      <c r="AI80" s="685" t="s">
        <v>160</v>
      </c>
      <c r="AJ80" s="685" t="s">
        <v>160</v>
      </c>
      <c r="AK80" s="685" t="s">
        <v>160</v>
      </c>
      <c r="AL80" s="685" t="s">
        <v>160</v>
      </c>
      <c r="AM80" s="685" t="s">
        <v>160</v>
      </c>
      <c r="AN80" s="685">
        <f>+((AN$59*66002.915))/(AVERAGEIFS(Estimativas!206:206,Estimativas!$315:$315,Indicadores!AN$56)*1000)</f>
        <v>11.72358373932131</v>
      </c>
      <c r="AO80" s="685">
        <f>+((AO$59*66002.915))/(AVERAGEIFS(Estimativas!206:206,Estimativas!$315:$315,Indicadores!AO$56)*1000)</f>
        <v>10.015123164671921</v>
      </c>
      <c r="AP80" s="685">
        <f>+((AP$59*66002.915))/(AVERAGEIFS(Estimativas!206:206,Estimativas!$315:$315,Indicadores!AP$56)*1000)</f>
        <v>10.042638537142883</v>
      </c>
      <c r="AQ80" s="685">
        <f>+((AQ$59*66002.915))/(AVERAGEIFS(Estimativas!206:206,Estimativas!$315:$315,Indicadores!AQ$56)*1000)</f>
        <v>9.5131670321561526</v>
      </c>
      <c r="AR80" s="685">
        <f>+((AR$59*66002.915))/(AVERAGEIFS(Estimativas!206:206,Estimativas!$315:$315,Indicadores!AR$56)*1000)</f>
        <v>9.0874135736750148</v>
      </c>
      <c r="AS80" s="685">
        <f>+((AS$59*66002.915))/(AVERAGEIFS(Estimativas!206:206,Estimativas!$315:$315,Indicadores!AS$56)*1000)</f>
        <v>9.0497147465753418</v>
      </c>
      <c r="AT80" s="685">
        <f>+((AT$59*66002.915))/(AVERAGEIFS(Estimativas!206:206,Estimativas!$315:$315,Indicadores!AT$56)*1000)</f>
        <v>9.2218284602023743</v>
      </c>
      <c r="AU80" s="685">
        <f>+((AU$59*66002.915))/(AVERAGEIFS(Estimativas!206:206,Estimativas!$315:$315,Indicadores!AU$56)*1000)</f>
        <v>9.6307404010985707</v>
      </c>
      <c r="AV80" s="685">
        <f>+((AV$59*66002.915))/(AVERAGEIFS(Estimativas!206:206,Estimativas!$315:$315,Indicadores!AV$56)*1000)</f>
        <v>11.177612878718225</v>
      </c>
      <c r="AW80" s="685" t="s">
        <v>160</v>
      </c>
      <c r="AX80" s="685" t="s">
        <v>160</v>
      </c>
      <c r="AY80" s="685" t="s">
        <v>160</v>
      </c>
      <c r="AZ80" s="685" t="s">
        <v>160</v>
      </c>
      <c r="BA80" s="685" t="s">
        <v>160</v>
      </c>
      <c r="BB80" s="685" t="s">
        <v>160</v>
      </c>
      <c r="BC80" s="685" t="s">
        <v>160</v>
      </c>
      <c r="BD80" s="685" t="s">
        <v>160</v>
      </c>
      <c r="BE80" s="685" t="s">
        <v>160</v>
      </c>
      <c r="BF80" s="685" t="s">
        <v>160</v>
      </c>
      <c r="BG80" s="685" t="s">
        <v>160</v>
      </c>
      <c r="BH80" s="685" t="s">
        <v>160</v>
      </c>
      <c r="BI80" s="685" t="s">
        <v>160</v>
      </c>
      <c r="BJ80" s="685" t="s">
        <v>160</v>
      </c>
    </row>
    <row r="81" spans="1:65" x14ac:dyDescent="0.2">
      <c r="A81" s="1" t="s">
        <v>1952</v>
      </c>
      <c r="B81" s="1" t="s">
        <v>1953</v>
      </c>
      <c r="D81" s="117" t="str">
        <f>IF([1]RENAME!$H$3=1,B81,A81)</f>
        <v>Preço/Lucro 23</v>
      </c>
      <c r="E81" s="215" t="s">
        <v>160</v>
      </c>
      <c r="F81" s="215" t="s">
        <v>160</v>
      </c>
      <c r="G81" s="215" t="s">
        <v>160</v>
      </c>
      <c r="H81" s="215" t="s">
        <v>160</v>
      </c>
      <c r="I81" s="215" t="s">
        <v>160</v>
      </c>
      <c r="J81" s="215" t="s">
        <v>160</v>
      </c>
      <c r="K81" s="215" t="s">
        <v>160</v>
      </c>
      <c r="L81" s="215" t="s">
        <v>160</v>
      </c>
      <c r="M81" s="215" t="s">
        <v>160</v>
      </c>
      <c r="N81" s="215" t="s">
        <v>160</v>
      </c>
      <c r="O81" s="215" t="s">
        <v>160</v>
      </c>
      <c r="P81" s="215" t="s">
        <v>160</v>
      </c>
      <c r="Q81" s="215" t="s">
        <v>160</v>
      </c>
      <c r="R81" s="215" t="s">
        <v>160</v>
      </c>
      <c r="S81" s="215" t="s">
        <v>160</v>
      </c>
      <c r="T81" s="215" t="s">
        <v>160</v>
      </c>
      <c r="U81" s="215" t="s">
        <v>160</v>
      </c>
      <c r="V81" s="215" t="s">
        <v>160</v>
      </c>
      <c r="W81" s="215" t="s">
        <v>160</v>
      </c>
      <c r="X81" s="215" t="s">
        <v>160</v>
      </c>
      <c r="Y81" s="215" t="s">
        <v>160</v>
      </c>
      <c r="Z81" s="215" t="s">
        <v>160</v>
      </c>
      <c r="AA81" s="215" t="s">
        <v>160</v>
      </c>
      <c r="AB81" s="685" t="s">
        <v>160</v>
      </c>
      <c r="AC81" s="685" t="s">
        <v>160</v>
      </c>
      <c r="AD81" s="685" t="s">
        <v>160</v>
      </c>
      <c r="AE81" s="685" t="s">
        <v>160</v>
      </c>
      <c r="AF81" s="685" t="s">
        <v>160</v>
      </c>
      <c r="AG81" s="685" t="s">
        <v>160</v>
      </c>
      <c r="AH81" s="685" t="s">
        <v>160</v>
      </c>
      <c r="AI81" s="685" t="s">
        <v>160</v>
      </c>
      <c r="AJ81" s="685" t="s">
        <v>160</v>
      </c>
      <c r="AK81" s="685" t="s">
        <v>160</v>
      </c>
      <c r="AL81" s="685" t="s">
        <v>160</v>
      </c>
      <c r="AM81" s="685" t="s">
        <v>160</v>
      </c>
      <c r="AN81" s="685" t="s">
        <v>160</v>
      </c>
      <c r="AO81" s="685" t="s">
        <v>160</v>
      </c>
      <c r="AP81" s="685" t="s">
        <v>160</v>
      </c>
      <c r="AQ81" s="685" t="s">
        <v>160</v>
      </c>
      <c r="AR81" s="685" t="s">
        <v>160</v>
      </c>
      <c r="AS81" s="685">
        <f>+((AS$59*66002.915))/(AVERAGEIFS(Estimativas!$259:$259,Estimativas!$315:$315,Indicadores!AS$56)*1000)</f>
        <v>6.9456830982078843</v>
      </c>
      <c r="AT81" s="685">
        <f>+((AT$59*66002.915))/(AVERAGEIFS(Estimativas!$259:$259,Estimativas!$315:$315,Indicadores!AT$56)*1000)</f>
        <v>7.200838429329294</v>
      </c>
      <c r="AU81" s="685">
        <f>+((AU$59*66002.915))/(AVERAGEIFS(Estimativas!$259:$259,Estimativas!$315:$315,Indicadores!AU$56)*1000)</f>
        <v>7.2357829129837432</v>
      </c>
      <c r="AV81" s="685">
        <f>+((AV$59*66002.915))/(AVERAGEIFS(Estimativas!$259:$259,Estimativas!$315:$315,Indicadores!AV$56)*1000)</f>
        <v>8.6801370066148671</v>
      </c>
      <c r="AW81" s="685">
        <f>+((AW$59*66002.915))/(AVERAGEIFS(Estimativas!$259:$259,Estimativas!$315:$315,Indicadores!AW$56)*1000)</f>
        <v>7.1680754226736569</v>
      </c>
      <c r="AX81" s="685">
        <f>+((AX$59*66002.915))/(AVERAGEIFS(Estimativas!$259:$259,Estimativas!$315:$315,Indicadores!AX$56)*1000)</f>
        <v>7.7544032107412155</v>
      </c>
      <c r="AY81" s="685">
        <f>+((AY$59*66002.915))/(AVERAGEIFS(Estimativas!$259:$259,Estimativas!$315:$315,Indicadores!AY$56)*1000)</f>
        <v>10.277049627659572</v>
      </c>
      <c r="AZ81" s="685">
        <f>+((AZ$59*66002.915))/(AVERAGEIFS(Estimativas!$259:$259,Estimativas!$315:$315,Indicadores!AZ$56)*1000)</f>
        <v>10.953675255319148</v>
      </c>
      <c r="BA81" s="685" t="s">
        <v>160</v>
      </c>
      <c r="BB81" s="685" t="s">
        <v>160</v>
      </c>
      <c r="BC81" s="685" t="s">
        <v>160</v>
      </c>
      <c r="BD81" s="685" t="s">
        <v>160</v>
      </c>
      <c r="BE81" s="685" t="s">
        <v>160</v>
      </c>
      <c r="BF81" s="685" t="s">
        <v>160</v>
      </c>
      <c r="BG81" s="685" t="s">
        <v>160</v>
      </c>
      <c r="BH81" s="685" t="s">
        <v>160</v>
      </c>
      <c r="BI81" s="685" t="s">
        <v>160</v>
      </c>
      <c r="BJ81" s="685" t="s">
        <v>160</v>
      </c>
    </row>
    <row r="82" spans="1:65" x14ac:dyDescent="0.2">
      <c r="A82" s="1" t="s">
        <v>2041</v>
      </c>
      <c r="B82" s="1" t="s">
        <v>2042</v>
      </c>
      <c r="D82" s="117" t="str">
        <f>IF([1]RENAME!$H$3=1,B82,A82)</f>
        <v>Preço/Lucro 24</v>
      </c>
      <c r="E82" s="215" t="s">
        <v>160</v>
      </c>
      <c r="F82" s="215" t="s">
        <v>160</v>
      </c>
      <c r="G82" s="215" t="s">
        <v>160</v>
      </c>
      <c r="H82" s="215" t="s">
        <v>160</v>
      </c>
      <c r="I82" s="215" t="s">
        <v>160</v>
      </c>
      <c r="J82" s="215" t="s">
        <v>160</v>
      </c>
      <c r="K82" s="215" t="s">
        <v>160</v>
      </c>
      <c r="L82" s="215" t="s">
        <v>160</v>
      </c>
      <c r="M82" s="215" t="s">
        <v>160</v>
      </c>
      <c r="N82" s="215" t="s">
        <v>160</v>
      </c>
      <c r="O82" s="215" t="s">
        <v>160</v>
      </c>
      <c r="P82" s="215" t="s">
        <v>160</v>
      </c>
      <c r="Q82" s="215" t="s">
        <v>160</v>
      </c>
      <c r="R82" s="215" t="s">
        <v>160</v>
      </c>
      <c r="S82" s="215" t="s">
        <v>160</v>
      </c>
      <c r="T82" s="215" t="s">
        <v>160</v>
      </c>
      <c r="U82" s="215" t="s">
        <v>160</v>
      </c>
      <c r="V82" s="215" t="s">
        <v>160</v>
      </c>
      <c r="W82" s="215" t="s">
        <v>160</v>
      </c>
      <c r="X82" s="215" t="s">
        <v>160</v>
      </c>
      <c r="Y82" s="215" t="s">
        <v>160</v>
      </c>
      <c r="Z82" s="215" t="s">
        <v>160</v>
      </c>
      <c r="AA82" s="215" t="s">
        <v>160</v>
      </c>
      <c r="AB82" s="685" t="s">
        <v>160</v>
      </c>
      <c r="AC82" s="685" t="s">
        <v>160</v>
      </c>
      <c r="AD82" s="685" t="s">
        <v>160</v>
      </c>
      <c r="AE82" s="685" t="s">
        <v>160</v>
      </c>
      <c r="AF82" s="685" t="s">
        <v>160</v>
      </c>
      <c r="AG82" s="685" t="s">
        <v>160</v>
      </c>
      <c r="AH82" s="685" t="s">
        <v>160</v>
      </c>
      <c r="AI82" s="685" t="s">
        <v>160</v>
      </c>
      <c r="AJ82" s="685" t="s">
        <v>160</v>
      </c>
      <c r="AK82" s="685" t="s">
        <v>160</v>
      </c>
      <c r="AL82" s="685" t="s">
        <v>160</v>
      </c>
      <c r="AM82" s="685" t="s">
        <v>160</v>
      </c>
      <c r="AN82" s="685" t="s">
        <v>160</v>
      </c>
      <c r="AO82" s="685" t="s">
        <v>160</v>
      </c>
      <c r="AP82" s="685" t="s">
        <v>160</v>
      </c>
      <c r="AQ82" s="685" t="s">
        <v>160</v>
      </c>
      <c r="AR82" s="685" t="s">
        <v>160</v>
      </c>
      <c r="AS82" s="685" t="s">
        <v>160</v>
      </c>
      <c r="AT82" s="685" t="s">
        <v>160</v>
      </c>
      <c r="AU82" s="685">
        <f>+((AU$59*66002.915))/(AVERAGEIFS(Estimativas!283:283,Estimativas!$315:$315,Indicadores!AU$56)*1000)</f>
        <v>5.6731345572608864</v>
      </c>
      <c r="AV82" s="685">
        <f>+((AV$59*66002.915))/(AVERAGEIFS(Estimativas!283:283,Estimativas!$315:$315,Indicadores!AV$56)*1000)</f>
        <v>7.3191345596281545</v>
      </c>
      <c r="AW82" s="685">
        <f>+((AW$59*66002.915))/(AVERAGEIFS(Estimativas!283:283,Estimativas!$315:$315,Indicadores!AW$56)*1000)</f>
        <v>6.4249533597650501</v>
      </c>
      <c r="AX82" s="685">
        <f>+((AX$59*66002.915))/(AVERAGEIFS(Estimativas!283:283,Estimativas!$315:$315,Indicadores!AX$56)*1000)</f>
        <v>6.9785469181046045</v>
      </c>
      <c r="AY82" s="685">
        <f>+((AY$59*66002.915))/(AVERAGEIFS(Estimativas!283:283,Estimativas!$315:$315,Indicadores!AY$56)*1000)</f>
        <v>9.1318842580922333</v>
      </c>
      <c r="AZ82" s="685">
        <f>+((AZ$59*66002.915))/(AVERAGEIFS(Estimativas!283:283,Estimativas!$315:$315,Indicadores!AZ$56)*1000)</f>
        <v>9.5605798092290346</v>
      </c>
      <c r="BA82" s="685">
        <f>+((BA$59*66002.915))/(AVERAGEIFS(Estimativas!283:283,Estimativas!$315:$315,Indicadores!BA$56)*1000)</f>
        <v>9.2300682177545674</v>
      </c>
      <c r="BB82" s="685">
        <f>+((BB$59*66002.915))/(AVERAGEIFS(Estimativas!283:283,Estimativas!$315:$315,Indicadores!BB$56)*1000)</f>
        <v>8.5889955185378586</v>
      </c>
      <c r="BC82" s="685">
        <f>+((BC$59*66002.915))/(AVERAGEIFS(Estimativas!283:283,Estimativas!$315:$315,Indicadores!BC$56)*1000)</f>
        <v>8.9302116326370751</v>
      </c>
      <c r="BD82" s="685">
        <f>+((BD$59*66002.915))/(AVERAGEIFS(Estimativas!283:283,Estimativas!$315:$315,Indicadores!BD$56)*1000)</f>
        <v>9.0631589451162764</v>
      </c>
      <c r="BE82" s="685" t="s">
        <v>160</v>
      </c>
      <c r="BF82" s="685" t="s">
        <v>160</v>
      </c>
      <c r="BG82" s="685" t="s">
        <v>160</v>
      </c>
      <c r="BH82" s="685" t="s">
        <v>160</v>
      </c>
      <c r="BI82" s="685" t="s">
        <v>160</v>
      </c>
      <c r="BJ82" s="685" t="s">
        <v>160</v>
      </c>
    </row>
    <row r="83" spans="1:65" x14ac:dyDescent="0.2">
      <c r="A83" s="1" t="s">
        <v>2231</v>
      </c>
      <c r="B83" s="1" t="s">
        <v>2232</v>
      </c>
      <c r="D83" s="117" t="str">
        <f>IF([1]RENAME!$H$3=1,B83,A83)</f>
        <v>Preço/Lucro 25</v>
      </c>
      <c r="E83" s="215" t="s">
        <v>160</v>
      </c>
      <c r="F83" s="215" t="s">
        <v>160</v>
      </c>
      <c r="G83" s="215" t="s">
        <v>160</v>
      </c>
      <c r="H83" s="215" t="s">
        <v>160</v>
      </c>
      <c r="I83" s="215" t="s">
        <v>160</v>
      </c>
      <c r="J83" s="215" t="s">
        <v>160</v>
      </c>
      <c r="K83" s="215" t="s">
        <v>160</v>
      </c>
      <c r="L83" s="215" t="s">
        <v>160</v>
      </c>
      <c r="M83" s="215" t="s">
        <v>160</v>
      </c>
      <c r="N83" s="215" t="s">
        <v>160</v>
      </c>
      <c r="O83" s="215" t="s">
        <v>160</v>
      </c>
      <c r="P83" s="215" t="s">
        <v>160</v>
      </c>
      <c r="Q83" s="215" t="s">
        <v>160</v>
      </c>
      <c r="R83" s="215" t="s">
        <v>160</v>
      </c>
      <c r="S83" s="215" t="s">
        <v>160</v>
      </c>
      <c r="T83" s="215" t="s">
        <v>160</v>
      </c>
      <c r="U83" s="215" t="s">
        <v>160</v>
      </c>
      <c r="V83" s="215" t="s">
        <v>160</v>
      </c>
      <c r="W83" s="215" t="s">
        <v>160</v>
      </c>
      <c r="X83" s="215" t="s">
        <v>160</v>
      </c>
      <c r="Y83" s="215" t="s">
        <v>160</v>
      </c>
      <c r="Z83" s="215" t="s">
        <v>160</v>
      </c>
      <c r="AA83" s="215" t="s">
        <v>160</v>
      </c>
      <c r="AB83" s="685" t="s">
        <v>160</v>
      </c>
      <c r="AC83" s="685" t="s">
        <v>160</v>
      </c>
      <c r="AD83" s="685" t="s">
        <v>160</v>
      </c>
      <c r="AE83" s="685" t="s">
        <v>160</v>
      </c>
      <c r="AF83" s="685" t="s">
        <v>160</v>
      </c>
      <c r="AG83" s="685" t="s">
        <v>160</v>
      </c>
      <c r="AH83" s="685" t="s">
        <v>160</v>
      </c>
      <c r="AI83" s="685" t="s">
        <v>160</v>
      </c>
      <c r="AJ83" s="685" t="s">
        <v>160</v>
      </c>
      <c r="AK83" s="685" t="s">
        <v>160</v>
      </c>
      <c r="AL83" s="685" t="s">
        <v>160</v>
      </c>
      <c r="AM83" s="685" t="s">
        <v>160</v>
      </c>
      <c r="AN83" s="685" t="s">
        <v>160</v>
      </c>
      <c r="AO83" s="685" t="s">
        <v>160</v>
      </c>
      <c r="AP83" s="685" t="s">
        <v>160</v>
      </c>
      <c r="AQ83" s="685" t="s">
        <v>160</v>
      </c>
      <c r="AR83" s="685" t="s">
        <v>160</v>
      </c>
      <c r="AS83" s="685" t="s">
        <v>160</v>
      </c>
      <c r="AT83" s="685" t="s">
        <v>160</v>
      </c>
      <c r="AU83" s="685" t="s">
        <v>160</v>
      </c>
      <c r="AV83" s="685" t="s">
        <v>160</v>
      </c>
      <c r="AW83" s="685" t="s">
        <v>160</v>
      </c>
      <c r="AX83" s="685" t="s">
        <v>160</v>
      </c>
      <c r="AY83" s="685" t="s">
        <v>160</v>
      </c>
      <c r="AZ83" s="685" t="s">
        <v>160</v>
      </c>
      <c r="BA83" s="685" t="s">
        <v>160</v>
      </c>
      <c r="BB83" s="685" t="s">
        <v>160</v>
      </c>
      <c r="BC83" s="685" t="s">
        <v>160</v>
      </c>
      <c r="BD83" s="685">
        <f>+((BD$59*66002.915))/(AVERAGEIFS(Estimativas!$301:$301,Estimativas!$315:$315,Indicadores!BD$56)*1000)</f>
        <v>7.2169599007407381</v>
      </c>
      <c r="BE83" s="685">
        <f>+((BE$59*66002.915))/(AVERAGEIFS(Estimativas!$301:$301,Estimativas!$315:$315,Indicadores!BE$56)*1000)</f>
        <v>6.837727728877887</v>
      </c>
      <c r="BF83" s="685">
        <f>+((BF$59*66002.915))/(AVERAGEIFS(Estimativas!$301:$301,Estimativas!$315:$315,Indicadores!BF$56)*1000)</f>
        <v>7.9150501346938791</v>
      </c>
      <c r="BG83" s="685">
        <f>+((BG$59*66002.915))/(AVERAGEIFS(Estimativas!$301:$301,Estimativas!$315:$315,Indicadores!BG$56)*1000)</f>
        <v>8.2540778377950517</v>
      </c>
      <c r="BH83" s="685">
        <f>+((BH$59*66002.915))/(AVERAGEIFS(Estimativas!$301:$301,Estimativas!$315:$315,Indicadores!BH$56)*1000)</f>
        <v>8.4641766348591538</v>
      </c>
      <c r="BI83" s="685" t="s">
        <v>160</v>
      </c>
      <c r="BJ83" s="685" t="s">
        <v>160</v>
      </c>
    </row>
    <row r="84" spans="1:65" x14ac:dyDescent="0.2">
      <c r="A84" s="1" t="s">
        <v>2275</v>
      </c>
      <c r="B84" s="1" t="s">
        <v>2276</v>
      </c>
      <c r="D84" s="117" t="str">
        <f>IF([1]RENAME!$H$3=1,B84,A84)</f>
        <v>Preço/Lucro 26</v>
      </c>
      <c r="E84" s="215" t="s">
        <v>160</v>
      </c>
      <c r="F84" s="215" t="s">
        <v>160</v>
      </c>
      <c r="G84" s="215" t="s">
        <v>160</v>
      </c>
      <c r="H84" s="215" t="s">
        <v>160</v>
      </c>
      <c r="I84" s="215" t="s">
        <v>160</v>
      </c>
      <c r="J84" s="215" t="s">
        <v>160</v>
      </c>
      <c r="K84" s="215" t="s">
        <v>160</v>
      </c>
      <c r="L84" s="215" t="s">
        <v>160</v>
      </c>
      <c r="M84" s="215" t="s">
        <v>160</v>
      </c>
      <c r="N84" s="215" t="s">
        <v>160</v>
      </c>
      <c r="O84" s="215" t="s">
        <v>160</v>
      </c>
      <c r="P84" s="215" t="s">
        <v>160</v>
      </c>
      <c r="Q84" s="215" t="s">
        <v>160</v>
      </c>
      <c r="R84" s="215" t="s">
        <v>160</v>
      </c>
      <c r="S84" s="215" t="s">
        <v>160</v>
      </c>
      <c r="T84" s="215" t="s">
        <v>160</v>
      </c>
      <c r="U84" s="215" t="s">
        <v>160</v>
      </c>
      <c r="V84" s="215" t="s">
        <v>160</v>
      </c>
      <c r="W84" s="215" t="s">
        <v>160</v>
      </c>
      <c r="X84" s="215" t="s">
        <v>160</v>
      </c>
      <c r="Y84" s="215" t="s">
        <v>160</v>
      </c>
      <c r="Z84" s="215" t="s">
        <v>160</v>
      </c>
      <c r="AA84" s="215" t="s">
        <v>160</v>
      </c>
      <c r="AB84" s="685" t="s">
        <v>160</v>
      </c>
      <c r="AC84" s="685" t="s">
        <v>160</v>
      </c>
      <c r="AD84" s="685" t="s">
        <v>160</v>
      </c>
      <c r="AE84" s="685" t="s">
        <v>160</v>
      </c>
      <c r="AF84" s="685" t="s">
        <v>160</v>
      </c>
      <c r="AG84" s="685" t="s">
        <v>160</v>
      </c>
      <c r="AH84" s="685" t="s">
        <v>160</v>
      </c>
      <c r="AI84" s="685" t="s">
        <v>160</v>
      </c>
      <c r="AJ84" s="685" t="s">
        <v>160</v>
      </c>
      <c r="AK84" s="685" t="s">
        <v>160</v>
      </c>
      <c r="AL84" s="685" t="s">
        <v>160</v>
      </c>
      <c r="AM84" s="685" t="s">
        <v>160</v>
      </c>
      <c r="AN84" s="685" t="s">
        <v>160</v>
      </c>
      <c r="AO84" s="685" t="s">
        <v>160</v>
      </c>
      <c r="AP84" s="685" t="s">
        <v>160</v>
      </c>
      <c r="AQ84" s="685" t="s">
        <v>160</v>
      </c>
      <c r="AR84" s="685" t="s">
        <v>160</v>
      </c>
      <c r="AS84" s="685" t="s">
        <v>160</v>
      </c>
      <c r="AT84" s="685" t="s">
        <v>160</v>
      </c>
      <c r="AU84" s="685" t="s">
        <v>160</v>
      </c>
      <c r="AV84" s="685" t="s">
        <v>160</v>
      </c>
      <c r="AW84" s="685" t="s">
        <v>160</v>
      </c>
      <c r="AX84" s="685" t="s">
        <v>160</v>
      </c>
      <c r="AY84" s="685" t="s">
        <v>160</v>
      </c>
      <c r="AZ84" s="685" t="s">
        <v>160</v>
      </c>
      <c r="BA84" s="685" t="s">
        <v>160</v>
      </c>
      <c r="BB84" s="685" t="s">
        <v>160</v>
      </c>
      <c r="BC84" s="685" t="s">
        <v>160</v>
      </c>
      <c r="BD84" s="685">
        <f>+((BD$59*66002.915))/(AVERAGEIFS(Estimativas!$32:$32,Estimativas!$315:$315,Indicadores!BD$56)*1000)</f>
        <v>6.8371199059649097</v>
      </c>
      <c r="BE84" s="685">
        <f>+((BE$59*66002.915))/(AVERAGEIFS(Estimativas!$32:$32,Estimativas!$315:$315,Indicadores!BE$56)*1000)</f>
        <v>6.355311355368098</v>
      </c>
      <c r="BF84" s="685">
        <f>+((BF$59*66002.915))/(AVERAGEIFS(Estimativas!$32:$32,Estimativas!$315:$315,Indicadores!BF$56)*1000)</f>
        <v>7.4266747008510654</v>
      </c>
      <c r="BG84" s="685">
        <f>+((BG$59*66002.915))/(AVERAGEIFS(Estimativas!$32:$32,Estimativas!$315:$315,Indicadores!BG$56)*1000)</f>
        <v>7.7835685147937044</v>
      </c>
      <c r="BH84" s="685">
        <f>+((BH$59*66002.915))/(AVERAGEIFS(Estimativas!$32:$32,Estimativas!$315:$315,Indicadores!BH$56)*1000)</f>
        <v>8.1485632688135592</v>
      </c>
      <c r="BI84" s="685">
        <f>+((BI$59*66002.915))/(AVERAGEIFS(Estimativas!$32:$32,Estimativas!$315:$315,Indicadores!BI$56)*1000)</f>
        <v>8.8702072483394829</v>
      </c>
      <c r="BJ84" s="685">
        <f>+((BJ$59*66002.915))/(AVERAGEIFS(Estimativas!$32:$32,Estimativas!$315:$315,Indicadores!BJ$56)*1000)</f>
        <v>7.6694900123616225</v>
      </c>
    </row>
    <row r="85" spans="1:65" x14ac:dyDescent="0.2">
      <c r="A85" s="1" t="s">
        <v>2317</v>
      </c>
      <c r="B85" s="1" t="s">
        <v>2318</v>
      </c>
      <c r="D85" s="117" t="str">
        <f>IF([1]RENAME!$H$3=1,B85,A85)</f>
        <v>Preço/Lucro 27</v>
      </c>
      <c r="E85" s="215" t="s">
        <v>160</v>
      </c>
      <c r="F85" s="215" t="s">
        <v>160</v>
      </c>
      <c r="G85" s="215" t="s">
        <v>160</v>
      </c>
      <c r="H85" s="215" t="s">
        <v>160</v>
      </c>
      <c r="I85" s="215" t="s">
        <v>160</v>
      </c>
      <c r="J85" s="215" t="s">
        <v>160</v>
      </c>
      <c r="K85" s="215" t="s">
        <v>160</v>
      </c>
      <c r="L85" s="215" t="s">
        <v>160</v>
      </c>
      <c r="M85" s="215" t="s">
        <v>160</v>
      </c>
      <c r="N85" s="215" t="s">
        <v>160</v>
      </c>
      <c r="O85" s="215" t="s">
        <v>160</v>
      </c>
      <c r="P85" s="215" t="s">
        <v>160</v>
      </c>
      <c r="Q85" s="215" t="s">
        <v>160</v>
      </c>
      <c r="R85" s="215" t="s">
        <v>160</v>
      </c>
      <c r="S85" s="215" t="s">
        <v>160</v>
      </c>
      <c r="T85" s="215" t="s">
        <v>160</v>
      </c>
      <c r="U85" s="215" t="s">
        <v>160</v>
      </c>
      <c r="V85" s="215" t="s">
        <v>160</v>
      </c>
      <c r="W85" s="215" t="s">
        <v>160</v>
      </c>
      <c r="X85" s="215" t="s">
        <v>160</v>
      </c>
      <c r="Y85" s="215" t="s">
        <v>160</v>
      </c>
      <c r="Z85" s="215" t="s">
        <v>160</v>
      </c>
      <c r="AA85" s="215" t="s">
        <v>160</v>
      </c>
      <c r="AB85" s="685" t="s">
        <v>160</v>
      </c>
      <c r="AC85" s="685" t="s">
        <v>160</v>
      </c>
      <c r="AD85" s="685" t="s">
        <v>160</v>
      </c>
      <c r="AE85" s="685" t="s">
        <v>160</v>
      </c>
      <c r="AF85" s="685" t="s">
        <v>160</v>
      </c>
      <c r="AG85" s="685" t="s">
        <v>160</v>
      </c>
      <c r="AH85" s="685" t="s">
        <v>160</v>
      </c>
      <c r="AI85" s="685" t="s">
        <v>160</v>
      </c>
      <c r="AJ85" s="685" t="s">
        <v>160</v>
      </c>
      <c r="AK85" s="685" t="s">
        <v>160</v>
      </c>
      <c r="AL85" s="685" t="s">
        <v>160</v>
      </c>
      <c r="AM85" s="685" t="s">
        <v>160</v>
      </c>
      <c r="AN85" s="685" t="s">
        <v>160</v>
      </c>
      <c r="AO85" s="685" t="s">
        <v>160</v>
      </c>
      <c r="AP85" s="685" t="s">
        <v>160</v>
      </c>
      <c r="AQ85" s="685" t="s">
        <v>160</v>
      </c>
      <c r="AR85" s="685" t="s">
        <v>160</v>
      </c>
      <c r="AS85" s="685" t="s">
        <v>160</v>
      </c>
      <c r="AT85" s="685" t="s">
        <v>160</v>
      </c>
      <c r="AU85" s="685" t="s">
        <v>160</v>
      </c>
      <c r="AV85" s="685" t="s">
        <v>160</v>
      </c>
      <c r="AW85" s="685" t="s">
        <v>160</v>
      </c>
      <c r="AX85" s="685" t="s">
        <v>160</v>
      </c>
      <c r="AY85" s="685" t="s">
        <v>160</v>
      </c>
      <c r="AZ85" s="685" t="s">
        <v>160</v>
      </c>
      <c r="BA85" s="685" t="s">
        <v>160</v>
      </c>
      <c r="BB85" s="685" t="s">
        <v>160</v>
      </c>
      <c r="BC85" s="685" t="s">
        <v>160</v>
      </c>
      <c r="BD85" s="685" t="s">
        <v>160</v>
      </c>
      <c r="BE85" s="685" t="s">
        <v>160</v>
      </c>
      <c r="BF85" s="685">
        <f>+((BF$59*66002.915))/(AVERAGEIFS(Estimativas!$47:$47,Estimativas!$315:$315,Indicadores!BF$56)*1000)</f>
        <v>7.1381126981595102</v>
      </c>
      <c r="BG85" s="685">
        <f>+((BG$59*66002.915))/(AVERAGEIFS(Estimativas!$47:$47,Estimativas!$315:$315,Indicadores!BG$56)*1000)</f>
        <v>7.4751476560218997</v>
      </c>
      <c r="BH85" s="685">
        <f>+((BH$59*66002.915))/(AVERAGEIFS(Estimativas!$47:$47,Estimativas!$315:$315,Indicadores!BH$56)*1000)</f>
        <v>7.5158712797290255</v>
      </c>
      <c r="BI85" s="685">
        <f>+((BI$59*66002.915))/(AVERAGEIFS(Estimativas!$47:$47,Estimativas!$315:$315,Indicadores!BI$56)*1000)</f>
        <v>7.8173208595121944</v>
      </c>
      <c r="BJ85" s="685">
        <f>+((BJ$59*66002.915))/(AVERAGEIFS(Estimativas!$47:$47,Estimativas!$315:$315,Indicadores!BJ$56)*1000)</f>
        <v>6.7591277832520316</v>
      </c>
    </row>
    <row r="86" spans="1:65" x14ac:dyDescent="0.2">
      <c r="D86" s="461"/>
    </row>
    <row r="87" spans="1:65" x14ac:dyDescent="0.2">
      <c r="A87" s="1" t="s">
        <v>496</v>
      </c>
      <c r="B87" s="1" t="s">
        <v>853</v>
      </c>
      <c r="D87" s="9" t="str">
        <f>IF([1]RENAME!$H$3=1,B87,A87)</f>
        <v>(consolidado em R$ mil)</v>
      </c>
      <c r="O87" s="1"/>
      <c r="P87" s="1"/>
      <c r="Q87" s="1"/>
      <c r="T87" s="455"/>
      <c r="U87" s="455"/>
      <c r="V87" s="455"/>
      <c r="W87" s="455"/>
      <c r="X87" s="455"/>
      <c r="Y87" s="455"/>
      <c r="Z87" s="455"/>
      <c r="AA87" s="455"/>
      <c r="AB87" s="455"/>
      <c r="AC87" s="455"/>
      <c r="AD87" s="455"/>
      <c r="AE87" s="455"/>
    </row>
    <row r="88" spans="1:65" x14ac:dyDescent="0.2">
      <c r="A88" s="1" t="s">
        <v>633</v>
      </c>
      <c r="B88" s="1" t="s">
        <v>633</v>
      </c>
      <c r="D88" s="943" t="str">
        <f>IF([1]RENAME!$H$3=1,B88,A88)</f>
        <v>Cronograma de pagamento da dívida (PRINCIPAL)</v>
      </c>
      <c r="E88" s="262" t="s">
        <v>160</v>
      </c>
      <c r="F88" s="262" t="s">
        <v>160</v>
      </c>
      <c r="G88" s="262" t="s">
        <v>160</v>
      </c>
      <c r="H88" s="262" t="s">
        <v>160</v>
      </c>
      <c r="I88" s="262" t="s">
        <v>160</v>
      </c>
      <c r="J88" s="467" t="s">
        <v>160</v>
      </c>
      <c r="K88" s="467" t="s">
        <v>160</v>
      </c>
      <c r="L88" s="467" t="s">
        <v>160</v>
      </c>
      <c r="M88" s="467" t="s">
        <v>160</v>
      </c>
      <c r="N88" s="467" t="s">
        <v>160</v>
      </c>
      <c r="O88" s="467" t="s">
        <v>160</v>
      </c>
      <c r="P88" s="467" t="s">
        <v>160</v>
      </c>
      <c r="Q88" s="467" t="s">
        <v>160</v>
      </c>
      <c r="R88" s="467" t="s">
        <v>160</v>
      </c>
      <c r="S88" s="467" t="s">
        <v>160</v>
      </c>
      <c r="T88" s="467" t="s">
        <v>160</v>
      </c>
      <c r="U88" s="467" t="s">
        <v>160</v>
      </c>
      <c r="V88" s="467" t="s">
        <v>160</v>
      </c>
      <c r="W88" s="467" t="s">
        <v>160</v>
      </c>
      <c r="X88" s="467" t="s">
        <v>160</v>
      </c>
      <c r="Y88" s="467" t="s">
        <v>160</v>
      </c>
      <c r="Z88" s="467" t="s">
        <v>160</v>
      </c>
      <c r="AA88" s="467" t="s">
        <v>160</v>
      </c>
      <c r="AB88" s="463">
        <f>IF([1]RENAME!$H$3=0,$A151,TEXT($A151,"[$-en-US]mmm-AA;@"))</f>
        <v>42705</v>
      </c>
      <c r="AC88" s="467">
        <f>IF([1]RENAME!$H$3=0,$A152,TEXT($A152,"[$-en-US]mmm-AA;@"))</f>
        <v>42767</v>
      </c>
      <c r="AD88" s="464">
        <f>IF([1]RENAME!$H$3=0,$A153,TEXT($A153,"[$-en-US]mmm-AA;@"))</f>
        <v>43070</v>
      </c>
      <c r="AE88" s="463">
        <f>IF([1]RENAME!$H$3=0,$A154,TEXT($A154,"[$-en-US]mmm-AA;@"))</f>
        <v>43132</v>
      </c>
      <c r="AF88" s="464">
        <f>IF([1]RENAME!$H$3=0,$A155,TEXT($A155,"[$-en-US]mmm-AA;@"))</f>
        <v>43435</v>
      </c>
      <c r="AG88" s="463">
        <f>IF([1]RENAME!$H$3=0,$A156,TEXT($A156,"[$-en-US]mmm-AA;@"))</f>
        <v>43497</v>
      </c>
      <c r="AH88" s="467">
        <f>IF([1]RENAME!$H$3=0,A157,TEXT(A157,"[$-en-US]mmm-AA;@"))</f>
        <v>43617</v>
      </c>
      <c r="AI88" s="464">
        <f>IF([1]RENAME!$H$3=0,A158,TEXT(A158,"[$-en-US]mmm-AA;@"))</f>
        <v>43800</v>
      </c>
      <c r="AJ88" s="463">
        <f>IF([1]RENAME!$H$3=0,A159,TEXT(A159,"[$-en-US]mmm-AA;@"))</f>
        <v>43983</v>
      </c>
      <c r="AK88" s="467">
        <f>IF([1]RENAME!$H$3=0,A160,TEXT(A160,"[$-en-US]mmm-AA;@"))</f>
        <v>44013</v>
      </c>
      <c r="AL88" s="464">
        <f>IF([1]RENAME!$H$3=0,A161,TEXT($A161,"[$-en-US]mmm-AA;@"))</f>
        <v>44044</v>
      </c>
      <c r="AM88" s="467">
        <f>IF([1]RENAME!$H$3=0,A162,TEXT($A163,"[$-en-US]mmm-AA;@"))</f>
        <v>44287</v>
      </c>
      <c r="AN88" s="464">
        <f>IF([1]RENAME!$H$3=0,A163,TEXT($A162,"[$-en-US]mmm-AA;@"))</f>
        <v>44378</v>
      </c>
      <c r="AO88" s="467">
        <f>IF([1]RENAME!$H$3=0,A164,TEXT($A164,"[$-en-US]mmm-AA;@"))</f>
        <v>44621</v>
      </c>
      <c r="AP88" s="464">
        <f>IF([1]RENAME!$H$3=0,A165,TEXT($A165,"[$-en-US]mmm-AA;@"))</f>
        <v>44652</v>
      </c>
      <c r="AQ88" s="467">
        <f>IF([1]RENAME!$H$3=0,A166,TEXT($A165,"[$-en-US]mmm-AA;@"))</f>
        <v>44986</v>
      </c>
      <c r="AR88" s="467">
        <f>IF([1]RENAME!$H$3=0,A167,TEXT($A167,"[$-en-US]mmm-AA;@"))</f>
        <v>45108</v>
      </c>
      <c r="AS88" s="464">
        <f>IF([1]RENAME!$H$3=0,A168,TEXT($A168,"[$-en-US]mmm-AA;@"))</f>
        <v>45139</v>
      </c>
      <c r="AT88" s="464">
        <f>IF([1]RENAME!$H$3=0,A169,TEXT($A169,"[$-en-US]mmm-AA;@"))</f>
        <v>45383</v>
      </c>
      <c r="AU88" s="464">
        <f>IF([1]RENAME!$H$3=0,A170,TEXT($A170,"[$-en-US]mmm-AA;@"))</f>
        <v>45870</v>
      </c>
      <c r="AV88" s="464" t="s">
        <v>2244</v>
      </c>
      <c r="AW88" s="464" t="s">
        <v>2284</v>
      </c>
      <c r="AX88" s="464" t="s">
        <v>2285</v>
      </c>
      <c r="AY88" s="464" t="s">
        <v>2286</v>
      </c>
      <c r="AZ88" s="464" t="s">
        <v>2287</v>
      </c>
      <c r="BA88" s="1138">
        <f>IF([1]RENAME!$H$3=0,A171,TEXT($A171,"[$-en-US]mmm-AA;@"))</f>
        <v>46023</v>
      </c>
      <c r="BB88" s="1138">
        <f>IF([1]RENAME!$H$3=0,A172,TEXT($A172,"[$-en-US]mmm-AA;@"))</f>
        <v>46388</v>
      </c>
      <c r="BC88" s="1138">
        <f>IF([1]RENAME!$H$3=0,A173,TEXT($A173,"[$-en-US]mmm-AA;@"))</f>
        <v>46753</v>
      </c>
      <c r="BD88" s="1138">
        <f>IF([1]RENAME!$H$3=0,A174,TEXT($A174,"[$-en-US]mmm-AA;@"))</f>
        <v>47119</v>
      </c>
      <c r="BE88" s="1138">
        <f>IF([1]RENAME!$H$3=0,A175,TEXT($A175,"[$-en-US]mmm-AA;@"))</f>
        <v>47484</v>
      </c>
      <c r="BF88" s="1138">
        <f>IF([1]RENAME!$H$3=0,A176,TEXT($A176,"[$-en-US]mmm-AA;@"))</f>
        <v>47849</v>
      </c>
      <c r="BG88" s="1138">
        <f>IF([1]RENAME!$H$3=0,A177,TEXT($A177,"[$-en-US]mmm-AA;@"))</f>
        <v>48214</v>
      </c>
      <c r="BH88" s="464" t="str">
        <f>IF([1]RENAME!$H$3=0,A178,TEXT($A178,"[$-en-US]mmm-AA;@"))</f>
        <v>2033-40</v>
      </c>
      <c r="BI88" s="467" t="s">
        <v>73</v>
      </c>
      <c r="BJ88" s="464" t="s">
        <v>628</v>
      </c>
      <c r="BK88"/>
      <c r="BL88"/>
      <c r="BM88"/>
    </row>
    <row r="89" spans="1:65" hidden="1" outlineLevel="1" x14ac:dyDescent="0.2">
      <c r="A89" s="1" t="s">
        <v>500</v>
      </c>
      <c r="B89" s="1" t="s">
        <v>846</v>
      </c>
      <c r="D89" s="222" t="str">
        <f>IF([1]RENAME!$H$3=1,B89,A89)</f>
        <v>2T16</v>
      </c>
      <c r="E89" s="457" t="s">
        <v>160</v>
      </c>
      <c r="F89" s="457" t="s">
        <v>160</v>
      </c>
      <c r="G89" s="457" t="s">
        <v>160</v>
      </c>
      <c r="H89" s="457" t="s">
        <v>160</v>
      </c>
      <c r="I89" s="457" t="s">
        <v>160</v>
      </c>
      <c r="J89" s="457" t="s">
        <v>160</v>
      </c>
      <c r="K89" s="457" t="s">
        <v>160</v>
      </c>
      <c r="L89" s="457" t="s">
        <v>160</v>
      </c>
      <c r="M89" s="457" t="s">
        <v>160</v>
      </c>
      <c r="N89" s="457" t="s">
        <v>160</v>
      </c>
      <c r="O89" s="457" t="s">
        <v>160</v>
      </c>
      <c r="P89" s="457" t="s">
        <v>160</v>
      </c>
      <c r="Q89" s="457" t="s">
        <v>160</v>
      </c>
      <c r="R89" s="457" t="s">
        <v>160</v>
      </c>
      <c r="S89" s="457" t="s">
        <v>160</v>
      </c>
      <c r="T89" s="457" t="s">
        <v>160</v>
      </c>
      <c r="U89" s="457" t="s">
        <v>160</v>
      </c>
      <c r="V89" s="457" t="s">
        <v>160</v>
      </c>
      <c r="W89" s="457" t="s">
        <v>160</v>
      </c>
      <c r="X89" s="457" t="s">
        <v>160</v>
      </c>
      <c r="Y89" s="457" t="s">
        <v>160</v>
      </c>
      <c r="Z89" s="457" t="s">
        <v>160</v>
      </c>
      <c r="AA89" s="457" t="s">
        <v>160</v>
      </c>
      <c r="AB89" s="468">
        <v>50000</v>
      </c>
      <c r="AC89" s="458">
        <v>66660</v>
      </c>
      <c r="AD89" s="466">
        <v>50000</v>
      </c>
      <c r="AE89" s="465">
        <f t="shared" ref="AE89:AF91" si="60">+AC89</f>
        <v>66660</v>
      </c>
      <c r="AF89" s="466">
        <f t="shared" si="60"/>
        <v>50000</v>
      </c>
      <c r="AG89" s="465">
        <v>46676</v>
      </c>
      <c r="AH89" s="456" t="s">
        <v>160</v>
      </c>
      <c r="AI89" s="466" t="s">
        <v>160</v>
      </c>
      <c r="AJ89" s="465" t="s">
        <v>160</v>
      </c>
      <c r="AK89" s="456" t="s">
        <v>160</v>
      </c>
      <c r="AL89" s="466" t="s">
        <v>160</v>
      </c>
      <c r="AM89" s="456" t="s">
        <v>160</v>
      </c>
      <c r="AN89" s="466" t="s">
        <v>160</v>
      </c>
      <c r="AO89" s="456" t="s">
        <v>160</v>
      </c>
      <c r="AP89" s="466" t="s">
        <v>160</v>
      </c>
      <c r="AQ89" s="456" t="s">
        <v>160</v>
      </c>
      <c r="AR89" s="456" t="s">
        <v>160</v>
      </c>
      <c r="AS89" s="466" t="s">
        <v>160</v>
      </c>
      <c r="AT89" s="466" t="s">
        <v>160</v>
      </c>
      <c r="AU89" s="466"/>
      <c r="AV89" s="466"/>
      <c r="AW89" s="466"/>
      <c r="AX89" s="466"/>
      <c r="AY89" s="466"/>
      <c r="AZ89" s="466"/>
      <c r="BA89" s="466"/>
      <c r="BB89" s="466"/>
      <c r="BC89" s="466"/>
      <c r="BD89" s="466"/>
      <c r="BE89" s="466"/>
      <c r="BF89" s="466"/>
      <c r="BG89" s="466" t="s">
        <v>160</v>
      </c>
      <c r="BH89" s="466" t="s">
        <v>160</v>
      </c>
      <c r="BI89" s="457">
        <f t="shared" ref="BI89:BI99" si="61">+SUM(AB89:AN89)</f>
        <v>329996</v>
      </c>
      <c r="BJ89" s="944">
        <v>1.2200000000000001E-2</v>
      </c>
      <c r="BK89"/>
      <c r="BL89"/>
      <c r="BM89"/>
    </row>
    <row r="90" spans="1:65" hidden="1" outlineLevel="1" x14ac:dyDescent="0.2">
      <c r="A90" s="1" t="s">
        <v>510</v>
      </c>
      <c r="B90" s="1" t="s">
        <v>847</v>
      </c>
      <c r="D90" s="222" t="str">
        <f>IF([1]RENAME!$H$3=1,B90,A90)</f>
        <v>3T16</v>
      </c>
      <c r="E90" s="457" t="s">
        <v>160</v>
      </c>
      <c r="F90" s="457" t="s">
        <v>160</v>
      </c>
      <c r="G90" s="457" t="s">
        <v>160</v>
      </c>
      <c r="H90" s="457" t="s">
        <v>160</v>
      </c>
      <c r="I90" s="457" t="s">
        <v>160</v>
      </c>
      <c r="J90" s="457" t="s">
        <v>160</v>
      </c>
      <c r="K90" s="457" t="s">
        <v>160</v>
      </c>
      <c r="L90" s="457" t="s">
        <v>160</v>
      </c>
      <c r="M90" s="457" t="s">
        <v>160</v>
      </c>
      <c r="N90" s="457" t="s">
        <v>160</v>
      </c>
      <c r="O90" s="457" t="s">
        <v>160</v>
      </c>
      <c r="P90" s="457" t="s">
        <v>160</v>
      </c>
      <c r="Q90" s="457" t="s">
        <v>160</v>
      </c>
      <c r="R90" s="457" t="s">
        <v>160</v>
      </c>
      <c r="S90" s="457" t="s">
        <v>160</v>
      </c>
      <c r="T90" s="457" t="s">
        <v>160</v>
      </c>
      <c r="U90" s="457" t="s">
        <v>160</v>
      </c>
      <c r="V90" s="457" t="s">
        <v>160</v>
      </c>
      <c r="W90" s="457" t="s">
        <v>160</v>
      </c>
      <c r="X90" s="457" t="s">
        <v>160</v>
      </c>
      <c r="Y90" s="457" t="s">
        <v>160</v>
      </c>
      <c r="Z90" s="457" t="s">
        <v>160</v>
      </c>
      <c r="AA90" s="457" t="s">
        <v>160</v>
      </c>
      <c r="AB90" s="468">
        <v>50000</v>
      </c>
      <c r="AC90" s="458">
        <v>66660</v>
      </c>
      <c r="AD90" s="466">
        <v>50000</v>
      </c>
      <c r="AE90" s="465">
        <f t="shared" si="60"/>
        <v>66660</v>
      </c>
      <c r="AF90" s="466">
        <f t="shared" si="60"/>
        <v>50000</v>
      </c>
      <c r="AG90" s="465">
        <v>46676</v>
      </c>
      <c r="AH90" s="456" t="s">
        <v>160</v>
      </c>
      <c r="AI90" s="466" t="s">
        <v>160</v>
      </c>
      <c r="AJ90" s="465" t="s">
        <v>160</v>
      </c>
      <c r="AK90" s="456" t="s">
        <v>160</v>
      </c>
      <c r="AL90" s="466" t="s">
        <v>160</v>
      </c>
      <c r="AM90" s="456" t="s">
        <v>160</v>
      </c>
      <c r="AN90" s="466" t="s">
        <v>160</v>
      </c>
      <c r="AO90" s="456" t="s">
        <v>160</v>
      </c>
      <c r="AP90" s="466" t="s">
        <v>160</v>
      </c>
      <c r="AQ90" s="456" t="s">
        <v>160</v>
      </c>
      <c r="AR90" s="456" t="s">
        <v>160</v>
      </c>
      <c r="AS90" s="466" t="s">
        <v>160</v>
      </c>
      <c r="AT90" s="466" t="s">
        <v>160</v>
      </c>
      <c r="AU90" s="466"/>
      <c r="AV90" s="466"/>
      <c r="AW90" s="466"/>
      <c r="AX90" s="466"/>
      <c r="AY90" s="466"/>
      <c r="AZ90" s="466"/>
      <c r="BA90" s="466"/>
      <c r="BB90" s="466"/>
      <c r="BC90" s="466"/>
      <c r="BD90" s="466"/>
      <c r="BE90" s="466"/>
      <c r="BF90" s="466"/>
      <c r="BG90" s="466" t="s">
        <v>160</v>
      </c>
      <c r="BH90" s="466" t="s">
        <v>160</v>
      </c>
      <c r="BI90" s="457">
        <f t="shared" si="61"/>
        <v>329996</v>
      </c>
      <c r="BJ90" s="944">
        <v>1.2200000000000001E-2</v>
      </c>
      <c r="BK90"/>
      <c r="BL90"/>
      <c r="BM90"/>
    </row>
    <row r="91" spans="1:65" hidden="1" outlineLevel="1" x14ac:dyDescent="0.2">
      <c r="A91" s="1" t="s">
        <v>538</v>
      </c>
      <c r="B91" s="1" t="s">
        <v>848</v>
      </c>
      <c r="D91" s="222" t="str">
        <f>IF([1]RENAME!$H$3=1,B91,A91)</f>
        <v>4T16</v>
      </c>
      <c r="E91" s="457" t="s">
        <v>160</v>
      </c>
      <c r="F91" s="457" t="s">
        <v>160</v>
      </c>
      <c r="G91" s="457" t="s">
        <v>160</v>
      </c>
      <c r="H91" s="457" t="s">
        <v>160</v>
      </c>
      <c r="I91" s="457" t="s">
        <v>160</v>
      </c>
      <c r="J91" s="457" t="s">
        <v>160</v>
      </c>
      <c r="K91" s="457" t="s">
        <v>160</v>
      </c>
      <c r="L91" s="457" t="s">
        <v>160</v>
      </c>
      <c r="M91" s="457" t="s">
        <v>160</v>
      </c>
      <c r="N91" s="457" t="s">
        <v>160</v>
      </c>
      <c r="O91" s="457" t="s">
        <v>160</v>
      </c>
      <c r="P91" s="457" t="s">
        <v>160</v>
      </c>
      <c r="Q91" s="457" t="s">
        <v>160</v>
      </c>
      <c r="R91" s="457" t="s">
        <v>160</v>
      </c>
      <c r="S91" s="457" t="s">
        <v>160</v>
      </c>
      <c r="T91" s="457" t="s">
        <v>160</v>
      </c>
      <c r="U91" s="457" t="s">
        <v>160</v>
      </c>
      <c r="V91" s="457" t="s">
        <v>160</v>
      </c>
      <c r="W91" s="457" t="s">
        <v>160</v>
      </c>
      <c r="X91" s="457" t="s">
        <v>160</v>
      </c>
      <c r="Y91" s="457" t="s">
        <v>160</v>
      </c>
      <c r="Z91" s="457" t="s">
        <v>160</v>
      </c>
      <c r="AA91" s="457" t="s">
        <v>160</v>
      </c>
      <c r="AB91" s="465" t="s">
        <v>160</v>
      </c>
      <c r="AC91" s="458">
        <v>66660</v>
      </c>
      <c r="AD91" s="469">
        <v>50000</v>
      </c>
      <c r="AE91" s="465">
        <f t="shared" si="60"/>
        <v>66660</v>
      </c>
      <c r="AF91" s="466">
        <f t="shared" si="60"/>
        <v>50000</v>
      </c>
      <c r="AG91" s="465">
        <v>46676</v>
      </c>
      <c r="AH91" s="456" t="s">
        <v>160</v>
      </c>
      <c r="AI91" s="466" t="s">
        <v>160</v>
      </c>
      <c r="AJ91" s="465" t="s">
        <v>160</v>
      </c>
      <c r="AK91" s="456" t="s">
        <v>160</v>
      </c>
      <c r="AL91" s="466" t="s">
        <v>160</v>
      </c>
      <c r="AM91" s="456" t="s">
        <v>160</v>
      </c>
      <c r="AN91" s="466" t="s">
        <v>160</v>
      </c>
      <c r="AO91" s="456" t="s">
        <v>160</v>
      </c>
      <c r="AP91" s="466" t="s">
        <v>160</v>
      </c>
      <c r="AQ91" s="456" t="s">
        <v>160</v>
      </c>
      <c r="AR91" s="456" t="s">
        <v>160</v>
      </c>
      <c r="AS91" s="466" t="s">
        <v>160</v>
      </c>
      <c r="AT91" s="466" t="s">
        <v>160</v>
      </c>
      <c r="AU91" s="466"/>
      <c r="AV91" s="466"/>
      <c r="AW91" s="466"/>
      <c r="AX91" s="466"/>
      <c r="AY91" s="466"/>
      <c r="AZ91" s="466"/>
      <c r="BA91" s="466"/>
      <c r="BB91" s="466"/>
      <c r="BC91" s="466"/>
      <c r="BD91" s="466"/>
      <c r="BE91" s="466"/>
      <c r="BF91" s="466"/>
      <c r="BG91" s="466" t="s">
        <v>160</v>
      </c>
      <c r="BH91" s="466" t="s">
        <v>160</v>
      </c>
      <c r="BI91" s="457">
        <f t="shared" si="61"/>
        <v>279996</v>
      </c>
      <c r="BJ91" s="944">
        <v>1.2200000000000001E-2</v>
      </c>
      <c r="BK91"/>
      <c r="BL91"/>
      <c r="BM91"/>
    </row>
    <row r="92" spans="1:65" hidden="1" outlineLevel="1" x14ac:dyDescent="0.2">
      <c r="A92" s="1" t="s">
        <v>567</v>
      </c>
      <c r="B92" s="1" t="s">
        <v>849</v>
      </c>
      <c r="D92" s="222" t="str">
        <f>IF([1]RENAME!$H$3=1,B92,A92)</f>
        <v>1T17</v>
      </c>
      <c r="E92" s="457" t="s">
        <v>160</v>
      </c>
      <c r="F92" s="457" t="s">
        <v>160</v>
      </c>
      <c r="G92" s="457" t="s">
        <v>160</v>
      </c>
      <c r="H92" s="457" t="s">
        <v>160</v>
      </c>
      <c r="I92" s="457" t="s">
        <v>160</v>
      </c>
      <c r="J92" s="457" t="s">
        <v>160</v>
      </c>
      <c r="K92" s="457" t="s">
        <v>160</v>
      </c>
      <c r="L92" s="457" t="s">
        <v>160</v>
      </c>
      <c r="M92" s="457" t="s">
        <v>160</v>
      </c>
      <c r="N92" s="457" t="s">
        <v>160</v>
      </c>
      <c r="O92" s="457" t="s">
        <v>160</v>
      </c>
      <c r="P92" s="457" t="s">
        <v>160</v>
      </c>
      <c r="Q92" s="457" t="s">
        <v>160</v>
      </c>
      <c r="R92" s="457" t="s">
        <v>160</v>
      </c>
      <c r="S92" s="457" t="s">
        <v>160</v>
      </c>
      <c r="T92" s="457" t="s">
        <v>160</v>
      </c>
      <c r="U92" s="457" t="s">
        <v>160</v>
      </c>
      <c r="V92" s="457" t="s">
        <v>160</v>
      </c>
      <c r="W92" s="457" t="s">
        <v>160</v>
      </c>
      <c r="X92" s="457" t="s">
        <v>160</v>
      </c>
      <c r="Y92" s="457" t="s">
        <v>160</v>
      </c>
      <c r="Z92" s="457" t="s">
        <v>160</v>
      </c>
      <c r="AA92" s="457" t="s">
        <v>160</v>
      </c>
      <c r="AB92" s="465" t="s">
        <v>160</v>
      </c>
      <c r="AC92" s="456" t="s">
        <v>160</v>
      </c>
      <c r="AD92" s="469">
        <v>50000</v>
      </c>
      <c r="AE92" s="468">
        <v>66660</v>
      </c>
      <c r="AF92" s="466">
        <f>+AD92</f>
        <v>50000</v>
      </c>
      <c r="AG92" s="465">
        <v>46676</v>
      </c>
      <c r="AH92" s="456" t="s">
        <v>160</v>
      </c>
      <c r="AI92" s="466" t="s">
        <v>160</v>
      </c>
      <c r="AJ92" s="465" t="s">
        <v>160</v>
      </c>
      <c r="AK92" s="456" t="s">
        <v>160</v>
      </c>
      <c r="AL92" s="466" t="s">
        <v>160</v>
      </c>
      <c r="AM92" s="456" t="s">
        <v>160</v>
      </c>
      <c r="AN92" s="466" t="s">
        <v>160</v>
      </c>
      <c r="AO92" s="456" t="s">
        <v>160</v>
      </c>
      <c r="AP92" s="466" t="s">
        <v>160</v>
      </c>
      <c r="AQ92" s="456" t="s">
        <v>160</v>
      </c>
      <c r="AR92" s="456" t="s">
        <v>160</v>
      </c>
      <c r="AS92" s="466" t="s">
        <v>160</v>
      </c>
      <c r="AT92" s="466" t="s">
        <v>160</v>
      </c>
      <c r="AU92" s="466"/>
      <c r="AV92" s="466"/>
      <c r="AW92" s="466"/>
      <c r="AX92" s="466"/>
      <c r="AY92" s="466"/>
      <c r="AZ92" s="466"/>
      <c r="BA92" s="466"/>
      <c r="BB92" s="466"/>
      <c r="BC92" s="466"/>
      <c r="BD92" s="466"/>
      <c r="BE92" s="466"/>
      <c r="BF92" s="466"/>
      <c r="BG92" s="466" t="s">
        <v>160</v>
      </c>
      <c r="BH92" s="466" t="s">
        <v>160</v>
      </c>
      <c r="BI92" s="457">
        <f t="shared" si="61"/>
        <v>213336</v>
      </c>
      <c r="BJ92" s="944">
        <v>1.3299999999999999E-2</v>
      </c>
      <c r="BK92"/>
      <c r="BL92"/>
      <c r="BM92"/>
    </row>
    <row r="93" spans="1:65" hidden="1" outlineLevel="1" x14ac:dyDescent="0.2">
      <c r="A93" s="1" t="s">
        <v>575</v>
      </c>
      <c r="B93" s="1" t="s">
        <v>850</v>
      </c>
      <c r="D93" s="222" t="str">
        <f>IF([1]RENAME!$H$3=1,B93,A93)</f>
        <v>2T17</v>
      </c>
      <c r="E93" s="457" t="s">
        <v>160</v>
      </c>
      <c r="F93" s="457" t="s">
        <v>160</v>
      </c>
      <c r="G93" s="457" t="s">
        <v>160</v>
      </c>
      <c r="H93" s="457" t="s">
        <v>160</v>
      </c>
      <c r="I93" s="457" t="s">
        <v>160</v>
      </c>
      <c r="J93" s="457" t="s">
        <v>160</v>
      </c>
      <c r="K93" s="457" t="s">
        <v>160</v>
      </c>
      <c r="L93" s="457" t="s">
        <v>160</v>
      </c>
      <c r="M93" s="457" t="s">
        <v>160</v>
      </c>
      <c r="N93" s="457" t="s">
        <v>160</v>
      </c>
      <c r="O93" s="457" t="s">
        <v>160</v>
      </c>
      <c r="P93" s="457" t="s">
        <v>160</v>
      </c>
      <c r="Q93" s="457" t="s">
        <v>160</v>
      </c>
      <c r="R93" s="457" t="s">
        <v>160</v>
      </c>
      <c r="S93" s="457" t="s">
        <v>160</v>
      </c>
      <c r="T93" s="457" t="s">
        <v>160</v>
      </c>
      <c r="U93" s="457" t="s">
        <v>160</v>
      </c>
      <c r="V93" s="457" t="s">
        <v>160</v>
      </c>
      <c r="W93" s="457" t="s">
        <v>160</v>
      </c>
      <c r="X93" s="457" t="s">
        <v>160</v>
      </c>
      <c r="Y93" s="457" t="s">
        <v>160</v>
      </c>
      <c r="Z93" s="457" t="s">
        <v>160</v>
      </c>
      <c r="AA93" s="457" t="s">
        <v>160</v>
      </c>
      <c r="AB93" s="465" t="s">
        <v>160</v>
      </c>
      <c r="AC93" s="456" t="s">
        <v>160</v>
      </c>
      <c r="AD93" s="466" t="s">
        <v>160</v>
      </c>
      <c r="AE93" s="468">
        <v>66660</v>
      </c>
      <c r="AF93" s="466">
        <v>50000</v>
      </c>
      <c r="AG93" s="465">
        <v>46676</v>
      </c>
      <c r="AH93" s="456">
        <v>43333</v>
      </c>
      <c r="AI93" s="466">
        <v>3333</v>
      </c>
      <c r="AJ93" s="465">
        <v>3333</v>
      </c>
      <c r="AK93" s="456" t="s">
        <v>160</v>
      </c>
      <c r="AL93" s="466" t="s">
        <v>160</v>
      </c>
      <c r="AM93" s="456" t="s">
        <v>160</v>
      </c>
      <c r="AN93" s="466" t="s">
        <v>160</v>
      </c>
      <c r="AO93" s="456" t="s">
        <v>160</v>
      </c>
      <c r="AP93" s="466" t="s">
        <v>160</v>
      </c>
      <c r="AQ93" s="456" t="s">
        <v>160</v>
      </c>
      <c r="AR93" s="456" t="s">
        <v>160</v>
      </c>
      <c r="AS93" s="466" t="s">
        <v>160</v>
      </c>
      <c r="AT93" s="466" t="s">
        <v>160</v>
      </c>
      <c r="AU93" s="466"/>
      <c r="AV93" s="466"/>
      <c r="AW93" s="466"/>
      <c r="AX93" s="466"/>
      <c r="AY93" s="466"/>
      <c r="AZ93" s="466"/>
      <c r="BA93" s="466"/>
      <c r="BB93" s="466"/>
      <c r="BC93" s="466"/>
      <c r="BD93" s="466"/>
      <c r="BE93" s="466"/>
      <c r="BF93" s="466"/>
      <c r="BG93" s="466" t="s">
        <v>160</v>
      </c>
      <c r="BH93" s="466" t="s">
        <v>160</v>
      </c>
      <c r="BI93" s="457">
        <f t="shared" si="61"/>
        <v>213335</v>
      </c>
      <c r="BJ93" s="944">
        <v>1.55E-2</v>
      </c>
      <c r="BK93"/>
      <c r="BL93"/>
      <c r="BM93"/>
    </row>
    <row r="94" spans="1:65" hidden="1" outlineLevel="1" x14ac:dyDescent="0.2">
      <c r="A94" s="1" t="s">
        <v>595</v>
      </c>
      <c r="B94" s="1" t="s">
        <v>851</v>
      </c>
      <c r="D94" s="222" t="str">
        <f>IF([1]RENAME!$H$3=1,B94,A94)</f>
        <v>3T17</v>
      </c>
      <c r="E94" s="457" t="s">
        <v>160</v>
      </c>
      <c r="F94" s="457" t="s">
        <v>160</v>
      </c>
      <c r="G94" s="457" t="s">
        <v>160</v>
      </c>
      <c r="H94" s="457" t="s">
        <v>160</v>
      </c>
      <c r="I94" s="457" t="s">
        <v>160</v>
      </c>
      <c r="J94" s="457" t="s">
        <v>160</v>
      </c>
      <c r="K94" s="457" t="s">
        <v>160</v>
      </c>
      <c r="L94" s="457" t="s">
        <v>160</v>
      </c>
      <c r="M94" s="457" t="s">
        <v>160</v>
      </c>
      <c r="N94" s="457" t="s">
        <v>160</v>
      </c>
      <c r="O94" s="457" t="s">
        <v>160</v>
      </c>
      <c r="P94" s="457" t="s">
        <v>160</v>
      </c>
      <c r="Q94" s="457" t="s">
        <v>160</v>
      </c>
      <c r="R94" s="457" t="s">
        <v>160</v>
      </c>
      <c r="S94" s="457" t="s">
        <v>160</v>
      </c>
      <c r="T94" s="457" t="s">
        <v>160</v>
      </c>
      <c r="U94" s="457" t="s">
        <v>160</v>
      </c>
      <c r="V94" s="457" t="s">
        <v>160</v>
      </c>
      <c r="W94" s="457" t="s">
        <v>160</v>
      </c>
      <c r="X94" s="457" t="s">
        <v>160</v>
      </c>
      <c r="Y94" s="457" t="s">
        <v>160</v>
      </c>
      <c r="Z94" s="457" t="s">
        <v>160</v>
      </c>
      <c r="AA94" s="457" t="s">
        <v>160</v>
      </c>
      <c r="AB94" s="465" t="s">
        <v>160</v>
      </c>
      <c r="AC94" s="456" t="s">
        <v>160</v>
      </c>
      <c r="AD94" s="466" t="s">
        <v>160</v>
      </c>
      <c r="AE94" s="468">
        <v>66660</v>
      </c>
      <c r="AF94" s="466" t="s">
        <v>160</v>
      </c>
      <c r="AG94" s="465">
        <v>46676</v>
      </c>
      <c r="AH94" s="456">
        <v>43333</v>
      </c>
      <c r="AI94" s="466">
        <v>3333</v>
      </c>
      <c r="AJ94" s="465">
        <v>3333</v>
      </c>
      <c r="AK94" s="456">
        <v>25000</v>
      </c>
      <c r="AL94" s="466" t="s">
        <v>160</v>
      </c>
      <c r="AM94" s="456" t="s">
        <v>160</v>
      </c>
      <c r="AN94" s="466">
        <v>25000</v>
      </c>
      <c r="AO94" s="456" t="s">
        <v>160</v>
      </c>
      <c r="AP94" s="466" t="s">
        <v>160</v>
      </c>
      <c r="AQ94" s="456" t="s">
        <v>160</v>
      </c>
      <c r="AR94" s="456" t="s">
        <v>160</v>
      </c>
      <c r="AS94" s="466" t="s">
        <v>160</v>
      </c>
      <c r="AT94" s="466" t="s">
        <v>160</v>
      </c>
      <c r="AU94" s="466"/>
      <c r="AV94" s="466"/>
      <c r="AW94" s="466"/>
      <c r="AX94" s="466"/>
      <c r="AY94" s="466"/>
      <c r="AZ94" s="466"/>
      <c r="BA94" s="466"/>
      <c r="BB94" s="466"/>
      <c r="BC94" s="466"/>
      <c r="BD94" s="466"/>
      <c r="BE94" s="466"/>
      <c r="BF94" s="466"/>
      <c r="BG94" s="466" t="s">
        <v>160</v>
      </c>
      <c r="BH94" s="466" t="s">
        <v>160</v>
      </c>
      <c r="BI94" s="457">
        <f t="shared" si="61"/>
        <v>213335</v>
      </c>
      <c r="BJ94" s="944">
        <v>1.5599999999999999E-2</v>
      </c>
      <c r="BK94"/>
      <c r="BL94"/>
      <c r="BM94"/>
    </row>
    <row r="95" spans="1:65" hidden="1" outlineLevel="1" x14ac:dyDescent="0.2">
      <c r="A95" s="1" t="s">
        <v>596</v>
      </c>
      <c r="B95" s="1" t="s">
        <v>1169</v>
      </c>
      <c r="D95" s="222" t="str">
        <f>IF([1]RENAME!$H$3=1,B95,A95)</f>
        <v>4T17</v>
      </c>
      <c r="E95" s="457" t="s">
        <v>160</v>
      </c>
      <c r="F95" s="457" t="s">
        <v>160</v>
      </c>
      <c r="G95" s="457" t="s">
        <v>160</v>
      </c>
      <c r="H95" s="457" t="s">
        <v>160</v>
      </c>
      <c r="I95" s="457" t="s">
        <v>160</v>
      </c>
      <c r="J95" s="457" t="s">
        <v>160</v>
      </c>
      <c r="K95" s="457" t="s">
        <v>160</v>
      </c>
      <c r="L95" s="457" t="s">
        <v>160</v>
      </c>
      <c r="M95" s="457" t="s">
        <v>160</v>
      </c>
      <c r="N95" s="457" t="s">
        <v>160</v>
      </c>
      <c r="O95" s="457" t="s">
        <v>160</v>
      </c>
      <c r="P95" s="457" t="s">
        <v>160</v>
      </c>
      <c r="Q95" s="457" t="s">
        <v>160</v>
      </c>
      <c r="R95" s="457" t="s">
        <v>160</v>
      </c>
      <c r="S95" s="457" t="s">
        <v>160</v>
      </c>
      <c r="T95" s="457" t="s">
        <v>160</v>
      </c>
      <c r="U95" s="457" t="s">
        <v>160</v>
      </c>
      <c r="V95" s="457" t="s">
        <v>160</v>
      </c>
      <c r="W95" s="457" t="s">
        <v>160</v>
      </c>
      <c r="X95" s="457" t="s">
        <v>160</v>
      </c>
      <c r="Y95" s="457" t="s">
        <v>160</v>
      </c>
      <c r="Z95" s="457" t="s">
        <v>160</v>
      </c>
      <c r="AA95" s="457" t="s">
        <v>160</v>
      </c>
      <c r="AB95" s="650" t="s">
        <v>160</v>
      </c>
      <c r="AC95" s="457" t="s">
        <v>160</v>
      </c>
      <c r="AD95" s="651" t="s">
        <v>160</v>
      </c>
      <c r="AE95" s="468">
        <f>AE91</f>
        <v>66660</v>
      </c>
      <c r="AF95" s="466" t="s">
        <v>160</v>
      </c>
      <c r="AG95" s="465">
        <v>46676</v>
      </c>
      <c r="AH95" s="456">
        <v>43333</v>
      </c>
      <c r="AI95" s="466">
        <v>3333</v>
      </c>
      <c r="AJ95" s="465">
        <v>3333</v>
      </c>
      <c r="AK95" s="456">
        <v>25000</v>
      </c>
      <c r="AL95" s="466" t="s">
        <v>160</v>
      </c>
      <c r="AM95" s="456" t="s">
        <v>160</v>
      </c>
      <c r="AN95" s="466">
        <f>+AN94</f>
        <v>25000</v>
      </c>
      <c r="AO95" s="456" t="s">
        <v>160</v>
      </c>
      <c r="AP95" s="466" t="s">
        <v>160</v>
      </c>
      <c r="AQ95" s="456" t="s">
        <v>160</v>
      </c>
      <c r="AR95" s="456" t="s">
        <v>160</v>
      </c>
      <c r="AS95" s="466" t="s">
        <v>160</v>
      </c>
      <c r="AT95" s="466" t="s">
        <v>160</v>
      </c>
      <c r="AU95" s="466"/>
      <c r="AV95" s="466"/>
      <c r="AW95" s="466"/>
      <c r="AX95" s="466"/>
      <c r="AY95" s="466"/>
      <c r="AZ95" s="466"/>
      <c r="BA95" s="466"/>
      <c r="BB95" s="466"/>
      <c r="BC95" s="466"/>
      <c r="BD95" s="466"/>
      <c r="BE95" s="466"/>
      <c r="BF95" s="466"/>
      <c r="BG95" s="466" t="s">
        <v>160</v>
      </c>
      <c r="BH95" s="466" t="s">
        <v>160</v>
      </c>
      <c r="BI95" s="457">
        <f t="shared" si="61"/>
        <v>213335</v>
      </c>
      <c r="BJ95" s="944">
        <v>1.5599999999999999E-2</v>
      </c>
      <c r="BK95"/>
      <c r="BL95"/>
      <c r="BM95"/>
    </row>
    <row r="96" spans="1:65" hidden="1" outlineLevel="1" x14ac:dyDescent="0.2">
      <c r="A96" s="1" t="s">
        <v>623</v>
      </c>
      <c r="B96" s="1" t="s">
        <v>1290</v>
      </c>
      <c r="D96" s="222" t="str">
        <f>IF([1]RENAME!$H$3=1,B96,A96)</f>
        <v>1T18</v>
      </c>
      <c r="E96" s="457" t="s">
        <v>160</v>
      </c>
      <c r="F96" s="457" t="s">
        <v>160</v>
      </c>
      <c r="G96" s="457" t="s">
        <v>160</v>
      </c>
      <c r="H96" s="457" t="s">
        <v>160</v>
      </c>
      <c r="I96" s="457" t="s">
        <v>160</v>
      </c>
      <c r="J96" s="457" t="s">
        <v>160</v>
      </c>
      <c r="K96" s="457" t="s">
        <v>160</v>
      </c>
      <c r="L96" s="457" t="s">
        <v>160</v>
      </c>
      <c r="M96" s="457" t="s">
        <v>160</v>
      </c>
      <c r="N96" s="457" t="s">
        <v>160</v>
      </c>
      <c r="O96" s="457" t="s">
        <v>160</v>
      </c>
      <c r="P96" s="457" t="s">
        <v>160</v>
      </c>
      <c r="Q96" s="456" t="s">
        <v>160</v>
      </c>
      <c r="R96" s="456" t="s">
        <v>160</v>
      </c>
      <c r="S96" s="456" t="s">
        <v>160</v>
      </c>
      <c r="T96" s="456" t="s">
        <v>160</v>
      </c>
      <c r="U96" s="456" t="s">
        <v>160</v>
      </c>
      <c r="V96" s="456" t="s">
        <v>160</v>
      </c>
      <c r="W96" s="456" t="s">
        <v>160</v>
      </c>
      <c r="X96" s="456" t="s">
        <v>160</v>
      </c>
      <c r="Y96" s="457" t="s">
        <v>160</v>
      </c>
      <c r="Z96" s="457" t="s">
        <v>160</v>
      </c>
      <c r="AA96" s="457" t="s">
        <v>160</v>
      </c>
      <c r="AB96" s="465" t="s">
        <v>160</v>
      </c>
      <c r="AC96" s="456" t="s">
        <v>160</v>
      </c>
      <c r="AD96" s="466" t="s">
        <v>160</v>
      </c>
      <c r="AE96" s="465" t="s">
        <v>160</v>
      </c>
      <c r="AF96" s="466" t="str">
        <f>+AF95</f>
        <v>-</v>
      </c>
      <c r="AG96" s="468">
        <f>+AG95</f>
        <v>46676</v>
      </c>
      <c r="AH96" s="456">
        <f>+AH95</f>
        <v>43333</v>
      </c>
      <c r="AI96" s="466">
        <v>3333</v>
      </c>
      <c r="AJ96" s="465">
        <v>3333</v>
      </c>
      <c r="AK96" s="456">
        <v>25000</v>
      </c>
      <c r="AL96" s="466" t="s">
        <v>160</v>
      </c>
      <c r="AM96" s="456" t="s">
        <v>160</v>
      </c>
      <c r="AN96" s="466">
        <f>+AN95</f>
        <v>25000</v>
      </c>
      <c r="AO96" s="456" t="s">
        <v>160</v>
      </c>
      <c r="AP96" s="466" t="s">
        <v>160</v>
      </c>
      <c r="AQ96" s="456" t="s">
        <v>160</v>
      </c>
      <c r="AR96" s="456" t="s">
        <v>160</v>
      </c>
      <c r="AS96" s="466" t="s">
        <v>160</v>
      </c>
      <c r="AT96" s="466" t="s">
        <v>160</v>
      </c>
      <c r="AU96" s="466"/>
      <c r="AV96" s="466"/>
      <c r="AW96" s="466"/>
      <c r="AX96" s="466"/>
      <c r="AY96" s="466"/>
      <c r="AZ96" s="466"/>
      <c r="BA96" s="466"/>
      <c r="BB96" s="466"/>
      <c r="BC96" s="466"/>
      <c r="BD96" s="466"/>
      <c r="BE96" s="466"/>
      <c r="BF96" s="466"/>
      <c r="BG96" s="466" t="s">
        <v>160</v>
      </c>
      <c r="BH96" s="466" t="s">
        <v>160</v>
      </c>
      <c r="BI96" s="457">
        <f t="shared" si="61"/>
        <v>146675</v>
      </c>
      <c r="BJ96" s="944">
        <v>1.72E-2</v>
      </c>
      <c r="BK96"/>
      <c r="BL96"/>
      <c r="BM96"/>
    </row>
    <row r="97" spans="1:65" hidden="1" outlineLevel="1" x14ac:dyDescent="0.2">
      <c r="A97" s="1" t="s">
        <v>624</v>
      </c>
      <c r="B97" s="1" t="s">
        <v>1312</v>
      </c>
      <c r="D97" s="222" t="str">
        <f>IF([1]RENAME!$H$3=1,B97,A97)</f>
        <v>2T18</v>
      </c>
      <c r="E97" s="457" t="s">
        <v>160</v>
      </c>
      <c r="F97" s="457" t="s">
        <v>160</v>
      </c>
      <c r="G97" s="457" t="s">
        <v>160</v>
      </c>
      <c r="H97" s="457" t="s">
        <v>160</v>
      </c>
      <c r="I97" s="457" t="s">
        <v>160</v>
      </c>
      <c r="J97" s="456" t="s">
        <v>160</v>
      </c>
      <c r="K97" s="456" t="s">
        <v>160</v>
      </c>
      <c r="L97" s="456" t="s">
        <v>160</v>
      </c>
      <c r="M97" s="456" t="s">
        <v>160</v>
      </c>
      <c r="N97" s="456" t="s">
        <v>160</v>
      </c>
      <c r="O97" s="456" t="s">
        <v>160</v>
      </c>
      <c r="P97" s="456" t="s">
        <v>160</v>
      </c>
      <c r="Q97" s="456" t="s">
        <v>160</v>
      </c>
      <c r="R97" s="456" t="s">
        <v>160</v>
      </c>
      <c r="S97" s="456" t="s">
        <v>160</v>
      </c>
      <c r="T97" s="456" t="s">
        <v>160</v>
      </c>
      <c r="U97" s="456" t="s">
        <v>160</v>
      </c>
      <c r="V97" s="456" t="s">
        <v>160</v>
      </c>
      <c r="W97" s="456" t="s">
        <v>160</v>
      </c>
      <c r="X97" s="456" t="s">
        <v>160</v>
      </c>
      <c r="Y97" s="457" t="s">
        <v>160</v>
      </c>
      <c r="Z97" s="456" t="s">
        <v>160</v>
      </c>
      <c r="AA97" s="457" t="s">
        <v>160</v>
      </c>
      <c r="AB97" s="465" t="s">
        <v>160</v>
      </c>
      <c r="AC97" s="456" t="s">
        <v>160</v>
      </c>
      <c r="AD97" s="466" t="s">
        <v>160</v>
      </c>
      <c r="AE97" s="465" t="s">
        <v>160</v>
      </c>
      <c r="AF97" s="466" t="s">
        <v>160</v>
      </c>
      <c r="AG97" s="468">
        <f>+AG96</f>
        <v>46676</v>
      </c>
      <c r="AH97" s="458">
        <f>+AH96</f>
        <v>43333</v>
      </c>
      <c r="AI97" s="466">
        <v>3333</v>
      </c>
      <c r="AJ97" s="465">
        <v>3333</v>
      </c>
      <c r="AK97" s="456">
        <v>25000</v>
      </c>
      <c r="AL97" s="466" t="s">
        <v>160</v>
      </c>
      <c r="AM97" s="456" t="s">
        <v>160</v>
      </c>
      <c r="AN97" s="466">
        <f>+AN96</f>
        <v>25000</v>
      </c>
      <c r="AO97" s="456" t="s">
        <v>160</v>
      </c>
      <c r="AP97" s="466" t="s">
        <v>160</v>
      </c>
      <c r="AQ97" s="456" t="s">
        <v>160</v>
      </c>
      <c r="AR97" s="456" t="s">
        <v>160</v>
      </c>
      <c r="AS97" s="466" t="s">
        <v>160</v>
      </c>
      <c r="AT97" s="466" t="s">
        <v>160</v>
      </c>
      <c r="AU97" s="466"/>
      <c r="AV97" s="466"/>
      <c r="AW97" s="466"/>
      <c r="AX97" s="466"/>
      <c r="AY97" s="466"/>
      <c r="AZ97" s="466"/>
      <c r="BA97" s="466"/>
      <c r="BB97" s="466"/>
      <c r="BC97" s="466"/>
      <c r="BD97" s="466"/>
      <c r="BE97" s="466"/>
      <c r="BF97" s="466"/>
      <c r="BG97" s="466" t="s">
        <v>160</v>
      </c>
      <c r="BH97" s="466" t="s">
        <v>160</v>
      </c>
      <c r="BI97" s="457">
        <f t="shared" si="61"/>
        <v>146675</v>
      </c>
      <c r="BJ97" s="944">
        <v>1.72E-2</v>
      </c>
      <c r="BK97"/>
      <c r="BL97"/>
      <c r="BM97"/>
    </row>
    <row r="98" spans="1:65" hidden="1" outlineLevel="1" x14ac:dyDescent="0.2">
      <c r="A98" s="1" t="s">
        <v>625</v>
      </c>
      <c r="B98" s="1" t="s">
        <v>1335</v>
      </c>
      <c r="D98" s="222" t="str">
        <f>IF([1]RENAME!$H$3=1,B98,A98)</f>
        <v>3T18</v>
      </c>
      <c r="E98" s="457" t="s">
        <v>160</v>
      </c>
      <c r="F98" s="457" t="s">
        <v>160</v>
      </c>
      <c r="G98" s="457" t="s">
        <v>160</v>
      </c>
      <c r="H98" s="457" t="s">
        <v>160</v>
      </c>
      <c r="I98" s="457" t="s">
        <v>160</v>
      </c>
      <c r="J98" s="456" t="s">
        <v>160</v>
      </c>
      <c r="K98" s="456" t="s">
        <v>160</v>
      </c>
      <c r="L98" s="456" t="s">
        <v>160</v>
      </c>
      <c r="M98" s="456" t="s">
        <v>160</v>
      </c>
      <c r="N98" s="456" t="s">
        <v>160</v>
      </c>
      <c r="O98" s="456" t="s">
        <v>160</v>
      </c>
      <c r="P98" s="456" t="s">
        <v>160</v>
      </c>
      <c r="Q98" s="456" t="s">
        <v>160</v>
      </c>
      <c r="R98" s="456" t="s">
        <v>160</v>
      </c>
      <c r="S98" s="456" t="s">
        <v>160</v>
      </c>
      <c r="T98" s="456" t="s">
        <v>160</v>
      </c>
      <c r="U98" s="456" t="s">
        <v>160</v>
      </c>
      <c r="V98" s="456" t="s">
        <v>160</v>
      </c>
      <c r="W98" s="456" t="s">
        <v>160</v>
      </c>
      <c r="X98" s="456" t="s">
        <v>160</v>
      </c>
      <c r="Y98" s="457" t="s">
        <v>160</v>
      </c>
      <c r="Z98" s="456" t="s">
        <v>160</v>
      </c>
      <c r="AA98" s="457" t="s">
        <v>160</v>
      </c>
      <c r="AB98" s="465" t="s">
        <v>160</v>
      </c>
      <c r="AC98" s="456" t="s">
        <v>160</v>
      </c>
      <c r="AD98" s="456" t="s">
        <v>160</v>
      </c>
      <c r="AE98" s="465" t="s">
        <v>160</v>
      </c>
      <c r="AF98" s="466" t="s">
        <v>160</v>
      </c>
      <c r="AG98" s="468">
        <f>AG97</f>
        <v>46676</v>
      </c>
      <c r="AH98" s="458">
        <v>3333</v>
      </c>
      <c r="AI98" s="466">
        <v>3333</v>
      </c>
      <c r="AJ98" s="465">
        <v>3333</v>
      </c>
      <c r="AK98" s="456">
        <f>AK97</f>
        <v>25000</v>
      </c>
      <c r="AL98" s="466">
        <v>50000</v>
      </c>
      <c r="AM98" s="456" t="s">
        <v>160</v>
      </c>
      <c r="AN98" s="466">
        <f>AN97</f>
        <v>25000</v>
      </c>
      <c r="AO98" s="456" t="s">
        <v>160</v>
      </c>
      <c r="AP98" s="466" t="s">
        <v>160</v>
      </c>
      <c r="AQ98" s="456" t="s">
        <v>160</v>
      </c>
      <c r="AR98" s="456" t="s">
        <v>160</v>
      </c>
      <c r="AS98" s="466" t="s">
        <v>160</v>
      </c>
      <c r="AT98" s="466" t="s">
        <v>160</v>
      </c>
      <c r="AU98" s="466"/>
      <c r="AV98" s="466"/>
      <c r="AW98" s="466"/>
      <c r="AX98" s="466"/>
      <c r="AY98" s="466"/>
      <c r="AZ98" s="466"/>
      <c r="BA98" s="466"/>
      <c r="BB98" s="466"/>
      <c r="BC98" s="466"/>
      <c r="BD98" s="466"/>
      <c r="BE98" s="466"/>
      <c r="BF98" s="466"/>
      <c r="BG98" s="466" t="s">
        <v>160</v>
      </c>
      <c r="BH98" s="466" t="s">
        <v>160</v>
      </c>
      <c r="BI98" s="457">
        <f t="shared" si="61"/>
        <v>156675</v>
      </c>
      <c r="BJ98" s="944">
        <v>1.38E-2</v>
      </c>
      <c r="BK98"/>
      <c r="BL98"/>
      <c r="BM98"/>
    </row>
    <row r="99" spans="1:65" hidden="1" outlineLevel="1" x14ac:dyDescent="0.2">
      <c r="A99" s="1" t="s">
        <v>626</v>
      </c>
      <c r="B99" s="1" t="s">
        <v>1394</v>
      </c>
      <c r="D99" s="222" t="str">
        <f>IF([1]RENAME!$H$3=1,B99,A99)</f>
        <v>4T18</v>
      </c>
      <c r="E99" s="457" t="s">
        <v>160</v>
      </c>
      <c r="F99" s="457" t="s">
        <v>160</v>
      </c>
      <c r="G99" s="457" t="s">
        <v>160</v>
      </c>
      <c r="H99" s="457" t="s">
        <v>160</v>
      </c>
      <c r="I99" s="457" t="s">
        <v>160</v>
      </c>
      <c r="J99" s="456" t="s">
        <v>160</v>
      </c>
      <c r="K99" s="456" t="s">
        <v>160</v>
      </c>
      <c r="L99" s="456" t="s">
        <v>160</v>
      </c>
      <c r="M99" s="456" t="s">
        <v>160</v>
      </c>
      <c r="N99" s="456" t="s">
        <v>160</v>
      </c>
      <c r="O99" s="456" t="s">
        <v>160</v>
      </c>
      <c r="P99" s="456" t="s">
        <v>160</v>
      </c>
      <c r="Q99" s="456" t="s">
        <v>160</v>
      </c>
      <c r="R99" s="456" t="s">
        <v>160</v>
      </c>
      <c r="S99" s="456" t="s">
        <v>160</v>
      </c>
      <c r="T99" s="456" t="s">
        <v>160</v>
      </c>
      <c r="U99" s="456" t="s">
        <v>160</v>
      </c>
      <c r="V99" s="456" t="s">
        <v>160</v>
      </c>
      <c r="W99" s="456" t="s">
        <v>160</v>
      </c>
      <c r="X99" s="456" t="s">
        <v>160</v>
      </c>
      <c r="Y99" s="457" t="s">
        <v>160</v>
      </c>
      <c r="Z99" s="456" t="s">
        <v>160</v>
      </c>
      <c r="AA99" s="457" t="s">
        <v>160</v>
      </c>
      <c r="AB99" s="465" t="s">
        <v>160</v>
      </c>
      <c r="AC99" s="456" t="s">
        <v>160</v>
      </c>
      <c r="AD99" s="466" t="s">
        <v>160</v>
      </c>
      <c r="AE99" s="465" t="s">
        <v>160</v>
      </c>
      <c r="AF99" s="466" t="s">
        <v>160</v>
      </c>
      <c r="AG99" s="468">
        <v>46676</v>
      </c>
      <c r="AH99" s="458">
        <v>3333</v>
      </c>
      <c r="AI99" s="466">
        <v>3333</v>
      </c>
      <c r="AJ99" s="465">
        <v>3333</v>
      </c>
      <c r="AK99" s="456">
        <v>25000</v>
      </c>
      <c r="AL99" s="466">
        <v>50000</v>
      </c>
      <c r="AM99" s="456" t="s">
        <v>160</v>
      </c>
      <c r="AN99" s="466">
        <v>25000</v>
      </c>
      <c r="AO99" s="456" t="s">
        <v>160</v>
      </c>
      <c r="AP99" s="466" t="s">
        <v>160</v>
      </c>
      <c r="AQ99" s="456" t="s">
        <v>160</v>
      </c>
      <c r="AR99" s="456" t="s">
        <v>160</v>
      </c>
      <c r="AS99" s="466" t="s">
        <v>160</v>
      </c>
      <c r="AT99" s="466" t="s">
        <v>160</v>
      </c>
      <c r="AU99" s="466"/>
      <c r="AV99" s="466"/>
      <c r="AW99" s="466"/>
      <c r="AX99" s="466"/>
      <c r="AY99" s="466"/>
      <c r="AZ99" s="466"/>
      <c r="BA99" s="466"/>
      <c r="BB99" s="466"/>
      <c r="BC99" s="466"/>
      <c r="BD99" s="466"/>
      <c r="BE99" s="466"/>
      <c r="BF99" s="466"/>
      <c r="BG99" s="466" t="s">
        <v>160</v>
      </c>
      <c r="BH99" s="466" t="s">
        <v>160</v>
      </c>
      <c r="BI99" s="457">
        <f t="shared" si="61"/>
        <v>156675</v>
      </c>
      <c r="BJ99" s="944">
        <v>1.38E-2</v>
      </c>
      <c r="BK99"/>
      <c r="BL99"/>
      <c r="BM99"/>
    </row>
    <row r="100" spans="1:65" hidden="1" outlineLevel="1" x14ac:dyDescent="0.2">
      <c r="A100" s="1" t="s">
        <v>1408</v>
      </c>
      <c r="B100" s="1" t="s">
        <v>1420</v>
      </c>
      <c r="D100" s="222" t="str">
        <f>IF([1]RENAME!$H$3=1,B100,A100)</f>
        <v>1T19</v>
      </c>
      <c r="E100" s="457" t="s">
        <v>160</v>
      </c>
      <c r="F100" s="457" t="s">
        <v>160</v>
      </c>
      <c r="G100" s="457" t="s">
        <v>160</v>
      </c>
      <c r="H100" s="457" t="s">
        <v>160</v>
      </c>
      <c r="I100" s="457" t="s">
        <v>160</v>
      </c>
      <c r="J100" s="456" t="s">
        <v>160</v>
      </c>
      <c r="K100" s="456" t="s">
        <v>160</v>
      </c>
      <c r="L100" s="456" t="s">
        <v>160</v>
      </c>
      <c r="M100" s="456" t="s">
        <v>160</v>
      </c>
      <c r="N100" s="456" t="s">
        <v>160</v>
      </c>
      <c r="O100" s="456" t="s">
        <v>160</v>
      </c>
      <c r="P100" s="456" t="s">
        <v>160</v>
      </c>
      <c r="Q100" s="456" t="s">
        <v>160</v>
      </c>
      <c r="R100" s="456" t="s">
        <v>160</v>
      </c>
      <c r="S100" s="456" t="s">
        <v>160</v>
      </c>
      <c r="T100" s="456" t="s">
        <v>160</v>
      </c>
      <c r="U100" s="456" t="s">
        <v>160</v>
      </c>
      <c r="V100" s="456" t="s">
        <v>160</v>
      </c>
      <c r="W100" s="456" t="s">
        <v>160</v>
      </c>
      <c r="X100" s="456" t="s">
        <v>160</v>
      </c>
      <c r="Y100" s="457" t="s">
        <v>160</v>
      </c>
      <c r="Z100" s="456" t="s">
        <v>160</v>
      </c>
      <c r="AA100" s="457" t="s">
        <v>160</v>
      </c>
      <c r="AB100" s="465" t="s">
        <v>160</v>
      </c>
      <c r="AC100" s="456" t="s">
        <v>160</v>
      </c>
      <c r="AD100" s="456" t="s">
        <v>160</v>
      </c>
      <c r="AE100" s="465" t="s">
        <v>160</v>
      </c>
      <c r="AF100" s="466" t="s">
        <v>160</v>
      </c>
      <c r="AG100" s="468" t="s">
        <v>160</v>
      </c>
      <c r="AH100" s="458">
        <v>3333</v>
      </c>
      <c r="AI100" s="469">
        <v>3333</v>
      </c>
      <c r="AJ100" s="465">
        <v>3333</v>
      </c>
      <c r="AK100" s="456">
        <f t="shared" ref="AK100:AN102" si="62">+AK98</f>
        <v>25000</v>
      </c>
      <c r="AL100" s="466">
        <f t="shared" si="62"/>
        <v>50000</v>
      </c>
      <c r="AM100" s="456" t="s">
        <v>160</v>
      </c>
      <c r="AN100" s="466">
        <f t="shared" si="62"/>
        <v>25000</v>
      </c>
      <c r="AO100" s="456">
        <v>10000</v>
      </c>
      <c r="AP100" s="466" t="s">
        <v>160</v>
      </c>
      <c r="AQ100" s="456">
        <v>10000</v>
      </c>
      <c r="AR100" s="456" t="s">
        <v>160</v>
      </c>
      <c r="AS100" s="466" t="s">
        <v>160</v>
      </c>
      <c r="AT100" s="466">
        <v>10000</v>
      </c>
      <c r="AU100" s="466"/>
      <c r="AV100" s="466"/>
      <c r="AW100" s="466"/>
      <c r="AX100" s="466"/>
      <c r="AY100" s="466"/>
      <c r="AZ100" s="466"/>
      <c r="BA100" s="466"/>
      <c r="BB100" s="466"/>
      <c r="BC100" s="466"/>
      <c r="BD100" s="466"/>
      <c r="BE100" s="466"/>
      <c r="BF100" s="466"/>
      <c r="BG100" s="466" t="s">
        <v>160</v>
      </c>
      <c r="BH100" s="466" t="s">
        <v>160</v>
      </c>
      <c r="BI100" s="457">
        <f t="shared" ref="BI100:BI105" si="63">+SUM(AB100:AT100)</f>
        <v>139999</v>
      </c>
      <c r="BJ100" s="944">
        <v>1.47E-2</v>
      </c>
      <c r="BK100"/>
      <c r="BL100"/>
      <c r="BM100"/>
    </row>
    <row r="101" spans="1:65" hidden="1" outlineLevel="1" x14ac:dyDescent="0.2">
      <c r="A101" s="1" t="s">
        <v>1409</v>
      </c>
      <c r="B101" s="1" t="s">
        <v>1512</v>
      </c>
      <c r="D101" s="222" t="str">
        <f>IF([1]RENAME!$H$3=1,B101,A101)</f>
        <v>2T19</v>
      </c>
      <c r="E101" s="457" t="s">
        <v>160</v>
      </c>
      <c r="F101" s="457" t="s">
        <v>160</v>
      </c>
      <c r="G101" s="457" t="s">
        <v>160</v>
      </c>
      <c r="H101" s="457" t="s">
        <v>160</v>
      </c>
      <c r="I101" s="457" t="s">
        <v>160</v>
      </c>
      <c r="J101" s="456" t="s">
        <v>160</v>
      </c>
      <c r="K101" s="456" t="s">
        <v>160</v>
      </c>
      <c r="L101" s="456" t="s">
        <v>160</v>
      </c>
      <c r="M101" s="456" t="s">
        <v>160</v>
      </c>
      <c r="N101" s="456" t="s">
        <v>160</v>
      </c>
      <c r="O101" s="456" t="s">
        <v>160</v>
      </c>
      <c r="P101" s="456" t="s">
        <v>160</v>
      </c>
      <c r="Q101" s="456" t="s">
        <v>160</v>
      </c>
      <c r="R101" s="456" t="s">
        <v>160</v>
      </c>
      <c r="S101" s="456" t="s">
        <v>160</v>
      </c>
      <c r="T101" s="456" t="s">
        <v>160</v>
      </c>
      <c r="U101" s="456" t="s">
        <v>160</v>
      </c>
      <c r="V101" s="456" t="s">
        <v>160</v>
      </c>
      <c r="W101" s="456" t="s">
        <v>160</v>
      </c>
      <c r="X101" s="456" t="s">
        <v>160</v>
      </c>
      <c r="Y101" s="457" t="s">
        <v>160</v>
      </c>
      <c r="Z101" s="456" t="s">
        <v>160</v>
      </c>
      <c r="AA101" s="457" t="s">
        <v>160</v>
      </c>
      <c r="AB101" s="465" t="s">
        <v>160</v>
      </c>
      <c r="AC101" s="456" t="s">
        <v>160</v>
      </c>
      <c r="AD101" s="456" t="s">
        <v>160</v>
      </c>
      <c r="AE101" s="465" t="s">
        <v>160</v>
      </c>
      <c r="AF101" s="466" t="s">
        <v>160</v>
      </c>
      <c r="AG101" s="468" t="s">
        <v>160</v>
      </c>
      <c r="AH101" s="458" t="s">
        <v>160</v>
      </c>
      <c r="AI101" s="469">
        <v>3333</v>
      </c>
      <c r="AJ101" s="468">
        <v>3333</v>
      </c>
      <c r="AK101" s="458">
        <f t="shared" si="62"/>
        <v>25000</v>
      </c>
      <c r="AL101" s="466">
        <f t="shared" si="62"/>
        <v>50000</v>
      </c>
      <c r="AM101" s="456" t="s">
        <v>160</v>
      </c>
      <c r="AN101" s="466">
        <f t="shared" si="62"/>
        <v>25000</v>
      </c>
      <c r="AO101" s="456">
        <v>10000</v>
      </c>
      <c r="AP101" s="466" t="s">
        <v>160</v>
      </c>
      <c r="AQ101" s="456">
        <v>10000</v>
      </c>
      <c r="AR101" s="456" t="s">
        <v>160</v>
      </c>
      <c r="AS101" s="466" t="s">
        <v>160</v>
      </c>
      <c r="AT101" s="466">
        <v>10000</v>
      </c>
      <c r="AU101" s="466"/>
      <c r="AV101" s="466"/>
      <c r="AW101" s="466"/>
      <c r="AX101" s="466"/>
      <c r="AY101" s="466"/>
      <c r="AZ101" s="466"/>
      <c r="BA101" s="466"/>
      <c r="BB101" s="466"/>
      <c r="BC101" s="466"/>
      <c r="BD101" s="466"/>
      <c r="BE101" s="466"/>
      <c r="BF101" s="466"/>
      <c r="BG101" s="466" t="s">
        <v>160</v>
      </c>
      <c r="BH101" s="466" t="s">
        <v>160</v>
      </c>
      <c r="BI101" s="457">
        <f t="shared" si="63"/>
        <v>136666</v>
      </c>
      <c r="BJ101" s="944">
        <v>1.47E-2</v>
      </c>
      <c r="BK101"/>
      <c r="BL101"/>
      <c r="BM101"/>
    </row>
    <row r="102" spans="1:65" hidden="1" outlineLevel="1" x14ac:dyDescent="0.2">
      <c r="A102" s="1" t="s">
        <v>1410</v>
      </c>
      <c r="B102" s="1" t="s">
        <v>1513</v>
      </c>
      <c r="D102" s="222" t="str">
        <f>IF([1]RENAME!$H$3=1,B102,A102)</f>
        <v>3T19</v>
      </c>
      <c r="E102" s="457" t="s">
        <v>160</v>
      </c>
      <c r="F102" s="457" t="s">
        <v>160</v>
      </c>
      <c r="G102" s="457" t="s">
        <v>160</v>
      </c>
      <c r="H102" s="457" t="s">
        <v>160</v>
      </c>
      <c r="I102" s="457" t="s">
        <v>160</v>
      </c>
      <c r="J102" s="456" t="s">
        <v>160</v>
      </c>
      <c r="K102" s="456" t="s">
        <v>160</v>
      </c>
      <c r="L102" s="456" t="s">
        <v>160</v>
      </c>
      <c r="M102" s="456" t="s">
        <v>160</v>
      </c>
      <c r="N102" s="456" t="s">
        <v>160</v>
      </c>
      <c r="O102" s="456" t="s">
        <v>160</v>
      </c>
      <c r="P102" s="456" t="s">
        <v>160</v>
      </c>
      <c r="Q102" s="456" t="s">
        <v>160</v>
      </c>
      <c r="R102" s="456" t="s">
        <v>160</v>
      </c>
      <c r="S102" s="456" t="s">
        <v>160</v>
      </c>
      <c r="T102" s="456" t="s">
        <v>160</v>
      </c>
      <c r="U102" s="456" t="s">
        <v>160</v>
      </c>
      <c r="V102" s="456" t="s">
        <v>160</v>
      </c>
      <c r="W102" s="456" t="s">
        <v>160</v>
      </c>
      <c r="X102" s="456" t="s">
        <v>160</v>
      </c>
      <c r="Y102" s="457" t="s">
        <v>160</v>
      </c>
      <c r="Z102" s="456" t="s">
        <v>160</v>
      </c>
      <c r="AA102" s="457" t="s">
        <v>160</v>
      </c>
      <c r="AB102" s="465" t="s">
        <v>160</v>
      </c>
      <c r="AC102" s="456" t="s">
        <v>160</v>
      </c>
      <c r="AD102" s="456" t="s">
        <v>160</v>
      </c>
      <c r="AE102" s="465" t="s">
        <v>160</v>
      </c>
      <c r="AF102" s="466" t="s">
        <v>160</v>
      </c>
      <c r="AG102" s="465" t="s">
        <v>160</v>
      </c>
      <c r="AH102" s="456" t="s">
        <v>160</v>
      </c>
      <c r="AI102" s="469">
        <v>3333</v>
      </c>
      <c r="AJ102" s="468">
        <v>3333</v>
      </c>
      <c r="AK102" s="458">
        <f t="shared" si="62"/>
        <v>25000</v>
      </c>
      <c r="AL102" s="466">
        <f t="shared" si="62"/>
        <v>50000</v>
      </c>
      <c r="AM102" s="456" t="s">
        <v>160</v>
      </c>
      <c r="AN102" s="466">
        <f t="shared" si="62"/>
        <v>25000</v>
      </c>
      <c r="AO102" s="456">
        <v>10000</v>
      </c>
      <c r="AP102" s="466" t="s">
        <v>160</v>
      </c>
      <c r="AQ102" s="456">
        <v>10000</v>
      </c>
      <c r="AR102" s="456" t="s">
        <v>160</v>
      </c>
      <c r="AS102" s="466" t="s">
        <v>160</v>
      </c>
      <c r="AT102" s="466">
        <v>10000</v>
      </c>
      <c r="AU102" s="466"/>
      <c r="AV102" s="466"/>
      <c r="AW102" s="466"/>
      <c r="AX102" s="466"/>
      <c r="AY102" s="466"/>
      <c r="AZ102" s="466"/>
      <c r="BA102" s="466"/>
      <c r="BB102" s="466"/>
      <c r="BC102" s="466"/>
      <c r="BD102" s="466"/>
      <c r="BE102" s="466"/>
      <c r="BF102" s="466"/>
      <c r="BG102" s="466" t="s">
        <v>160</v>
      </c>
      <c r="BH102" s="466" t="s">
        <v>160</v>
      </c>
      <c r="BI102" s="457">
        <f t="shared" si="63"/>
        <v>136666</v>
      </c>
      <c r="BJ102" s="944">
        <v>1.44E-2</v>
      </c>
      <c r="BK102"/>
      <c r="BL102"/>
      <c r="BM102"/>
    </row>
    <row r="103" spans="1:65" hidden="1" outlineLevel="1" x14ac:dyDescent="0.2">
      <c r="A103" s="1" t="s">
        <v>1411</v>
      </c>
      <c r="B103" s="1" t="s">
        <v>1514</v>
      </c>
      <c r="D103" s="222" t="str">
        <f>IF([1]RENAME!$H$3=1,B103,A103)</f>
        <v>4T19</v>
      </c>
      <c r="E103" s="457" t="s">
        <v>160</v>
      </c>
      <c r="F103" s="457" t="s">
        <v>160</v>
      </c>
      <c r="G103" s="457" t="s">
        <v>160</v>
      </c>
      <c r="H103" s="457" t="s">
        <v>160</v>
      </c>
      <c r="I103" s="457" t="s">
        <v>160</v>
      </c>
      <c r="J103" s="456" t="s">
        <v>160</v>
      </c>
      <c r="K103" s="456" t="s">
        <v>160</v>
      </c>
      <c r="L103" s="456" t="s">
        <v>160</v>
      </c>
      <c r="M103" s="456" t="s">
        <v>160</v>
      </c>
      <c r="N103" s="456" t="s">
        <v>160</v>
      </c>
      <c r="O103" s="456" t="s">
        <v>160</v>
      </c>
      <c r="P103" s="456" t="s">
        <v>160</v>
      </c>
      <c r="Q103" s="456" t="s">
        <v>160</v>
      </c>
      <c r="R103" s="456" t="s">
        <v>160</v>
      </c>
      <c r="S103" s="456" t="s">
        <v>160</v>
      </c>
      <c r="T103" s="456" t="s">
        <v>160</v>
      </c>
      <c r="U103" s="456" t="s">
        <v>160</v>
      </c>
      <c r="V103" s="456" t="s">
        <v>160</v>
      </c>
      <c r="W103" s="456" t="s">
        <v>160</v>
      </c>
      <c r="X103" s="456" t="s">
        <v>160</v>
      </c>
      <c r="Y103" s="457" t="s">
        <v>160</v>
      </c>
      <c r="Z103" s="456" t="s">
        <v>160</v>
      </c>
      <c r="AA103" s="457" t="s">
        <v>160</v>
      </c>
      <c r="AB103" s="465" t="s">
        <v>160</v>
      </c>
      <c r="AC103" s="456" t="s">
        <v>160</v>
      </c>
      <c r="AD103" s="456" t="s">
        <v>160</v>
      </c>
      <c r="AE103" s="465" t="s">
        <v>160</v>
      </c>
      <c r="AF103" s="466" t="s">
        <v>160</v>
      </c>
      <c r="AG103" s="465" t="s">
        <v>160</v>
      </c>
      <c r="AH103" s="456" t="s">
        <v>160</v>
      </c>
      <c r="AI103" s="466" t="s">
        <v>160</v>
      </c>
      <c r="AJ103" s="468">
        <v>3333</v>
      </c>
      <c r="AK103" s="458">
        <v>25000</v>
      </c>
      <c r="AL103" s="466">
        <v>50000</v>
      </c>
      <c r="AM103" s="456" t="s">
        <v>160</v>
      </c>
      <c r="AN103" s="466">
        <v>25000</v>
      </c>
      <c r="AO103" s="465">
        <v>10000</v>
      </c>
      <c r="AP103" s="466" t="s">
        <v>160</v>
      </c>
      <c r="AQ103" s="465">
        <v>10000</v>
      </c>
      <c r="AR103" s="456" t="s">
        <v>160</v>
      </c>
      <c r="AS103" s="466" t="s">
        <v>160</v>
      </c>
      <c r="AT103" s="824">
        <v>10000</v>
      </c>
      <c r="AU103" s="824"/>
      <c r="AV103" s="824"/>
      <c r="AW103" s="824"/>
      <c r="AX103" s="824"/>
      <c r="AY103" s="824"/>
      <c r="AZ103" s="824"/>
      <c r="BA103" s="824"/>
      <c r="BB103" s="824"/>
      <c r="BC103" s="824"/>
      <c r="BD103" s="824"/>
      <c r="BE103" s="824"/>
      <c r="BF103" s="824"/>
      <c r="BG103" s="824" t="s">
        <v>160</v>
      </c>
      <c r="BH103" s="824" t="s">
        <v>160</v>
      </c>
      <c r="BI103" s="457">
        <f t="shared" si="63"/>
        <v>133333</v>
      </c>
      <c r="BJ103" s="944">
        <v>1.41E-2</v>
      </c>
      <c r="BK103"/>
      <c r="BL103"/>
      <c r="BM103"/>
    </row>
    <row r="104" spans="1:65" hidden="1" outlineLevel="1" x14ac:dyDescent="0.2">
      <c r="A104" s="1" t="s">
        <v>1626</v>
      </c>
      <c r="B104" s="1" t="s">
        <v>1631</v>
      </c>
      <c r="D104" s="222" t="str">
        <f>IF([1]RENAME!$H$3=1,B104,A104)</f>
        <v>1T20</v>
      </c>
      <c r="E104" s="457" t="s">
        <v>160</v>
      </c>
      <c r="F104" s="457" t="s">
        <v>160</v>
      </c>
      <c r="G104" s="457" t="s">
        <v>160</v>
      </c>
      <c r="H104" s="457" t="s">
        <v>160</v>
      </c>
      <c r="I104" s="457" t="s">
        <v>160</v>
      </c>
      <c r="J104" s="456" t="s">
        <v>160</v>
      </c>
      <c r="K104" s="456" t="s">
        <v>160</v>
      </c>
      <c r="L104" s="456" t="s">
        <v>160</v>
      </c>
      <c r="M104" s="456" t="s">
        <v>160</v>
      </c>
      <c r="N104" s="456" t="s">
        <v>160</v>
      </c>
      <c r="O104" s="456" t="s">
        <v>160</v>
      </c>
      <c r="P104" s="456" t="s">
        <v>160</v>
      </c>
      <c r="Q104" s="456" t="s">
        <v>160</v>
      </c>
      <c r="R104" s="456" t="s">
        <v>160</v>
      </c>
      <c r="S104" s="456" t="s">
        <v>160</v>
      </c>
      <c r="T104" s="456" t="s">
        <v>160</v>
      </c>
      <c r="U104" s="456" t="s">
        <v>160</v>
      </c>
      <c r="V104" s="456" t="s">
        <v>160</v>
      </c>
      <c r="W104" s="456" t="s">
        <v>160</v>
      </c>
      <c r="X104" s="456" t="s">
        <v>160</v>
      </c>
      <c r="Y104" s="457" t="s">
        <v>160</v>
      </c>
      <c r="Z104" s="456" t="s">
        <v>160</v>
      </c>
      <c r="AA104" s="457" t="s">
        <v>160</v>
      </c>
      <c r="AB104" s="465" t="s">
        <v>160</v>
      </c>
      <c r="AC104" s="456" t="s">
        <v>160</v>
      </c>
      <c r="AD104" s="456" t="s">
        <v>160</v>
      </c>
      <c r="AE104" s="465" t="s">
        <v>160</v>
      </c>
      <c r="AF104" s="466" t="s">
        <v>160</v>
      </c>
      <c r="AG104" s="465" t="s">
        <v>160</v>
      </c>
      <c r="AH104" s="456" t="s">
        <v>160</v>
      </c>
      <c r="AI104" s="466" t="s">
        <v>160</v>
      </c>
      <c r="AJ104" s="468">
        <v>3333</v>
      </c>
      <c r="AK104" s="458">
        <v>25000</v>
      </c>
      <c r="AL104" s="466">
        <v>50000</v>
      </c>
      <c r="AM104" s="456" t="s">
        <v>160</v>
      </c>
      <c r="AN104" s="466">
        <v>25000</v>
      </c>
      <c r="AO104" s="456">
        <v>10000</v>
      </c>
      <c r="AP104" s="466" t="s">
        <v>160</v>
      </c>
      <c r="AQ104" s="456">
        <v>10000</v>
      </c>
      <c r="AR104" s="456" t="s">
        <v>160</v>
      </c>
      <c r="AS104" s="466" t="s">
        <v>160</v>
      </c>
      <c r="AT104" s="466">
        <v>10000</v>
      </c>
      <c r="AU104" s="466"/>
      <c r="AV104" s="466"/>
      <c r="AW104" s="466"/>
      <c r="AX104" s="466"/>
      <c r="AY104" s="466"/>
      <c r="AZ104" s="466"/>
      <c r="BA104" s="466"/>
      <c r="BB104" s="466"/>
      <c r="BC104" s="466"/>
      <c r="BD104" s="466"/>
      <c r="BE104" s="466"/>
      <c r="BF104" s="466"/>
      <c r="BG104" s="466" t="s">
        <v>160</v>
      </c>
      <c r="BH104" s="466" t="s">
        <v>160</v>
      </c>
      <c r="BI104" s="457">
        <f t="shared" si="63"/>
        <v>133333</v>
      </c>
      <c r="BJ104" s="944">
        <f>+BJ103</f>
        <v>1.41E-2</v>
      </c>
      <c r="BK104"/>
      <c r="BL104"/>
      <c r="BM104"/>
    </row>
    <row r="105" spans="1:65" hidden="1" outlineLevel="1" x14ac:dyDescent="0.2">
      <c r="A105" s="1" t="s">
        <v>1627</v>
      </c>
      <c r="B105" s="1" t="s">
        <v>1667</v>
      </c>
      <c r="D105" s="222" t="str">
        <f>IF([1]RENAME!$H$3=1,B105,A105)</f>
        <v>2T20</v>
      </c>
      <c r="E105" s="457" t="s">
        <v>160</v>
      </c>
      <c r="F105" s="457" t="s">
        <v>160</v>
      </c>
      <c r="G105" s="457" t="s">
        <v>160</v>
      </c>
      <c r="H105" s="457" t="s">
        <v>160</v>
      </c>
      <c r="I105" s="457" t="s">
        <v>160</v>
      </c>
      <c r="J105" s="456" t="s">
        <v>160</v>
      </c>
      <c r="K105" s="456" t="s">
        <v>160</v>
      </c>
      <c r="L105" s="456" t="s">
        <v>160</v>
      </c>
      <c r="M105" s="456" t="s">
        <v>160</v>
      </c>
      <c r="N105" s="456" t="s">
        <v>160</v>
      </c>
      <c r="O105" s="456" t="s">
        <v>160</v>
      </c>
      <c r="P105" s="456" t="s">
        <v>160</v>
      </c>
      <c r="Q105" s="456" t="s">
        <v>160</v>
      </c>
      <c r="R105" s="456" t="s">
        <v>160</v>
      </c>
      <c r="S105" s="456" t="s">
        <v>160</v>
      </c>
      <c r="T105" s="456" t="s">
        <v>160</v>
      </c>
      <c r="U105" s="456" t="s">
        <v>160</v>
      </c>
      <c r="V105" s="456" t="s">
        <v>160</v>
      </c>
      <c r="W105" s="456" t="s">
        <v>160</v>
      </c>
      <c r="X105" s="456" t="s">
        <v>160</v>
      </c>
      <c r="Y105" s="457" t="s">
        <v>160</v>
      </c>
      <c r="Z105" s="456" t="s">
        <v>160</v>
      </c>
      <c r="AA105" s="456" t="s">
        <v>160</v>
      </c>
      <c r="AB105" s="465" t="s">
        <v>160</v>
      </c>
      <c r="AC105" s="456" t="s">
        <v>160</v>
      </c>
      <c r="AD105" s="456" t="s">
        <v>160</v>
      </c>
      <c r="AE105" s="465" t="s">
        <v>160</v>
      </c>
      <c r="AF105" s="466" t="s">
        <v>160</v>
      </c>
      <c r="AG105" s="465" t="s">
        <v>160</v>
      </c>
      <c r="AH105" s="456" t="s">
        <v>160</v>
      </c>
      <c r="AI105" s="466" t="s">
        <v>160</v>
      </c>
      <c r="AJ105" s="465" t="s">
        <v>160</v>
      </c>
      <c r="AK105" s="458">
        <v>25000</v>
      </c>
      <c r="AL105" s="458">
        <v>50000</v>
      </c>
      <c r="AM105" s="465">
        <v>40000</v>
      </c>
      <c r="AN105" s="466">
        <v>25000</v>
      </c>
      <c r="AO105" s="456">
        <v>10000</v>
      </c>
      <c r="AP105" s="466">
        <v>50000</v>
      </c>
      <c r="AQ105" s="456">
        <v>10000</v>
      </c>
      <c r="AR105" s="456" t="s">
        <v>160</v>
      </c>
      <c r="AS105" s="466" t="s">
        <v>160</v>
      </c>
      <c r="AT105" s="466">
        <v>10000</v>
      </c>
      <c r="AU105" s="466"/>
      <c r="AV105" s="466"/>
      <c r="AW105" s="466"/>
      <c r="AX105" s="466"/>
      <c r="AY105" s="466"/>
      <c r="AZ105" s="466"/>
      <c r="BA105" s="466"/>
      <c r="BB105" s="466"/>
      <c r="BC105" s="466"/>
      <c r="BD105" s="466"/>
      <c r="BE105" s="466"/>
      <c r="BF105" s="466"/>
      <c r="BG105" s="466" t="s">
        <v>160</v>
      </c>
      <c r="BH105" s="466" t="s">
        <v>160</v>
      </c>
      <c r="BI105" s="457">
        <f t="shared" si="63"/>
        <v>220000</v>
      </c>
      <c r="BJ105" s="944">
        <v>2.4E-2</v>
      </c>
      <c r="BK105"/>
      <c r="BL105"/>
      <c r="BM105"/>
    </row>
    <row r="106" spans="1:65" hidden="1" outlineLevel="1" x14ac:dyDescent="0.2">
      <c r="A106" s="1" t="s">
        <v>1642</v>
      </c>
      <c r="B106" s="1" t="s">
        <v>1668</v>
      </c>
      <c r="D106" s="222" t="str">
        <f>IF([1]RENAME!$H$3=1,B106,A106)</f>
        <v>3T20</v>
      </c>
      <c r="E106" s="457" t="s">
        <v>160</v>
      </c>
      <c r="F106" s="457" t="s">
        <v>160</v>
      </c>
      <c r="G106" s="457" t="s">
        <v>160</v>
      </c>
      <c r="H106" s="457" t="s">
        <v>160</v>
      </c>
      <c r="I106" s="457" t="s">
        <v>160</v>
      </c>
      <c r="J106" s="456" t="s">
        <v>160</v>
      </c>
      <c r="K106" s="456" t="s">
        <v>160</v>
      </c>
      <c r="L106" s="456" t="s">
        <v>160</v>
      </c>
      <c r="M106" s="456" t="s">
        <v>160</v>
      </c>
      <c r="N106" s="456" t="s">
        <v>160</v>
      </c>
      <c r="O106" s="456" t="s">
        <v>160</v>
      </c>
      <c r="P106" s="456" t="s">
        <v>160</v>
      </c>
      <c r="Q106" s="456" t="s">
        <v>160</v>
      </c>
      <c r="R106" s="456" t="s">
        <v>160</v>
      </c>
      <c r="S106" s="456" t="s">
        <v>160</v>
      </c>
      <c r="T106" s="456" t="s">
        <v>160</v>
      </c>
      <c r="U106" s="456" t="s">
        <v>160</v>
      </c>
      <c r="V106" s="456" t="s">
        <v>160</v>
      </c>
      <c r="W106" s="456" t="s">
        <v>160</v>
      </c>
      <c r="X106" s="456" t="s">
        <v>160</v>
      </c>
      <c r="Y106" s="457" t="s">
        <v>160</v>
      </c>
      <c r="Z106" s="456" t="s">
        <v>160</v>
      </c>
      <c r="AA106" s="456" t="s">
        <v>160</v>
      </c>
      <c r="AB106" s="465" t="s">
        <v>160</v>
      </c>
      <c r="AC106" s="456" t="s">
        <v>160</v>
      </c>
      <c r="AD106" s="456" t="s">
        <v>160</v>
      </c>
      <c r="AE106" s="465" t="s">
        <v>160</v>
      </c>
      <c r="AF106" s="466" t="s">
        <v>160</v>
      </c>
      <c r="AG106" s="465" t="s">
        <v>160</v>
      </c>
      <c r="AH106" s="456" t="s">
        <v>160</v>
      </c>
      <c r="AI106" s="466" t="s">
        <v>160</v>
      </c>
      <c r="AJ106" s="465" t="s">
        <v>160</v>
      </c>
      <c r="AK106" s="456" t="s">
        <v>160</v>
      </c>
      <c r="AL106" s="456" t="s">
        <v>160</v>
      </c>
      <c r="AM106" s="468">
        <v>40000</v>
      </c>
      <c r="AN106" s="469">
        <v>25000</v>
      </c>
      <c r="AO106" s="456">
        <v>10000</v>
      </c>
      <c r="AP106" s="466">
        <v>50000</v>
      </c>
      <c r="AQ106" s="456">
        <v>10000</v>
      </c>
      <c r="AR106" s="456">
        <v>40000</v>
      </c>
      <c r="AS106" s="466">
        <v>5000</v>
      </c>
      <c r="AT106" s="466">
        <v>10000</v>
      </c>
      <c r="AU106" s="466"/>
      <c r="AV106" s="466"/>
      <c r="AW106" s="466"/>
      <c r="AX106" s="466"/>
      <c r="AY106" s="466"/>
      <c r="AZ106" s="466"/>
      <c r="BA106" s="466"/>
      <c r="BB106" s="466"/>
      <c r="BC106" s="466"/>
      <c r="BD106" s="466"/>
      <c r="BE106" s="466"/>
      <c r="BF106" s="466"/>
      <c r="BG106" s="466" t="s">
        <v>160</v>
      </c>
      <c r="BH106" s="466" t="s">
        <v>160</v>
      </c>
      <c r="BI106" s="457">
        <v>190000</v>
      </c>
      <c r="BJ106" s="944">
        <v>2.92E-2</v>
      </c>
      <c r="BK106"/>
      <c r="BL106"/>
      <c r="BM106"/>
    </row>
    <row r="107" spans="1:65" hidden="1" outlineLevel="1" x14ac:dyDescent="0.2">
      <c r="A107" s="1" t="s">
        <v>1643</v>
      </c>
      <c r="B107" s="1" t="s">
        <v>1628</v>
      </c>
      <c r="D107" s="222" t="str">
        <f>IF([1]RENAME!$H$3=1,B107,A107)</f>
        <v>4T20</v>
      </c>
      <c r="E107" s="457" t="s">
        <v>160</v>
      </c>
      <c r="F107" s="457" t="s">
        <v>160</v>
      </c>
      <c r="G107" s="457" t="s">
        <v>160</v>
      </c>
      <c r="H107" s="457" t="s">
        <v>160</v>
      </c>
      <c r="I107" s="457" t="s">
        <v>160</v>
      </c>
      <c r="J107" s="456" t="s">
        <v>160</v>
      </c>
      <c r="K107" s="456" t="s">
        <v>160</v>
      </c>
      <c r="L107" s="456" t="s">
        <v>160</v>
      </c>
      <c r="M107" s="456" t="s">
        <v>160</v>
      </c>
      <c r="N107" s="456" t="s">
        <v>160</v>
      </c>
      <c r="O107" s="456" t="s">
        <v>160</v>
      </c>
      <c r="P107" s="456" t="s">
        <v>160</v>
      </c>
      <c r="Q107" s="456" t="s">
        <v>160</v>
      </c>
      <c r="R107" s="456" t="s">
        <v>160</v>
      </c>
      <c r="S107" s="456" t="s">
        <v>160</v>
      </c>
      <c r="T107" s="456" t="s">
        <v>160</v>
      </c>
      <c r="U107" s="456" t="s">
        <v>160</v>
      </c>
      <c r="V107" s="456" t="s">
        <v>160</v>
      </c>
      <c r="W107" s="456" t="s">
        <v>160</v>
      </c>
      <c r="X107" s="456" t="s">
        <v>160</v>
      </c>
      <c r="Y107" s="457" t="s">
        <v>160</v>
      </c>
      <c r="Z107" s="456" t="s">
        <v>160</v>
      </c>
      <c r="AA107" s="456" t="s">
        <v>160</v>
      </c>
      <c r="AB107" s="465" t="s">
        <v>160</v>
      </c>
      <c r="AC107" s="456" t="s">
        <v>160</v>
      </c>
      <c r="AD107" s="456" t="s">
        <v>160</v>
      </c>
      <c r="AE107" s="465" t="s">
        <v>160</v>
      </c>
      <c r="AF107" s="466" t="s">
        <v>160</v>
      </c>
      <c r="AG107" s="465" t="s">
        <v>160</v>
      </c>
      <c r="AH107" s="456" t="s">
        <v>160</v>
      </c>
      <c r="AI107" s="466" t="s">
        <v>160</v>
      </c>
      <c r="AJ107" s="465" t="s">
        <v>160</v>
      </c>
      <c r="AK107" s="456" t="s">
        <v>160</v>
      </c>
      <c r="AL107" s="456" t="s">
        <v>160</v>
      </c>
      <c r="AM107" s="468">
        <v>40000</v>
      </c>
      <c r="AN107" s="469">
        <v>25000</v>
      </c>
      <c r="AO107" s="456">
        <v>10000</v>
      </c>
      <c r="AP107" s="466">
        <v>50000</v>
      </c>
      <c r="AQ107" s="456">
        <v>10000</v>
      </c>
      <c r="AR107" s="456">
        <v>40000</v>
      </c>
      <c r="AS107" s="466">
        <v>5000</v>
      </c>
      <c r="AT107" s="466">
        <v>10000</v>
      </c>
      <c r="AU107" s="466"/>
      <c r="AV107" s="466"/>
      <c r="AW107" s="466"/>
      <c r="AX107" s="466"/>
      <c r="AY107" s="466"/>
      <c r="AZ107" s="466"/>
      <c r="BA107" s="466"/>
      <c r="BB107" s="466"/>
      <c r="BC107" s="466"/>
      <c r="BD107" s="466"/>
      <c r="BE107" s="466"/>
      <c r="BF107" s="466"/>
      <c r="BG107" s="466" t="s">
        <v>160</v>
      </c>
      <c r="BH107" s="466" t="s">
        <v>160</v>
      </c>
      <c r="BI107" s="457">
        <f t="shared" ref="BI107:BI114" si="64">+SUM(AB107:AT107)</f>
        <v>190000</v>
      </c>
      <c r="BJ107" s="944">
        <v>2.92E-2</v>
      </c>
      <c r="BK107"/>
      <c r="BL107"/>
      <c r="BM107"/>
    </row>
    <row r="108" spans="1:65" hidden="1" outlineLevel="1" x14ac:dyDescent="0.2">
      <c r="A108" s="1" t="s">
        <v>1825</v>
      </c>
      <c r="B108" s="1" t="s">
        <v>1827</v>
      </c>
      <c r="D108" s="222" t="str">
        <f>IF([1]RENAME!$H$3=1,B108,A108)</f>
        <v>1T21</v>
      </c>
      <c r="E108" s="457" t="s">
        <v>160</v>
      </c>
      <c r="F108" s="457" t="s">
        <v>160</v>
      </c>
      <c r="G108" s="457" t="s">
        <v>160</v>
      </c>
      <c r="H108" s="457" t="s">
        <v>160</v>
      </c>
      <c r="I108" s="457" t="s">
        <v>160</v>
      </c>
      <c r="J108" s="456" t="s">
        <v>160</v>
      </c>
      <c r="K108" s="456" t="s">
        <v>160</v>
      </c>
      <c r="L108" s="456" t="s">
        <v>160</v>
      </c>
      <c r="M108" s="456" t="s">
        <v>160</v>
      </c>
      <c r="N108" s="456" t="s">
        <v>160</v>
      </c>
      <c r="O108" s="456" t="s">
        <v>160</v>
      </c>
      <c r="P108" s="456" t="s">
        <v>160</v>
      </c>
      <c r="Q108" s="456" t="s">
        <v>160</v>
      </c>
      <c r="R108" s="456" t="s">
        <v>160</v>
      </c>
      <c r="S108" s="456" t="s">
        <v>160</v>
      </c>
      <c r="T108" s="456" t="s">
        <v>160</v>
      </c>
      <c r="U108" s="456" t="s">
        <v>160</v>
      </c>
      <c r="V108" s="456" t="s">
        <v>160</v>
      </c>
      <c r="W108" s="456" t="s">
        <v>160</v>
      </c>
      <c r="X108" s="456" t="s">
        <v>160</v>
      </c>
      <c r="Y108" s="457" t="s">
        <v>160</v>
      </c>
      <c r="Z108" s="456" t="s">
        <v>160</v>
      </c>
      <c r="AA108" s="456" t="s">
        <v>160</v>
      </c>
      <c r="AB108" s="465" t="s">
        <v>160</v>
      </c>
      <c r="AC108" s="456" t="s">
        <v>160</v>
      </c>
      <c r="AD108" s="456" t="s">
        <v>160</v>
      </c>
      <c r="AE108" s="465" t="s">
        <v>160</v>
      </c>
      <c r="AF108" s="466" t="s">
        <v>160</v>
      </c>
      <c r="AG108" s="465" t="s">
        <v>160</v>
      </c>
      <c r="AH108" s="456" t="s">
        <v>160</v>
      </c>
      <c r="AI108" s="466" t="s">
        <v>160</v>
      </c>
      <c r="AJ108" s="465" t="s">
        <v>160</v>
      </c>
      <c r="AK108" s="456" t="s">
        <v>160</v>
      </c>
      <c r="AL108" s="456" t="s">
        <v>160</v>
      </c>
      <c r="AM108" s="468">
        <v>40000</v>
      </c>
      <c r="AN108" s="469">
        <v>25000</v>
      </c>
      <c r="AO108" s="456">
        <v>10000</v>
      </c>
      <c r="AP108" s="466">
        <v>50000</v>
      </c>
      <c r="AQ108" s="456">
        <v>10000</v>
      </c>
      <c r="AR108" s="456">
        <v>40000</v>
      </c>
      <c r="AS108" s="466">
        <v>5000</v>
      </c>
      <c r="AT108" s="466">
        <v>10000</v>
      </c>
      <c r="AU108" s="466" t="s">
        <v>160</v>
      </c>
      <c r="AV108" s="466" t="s">
        <v>160</v>
      </c>
      <c r="AW108" s="466" t="s">
        <v>160</v>
      </c>
      <c r="AX108" s="466" t="s">
        <v>160</v>
      </c>
      <c r="AY108" s="466" t="s">
        <v>160</v>
      </c>
      <c r="AZ108" s="466" t="s">
        <v>160</v>
      </c>
      <c r="BA108" s="466" t="s">
        <v>160</v>
      </c>
      <c r="BB108" s="466" t="s">
        <v>160</v>
      </c>
      <c r="BC108" s="466" t="s">
        <v>160</v>
      </c>
      <c r="BD108" s="466" t="s">
        <v>160</v>
      </c>
      <c r="BE108" s="466" t="s">
        <v>160</v>
      </c>
      <c r="BF108" s="466" t="s">
        <v>160</v>
      </c>
      <c r="BG108" s="466" t="s">
        <v>160</v>
      </c>
      <c r="BH108" s="466" t="s">
        <v>160</v>
      </c>
      <c r="BI108" s="650">
        <f t="shared" si="64"/>
        <v>190000</v>
      </c>
      <c r="BJ108" s="944">
        <v>2.92E-2</v>
      </c>
      <c r="BK108"/>
      <c r="BL108"/>
      <c r="BM108"/>
    </row>
    <row r="109" spans="1:65" hidden="1" outlineLevel="1" x14ac:dyDescent="0.2">
      <c r="A109" s="1" t="s">
        <v>1785</v>
      </c>
      <c r="B109" s="1" t="s">
        <v>1828</v>
      </c>
      <c r="D109" s="222" t="str">
        <f>IF([1]RENAME!$H$3=1,B109,A109)</f>
        <v>2T21</v>
      </c>
      <c r="E109" s="457" t="s">
        <v>160</v>
      </c>
      <c r="F109" s="457" t="s">
        <v>160</v>
      </c>
      <c r="G109" s="457" t="s">
        <v>160</v>
      </c>
      <c r="H109" s="457" t="s">
        <v>160</v>
      </c>
      <c r="I109" s="457" t="s">
        <v>160</v>
      </c>
      <c r="J109" s="456" t="s">
        <v>160</v>
      </c>
      <c r="K109" s="456" t="s">
        <v>160</v>
      </c>
      <c r="L109" s="456" t="s">
        <v>160</v>
      </c>
      <c r="M109" s="456" t="s">
        <v>160</v>
      </c>
      <c r="N109" s="456" t="s">
        <v>160</v>
      </c>
      <c r="O109" s="456" t="s">
        <v>160</v>
      </c>
      <c r="P109" s="456" t="s">
        <v>160</v>
      </c>
      <c r="Q109" s="456" t="s">
        <v>160</v>
      </c>
      <c r="R109" s="456" t="s">
        <v>160</v>
      </c>
      <c r="S109" s="456" t="s">
        <v>160</v>
      </c>
      <c r="T109" s="456" t="s">
        <v>160</v>
      </c>
      <c r="U109" s="456" t="s">
        <v>160</v>
      </c>
      <c r="V109" s="456" t="s">
        <v>160</v>
      </c>
      <c r="W109" s="456" t="s">
        <v>160</v>
      </c>
      <c r="X109" s="456" t="s">
        <v>160</v>
      </c>
      <c r="Y109" s="457" t="s">
        <v>160</v>
      </c>
      <c r="Z109" s="456" t="s">
        <v>160</v>
      </c>
      <c r="AA109" s="456" t="s">
        <v>160</v>
      </c>
      <c r="AB109" s="465" t="s">
        <v>160</v>
      </c>
      <c r="AC109" s="456" t="s">
        <v>160</v>
      </c>
      <c r="AD109" s="456" t="s">
        <v>160</v>
      </c>
      <c r="AE109" s="465" t="s">
        <v>160</v>
      </c>
      <c r="AF109" s="466" t="s">
        <v>160</v>
      </c>
      <c r="AG109" s="465" t="s">
        <v>160</v>
      </c>
      <c r="AH109" s="456" t="s">
        <v>160</v>
      </c>
      <c r="AI109" s="466" t="s">
        <v>160</v>
      </c>
      <c r="AJ109" s="465" t="s">
        <v>160</v>
      </c>
      <c r="AK109" s="456" t="s">
        <v>160</v>
      </c>
      <c r="AL109" s="456" t="s">
        <v>160</v>
      </c>
      <c r="AM109" s="468" t="s">
        <v>160</v>
      </c>
      <c r="AN109" s="469">
        <v>25000</v>
      </c>
      <c r="AO109" s="458">
        <f t="shared" ref="AO109:AT109" si="65">+AO108</f>
        <v>10000</v>
      </c>
      <c r="AP109" s="469">
        <f t="shared" si="65"/>
        <v>50000</v>
      </c>
      <c r="AQ109" s="456">
        <f t="shared" si="65"/>
        <v>10000</v>
      </c>
      <c r="AR109" s="456">
        <f t="shared" si="65"/>
        <v>40000</v>
      </c>
      <c r="AS109" s="466">
        <f t="shared" si="65"/>
        <v>5000</v>
      </c>
      <c r="AT109" s="466">
        <f t="shared" si="65"/>
        <v>10000</v>
      </c>
      <c r="AU109" s="466" t="s">
        <v>160</v>
      </c>
      <c r="AV109" s="466" t="s">
        <v>160</v>
      </c>
      <c r="AW109" s="466" t="s">
        <v>160</v>
      </c>
      <c r="AX109" s="466" t="s">
        <v>160</v>
      </c>
      <c r="AY109" s="466" t="s">
        <v>160</v>
      </c>
      <c r="AZ109" s="466" t="s">
        <v>160</v>
      </c>
      <c r="BA109" s="466" t="s">
        <v>160</v>
      </c>
      <c r="BB109" s="466" t="s">
        <v>160</v>
      </c>
      <c r="BC109" s="466" t="s">
        <v>160</v>
      </c>
      <c r="BD109" s="466" t="s">
        <v>160</v>
      </c>
      <c r="BE109" s="466" t="s">
        <v>160</v>
      </c>
      <c r="BF109" s="466" t="s">
        <v>160</v>
      </c>
      <c r="BG109" s="466" t="s">
        <v>160</v>
      </c>
      <c r="BH109" s="466" t="s">
        <v>160</v>
      </c>
      <c r="BI109" s="650">
        <f t="shared" si="64"/>
        <v>150000</v>
      </c>
      <c r="BJ109" s="944">
        <v>2.63E-2</v>
      </c>
      <c r="BK109"/>
      <c r="BL109"/>
      <c r="BM109"/>
    </row>
    <row r="110" spans="1:65" hidden="1" outlineLevel="1" x14ac:dyDescent="0.2">
      <c r="A110" s="1" t="s">
        <v>1786</v>
      </c>
      <c r="B110" s="1" t="s">
        <v>1829</v>
      </c>
      <c r="D110" s="222" t="str">
        <f>IF([1]RENAME!$H$3=1,B110,A110)</f>
        <v>3T21</v>
      </c>
      <c r="E110" s="457" t="s">
        <v>160</v>
      </c>
      <c r="F110" s="457" t="s">
        <v>160</v>
      </c>
      <c r="G110" s="457" t="s">
        <v>160</v>
      </c>
      <c r="H110" s="457" t="s">
        <v>160</v>
      </c>
      <c r="I110" s="457" t="s">
        <v>160</v>
      </c>
      <c r="J110" s="456" t="s">
        <v>160</v>
      </c>
      <c r="K110" s="456" t="s">
        <v>160</v>
      </c>
      <c r="L110" s="456" t="s">
        <v>160</v>
      </c>
      <c r="M110" s="456" t="s">
        <v>160</v>
      </c>
      <c r="N110" s="456" t="s">
        <v>160</v>
      </c>
      <c r="O110" s="456" t="s">
        <v>160</v>
      </c>
      <c r="P110" s="456" t="s">
        <v>160</v>
      </c>
      <c r="Q110" s="456" t="s">
        <v>160</v>
      </c>
      <c r="R110" s="456" t="s">
        <v>160</v>
      </c>
      <c r="S110" s="456" t="s">
        <v>160</v>
      </c>
      <c r="T110" s="456" t="s">
        <v>160</v>
      </c>
      <c r="U110" s="456" t="s">
        <v>160</v>
      </c>
      <c r="V110" s="456" t="s">
        <v>160</v>
      </c>
      <c r="W110" s="456" t="s">
        <v>160</v>
      </c>
      <c r="X110" s="456" t="s">
        <v>160</v>
      </c>
      <c r="Y110" s="457" t="s">
        <v>160</v>
      </c>
      <c r="Z110" s="456" t="s">
        <v>160</v>
      </c>
      <c r="AA110" s="456" t="s">
        <v>160</v>
      </c>
      <c r="AB110" s="465" t="s">
        <v>160</v>
      </c>
      <c r="AC110" s="456" t="s">
        <v>160</v>
      </c>
      <c r="AD110" s="456" t="s">
        <v>160</v>
      </c>
      <c r="AE110" s="465" t="s">
        <v>160</v>
      </c>
      <c r="AF110" s="466" t="s">
        <v>160</v>
      </c>
      <c r="AG110" s="465" t="s">
        <v>160</v>
      </c>
      <c r="AH110" s="456" t="s">
        <v>160</v>
      </c>
      <c r="AI110" s="466" t="s">
        <v>160</v>
      </c>
      <c r="AJ110" s="465" t="s">
        <v>160</v>
      </c>
      <c r="AK110" s="456" t="s">
        <v>160</v>
      </c>
      <c r="AL110" s="456" t="s">
        <v>160</v>
      </c>
      <c r="AM110" s="468" t="s">
        <v>160</v>
      </c>
      <c r="AN110" s="469" t="s">
        <v>160</v>
      </c>
      <c r="AO110" s="458">
        <f t="shared" ref="AO110:AT111" si="66">+AO108</f>
        <v>10000</v>
      </c>
      <c r="AP110" s="469">
        <f t="shared" si="66"/>
        <v>50000</v>
      </c>
      <c r="AQ110" s="456">
        <f t="shared" si="66"/>
        <v>10000</v>
      </c>
      <c r="AR110" s="456">
        <f t="shared" si="66"/>
        <v>40000</v>
      </c>
      <c r="AS110" s="466">
        <f t="shared" si="66"/>
        <v>5000</v>
      </c>
      <c r="AT110" s="466">
        <f t="shared" si="66"/>
        <v>10000</v>
      </c>
      <c r="AU110" s="466" t="s">
        <v>160</v>
      </c>
      <c r="AV110" s="466" t="s">
        <v>160</v>
      </c>
      <c r="AW110" s="466" t="s">
        <v>160</v>
      </c>
      <c r="AX110" s="466" t="s">
        <v>160</v>
      </c>
      <c r="AY110" s="466" t="s">
        <v>160</v>
      </c>
      <c r="AZ110" s="466" t="s">
        <v>160</v>
      </c>
      <c r="BA110" s="466" t="s">
        <v>160</v>
      </c>
      <c r="BB110" s="466" t="s">
        <v>160</v>
      </c>
      <c r="BC110" s="466" t="s">
        <v>160</v>
      </c>
      <c r="BD110" s="466" t="s">
        <v>160</v>
      </c>
      <c r="BE110" s="466" t="s">
        <v>160</v>
      </c>
      <c r="BF110" s="466" t="s">
        <v>160</v>
      </c>
      <c r="BG110" s="466" t="s">
        <v>160</v>
      </c>
      <c r="BH110" s="466" t="s">
        <v>160</v>
      </c>
      <c r="BI110" s="650">
        <f t="shared" si="64"/>
        <v>125000</v>
      </c>
      <c r="BJ110" s="944">
        <v>2.76E-2</v>
      </c>
      <c r="BK110"/>
      <c r="BL110"/>
      <c r="BM110"/>
    </row>
    <row r="111" spans="1:65" hidden="1" outlineLevel="1" x14ac:dyDescent="0.2">
      <c r="A111" s="1" t="s">
        <v>1826</v>
      </c>
      <c r="B111" s="1" t="s">
        <v>1830</v>
      </c>
      <c r="D111" s="222" t="str">
        <f>IF([1]RENAME!$H$3=1,B111,A111)</f>
        <v>4T21</v>
      </c>
      <c r="E111" s="457" t="s">
        <v>160</v>
      </c>
      <c r="F111" s="457" t="s">
        <v>160</v>
      </c>
      <c r="G111" s="457" t="s">
        <v>160</v>
      </c>
      <c r="H111" s="457" t="s">
        <v>160</v>
      </c>
      <c r="I111" s="457" t="s">
        <v>160</v>
      </c>
      <c r="J111" s="456" t="s">
        <v>160</v>
      </c>
      <c r="K111" s="456" t="s">
        <v>160</v>
      </c>
      <c r="L111" s="456" t="s">
        <v>160</v>
      </c>
      <c r="M111" s="456" t="s">
        <v>160</v>
      </c>
      <c r="N111" s="456" t="s">
        <v>160</v>
      </c>
      <c r="O111" s="456" t="s">
        <v>160</v>
      </c>
      <c r="P111" s="456" t="s">
        <v>160</v>
      </c>
      <c r="Q111" s="456" t="s">
        <v>160</v>
      </c>
      <c r="R111" s="456" t="s">
        <v>160</v>
      </c>
      <c r="S111" s="456" t="s">
        <v>160</v>
      </c>
      <c r="T111" s="456" t="s">
        <v>160</v>
      </c>
      <c r="U111" s="456" t="s">
        <v>160</v>
      </c>
      <c r="V111" s="456" t="s">
        <v>160</v>
      </c>
      <c r="W111" s="456" t="s">
        <v>160</v>
      </c>
      <c r="X111" s="456" t="s">
        <v>160</v>
      </c>
      <c r="Y111" s="457" t="s">
        <v>160</v>
      </c>
      <c r="Z111" s="456" t="s">
        <v>160</v>
      </c>
      <c r="AA111" s="456" t="s">
        <v>160</v>
      </c>
      <c r="AB111" s="465" t="s">
        <v>160</v>
      </c>
      <c r="AC111" s="456" t="s">
        <v>160</v>
      </c>
      <c r="AD111" s="456" t="s">
        <v>160</v>
      </c>
      <c r="AE111" s="465" t="s">
        <v>160</v>
      </c>
      <c r="AF111" s="466" t="s">
        <v>160</v>
      </c>
      <c r="AG111" s="465" t="s">
        <v>160</v>
      </c>
      <c r="AH111" s="456" t="s">
        <v>160</v>
      </c>
      <c r="AI111" s="466" t="s">
        <v>160</v>
      </c>
      <c r="AJ111" s="465" t="s">
        <v>160</v>
      </c>
      <c r="AK111" s="456" t="s">
        <v>160</v>
      </c>
      <c r="AL111" s="456" t="s">
        <v>160</v>
      </c>
      <c r="AM111" s="468" t="s">
        <v>160</v>
      </c>
      <c r="AN111" s="469" t="s">
        <v>160</v>
      </c>
      <c r="AO111" s="458">
        <f t="shared" si="66"/>
        <v>10000</v>
      </c>
      <c r="AP111" s="469">
        <f t="shared" si="66"/>
        <v>50000</v>
      </c>
      <c r="AQ111" s="456">
        <f t="shared" si="66"/>
        <v>10000</v>
      </c>
      <c r="AR111" s="456">
        <f t="shared" si="66"/>
        <v>40000</v>
      </c>
      <c r="AS111" s="466">
        <f t="shared" si="66"/>
        <v>5000</v>
      </c>
      <c r="AT111" s="466">
        <f t="shared" si="66"/>
        <v>10000</v>
      </c>
      <c r="AU111" s="466" t="s">
        <v>160</v>
      </c>
      <c r="AV111" s="466" t="s">
        <v>160</v>
      </c>
      <c r="AW111" s="466" t="s">
        <v>160</v>
      </c>
      <c r="AX111" s="466" t="s">
        <v>160</v>
      </c>
      <c r="AY111" s="466" t="s">
        <v>160</v>
      </c>
      <c r="AZ111" s="466" t="s">
        <v>160</v>
      </c>
      <c r="BA111" s="466" t="s">
        <v>160</v>
      </c>
      <c r="BB111" s="466" t="s">
        <v>160</v>
      </c>
      <c r="BC111" s="466" t="s">
        <v>160</v>
      </c>
      <c r="BD111" s="466" t="s">
        <v>160</v>
      </c>
      <c r="BE111" s="466" t="s">
        <v>160</v>
      </c>
      <c r="BF111" s="466" t="s">
        <v>160</v>
      </c>
      <c r="BG111" s="466" t="s">
        <v>160</v>
      </c>
      <c r="BH111" s="466" t="s">
        <v>160</v>
      </c>
      <c r="BI111" s="650">
        <f t="shared" si="64"/>
        <v>125000</v>
      </c>
      <c r="BJ111" s="944">
        <v>2.76E-2</v>
      </c>
      <c r="BK111"/>
      <c r="BL111"/>
      <c r="BM111"/>
    </row>
    <row r="112" spans="1:65" hidden="1" outlineLevel="1" x14ac:dyDescent="0.2">
      <c r="A112" s="1" t="s">
        <v>1932</v>
      </c>
      <c r="B112" s="1" t="s">
        <v>1931</v>
      </c>
      <c r="D112" s="222" t="str">
        <f>IF([1]RENAME!$H$3=1,B112,A112)</f>
        <v>1T22</v>
      </c>
      <c r="E112" s="457" t="s">
        <v>160</v>
      </c>
      <c r="F112" s="457" t="s">
        <v>160</v>
      </c>
      <c r="G112" s="457" t="s">
        <v>160</v>
      </c>
      <c r="H112" s="457" t="s">
        <v>160</v>
      </c>
      <c r="I112" s="457" t="s">
        <v>160</v>
      </c>
      <c r="J112" s="458" t="s">
        <v>160</v>
      </c>
      <c r="K112" s="458" t="s">
        <v>160</v>
      </c>
      <c r="L112" s="458" t="s">
        <v>160</v>
      </c>
      <c r="M112" s="458" t="s">
        <v>160</v>
      </c>
      <c r="N112" s="458" t="s">
        <v>160</v>
      </c>
      <c r="O112" s="458" t="s">
        <v>160</v>
      </c>
      <c r="P112" s="458" t="s">
        <v>160</v>
      </c>
      <c r="Q112" s="458" t="s">
        <v>160</v>
      </c>
      <c r="R112" s="458" t="s">
        <v>160</v>
      </c>
      <c r="S112" s="458" t="s">
        <v>160</v>
      </c>
      <c r="T112" s="458" t="s">
        <v>160</v>
      </c>
      <c r="U112" s="458" t="s">
        <v>160</v>
      </c>
      <c r="V112" s="458" t="s">
        <v>160</v>
      </c>
      <c r="W112" s="458" t="s">
        <v>160</v>
      </c>
      <c r="X112" s="458" t="s">
        <v>160</v>
      </c>
      <c r="Y112" s="458" t="s">
        <v>160</v>
      </c>
      <c r="Z112" s="458" t="s">
        <v>160</v>
      </c>
      <c r="AA112" s="458" t="s">
        <v>160</v>
      </c>
      <c r="AB112" s="468" t="s">
        <v>160</v>
      </c>
      <c r="AC112" s="458" t="s">
        <v>160</v>
      </c>
      <c r="AD112" s="458" t="s">
        <v>160</v>
      </c>
      <c r="AE112" s="468" t="s">
        <v>160</v>
      </c>
      <c r="AF112" s="469" t="s">
        <v>160</v>
      </c>
      <c r="AG112" s="468" t="s">
        <v>160</v>
      </c>
      <c r="AH112" s="458" t="s">
        <v>160</v>
      </c>
      <c r="AI112" s="469" t="s">
        <v>160</v>
      </c>
      <c r="AJ112" s="468" t="s">
        <v>160</v>
      </c>
      <c r="AK112" s="458" t="s">
        <v>160</v>
      </c>
      <c r="AL112" s="458" t="s">
        <v>160</v>
      </c>
      <c r="AM112" s="468" t="s">
        <v>160</v>
      </c>
      <c r="AN112" s="469" t="s">
        <v>160</v>
      </c>
      <c r="AO112" s="458" t="s">
        <v>160</v>
      </c>
      <c r="AP112" s="469">
        <f>+AP111</f>
        <v>50000</v>
      </c>
      <c r="AQ112" s="458">
        <f>AQ111</f>
        <v>10000</v>
      </c>
      <c r="AR112" s="456">
        <f>AR111</f>
        <v>40000</v>
      </c>
      <c r="AS112" s="466">
        <f>AS111</f>
        <v>5000</v>
      </c>
      <c r="AT112" s="466">
        <f>AT111</f>
        <v>10000</v>
      </c>
      <c r="AU112" s="466" t="s">
        <v>160</v>
      </c>
      <c r="AV112" s="466" t="s">
        <v>160</v>
      </c>
      <c r="AW112" s="466" t="s">
        <v>160</v>
      </c>
      <c r="AX112" s="466" t="s">
        <v>160</v>
      </c>
      <c r="AY112" s="466" t="s">
        <v>160</v>
      </c>
      <c r="AZ112" s="466" t="s">
        <v>160</v>
      </c>
      <c r="BA112" s="466" t="s">
        <v>160</v>
      </c>
      <c r="BB112" s="466" t="s">
        <v>160</v>
      </c>
      <c r="BC112" s="466" t="s">
        <v>160</v>
      </c>
      <c r="BD112" s="466" t="s">
        <v>160</v>
      </c>
      <c r="BE112" s="466" t="s">
        <v>160</v>
      </c>
      <c r="BF112" s="466" t="s">
        <v>160</v>
      </c>
      <c r="BG112" s="466" t="s">
        <v>160</v>
      </c>
      <c r="BH112" s="466" t="s">
        <v>160</v>
      </c>
      <c r="BI112" s="650">
        <f t="shared" si="64"/>
        <v>115000</v>
      </c>
      <c r="BJ112" s="944">
        <v>2.9000000000000001E-2</v>
      </c>
      <c r="BK112"/>
      <c r="BL112"/>
      <c r="BM112"/>
    </row>
    <row r="113" spans="1:65" hidden="1" outlineLevel="1" x14ac:dyDescent="0.2">
      <c r="A113" s="1" t="s">
        <v>1942</v>
      </c>
      <c r="B113" s="1" t="s">
        <v>1943</v>
      </c>
      <c r="D113" s="222" t="str">
        <f>IF([1]RENAME!$H$3=1,B113,A113)</f>
        <v>2T22</v>
      </c>
      <c r="E113" s="457" t="s">
        <v>160</v>
      </c>
      <c r="F113" s="457" t="s">
        <v>160</v>
      </c>
      <c r="G113" s="457" t="s">
        <v>160</v>
      </c>
      <c r="H113" s="457" t="s">
        <v>160</v>
      </c>
      <c r="I113" s="457" t="s">
        <v>160</v>
      </c>
      <c r="J113" s="458" t="s">
        <v>160</v>
      </c>
      <c r="K113" s="458" t="s">
        <v>160</v>
      </c>
      <c r="L113" s="458" t="s">
        <v>160</v>
      </c>
      <c r="M113" s="458" t="s">
        <v>160</v>
      </c>
      <c r="N113" s="458" t="s">
        <v>160</v>
      </c>
      <c r="O113" s="458" t="s">
        <v>160</v>
      </c>
      <c r="P113" s="458" t="s">
        <v>160</v>
      </c>
      <c r="Q113" s="458" t="s">
        <v>160</v>
      </c>
      <c r="R113" s="458" t="s">
        <v>160</v>
      </c>
      <c r="S113" s="458" t="s">
        <v>160</v>
      </c>
      <c r="T113" s="458" t="s">
        <v>160</v>
      </c>
      <c r="U113" s="458" t="s">
        <v>160</v>
      </c>
      <c r="V113" s="458" t="s">
        <v>160</v>
      </c>
      <c r="W113" s="458" t="s">
        <v>160</v>
      </c>
      <c r="X113" s="458" t="s">
        <v>160</v>
      </c>
      <c r="Y113" s="458" t="s">
        <v>160</v>
      </c>
      <c r="Z113" s="458" t="s">
        <v>160</v>
      </c>
      <c r="AA113" s="458" t="s">
        <v>160</v>
      </c>
      <c r="AB113" s="468" t="s">
        <v>160</v>
      </c>
      <c r="AC113" s="458" t="s">
        <v>160</v>
      </c>
      <c r="AD113" s="469" t="s">
        <v>160</v>
      </c>
      <c r="AE113" s="458" t="s">
        <v>160</v>
      </c>
      <c r="AF113" s="458" t="s">
        <v>160</v>
      </c>
      <c r="AG113" s="468" t="s">
        <v>160</v>
      </c>
      <c r="AH113" s="458" t="s">
        <v>160</v>
      </c>
      <c r="AI113" s="469" t="s">
        <v>160</v>
      </c>
      <c r="AJ113" s="458" t="s">
        <v>160</v>
      </c>
      <c r="AK113" s="458" t="s">
        <v>160</v>
      </c>
      <c r="AL113" s="458" t="s">
        <v>160</v>
      </c>
      <c r="AM113" s="468" t="s">
        <v>160</v>
      </c>
      <c r="AN113" s="469" t="s">
        <v>160</v>
      </c>
      <c r="AO113" s="458" t="s">
        <v>160</v>
      </c>
      <c r="AP113" s="469" t="s">
        <v>160</v>
      </c>
      <c r="AQ113" s="468">
        <f t="shared" ref="AQ113:AT114" si="67">AQ112</f>
        <v>10000</v>
      </c>
      <c r="AR113" s="456">
        <f t="shared" si="67"/>
        <v>40000</v>
      </c>
      <c r="AS113" s="466">
        <f t="shared" si="67"/>
        <v>5000</v>
      </c>
      <c r="AT113" s="466">
        <f t="shared" si="67"/>
        <v>10000</v>
      </c>
      <c r="AU113" s="466" t="s">
        <v>160</v>
      </c>
      <c r="AV113" s="466" t="s">
        <v>160</v>
      </c>
      <c r="AW113" s="466" t="s">
        <v>160</v>
      </c>
      <c r="AX113" s="466" t="s">
        <v>160</v>
      </c>
      <c r="AY113" s="466" t="s">
        <v>160</v>
      </c>
      <c r="AZ113" s="466" t="s">
        <v>160</v>
      </c>
      <c r="BA113" s="466" t="s">
        <v>160</v>
      </c>
      <c r="BB113" s="466" t="s">
        <v>160</v>
      </c>
      <c r="BC113" s="466" t="s">
        <v>160</v>
      </c>
      <c r="BD113" s="466" t="s">
        <v>160</v>
      </c>
      <c r="BE113" s="466" t="s">
        <v>160</v>
      </c>
      <c r="BF113" s="466" t="s">
        <v>160</v>
      </c>
      <c r="BG113" s="466" t="s">
        <v>160</v>
      </c>
      <c r="BH113" s="466" t="s">
        <v>160</v>
      </c>
      <c r="BI113" s="650">
        <f t="shared" si="64"/>
        <v>65000</v>
      </c>
      <c r="BJ113" s="944">
        <v>2.2100000000000002E-2</v>
      </c>
      <c r="BK113"/>
      <c r="BL113"/>
      <c r="BM113"/>
    </row>
    <row r="114" spans="1:65" hidden="1" outlineLevel="1" x14ac:dyDescent="0.2">
      <c r="A114" s="1" t="s">
        <v>1944</v>
      </c>
      <c r="B114" s="1" t="s">
        <v>1945</v>
      </c>
      <c r="D114" s="222" t="str">
        <f>IF([1]RENAME!$H$3=1,B114,A114)</f>
        <v>3T22</v>
      </c>
      <c r="E114" s="457" t="s">
        <v>160</v>
      </c>
      <c r="F114" s="457" t="s">
        <v>160</v>
      </c>
      <c r="G114" s="457" t="s">
        <v>160</v>
      </c>
      <c r="H114" s="457" t="s">
        <v>160</v>
      </c>
      <c r="I114" s="457" t="s">
        <v>160</v>
      </c>
      <c r="J114" s="458" t="s">
        <v>160</v>
      </c>
      <c r="K114" s="458" t="s">
        <v>160</v>
      </c>
      <c r="L114" s="458" t="s">
        <v>160</v>
      </c>
      <c r="M114" s="458" t="s">
        <v>160</v>
      </c>
      <c r="N114" s="458" t="s">
        <v>160</v>
      </c>
      <c r="O114" s="458" t="s">
        <v>160</v>
      </c>
      <c r="P114" s="458" t="s">
        <v>160</v>
      </c>
      <c r="Q114" s="458" t="s">
        <v>160</v>
      </c>
      <c r="R114" s="458" t="s">
        <v>160</v>
      </c>
      <c r="S114" s="458" t="s">
        <v>160</v>
      </c>
      <c r="T114" s="458" t="s">
        <v>160</v>
      </c>
      <c r="U114" s="458" t="s">
        <v>160</v>
      </c>
      <c r="V114" s="458" t="s">
        <v>160</v>
      </c>
      <c r="W114" s="458" t="s">
        <v>160</v>
      </c>
      <c r="X114" s="458" t="s">
        <v>160</v>
      </c>
      <c r="Y114" s="458" t="s">
        <v>160</v>
      </c>
      <c r="Z114" s="458" t="s">
        <v>160</v>
      </c>
      <c r="AA114" s="458" t="s">
        <v>160</v>
      </c>
      <c r="AB114" s="468" t="s">
        <v>160</v>
      </c>
      <c r="AC114" s="458" t="s">
        <v>160</v>
      </c>
      <c r="AD114" s="469" t="s">
        <v>160</v>
      </c>
      <c r="AE114" s="458" t="s">
        <v>160</v>
      </c>
      <c r="AF114" s="458" t="s">
        <v>160</v>
      </c>
      <c r="AG114" s="468" t="s">
        <v>160</v>
      </c>
      <c r="AH114" s="458" t="s">
        <v>160</v>
      </c>
      <c r="AI114" s="469" t="s">
        <v>160</v>
      </c>
      <c r="AJ114" s="458" t="s">
        <v>160</v>
      </c>
      <c r="AK114" s="458" t="s">
        <v>160</v>
      </c>
      <c r="AL114" s="458" t="s">
        <v>160</v>
      </c>
      <c r="AM114" s="468" t="s">
        <v>160</v>
      </c>
      <c r="AN114" s="469" t="s">
        <v>160</v>
      </c>
      <c r="AO114" s="458" t="s">
        <v>160</v>
      </c>
      <c r="AP114" s="469" t="s">
        <v>160</v>
      </c>
      <c r="AQ114" s="468">
        <f t="shared" si="67"/>
        <v>10000</v>
      </c>
      <c r="AR114" s="456">
        <f t="shared" si="67"/>
        <v>40000</v>
      </c>
      <c r="AS114" s="466">
        <f t="shared" si="67"/>
        <v>5000</v>
      </c>
      <c r="AT114" s="466">
        <f t="shared" si="67"/>
        <v>10000</v>
      </c>
      <c r="AU114" s="466" t="s">
        <v>160</v>
      </c>
      <c r="AV114" s="466" t="s">
        <v>160</v>
      </c>
      <c r="AW114" s="466" t="s">
        <v>160</v>
      </c>
      <c r="AX114" s="466" t="s">
        <v>160</v>
      </c>
      <c r="AY114" s="466" t="s">
        <v>160</v>
      </c>
      <c r="AZ114" s="466" t="s">
        <v>160</v>
      </c>
      <c r="BA114" s="466" t="s">
        <v>160</v>
      </c>
      <c r="BB114" s="466" t="s">
        <v>160</v>
      </c>
      <c r="BC114" s="466" t="s">
        <v>160</v>
      </c>
      <c r="BD114" s="466" t="s">
        <v>160</v>
      </c>
      <c r="BE114" s="466" t="s">
        <v>160</v>
      </c>
      <c r="BF114" s="466" t="s">
        <v>160</v>
      </c>
      <c r="BG114" s="466" t="s">
        <v>160</v>
      </c>
      <c r="BH114" s="466" t="s">
        <v>160</v>
      </c>
      <c r="BI114" s="650">
        <f t="shared" si="64"/>
        <v>65000</v>
      </c>
      <c r="BJ114" s="944">
        <v>2.2100000000000002E-2</v>
      </c>
      <c r="BK114"/>
      <c r="BL114"/>
      <c r="BM114"/>
    </row>
    <row r="115" spans="1:65" collapsed="1" x14ac:dyDescent="0.2">
      <c r="A115" s="1" t="s">
        <v>1946</v>
      </c>
      <c r="B115" s="1" t="s">
        <v>1947</v>
      </c>
      <c r="D115" s="222" t="str">
        <f>IF([1]RENAME!$H$3=1,B115,A115)</f>
        <v>4T22</v>
      </c>
      <c r="E115" s="457" t="s">
        <v>160</v>
      </c>
      <c r="F115" s="457" t="s">
        <v>160</v>
      </c>
      <c r="G115" s="457" t="s">
        <v>160</v>
      </c>
      <c r="H115" s="457" t="s">
        <v>160</v>
      </c>
      <c r="I115" s="457" t="s">
        <v>160</v>
      </c>
      <c r="J115" s="458" t="s">
        <v>160</v>
      </c>
      <c r="K115" s="458" t="s">
        <v>160</v>
      </c>
      <c r="L115" s="458" t="s">
        <v>160</v>
      </c>
      <c r="M115" s="458" t="s">
        <v>160</v>
      </c>
      <c r="N115" s="458" t="s">
        <v>160</v>
      </c>
      <c r="O115" s="458" t="s">
        <v>160</v>
      </c>
      <c r="P115" s="458" t="s">
        <v>160</v>
      </c>
      <c r="Q115" s="458" t="s">
        <v>160</v>
      </c>
      <c r="R115" s="458" t="s">
        <v>160</v>
      </c>
      <c r="S115" s="458" t="s">
        <v>160</v>
      </c>
      <c r="T115" s="458" t="s">
        <v>160</v>
      </c>
      <c r="U115" s="458" t="s">
        <v>160</v>
      </c>
      <c r="V115" s="458" t="s">
        <v>160</v>
      </c>
      <c r="W115" s="458" t="s">
        <v>160</v>
      </c>
      <c r="X115" s="458" t="s">
        <v>160</v>
      </c>
      <c r="Y115" s="458" t="s">
        <v>160</v>
      </c>
      <c r="Z115" s="458" t="s">
        <v>160</v>
      </c>
      <c r="AA115" s="458" t="s">
        <v>160</v>
      </c>
      <c r="AB115" s="468" t="s">
        <v>160</v>
      </c>
      <c r="AC115" s="458" t="s">
        <v>160</v>
      </c>
      <c r="AD115" s="469" t="s">
        <v>160</v>
      </c>
      <c r="AE115" s="458" t="s">
        <v>160</v>
      </c>
      <c r="AF115" s="458" t="s">
        <v>160</v>
      </c>
      <c r="AG115" s="468" t="s">
        <v>160</v>
      </c>
      <c r="AH115" s="458" t="s">
        <v>160</v>
      </c>
      <c r="AI115" s="469" t="s">
        <v>160</v>
      </c>
      <c r="AJ115" s="458" t="s">
        <v>160</v>
      </c>
      <c r="AK115" s="458" t="s">
        <v>160</v>
      </c>
      <c r="AL115" s="458" t="s">
        <v>160</v>
      </c>
      <c r="AM115" s="468" t="s">
        <v>160</v>
      </c>
      <c r="AN115" s="469" t="s">
        <v>160</v>
      </c>
      <c r="AO115" s="458" t="s">
        <v>160</v>
      </c>
      <c r="AP115" s="469" t="s">
        <v>160</v>
      </c>
      <c r="AQ115" s="468">
        <f t="shared" ref="AQ115:AT116" si="68">AQ113</f>
        <v>10000</v>
      </c>
      <c r="AR115" s="458">
        <f t="shared" si="68"/>
        <v>40000</v>
      </c>
      <c r="AS115" s="469">
        <f t="shared" si="68"/>
        <v>5000</v>
      </c>
      <c r="AT115" s="466">
        <f t="shared" si="68"/>
        <v>10000</v>
      </c>
      <c r="AU115" s="466">
        <v>4071.0479999999998</v>
      </c>
      <c r="AV115" s="466" t="s">
        <v>160</v>
      </c>
      <c r="AW115" s="466" t="s">
        <v>160</v>
      </c>
      <c r="AX115" s="466" t="s">
        <v>160</v>
      </c>
      <c r="AY115" s="466" t="s">
        <v>160</v>
      </c>
      <c r="AZ115" s="466" t="s">
        <v>160</v>
      </c>
      <c r="BA115" s="466">
        <v>4071.0479999999998</v>
      </c>
      <c r="BB115" s="466">
        <v>4071.0479999999998</v>
      </c>
      <c r="BC115" s="466">
        <v>4071.0479999999998</v>
      </c>
      <c r="BD115" s="466">
        <v>4071.0479999999998</v>
      </c>
      <c r="BE115" s="466">
        <v>4071.0479999999998</v>
      </c>
      <c r="BF115" s="466">
        <v>4071.0479999999998</v>
      </c>
      <c r="BG115" s="466">
        <v>4071.0479999999998</v>
      </c>
      <c r="BH115" s="466" t="s">
        <v>160</v>
      </c>
      <c r="BI115" s="650">
        <f t="shared" ref="BI115:BI125" si="69">+SUM(AB115:BH115)</f>
        <v>97568.383999999962</v>
      </c>
      <c r="BJ115" s="944">
        <v>1.9699999999999999E-2</v>
      </c>
      <c r="BK115"/>
      <c r="BL115"/>
      <c r="BM115"/>
    </row>
    <row r="116" spans="1:65" x14ac:dyDescent="0.2">
      <c r="A116" s="1" t="s">
        <v>2027</v>
      </c>
      <c r="B116" s="1" t="s">
        <v>2009</v>
      </c>
      <c r="D116" s="222" t="str">
        <f>IF([1]RENAME!$H$3=1,B116,A116)</f>
        <v>1T23</v>
      </c>
      <c r="E116" s="457" t="s">
        <v>160</v>
      </c>
      <c r="F116" s="457" t="s">
        <v>160</v>
      </c>
      <c r="G116" s="457" t="s">
        <v>160</v>
      </c>
      <c r="H116" s="457" t="s">
        <v>160</v>
      </c>
      <c r="I116" s="457" t="s">
        <v>160</v>
      </c>
      <c r="J116" s="458" t="s">
        <v>160</v>
      </c>
      <c r="K116" s="458" t="s">
        <v>160</v>
      </c>
      <c r="L116" s="458" t="s">
        <v>160</v>
      </c>
      <c r="M116" s="458" t="s">
        <v>160</v>
      </c>
      <c r="N116" s="458" t="s">
        <v>160</v>
      </c>
      <c r="O116" s="458" t="s">
        <v>160</v>
      </c>
      <c r="P116" s="458" t="s">
        <v>160</v>
      </c>
      <c r="Q116" s="458" t="s">
        <v>160</v>
      </c>
      <c r="R116" s="458" t="s">
        <v>160</v>
      </c>
      <c r="S116" s="458" t="s">
        <v>160</v>
      </c>
      <c r="T116" s="458" t="s">
        <v>160</v>
      </c>
      <c r="U116" s="458" t="s">
        <v>160</v>
      </c>
      <c r="V116" s="458" t="s">
        <v>160</v>
      </c>
      <c r="W116" s="458" t="s">
        <v>160</v>
      </c>
      <c r="X116" s="458" t="s">
        <v>160</v>
      </c>
      <c r="Y116" s="458" t="s">
        <v>160</v>
      </c>
      <c r="Z116" s="458" t="s">
        <v>160</v>
      </c>
      <c r="AA116" s="458" t="s">
        <v>160</v>
      </c>
      <c r="AB116" s="468" t="s">
        <v>160</v>
      </c>
      <c r="AC116" s="458" t="s">
        <v>160</v>
      </c>
      <c r="AD116" s="469" t="s">
        <v>160</v>
      </c>
      <c r="AE116" s="458" t="s">
        <v>160</v>
      </c>
      <c r="AF116" s="458" t="s">
        <v>160</v>
      </c>
      <c r="AG116" s="468" t="s">
        <v>160</v>
      </c>
      <c r="AH116" s="458" t="s">
        <v>160</v>
      </c>
      <c r="AI116" s="469" t="s">
        <v>160</v>
      </c>
      <c r="AJ116" s="458" t="s">
        <v>160</v>
      </c>
      <c r="AK116" s="458" t="s">
        <v>160</v>
      </c>
      <c r="AL116" s="458" t="s">
        <v>160</v>
      </c>
      <c r="AM116" s="468" t="s">
        <v>160</v>
      </c>
      <c r="AN116" s="469" t="s">
        <v>160</v>
      </c>
      <c r="AO116" s="458" t="s">
        <v>160</v>
      </c>
      <c r="AP116" s="469" t="s">
        <v>160</v>
      </c>
      <c r="AQ116" s="468" t="s">
        <v>160</v>
      </c>
      <c r="AR116" s="458">
        <f t="shared" si="68"/>
        <v>40000</v>
      </c>
      <c r="AS116" s="469">
        <f t="shared" si="68"/>
        <v>5000</v>
      </c>
      <c r="AT116" s="466">
        <f t="shared" si="68"/>
        <v>10000</v>
      </c>
      <c r="AU116" s="466">
        <v>4071.0479999999998</v>
      </c>
      <c r="AV116" s="466" t="s">
        <v>160</v>
      </c>
      <c r="AW116" s="466" t="s">
        <v>160</v>
      </c>
      <c r="AX116" s="466" t="s">
        <v>160</v>
      </c>
      <c r="AY116" s="466" t="s">
        <v>160</v>
      </c>
      <c r="AZ116" s="466" t="s">
        <v>160</v>
      </c>
      <c r="BA116" s="466">
        <v>4071.0479999999998</v>
      </c>
      <c r="BB116" s="466">
        <v>4071.0479999999998</v>
      </c>
      <c r="BC116" s="466">
        <v>4071.0479999999998</v>
      </c>
      <c r="BD116" s="466">
        <v>4071.0479999999998</v>
      </c>
      <c r="BE116" s="466">
        <v>4071.0479999999998</v>
      </c>
      <c r="BF116" s="466">
        <v>4071.0479999999998</v>
      </c>
      <c r="BG116" s="466">
        <v>4071.0479999999998</v>
      </c>
      <c r="BH116" s="466" t="s">
        <v>160</v>
      </c>
      <c r="BI116" s="650">
        <f t="shared" si="69"/>
        <v>87568.383999999976</v>
      </c>
      <c r="BJ116" s="944">
        <v>2.07E-2</v>
      </c>
      <c r="BK116"/>
      <c r="BL116"/>
      <c r="BM116"/>
    </row>
    <row r="117" spans="1:65" x14ac:dyDescent="0.2">
      <c r="A117" s="1" t="s">
        <v>2028</v>
      </c>
      <c r="B117" s="1" t="s">
        <v>2029</v>
      </c>
      <c r="D117" s="222" t="str">
        <f>IF([1]RENAME!$H$3=1,B117,A117)</f>
        <v>2T23</v>
      </c>
      <c r="E117" s="457" t="s">
        <v>160</v>
      </c>
      <c r="F117" s="457" t="s">
        <v>160</v>
      </c>
      <c r="G117" s="457" t="s">
        <v>160</v>
      </c>
      <c r="H117" s="457" t="s">
        <v>160</v>
      </c>
      <c r="I117" s="457" t="s">
        <v>160</v>
      </c>
      <c r="J117" s="458" t="s">
        <v>160</v>
      </c>
      <c r="K117" s="458" t="s">
        <v>160</v>
      </c>
      <c r="L117" s="458" t="s">
        <v>160</v>
      </c>
      <c r="M117" s="458" t="s">
        <v>160</v>
      </c>
      <c r="N117" s="458" t="s">
        <v>160</v>
      </c>
      <c r="O117" s="458" t="s">
        <v>160</v>
      </c>
      <c r="P117" s="458" t="s">
        <v>160</v>
      </c>
      <c r="Q117" s="458" t="s">
        <v>160</v>
      </c>
      <c r="R117" s="458" t="s">
        <v>160</v>
      </c>
      <c r="S117" s="458" t="s">
        <v>160</v>
      </c>
      <c r="T117" s="458" t="s">
        <v>160</v>
      </c>
      <c r="U117" s="458" t="s">
        <v>160</v>
      </c>
      <c r="V117" s="458" t="s">
        <v>160</v>
      </c>
      <c r="W117" s="458" t="s">
        <v>160</v>
      </c>
      <c r="X117" s="458" t="s">
        <v>160</v>
      </c>
      <c r="Y117" s="458" t="s">
        <v>160</v>
      </c>
      <c r="Z117" s="458" t="s">
        <v>160</v>
      </c>
      <c r="AA117" s="458" t="s">
        <v>160</v>
      </c>
      <c r="AB117" s="468" t="s">
        <v>160</v>
      </c>
      <c r="AC117" s="458" t="s">
        <v>160</v>
      </c>
      <c r="AD117" s="469" t="s">
        <v>160</v>
      </c>
      <c r="AE117" s="458" t="s">
        <v>160</v>
      </c>
      <c r="AF117" s="458" t="s">
        <v>160</v>
      </c>
      <c r="AG117" s="468" t="s">
        <v>160</v>
      </c>
      <c r="AH117" s="458" t="s">
        <v>160</v>
      </c>
      <c r="AI117" s="469" t="s">
        <v>160</v>
      </c>
      <c r="AJ117" s="458" t="s">
        <v>160</v>
      </c>
      <c r="AK117" s="458" t="s">
        <v>160</v>
      </c>
      <c r="AL117" s="458" t="s">
        <v>160</v>
      </c>
      <c r="AM117" s="468" t="s">
        <v>160</v>
      </c>
      <c r="AN117" s="469" t="s">
        <v>160</v>
      </c>
      <c r="AO117" s="458" t="s">
        <v>160</v>
      </c>
      <c r="AP117" s="469" t="s">
        <v>160</v>
      </c>
      <c r="AQ117" s="468" t="s">
        <v>160</v>
      </c>
      <c r="AR117" s="458">
        <f>AR114</f>
        <v>40000</v>
      </c>
      <c r="AS117" s="469">
        <f>AS114</f>
        <v>5000</v>
      </c>
      <c r="AT117" s="469">
        <f>AT114</f>
        <v>10000</v>
      </c>
      <c r="AU117" s="1136">
        <v>4071.0479999999998</v>
      </c>
      <c r="AV117" s="466" t="s">
        <v>160</v>
      </c>
      <c r="AW117" s="466" t="s">
        <v>160</v>
      </c>
      <c r="AX117" s="466" t="s">
        <v>160</v>
      </c>
      <c r="AY117" s="466" t="s">
        <v>160</v>
      </c>
      <c r="AZ117" s="466" t="s">
        <v>160</v>
      </c>
      <c r="BA117" s="1136">
        <v>4071.0479999999998</v>
      </c>
      <c r="BB117" s="1136">
        <v>4071.0479999999998</v>
      </c>
      <c r="BC117" s="1136">
        <v>4071.0479999999998</v>
      </c>
      <c r="BD117" s="1136">
        <v>4071.0479999999998</v>
      </c>
      <c r="BE117" s="1136">
        <v>4071.0479999999998</v>
      </c>
      <c r="BF117" s="1136">
        <v>4071.0479999999998</v>
      </c>
      <c r="BG117" s="1136">
        <v>4071.0479999999998</v>
      </c>
      <c r="BH117" s="1136" t="s">
        <v>160</v>
      </c>
      <c r="BI117" s="650">
        <f t="shared" si="69"/>
        <v>87568.383999999976</v>
      </c>
      <c r="BJ117" s="944">
        <v>2.07E-2</v>
      </c>
      <c r="BK117"/>
      <c r="BL117"/>
      <c r="BM117"/>
    </row>
    <row r="118" spans="1:65" x14ac:dyDescent="0.2">
      <c r="A118" s="1" t="s">
        <v>2030</v>
      </c>
      <c r="B118" s="1" t="s">
        <v>2031</v>
      </c>
      <c r="D118" s="222" t="str">
        <f>IF([1]RENAME!$H$3=1,B118,A118)</f>
        <v>3T23</v>
      </c>
      <c r="E118" s="457" t="s">
        <v>160</v>
      </c>
      <c r="F118" s="457" t="s">
        <v>160</v>
      </c>
      <c r="G118" s="457" t="s">
        <v>160</v>
      </c>
      <c r="H118" s="457" t="s">
        <v>160</v>
      </c>
      <c r="I118" s="457" t="s">
        <v>160</v>
      </c>
      <c r="J118" s="458" t="s">
        <v>160</v>
      </c>
      <c r="K118" s="458" t="s">
        <v>160</v>
      </c>
      <c r="L118" s="458" t="s">
        <v>160</v>
      </c>
      <c r="M118" s="458" t="s">
        <v>160</v>
      </c>
      <c r="N118" s="458" t="s">
        <v>160</v>
      </c>
      <c r="O118" s="458" t="s">
        <v>160</v>
      </c>
      <c r="P118" s="458" t="s">
        <v>160</v>
      </c>
      <c r="Q118" s="458" t="s">
        <v>160</v>
      </c>
      <c r="R118" s="458" t="s">
        <v>160</v>
      </c>
      <c r="S118" s="458" t="s">
        <v>160</v>
      </c>
      <c r="T118" s="458" t="s">
        <v>160</v>
      </c>
      <c r="U118" s="458" t="s">
        <v>160</v>
      </c>
      <c r="V118" s="458" t="s">
        <v>160</v>
      </c>
      <c r="W118" s="458" t="s">
        <v>160</v>
      </c>
      <c r="X118" s="458" t="s">
        <v>160</v>
      </c>
      <c r="Y118" s="458" t="s">
        <v>160</v>
      </c>
      <c r="Z118" s="458" t="s">
        <v>160</v>
      </c>
      <c r="AA118" s="458" t="s">
        <v>160</v>
      </c>
      <c r="AB118" s="468" t="s">
        <v>160</v>
      </c>
      <c r="AC118" s="458" t="s">
        <v>160</v>
      </c>
      <c r="AD118" s="469" t="s">
        <v>160</v>
      </c>
      <c r="AE118" s="458" t="s">
        <v>160</v>
      </c>
      <c r="AF118" s="458" t="s">
        <v>160</v>
      </c>
      <c r="AG118" s="468" t="s">
        <v>160</v>
      </c>
      <c r="AH118" s="458" t="s">
        <v>160</v>
      </c>
      <c r="AI118" s="469" t="s">
        <v>160</v>
      </c>
      <c r="AJ118" s="458" t="s">
        <v>160</v>
      </c>
      <c r="AK118" s="458" t="s">
        <v>160</v>
      </c>
      <c r="AL118" s="458" t="s">
        <v>160</v>
      </c>
      <c r="AM118" s="468" t="s">
        <v>160</v>
      </c>
      <c r="AN118" s="469" t="s">
        <v>160</v>
      </c>
      <c r="AO118" s="458" t="s">
        <v>160</v>
      </c>
      <c r="AP118" s="469" t="s">
        <v>160</v>
      </c>
      <c r="AQ118" s="468" t="s">
        <v>160</v>
      </c>
      <c r="AR118" s="458" t="s">
        <v>160</v>
      </c>
      <c r="AS118" s="469" t="s">
        <v>160</v>
      </c>
      <c r="AT118" s="469">
        <f>AT115</f>
        <v>10000</v>
      </c>
      <c r="AU118" s="1136">
        <v>26571.047999999999</v>
      </c>
      <c r="AV118" s="466" t="s">
        <v>160</v>
      </c>
      <c r="AW118" s="466" t="s">
        <v>160</v>
      </c>
      <c r="AX118" s="466" t="s">
        <v>160</v>
      </c>
      <c r="AY118" s="466" t="s">
        <v>160</v>
      </c>
      <c r="AZ118" s="466" t="s">
        <v>160</v>
      </c>
      <c r="BA118" s="1136">
        <v>26690.78</v>
      </c>
      <c r="BB118" s="1136">
        <v>4549.9780000000001</v>
      </c>
      <c r="BC118" s="1136">
        <v>4549.9780000000001</v>
      </c>
      <c r="BD118" s="1136">
        <v>4549.9780000000001</v>
      </c>
      <c r="BE118" s="1136">
        <v>4549.9780000000001</v>
      </c>
      <c r="BF118" s="1136">
        <v>4549.9780000000001</v>
      </c>
      <c r="BG118" s="1136">
        <v>4549.9780000000001</v>
      </c>
      <c r="BH118" s="1136">
        <v>3272.6880000000001</v>
      </c>
      <c r="BI118" s="650">
        <f t="shared" si="69"/>
        <v>93834.384000000005</v>
      </c>
      <c r="BJ118" s="944">
        <v>1.55E-2</v>
      </c>
      <c r="BK118"/>
      <c r="BL118"/>
      <c r="BM118"/>
    </row>
    <row r="119" spans="1:65" x14ac:dyDescent="0.2">
      <c r="A119" s="1" t="s">
        <v>2032</v>
      </c>
      <c r="B119" s="1" t="s">
        <v>2033</v>
      </c>
      <c r="D119" s="222" t="str">
        <f>IF([1]RENAME!$H$3=1,B119,A119)</f>
        <v>4T23</v>
      </c>
      <c r="E119" s="457" t="s">
        <v>160</v>
      </c>
      <c r="F119" s="457" t="s">
        <v>160</v>
      </c>
      <c r="G119" s="457" t="s">
        <v>160</v>
      </c>
      <c r="H119" s="457" t="s">
        <v>160</v>
      </c>
      <c r="I119" s="457" t="s">
        <v>160</v>
      </c>
      <c r="J119" s="458" t="s">
        <v>160</v>
      </c>
      <c r="K119" s="458" t="s">
        <v>160</v>
      </c>
      <c r="L119" s="458" t="s">
        <v>160</v>
      </c>
      <c r="M119" s="458" t="s">
        <v>160</v>
      </c>
      <c r="N119" s="458" t="s">
        <v>160</v>
      </c>
      <c r="O119" s="458" t="s">
        <v>160</v>
      </c>
      <c r="P119" s="458" t="s">
        <v>160</v>
      </c>
      <c r="Q119" s="458" t="s">
        <v>160</v>
      </c>
      <c r="R119" s="458" t="s">
        <v>160</v>
      </c>
      <c r="S119" s="458" t="s">
        <v>160</v>
      </c>
      <c r="T119" s="458" t="s">
        <v>160</v>
      </c>
      <c r="U119" s="458" t="s">
        <v>160</v>
      </c>
      <c r="V119" s="458" t="s">
        <v>160</v>
      </c>
      <c r="W119" s="458" t="s">
        <v>160</v>
      </c>
      <c r="X119" s="458" t="s">
        <v>160</v>
      </c>
      <c r="Y119" s="458" t="s">
        <v>160</v>
      </c>
      <c r="Z119" s="458" t="s">
        <v>160</v>
      </c>
      <c r="AA119" s="458" t="s">
        <v>160</v>
      </c>
      <c r="AB119" s="468" t="s">
        <v>160</v>
      </c>
      <c r="AC119" s="458" t="s">
        <v>160</v>
      </c>
      <c r="AD119" s="469" t="s">
        <v>160</v>
      </c>
      <c r="AE119" s="458" t="s">
        <v>160</v>
      </c>
      <c r="AF119" s="458" t="s">
        <v>160</v>
      </c>
      <c r="AG119" s="468" t="s">
        <v>160</v>
      </c>
      <c r="AH119" s="458" t="s">
        <v>160</v>
      </c>
      <c r="AI119" s="469" t="s">
        <v>160</v>
      </c>
      <c r="AJ119" s="458" t="s">
        <v>160</v>
      </c>
      <c r="AK119" s="458" t="s">
        <v>160</v>
      </c>
      <c r="AL119" s="458" t="s">
        <v>160</v>
      </c>
      <c r="AM119" s="468" t="s">
        <v>160</v>
      </c>
      <c r="AN119" s="469" t="s">
        <v>160</v>
      </c>
      <c r="AO119" s="458" t="s">
        <v>160</v>
      </c>
      <c r="AP119" s="469" t="s">
        <v>160</v>
      </c>
      <c r="AQ119" s="468" t="s">
        <v>160</v>
      </c>
      <c r="AR119" s="458" t="s">
        <v>160</v>
      </c>
      <c r="AS119" s="469" t="s">
        <v>160</v>
      </c>
      <c r="AT119" s="469">
        <f>AT116</f>
        <v>10000</v>
      </c>
      <c r="AU119" s="1136">
        <v>26571.047999999999</v>
      </c>
      <c r="AV119" s="466" t="s">
        <v>160</v>
      </c>
      <c r="AW119" s="466" t="s">
        <v>160</v>
      </c>
      <c r="AX119" s="466" t="s">
        <v>160</v>
      </c>
      <c r="AY119" s="466" t="s">
        <v>160</v>
      </c>
      <c r="AZ119" s="466" t="s">
        <v>160</v>
      </c>
      <c r="BA119" s="1136">
        <v>26722.66</v>
      </c>
      <c r="BB119" s="1136">
        <v>4932.5249999999996</v>
      </c>
      <c r="BC119" s="1136">
        <v>4932.5249999999996</v>
      </c>
      <c r="BD119" s="1136">
        <v>4932.5249999999996</v>
      </c>
      <c r="BE119" s="1136">
        <v>4932.5249999999996</v>
      </c>
      <c r="BF119" s="1136">
        <v>4932.5249999999996</v>
      </c>
      <c r="BG119" s="1136">
        <v>4932.5249999999996</v>
      </c>
      <c r="BH119" s="1136">
        <v>5950.5219999999999</v>
      </c>
      <c r="BI119" s="650">
        <f t="shared" si="69"/>
        <v>98839.379999999961</v>
      </c>
      <c r="BJ119" s="944">
        <v>1.55E-2</v>
      </c>
      <c r="BK119"/>
      <c r="BL119"/>
      <c r="BM119"/>
    </row>
    <row r="120" spans="1:65" x14ac:dyDescent="0.2">
      <c r="A120" s="1" t="s">
        <v>2129</v>
      </c>
      <c r="B120" s="1" t="s">
        <v>2128</v>
      </c>
      <c r="D120" s="222" t="str">
        <f>IF([1]RENAME!$H$3=1,B120,A120)</f>
        <v>1T24</v>
      </c>
      <c r="E120" s="457" t="s">
        <v>160</v>
      </c>
      <c r="F120" s="457" t="s">
        <v>160</v>
      </c>
      <c r="G120" s="457" t="s">
        <v>160</v>
      </c>
      <c r="H120" s="457" t="s">
        <v>160</v>
      </c>
      <c r="I120" s="457" t="s">
        <v>160</v>
      </c>
      <c r="J120" s="458" t="s">
        <v>160</v>
      </c>
      <c r="K120" s="458" t="s">
        <v>160</v>
      </c>
      <c r="L120" s="458" t="s">
        <v>160</v>
      </c>
      <c r="M120" s="458" t="s">
        <v>160</v>
      </c>
      <c r="N120" s="458" t="s">
        <v>160</v>
      </c>
      <c r="O120" s="458" t="s">
        <v>160</v>
      </c>
      <c r="P120" s="458" t="s">
        <v>160</v>
      </c>
      <c r="Q120" s="458" t="s">
        <v>160</v>
      </c>
      <c r="R120" s="458" t="s">
        <v>160</v>
      </c>
      <c r="S120" s="458" t="s">
        <v>160</v>
      </c>
      <c r="T120" s="458" t="s">
        <v>160</v>
      </c>
      <c r="U120" s="458" t="s">
        <v>160</v>
      </c>
      <c r="V120" s="458" t="s">
        <v>160</v>
      </c>
      <c r="W120" s="458" t="s">
        <v>160</v>
      </c>
      <c r="X120" s="458" t="s">
        <v>160</v>
      </c>
      <c r="Y120" s="458" t="s">
        <v>160</v>
      </c>
      <c r="Z120" s="458" t="s">
        <v>160</v>
      </c>
      <c r="AA120" s="458" t="s">
        <v>160</v>
      </c>
      <c r="AB120" s="468" t="s">
        <v>160</v>
      </c>
      <c r="AC120" s="458" t="s">
        <v>160</v>
      </c>
      <c r="AD120" s="469" t="s">
        <v>160</v>
      </c>
      <c r="AE120" s="458" t="s">
        <v>160</v>
      </c>
      <c r="AF120" s="458" t="s">
        <v>160</v>
      </c>
      <c r="AG120" s="468" t="s">
        <v>160</v>
      </c>
      <c r="AH120" s="458" t="s">
        <v>160</v>
      </c>
      <c r="AI120" s="469" t="s">
        <v>160</v>
      </c>
      <c r="AJ120" s="458" t="s">
        <v>160</v>
      </c>
      <c r="AK120" s="458" t="s">
        <v>160</v>
      </c>
      <c r="AL120" s="458" t="s">
        <v>160</v>
      </c>
      <c r="AM120" s="468" t="s">
        <v>160</v>
      </c>
      <c r="AN120" s="469" t="s">
        <v>160</v>
      </c>
      <c r="AO120" s="458" t="s">
        <v>160</v>
      </c>
      <c r="AP120" s="469" t="s">
        <v>160</v>
      </c>
      <c r="AQ120" s="468" t="s">
        <v>160</v>
      </c>
      <c r="AR120" s="458" t="s">
        <v>160</v>
      </c>
      <c r="AS120" s="469" t="s">
        <v>160</v>
      </c>
      <c r="AT120" s="469">
        <f>AT117</f>
        <v>10000</v>
      </c>
      <c r="AU120" s="1136">
        <v>26571.047639999997</v>
      </c>
      <c r="AV120" s="466" t="s">
        <v>160</v>
      </c>
      <c r="AW120" s="466" t="s">
        <v>160</v>
      </c>
      <c r="AX120" s="466" t="s">
        <v>160</v>
      </c>
      <c r="AY120" s="466" t="s">
        <v>160</v>
      </c>
      <c r="AZ120" s="466" t="s">
        <v>160</v>
      </c>
      <c r="BA120" s="1136">
        <v>27338.284110000001</v>
      </c>
      <c r="BB120" s="1136">
        <v>5671.2753599999969</v>
      </c>
      <c r="BC120" s="1136">
        <v>5671.2753599999969</v>
      </c>
      <c r="BD120" s="1136">
        <v>5671.2753599999969</v>
      </c>
      <c r="BE120" s="1136">
        <v>5671.2753599999969</v>
      </c>
      <c r="BF120" s="1136">
        <v>5671.2753599999969</v>
      </c>
      <c r="BG120" s="1136">
        <v>5671.2753599999969</v>
      </c>
      <c r="BH120" s="1136">
        <v>6812.4</v>
      </c>
      <c r="BI120" s="650">
        <f t="shared" si="69"/>
        <v>104749.38390999999</v>
      </c>
      <c r="BJ120" s="944">
        <v>1.55E-2</v>
      </c>
      <c r="BK120"/>
      <c r="BL120"/>
      <c r="BM120"/>
    </row>
    <row r="121" spans="1:65" x14ac:dyDescent="0.2">
      <c r="A121" s="1" t="s">
        <v>2139</v>
      </c>
      <c r="B121" s="1" t="s">
        <v>2142</v>
      </c>
      <c r="D121" s="222" t="str">
        <f>IF([1]RENAME!$H$3=1,B121,A121)</f>
        <v>2T24</v>
      </c>
      <c r="E121" s="457" t="s">
        <v>160</v>
      </c>
      <c r="F121" s="457" t="s">
        <v>160</v>
      </c>
      <c r="G121" s="457" t="s">
        <v>160</v>
      </c>
      <c r="H121" s="457" t="s">
        <v>160</v>
      </c>
      <c r="I121" s="457" t="s">
        <v>160</v>
      </c>
      <c r="J121" s="458" t="s">
        <v>160</v>
      </c>
      <c r="K121" s="458" t="s">
        <v>160</v>
      </c>
      <c r="L121" s="458" t="s">
        <v>160</v>
      </c>
      <c r="M121" s="458" t="s">
        <v>160</v>
      </c>
      <c r="N121" s="458" t="s">
        <v>160</v>
      </c>
      <c r="O121" s="458" t="s">
        <v>160</v>
      </c>
      <c r="P121" s="458" t="s">
        <v>160</v>
      </c>
      <c r="Q121" s="458" t="s">
        <v>160</v>
      </c>
      <c r="R121" s="458" t="s">
        <v>160</v>
      </c>
      <c r="S121" s="458" t="s">
        <v>160</v>
      </c>
      <c r="T121" s="458" t="s">
        <v>160</v>
      </c>
      <c r="U121" s="458" t="s">
        <v>160</v>
      </c>
      <c r="V121" s="458" t="s">
        <v>160</v>
      </c>
      <c r="W121" s="458" t="s">
        <v>160</v>
      </c>
      <c r="X121" s="458" t="s">
        <v>160</v>
      </c>
      <c r="Y121" s="458" t="s">
        <v>160</v>
      </c>
      <c r="Z121" s="458" t="s">
        <v>160</v>
      </c>
      <c r="AA121" s="458" t="s">
        <v>160</v>
      </c>
      <c r="AB121" s="468" t="s">
        <v>160</v>
      </c>
      <c r="AC121" s="458" t="s">
        <v>160</v>
      </c>
      <c r="AD121" s="469" t="s">
        <v>160</v>
      </c>
      <c r="AE121" s="458" t="s">
        <v>160</v>
      </c>
      <c r="AF121" s="458" t="s">
        <v>160</v>
      </c>
      <c r="AG121" s="468" t="s">
        <v>160</v>
      </c>
      <c r="AH121" s="458" t="s">
        <v>160</v>
      </c>
      <c r="AI121" s="469" t="s">
        <v>160</v>
      </c>
      <c r="AJ121" s="458" t="s">
        <v>160</v>
      </c>
      <c r="AK121" s="458" t="s">
        <v>160</v>
      </c>
      <c r="AL121" s="458" t="s">
        <v>160</v>
      </c>
      <c r="AM121" s="468" t="s">
        <v>160</v>
      </c>
      <c r="AN121" s="469" t="s">
        <v>160</v>
      </c>
      <c r="AO121" s="458" t="s">
        <v>160</v>
      </c>
      <c r="AP121" s="469" t="s">
        <v>160</v>
      </c>
      <c r="AQ121" s="468" t="s">
        <v>160</v>
      </c>
      <c r="AR121" s="458" t="s">
        <v>160</v>
      </c>
      <c r="AS121" s="469" t="s">
        <v>160</v>
      </c>
      <c r="AT121" s="469" t="s">
        <v>160</v>
      </c>
      <c r="AU121" s="1136">
        <v>26571.047639999997</v>
      </c>
      <c r="AV121" s="466" t="s">
        <v>160</v>
      </c>
      <c r="AW121" s="466" t="s">
        <v>160</v>
      </c>
      <c r="AX121" s="466" t="s">
        <v>160</v>
      </c>
      <c r="AY121" s="466" t="s">
        <v>160</v>
      </c>
      <c r="AZ121" s="466" t="s">
        <v>160</v>
      </c>
      <c r="BA121" s="1136">
        <v>27331.937509999996</v>
      </c>
      <c r="BB121" s="1136">
        <v>6052.8505499999965</v>
      </c>
      <c r="BC121" s="1136">
        <v>6330.8441999999959</v>
      </c>
      <c r="BD121" s="1136">
        <v>6330.8441999999959</v>
      </c>
      <c r="BE121" s="1136">
        <v>6330.8441999999959</v>
      </c>
      <c r="BF121" s="1136">
        <v>6330.8441999999959</v>
      </c>
      <c r="BG121" s="1136">
        <v>6330.84</v>
      </c>
      <c r="BH121" s="1136">
        <v>11868.3</v>
      </c>
      <c r="BI121" s="650">
        <f t="shared" si="69"/>
        <v>103478.35249999996</v>
      </c>
      <c r="BJ121" s="944">
        <v>1.6E-2</v>
      </c>
      <c r="BK121"/>
      <c r="BL121"/>
      <c r="BM121"/>
    </row>
    <row r="122" spans="1:65" x14ac:dyDescent="0.2">
      <c r="A122" s="1" t="s">
        <v>2140</v>
      </c>
      <c r="B122" s="1" t="s">
        <v>2143</v>
      </c>
      <c r="D122" s="222" t="str">
        <f>IF([1]RENAME!$H$3=1,B122,A122)</f>
        <v>3T24</v>
      </c>
      <c r="E122" s="457" t="s">
        <v>160</v>
      </c>
      <c r="F122" s="457" t="s">
        <v>160</v>
      </c>
      <c r="G122" s="457" t="s">
        <v>160</v>
      </c>
      <c r="H122" s="457" t="s">
        <v>160</v>
      </c>
      <c r="I122" s="457" t="s">
        <v>160</v>
      </c>
      <c r="J122" s="458" t="s">
        <v>160</v>
      </c>
      <c r="K122" s="458" t="s">
        <v>160</v>
      </c>
      <c r="L122" s="458" t="s">
        <v>160</v>
      </c>
      <c r="M122" s="458" t="s">
        <v>160</v>
      </c>
      <c r="N122" s="458" t="s">
        <v>160</v>
      </c>
      <c r="O122" s="458" t="s">
        <v>160</v>
      </c>
      <c r="P122" s="458" t="s">
        <v>160</v>
      </c>
      <c r="Q122" s="458" t="s">
        <v>160</v>
      </c>
      <c r="R122" s="458" t="s">
        <v>160</v>
      </c>
      <c r="S122" s="458" t="s">
        <v>160</v>
      </c>
      <c r="T122" s="458" t="s">
        <v>160</v>
      </c>
      <c r="U122" s="458" t="s">
        <v>160</v>
      </c>
      <c r="V122" s="458" t="s">
        <v>160</v>
      </c>
      <c r="W122" s="458" t="s">
        <v>160</v>
      </c>
      <c r="X122" s="458" t="s">
        <v>160</v>
      </c>
      <c r="Y122" s="458" t="s">
        <v>160</v>
      </c>
      <c r="Z122" s="458" t="s">
        <v>160</v>
      </c>
      <c r="AA122" s="458" t="s">
        <v>160</v>
      </c>
      <c r="AB122" s="468" t="s">
        <v>160</v>
      </c>
      <c r="AC122" s="458" t="s">
        <v>160</v>
      </c>
      <c r="AD122" s="469" t="s">
        <v>160</v>
      </c>
      <c r="AE122" s="458" t="s">
        <v>160</v>
      </c>
      <c r="AF122" s="458" t="s">
        <v>160</v>
      </c>
      <c r="AG122" s="468" t="s">
        <v>160</v>
      </c>
      <c r="AH122" s="458" t="s">
        <v>160</v>
      </c>
      <c r="AI122" s="469" t="s">
        <v>160</v>
      </c>
      <c r="AJ122" s="458" t="s">
        <v>160</v>
      </c>
      <c r="AK122" s="458" t="s">
        <v>160</v>
      </c>
      <c r="AL122" s="458" t="s">
        <v>160</v>
      </c>
      <c r="AM122" s="468" t="s">
        <v>160</v>
      </c>
      <c r="AN122" s="469" t="s">
        <v>160</v>
      </c>
      <c r="AO122" s="458" t="s">
        <v>160</v>
      </c>
      <c r="AP122" s="469" t="s">
        <v>160</v>
      </c>
      <c r="AQ122" s="468" t="s">
        <v>160</v>
      </c>
      <c r="AR122" s="458" t="s">
        <v>160</v>
      </c>
      <c r="AS122" s="469" t="s">
        <v>160</v>
      </c>
      <c r="AT122" s="469" t="s">
        <v>160</v>
      </c>
      <c r="AU122" s="1136">
        <v>26571.047639999997</v>
      </c>
      <c r="AV122" s="466" t="s">
        <v>160</v>
      </c>
      <c r="AW122" s="466" t="s">
        <v>160</v>
      </c>
      <c r="AX122" s="466" t="s">
        <v>160</v>
      </c>
      <c r="AY122" s="466" t="s">
        <v>160</v>
      </c>
      <c r="AZ122" s="466" t="s">
        <v>160</v>
      </c>
      <c r="BA122" s="1136">
        <v>27331.937509999996</v>
      </c>
      <c r="BB122" s="1136">
        <v>6052.8505499999965</v>
      </c>
      <c r="BC122" s="1136">
        <v>6330.8441999999959</v>
      </c>
      <c r="BD122" s="1136">
        <v>6330.8441999999959</v>
      </c>
      <c r="BE122" s="1136">
        <v>6330.8441999999959</v>
      </c>
      <c r="BF122" s="1136">
        <v>6330.8441999999959</v>
      </c>
      <c r="BG122" s="1136">
        <v>6330.84</v>
      </c>
      <c r="BH122" s="1136">
        <v>11868.3</v>
      </c>
      <c r="BI122" s="650">
        <f t="shared" si="69"/>
        <v>103478.35249999996</v>
      </c>
      <c r="BJ122" s="944">
        <v>1.6E-2</v>
      </c>
      <c r="BK122"/>
      <c r="BL122"/>
      <c r="BM122"/>
    </row>
    <row r="123" spans="1:65" x14ac:dyDescent="0.2">
      <c r="A123" s="1" t="s">
        <v>2141</v>
      </c>
      <c r="B123" s="1" t="s">
        <v>2144</v>
      </c>
      <c r="D123" s="222" t="str">
        <f>IF([1]RENAME!$H$3=1,B123,A123)</f>
        <v>4T24</v>
      </c>
      <c r="E123" s="457" t="s">
        <v>160</v>
      </c>
      <c r="F123" s="457" t="s">
        <v>160</v>
      </c>
      <c r="G123" s="457" t="s">
        <v>160</v>
      </c>
      <c r="H123" s="457" t="s">
        <v>160</v>
      </c>
      <c r="I123" s="457" t="s">
        <v>160</v>
      </c>
      <c r="J123" s="458" t="s">
        <v>160</v>
      </c>
      <c r="K123" s="458" t="s">
        <v>160</v>
      </c>
      <c r="L123" s="458" t="s">
        <v>160</v>
      </c>
      <c r="M123" s="458" t="s">
        <v>160</v>
      </c>
      <c r="N123" s="458" t="s">
        <v>160</v>
      </c>
      <c r="O123" s="458" t="s">
        <v>160</v>
      </c>
      <c r="P123" s="458" t="s">
        <v>160</v>
      </c>
      <c r="Q123" s="458" t="s">
        <v>160</v>
      </c>
      <c r="R123" s="458" t="s">
        <v>160</v>
      </c>
      <c r="S123" s="458" t="s">
        <v>160</v>
      </c>
      <c r="T123" s="458" t="s">
        <v>160</v>
      </c>
      <c r="U123" s="458" t="s">
        <v>160</v>
      </c>
      <c r="V123" s="458" t="s">
        <v>160</v>
      </c>
      <c r="W123" s="458" t="s">
        <v>160</v>
      </c>
      <c r="X123" s="458" t="s">
        <v>160</v>
      </c>
      <c r="Y123" s="458" t="s">
        <v>160</v>
      </c>
      <c r="Z123" s="458" t="s">
        <v>160</v>
      </c>
      <c r="AA123" s="458" t="s">
        <v>160</v>
      </c>
      <c r="AB123" s="468" t="s">
        <v>160</v>
      </c>
      <c r="AC123" s="458" t="s">
        <v>160</v>
      </c>
      <c r="AD123" s="469" t="s">
        <v>160</v>
      </c>
      <c r="AE123" s="458" t="s">
        <v>160</v>
      </c>
      <c r="AF123" s="458" t="s">
        <v>160</v>
      </c>
      <c r="AG123" s="468" t="s">
        <v>160</v>
      </c>
      <c r="AH123" s="458" t="s">
        <v>160</v>
      </c>
      <c r="AI123" s="469" t="s">
        <v>160</v>
      </c>
      <c r="AJ123" s="458" t="s">
        <v>160</v>
      </c>
      <c r="AK123" s="458" t="s">
        <v>160</v>
      </c>
      <c r="AL123" s="458" t="s">
        <v>160</v>
      </c>
      <c r="AM123" s="468" t="s">
        <v>160</v>
      </c>
      <c r="AN123" s="469" t="s">
        <v>160</v>
      </c>
      <c r="AO123" s="458" t="s">
        <v>160</v>
      </c>
      <c r="AP123" s="469" t="s">
        <v>160</v>
      </c>
      <c r="AQ123" s="468" t="s">
        <v>160</v>
      </c>
      <c r="AR123" s="458" t="s">
        <v>160</v>
      </c>
      <c r="AS123" s="469" t="s">
        <v>160</v>
      </c>
      <c r="AT123" s="469" t="s">
        <v>160</v>
      </c>
      <c r="AU123" s="1202">
        <v>26571.047639999997</v>
      </c>
      <c r="AV123" s="466" t="s">
        <v>160</v>
      </c>
      <c r="AW123" s="466" t="s">
        <v>160</v>
      </c>
      <c r="AX123" s="466" t="s">
        <v>160</v>
      </c>
      <c r="AY123" s="466" t="s">
        <v>160</v>
      </c>
      <c r="AZ123" s="466" t="s">
        <v>160</v>
      </c>
      <c r="BA123" s="1136">
        <v>27331.937509999996</v>
      </c>
      <c r="BB123" s="1136">
        <v>6052.8505499999965</v>
      </c>
      <c r="BC123" s="1136">
        <v>6330.8441999999959</v>
      </c>
      <c r="BD123" s="1136">
        <v>6330.8441999999959</v>
      </c>
      <c r="BE123" s="1136">
        <v>6330.8441999999959</v>
      </c>
      <c r="BF123" s="1136">
        <v>6330.8441999999959</v>
      </c>
      <c r="BG123" s="1136">
        <v>6330.84</v>
      </c>
      <c r="BH123" s="1136">
        <v>11868.3</v>
      </c>
      <c r="BI123" s="650">
        <f t="shared" si="69"/>
        <v>103478.35249999996</v>
      </c>
      <c r="BJ123" s="944">
        <v>1.6E-2</v>
      </c>
      <c r="BK123"/>
      <c r="BL123"/>
      <c r="BM123"/>
    </row>
    <row r="124" spans="1:65" x14ac:dyDescent="0.2">
      <c r="A124" s="1" t="s">
        <v>2238</v>
      </c>
      <c r="B124" s="1" t="s">
        <v>2239</v>
      </c>
      <c r="D124" s="222" t="str">
        <f>IF([1]RENAME!$H$3=1,B124,A124)</f>
        <v>1T25</v>
      </c>
      <c r="E124" s="457" t="s">
        <v>160</v>
      </c>
      <c r="F124" s="457" t="s">
        <v>160</v>
      </c>
      <c r="G124" s="457" t="s">
        <v>160</v>
      </c>
      <c r="H124" s="457" t="s">
        <v>160</v>
      </c>
      <c r="I124" s="457" t="s">
        <v>160</v>
      </c>
      <c r="J124" s="458" t="s">
        <v>160</v>
      </c>
      <c r="K124" s="458" t="s">
        <v>160</v>
      </c>
      <c r="L124" s="458" t="s">
        <v>160</v>
      </c>
      <c r="M124" s="458" t="s">
        <v>160</v>
      </c>
      <c r="N124" s="458" t="s">
        <v>160</v>
      </c>
      <c r="O124" s="458" t="s">
        <v>160</v>
      </c>
      <c r="P124" s="458" t="s">
        <v>160</v>
      </c>
      <c r="Q124" s="458" t="s">
        <v>160</v>
      </c>
      <c r="R124" s="458" t="s">
        <v>160</v>
      </c>
      <c r="S124" s="458" t="s">
        <v>160</v>
      </c>
      <c r="T124" s="458" t="s">
        <v>160</v>
      </c>
      <c r="U124" s="458" t="s">
        <v>160</v>
      </c>
      <c r="V124" s="458" t="s">
        <v>160</v>
      </c>
      <c r="W124" s="458" t="s">
        <v>160</v>
      </c>
      <c r="X124" s="458" t="s">
        <v>160</v>
      </c>
      <c r="Y124" s="458" t="s">
        <v>160</v>
      </c>
      <c r="Z124" s="458" t="s">
        <v>160</v>
      </c>
      <c r="AA124" s="458" t="s">
        <v>160</v>
      </c>
      <c r="AB124" s="468" t="s">
        <v>160</v>
      </c>
      <c r="AC124" s="458" t="s">
        <v>160</v>
      </c>
      <c r="AD124" s="469" t="s">
        <v>160</v>
      </c>
      <c r="AE124" s="458" t="s">
        <v>160</v>
      </c>
      <c r="AF124" s="458" t="s">
        <v>160</v>
      </c>
      <c r="AG124" s="468" t="s">
        <v>160</v>
      </c>
      <c r="AH124" s="458" t="s">
        <v>160</v>
      </c>
      <c r="AI124" s="469" t="s">
        <v>160</v>
      </c>
      <c r="AJ124" s="458" t="s">
        <v>160</v>
      </c>
      <c r="AK124" s="458" t="s">
        <v>160</v>
      </c>
      <c r="AL124" s="458" t="s">
        <v>160</v>
      </c>
      <c r="AM124" s="468" t="s">
        <v>160</v>
      </c>
      <c r="AN124" s="469" t="s">
        <v>160</v>
      </c>
      <c r="AO124" s="458" t="s">
        <v>160</v>
      </c>
      <c r="AP124" s="469" t="s">
        <v>160</v>
      </c>
      <c r="AQ124" s="468" t="s">
        <v>160</v>
      </c>
      <c r="AR124" s="458" t="s">
        <v>160</v>
      </c>
      <c r="AS124" s="469" t="s">
        <v>160</v>
      </c>
      <c r="AT124" s="469" t="s">
        <v>160</v>
      </c>
      <c r="AU124" s="469">
        <v>26571.047639999997</v>
      </c>
      <c r="AV124" s="466" t="s">
        <v>160</v>
      </c>
      <c r="AW124" s="466" t="s">
        <v>160</v>
      </c>
      <c r="AX124" s="466" t="s">
        <v>160</v>
      </c>
      <c r="AY124" s="466" t="s">
        <v>160</v>
      </c>
      <c r="AZ124" s="466" t="s">
        <v>160</v>
      </c>
      <c r="BA124" s="1136">
        <v>27245.610149999997</v>
      </c>
      <c r="BB124" s="1136">
        <v>6623.9301899999982</v>
      </c>
      <c r="BC124" s="1136">
        <v>7163.4615599999979</v>
      </c>
      <c r="BD124" s="1136">
        <v>7163.4615599999979</v>
      </c>
      <c r="BE124" s="1136">
        <v>7163.4615599999979</v>
      </c>
      <c r="BF124" s="1136">
        <v>7163.4615599999979</v>
      </c>
      <c r="BG124" s="1136">
        <v>7163.4615599999979</v>
      </c>
      <c r="BH124" s="1136">
        <v>13742.104499999999</v>
      </c>
      <c r="BI124" s="650">
        <f t="shared" si="69"/>
        <v>110000.00027999998</v>
      </c>
      <c r="BJ124" s="944">
        <v>1.6E-2</v>
      </c>
      <c r="BK124"/>
      <c r="BL124"/>
      <c r="BM124"/>
    </row>
    <row r="125" spans="1:65" x14ac:dyDescent="0.2">
      <c r="A125" s="1" t="s">
        <v>2240</v>
      </c>
      <c r="B125" s="1" t="s">
        <v>2241</v>
      </c>
      <c r="D125" s="222" t="str">
        <f>IF([1]RENAME!$H$3=1,B125,A125)</f>
        <v>2T25</v>
      </c>
      <c r="E125" s="457" t="s">
        <v>160</v>
      </c>
      <c r="F125" s="457" t="s">
        <v>160</v>
      </c>
      <c r="G125" s="457" t="s">
        <v>160</v>
      </c>
      <c r="H125" s="457" t="s">
        <v>160</v>
      </c>
      <c r="I125" s="457" t="s">
        <v>160</v>
      </c>
      <c r="J125" s="458" t="s">
        <v>160</v>
      </c>
      <c r="K125" s="458" t="s">
        <v>160</v>
      </c>
      <c r="L125" s="458" t="s">
        <v>160</v>
      </c>
      <c r="M125" s="458" t="s">
        <v>160</v>
      </c>
      <c r="N125" s="458" t="s">
        <v>160</v>
      </c>
      <c r="O125" s="458" t="s">
        <v>160</v>
      </c>
      <c r="P125" s="458" t="s">
        <v>160</v>
      </c>
      <c r="Q125" s="458" t="s">
        <v>160</v>
      </c>
      <c r="R125" s="458" t="s">
        <v>160</v>
      </c>
      <c r="S125" s="458" t="s">
        <v>160</v>
      </c>
      <c r="T125" s="458" t="s">
        <v>160</v>
      </c>
      <c r="U125" s="458" t="s">
        <v>160</v>
      </c>
      <c r="V125" s="458" t="s">
        <v>160</v>
      </c>
      <c r="W125" s="458" t="s">
        <v>160</v>
      </c>
      <c r="X125" s="458" t="s">
        <v>160</v>
      </c>
      <c r="Y125" s="458" t="s">
        <v>160</v>
      </c>
      <c r="Z125" s="458" t="s">
        <v>160</v>
      </c>
      <c r="AA125" s="458" t="s">
        <v>160</v>
      </c>
      <c r="AB125" s="468" t="s">
        <v>160</v>
      </c>
      <c r="AC125" s="458" t="s">
        <v>160</v>
      </c>
      <c r="AD125" s="469" t="s">
        <v>160</v>
      </c>
      <c r="AE125" s="458" t="s">
        <v>160</v>
      </c>
      <c r="AF125" s="458" t="s">
        <v>160</v>
      </c>
      <c r="AG125" s="468" t="s">
        <v>160</v>
      </c>
      <c r="AH125" s="458" t="s">
        <v>160</v>
      </c>
      <c r="AI125" s="469" t="s">
        <v>160</v>
      </c>
      <c r="AJ125" s="458" t="s">
        <v>160</v>
      </c>
      <c r="AK125" s="458" t="s">
        <v>160</v>
      </c>
      <c r="AL125" s="458" t="s">
        <v>160</v>
      </c>
      <c r="AM125" s="468" t="s">
        <v>160</v>
      </c>
      <c r="AN125" s="469" t="s">
        <v>160</v>
      </c>
      <c r="AO125" s="458" t="s">
        <v>160</v>
      </c>
      <c r="AP125" s="469" t="s">
        <v>160</v>
      </c>
      <c r="AQ125" s="468" t="s">
        <v>160</v>
      </c>
      <c r="AR125" s="458" t="s">
        <v>160</v>
      </c>
      <c r="AS125" s="469" t="s">
        <v>160</v>
      </c>
      <c r="AT125" s="469" t="s">
        <v>160</v>
      </c>
      <c r="AU125" s="1202">
        <v>26571.047639999997</v>
      </c>
      <c r="AV125" s="466" t="s">
        <v>160</v>
      </c>
      <c r="AW125" s="466" t="s">
        <v>160</v>
      </c>
      <c r="AX125" s="466" t="s">
        <v>160</v>
      </c>
      <c r="AY125" s="466" t="s">
        <v>160</v>
      </c>
      <c r="AZ125" s="466" t="s">
        <v>160</v>
      </c>
      <c r="BA125" s="1136">
        <v>27245.610149999997</v>
      </c>
      <c r="BB125" s="1136">
        <v>6623.9301899999982</v>
      </c>
      <c r="BC125" s="1136">
        <v>7163.4615599999979</v>
      </c>
      <c r="BD125" s="1136">
        <v>7163.4615599999979</v>
      </c>
      <c r="BE125" s="1136">
        <v>7163.4615599999979</v>
      </c>
      <c r="BF125" s="1136">
        <v>7163.4615599999979</v>
      </c>
      <c r="BG125" s="1136">
        <v>7163.4615599999979</v>
      </c>
      <c r="BH125" s="1136">
        <v>13742.104499999998</v>
      </c>
      <c r="BI125" s="650">
        <f t="shared" si="69"/>
        <v>110000.00027999998</v>
      </c>
      <c r="BJ125" s="944">
        <v>1.6E-2</v>
      </c>
      <c r="BK125"/>
      <c r="BL125"/>
      <c r="BM125"/>
    </row>
    <row r="126" spans="1:65" x14ac:dyDescent="0.2">
      <c r="A126" s="1" t="s">
        <v>2242</v>
      </c>
      <c r="B126" s="1" t="s">
        <v>2243</v>
      </c>
      <c r="D126" s="222" t="str">
        <f>IF([1]RENAME!$H$3=1,B126,A126)</f>
        <v>3T25</v>
      </c>
      <c r="E126" s="457" t="s">
        <v>160</v>
      </c>
      <c r="F126" s="457" t="s">
        <v>160</v>
      </c>
      <c r="G126" s="457" t="s">
        <v>160</v>
      </c>
      <c r="H126" s="457" t="s">
        <v>160</v>
      </c>
      <c r="I126" s="457" t="s">
        <v>160</v>
      </c>
      <c r="J126" s="458" t="s">
        <v>160</v>
      </c>
      <c r="K126" s="458" t="s">
        <v>160</v>
      </c>
      <c r="L126" s="458" t="s">
        <v>160</v>
      </c>
      <c r="M126" s="458" t="s">
        <v>160</v>
      </c>
      <c r="N126" s="458" t="s">
        <v>160</v>
      </c>
      <c r="O126" s="458" t="s">
        <v>160</v>
      </c>
      <c r="P126" s="458" t="s">
        <v>160</v>
      </c>
      <c r="Q126" s="458" t="s">
        <v>160</v>
      </c>
      <c r="R126" s="458" t="s">
        <v>160</v>
      </c>
      <c r="S126" s="458" t="s">
        <v>160</v>
      </c>
      <c r="T126" s="458" t="s">
        <v>160</v>
      </c>
      <c r="U126" s="458" t="s">
        <v>160</v>
      </c>
      <c r="V126" s="458" t="s">
        <v>160</v>
      </c>
      <c r="W126" s="458" t="s">
        <v>160</v>
      </c>
      <c r="X126" s="458" t="s">
        <v>160</v>
      </c>
      <c r="Y126" s="458" t="s">
        <v>160</v>
      </c>
      <c r="Z126" s="458" t="s">
        <v>160</v>
      </c>
      <c r="AA126" s="458" t="s">
        <v>160</v>
      </c>
      <c r="AB126" s="468" t="s">
        <v>160</v>
      </c>
      <c r="AC126" s="458" t="s">
        <v>160</v>
      </c>
      <c r="AD126" s="469" t="s">
        <v>160</v>
      </c>
      <c r="AE126" s="458" t="s">
        <v>160</v>
      </c>
      <c r="AF126" s="458" t="s">
        <v>160</v>
      </c>
      <c r="AG126" s="468" t="s">
        <v>160</v>
      </c>
      <c r="AH126" s="458" t="s">
        <v>160</v>
      </c>
      <c r="AI126" s="469" t="s">
        <v>160</v>
      </c>
      <c r="AJ126" s="458" t="s">
        <v>160</v>
      </c>
      <c r="AK126" s="458" t="s">
        <v>160</v>
      </c>
      <c r="AL126" s="458" t="s">
        <v>160</v>
      </c>
      <c r="AM126" s="468" t="s">
        <v>160</v>
      </c>
      <c r="AN126" s="469" t="s">
        <v>160</v>
      </c>
      <c r="AO126" s="458" t="s">
        <v>160</v>
      </c>
      <c r="AP126" s="469" t="s">
        <v>160</v>
      </c>
      <c r="AQ126" s="468" t="s">
        <v>160</v>
      </c>
      <c r="AR126" s="458" t="s">
        <v>160</v>
      </c>
      <c r="AS126" s="469" t="s">
        <v>160</v>
      </c>
      <c r="AT126" s="469" t="s">
        <v>160</v>
      </c>
      <c r="AU126" s="1202" t="s">
        <v>160</v>
      </c>
      <c r="AV126" s="469">
        <v>1018</v>
      </c>
      <c r="AW126" s="469">
        <v>1018</v>
      </c>
      <c r="AX126" s="469">
        <v>1202</v>
      </c>
      <c r="AY126" s="469">
        <v>23702</v>
      </c>
      <c r="AZ126" s="466">
        <v>1323</v>
      </c>
      <c r="BA126" s="1136">
        <v>27245.610149999997</v>
      </c>
      <c r="BB126" s="1136">
        <v>6623.9301899999982</v>
      </c>
      <c r="BC126" s="1136">
        <v>7163.4615599999979</v>
      </c>
      <c r="BD126" s="1136">
        <v>7163.4615599999979</v>
      </c>
      <c r="BE126" s="1136">
        <v>7163.4615599999979</v>
      </c>
      <c r="BF126" s="1136">
        <v>7163.4615599999979</v>
      </c>
      <c r="BG126" s="1136">
        <v>7163.4615599999979</v>
      </c>
      <c r="BH126" s="1136">
        <v>13742.104499999998</v>
      </c>
      <c r="BI126" s="650">
        <f>+SUM(AB126:AV126,BA126:BH126)</f>
        <v>84446.952639999974</v>
      </c>
      <c r="BJ126" s="944">
        <v>1.5849648217983868E-2</v>
      </c>
      <c r="BK126"/>
      <c r="BL126"/>
      <c r="BM126"/>
    </row>
    <row r="127" spans="1:65" x14ac:dyDescent="0.2">
      <c r="A127" s="1" t="s">
        <v>2244</v>
      </c>
      <c r="B127" s="1" t="s">
        <v>2245</v>
      </c>
      <c r="D127" s="222" t="str">
        <f>IF([1]RENAME!$H$3=1,B127,A127)</f>
        <v>4T25</v>
      </c>
      <c r="E127" s="457" t="s">
        <v>160</v>
      </c>
      <c r="F127" s="457" t="s">
        <v>160</v>
      </c>
      <c r="G127" s="457" t="s">
        <v>160</v>
      </c>
      <c r="H127" s="457" t="s">
        <v>160</v>
      </c>
      <c r="I127" s="457" t="s">
        <v>160</v>
      </c>
      <c r="J127" s="457" t="s">
        <v>160</v>
      </c>
      <c r="K127" s="457" t="s">
        <v>160</v>
      </c>
      <c r="L127" s="457" t="s">
        <v>160</v>
      </c>
      <c r="M127" s="457" t="s">
        <v>160</v>
      </c>
      <c r="N127" s="457" t="s">
        <v>160</v>
      </c>
      <c r="O127" s="457" t="s">
        <v>160</v>
      </c>
      <c r="P127" s="457" t="s">
        <v>160</v>
      </c>
      <c r="Q127" s="457" t="s">
        <v>160</v>
      </c>
      <c r="R127" s="457" t="s">
        <v>160</v>
      </c>
      <c r="S127" s="457" t="s">
        <v>160</v>
      </c>
      <c r="T127" s="457" t="s">
        <v>160</v>
      </c>
      <c r="U127" s="457" t="s">
        <v>160</v>
      </c>
      <c r="V127" s="457" t="s">
        <v>160</v>
      </c>
      <c r="W127" s="457" t="s">
        <v>160</v>
      </c>
      <c r="X127" s="457" t="s">
        <v>160</v>
      </c>
      <c r="Y127" s="457" t="s">
        <v>160</v>
      </c>
      <c r="Z127" s="457" t="s">
        <v>160</v>
      </c>
      <c r="AA127" s="457" t="s">
        <v>160</v>
      </c>
      <c r="AB127" s="457" t="s">
        <v>160</v>
      </c>
      <c r="AC127" s="457" t="s">
        <v>160</v>
      </c>
      <c r="AD127" s="457" t="s">
        <v>160</v>
      </c>
      <c r="AE127" s="457" t="s">
        <v>160</v>
      </c>
      <c r="AF127" s="457" t="s">
        <v>160</v>
      </c>
      <c r="AG127" s="457" t="s">
        <v>160</v>
      </c>
      <c r="AH127" s="457" t="s">
        <v>160</v>
      </c>
      <c r="AI127" s="457" t="s">
        <v>160</v>
      </c>
      <c r="AJ127" s="457" t="s">
        <v>160</v>
      </c>
      <c r="AK127" s="457" t="s">
        <v>160</v>
      </c>
      <c r="AL127" s="457" t="s">
        <v>160</v>
      </c>
      <c r="AM127" s="457" t="s">
        <v>160</v>
      </c>
      <c r="AN127" s="457" t="s">
        <v>160</v>
      </c>
      <c r="AO127" s="457" t="s">
        <v>160</v>
      </c>
      <c r="AP127" s="457" t="s">
        <v>160</v>
      </c>
      <c r="AQ127" s="457" t="s">
        <v>160</v>
      </c>
      <c r="AR127" s="457" t="s">
        <v>160</v>
      </c>
      <c r="AS127" s="457" t="s">
        <v>160</v>
      </c>
      <c r="AT127" s="457" t="s">
        <v>160</v>
      </c>
      <c r="AU127" s="1240" t="s">
        <v>160</v>
      </c>
      <c r="AV127" s="458" t="s">
        <v>160</v>
      </c>
      <c r="AW127" s="469">
        <v>1018</v>
      </c>
      <c r="AX127" s="469">
        <v>1202</v>
      </c>
      <c r="AY127" s="469">
        <v>23702</v>
      </c>
      <c r="AZ127" s="469">
        <v>1323</v>
      </c>
      <c r="BA127" s="1136">
        <v>27245.610149999997</v>
      </c>
      <c r="BB127" s="1136">
        <v>46623.930189999999</v>
      </c>
      <c r="BC127" s="1136">
        <v>7163.4615599999979</v>
      </c>
      <c r="BD127" s="1136">
        <v>7163.4615599999979</v>
      </c>
      <c r="BE127" s="1136">
        <v>7163.4615599999979</v>
      </c>
      <c r="BF127" s="1136">
        <v>7163.4615599999979</v>
      </c>
      <c r="BG127" s="1136">
        <v>7163.4615599999979</v>
      </c>
      <c r="BH127" s="1136">
        <v>13742.104499999998</v>
      </c>
      <c r="BI127" s="650">
        <f>SUM(BA127:BH127)</f>
        <v>123428.95263999997</v>
      </c>
      <c r="BJ127" s="944">
        <v>1.3367481898224428E-2</v>
      </c>
      <c r="BK127"/>
      <c r="BL127"/>
      <c r="BM127"/>
    </row>
    <row r="128" spans="1:65" x14ac:dyDescent="0.2">
      <c r="A128" s="1" t="s">
        <v>2284</v>
      </c>
      <c r="B128" s="1" t="s">
        <v>2267</v>
      </c>
      <c r="D128" s="222" t="str">
        <f>IF([1]RENAME!$H$3=1,B128,A128)</f>
        <v>1T26</v>
      </c>
      <c r="E128" s="457" t="s">
        <v>160</v>
      </c>
      <c r="F128" s="457" t="s">
        <v>160</v>
      </c>
      <c r="G128" s="457" t="s">
        <v>160</v>
      </c>
      <c r="H128" s="457" t="s">
        <v>160</v>
      </c>
      <c r="I128" s="457" t="s">
        <v>160</v>
      </c>
      <c r="J128" s="457" t="s">
        <v>160</v>
      </c>
      <c r="K128" s="457" t="s">
        <v>160</v>
      </c>
      <c r="L128" s="457" t="s">
        <v>160</v>
      </c>
      <c r="M128" s="457" t="s">
        <v>160</v>
      </c>
      <c r="N128" s="457" t="s">
        <v>160</v>
      </c>
      <c r="O128" s="457" t="s">
        <v>160</v>
      </c>
      <c r="P128" s="457" t="s">
        <v>160</v>
      </c>
      <c r="Q128" s="457" t="s">
        <v>160</v>
      </c>
      <c r="R128" s="457" t="s">
        <v>160</v>
      </c>
      <c r="S128" s="457" t="s">
        <v>160</v>
      </c>
      <c r="T128" s="457" t="s">
        <v>160</v>
      </c>
      <c r="U128" s="457" t="s">
        <v>160</v>
      </c>
      <c r="V128" s="457" t="s">
        <v>160</v>
      </c>
      <c r="W128" s="457" t="s">
        <v>160</v>
      </c>
      <c r="X128" s="457" t="s">
        <v>160</v>
      </c>
      <c r="Y128" s="457" t="s">
        <v>160</v>
      </c>
      <c r="Z128" s="457" t="s">
        <v>160</v>
      </c>
      <c r="AA128" s="457" t="s">
        <v>160</v>
      </c>
      <c r="AB128" s="457" t="s">
        <v>160</v>
      </c>
      <c r="AC128" s="457" t="s">
        <v>160</v>
      </c>
      <c r="AD128" s="457" t="s">
        <v>160</v>
      </c>
      <c r="AE128" s="457" t="s">
        <v>160</v>
      </c>
      <c r="AF128" s="457" t="s">
        <v>160</v>
      </c>
      <c r="AG128" s="457" t="s">
        <v>160</v>
      </c>
      <c r="AH128" s="457" t="s">
        <v>160</v>
      </c>
      <c r="AI128" s="457" t="s">
        <v>160</v>
      </c>
      <c r="AJ128" s="457" t="s">
        <v>160</v>
      </c>
      <c r="AK128" s="457" t="s">
        <v>160</v>
      </c>
      <c r="AL128" s="457" t="s">
        <v>160</v>
      </c>
      <c r="AM128" s="457" t="s">
        <v>160</v>
      </c>
      <c r="AN128" s="457" t="s">
        <v>160</v>
      </c>
      <c r="AO128" s="457" t="s">
        <v>160</v>
      </c>
      <c r="AP128" s="457" t="s">
        <v>160</v>
      </c>
      <c r="AQ128" s="457" t="s">
        <v>160</v>
      </c>
      <c r="AR128" s="457" t="s">
        <v>160</v>
      </c>
      <c r="AS128" s="457" t="s">
        <v>160</v>
      </c>
      <c r="AT128" s="457" t="s">
        <v>160</v>
      </c>
      <c r="AU128" s="1240" t="s">
        <v>160</v>
      </c>
      <c r="AV128" s="458" t="s">
        <v>160</v>
      </c>
      <c r="AW128" s="469">
        <v>1018</v>
      </c>
      <c r="AX128" s="469">
        <v>1202</v>
      </c>
      <c r="AY128" s="469">
        <v>23702</v>
      </c>
      <c r="AZ128" s="469">
        <v>1323</v>
      </c>
      <c r="BA128" s="1136">
        <v>27245.610149999997</v>
      </c>
      <c r="BB128" s="1136">
        <v>46623.930189999999</v>
      </c>
      <c r="BC128" s="1136">
        <v>7163.4615599999979</v>
      </c>
      <c r="BD128" s="1136">
        <v>7163.4615599999979</v>
      </c>
      <c r="BE128" s="1136">
        <v>7163.4615599999979</v>
      </c>
      <c r="BF128" s="1136">
        <v>7163.4615599999979</v>
      </c>
      <c r="BG128" s="1136">
        <v>7163.4615599999979</v>
      </c>
      <c r="BH128" s="1136">
        <v>13742.104499999998</v>
      </c>
      <c r="BI128" s="650">
        <f>SUM(BA128:BH128)</f>
        <v>123428.95263999997</v>
      </c>
      <c r="BJ128" s="944">
        <v>1.3367481898224428E-2</v>
      </c>
      <c r="BK128"/>
      <c r="BL128"/>
      <c r="BM128"/>
    </row>
    <row r="129" spans="1:65" x14ac:dyDescent="0.2">
      <c r="A129" s="1" t="s">
        <v>2285</v>
      </c>
      <c r="B129" s="1" t="s">
        <v>2312</v>
      </c>
      <c r="D129" s="222" t="str">
        <f>IF([1]RENAME!$H$3=1,B129,A129)</f>
        <v>2T26</v>
      </c>
      <c r="E129" s="457" t="s">
        <v>160</v>
      </c>
      <c r="F129" s="457" t="s">
        <v>160</v>
      </c>
      <c r="G129" s="457" t="s">
        <v>160</v>
      </c>
      <c r="H129" s="457" t="s">
        <v>160</v>
      </c>
      <c r="I129" s="457" t="s">
        <v>160</v>
      </c>
      <c r="J129" s="457" t="s">
        <v>160</v>
      </c>
      <c r="K129" s="457" t="s">
        <v>160</v>
      </c>
      <c r="L129" s="457" t="s">
        <v>160</v>
      </c>
      <c r="M129" s="457" t="s">
        <v>160</v>
      </c>
      <c r="N129" s="457" t="s">
        <v>160</v>
      </c>
      <c r="O129" s="457" t="s">
        <v>160</v>
      </c>
      <c r="P129" s="457" t="s">
        <v>160</v>
      </c>
      <c r="Q129" s="457" t="s">
        <v>160</v>
      </c>
      <c r="R129" s="457" t="s">
        <v>160</v>
      </c>
      <c r="S129" s="457" t="s">
        <v>160</v>
      </c>
      <c r="T129" s="457" t="s">
        <v>160</v>
      </c>
      <c r="U129" s="457" t="s">
        <v>160</v>
      </c>
      <c r="V129" s="457" t="s">
        <v>160</v>
      </c>
      <c r="W129" s="457" t="s">
        <v>160</v>
      </c>
      <c r="X129" s="457" t="s">
        <v>160</v>
      </c>
      <c r="Y129" s="457" t="s">
        <v>160</v>
      </c>
      <c r="Z129" s="457" t="s">
        <v>160</v>
      </c>
      <c r="AA129" s="457" t="s">
        <v>160</v>
      </c>
      <c r="AB129" s="457" t="s">
        <v>160</v>
      </c>
      <c r="AC129" s="457" t="s">
        <v>160</v>
      </c>
      <c r="AD129" s="457" t="s">
        <v>160</v>
      </c>
      <c r="AE129" s="457" t="s">
        <v>160</v>
      </c>
      <c r="AF129" s="457" t="s">
        <v>160</v>
      </c>
      <c r="AG129" s="457" t="s">
        <v>160</v>
      </c>
      <c r="AH129" s="457" t="s">
        <v>160</v>
      </c>
      <c r="AI129" s="457" t="s">
        <v>160</v>
      </c>
      <c r="AJ129" s="457" t="s">
        <v>160</v>
      </c>
      <c r="AK129" s="457" t="s">
        <v>160</v>
      </c>
      <c r="AL129" s="457" t="s">
        <v>160</v>
      </c>
      <c r="AM129" s="457" t="s">
        <v>160</v>
      </c>
      <c r="AN129" s="457" t="s">
        <v>160</v>
      </c>
      <c r="AO129" s="457" t="s">
        <v>160</v>
      </c>
      <c r="AP129" s="457" t="s">
        <v>160</v>
      </c>
      <c r="AQ129" s="457" t="s">
        <v>160</v>
      </c>
      <c r="AR129" s="457" t="s">
        <v>160</v>
      </c>
      <c r="AS129" s="457" t="s">
        <v>160</v>
      </c>
      <c r="AT129" s="457" t="s">
        <v>160</v>
      </c>
      <c r="AU129" s="1240" t="s">
        <v>160</v>
      </c>
      <c r="AV129" s="458"/>
      <c r="AW129" s="469"/>
      <c r="AX129" s="469"/>
      <c r="AY129" s="469"/>
      <c r="AZ129" s="469"/>
      <c r="BA129" s="1136">
        <v>26227</v>
      </c>
      <c r="BB129" s="1136">
        <v>49939.845670000002</v>
      </c>
      <c r="BC129" s="1136">
        <v>10479.377039999998</v>
      </c>
      <c r="BD129" s="1136">
        <v>10479.377039999998</v>
      </c>
      <c r="BE129" s="1136">
        <v>10479.377039999998</v>
      </c>
      <c r="BF129" s="1136">
        <v>8821.4192999999977</v>
      </c>
      <c r="BG129" s="1136">
        <v>7163.4615599999979</v>
      </c>
      <c r="BH129" s="1136">
        <v>13742.104499999989</v>
      </c>
      <c r="BI129" s="650">
        <f>SUM(BA129:BH129)</f>
        <v>137331.96214999998</v>
      </c>
      <c r="BJ129" s="944">
        <v>9.4000000000000004E-3</v>
      </c>
      <c r="BK129"/>
      <c r="BL129"/>
      <c r="BM129"/>
    </row>
    <row r="130" spans="1:65" s="926" customFormat="1" x14ac:dyDescent="0.2">
      <c r="A130" s="1" t="s">
        <v>629</v>
      </c>
      <c r="B130" s="1" t="s">
        <v>852</v>
      </c>
      <c r="D130" s="459" t="str">
        <f>IF([1]RENAME!$H$3=1,B130,A130)</f>
        <v>Dívida circulante</v>
      </c>
      <c r="E130" s="459"/>
      <c r="F130" s="459"/>
      <c r="G130" s="459"/>
      <c r="H130" s="459"/>
      <c r="I130" s="459"/>
      <c r="J130" s="459"/>
      <c r="K130" s="459"/>
      <c r="L130" s="459"/>
      <c r="M130" s="459"/>
      <c r="N130" s="459"/>
      <c r="O130" s="459"/>
      <c r="P130" s="459"/>
      <c r="Q130" s="459"/>
      <c r="AC130" s="928"/>
      <c r="AD130" s="928"/>
      <c r="AE130" s="928"/>
      <c r="AF130" s="928"/>
      <c r="AG130" s="928"/>
      <c r="AH130" s="928"/>
      <c r="AI130" s="928"/>
      <c r="AJ130" s="928"/>
      <c r="AR130" s="1021"/>
      <c r="AS130" s="1021"/>
    </row>
    <row r="131" spans="1:65" s="926" customFormat="1" x14ac:dyDescent="0.2">
      <c r="A131" s="1"/>
      <c r="B131" s="1"/>
      <c r="D131" s="459"/>
      <c r="E131" s="459"/>
      <c r="F131" s="459"/>
      <c r="G131" s="459"/>
      <c r="H131" s="459"/>
      <c r="I131" s="459"/>
      <c r="J131" s="459"/>
      <c r="K131" s="459"/>
      <c r="L131" s="459"/>
      <c r="M131" s="459"/>
      <c r="N131" s="459"/>
      <c r="O131" s="459"/>
      <c r="P131" s="459"/>
      <c r="Q131" s="459"/>
      <c r="AC131" s="928"/>
      <c r="AD131" s="928"/>
      <c r="AE131" s="928"/>
      <c r="AF131" s="928"/>
      <c r="AG131" s="928"/>
      <c r="AH131" s="928"/>
      <c r="AI131" s="928"/>
      <c r="AJ131" s="928"/>
      <c r="AR131" s="1021"/>
      <c r="AS131" s="1021"/>
    </row>
    <row r="132" spans="1:65" s="926" customFormat="1" x14ac:dyDescent="0.2">
      <c r="A132" s="1" t="s">
        <v>2014</v>
      </c>
      <c r="B132" s="1" t="s">
        <v>2014</v>
      </c>
      <c r="D132" s="127" t="str">
        <f>IF([1]RENAME!$H$3=1,B132,A132)</f>
        <v>Economic Value Added (EVA)</v>
      </c>
      <c r="E132" s="141" t="str">
        <f t="shared" ref="E132:BJ132" si="70">+E$3</f>
        <v>1T12</v>
      </c>
      <c r="F132" s="141" t="str">
        <f t="shared" si="70"/>
        <v>2T12</v>
      </c>
      <c r="G132" s="141" t="str">
        <f t="shared" si="70"/>
        <v>3T12</v>
      </c>
      <c r="H132" s="141" t="str">
        <f t="shared" si="70"/>
        <v>4T12</v>
      </c>
      <c r="I132" s="141" t="str">
        <f t="shared" si="70"/>
        <v>1T13</v>
      </c>
      <c r="J132" s="141" t="str">
        <f t="shared" si="70"/>
        <v>2T13</v>
      </c>
      <c r="K132" s="141" t="str">
        <f t="shared" si="70"/>
        <v>3T13</v>
      </c>
      <c r="L132" s="141" t="str">
        <f t="shared" si="70"/>
        <v>4T13</v>
      </c>
      <c r="M132" s="141" t="str">
        <f t="shared" si="70"/>
        <v>1T14</v>
      </c>
      <c r="N132" s="141" t="str">
        <f t="shared" si="70"/>
        <v>2T14</v>
      </c>
      <c r="O132" s="141" t="str">
        <f t="shared" si="70"/>
        <v>3T14</v>
      </c>
      <c r="P132" s="141" t="str">
        <f t="shared" si="70"/>
        <v>4T14</v>
      </c>
      <c r="Q132" s="141" t="str">
        <f t="shared" si="70"/>
        <v>1T15</v>
      </c>
      <c r="R132" s="141" t="str">
        <f t="shared" si="70"/>
        <v>2T15</v>
      </c>
      <c r="S132" s="141" t="str">
        <f t="shared" si="70"/>
        <v>3T15</v>
      </c>
      <c r="T132" s="141" t="str">
        <f t="shared" si="70"/>
        <v>4T15</v>
      </c>
      <c r="U132" s="141" t="str">
        <f t="shared" si="70"/>
        <v>1T16</v>
      </c>
      <c r="V132" s="141" t="str">
        <f t="shared" si="70"/>
        <v>2T16</v>
      </c>
      <c r="W132" s="141" t="str">
        <f t="shared" si="70"/>
        <v>3T16</v>
      </c>
      <c r="X132" s="141" t="str">
        <f t="shared" si="70"/>
        <v>4T16</v>
      </c>
      <c r="Y132" s="141" t="str">
        <f t="shared" si="70"/>
        <v>1T17</v>
      </c>
      <c r="Z132" s="141" t="str">
        <f t="shared" si="70"/>
        <v>2T17</v>
      </c>
      <c r="AA132" s="141" t="str">
        <f t="shared" si="70"/>
        <v>3T17</v>
      </c>
      <c r="AB132" s="141" t="str">
        <f t="shared" si="70"/>
        <v>4T17</v>
      </c>
      <c r="AC132" s="141" t="str">
        <f t="shared" si="70"/>
        <v>1T18</v>
      </c>
      <c r="AD132" s="141" t="str">
        <f t="shared" si="70"/>
        <v>2T18</v>
      </c>
      <c r="AE132" s="141" t="str">
        <f t="shared" si="70"/>
        <v>3T18</v>
      </c>
      <c r="AF132" s="141" t="str">
        <f t="shared" si="70"/>
        <v>4T18</v>
      </c>
      <c r="AG132" s="141" t="str">
        <f t="shared" si="70"/>
        <v>1T19</v>
      </c>
      <c r="AH132" s="141" t="str">
        <f t="shared" si="70"/>
        <v>2T19</v>
      </c>
      <c r="AI132" s="141" t="str">
        <f t="shared" si="70"/>
        <v>3T19</v>
      </c>
      <c r="AJ132" s="141" t="str">
        <f t="shared" si="70"/>
        <v>4T19</v>
      </c>
      <c r="AK132" s="141" t="str">
        <f t="shared" si="70"/>
        <v>1T20</v>
      </c>
      <c r="AL132" s="141" t="str">
        <f t="shared" si="70"/>
        <v>2T20</v>
      </c>
      <c r="AM132" s="141" t="str">
        <f t="shared" si="70"/>
        <v>3T20</v>
      </c>
      <c r="AN132" s="141" t="str">
        <f t="shared" si="70"/>
        <v>4T20</v>
      </c>
      <c r="AO132" s="141" t="str">
        <f t="shared" si="70"/>
        <v>1T21</v>
      </c>
      <c r="AP132" s="141" t="str">
        <f t="shared" si="70"/>
        <v>2T21</v>
      </c>
      <c r="AQ132" s="141" t="str">
        <f t="shared" si="70"/>
        <v>3T21</v>
      </c>
      <c r="AR132" s="141" t="str">
        <f t="shared" si="70"/>
        <v>4T21</v>
      </c>
      <c r="AS132" s="141" t="str">
        <f t="shared" si="70"/>
        <v>1T22</v>
      </c>
      <c r="AT132" s="141" t="str">
        <f t="shared" si="70"/>
        <v>2T22</v>
      </c>
      <c r="AU132" s="141" t="str">
        <f t="shared" si="70"/>
        <v>3T22</v>
      </c>
      <c r="AV132" s="141" t="str">
        <f t="shared" si="70"/>
        <v>4T22</v>
      </c>
      <c r="AW132" s="141" t="str">
        <f t="shared" si="70"/>
        <v>1T23</v>
      </c>
      <c r="AX132" s="141" t="str">
        <f t="shared" si="70"/>
        <v>2T23</v>
      </c>
      <c r="AY132" s="141" t="str">
        <f t="shared" si="70"/>
        <v>3T23</v>
      </c>
      <c r="AZ132" s="141" t="str">
        <f t="shared" si="70"/>
        <v>4T23</v>
      </c>
      <c r="BA132" s="141" t="str">
        <f t="shared" si="70"/>
        <v>1T24</v>
      </c>
      <c r="BB132" s="141" t="str">
        <f t="shared" si="70"/>
        <v>2T24</v>
      </c>
      <c r="BC132" s="141" t="str">
        <f t="shared" si="70"/>
        <v>3T24</v>
      </c>
      <c r="BD132" s="141" t="str">
        <f t="shared" si="70"/>
        <v>4T24</v>
      </c>
      <c r="BE132" s="141" t="str">
        <f t="shared" si="70"/>
        <v>1T25</v>
      </c>
      <c r="BF132" s="141" t="str">
        <f t="shared" si="70"/>
        <v>2T25</v>
      </c>
      <c r="BG132" s="141" t="str">
        <f t="shared" si="70"/>
        <v>3T25</v>
      </c>
      <c r="BH132" s="141" t="str">
        <f t="shared" si="70"/>
        <v>4T25</v>
      </c>
      <c r="BI132" s="141" t="str">
        <f t="shared" si="70"/>
        <v>1T26</v>
      </c>
      <c r="BJ132" s="141" t="str">
        <f t="shared" si="70"/>
        <v>2T26</v>
      </c>
    </row>
    <row r="133" spans="1:65" s="926" customFormat="1" x14ac:dyDescent="0.2">
      <c r="A133" s="1" t="s">
        <v>2015</v>
      </c>
      <c r="B133" s="1" t="s">
        <v>2018</v>
      </c>
      <c r="D133" s="619" t="str">
        <f>IF([1]RENAME!$H$3=1,B133,A133)</f>
        <v>NOPAT (soma 4 trimestres)</v>
      </c>
      <c r="E133" s="121">
        <f t="shared" ref="E133:AJ133" si="71">E27</f>
        <v>0</v>
      </c>
      <c r="F133" s="121">
        <f t="shared" si="71"/>
        <v>0</v>
      </c>
      <c r="G133" s="121">
        <f t="shared" si="71"/>
        <v>0</v>
      </c>
      <c r="H133" s="121">
        <f t="shared" si="71"/>
        <v>0</v>
      </c>
      <c r="I133" s="121">
        <f t="shared" si="71"/>
        <v>87.551639999999992</v>
      </c>
      <c r="J133" s="121">
        <f t="shared" si="71"/>
        <v>83.31113999999998</v>
      </c>
      <c r="K133" s="121">
        <f t="shared" si="71"/>
        <v>77.612700000000004</v>
      </c>
      <c r="L133" s="121">
        <f t="shared" si="71"/>
        <v>73.092359999999985</v>
      </c>
      <c r="M133" s="121">
        <f t="shared" si="71"/>
        <v>73.423019999999994</v>
      </c>
      <c r="N133" s="121">
        <f t="shared" si="71"/>
        <v>73.507499999999979</v>
      </c>
      <c r="O133" s="121">
        <f t="shared" si="71"/>
        <v>70.394279999999981</v>
      </c>
      <c r="P133" s="121">
        <f t="shared" si="71"/>
        <v>85.672619999999995</v>
      </c>
      <c r="Q133" s="121">
        <f t="shared" si="71"/>
        <v>90.095279999999974</v>
      </c>
      <c r="R133" s="121">
        <f t="shared" si="71"/>
        <v>74.806379999999947</v>
      </c>
      <c r="S133" s="121">
        <f t="shared" si="71"/>
        <v>61.772690766599922</v>
      </c>
      <c r="T133" s="121">
        <f t="shared" si="71"/>
        <v>27.894110448599903</v>
      </c>
      <c r="U133" s="121">
        <f t="shared" si="71"/>
        <v>20.944597225199935</v>
      </c>
      <c r="V133" s="121">
        <f t="shared" si="71"/>
        <v>21.603436370999962</v>
      </c>
      <c r="W133" s="121">
        <f t="shared" si="71"/>
        <v>23.076146425199983</v>
      </c>
      <c r="X133" s="121">
        <f t="shared" si="71"/>
        <v>38.851514083800019</v>
      </c>
      <c r="Y133" s="121">
        <f t="shared" si="71"/>
        <v>43.376547475799995</v>
      </c>
      <c r="Z133" s="121">
        <f t="shared" si="71"/>
        <v>46.985338553999959</v>
      </c>
      <c r="AA133" s="121">
        <f t="shared" si="71"/>
        <v>53.469496139400007</v>
      </c>
      <c r="AB133" s="121">
        <f t="shared" si="71"/>
        <v>72.251454481799954</v>
      </c>
      <c r="AC133" s="121">
        <f t="shared" si="71"/>
        <v>77.65219994399996</v>
      </c>
      <c r="AD133" s="121">
        <f t="shared" si="71"/>
        <v>92.921281714799932</v>
      </c>
      <c r="AE133" s="121">
        <f t="shared" si="71"/>
        <v>104.63650094039987</v>
      </c>
      <c r="AF133" s="121">
        <f t="shared" si="71"/>
        <v>101.00922138779993</v>
      </c>
      <c r="AG133" s="121">
        <f t="shared" si="71"/>
        <v>112.94308180319992</v>
      </c>
      <c r="AH133" s="121">
        <f t="shared" si="71"/>
        <v>119.25605507639999</v>
      </c>
      <c r="AI133" s="121">
        <f t="shared" si="71"/>
        <v>155.15342575920013</v>
      </c>
      <c r="AJ133" s="121">
        <f t="shared" si="71"/>
        <v>158.14545451980013</v>
      </c>
      <c r="AK133" s="121">
        <f t="shared" ref="AK133:BC133" si="72">AK27</f>
        <v>148.98818916960008</v>
      </c>
      <c r="AL133" s="121">
        <f t="shared" si="72"/>
        <v>112.69500509520005</v>
      </c>
      <c r="AM133" s="121">
        <f t="shared" si="72"/>
        <v>74.439846175199946</v>
      </c>
      <c r="AN133" s="121">
        <f t="shared" si="72"/>
        <v>65.955643789199968</v>
      </c>
      <c r="AO133" s="121">
        <f t="shared" si="72"/>
        <v>68.253609586799953</v>
      </c>
      <c r="AP133" s="121">
        <f t="shared" si="72"/>
        <v>92.939059811399943</v>
      </c>
      <c r="AQ133" s="121">
        <f t="shared" si="72"/>
        <v>80.804265616799952</v>
      </c>
      <c r="AR133" s="121">
        <f t="shared" si="72"/>
        <v>77.989585621199907</v>
      </c>
      <c r="AS133" s="121">
        <f t="shared" si="72"/>
        <v>72.29344714019993</v>
      </c>
      <c r="AT133" s="121">
        <f t="shared" si="72"/>
        <v>77.073679016399893</v>
      </c>
      <c r="AU133" s="121">
        <f t="shared" si="72"/>
        <v>106.77793911179991</v>
      </c>
      <c r="AV133" s="121">
        <f t="shared" si="72"/>
        <v>125.80228589939992</v>
      </c>
      <c r="AW133" s="121">
        <f t="shared" si="72"/>
        <v>138.10310451959981</v>
      </c>
      <c r="AX133" s="121">
        <f t="shared" si="72"/>
        <v>144.15103251119996</v>
      </c>
      <c r="AY133" s="121">
        <f t="shared" si="72"/>
        <v>141.99605980560003</v>
      </c>
      <c r="AZ133" s="121">
        <f t="shared" si="72"/>
        <v>138.78692293620017</v>
      </c>
      <c r="BA133" s="121">
        <f t="shared" si="72"/>
        <v>141.58626548880017</v>
      </c>
      <c r="BB133" s="121">
        <f t="shared" si="72"/>
        <v>159.15413270460004</v>
      </c>
      <c r="BC133" s="121">
        <f t="shared" si="72"/>
        <v>189.68530963140009</v>
      </c>
      <c r="BD133" s="121">
        <f t="shared" ref="BD133:BJ133" si="73">BD27</f>
        <v>224.02333969619986</v>
      </c>
      <c r="BE133" s="121">
        <f t="shared" si="73"/>
        <v>230.20982073539994</v>
      </c>
      <c r="BF133" s="121">
        <f t="shared" si="73"/>
        <v>235.75639936199974</v>
      </c>
      <c r="BG133" s="121">
        <f t="shared" si="73"/>
        <v>228.83475308759969</v>
      </c>
      <c r="BH133" s="121">
        <f t="shared" si="73"/>
        <v>198.04822854299968</v>
      </c>
      <c r="BI133" s="121">
        <f t="shared" si="73"/>
        <v>200.46270878699983</v>
      </c>
      <c r="BJ133" s="121">
        <f t="shared" si="73"/>
        <v>223.0431658157998</v>
      </c>
    </row>
    <row r="134" spans="1:65" s="926" customFormat="1" x14ac:dyDescent="0.2">
      <c r="A134" s="1" t="s">
        <v>2016</v>
      </c>
      <c r="B134" s="1" t="s">
        <v>2019</v>
      </c>
      <c r="D134" s="620" t="str">
        <f>IF([1]RENAME!$H$3=1,B134,A134)</f>
        <v>(-) Eventos não recorrentes</v>
      </c>
      <c r="E134" s="877">
        <f>SUM(Consolidado!B15:E24)/1000*(1-34%)</f>
        <v>0</v>
      </c>
      <c r="F134" s="877">
        <f>SUM(Consolidado!C15:F24)/1000*(1-34%)</f>
        <v>0</v>
      </c>
      <c r="G134" s="877">
        <f>SUM(Consolidado!D15:G24)/1000*(1-34%)</f>
        <v>0</v>
      </c>
      <c r="H134" s="877">
        <f>SUM(Consolidado!E15:H24)/1000*(1-34%)</f>
        <v>0</v>
      </c>
      <c r="I134" s="877">
        <f>SUM(Consolidado!F15:I24)/1000*(1-34%)</f>
        <v>0</v>
      </c>
      <c r="J134" s="877">
        <f>SUM(Consolidado!G15:J24)/1000*(1-34%)</f>
        <v>0</v>
      </c>
      <c r="K134" s="877">
        <f>SUM(Consolidado!H15:K24)/1000*(1-34%)</f>
        <v>0</v>
      </c>
      <c r="L134" s="877">
        <f>SUM(Consolidado!I15:L24)/1000*(1-34%)</f>
        <v>0</v>
      </c>
      <c r="M134" s="877">
        <f>SUM(Consolidado!J15:M24)/1000*(1-34%)</f>
        <v>5.6779799999999989</v>
      </c>
      <c r="N134" s="877">
        <f>SUM(Consolidado!K15:N24)/1000*(1-34%)</f>
        <v>5.6779799999999989</v>
      </c>
      <c r="O134" s="877">
        <f>SUM(Consolidado!L15:O24)/1000*(1-34%)</f>
        <v>5.6779799999999989</v>
      </c>
      <c r="P134" s="877">
        <f>SUM(Consolidado!M15:P24)/1000*(1-34%)</f>
        <v>5.6779799999999989</v>
      </c>
      <c r="Q134" s="877">
        <f>SUM(Consolidado!N15:Q24)/1000*(1-34%)</f>
        <v>0</v>
      </c>
      <c r="R134" s="877">
        <f>SUM(Consolidado!O15:R24)/1000*(1-34%)</f>
        <v>0</v>
      </c>
      <c r="S134" s="877">
        <f>SUM(Consolidado!P15:S24)/1000*(1-34%)</f>
        <v>0</v>
      </c>
      <c r="T134" s="877">
        <f>SUM(Consolidado!Q15:T24)/1000*(1-34%)</f>
        <v>4.4201312627999991</v>
      </c>
      <c r="U134" s="877">
        <f>SUM(Consolidado!R15:U24)/1000*(1-34%)</f>
        <v>4.4201312627999991</v>
      </c>
      <c r="V134" s="877">
        <f>SUM(Consolidado!S15:V24)/1000*(1-34%)</f>
        <v>4.4201312627999991</v>
      </c>
      <c r="W134" s="877">
        <f>SUM(Consolidado!T15:W24)/1000*(1-34%)</f>
        <v>4.4201312627999991</v>
      </c>
      <c r="X134" s="877">
        <f>SUM(Consolidado!U15:X24)/1000*(1-34%)</f>
        <v>0</v>
      </c>
      <c r="Y134" s="877">
        <f>SUM(Consolidado!V15:Y24)/1000*(1-34%)</f>
        <v>0</v>
      </c>
      <c r="Z134" s="877">
        <f>SUM(Consolidado!W15:Z24)/1000*(1-34%)</f>
        <v>9.8999999999999986</v>
      </c>
      <c r="AA134" s="877">
        <f>SUM(Consolidado!X15:AA24)/1000*(1-34%)</f>
        <v>13.683779999999999</v>
      </c>
      <c r="AB134" s="877">
        <f>SUM(Consolidado!Y15:AB24)/1000*(1-34%)</f>
        <v>-1.8258270425999645</v>
      </c>
      <c r="AC134" s="877">
        <f>SUM(Consolidado!Z15:AC24)/1000*(1-34%)</f>
        <v>-1.8258270425999645</v>
      </c>
      <c r="AD134" s="877">
        <f>SUM(Consolidado!AA15:AD24)/1000*(1-34%)</f>
        <v>-11.725827042599963</v>
      </c>
      <c r="AE134" s="877">
        <f>SUM(Consolidado!AB15:AE24)/1000*(1-34%)</f>
        <v>-12.043445488799964</v>
      </c>
      <c r="AF134" s="877">
        <f>SUM(Consolidado!AC15:AF24)/1000*(1-34%)</f>
        <v>11.967647523121949</v>
      </c>
      <c r="AG134" s="877">
        <f>SUM(Consolidado!AD15:AG24)/1000*(1-34%)</f>
        <v>11.967647523121949</v>
      </c>
      <c r="AH134" s="877">
        <f>SUM(Consolidado!AE15:AH24)/1000*(1-34%)</f>
        <v>11.967647523121949</v>
      </c>
      <c r="AI134" s="877">
        <f>SUM(Consolidado!AF15:AI24)/1000*(1-34%)</f>
        <v>-24.756867196078041</v>
      </c>
      <c r="AJ134" s="877">
        <f>SUM(Consolidado!AG15:AJ24)/1000*(1-34%)</f>
        <v>-31.770713165399993</v>
      </c>
      <c r="AK134" s="877">
        <f>SUM(Consolidado!AH15:AK24)/1000*(1-34%)</f>
        <v>-29.581493165399994</v>
      </c>
      <c r="AL134" s="877">
        <f>SUM(Consolidado!AI15:AL24)/1000*(1-34%)</f>
        <v>-29.581493165399994</v>
      </c>
      <c r="AM134" s="877">
        <f>SUM(Consolidado!AJ15:AM24)/1000*(1-34%)</f>
        <v>3.6768599999999996</v>
      </c>
      <c r="AN134" s="877">
        <f>SUM(Consolidado!AK15:AN24)/1000*(1-34%)</f>
        <v>5.6345995200000001</v>
      </c>
      <c r="AO134" s="877">
        <f>SUM(Consolidado!AL15:AO24)/1000*(1-34%)</f>
        <v>3.4453795199999995</v>
      </c>
      <c r="AP134" s="877">
        <f>SUM(Consolidado!AM15:AP24)/1000*(1-34%)</f>
        <v>-0.33821158139999991</v>
      </c>
      <c r="AQ134" s="877">
        <f>SUM(Consolidado!AN15:AQ24)/1000*(1-34%)</f>
        <v>0.42672841860000005</v>
      </c>
      <c r="AR134" s="877">
        <f>SUM(Consolidado!AO15:AR24)/1000*(1-34%)</f>
        <v>-4.7287111013999992</v>
      </c>
      <c r="AS134" s="877">
        <f>SUM(Consolidado!AP15:AS24)/1000*(1-34%)</f>
        <v>-4.7287111013999992</v>
      </c>
      <c r="AT134" s="877">
        <f>SUM(Consolidado!AQ15:AT24)/1000*(1-34%)</f>
        <v>-0.94511999999999985</v>
      </c>
      <c r="AU134" s="877">
        <f>SUM(Consolidado!AR15:AU24)/1000*(1-34%)</f>
        <v>2.6756531999999997</v>
      </c>
      <c r="AV134" s="877">
        <f>SUM(Consolidado!AS15:AV24)/1000*(1-34%)</f>
        <v>0.78292317975124348</v>
      </c>
      <c r="AW134" s="877">
        <f>SUM(Consolidado!AT15:AW24)/1000*(1-34%)</f>
        <v>0.78292317975124348</v>
      </c>
      <c r="AX134" s="877">
        <f>SUM(Consolidado!AU15:AX24)/1000*(1-34%)</f>
        <v>0.78292317975124348</v>
      </c>
      <c r="AY134" s="877">
        <f>SUM(Consolidado!AV15:AY24)/1000*(1-34%)</f>
        <v>-3.6027900202487566</v>
      </c>
      <c r="AZ134" s="877">
        <f>SUM(Consolidado!AW15:AZ24)/1000*(1-34%)</f>
        <v>0</v>
      </c>
      <c r="BA134" s="877">
        <f>SUM(Consolidado!AX15:BF24)/1000*(1-34%)</f>
        <v>0</v>
      </c>
      <c r="BB134" s="877">
        <f>SUM(Consolidado!AY15:BK24)/1000*(1-34%)</f>
        <v>4.7592599999999994</v>
      </c>
      <c r="BC134" s="877">
        <f>SUM(Consolidado!AZ15:BL24)/1000*(1-34%)</f>
        <v>4.7592599999999994</v>
      </c>
      <c r="BD134" s="877">
        <f>SUM(Consolidado!BA15:BM24)/1000*(1-34%)</f>
        <v>4.7592599999999994</v>
      </c>
      <c r="BE134" s="877">
        <f>SUM(Consolidado!BB15:BN24)/1000*(1-34%)</f>
        <v>4.7592599999999994</v>
      </c>
      <c r="BF134" s="877">
        <f>SUM(Consolidado!BC15:BO24)/1000*(1-34%)</f>
        <v>4.7592599999999994</v>
      </c>
      <c r="BG134" s="877">
        <f>SUM(Consolidado!BD15:BP24)/1000*(1-34%)</f>
        <v>4.7592599999999994</v>
      </c>
      <c r="BH134" s="877">
        <f>SUM(Consolidado!BE15:BQ24)/1000*(1-34%)</f>
        <v>4.7592599999999994</v>
      </c>
      <c r="BI134" s="877">
        <f>SUM(Consolidado!BF15:BR24)/1000*(1-34%)</f>
        <v>4.7592599999999994</v>
      </c>
      <c r="BJ134" s="877">
        <f>SUM(Consolidado!BG15:BS24)/1000*(1-34%)</f>
        <v>4.7592599999999994</v>
      </c>
    </row>
    <row r="135" spans="1:65" s="926" customFormat="1" x14ac:dyDescent="0.2">
      <c r="A135" s="1" t="s">
        <v>2017</v>
      </c>
      <c r="B135" s="1" t="s">
        <v>2020</v>
      </c>
      <c r="D135" s="619" t="str">
        <f>IF([1]RENAME!$H$3=1,B135,A135)</f>
        <v>(=) NOPAT Ajustado (soma 4 trimestres) (A)</v>
      </c>
      <c r="E135" s="121">
        <f t="shared" ref="E135:AU135" si="74">SUM(E133:E134)</f>
        <v>0</v>
      </c>
      <c r="F135" s="121">
        <f t="shared" si="74"/>
        <v>0</v>
      </c>
      <c r="G135" s="121">
        <f t="shared" si="74"/>
        <v>0</v>
      </c>
      <c r="H135" s="121">
        <f t="shared" si="74"/>
        <v>0</v>
      </c>
      <c r="I135" s="121">
        <f t="shared" si="74"/>
        <v>87.551639999999992</v>
      </c>
      <c r="J135" s="121">
        <f t="shared" si="74"/>
        <v>83.31113999999998</v>
      </c>
      <c r="K135" s="121">
        <f t="shared" si="74"/>
        <v>77.612700000000004</v>
      </c>
      <c r="L135" s="121">
        <f t="shared" si="74"/>
        <v>73.092359999999985</v>
      </c>
      <c r="M135" s="121">
        <f t="shared" si="74"/>
        <v>79.100999999999999</v>
      </c>
      <c r="N135" s="121">
        <f t="shared" si="74"/>
        <v>79.185479999999984</v>
      </c>
      <c r="O135" s="121">
        <f t="shared" si="74"/>
        <v>76.072259999999986</v>
      </c>
      <c r="P135" s="121">
        <f t="shared" si="74"/>
        <v>91.3506</v>
      </c>
      <c r="Q135" s="121">
        <f t="shared" si="74"/>
        <v>90.095279999999974</v>
      </c>
      <c r="R135" s="121">
        <f t="shared" si="74"/>
        <v>74.806379999999947</v>
      </c>
      <c r="S135" s="121">
        <f t="shared" si="74"/>
        <v>61.772690766599922</v>
      </c>
      <c r="T135" s="121">
        <f t="shared" si="74"/>
        <v>32.314241711399902</v>
      </c>
      <c r="U135" s="121">
        <f t="shared" si="74"/>
        <v>25.364728487999933</v>
      </c>
      <c r="V135" s="121">
        <f t="shared" si="74"/>
        <v>26.02356763379996</v>
      </c>
      <c r="W135" s="121">
        <f t="shared" si="74"/>
        <v>27.496277687999982</v>
      </c>
      <c r="X135" s="121">
        <f t="shared" si="74"/>
        <v>38.851514083800019</v>
      </c>
      <c r="Y135" s="121">
        <f t="shared" si="74"/>
        <v>43.376547475799995</v>
      </c>
      <c r="Z135" s="121">
        <f t="shared" si="74"/>
        <v>56.885338553999958</v>
      </c>
      <c r="AA135" s="121">
        <f t="shared" si="74"/>
        <v>67.153276139400006</v>
      </c>
      <c r="AB135" s="121">
        <f t="shared" si="74"/>
        <v>70.425627439199985</v>
      </c>
      <c r="AC135" s="121">
        <f t="shared" si="74"/>
        <v>75.826372901399992</v>
      </c>
      <c r="AD135" s="121">
        <f t="shared" si="74"/>
        <v>81.195454672199972</v>
      </c>
      <c r="AE135" s="121">
        <f t="shared" si="74"/>
        <v>92.593055451599909</v>
      </c>
      <c r="AF135" s="121">
        <f t="shared" si="74"/>
        <v>112.97686891092188</v>
      </c>
      <c r="AG135" s="121">
        <f t="shared" si="74"/>
        <v>124.91072932632187</v>
      </c>
      <c r="AH135" s="121">
        <f t="shared" si="74"/>
        <v>131.22370259952194</v>
      </c>
      <c r="AI135" s="121">
        <f t="shared" si="74"/>
        <v>130.39655856312208</v>
      </c>
      <c r="AJ135" s="121">
        <f t="shared" si="74"/>
        <v>126.37474135440013</v>
      </c>
      <c r="AK135" s="121">
        <f t="shared" si="74"/>
        <v>119.40669600420009</v>
      </c>
      <c r="AL135" s="121">
        <f t="shared" si="74"/>
        <v>83.113511929800055</v>
      </c>
      <c r="AM135" s="121">
        <f t="shared" si="74"/>
        <v>78.116706175199951</v>
      </c>
      <c r="AN135" s="121">
        <f t="shared" si="74"/>
        <v>71.590243309199963</v>
      </c>
      <c r="AO135" s="121">
        <f t="shared" si="74"/>
        <v>71.698989106799957</v>
      </c>
      <c r="AP135" s="121">
        <f t="shared" si="74"/>
        <v>92.60084822999994</v>
      </c>
      <c r="AQ135" s="121">
        <f t="shared" si="74"/>
        <v>81.230994035399959</v>
      </c>
      <c r="AR135" s="121">
        <f t="shared" si="74"/>
        <v>73.260874519799913</v>
      </c>
      <c r="AS135" s="121">
        <f t="shared" si="74"/>
        <v>67.564736038799936</v>
      </c>
      <c r="AT135" s="121">
        <f t="shared" si="74"/>
        <v>76.12855901639989</v>
      </c>
      <c r="AU135" s="121">
        <f t="shared" si="74"/>
        <v>109.45359231179991</v>
      </c>
      <c r="AV135" s="121">
        <f t="shared" ref="AV135:BA135" si="75">SUM(AV133:AV134)</f>
        <v>126.58520907915116</v>
      </c>
      <c r="AW135" s="121">
        <f t="shared" si="75"/>
        <v>138.88602769935105</v>
      </c>
      <c r="AX135" s="121">
        <f t="shared" si="75"/>
        <v>144.93395569095119</v>
      </c>
      <c r="AY135" s="121">
        <f t="shared" si="75"/>
        <v>138.39326978535126</v>
      </c>
      <c r="AZ135" s="121">
        <f t="shared" si="75"/>
        <v>138.78692293620017</v>
      </c>
      <c r="BA135" s="121">
        <f t="shared" si="75"/>
        <v>141.58626548880017</v>
      </c>
      <c r="BB135" s="121">
        <f t="shared" ref="BB135:BH135" si="76">SUM(BB133:BB134)</f>
        <v>163.91339270460006</v>
      </c>
      <c r="BC135" s="121">
        <f t="shared" si="76"/>
        <v>194.4445696314001</v>
      </c>
      <c r="BD135" s="121">
        <f t="shared" si="76"/>
        <v>228.78259969619987</v>
      </c>
      <c r="BE135" s="121">
        <f t="shared" si="76"/>
        <v>234.96908073539996</v>
      </c>
      <c r="BF135" s="121">
        <f t="shared" si="76"/>
        <v>240.51565936199975</v>
      </c>
      <c r="BG135" s="121">
        <f t="shared" si="76"/>
        <v>233.59401308759971</v>
      </c>
      <c r="BH135" s="121">
        <f t="shared" si="76"/>
        <v>202.80748854299969</v>
      </c>
      <c r="BI135" s="121">
        <f>SUM(BI133:BI134)</f>
        <v>205.22196878699984</v>
      </c>
      <c r="BJ135" s="121">
        <f>SUM(BJ133:BJ134)</f>
        <v>227.80242581579981</v>
      </c>
    </row>
    <row r="136" spans="1:65" s="926" customFormat="1" x14ac:dyDescent="0.2">
      <c r="A136" s="1" t="s">
        <v>2025</v>
      </c>
      <c r="B136" s="1" t="s">
        <v>2026</v>
      </c>
      <c r="D136" s="619" t="str">
        <f>IF([1]RENAME!$H$3=1,B136,A136)</f>
        <v>(=) Capital empregado (média 4 trimestres) (B)</v>
      </c>
      <c r="E136" s="121">
        <f t="shared" ref="E136:AU136" si="77">E137+E138-E139</f>
        <v>0</v>
      </c>
      <c r="F136" s="121">
        <f t="shared" si="77"/>
        <v>0</v>
      </c>
      <c r="G136" s="121">
        <f t="shared" si="77"/>
        <v>0</v>
      </c>
      <c r="H136" s="121">
        <f t="shared" si="77"/>
        <v>0</v>
      </c>
      <c r="I136" s="121">
        <f t="shared" si="77"/>
        <v>483.69200000000001</v>
      </c>
      <c r="J136" s="121">
        <f t="shared" si="77"/>
        <v>499.10599999999999</v>
      </c>
      <c r="K136" s="121">
        <f t="shared" si="77"/>
        <v>514.66250000000002</v>
      </c>
      <c r="L136" s="121">
        <f t="shared" si="77"/>
        <v>520.1690000000001</v>
      </c>
      <c r="M136" s="121">
        <f t="shared" si="77"/>
        <v>524.31124999999997</v>
      </c>
      <c r="N136" s="121">
        <f t="shared" si="77"/>
        <v>503.66325000000006</v>
      </c>
      <c r="O136" s="121">
        <f t="shared" si="77"/>
        <v>491.84750000000008</v>
      </c>
      <c r="P136" s="121">
        <f t="shared" si="77"/>
        <v>478.30574999999999</v>
      </c>
      <c r="Q136" s="121">
        <f t="shared" si="77"/>
        <v>447.45925000000011</v>
      </c>
      <c r="R136" s="121">
        <f t="shared" si="77"/>
        <v>445.24125000000004</v>
      </c>
      <c r="S136" s="121">
        <f t="shared" si="77"/>
        <v>414.31200000000001</v>
      </c>
      <c r="T136" s="121">
        <f t="shared" si="77"/>
        <v>386.26925000000006</v>
      </c>
      <c r="U136" s="121">
        <f t="shared" si="77"/>
        <v>365.87800000000004</v>
      </c>
      <c r="V136" s="121">
        <f t="shared" si="77"/>
        <v>336.21974999999998</v>
      </c>
      <c r="W136" s="121">
        <f t="shared" si="77"/>
        <v>320.70000000000005</v>
      </c>
      <c r="X136" s="121">
        <f t="shared" si="77"/>
        <v>310.29875000000004</v>
      </c>
      <c r="Y136" s="121">
        <f t="shared" si="77"/>
        <v>311.30200000000002</v>
      </c>
      <c r="Z136" s="121">
        <f t="shared" si="77"/>
        <v>313.00889967750004</v>
      </c>
      <c r="AA136" s="121">
        <f t="shared" si="77"/>
        <v>315.74179935500001</v>
      </c>
      <c r="AB136" s="121">
        <f t="shared" si="77"/>
        <v>328.37104935499997</v>
      </c>
      <c r="AC136" s="121">
        <f t="shared" si="77"/>
        <v>329.05529935499999</v>
      </c>
      <c r="AD136" s="121">
        <f t="shared" si="77"/>
        <v>330.96114967749998</v>
      </c>
      <c r="AE136" s="121">
        <f t="shared" si="77"/>
        <v>340.19150000000002</v>
      </c>
      <c r="AF136" s="121">
        <f t="shared" si="77"/>
        <v>349.94024999999999</v>
      </c>
      <c r="AG136" s="121">
        <f t="shared" si="77"/>
        <v>367.67149999999992</v>
      </c>
      <c r="AH136" s="121">
        <f t="shared" si="77"/>
        <v>380.60200000000009</v>
      </c>
      <c r="AI136" s="121">
        <f t="shared" si="77"/>
        <v>404.61599999999999</v>
      </c>
      <c r="AJ136" s="121">
        <f t="shared" si="77"/>
        <v>426.05324999999993</v>
      </c>
      <c r="AK136" s="121">
        <f t="shared" si="77"/>
        <v>440.29649999999992</v>
      </c>
      <c r="AL136" s="121">
        <f t="shared" si="77"/>
        <v>435.2639999999999</v>
      </c>
      <c r="AM136" s="121">
        <f t="shared" si="77"/>
        <v>425.23149999999998</v>
      </c>
      <c r="AN136" s="121">
        <f t="shared" si="77"/>
        <v>403.46199999999999</v>
      </c>
      <c r="AO136" s="121">
        <f t="shared" si="77"/>
        <v>386.43224999999995</v>
      </c>
      <c r="AP136" s="121">
        <f t="shared" si="77"/>
        <v>395.62124999999992</v>
      </c>
      <c r="AQ136" s="121">
        <f t="shared" si="77"/>
        <v>397.94425000000001</v>
      </c>
      <c r="AR136" s="121">
        <f t="shared" si="77"/>
        <v>424.04549999999995</v>
      </c>
      <c r="AS136" s="121">
        <f t="shared" si="77"/>
        <v>442.44475</v>
      </c>
      <c r="AT136" s="121">
        <f t="shared" si="77"/>
        <v>465.42549999999994</v>
      </c>
      <c r="AU136" s="121">
        <f t="shared" si="77"/>
        <v>488.09550000000002</v>
      </c>
      <c r="AV136" s="121">
        <f t="shared" ref="AV136:BA136" si="78">AV137+AV138-AV139</f>
        <v>491.88</v>
      </c>
      <c r="AW136" s="121">
        <f t="shared" si="78"/>
        <v>502.12350000000004</v>
      </c>
      <c r="AX136" s="121">
        <f t="shared" si="78"/>
        <v>501.85099999999989</v>
      </c>
      <c r="AY136" s="121">
        <f t="shared" si="78"/>
        <v>499.63599999999985</v>
      </c>
      <c r="AZ136" s="121">
        <f t="shared" si="78"/>
        <v>506.28599999999994</v>
      </c>
      <c r="BA136" s="121">
        <f t="shared" si="78"/>
        <v>513.96399999999994</v>
      </c>
      <c r="BB136" s="121">
        <f t="shared" ref="BB136:BH136" si="79">BB137+BB138-BB139</f>
        <v>528.01974999999993</v>
      </c>
      <c r="BC136" s="121">
        <f t="shared" si="79"/>
        <v>547.23249999999996</v>
      </c>
      <c r="BD136" s="121">
        <f t="shared" si="79"/>
        <v>567.6925</v>
      </c>
      <c r="BE136" s="121">
        <f t="shared" si="79"/>
        <v>581.78174999999999</v>
      </c>
      <c r="BF136" s="121">
        <f t="shared" si="79"/>
        <v>601.53740000000005</v>
      </c>
      <c r="BG136" s="121">
        <f t="shared" si="79"/>
        <v>612.74800000000005</v>
      </c>
      <c r="BH136" s="121">
        <f t="shared" si="79"/>
        <v>633.67675000000008</v>
      </c>
      <c r="BI136" s="121">
        <f>BI137+BI138-BI139</f>
        <v>670.55484999999999</v>
      </c>
      <c r="BJ136" s="121">
        <f>BJ137+BJ138-BJ139</f>
        <v>701.72750000000008</v>
      </c>
    </row>
    <row r="137" spans="1:65" s="926" customFormat="1" x14ac:dyDescent="0.2">
      <c r="A137" s="1" t="s">
        <v>1240</v>
      </c>
      <c r="B137" s="1" t="s">
        <v>1235</v>
      </c>
      <c r="D137" s="620" t="str">
        <f>IF([1]RENAME!$H$3=1,B137,A137)</f>
        <v xml:space="preserve">(+)Dívida líquida </v>
      </c>
      <c r="E137" s="118">
        <f t="shared" ref="E137:AJ137" si="80">E29</f>
        <v>0</v>
      </c>
      <c r="F137" s="118">
        <f t="shared" si="80"/>
        <v>0</v>
      </c>
      <c r="G137" s="118">
        <f t="shared" si="80"/>
        <v>0</v>
      </c>
      <c r="H137" s="118">
        <f t="shared" si="80"/>
        <v>0</v>
      </c>
      <c r="I137" s="118">
        <f t="shared" si="80"/>
        <v>226.7955</v>
      </c>
      <c r="J137" s="118">
        <f t="shared" si="80"/>
        <v>239.9735</v>
      </c>
      <c r="K137" s="118">
        <f t="shared" si="80"/>
        <v>255.72475</v>
      </c>
      <c r="L137" s="118">
        <f t="shared" si="80"/>
        <v>266.86225000000002</v>
      </c>
      <c r="M137" s="118">
        <f t="shared" si="80"/>
        <v>277.32799999999997</v>
      </c>
      <c r="N137" s="118">
        <f t="shared" si="80"/>
        <v>266.69125000000003</v>
      </c>
      <c r="O137" s="118">
        <f t="shared" si="80"/>
        <v>273.41075000000001</v>
      </c>
      <c r="P137" s="118">
        <f t="shared" si="80"/>
        <v>269.72975000000002</v>
      </c>
      <c r="Q137" s="118">
        <f t="shared" si="80"/>
        <v>247.17025000000001</v>
      </c>
      <c r="R137" s="118">
        <f t="shared" si="80"/>
        <v>246.27275</v>
      </c>
      <c r="S137" s="118">
        <f t="shared" si="80"/>
        <v>209.7345</v>
      </c>
      <c r="T137" s="118">
        <f t="shared" si="80"/>
        <v>180.87524999999999</v>
      </c>
      <c r="U137" s="118">
        <f t="shared" si="80"/>
        <v>162.24600000000001</v>
      </c>
      <c r="V137" s="118">
        <f t="shared" si="80"/>
        <v>134.84800000000001</v>
      </c>
      <c r="W137" s="118">
        <f t="shared" si="80"/>
        <v>120.6005</v>
      </c>
      <c r="X137" s="118">
        <f t="shared" si="80"/>
        <v>107.77075000000001</v>
      </c>
      <c r="Y137" s="118">
        <f t="shared" si="80"/>
        <v>104.33750000000001</v>
      </c>
      <c r="Z137" s="118">
        <f t="shared" si="80"/>
        <v>96.198499999999996</v>
      </c>
      <c r="AA137" s="118">
        <f t="shared" si="80"/>
        <v>89.911749999999998</v>
      </c>
      <c r="AB137" s="118">
        <f t="shared" si="80"/>
        <v>83.767499999999998</v>
      </c>
      <c r="AC137" s="118">
        <f t="shared" si="80"/>
        <v>67.083500000000001</v>
      </c>
      <c r="AD137" s="118">
        <f t="shared" si="80"/>
        <v>58.734250000000003</v>
      </c>
      <c r="AE137" s="118">
        <f t="shared" si="80"/>
        <v>55.304499999999997</v>
      </c>
      <c r="AF137" s="118">
        <f t="shared" si="80"/>
        <v>55.53</v>
      </c>
      <c r="AG137" s="118">
        <f t="shared" si="80"/>
        <v>57.03725</v>
      </c>
      <c r="AH137" s="118">
        <f t="shared" si="80"/>
        <v>50.649250000000002</v>
      </c>
      <c r="AI137" s="118">
        <f t="shared" si="80"/>
        <v>42.41</v>
      </c>
      <c r="AJ137" s="118">
        <f t="shared" si="80"/>
        <v>41.170499999999997</v>
      </c>
      <c r="AK137" s="118">
        <f t="shared" ref="AK137:BC137" si="81">AK29</f>
        <v>34.382249999999999</v>
      </c>
      <c r="AL137" s="118">
        <f t="shared" si="81"/>
        <v>10.787750000000001</v>
      </c>
      <c r="AM137" s="118">
        <f t="shared" si="81"/>
        <v>-9.7977500000000006</v>
      </c>
      <c r="AN137" s="118">
        <f t="shared" si="81"/>
        <v>-43.963250000000002</v>
      </c>
      <c r="AO137" s="118">
        <f t="shared" si="81"/>
        <v>-73.438000000000002</v>
      </c>
      <c r="AP137" s="118">
        <f t="shared" si="81"/>
        <v>-80.865499999999997</v>
      </c>
      <c r="AQ137" s="118">
        <f t="shared" si="81"/>
        <v>-90.714250000000007</v>
      </c>
      <c r="AR137" s="118">
        <f t="shared" si="81"/>
        <v>-78.630750000000006</v>
      </c>
      <c r="AS137" s="118">
        <f t="shared" si="81"/>
        <v>-73.864249999999998</v>
      </c>
      <c r="AT137" s="118">
        <f t="shared" si="81"/>
        <v>-63.638249999999999</v>
      </c>
      <c r="AU137" s="118">
        <f t="shared" si="81"/>
        <v>-57.904499999999999</v>
      </c>
      <c r="AV137" s="118">
        <f t="shared" si="81"/>
        <v>-75.483750000000001</v>
      </c>
      <c r="AW137" s="118">
        <f t="shared" si="81"/>
        <v>-90.59075</v>
      </c>
      <c r="AX137" s="118">
        <f t="shared" si="81"/>
        <v>-114.2055</v>
      </c>
      <c r="AY137" s="118">
        <f t="shared" si="81"/>
        <v>-137.209</v>
      </c>
      <c r="AZ137" s="118">
        <f t="shared" si="81"/>
        <v>-147.80425</v>
      </c>
      <c r="BA137" s="118">
        <f t="shared" si="81"/>
        <v>-158.02850000000001</v>
      </c>
      <c r="BB137" s="118">
        <f t="shared" si="81"/>
        <v>-165.79474999999999</v>
      </c>
      <c r="BC137" s="118">
        <f t="shared" si="81"/>
        <v>-164.70050000000001</v>
      </c>
      <c r="BD137" s="118">
        <f t="shared" ref="BD137:BH139" si="82">BD29</f>
        <v>-165.80025000000001</v>
      </c>
      <c r="BE137" s="118">
        <f t="shared" si="82"/>
        <v>-174.8835</v>
      </c>
      <c r="BF137" s="118">
        <f t="shared" si="82"/>
        <v>-189.661</v>
      </c>
      <c r="BG137" s="118">
        <f t="shared" si="82"/>
        <v>-190.01050000000001</v>
      </c>
      <c r="BH137" s="118">
        <f t="shared" si="82"/>
        <v>-153.15325000000001</v>
      </c>
      <c r="BI137" s="118">
        <f t="shared" ref="BI137:BJ139" si="83">BI29</f>
        <v>-110.67149999999999</v>
      </c>
      <c r="BJ137" s="118">
        <f t="shared" si="83"/>
        <v>-65.66225</v>
      </c>
    </row>
    <row r="138" spans="1:65" s="926" customFormat="1" x14ac:dyDescent="0.2">
      <c r="A138" s="1" t="s">
        <v>1236</v>
      </c>
      <c r="B138" s="1" t="s">
        <v>1237</v>
      </c>
      <c r="D138" s="620" t="str">
        <f>IF([1]RENAME!$H$3=1,B138,A138)</f>
        <v>(+)Patrimônio Líquido</v>
      </c>
      <c r="E138" s="118">
        <f t="shared" ref="E138:AJ138" si="84">E30</f>
        <v>0</v>
      </c>
      <c r="F138" s="118">
        <f t="shared" si="84"/>
        <v>0</v>
      </c>
      <c r="G138" s="118">
        <f t="shared" si="84"/>
        <v>0</v>
      </c>
      <c r="H138" s="118">
        <f t="shared" si="84"/>
        <v>0</v>
      </c>
      <c r="I138" s="118">
        <f t="shared" si="84"/>
        <v>420.82049999999998</v>
      </c>
      <c r="J138" s="118">
        <f t="shared" si="84"/>
        <v>423.05650000000003</v>
      </c>
      <c r="K138" s="118">
        <f t="shared" si="84"/>
        <v>422.86174999999997</v>
      </c>
      <c r="L138" s="118">
        <f t="shared" si="84"/>
        <v>417.23075</v>
      </c>
      <c r="M138" s="118">
        <f t="shared" si="84"/>
        <v>410.90724999999998</v>
      </c>
      <c r="N138" s="118">
        <f t="shared" si="84"/>
        <v>400.89600000000002</v>
      </c>
      <c r="O138" s="118">
        <f t="shared" si="84"/>
        <v>382.36075</v>
      </c>
      <c r="P138" s="118">
        <f t="shared" si="84"/>
        <v>372.5</v>
      </c>
      <c r="Q138" s="118">
        <f t="shared" si="84"/>
        <v>364.21300000000002</v>
      </c>
      <c r="R138" s="118">
        <f t="shared" si="84"/>
        <v>362.89249999999998</v>
      </c>
      <c r="S138" s="118">
        <f t="shared" si="84"/>
        <v>368.50150000000002</v>
      </c>
      <c r="T138" s="118">
        <f t="shared" si="84"/>
        <v>369.31799999999998</v>
      </c>
      <c r="U138" s="118">
        <f t="shared" si="84"/>
        <v>367.55599999999998</v>
      </c>
      <c r="V138" s="118">
        <f t="shared" si="84"/>
        <v>365.29575</v>
      </c>
      <c r="W138" s="118">
        <f t="shared" si="84"/>
        <v>364.02350000000001</v>
      </c>
      <c r="X138" s="118">
        <f t="shared" si="84"/>
        <v>366.452</v>
      </c>
      <c r="Y138" s="118">
        <f t="shared" si="84"/>
        <v>370.88850000000002</v>
      </c>
      <c r="Z138" s="118">
        <f t="shared" si="84"/>
        <v>380.39325000000002</v>
      </c>
      <c r="AA138" s="118">
        <f t="shared" si="84"/>
        <v>389.07175000000001</v>
      </c>
      <c r="AB138" s="118">
        <f t="shared" si="84"/>
        <v>407.50400000000002</v>
      </c>
      <c r="AC138" s="118">
        <f t="shared" si="84"/>
        <v>428.07249999999999</v>
      </c>
      <c r="AD138" s="118">
        <f t="shared" si="84"/>
        <v>441.86900000000003</v>
      </c>
      <c r="AE138" s="118">
        <f t="shared" si="84"/>
        <v>458.07049999999998</v>
      </c>
      <c r="AF138" s="118">
        <f t="shared" si="84"/>
        <v>466.96199999999999</v>
      </c>
      <c r="AG138" s="118">
        <f t="shared" si="84"/>
        <v>479.01274999999998</v>
      </c>
      <c r="AH138" s="118">
        <f t="shared" si="84"/>
        <v>494.15800000000002</v>
      </c>
      <c r="AI138" s="118">
        <f t="shared" si="84"/>
        <v>522.23800000000006</v>
      </c>
      <c r="AJ138" s="118">
        <f t="shared" si="84"/>
        <v>544.91475000000003</v>
      </c>
      <c r="AK138" s="118">
        <f t="shared" ref="AK138:BC138" si="85">AK30</f>
        <v>565.94624999999996</v>
      </c>
      <c r="AL138" s="118">
        <f t="shared" si="85"/>
        <v>584.50824999999998</v>
      </c>
      <c r="AM138" s="118">
        <f t="shared" si="85"/>
        <v>595.06124999999997</v>
      </c>
      <c r="AN138" s="118">
        <f t="shared" si="85"/>
        <v>607.45725000000004</v>
      </c>
      <c r="AO138" s="118">
        <f t="shared" si="85"/>
        <v>619.90224999999998</v>
      </c>
      <c r="AP138" s="118">
        <f t="shared" si="85"/>
        <v>636.51874999999995</v>
      </c>
      <c r="AQ138" s="118">
        <f t="shared" si="85"/>
        <v>648.69050000000004</v>
      </c>
      <c r="AR138" s="118">
        <f t="shared" si="85"/>
        <v>662.70825000000002</v>
      </c>
      <c r="AS138" s="118">
        <f t="shared" si="85"/>
        <v>676.34100000000001</v>
      </c>
      <c r="AT138" s="118">
        <f t="shared" si="85"/>
        <v>689.09574999999995</v>
      </c>
      <c r="AU138" s="118">
        <f t="shared" si="85"/>
        <v>706.03200000000004</v>
      </c>
      <c r="AV138" s="118">
        <f t="shared" si="85"/>
        <v>727.39575000000002</v>
      </c>
      <c r="AW138" s="118">
        <f t="shared" si="85"/>
        <v>752.74625000000003</v>
      </c>
      <c r="AX138" s="118">
        <f t="shared" si="85"/>
        <v>776.08849999999995</v>
      </c>
      <c r="AY138" s="118">
        <f t="shared" si="85"/>
        <v>796.87699999999995</v>
      </c>
      <c r="AZ138" s="118">
        <f t="shared" si="85"/>
        <v>814.12225000000001</v>
      </c>
      <c r="BA138" s="118">
        <f t="shared" si="85"/>
        <v>832.02449999999999</v>
      </c>
      <c r="BB138" s="118">
        <f t="shared" si="85"/>
        <v>853.84649999999999</v>
      </c>
      <c r="BC138" s="118">
        <f t="shared" si="85"/>
        <v>871.96500000000003</v>
      </c>
      <c r="BD138" s="118">
        <f t="shared" si="82"/>
        <v>893.52475000000004</v>
      </c>
      <c r="BE138" s="118">
        <f t="shared" si="82"/>
        <v>916.69725000000005</v>
      </c>
      <c r="BF138" s="118">
        <f t="shared" si="82"/>
        <v>951.23040000000003</v>
      </c>
      <c r="BG138" s="118">
        <f t="shared" si="82"/>
        <v>966.03625</v>
      </c>
      <c r="BH138" s="118">
        <f t="shared" si="82"/>
        <v>953.35350000000005</v>
      </c>
      <c r="BI138" s="118">
        <f t="shared" si="83"/>
        <v>950.99559999999997</v>
      </c>
      <c r="BJ138" s="118">
        <f t="shared" si="83"/>
        <v>940.40475000000004</v>
      </c>
    </row>
    <row r="139" spans="1:65" s="926" customFormat="1" x14ac:dyDescent="0.2">
      <c r="A139" s="1" t="s">
        <v>1238</v>
      </c>
      <c r="B139" s="1" t="s">
        <v>1239</v>
      </c>
      <c r="D139" s="620" t="str">
        <f>IF([1]RENAME!$H$3=1,B139,A139)</f>
        <v>(-)Ágios de aquisição</v>
      </c>
      <c r="E139" s="118">
        <f t="shared" ref="E139:AJ139" si="86">E31</f>
        <v>0</v>
      </c>
      <c r="F139" s="118">
        <f t="shared" si="86"/>
        <v>0</v>
      </c>
      <c r="G139" s="118">
        <f t="shared" si="86"/>
        <v>0</v>
      </c>
      <c r="H139" s="118">
        <f t="shared" si="86"/>
        <v>0</v>
      </c>
      <c r="I139" s="118">
        <f t="shared" si="86"/>
        <v>163.92400000000001</v>
      </c>
      <c r="J139" s="118">
        <f t="shared" si="86"/>
        <v>163.92400000000001</v>
      </c>
      <c r="K139" s="118">
        <f t="shared" si="86"/>
        <v>163.92400000000001</v>
      </c>
      <c r="L139" s="118">
        <f t="shared" si="86"/>
        <v>163.92400000000001</v>
      </c>
      <c r="M139" s="118">
        <f t="shared" si="86"/>
        <v>163.92400000000001</v>
      </c>
      <c r="N139" s="118">
        <f t="shared" si="86"/>
        <v>163.92400000000001</v>
      </c>
      <c r="O139" s="118">
        <f t="shared" si="86"/>
        <v>163.92400000000001</v>
      </c>
      <c r="P139" s="118">
        <f t="shared" si="86"/>
        <v>163.92400000000001</v>
      </c>
      <c r="Q139" s="118">
        <f t="shared" si="86"/>
        <v>163.92400000000001</v>
      </c>
      <c r="R139" s="118">
        <f t="shared" si="86"/>
        <v>163.92400000000001</v>
      </c>
      <c r="S139" s="118">
        <f t="shared" si="86"/>
        <v>163.92400000000001</v>
      </c>
      <c r="T139" s="118">
        <f t="shared" si="86"/>
        <v>163.92400000000001</v>
      </c>
      <c r="U139" s="118">
        <f t="shared" si="86"/>
        <v>163.92400000000001</v>
      </c>
      <c r="V139" s="118">
        <f t="shared" si="86"/>
        <v>163.92400000000001</v>
      </c>
      <c r="W139" s="118">
        <f t="shared" si="86"/>
        <v>163.92400000000001</v>
      </c>
      <c r="X139" s="118">
        <f t="shared" si="86"/>
        <v>163.92400000000001</v>
      </c>
      <c r="Y139" s="118">
        <f t="shared" si="86"/>
        <v>163.92400000000001</v>
      </c>
      <c r="Z139" s="118">
        <f t="shared" si="86"/>
        <v>163.58285032249998</v>
      </c>
      <c r="AA139" s="118">
        <f t="shared" si="86"/>
        <v>163.24170064500001</v>
      </c>
      <c r="AB139" s="118">
        <f t="shared" si="86"/>
        <v>162.90045064500001</v>
      </c>
      <c r="AC139" s="118">
        <f t="shared" si="86"/>
        <v>166.10070064500002</v>
      </c>
      <c r="AD139" s="118">
        <f t="shared" si="86"/>
        <v>169.6421003225</v>
      </c>
      <c r="AE139" s="118">
        <f t="shared" si="86"/>
        <v>173.18350000000001</v>
      </c>
      <c r="AF139" s="118">
        <f t="shared" si="86"/>
        <v>172.55175</v>
      </c>
      <c r="AG139" s="118">
        <f t="shared" si="86"/>
        <v>168.3785</v>
      </c>
      <c r="AH139" s="118">
        <f t="shared" si="86"/>
        <v>164.20525000000001</v>
      </c>
      <c r="AI139" s="118">
        <f t="shared" si="86"/>
        <v>160.03200000000001</v>
      </c>
      <c r="AJ139" s="118">
        <f t="shared" si="86"/>
        <v>160.03200000000001</v>
      </c>
      <c r="AK139" s="118">
        <f t="shared" ref="AK139:BC139" si="87">AK31</f>
        <v>160.03200000000001</v>
      </c>
      <c r="AL139" s="118">
        <f t="shared" si="87"/>
        <v>160.03200000000001</v>
      </c>
      <c r="AM139" s="118">
        <f t="shared" si="87"/>
        <v>160.03200000000001</v>
      </c>
      <c r="AN139" s="118">
        <f t="shared" si="87"/>
        <v>160.03200000000001</v>
      </c>
      <c r="AO139" s="118">
        <f t="shared" si="87"/>
        <v>160.03200000000001</v>
      </c>
      <c r="AP139" s="118">
        <f t="shared" si="87"/>
        <v>160.03200000000001</v>
      </c>
      <c r="AQ139" s="118">
        <f t="shared" si="87"/>
        <v>160.03200000000001</v>
      </c>
      <c r="AR139" s="118">
        <f t="shared" si="87"/>
        <v>160.03200000000001</v>
      </c>
      <c r="AS139" s="118">
        <f t="shared" si="87"/>
        <v>160.03200000000001</v>
      </c>
      <c r="AT139" s="118">
        <f t="shared" si="87"/>
        <v>160.03200000000001</v>
      </c>
      <c r="AU139" s="118">
        <f t="shared" si="87"/>
        <v>160.03200000000001</v>
      </c>
      <c r="AV139" s="118">
        <f t="shared" si="87"/>
        <v>160.03200000000001</v>
      </c>
      <c r="AW139" s="118">
        <f t="shared" si="87"/>
        <v>160.03200000000001</v>
      </c>
      <c r="AX139" s="118">
        <f t="shared" si="87"/>
        <v>160.03200000000001</v>
      </c>
      <c r="AY139" s="118">
        <f t="shared" si="87"/>
        <v>160.03200000000001</v>
      </c>
      <c r="AZ139" s="118">
        <f t="shared" si="87"/>
        <v>160.03200000000001</v>
      </c>
      <c r="BA139" s="118">
        <f t="shared" si="87"/>
        <v>160.03200000000001</v>
      </c>
      <c r="BB139" s="118">
        <f t="shared" si="87"/>
        <v>160.03200000000001</v>
      </c>
      <c r="BC139" s="118">
        <f t="shared" si="87"/>
        <v>160.03200000000001</v>
      </c>
      <c r="BD139" s="118">
        <f t="shared" si="82"/>
        <v>160.03200000000001</v>
      </c>
      <c r="BE139" s="118">
        <f t="shared" si="82"/>
        <v>160.03200000000001</v>
      </c>
      <c r="BF139" s="118">
        <f t="shared" si="82"/>
        <v>160.03200000000001</v>
      </c>
      <c r="BG139" s="118">
        <f t="shared" si="82"/>
        <v>163.27775</v>
      </c>
      <c r="BH139" s="118">
        <f t="shared" si="82"/>
        <v>166.52350000000001</v>
      </c>
      <c r="BI139" s="118">
        <f t="shared" si="83"/>
        <v>169.76925</v>
      </c>
      <c r="BJ139" s="118">
        <f t="shared" si="83"/>
        <v>173.01499999999999</v>
      </c>
    </row>
    <row r="140" spans="1:65" s="926" customFormat="1" x14ac:dyDescent="0.2">
      <c r="A140" s="1" t="s">
        <v>2021</v>
      </c>
      <c r="B140" s="1" t="s">
        <v>2021</v>
      </c>
      <c r="D140" s="619" t="str">
        <f>IF([1]RENAME!$H$3=1,B140,A140)</f>
        <v>EVA (WACC= 17%)</v>
      </c>
      <c r="E140" s="121">
        <f t="shared" ref="E140:AU140" si="88">E135-(E136*17%)</f>
        <v>0</v>
      </c>
      <c r="F140" s="121">
        <f t="shared" si="88"/>
        <v>0</v>
      </c>
      <c r="G140" s="121">
        <f t="shared" si="88"/>
        <v>0</v>
      </c>
      <c r="H140" s="121">
        <f t="shared" si="88"/>
        <v>0</v>
      </c>
      <c r="I140" s="121">
        <f t="shared" si="88"/>
        <v>5.3239999999999839</v>
      </c>
      <c r="J140" s="121">
        <f t="shared" si="88"/>
        <v>-1.5368800000000249</v>
      </c>
      <c r="K140" s="121">
        <f t="shared" si="88"/>
        <v>-9.8799250000000001</v>
      </c>
      <c r="L140" s="121">
        <f t="shared" si="88"/>
        <v>-15.336370000000031</v>
      </c>
      <c r="M140" s="121">
        <f t="shared" si="88"/>
        <v>-10.031912500000004</v>
      </c>
      <c r="N140" s="121">
        <f t="shared" si="88"/>
        <v>-6.4372725000000344</v>
      </c>
      <c r="O140" s="121">
        <f t="shared" si="88"/>
        <v>-7.5418150000000281</v>
      </c>
      <c r="P140" s="121">
        <f t="shared" si="88"/>
        <v>10.038622500000002</v>
      </c>
      <c r="Q140" s="121">
        <f t="shared" si="88"/>
        <v>14.027207499999946</v>
      </c>
      <c r="R140" s="121">
        <f t="shared" si="88"/>
        <v>-0.8846325000000661</v>
      </c>
      <c r="S140" s="121">
        <f t="shared" si="88"/>
        <v>-8.6603492334000833</v>
      </c>
      <c r="T140" s="121">
        <f t="shared" si="88"/>
        <v>-33.351530788600115</v>
      </c>
      <c r="U140" s="121">
        <f t="shared" si="88"/>
        <v>-36.834531512000076</v>
      </c>
      <c r="V140" s="121">
        <f t="shared" si="88"/>
        <v>-31.133789866200043</v>
      </c>
      <c r="W140" s="121">
        <f t="shared" si="88"/>
        <v>-27.022722312000031</v>
      </c>
      <c r="X140" s="121">
        <f t="shared" si="88"/>
        <v>-13.899273416199989</v>
      </c>
      <c r="Y140" s="121">
        <f t="shared" si="88"/>
        <v>-9.5447925242000125</v>
      </c>
      <c r="Z140" s="121">
        <f t="shared" si="88"/>
        <v>3.6738256088249486</v>
      </c>
      <c r="AA140" s="121">
        <f t="shared" si="88"/>
        <v>13.477170249049998</v>
      </c>
      <c r="AB140" s="121">
        <f t="shared" si="88"/>
        <v>14.602549048849987</v>
      </c>
      <c r="AC140" s="121">
        <f t="shared" si="88"/>
        <v>19.886972011049991</v>
      </c>
      <c r="AD140" s="121">
        <f t="shared" si="88"/>
        <v>24.932059227024972</v>
      </c>
      <c r="AE140" s="121">
        <f t="shared" si="88"/>
        <v>34.760500451599903</v>
      </c>
      <c r="AF140" s="121">
        <f t="shared" si="88"/>
        <v>53.487026410921878</v>
      </c>
      <c r="AG140" s="121">
        <f t="shared" si="88"/>
        <v>62.406574326321881</v>
      </c>
      <c r="AH140" s="121">
        <f t="shared" si="88"/>
        <v>66.521362599521922</v>
      </c>
      <c r="AI140" s="121">
        <f t="shared" si="88"/>
        <v>61.611838563122078</v>
      </c>
      <c r="AJ140" s="121">
        <f t="shared" si="88"/>
        <v>53.945688854400132</v>
      </c>
      <c r="AK140" s="121">
        <f t="shared" si="88"/>
        <v>44.556291004200091</v>
      </c>
      <c r="AL140" s="121">
        <f t="shared" si="88"/>
        <v>9.118631929800074</v>
      </c>
      <c r="AM140" s="121">
        <f t="shared" si="88"/>
        <v>5.8273511751999507</v>
      </c>
      <c r="AN140" s="121">
        <f t="shared" si="88"/>
        <v>3.0017033091999537</v>
      </c>
      <c r="AO140" s="121">
        <f t="shared" si="88"/>
        <v>6.0055066067999547</v>
      </c>
      <c r="AP140" s="121">
        <f t="shared" si="88"/>
        <v>25.345235729999956</v>
      </c>
      <c r="AQ140" s="121">
        <f t="shared" si="88"/>
        <v>13.580471535399951</v>
      </c>
      <c r="AR140" s="121">
        <f t="shared" si="88"/>
        <v>1.1731395197999177</v>
      </c>
      <c r="AS140" s="121">
        <f t="shared" si="88"/>
        <v>-7.6508714612000688</v>
      </c>
      <c r="AT140" s="121">
        <f t="shared" si="88"/>
        <v>-2.9937759836001021</v>
      </c>
      <c r="AU140" s="121">
        <f t="shared" si="88"/>
        <v>26.477357311799906</v>
      </c>
      <c r="AV140" s="121">
        <f t="shared" ref="AV140:BA140" si="89">AV135-(AV136*17%)</f>
        <v>42.96560907915115</v>
      </c>
      <c r="AW140" s="121">
        <f t="shared" si="89"/>
        <v>53.52503269935103</v>
      </c>
      <c r="AX140" s="121">
        <f t="shared" si="89"/>
        <v>59.619285690951202</v>
      </c>
      <c r="AY140" s="121">
        <f t="shared" si="89"/>
        <v>53.455149785351281</v>
      </c>
      <c r="AZ140" s="121">
        <f t="shared" si="89"/>
        <v>52.718302936200175</v>
      </c>
      <c r="BA140" s="121">
        <f t="shared" si="89"/>
        <v>54.212385488800166</v>
      </c>
      <c r="BB140" s="121">
        <f t="shared" ref="BB140:BH140" si="90">BB135-(BB136*17%)</f>
        <v>74.150035204600059</v>
      </c>
      <c r="BC140" s="121">
        <f t="shared" si="90"/>
        <v>101.41504463140009</v>
      </c>
      <c r="BD140" s="121">
        <f t="shared" si="90"/>
        <v>132.27487469619984</v>
      </c>
      <c r="BE140" s="121">
        <f t="shared" si="90"/>
        <v>136.06618323539993</v>
      </c>
      <c r="BF140" s="121">
        <f t="shared" si="90"/>
        <v>138.25430136199975</v>
      </c>
      <c r="BG140" s="121">
        <f t="shared" si="90"/>
        <v>129.42685308759968</v>
      </c>
      <c r="BH140" s="121">
        <f t="shared" si="90"/>
        <v>95.082441042999676</v>
      </c>
      <c r="BI140" s="121">
        <f>BI135-(BI136*17%)</f>
        <v>91.227644286999833</v>
      </c>
      <c r="BJ140" s="121">
        <f>BJ135-(BJ136*17%)</f>
        <v>108.50875081579979</v>
      </c>
    </row>
    <row r="141" spans="1:65" s="926" customFormat="1" x14ac:dyDescent="0.2">
      <c r="A141" s="1" t="s">
        <v>2022</v>
      </c>
      <c r="B141" s="1" t="s">
        <v>2022</v>
      </c>
      <c r="D141" s="619" t="str">
        <f>IF([1]RENAME!$H$3=1,B141,A141)</f>
        <v>EVA (WACC=12%)</v>
      </c>
      <c r="E141" s="121">
        <f t="shared" ref="E141:AU141" si="91">E135-(E136*12%)</f>
        <v>0</v>
      </c>
      <c r="F141" s="121">
        <f t="shared" si="91"/>
        <v>0</v>
      </c>
      <c r="G141" s="121">
        <f t="shared" si="91"/>
        <v>0</v>
      </c>
      <c r="H141" s="121">
        <f t="shared" si="91"/>
        <v>0</v>
      </c>
      <c r="I141" s="121">
        <f t="shared" si="91"/>
        <v>29.508599999999994</v>
      </c>
      <c r="J141" s="121">
        <f t="shared" si="91"/>
        <v>23.418419999999983</v>
      </c>
      <c r="K141" s="121">
        <f t="shared" si="91"/>
        <v>15.853200000000001</v>
      </c>
      <c r="L141" s="121">
        <f t="shared" si="91"/>
        <v>10.672079999999973</v>
      </c>
      <c r="M141" s="121">
        <f t="shared" si="91"/>
        <v>16.183650000000007</v>
      </c>
      <c r="N141" s="121">
        <f t="shared" si="91"/>
        <v>18.745889999999982</v>
      </c>
      <c r="O141" s="121">
        <f t="shared" si="91"/>
        <v>17.050559999999976</v>
      </c>
      <c r="P141" s="121">
        <f t="shared" si="91"/>
        <v>33.95391</v>
      </c>
      <c r="Q141" s="121">
        <f t="shared" si="91"/>
        <v>36.40016999999996</v>
      </c>
      <c r="R141" s="121">
        <f t="shared" si="91"/>
        <v>21.377429999999947</v>
      </c>
      <c r="S141" s="121">
        <f t="shared" si="91"/>
        <v>12.055250766599926</v>
      </c>
      <c r="T141" s="121">
        <f t="shared" si="91"/>
        <v>-14.038068288600101</v>
      </c>
      <c r="U141" s="121">
        <f t="shared" si="91"/>
        <v>-18.540631512000068</v>
      </c>
      <c r="V141" s="121">
        <f t="shared" si="91"/>
        <v>-14.322802366200033</v>
      </c>
      <c r="W141" s="121">
        <f t="shared" si="91"/>
        <v>-10.98772231200002</v>
      </c>
      <c r="X141" s="121">
        <f t="shared" si="91"/>
        <v>1.6156640838000129</v>
      </c>
      <c r="Y141" s="121">
        <f t="shared" si="91"/>
        <v>6.0203074757999957</v>
      </c>
      <c r="Z141" s="121">
        <f t="shared" si="91"/>
        <v>19.324270592699953</v>
      </c>
      <c r="AA141" s="121">
        <f t="shared" si="91"/>
        <v>29.264260216800004</v>
      </c>
      <c r="AB141" s="121">
        <f t="shared" si="91"/>
        <v>31.021101516599991</v>
      </c>
      <c r="AC141" s="121">
        <f t="shared" si="91"/>
        <v>36.339736978799998</v>
      </c>
      <c r="AD141" s="121">
        <f t="shared" si="91"/>
        <v>41.480116710899978</v>
      </c>
      <c r="AE141" s="121">
        <f t="shared" si="91"/>
        <v>51.770075451599908</v>
      </c>
      <c r="AF141" s="121">
        <f t="shared" si="91"/>
        <v>70.984038910921882</v>
      </c>
      <c r="AG141" s="121">
        <f t="shared" si="91"/>
        <v>80.790149326321881</v>
      </c>
      <c r="AH141" s="121">
        <f t="shared" si="91"/>
        <v>85.551462599521926</v>
      </c>
      <c r="AI141" s="121">
        <f t="shared" si="91"/>
        <v>81.84263856312208</v>
      </c>
      <c r="AJ141" s="121">
        <f t="shared" si="91"/>
        <v>75.248351354400143</v>
      </c>
      <c r="AK141" s="121">
        <f t="shared" si="91"/>
        <v>66.571116004200093</v>
      </c>
      <c r="AL141" s="121">
        <f t="shared" si="91"/>
        <v>30.881831929800072</v>
      </c>
      <c r="AM141" s="121">
        <f t="shared" si="91"/>
        <v>27.088926175199958</v>
      </c>
      <c r="AN141" s="121">
        <f t="shared" si="91"/>
        <v>23.174803309199966</v>
      </c>
      <c r="AO141" s="121">
        <f t="shared" si="91"/>
        <v>25.327119106799962</v>
      </c>
      <c r="AP141" s="121">
        <f t="shared" si="91"/>
        <v>45.126298229999954</v>
      </c>
      <c r="AQ141" s="121">
        <f t="shared" si="91"/>
        <v>33.47768403539996</v>
      </c>
      <c r="AR141" s="121">
        <f t="shared" si="91"/>
        <v>22.375414519799918</v>
      </c>
      <c r="AS141" s="121">
        <f t="shared" si="91"/>
        <v>14.471366038799935</v>
      </c>
      <c r="AT141" s="121">
        <f t="shared" si="91"/>
        <v>20.277499016399901</v>
      </c>
      <c r="AU141" s="121">
        <f t="shared" si="91"/>
        <v>50.882132311799907</v>
      </c>
      <c r="AV141" s="121">
        <f t="shared" ref="AV141:BA141" si="92">AV135-(AV136*12%)</f>
        <v>67.559609079151159</v>
      </c>
      <c r="AW141" s="121">
        <f t="shared" si="92"/>
        <v>78.631207699351052</v>
      </c>
      <c r="AX141" s="121">
        <f t="shared" si="92"/>
        <v>84.711835690951204</v>
      </c>
      <c r="AY141" s="121">
        <f t="shared" si="92"/>
        <v>78.436949785351288</v>
      </c>
      <c r="AZ141" s="121">
        <f t="shared" si="92"/>
        <v>78.032602936200178</v>
      </c>
      <c r="BA141" s="121">
        <f t="shared" si="92"/>
        <v>79.910585488800166</v>
      </c>
      <c r="BB141" s="121">
        <f t="shared" ref="BB141:BH141" si="93">BB135-(BB136*12%)</f>
        <v>100.55102270460006</v>
      </c>
      <c r="BC141" s="121">
        <f t="shared" si="93"/>
        <v>128.77666963140013</v>
      </c>
      <c r="BD141" s="121">
        <f t="shared" si="93"/>
        <v>160.65949969619987</v>
      </c>
      <c r="BE141" s="121">
        <f t="shared" si="93"/>
        <v>165.15527073539997</v>
      </c>
      <c r="BF141" s="121">
        <f t="shared" si="93"/>
        <v>168.33117136199974</v>
      </c>
      <c r="BG141" s="121">
        <f t="shared" si="93"/>
        <v>160.0642530875997</v>
      </c>
      <c r="BH141" s="121">
        <f t="shared" si="93"/>
        <v>126.76627854299969</v>
      </c>
      <c r="BI141" s="121">
        <f>BI135-(BI136*12%)</f>
        <v>124.75538678699984</v>
      </c>
      <c r="BJ141" s="121">
        <f>BJ135-(BJ136*12%)</f>
        <v>143.5951258157998</v>
      </c>
    </row>
    <row r="142" spans="1:65" s="926" customFormat="1" ht="22.5" customHeight="1" x14ac:dyDescent="0.2">
      <c r="A142" s="1" t="s">
        <v>2023</v>
      </c>
      <c r="B142" s="1" t="s">
        <v>2024</v>
      </c>
      <c r="D142" s="1117" t="str">
        <f>IF([1]RENAME!$H$3=1,B142,A142)</f>
        <v>Obs: Considera o range de WACC utilizado nas projeções dos analistas de sell-side</v>
      </c>
      <c r="E142" s="459"/>
      <c r="F142" s="459"/>
      <c r="G142" s="459"/>
      <c r="H142" s="459"/>
      <c r="I142" s="459"/>
      <c r="J142" s="459"/>
      <c r="K142" s="459"/>
      <c r="L142" s="459"/>
      <c r="M142" s="459"/>
      <c r="N142" s="459"/>
      <c r="O142" s="459"/>
      <c r="P142" s="459"/>
      <c r="Q142" s="459"/>
      <c r="AC142" s="928"/>
      <c r="AD142" s="928"/>
      <c r="AE142" s="928"/>
      <c r="AF142" s="928"/>
      <c r="AG142" s="928"/>
      <c r="AH142" s="928"/>
      <c r="AI142" s="928"/>
      <c r="AJ142" s="928"/>
      <c r="AR142" s="1021"/>
      <c r="AS142" s="1021"/>
      <c r="AT142" s="1"/>
      <c r="AU142" s="1"/>
      <c r="AV142" s="1"/>
      <c r="AW142" s="1"/>
      <c r="AX142" s="1"/>
      <c r="AY142" s="1"/>
      <c r="AZ142" s="1"/>
      <c r="BA142" s="1"/>
      <c r="BB142" s="1"/>
      <c r="BC142" s="1"/>
      <c r="BD142" s="1"/>
      <c r="BE142" s="1"/>
      <c r="BF142" s="1"/>
      <c r="BG142" s="1"/>
      <c r="BH142" s="1"/>
      <c r="BI142" s="1"/>
      <c r="BJ142" s="1"/>
    </row>
    <row r="143" spans="1:65" s="926" customFormat="1" x14ac:dyDescent="0.2">
      <c r="D143" s="459"/>
      <c r="E143" s="459"/>
      <c r="F143" s="459"/>
      <c r="G143" s="459"/>
      <c r="H143" s="459"/>
      <c r="I143" s="459"/>
      <c r="J143" s="459"/>
      <c r="K143" s="459"/>
      <c r="L143" s="459"/>
      <c r="M143" s="459"/>
      <c r="N143" s="459"/>
      <c r="O143" s="459"/>
      <c r="P143" s="459"/>
      <c r="Q143" s="459"/>
      <c r="AC143" s="928"/>
      <c r="AD143" s="928"/>
      <c r="AE143" s="928"/>
      <c r="AF143" s="928"/>
      <c r="AG143" s="928"/>
      <c r="AH143" s="928"/>
      <c r="AI143" s="928"/>
      <c r="AJ143" s="928"/>
      <c r="AR143" s="1021"/>
      <c r="AS143" s="1021"/>
      <c r="AT143" s="1"/>
      <c r="AU143" s="1"/>
      <c r="AV143" s="1"/>
      <c r="AW143" s="1"/>
    </row>
    <row r="144" spans="1:65" s="926" customFormat="1" x14ac:dyDescent="0.2">
      <c r="D144" s="459"/>
      <c r="E144" s="459"/>
      <c r="F144" s="459"/>
      <c r="G144" s="459"/>
      <c r="H144" s="459"/>
      <c r="I144" s="459"/>
      <c r="J144" s="459"/>
      <c r="K144" s="459"/>
      <c r="L144" s="459"/>
      <c r="M144" s="459"/>
      <c r="N144" s="459"/>
      <c r="O144" s="459"/>
      <c r="P144" s="459"/>
      <c r="Q144" s="459"/>
      <c r="AC144" s="928"/>
      <c r="AD144" s="928"/>
      <c r="AE144" s="928"/>
      <c r="AF144" s="928"/>
      <c r="AG144" s="928"/>
      <c r="AH144" s="928"/>
      <c r="AI144" s="928"/>
      <c r="AJ144" s="928"/>
      <c r="AR144" s="1021"/>
      <c r="AS144" s="1021"/>
      <c r="AT144" s="1"/>
      <c r="AU144" s="1"/>
      <c r="AV144" s="1"/>
      <c r="AW144" s="1"/>
      <c r="AY144" s="266"/>
      <c r="AZ144" s="266"/>
      <c r="BA144" s="266"/>
      <c r="BB144" s="266"/>
      <c r="BC144" s="266"/>
      <c r="BD144" s="266"/>
      <c r="BE144" s="266"/>
    </row>
    <row r="145" spans="1:63" s="926" customFormat="1" x14ac:dyDescent="0.2">
      <c r="D145" s="459"/>
      <c r="E145" s="459"/>
      <c r="F145" s="459"/>
      <c r="G145" s="459"/>
      <c r="H145" s="459"/>
      <c r="I145" s="459"/>
      <c r="J145" s="459"/>
      <c r="K145" s="459"/>
      <c r="L145" s="459"/>
      <c r="M145" s="459"/>
      <c r="N145" s="459"/>
      <c r="O145" s="459"/>
      <c r="P145" s="459"/>
      <c r="Q145" s="459"/>
      <c r="AC145" s="928"/>
      <c r="AD145" s="928"/>
      <c r="AE145" s="928"/>
      <c r="AF145" s="928"/>
      <c r="AG145" s="928"/>
      <c r="AH145" s="928"/>
      <c r="AI145" s="928"/>
      <c r="AJ145" s="928"/>
      <c r="AR145" s="1021"/>
      <c r="AS145" s="1021"/>
      <c r="AT145" s="1"/>
      <c r="AU145" s="1"/>
      <c r="AV145" s="1"/>
      <c r="AW145" s="1"/>
      <c r="AY145" s="266"/>
      <c r="AZ145" s="266"/>
      <c r="BA145" s="266"/>
      <c r="BB145" s="266"/>
      <c r="BC145" s="266"/>
      <c r="BD145" s="266"/>
      <c r="BE145" s="266"/>
    </row>
    <row r="146" spans="1:63" s="926" customFormat="1" x14ac:dyDescent="0.2">
      <c r="D146" s="459"/>
      <c r="E146" s="459"/>
      <c r="F146" s="459"/>
      <c r="G146" s="459"/>
      <c r="H146" s="459"/>
      <c r="I146" s="459"/>
      <c r="J146" s="459"/>
      <c r="K146" s="459"/>
      <c r="L146" s="459"/>
      <c r="M146" s="459"/>
      <c r="N146" s="459"/>
      <c r="O146" s="459"/>
      <c r="P146" s="459"/>
      <c r="Q146" s="459"/>
      <c r="AC146" s="928"/>
      <c r="AD146" s="928"/>
      <c r="AE146" s="928"/>
      <c r="AF146" s="928"/>
      <c r="AG146" s="928"/>
      <c r="AH146" s="928"/>
      <c r="AI146" s="928"/>
      <c r="AJ146" s="928"/>
      <c r="AR146" s="1021"/>
      <c r="AS146" s="1021"/>
      <c r="AT146" s="1"/>
      <c r="AU146" s="1"/>
      <c r="AV146" s="1"/>
      <c r="AW146" s="1"/>
      <c r="AY146" s="266"/>
      <c r="AZ146" s="266"/>
      <c r="BA146" s="266"/>
      <c r="BB146" s="266"/>
      <c r="BC146" s="266"/>
      <c r="BD146" s="266"/>
      <c r="BE146" s="266"/>
    </row>
    <row r="147" spans="1:63" s="926" customFormat="1" x14ac:dyDescent="0.2">
      <c r="D147" s="459"/>
      <c r="E147" s="459"/>
      <c r="F147" s="459"/>
      <c r="G147" s="459"/>
      <c r="H147" s="459"/>
      <c r="I147" s="459"/>
      <c r="J147" s="459"/>
      <c r="K147" s="459"/>
      <c r="L147" s="459"/>
      <c r="M147" s="459"/>
      <c r="N147" s="459"/>
      <c r="O147" s="459"/>
      <c r="P147" s="459"/>
      <c r="Q147" s="459"/>
      <c r="AC147" s="928"/>
      <c r="AD147" s="928"/>
      <c r="AE147" s="928"/>
      <c r="AF147" s="928"/>
      <c r="AG147" s="928"/>
      <c r="AH147" s="928"/>
      <c r="AI147" s="928"/>
      <c r="AJ147" s="928"/>
      <c r="AR147" s="1021"/>
      <c r="AS147" s="1021"/>
      <c r="AT147" s="266"/>
      <c r="AU147" s="266"/>
      <c r="AV147" s="266"/>
      <c r="AW147" s="266"/>
      <c r="AX147" s="266"/>
      <c r="AY147" s="266"/>
      <c r="AZ147" s="266"/>
      <c r="BA147" s="266"/>
      <c r="BB147" s="266"/>
      <c r="BC147" s="266"/>
      <c r="BD147" s="266"/>
      <c r="BE147" s="266"/>
    </row>
    <row r="148" spans="1:63" s="926" customFormat="1" x14ac:dyDescent="0.2">
      <c r="D148" s="927"/>
      <c r="E148" s="459"/>
      <c r="F148" s="459"/>
      <c r="G148" s="459"/>
      <c r="H148" s="459"/>
      <c r="I148" s="459"/>
      <c r="J148" s="459"/>
      <c r="K148" s="459"/>
      <c r="L148" s="459"/>
      <c r="M148" s="459"/>
      <c r="N148" s="459"/>
      <c r="O148" s="459"/>
      <c r="P148" s="459"/>
      <c r="Q148" s="459"/>
      <c r="AC148" s="929"/>
      <c r="AD148" s="929"/>
      <c r="AE148" s="929"/>
      <c r="AF148" s="929"/>
      <c r="AG148" s="929"/>
      <c r="AH148" s="929"/>
      <c r="AI148" s="929"/>
      <c r="AJ148" s="929"/>
      <c r="AT148" s="266"/>
      <c r="AU148" s="266"/>
      <c r="AV148" s="266"/>
      <c r="AW148" s="266"/>
      <c r="AX148" s="266"/>
      <c r="AY148" s="266"/>
      <c r="AZ148" s="266"/>
      <c r="BA148" s="266"/>
      <c r="BB148" s="266"/>
      <c r="BC148" s="266"/>
      <c r="BD148" s="266"/>
      <c r="BE148" s="266"/>
    </row>
    <row r="149" spans="1:63" s="459" customFormat="1" x14ac:dyDescent="0.2">
      <c r="A149" s="459" t="s">
        <v>1778</v>
      </c>
      <c r="D149" s="1177"/>
      <c r="E149" s="550"/>
      <c r="F149" s="550"/>
      <c r="G149" s="550"/>
      <c r="H149" s="550"/>
      <c r="I149" s="550"/>
      <c r="J149" s="550"/>
      <c r="K149" s="550"/>
      <c r="L149" s="550"/>
      <c r="M149" s="550"/>
      <c r="N149" s="550"/>
      <c r="O149" s="550"/>
      <c r="P149" s="550"/>
      <c r="Q149" s="550"/>
      <c r="R149" s="550"/>
      <c r="S149" s="550"/>
      <c r="T149" s="983"/>
      <c r="U149" s="550"/>
      <c r="V149" s="550"/>
      <c r="W149" s="550"/>
      <c r="X149" s="983"/>
      <c r="Y149" s="550"/>
      <c r="Z149" s="550"/>
      <c r="AA149" s="550"/>
      <c r="AB149" s="550"/>
      <c r="AC149" s="550" t="s">
        <v>1582</v>
      </c>
      <c r="AD149" s="550" t="s">
        <v>1582</v>
      </c>
      <c r="AE149" s="550"/>
      <c r="AF149" s="550"/>
      <c r="AG149" s="550" t="s">
        <v>1577</v>
      </c>
      <c r="AH149" s="550" t="s">
        <v>1577</v>
      </c>
      <c r="AI149" s="550"/>
      <c r="AJ149" s="550"/>
      <c r="AK149" s="550" t="s">
        <v>1648</v>
      </c>
      <c r="AL149" s="550" t="s">
        <v>1648</v>
      </c>
      <c r="AM149" s="550"/>
      <c r="AN149" s="550"/>
      <c r="AO149" s="550" t="s">
        <v>1864</v>
      </c>
      <c r="AP149" s="550" t="s">
        <v>1864</v>
      </c>
      <c r="AQ149" s="550"/>
      <c r="AR149" s="550"/>
      <c r="AS149" s="550" t="s">
        <v>1975</v>
      </c>
      <c r="AT149" s="550" t="s">
        <v>1975</v>
      </c>
      <c r="AU149" s="550"/>
      <c r="AV149" s="550"/>
      <c r="AW149" s="550" t="s">
        <v>2078</v>
      </c>
      <c r="AX149" s="550" t="s">
        <v>2078</v>
      </c>
      <c r="AY149" s="550"/>
      <c r="AZ149" s="550"/>
      <c r="BA149" s="550" t="s">
        <v>2160</v>
      </c>
      <c r="BB149" s="550" t="s">
        <v>2160</v>
      </c>
      <c r="BC149" s="550"/>
      <c r="BD149" s="550"/>
      <c r="BE149" s="1245" t="s">
        <v>2255</v>
      </c>
      <c r="BF149" s="1245" t="s">
        <v>2255</v>
      </c>
      <c r="BG149" s="1245"/>
      <c r="BH149" s="1245"/>
      <c r="BI149" s="1245" t="s">
        <v>2326</v>
      </c>
      <c r="BJ149" s="1245" t="s">
        <v>2326</v>
      </c>
    </row>
    <row r="150" spans="1:63" s="459" customFormat="1" x14ac:dyDescent="0.2">
      <c r="D150" s="1177"/>
      <c r="E150" s="550"/>
      <c r="F150" s="550"/>
      <c r="G150" s="550"/>
      <c r="H150" s="550"/>
      <c r="I150" s="550"/>
      <c r="J150" s="550"/>
      <c r="K150" s="550"/>
      <c r="L150" s="550"/>
      <c r="M150" s="550"/>
      <c r="N150" s="550"/>
      <c r="O150" s="550"/>
      <c r="P150" s="550"/>
      <c r="Q150" s="840" t="e">
        <f>R150</f>
        <v>#REF!</v>
      </c>
      <c r="R150" s="840" t="e">
        <f>S150</f>
        <v>#REF!</v>
      </c>
      <c r="S150" s="840" t="e">
        <f>T150</f>
        <v>#REF!</v>
      </c>
      <c r="T150" s="840" t="e">
        <f>U150-1</f>
        <v>#REF!</v>
      </c>
      <c r="U150" s="840" t="e">
        <f>V150</f>
        <v>#REF!</v>
      </c>
      <c r="V150" s="840" t="e">
        <f>W150</f>
        <v>#REF!</v>
      </c>
      <c r="W150" s="840" t="e">
        <f>X150</f>
        <v>#REF!</v>
      </c>
      <c r="X150" s="840" t="e">
        <f>Y150-1</f>
        <v>#REF!</v>
      </c>
      <c r="Y150" s="840" t="e">
        <f>Z150</f>
        <v>#REF!</v>
      </c>
      <c r="Z150" s="840" t="e">
        <f>AB150</f>
        <v>#REF!</v>
      </c>
      <c r="AA150" s="840"/>
      <c r="AB150" s="840" t="e">
        <f>#REF!</f>
        <v>#REF!</v>
      </c>
      <c r="AC150" s="550" t="s">
        <v>1646</v>
      </c>
      <c r="AD150" s="550" t="s">
        <v>1646</v>
      </c>
      <c r="AE150" s="550" t="s">
        <v>1646</v>
      </c>
      <c r="AF150" s="550"/>
      <c r="AG150" s="550" t="s">
        <v>1645</v>
      </c>
      <c r="AH150" s="550" t="s">
        <v>1645</v>
      </c>
      <c r="AI150" s="550" t="s">
        <v>1645</v>
      </c>
      <c r="AJ150" s="550"/>
      <c r="AK150" s="550" t="s">
        <v>1647</v>
      </c>
      <c r="AL150" s="550" t="s">
        <v>1647</v>
      </c>
      <c r="AM150" s="550" t="s">
        <v>1647</v>
      </c>
      <c r="AN150" s="550"/>
      <c r="AO150" s="550" t="s">
        <v>1865</v>
      </c>
      <c r="AP150" s="550" t="s">
        <v>1865</v>
      </c>
      <c r="AQ150" s="550" t="s">
        <v>1865</v>
      </c>
      <c r="AR150" s="550" t="s">
        <v>1865</v>
      </c>
      <c r="AS150" s="550" t="s">
        <v>1950</v>
      </c>
      <c r="AT150" s="550" t="s">
        <v>1950</v>
      </c>
      <c r="AU150" s="550" t="s">
        <v>1950</v>
      </c>
      <c r="AV150" s="550"/>
      <c r="AW150" s="550" t="s">
        <v>2072</v>
      </c>
      <c r="AX150" s="550" t="s">
        <v>2072</v>
      </c>
      <c r="AY150" s="550" t="s">
        <v>2072</v>
      </c>
      <c r="AZ150" s="550"/>
      <c r="BA150" s="550" t="s">
        <v>2155</v>
      </c>
      <c r="BB150" s="550" t="s">
        <v>2155</v>
      </c>
      <c r="BC150" s="550" t="s">
        <v>2155</v>
      </c>
      <c r="BD150" s="550"/>
      <c r="BE150" s="40" t="s">
        <v>2254</v>
      </c>
      <c r="BF150" s="40" t="s">
        <v>2254</v>
      </c>
      <c r="BG150" s="40" t="s">
        <v>2254</v>
      </c>
      <c r="BH150" s="40"/>
      <c r="BI150" s="40" t="s">
        <v>2327</v>
      </c>
      <c r="BJ150" s="40" t="s">
        <v>2327</v>
      </c>
    </row>
    <row r="151" spans="1:63" s="459" customFormat="1" x14ac:dyDescent="0.2">
      <c r="A151" s="1178">
        <v>42705</v>
      </c>
      <c r="E151" s="550"/>
      <c r="F151" s="550"/>
      <c r="G151" s="550"/>
      <c r="H151" s="550"/>
      <c r="I151" s="550"/>
      <c r="J151" s="550"/>
      <c r="K151" s="550"/>
      <c r="L151" s="550"/>
      <c r="M151" s="550"/>
      <c r="N151" s="550"/>
      <c r="O151" s="550"/>
      <c r="P151" s="550"/>
      <c r="Q151" s="550"/>
      <c r="R151" s="550"/>
      <c r="S151" s="550"/>
      <c r="T151" s="550"/>
      <c r="U151" s="550"/>
      <c r="V151" s="550"/>
      <c r="W151" s="550"/>
      <c r="X151" s="550"/>
      <c r="Y151" s="550"/>
      <c r="Z151" s="550"/>
      <c r="AA151" s="550"/>
      <c r="AB151" s="550"/>
      <c r="AC151" s="840">
        <f>AD151</f>
        <v>2018</v>
      </c>
      <c r="AD151" s="840">
        <f>AE151</f>
        <v>2018</v>
      </c>
      <c r="AE151" s="840">
        <f>AF151</f>
        <v>2018</v>
      </c>
      <c r="AF151" s="840">
        <f>AG151-1</f>
        <v>2018</v>
      </c>
      <c r="AG151" s="1079">
        <v>2019</v>
      </c>
      <c r="AH151" s="1079">
        <v>2019</v>
      </c>
      <c r="AI151" s="1079">
        <v>2019</v>
      </c>
      <c r="AJ151" s="1079">
        <v>2019</v>
      </c>
      <c r="AK151" s="1079">
        <v>2020</v>
      </c>
      <c r="AL151" s="1079">
        <v>2020</v>
      </c>
      <c r="AM151" s="1079">
        <v>2020</v>
      </c>
      <c r="AN151" s="1079">
        <v>2020</v>
      </c>
      <c r="AO151" s="1079">
        <v>2021</v>
      </c>
      <c r="AP151" s="1079">
        <v>2021</v>
      </c>
      <c r="AQ151" s="1079">
        <v>2021</v>
      </c>
      <c r="AR151" s="1079">
        <v>2021</v>
      </c>
      <c r="AS151" s="1079">
        <v>2022</v>
      </c>
      <c r="AT151" s="1079">
        <v>2022</v>
      </c>
      <c r="AU151" s="1079">
        <v>2022</v>
      </c>
      <c r="AV151" s="1079">
        <v>2022</v>
      </c>
      <c r="AW151" s="1079">
        <v>2023</v>
      </c>
      <c r="AX151" s="1079">
        <v>2023</v>
      </c>
      <c r="AY151" s="1079">
        <v>2023</v>
      </c>
      <c r="AZ151" s="1079">
        <v>2023</v>
      </c>
      <c r="BA151" s="1079">
        <v>2024</v>
      </c>
      <c r="BB151" s="1079">
        <v>2024</v>
      </c>
      <c r="BC151" s="1079">
        <v>2024</v>
      </c>
      <c r="BD151" s="1079">
        <v>2024</v>
      </c>
      <c r="BE151" s="1246">
        <v>2025</v>
      </c>
      <c r="BF151" s="1246">
        <v>2025</v>
      </c>
      <c r="BG151" s="1246">
        <v>2025</v>
      </c>
      <c r="BH151" s="1246">
        <v>2025</v>
      </c>
      <c r="BI151" s="1246">
        <v>2026</v>
      </c>
      <c r="BJ151" s="1246">
        <v>2026</v>
      </c>
      <c r="BK151" s="1216"/>
    </row>
    <row r="152" spans="1:63" s="926" customFormat="1" x14ac:dyDescent="0.2">
      <c r="A152" s="1178">
        <v>42767</v>
      </c>
      <c r="E152" s="459"/>
      <c r="F152" s="459"/>
      <c r="G152" s="459"/>
      <c r="H152" s="459"/>
      <c r="I152" s="459"/>
      <c r="J152" s="459"/>
      <c r="K152" s="459"/>
      <c r="L152" s="459"/>
      <c r="M152" s="459"/>
      <c r="N152" s="459"/>
      <c r="O152" s="459"/>
      <c r="P152" s="459"/>
      <c r="Q152" s="459"/>
      <c r="AB152" s="266"/>
      <c r="AC152" s="266"/>
      <c r="AD152" s="266"/>
      <c r="AE152" s="266"/>
      <c r="AF152" s="266"/>
      <c r="AG152" s="266" t="s">
        <v>1645</v>
      </c>
      <c r="AH152" s="266" t="s">
        <v>1645</v>
      </c>
      <c r="AI152" s="266" t="s">
        <v>1645</v>
      </c>
      <c r="AJ152" s="266"/>
      <c r="AK152" s="266" t="s">
        <v>1647</v>
      </c>
      <c r="AL152" s="266" t="s">
        <v>1647</v>
      </c>
      <c r="AM152" s="266" t="s">
        <v>1647</v>
      </c>
      <c r="AN152" s="266" t="s">
        <v>1647</v>
      </c>
      <c r="AO152" s="266" t="s">
        <v>1647</v>
      </c>
      <c r="AP152" s="266"/>
      <c r="AT152" s="266"/>
      <c r="AU152" s="266"/>
      <c r="AV152" s="266"/>
      <c r="AW152" s="266"/>
      <c r="AX152" s="266"/>
      <c r="AY152" s="266"/>
      <c r="AZ152" s="266"/>
      <c r="BA152" s="266"/>
      <c r="BB152" s="266"/>
      <c r="BC152" s="266"/>
      <c r="BD152" s="266"/>
      <c r="BE152" s="266"/>
    </row>
    <row r="153" spans="1:63" x14ac:dyDescent="0.2">
      <c r="A153" s="1">
        <v>43070</v>
      </c>
      <c r="D153" s="1080"/>
      <c r="E153" s="550"/>
      <c r="F153" s="550"/>
      <c r="G153" s="550"/>
      <c r="H153" s="550"/>
      <c r="I153" s="550"/>
      <c r="J153" s="550"/>
      <c r="K153" s="550"/>
      <c r="L153" s="550"/>
      <c r="M153" s="550"/>
      <c r="N153" s="550"/>
      <c r="O153" s="550"/>
      <c r="P153" s="550"/>
      <c r="Q153" s="840"/>
      <c r="R153" s="840"/>
      <c r="S153" s="840"/>
      <c r="T153" s="840">
        <f>X153-1</f>
        <v>2015</v>
      </c>
      <c r="U153" s="840"/>
      <c r="V153" s="840"/>
      <c r="W153" s="840"/>
      <c r="X153" s="840">
        <f>AB153-1</f>
        <v>2016</v>
      </c>
      <c r="Y153" s="840"/>
      <c r="Z153" s="840"/>
      <c r="AA153" s="840"/>
      <c r="AB153" s="840">
        <f>AF153-1</f>
        <v>2017</v>
      </c>
      <c r="AC153" s="840"/>
      <c r="AD153" s="840"/>
      <c r="AE153" s="840"/>
      <c r="AF153" s="840">
        <f>AJ153-1</f>
        <v>2018</v>
      </c>
      <c r="AG153" s="841"/>
      <c r="AH153" s="841"/>
      <c r="AI153" s="841"/>
      <c r="AJ153" s="841">
        <v>2019</v>
      </c>
      <c r="AK153" s="841"/>
      <c r="AL153" s="841"/>
      <c r="AM153" s="841"/>
      <c r="AN153" s="841"/>
      <c r="AO153" s="841"/>
      <c r="AP153" s="266"/>
      <c r="AQ153" s="266"/>
      <c r="AR153" s="266"/>
      <c r="AS153" s="266"/>
      <c r="AX153" s="926"/>
      <c r="AY153" s="266"/>
      <c r="AZ153" s="266"/>
      <c r="BA153" s="266"/>
      <c r="BB153" s="266"/>
      <c r="BC153" s="266"/>
      <c r="BD153" s="266"/>
      <c r="BE153" s="266"/>
      <c r="BF153" s="266"/>
      <c r="BG153" s="266"/>
      <c r="BH153" s="266"/>
      <c r="BI153" s="266"/>
      <c r="BJ153" s="266"/>
    </row>
    <row r="154" spans="1:63" x14ac:dyDescent="0.2">
      <c r="A154" s="746">
        <v>43132</v>
      </c>
      <c r="D154" s="266"/>
      <c r="E154" s="550"/>
      <c r="F154" s="550"/>
      <c r="G154" s="550"/>
      <c r="H154" s="550"/>
      <c r="I154" s="550"/>
      <c r="J154" s="550"/>
      <c r="K154" s="550"/>
      <c r="L154" s="550"/>
      <c r="M154" s="550"/>
      <c r="N154" s="550"/>
      <c r="O154" s="550"/>
      <c r="P154" s="550"/>
      <c r="Q154" s="550"/>
      <c r="R154" s="266"/>
      <c r="S154" s="266"/>
      <c r="T154" s="266"/>
      <c r="U154" s="266"/>
      <c r="V154" s="266"/>
      <c r="W154" s="266"/>
      <c r="X154" s="266"/>
      <c r="Y154" s="266"/>
      <c r="Z154" s="266"/>
      <c r="AA154" s="266"/>
      <c r="AB154" s="266"/>
      <c r="AC154" s="1081"/>
      <c r="AD154" s="266"/>
      <c r="AE154" s="266"/>
      <c r="AF154" s="266"/>
      <c r="AG154" s="266"/>
      <c r="AH154" s="266"/>
      <c r="AI154" s="266"/>
      <c r="AJ154" s="266"/>
      <c r="AK154" s="266"/>
      <c r="AL154" s="266"/>
      <c r="AM154" s="266"/>
      <c r="AN154" s="266"/>
      <c r="AO154" s="266"/>
      <c r="AP154" s="266"/>
      <c r="AQ154" s="266"/>
      <c r="AR154" s="266"/>
      <c r="AS154" s="266"/>
      <c r="AX154" s="926"/>
      <c r="AY154" s="266"/>
      <c r="AZ154" s="266"/>
      <c r="BA154" s="266"/>
      <c r="BB154" s="266"/>
      <c r="BC154" s="266"/>
      <c r="BD154" s="266"/>
      <c r="BE154" s="266"/>
      <c r="BF154" s="266"/>
      <c r="BG154" s="266"/>
      <c r="BH154" s="266"/>
      <c r="BI154" s="266"/>
      <c r="BJ154" s="266"/>
    </row>
    <row r="155" spans="1:63" x14ac:dyDescent="0.2">
      <c r="A155" s="746">
        <v>43435</v>
      </c>
      <c r="AC155" s="1039"/>
      <c r="AX155" s="926"/>
      <c r="AY155" s="266"/>
      <c r="AZ155" s="266"/>
      <c r="BA155" s="266"/>
      <c r="BB155" s="266"/>
      <c r="BC155" s="266"/>
      <c r="BD155" s="266"/>
      <c r="BE155" s="266"/>
      <c r="BF155" s="266"/>
      <c r="BG155" s="266"/>
      <c r="BH155" s="266"/>
      <c r="BI155" s="266"/>
      <c r="BJ155" s="266"/>
    </row>
    <row r="156" spans="1:63" x14ac:dyDescent="0.2">
      <c r="A156" s="746">
        <v>43497</v>
      </c>
      <c r="AX156" s="926"/>
      <c r="AY156" s="266"/>
      <c r="AZ156" s="266"/>
      <c r="BA156" s="266"/>
      <c r="BB156" s="266"/>
      <c r="BC156" s="266"/>
      <c r="BD156" s="266"/>
      <c r="BE156" s="266"/>
      <c r="BF156" s="266"/>
      <c r="BG156" s="266"/>
      <c r="BH156" s="266"/>
      <c r="BI156" s="266"/>
      <c r="BJ156" s="266"/>
    </row>
    <row r="157" spans="1:63" x14ac:dyDescent="0.2">
      <c r="A157" s="746">
        <v>43617</v>
      </c>
      <c r="AX157" s="926"/>
      <c r="AY157" s="266"/>
      <c r="AZ157" s="266"/>
      <c r="BA157" s="266"/>
      <c r="BB157" s="266"/>
      <c r="BC157" s="266"/>
      <c r="BD157" s="266"/>
      <c r="BE157" s="266"/>
      <c r="BF157" s="266"/>
      <c r="BG157" s="266"/>
      <c r="BH157" s="266"/>
      <c r="BI157" s="266"/>
      <c r="BJ157" s="266"/>
    </row>
    <row r="158" spans="1:63" x14ac:dyDescent="0.2">
      <c r="A158" s="746">
        <v>43800</v>
      </c>
      <c r="AX158" s="926"/>
      <c r="AY158" s="266"/>
      <c r="AZ158" s="266"/>
      <c r="BA158" s="266"/>
      <c r="BB158" s="266"/>
      <c r="BC158" s="266"/>
      <c r="BD158" s="266"/>
      <c r="BE158" s="266"/>
      <c r="BF158" s="266"/>
      <c r="BG158" s="266"/>
      <c r="BH158" s="266"/>
      <c r="BI158" s="266"/>
      <c r="BJ158" s="266"/>
    </row>
    <row r="159" spans="1:63" x14ac:dyDescent="0.2">
      <c r="A159" s="746">
        <v>43983</v>
      </c>
      <c r="AZ159" s="926"/>
      <c r="BA159" s="926"/>
      <c r="BB159" s="926"/>
      <c r="BC159" s="926"/>
      <c r="BD159" s="926"/>
      <c r="BE159" s="926"/>
      <c r="BF159" s="926"/>
      <c r="BG159" s="926"/>
      <c r="BH159" s="926"/>
      <c r="BI159" s="926"/>
      <c r="BJ159" s="926"/>
    </row>
    <row r="160" spans="1:63" x14ac:dyDescent="0.2">
      <c r="A160" s="746">
        <v>44013</v>
      </c>
      <c r="AZ160" s="926"/>
      <c r="BA160" s="926"/>
      <c r="BB160" s="926"/>
      <c r="BC160" s="926"/>
      <c r="BD160" s="926"/>
      <c r="BE160" s="926"/>
      <c r="BF160" s="926"/>
      <c r="BG160" s="926"/>
      <c r="BH160" s="926"/>
      <c r="BI160" s="926"/>
      <c r="BJ160" s="926"/>
    </row>
    <row r="161" spans="1:62" x14ac:dyDescent="0.2">
      <c r="A161" s="746">
        <v>44044</v>
      </c>
      <c r="AZ161" s="926"/>
      <c r="BA161" s="926"/>
      <c r="BB161" s="926"/>
      <c r="BC161" s="926"/>
      <c r="BD161" s="926"/>
      <c r="BE161" s="926"/>
      <c r="BF161" s="926"/>
      <c r="BG161" s="926"/>
      <c r="BH161" s="926"/>
      <c r="BI161" s="926"/>
      <c r="BJ161" s="926"/>
    </row>
    <row r="162" spans="1:62" x14ac:dyDescent="0.2">
      <c r="A162" s="746">
        <v>44287</v>
      </c>
      <c r="AZ162" s="926"/>
      <c r="BA162" s="926"/>
      <c r="BB162" s="926"/>
      <c r="BC162" s="926"/>
      <c r="BD162" s="926"/>
      <c r="BE162" s="926"/>
      <c r="BF162" s="926"/>
      <c r="BG162" s="926"/>
      <c r="BH162" s="926"/>
      <c r="BI162" s="926"/>
      <c r="BJ162" s="926"/>
    </row>
    <row r="163" spans="1:62" x14ac:dyDescent="0.2">
      <c r="A163" s="746">
        <v>44378</v>
      </c>
      <c r="AZ163" s="926"/>
      <c r="BA163" s="926"/>
      <c r="BB163" s="926"/>
      <c r="BC163" s="926"/>
      <c r="BD163" s="926"/>
      <c r="BE163" s="926"/>
      <c r="BF163" s="926"/>
      <c r="BG163" s="926"/>
      <c r="BH163" s="926"/>
      <c r="BI163" s="926"/>
      <c r="BJ163" s="926"/>
    </row>
    <row r="164" spans="1:62" x14ac:dyDescent="0.2">
      <c r="A164" s="746">
        <v>44621</v>
      </c>
      <c r="AZ164" s="926"/>
      <c r="BA164" s="926"/>
      <c r="BB164" s="926"/>
      <c r="BC164" s="926"/>
      <c r="BD164" s="926"/>
      <c r="BE164" s="926"/>
      <c r="BF164" s="926"/>
      <c r="BG164" s="926"/>
      <c r="BH164" s="926"/>
      <c r="BI164" s="926"/>
      <c r="BJ164" s="926"/>
    </row>
    <row r="165" spans="1:62" x14ac:dyDescent="0.2">
      <c r="A165" s="746">
        <v>44652</v>
      </c>
    </row>
    <row r="166" spans="1:62" x14ac:dyDescent="0.2">
      <c r="A166" s="746">
        <v>44986</v>
      </c>
    </row>
    <row r="167" spans="1:62" x14ac:dyDescent="0.2">
      <c r="A167" s="746">
        <v>45108</v>
      </c>
    </row>
    <row r="168" spans="1:62" x14ac:dyDescent="0.2">
      <c r="A168" s="746">
        <v>45139</v>
      </c>
    </row>
    <row r="169" spans="1:62" x14ac:dyDescent="0.2">
      <c r="A169" s="746">
        <v>45383</v>
      </c>
    </row>
    <row r="170" spans="1:62" x14ac:dyDescent="0.2">
      <c r="A170" s="746">
        <v>45870</v>
      </c>
    </row>
    <row r="171" spans="1:62" x14ac:dyDescent="0.2">
      <c r="A171" s="1137">
        <v>46023</v>
      </c>
    </row>
    <row r="172" spans="1:62" x14ac:dyDescent="0.2">
      <c r="A172" s="1137">
        <v>46388</v>
      </c>
    </row>
    <row r="173" spans="1:62" x14ac:dyDescent="0.2">
      <c r="A173" s="1137">
        <v>46753</v>
      </c>
    </row>
    <row r="174" spans="1:62" x14ac:dyDescent="0.2">
      <c r="A174" s="1137">
        <v>47119</v>
      </c>
    </row>
    <row r="175" spans="1:62" x14ac:dyDescent="0.2">
      <c r="A175" s="1137">
        <v>47484</v>
      </c>
    </row>
    <row r="176" spans="1:62" x14ac:dyDescent="0.2">
      <c r="A176" s="1137">
        <v>47849</v>
      </c>
    </row>
    <row r="177" spans="1:1" x14ac:dyDescent="0.2">
      <c r="A177" s="1137">
        <v>48214</v>
      </c>
    </row>
    <row r="178" spans="1:1" x14ac:dyDescent="0.2">
      <c r="A178" s="1" t="s">
        <v>2180</v>
      </c>
    </row>
  </sheetData>
  <sheetProtection formatCells="0" formatColumns="0" formatRows="0" insertColumns="0" insertRows="0" insertHyperlinks="0" deleteColumns="0" deleteRows="0" selectLockedCells="1" selectUnlockedCells="1"/>
  <mergeCells count="3">
    <mergeCell ref="L10:M10"/>
    <mergeCell ref="L22:M22"/>
    <mergeCell ref="L55:M55"/>
  </mergeCells>
  <phoneticPr fontId="186" type="noConversion"/>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2">
    <tabColor rgb="FFFAB766"/>
    <pageSetUpPr autoPageBreaks="0"/>
  </sheetPr>
  <dimension ref="A1:BF116"/>
  <sheetViews>
    <sheetView showGridLines="0" topLeftCell="C1" zoomScaleNormal="100" workbookViewId="0">
      <selection activeCell="P10" sqref="P10"/>
    </sheetView>
  </sheetViews>
  <sheetFormatPr defaultColWidth="9.140625" defaultRowHeight="12.75" x14ac:dyDescent="0.2"/>
  <cols>
    <col min="1" max="2" width="9.140625" style="1" hidden="1" customWidth="1"/>
    <col min="3" max="3" width="1.42578125" style="1" customWidth="1"/>
    <col min="4" max="4" width="26.42578125" style="1" bestFit="1" customWidth="1"/>
    <col min="5" max="5" width="9.5703125" style="38" bestFit="1" customWidth="1"/>
    <col min="6" max="7" width="10.85546875" style="38" customWidth="1"/>
    <col min="8" max="8" width="13" style="38" customWidth="1"/>
    <col min="9" max="14" width="10.85546875" style="38" customWidth="1"/>
    <col min="15" max="15" width="19.5703125" style="38" bestFit="1" customWidth="1"/>
    <col min="16" max="16" width="17.5703125" style="38" customWidth="1"/>
    <col min="17" max="18" width="10.85546875" style="38" customWidth="1"/>
    <col min="19" max="19" width="10.85546875" style="1" customWidth="1"/>
    <col min="20" max="20" width="9.140625" style="1"/>
    <col min="21" max="21" width="10.85546875" style="1" bestFit="1" customWidth="1"/>
    <col min="22" max="22" width="11" style="1" bestFit="1" customWidth="1"/>
    <col min="23" max="23" width="11" style="550" customWidth="1"/>
    <col min="24" max="24" width="11" style="266" bestFit="1" customWidth="1"/>
    <col min="25" max="25" width="11" style="1" bestFit="1" customWidth="1"/>
    <col min="26" max="26" width="12.140625" style="1" bestFit="1" customWidth="1"/>
    <col min="27" max="27" width="14" style="1" bestFit="1" customWidth="1"/>
    <col min="28" max="32" width="11" style="1" bestFit="1" customWidth="1"/>
    <col min="33" max="33" width="9.140625" style="1"/>
    <col min="34" max="38" width="11" style="1" bestFit="1" customWidth="1"/>
    <col min="39" max="39" width="9.140625" style="1"/>
    <col min="40" max="44" width="11" style="1" bestFit="1" customWidth="1"/>
    <col min="45" max="45" width="9.140625" style="1"/>
    <col min="46" max="48" width="11" style="1" bestFit="1" customWidth="1"/>
    <col min="49" max="49" width="9.140625" style="1"/>
    <col min="50" max="53" width="11" style="1" bestFit="1" customWidth="1"/>
    <col min="54" max="54" width="9.140625" style="1"/>
    <col min="55" max="58" width="11" style="1" bestFit="1" customWidth="1"/>
    <col min="59" max="16384" width="9.140625" style="1"/>
  </cols>
  <sheetData>
    <row r="1" spans="1:58" s="580" customFormat="1" ht="12.75" customHeight="1" x14ac:dyDescent="0.2">
      <c r="A1" s="579"/>
      <c r="B1" s="579"/>
      <c r="C1" s="579"/>
      <c r="E1" s="787" t="s">
        <v>1578</v>
      </c>
      <c r="F1" s="787" t="s">
        <v>1579</v>
      </c>
      <c r="G1" s="787" t="s">
        <v>1077</v>
      </c>
      <c r="H1" s="787" t="s">
        <v>1580</v>
      </c>
      <c r="I1" s="787" t="s">
        <v>1571</v>
      </c>
      <c r="J1" s="787" t="s">
        <v>1078</v>
      </c>
      <c r="K1" s="787" t="s">
        <v>1581</v>
      </c>
      <c r="L1" s="787" t="s">
        <v>2125</v>
      </c>
      <c r="M1" s="787" t="s">
        <v>1158</v>
      </c>
      <c r="N1" s="579">
        <v>43045</v>
      </c>
      <c r="O1" s="579">
        <v>42951</v>
      </c>
      <c r="P1" s="581"/>
      <c r="Q1" s="579">
        <v>42853</v>
      </c>
      <c r="R1" s="581"/>
      <c r="S1" s="579">
        <v>42247</v>
      </c>
      <c r="T1" s="581"/>
      <c r="U1" s="581"/>
      <c r="V1" s="579">
        <v>41758</v>
      </c>
      <c r="W1" s="581"/>
      <c r="X1" s="579">
        <v>41590</v>
      </c>
      <c r="Y1" s="579">
        <v>41502</v>
      </c>
      <c r="Z1" s="579">
        <v>41502</v>
      </c>
      <c r="AA1" s="581"/>
      <c r="AB1" s="579">
        <v>41394</v>
      </c>
      <c r="AC1" s="579">
        <v>41221</v>
      </c>
      <c r="AD1" s="579">
        <v>41221</v>
      </c>
      <c r="AE1" s="579">
        <v>41138</v>
      </c>
      <c r="AF1" s="579">
        <v>41138</v>
      </c>
      <c r="AG1" s="581"/>
      <c r="AH1" s="579">
        <v>41009</v>
      </c>
      <c r="AI1" s="579">
        <v>40855</v>
      </c>
      <c r="AJ1" s="579">
        <v>40855</v>
      </c>
      <c r="AK1" s="579">
        <v>40766</v>
      </c>
      <c r="AL1" s="579">
        <v>40766</v>
      </c>
      <c r="AM1" s="581"/>
      <c r="AN1" s="579">
        <v>40637</v>
      </c>
      <c r="AO1" s="579">
        <v>40486</v>
      </c>
      <c r="AP1" s="579">
        <v>40486</v>
      </c>
      <c r="AQ1" s="579">
        <v>40394</v>
      </c>
      <c r="AR1" s="579">
        <v>40394</v>
      </c>
      <c r="AS1" s="581"/>
      <c r="AT1" s="579">
        <v>40288</v>
      </c>
      <c r="AU1" s="579">
        <v>40114</v>
      </c>
      <c r="AV1" s="579">
        <v>40038</v>
      </c>
      <c r="AW1" s="581"/>
      <c r="AX1" s="579">
        <v>39933</v>
      </c>
      <c r="AY1" s="579">
        <v>39881</v>
      </c>
      <c r="AZ1" s="579">
        <v>39734</v>
      </c>
      <c r="BA1" s="579">
        <v>39687</v>
      </c>
      <c r="BB1" s="581"/>
      <c r="BC1" s="579">
        <v>39561</v>
      </c>
      <c r="BD1" s="579">
        <v>39524</v>
      </c>
      <c r="BE1" s="579">
        <v>39395</v>
      </c>
      <c r="BF1" s="579">
        <v>39304</v>
      </c>
    </row>
    <row r="2" spans="1:58" s="580" customFormat="1" ht="12.75" customHeight="1" x14ac:dyDescent="0.2">
      <c r="E2" s="787" t="s">
        <v>1573</v>
      </c>
      <c r="F2" s="787" t="s">
        <v>1584</v>
      </c>
      <c r="G2" s="787" t="s">
        <v>1574</v>
      </c>
      <c r="H2" s="787" t="s">
        <v>1575</v>
      </c>
      <c r="I2" s="787" t="s">
        <v>1572</v>
      </c>
      <c r="J2" s="787" t="s">
        <v>561</v>
      </c>
      <c r="K2" s="787" t="s">
        <v>562</v>
      </c>
      <c r="L2" s="787" t="s">
        <v>2124</v>
      </c>
      <c r="M2" s="787" t="str">
        <f ca="1">SUBSTITUTE(MID(CELL("endereço",M1),2,2),"$","")</f>
        <v>M</v>
      </c>
      <c r="N2" s="582">
        <f>IF(N1="","",IF([1]RENAME!$H$3=0,N1,TEXT(N1,"m/d/aa")))</f>
        <v>43045</v>
      </c>
      <c r="O2" s="582">
        <f>IF(O1="","",IF([1]RENAME!$H$3=0,O1,TEXT(O1,"m/d/aa")))</f>
        <v>42951</v>
      </c>
      <c r="P2" s="582" t="str">
        <f>IF(P1="","",IF([1]RENAME!$H$3=0,P1,TEXT(P1,"m/d/aa")))</f>
        <v/>
      </c>
      <c r="Q2" s="582">
        <f>IF(Q1="","",IF([1]RENAME!$H$3=0,Q1,TEXT(Q1,"m/d/aa")))</f>
        <v>42853</v>
      </c>
      <c r="R2" s="582" t="str">
        <f>IF(R1="","",IF([1]RENAME!$H$3=0,R1,TEXT(R1,"m/d/aa")))</f>
        <v/>
      </c>
      <c r="S2" s="582">
        <f>IF(S1="","",IF([1]RENAME!$H$3=0,S1,TEXT(S1,"m/d/aa")))</f>
        <v>42247</v>
      </c>
      <c r="T2" s="582" t="str">
        <f>IF(T1="","",IF([1]RENAME!$H$3=0,T1,TEXT(T1,"m/d/aa")))</f>
        <v/>
      </c>
      <c r="U2" s="582" t="str">
        <f>IF(U1="","",IF([1]RENAME!$H$3=0,U1,TEXT(U1,"m/d/aa")))</f>
        <v/>
      </c>
      <c r="V2" s="582">
        <f>IF(V1="","",IF([1]RENAME!$H$3=0,V1,TEXT(V1,"m/d/aa")))</f>
        <v>41758</v>
      </c>
      <c r="W2" s="582" t="str">
        <f>IF(W1="","",IF([1]RENAME!$H$3=0,W1,TEXT(W1,"m/d/aa:@")))</f>
        <v/>
      </c>
      <c r="X2" s="582">
        <f>IF(X1="","",IF([1]RENAME!$H$3=0,X1,TEXT(X1,"m/d/aa")))</f>
        <v>41590</v>
      </c>
      <c r="Y2" s="582">
        <f>IF(Y1="","",IF([1]RENAME!$H$3=0,Y1,TEXT(Y1,"m/d/aa")))</f>
        <v>41502</v>
      </c>
      <c r="Z2" s="582">
        <f>IF(Z1="","",IF([1]RENAME!$H$3=0,Z1,TEXT(Z1,"m/d/aa")))</f>
        <v>41502</v>
      </c>
      <c r="AA2" s="582" t="str">
        <f>IF(AA1="","",IF([1]RENAME!$H$3=0,AA1,TEXT(AA1,"m/d/aa")))</f>
        <v/>
      </c>
      <c r="AB2" s="582">
        <f>IF(AB1="","",IF([1]RENAME!$H$3=0,AB1,TEXT(AB1,"m/d/aa")))</f>
        <v>41394</v>
      </c>
      <c r="AC2" s="582">
        <f>IF(AC1="","",IF([1]RENAME!$H$3=0,AC1,TEXT(AC1,"m/d/aa")))</f>
        <v>41221</v>
      </c>
      <c r="AD2" s="582">
        <f>IF(AD1="","",IF([1]RENAME!$H$3=0,AD1,TEXT(AD1,"m/d/aa")))</f>
        <v>41221</v>
      </c>
      <c r="AE2" s="582">
        <f>IF(AE1="","",IF([1]RENAME!$H$3=0,AE1,TEXT(AE1,"m/d/aa")))</f>
        <v>41138</v>
      </c>
      <c r="AF2" s="582">
        <f>IF(AF1="","",IF([1]RENAME!$H$3=0,AF1,TEXT(AF1,"m/d/aa")))</f>
        <v>41138</v>
      </c>
      <c r="AG2" s="582" t="str">
        <f>IF(AG1="","",IF([1]RENAME!$H$3=0,AG1,TEXT(AG1,"m/d/aa")))</f>
        <v/>
      </c>
      <c r="AH2" s="582">
        <f>IF(AH1="","",IF([1]RENAME!$H$3=0,AH1,TEXT(AH1,"m/d/aa")))</f>
        <v>41009</v>
      </c>
      <c r="AI2" s="582">
        <f>IF(AI1="","",IF([1]RENAME!$H$3=0,AI1,TEXT(AI1,"m/d/aa")))</f>
        <v>40855</v>
      </c>
      <c r="AJ2" s="582">
        <f>IF(AJ1="","",IF([1]RENAME!$H$3=0,AJ1,TEXT(AJ1,"m/d/aa")))</f>
        <v>40855</v>
      </c>
      <c r="AK2" s="582">
        <f>IF(AK1="","",IF([1]RENAME!$H$3=0,AK1,TEXT(AK1,"m/d/aa")))</f>
        <v>40766</v>
      </c>
      <c r="AL2" s="582">
        <f>IF(AL1="","",IF([1]RENAME!$H$3=0,AL1,TEXT(AL1,"m/d/aa")))</f>
        <v>40766</v>
      </c>
      <c r="AM2" s="582" t="str">
        <f>IF(AM1="","",IF([1]RENAME!$H$3=0,AM1,TEXT(AM1,"m/d/aa")))</f>
        <v/>
      </c>
      <c r="AN2" s="582">
        <f>IF(AN1="","",IF([1]RENAME!$H$3=0,AN1,TEXT(AN1,"m/d/aa")))</f>
        <v>40637</v>
      </c>
      <c r="AO2" s="582">
        <f>IF(AO1="","",IF([1]RENAME!$H$3=0,AO1,TEXT(AO1,"m/d/aa")))</f>
        <v>40486</v>
      </c>
      <c r="AP2" s="582">
        <f>IF(AP1="","",IF([1]RENAME!$H$3=0,AP1,TEXT(AP1,"m/d/aa")))</f>
        <v>40486</v>
      </c>
      <c r="AQ2" s="582">
        <f>IF(AQ1="","",IF([1]RENAME!$H$3=0,AQ1,TEXT(AQ1,"m/d/aa")))</f>
        <v>40394</v>
      </c>
      <c r="AR2" s="582">
        <f>IF(AR1="","",IF([1]RENAME!$H$3=0,AR1,TEXT(AR1,"m/d/aa")))</f>
        <v>40394</v>
      </c>
      <c r="AS2" s="582" t="str">
        <f>IF(AS1="","",IF([1]RENAME!$H$3=0,AS1,TEXT(AS1,"m/d/aa")))</f>
        <v/>
      </c>
      <c r="AT2" s="582">
        <f>IF(AT1="","",IF([1]RENAME!$H$3=0,AT1,TEXT(AT1,"m/d/aa")))</f>
        <v>40288</v>
      </c>
      <c r="AU2" s="582">
        <f>IF(AU1="","",IF([1]RENAME!$H$3=0,AU1,TEXT(AU1,"m/d/aa")))</f>
        <v>40114</v>
      </c>
      <c r="AV2" s="582">
        <f>IF(AV1="","",IF([1]RENAME!$H$3=0,AV1,TEXT(AV1,"m/d/aa")))</f>
        <v>40038</v>
      </c>
      <c r="AW2" s="582" t="str">
        <f>IF(AW1="","",IF([1]RENAME!$H$3=0,AW1,TEXT(AW1,"m/d/aa")))</f>
        <v/>
      </c>
      <c r="AX2" s="582">
        <f>IF(AX1="","",IF([1]RENAME!$H$3=0,AX1,TEXT(AX1,"m/d/aa")))</f>
        <v>39933</v>
      </c>
      <c r="AY2" s="582">
        <f>IF(AY1="","",IF([1]RENAME!$H$3=0,AY1,TEXT(AY1,"m/d/aa")))</f>
        <v>39881</v>
      </c>
      <c r="AZ2" s="582">
        <f>IF(AZ1="","",IF([1]RENAME!$H$3=0,AZ1,TEXT(AZ1,"m/d/aa")))</f>
        <v>39734</v>
      </c>
      <c r="BA2" s="582">
        <f>IF(BA1="","",IF([1]RENAME!$H$3=0,BA1,TEXT(BA1,"m/d/aa")))</f>
        <v>39687</v>
      </c>
      <c r="BB2" s="582" t="str">
        <f>IF(BB1="","",IF([1]RENAME!$H$3=0,BB1,TEXT(BB1,"m/d/aa")))</f>
        <v/>
      </c>
      <c r="BC2" s="582">
        <f>IF(BC1="","",IF([1]RENAME!$H$3=0,BC1,TEXT(BC1,"m/d/aa")))</f>
        <v>39561</v>
      </c>
      <c r="BD2" s="582">
        <f>IF(BD1="","",IF([1]RENAME!$H$3=0,BD1,TEXT(BD1,"m/d/aa")))</f>
        <v>39524</v>
      </c>
      <c r="BE2" s="582">
        <f>IF(BE1="","",IF([1]RENAME!$H$3=0,BE1,TEXT(BE1,"m/d/aa")))</f>
        <v>39395</v>
      </c>
      <c r="BF2" s="582">
        <f>IF(BF1="","",IF([1]RENAME!$H$3=0,BF1,TEXT(BF1,"m/d/aa")))</f>
        <v>39304</v>
      </c>
    </row>
    <row r="3" spans="1:58" x14ac:dyDescent="0.2">
      <c r="C3" s="9"/>
      <c r="D3" s="9"/>
      <c r="E3" s="784"/>
      <c r="F3" s="784"/>
      <c r="G3" s="784"/>
      <c r="H3" s="784"/>
      <c r="I3" s="784"/>
      <c r="J3" s="784"/>
      <c r="K3" s="11"/>
      <c r="L3" s="784"/>
      <c r="M3" s="11"/>
      <c r="N3" s="11"/>
      <c r="O3" s="11"/>
      <c r="P3" s="11"/>
      <c r="Q3" s="11"/>
      <c r="R3" s="11"/>
      <c r="W3" s="11"/>
      <c r="X3" s="1"/>
    </row>
    <row r="4" spans="1:58" customFormat="1" ht="13.5" thickBot="1" x14ac:dyDescent="0.25">
      <c r="J4" s="246"/>
      <c r="W4" s="774"/>
    </row>
    <row r="5" spans="1:58" customFormat="1" ht="39" thickBot="1" x14ac:dyDescent="0.25">
      <c r="A5" t="s">
        <v>560</v>
      </c>
      <c r="B5" t="s">
        <v>863</v>
      </c>
      <c r="D5" s="290" t="str">
        <f>IF([1]RENAME!$H$3=1,B5,A5)</f>
        <v>Proventos em Dinheiro</v>
      </c>
      <c r="E5" s="291" t="str">
        <f>IF([1]RENAME!$H$3=1,E1,E2)</f>
        <v>Deliberado em</v>
      </c>
      <c r="F5" s="291" t="str">
        <f>IF([1]RENAME!$H$3=1,F1,F2)</f>
        <v>Última data antes EX</v>
      </c>
      <c r="G5" s="291" t="str">
        <f>IF([1]RENAME!$H$3=1,G1,G2)</f>
        <v>Valor (R$ por ação)</v>
      </c>
      <c r="H5" s="291" t="str">
        <f>IF([1]RENAME!$H$3=1,H1,H2)</f>
        <v>Relativo a</v>
      </c>
      <c r="I5" s="291" t="str">
        <f>IF([1]RENAME!$H$3=1,I1,I2)</f>
        <v>Data de pagamento</v>
      </c>
      <c r="J5" s="292" t="str">
        <f>IF([1]RENAME!$H$3=1,J1,J2)</f>
        <v>Montante (R$ mil)</v>
      </c>
      <c r="K5" s="290" t="str">
        <f>IF([1]RENAME!$H$3=1,K1,K2)</f>
        <v>Cotação Data da Deliberação</v>
      </c>
      <c r="L5" s="291" t="str">
        <f>IF([1]RENAME!$H$3=1,L1,L2)</f>
        <v>Div yield últimos 12 meses</v>
      </c>
      <c r="M5" s="293" t="s">
        <v>1585</v>
      </c>
      <c r="N5" s="1139"/>
      <c r="W5" s="610"/>
      <c r="X5" s="547"/>
    </row>
    <row r="6" spans="1:58" customFormat="1" ht="13.5" thickBot="1" x14ac:dyDescent="0.25">
      <c r="D6" s="1053">
        <v>2026</v>
      </c>
      <c r="E6" s="1054" t="str">
        <f>IF(W6="","",IF([1]RENAME!$H$3=0,W6,TEXT(W6,"m/d/aa")))</f>
        <v/>
      </c>
      <c r="F6" s="294"/>
      <c r="G6" s="294">
        <f>SUM(G7:G8)</f>
        <v>1.1400000000000001</v>
      </c>
      <c r="H6" s="294"/>
      <c r="I6" s="294"/>
      <c r="J6" s="1055">
        <f>SUM(J7:J8)</f>
        <v>75169.060079999996</v>
      </c>
      <c r="K6" s="1056"/>
      <c r="L6" s="1200">
        <f>(1+L8)*(1+L7)-1</f>
        <v>3.8273888888888941E-2</v>
      </c>
      <c r="M6" s="795">
        <f>+J6/SUM(DRE!BN30:BO30)</f>
        <v>0.61665245869714047</v>
      </c>
      <c r="N6" s="1139"/>
      <c r="W6" s="610"/>
      <c r="X6" s="547"/>
    </row>
    <row r="7" spans="1:58" customFormat="1" ht="13.5" thickBot="1" x14ac:dyDescent="0.25">
      <c r="A7" t="s">
        <v>563</v>
      </c>
      <c r="B7" t="s">
        <v>648</v>
      </c>
      <c r="D7" s="296" t="str">
        <f>IF([1]RENAME!$H$3=1,B7,A7)</f>
        <v xml:space="preserve">Dividendo </v>
      </c>
      <c r="E7" s="1104">
        <v>46237</v>
      </c>
      <c r="F7" s="1104">
        <v>46240</v>
      </c>
      <c r="G7" s="1105">
        <f>+[6]FINAL!$F$8</f>
        <v>0.85</v>
      </c>
      <c r="H7" s="1229" t="s">
        <v>2326</v>
      </c>
      <c r="I7" s="1104">
        <v>46252</v>
      </c>
      <c r="J7" s="1119">
        <f>+[6]MemóriaCal!$C$9/1000</f>
        <v>56047.106199999995</v>
      </c>
      <c r="K7" s="1173">
        <v>30</v>
      </c>
      <c r="L7" s="1221">
        <f>+G7/K7</f>
        <v>2.8333333333333332E-2</v>
      </c>
      <c r="M7" s="1255">
        <f>+SUM(J7:J8)/(SUM(DRE!BN30:BO30))</f>
        <v>0.61665245869714047</v>
      </c>
      <c r="N7" s="1139"/>
      <c r="W7" s="610"/>
      <c r="X7" s="547"/>
    </row>
    <row r="8" spans="1:58" customFormat="1" ht="13.5" thickBot="1" x14ac:dyDescent="0.25">
      <c r="A8" t="s">
        <v>565</v>
      </c>
      <c r="B8" t="s">
        <v>864</v>
      </c>
      <c r="D8" s="296" t="str">
        <f>IF([1]RENAME!$H$3=1,B8,A8)</f>
        <v>Juros</v>
      </c>
      <c r="E8" s="1104">
        <v>46237</v>
      </c>
      <c r="F8" s="1104">
        <v>46240</v>
      </c>
      <c r="G8" s="1105">
        <f>+[6]FINAL!$F$9</f>
        <v>0.29000000000000004</v>
      </c>
      <c r="H8" s="1118" t="s">
        <v>2326</v>
      </c>
      <c r="I8" s="1104">
        <v>46252</v>
      </c>
      <c r="J8" s="1119">
        <f>+[6]MemóriaCal!$D$9/1000</f>
        <v>19121.953880000001</v>
      </c>
      <c r="K8" s="1173">
        <v>30</v>
      </c>
      <c r="L8" s="1221">
        <f>+G8/K8</f>
        <v>9.6666666666666672E-3</v>
      </c>
      <c r="M8" s="1256"/>
      <c r="N8" s="1139"/>
      <c r="W8" s="610"/>
      <c r="X8" s="547"/>
    </row>
    <row r="9" spans="1:58" customFormat="1" ht="13.5" thickBot="1" x14ac:dyDescent="0.25">
      <c r="D9" s="1053">
        <v>2025</v>
      </c>
      <c r="E9" s="1054" t="str">
        <f>IF(W9="","",IF([1]RENAME!$H$3=0,W9,TEXT(W9,"m/d/aa")))</f>
        <v/>
      </c>
      <c r="F9" s="294"/>
      <c r="G9" s="294">
        <f>SUM(G10:G14)</f>
        <v>3.8399937298457707</v>
      </c>
      <c r="H9" s="294"/>
      <c r="I9" s="294"/>
      <c r="J9" s="1055">
        <f>SUM(J10:J14)</f>
        <v>253200.63103999998</v>
      </c>
      <c r="K9" s="1056"/>
      <c r="L9" s="1200">
        <f>(1+L11)*(1+L12)*(1+L14)*(1+L13)*(1+L10)-1</f>
        <v>0.10653341434251007</v>
      </c>
      <c r="M9" s="795">
        <f>+J9/(SUM(Consolidado!BE50:BH50)-DMPL!K380)</f>
        <v>1.0969885290121213</v>
      </c>
      <c r="N9" s="1139"/>
      <c r="W9" s="610"/>
      <c r="X9" s="547"/>
    </row>
    <row r="10" spans="1:58" customFormat="1" ht="13.5" thickBot="1" x14ac:dyDescent="0.25">
      <c r="A10" t="s">
        <v>563</v>
      </c>
      <c r="B10" t="s">
        <v>648</v>
      </c>
      <c r="D10" s="296" t="str">
        <f>IF([1]RENAME!$H$3=1,B10,A10)</f>
        <v xml:space="preserve">Dividendo </v>
      </c>
      <c r="E10" s="1104">
        <v>45988</v>
      </c>
      <c r="F10" s="1104">
        <v>45993</v>
      </c>
      <c r="G10" s="1105">
        <f>+J10/65937.772</f>
        <v>1.5199937298457704</v>
      </c>
      <c r="H10" s="1229" t="s">
        <v>2296</v>
      </c>
      <c r="I10" s="1104">
        <v>46020</v>
      </c>
      <c r="J10" s="1119">
        <v>100225</v>
      </c>
      <c r="K10" s="1173">
        <v>37.53</v>
      </c>
      <c r="L10" s="1221">
        <f>+G10/K10</f>
        <v>4.0500765516807098E-2</v>
      </c>
      <c r="M10" s="1228" t="s">
        <v>160</v>
      </c>
      <c r="N10" s="1139"/>
      <c r="W10" s="610"/>
      <c r="X10" s="547"/>
    </row>
    <row r="11" spans="1:58" customFormat="1" ht="13.5" thickBot="1" x14ac:dyDescent="0.25">
      <c r="A11" t="s">
        <v>563</v>
      </c>
      <c r="B11" t="s">
        <v>648</v>
      </c>
      <c r="D11" s="296" t="str">
        <f>IF([1]RENAME!$H$3=1,B11,A11)</f>
        <v xml:space="preserve">Dividendo </v>
      </c>
      <c r="E11" s="1104">
        <v>45964</v>
      </c>
      <c r="F11" s="1104">
        <v>45968</v>
      </c>
      <c r="G11" s="1105">
        <f>+J11/65937.772</f>
        <v>0.79</v>
      </c>
      <c r="H11" s="1118" t="s">
        <v>2242</v>
      </c>
      <c r="I11" s="1104">
        <v>45979</v>
      </c>
      <c r="J11" s="1119">
        <v>52090.83988</v>
      </c>
      <c r="K11" s="1173">
        <v>36.549999999999997</v>
      </c>
      <c r="L11" s="1221">
        <f>+G11/K11</f>
        <v>2.1614227086183314E-2</v>
      </c>
      <c r="M11" s="1257">
        <f>+SUM(J11:J12)/(SUM(Consolidado!BG48:BG48))</f>
        <v>0.80058907767089349</v>
      </c>
      <c r="N11" s="1223"/>
      <c r="O11" s="142"/>
      <c r="W11" s="610"/>
      <c r="X11" s="547"/>
    </row>
    <row r="12" spans="1:58" customFormat="1" ht="13.5" thickBot="1" x14ac:dyDescent="0.25">
      <c r="A12" t="s">
        <v>565</v>
      </c>
      <c r="B12" t="s">
        <v>864</v>
      </c>
      <c r="D12" s="296" t="str">
        <f>IF([1]RENAME!$H$3=1,B12,A12)</f>
        <v>Juros</v>
      </c>
      <c r="E12" s="1104">
        <v>45964</v>
      </c>
      <c r="F12" s="1104">
        <v>45968</v>
      </c>
      <c r="G12" s="1105">
        <f>+J12/65937.772</f>
        <v>0.18000000000000002</v>
      </c>
      <c r="H12" s="1118" t="s">
        <v>2242</v>
      </c>
      <c r="I12" s="1104">
        <v>45979</v>
      </c>
      <c r="J12" s="1119">
        <v>11868.79896</v>
      </c>
      <c r="K12" s="1173">
        <v>36.549999999999997</v>
      </c>
      <c r="L12" s="1221">
        <f>+G12/K12</f>
        <v>4.9247606019151855E-3</v>
      </c>
      <c r="M12" s="1258"/>
      <c r="N12" s="1139"/>
      <c r="W12" s="610"/>
      <c r="X12" s="547"/>
    </row>
    <row r="13" spans="1:58" customFormat="1" ht="13.5" thickBot="1" x14ac:dyDescent="0.25">
      <c r="A13" t="s">
        <v>563</v>
      </c>
      <c r="B13" t="s">
        <v>648</v>
      </c>
      <c r="D13" s="296" t="str">
        <f>IF([1]RENAME!$H$3=1,B13,A13)</f>
        <v xml:space="preserve">Dividendo </v>
      </c>
      <c r="E13" s="1104">
        <v>45873</v>
      </c>
      <c r="F13" s="1104">
        <v>45876</v>
      </c>
      <c r="G13" s="1105">
        <f>+J13/65937.772</f>
        <v>1.21</v>
      </c>
      <c r="H13" s="1118" t="s">
        <v>2255</v>
      </c>
      <c r="I13" s="1104">
        <v>45888</v>
      </c>
      <c r="J13" s="1119">
        <v>79784.704119999995</v>
      </c>
      <c r="K13" s="1173">
        <v>37.770000000000003</v>
      </c>
      <c r="L13" s="1221">
        <f>+G13/K13</f>
        <v>3.2036007413290969E-2</v>
      </c>
      <c r="M13" s="1257">
        <f>+SUM(J13:J14)/(SUM(Consolidado!BE50:BF50))</f>
        <v>0.8030079210750275</v>
      </c>
      <c r="N13" s="1139"/>
      <c r="O13" s="142"/>
      <c r="W13" s="610"/>
      <c r="X13" s="547"/>
    </row>
    <row r="14" spans="1:58" customFormat="1" ht="13.5" thickBot="1" x14ac:dyDescent="0.25">
      <c r="A14" t="s">
        <v>565</v>
      </c>
      <c r="B14" t="s">
        <v>864</v>
      </c>
      <c r="D14" s="296" t="str">
        <f>IF([1]RENAME!$H$3=1,B14,A14)</f>
        <v>Juros</v>
      </c>
      <c r="E14" s="1104">
        <v>45873</v>
      </c>
      <c r="F14" s="1104">
        <v>45876</v>
      </c>
      <c r="G14" s="1105">
        <f>+J14/65937.772</f>
        <v>0.14000000000000001</v>
      </c>
      <c r="H14" s="1118" t="s">
        <v>2255</v>
      </c>
      <c r="I14" s="1104">
        <v>45888</v>
      </c>
      <c r="J14" s="1119">
        <v>9231.2880800000003</v>
      </c>
      <c r="K14" s="1173">
        <v>37.770000000000003</v>
      </c>
      <c r="L14" s="1221">
        <f>+G14/K14</f>
        <v>3.7066454858353192E-3</v>
      </c>
      <c r="M14" s="1258"/>
      <c r="N14" s="1139"/>
      <c r="W14" s="610"/>
      <c r="X14" s="547"/>
    </row>
    <row r="15" spans="1:58" customFormat="1" ht="13.5" thickBot="1" x14ac:dyDescent="0.25">
      <c r="D15" s="1053">
        <v>2024</v>
      </c>
      <c r="E15" s="1054" t="str">
        <f>IF(W15="","",IF([1]RENAME!$H$3=0,W15,TEXT(W15,"m/d/aa")))</f>
        <v/>
      </c>
      <c r="F15" s="294"/>
      <c r="G15" s="294">
        <f>SUM(G16:G21)</f>
        <v>2.58</v>
      </c>
      <c r="H15" s="294"/>
      <c r="I15" s="294"/>
      <c r="J15" s="1055">
        <f>SUM(J16:J21)</f>
        <v>170119.45176000003</v>
      </c>
      <c r="K15" s="1056"/>
      <c r="L15" s="1200">
        <f>(1+L21)*(1+L20)*(1+L19)*(1+L18)*(1+L17)*(1+L16)-1</f>
        <v>9.5681859974321215E-2</v>
      </c>
      <c r="M15" s="795">
        <f>+J15/(SUM(Consolidado!BA50:BD50)-DMPL!K380)</f>
        <v>0.66022393682557057</v>
      </c>
      <c r="N15" s="1139"/>
      <c r="W15" s="610"/>
      <c r="X15" s="547"/>
    </row>
    <row r="16" spans="1:58" customFormat="1" ht="13.5" thickBot="1" x14ac:dyDescent="0.25">
      <c r="A16" t="s">
        <v>563</v>
      </c>
      <c r="B16" t="s">
        <v>648</v>
      </c>
      <c r="D16" s="296" t="str">
        <f>IF([1]RENAME!$H$3=1,B16,A16)</f>
        <v xml:space="preserve">Dividendo </v>
      </c>
      <c r="E16" s="321">
        <v>45756</v>
      </c>
      <c r="F16" s="321">
        <v>45756</v>
      </c>
      <c r="G16" s="1105">
        <v>0.44</v>
      </c>
      <c r="H16" s="1118">
        <v>2024</v>
      </c>
      <c r="I16" s="1104">
        <v>45770</v>
      </c>
      <c r="J16" s="1119">
        <v>29012.61968</v>
      </c>
      <c r="K16" s="1173">
        <v>34.85</v>
      </c>
      <c r="L16" s="789">
        <f t="shared" ref="L16:L21" si="0">+G16/K16</f>
        <v>1.2625538020086082E-2</v>
      </c>
      <c r="M16" s="1259" t="s">
        <v>160</v>
      </c>
      <c r="N16" s="1139"/>
      <c r="W16" s="610"/>
      <c r="X16" s="547"/>
    </row>
    <row r="17" spans="1:24" customFormat="1" ht="13.5" thickBot="1" x14ac:dyDescent="0.25">
      <c r="A17" t="s">
        <v>565</v>
      </c>
      <c r="B17" t="s">
        <v>864</v>
      </c>
      <c r="D17" s="296" t="str">
        <f>IF([1]RENAME!$H$3=1,B17,A17)</f>
        <v>Juros</v>
      </c>
      <c r="E17" s="321">
        <v>45756</v>
      </c>
      <c r="F17" s="321">
        <v>45756</v>
      </c>
      <c r="G17" s="1105">
        <v>0.15000000000000002</v>
      </c>
      <c r="H17" s="1118">
        <v>2024</v>
      </c>
      <c r="I17" s="1104">
        <v>45770</v>
      </c>
      <c r="J17" s="1119">
        <v>9890.6658000000007</v>
      </c>
      <c r="K17" s="1173">
        <v>34.85</v>
      </c>
      <c r="L17" s="789">
        <f t="shared" si="0"/>
        <v>4.3041606886657108E-3</v>
      </c>
      <c r="M17" s="1260"/>
      <c r="N17" s="1139"/>
      <c r="W17" s="610"/>
      <c r="X17" s="547"/>
    </row>
    <row r="18" spans="1:24" customFormat="1" ht="13.5" thickBot="1" x14ac:dyDescent="0.25">
      <c r="A18" t="s">
        <v>563</v>
      </c>
      <c r="B18" t="s">
        <v>648</v>
      </c>
      <c r="D18" s="296" t="str">
        <f>IF([1]RENAME!$H$3=1,B18,A18)</f>
        <v xml:space="preserve">Dividendo </v>
      </c>
      <c r="E18" s="321">
        <v>45600</v>
      </c>
      <c r="F18" s="321">
        <v>45603</v>
      </c>
      <c r="G18" s="1105">
        <v>0.57999999999999996</v>
      </c>
      <c r="H18" s="1118" t="s">
        <v>2140</v>
      </c>
      <c r="I18" s="1104">
        <v>45615</v>
      </c>
      <c r="J18" s="1119">
        <v>38243.907759999995</v>
      </c>
      <c r="K18" s="1173">
        <v>30.4</v>
      </c>
      <c r="L18" s="789">
        <f t="shared" si="0"/>
        <v>1.9078947368421053E-2</v>
      </c>
      <c r="M18" s="1261">
        <f>+SUM(J18:J19)/DRE!BI30</f>
        <v>0.59689000056149022</v>
      </c>
      <c r="N18" s="1223"/>
      <c r="O18" s="142"/>
      <c r="W18" s="610"/>
      <c r="X18" s="547"/>
    </row>
    <row r="19" spans="1:24" customFormat="1" ht="13.5" thickBot="1" x14ac:dyDescent="0.25">
      <c r="A19" t="s">
        <v>565</v>
      </c>
      <c r="B19" t="s">
        <v>864</v>
      </c>
      <c r="D19" s="296" t="str">
        <f>IF([1]RENAME!$H$3=1,B19,A19)</f>
        <v>Juros</v>
      </c>
      <c r="E19" s="321">
        <v>45600</v>
      </c>
      <c r="F19" s="321">
        <v>45603</v>
      </c>
      <c r="G19" s="1105">
        <v>0.19</v>
      </c>
      <c r="H19" s="1118" t="s">
        <v>2140</v>
      </c>
      <c r="I19" s="1104">
        <v>45615</v>
      </c>
      <c r="J19" s="1119">
        <v>12528.17668</v>
      </c>
      <c r="K19" s="1173">
        <v>30.4</v>
      </c>
      <c r="L19" s="789">
        <f t="shared" si="0"/>
        <v>6.2500000000000003E-3</v>
      </c>
      <c r="M19" s="1263"/>
      <c r="N19" s="1139"/>
      <c r="W19" s="610"/>
      <c r="X19" s="547"/>
    </row>
    <row r="20" spans="1:24" customFormat="1" ht="13.5" thickBot="1" x14ac:dyDescent="0.25">
      <c r="A20" t="s">
        <v>563</v>
      </c>
      <c r="B20" t="s">
        <v>648</v>
      </c>
      <c r="D20" s="296" t="str">
        <f>IF([1]RENAME!$H$3=1,B20,A20)</f>
        <v xml:space="preserve">Dividendo </v>
      </c>
      <c r="E20" s="321">
        <v>45509</v>
      </c>
      <c r="F20" s="321">
        <v>45512</v>
      </c>
      <c r="G20" s="1105">
        <v>1.1200000000000001</v>
      </c>
      <c r="H20" s="1118" t="s">
        <v>2154</v>
      </c>
      <c r="I20" s="1104">
        <v>45525</v>
      </c>
      <c r="J20" s="1119">
        <v>73850.304640000002</v>
      </c>
      <c r="K20" s="1173">
        <v>24.18</v>
      </c>
      <c r="L20" s="789">
        <f t="shared" si="0"/>
        <v>4.6319272125723746E-2</v>
      </c>
      <c r="M20" s="1261">
        <f>+SUM(J20:J21)/SUM(DRE!BF30:BG30)</f>
        <v>0.80015881674178435</v>
      </c>
      <c r="N20" s="1219"/>
      <c r="O20" s="142"/>
      <c r="W20" s="610"/>
      <c r="X20" s="547"/>
    </row>
    <row r="21" spans="1:24" customFormat="1" ht="13.5" thickBot="1" x14ac:dyDescent="0.25">
      <c r="A21" t="s">
        <v>565</v>
      </c>
      <c r="B21" t="s">
        <v>864</v>
      </c>
      <c r="D21" s="296" t="str">
        <f>IF([1]RENAME!$H$3=1,B21,A21)</f>
        <v>Juros</v>
      </c>
      <c r="E21" s="321">
        <v>45509</v>
      </c>
      <c r="F21" s="321">
        <v>45512</v>
      </c>
      <c r="G21" s="1105">
        <v>0.1</v>
      </c>
      <c r="H21" s="1118" t="s">
        <v>2154</v>
      </c>
      <c r="I21" s="1104">
        <v>45525</v>
      </c>
      <c r="J21" s="1119">
        <v>6593.7772000000004</v>
      </c>
      <c r="K21" s="1173">
        <v>24.18</v>
      </c>
      <c r="L21" s="789">
        <f t="shared" si="0"/>
        <v>4.1356492969396195E-3</v>
      </c>
      <c r="M21" s="1263"/>
      <c r="N21" s="1139"/>
      <c r="W21" s="610"/>
      <c r="X21" s="547"/>
    </row>
    <row r="22" spans="1:24" s="142" customFormat="1" ht="13.5" thickBot="1" x14ac:dyDescent="0.25">
      <c r="D22" s="1053">
        <v>2023</v>
      </c>
      <c r="E22" s="1054" t="str">
        <f>IF(W22="","",IF([1]RENAME!$H$3=0,W22,TEXT(W22,"m/d/aa")))</f>
        <v/>
      </c>
      <c r="F22" s="294"/>
      <c r="G22" s="294">
        <f>SUM(G23:G28)</f>
        <v>1.83</v>
      </c>
      <c r="H22" s="294"/>
      <c r="I22" s="294"/>
      <c r="J22" s="1055">
        <f>SUM(J23:J28)</f>
        <v>120666.12276</v>
      </c>
      <c r="K22" s="1056"/>
      <c r="L22" s="788">
        <f>(1+L28)*(1+L27)*(1+L26)*(1+L25)*(1+L24)*(1+L23)-1</f>
        <v>7.463775370321013E-2</v>
      </c>
      <c r="M22" s="795">
        <f>+J22/(SUM(DRE!BB30:BE30)-DMPL!J271-DMPL!J281-DMPL!J291-DMPL!J301-DMPL!K303)</f>
        <v>0.82059518303396994</v>
      </c>
      <c r="W22" s="1057"/>
      <c r="X22" s="551"/>
    </row>
    <row r="23" spans="1:24" s="142" customFormat="1" ht="13.5" thickBot="1" x14ac:dyDescent="0.25">
      <c r="A23" t="s">
        <v>563</v>
      </c>
      <c r="B23" t="s">
        <v>648</v>
      </c>
      <c r="D23" s="296" t="str">
        <f>IF([1]RENAME!$H$3=1,B23,A23)</f>
        <v xml:space="preserve">Dividendo </v>
      </c>
      <c r="E23" s="321">
        <v>45393</v>
      </c>
      <c r="F23" s="321">
        <v>45393</v>
      </c>
      <c r="G23" s="1105">
        <v>0.54</v>
      </c>
      <c r="H23" s="1118">
        <v>2023</v>
      </c>
      <c r="I23" s="1104">
        <v>45405</v>
      </c>
      <c r="J23" s="1119">
        <v>35606.39688</v>
      </c>
      <c r="K23" s="298">
        <v>27</v>
      </c>
      <c r="L23" s="789">
        <f t="shared" ref="L23:L28" si="1">+G23/K23</f>
        <v>0.02</v>
      </c>
      <c r="M23" s="1259" t="s">
        <v>160</v>
      </c>
      <c r="W23" s="1057"/>
      <c r="X23" s="551"/>
    </row>
    <row r="24" spans="1:24" s="142" customFormat="1" ht="13.5" thickBot="1" x14ac:dyDescent="0.25">
      <c r="A24" t="s">
        <v>565</v>
      </c>
      <c r="B24" t="s">
        <v>864</v>
      </c>
      <c r="D24" s="296" t="str">
        <f>IF([1]RENAME!$H$3=1,B24,A24)</f>
        <v>Juros</v>
      </c>
      <c r="E24" s="321">
        <v>45393</v>
      </c>
      <c r="F24" s="321">
        <v>45393</v>
      </c>
      <c r="G24" s="1105">
        <v>0.18</v>
      </c>
      <c r="H24" s="1118">
        <v>2023</v>
      </c>
      <c r="I24" s="1104">
        <v>45405</v>
      </c>
      <c r="J24" s="1119">
        <v>11868.798959999998</v>
      </c>
      <c r="K24" s="298">
        <v>27</v>
      </c>
      <c r="L24" s="789">
        <f t="shared" si="1"/>
        <v>6.6666666666666662E-3</v>
      </c>
      <c r="M24" s="1260"/>
      <c r="N24" s="1223"/>
      <c r="W24" s="1057"/>
      <c r="X24" s="551"/>
    </row>
    <row r="25" spans="1:24" s="142" customFormat="1" ht="13.5" thickBot="1" x14ac:dyDescent="0.25">
      <c r="A25" t="s">
        <v>563</v>
      </c>
      <c r="B25" t="s">
        <v>648</v>
      </c>
      <c r="D25" s="296" t="str">
        <f>IF([1]RENAME!$H$3=1,B25,A25)</f>
        <v xml:space="preserve">Dividendo </v>
      </c>
      <c r="E25" s="321">
        <v>45236</v>
      </c>
      <c r="F25" s="1104">
        <v>45240</v>
      </c>
      <c r="G25" s="1105">
        <v>0.4</v>
      </c>
      <c r="H25" s="1118" t="s">
        <v>2030</v>
      </c>
      <c r="I25" s="1104">
        <v>45253</v>
      </c>
      <c r="J25" s="1119">
        <v>26375.108800000002</v>
      </c>
      <c r="K25" s="298">
        <v>24</v>
      </c>
      <c r="L25" s="789">
        <f t="shared" si="1"/>
        <v>1.6666666666666666E-2</v>
      </c>
      <c r="M25" s="1261">
        <f>+SUM(J25:J26)/(DRE!BD30-DMPL!J291)</f>
        <v>0.72409913434394679</v>
      </c>
      <c r="N25" s="1116"/>
      <c r="W25" s="1057"/>
      <c r="X25" s="551"/>
    </row>
    <row r="26" spans="1:24" s="142" customFormat="1" ht="13.5" thickBot="1" x14ac:dyDescent="0.25">
      <c r="A26" t="s">
        <v>565</v>
      </c>
      <c r="B26" t="s">
        <v>864</v>
      </c>
      <c r="D26" s="296" t="str">
        <f>IF([1]RENAME!$H$3=1,B26,A26)</f>
        <v>Juros</v>
      </c>
      <c r="E26" s="321">
        <v>45236</v>
      </c>
      <c r="F26" s="1104">
        <v>45240</v>
      </c>
      <c r="G26" s="1105">
        <v>0.14000000000000001</v>
      </c>
      <c r="H26" s="1118" t="s">
        <v>2030</v>
      </c>
      <c r="I26" s="1104">
        <v>45253</v>
      </c>
      <c r="J26" s="1119">
        <v>9231.2880800000003</v>
      </c>
      <c r="K26" s="298">
        <v>24</v>
      </c>
      <c r="L26" s="789">
        <f t="shared" si="1"/>
        <v>5.8333333333333336E-3</v>
      </c>
      <c r="M26" s="1263"/>
      <c r="N26" s="1116"/>
      <c r="W26" s="1057"/>
      <c r="X26" s="551"/>
    </row>
    <row r="27" spans="1:24" customFormat="1" ht="13.5" thickBot="1" x14ac:dyDescent="0.25">
      <c r="A27" t="s">
        <v>563</v>
      </c>
      <c r="B27" t="s">
        <v>648</v>
      </c>
      <c r="D27" s="296" t="str">
        <f>IF([1]RENAME!$H$3=1,B27,A27)</f>
        <v xml:space="preserve">Dividendo </v>
      </c>
      <c r="E27" s="321">
        <v>45141</v>
      </c>
      <c r="F27" s="1104">
        <v>45147</v>
      </c>
      <c r="G27" s="1105">
        <v>0.43</v>
      </c>
      <c r="H27" s="1118" t="s">
        <v>2071</v>
      </c>
      <c r="I27" s="1104">
        <v>45155</v>
      </c>
      <c r="J27" s="1119">
        <v>28353.241959999999</v>
      </c>
      <c r="K27" s="298">
        <v>24.4</v>
      </c>
      <c r="L27" s="789">
        <f t="shared" si="1"/>
        <v>1.7622950819672131E-2</v>
      </c>
      <c r="M27" s="1261">
        <f>+SUM(J27:J28)/(SUM(DRE!BB30:BC30)-SUM(DMPL!J271,DMPL!J281))</f>
        <v>0.59255442997118613</v>
      </c>
      <c r="N27" s="1116"/>
      <c r="O27" s="1023"/>
      <c r="W27" s="581"/>
      <c r="X27" s="547"/>
    </row>
    <row r="28" spans="1:24" customFormat="1" ht="13.5" thickBot="1" x14ac:dyDescent="0.25">
      <c r="A28" t="s">
        <v>565</v>
      </c>
      <c r="B28" t="s">
        <v>864</v>
      </c>
      <c r="D28" s="296" t="str">
        <f>IF([1]RENAME!$H$3=1,B28,A28)</f>
        <v>Juros</v>
      </c>
      <c r="E28" s="321">
        <v>45141</v>
      </c>
      <c r="F28" s="1104">
        <v>45147</v>
      </c>
      <c r="G28" s="1105">
        <v>0.14000000000000001</v>
      </c>
      <c r="H28" s="1118" t="s">
        <v>2071</v>
      </c>
      <c r="I28" s="1104">
        <v>45155</v>
      </c>
      <c r="J28" s="1119">
        <v>9231.2880800000003</v>
      </c>
      <c r="K28" s="298">
        <v>24.4</v>
      </c>
      <c r="L28" s="789">
        <f t="shared" si="1"/>
        <v>5.7377049180327875E-3</v>
      </c>
      <c r="M28" s="1262"/>
      <c r="N28" s="1174"/>
      <c r="W28" s="581"/>
      <c r="X28" s="547"/>
    </row>
    <row r="29" spans="1:24" s="142" customFormat="1" ht="13.5" thickBot="1" x14ac:dyDescent="0.25">
      <c r="D29" s="1053">
        <v>2022</v>
      </c>
      <c r="E29" s="1054" t="str">
        <f>IF(W29="","",IF([1]RENAME!$H$3=0,W29,TEXT(W29,"m/d/aa")))</f>
        <v/>
      </c>
      <c r="F29" s="294"/>
      <c r="G29" s="294">
        <f>SUM(G30:G35)</f>
        <v>1.3829172728999999</v>
      </c>
      <c r="H29" s="294"/>
      <c r="I29" s="294"/>
      <c r="J29" s="1055">
        <f>SUM(J30:J35)</f>
        <v>91186.483841500012</v>
      </c>
      <c r="K29" s="1056"/>
      <c r="L29" s="788">
        <f>(1+L35)*(1+L34)*(1+L33)*(1+L32)*(1+L31)*(1+L30)-1</f>
        <v>8.2856159206552205E-2</v>
      </c>
      <c r="M29" s="795">
        <f>+J29/(SUM(DRE!AX30:BA30)-DMPL!J249-DMPL!J245-DMPL!J255-DMPL!J261-DMPL!K263)</f>
        <v>0.70125262096660579</v>
      </c>
      <c r="W29" s="1057"/>
      <c r="X29" s="551"/>
    </row>
    <row r="30" spans="1:24" customFormat="1" ht="13.5" thickBot="1" x14ac:dyDescent="0.25">
      <c r="A30" t="s">
        <v>563</v>
      </c>
      <c r="B30" t="s">
        <v>648</v>
      </c>
      <c r="D30" s="296" t="str">
        <f>IF([1]RENAME!$H$3=1,B30,A30)</f>
        <v xml:space="preserve">Dividendo </v>
      </c>
      <c r="E30" s="321">
        <v>45028</v>
      </c>
      <c r="F30" s="1104">
        <v>45028</v>
      </c>
      <c r="G30" s="1105">
        <v>0.45</v>
      </c>
      <c r="H30" s="1118">
        <v>2022</v>
      </c>
      <c r="I30" s="1104">
        <v>45040</v>
      </c>
      <c r="J30" s="1119">
        <v>29671.997400000004</v>
      </c>
      <c r="K30" s="298">
        <v>18</v>
      </c>
      <c r="L30" s="789">
        <f t="shared" ref="L30:L35" si="2">+G30/K30</f>
        <v>2.5000000000000001E-2</v>
      </c>
      <c r="M30" s="796" t="s">
        <v>160</v>
      </c>
      <c r="N30" s="1116"/>
      <c r="O30" s="1023"/>
      <c r="W30" s="581"/>
      <c r="X30" s="547"/>
    </row>
    <row r="31" spans="1:24" customFormat="1" ht="13.5" thickBot="1" x14ac:dyDescent="0.25">
      <c r="A31" t="s">
        <v>565</v>
      </c>
      <c r="B31" t="s">
        <v>864</v>
      </c>
      <c r="D31" s="296" t="str">
        <f>IF([1]RENAME!$H$3=1,B31,A31)</f>
        <v>Juros</v>
      </c>
      <c r="E31" s="321">
        <v>45028</v>
      </c>
      <c r="F31" s="1104">
        <v>45028</v>
      </c>
      <c r="G31" s="1105">
        <v>0.15</v>
      </c>
      <c r="H31" s="1118">
        <v>2022</v>
      </c>
      <c r="I31" s="1104">
        <v>45040</v>
      </c>
      <c r="J31" s="1119">
        <v>9890.6657999999989</v>
      </c>
      <c r="K31" s="298">
        <v>18</v>
      </c>
      <c r="L31" s="789">
        <f t="shared" si="2"/>
        <v>8.3333333333333332E-3</v>
      </c>
      <c r="M31" s="796" t="s">
        <v>160</v>
      </c>
      <c r="N31" s="1223"/>
      <c r="W31" s="581"/>
      <c r="X31" s="547"/>
    </row>
    <row r="32" spans="1:24" customFormat="1" ht="13.5" thickBot="1" x14ac:dyDescent="0.25">
      <c r="A32" t="s">
        <v>563</v>
      </c>
      <c r="B32" t="s">
        <v>648</v>
      </c>
      <c r="D32" s="296" t="str">
        <f>IF([1]RENAME!$H$3=1,B32,A32)</f>
        <v xml:space="preserve">Dividendo </v>
      </c>
      <c r="E32" s="321">
        <v>44868</v>
      </c>
      <c r="F32" s="1104">
        <v>44873</v>
      </c>
      <c r="G32" s="1105">
        <v>0.31</v>
      </c>
      <c r="H32" s="1105" t="s">
        <v>1944</v>
      </c>
      <c r="I32" s="1104">
        <v>44886</v>
      </c>
      <c r="J32" s="1045">
        <v>20440.709320000002</v>
      </c>
      <c r="K32" s="298">
        <v>21.2</v>
      </c>
      <c r="L32" s="789">
        <f t="shared" si="2"/>
        <v>1.4622641509433962E-2</v>
      </c>
      <c r="M32" s="796" t="s">
        <v>160</v>
      </c>
      <c r="N32" s="1140"/>
      <c r="O32" s="1023"/>
      <c r="W32" s="581"/>
      <c r="X32" s="547"/>
    </row>
    <row r="33" spans="1:24" customFormat="1" ht="13.5" thickBot="1" x14ac:dyDescent="0.25">
      <c r="A33" t="s">
        <v>565</v>
      </c>
      <c r="B33" t="s">
        <v>864</v>
      </c>
      <c r="D33" s="296" t="str">
        <f>IF([1]RENAME!$H$3=1,B33,A33)</f>
        <v>Juros</v>
      </c>
      <c r="E33" s="321">
        <v>44868</v>
      </c>
      <c r="F33" s="1104">
        <v>44873</v>
      </c>
      <c r="G33" s="1105">
        <v>0.1</v>
      </c>
      <c r="H33" s="1105" t="s">
        <v>1944</v>
      </c>
      <c r="I33" s="1104">
        <v>44886</v>
      </c>
      <c r="J33" s="1045">
        <v>6593.7772000000004</v>
      </c>
      <c r="K33" s="298">
        <v>21.2</v>
      </c>
      <c r="L33" s="789">
        <f t="shared" si="2"/>
        <v>4.7169811320754724E-3</v>
      </c>
      <c r="M33" s="796" t="s">
        <v>160</v>
      </c>
      <c r="W33" s="581"/>
      <c r="X33" s="547"/>
    </row>
    <row r="34" spans="1:24" customFormat="1" ht="13.5" thickBot="1" x14ac:dyDescent="0.25">
      <c r="A34" t="s">
        <v>563</v>
      </c>
      <c r="B34" t="s">
        <v>648</v>
      </c>
      <c r="D34" s="296" t="str">
        <f>IF([1]RENAME!$H$3=1,B34,A34)</f>
        <v xml:space="preserve">Dividendo </v>
      </c>
      <c r="E34" s="321">
        <v>44776</v>
      </c>
      <c r="F34" s="321">
        <v>44781</v>
      </c>
      <c r="G34" s="297">
        <v>0.27968795470000002</v>
      </c>
      <c r="H34" s="297" t="s">
        <v>1964</v>
      </c>
      <c r="I34" s="321">
        <v>44791</v>
      </c>
      <c r="J34" s="1045">
        <v>18442.000591125005</v>
      </c>
      <c r="K34" s="298">
        <v>13.5</v>
      </c>
      <c r="L34" s="789">
        <f t="shared" si="2"/>
        <v>2.0717626274074075E-2</v>
      </c>
      <c r="M34" s="796" t="s">
        <v>160</v>
      </c>
      <c r="N34" s="849"/>
      <c r="O34" s="1023"/>
      <c r="W34" s="581"/>
      <c r="X34" s="547"/>
    </row>
    <row r="35" spans="1:24" customFormat="1" ht="13.5" thickBot="1" x14ac:dyDescent="0.25">
      <c r="A35" t="s">
        <v>565</v>
      </c>
      <c r="B35" t="s">
        <v>864</v>
      </c>
      <c r="D35" s="296" t="str">
        <f>IF([1]RENAME!$H$3=1,B35,A35)</f>
        <v>Juros</v>
      </c>
      <c r="E35" s="321">
        <v>44776</v>
      </c>
      <c r="F35" s="321">
        <v>44781</v>
      </c>
      <c r="G35" s="297">
        <v>9.3229318199999994E-2</v>
      </c>
      <c r="H35" s="297" t="s">
        <v>1964</v>
      </c>
      <c r="I35" s="321">
        <v>44791</v>
      </c>
      <c r="J35" s="1045">
        <v>6147.3335303750036</v>
      </c>
      <c r="K35" s="298">
        <v>13.5</v>
      </c>
      <c r="L35" s="789">
        <f t="shared" si="2"/>
        <v>6.9058754222222221E-3</v>
      </c>
      <c r="M35" s="796" t="s">
        <v>160</v>
      </c>
      <c r="W35" s="581"/>
      <c r="X35" s="547"/>
    </row>
    <row r="36" spans="1:24" s="142" customFormat="1" ht="13.5" thickBot="1" x14ac:dyDescent="0.25">
      <c r="D36" s="1053">
        <v>2021</v>
      </c>
      <c r="E36" s="1054" t="str">
        <f>IF(W36="","",IF([1]RENAME!$H$3=0,W36,TEXT(W36,"m/d/aa")))</f>
        <v/>
      </c>
      <c r="F36" s="294"/>
      <c r="G36" s="294">
        <f>SUM(G37:G42)</f>
        <v>0.93441733748207756</v>
      </c>
      <c r="H36" s="294"/>
      <c r="I36" s="294"/>
      <c r="J36" s="1055">
        <f>SUM(J37:J42)</f>
        <v>61613.397350454012</v>
      </c>
      <c r="K36" s="1056"/>
      <c r="L36" s="788">
        <f>+(1+L39)*(1+L40)*(1+L41)*(1+L42)*(1+L38)*(1+L37)-1</f>
        <v>5.8030245214607756E-2</v>
      </c>
      <c r="M36" s="795">
        <f>J36/(SUM(DRE!AT28:AW28)-SUM(DMPL!K240,DMPL!J234,DMPL!J228,DMPL!J222,DMPL!J217))</f>
        <v>0.7090504272751571</v>
      </c>
      <c r="W36" s="1057"/>
      <c r="X36" s="551"/>
    </row>
    <row r="37" spans="1:24" customFormat="1" ht="13.5" thickBot="1" x14ac:dyDescent="0.25">
      <c r="A37" t="s">
        <v>563</v>
      </c>
      <c r="B37" t="s">
        <v>648</v>
      </c>
      <c r="D37" s="296" t="str">
        <f>IF([1]RENAME!$H$3=1,B37,A37)</f>
        <v xml:space="preserve">Dividendo </v>
      </c>
      <c r="E37" s="321">
        <v>44633</v>
      </c>
      <c r="F37" s="321">
        <v>44633</v>
      </c>
      <c r="G37" s="297">
        <v>0.25408205109999998</v>
      </c>
      <c r="H37" s="785">
        <v>2021</v>
      </c>
      <c r="I37" s="321">
        <v>44678</v>
      </c>
      <c r="J37" s="1045">
        <v>16753.604352111015</v>
      </c>
      <c r="K37" s="298">
        <v>14.48</v>
      </c>
      <c r="L37" s="789">
        <f t="shared" ref="L37:L42" si="3">+G37/K37</f>
        <v>1.7547102976519336E-2</v>
      </c>
      <c r="M37" s="796" t="s">
        <v>160</v>
      </c>
      <c r="N37" s="849"/>
      <c r="O37" s="1023"/>
      <c r="W37" s="581"/>
      <c r="X37" s="547"/>
    </row>
    <row r="38" spans="1:24" customFormat="1" ht="13.5" thickBot="1" x14ac:dyDescent="0.25">
      <c r="A38" t="s">
        <v>565</v>
      </c>
      <c r="B38" t="s">
        <v>864</v>
      </c>
      <c r="D38" s="296" t="str">
        <f>IF([1]RENAME!$H$3=1,B38,A38)</f>
        <v>Juros</v>
      </c>
      <c r="E38" s="321">
        <v>44633</v>
      </c>
      <c r="F38" s="321">
        <v>44633</v>
      </c>
      <c r="G38" s="297">
        <v>8.4694016999999996E-2</v>
      </c>
      <c r="H38" s="785">
        <v>2021</v>
      </c>
      <c r="I38" s="321">
        <v>44678</v>
      </c>
      <c r="J38" s="1045">
        <v>5584.534784037005</v>
      </c>
      <c r="K38" s="298">
        <v>14.48</v>
      </c>
      <c r="L38" s="789">
        <f t="shared" si="3"/>
        <v>5.8490343232044193E-3</v>
      </c>
      <c r="M38" s="796" t="s">
        <v>160</v>
      </c>
      <c r="N38" s="1223"/>
      <c r="O38" s="1050"/>
      <c r="W38" s="581"/>
      <c r="X38" s="547"/>
    </row>
    <row r="39" spans="1:24" customFormat="1" ht="13.5" thickBot="1" x14ac:dyDescent="0.25">
      <c r="A39" t="s">
        <v>563</v>
      </c>
      <c r="B39" t="s">
        <v>648</v>
      </c>
      <c r="D39" s="296" t="str">
        <f>IF([1]RENAME!$H$3=1,B39,A39)</f>
        <v xml:space="preserve">Dividendo </v>
      </c>
      <c r="E39" s="321">
        <v>44504</v>
      </c>
      <c r="F39" s="321">
        <v>44509</v>
      </c>
      <c r="G39" s="297">
        <v>0.19470983950000001</v>
      </c>
      <c r="H39" s="297" t="s">
        <v>1786</v>
      </c>
      <c r="I39" s="321">
        <v>44519</v>
      </c>
      <c r="J39" s="1045">
        <v>12838.733003107593</v>
      </c>
      <c r="K39" s="298">
        <v>15</v>
      </c>
      <c r="L39" s="789">
        <f t="shared" si="3"/>
        <v>1.2980655966666668E-2</v>
      </c>
      <c r="M39" s="796" t="s">
        <v>160</v>
      </c>
      <c r="N39" s="1022"/>
      <c r="O39" s="1050"/>
      <c r="W39" s="581"/>
      <c r="X39" s="547"/>
    </row>
    <row r="40" spans="1:24" customFormat="1" ht="13.5" thickBot="1" x14ac:dyDescent="0.25">
      <c r="A40" t="s">
        <v>565</v>
      </c>
      <c r="B40" t="s">
        <v>864</v>
      </c>
      <c r="D40" s="296" t="str">
        <f>IF([1]RENAME!$H$3=1,B40,A40)</f>
        <v>Juros</v>
      </c>
      <c r="E40" s="321">
        <v>44504</v>
      </c>
      <c r="F40" s="321">
        <v>44509</v>
      </c>
      <c r="G40" s="297">
        <v>6.4903279899999999E-2</v>
      </c>
      <c r="H40" s="297" t="s">
        <v>1786</v>
      </c>
      <c r="I40" s="321">
        <v>44519</v>
      </c>
      <c r="J40" s="1045">
        <v>4279.5776720983831</v>
      </c>
      <c r="K40" s="298">
        <v>15</v>
      </c>
      <c r="L40" s="789">
        <f t="shared" si="3"/>
        <v>4.3268853266666667E-3</v>
      </c>
      <c r="M40" s="796" t="s">
        <v>160</v>
      </c>
      <c r="N40" s="996"/>
      <c r="O40" s="1050"/>
      <c r="W40" s="581"/>
      <c r="X40" s="547"/>
    </row>
    <row r="41" spans="1:24" customFormat="1" ht="13.5" thickBot="1" x14ac:dyDescent="0.25">
      <c r="A41" t="s">
        <v>563</v>
      </c>
      <c r="B41" t="s">
        <v>648</v>
      </c>
      <c r="D41" s="296" t="str">
        <f>IF([1]RENAME!$H$3=1,B41,A41)</f>
        <v xml:space="preserve">Dividendo </v>
      </c>
      <c r="E41" s="321">
        <v>44412</v>
      </c>
      <c r="F41" s="321">
        <v>44417</v>
      </c>
      <c r="G41" s="297">
        <v>0.25202111248655812</v>
      </c>
      <c r="H41" s="297" t="s">
        <v>1864</v>
      </c>
      <c r="I41" s="321">
        <v>44427</v>
      </c>
      <c r="J41" s="1045">
        <v>16617.710654325001</v>
      </c>
      <c r="K41" s="298">
        <v>20.94</v>
      </c>
      <c r="L41" s="789">
        <f t="shared" si="3"/>
        <v>1.2035392191335153E-2</v>
      </c>
      <c r="M41" s="796" t="s">
        <v>160</v>
      </c>
      <c r="N41" s="849"/>
      <c r="O41" s="1050"/>
      <c r="W41" s="581"/>
      <c r="X41" s="547"/>
    </row>
    <row r="42" spans="1:24" customFormat="1" ht="13.5" thickBot="1" x14ac:dyDescent="0.25">
      <c r="A42" t="s">
        <v>565</v>
      </c>
      <c r="B42" t="s">
        <v>864</v>
      </c>
      <c r="D42" s="296" t="str">
        <f>IF([1]RENAME!$H$3=1,B42,A42)</f>
        <v>Juros</v>
      </c>
      <c r="E42" s="321">
        <v>44412</v>
      </c>
      <c r="F42" s="321">
        <v>44417</v>
      </c>
      <c r="G42" s="297">
        <v>8.4007037495519382E-2</v>
      </c>
      <c r="H42" s="297" t="s">
        <v>1864</v>
      </c>
      <c r="I42" s="321">
        <v>44427</v>
      </c>
      <c r="J42" s="1045">
        <v>5539.2368847750104</v>
      </c>
      <c r="K42" s="298">
        <v>20.94</v>
      </c>
      <c r="L42" s="789">
        <f t="shared" si="3"/>
        <v>4.0117973971117177E-3</v>
      </c>
      <c r="M42" s="796" t="s">
        <v>160</v>
      </c>
      <c r="W42" s="581"/>
      <c r="X42" s="547"/>
    </row>
    <row r="43" spans="1:24" s="142" customFormat="1" ht="13.5" thickBot="1" x14ac:dyDescent="0.25">
      <c r="D43" s="1053">
        <v>2020</v>
      </c>
      <c r="E43" s="1054" t="str">
        <f>IF(W43="","",IF([1]RENAME!$H$3=0,W43,TEXT(W43,"m/d/aa")))</f>
        <v/>
      </c>
      <c r="F43" s="294"/>
      <c r="G43" s="294">
        <f>SUM(G44:G47)</f>
        <v>0.53038320168749375</v>
      </c>
      <c r="H43" s="294"/>
      <c r="I43" s="294"/>
      <c r="J43" s="1055">
        <f>SUM(J44:J47)</f>
        <v>34972.286625499997</v>
      </c>
      <c r="K43" s="1056"/>
      <c r="L43" s="788">
        <f>+(1+L44)*(1+L45)*(1+L47)*(1+L46)-1</f>
        <v>2.3874745773391215E-2</v>
      </c>
      <c r="M43" s="795">
        <f>J43/(SUM(DRE!AP30:AS30)-SUM(DMPL!J178,DMPL!J188,DMPL!J198,DMPL!J210,DMPL!K212))</f>
        <v>0.63113124625359629</v>
      </c>
      <c r="W43" s="1057"/>
      <c r="X43" s="551"/>
    </row>
    <row r="44" spans="1:24" customFormat="1" ht="13.5" thickBot="1" x14ac:dyDescent="0.25">
      <c r="A44" t="s">
        <v>563</v>
      </c>
      <c r="B44" t="s">
        <v>648</v>
      </c>
      <c r="D44" s="296" t="str">
        <f>IF([1]RENAME!$H$3=1,B44,A44)</f>
        <v xml:space="preserve">Dividendo </v>
      </c>
      <c r="E44" s="321">
        <v>44299</v>
      </c>
      <c r="F44" s="321">
        <v>44299</v>
      </c>
      <c r="G44" s="297">
        <v>0.14264701321914552</v>
      </c>
      <c r="H44" s="785">
        <v>2020</v>
      </c>
      <c r="I44" s="321">
        <v>44313</v>
      </c>
      <c r="J44" s="1045">
        <v>9405.8262341249992</v>
      </c>
      <c r="K44" s="298">
        <v>21.38</v>
      </c>
      <c r="L44" s="789">
        <f>+G44/K44</f>
        <v>6.6719837801284161E-3</v>
      </c>
      <c r="M44" s="796" t="s">
        <v>160</v>
      </c>
      <c r="N44" s="849"/>
      <c r="W44" s="581"/>
      <c r="X44" s="547"/>
    </row>
    <row r="45" spans="1:24" customFormat="1" ht="13.5" thickBot="1" x14ac:dyDescent="0.25">
      <c r="A45" t="s">
        <v>565</v>
      </c>
      <c r="B45" t="s">
        <v>864</v>
      </c>
      <c r="D45" s="296" t="str">
        <f>IF([1]RENAME!$H$3=1,B45,A45)</f>
        <v>Juros</v>
      </c>
      <c r="E45" s="321">
        <v>44299</v>
      </c>
      <c r="F45" s="321">
        <v>44299</v>
      </c>
      <c r="G45" s="297">
        <v>4.7549004406381781E-2</v>
      </c>
      <c r="H45" s="785">
        <v>2020</v>
      </c>
      <c r="I45" s="321">
        <v>44313</v>
      </c>
      <c r="J45" s="1045">
        <v>3135.2754113750002</v>
      </c>
      <c r="K45" s="298">
        <v>21.38</v>
      </c>
      <c r="L45" s="789">
        <f>+G45/K45</f>
        <v>2.223994593376136E-3</v>
      </c>
      <c r="M45" s="796" t="s">
        <v>160</v>
      </c>
      <c r="N45" s="1223"/>
      <c r="W45" s="581"/>
      <c r="X45" s="547"/>
    </row>
    <row r="46" spans="1:24" customFormat="1" ht="13.5" thickBot="1" x14ac:dyDescent="0.25">
      <c r="A46" t="s">
        <v>563</v>
      </c>
      <c r="B46" t="s">
        <v>648</v>
      </c>
      <c r="D46" s="296" t="str">
        <f>IF([1]RENAME!$H$3=1,B46,A46)</f>
        <v xml:space="preserve">Dividendo </v>
      </c>
      <c r="E46" s="321">
        <v>44141</v>
      </c>
      <c r="F46" s="321">
        <v>44146</v>
      </c>
      <c r="G46" s="297">
        <v>0.25514038804647488</v>
      </c>
      <c r="H46" s="297" t="s">
        <v>1787</v>
      </c>
      <c r="I46" s="321">
        <v>44159</v>
      </c>
      <c r="J46" s="1045">
        <v>16823.388735</v>
      </c>
      <c r="K46" s="298">
        <v>23</v>
      </c>
      <c r="L46" s="789">
        <f>+G46/K46</f>
        <v>1.1093060349846733E-2</v>
      </c>
      <c r="M46" s="796" t="s">
        <v>160</v>
      </c>
      <c r="N46" s="849"/>
      <c r="W46" s="581"/>
      <c r="X46" s="547"/>
    </row>
    <row r="47" spans="1:24" customFormat="1" ht="13.5" thickBot="1" x14ac:dyDescent="0.25">
      <c r="A47" t="s">
        <v>565</v>
      </c>
      <c r="B47" t="s">
        <v>864</v>
      </c>
      <c r="D47" s="296" t="str">
        <f>IF([1]RENAME!$H$3=1,B47,A47)</f>
        <v>Juros</v>
      </c>
      <c r="E47" s="321">
        <v>44141</v>
      </c>
      <c r="F47" s="321">
        <v>44146</v>
      </c>
      <c r="G47" s="297">
        <v>8.504679601549163E-2</v>
      </c>
      <c r="H47" s="297" t="s">
        <v>1787</v>
      </c>
      <c r="I47" s="321">
        <v>44159</v>
      </c>
      <c r="J47" s="1045">
        <v>5607.7962450000005</v>
      </c>
      <c r="K47" s="298">
        <v>23</v>
      </c>
      <c r="L47" s="789">
        <f>+G47/K47</f>
        <v>3.6976867832822446E-3</v>
      </c>
      <c r="M47" s="796" t="s">
        <v>160</v>
      </c>
      <c r="W47" s="581"/>
      <c r="X47" s="547"/>
    </row>
    <row r="48" spans="1:24" s="142" customFormat="1" ht="13.5" thickBot="1" x14ac:dyDescent="0.25">
      <c r="D48" s="1053">
        <v>2019</v>
      </c>
      <c r="E48" s="1054" t="str">
        <f>IF(W48="","",IF([1]RENAME!$H$3=0,W48,TEXT(W48,"m/d/aa")))</f>
        <v/>
      </c>
      <c r="F48" s="294"/>
      <c r="G48" s="294">
        <f>SUM(G49:G52)</f>
        <v>1.1407508168180807</v>
      </c>
      <c r="H48" s="294"/>
      <c r="I48" s="294"/>
      <c r="J48" s="1055">
        <v>75263.667872909704</v>
      </c>
      <c r="K48" s="1056"/>
      <c r="L48" s="788">
        <f>+(1+L49)*(1+L50)*(1+L52)*(1+L51)-1</f>
        <v>3.7116854063646398E-2</v>
      </c>
      <c r="M48" s="795">
        <f>J48/(SUM(DRE!AL28:AO28)-SUM(DMPL!J169,DMPL!J159,DMPL!J147,DMPL!J135))</f>
        <v>0.42706846109878793</v>
      </c>
      <c r="W48" s="1057"/>
      <c r="X48" s="551"/>
    </row>
    <row r="49" spans="1:24" customFormat="1" ht="13.5" thickBot="1" x14ac:dyDescent="0.25">
      <c r="A49" t="s">
        <v>563</v>
      </c>
      <c r="B49" t="s">
        <v>648</v>
      </c>
      <c r="D49" s="296" t="str">
        <f>IF([1]RENAME!$H$3=1,B49,A49)</f>
        <v xml:space="preserve">Dividendo </v>
      </c>
      <c r="E49" s="321">
        <v>43776</v>
      </c>
      <c r="F49" s="321">
        <v>43781</v>
      </c>
      <c r="G49" s="297">
        <f>J49/66002.915</f>
        <v>0.51924924487702251</v>
      </c>
      <c r="H49" s="297" t="s">
        <v>1576</v>
      </c>
      <c r="I49" s="321">
        <v>43795</v>
      </c>
      <c r="J49" s="1045">
        <v>34271.963773432297</v>
      </c>
      <c r="K49" s="298">
        <v>30.5</v>
      </c>
      <c r="L49" s="789">
        <f>+G49/K49</f>
        <v>1.7024565405804017E-2</v>
      </c>
      <c r="M49" s="796" t="s">
        <v>160</v>
      </c>
      <c r="N49" s="849"/>
      <c r="W49" s="581"/>
      <c r="X49" s="547"/>
    </row>
    <row r="50" spans="1:24" customFormat="1" ht="13.5" thickBot="1" x14ac:dyDescent="0.25">
      <c r="A50" t="s">
        <v>565</v>
      </c>
      <c r="B50" t="s">
        <v>864</v>
      </c>
      <c r="D50" s="296" t="str">
        <f>IF([1]RENAME!$H$3=1,B50,A50)</f>
        <v>Juros</v>
      </c>
      <c r="E50" s="321">
        <v>43776</v>
      </c>
      <c r="F50" s="321">
        <v>43781</v>
      </c>
      <c r="G50" s="297">
        <f>J50/66002.915</f>
        <v>0.17308308162567418</v>
      </c>
      <c r="H50" s="297" t="s">
        <v>1576</v>
      </c>
      <c r="I50" s="321">
        <v>43795</v>
      </c>
      <c r="J50" s="1045">
        <v>11423.987924477433</v>
      </c>
      <c r="K50" s="298">
        <v>30.5</v>
      </c>
      <c r="L50" s="789">
        <f>+G50/K50</f>
        <v>5.6748551352680055E-3</v>
      </c>
      <c r="M50" s="796" t="s">
        <v>160</v>
      </c>
      <c r="W50" s="581"/>
      <c r="X50" s="547"/>
    </row>
    <row r="51" spans="1:24" customFormat="1" ht="13.5" thickBot="1" x14ac:dyDescent="0.25">
      <c r="A51" t="s">
        <v>563</v>
      </c>
      <c r="B51" t="s">
        <v>648</v>
      </c>
      <c r="D51" s="296" t="str">
        <f>IF([1]RENAME!$H$3=1,B51,A51)</f>
        <v xml:space="preserve">Dividendo </v>
      </c>
      <c r="E51" s="321">
        <v>43706</v>
      </c>
      <c r="F51" s="321">
        <v>43712</v>
      </c>
      <c r="G51" s="297">
        <v>0.33631386773653804</v>
      </c>
      <c r="H51" s="297" t="s">
        <v>1577</v>
      </c>
      <c r="I51" s="321">
        <v>43724</v>
      </c>
      <c r="J51" s="1045">
        <v>22175.787131250003</v>
      </c>
      <c r="K51" s="298">
        <v>32.11</v>
      </c>
      <c r="L51" s="789">
        <f>+G51/K51</f>
        <v>1.0473804663236937E-2</v>
      </c>
      <c r="M51" s="796" t="s">
        <v>160</v>
      </c>
      <c r="W51" s="581"/>
      <c r="X51" s="547"/>
    </row>
    <row r="52" spans="1:24" customFormat="1" ht="13.5" thickBot="1" x14ac:dyDescent="0.25">
      <c r="A52" t="s">
        <v>565</v>
      </c>
      <c r="B52" t="s">
        <v>864</v>
      </c>
      <c r="D52" s="296" t="str">
        <f>IF([1]RENAME!$H$3=1,B52,A52)</f>
        <v>Juros</v>
      </c>
      <c r="E52" s="321">
        <v>43706</v>
      </c>
      <c r="F52" s="321">
        <v>43712</v>
      </c>
      <c r="G52" s="297">
        <v>0.11210462257884601</v>
      </c>
      <c r="H52" s="297" t="s">
        <v>1577</v>
      </c>
      <c r="I52" s="321">
        <v>43724</v>
      </c>
      <c r="J52" s="1045">
        <v>7391.9290437500003</v>
      </c>
      <c r="K52" s="298">
        <v>32.11</v>
      </c>
      <c r="L52" s="789">
        <f>+G52/K52</f>
        <v>3.491268221078979E-3</v>
      </c>
      <c r="M52" s="796" t="s">
        <v>160</v>
      </c>
      <c r="P52" s="835"/>
      <c r="W52" s="581"/>
      <c r="X52" s="547"/>
    </row>
    <row r="53" spans="1:24" s="142" customFormat="1" ht="13.5" thickBot="1" x14ac:dyDescent="0.25">
      <c r="D53" s="1053">
        <v>2018</v>
      </c>
      <c r="E53" s="1058" t="str">
        <f>IF(W53="","",IF([1]RENAME!$H$3=0,W53,TEXT(W53,"m/d/aa")))</f>
        <v/>
      </c>
      <c r="F53" s="802"/>
      <c r="G53" s="294">
        <f>SUM(G54:G59)</f>
        <v>0.98501053387123905</v>
      </c>
      <c r="H53" s="294"/>
      <c r="I53" s="802"/>
      <c r="J53" s="1055">
        <f>SUM(J54:J59)</f>
        <v>64949.399999999994</v>
      </c>
      <c r="K53" s="1056"/>
      <c r="L53" s="788">
        <f>+(1+L56)*(1+L57)*(1+L58)*(1+L59)*(1+L55)*(1+L54)-1</f>
        <v>4.3428823432162256E-2</v>
      </c>
      <c r="M53" s="795">
        <f>J53/(SUM(DRE!AH28:AK28)-SUM(DMPL!J123,DMPL!J111,DMPL!J100,DMPL!J90))</f>
        <v>0.68916576941998764</v>
      </c>
      <c r="O53" s="1116"/>
      <c r="W53" s="1057"/>
      <c r="X53" s="551"/>
    </row>
    <row r="54" spans="1:24" customFormat="1" ht="13.5" thickBot="1" x14ac:dyDescent="0.25">
      <c r="A54" t="s">
        <v>563</v>
      </c>
      <c r="B54" t="s">
        <v>648</v>
      </c>
      <c r="D54" s="296" t="str">
        <f>IF([1]RENAME!$H$3=1,B54,A54)</f>
        <v xml:space="preserve">Dividendo </v>
      </c>
      <c r="E54" s="321">
        <v>43579</v>
      </c>
      <c r="F54" s="321">
        <v>43579</v>
      </c>
      <c r="G54" s="297">
        <v>0.3219582058368608</v>
      </c>
      <c r="H54" s="785">
        <v>2018</v>
      </c>
      <c r="I54" s="321">
        <v>43592</v>
      </c>
      <c r="J54" s="1045">
        <v>21229.206769999997</v>
      </c>
      <c r="K54" s="298">
        <v>29.02</v>
      </c>
      <c r="L54" s="789">
        <f t="shared" ref="L54:L59" si="4">+G54/K54</f>
        <v>1.1094355817948339E-2</v>
      </c>
      <c r="M54" s="796" t="s">
        <v>160</v>
      </c>
      <c r="O54" s="834"/>
      <c r="W54" s="581"/>
      <c r="X54" s="547"/>
    </row>
    <row r="55" spans="1:24" customFormat="1" ht="13.5" thickBot="1" x14ac:dyDescent="0.25">
      <c r="A55" t="s">
        <v>565</v>
      </c>
      <c r="B55" t="s">
        <v>864</v>
      </c>
      <c r="D55" s="296" t="str">
        <f>IF([1]RENAME!$H$3=1,B55,A55)</f>
        <v>Juros</v>
      </c>
      <c r="E55" s="321">
        <v>43579</v>
      </c>
      <c r="F55" s="321">
        <v>43579</v>
      </c>
      <c r="G55" s="297">
        <v>0.10731940199617299</v>
      </c>
      <c r="H55" s="785">
        <v>2018</v>
      </c>
      <c r="I55" s="321">
        <v>43592</v>
      </c>
      <c r="J55" s="1045">
        <v>7076.4022599999989</v>
      </c>
      <c r="K55" s="298">
        <v>29.02</v>
      </c>
      <c r="L55" s="789">
        <f t="shared" si="4"/>
        <v>3.6981186077247757E-3</v>
      </c>
      <c r="M55" s="796" t="s">
        <v>160</v>
      </c>
      <c r="W55" s="581"/>
      <c r="X55" s="547"/>
    </row>
    <row r="56" spans="1:24" customFormat="1" ht="13.5" thickBot="1" x14ac:dyDescent="0.25">
      <c r="A56" t="s">
        <v>563</v>
      </c>
      <c r="B56" t="s">
        <v>648</v>
      </c>
      <c r="D56" s="296" t="str">
        <f>IF([1]RENAME!$H$3=1,B56,A56)</f>
        <v xml:space="preserve">Dividendo </v>
      </c>
      <c r="E56" s="321">
        <v>43412</v>
      </c>
      <c r="F56" s="321">
        <v>43417</v>
      </c>
      <c r="G56" s="297">
        <v>0.17690879603120388</v>
      </c>
      <c r="H56" s="321" t="s">
        <v>1583</v>
      </c>
      <c r="I56" s="321">
        <v>43430</v>
      </c>
      <c r="J56" s="1045">
        <v>11664.97186</v>
      </c>
      <c r="K56" s="298">
        <v>21.82</v>
      </c>
      <c r="L56" s="789">
        <f t="shared" si="4"/>
        <v>8.1076441810817544E-3</v>
      </c>
      <c r="M56" s="796" t="s">
        <v>160</v>
      </c>
      <c r="W56" s="581"/>
      <c r="X56" s="547"/>
    </row>
    <row r="57" spans="1:24" customFormat="1" ht="13.5" thickBot="1" x14ac:dyDescent="0.25">
      <c r="A57" t="s">
        <v>565</v>
      </c>
      <c r="B57" t="s">
        <v>864</v>
      </c>
      <c r="D57" s="296" t="str">
        <f>IF([1]RENAME!$H$3=1,B57,A57)</f>
        <v>Juros</v>
      </c>
      <c r="E57" s="321">
        <v>43412</v>
      </c>
      <c r="F57" s="321">
        <v>43417</v>
      </c>
      <c r="G57" s="297">
        <v>5.8969598677067955E-2</v>
      </c>
      <c r="H57" s="321" t="s">
        <v>1583</v>
      </c>
      <c r="I57" s="321">
        <v>43430</v>
      </c>
      <c r="J57" s="1045">
        <v>3888.32395</v>
      </c>
      <c r="K57" s="298">
        <v>21.82</v>
      </c>
      <c r="L57" s="789">
        <f t="shared" si="4"/>
        <v>2.7025480603605845E-3</v>
      </c>
      <c r="M57" s="796" t="s">
        <v>160</v>
      </c>
      <c r="W57" s="581"/>
      <c r="X57" s="547"/>
    </row>
    <row r="58" spans="1:24" customFormat="1" ht="13.5" thickBot="1" x14ac:dyDescent="0.25">
      <c r="A58" t="s">
        <v>563</v>
      </c>
      <c r="B58" t="s">
        <v>648</v>
      </c>
      <c r="D58" s="296" t="str">
        <f>IF([1]RENAME!$H$3=1,B58,A58)</f>
        <v xml:space="preserve">Dividendo </v>
      </c>
      <c r="E58" s="321">
        <v>43319</v>
      </c>
      <c r="F58" s="321">
        <v>43322</v>
      </c>
      <c r="G58" s="297">
        <v>0.23989089849745004</v>
      </c>
      <c r="H58" s="321" t="s">
        <v>1582</v>
      </c>
      <c r="I58" s="321">
        <v>43334</v>
      </c>
      <c r="J58" s="1045">
        <v>15817.871370000001</v>
      </c>
      <c r="K58" s="298">
        <v>18.7</v>
      </c>
      <c r="L58" s="789">
        <f t="shared" si="4"/>
        <v>1.2828390293981286E-2</v>
      </c>
      <c r="M58" s="796" t="s">
        <v>160</v>
      </c>
      <c r="W58" s="581"/>
      <c r="X58" s="547"/>
    </row>
    <row r="59" spans="1:24" customFormat="1" ht="13.5" thickBot="1" x14ac:dyDescent="0.25">
      <c r="A59" t="s">
        <v>565</v>
      </c>
      <c r="B59" t="s">
        <v>864</v>
      </c>
      <c r="D59" s="296" t="str">
        <f>IF([1]RENAME!$H$3=1,B59,A59)</f>
        <v>Juros</v>
      </c>
      <c r="E59" s="321">
        <v>43319</v>
      </c>
      <c r="F59" s="321">
        <v>43322</v>
      </c>
      <c r="G59" s="297">
        <v>7.9963632832483339E-2</v>
      </c>
      <c r="H59" s="321" t="s">
        <v>1582</v>
      </c>
      <c r="I59" s="321">
        <v>43334</v>
      </c>
      <c r="J59" s="1045">
        <v>5272.6237899999996</v>
      </c>
      <c r="K59" s="298">
        <v>18.7</v>
      </c>
      <c r="L59" s="789">
        <f t="shared" si="4"/>
        <v>4.2761300979937619E-3</v>
      </c>
      <c r="M59" s="796" t="s">
        <v>160</v>
      </c>
      <c r="W59" s="581"/>
      <c r="X59" s="547"/>
    </row>
    <row r="60" spans="1:24" s="142" customFormat="1" ht="13.5" thickBot="1" x14ac:dyDescent="0.25">
      <c r="A60" s="142">
        <v>2017</v>
      </c>
      <c r="B60" s="142">
        <v>2017</v>
      </c>
      <c r="D60" s="1053">
        <v>2017</v>
      </c>
      <c r="E60" s="1058" t="str">
        <f>IF(W60="","",IF([1]RENAME!$H$3=0,W60,TEXT(W60,"m/d/aa")))</f>
        <v/>
      </c>
      <c r="F60" s="802" t="s">
        <v>160</v>
      </c>
      <c r="G60" s="294">
        <f>+SUM(G61:G65)</f>
        <v>0.92519832862065488</v>
      </c>
      <c r="H60" s="294" t="s">
        <v>160</v>
      </c>
      <c r="I60" s="802" t="s">
        <v>160</v>
      </c>
      <c r="J60" s="1055">
        <f>SUM(J61:J65)</f>
        <v>61249.19999999999</v>
      </c>
      <c r="K60" s="1056"/>
      <c r="L60" s="788">
        <f>SUM(L61:L65)</f>
        <v>4.8503154015015842E-2</v>
      </c>
      <c r="M60" s="795">
        <f>+J60/(SUM(Consolidado!Y48:AB48)-DMPL!K83)</f>
        <v>0.60000519915948858</v>
      </c>
      <c r="W60" s="1057"/>
      <c r="X60" s="551"/>
    </row>
    <row r="61" spans="1:24" customFormat="1" ht="13.5" thickBot="1" x14ac:dyDescent="0.25">
      <c r="A61" t="s">
        <v>563</v>
      </c>
      <c r="B61" t="s">
        <v>648</v>
      </c>
      <c r="D61" s="296" t="str">
        <f>IF([1]RENAME!$H$3=1,B61,A61)</f>
        <v xml:space="preserve">Dividendo </v>
      </c>
      <c r="E61" s="321">
        <v>43210</v>
      </c>
      <c r="F61" s="321" t="s">
        <v>160</v>
      </c>
      <c r="G61" s="297">
        <v>0.41501539709288326</v>
      </c>
      <c r="H61" s="297" t="s">
        <v>160</v>
      </c>
      <c r="I61" s="321" t="s">
        <v>160</v>
      </c>
      <c r="J61" s="1045">
        <v>27365.190629999997</v>
      </c>
      <c r="K61" s="298">
        <v>22</v>
      </c>
      <c r="L61" s="789">
        <f>+G61/K61</f>
        <v>1.8864336231494694E-2</v>
      </c>
      <c r="M61" s="796" t="s">
        <v>160</v>
      </c>
      <c r="W61" s="581"/>
      <c r="X61" s="547"/>
    </row>
    <row r="62" spans="1:24" customFormat="1" ht="13.5" thickBot="1" x14ac:dyDescent="0.25">
      <c r="A62" t="s">
        <v>565</v>
      </c>
      <c r="B62" t="s">
        <v>864</v>
      </c>
      <c r="D62" s="296" t="str">
        <f>IF([1]RENAME!$H$3=1,B62,A62)</f>
        <v>Juros</v>
      </c>
      <c r="E62" s="321">
        <v>43210</v>
      </c>
      <c r="F62" s="321" t="s">
        <v>160</v>
      </c>
      <c r="G62" s="297">
        <v>0.17426416273209835</v>
      </c>
      <c r="H62" s="297" t="s">
        <v>160</v>
      </c>
      <c r="I62" s="321" t="s">
        <v>160</v>
      </c>
      <c r="J62" s="1045">
        <v>11490.590629999999</v>
      </c>
      <c r="K62" s="298">
        <v>22</v>
      </c>
      <c r="L62" s="789">
        <f>+G62/K62</f>
        <v>7.9210983060044714E-3</v>
      </c>
      <c r="M62" s="796" t="s">
        <v>160</v>
      </c>
      <c r="W62" s="581"/>
      <c r="X62" s="547"/>
    </row>
    <row r="63" spans="1:24" customFormat="1" ht="13.5" thickBot="1" x14ac:dyDescent="0.25">
      <c r="A63" t="s">
        <v>565</v>
      </c>
      <c r="B63" t="s">
        <v>864</v>
      </c>
      <c r="D63" s="296" t="str">
        <f>IF([1]RENAME!$H$3=1,B63,A63)</f>
        <v>Juros</v>
      </c>
      <c r="E63" s="321">
        <f>IF(W63="","",IF([1]RENAME!$H$3=0,W63,TEXT(W63,"m/d/aa")))</f>
        <v>43045</v>
      </c>
      <c r="F63" s="321" t="s">
        <v>160</v>
      </c>
      <c r="G63" s="297">
        <v>5.7959384397836655E-2</v>
      </c>
      <c r="H63" s="297" t="s">
        <v>160</v>
      </c>
      <c r="I63" s="321" t="s">
        <v>160</v>
      </c>
      <c r="J63" s="1045">
        <f>7643.41874/2</f>
        <v>3821.70937</v>
      </c>
      <c r="K63" s="298">
        <v>18.149999999999999</v>
      </c>
      <c r="L63" s="789">
        <f>+G63/K63</f>
        <v>3.1933545122775019E-3</v>
      </c>
      <c r="M63" s="796" t="s">
        <v>160</v>
      </c>
      <c r="W63" s="579">
        <v>43045</v>
      </c>
      <c r="X63" s="547"/>
    </row>
    <row r="64" spans="1:24" customFormat="1" ht="13.5" thickBot="1" x14ac:dyDescent="0.25">
      <c r="A64" t="s">
        <v>563</v>
      </c>
      <c r="B64" t="s">
        <v>648</v>
      </c>
      <c r="D64" s="296" t="str">
        <f>IF([1]RENAME!$H$3=1,B64,A64)</f>
        <v xml:space="preserve">Dividendo </v>
      </c>
      <c r="E64" s="321">
        <f>IF(W64="","",IF([1]RENAME!$H$3=0,W64,TEXT(W64,"m/d/aa")))</f>
        <v>43045</v>
      </c>
      <c r="F64" s="321" t="s">
        <v>160</v>
      </c>
      <c r="G64" s="297">
        <v>5.7959384397836655E-2</v>
      </c>
      <c r="H64" s="297" t="s">
        <v>160</v>
      </c>
      <c r="I64" s="321" t="s">
        <v>160</v>
      </c>
      <c r="J64" s="1045">
        <f>7643.41874/2</f>
        <v>3821.70937</v>
      </c>
      <c r="K64" s="298">
        <v>18.149999999999999</v>
      </c>
      <c r="L64" s="789">
        <f>+G64/K64</f>
        <v>3.1933545122775019E-3</v>
      </c>
      <c r="M64" s="796" t="s">
        <v>160</v>
      </c>
      <c r="W64" s="579">
        <v>43045</v>
      </c>
      <c r="X64" s="547"/>
    </row>
    <row r="65" spans="1:24" customFormat="1" ht="13.5" thickBot="1" x14ac:dyDescent="0.25">
      <c r="A65" t="s">
        <v>563</v>
      </c>
      <c r="B65" t="s">
        <v>648</v>
      </c>
      <c r="D65" s="296" t="str">
        <f>IF([1]RENAME!$H$3=1,B65,A65)</f>
        <v xml:space="preserve">Dividendo </v>
      </c>
      <c r="E65" s="321">
        <f>IF(W65="","",IF([1]RENAME!$H$3=0,W65,TEXT(W65,"m/d/aa")))</f>
        <v>42951</v>
      </c>
      <c r="F65" s="321" t="s">
        <v>160</v>
      </c>
      <c r="G65" s="297">
        <v>0.22</v>
      </c>
      <c r="H65" s="297" t="s">
        <v>160</v>
      </c>
      <c r="I65" s="321" t="s">
        <v>160</v>
      </c>
      <c r="J65" s="1045">
        <v>14750</v>
      </c>
      <c r="K65" s="298">
        <v>14.35</v>
      </c>
      <c r="L65" s="789">
        <f>+G65/K65</f>
        <v>1.5331010452961672E-2</v>
      </c>
      <c r="M65" s="796" t="s">
        <v>160</v>
      </c>
      <c r="W65" s="579">
        <v>42951</v>
      </c>
      <c r="X65" s="547"/>
    </row>
    <row r="66" spans="1:24" customFormat="1" ht="13.5" thickBot="1" x14ac:dyDescent="0.25">
      <c r="A66">
        <v>2016</v>
      </c>
      <c r="B66">
        <v>2016</v>
      </c>
      <c r="D66" s="568">
        <v>2016</v>
      </c>
      <c r="E66" s="569" t="str">
        <f>IF(W66="","",IF([1]RENAME!$H$3=0,W66,TEXT(W66,"m/d/aa")))</f>
        <v/>
      </c>
      <c r="F66" s="786" t="s">
        <v>160</v>
      </c>
      <c r="G66" s="294">
        <f>+G67</f>
        <v>0.12120676791320506</v>
      </c>
      <c r="H66" s="786" t="s">
        <v>160</v>
      </c>
      <c r="I66" s="786" t="s">
        <v>160</v>
      </c>
      <c r="J66" s="1046">
        <f>+J67</f>
        <v>8000</v>
      </c>
      <c r="K66" s="300"/>
      <c r="L66" s="790">
        <f>+L67</f>
        <v>9.294997539356217E-3</v>
      </c>
      <c r="M66" s="801" t="s">
        <v>160</v>
      </c>
      <c r="W66" s="581"/>
      <c r="X66" s="547"/>
    </row>
    <row r="67" spans="1:24" customFormat="1" ht="13.5" thickBot="1" x14ac:dyDescent="0.25">
      <c r="A67" t="s">
        <v>563</v>
      </c>
      <c r="B67" t="s">
        <v>648</v>
      </c>
      <c r="D67" s="296" t="str">
        <f>IF([1]RENAME!$H$3=1,B67,A67)</f>
        <v xml:space="preserve">Dividendo </v>
      </c>
      <c r="E67" s="321">
        <f>IF(W67="","",IF([1]RENAME!$H$3=0,W67,TEXT(W67,"m/d/aa")))</f>
        <v>42853</v>
      </c>
      <c r="F67" s="297" t="s">
        <v>160</v>
      </c>
      <c r="G67" s="297">
        <f>+J67/66002.915</f>
        <v>0.12120676791320506</v>
      </c>
      <c r="H67" s="297" t="s">
        <v>160</v>
      </c>
      <c r="I67" s="297" t="s">
        <v>160</v>
      </c>
      <c r="J67" s="1045">
        <v>8000</v>
      </c>
      <c r="K67" s="298">
        <v>13.04</v>
      </c>
      <c r="L67" s="789">
        <f>+G67/K67</f>
        <v>9.294997539356217E-3</v>
      </c>
      <c r="M67" s="796" t="s">
        <v>160</v>
      </c>
      <c r="W67" s="579">
        <v>42853</v>
      </c>
      <c r="X67" s="547"/>
    </row>
    <row r="68" spans="1:24" customFormat="1" ht="13.5" thickBot="1" x14ac:dyDescent="0.25">
      <c r="A68">
        <v>2015</v>
      </c>
      <c r="B68">
        <v>2015</v>
      </c>
      <c r="D68" s="568">
        <v>2015</v>
      </c>
      <c r="E68" s="569" t="str">
        <f>IF(W68="","",IF([1]RENAME!$H$3=0,W68,TEXT(W68,"m/d/aa")))</f>
        <v/>
      </c>
      <c r="F68" s="786" t="s">
        <v>160</v>
      </c>
      <c r="G68" s="294">
        <f>+G69</f>
        <v>7.5829136000000005E-2</v>
      </c>
      <c r="H68" s="786" t="s">
        <v>160</v>
      </c>
      <c r="I68" s="786" t="s">
        <v>160</v>
      </c>
      <c r="J68" s="1046">
        <f>+J69</f>
        <v>5000</v>
      </c>
      <c r="K68" s="295"/>
      <c r="L68" s="790">
        <f>+L69</f>
        <v>1.4443644952380954E-2</v>
      </c>
      <c r="M68" s="801" t="s">
        <v>160</v>
      </c>
      <c r="W68" s="581"/>
      <c r="X68" s="547"/>
    </row>
    <row r="69" spans="1:24" s="142" customFormat="1" ht="13.5" thickBot="1" x14ac:dyDescent="0.25">
      <c r="A69" s="142" t="s">
        <v>563</v>
      </c>
      <c r="B69" s="142" t="s">
        <v>865</v>
      </c>
      <c r="D69" s="1059" t="str">
        <f>IF([1]RENAME!$H$3=1,B69,A69)</f>
        <v xml:space="preserve">Dividendo </v>
      </c>
      <c r="E69" s="1060">
        <f>IF(W69="","",IF([1]RENAME!$H$3=0,W69,TEXT(W69,"m/d/aa")))</f>
        <v>42247</v>
      </c>
      <c r="F69" s="1061" t="s">
        <v>160</v>
      </c>
      <c r="G69" s="1061">
        <v>7.5829136000000005E-2</v>
      </c>
      <c r="H69" s="1061" t="s">
        <v>160</v>
      </c>
      <c r="I69" s="1061" t="s">
        <v>160</v>
      </c>
      <c r="J69" s="1062">
        <v>5000</v>
      </c>
      <c r="K69" s="1063">
        <v>5.25</v>
      </c>
      <c r="L69" s="1064">
        <f>+G69/K69</f>
        <v>1.4443644952380954E-2</v>
      </c>
      <c r="M69" s="1065" t="s">
        <v>160</v>
      </c>
      <c r="W69" s="1066">
        <v>42247</v>
      </c>
      <c r="X69" s="551"/>
    </row>
    <row r="70" spans="1:24" customFormat="1" ht="13.5" thickBot="1" x14ac:dyDescent="0.25">
      <c r="A70">
        <v>2014</v>
      </c>
      <c r="B70">
        <v>2014</v>
      </c>
      <c r="D70" s="568">
        <v>2014</v>
      </c>
      <c r="E70" s="569" t="str">
        <f>IF(W70="","",IF([1]RENAME!$H$3=0,W70,TEXT(W70,"m/d/aa")))</f>
        <v/>
      </c>
      <c r="F70" s="299" t="s">
        <v>160</v>
      </c>
      <c r="G70" s="299">
        <v>0</v>
      </c>
      <c r="H70" s="299" t="s">
        <v>160</v>
      </c>
      <c r="I70" s="299" t="s">
        <v>160</v>
      </c>
      <c r="J70" s="1044">
        <v>0</v>
      </c>
      <c r="K70" s="300"/>
      <c r="L70" s="791">
        <v>0</v>
      </c>
      <c r="M70" s="797" t="s">
        <v>160</v>
      </c>
      <c r="W70" s="581"/>
      <c r="X70" s="547"/>
    </row>
    <row r="71" spans="1:24" s="142" customFormat="1" ht="13.5" thickBot="1" x14ac:dyDescent="0.25">
      <c r="A71" s="142">
        <v>2013</v>
      </c>
      <c r="B71" s="142">
        <v>2013</v>
      </c>
      <c r="D71" s="1053">
        <v>2013</v>
      </c>
      <c r="E71" s="1054" t="str">
        <f>IF(W71="","",IF([1]RENAME!$H$3=0,W71,TEXT(W71,"m/d/aa")))</f>
        <v/>
      </c>
      <c r="F71" s="1067" t="s">
        <v>160</v>
      </c>
      <c r="G71" s="1067">
        <f>+SUM(G72:G76)</f>
        <v>0.71252089766017623</v>
      </c>
      <c r="H71" s="1067" t="s">
        <v>160</v>
      </c>
      <c r="I71" s="1067" t="s">
        <v>160</v>
      </c>
      <c r="J71" s="1055">
        <f>SUM(J72:J76)</f>
        <v>46982</v>
      </c>
      <c r="K71" s="1056"/>
      <c r="L71" s="1068">
        <v>3.3724554791290516E-2</v>
      </c>
      <c r="M71" s="1069" t="s">
        <v>160</v>
      </c>
      <c r="W71" s="1057"/>
      <c r="X71" s="551"/>
    </row>
    <row r="72" spans="1:24" customFormat="1" ht="13.5" thickBot="1" x14ac:dyDescent="0.25">
      <c r="A72" t="s">
        <v>563</v>
      </c>
      <c r="B72" t="s">
        <v>865</v>
      </c>
      <c r="D72" s="296" t="str">
        <f>IF([1]RENAME!$H$3=1,B72,A72)</f>
        <v xml:space="preserve">Dividendo </v>
      </c>
      <c r="E72" s="321">
        <f>IF(W72="","",IF([1]RENAME!$H$3=0,W72,TEXT(W72,"m/d/aa")))</f>
        <v>41758</v>
      </c>
      <c r="F72" s="297" t="s">
        <v>160</v>
      </c>
      <c r="G72" s="297">
        <v>0.25754607966017629</v>
      </c>
      <c r="H72" s="297" t="s">
        <v>160</v>
      </c>
      <c r="I72" s="297" t="s">
        <v>160</v>
      </c>
      <c r="J72" s="1045">
        <v>16982</v>
      </c>
      <c r="K72" s="298">
        <v>19.100000000000001</v>
      </c>
      <c r="L72" s="789">
        <v>1.3484087940323365E-2</v>
      </c>
      <c r="M72" s="796" t="s">
        <v>160</v>
      </c>
      <c r="W72" s="579">
        <v>41758</v>
      </c>
      <c r="X72" s="547"/>
    </row>
    <row r="73" spans="1:24" customFormat="1" ht="13.5" thickBot="1" x14ac:dyDescent="0.25">
      <c r="A73" t="s">
        <v>564</v>
      </c>
      <c r="B73" t="s">
        <v>648</v>
      </c>
      <c r="D73" s="296" t="str">
        <f>IF([1]RENAME!$H$3=1,B73,A73)</f>
        <v>Dividendo</v>
      </c>
      <c r="E73" s="321">
        <f>IF(W73="","",IF([1]RENAME!$H$3=0,W73,TEXT(W73,"m/d/aa")))</f>
        <v>41590</v>
      </c>
      <c r="F73" s="297" t="s">
        <v>160</v>
      </c>
      <c r="G73" s="297">
        <v>0.15165827300000001</v>
      </c>
      <c r="H73" s="297" t="s">
        <v>160</v>
      </c>
      <c r="I73" s="297" t="s">
        <v>160</v>
      </c>
      <c r="J73" s="1045">
        <v>10000</v>
      </c>
      <c r="K73" s="298">
        <v>21.28</v>
      </c>
      <c r="L73" s="789">
        <v>7.1267985432330828E-3</v>
      </c>
      <c r="M73" s="796" t="s">
        <v>160</v>
      </c>
      <c r="W73" s="579">
        <v>41590</v>
      </c>
      <c r="X73" s="547"/>
    </row>
    <row r="74" spans="1:24" customFormat="1" ht="13.5" thickBot="1" x14ac:dyDescent="0.25">
      <c r="A74" t="s">
        <v>565</v>
      </c>
      <c r="B74" t="s">
        <v>864</v>
      </c>
      <c r="D74" s="301" t="str">
        <f>IF([1]RENAME!$H$3=1,B74,A74)</f>
        <v>Juros</v>
      </c>
      <c r="E74" s="321">
        <f>IF(W74="","",IF([1]RENAME!$H$3=0,W74,TEXT(W74,"m/d/aa")))</f>
        <v>41590</v>
      </c>
      <c r="F74" s="297" t="s">
        <v>160</v>
      </c>
      <c r="G74" s="297">
        <v>7.5829136000000005E-2</v>
      </c>
      <c r="H74" s="297" t="s">
        <v>160</v>
      </c>
      <c r="I74" s="297" t="s">
        <v>160</v>
      </c>
      <c r="J74" s="1045">
        <v>5000</v>
      </c>
      <c r="K74" s="298">
        <v>21.28</v>
      </c>
      <c r="L74" s="789">
        <v>3.5633992481203009E-3</v>
      </c>
      <c r="M74" s="796" t="s">
        <v>160</v>
      </c>
      <c r="W74" s="579">
        <v>41590</v>
      </c>
      <c r="X74" s="547"/>
    </row>
    <row r="75" spans="1:24" customFormat="1" ht="13.5" thickBot="1" x14ac:dyDescent="0.25">
      <c r="A75" t="s">
        <v>564</v>
      </c>
      <c r="B75" t="s">
        <v>648</v>
      </c>
      <c r="D75" s="296" t="str">
        <f>IF([1]RENAME!$H$3=1,B75,A75)</f>
        <v>Dividendo</v>
      </c>
      <c r="E75" s="321">
        <f>IF(W75="","",IF([1]RENAME!$H$3=0,W75,TEXT(W75,"m/d/aa")))</f>
        <v>41502</v>
      </c>
      <c r="F75" s="297" t="s">
        <v>160</v>
      </c>
      <c r="G75" s="297">
        <v>0.13649244499999999</v>
      </c>
      <c r="H75" s="297" t="s">
        <v>160</v>
      </c>
      <c r="I75" s="297" t="s">
        <v>160</v>
      </c>
      <c r="J75" s="1045">
        <v>9000</v>
      </c>
      <c r="K75" s="298">
        <v>23.82</v>
      </c>
      <c r="L75" s="789">
        <v>5.7301614189756503E-3</v>
      </c>
      <c r="M75" s="796" t="s">
        <v>160</v>
      </c>
      <c r="W75" s="579">
        <v>41502</v>
      </c>
      <c r="X75" s="547"/>
    </row>
    <row r="76" spans="1:24" customFormat="1" ht="13.5" thickBot="1" x14ac:dyDescent="0.25">
      <c r="A76" t="s">
        <v>565</v>
      </c>
      <c r="B76" t="s">
        <v>864</v>
      </c>
      <c r="D76" s="301" t="str">
        <f>IF([1]RENAME!$H$3=1,B76,A76)</f>
        <v>Juros</v>
      </c>
      <c r="E76" s="321">
        <f>IF(W76="","",IF([1]RENAME!$H$3=0,W76,TEXT(W76,"m/d/aa")))</f>
        <v>41502</v>
      </c>
      <c r="F76" s="297" t="s">
        <v>160</v>
      </c>
      <c r="G76" s="297">
        <v>9.0994963999999998E-2</v>
      </c>
      <c r="H76" s="297" t="s">
        <v>160</v>
      </c>
      <c r="I76" s="297" t="s">
        <v>160</v>
      </c>
      <c r="J76" s="1045">
        <v>6000</v>
      </c>
      <c r="K76" s="298">
        <v>23.82</v>
      </c>
      <c r="L76" s="789">
        <v>3.820107640638119E-3</v>
      </c>
      <c r="M76" s="796" t="s">
        <v>160</v>
      </c>
      <c r="W76" s="579">
        <v>41502</v>
      </c>
      <c r="X76" s="547"/>
    </row>
    <row r="77" spans="1:24" s="142" customFormat="1" ht="13.5" thickBot="1" x14ac:dyDescent="0.25">
      <c r="A77" s="142">
        <v>2012</v>
      </c>
      <c r="B77" s="142">
        <v>2012</v>
      </c>
      <c r="D77" s="1053">
        <v>2012</v>
      </c>
      <c r="E77" s="1054" t="str">
        <f>IF(W77="","",IF([1]RENAME!$H$3=0,W77,TEXT(W77,"m/d/aa")))</f>
        <v/>
      </c>
      <c r="F77" s="1067" t="s">
        <v>160</v>
      </c>
      <c r="G77" s="1067">
        <f>+SUM(G78:G82)</f>
        <v>0.97061294599999992</v>
      </c>
      <c r="H77" s="1067" t="s">
        <v>160</v>
      </c>
      <c r="I77" s="1067" t="s">
        <v>160</v>
      </c>
      <c r="J77" s="1055">
        <f>SUM(J78:J82)</f>
        <v>64016.809766571561</v>
      </c>
      <c r="K77" s="1056"/>
      <c r="L77" s="1068">
        <v>3.228322430648245E-2</v>
      </c>
      <c r="M77" s="1069" t="s">
        <v>160</v>
      </c>
      <c r="W77" s="1057"/>
      <c r="X77" s="551"/>
    </row>
    <row r="78" spans="1:24" customFormat="1" ht="13.5" thickBot="1" x14ac:dyDescent="0.25">
      <c r="A78" t="s">
        <v>564</v>
      </c>
      <c r="B78" t="s">
        <v>648</v>
      </c>
      <c r="D78" s="296" t="str">
        <f>IF([1]RENAME!$H$3=1,B78,A78)</f>
        <v>Dividendo</v>
      </c>
      <c r="E78" s="321">
        <f>IF(W78="","",IF([1]RENAME!$H$3=0,W78,TEXT(W78,"m/d/aa")))</f>
        <v>41394</v>
      </c>
      <c r="F78" s="297" t="s">
        <v>160</v>
      </c>
      <c r="G78" s="297">
        <v>0.45497481899999997</v>
      </c>
      <c r="H78" s="297" t="s">
        <v>160</v>
      </c>
      <c r="I78" s="297" t="s">
        <v>160</v>
      </c>
      <c r="J78" s="1045">
        <v>30000</v>
      </c>
      <c r="K78" s="298">
        <v>27.01</v>
      </c>
      <c r="L78" s="789">
        <v>1.6844680451684559E-2</v>
      </c>
      <c r="M78" s="796" t="s">
        <v>160</v>
      </c>
      <c r="W78" s="579">
        <v>41394</v>
      </c>
      <c r="X78" s="547"/>
    </row>
    <row r="79" spans="1:24" customFormat="1" ht="13.5" thickBot="1" x14ac:dyDescent="0.25">
      <c r="A79" t="s">
        <v>564</v>
      </c>
      <c r="B79" t="s">
        <v>648</v>
      </c>
      <c r="D79" s="296" t="str">
        <f>IF([1]RENAME!$H$3=1,B79,A79)</f>
        <v>Dividendo</v>
      </c>
      <c r="E79" s="321">
        <f>IF(W79="","",IF([1]RENAME!$H$3=0,W79,TEXT(W79,"m/d/aa")))</f>
        <v>41221</v>
      </c>
      <c r="F79" s="297" t="s">
        <v>160</v>
      </c>
      <c r="G79" s="297">
        <v>0.121326618</v>
      </c>
      <c r="H79" s="297" t="s">
        <v>160</v>
      </c>
      <c r="I79" s="297" t="s">
        <v>160</v>
      </c>
      <c r="J79" s="1045">
        <v>8000</v>
      </c>
      <c r="K79" s="298">
        <v>34.35</v>
      </c>
      <c r="L79" s="789">
        <v>3.5320703930131004E-3</v>
      </c>
      <c r="M79" s="796" t="s">
        <v>160</v>
      </c>
      <c r="W79" s="579">
        <v>41221</v>
      </c>
      <c r="X79" s="547"/>
    </row>
    <row r="80" spans="1:24" customFormat="1" ht="13.5" thickBot="1" x14ac:dyDescent="0.25">
      <c r="A80" t="s">
        <v>565</v>
      </c>
      <c r="B80" t="s">
        <v>864</v>
      </c>
      <c r="D80" s="296" t="str">
        <f>IF([1]RENAME!$H$3=1,B80,A80)</f>
        <v>Juros</v>
      </c>
      <c r="E80" s="321">
        <f>IF(W80="","",IF([1]RENAME!$H$3=0,W80,TEXT(W80,"m/d/aa")))</f>
        <v>41221</v>
      </c>
      <c r="F80" s="297" t="s">
        <v>160</v>
      </c>
      <c r="G80" s="297">
        <v>0.13649244499999999</v>
      </c>
      <c r="H80" s="297" t="s">
        <v>160</v>
      </c>
      <c r="I80" s="297" t="s">
        <v>160</v>
      </c>
      <c r="J80" s="1045">
        <v>9000</v>
      </c>
      <c r="K80" s="298">
        <v>34.35</v>
      </c>
      <c r="L80" s="789">
        <v>3.9735791848617167E-3</v>
      </c>
      <c r="M80" s="796" t="s">
        <v>160</v>
      </c>
      <c r="W80" s="579">
        <v>41221</v>
      </c>
      <c r="X80" s="547"/>
    </row>
    <row r="81" spans="1:24" customFormat="1" ht="13.5" thickBot="1" x14ac:dyDescent="0.25">
      <c r="A81" t="s">
        <v>564</v>
      </c>
      <c r="B81" t="s">
        <v>648</v>
      </c>
      <c r="D81" s="296" t="str">
        <f>IF([1]RENAME!$H$3=1,B81,A81)</f>
        <v>Dividendo</v>
      </c>
      <c r="E81" s="321">
        <f>IF(W81="","",IF([1]RENAME!$H$3=0,W81,TEXT(W81,"m/d/aa")))</f>
        <v>41138</v>
      </c>
      <c r="F81" s="297" t="s">
        <v>160</v>
      </c>
      <c r="G81" s="297">
        <v>0.15165827300000001</v>
      </c>
      <c r="H81" s="297" t="s">
        <v>160</v>
      </c>
      <c r="I81" s="297" t="s">
        <v>160</v>
      </c>
      <c r="J81" s="1045">
        <f>(G81*66002915)/1000</f>
        <v>10009.888101865796</v>
      </c>
      <c r="K81" s="298">
        <v>32.5</v>
      </c>
      <c r="L81" s="789">
        <v>4.6664084000000005E-3</v>
      </c>
      <c r="M81" s="796" t="s">
        <v>160</v>
      </c>
      <c r="W81" s="579">
        <v>41138</v>
      </c>
      <c r="X81" s="547"/>
    </row>
    <row r="82" spans="1:24" customFormat="1" ht="13.5" thickBot="1" x14ac:dyDescent="0.25">
      <c r="A82" t="s">
        <v>565</v>
      </c>
      <c r="B82" t="s">
        <v>864</v>
      </c>
      <c r="D82" s="301" t="str">
        <f>IF([1]RENAME!$H$3=1,B82,A82)</f>
        <v>Juros</v>
      </c>
      <c r="E82" s="321">
        <f>IF(W82="","",IF([1]RENAME!$H$3=0,W82,TEXT(W82,"m/d/aa")))</f>
        <v>41138</v>
      </c>
      <c r="F82" s="297" t="s">
        <v>160</v>
      </c>
      <c r="G82" s="297">
        <v>0.106160791</v>
      </c>
      <c r="H82" s="297" t="s">
        <v>160</v>
      </c>
      <c r="I82" s="297" t="s">
        <v>160</v>
      </c>
      <c r="J82" s="1045">
        <f>(G82*66002915)/1000</f>
        <v>7006.9216647057656</v>
      </c>
      <c r="K82" s="298">
        <v>32.5</v>
      </c>
      <c r="L82" s="789">
        <v>3.2664858769230771E-3</v>
      </c>
      <c r="M82" s="796" t="s">
        <v>160</v>
      </c>
      <c r="W82" s="579">
        <v>41138</v>
      </c>
      <c r="X82" s="547"/>
    </row>
    <row r="83" spans="1:24" s="142" customFormat="1" ht="13.5" thickBot="1" x14ac:dyDescent="0.25">
      <c r="A83" s="142">
        <v>2011</v>
      </c>
      <c r="B83" s="142">
        <v>2011</v>
      </c>
      <c r="D83" s="1053">
        <v>2011</v>
      </c>
      <c r="E83" s="1054" t="str">
        <f>IF(W83="","",IF([1]RENAME!$H$3=0,W83,TEXT(W83,"m/d/aa")))</f>
        <v/>
      </c>
      <c r="F83" s="1067" t="s">
        <v>160</v>
      </c>
      <c r="G83" s="1067">
        <f>SUM(G84:G88)</f>
        <v>1.0009447819999999</v>
      </c>
      <c r="H83" s="1067" t="s">
        <v>160</v>
      </c>
      <c r="I83" s="1067" t="s">
        <v>160</v>
      </c>
      <c r="J83" s="1055">
        <f>SUM(J84:J88)</f>
        <v>66065.273366039532</v>
      </c>
      <c r="K83" s="1056"/>
      <c r="L83" s="1068">
        <v>4.1651064127491179E-2</v>
      </c>
      <c r="M83" s="1069" t="s">
        <v>160</v>
      </c>
      <c r="W83" s="1057"/>
      <c r="X83" s="551"/>
    </row>
    <row r="84" spans="1:24" customFormat="1" ht="13.5" thickBot="1" x14ac:dyDescent="0.25">
      <c r="A84" t="s">
        <v>564</v>
      </c>
      <c r="B84" t="s">
        <v>648</v>
      </c>
      <c r="D84" s="296" t="str">
        <f>IF([1]RENAME!$H$3=1,B84,A84)</f>
        <v>Dividendo</v>
      </c>
      <c r="E84" s="321">
        <f>IF(W84="","",IF([1]RENAME!$H$3=0,W84,TEXT(W84,"m/d/aa")))</f>
        <v>41009</v>
      </c>
      <c r="F84" s="297" t="s">
        <v>160</v>
      </c>
      <c r="G84" s="297">
        <v>0.45497500000000002</v>
      </c>
      <c r="H84" s="297" t="s">
        <v>160</v>
      </c>
      <c r="I84" s="297" t="s">
        <v>160</v>
      </c>
      <c r="J84" s="1045">
        <f>(G84*66002915)/1000</f>
        <v>30029.676252125002</v>
      </c>
      <c r="K84" s="298">
        <v>29.64</v>
      </c>
      <c r="L84" s="789">
        <v>1.5350033738191634E-2</v>
      </c>
      <c r="M84" s="796" t="s">
        <v>160</v>
      </c>
      <c r="W84" s="579">
        <v>41009</v>
      </c>
      <c r="X84" s="547"/>
    </row>
    <row r="85" spans="1:24" customFormat="1" ht="13.5" thickBot="1" x14ac:dyDescent="0.25">
      <c r="A85" t="s">
        <v>564</v>
      </c>
      <c r="B85" t="s">
        <v>648</v>
      </c>
      <c r="D85" s="296" t="str">
        <f>IF([1]RENAME!$H$3=1,B85,A85)</f>
        <v>Dividendo</v>
      </c>
      <c r="E85" s="321">
        <f>IF(W85="","",IF([1]RENAME!$H$3=0,W85,TEXT(W85,"m/d/aa")))</f>
        <v>40855</v>
      </c>
      <c r="F85" s="297" t="s">
        <v>160</v>
      </c>
      <c r="G85" s="297">
        <v>0.15165827300000001</v>
      </c>
      <c r="H85" s="297" t="s">
        <v>160</v>
      </c>
      <c r="I85" s="297" t="s">
        <v>160</v>
      </c>
      <c r="J85" s="1045">
        <f>(G85*66002915)/1000</f>
        <v>10009.888101865796</v>
      </c>
      <c r="K85" s="298">
        <v>22.666989999999998</v>
      </c>
      <c r="L85" s="789">
        <v>6.6907107207441318E-3</v>
      </c>
      <c r="M85" s="796" t="s">
        <v>160</v>
      </c>
      <c r="W85" s="579">
        <v>40855</v>
      </c>
      <c r="X85" s="547"/>
    </row>
    <row r="86" spans="1:24" customFormat="1" ht="13.5" thickBot="1" x14ac:dyDescent="0.25">
      <c r="A86" t="s">
        <v>565</v>
      </c>
      <c r="B86" t="s">
        <v>864</v>
      </c>
      <c r="D86" s="301" t="str">
        <f>IF([1]RENAME!$H$3=1,B86,A86)</f>
        <v>Juros</v>
      </c>
      <c r="E86" s="321">
        <f>IF(W86="","",IF([1]RENAME!$H$3=0,W86,TEXT(W86,"m/d/aa")))</f>
        <v>40855</v>
      </c>
      <c r="F86" s="302" t="s">
        <v>160</v>
      </c>
      <c r="G86" s="302">
        <v>0.121326618</v>
      </c>
      <c r="H86" s="302" t="s">
        <v>160</v>
      </c>
      <c r="I86" s="302" t="s">
        <v>160</v>
      </c>
      <c r="J86" s="1047">
        <f>(G86*66002915)/1000</f>
        <v>8007.9104550914699</v>
      </c>
      <c r="K86" s="298">
        <v>22.666989999999998</v>
      </c>
      <c r="L86" s="792">
        <v>5.352568558948498E-3</v>
      </c>
      <c r="M86" s="798" t="s">
        <v>160</v>
      </c>
      <c r="W86" s="579">
        <v>40855</v>
      </c>
      <c r="X86" s="547"/>
    </row>
    <row r="87" spans="1:24" customFormat="1" ht="13.5" thickBot="1" x14ac:dyDescent="0.25">
      <c r="A87" t="s">
        <v>564</v>
      </c>
      <c r="B87" t="s">
        <v>648</v>
      </c>
      <c r="D87" s="301" t="str">
        <f>IF([1]RENAME!$H$3=1,B87,A87)</f>
        <v>Dividendo</v>
      </c>
      <c r="E87" s="321">
        <f>IF(W87="","",IF([1]RENAME!$H$3=0,W87,TEXT(W87,"m/d/aa")))</f>
        <v>40766</v>
      </c>
      <c r="F87" s="302" t="s">
        <v>160</v>
      </c>
      <c r="G87" s="302">
        <v>0.15165827300000001</v>
      </c>
      <c r="H87" s="302" t="s">
        <v>160</v>
      </c>
      <c r="I87" s="302" t="s">
        <v>160</v>
      </c>
      <c r="J87" s="1047">
        <f>(G87*66002915)/1000</f>
        <v>10009.888101865796</v>
      </c>
      <c r="K87" s="298">
        <v>19.146419999999999</v>
      </c>
      <c r="L87" s="792">
        <v>7.9209728502769722E-3</v>
      </c>
      <c r="M87" s="798" t="s">
        <v>160</v>
      </c>
      <c r="W87" s="579">
        <v>40766</v>
      </c>
      <c r="X87" s="547"/>
    </row>
    <row r="88" spans="1:24" customFormat="1" ht="13.5" thickBot="1" x14ac:dyDescent="0.25">
      <c r="A88" t="s">
        <v>565</v>
      </c>
      <c r="B88" t="s">
        <v>864</v>
      </c>
      <c r="D88" s="303" t="str">
        <f>IF([1]RENAME!$H$3=1,B88,A88)</f>
        <v>Juros</v>
      </c>
      <c r="E88" s="321">
        <f>IF(W88="","",IF([1]RENAME!$H$3=0,W88,TEXT(W88,"m/d/aa")))</f>
        <v>40766</v>
      </c>
      <c r="F88" s="304" t="s">
        <v>160</v>
      </c>
      <c r="G88" s="304">
        <v>0.121326618</v>
      </c>
      <c r="H88" s="304" t="s">
        <v>160</v>
      </c>
      <c r="I88" s="304" t="s">
        <v>160</v>
      </c>
      <c r="J88" s="1048">
        <f>(G88*66002915)/1000</f>
        <v>8007.9104550914699</v>
      </c>
      <c r="K88" s="305">
        <v>19.146419999999999</v>
      </c>
      <c r="L88" s="793">
        <v>6.3367782593299424E-3</v>
      </c>
      <c r="M88" s="799" t="s">
        <v>160</v>
      </c>
      <c r="W88" s="579">
        <v>40766</v>
      </c>
      <c r="X88" s="547"/>
    </row>
    <row r="89" spans="1:24" s="142" customFormat="1" ht="13.5" thickBot="1" x14ac:dyDescent="0.25">
      <c r="A89" s="142">
        <v>2010</v>
      </c>
      <c r="B89" s="142">
        <v>2010</v>
      </c>
      <c r="D89" s="1053">
        <v>2010</v>
      </c>
      <c r="E89" s="1054" t="str">
        <f>IF(W89="","",IF([1]RENAME!$H$3=0,W89,TEXT(W89,"m/d/aa")))</f>
        <v/>
      </c>
      <c r="F89" s="1067" t="s">
        <v>160</v>
      </c>
      <c r="G89" s="1067">
        <f>SUM(G90:G94)</f>
        <v>0.94786420400000004</v>
      </c>
      <c r="H89" s="1067" t="s">
        <v>160</v>
      </c>
      <c r="I89" s="1067" t="s">
        <v>160</v>
      </c>
      <c r="J89" s="1055">
        <f>SUM(J90:J94)</f>
        <v>62561.800488154659</v>
      </c>
      <c r="K89" s="1056"/>
      <c r="L89" s="1068">
        <v>4.7072267578705425E-2</v>
      </c>
      <c r="M89" s="1069" t="s">
        <v>160</v>
      </c>
      <c r="W89" s="1057"/>
      <c r="X89" s="551"/>
    </row>
    <row r="90" spans="1:24" customFormat="1" ht="13.5" thickBot="1" x14ac:dyDescent="0.25">
      <c r="A90" t="s">
        <v>564</v>
      </c>
      <c r="B90" t="s">
        <v>648</v>
      </c>
      <c r="D90" s="306" t="str">
        <f>IF([1]RENAME!$H$3=1,B90,A90)</f>
        <v>Dividendo</v>
      </c>
      <c r="E90" s="321">
        <f>IF(W90="","",IF([1]RENAME!$H$3=0,W90,TEXT(W90,"m/d/aa")))</f>
        <v>40637</v>
      </c>
      <c r="F90" s="307" t="s">
        <v>160</v>
      </c>
      <c r="G90" s="307">
        <v>0.45497481899999997</v>
      </c>
      <c r="H90" s="307" t="s">
        <v>160</v>
      </c>
      <c r="I90" s="307" t="s">
        <v>160</v>
      </c>
      <c r="J90" s="1049">
        <f>(G90*66002915)/1000</f>
        <v>30029.664305597384</v>
      </c>
      <c r="K90" s="308">
        <v>25.426259999999999</v>
      </c>
      <c r="L90" s="794">
        <v>1.7893894697843884E-2</v>
      </c>
      <c r="M90" s="800" t="s">
        <v>160</v>
      </c>
      <c r="W90" s="579">
        <v>40637</v>
      </c>
      <c r="X90" s="547"/>
    </row>
    <row r="91" spans="1:24" customFormat="1" ht="13.5" thickBot="1" x14ac:dyDescent="0.25">
      <c r="A91" t="s">
        <v>565</v>
      </c>
      <c r="B91" t="s">
        <v>864</v>
      </c>
      <c r="D91" s="301" t="str">
        <f>IF([1]RENAME!$H$3=1,B91,A91)</f>
        <v>Juros</v>
      </c>
      <c r="E91" s="321">
        <f>IF(W91="","",IF([1]RENAME!$H$3=0,W91,TEXT(W91,"m/d/aa")))</f>
        <v>40486</v>
      </c>
      <c r="F91" s="302" t="s">
        <v>160</v>
      </c>
      <c r="G91" s="302">
        <v>0.113743704</v>
      </c>
      <c r="H91" s="302" t="s">
        <v>160</v>
      </c>
      <c r="I91" s="302" t="s">
        <v>160</v>
      </c>
      <c r="J91" s="1047">
        <f>(G91*66002915)/1000</f>
        <v>7507.41602689716</v>
      </c>
      <c r="K91" s="309">
        <v>21.499569999999999</v>
      </c>
      <c r="L91" s="792">
        <v>5.2905106474222512E-3</v>
      </c>
      <c r="M91" s="798" t="s">
        <v>160</v>
      </c>
      <c r="W91" s="579">
        <v>40486</v>
      </c>
      <c r="X91" s="547"/>
    </row>
    <row r="92" spans="1:24" customFormat="1" ht="13.5" thickBot="1" x14ac:dyDescent="0.25">
      <c r="A92" t="s">
        <v>564</v>
      </c>
      <c r="B92" t="s">
        <v>648</v>
      </c>
      <c r="D92" s="301" t="str">
        <f>IF([1]RENAME!$H$3=1,B92,A92)</f>
        <v>Dividendo</v>
      </c>
      <c r="E92" s="321">
        <f>IF(W92="","",IF([1]RENAME!$H$3=0,W92,TEXT(W92,"m/d/aa")))</f>
        <v>40486</v>
      </c>
      <c r="F92" s="302" t="s">
        <v>160</v>
      </c>
      <c r="G92" s="302">
        <v>0.13649244499999999</v>
      </c>
      <c r="H92" s="302" t="s">
        <v>160</v>
      </c>
      <c r="I92" s="302" t="s">
        <v>160</v>
      </c>
      <c r="J92" s="1047">
        <f>(G92*66002915)/1000</f>
        <v>9008.8992454771742</v>
      </c>
      <c r="K92" s="309">
        <v>21.499569999999999</v>
      </c>
      <c r="L92" s="792">
        <v>6.3486127862092123E-3</v>
      </c>
      <c r="M92" s="798" t="s">
        <v>160</v>
      </c>
      <c r="W92" s="579">
        <v>40486</v>
      </c>
      <c r="X92" s="547"/>
    </row>
    <row r="93" spans="1:24" customFormat="1" ht="13.5" thickBot="1" x14ac:dyDescent="0.25">
      <c r="A93" t="s">
        <v>564</v>
      </c>
      <c r="B93" t="s">
        <v>648</v>
      </c>
      <c r="D93" s="301" t="str">
        <f>IF([1]RENAME!$H$3=1,B93,A93)</f>
        <v>Dividendo</v>
      </c>
      <c r="E93" s="321">
        <f>IF(W93="","",IF([1]RENAME!$H$3=0,W93,TEXT(W93,"m/d/aa")))</f>
        <v>40394</v>
      </c>
      <c r="F93" s="302" t="s">
        <v>160</v>
      </c>
      <c r="G93" s="302">
        <v>0.106160791</v>
      </c>
      <c r="H93" s="302" t="s">
        <v>160</v>
      </c>
      <c r="I93" s="302" t="s">
        <v>160</v>
      </c>
      <c r="J93" s="1047">
        <f>(G93*66002915)/1000</f>
        <v>7006.9216647057656</v>
      </c>
      <c r="K93" s="309">
        <v>13.83487</v>
      </c>
      <c r="L93" s="792">
        <v>7.673421651233441E-3</v>
      </c>
      <c r="M93" s="798" t="s">
        <v>160</v>
      </c>
      <c r="W93" s="579">
        <v>40394</v>
      </c>
      <c r="X93" s="547"/>
    </row>
    <row r="94" spans="1:24" customFormat="1" ht="13.5" thickBot="1" x14ac:dyDescent="0.25">
      <c r="A94" t="s">
        <v>565</v>
      </c>
      <c r="B94" t="s">
        <v>864</v>
      </c>
      <c r="D94" s="303" t="str">
        <f>IF([1]RENAME!$H$3=1,B94,A94)</f>
        <v>Juros</v>
      </c>
      <c r="E94" s="321">
        <f>IF(W94="","",IF([1]RENAME!$H$3=0,W94,TEXT(W94,"m/d/aa")))</f>
        <v>40394</v>
      </c>
      <c r="F94" s="304" t="s">
        <v>160</v>
      </c>
      <c r="G94" s="304">
        <v>0.13649244499999999</v>
      </c>
      <c r="H94" s="304" t="s">
        <v>160</v>
      </c>
      <c r="I94" s="304" t="s">
        <v>160</v>
      </c>
      <c r="J94" s="1048">
        <f>(G94*66002915)/1000</f>
        <v>9008.8992454771742</v>
      </c>
      <c r="K94" s="305">
        <v>13.83487</v>
      </c>
      <c r="L94" s="793">
        <v>9.8658277959966373E-3</v>
      </c>
      <c r="M94" s="799" t="s">
        <v>160</v>
      </c>
      <c r="W94" s="579">
        <v>40394</v>
      </c>
      <c r="X94" s="547"/>
    </row>
    <row r="95" spans="1:24" s="142" customFormat="1" ht="13.5" thickBot="1" x14ac:dyDescent="0.25">
      <c r="A95" s="142">
        <v>2009</v>
      </c>
      <c r="B95" s="142">
        <v>2009</v>
      </c>
      <c r="D95" s="1053">
        <v>2009</v>
      </c>
      <c r="E95" s="1054" t="str">
        <f>IF(W95="","",IF([1]RENAME!$H$3=0,W95,TEXT(W95,"m/d/aa")))</f>
        <v/>
      </c>
      <c r="F95" s="1067" t="s">
        <v>160</v>
      </c>
      <c r="G95" s="1067">
        <f>SUM(G96:G98)</f>
        <v>0.90994963800000006</v>
      </c>
      <c r="H95" s="1067" t="s">
        <v>160</v>
      </c>
      <c r="I95" s="1067" t="s">
        <v>160</v>
      </c>
      <c r="J95" s="1055">
        <f>SUM(J96:J98)</f>
        <v>60059.328611194775</v>
      </c>
      <c r="K95" s="1056"/>
      <c r="L95" s="1068">
        <v>7.4373183260360909E-2</v>
      </c>
      <c r="M95" s="1069" t="s">
        <v>160</v>
      </c>
      <c r="W95" s="1057"/>
      <c r="X95" s="551"/>
    </row>
    <row r="96" spans="1:24" customFormat="1" ht="13.5" thickBot="1" x14ac:dyDescent="0.25">
      <c r="A96" t="s">
        <v>564</v>
      </c>
      <c r="B96" t="s">
        <v>648</v>
      </c>
      <c r="D96" s="306" t="str">
        <f>IF([1]RENAME!$H$3=1,B96,A96)</f>
        <v>Dividendo</v>
      </c>
      <c r="E96" s="321">
        <f>IF(W96="","",IF([1]RENAME!$H$3=0,W96,TEXT(W96,"m/d/aa")))</f>
        <v>40288</v>
      </c>
      <c r="F96" s="307" t="s">
        <v>160</v>
      </c>
      <c r="G96" s="307">
        <v>0.45497481899999997</v>
      </c>
      <c r="H96" s="307" t="s">
        <v>160</v>
      </c>
      <c r="I96" s="307" t="s">
        <v>160</v>
      </c>
      <c r="J96" s="1049">
        <f>(G96*66002915)/1000</f>
        <v>30029.664305597384</v>
      </c>
      <c r="K96" s="308">
        <v>14.230840000000001</v>
      </c>
      <c r="L96" s="794">
        <v>3.1971044506157044E-2</v>
      </c>
      <c r="M96" s="800" t="s">
        <v>160</v>
      </c>
      <c r="W96" s="579">
        <v>40288</v>
      </c>
      <c r="X96" s="547"/>
    </row>
    <row r="97" spans="1:24" customFormat="1" ht="13.5" thickBot="1" x14ac:dyDescent="0.25">
      <c r="A97" t="s">
        <v>564</v>
      </c>
      <c r="B97" t="s">
        <v>648</v>
      </c>
      <c r="D97" s="301" t="str">
        <f>IF([1]RENAME!$H$3=1,B97,A97)</f>
        <v>Dividendo</v>
      </c>
      <c r="E97" s="321">
        <f>IF(W97="","",IF([1]RENAME!$H$3=0,W97,TEXT(W97,"m/d/aa")))</f>
        <v>40114</v>
      </c>
      <c r="F97" s="302" t="s">
        <v>160</v>
      </c>
      <c r="G97" s="302">
        <v>0.15165827300000001</v>
      </c>
      <c r="H97" s="302" t="s">
        <v>160</v>
      </c>
      <c r="I97" s="302" t="s">
        <v>160</v>
      </c>
      <c r="J97" s="1047">
        <f>(G97*66002915)/1000</f>
        <v>10009.888101865796</v>
      </c>
      <c r="K97" s="309">
        <v>10.90006</v>
      </c>
      <c r="L97" s="792">
        <v>1.3913526439304005E-2</v>
      </c>
      <c r="M97" s="798" t="s">
        <v>160</v>
      </c>
      <c r="W97" s="579">
        <v>40114</v>
      </c>
      <c r="X97" s="547"/>
    </row>
    <row r="98" spans="1:24" customFormat="1" ht="13.5" thickBot="1" x14ac:dyDescent="0.25">
      <c r="A98" t="s">
        <v>564</v>
      </c>
      <c r="B98" t="s">
        <v>648</v>
      </c>
      <c r="D98" s="303" t="str">
        <f>IF([1]RENAME!$H$3=1,B98,A98)</f>
        <v>Dividendo</v>
      </c>
      <c r="E98" s="321">
        <f>IF(W98="","",IF([1]RENAME!$H$3=0,W98,TEXT(W98,"m/d/aa")))</f>
        <v>40038</v>
      </c>
      <c r="F98" s="304" t="s">
        <v>160</v>
      </c>
      <c r="G98" s="304">
        <v>0.30331654600000002</v>
      </c>
      <c r="H98" s="304" t="s">
        <v>160</v>
      </c>
      <c r="I98" s="304" t="s">
        <v>160</v>
      </c>
      <c r="J98" s="1048">
        <f>(G98*66002915)/1000</f>
        <v>20019.776203731592</v>
      </c>
      <c r="K98" s="305">
        <v>10.646940000000001</v>
      </c>
      <c r="L98" s="793">
        <v>2.8488612314899867E-2</v>
      </c>
      <c r="M98" s="799" t="s">
        <v>160</v>
      </c>
      <c r="W98" s="579">
        <v>40038</v>
      </c>
      <c r="X98" s="547"/>
    </row>
    <row r="99" spans="1:24" s="142" customFormat="1" ht="13.5" thickBot="1" x14ac:dyDescent="0.25">
      <c r="A99" s="142">
        <v>2008</v>
      </c>
      <c r="B99" s="142">
        <v>2008</v>
      </c>
      <c r="D99" s="1053">
        <v>2008</v>
      </c>
      <c r="E99" s="1054" t="str">
        <f>IF(W99="","",IF([1]RENAME!$H$3=0,W99,TEXT(W99,"m/d/aa")))</f>
        <v/>
      </c>
      <c r="F99" s="1067" t="s">
        <v>160</v>
      </c>
      <c r="G99" s="1067">
        <f>SUM(G100:G103)</f>
        <v>0.81750044099999997</v>
      </c>
      <c r="H99" s="1067" t="s">
        <v>160</v>
      </c>
      <c r="I99" s="1067" t="s">
        <v>160</v>
      </c>
      <c r="J99" s="1055">
        <f>SUM(J100:J103)</f>
        <v>53957.412119785513</v>
      </c>
      <c r="K99" s="1056"/>
      <c r="L99" s="1068">
        <v>0.14050388619135468</v>
      </c>
      <c r="M99" s="1069" t="s">
        <v>160</v>
      </c>
      <c r="W99" s="1057"/>
      <c r="X99" s="551"/>
    </row>
    <row r="100" spans="1:24" customFormat="1" ht="13.5" thickBot="1" x14ac:dyDescent="0.25">
      <c r="A100" t="s">
        <v>564</v>
      </c>
      <c r="B100" t="s">
        <v>648</v>
      </c>
      <c r="D100" s="306" t="str">
        <f>IF([1]RENAME!$H$3=1,B100,A100)</f>
        <v>Dividendo</v>
      </c>
      <c r="E100" s="321">
        <f>IF(W100="","",IF([1]RENAME!$H$3=0,W100,TEXT(W100,"m/d/aa")))</f>
        <v>39933</v>
      </c>
      <c r="F100" s="307" t="s">
        <v>160</v>
      </c>
      <c r="G100" s="307">
        <v>0.18679222600000001</v>
      </c>
      <c r="H100" s="307" t="s">
        <v>160</v>
      </c>
      <c r="I100" s="307" t="s">
        <v>160</v>
      </c>
      <c r="J100" s="1049">
        <f>(G100*66002915)/1000</f>
        <v>12328.831415338789</v>
      </c>
      <c r="K100" s="308">
        <v>5.6700999999999997</v>
      </c>
      <c r="L100" s="794">
        <v>3.2943374190931379E-2</v>
      </c>
      <c r="M100" s="800" t="s">
        <v>160</v>
      </c>
      <c r="W100" s="579">
        <v>39933</v>
      </c>
      <c r="X100" s="547"/>
    </row>
    <row r="101" spans="1:24" customFormat="1" ht="13.5" thickBot="1" x14ac:dyDescent="0.25">
      <c r="A101" t="s">
        <v>564</v>
      </c>
      <c r="B101" t="s">
        <v>648</v>
      </c>
      <c r="D101" s="301" t="str">
        <f>IF([1]RENAME!$H$3=1,B101,A101)</f>
        <v>Dividendo</v>
      </c>
      <c r="E101" s="321">
        <f>IF(W101="","",IF([1]RENAME!$H$3=0,W101,TEXT(W101,"m/d/aa")))</f>
        <v>39881</v>
      </c>
      <c r="F101" s="302" t="s">
        <v>160</v>
      </c>
      <c r="G101" s="302">
        <v>0.18196177999999999</v>
      </c>
      <c r="H101" s="302" t="s">
        <v>160</v>
      </c>
      <c r="I101" s="302" t="s">
        <v>160</v>
      </c>
      <c r="J101" s="1047">
        <f>(G101*66002915)/1000</f>
        <v>12010.007898588699</v>
      </c>
      <c r="K101" s="309">
        <v>4.8221550000000004</v>
      </c>
      <c r="L101" s="792">
        <v>3.7734535700324846E-2</v>
      </c>
      <c r="M101" s="798" t="s">
        <v>160</v>
      </c>
      <c r="W101" s="579">
        <v>39881</v>
      </c>
      <c r="X101" s="547"/>
    </row>
    <row r="102" spans="1:24" customFormat="1" ht="13.5" thickBot="1" x14ac:dyDescent="0.25">
      <c r="A102" t="s">
        <v>564</v>
      </c>
      <c r="B102" t="s">
        <v>648</v>
      </c>
      <c r="D102" s="301" t="str">
        <f>IF([1]RENAME!$H$3=1,B102,A102)</f>
        <v>Dividendo</v>
      </c>
      <c r="E102" s="321">
        <f>IF(W102="","",IF([1]RENAME!$H$3=0,W102,TEXT(W102,"m/d/aa")))</f>
        <v>39734</v>
      </c>
      <c r="F102" s="302" t="s">
        <v>160</v>
      </c>
      <c r="G102" s="302">
        <v>0.22726268899999999</v>
      </c>
      <c r="H102" s="302" t="s">
        <v>160</v>
      </c>
      <c r="I102" s="302" t="s">
        <v>160</v>
      </c>
      <c r="J102" s="1047">
        <f>(G102*66002915)/1000</f>
        <v>14999.999944738434</v>
      </c>
      <c r="K102" s="309">
        <v>4.743188</v>
      </c>
      <c r="L102" s="792">
        <v>4.7913489619218125E-2</v>
      </c>
      <c r="M102" s="798" t="s">
        <v>160</v>
      </c>
      <c r="W102" s="579">
        <v>39734</v>
      </c>
      <c r="X102" s="547"/>
    </row>
    <row r="103" spans="1:24" customFormat="1" ht="13.5" thickBot="1" x14ac:dyDescent="0.25">
      <c r="A103" t="s">
        <v>564</v>
      </c>
      <c r="B103" t="s">
        <v>648</v>
      </c>
      <c r="D103" s="303" t="str">
        <f>IF([1]RENAME!$H$3=1,B103,A103)</f>
        <v>Dividendo</v>
      </c>
      <c r="E103" s="321">
        <f>IF(W103="","",IF([1]RENAME!$H$3=0,W103,TEXT(W103,"m/d/aa")))</f>
        <v>39687</v>
      </c>
      <c r="F103" s="304" t="s">
        <v>160</v>
      </c>
      <c r="G103" s="304">
        <v>0.22148374600000001</v>
      </c>
      <c r="H103" s="304" t="s">
        <v>160</v>
      </c>
      <c r="I103" s="304" t="s">
        <v>160</v>
      </c>
      <c r="J103" s="1048">
        <f>(G103*66002915)/1000</f>
        <v>14618.57286111959</v>
      </c>
      <c r="K103" s="305">
        <v>10.10765</v>
      </c>
      <c r="L103" s="793">
        <v>2.1912486680880326E-2</v>
      </c>
      <c r="M103" s="799" t="s">
        <v>160</v>
      </c>
      <c r="W103" s="579">
        <v>39687</v>
      </c>
      <c r="X103" s="547"/>
    </row>
    <row r="104" spans="1:24" s="142" customFormat="1" ht="13.5" thickBot="1" x14ac:dyDescent="0.25">
      <c r="A104" s="142">
        <v>2007</v>
      </c>
      <c r="B104" s="142">
        <v>2007</v>
      </c>
      <c r="D104" s="1053">
        <v>2007</v>
      </c>
      <c r="E104" s="1054" t="str">
        <f>IF(W104="","",IF([1]RENAME!$H$3=0,W104,TEXT(W104,"m/d/aa")))</f>
        <v/>
      </c>
      <c r="F104" s="1067" t="s">
        <v>160</v>
      </c>
      <c r="G104" s="1067">
        <f>SUM(G105:G108)</f>
        <v>0.61692552099999998</v>
      </c>
      <c r="H104" s="1067" t="s">
        <v>160</v>
      </c>
      <c r="I104" s="1067" t="s">
        <v>160</v>
      </c>
      <c r="J104" s="1055">
        <f>SUM(J105:J108)</f>
        <v>40718.882723893716</v>
      </c>
      <c r="K104" s="1056"/>
      <c r="L104" s="1068">
        <v>3.9360405218608084E-2</v>
      </c>
      <c r="M104" s="1069" t="s">
        <v>160</v>
      </c>
      <c r="W104" s="1057"/>
      <c r="X104" s="551"/>
    </row>
    <row r="105" spans="1:24" customFormat="1" ht="13.5" thickBot="1" x14ac:dyDescent="0.25">
      <c r="A105" t="s">
        <v>564</v>
      </c>
      <c r="B105" t="s">
        <v>648</v>
      </c>
      <c r="D105" s="306" t="str">
        <f>IF([1]RENAME!$H$3=1,B105,A105)</f>
        <v>Dividendo</v>
      </c>
      <c r="E105" s="321">
        <f>IF(W105="","",IF([1]RENAME!$H$3=0,W105,TEXT(W105,"m/d/aa")))</f>
        <v>39561</v>
      </c>
      <c r="F105" s="307" t="s">
        <v>160</v>
      </c>
      <c r="G105" s="307">
        <v>8.9336303000000006E-2</v>
      </c>
      <c r="H105" s="307" t="s">
        <v>160</v>
      </c>
      <c r="I105" s="307" t="s">
        <v>160</v>
      </c>
      <c r="J105" s="1049">
        <f>(G105*66002915)/1000</f>
        <v>5896.4564133232452</v>
      </c>
      <c r="K105" s="308">
        <v>12.94295</v>
      </c>
      <c r="L105" s="794">
        <v>6.9023138465342145E-3</v>
      </c>
      <c r="M105" s="800" t="s">
        <v>160</v>
      </c>
      <c r="W105" s="579">
        <v>39561</v>
      </c>
      <c r="X105" s="547"/>
    </row>
    <row r="106" spans="1:24" customFormat="1" ht="13.5" thickBot="1" x14ac:dyDescent="0.25">
      <c r="A106" t="s">
        <v>564</v>
      </c>
      <c r="B106" t="s">
        <v>648</v>
      </c>
      <c r="D106" s="301" t="str">
        <f>IF([1]RENAME!$H$3=1,B106,A106)</f>
        <v>Dividendo</v>
      </c>
      <c r="E106" s="321">
        <f>IF(W106="","",IF([1]RENAME!$H$3=0,W106,TEXT(W106,"m/d/aa")))</f>
        <v>39524</v>
      </c>
      <c r="F106" s="302" t="s">
        <v>160</v>
      </c>
      <c r="G106" s="302">
        <v>0.30877103</v>
      </c>
      <c r="H106" s="302" t="s">
        <v>160</v>
      </c>
      <c r="I106" s="302" t="s">
        <v>160</v>
      </c>
      <c r="J106" s="1047">
        <f>(G106*66002915)/1000</f>
        <v>20379.788047552451</v>
      </c>
      <c r="K106" s="309">
        <v>13.31301</v>
      </c>
      <c r="L106" s="792">
        <v>2.3193179453782426E-2</v>
      </c>
      <c r="M106" s="798" t="s">
        <v>160</v>
      </c>
      <c r="W106" s="579">
        <v>39524</v>
      </c>
      <c r="X106" s="547"/>
    </row>
    <row r="107" spans="1:24" customFormat="1" ht="13.5" thickBot="1" x14ac:dyDescent="0.25">
      <c r="A107" t="s">
        <v>564</v>
      </c>
      <c r="B107" t="s">
        <v>648</v>
      </c>
      <c r="D107" s="301" t="str">
        <f>IF([1]RENAME!$H$3=1,B107,A107)</f>
        <v>Dividendo</v>
      </c>
      <c r="E107" s="321">
        <f>IF(W107="","",IF([1]RENAME!$H$3=0,W107,TEXT(W107,"m/d/aa")))</f>
        <v>39395</v>
      </c>
      <c r="F107" s="302" t="s">
        <v>160</v>
      </c>
      <c r="G107" s="302">
        <v>0.109409094</v>
      </c>
      <c r="H107" s="302" t="s">
        <v>160</v>
      </c>
      <c r="I107" s="302" t="s">
        <v>160</v>
      </c>
      <c r="J107" s="1047">
        <f>(G107*66002915)/1000</f>
        <v>7221.3191315090098</v>
      </c>
      <c r="K107" s="309">
        <v>22.609860000000001</v>
      </c>
      <c r="L107" s="792">
        <v>4.838999180003768E-3</v>
      </c>
      <c r="M107" s="798" t="s">
        <v>160</v>
      </c>
      <c r="W107" s="579">
        <v>39395</v>
      </c>
      <c r="X107" s="547"/>
    </row>
    <row r="108" spans="1:24" customFormat="1" ht="13.5" thickBot="1" x14ac:dyDescent="0.25">
      <c r="A108" t="s">
        <v>564</v>
      </c>
      <c r="B108" t="s">
        <v>648</v>
      </c>
      <c r="D108" s="303" t="str">
        <f>IF([1]RENAME!$H$3=1,B108,A108)</f>
        <v>Dividendo</v>
      </c>
      <c r="E108" s="322">
        <f>IF(W108="","",IF([1]RENAME!$H$3=0,W108,TEXT(W108,"m/d/aa")))</f>
        <v>39304</v>
      </c>
      <c r="F108" s="304" t="s">
        <v>160</v>
      </c>
      <c r="G108" s="304">
        <v>0.109409094</v>
      </c>
      <c r="H108" s="304" t="s">
        <v>160</v>
      </c>
      <c r="I108" s="304" t="s">
        <v>160</v>
      </c>
      <c r="J108" s="1048">
        <f>(G108*66002915)/1000</f>
        <v>7221.3191315090098</v>
      </c>
      <c r="K108" s="305">
        <v>24.720120000000001</v>
      </c>
      <c r="L108" s="793">
        <v>4.4259127382876781E-3</v>
      </c>
      <c r="M108" s="799" t="s">
        <v>160</v>
      </c>
      <c r="W108" s="579">
        <v>39304</v>
      </c>
      <c r="X108" s="547"/>
    </row>
    <row r="109" spans="1:24" customFormat="1" x14ac:dyDescent="0.2">
      <c r="J109" s="246"/>
      <c r="W109" s="547"/>
      <c r="X109" s="547"/>
    </row>
    <row r="110" spans="1:24" customFormat="1" x14ac:dyDescent="0.2">
      <c r="J110" s="246"/>
      <c r="W110" s="547"/>
      <c r="X110" s="547"/>
    </row>
    <row r="111" spans="1:24" customFormat="1" x14ac:dyDescent="0.2">
      <c r="J111" s="246"/>
      <c r="W111" s="547"/>
      <c r="X111" s="547"/>
    </row>
    <row r="112" spans="1:24" customFormat="1" x14ac:dyDescent="0.2">
      <c r="J112" s="246"/>
      <c r="W112" s="547"/>
      <c r="X112" s="547"/>
    </row>
    <row r="113" spans="10:24" customFormat="1" x14ac:dyDescent="0.2">
      <c r="J113" s="246"/>
      <c r="W113" s="547"/>
      <c r="X113" s="547"/>
    </row>
    <row r="114" spans="10:24" customFormat="1" x14ac:dyDescent="0.2">
      <c r="J114" s="246"/>
      <c r="W114" s="547"/>
      <c r="X114" s="547"/>
    </row>
    <row r="115" spans="10:24" customFormat="1" x14ac:dyDescent="0.2">
      <c r="J115" s="246"/>
      <c r="W115" s="547"/>
      <c r="X115" s="547"/>
    </row>
    <row r="116" spans="10:24" x14ac:dyDescent="0.2">
      <c r="W116" s="547"/>
    </row>
  </sheetData>
  <sheetProtection formatCells="0" formatColumns="0" formatRows="0" insertColumns="0" insertRows="0" insertHyperlinks="0" deleteColumns="0" deleteRows="0" selectLockedCells="1" selectUnlockedCells="1"/>
  <mergeCells count="9">
    <mergeCell ref="M7:M8"/>
    <mergeCell ref="M11:M12"/>
    <mergeCell ref="M13:M14"/>
    <mergeCell ref="M16:M17"/>
    <mergeCell ref="M27:M28"/>
    <mergeCell ref="M25:M26"/>
    <mergeCell ref="M20:M21"/>
    <mergeCell ref="M23:M24"/>
    <mergeCell ref="M18:M19"/>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
    <tabColor theme="0" tint="-0.499984740745262"/>
    <pageSetUpPr autoPageBreaks="0"/>
  </sheetPr>
  <dimension ref="A1:DV323"/>
  <sheetViews>
    <sheetView showGridLines="0" zoomScaleNormal="100" workbookViewId="0">
      <pane xSplit="4" ySplit="4" topLeftCell="DH20" activePane="bottomRight" state="frozen"/>
      <selection activeCell="G3" sqref="G3"/>
      <selection pane="topRight" activeCell="G3" sqref="G3"/>
      <selection pane="bottomLeft" activeCell="G3" sqref="G3"/>
      <selection pane="bottomRight" activeCell="DV42" sqref="DV42"/>
    </sheetView>
  </sheetViews>
  <sheetFormatPr defaultColWidth="9.140625" defaultRowHeight="15" outlineLevelCol="1" x14ac:dyDescent="0.25"/>
  <cols>
    <col min="1" max="2" width="9.140625" style="261" hidden="1" customWidth="1"/>
    <col min="3" max="3" width="2.85546875" style="261" customWidth="1"/>
    <col min="4" max="4" width="26.140625" style="261" customWidth="1"/>
    <col min="5" max="14" width="9.140625" style="261" customWidth="1" outlineLevel="1"/>
    <col min="15" max="18" width="9.85546875" style="261" customWidth="1" outlineLevel="1"/>
    <col min="19" max="25" width="9.85546875" style="339" customWidth="1" outlineLevel="1"/>
    <col min="26" max="47" width="9.140625" style="261" customWidth="1" outlineLevel="1"/>
    <col min="48" max="107" width="9.140625" style="261" customWidth="1"/>
    <col min="108" max="112" width="9.140625" style="261"/>
    <col min="113" max="117" width="9.140625" style="775"/>
    <col min="118" max="16384" width="9.140625" style="261"/>
  </cols>
  <sheetData>
    <row r="1" spans="1:126" s="577" customFormat="1" x14ac:dyDescent="0.25">
      <c r="E1" s="1084">
        <v>42522</v>
      </c>
      <c r="F1" s="1084">
        <v>42552</v>
      </c>
      <c r="G1" s="1084">
        <v>42583</v>
      </c>
      <c r="H1" s="1084">
        <v>42614</v>
      </c>
      <c r="I1" s="1084">
        <v>42644</v>
      </c>
      <c r="J1" s="1084">
        <v>42675</v>
      </c>
      <c r="K1" s="1084">
        <v>42705</v>
      </c>
      <c r="L1" s="1084">
        <v>42736</v>
      </c>
      <c r="M1" s="1084">
        <v>42767</v>
      </c>
      <c r="N1" s="1084">
        <v>42795</v>
      </c>
      <c r="O1" s="1084">
        <v>42826</v>
      </c>
      <c r="P1" s="1084">
        <v>42856</v>
      </c>
      <c r="Q1" s="1084">
        <v>42887</v>
      </c>
      <c r="R1" s="1084">
        <v>42917</v>
      </c>
      <c r="S1" s="1085">
        <v>42948</v>
      </c>
      <c r="T1" s="1085">
        <v>42979</v>
      </c>
      <c r="U1" s="1085">
        <v>43009</v>
      </c>
      <c r="V1" s="1085">
        <v>43040</v>
      </c>
      <c r="W1" s="1085">
        <v>43070</v>
      </c>
      <c r="X1" s="1085">
        <v>43101</v>
      </c>
      <c r="Y1" s="1085">
        <v>43132</v>
      </c>
      <c r="Z1" s="1084">
        <v>43160</v>
      </c>
      <c r="AA1" s="1084">
        <v>43191</v>
      </c>
      <c r="AB1" s="1084">
        <v>43221</v>
      </c>
      <c r="AC1" s="1084">
        <v>43252</v>
      </c>
      <c r="AD1" s="1084">
        <v>43283</v>
      </c>
      <c r="AE1" s="1084">
        <v>43314</v>
      </c>
      <c r="AF1" s="1084">
        <v>43345</v>
      </c>
      <c r="AG1" s="1084">
        <v>43376</v>
      </c>
      <c r="AH1" s="1084">
        <v>43407</v>
      </c>
      <c r="AI1" s="1084">
        <v>43437</v>
      </c>
      <c r="AJ1" s="1084">
        <v>43468</v>
      </c>
      <c r="AK1" s="1084">
        <v>43499</v>
      </c>
      <c r="AL1" s="1084">
        <v>43527</v>
      </c>
      <c r="AM1" s="1084">
        <v>43558</v>
      </c>
      <c r="AN1" s="1084">
        <v>43587</v>
      </c>
      <c r="AO1" s="1084">
        <v>43618</v>
      </c>
      <c r="AP1" s="1084">
        <v>43647</v>
      </c>
      <c r="AQ1" s="1086">
        <v>43678</v>
      </c>
      <c r="AR1" s="1086">
        <v>43709</v>
      </c>
      <c r="AS1" s="1086">
        <v>43739</v>
      </c>
      <c r="AT1" s="1086">
        <v>43770</v>
      </c>
      <c r="AU1" s="1086">
        <v>43800</v>
      </c>
      <c r="AV1" s="1086">
        <v>43831</v>
      </c>
      <c r="AW1" s="1086">
        <v>43862</v>
      </c>
      <c r="AX1" s="1087">
        <v>43891</v>
      </c>
      <c r="AY1" s="1086">
        <v>43922</v>
      </c>
      <c r="AZ1" s="1086">
        <v>43952</v>
      </c>
      <c r="BA1" s="1086">
        <v>43983</v>
      </c>
      <c r="BB1" s="1086">
        <v>44013</v>
      </c>
      <c r="BC1" s="1086">
        <v>44044</v>
      </c>
      <c r="BD1" s="1086">
        <v>44075</v>
      </c>
      <c r="BE1" s="1086">
        <v>44105</v>
      </c>
      <c r="BF1" s="1086">
        <v>44136</v>
      </c>
      <c r="BG1" s="1086">
        <v>44166</v>
      </c>
      <c r="BH1" s="1086">
        <v>44197</v>
      </c>
      <c r="BI1" s="1086">
        <v>44228</v>
      </c>
      <c r="BJ1" s="1086">
        <v>44256</v>
      </c>
      <c r="BK1" s="1086">
        <v>44287</v>
      </c>
      <c r="BL1" s="1086">
        <v>44317</v>
      </c>
      <c r="BM1" s="1086">
        <v>44348</v>
      </c>
      <c r="BN1" s="1086">
        <v>44378</v>
      </c>
      <c r="BO1" s="1086">
        <v>44409</v>
      </c>
      <c r="BP1" s="1086">
        <v>44440</v>
      </c>
      <c r="BQ1" s="1086">
        <v>44470</v>
      </c>
      <c r="BR1" s="1086">
        <v>44501</v>
      </c>
      <c r="BS1" s="1086">
        <v>44531</v>
      </c>
      <c r="BT1" s="1086">
        <v>44562</v>
      </c>
      <c r="BU1" s="1086">
        <v>44593</v>
      </c>
      <c r="BV1" s="1086">
        <v>44622</v>
      </c>
      <c r="BW1" s="1086">
        <v>44654</v>
      </c>
      <c r="BX1" s="1086">
        <v>44685</v>
      </c>
      <c r="BY1" s="1086">
        <v>44716</v>
      </c>
      <c r="BZ1" s="1086">
        <v>44746</v>
      </c>
      <c r="CA1" s="1086">
        <v>44774</v>
      </c>
      <c r="CB1" s="1086">
        <v>44805</v>
      </c>
      <c r="CC1" s="1086">
        <v>44835</v>
      </c>
      <c r="CD1" s="1086">
        <v>44866</v>
      </c>
      <c r="CE1" s="1086">
        <v>44896</v>
      </c>
      <c r="CF1" s="1086">
        <v>44927</v>
      </c>
      <c r="CG1" s="1086">
        <v>44958</v>
      </c>
      <c r="CH1" s="1086">
        <v>44986</v>
      </c>
      <c r="CI1" s="1086">
        <v>45017</v>
      </c>
      <c r="CJ1" s="1086">
        <v>45047</v>
      </c>
      <c r="CK1" s="1086">
        <v>45078</v>
      </c>
      <c r="CL1" s="1086">
        <v>45108</v>
      </c>
      <c r="CM1" s="1086">
        <v>45139</v>
      </c>
      <c r="CN1" s="1086">
        <v>45170</v>
      </c>
      <c r="CO1" s="1086">
        <v>45200</v>
      </c>
      <c r="CP1" s="1086">
        <v>45231</v>
      </c>
      <c r="CQ1" s="1086">
        <v>45261</v>
      </c>
      <c r="CR1" s="1086">
        <v>45292</v>
      </c>
      <c r="CS1" s="1086">
        <v>45323</v>
      </c>
      <c r="CT1" s="1086">
        <v>45352</v>
      </c>
      <c r="CU1" s="1086">
        <v>45383</v>
      </c>
      <c r="CV1" s="1086">
        <v>45413</v>
      </c>
      <c r="CW1" s="1086">
        <v>45444</v>
      </c>
      <c r="CX1" s="1086">
        <v>45474</v>
      </c>
      <c r="CY1" s="1086">
        <v>45505</v>
      </c>
      <c r="CZ1" s="1086">
        <v>45536</v>
      </c>
      <c r="DA1" s="1086">
        <v>45537</v>
      </c>
      <c r="DB1" s="1086">
        <v>45538</v>
      </c>
      <c r="DC1" s="1086">
        <v>45538</v>
      </c>
      <c r="DD1" s="1086">
        <v>45903</v>
      </c>
      <c r="DE1" s="1086">
        <v>45903</v>
      </c>
      <c r="DF1" s="1086">
        <v>45903</v>
      </c>
      <c r="DG1" s="1086">
        <v>45903</v>
      </c>
      <c r="DI1" s="775"/>
      <c r="DJ1" s="775"/>
      <c r="DK1" s="775"/>
      <c r="DL1" s="775"/>
      <c r="DM1" s="775"/>
    </row>
    <row r="2" spans="1:126" s="577" customFormat="1" ht="15" customHeight="1" x14ac:dyDescent="0.25">
      <c r="S2" s="578"/>
      <c r="T2" s="578"/>
      <c r="U2" s="578"/>
      <c r="V2" s="578"/>
      <c r="W2" s="578"/>
      <c r="X2" s="578"/>
      <c r="Y2" s="578"/>
      <c r="AR2" s="820"/>
      <c r="AS2" s="819"/>
      <c r="AT2" s="819"/>
      <c r="AU2" s="819"/>
      <c r="AV2" s="819"/>
      <c r="AW2" s="819"/>
      <c r="AX2" s="930"/>
      <c r="AY2" s="821"/>
      <c r="AZ2" s="821"/>
      <c r="BA2" s="821"/>
      <c r="BB2" s="821"/>
      <c r="BC2" s="821"/>
      <c r="BD2" s="821"/>
      <c r="BE2" s="821"/>
      <c r="BF2" s="821"/>
      <c r="BG2" s="821"/>
      <c r="BH2" s="821"/>
      <c r="BI2" s="821"/>
      <c r="BJ2" s="821"/>
      <c r="BK2" s="821"/>
      <c r="BL2" s="821"/>
      <c r="BM2" s="821"/>
      <c r="BN2" s="821"/>
      <c r="BO2" s="821"/>
      <c r="BP2" s="821"/>
      <c r="BQ2" s="821"/>
      <c r="BR2" s="821"/>
      <c r="BS2" s="821"/>
      <c r="BT2" s="821"/>
      <c r="BU2" s="821"/>
      <c r="BV2" s="821"/>
      <c r="BW2" s="819"/>
      <c r="BX2" s="821"/>
      <c r="BY2" s="821"/>
      <c r="BZ2" s="821"/>
      <c r="CA2" s="821"/>
      <c r="CB2" s="821"/>
      <c r="CC2" s="821"/>
      <c r="CD2" s="821"/>
      <c r="CE2" s="821"/>
      <c r="CF2" s="821"/>
      <c r="CG2" s="821"/>
      <c r="CH2" s="821"/>
      <c r="CI2" s="821"/>
      <c r="CJ2" s="821"/>
      <c r="CK2" s="821"/>
      <c r="CL2" s="821"/>
      <c r="CM2" s="821"/>
      <c r="CN2" s="821"/>
      <c r="CO2" s="821"/>
      <c r="CP2" s="821"/>
      <c r="CQ2" s="821"/>
      <c r="CR2" s="821"/>
      <c r="CS2" s="821"/>
      <c r="CT2" s="821"/>
      <c r="CU2" s="821"/>
      <c r="CV2" s="821"/>
      <c r="CW2" s="821"/>
      <c r="CX2" s="821"/>
      <c r="CY2" s="821"/>
      <c r="CZ2" s="821"/>
      <c r="DA2" s="821"/>
      <c r="DB2" s="821"/>
      <c r="DC2" s="821"/>
      <c r="DD2" s="821"/>
      <c r="DE2" s="821"/>
      <c r="DF2" s="821"/>
      <c r="DG2" s="821"/>
      <c r="DI2" s="775"/>
      <c r="DJ2" s="775"/>
      <c r="DK2" s="775"/>
      <c r="DL2" s="775"/>
      <c r="DM2" s="775"/>
    </row>
    <row r="3" spans="1:126" x14ac:dyDescent="0.25">
      <c r="AR3" s="820"/>
      <c r="AS3" s="819"/>
      <c r="AT3" s="819"/>
      <c r="AU3" s="819"/>
      <c r="AV3" s="819"/>
      <c r="AW3" s="819"/>
      <c r="AX3" s="931"/>
      <c r="AY3" s="803" t="s">
        <v>1794</v>
      </c>
      <c r="AZ3" s="803"/>
      <c r="BA3" s="803"/>
      <c r="BB3" s="803"/>
      <c r="BC3" s="803"/>
      <c r="BD3" s="803"/>
      <c r="BE3" s="803"/>
      <c r="BF3" s="803"/>
      <c r="BG3" s="803"/>
      <c r="BH3" s="803"/>
      <c r="BI3" s="803"/>
      <c r="BJ3" s="803"/>
      <c r="BK3" s="803"/>
      <c r="BL3" s="803"/>
      <c r="BM3" s="803"/>
      <c r="BN3" s="803"/>
      <c r="BO3" s="803"/>
      <c r="BP3" s="821"/>
      <c r="BQ3" s="821"/>
      <c r="BR3" s="821"/>
      <c r="BS3" s="821"/>
      <c r="BT3" s="821"/>
      <c r="BU3" s="821"/>
      <c r="BV3" s="821"/>
      <c r="BW3" s="821"/>
      <c r="BX3" s="577"/>
      <c r="BY3" s="577"/>
      <c r="BZ3" s="577"/>
      <c r="CA3" s="577"/>
      <c r="CB3" s="577"/>
      <c r="CC3" s="577"/>
      <c r="CD3" s="577"/>
      <c r="CE3" s="577"/>
      <c r="CF3" s="577"/>
      <c r="CG3" s="577"/>
      <c r="CH3" s="577"/>
      <c r="CI3" s="577"/>
      <c r="CJ3" s="577"/>
      <c r="CK3" s="577"/>
      <c r="CL3" s="577"/>
      <c r="CM3" s="577"/>
      <c r="CN3" s="577"/>
      <c r="CO3" s="577"/>
      <c r="CP3" s="577"/>
      <c r="CQ3" s="577"/>
      <c r="CR3" s="577"/>
      <c r="CS3" s="577"/>
      <c r="CT3" s="577"/>
      <c r="CU3" s="577"/>
      <c r="CV3" s="577"/>
      <c r="CW3" s="577"/>
      <c r="CX3" s="577"/>
      <c r="CY3" s="577"/>
      <c r="CZ3" s="577"/>
      <c r="DA3" s="577"/>
      <c r="DB3" s="577"/>
      <c r="DC3" s="577"/>
      <c r="DD3" s="577"/>
      <c r="DE3" s="577"/>
      <c r="DF3" s="577"/>
      <c r="DG3" s="577"/>
    </row>
    <row r="4" spans="1:126" x14ac:dyDescent="0.25">
      <c r="E4" s="262">
        <v>42522</v>
      </c>
      <c r="F4" s="262">
        <v>42552</v>
      </c>
      <c r="G4" s="262">
        <v>42583</v>
      </c>
      <c r="H4" s="262">
        <v>42614</v>
      </c>
      <c r="I4" s="262">
        <v>42644</v>
      </c>
      <c r="J4" s="262">
        <v>42675</v>
      </c>
      <c r="K4" s="262">
        <v>42705</v>
      </c>
      <c r="L4" s="262">
        <v>42736</v>
      </c>
      <c r="M4" s="262">
        <v>42767</v>
      </c>
      <c r="N4" s="262">
        <v>42795</v>
      </c>
      <c r="O4" s="262">
        <v>42826</v>
      </c>
      <c r="P4" s="262">
        <v>42856</v>
      </c>
      <c r="Q4" s="262">
        <v>42887</v>
      </c>
      <c r="R4" s="262">
        <v>42917</v>
      </c>
      <c r="S4" s="262">
        <v>42948</v>
      </c>
      <c r="T4" s="262">
        <v>42979</v>
      </c>
      <c r="U4" s="262">
        <v>43009</v>
      </c>
      <c r="V4" s="262">
        <v>43040</v>
      </c>
      <c r="W4" s="262">
        <v>43070</v>
      </c>
      <c r="X4" s="262">
        <v>43101</v>
      </c>
      <c r="Y4" s="262">
        <v>43132</v>
      </c>
      <c r="Z4" s="262">
        <v>43160</v>
      </c>
      <c r="AA4" s="262">
        <v>43191</v>
      </c>
      <c r="AB4" s="262">
        <v>43221</v>
      </c>
      <c r="AC4" s="262">
        <v>43252</v>
      </c>
      <c r="AD4" s="262">
        <v>43283</v>
      </c>
      <c r="AE4" s="262">
        <v>43314</v>
      </c>
      <c r="AF4" s="262">
        <v>43345</v>
      </c>
      <c r="AG4" s="262">
        <v>43376</v>
      </c>
      <c r="AH4" s="262">
        <v>43407</v>
      </c>
      <c r="AI4" s="262">
        <v>43437</v>
      </c>
      <c r="AJ4" s="262">
        <v>43468</v>
      </c>
      <c r="AK4" s="262">
        <v>43499</v>
      </c>
      <c r="AL4" s="262">
        <v>43527</v>
      </c>
      <c r="AM4" s="262">
        <v>43558</v>
      </c>
      <c r="AN4" s="262">
        <v>43587</v>
      </c>
      <c r="AO4" s="262">
        <v>43618</v>
      </c>
      <c r="AP4" s="262">
        <v>43647</v>
      </c>
      <c r="AQ4" s="262">
        <v>43678</v>
      </c>
      <c r="AR4" s="262">
        <v>43709</v>
      </c>
      <c r="AS4" s="262">
        <v>43739</v>
      </c>
      <c r="AT4" s="262">
        <v>43770</v>
      </c>
      <c r="AU4" s="262">
        <v>43800</v>
      </c>
      <c r="AV4" s="262">
        <v>43831</v>
      </c>
      <c r="AW4" s="262">
        <v>43862</v>
      </c>
      <c r="AX4" s="933">
        <v>43891</v>
      </c>
      <c r="AY4" s="262">
        <v>43922</v>
      </c>
      <c r="AZ4" s="262">
        <v>43952</v>
      </c>
      <c r="BA4" s="262">
        <v>43983</v>
      </c>
      <c r="BB4" s="262">
        <v>44013</v>
      </c>
      <c r="BC4" s="262">
        <v>44044</v>
      </c>
      <c r="BD4" s="262">
        <v>44075</v>
      </c>
      <c r="BE4" s="262">
        <v>44105</v>
      </c>
      <c r="BF4" s="262">
        <v>44136</v>
      </c>
      <c r="BG4" s="262">
        <v>44166</v>
      </c>
      <c r="BH4" s="262">
        <v>44197</v>
      </c>
      <c r="BI4" s="262">
        <v>44228</v>
      </c>
      <c r="BJ4" s="262">
        <v>44256</v>
      </c>
      <c r="BK4" s="262">
        <v>44287</v>
      </c>
      <c r="BL4" s="262">
        <v>44317</v>
      </c>
      <c r="BM4" s="262">
        <v>44348</v>
      </c>
      <c r="BN4" s="262">
        <v>44378</v>
      </c>
      <c r="BO4" s="262">
        <v>44409</v>
      </c>
      <c r="BP4" s="262">
        <v>44440</v>
      </c>
      <c r="BQ4" s="262">
        <v>44470</v>
      </c>
      <c r="BR4" s="262">
        <v>44501</v>
      </c>
      <c r="BS4" s="262">
        <v>44531</v>
      </c>
      <c r="BT4" s="262">
        <v>44562</v>
      </c>
      <c r="BU4" s="262">
        <v>44593</v>
      </c>
      <c r="BV4" s="262">
        <v>44622</v>
      </c>
      <c r="BW4" s="262">
        <v>44654</v>
      </c>
      <c r="BX4" s="262">
        <v>44685</v>
      </c>
      <c r="BY4" s="262">
        <v>44716</v>
      </c>
      <c r="BZ4" s="262">
        <v>44746</v>
      </c>
      <c r="CA4" s="262">
        <v>44774</v>
      </c>
      <c r="CB4" s="262">
        <v>44805</v>
      </c>
      <c r="CC4" s="262">
        <v>44835</v>
      </c>
      <c r="CD4" s="262">
        <v>44866</v>
      </c>
      <c r="CE4" s="262">
        <v>44896</v>
      </c>
      <c r="CF4" s="262">
        <v>44927</v>
      </c>
      <c r="CG4" s="262">
        <v>44958</v>
      </c>
      <c r="CH4" s="262">
        <v>44986</v>
      </c>
      <c r="CI4" s="262">
        <v>45017</v>
      </c>
      <c r="CJ4" s="262">
        <v>45047</v>
      </c>
      <c r="CK4" s="262">
        <v>45078</v>
      </c>
      <c r="CL4" s="262">
        <v>45108</v>
      </c>
      <c r="CM4" s="262">
        <v>45139</v>
      </c>
      <c r="CN4" s="262">
        <v>45170</v>
      </c>
      <c r="CO4" s="262">
        <v>45200</v>
      </c>
      <c r="CP4" s="262">
        <v>45231</v>
      </c>
      <c r="CQ4" s="262">
        <v>45261</v>
      </c>
      <c r="CR4" s="262">
        <v>45292</v>
      </c>
      <c r="CS4" s="262">
        <v>45323</v>
      </c>
      <c r="CT4" s="262">
        <v>45352</v>
      </c>
      <c r="CU4" s="262">
        <v>45383</v>
      </c>
      <c r="CV4" s="262">
        <v>45413</v>
      </c>
      <c r="CW4" s="262">
        <v>45444</v>
      </c>
      <c r="CX4" s="262">
        <v>45474</v>
      </c>
      <c r="CY4" s="262">
        <v>45505</v>
      </c>
      <c r="CZ4" s="262">
        <v>45536</v>
      </c>
      <c r="DA4" s="262">
        <v>45566</v>
      </c>
      <c r="DB4" s="262">
        <v>45597</v>
      </c>
      <c r="DC4" s="262">
        <v>45627</v>
      </c>
      <c r="DD4" s="262">
        <v>45658</v>
      </c>
      <c r="DE4" s="262">
        <v>45689</v>
      </c>
      <c r="DF4" s="262">
        <v>45717</v>
      </c>
      <c r="DG4" s="262">
        <v>45748</v>
      </c>
      <c r="DH4" s="262">
        <v>45778</v>
      </c>
      <c r="DI4" s="262">
        <v>45809</v>
      </c>
      <c r="DJ4" s="262">
        <v>45839</v>
      </c>
      <c r="DK4" s="262">
        <v>45870</v>
      </c>
      <c r="DL4" s="262">
        <v>45901</v>
      </c>
      <c r="DM4" s="262">
        <v>45931</v>
      </c>
      <c r="DN4" s="262">
        <v>45962</v>
      </c>
      <c r="DO4" s="262">
        <v>45992</v>
      </c>
      <c r="DP4" s="262">
        <v>46023</v>
      </c>
      <c r="DQ4" s="262">
        <v>46054</v>
      </c>
      <c r="DR4" s="262">
        <v>46082</v>
      </c>
      <c r="DS4" s="262">
        <v>46113</v>
      </c>
      <c r="DT4" s="262">
        <v>46143</v>
      </c>
      <c r="DU4" s="262">
        <v>46174</v>
      </c>
      <c r="DV4" s="262">
        <v>46204</v>
      </c>
    </row>
    <row r="5" spans="1:126" x14ac:dyDescent="0.25">
      <c r="Z5" s="339"/>
      <c r="AA5" s="339"/>
      <c r="AB5" s="339"/>
      <c r="AC5" s="339"/>
      <c r="AD5" s="339"/>
      <c r="AE5" s="339"/>
      <c r="AF5" s="339"/>
      <c r="AG5" s="339"/>
      <c r="AH5" s="339"/>
      <c r="AI5" s="339"/>
      <c r="AJ5" s="339"/>
      <c r="AK5" s="339"/>
      <c r="AL5" s="339"/>
      <c r="AM5" s="339"/>
      <c r="AN5" s="339"/>
      <c r="AO5" s="339"/>
      <c r="AP5" s="339"/>
      <c r="AQ5" s="339"/>
      <c r="AR5" s="339"/>
      <c r="AS5" s="339"/>
      <c r="AT5" s="339"/>
      <c r="AU5" s="339"/>
      <c r="AX5" s="932"/>
      <c r="DN5" s="775"/>
      <c r="DO5" s="775"/>
    </row>
    <row r="6" spans="1:126" x14ac:dyDescent="0.25">
      <c r="A6" s="261" t="s">
        <v>2319</v>
      </c>
      <c r="B6" s="261" t="s">
        <v>2320</v>
      </c>
      <c r="D6" s="113" t="str">
        <f>IF([1]RENAME!$H$3=1,B6,A6)</f>
        <v>PREÇO ALVO YE26</v>
      </c>
      <c r="E6" s="262">
        <f>E$4</f>
        <v>42522</v>
      </c>
      <c r="F6" s="262">
        <f t="shared" ref="F6:BQ6" si="0">F$4</f>
        <v>42552</v>
      </c>
      <c r="G6" s="262">
        <f t="shared" si="0"/>
        <v>42583</v>
      </c>
      <c r="H6" s="262">
        <f t="shared" si="0"/>
        <v>42614</v>
      </c>
      <c r="I6" s="262">
        <f t="shared" si="0"/>
        <v>42644</v>
      </c>
      <c r="J6" s="262">
        <f t="shared" si="0"/>
        <v>42675</v>
      </c>
      <c r="K6" s="262">
        <f t="shared" si="0"/>
        <v>42705</v>
      </c>
      <c r="L6" s="262">
        <f t="shared" si="0"/>
        <v>42736</v>
      </c>
      <c r="M6" s="262">
        <f t="shared" si="0"/>
        <v>42767</v>
      </c>
      <c r="N6" s="262">
        <f t="shared" si="0"/>
        <v>42795</v>
      </c>
      <c r="O6" s="262">
        <f t="shared" si="0"/>
        <v>42826</v>
      </c>
      <c r="P6" s="262">
        <f t="shared" si="0"/>
        <v>42856</v>
      </c>
      <c r="Q6" s="262">
        <f t="shared" si="0"/>
        <v>42887</v>
      </c>
      <c r="R6" s="262">
        <f t="shared" si="0"/>
        <v>42917</v>
      </c>
      <c r="S6" s="262">
        <f t="shared" si="0"/>
        <v>42948</v>
      </c>
      <c r="T6" s="262">
        <f t="shared" si="0"/>
        <v>42979</v>
      </c>
      <c r="U6" s="262">
        <f t="shared" si="0"/>
        <v>43009</v>
      </c>
      <c r="V6" s="262">
        <f t="shared" si="0"/>
        <v>43040</v>
      </c>
      <c r="W6" s="262">
        <f t="shared" si="0"/>
        <v>43070</v>
      </c>
      <c r="X6" s="262">
        <f t="shared" si="0"/>
        <v>43101</v>
      </c>
      <c r="Y6" s="262">
        <f t="shared" si="0"/>
        <v>43132</v>
      </c>
      <c r="Z6" s="262">
        <f t="shared" si="0"/>
        <v>43160</v>
      </c>
      <c r="AA6" s="262">
        <f t="shared" si="0"/>
        <v>43191</v>
      </c>
      <c r="AB6" s="262">
        <f t="shared" si="0"/>
        <v>43221</v>
      </c>
      <c r="AC6" s="262">
        <f t="shared" si="0"/>
        <v>43252</v>
      </c>
      <c r="AD6" s="262">
        <f t="shared" si="0"/>
        <v>43283</v>
      </c>
      <c r="AE6" s="262">
        <f t="shared" si="0"/>
        <v>43314</v>
      </c>
      <c r="AF6" s="262">
        <f t="shared" si="0"/>
        <v>43345</v>
      </c>
      <c r="AG6" s="262">
        <f t="shared" si="0"/>
        <v>43376</v>
      </c>
      <c r="AH6" s="262">
        <f t="shared" si="0"/>
        <v>43407</v>
      </c>
      <c r="AI6" s="262">
        <f t="shared" si="0"/>
        <v>43437</v>
      </c>
      <c r="AJ6" s="262">
        <f t="shared" si="0"/>
        <v>43468</v>
      </c>
      <c r="AK6" s="262">
        <f t="shared" si="0"/>
        <v>43499</v>
      </c>
      <c r="AL6" s="262">
        <f t="shared" si="0"/>
        <v>43527</v>
      </c>
      <c r="AM6" s="262">
        <f t="shared" si="0"/>
        <v>43558</v>
      </c>
      <c r="AN6" s="262">
        <f t="shared" si="0"/>
        <v>43587</v>
      </c>
      <c r="AO6" s="262">
        <f t="shared" si="0"/>
        <v>43618</v>
      </c>
      <c r="AP6" s="262">
        <f t="shared" si="0"/>
        <v>43647</v>
      </c>
      <c r="AQ6" s="262">
        <f t="shared" si="0"/>
        <v>43678</v>
      </c>
      <c r="AR6" s="262">
        <f t="shared" si="0"/>
        <v>43709</v>
      </c>
      <c r="AS6" s="262">
        <f t="shared" si="0"/>
        <v>43739</v>
      </c>
      <c r="AT6" s="262">
        <f t="shared" si="0"/>
        <v>43770</v>
      </c>
      <c r="AU6" s="262">
        <f t="shared" si="0"/>
        <v>43800</v>
      </c>
      <c r="AV6" s="262">
        <f t="shared" si="0"/>
        <v>43831</v>
      </c>
      <c r="AW6" s="262">
        <f t="shared" si="0"/>
        <v>43862</v>
      </c>
      <c r="AX6" s="262">
        <f t="shared" si="0"/>
        <v>43891</v>
      </c>
      <c r="AY6" s="262">
        <f t="shared" si="0"/>
        <v>43922</v>
      </c>
      <c r="AZ6" s="262">
        <f t="shared" si="0"/>
        <v>43952</v>
      </c>
      <c r="BA6" s="262">
        <f t="shared" si="0"/>
        <v>43983</v>
      </c>
      <c r="BB6" s="262">
        <f t="shared" si="0"/>
        <v>44013</v>
      </c>
      <c r="BC6" s="262">
        <f t="shared" si="0"/>
        <v>44044</v>
      </c>
      <c r="BD6" s="262">
        <f t="shared" si="0"/>
        <v>44075</v>
      </c>
      <c r="BE6" s="262">
        <f t="shared" si="0"/>
        <v>44105</v>
      </c>
      <c r="BF6" s="262">
        <f t="shared" si="0"/>
        <v>44136</v>
      </c>
      <c r="BG6" s="262">
        <f t="shared" si="0"/>
        <v>44166</v>
      </c>
      <c r="BH6" s="262">
        <f t="shared" si="0"/>
        <v>44197</v>
      </c>
      <c r="BI6" s="262">
        <f t="shared" si="0"/>
        <v>44228</v>
      </c>
      <c r="BJ6" s="262">
        <f t="shared" si="0"/>
        <v>44256</v>
      </c>
      <c r="BK6" s="262">
        <f t="shared" si="0"/>
        <v>44287</v>
      </c>
      <c r="BL6" s="262">
        <f t="shared" si="0"/>
        <v>44317</v>
      </c>
      <c r="BM6" s="262">
        <f t="shared" si="0"/>
        <v>44348</v>
      </c>
      <c r="BN6" s="262">
        <f t="shared" si="0"/>
        <v>44378</v>
      </c>
      <c r="BO6" s="262">
        <f t="shared" si="0"/>
        <v>44409</v>
      </c>
      <c r="BP6" s="262">
        <f t="shared" si="0"/>
        <v>44440</v>
      </c>
      <c r="BQ6" s="262">
        <f t="shared" si="0"/>
        <v>44470</v>
      </c>
      <c r="BR6" s="262">
        <f t="shared" ref="BR6:DV6" si="1">BR$4</f>
        <v>44501</v>
      </c>
      <c r="BS6" s="262">
        <f t="shared" si="1"/>
        <v>44531</v>
      </c>
      <c r="BT6" s="262">
        <f t="shared" si="1"/>
        <v>44562</v>
      </c>
      <c r="BU6" s="262">
        <f t="shared" si="1"/>
        <v>44593</v>
      </c>
      <c r="BV6" s="262">
        <f t="shared" si="1"/>
        <v>44622</v>
      </c>
      <c r="BW6" s="262">
        <f t="shared" si="1"/>
        <v>44654</v>
      </c>
      <c r="BX6" s="262">
        <f t="shared" si="1"/>
        <v>44685</v>
      </c>
      <c r="BY6" s="262">
        <f t="shared" si="1"/>
        <v>44716</v>
      </c>
      <c r="BZ6" s="262">
        <f t="shared" si="1"/>
        <v>44746</v>
      </c>
      <c r="CA6" s="262">
        <f t="shared" si="1"/>
        <v>44774</v>
      </c>
      <c r="CB6" s="262">
        <f t="shared" si="1"/>
        <v>44805</v>
      </c>
      <c r="CC6" s="262">
        <f t="shared" si="1"/>
        <v>44835</v>
      </c>
      <c r="CD6" s="262">
        <f t="shared" si="1"/>
        <v>44866</v>
      </c>
      <c r="CE6" s="262">
        <f t="shared" si="1"/>
        <v>44896</v>
      </c>
      <c r="CF6" s="262">
        <f t="shared" si="1"/>
        <v>44927</v>
      </c>
      <c r="CG6" s="262">
        <f t="shared" si="1"/>
        <v>44958</v>
      </c>
      <c r="CH6" s="262">
        <f t="shared" si="1"/>
        <v>44986</v>
      </c>
      <c r="CI6" s="262">
        <f t="shared" si="1"/>
        <v>45017</v>
      </c>
      <c r="CJ6" s="262">
        <f t="shared" si="1"/>
        <v>45047</v>
      </c>
      <c r="CK6" s="262">
        <f t="shared" si="1"/>
        <v>45078</v>
      </c>
      <c r="CL6" s="262">
        <f t="shared" si="1"/>
        <v>45108</v>
      </c>
      <c r="CM6" s="262">
        <f t="shared" si="1"/>
        <v>45139</v>
      </c>
      <c r="CN6" s="262">
        <f t="shared" si="1"/>
        <v>45170</v>
      </c>
      <c r="CO6" s="262">
        <f t="shared" si="1"/>
        <v>45200</v>
      </c>
      <c r="CP6" s="262">
        <f t="shared" si="1"/>
        <v>45231</v>
      </c>
      <c r="CQ6" s="262">
        <f t="shared" si="1"/>
        <v>45261</v>
      </c>
      <c r="CR6" s="262">
        <f t="shared" si="1"/>
        <v>45292</v>
      </c>
      <c r="CS6" s="262">
        <f t="shared" si="1"/>
        <v>45323</v>
      </c>
      <c r="CT6" s="262">
        <f t="shared" si="1"/>
        <v>45352</v>
      </c>
      <c r="CU6" s="262">
        <f t="shared" si="1"/>
        <v>45383</v>
      </c>
      <c r="CV6" s="262">
        <f t="shared" si="1"/>
        <v>45413</v>
      </c>
      <c r="CW6" s="262">
        <f t="shared" si="1"/>
        <v>45444</v>
      </c>
      <c r="CX6" s="262">
        <f t="shared" si="1"/>
        <v>45474</v>
      </c>
      <c r="CY6" s="262">
        <f t="shared" si="1"/>
        <v>45505</v>
      </c>
      <c r="CZ6" s="262">
        <f t="shared" si="1"/>
        <v>45536</v>
      </c>
      <c r="DA6" s="262">
        <f t="shared" si="1"/>
        <v>45566</v>
      </c>
      <c r="DB6" s="262">
        <f t="shared" si="1"/>
        <v>45597</v>
      </c>
      <c r="DC6" s="262">
        <f t="shared" si="1"/>
        <v>45627</v>
      </c>
      <c r="DD6" s="262">
        <f t="shared" si="1"/>
        <v>45658</v>
      </c>
      <c r="DE6" s="262">
        <f t="shared" si="1"/>
        <v>45689</v>
      </c>
      <c r="DF6" s="262">
        <f t="shared" si="1"/>
        <v>45717</v>
      </c>
      <c r="DG6" s="262">
        <f t="shared" si="1"/>
        <v>45748</v>
      </c>
      <c r="DH6" s="262">
        <f t="shared" si="1"/>
        <v>45778</v>
      </c>
      <c r="DI6" s="262">
        <f t="shared" si="1"/>
        <v>45809</v>
      </c>
      <c r="DJ6" s="262">
        <v>45839</v>
      </c>
      <c r="DK6" s="262">
        <f t="shared" si="1"/>
        <v>45870</v>
      </c>
      <c r="DL6" s="262">
        <f t="shared" si="1"/>
        <v>45901</v>
      </c>
      <c r="DM6" s="262">
        <f t="shared" si="1"/>
        <v>45931</v>
      </c>
      <c r="DN6" s="262">
        <f t="shared" si="1"/>
        <v>45962</v>
      </c>
      <c r="DO6" s="262">
        <f t="shared" si="1"/>
        <v>45992</v>
      </c>
      <c r="DP6" s="262">
        <f t="shared" si="1"/>
        <v>46023</v>
      </c>
      <c r="DQ6" s="262">
        <f t="shared" si="1"/>
        <v>46054</v>
      </c>
      <c r="DR6" s="262">
        <f t="shared" si="1"/>
        <v>46082</v>
      </c>
      <c r="DS6" s="262">
        <f t="shared" si="1"/>
        <v>46113</v>
      </c>
      <c r="DT6" s="262">
        <f t="shared" si="1"/>
        <v>46143</v>
      </c>
      <c r="DU6" s="262">
        <f t="shared" si="1"/>
        <v>46174</v>
      </c>
      <c r="DV6" s="262">
        <f t="shared" si="1"/>
        <v>46204</v>
      </c>
    </row>
    <row r="7" spans="1:126" x14ac:dyDescent="0.25">
      <c r="A7" s="261" t="s">
        <v>542</v>
      </c>
      <c r="B7" s="261" t="s">
        <v>542</v>
      </c>
      <c r="D7" s="117" t="str">
        <f>IF([1]RENAME!$H$3=1,B7,A7)</f>
        <v>SANTANDER</v>
      </c>
      <c r="E7" s="351" t="s">
        <v>160</v>
      </c>
      <c r="F7" s="351" t="s">
        <v>160</v>
      </c>
      <c r="G7" s="351" t="s">
        <v>160</v>
      </c>
      <c r="H7" s="351" t="s">
        <v>160</v>
      </c>
      <c r="I7" s="351" t="s">
        <v>160</v>
      </c>
      <c r="J7" s="351" t="s">
        <v>160</v>
      </c>
      <c r="K7" s="351" t="s">
        <v>160</v>
      </c>
      <c r="L7" s="351" t="s">
        <v>160</v>
      </c>
      <c r="M7" s="351" t="s">
        <v>160</v>
      </c>
      <c r="N7" s="351" t="s">
        <v>160</v>
      </c>
      <c r="O7" s="351" t="s">
        <v>160</v>
      </c>
      <c r="P7" s="351" t="s">
        <v>160</v>
      </c>
      <c r="Q7" s="351" t="s">
        <v>160</v>
      </c>
      <c r="R7" s="351" t="s">
        <v>160</v>
      </c>
      <c r="S7" s="351" t="s">
        <v>160</v>
      </c>
      <c r="T7" s="351" t="s">
        <v>160</v>
      </c>
      <c r="U7" s="351" t="s">
        <v>160</v>
      </c>
      <c r="V7" s="351" t="s">
        <v>160</v>
      </c>
      <c r="W7" s="596" t="s">
        <v>160</v>
      </c>
      <c r="X7" s="596" t="s">
        <v>160</v>
      </c>
      <c r="Y7" s="596" t="s">
        <v>160</v>
      </c>
      <c r="Z7" s="596" t="s">
        <v>160</v>
      </c>
      <c r="AA7" s="596" t="s">
        <v>160</v>
      </c>
      <c r="AB7" s="596" t="s">
        <v>160</v>
      </c>
      <c r="AC7" s="596" t="s">
        <v>160</v>
      </c>
      <c r="AD7" s="596" t="s">
        <v>160</v>
      </c>
      <c r="AE7" s="596" t="s">
        <v>160</v>
      </c>
      <c r="AF7" s="596" t="s">
        <v>160</v>
      </c>
      <c r="AG7" s="596" t="s">
        <v>160</v>
      </c>
      <c r="AH7" s="596" t="s">
        <v>160</v>
      </c>
      <c r="AI7" s="596" t="s">
        <v>160</v>
      </c>
      <c r="AJ7" s="596" t="s">
        <v>160</v>
      </c>
      <c r="AK7" s="596" t="s">
        <v>160</v>
      </c>
      <c r="AL7" s="596" t="s">
        <v>160</v>
      </c>
      <c r="AM7" s="596" t="s">
        <v>160</v>
      </c>
      <c r="AN7" s="596" t="s">
        <v>160</v>
      </c>
      <c r="AO7" s="596" t="s">
        <v>160</v>
      </c>
      <c r="AP7" s="596" t="s">
        <v>160</v>
      </c>
      <c r="AQ7" s="596" t="s">
        <v>160</v>
      </c>
      <c r="AR7" s="596" t="s">
        <v>160</v>
      </c>
      <c r="AS7" s="596" t="s">
        <v>160</v>
      </c>
      <c r="AT7" s="596" t="s">
        <v>160</v>
      </c>
      <c r="AU7" s="596" t="s">
        <v>160</v>
      </c>
      <c r="AV7" s="596" t="s">
        <v>160</v>
      </c>
      <c r="AW7" s="596" t="s">
        <v>160</v>
      </c>
      <c r="AX7" s="596" t="s">
        <v>160</v>
      </c>
      <c r="AY7" s="1020" t="s">
        <v>160</v>
      </c>
      <c r="AZ7" s="596" t="s">
        <v>160</v>
      </c>
      <c r="BA7" s="596" t="s">
        <v>160</v>
      </c>
      <c r="BB7" s="596" t="s">
        <v>160</v>
      </c>
      <c r="BC7" s="596" t="s">
        <v>160</v>
      </c>
      <c r="BD7" s="596" t="s">
        <v>160</v>
      </c>
      <c r="BE7" s="596" t="s">
        <v>160</v>
      </c>
      <c r="BF7" s="596" t="s">
        <v>160</v>
      </c>
      <c r="BG7" s="596" t="s">
        <v>160</v>
      </c>
      <c r="BH7" s="596" t="s">
        <v>160</v>
      </c>
      <c r="BI7" s="596" t="s">
        <v>160</v>
      </c>
      <c r="BJ7" s="596" t="s">
        <v>160</v>
      </c>
      <c r="BK7" s="596" t="s">
        <v>160</v>
      </c>
      <c r="BL7" s="596" t="s">
        <v>160</v>
      </c>
      <c r="BM7" s="596" t="s">
        <v>160</v>
      </c>
      <c r="BN7" s="596" t="s">
        <v>160</v>
      </c>
      <c r="BO7" s="596" t="s">
        <v>160</v>
      </c>
      <c r="BP7" s="596" t="s">
        <v>160</v>
      </c>
      <c r="BQ7" s="596" t="s">
        <v>160</v>
      </c>
      <c r="BR7" s="596" t="s">
        <v>160</v>
      </c>
      <c r="BS7" s="596" t="s">
        <v>160</v>
      </c>
      <c r="BT7" s="596" t="s">
        <v>160</v>
      </c>
      <c r="BU7" s="596" t="s">
        <v>160</v>
      </c>
      <c r="BV7" s="596" t="s">
        <v>160</v>
      </c>
      <c r="BW7" s="596" t="s">
        <v>160</v>
      </c>
      <c r="BX7" s="596" t="s">
        <v>160</v>
      </c>
      <c r="BY7" s="596" t="s">
        <v>160</v>
      </c>
      <c r="BZ7" s="596" t="s">
        <v>160</v>
      </c>
      <c r="CA7" s="596" t="s">
        <v>160</v>
      </c>
      <c r="CB7" s="596" t="s">
        <v>160</v>
      </c>
      <c r="CC7" s="596" t="s">
        <v>160</v>
      </c>
      <c r="CD7" s="596" t="s">
        <v>160</v>
      </c>
      <c r="CE7" s="596" t="s">
        <v>160</v>
      </c>
      <c r="CF7" s="596" t="s">
        <v>160</v>
      </c>
      <c r="CG7" s="596" t="s">
        <v>160</v>
      </c>
      <c r="CH7" s="596" t="s">
        <v>160</v>
      </c>
      <c r="CI7" s="596" t="s">
        <v>160</v>
      </c>
      <c r="CJ7" s="596" t="s">
        <v>160</v>
      </c>
      <c r="CK7" s="596" t="s">
        <v>160</v>
      </c>
      <c r="CL7" s="596" t="s">
        <v>160</v>
      </c>
      <c r="CM7" s="596" t="s">
        <v>160</v>
      </c>
      <c r="CN7" s="596" t="s">
        <v>160</v>
      </c>
      <c r="CO7" s="596" t="s">
        <v>160</v>
      </c>
      <c r="CP7" s="596" t="s">
        <v>160</v>
      </c>
      <c r="CQ7" s="596" t="s">
        <v>160</v>
      </c>
      <c r="CR7" s="596" t="s">
        <v>160</v>
      </c>
      <c r="CS7" s="596" t="s">
        <v>160</v>
      </c>
      <c r="CT7" s="596" t="s">
        <v>160</v>
      </c>
      <c r="CU7" s="596" t="s">
        <v>160</v>
      </c>
      <c r="CV7" s="596" t="s">
        <v>160</v>
      </c>
      <c r="CW7" s="596" t="s">
        <v>160</v>
      </c>
      <c r="CX7" s="596" t="s">
        <v>160</v>
      </c>
      <c r="CY7" s="596" t="s">
        <v>160</v>
      </c>
      <c r="CZ7" s="596" t="s">
        <v>160</v>
      </c>
      <c r="DA7" s="596" t="s">
        <v>160</v>
      </c>
      <c r="DB7" s="596" t="s">
        <v>160</v>
      </c>
      <c r="DC7" s="596" t="s">
        <v>160</v>
      </c>
      <c r="DD7" s="596" t="s">
        <v>160</v>
      </c>
      <c r="DE7" s="596" t="s">
        <v>160</v>
      </c>
      <c r="DF7" s="596" t="s">
        <v>160</v>
      </c>
      <c r="DG7" s="596" t="s">
        <v>160</v>
      </c>
      <c r="DH7" s="596" t="s">
        <v>160</v>
      </c>
      <c r="DI7" s="596" t="s">
        <v>160</v>
      </c>
      <c r="DJ7" s="596" t="s">
        <v>160</v>
      </c>
      <c r="DK7" s="596" t="s">
        <v>160</v>
      </c>
      <c r="DL7" s="596" t="s">
        <v>160</v>
      </c>
      <c r="DM7" s="596" t="s">
        <v>160</v>
      </c>
      <c r="DN7" s="596">
        <v>45.7</v>
      </c>
      <c r="DO7" s="596">
        <v>45.7</v>
      </c>
      <c r="DP7" s="596">
        <v>45.7</v>
      </c>
      <c r="DQ7" s="596">
        <v>45.7</v>
      </c>
      <c r="DR7" s="596">
        <v>45.7</v>
      </c>
      <c r="DS7" s="596">
        <v>45.7</v>
      </c>
      <c r="DT7" s="596">
        <v>45.7</v>
      </c>
      <c r="DU7" s="596">
        <v>45.7</v>
      </c>
      <c r="DV7" s="596">
        <v>45.7</v>
      </c>
    </row>
    <row r="8" spans="1:126" x14ac:dyDescent="0.25">
      <c r="A8" s="261" t="s">
        <v>547</v>
      </c>
      <c r="B8" s="261" t="s">
        <v>547</v>
      </c>
      <c r="D8" s="117" t="str">
        <f>IF([1]RENAME!$H$3=1,B8,A8)</f>
        <v>ITAÚ</v>
      </c>
      <c r="E8" s="351" t="s">
        <v>160</v>
      </c>
      <c r="F8" s="351" t="s">
        <v>160</v>
      </c>
      <c r="G8" s="351" t="s">
        <v>160</v>
      </c>
      <c r="H8" s="351" t="s">
        <v>160</v>
      </c>
      <c r="I8" s="351" t="s">
        <v>160</v>
      </c>
      <c r="J8" s="351" t="s">
        <v>160</v>
      </c>
      <c r="K8" s="351" t="s">
        <v>160</v>
      </c>
      <c r="L8" s="351" t="s">
        <v>160</v>
      </c>
      <c r="M8" s="351" t="s">
        <v>160</v>
      </c>
      <c r="N8" s="351" t="s">
        <v>160</v>
      </c>
      <c r="O8" s="351" t="s">
        <v>160</v>
      </c>
      <c r="P8" s="351" t="s">
        <v>160</v>
      </c>
      <c r="Q8" s="351" t="s">
        <v>160</v>
      </c>
      <c r="R8" s="351" t="s">
        <v>160</v>
      </c>
      <c r="S8" s="351" t="s">
        <v>160</v>
      </c>
      <c r="T8" s="351" t="s">
        <v>160</v>
      </c>
      <c r="U8" s="351" t="s">
        <v>160</v>
      </c>
      <c r="V8" s="351" t="s">
        <v>160</v>
      </c>
      <c r="W8" s="351" t="s">
        <v>160</v>
      </c>
      <c r="X8" s="596" t="s">
        <v>160</v>
      </c>
      <c r="Y8" s="596" t="s">
        <v>160</v>
      </c>
      <c r="Z8" s="596" t="s">
        <v>160</v>
      </c>
      <c r="AA8" s="596" t="s">
        <v>160</v>
      </c>
      <c r="AB8" s="596" t="s">
        <v>160</v>
      </c>
      <c r="AC8" s="596" t="s">
        <v>160</v>
      </c>
      <c r="AD8" s="596" t="s">
        <v>160</v>
      </c>
      <c r="AE8" s="596" t="s">
        <v>160</v>
      </c>
      <c r="AF8" s="596" t="s">
        <v>160</v>
      </c>
      <c r="AG8" s="596" t="s">
        <v>160</v>
      </c>
      <c r="AH8" s="596" t="s">
        <v>160</v>
      </c>
      <c r="AI8" s="596" t="s">
        <v>160</v>
      </c>
      <c r="AJ8" s="596" t="s">
        <v>160</v>
      </c>
      <c r="AK8" s="596" t="s">
        <v>160</v>
      </c>
      <c r="AL8" s="596" t="s">
        <v>160</v>
      </c>
      <c r="AM8" s="596" t="s">
        <v>160</v>
      </c>
      <c r="AN8" s="596" t="s">
        <v>160</v>
      </c>
      <c r="AO8" s="596" t="s">
        <v>160</v>
      </c>
      <c r="AP8" s="596" t="s">
        <v>160</v>
      </c>
      <c r="AQ8" s="596" t="s">
        <v>160</v>
      </c>
      <c r="AR8" s="596" t="s">
        <v>160</v>
      </c>
      <c r="AS8" s="596" t="s">
        <v>160</v>
      </c>
      <c r="AT8" s="596" t="s">
        <v>160</v>
      </c>
      <c r="AU8" s="596" t="s">
        <v>160</v>
      </c>
      <c r="AV8" s="596" t="s">
        <v>160</v>
      </c>
      <c r="AW8" s="596" t="s">
        <v>160</v>
      </c>
      <c r="AX8" s="596" t="s">
        <v>160</v>
      </c>
      <c r="AY8" s="1020" t="s">
        <v>160</v>
      </c>
      <c r="AZ8" s="596" t="s">
        <v>160</v>
      </c>
      <c r="BA8" s="596" t="s">
        <v>160</v>
      </c>
      <c r="BB8" s="596" t="s">
        <v>160</v>
      </c>
      <c r="BC8" s="596" t="s">
        <v>160</v>
      </c>
      <c r="BD8" s="596" t="s">
        <v>160</v>
      </c>
      <c r="BE8" s="596" t="s">
        <v>160</v>
      </c>
      <c r="BF8" s="596" t="s">
        <v>160</v>
      </c>
      <c r="BG8" s="596" t="s">
        <v>160</v>
      </c>
      <c r="BH8" s="596" t="s">
        <v>160</v>
      </c>
      <c r="BI8" s="596" t="s">
        <v>160</v>
      </c>
      <c r="BJ8" s="596" t="s">
        <v>160</v>
      </c>
      <c r="BK8" s="596" t="s">
        <v>160</v>
      </c>
      <c r="BL8" s="596" t="s">
        <v>160</v>
      </c>
      <c r="BM8" s="596" t="s">
        <v>160</v>
      </c>
      <c r="BN8" s="596" t="s">
        <v>160</v>
      </c>
      <c r="BO8" s="596" t="s">
        <v>160</v>
      </c>
      <c r="BP8" s="596" t="s">
        <v>160</v>
      </c>
      <c r="BQ8" s="596" t="s">
        <v>160</v>
      </c>
      <c r="BR8" s="596" t="s">
        <v>160</v>
      </c>
      <c r="BS8" s="596" t="s">
        <v>160</v>
      </c>
      <c r="BT8" s="596" t="s">
        <v>160</v>
      </c>
      <c r="BU8" s="596" t="s">
        <v>160</v>
      </c>
      <c r="BV8" s="596" t="s">
        <v>160</v>
      </c>
      <c r="BW8" s="596" t="s">
        <v>160</v>
      </c>
      <c r="BX8" s="596" t="s">
        <v>160</v>
      </c>
      <c r="BY8" s="596" t="s">
        <v>160</v>
      </c>
      <c r="BZ8" s="596" t="s">
        <v>160</v>
      </c>
      <c r="CA8" s="596" t="s">
        <v>160</v>
      </c>
      <c r="CB8" s="596" t="s">
        <v>160</v>
      </c>
      <c r="CC8" s="596" t="s">
        <v>160</v>
      </c>
      <c r="CD8" s="596" t="s">
        <v>160</v>
      </c>
      <c r="CE8" s="596" t="s">
        <v>160</v>
      </c>
      <c r="CF8" s="596" t="s">
        <v>160</v>
      </c>
      <c r="CG8" s="596" t="s">
        <v>160</v>
      </c>
      <c r="CH8" s="596" t="s">
        <v>160</v>
      </c>
      <c r="CI8" s="596" t="s">
        <v>160</v>
      </c>
      <c r="CJ8" s="596" t="s">
        <v>160</v>
      </c>
      <c r="CK8" s="596" t="s">
        <v>160</v>
      </c>
      <c r="CL8" s="596" t="s">
        <v>160</v>
      </c>
      <c r="CM8" s="596" t="s">
        <v>160</v>
      </c>
      <c r="CN8" s="596" t="s">
        <v>160</v>
      </c>
      <c r="CO8" s="596" t="s">
        <v>160</v>
      </c>
      <c r="CP8" s="596" t="s">
        <v>160</v>
      </c>
      <c r="CQ8" s="596" t="s">
        <v>160</v>
      </c>
      <c r="CR8" s="596" t="s">
        <v>160</v>
      </c>
      <c r="CS8" s="596" t="s">
        <v>160</v>
      </c>
      <c r="CT8" s="596" t="s">
        <v>160</v>
      </c>
      <c r="CU8" s="596" t="s">
        <v>160</v>
      </c>
      <c r="CV8" s="596" t="s">
        <v>160</v>
      </c>
      <c r="CW8" s="596" t="s">
        <v>160</v>
      </c>
      <c r="CX8" s="596" t="s">
        <v>160</v>
      </c>
      <c r="CY8" s="596" t="s">
        <v>160</v>
      </c>
      <c r="CZ8" s="596" t="s">
        <v>160</v>
      </c>
      <c r="DA8" s="596" t="s">
        <v>160</v>
      </c>
      <c r="DB8" s="596" t="s">
        <v>160</v>
      </c>
      <c r="DC8" s="596" t="s">
        <v>160</v>
      </c>
      <c r="DD8" s="596" t="s">
        <v>160</v>
      </c>
      <c r="DE8" s="596" t="s">
        <v>160</v>
      </c>
      <c r="DF8" s="596" t="s">
        <v>160</v>
      </c>
      <c r="DG8" s="596" t="s">
        <v>160</v>
      </c>
      <c r="DH8" s="596" t="s">
        <v>160</v>
      </c>
      <c r="DI8" s="596" t="s">
        <v>160</v>
      </c>
      <c r="DJ8" s="596" t="s">
        <v>160</v>
      </c>
      <c r="DK8" s="596" t="s">
        <v>160</v>
      </c>
      <c r="DL8" s="596" t="s">
        <v>160</v>
      </c>
      <c r="DM8" s="596" t="s">
        <v>160</v>
      </c>
      <c r="DN8" s="596">
        <v>43.5</v>
      </c>
      <c r="DO8" s="596">
        <v>43.5</v>
      </c>
      <c r="DP8" s="596">
        <v>43.5</v>
      </c>
      <c r="DQ8" s="596">
        <v>43.5</v>
      </c>
      <c r="DR8" s="596">
        <v>43.5</v>
      </c>
      <c r="DS8" s="596">
        <v>43.5</v>
      </c>
      <c r="DT8" s="596">
        <v>43.5</v>
      </c>
      <c r="DU8" s="596">
        <v>43.5</v>
      </c>
      <c r="DV8" s="596">
        <v>43.5</v>
      </c>
    </row>
    <row r="9" spans="1:126" customFormat="1" ht="12.75" x14ac:dyDescent="0.2">
      <c r="A9" t="s">
        <v>557</v>
      </c>
      <c r="B9" t="s">
        <v>856</v>
      </c>
      <c r="D9" s="277" t="str">
        <f>IF([1]RENAME!$H$3=1,B9,A9)</f>
        <v>Média</v>
      </c>
      <c r="E9" s="278" t="str">
        <f t="shared" ref="E9:AJ9" si="2">IFERROR(AVERAGE(E7:E8),"-")</f>
        <v>-</v>
      </c>
      <c r="F9" s="278" t="str">
        <f t="shared" si="2"/>
        <v>-</v>
      </c>
      <c r="G9" s="278" t="str">
        <f t="shared" si="2"/>
        <v>-</v>
      </c>
      <c r="H9" s="278" t="str">
        <f t="shared" si="2"/>
        <v>-</v>
      </c>
      <c r="I9" s="278" t="str">
        <f t="shared" si="2"/>
        <v>-</v>
      </c>
      <c r="J9" s="278" t="str">
        <f t="shared" si="2"/>
        <v>-</v>
      </c>
      <c r="K9" s="278" t="str">
        <f t="shared" si="2"/>
        <v>-</v>
      </c>
      <c r="L9" s="278" t="str">
        <f t="shared" si="2"/>
        <v>-</v>
      </c>
      <c r="M9" s="278" t="str">
        <f t="shared" si="2"/>
        <v>-</v>
      </c>
      <c r="N9" s="278" t="str">
        <f t="shared" si="2"/>
        <v>-</v>
      </c>
      <c r="O9" s="278" t="str">
        <f t="shared" si="2"/>
        <v>-</v>
      </c>
      <c r="P9" s="278" t="str">
        <f t="shared" si="2"/>
        <v>-</v>
      </c>
      <c r="Q9" s="278" t="str">
        <f t="shared" si="2"/>
        <v>-</v>
      </c>
      <c r="R9" s="278" t="str">
        <f t="shared" si="2"/>
        <v>-</v>
      </c>
      <c r="S9" s="278" t="str">
        <f t="shared" si="2"/>
        <v>-</v>
      </c>
      <c r="T9" s="278" t="str">
        <f t="shared" si="2"/>
        <v>-</v>
      </c>
      <c r="U9" s="278" t="str">
        <f t="shared" si="2"/>
        <v>-</v>
      </c>
      <c r="V9" s="278" t="str">
        <f t="shared" si="2"/>
        <v>-</v>
      </c>
      <c r="W9" s="278" t="str">
        <f t="shared" si="2"/>
        <v>-</v>
      </c>
      <c r="X9" s="278" t="str">
        <f t="shared" si="2"/>
        <v>-</v>
      </c>
      <c r="Y9" s="278" t="str">
        <f t="shared" si="2"/>
        <v>-</v>
      </c>
      <c r="Z9" s="278" t="str">
        <f t="shared" si="2"/>
        <v>-</v>
      </c>
      <c r="AA9" s="278" t="str">
        <f t="shared" si="2"/>
        <v>-</v>
      </c>
      <c r="AB9" s="278" t="str">
        <f t="shared" si="2"/>
        <v>-</v>
      </c>
      <c r="AC9" s="278" t="str">
        <f t="shared" si="2"/>
        <v>-</v>
      </c>
      <c r="AD9" s="278" t="str">
        <f t="shared" si="2"/>
        <v>-</v>
      </c>
      <c r="AE9" s="278" t="str">
        <f t="shared" si="2"/>
        <v>-</v>
      </c>
      <c r="AF9" s="278" t="str">
        <f t="shared" si="2"/>
        <v>-</v>
      </c>
      <c r="AG9" s="278" t="str">
        <f t="shared" si="2"/>
        <v>-</v>
      </c>
      <c r="AH9" s="278" t="str">
        <f t="shared" si="2"/>
        <v>-</v>
      </c>
      <c r="AI9" s="278" t="str">
        <f t="shared" si="2"/>
        <v>-</v>
      </c>
      <c r="AJ9" s="278" t="str">
        <f t="shared" si="2"/>
        <v>-</v>
      </c>
      <c r="AK9" s="278" t="str">
        <f t="shared" ref="AK9:BP9" si="3">IFERROR(AVERAGE(AK7:AK8),"-")</f>
        <v>-</v>
      </c>
      <c r="AL9" s="278" t="str">
        <f t="shared" si="3"/>
        <v>-</v>
      </c>
      <c r="AM9" s="278" t="str">
        <f t="shared" si="3"/>
        <v>-</v>
      </c>
      <c r="AN9" s="278" t="str">
        <f t="shared" si="3"/>
        <v>-</v>
      </c>
      <c r="AO9" s="278" t="str">
        <f t="shared" si="3"/>
        <v>-</v>
      </c>
      <c r="AP9" s="278" t="str">
        <f t="shared" si="3"/>
        <v>-</v>
      </c>
      <c r="AQ9" s="278" t="str">
        <f t="shared" si="3"/>
        <v>-</v>
      </c>
      <c r="AR9" s="278" t="str">
        <f t="shared" si="3"/>
        <v>-</v>
      </c>
      <c r="AS9" s="278" t="str">
        <f t="shared" si="3"/>
        <v>-</v>
      </c>
      <c r="AT9" s="278" t="str">
        <f t="shared" si="3"/>
        <v>-</v>
      </c>
      <c r="AU9" s="278" t="str">
        <f t="shared" si="3"/>
        <v>-</v>
      </c>
      <c r="AV9" s="278" t="str">
        <f t="shared" si="3"/>
        <v>-</v>
      </c>
      <c r="AW9" s="278" t="str">
        <f t="shared" si="3"/>
        <v>-</v>
      </c>
      <c r="AX9" s="278" t="str">
        <f t="shared" si="3"/>
        <v>-</v>
      </c>
      <c r="AY9" s="278" t="str">
        <f t="shared" si="3"/>
        <v>-</v>
      </c>
      <c r="AZ9" s="278" t="str">
        <f t="shared" si="3"/>
        <v>-</v>
      </c>
      <c r="BA9" s="278" t="str">
        <f t="shared" si="3"/>
        <v>-</v>
      </c>
      <c r="BB9" s="278" t="str">
        <f t="shared" si="3"/>
        <v>-</v>
      </c>
      <c r="BC9" s="278" t="str">
        <f t="shared" si="3"/>
        <v>-</v>
      </c>
      <c r="BD9" s="278" t="str">
        <f t="shared" si="3"/>
        <v>-</v>
      </c>
      <c r="BE9" s="278" t="str">
        <f t="shared" si="3"/>
        <v>-</v>
      </c>
      <c r="BF9" s="278" t="str">
        <f t="shared" si="3"/>
        <v>-</v>
      </c>
      <c r="BG9" s="278" t="str">
        <f t="shared" si="3"/>
        <v>-</v>
      </c>
      <c r="BH9" s="278" t="str">
        <f t="shared" si="3"/>
        <v>-</v>
      </c>
      <c r="BI9" s="278" t="str">
        <f t="shared" si="3"/>
        <v>-</v>
      </c>
      <c r="BJ9" s="278" t="str">
        <f t="shared" si="3"/>
        <v>-</v>
      </c>
      <c r="BK9" s="278" t="str">
        <f t="shared" si="3"/>
        <v>-</v>
      </c>
      <c r="BL9" s="278" t="str">
        <f t="shared" si="3"/>
        <v>-</v>
      </c>
      <c r="BM9" s="278" t="str">
        <f t="shared" si="3"/>
        <v>-</v>
      </c>
      <c r="BN9" s="278" t="str">
        <f t="shared" si="3"/>
        <v>-</v>
      </c>
      <c r="BO9" s="278" t="str">
        <f t="shared" si="3"/>
        <v>-</v>
      </c>
      <c r="BP9" s="278" t="str">
        <f t="shared" si="3"/>
        <v>-</v>
      </c>
      <c r="BQ9" s="278" t="str">
        <f t="shared" ref="BQ9:CV9" si="4">IFERROR(AVERAGE(BQ7:BQ8),"-")</f>
        <v>-</v>
      </c>
      <c r="BR9" s="278" t="str">
        <f t="shared" si="4"/>
        <v>-</v>
      </c>
      <c r="BS9" s="278" t="str">
        <f t="shared" si="4"/>
        <v>-</v>
      </c>
      <c r="BT9" s="278" t="str">
        <f t="shared" si="4"/>
        <v>-</v>
      </c>
      <c r="BU9" s="278" t="str">
        <f t="shared" si="4"/>
        <v>-</v>
      </c>
      <c r="BV9" s="278" t="str">
        <f t="shared" si="4"/>
        <v>-</v>
      </c>
      <c r="BW9" s="278" t="str">
        <f t="shared" si="4"/>
        <v>-</v>
      </c>
      <c r="BX9" s="278" t="str">
        <f t="shared" si="4"/>
        <v>-</v>
      </c>
      <c r="BY9" s="278" t="str">
        <f t="shared" si="4"/>
        <v>-</v>
      </c>
      <c r="BZ9" s="278" t="str">
        <f t="shared" si="4"/>
        <v>-</v>
      </c>
      <c r="CA9" s="278" t="str">
        <f t="shared" si="4"/>
        <v>-</v>
      </c>
      <c r="CB9" s="814" t="str">
        <f t="shared" si="4"/>
        <v>-</v>
      </c>
      <c r="CC9" s="814" t="str">
        <f t="shared" si="4"/>
        <v>-</v>
      </c>
      <c r="CD9" s="814" t="str">
        <f t="shared" si="4"/>
        <v>-</v>
      </c>
      <c r="CE9" s="814" t="str">
        <f t="shared" si="4"/>
        <v>-</v>
      </c>
      <c r="CF9" s="814" t="str">
        <f t="shared" si="4"/>
        <v>-</v>
      </c>
      <c r="CG9" s="814" t="str">
        <f t="shared" si="4"/>
        <v>-</v>
      </c>
      <c r="CH9" s="814" t="str">
        <f t="shared" si="4"/>
        <v>-</v>
      </c>
      <c r="CI9" s="814" t="str">
        <f t="shared" si="4"/>
        <v>-</v>
      </c>
      <c r="CJ9" s="814" t="str">
        <f t="shared" si="4"/>
        <v>-</v>
      </c>
      <c r="CK9" s="814" t="str">
        <f t="shared" si="4"/>
        <v>-</v>
      </c>
      <c r="CL9" s="814" t="str">
        <f t="shared" si="4"/>
        <v>-</v>
      </c>
      <c r="CM9" s="814" t="str">
        <f t="shared" si="4"/>
        <v>-</v>
      </c>
      <c r="CN9" s="814" t="str">
        <f t="shared" si="4"/>
        <v>-</v>
      </c>
      <c r="CO9" s="814" t="str">
        <f t="shared" si="4"/>
        <v>-</v>
      </c>
      <c r="CP9" s="814" t="str">
        <f t="shared" si="4"/>
        <v>-</v>
      </c>
      <c r="CQ9" s="814" t="str">
        <f t="shared" si="4"/>
        <v>-</v>
      </c>
      <c r="CR9" s="814" t="str">
        <f t="shared" si="4"/>
        <v>-</v>
      </c>
      <c r="CS9" s="814" t="str">
        <f t="shared" si="4"/>
        <v>-</v>
      </c>
      <c r="CT9" s="814" t="str">
        <f t="shared" si="4"/>
        <v>-</v>
      </c>
      <c r="CU9" s="814" t="str">
        <f t="shared" si="4"/>
        <v>-</v>
      </c>
      <c r="CV9" s="814" t="str">
        <f t="shared" si="4"/>
        <v>-</v>
      </c>
      <c r="CW9" s="814" t="str">
        <f>IFERROR(AVERAGE(CW7:CW8),"-")</f>
        <v>-</v>
      </c>
      <c r="CX9" s="814" t="str">
        <f>IFERROR(AVERAGE(CX7:CX8),"-")</f>
        <v>-</v>
      </c>
      <c r="CY9" s="814" t="str">
        <f>IFERROR(AVERAGE(CY7:CY8),"-")</f>
        <v>-</v>
      </c>
      <c r="CZ9" s="814" t="str">
        <f>IFERROR(AVERAGE(CZ7:CZ8),"-")</f>
        <v>-</v>
      </c>
      <c r="DA9" s="814" t="str">
        <f t="shared" ref="DA9:DM9" si="5">IFERROR(AVERAGE(DA7:DA8),"-")</f>
        <v>-</v>
      </c>
      <c r="DB9" s="814" t="str">
        <f t="shared" si="5"/>
        <v>-</v>
      </c>
      <c r="DC9" s="814" t="str">
        <f t="shared" si="5"/>
        <v>-</v>
      </c>
      <c r="DD9" s="814" t="str">
        <f t="shared" si="5"/>
        <v>-</v>
      </c>
      <c r="DE9" s="814" t="str">
        <f t="shared" si="5"/>
        <v>-</v>
      </c>
      <c r="DF9" s="814" t="str">
        <f t="shared" si="5"/>
        <v>-</v>
      </c>
      <c r="DG9" s="814" t="str">
        <f t="shared" si="5"/>
        <v>-</v>
      </c>
      <c r="DH9" s="814" t="str">
        <f t="shared" si="5"/>
        <v>-</v>
      </c>
      <c r="DI9" s="814" t="str">
        <f t="shared" si="5"/>
        <v>-</v>
      </c>
      <c r="DJ9" s="814" t="str">
        <f t="shared" si="5"/>
        <v>-</v>
      </c>
      <c r="DK9" s="814" t="str">
        <f t="shared" si="5"/>
        <v>-</v>
      </c>
      <c r="DL9" s="814" t="str">
        <f t="shared" si="5"/>
        <v>-</v>
      </c>
      <c r="DM9" s="814" t="str">
        <f t="shared" si="5"/>
        <v>-</v>
      </c>
      <c r="DN9" s="814">
        <f t="shared" ref="DN9:DS9" si="6">IFERROR(AVERAGE(DN7:DN8),"-")</f>
        <v>44.6</v>
      </c>
      <c r="DO9" s="814">
        <f t="shared" si="6"/>
        <v>44.6</v>
      </c>
      <c r="DP9" s="814">
        <f t="shared" si="6"/>
        <v>44.6</v>
      </c>
      <c r="DQ9" s="814">
        <f t="shared" si="6"/>
        <v>44.6</v>
      </c>
      <c r="DR9" s="814">
        <f t="shared" si="6"/>
        <v>44.6</v>
      </c>
      <c r="DS9" s="814">
        <f t="shared" si="6"/>
        <v>44.6</v>
      </c>
      <c r="DT9" s="814">
        <f>IFERROR(AVERAGE(DT7:DT8),"-")</f>
        <v>44.6</v>
      </c>
      <c r="DU9" s="814">
        <f>IFERROR(AVERAGE(DU7:DU8),"-")</f>
        <v>44.6</v>
      </c>
      <c r="DV9" s="814">
        <f>IFERROR(AVERAGE(DV7:DV8),"-")</f>
        <v>44.6</v>
      </c>
    </row>
    <row r="10" spans="1:126" x14ac:dyDescent="0.25">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X10" s="932"/>
      <c r="DN10" s="775"/>
      <c r="DO10" s="775"/>
    </row>
    <row r="11" spans="1:126" x14ac:dyDescent="0.25">
      <c r="A11" s="261" t="s">
        <v>1387</v>
      </c>
      <c r="B11" s="261" t="s">
        <v>1388</v>
      </c>
      <c r="D11" s="113" t="str">
        <f>IF([1]RENAME!$H$3=1,B11,A11)</f>
        <v>Recomendação</v>
      </c>
      <c r="E11" s="262">
        <f>E$4</f>
        <v>42522</v>
      </c>
      <c r="F11" s="262">
        <f t="shared" ref="F11:BQ11" si="7">F$4</f>
        <v>42552</v>
      </c>
      <c r="G11" s="262">
        <f t="shared" si="7"/>
        <v>42583</v>
      </c>
      <c r="H11" s="262">
        <f t="shared" si="7"/>
        <v>42614</v>
      </c>
      <c r="I11" s="262">
        <f t="shared" si="7"/>
        <v>42644</v>
      </c>
      <c r="J11" s="262">
        <f t="shared" si="7"/>
        <v>42675</v>
      </c>
      <c r="K11" s="262">
        <f t="shared" si="7"/>
        <v>42705</v>
      </c>
      <c r="L11" s="262">
        <f t="shared" si="7"/>
        <v>42736</v>
      </c>
      <c r="M11" s="262">
        <f t="shared" si="7"/>
        <v>42767</v>
      </c>
      <c r="N11" s="262">
        <f t="shared" si="7"/>
        <v>42795</v>
      </c>
      <c r="O11" s="262">
        <f t="shared" si="7"/>
        <v>42826</v>
      </c>
      <c r="P11" s="262">
        <f t="shared" si="7"/>
        <v>42856</v>
      </c>
      <c r="Q11" s="262">
        <f t="shared" si="7"/>
        <v>42887</v>
      </c>
      <c r="R11" s="262">
        <f t="shared" si="7"/>
        <v>42917</v>
      </c>
      <c r="S11" s="262">
        <f t="shared" si="7"/>
        <v>42948</v>
      </c>
      <c r="T11" s="262">
        <f t="shared" si="7"/>
        <v>42979</v>
      </c>
      <c r="U11" s="262">
        <f t="shared" si="7"/>
        <v>43009</v>
      </c>
      <c r="V11" s="262">
        <f t="shared" si="7"/>
        <v>43040</v>
      </c>
      <c r="W11" s="262">
        <f t="shared" si="7"/>
        <v>43070</v>
      </c>
      <c r="X11" s="262">
        <f t="shared" si="7"/>
        <v>43101</v>
      </c>
      <c r="Y11" s="262">
        <f t="shared" si="7"/>
        <v>43132</v>
      </c>
      <c r="Z11" s="262">
        <f t="shared" si="7"/>
        <v>43160</v>
      </c>
      <c r="AA11" s="262">
        <f t="shared" si="7"/>
        <v>43191</v>
      </c>
      <c r="AB11" s="262">
        <f t="shared" si="7"/>
        <v>43221</v>
      </c>
      <c r="AC11" s="262">
        <f t="shared" si="7"/>
        <v>43252</v>
      </c>
      <c r="AD11" s="262">
        <f t="shared" si="7"/>
        <v>43283</v>
      </c>
      <c r="AE11" s="262">
        <f t="shared" si="7"/>
        <v>43314</v>
      </c>
      <c r="AF11" s="262">
        <f t="shared" si="7"/>
        <v>43345</v>
      </c>
      <c r="AG11" s="262">
        <f t="shared" si="7"/>
        <v>43376</v>
      </c>
      <c r="AH11" s="262">
        <f t="shared" si="7"/>
        <v>43407</v>
      </c>
      <c r="AI11" s="262">
        <f t="shared" si="7"/>
        <v>43437</v>
      </c>
      <c r="AJ11" s="262">
        <f t="shared" si="7"/>
        <v>43468</v>
      </c>
      <c r="AK11" s="262">
        <f t="shared" si="7"/>
        <v>43499</v>
      </c>
      <c r="AL11" s="262">
        <f t="shared" si="7"/>
        <v>43527</v>
      </c>
      <c r="AM11" s="262">
        <f t="shared" si="7"/>
        <v>43558</v>
      </c>
      <c r="AN11" s="262">
        <f t="shared" si="7"/>
        <v>43587</v>
      </c>
      <c r="AO11" s="262">
        <f t="shared" si="7"/>
        <v>43618</v>
      </c>
      <c r="AP11" s="262">
        <f t="shared" si="7"/>
        <v>43647</v>
      </c>
      <c r="AQ11" s="262">
        <f t="shared" si="7"/>
        <v>43678</v>
      </c>
      <c r="AR11" s="262">
        <f t="shared" si="7"/>
        <v>43709</v>
      </c>
      <c r="AS11" s="262">
        <f t="shared" si="7"/>
        <v>43739</v>
      </c>
      <c r="AT11" s="262">
        <f t="shared" si="7"/>
        <v>43770</v>
      </c>
      <c r="AU11" s="262">
        <f t="shared" si="7"/>
        <v>43800</v>
      </c>
      <c r="AV11" s="262">
        <f t="shared" si="7"/>
        <v>43831</v>
      </c>
      <c r="AW11" s="262">
        <f t="shared" si="7"/>
        <v>43862</v>
      </c>
      <c r="AX11" s="262">
        <f t="shared" si="7"/>
        <v>43891</v>
      </c>
      <c r="AY11" s="262">
        <f t="shared" si="7"/>
        <v>43922</v>
      </c>
      <c r="AZ11" s="262">
        <f t="shared" si="7"/>
        <v>43952</v>
      </c>
      <c r="BA11" s="262">
        <f t="shared" si="7"/>
        <v>43983</v>
      </c>
      <c r="BB11" s="262">
        <f t="shared" si="7"/>
        <v>44013</v>
      </c>
      <c r="BC11" s="262">
        <f t="shared" si="7"/>
        <v>44044</v>
      </c>
      <c r="BD11" s="262">
        <f t="shared" si="7"/>
        <v>44075</v>
      </c>
      <c r="BE11" s="262">
        <f t="shared" si="7"/>
        <v>44105</v>
      </c>
      <c r="BF11" s="262">
        <f t="shared" si="7"/>
        <v>44136</v>
      </c>
      <c r="BG11" s="262">
        <f t="shared" si="7"/>
        <v>44166</v>
      </c>
      <c r="BH11" s="262">
        <f t="shared" si="7"/>
        <v>44197</v>
      </c>
      <c r="BI11" s="262">
        <f t="shared" si="7"/>
        <v>44228</v>
      </c>
      <c r="BJ11" s="262">
        <f t="shared" si="7"/>
        <v>44256</v>
      </c>
      <c r="BK11" s="262">
        <f t="shared" si="7"/>
        <v>44287</v>
      </c>
      <c r="BL11" s="262">
        <f t="shared" si="7"/>
        <v>44317</v>
      </c>
      <c r="BM11" s="262">
        <f t="shared" si="7"/>
        <v>44348</v>
      </c>
      <c r="BN11" s="262">
        <f t="shared" si="7"/>
        <v>44378</v>
      </c>
      <c r="BO11" s="262">
        <f t="shared" si="7"/>
        <v>44409</v>
      </c>
      <c r="BP11" s="262">
        <f t="shared" si="7"/>
        <v>44440</v>
      </c>
      <c r="BQ11" s="262">
        <f t="shared" si="7"/>
        <v>44470</v>
      </c>
      <c r="BR11" s="262">
        <f t="shared" ref="BR11:DV11" si="8">BR$4</f>
        <v>44501</v>
      </c>
      <c r="BS11" s="262">
        <f t="shared" si="8"/>
        <v>44531</v>
      </c>
      <c r="BT11" s="262">
        <f t="shared" si="8"/>
        <v>44562</v>
      </c>
      <c r="BU11" s="262">
        <f t="shared" si="8"/>
        <v>44593</v>
      </c>
      <c r="BV11" s="262">
        <f t="shared" si="8"/>
        <v>44622</v>
      </c>
      <c r="BW11" s="262">
        <f t="shared" si="8"/>
        <v>44654</v>
      </c>
      <c r="BX11" s="262">
        <f t="shared" si="8"/>
        <v>44685</v>
      </c>
      <c r="BY11" s="262">
        <f t="shared" si="8"/>
        <v>44716</v>
      </c>
      <c r="BZ11" s="262">
        <f t="shared" si="8"/>
        <v>44746</v>
      </c>
      <c r="CA11" s="262">
        <f t="shared" si="8"/>
        <v>44774</v>
      </c>
      <c r="CB11" s="262">
        <f t="shared" si="8"/>
        <v>44805</v>
      </c>
      <c r="CC11" s="262">
        <f t="shared" si="8"/>
        <v>44835</v>
      </c>
      <c r="CD11" s="262">
        <f t="shared" si="8"/>
        <v>44866</v>
      </c>
      <c r="CE11" s="262">
        <f t="shared" si="8"/>
        <v>44896</v>
      </c>
      <c r="CF11" s="262">
        <f t="shared" si="8"/>
        <v>44927</v>
      </c>
      <c r="CG11" s="262">
        <f t="shared" si="8"/>
        <v>44958</v>
      </c>
      <c r="CH11" s="262">
        <f t="shared" si="8"/>
        <v>44986</v>
      </c>
      <c r="CI11" s="262">
        <f t="shared" si="8"/>
        <v>45017</v>
      </c>
      <c r="CJ11" s="262">
        <f t="shared" si="8"/>
        <v>45047</v>
      </c>
      <c r="CK11" s="262">
        <f t="shared" si="8"/>
        <v>45078</v>
      </c>
      <c r="CL11" s="262">
        <f t="shared" si="8"/>
        <v>45108</v>
      </c>
      <c r="CM11" s="262">
        <f t="shared" si="8"/>
        <v>45139</v>
      </c>
      <c r="CN11" s="262">
        <f t="shared" si="8"/>
        <v>45170</v>
      </c>
      <c r="CO11" s="262">
        <f t="shared" si="8"/>
        <v>45200</v>
      </c>
      <c r="CP11" s="262">
        <f t="shared" si="8"/>
        <v>45231</v>
      </c>
      <c r="CQ11" s="262">
        <f t="shared" si="8"/>
        <v>45261</v>
      </c>
      <c r="CR11" s="262">
        <f t="shared" si="8"/>
        <v>45292</v>
      </c>
      <c r="CS11" s="262">
        <f t="shared" si="8"/>
        <v>45323</v>
      </c>
      <c r="CT11" s="262">
        <f t="shared" si="8"/>
        <v>45352</v>
      </c>
      <c r="CU11" s="262">
        <f t="shared" si="8"/>
        <v>45383</v>
      </c>
      <c r="CV11" s="262">
        <f t="shared" si="8"/>
        <v>45413</v>
      </c>
      <c r="CW11" s="262">
        <f t="shared" si="8"/>
        <v>45444</v>
      </c>
      <c r="CX11" s="262">
        <f t="shared" si="8"/>
        <v>45474</v>
      </c>
      <c r="CY11" s="262">
        <f t="shared" si="8"/>
        <v>45505</v>
      </c>
      <c r="CZ11" s="262">
        <f t="shared" si="8"/>
        <v>45536</v>
      </c>
      <c r="DA11" s="262">
        <f t="shared" si="8"/>
        <v>45566</v>
      </c>
      <c r="DB11" s="262">
        <f t="shared" si="8"/>
        <v>45597</v>
      </c>
      <c r="DC11" s="262">
        <f t="shared" si="8"/>
        <v>45627</v>
      </c>
      <c r="DD11" s="262">
        <f t="shared" si="8"/>
        <v>45658</v>
      </c>
      <c r="DE11" s="262">
        <f t="shared" si="8"/>
        <v>45689</v>
      </c>
      <c r="DF11" s="262">
        <f t="shared" si="8"/>
        <v>45717</v>
      </c>
      <c r="DG11" s="262">
        <f t="shared" si="8"/>
        <v>45748</v>
      </c>
      <c r="DH11" s="262">
        <f t="shared" si="8"/>
        <v>45778</v>
      </c>
      <c r="DI11" s="262">
        <f t="shared" si="8"/>
        <v>45809</v>
      </c>
      <c r="DJ11" s="262">
        <v>45839</v>
      </c>
      <c r="DK11" s="262">
        <f t="shared" si="8"/>
        <v>45870</v>
      </c>
      <c r="DL11" s="262">
        <f t="shared" si="8"/>
        <v>45901</v>
      </c>
      <c r="DM11" s="262">
        <f t="shared" si="8"/>
        <v>45931</v>
      </c>
      <c r="DN11" s="262">
        <f t="shared" si="8"/>
        <v>45962</v>
      </c>
      <c r="DO11" s="262">
        <f t="shared" si="8"/>
        <v>45992</v>
      </c>
      <c r="DP11" s="262">
        <f t="shared" si="8"/>
        <v>46023</v>
      </c>
      <c r="DQ11" s="262">
        <f t="shared" si="8"/>
        <v>46054</v>
      </c>
      <c r="DR11" s="262">
        <f t="shared" si="8"/>
        <v>46082</v>
      </c>
      <c r="DS11" s="262">
        <f t="shared" si="8"/>
        <v>46113</v>
      </c>
      <c r="DT11" s="262">
        <f t="shared" si="8"/>
        <v>46143</v>
      </c>
      <c r="DU11" s="262">
        <f t="shared" si="8"/>
        <v>46174</v>
      </c>
      <c r="DV11" s="262">
        <f t="shared" si="8"/>
        <v>46204</v>
      </c>
    </row>
    <row r="12" spans="1:126" x14ac:dyDescent="0.25">
      <c r="A12" s="261" t="s">
        <v>542</v>
      </c>
      <c r="B12" s="261" t="s">
        <v>542</v>
      </c>
      <c r="D12" s="117" t="str">
        <f>IF([1]RENAME!$H$3=1,B12,A12)</f>
        <v>SANTANDER</v>
      </c>
      <c r="E12" s="263" t="s">
        <v>160</v>
      </c>
      <c r="F12" s="263" t="s">
        <v>160</v>
      </c>
      <c r="G12" s="263" t="s">
        <v>160</v>
      </c>
      <c r="H12" s="263" t="s">
        <v>160</v>
      </c>
      <c r="I12" s="263" t="s">
        <v>160</v>
      </c>
      <c r="J12" s="263" t="s">
        <v>160</v>
      </c>
      <c r="K12" s="263" t="s">
        <v>160</v>
      </c>
      <c r="L12" s="263" t="s">
        <v>160</v>
      </c>
      <c r="M12" s="263" t="s">
        <v>160</v>
      </c>
      <c r="N12" s="263" t="s">
        <v>160</v>
      </c>
      <c r="O12" s="263" t="s">
        <v>160</v>
      </c>
      <c r="P12" s="263" t="s">
        <v>160</v>
      </c>
      <c r="Q12" s="263" t="s">
        <v>160</v>
      </c>
      <c r="R12" s="263" t="s">
        <v>160</v>
      </c>
      <c r="S12" s="263" t="s">
        <v>160</v>
      </c>
      <c r="T12" s="263" t="s">
        <v>160</v>
      </c>
      <c r="U12" s="263" t="s">
        <v>160</v>
      </c>
      <c r="V12" s="263" t="s">
        <v>160</v>
      </c>
      <c r="W12" s="686" t="s">
        <v>160</v>
      </c>
      <c r="X12" s="686" t="s">
        <v>160</v>
      </c>
      <c r="Y12" s="686" t="s">
        <v>160</v>
      </c>
      <c r="Z12" s="686" t="s">
        <v>160</v>
      </c>
      <c r="AA12" s="686" t="s">
        <v>160</v>
      </c>
      <c r="AB12" s="686" t="s">
        <v>160</v>
      </c>
      <c r="AC12" s="686" t="s">
        <v>160</v>
      </c>
      <c r="AD12" s="686" t="s">
        <v>160</v>
      </c>
      <c r="AE12" s="686" t="s">
        <v>160</v>
      </c>
      <c r="AF12" s="686" t="s">
        <v>160</v>
      </c>
      <c r="AG12" s="686" t="s">
        <v>160</v>
      </c>
      <c r="AH12" s="692" t="s">
        <v>1389</v>
      </c>
      <c r="AI12" s="692" t="s">
        <v>1389</v>
      </c>
      <c r="AJ12" s="692" t="s">
        <v>1389</v>
      </c>
      <c r="AK12" s="692" t="s">
        <v>1389</v>
      </c>
      <c r="AL12" s="692" t="s">
        <v>1389</v>
      </c>
      <c r="AM12" s="692" t="s">
        <v>1389</v>
      </c>
      <c r="AN12" s="692" t="s">
        <v>1389</v>
      </c>
      <c r="AO12" s="692" t="s">
        <v>1389</v>
      </c>
      <c r="AP12" s="692" t="s">
        <v>1389</v>
      </c>
      <c r="AQ12" s="692" t="s">
        <v>1389</v>
      </c>
      <c r="AR12" s="692" t="s">
        <v>1389</v>
      </c>
      <c r="AS12" s="692" t="s">
        <v>1389</v>
      </c>
      <c r="AT12" s="692" t="s">
        <v>1389</v>
      </c>
      <c r="AU12" s="692" t="s">
        <v>1389</v>
      </c>
      <c r="AV12" s="815" t="s">
        <v>1389</v>
      </c>
      <c r="AW12" s="815" t="s">
        <v>1389</v>
      </c>
      <c r="AX12" s="934" t="s">
        <v>1389</v>
      </c>
      <c r="AY12" s="815" t="s">
        <v>1389</v>
      </c>
      <c r="AZ12" s="815" t="s">
        <v>1389</v>
      </c>
      <c r="BA12" s="815" t="s">
        <v>1389</v>
      </c>
      <c r="BB12" s="815" t="s">
        <v>1389</v>
      </c>
      <c r="BC12" s="815" t="s">
        <v>1389</v>
      </c>
      <c r="BD12" s="815" t="s">
        <v>1389</v>
      </c>
      <c r="BE12" s="815" t="s">
        <v>1389</v>
      </c>
      <c r="BF12" s="815" t="s">
        <v>1389</v>
      </c>
      <c r="BG12" s="952" t="s">
        <v>1818</v>
      </c>
      <c r="BH12" s="815" t="s">
        <v>1818</v>
      </c>
      <c r="BI12" s="815" t="s">
        <v>1818</v>
      </c>
      <c r="BJ12" s="815" t="s">
        <v>1818</v>
      </c>
      <c r="BK12" s="815" t="s">
        <v>1818</v>
      </c>
      <c r="BL12" s="815" t="s">
        <v>1818</v>
      </c>
      <c r="BM12" s="815" t="s">
        <v>1818</v>
      </c>
      <c r="BN12" s="815" t="s">
        <v>1818</v>
      </c>
      <c r="BO12" s="815" t="s">
        <v>1818</v>
      </c>
      <c r="BP12" s="815" t="s">
        <v>1818</v>
      </c>
      <c r="BQ12" s="815" t="s">
        <v>1818</v>
      </c>
      <c r="BR12" s="815" t="s">
        <v>1818</v>
      </c>
      <c r="BS12" s="815" t="s">
        <v>1818</v>
      </c>
      <c r="BT12" s="815" t="s">
        <v>1818</v>
      </c>
      <c r="BU12" s="815" t="s">
        <v>1818</v>
      </c>
      <c r="BV12" s="815" t="s">
        <v>1392</v>
      </c>
      <c r="BW12" s="815" t="s">
        <v>1392</v>
      </c>
      <c r="BX12" s="815" t="s">
        <v>1392</v>
      </c>
      <c r="BY12" s="815" t="s">
        <v>1392</v>
      </c>
      <c r="BZ12" s="815" t="s">
        <v>1392</v>
      </c>
      <c r="CA12" s="815" t="s">
        <v>1392</v>
      </c>
      <c r="CB12" s="815" t="s">
        <v>1392</v>
      </c>
      <c r="CC12" s="815" t="s">
        <v>1392</v>
      </c>
      <c r="CD12" s="815" t="s">
        <v>1392</v>
      </c>
      <c r="CE12" s="815" t="s">
        <v>1392</v>
      </c>
      <c r="CF12" s="815" t="s">
        <v>1392</v>
      </c>
      <c r="CG12" s="815" t="s">
        <v>1392</v>
      </c>
      <c r="CH12" s="815" t="s">
        <v>1392</v>
      </c>
      <c r="CI12" s="815" t="s">
        <v>1392</v>
      </c>
      <c r="CJ12" s="815" t="s">
        <v>1392</v>
      </c>
      <c r="CK12" s="815" t="s">
        <v>1392</v>
      </c>
      <c r="CL12" s="815" t="s">
        <v>1392</v>
      </c>
      <c r="CM12" s="815" t="s">
        <v>1392</v>
      </c>
      <c r="CN12" s="815" t="s">
        <v>1392</v>
      </c>
      <c r="CO12" s="815" t="s">
        <v>1392</v>
      </c>
      <c r="CP12" s="815" t="s">
        <v>1392</v>
      </c>
      <c r="CQ12" s="815" t="s">
        <v>1392</v>
      </c>
      <c r="CR12" s="815" t="s">
        <v>1392</v>
      </c>
      <c r="CS12" s="815" t="s">
        <v>1392</v>
      </c>
      <c r="CT12" s="815" t="s">
        <v>1392</v>
      </c>
      <c r="CU12" s="815" t="s">
        <v>1392</v>
      </c>
      <c r="CV12" s="815" t="s">
        <v>1392</v>
      </c>
      <c r="CW12" s="815" t="s">
        <v>1392</v>
      </c>
      <c r="CX12" s="815" t="s">
        <v>1392</v>
      </c>
      <c r="CY12" s="815" t="s">
        <v>1392</v>
      </c>
      <c r="CZ12" s="815" t="s">
        <v>1392</v>
      </c>
      <c r="DA12" s="815" t="s">
        <v>1392</v>
      </c>
      <c r="DB12" s="815" t="s">
        <v>1392</v>
      </c>
      <c r="DC12" s="815" t="s">
        <v>1392</v>
      </c>
      <c r="DD12" s="815" t="s">
        <v>1392</v>
      </c>
      <c r="DE12" s="815" t="s">
        <v>1392</v>
      </c>
      <c r="DF12" s="815" t="s">
        <v>1392</v>
      </c>
      <c r="DG12" s="815" t="s">
        <v>1392</v>
      </c>
      <c r="DH12" s="815" t="s">
        <v>1392</v>
      </c>
      <c r="DI12" s="815" t="s">
        <v>1392</v>
      </c>
      <c r="DJ12" s="815" t="s">
        <v>1392</v>
      </c>
      <c r="DK12" s="815" t="s">
        <v>1392</v>
      </c>
      <c r="DL12" s="815" t="s">
        <v>1392</v>
      </c>
      <c r="DM12" s="815" t="s">
        <v>1392</v>
      </c>
      <c r="DN12" s="815" t="s">
        <v>1392</v>
      </c>
      <c r="DO12" s="815" t="s">
        <v>1392</v>
      </c>
      <c r="DP12" s="815" t="s">
        <v>1392</v>
      </c>
      <c r="DQ12" s="815" t="s">
        <v>1392</v>
      </c>
      <c r="DR12" s="815" t="s">
        <v>1392</v>
      </c>
      <c r="DS12" s="815" t="s">
        <v>1392</v>
      </c>
      <c r="DT12" s="815" t="s">
        <v>1392</v>
      </c>
      <c r="DU12" s="815" t="s">
        <v>1392</v>
      </c>
      <c r="DV12" s="815" t="s">
        <v>1392</v>
      </c>
    </row>
    <row r="13" spans="1:126" x14ac:dyDescent="0.25">
      <c r="A13" s="261" t="s">
        <v>546</v>
      </c>
      <c r="B13" s="261" t="s">
        <v>546</v>
      </c>
      <c r="D13" s="117" t="str">
        <f>IF([1]RENAME!$H$3=1,B13,A13)</f>
        <v>BTG PACTUAL</v>
      </c>
      <c r="E13" s="263" t="s">
        <v>160</v>
      </c>
      <c r="F13" s="263" t="s">
        <v>160</v>
      </c>
      <c r="G13" s="263" t="s">
        <v>160</v>
      </c>
      <c r="H13" s="263" t="s">
        <v>160</v>
      </c>
      <c r="I13" s="263" t="s">
        <v>160</v>
      </c>
      <c r="J13" s="263" t="s">
        <v>160</v>
      </c>
      <c r="K13" s="263" t="s">
        <v>160</v>
      </c>
      <c r="L13" s="263" t="s">
        <v>160</v>
      </c>
      <c r="M13" s="263" t="s">
        <v>160</v>
      </c>
      <c r="N13" s="263" t="s">
        <v>160</v>
      </c>
      <c r="O13" s="263" t="s">
        <v>160</v>
      </c>
      <c r="P13" s="263" t="s">
        <v>160</v>
      </c>
      <c r="Q13" s="263" t="s">
        <v>160</v>
      </c>
      <c r="R13" s="263" t="s">
        <v>160</v>
      </c>
      <c r="S13" s="263" t="s">
        <v>160</v>
      </c>
      <c r="T13" s="263" t="s">
        <v>160</v>
      </c>
      <c r="U13" s="263" t="s">
        <v>160</v>
      </c>
      <c r="V13" s="263" t="s">
        <v>160</v>
      </c>
      <c r="W13" s="263" t="s">
        <v>160</v>
      </c>
      <c r="X13" s="263" t="s">
        <v>160</v>
      </c>
      <c r="Y13" s="263" t="s">
        <v>160</v>
      </c>
      <c r="Z13" s="263" t="s">
        <v>160</v>
      </c>
      <c r="AA13" s="263" t="s">
        <v>160</v>
      </c>
      <c r="AB13" s="686" t="s">
        <v>160</v>
      </c>
      <c r="AC13" s="263" t="s">
        <v>160</v>
      </c>
      <c r="AD13" s="263" t="s">
        <v>160</v>
      </c>
      <c r="AE13" s="263" t="s">
        <v>160</v>
      </c>
      <c r="AF13" s="263" t="s">
        <v>160</v>
      </c>
      <c r="AG13" s="263" t="s">
        <v>160</v>
      </c>
      <c r="AH13" s="692" t="s">
        <v>1389</v>
      </c>
      <c r="AI13" s="692" t="s">
        <v>1389</v>
      </c>
      <c r="AJ13" s="692" t="s">
        <v>1389</v>
      </c>
      <c r="AK13" s="692" t="s">
        <v>1389</v>
      </c>
      <c r="AL13" s="692" t="s">
        <v>1389</v>
      </c>
      <c r="AM13" s="692" t="s">
        <v>1389</v>
      </c>
      <c r="AN13" s="692" t="s">
        <v>1389</v>
      </c>
      <c r="AO13" s="692" t="s">
        <v>1389</v>
      </c>
      <c r="AP13" s="692" t="s">
        <v>1389</v>
      </c>
      <c r="AQ13" s="692" t="s">
        <v>1389</v>
      </c>
      <c r="AR13" s="692" t="s">
        <v>1389</v>
      </c>
      <c r="AS13" s="692" t="s">
        <v>1389</v>
      </c>
      <c r="AT13" s="692" t="s">
        <v>1389</v>
      </c>
      <c r="AU13" s="692" t="s">
        <v>1389</v>
      </c>
      <c r="AV13" s="815" t="s">
        <v>1389</v>
      </c>
      <c r="AW13" s="815" t="s">
        <v>1389</v>
      </c>
      <c r="AX13" s="934" t="s">
        <v>1389</v>
      </c>
      <c r="AY13" s="815" t="s">
        <v>1389</v>
      </c>
      <c r="AZ13" s="815" t="s">
        <v>1389</v>
      </c>
      <c r="BA13" s="815" t="s">
        <v>1389</v>
      </c>
      <c r="BB13" s="815" t="s">
        <v>1389</v>
      </c>
      <c r="BC13" s="815" t="s">
        <v>1389</v>
      </c>
      <c r="BD13" s="815" t="s">
        <v>1389</v>
      </c>
      <c r="BE13" s="815" t="s">
        <v>1389</v>
      </c>
      <c r="BF13" s="815" t="s">
        <v>1389</v>
      </c>
      <c r="BG13" s="815" t="s">
        <v>1389</v>
      </c>
      <c r="BH13" s="815" t="s">
        <v>1389</v>
      </c>
      <c r="BI13" s="815" t="s">
        <v>1389</v>
      </c>
      <c r="BJ13" s="815" t="s">
        <v>1389</v>
      </c>
      <c r="BK13" s="815" t="s">
        <v>1389</v>
      </c>
      <c r="BL13" s="815" t="s">
        <v>1389</v>
      </c>
      <c r="BM13" s="815" t="s">
        <v>1389</v>
      </c>
      <c r="BN13" s="815" t="s">
        <v>1389</v>
      </c>
      <c r="BO13" s="815" t="s">
        <v>1389</v>
      </c>
      <c r="BP13" s="815" t="s">
        <v>1389</v>
      </c>
      <c r="BQ13" s="815" t="s">
        <v>1389</v>
      </c>
      <c r="BR13" s="815" t="s">
        <v>1389</v>
      </c>
      <c r="BS13" s="815" t="s">
        <v>1389</v>
      </c>
      <c r="BT13" s="815" t="s">
        <v>1389</v>
      </c>
      <c r="BU13" s="815" t="s">
        <v>1389</v>
      </c>
      <c r="BV13" s="815" t="s">
        <v>1389</v>
      </c>
      <c r="BW13" s="815" t="s">
        <v>1389</v>
      </c>
      <c r="BX13" s="815" t="s">
        <v>1389</v>
      </c>
      <c r="BY13" s="815" t="s">
        <v>1389</v>
      </c>
      <c r="BZ13" s="815" t="s">
        <v>1389</v>
      </c>
      <c r="CA13" s="815" t="s">
        <v>1389</v>
      </c>
      <c r="CB13" s="815" t="s">
        <v>1389</v>
      </c>
      <c r="CC13" s="815" t="s">
        <v>1389</v>
      </c>
      <c r="CD13" s="815" t="s">
        <v>1389</v>
      </c>
      <c r="CE13" s="815" t="s">
        <v>1389</v>
      </c>
      <c r="CF13" s="815" t="s">
        <v>1389</v>
      </c>
      <c r="CG13" s="815" t="s">
        <v>1389</v>
      </c>
      <c r="CH13" s="815" t="s">
        <v>1389</v>
      </c>
      <c r="CI13" s="815" t="s">
        <v>1389</v>
      </c>
      <c r="CJ13" s="815" t="s">
        <v>1389</v>
      </c>
      <c r="CK13" s="815" t="s">
        <v>1389</v>
      </c>
      <c r="CL13" s="815" t="s">
        <v>1389</v>
      </c>
      <c r="CM13" s="815" t="s">
        <v>1389</v>
      </c>
      <c r="CN13" s="815" t="s">
        <v>1389</v>
      </c>
      <c r="CO13" s="815" t="s">
        <v>1389</v>
      </c>
      <c r="CP13" s="815" t="s">
        <v>1389</v>
      </c>
      <c r="CQ13" s="815" t="s">
        <v>1389</v>
      </c>
      <c r="CR13" s="815" t="s">
        <v>1389</v>
      </c>
      <c r="CS13" s="815" t="s">
        <v>1389</v>
      </c>
      <c r="CT13" s="815" t="s">
        <v>1389</v>
      </c>
      <c r="CU13" s="815" t="s">
        <v>1389</v>
      </c>
      <c r="CV13" s="815" t="s">
        <v>1389</v>
      </c>
      <c r="CW13" s="815" t="s">
        <v>1389</v>
      </c>
      <c r="CX13" s="952" t="s">
        <v>1392</v>
      </c>
      <c r="CY13" s="815" t="s">
        <v>1392</v>
      </c>
      <c r="CZ13" s="815" t="s">
        <v>1392</v>
      </c>
      <c r="DA13" s="815" t="s">
        <v>1392</v>
      </c>
      <c r="DB13" s="815" t="s">
        <v>160</v>
      </c>
      <c r="DC13" s="815" t="s">
        <v>160</v>
      </c>
      <c r="DD13" s="815" t="s">
        <v>160</v>
      </c>
      <c r="DE13" s="815" t="s">
        <v>160</v>
      </c>
      <c r="DF13" s="815" t="s">
        <v>160</v>
      </c>
      <c r="DG13" s="815" t="s">
        <v>160</v>
      </c>
      <c r="DH13" s="815" t="s">
        <v>160</v>
      </c>
      <c r="DI13" s="815" t="s">
        <v>160</v>
      </c>
      <c r="DJ13" s="815" t="s">
        <v>160</v>
      </c>
      <c r="DK13" s="815" t="s">
        <v>160</v>
      </c>
      <c r="DL13" s="815" t="s">
        <v>160</v>
      </c>
      <c r="DM13" s="815" t="s">
        <v>160</v>
      </c>
      <c r="DN13" s="815" t="s">
        <v>160</v>
      </c>
      <c r="DO13" s="815" t="s">
        <v>160</v>
      </c>
      <c r="DP13" s="815" t="s">
        <v>160</v>
      </c>
      <c r="DQ13" s="815" t="s">
        <v>160</v>
      </c>
      <c r="DR13" s="815" t="s">
        <v>160</v>
      </c>
      <c r="DS13" s="815" t="s">
        <v>160</v>
      </c>
      <c r="DT13" s="815" t="s">
        <v>160</v>
      </c>
      <c r="DU13" s="815" t="s">
        <v>160</v>
      </c>
      <c r="DV13" s="815" t="s">
        <v>160</v>
      </c>
    </row>
    <row r="14" spans="1:126" x14ac:dyDescent="0.25">
      <c r="A14" s="261" t="s">
        <v>574</v>
      </c>
      <c r="B14" s="261" t="s">
        <v>574</v>
      </c>
      <c r="D14" s="117" t="str">
        <f>IF([1]RENAME!$H$3=1,B14,A14)</f>
        <v>SAFRA</v>
      </c>
      <c r="E14" s="263" t="s">
        <v>160</v>
      </c>
      <c r="F14" s="263" t="s">
        <v>160</v>
      </c>
      <c r="G14" s="263" t="s">
        <v>160</v>
      </c>
      <c r="H14" s="263" t="s">
        <v>160</v>
      </c>
      <c r="I14" s="263" t="s">
        <v>160</v>
      </c>
      <c r="J14" s="263" t="s">
        <v>160</v>
      </c>
      <c r="K14" s="263" t="s">
        <v>160</v>
      </c>
      <c r="L14" s="263" t="s">
        <v>160</v>
      </c>
      <c r="M14" s="263" t="s">
        <v>160</v>
      </c>
      <c r="N14" s="263" t="s">
        <v>160</v>
      </c>
      <c r="O14" s="263" t="s">
        <v>160</v>
      </c>
      <c r="P14" s="263" t="s">
        <v>160</v>
      </c>
      <c r="Q14" s="263" t="s">
        <v>160</v>
      </c>
      <c r="R14" s="263" t="s">
        <v>160</v>
      </c>
      <c r="S14" s="263" t="s">
        <v>160</v>
      </c>
      <c r="T14" s="263" t="s">
        <v>160</v>
      </c>
      <c r="U14" s="263" t="s">
        <v>160</v>
      </c>
      <c r="V14" s="263" t="s">
        <v>160</v>
      </c>
      <c r="W14" s="263" t="s">
        <v>160</v>
      </c>
      <c r="X14" s="263" t="s">
        <v>160</v>
      </c>
      <c r="Y14" s="686" t="s">
        <v>160</v>
      </c>
      <c r="Z14" s="686" t="s">
        <v>160</v>
      </c>
      <c r="AA14" s="686" t="s">
        <v>160</v>
      </c>
      <c r="AB14" s="686" t="s">
        <v>160</v>
      </c>
      <c r="AC14" s="686" t="s">
        <v>160</v>
      </c>
      <c r="AD14" s="686" t="s">
        <v>160</v>
      </c>
      <c r="AE14" s="686" t="s">
        <v>160</v>
      </c>
      <c r="AF14" s="686" t="s">
        <v>160</v>
      </c>
      <c r="AG14" s="686" t="s">
        <v>160</v>
      </c>
      <c r="AH14" s="692" t="s">
        <v>1392</v>
      </c>
      <c r="AI14" s="692" t="s">
        <v>1392</v>
      </c>
      <c r="AJ14" s="692" t="s">
        <v>1392</v>
      </c>
      <c r="AK14" s="692" t="s">
        <v>1392</v>
      </c>
      <c r="AL14" s="692" t="s">
        <v>1392</v>
      </c>
      <c r="AM14" s="692" t="s">
        <v>1391</v>
      </c>
      <c r="AN14" s="692" t="s">
        <v>1391</v>
      </c>
      <c r="AO14" s="692" t="s">
        <v>1391</v>
      </c>
      <c r="AP14" s="692" t="s">
        <v>160</v>
      </c>
      <c r="AQ14" s="692" t="s">
        <v>160</v>
      </c>
      <c r="AR14" s="692" t="s">
        <v>160</v>
      </c>
      <c r="AS14" s="692" t="s">
        <v>1391</v>
      </c>
      <c r="AT14" s="692" t="s">
        <v>1391</v>
      </c>
      <c r="AU14" s="692" t="s">
        <v>1391</v>
      </c>
      <c r="AV14" s="815" t="s">
        <v>1391</v>
      </c>
      <c r="AW14" s="815" t="s">
        <v>1391</v>
      </c>
      <c r="AX14" s="934" t="s">
        <v>1391</v>
      </c>
      <c r="AY14" s="815" t="s">
        <v>1391</v>
      </c>
      <c r="AZ14" s="815" t="s">
        <v>1391</v>
      </c>
      <c r="BA14" s="815" t="s">
        <v>1391</v>
      </c>
      <c r="BB14" s="815" t="s">
        <v>1391</v>
      </c>
      <c r="BC14" s="815" t="s">
        <v>1391</v>
      </c>
      <c r="BD14" s="815" t="s">
        <v>1391</v>
      </c>
      <c r="BE14" s="815" t="s">
        <v>1391</v>
      </c>
      <c r="BF14" s="815" t="s">
        <v>1391</v>
      </c>
      <c r="BG14" s="815" t="s">
        <v>1391</v>
      </c>
      <c r="BH14" s="815" t="s">
        <v>1391</v>
      </c>
      <c r="BI14" s="815" t="s">
        <v>1391</v>
      </c>
      <c r="BJ14" s="815" t="s">
        <v>1391</v>
      </c>
      <c r="BK14" s="815" t="s">
        <v>1391</v>
      </c>
      <c r="BL14" s="815" t="s">
        <v>1391</v>
      </c>
      <c r="BM14" s="815" t="s">
        <v>1391</v>
      </c>
      <c r="BN14" s="815" t="s">
        <v>1391</v>
      </c>
      <c r="BO14" s="815" t="s">
        <v>1391</v>
      </c>
      <c r="BP14" s="815" t="s">
        <v>1391</v>
      </c>
      <c r="BQ14" s="815" t="s">
        <v>1391</v>
      </c>
      <c r="BR14" s="952" t="s">
        <v>1392</v>
      </c>
      <c r="BS14" s="815" t="s">
        <v>1392</v>
      </c>
      <c r="BT14" s="815" t="s">
        <v>1392</v>
      </c>
      <c r="BU14" s="815" t="s">
        <v>1392</v>
      </c>
      <c r="BV14" s="815" t="s">
        <v>1392</v>
      </c>
      <c r="BW14" s="815" t="s">
        <v>1392</v>
      </c>
      <c r="BX14" s="815" t="s">
        <v>1392</v>
      </c>
      <c r="BY14" s="815" t="s">
        <v>1392</v>
      </c>
      <c r="BZ14" s="815" t="s">
        <v>1392</v>
      </c>
      <c r="CA14" s="946" t="s">
        <v>1391</v>
      </c>
      <c r="CB14" s="815" t="s">
        <v>1391</v>
      </c>
      <c r="CC14" s="815" t="s">
        <v>1391</v>
      </c>
      <c r="CD14" s="815" t="s">
        <v>1391</v>
      </c>
      <c r="CE14" s="815" t="s">
        <v>1391</v>
      </c>
      <c r="CF14" s="815" t="s">
        <v>1391</v>
      </c>
      <c r="CG14" s="815" t="s">
        <v>1391</v>
      </c>
      <c r="CH14" s="815" t="s">
        <v>1391</v>
      </c>
      <c r="CI14" s="815" t="s">
        <v>1391</v>
      </c>
      <c r="CJ14" s="815" t="s">
        <v>1391</v>
      </c>
      <c r="CK14" s="815" t="s">
        <v>1391</v>
      </c>
      <c r="CL14" s="815" t="s">
        <v>160</v>
      </c>
      <c r="CM14" s="815" t="s">
        <v>160</v>
      </c>
      <c r="CN14" s="815" t="s">
        <v>160</v>
      </c>
      <c r="CO14" s="815" t="s">
        <v>160</v>
      </c>
      <c r="CP14" s="815" t="s">
        <v>160</v>
      </c>
      <c r="CQ14" s="815" t="s">
        <v>160</v>
      </c>
      <c r="CR14" s="815" t="s">
        <v>160</v>
      </c>
      <c r="CS14" s="815" t="s">
        <v>160</v>
      </c>
      <c r="CT14" s="815" t="s">
        <v>160</v>
      </c>
      <c r="CU14" s="815" t="s">
        <v>160</v>
      </c>
      <c r="CV14" s="815" t="s">
        <v>160</v>
      </c>
      <c r="CW14" s="815" t="s">
        <v>160</v>
      </c>
      <c r="CX14" s="815" t="s">
        <v>160</v>
      </c>
      <c r="CY14" s="815" t="s">
        <v>160</v>
      </c>
      <c r="CZ14" s="815" t="s">
        <v>160</v>
      </c>
      <c r="DA14" s="815" t="s">
        <v>160</v>
      </c>
      <c r="DB14" s="815" t="s">
        <v>160</v>
      </c>
      <c r="DC14" s="815" t="s">
        <v>160</v>
      </c>
      <c r="DD14" s="815" t="s">
        <v>160</v>
      </c>
      <c r="DE14" s="815" t="s">
        <v>160</v>
      </c>
      <c r="DF14" s="815" t="s">
        <v>160</v>
      </c>
      <c r="DG14" s="815" t="s">
        <v>160</v>
      </c>
      <c r="DH14" s="815" t="s">
        <v>160</v>
      </c>
      <c r="DI14" s="815" t="s">
        <v>160</v>
      </c>
      <c r="DJ14" s="815" t="s">
        <v>160</v>
      </c>
      <c r="DK14" s="815" t="s">
        <v>160</v>
      </c>
      <c r="DL14" s="815" t="s">
        <v>160</v>
      </c>
      <c r="DM14" s="815" t="s">
        <v>160</v>
      </c>
      <c r="DN14" s="815" t="s">
        <v>160</v>
      </c>
      <c r="DO14" s="815" t="s">
        <v>160</v>
      </c>
      <c r="DP14" s="815" t="s">
        <v>160</v>
      </c>
      <c r="DQ14" s="815" t="s">
        <v>160</v>
      </c>
      <c r="DR14" s="815" t="s">
        <v>160</v>
      </c>
      <c r="DS14" s="815" t="s">
        <v>160</v>
      </c>
      <c r="DT14" s="815" t="s">
        <v>160</v>
      </c>
      <c r="DU14" s="815" t="s">
        <v>160</v>
      </c>
      <c r="DV14" s="815" t="s">
        <v>160</v>
      </c>
    </row>
    <row r="15" spans="1:126" x14ac:dyDescent="0.25">
      <c r="A15" s="261" t="s">
        <v>547</v>
      </c>
      <c r="B15" s="261" t="s">
        <v>547</v>
      </c>
      <c r="D15" s="117" t="str">
        <f>IF([1]RENAME!$H$3=1,B15,A15)</f>
        <v>ITAÚ</v>
      </c>
      <c r="E15" s="263" t="s">
        <v>160</v>
      </c>
      <c r="F15" s="263" t="s">
        <v>160</v>
      </c>
      <c r="G15" s="263" t="s">
        <v>160</v>
      </c>
      <c r="H15" s="263" t="s">
        <v>160</v>
      </c>
      <c r="I15" s="263" t="s">
        <v>160</v>
      </c>
      <c r="J15" s="263" t="s">
        <v>160</v>
      </c>
      <c r="K15" s="263" t="s">
        <v>160</v>
      </c>
      <c r="L15" s="263" t="s">
        <v>160</v>
      </c>
      <c r="M15" s="263" t="s">
        <v>160</v>
      </c>
      <c r="N15" s="263" t="s">
        <v>160</v>
      </c>
      <c r="O15" s="263" t="s">
        <v>160</v>
      </c>
      <c r="P15" s="263" t="s">
        <v>160</v>
      </c>
      <c r="Q15" s="263" t="s">
        <v>160</v>
      </c>
      <c r="R15" s="263" t="s">
        <v>160</v>
      </c>
      <c r="S15" s="263" t="s">
        <v>160</v>
      </c>
      <c r="T15" s="263" t="s">
        <v>160</v>
      </c>
      <c r="U15" s="263" t="s">
        <v>160</v>
      </c>
      <c r="V15" s="263" t="s">
        <v>160</v>
      </c>
      <c r="W15" s="263" t="s">
        <v>160</v>
      </c>
      <c r="X15" s="686" t="s">
        <v>160</v>
      </c>
      <c r="Y15" s="686" t="s">
        <v>160</v>
      </c>
      <c r="Z15" s="686" t="s">
        <v>160</v>
      </c>
      <c r="AA15" s="686" t="s">
        <v>160</v>
      </c>
      <c r="AB15" s="686" t="s">
        <v>160</v>
      </c>
      <c r="AC15" s="686" t="s">
        <v>160</v>
      </c>
      <c r="AD15" s="686" t="s">
        <v>160</v>
      </c>
      <c r="AE15" s="686" t="s">
        <v>160</v>
      </c>
      <c r="AF15" s="686" t="s">
        <v>160</v>
      </c>
      <c r="AG15" s="686" t="s">
        <v>160</v>
      </c>
      <c r="AH15" s="692" t="s">
        <v>1391</v>
      </c>
      <c r="AI15" s="692" t="s">
        <v>1391</v>
      </c>
      <c r="AJ15" s="692" t="s">
        <v>1391</v>
      </c>
      <c r="AK15" s="692" t="s">
        <v>1391</v>
      </c>
      <c r="AL15" s="692" t="s">
        <v>1391</v>
      </c>
      <c r="AM15" s="692" t="s">
        <v>1391</v>
      </c>
      <c r="AN15" s="692" t="s">
        <v>1391</v>
      </c>
      <c r="AO15" s="692" t="s">
        <v>1391</v>
      </c>
      <c r="AP15" s="692" t="s">
        <v>1391</v>
      </c>
      <c r="AQ15" s="692" t="s">
        <v>1391</v>
      </c>
      <c r="AR15" s="780" t="s">
        <v>1541</v>
      </c>
      <c r="AS15" s="692" t="s">
        <v>1541</v>
      </c>
      <c r="AT15" s="692" t="s">
        <v>1541</v>
      </c>
      <c r="AU15" s="692" t="s">
        <v>1541</v>
      </c>
      <c r="AV15" s="815" t="s">
        <v>1541</v>
      </c>
      <c r="AW15" s="815" t="s">
        <v>1541</v>
      </c>
      <c r="AX15" s="934" t="s">
        <v>1541</v>
      </c>
      <c r="AY15" s="815" t="s">
        <v>1541</v>
      </c>
      <c r="AZ15" s="815" t="s">
        <v>1541</v>
      </c>
      <c r="BA15" s="815" t="s">
        <v>1541</v>
      </c>
      <c r="BB15" s="815" t="s">
        <v>1541</v>
      </c>
      <c r="BC15" s="815" t="s">
        <v>1541</v>
      </c>
      <c r="BD15" s="815" t="s">
        <v>1541</v>
      </c>
      <c r="BE15" s="815" t="s">
        <v>1541</v>
      </c>
      <c r="BF15" s="815" t="s">
        <v>1541</v>
      </c>
      <c r="BG15" s="815" t="s">
        <v>1541</v>
      </c>
      <c r="BH15" s="815" t="s">
        <v>1541</v>
      </c>
      <c r="BI15" s="815" t="s">
        <v>1541</v>
      </c>
      <c r="BJ15" s="815" t="s">
        <v>1541</v>
      </c>
      <c r="BK15" s="815" t="s">
        <v>1541</v>
      </c>
      <c r="BL15" s="815" t="s">
        <v>1541</v>
      </c>
      <c r="BM15" s="815" t="s">
        <v>1541</v>
      </c>
      <c r="BN15" s="815" t="s">
        <v>1541</v>
      </c>
      <c r="BO15" s="815" t="s">
        <v>1541</v>
      </c>
      <c r="BP15" s="815" t="s">
        <v>1541</v>
      </c>
      <c r="BQ15" s="815" t="s">
        <v>1541</v>
      </c>
      <c r="BR15" s="815" t="s">
        <v>1541</v>
      </c>
      <c r="BS15" s="815" t="s">
        <v>1541</v>
      </c>
      <c r="BT15" s="815" t="s">
        <v>1541</v>
      </c>
      <c r="BU15" s="815" t="s">
        <v>1541</v>
      </c>
      <c r="BV15" s="815" t="s">
        <v>1541</v>
      </c>
      <c r="BW15" s="815" t="s">
        <v>1541</v>
      </c>
      <c r="BX15" s="815" t="s">
        <v>1541</v>
      </c>
      <c r="BY15" s="815" t="s">
        <v>1541</v>
      </c>
      <c r="BZ15" s="815" t="s">
        <v>1541</v>
      </c>
      <c r="CA15" s="815" t="s">
        <v>1391</v>
      </c>
      <c r="CB15" s="815" t="s">
        <v>1391</v>
      </c>
      <c r="CC15" s="815" t="s">
        <v>1391</v>
      </c>
      <c r="CD15" s="815" t="s">
        <v>1391</v>
      </c>
      <c r="CE15" s="815" t="s">
        <v>1391</v>
      </c>
      <c r="CF15" s="815" t="s">
        <v>1391</v>
      </c>
      <c r="CG15" s="952" t="s">
        <v>1392</v>
      </c>
      <c r="CH15" s="815" t="s">
        <v>1392</v>
      </c>
      <c r="CI15" s="815" t="s">
        <v>1392</v>
      </c>
      <c r="CJ15" s="815" t="s">
        <v>1392</v>
      </c>
      <c r="CK15" s="815" t="s">
        <v>1392</v>
      </c>
      <c r="CL15" s="815" t="s">
        <v>1392</v>
      </c>
      <c r="CM15" s="815" t="s">
        <v>1392</v>
      </c>
      <c r="CN15" s="815" t="s">
        <v>1392</v>
      </c>
      <c r="CO15" s="815" t="s">
        <v>1392</v>
      </c>
      <c r="CP15" s="815" t="s">
        <v>1392</v>
      </c>
      <c r="CQ15" s="946" t="s">
        <v>1391</v>
      </c>
      <c r="CR15" s="815" t="s">
        <v>1391</v>
      </c>
      <c r="CS15" s="815" t="s">
        <v>1391</v>
      </c>
      <c r="CT15" s="815" t="s">
        <v>1391</v>
      </c>
      <c r="CU15" s="815" t="s">
        <v>1391</v>
      </c>
      <c r="CV15" s="815" t="s">
        <v>1391</v>
      </c>
      <c r="CW15" s="815" t="s">
        <v>1391</v>
      </c>
      <c r="CX15" s="815" t="s">
        <v>1391</v>
      </c>
      <c r="CY15" s="815" t="s">
        <v>1391</v>
      </c>
      <c r="CZ15" s="815" t="s">
        <v>1391</v>
      </c>
      <c r="DA15" s="815" t="s">
        <v>1391</v>
      </c>
      <c r="DB15" s="815" t="s">
        <v>1391</v>
      </c>
      <c r="DC15" s="815" t="s">
        <v>1391</v>
      </c>
      <c r="DD15" s="815" t="s">
        <v>1391</v>
      </c>
      <c r="DE15" s="815" t="s">
        <v>1391</v>
      </c>
      <c r="DF15" s="815" t="s">
        <v>1391</v>
      </c>
      <c r="DG15" s="815" t="s">
        <v>1391</v>
      </c>
      <c r="DH15" s="815" t="s">
        <v>1391</v>
      </c>
      <c r="DI15" s="815" t="s">
        <v>1391</v>
      </c>
      <c r="DJ15" s="815" t="s">
        <v>1391</v>
      </c>
      <c r="DK15" s="815" t="s">
        <v>1391</v>
      </c>
      <c r="DL15" s="815" t="s">
        <v>1391</v>
      </c>
      <c r="DM15" s="815" t="s">
        <v>1391</v>
      </c>
      <c r="DN15" s="815" t="s">
        <v>1391</v>
      </c>
      <c r="DO15" s="815" t="s">
        <v>1391</v>
      </c>
      <c r="DP15" s="815" t="s">
        <v>1391</v>
      </c>
      <c r="DQ15" s="815" t="s">
        <v>1391</v>
      </c>
      <c r="DR15" s="815" t="s">
        <v>1391</v>
      </c>
      <c r="DS15" s="815" t="s">
        <v>1391</v>
      </c>
      <c r="DT15" s="815" t="s">
        <v>1391</v>
      </c>
      <c r="DU15" s="815" t="s">
        <v>1391</v>
      </c>
      <c r="DV15" s="815" t="s">
        <v>1391</v>
      </c>
    </row>
    <row r="16" spans="1:126" x14ac:dyDescent="0.25">
      <c r="A16" s="261" t="s">
        <v>1985</v>
      </c>
      <c r="B16" s="261" t="s">
        <v>1985</v>
      </c>
      <c r="D16" s="117" t="str">
        <f>IF([1]RENAME!$H$3=1,B16,A16)</f>
        <v>ELEVEN RESEACH</v>
      </c>
      <c r="E16" s="263" t="s">
        <v>160</v>
      </c>
      <c r="F16" s="263" t="s">
        <v>160</v>
      </c>
      <c r="G16" s="263" t="s">
        <v>160</v>
      </c>
      <c r="H16" s="263" t="s">
        <v>160</v>
      </c>
      <c r="I16" s="263" t="s">
        <v>160</v>
      </c>
      <c r="J16" s="263" t="s">
        <v>160</v>
      </c>
      <c r="K16" s="263" t="s">
        <v>160</v>
      </c>
      <c r="L16" s="263" t="s">
        <v>160</v>
      </c>
      <c r="M16" s="263" t="s">
        <v>160</v>
      </c>
      <c r="N16" s="263" t="s">
        <v>160</v>
      </c>
      <c r="O16" s="263" t="s">
        <v>160</v>
      </c>
      <c r="P16" s="263" t="s">
        <v>160</v>
      </c>
      <c r="Q16" s="263" t="s">
        <v>160</v>
      </c>
      <c r="R16" s="263" t="s">
        <v>160</v>
      </c>
      <c r="S16" s="263" t="s">
        <v>160</v>
      </c>
      <c r="T16" s="263" t="s">
        <v>160</v>
      </c>
      <c r="U16" s="263" t="s">
        <v>160</v>
      </c>
      <c r="V16" s="263" t="s">
        <v>160</v>
      </c>
      <c r="W16" s="263" t="s">
        <v>160</v>
      </c>
      <c r="X16" s="686" t="s">
        <v>160</v>
      </c>
      <c r="Y16" s="686" t="s">
        <v>160</v>
      </c>
      <c r="Z16" s="686" t="s">
        <v>160</v>
      </c>
      <c r="AA16" s="686" t="s">
        <v>160</v>
      </c>
      <c r="AB16" s="686" t="s">
        <v>160</v>
      </c>
      <c r="AC16" s="686" t="s">
        <v>160</v>
      </c>
      <c r="AD16" s="686" t="s">
        <v>160</v>
      </c>
      <c r="AE16" s="686" t="s">
        <v>160</v>
      </c>
      <c r="AF16" s="686" t="s">
        <v>160</v>
      </c>
      <c r="AG16" s="686" t="s">
        <v>160</v>
      </c>
      <c r="AH16" s="692" t="s">
        <v>1389</v>
      </c>
      <c r="AI16" s="692" t="s">
        <v>1389</v>
      </c>
      <c r="AJ16" s="692" t="s">
        <v>1389</v>
      </c>
      <c r="AK16" s="692" t="s">
        <v>1389</v>
      </c>
      <c r="AL16" s="692" t="s">
        <v>1389</v>
      </c>
      <c r="AM16" s="692" t="s">
        <v>1389</v>
      </c>
      <c r="AN16" s="692" t="s">
        <v>1389</v>
      </c>
      <c r="AO16" s="692" t="s">
        <v>1389</v>
      </c>
      <c r="AP16" s="692" t="s">
        <v>1389</v>
      </c>
      <c r="AQ16" s="692" t="s">
        <v>1389</v>
      </c>
      <c r="AR16" s="692" t="s">
        <v>1389</v>
      </c>
      <c r="AS16" s="692" t="s">
        <v>1389</v>
      </c>
      <c r="AT16" s="692" t="s">
        <v>1389</v>
      </c>
      <c r="AU16" s="692" t="s">
        <v>1389</v>
      </c>
      <c r="AV16" s="815" t="s">
        <v>1389</v>
      </c>
      <c r="AW16" s="815" t="s">
        <v>1389</v>
      </c>
      <c r="AX16" s="934" t="s">
        <v>1389</v>
      </c>
      <c r="AY16" s="815" t="s">
        <v>1389</v>
      </c>
      <c r="AZ16" s="815" t="s">
        <v>1389</v>
      </c>
      <c r="BA16" s="815" t="s">
        <v>1391</v>
      </c>
      <c r="BB16" s="815" t="s">
        <v>1391</v>
      </c>
      <c r="BC16" s="815" t="s">
        <v>1391</v>
      </c>
      <c r="BD16" s="815" t="s">
        <v>1391</v>
      </c>
      <c r="BE16" s="815" t="s">
        <v>1391</v>
      </c>
      <c r="BF16" s="946" t="s">
        <v>1389</v>
      </c>
      <c r="BG16" s="815" t="s">
        <v>1389</v>
      </c>
      <c r="BH16" s="815" t="s">
        <v>1389</v>
      </c>
      <c r="BI16" s="815" t="s">
        <v>1389</v>
      </c>
      <c r="BJ16" s="815" t="s">
        <v>1389</v>
      </c>
      <c r="BK16" s="815" t="s">
        <v>1389</v>
      </c>
      <c r="BL16" s="815" t="s">
        <v>1389</v>
      </c>
      <c r="BM16" s="815" t="s">
        <v>1389</v>
      </c>
      <c r="BN16" s="815" t="s">
        <v>1389</v>
      </c>
      <c r="BO16" s="815" t="s">
        <v>1389</v>
      </c>
      <c r="BP16" s="815" t="s">
        <v>1389</v>
      </c>
      <c r="BQ16" s="815" t="s">
        <v>1389</v>
      </c>
      <c r="BR16" s="815" t="s">
        <v>1389</v>
      </c>
      <c r="BS16" s="815" t="s">
        <v>1389</v>
      </c>
      <c r="BT16" s="815" t="s">
        <v>1389</v>
      </c>
      <c r="BU16" s="815" t="s">
        <v>1389</v>
      </c>
      <c r="BV16" s="952" t="s">
        <v>1392</v>
      </c>
      <c r="BW16" s="815" t="s">
        <v>1392</v>
      </c>
      <c r="BX16" s="815" t="s">
        <v>1392</v>
      </c>
      <c r="BY16" s="815" t="s">
        <v>1392</v>
      </c>
      <c r="BZ16" s="815" t="s">
        <v>1392</v>
      </c>
      <c r="CA16" s="815" t="s">
        <v>1392</v>
      </c>
      <c r="CB16" s="815" t="s">
        <v>1392</v>
      </c>
      <c r="CC16" s="815" t="s">
        <v>1392</v>
      </c>
      <c r="CD16" s="815" t="s">
        <v>1541</v>
      </c>
      <c r="CE16" s="815" t="s">
        <v>1541</v>
      </c>
      <c r="CF16" s="815" t="s">
        <v>1541</v>
      </c>
      <c r="CG16" s="815" t="s">
        <v>1541</v>
      </c>
      <c r="CH16" s="815" t="s">
        <v>1541</v>
      </c>
      <c r="CI16" s="815" t="s">
        <v>1541</v>
      </c>
      <c r="CJ16" s="815" t="s">
        <v>1541</v>
      </c>
      <c r="CK16" s="815" t="s">
        <v>160</v>
      </c>
      <c r="CL16" s="815" t="s">
        <v>160</v>
      </c>
      <c r="CM16" s="815" t="s">
        <v>160</v>
      </c>
      <c r="CN16" s="815" t="s">
        <v>160</v>
      </c>
      <c r="CO16" s="815" t="s">
        <v>160</v>
      </c>
      <c r="CP16" s="815" t="s">
        <v>160</v>
      </c>
      <c r="CQ16" s="815" t="s">
        <v>160</v>
      </c>
      <c r="CR16" s="815" t="s">
        <v>160</v>
      </c>
      <c r="CS16" s="815" t="s">
        <v>160</v>
      </c>
      <c r="CT16" s="815" t="s">
        <v>160</v>
      </c>
      <c r="CU16" s="815" t="s">
        <v>160</v>
      </c>
      <c r="CV16" s="815" t="s">
        <v>160</v>
      </c>
      <c r="CW16" s="815" t="s">
        <v>160</v>
      </c>
      <c r="CX16" s="815" t="s">
        <v>160</v>
      </c>
      <c r="CY16" s="815" t="s">
        <v>160</v>
      </c>
      <c r="CZ16" s="815" t="s">
        <v>160</v>
      </c>
      <c r="DA16" s="815" t="s">
        <v>160</v>
      </c>
      <c r="DB16" s="815" t="s">
        <v>160</v>
      </c>
      <c r="DC16" s="815" t="s">
        <v>160</v>
      </c>
      <c r="DD16" s="815" t="s">
        <v>160</v>
      </c>
      <c r="DE16" s="815" t="s">
        <v>160</v>
      </c>
      <c r="DF16" s="815" t="s">
        <v>160</v>
      </c>
      <c r="DG16" s="815" t="s">
        <v>160</v>
      </c>
      <c r="DH16" s="815" t="s">
        <v>160</v>
      </c>
      <c r="DI16" s="815" t="s">
        <v>160</v>
      </c>
      <c r="DJ16" s="815" t="s">
        <v>160</v>
      </c>
      <c r="DK16" s="815" t="s">
        <v>160</v>
      </c>
      <c r="DL16" s="815" t="s">
        <v>160</v>
      </c>
      <c r="DM16" s="815" t="s">
        <v>160</v>
      </c>
      <c r="DN16" s="815" t="s">
        <v>160</v>
      </c>
      <c r="DO16" s="815" t="s">
        <v>160</v>
      </c>
      <c r="DP16" s="815" t="s">
        <v>160</v>
      </c>
      <c r="DQ16" s="815" t="s">
        <v>160</v>
      </c>
      <c r="DR16" s="815" t="s">
        <v>160</v>
      </c>
      <c r="DS16" s="815" t="s">
        <v>160</v>
      </c>
      <c r="DT16" s="815" t="s">
        <v>160</v>
      </c>
      <c r="DU16" s="815" t="s">
        <v>160</v>
      </c>
      <c r="DV16" s="815" t="s">
        <v>160</v>
      </c>
    </row>
    <row r="17" spans="1:126" x14ac:dyDescent="0.25">
      <c r="A17"/>
      <c r="B17"/>
      <c r="C17" s="1012"/>
      <c r="D17" s="1010"/>
      <c r="E17" s="1011"/>
      <c r="F17" s="1011"/>
      <c r="G17" s="1011"/>
      <c r="H17" s="1011"/>
      <c r="I17" s="1011"/>
      <c r="J17" s="1011"/>
      <c r="K17" s="1011"/>
      <c r="L17" s="1011"/>
      <c r="M17" s="1011"/>
      <c r="N17" s="1012"/>
      <c r="O17" s="1012"/>
      <c r="P17" s="1012"/>
      <c r="Q17" s="1012"/>
      <c r="R17" s="1012"/>
      <c r="S17" s="1012"/>
      <c r="T17" s="1012"/>
      <c r="U17" s="1012"/>
      <c r="V17" s="1012"/>
      <c r="W17" s="1012"/>
      <c r="X17" s="1013"/>
      <c r="Y17" s="1013"/>
      <c r="Z17" s="1013"/>
      <c r="AA17" s="1013"/>
      <c r="AB17" s="1013"/>
      <c r="AC17" s="1013"/>
      <c r="AD17" s="1013"/>
      <c r="AE17" s="1013"/>
      <c r="AF17" s="1013"/>
      <c r="AG17" s="1013"/>
      <c r="AH17" s="1013"/>
      <c r="AI17" s="1013"/>
      <c r="AJ17" s="1013"/>
      <c r="AK17" s="1013"/>
      <c r="AL17" s="1013"/>
      <c r="AM17" s="1013"/>
      <c r="AN17" s="1013"/>
      <c r="AO17" s="1013"/>
      <c r="AP17" s="1013"/>
      <c r="AQ17" s="1013"/>
      <c r="AR17" s="1013"/>
      <c r="AS17" s="1013"/>
      <c r="AT17" s="1013"/>
      <c r="AU17" s="1013"/>
      <c r="AV17" s="1012"/>
      <c r="AW17" s="1012"/>
      <c r="AX17" s="1014"/>
      <c r="AY17" s="1015"/>
      <c r="AZ17" s="1015"/>
      <c r="BA17" s="1015"/>
      <c r="BB17" s="1012"/>
      <c r="BC17" s="1012"/>
      <c r="BD17" s="1012"/>
      <c r="BE17" s="1012"/>
      <c r="BF17" s="1012"/>
      <c r="BG17" s="1012"/>
      <c r="BH17" s="1012"/>
      <c r="BI17" s="1012"/>
      <c r="BJ17" s="1012"/>
      <c r="BK17" s="1012"/>
      <c r="BL17" s="1012"/>
      <c r="BM17" s="1012"/>
      <c r="BN17" s="1012"/>
      <c r="BO17" s="1012"/>
      <c r="BP17" s="1012"/>
      <c r="BQ17" s="1012"/>
      <c r="BR17" s="1012"/>
      <c r="BS17" s="1012"/>
      <c r="BT17" s="1012"/>
      <c r="BU17" s="1012"/>
      <c r="BV17" s="1012"/>
      <c r="BW17" s="1012"/>
      <c r="BX17" s="1012"/>
      <c r="BY17" s="1012"/>
      <c r="BZ17" s="1012"/>
      <c r="CA17" s="1012"/>
      <c r="CB17" s="1012"/>
      <c r="CC17" s="1012"/>
      <c r="CD17" s="1012"/>
      <c r="CE17" s="1012"/>
      <c r="CF17" s="1012"/>
      <c r="CG17" s="1012"/>
      <c r="CH17" s="1012"/>
      <c r="CI17" s="1012"/>
      <c r="CJ17" s="1012"/>
      <c r="CK17" s="1012"/>
      <c r="CL17" s="1012"/>
      <c r="CM17" s="1012"/>
      <c r="CN17" s="1012"/>
      <c r="CO17" s="1012"/>
      <c r="CP17" s="1012"/>
      <c r="CQ17" s="1012"/>
      <c r="CR17" s="1012"/>
      <c r="CS17" s="1012"/>
      <c r="CT17" s="1012"/>
      <c r="CU17" s="1012"/>
      <c r="CV17" s="1012"/>
      <c r="CW17" s="1012"/>
      <c r="CX17" s="1012"/>
      <c r="CY17" s="1012"/>
      <c r="CZ17" s="1012"/>
      <c r="DA17" s="1012"/>
      <c r="DB17" s="1012"/>
      <c r="DC17" s="1012"/>
      <c r="DD17" s="1012"/>
      <c r="DE17" s="1012"/>
      <c r="DF17" s="1012"/>
      <c r="DG17" s="1012"/>
      <c r="DH17" s="1012"/>
      <c r="DI17" s="1012"/>
      <c r="DJ17" s="1012"/>
      <c r="DK17" s="1012"/>
      <c r="DL17" s="1012"/>
      <c r="DM17" s="1012"/>
      <c r="DN17" s="1012"/>
      <c r="DO17" s="1012"/>
    </row>
    <row r="18" spans="1:126" x14ac:dyDescent="0.25">
      <c r="A18"/>
      <c r="B18"/>
      <c r="C18" s="1012"/>
      <c r="D18" s="1010"/>
      <c r="E18" s="1011"/>
      <c r="F18" s="1011"/>
      <c r="G18" s="1011"/>
      <c r="H18" s="1011"/>
      <c r="I18" s="1011"/>
      <c r="J18" s="1011"/>
      <c r="K18" s="1011"/>
      <c r="L18" s="1011"/>
      <c r="M18" s="1011"/>
      <c r="N18" s="1012"/>
      <c r="O18" s="1012"/>
      <c r="P18" s="1012"/>
      <c r="Q18" s="1012"/>
      <c r="R18" s="1012"/>
      <c r="S18" s="1012"/>
      <c r="T18" s="1012"/>
      <c r="U18" s="1012"/>
      <c r="V18" s="1012"/>
      <c r="W18" s="1012"/>
      <c r="X18" s="1013"/>
      <c r="Y18" s="1013"/>
      <c r="Z18" s="1013"/>
      <c r="AA18" s="1013"/>
      <c r="AB18" s="1013"/>
      <c r="AC18" s="1013"/>
      <c r="AD18" s="1013"/>
      <c r="AE18" s="1013"/>
      <c r="AF18" s="1013"/>
      <c r="AG18" s="1013"/>
      <c r="AH18" s="1013"/>
      <c r="AI18" s="1013"/>
      <c r="AJ18" s="1013"/>
      <c r="AK18" s="1013"/>
      <c r="AL18" s="1013"/>
      <c r="AM18" s="1013"/>
      <c r="AN18" s="1013"/>
      <c r="AO18" s="1013"/>
      <c r="AP18" s="1013"/>
      <c r="AQ18" s="1013"/>
      <c r="AR18" s="1013"/>
      <c r="AS18" s="1013"/>
      <c r="AT18" s="1013"/>
      <c r="AU18" s="1013"/>
      <c r="AV18" s="1012"/>
      <c r="AW18" s="1012"/>
      <c r="AX18" s="1014"/>
      <c r="AY18" s="1015"/>
      <c r="AZ18" s="1015"/>
      <c r="BA18" s="1015"/>
      <c r="BB18" s="1012"/>
      <c r="BC18" s="1012"/>
      <c r="BD18" s="1012"/>
      <c r="BE18" s="1012"/>
      <c r="BF18" s="1012"/>
      <c r="BG18" s="1012"/>
      <c r="BH18" s="1012"/>
      <c r="BI18" s="1012"/>
      <c r="BJ18" s="1012"/>
      <c r="BK18" s="1012"/>
      <c r="BL18" s="1012"/>
      <c r="BM18" s="1012"/>
      <c r="BN18" s="1012"/>
      <c r="BO18" s="1012"/>
      <c r="BP18" s="1012"/>
      <c r="BQ18" s="1012"/>
      <c r="BR18" s="1012"/>
      <c r="BS18" s="1012"/>
      <c r="BT18" s="1012"/>
      <c r="BU18" s="1012"/>
      <c r="BV18" s="1012"/>
      <c r="BW18" s="1012"/>
      <c r="BX18" s="1012"/>
      <c r="BY18" s="1012"/>
      <c r="BZ18" s="1012"/>
      <c r="CA18" s="1012"/>
      <c r="CB18" s="1012"/>
      <c r="CC18" s="1012"/>
      <c r="CD18" s="1012"/>
      <c r="CE18" s="1012"/>
      <c r="CF18" s="1012"/>
      <c r="CG18" s="1012"/>
      <c r="CH18" s="1012"/>
      <c r="CI18" s="1012"/>
      <c r="CJ18" s="1012"/>
      <c r="CK18" s="1012"/>
      <c r="CL18" s="1012"/>
      <c r="CM18" s="1012"/>
      <c r="CN18" s="1012"/>
      <c r="CO18" s="1012"/>
      <c r="CP18" s="1012"/>
      <c r="CQ18" s="1012"/>
      <c r="CR18" s="1012"/>
      <c r="CS18" s="1012"/>
      <c r="CT18" s="1012"/>
      <c r="CU18" s="1012"/>
      <c r="CV18" s="1012"/>
      <c r="CW18" s="1012"/>
      <c r="CX18" s="1012"/>
      <c r="CY18" s="1012"/>
      <c r="CZ18" s="1012"/>
      <c r="DA18" s="1012"/>
      <c r="DB18" s="1012"/>
      <c r="DC18" s="1012"/>
      <c r="DD18" s="1012"/>
      <c r="DE18" s="1012"/>
      <c r="DF18" s="1012"/>
      <c r="DG18" s="1012"/>
      <c r="DH18" s="1012"/>
      <c r="DI18" s="1012"/>
      <c r="DJ18" s="1012"/>
      <c r="DK18" s="1012"/>
      <c r="DL18" s="1012"/>
      <c r="DM18" s="1012"/>
      <c r="DN18" s="1012"/>
      <c r="DO18" s="1012"/>
      <c r="DP18" s="1012"/>
      <c r="DQ18" s="1012"/>
      <c r="DR18" s="1012"/>
      <c r="DS18" s="1012"/>
      <c r="DT18" s="1012"/>
      <c r="DU18" s="1012"/>
      <c r="DV18" s="1012"/>
    </row>
    <row r="19" spans="1:126" x14ac:dyDescent="0.25">
      <c r="A19" s="261" t="s">
        <v>2222</v>
      </c>
      <c r="B19" s="261" t="s">
        <v>2223</v>
      </c>
      <c r="D19" s="113" t="str">
        <f>IF([1]RENAME!$H$3=1,B19,A19)</f>
        <v>Receita líquida 2026</v>
      </c>
      <c r="E19" s="262">
        <f t="shared" ref="E19:BP19" si="9">E$11</f>
        <v>42522</v>
      </c>
      <c r="F19" s="262">
        <f t="shared" si="9"/>
        <v>42552</v>
      </c>
      <c r="G19" s="262">
        <f t="shared" si="9"/>
        <v>42583</v>
      </c>
      <c r="H19" s="262">
        <f t="shared" si="9"/>
        <v>42614</v>
      </c>
      <c r="I19" s="262">
        <f t="shared" si="9"/>
        <v>42644</v>
      </c>
      <c r="J19" s="262">
        <f t="shared" si="9"/>
        <v>42675</v>
      </c>
      <c r="K19" s="262">
        <f t="shared" si="9"/>
        <v>42705</v>
      </c>
      <c r="L19" s="262">
        <f t="shared" si="9"/>
        <v>42736</v>
      </c>
      <c r="M19" s="262">
        <f t="shared" si="9"/>
        <v>42767</v>
      </c>
      <c r="N19" s="262">
        <f t="shared" si="9"/>
        <v>42795</v>
      </c>
      <c r="O19" s="262">
        <f t="shared" si="9"/>
        <v>42826</v>
      </c>
      <c r="P19" s="262">
        <f t="shared" si="9"/>
        <v>42856</v>
      </c>
      <c r="Q19" s="262">
        <f t="shared" si="9"/>
        <v>42887</v>
      </c>
      <c r="R19" s="262">
        <f t="shared" si="9"/>
        <v>42917</v>
      </c>
      <c r="S19" s="262">
        <f t="shared" si="9"/>
        <v>42948</v>
      </c>
      <c r="T19" s="262">
        <f t="shared" si="9"/>
        <v>42979</v>
      </c>
      <c r="U19" s="262">
        <f t="shared" si="9"/>
        <v>43009</v>
      </c>
      <c r="V19" s="262">
        <f t="shared" si="9"/>
        <v>43040</v>
      </c>
      <c r="W19" s="262">
        <f t="shared" si="9"/>
        <v>43070</v>
      </c>
      <c r="X19" s="262">
        <f t="shared" si="9"/>
        <v>43101</v>
      </c>
      <c r="Y19" s="262">
        <f t="shared" si="9"/>
        <v>43132</v>
      </c>
      <c r="Z19" s="262">
        <f t="shared" si="9"/>
        <v>43160</v>
      </c>
      <c r="AA19" s="262">
        <f t="shared" si="9"/>
        <v>43191</v>
      </c>
      <c r="AB19" s="262">
        <f t="shared" si="9"/>
        <v>43221</v>
      </c>
      <c r="AC19" s="262">
        <f t="shared" si="9"/>
        <v>43252</v>
      </c>
      <c r="AD19" s="262">
        <f t="shared" si="9"/>
        <v>43283</v>
      </c>
      <c r="AE19" s="262">
        <f t="shared" si="9"/>
        <v>43314</v>
      </c>
      <c r="AF19" s="262">
        <f t="shared" si="9"/>
        <v>43345</v>
      </c>
      <c r="AG19" s="262">
        <f t="shared" si="9"/>
        <v>43376</v>
      </c>
      <c r="AH19" s="262">
        <f t="shared" si="9"/>
        <v>43407</v>
      </c>
      <c r="AI19" s="262">
        <f t="shared" si="9"/>
        <v>43437</v>
      </c>
      <c r="AJ19" s="262">
        <f t="shared" si="9"/>
        <v>43468</v>
      </c>
      <c r="AK19" s="262">
        <f t="shared" si="9"/>
        <v>43499</v>
      </c>
      <c r="AL19" s="262">
        <f t="shared" si="9"/>
        <v>43527</v>
      </c>
      <c r="AM19" s="262">
        <f t="shared" si="9"/>
        <v>43558</v>
      </c>
      <c r="AN19" s="262">
        <f t="shared" si="9"/>
        <v>43587</v>
      </c>
      <c r="AO19" s="262">
        <f t="shared" si="9"/>
        <v>43618</v>
      </c>
      <c r="AP19" s="262">
        <f t="shared" si="9"/>
        <v>43647</v>
      </c>
      <c r="AQ19" s="262">
        <f t="shared" si="9"/>
        <v>43678</v>
      </c>
      <c r="AR19" s="262">
        <f t="shared" si="9"/>
        <v>43709</v>
      </c>
      <c r="AS19" s="262">
        <f t="shared" si="9"/>
        <v>43739</v>
      </c>
      <c r="AT19" s="262">
        <f t="shared" si="9"/>
        <v>43770</v>
      </c>
      <c r="AU19" s="262">
        <f t="shared" si="9"/>
        <v>43800</v>
      </c>
      <c r="AV19" s="262">
        <f t="shared" si="9"/>
        <v>43831</v>
      </c>
      <c r="AW19" s="262">
        <f t="shared" si="9"/>
        <v>43862</v>
      </c>
      <c r="AX19" s="933">
        <f t="shared" si="9"/>
        <v>43891</v>
      </c>
      <c r="AY19" s="262">
        <f t="shared" si="9"/>
        <v>43922</v>
      </c>
      <c r="AZ19" s="262">
        <f t="shared" si="9"/>
        <v>43952</v>
      </c>
      <c r="BA19" s="262">
        <f t="shared" si="9"/>
        <v>43983</v>
      </c>
      <c r="BB19" s="262">
        <f t="shared" si="9"/>
        <v>44013</v>
      </c>
      <c r="BC19" s="262">
        <f t="shared" si="9"/>
        <v>44044</v>
      </c>
      <c r="BD19" s="262">
        <f t="shared" si="9"/>
        <v>44075</v>
      </c>
      <c r="BE19" s="262">
        <f t="shared" si="9"/>
        <v>44105</v>
      </c>
      <c r="BF19" s="262">
        <f t="shared" si="9"/>
        <v>44136</v>
      </c>
      <c r="BG19" s="262">
        <f t="shared" si="9"/>
        <v>44166</v>
      </c>
      <c r="BH19" s="262">
        <f t="shared" si="9"/>
        <v>44197</v>
      </c>
      <c r="BI19" s="262">
        <f t="shared" si="9"/>
        <v>44228</v>
      </c>
      <c r="BJ19" s="262">
        <f t="shared" si="9"/>
        <v>44256</v>
      </c>
      <c r="BK19" s="262">
        <f t="shared" si="9"/>
        <v>44287</v>
      </c>
      <c r="BL19" s="262">
        <f t="shared" si="9"/>
        <v>44317</v>
      </c>
      <c r="BM19" s="262">
        <f t="shared" si="9"/>
        <v>44348</v>
      </c>
      <c r="BN19" s="262">
        <f t="shared" si="9"/>
        <v>44378</v>
      </c>
      <c r="BO19" s="262">
        <f t="shared" si="9"/>
        <v>44409</v>
      </c>
      <c r="BP19" s="262">
        <f t="shared" si="9"/>
        <v>44440</v>
      </c>
      <c r="BQ19" s="262">
        <f t="shared" ref="BQ19:DV19" si="10">BQ$11</f>
        <v>44470</v>
      </c>
      <c r="BR19" s="262">
        <f t="shared" si="10"/>
        <v>44501</v>
      </c>
      <c r="BS19" s="262">
        <f t="shared" si="10"/>
        <v>44531</v>
      </c>
      <c r="BT19" s="262">
        <f t="shared" si="10"/>
        <v>44562</v>
      </c>
      <c r="BU19" s="262">
        <f t="shared" si="10"/>
        <v>44593</v>
      </c>
      <c r="BV19" s="262">
        <f t="shared" si="10"/>
        <v>44622</v>
      </c>
      <c r="BW19" s="262">
        <f t="shared" si="10"/>
        <v>44654</v>
      </c>
      <c r="BX19" s="262">
        <f t="shared" si="10"/>
        <v>44685</v>
      </c>
      <c r="BY19" s="262">
        <f t="shared" si="10"/>
        <v>44716</v>
      </c>
      <c r="BZ19" s="262">
        <f t="shared" si="10"/>
        <v>44746</v>
      </c>
      <c r="CA19" s="262">
        <f t="shared" si="10"/>
        <v>44774</v>
      </c>
      <c r="CB19" s="262">
        <f t="shared" si="10"/>
        <v>44805</v>
      </c>
      <c r="CC19" s="262">
        <f t="shared" si="10"/>
        <v>44835</v>
      </c>
      <c r="CD19" s="262">
        <f t="shared" si="10"/>
        <v>44866</v>
      </c>
      <c r="CE19" s="262">
        <f t="shared" si="10"/>
        <v>44896</v>
      </c>
      <c r="CF19" s="262">
        <f t="shared" si="10"/>
        <v>44927</v>
      </c>
      <c r="CG19" s="262">
        <f t="shared" si="10"/>
        <v>44958</v>
      </c>
      <c r="CH19" s="262">
        <f t="shared" si="10"/>
        <v>44986</v>
      </c>
      <c r="CI19" s="262">
        <f t="shared" si="10"/>
        <v>45017</v>
      </c>
      <c r="CJ19" s="262">
        <f t="shared" si="10"/>
        <v>45047</v>
      </c>
      <c r="CK19" s="262">
        <f t="shared" si="10"/>
        <v>45078</v>
      </c>
      <c r="CL19" s="262">
        <f t="shared" si="10"/>
        <v>45108</v>
      </c>
      <c r="CM19" s="262">
        <f t="shared" si="10"/>
        <v>45139</v>
      </c>
      <c r="CN19" s="262">
        <f t="shared" si="10"/>
        <v>45170</v>
      </c>
      <c r="CO19" s="262">
        <f t="shared" si="10"/>
        <v>45200</v>
      </c>
      <c r="CP19" s="262">
        <f t="shared" si="10"/>
        <v>45231</v>
      </c>
      <c r="CQ19" s="262">
        <f t="shared" si="10"/>
        <v>45261</v>
      </c>
      <c r="CR19" s="262">
        <f t="shared" si="10"/>
        <v>45292</v>
      </c>
      <c r="CS19" s="262">
        <f t="shared" si="10"/>
        <v>45323</v>
      </c>
      <c r="CT19" s="262">
        <f t="shared" si="10"/>
        <v>45352</v>
      </c>
      <c r="CU19" s="262">
        <f t="shared" si="10"/>
        <v>45383</v>
      </c>
      <c r="CV19" s="262">
        <f t="shared" si="10"/>
        <v>45413</v>
      </c>
      <c r="CW19" s="262">
        <f t="shared" si="10"/>
        <v>45444</v>
      </c>
      <c r="CX19" s="262">
        <f t="shared" si="10"/>
        <v>45474</v>
      </c>
      <c r="CY19" s="262">
        <f t="shared" si="10"/>
        <v>45505</v>
      </c>
      <c r="CZ19" s="262">
        <f t="shared" si="10"/>
        <v>45536</v>
      </c>
      <c r="DA19" s="262">
        <f t="shared" si="10"/>
        <v>45566</v>
      </c>
      <c r="DB19" s="262">
        <f t="shared" si="10"/>
        <v>45597</v>
      </c>
      <c r="DC19" s="262">
        <f t="shared" si="10"/>
        <v>45627</v>
      </c>
      <c r="DD19" s="262">
        <f t="shared" si="10"/>
        <v>45658</v>
      </c>
      <c r="DE19" s="262">
        <f t="shared" si="10"/>
        <v>45689</v>
      </c>
      <c r="DF19" s="262">
        <f t="shared" si="10"/>
        <v>45717</v>
      </c>
      <c r="DG19" s="262">
        <f t="shared" si="10"/>
        <v>45748</v>
      </c>
      <c r="DH19" s="262">
        <f t="shared" si="10"/>
        <v>45778</v>
      </c>
      <c r="DI19" s="262">
        <f t="shared" si="10"/>
        <v>45809</v>
      </c>
      <c r="DJ19" s="262">
        <v>45839</v>
      </c>
      <c r="DK19" s="262">
        <f t="shared" si="10"/>
        <v>45870</v>
      </c>
      <c r="DL19" s="262">
        <f t="shared" si="10"/>
        <v>45901</v>
      </c>
      <c r="DM19" s="262">
        <f t="shared" si="10"/>
        <v>45931</v>
      </c>
      <c r="DN19" s="262">
        <f t="shared" si="10"/>
        <v>45962</v>
      </c>
      <c r="DO19" s="262">
        <f t="shared" si="10"/>
        <v>45992</v>
      </c>
      <c r="DP19" s="262">
        <f t="shared" si="10"/>
        <v>46023</v>
      </c>
      <c r="DQ19" s="262">
        <f t="shared" si="10"/>
        <v>46054</v>
      </c>
      <c r="DR19" s="262">
        <f t="shared" si="10"/>
        <v>46082</v>
      </c>
      <c r="DS19" s="262">
        <f t="shared" si="10"/>
        <v>46113</v>
      </c>
      <c r="DT19" s="262">
        <f t="shared" si="10"/>
        <v>46143</v>
      </c>
      <c r="DU19" s="262">
        <f t="shared" si="10"/>
        <v>46174</v>
      </c>
      <c r="DV19" s="262">
        <f t="shared" si="10"/>
        <v>46204</v>
      </c>
    </row>
    <row r="20" spans="1:126" x14ac:dyDescent="0.25">
      <c r="A20" s="261" t="s">
        <v>542</v>
      </c>
      <c r="B20" s="261" t="s">
        <v>542</v>
      </c>
      <c r="D20" s="117" t="str">
        <f>IF([1]RENAME!$H$3=1,B20,A20)</f>
        <v>SANTANDER</v>
      </c>
      <c r="E20" s="592" t="s">
        <v>160</v>
      </c>
      <c r="F20" s="592" t="s">
        <v>160</v>
      </c>
      <c r="G20" s="592" t="s">
        <v>160</v>
      </c>
      <c r="H20" s="592" t="s">
        <v>160</v>
      </c>
      <c r="I20" s="592" t="s">
        <v>160</v>
      </c>
      <c r="J20" s="592" t="s">
        <v>160</v>
      </c>
      <c r="K20" s="592" t="s">
        <v>160</v>
      </c>
      <c r="L20" s="591" t="s">
        <v>160</v>
      </c>
      <c r="M20" s="591" t="s">
        <v>160</v>
      </c>
      <c r="N20" s="591" t="s">
        <v>160</v>
      </c>
      <c r="O20" s="591" t="s">
        <v>160</v>
      </c>
      <c r="P20" s="591" t="s">
        <v>160</v>
      </c>
      <c r="Q20" s="591" t="s">
        <v>160</v>
      </c>
      <c r="R20" s="591" t="s">
        <v>160</v>
      </c>
      <c r="S20" s="591" t="s">
        <v>160</v>
      </c>
      <c r="T20" s="591" t="s">
        <v>160</v>
      </c>
      <c r="U20" s="591" t="s">
        <v>160</v>
      </c>
      <c r="V20" s="591" t="s">
        <v>160</v>
      </c>
      <c r="W20" s="591" t="s">
        <v>160</v>
      </c>
      <c r="X20" s="591" t="s">
        <v>160</v>
      </c>
      <c r="Y20" s="591" t="s">
        <v>160</v>
      </c>
      <c r="Z20" s="591" t="s">
        <v>160</v>
      </c>
      <c r="AA20" s="591" t="s">
        <v>160</v>
      </c>
      <c r="AB20" s="591" t="s">
        <v>160</v>
      </c>
      <c r="AC20" s="591" t="s">
        <v>160</v>
      </c>
      <c r="AD20" s="591" t="s">
        <v>160</v>
      </c>
      <c r="AE20" s="591" t="s">
        <v>160</v>
      </c>
      <c r="AF20" s="591" t="s">
        <v>160</v>
      </c>
      <c r="AG20" s="591" t="s">
        <v>160</v>
      </c>
      <c r="AH20" s="591" t="s">
        <v>160</v>
      </c>
      <c r="AI20" s="591" t="s">
        <v>160</v>
      </c>
      <c r="AJ20" s="591" t="s">
        <v>160</v>
      </c>
      <c r="AK20" s="591" t="s">
        <v>160</v>
      </c>
      <c r="AL20" s="591" t="s">
        <v>160</v>
      </c>
      <c r="AM20" s="591" t="s">
        <v>160</v>
      </c>
      <c r="AN20" s="591" t="s">
        <v>160</v>
      </c>
      <c r="AO20" s="591" t="s">
        <v>160</v>
      </c>
      <c r="AP20" s="591" t="s">
        <v>160</v>
      </c>
      <c r="AQ20" s="591" t="s">
        <v>160</v>
      </c>
      <c r="AR20" s="591" t="s">
        <v>160</v>
      </c>
      <c r="AS20" s="591" t="s">
        <v>160</v>
      </c>
      <c r="AT20" s="591" t="s">
        <v>160</v>
      </c>
      <c r="AU20" s="591" t="s">
        <v>160</v>
      </c>
      <c r="AV20" s="591" t="s">
        <v>160</v>
      </c>
      <c r="AW20" s="591" t="s">
        <v>160</v>
      </c>
      <c r="AX20" s="935" t="s">
        <v>160</v>
      </c>
      <c r="AY20" s="591" t="s">
        <v>160</v>
      </c>
      <c r="AZ20" s="591" t="s">
        <v>160</v>
      </c>
      <c r="BA20" s="591" t="s">
        <v>160</v>
      </c>
      <c r="BB20" s="591" t="s">
        <v>160</v>
      </c>
      <c r="BC20" s="591" t="s">
        <v>160</v>
      </c>
      <c r="BD20" s="591" t="s">
        <v>160</v>
      </c>
      <c r="BE20" s="591" t="s">
        <v>160</v>
      </c>
      <c r="BF20" s="591" t="s">
        <v>160</v>
      </c>
      <c r="BG20" s="591" t="s">
        <v>160</v>
      </c>
      <c r="BH20" s="591" t="s">
        <v>160</v>
      </c>
      <c r="BI20" s="591" t="s">
        <v>160</v>
      </c>
      <c r="BJ20" s="591" t="s">
        <v>160</v>
      </c>
      <c r="BK20" s="591" t="s">
        <v>160</v>
      </c>
      <c r="BL20" s="591" t="s">
        <v>160</v>
      </c>
      <c r="BM20" s="591" t="s">
        <v>160</v>
      </c>
      <c r="BN20" s="591" t="s">
        <v>160</v>
      </c>
      <c r="BO20" s="591" t="s">
        <v>160</v>
      </c>
      <c r="BP20" s="591" t="s">
        <v>160</v>
      </c>
      <c r="BQ20" s="591" t="s">
        <v>160</v>
      </c>
      <c r="BR20" s="591" t="s">
        <v>160</v>
      </c>
      <c r="BS20" s="591" t="s">
        <v>160</v>
      </c>
      <c r="BT20" s="591" t="s">
        <v>160</v>
      </c>
      <c r="BU20" s="591" t="s">
        <v>160</v>
      </c>
      <c r="BV20" s="591" t="s">
        <v>160</v>
      </c>
      <c r="BW20" s="591" t="s">
        <v>160</v>
      </c>
      <c r="BX20" s="591" t="s">
        <v>160</v>
      </c>
      <c r="BY20" s="591" t="s">
        <v>160</v>
      </c>
      <c r="BZ20" s="591" t="s">
        <v>160</v>
      </c>
      <c r="CA20" s="591" t="s">
        <v>160</v>
      </c>
      <c r="CB20" s="591" t="s">
        <v>160</v>
      </c>
      <c r="CC20" s="591" t="s">
        <v>160</v>
      </c>
      <c r="CD20" s="591" t="s">
        <v>160</v>
      </c>
      <c r="CE20" s="591" t="s">
        <v>160</v>
      </c>
      <c r="CF20" s="591" t="s">
        <v>160</v>
      </c>
      <c r="CG20" s="591" t="s">
        <v>160</v>
      </c>
      <c r="CH20" s="591" t="s">
        <v>160</v>
      </c>
      <c r="CI20" s="591" t="s">
        <v>160</v>
      </c>
      <c r="CJ20" s="591" t="s">
        <v>160</v>
      </c>
      <c r="CK20" s="591" t="s">
        <v>160</v>
      </c>
      <c r="CL20" s="591" t="s">
        <v>160</v>
      </c>
      <c r="CM20" s="591" t="s">
        <v>160</v>
      </c>
      <c r="CN20" s="591" t="s">
        <v>160</v>
      </c>
      <c r="CO20" s="591" t="s">
        <v>160</v>
      </c>
      <c r="CP20" s="591" t="s">
        <v>160</v>
      </c>
      <c r="CQ20" s="591" t="s">
        <v>160</v>
      </c>
      <c r="CR20" s="591" t="s">
        <v>160</v>
      </c>
      <c r="CS20" s="591" t="s">
        <v>160</v>
      </c>
      <c r="CT20" s="591" t="s">
        <v>160</v>
      </c>
      <c r="CU20" s="591" t="s">
        <v>160</v>
      </c>
      <c r="CV20" s="591" t="s">
        <v>160</v>
      </c>
      <c r="CW20" s="591" t="s">
        <v>160</v>
      </c>
      <c r="CX20" s="591" t="s">
        <v>160</v>
      </c>
      <c r="CY20" s="591" t="s">
        <v>160</v>
      </c>
      <c r="CZ20" s="591" t="s">
        <v>160</v>
      </c>
      <c r="DA20" s="591" t="s">
        <v>160</v>
      </c>
      <c r="DB20" s="591" t="s">
        <v>160</v>
      </c>
      <c r="DC20" s="591" t="s">
        <v>160</v>
      </c>
      <c r="DD20" s="591" t="s">
        <v>160</v>
      </c>
      <c r="DE20" s="591" t="s">
        <v>160</v>
      </c>
      <c r="DF20" s="591" t="s">
        <v>160</v>
      </c>
      <c r="DG20" s="591" t="s">
        <v>160</v>
      </c>
      <c r="DH20" s="690">
        <v>2464</v>
      </c>
      <c r="DI20" s="591">
        <v>2464</v>
      </c>
      <c r="DJ20" s="591">
        <v>2464</v>
      </c>
      <c r="DK20" s="591">
        <v>2464</v>
      </c>
      <c r="DL20" s="591">
        <v>2464</v>
      </c>
      <c r="DM20" s="591">
        <v>2464</v>
      </c>
      <c r="DN20" s="591">
        <v>2464</v>
      </c>
      <c r="DO20" s="690">
        <v>2375</v>
      </c>
      <c r="DP20" s="591">
        <v>2375</v>
      </c>
      <c r="DQ20" s="591">
        <v>2375</v>
      </c>
      <c r="DR20" s="591">
        <v>2375</v>
      </c>
      <c r="DS20" s="591">
        <v>2375</v>
      </c>
      <c r="DT20" s="591">
        <v>2375</v>
      </c>
      <c r="DU20" s="591">
        <v>2375</v>
      </c>
      <c r="DV20" s="591">
        <v>2375</v>
      </c>
    </row>
    <row r="21" spans="1:126" x14ac:dyDescent="0.25">
      <c r="A21" s="261" t="s">
        <v>547</v>
      </c>
      <c r="B21" s="261" t="s">
        <v>547</v>
      </c>
      <c r="D21" s="117" t="str">
        <f>IF([1]RENAME!$H$3=1,B21,A21)</f>
        <v>ITAÚ</v>
      </c>
      <c r="E21" s="264" t="s">
        <v>160</v>
      </c>
      <c r="F21" s="264" t="s">
        <v>160</v>
      </c>
      <c r="G21" s="264" t="s">
        <v>160</v>
      </c>
      <c r="H21" s="264" t="s">
        <v>160</v>
      </c>
      <c r="I21" s="264" t="s">
        <v>160</v>
      </c>
      <c r="J21" s="264" t="s">
        <v>160</v>
      </c>
      <c r="K21" s="264" t="s">
        <v>160</v>
      </c>
      <c r="L21" s="336" t="s">
        <v>160</v>
      </c>
      <c r="M21" s="336" t="s">
        <v>160</v>
      </c>
      <c r="N21" s="336" t="s">
        <v>160</v>
      </c>
      <c r="O21" s="336" t="s">
        <v>160</v>
      </c>
      <c r="P21" s="336" t="s">
        <v>160</v>
      </c>
      <c r="Q21" s="336" t="s">
        <v>160</v>
      </c>
      <c r="R21" s="336" t="s">
        <v>160</v>
      </c>
      <c r="S21" s="336" t="s">
        <v>160</v>
      </c>
      <c r="T21" s="336" t="s">
        <v>160</v>
      </c>
      <c r="U21" s="336" t="s">
        <v>160</v>
      </c>
      <c r="V21" s="336" t="s">
        <v>160</v>
      </c>
      <c r="W21" s="336" t="s">
        <v>160</v>
      </c>
      <c r="X21" s="336" t="s">
        <v>160</v>
      </c>
      <c r="Y21" s="336" t="s">
        <v>160</v>
      </c>
      <c r="Z21" s="336" t="s">
        <v>160</v>
      </c>
      <c r="AA21" s="336" t="s">
        <v>160</v>
      </c>
      <c r="AB21" s="336" t="s">
        <v>160</v>
      </c>
      <c r="AC21" s="336" t="s">
        <v>160</v>
      </c>
      <c r="AD21" s="336" t="s">
        <v>160</v>
      </c>
      <c r="AE21" s="336" t="s">
        <v>160</v>
      </c>
      <c r="AF21" s="336" t="s">
        <v>160</v>
      </c>
      <c r="AG21" s="336" t="s">
        <v>160</v>
      </c>
      <c r="AH21" s="336" t="s">
        <v>160</v>
      </c>
      <c r="AI21" s="336" t="s">
        <v>160</v>
      </c>
      <c r="AJ21" s="336" t="s">
        <v>160</v>
      </c>
      <c r="AK21" s="336" t="s">
        <v>160</v>
      </c>
      <c r="AL21" s="336" t="s">
        <v>160</v>
      </c>
      <c r="AM21" s="336" t="s">
        <v>160</v>
      </c>
      <c r="AN21" s="336" t="s">
        <v>160</v>
      </c>
      <c r="AO21" s="336" t="s">
        <v>160</v>
      </c>
      <c r="AP21" s="336" t="s">
        <v>160</v>
      </c>
      <c r="AQ21" s="336" t="s">
        <v>160</v>
      </c>
      <c r="AR21" s="336" t="s">
        <v>160</v>
      </c>
      <c r="AS21" s="336" t="s">
        <v>160</v>
      </c>
      <c r="AT21" s="336" t="s">
        <v>160</v>
      </c>
      <c r="AU21" s="336" t="s">
        <v>160</v>
      </c>
      <c r="AV21" s="336" t="s">
        <v>160</v>
      </c>
      <c r="AW21" s="336" t="s">
        <v>160</v>
      </c>
      <c r="AX21" s="1181" t="s">
        <v>160</v>
      </c>
      <c r="AY21" s="336" t="s">
        <v>160</v>
      </c>
      <c r="AZ21" s="336" t="s">
        <v>160</v>
      </c>
      <c r="BA21" s="336" t="s">
        <v>160</v>
      </c>
      <c r="BB21" s="336" t="s">
        <v>160</v>
      </c>
      <c r="BC21" s="336" t="s">
        <v>160</v>
      </c>
      <c r="BD21" s="336" t="s">
        <v>160</v>
      </c>
      <c r="BE21" s="336" t="s">
        <v>160</v>
      </c>
      <c r="BF21" s="336" t="s">
        <v>160</v>
      </c>
      <c r="BG21" s="336" t="s">
        <v>160</v>
      </c>
      <c r="BH21" s="336" t="s">
        <v>160</v>
      </c>
      <c r="BI21" s="336" t="s">
        <v>160</v>
      </c>
      <c r="BJ21" s="336" t="s">
        <v>160</v>
      </c>
      <c r="BK21" s="336" t="s">
        <v>160</v>
      </c>
      <c r="BL21" s="336" t="s">
        <v>160</v>
      </c>
      <c r="BM21" s="336" t="s">
        <v>160</v>
      </c>
      <c r="BN21" s="336" t="s">
        <v>160</v>
      </c>
      <c r="BO21" s="336" t="s">
        <v>160</v>
      </c>
      <c r="BP21" s="336" t="s">
        <v>160</v>
      </c>
      <c r="BQ21" s="336" t="s">
        <v>160</v>
      </c>
      <c r="BR21" s="336" t="s">
        <v>160</v>
      </c>
      <c r="BS21" s="336" t="s">
        <v>160</v>
      </c>
      <c r="BT21" s="336" t="s">
        <v>160</v>
      </c>
      <c r="BU21" s="336" t="s">
        <v>160</v>
      </c>
      <c r="BV21" s="336" t="s">
        <v>160</v>
      </c>
      <c r="BW21" s="336" t="s">
        <v>160</v>
      </c>
      <c r="BX21" s="336" t="s">
        <v>160</v>
      </c>
      <c r="BY21" s="336" t="s">
        <v>160</v>
      </c>
      <c r="BZ21" s="336" t="s">
        <v>160</v>
      </c>
      <c r="CA21" s="336" t="s">
        <v>160</v>
      </c>
      <c r="CB21" s="336" t="s">
        <v>160</v>
      </c>
      <c r="CC21" s="336" t="s">
        <v>160</v>
      </c>
      <c r="CD21" s="336" t="s">
        <v>160</v>
      </c>
      <c r="CE21" s="336" t="s">
        <v>160</v>
      </c>
      <c r="CF21" s="336" t="s">
        <v>160</v>
      </c>
      <c r="CG21" s="336" t="s">
        <v>160</v>
      </c>
      <c r="CH21" s="336" t="s">
        <v>160</v>
      </c>
      <c r="CI21" s="336" t="s">
        <v>160</v>
      </c>
      <c r="CJ21" s="336" t="s">
        <v>160</v>
      </c>
      <c r="CK21" s="336" t="s">
        <v>160</v>
      </c>
      <c r="CL21" s="336" t="s">
        <v>160</v>
      </c>
      <c r="CM21" s="336" t="s">
        <v>160</v>
      </c>
      <c r="CN21" s="336" t="s">
        <v>160</v>
      </c>
      <c r="CO21" s="336" t="s">
        <v>160</v>
      </c>
      <c r="CP21" s="336" t="s">
        <v>160</v>
      </c>
      <c r="CQ21" s="336" t="s">
        <v>160</v>
      </c>
      <c r="CR21" s="336" t="s">
        <v>160</v>
      </c>
      <c r="CS21" s="336" t="s">
        <v>160</v>
      </c>
      <c r="CT21" s="336" t="s">
        <v>160</v>
      </c>
      <c r="CU21" s="336" t="s">
        <v>160</v>
      </c>
      <c r="CV21" s="336" t="s">
        <v>160</v>
      </c>
      <c r="CW21" s="336" t="s">
        <v>160</v>
      </c>
      <c r="CX21" s="336" t="s">
        <v>160</v>
      </c>
      <c r="CY21" s="336" t="s">
        <v>160</v>
      </c>
      <c r="CZ21" s="336" t="s">
        <v>160</v>
      </c>
      <c r="DA21" s="336">
        <v>2159</v>
      </c>
      <c r="DB21" s="336">
        <v>2159</v>
      </c>
      <c r="DC21" s="336">
        <v>2159</v>
      </c>
      <c r="DD21" s="690">
        <v>2423</v>
      </c>
      <c r="DE21" s="591">
        <v>2423</v>
      </c>
      <c r="DF21" s="591">
        <v>2423</v>
      </c>
      <c r="DG21" s="591">
        <v>2423</v>
      </c>
      <c r="DH21" s="591">
        <v>2423</v>
      </c>
      <c r="DI21" s="591">
        <v>2423</v>
      </c>
      <c r="DJ21" s="591">
        <v>2423</v>
      </c>
      <c r="DK21" s="591">
        <v>2423</v>
      </c>
      <c r="DL21" s="591">
        <v>2423</v>
      </c>
      <c r="DM21" s="591">
        <v>2423</v>
      </c>
      <c r="DN21" s="591">
        <v>2423</v>
      </c>
      <c r="DO21" s="690">
        <v>2346</v>
      </c>
      <c r="DP21" s="591">
        <v>2346</v>
      </c>
      <c r="DQ21" s="591">
        <v>2346</v>
      </c>
      <c r="DR21" s="591">
        <v>2346</v>
      </c>
      <c r="DS21" s="591">
        <v>2346</v>
      </c>
      <c r="DT21" s="591">
        <v>2346</v>
      </c>
      <c r="DU21" s="591">
        <v>2346</v>
      </c>
      <c r="DV21" s="591">
        <v>2346</v>
      </c>
    </row>
    <row r="22" spans="1:126" x14ac:dyDescent="0.25">
      <c r="A22" t="s">
        <v>557</v>
      </c>
      <c r="B22" t="s">
        <v>856</v>
      </c>
      <c r="C22"/>
      <c r="D22" s="1092" t="str">
        <f>IF([1]RENAME!$H$3=1,B22,A22)</f>
        <v>Média</v>
      </c>
      <c r="E22" s="1099" t="str">
        <f t="shared" ref="E22:AJ22" si="11">IFERROR(AVERAGE(E20:E21),"-")</f>
        <v>-</v>
      </c>
      <c r="F22" s="1099" t="str">
        <f t="shared" si="11"/>
        <v>-</v>
      </c>
      <c r="G22" s="1099" t="str">
        <f t="shared" si="11"/>
        <v>-</v>
      </c>
      <c r="H22" s="1099" t="str">
        <f t="shared" si="11"/>
        <v>-</v>
      </c>
      <c r="I22" s="1099" t="str">
        <f t="shared" si="11"/>
        <v>-</v>
      </c>
      <c r="J22" s="1099" t="str">
        <f t="shared" si="11"/>
        <v>-</v>
      </c>
      <c r="K22" s="1099" t="str">
        <f t="shared" si="11"/>
        <v>-</v>
      </c>
      <c r="L22" s="1099" t="str">
        <f t="shared" si="11"/>
        <v>-</v>
      </c>
      <c r="M22" s="1099" t="str">
        <f t="shared" si="11"/>
        <v>-</v>
      </c>
      <c r="N22" s="1099" t="str">
        <f t="shared" si="11"/>
        <v>-</v>
      </c>
      <c r="O22" s="1099" t="str">
        <f t="shared" si="11"/>
        <v>-</v>
      </c>
      <c r="P22" s="1099" t="str">
        <f t="shared" si="11"/>
        <v>-</v>
      </c>
      <c r="Q22" s="1099" t="str">
        <f t="shared" si="11"/>
        <v>-</v>
      </c>
      <c r="R22" s="1099" t="str">
        <f t="shared" si="11"/>
        <v>-</v>
      </c>
      <c r="S22" s="1099" t="str">
        <f t="shared" si="11"/>
        <v>-</v>
      </c>
      <c r="T22" s="1099" t="str">
        <f t="shared" si="11"/>
        <v>-</v>
      </c>
      <c r="U22" s="1099" t="str">
        <f t="shared" si="11"/>
        <v>-</v>
      </c>
      <c r="V22" s="1099" t="str">
        <f t="shared" si="11"/>
        <v>-</v>
      </c>
      <c r="W22" s="1099" t="str">
        <f t="shared" si="11"/>
        <v>-</v>
      </c>
      <c r="X22" s="1099" t="str">
        <f t="shared" si="11"/>
        <v>-</v>
      </c>
      <c r="Y22" s="1099" t="str">
        <f t="shared" si="11"/>
        <v>-</v>
      </c>
      <c r="Z22" s="1099" t="str">
        <f t="shared" si="11"/>
        <v>-</v>
      </c>
      <c r="AA22" s="1099" t="str">
        <f t="shared" si="11"/>
        <v>-</v>
      </c>
      <c r="AB22" s="1099" t="str">
        <f t="shared" si="11"/>
        <v>-</v>
      </c>
      <c r="AC22" s="1099" t="str">
        <f t="shared" si="11"/>
        <v>-</v>
      </c>
      <c r="AD22" s="1099" t="str">
        <f t="shared" si="11"/>
        <v>-</v>
      </c>
      <c r="AE22" s="1099" t="str">
        <f t="shared" si="11"/>
        <v>-</v>
      </c>
      <c r="AF22" s="1099" t="str">
        <f t="shared" si="11"/>
        <v>-</v>
      </c>
      <c r="AG22" s="1099" t="str">
        <f t="shared" si="11"/>
        <v>-</v>
      </c>
      <c r="AH22" s="1099" t="str">
        <f t="shared" si="11"/>
        <v>-</v>
      </c>
      <c r="AI22" s="1099" t="str">
        <f t="shared" si="11"/>
        <v>-</v>
      </c>
      <c r="AJ22" s="1099" t="str">
        <f t="shared" si="11"/>
        <v>-</v>
      </c>
      <c r="AK22" s="1099" t="str">
        <f t="shared" ref="AK22:BP22" si="12">IFERROR(AVERAGE(AK20:AK21),"-")</f>
        <v>-</v>
      </c>
      <c r="AL22" s="1099" t="str">
        <f t="shared" si="12"/>
        <v>-</v>
      </c>
      <c r="AM22" s="1099" t="str">
        <f t="shared" si="12"/>
        <v>-</v>
      </c>
      <c r="AN22" s="1099" t="str">
        <f t="shared" si="12"/>
        <v>-</v>
      </c>
      <c r="AO22" s="1099" t="str">
        <f t="shared" si="12"/>
        <v>-</v>
      </c>
      <c r="AP22" s="1099" t="str">
        <f t="shared" si="12"/>
        <v>-</v>
      </c>
      <c r="AQ22" s="1099" t="str">
        <f t="shared" si="12"/>
        <v>-</v>
      </c>
      <c r="AR22" s="1099" t="str">
        <f t="shared" si="12"/>
        <v>-</v>
      </c>
      <c r="AS22" s="1099" t="str">
        <f t="shared" si="12"/>
        <v>-</v>
      </c>
      <c r="AT22" s="1099" t="str">
        <f t="shared" si="12"/>
        <v>-</v>
      </c>
      <c r="AU22" s="1099" t="str">
        <f t="shared" si="12"/>
        <v>-</v>
      </c>
      <c r="AV22" s="1099" t="str">
        <f t="shared" si="12"/>
        <v>-</v>
      </c>
      <c r="AW22" s="1099" t="str">
        <f t="shared" si="12"/>
        <v>-</v>
      </c>
      <c r="AX22" s="1099" t="str">
        <f t="shared" si="12"/>
        <v>-</v>
      </c>
      <c r="AY22" s="1099" t="str">
        <f t="shared" si="12"/>
        <v>-</v>
      </c>
      <c r="AZ22" s="1099" t="str">
        <f t="shared" si="12"/>
        <v>-</v>
      </c>
      <c r="BA22" s="1099" t="str">
        <f t="shared" si="12"/>
        <v>-</v>
      </c>
      <c r="BB22" s="1099" t="str">
        <f t="shared" si="12"/>
        <v>-</v>
      </c>
      <c r="BC22" s="1099" t="str">
        <f t="shared" si="12"/>
        <v>-</v>
      </c>
      <c r="BD22" s="1099" t="str">
        <f t="shared" si="12"/>
        <v>-</v>
      </c>
      <c r="BE22" s="1099" t="str">
        <f t="shared" si="12"/>
        <v>-</v>
      </c>
      <c r="BF22" s="1099" t="str">
        <f t="shared" si="12"/>
        <v>-</v>
      </c>
      <c r="BG22" s="1099" t="str">
        <f t="shared" si="12"/>
        <v>-</v>
      </c>
      <c r="BH22" s="1099" t="str">
        <f t="shared" si="12"/>
        <v>-</v>
      </c>
      <c r="BI22" s="1099" t="str">
        <f t="shared" si="12"/>
        <v>-</v>
      </c>
      <c r="BJ22" s="1099" t="str">
        <f t="shared" si="12"/>
        <v>-</v>
      </c>
      <c r="BK22" s="1099" t="str">
        <f t="shared" si="12"/>
        <v>-</v>
      </c>
      <c r="BL22" s="1099" t="str">
        <f t="shared" si="12"/>
        <v>-</v>
      </c>
      <c r="BM22" s="1099" t="str">
        <f t="shared" si="12"/>
        <v>-</v>
      </c>
      <c r="BN22" s="1099" t="str">
        <f t="shared" si="12"/>
        <v>-</v>
      </c>
      <c r="BO22" s="1099" t="str">
        <f t="shared" si="12"/>
        <v>-</v>
      </c>
      <c r="BP22" s="1099" t="str">
        <f t="shared" si="12"/>
        <v>-</v>
      </c>
      <c r="BQ22" s="1099" t="str">
        <f t="shared" ref="BQ22:CV22" si="13">IFERROR(AVERAGE(BQ20:BQ21),"-")</f>
        <v>-</v>
      </c>
      <c r="BR22" s="1099" t="str">
        <f t="shared" si="13"/>
        <v>-</v>
      </c>
      <c r="BS22" s="1099" t="str">
        <f t="shared" si="13"/>
        <v>-</v>
      </c>
      <c r="BT22" s="1099" t="str">
        <f t="shared" si="13"/>
        <v>-</v>
      </c>
      <c r="BU22" s="1099" t="str">
        <f t="shared" si="13"/>
        <v>-</v>
      </c>
      <c r="BV22" s="1099" t="str">
        <f t="shared" si="13"/>
        <v>-</v>
      </c>
      <c r="BW22" s="1099" t="str">
        <f t="shared" si="13"/>
        <v>-</v>
      </c>
      <c r="BX22" s="1099" t="str">
        <f t="shared" si="13"/>
        <v>-</v>
      </c>
      <c r="BY22" s="1099" t="str">
        <f t="shared" si="13"/>
        <v>-</v>
      </c>
      <c r="BZ22" s="1099" t="str">
        <f t="shared" si="13"/>
        <v>-</v>
      </c>
      <c r="CA22" s="1099" t="str">
        <f t="shared" si="13"/>
        <v>-</v>
      </c>
      <c r="CB22" s="1099" t="str">
        <f t="shared" si="13"/>
        <v>-</v>
      </c>
      <c r="CC22" s="1099" t="str">
        <f t="shared" si="13"/>
        <v>-</v>
      </c>
      <c r="CD22" s="1099" t="str">
        <f t="shared" si="13"/>
        <v>-</v>
      </c>
      <c r="CE22" s="1099" t="str">
        <f t="shared" si="13"/>
        <v>-</v>
      </c>
      <c r="CF22" s="1099" t="str">
        <f t="shared" si="13"/>
        <v>-</v>
      </c>
      <c r="CG22" s="1099" t="str">
        <f t="shared" si="13"/>
        <v>-</v>
      </c>
      <c r="CH22" s="1099" t="str">
        <f t="shared" si="13"/>
        <v>-</v>
      </c>
      <c r="CI22" s="1099" t="str">
        <f t="shared" si="13"/>
        <v>-</v>
      </c>
      <c r="CJ22" s="1099" t="str">
        <f t="shared" si="13"/>
        <v>-</v>
      </c>
      <c r="CK22" s="1099" t="str">
        <f t="shared" si="13"/>
        <v>-</v>
      </c>
      <c r="CL22" s="1099" t="str">
        <f t="shared" si="13"/>
        <v>-</v>
      </c>
      <c r="CM22" s="1099" t="str">
        <f t="shared" si="13"/>
        <v>-</v>
      </c>
      <c r="CN22" s="1099" t="str">
        <f t="shared" si="13"/>
        <v>-</v>
      </c>
      <c r="CO22" s="1099" t="str">
        <f t="shared" si="13"/>
        <v>-</v>
      </c>
      <c r="CP22" s="1099" t="str">
        <f t="shared" si="13"/>
        <v>-</v>
      </c>
      <c r="CQ22" s="1099" t="str">
        <f t="shared" si="13"/>
        <v>-</v>
      </c>
      <c r="CR22" s="1099" t="str">
        <f t="shared" si="13"/>
        <v>-</v>
      </c>
      <c r="CS22" s="1099" t="str">
        <f t="shared" si="13"/>
        <v>-</v>
      </c>
      <c r="CT22" s="1099" t="str">
        <f t="shared" si="13"/>
        <v>-</v>
      </c>
      <c r="CU22" s="1099" t="str">
        <f t="shared" si="13"/>
        <v>-</v>
      </c>
      <c r="CV22" s="1099" t="str">
        <f t="shared" si="13"/>
        <v>-</v>
      </c>
      <c r="CW22" s="1099" t="str">
        <f t="shared" ref="CW22:DI22" si="14">IFERROR(AVERAGE(CW20:CW21),"-")</f>
        <v>-</v>
      </c>
      <c r="CX22" s="1099" t="str">
        <f t="shared" si="14"/>
        <v>-</v>
      </c>
      <c r="CY22" s="1099" t="str">
        <f t="shared" si="14"/>
        <v>-</v>
      </c>
      <c r="CZ22" s="1099" t="str">
        <f t="shared" si="14"/>
        <v>-</v>
      </c>
      <c r="DA22" s="1099">
        <f t="shared" si="14"/>
        <v>2159</v>
      </c>
      <c r="DB22" s="1099">
        <f t="shared" si="14"/>
        <v>2159</v>
      </c>
      <c r="DC22" s="1099">
        <f t="shared" si="14"/>
        <v>2159</v>
      </c>
      <c r="DD22" s="1099">
        <f t="shared" si="14"/>
        <v>2423</v>
      </c>
      <c r="DE22" s="1099">
        <f t="shared" si="14"/>
        <v>2423</v>
      </c>
      <c r="DF22" s="1099">
        <f t="shared" si="14"/>
        <v>2423</v>
      </c>
      <c r="DG22" s="1099">
        <f t="shared" si="14"/>
        <v>2423</v>
      </c>
      <c r="DH22" s="1099">
        <f t="shared" si="14"/>
        <v>2443.5</v>
      </c>
      <c r="DI22" s="1099">
        <f t="shared" si="14"/>
        <v>2443.5</v>
      </c>
      <c r="DJ22" s="1099">
        <v>2443.5</v>
      </c>
      <c r="DK22" s="1099">
        <f t="shared" ref="DK22:DR22" si="15">IFERROR(AVERAGE(DK20:DK21),"-")</f>
        <v>2443.5</v>
      </c>
      <c r="DL22" s="1099">
        <f t="shared" si="15"/>
        <v>2443.5</v>
      </c>
      <c r="DM22" s="1099">
        <f t="shared" si="15"/>
        <v>2443.5</v>
      </c>
      <c r="DN22" s="1099">
        <f t="shared" si="15"/>
        <v>2443.5</v>
      </c>
      <c r="DO22" s="1099">
        <f t="shared" si="15"/>
        <v>2360.5</v>
      </c>
      <c r="DP22" s="1099">
        <f t="shared" si="15"/>
        <v>2360.5</v>
      </c>
      <c r="DQ22" s="1099">
        <f t="shared" si="15"/>
        <v>2360.5</v>
      </c>
      <c r="DR22" s="1099">
        <f t="shared" si="15"/>
        <v>2360.5</v>
      </c>
      <c r="DS22" s="1099">
        <f>IFERROR(AVERAGE(DS20:DS21),"-")</f>
        <v>2360.5</v>
      </c>
      <c r="DT22" s="1099">
        <f>IFERROR(AVERAGE(DT20:DT21),"-")</f>
        <v>2360.5</v>
      </c>
      <c r="DU22" s="1099">
        <f>IFERROR(AVERAGE(DU20:DU21),"-")</f>
        <v>2360.5</v>
      </c>
      <c r="DV22" s="1099">
        <f>IFERROR(AVERAGE(DV20:DV21),"-")</f>
        <v>2360.5</v>
      </c>
    </row>
    <row r="23" spans="1:126" customFormat="1" x14ac:dyDescent="0.25">
      <c r="A23" s="261"/>
      <c r="B23" s="261"/>
      <c r="C23" s="261"/>
      <c r="D23" s="261"/>
      <c r="E23" s="261"/>
      <c r="F23" s="261"/>
      <c r="G23" s="261"/>
      <c r="H23" s="261"/>
      <c r="I23" s="261"/>
      <c r="J23" s="261"/>
      <c r="K23" s="261"/>
      <c r="L23" s="261"/>
      <c r="M23" s="261"/>
      <c r="N23" s="261"/>
      <c r="O23" s="261"/>
      <c r="P23" s="261"/>
      <c r="Q23" s="261"/>
      <c r="R23" s="261"/>
      <c r="S23" s="339"/>
      <c r="T23" s="339"/>
      <c r="U23" s="339"/>
      <c r="V23" s="339"/>
      <c r="W23" s="339"/>
      <c r="X23" s="339"/>
      <c r="Y23" s="339"/>
      <c r="Z23" s="339"/>
      <c r="AA23" s="339"/>
      <c r="AB23" s="339"/>
      <c r="AC23" s="339"/>
      <c r="AD23" s="339"/>
      <c r="AE23" s="339"/>
      <c r="AF23" s="339"/>
      <c r="AG23" s="339"/>
      <c r="AH23" s="339"/>
      <c r="AI23" s="339"/>
      <c r="AJ23" s="339"/>
      <c r="AK23" s="339"/>
      <c r="AL23" s="339"/>
      <c r="AM23" s="339"/>
      <c r="AN23" s="339"/>
      <c r="AO23" s="339"/>
      <c r="AP23" s="339"/>
      <c r="AQ23" s="339"/>
      <c r="AR23" s="339"/>
      <c r="AS23" s="339"/>
      <c r="AT23" s="339"/>
      <c r="AU23" s="339"/>
      <c r="AX23" s="937"/>
      <c r="DI23" s="1172"/>
      <c r="DJ23" s="1172"/>
      <c r="DK23" s="1172"/>
      <c r="DL23" s="1172"/>
      <c r="DM23" s="1172"/>
      <c r="DN23" s="1172"/>
      <c r="DO23" s="1172"/>
      <c r="DP23" s="1172"/>
      <c r="DQ23" s="1172"/>
      <c r="DR23" s="1172"/>
      <c r="DS23" s="1172"/>
      <c r="DT23" s="1172"/>
      <c r="DU23" s="1172"/>
      <c r="DV23" s="1172"/>
    </row>
    <row r="24" spans="1:126" customFormat="1" x14ac:dyDescent="0.25">
      <c r="A24" s="261" t="s">
        <v>2224</v>
      </c>
      <c r="B24" s="261" t="s">
        <v>2225</v>
      </c>
      <c r="C24" s="261"/>
      <c r="D24" s="113" t="str">
        <f>IF([1]RENAME!$H$3=1,B24,A24)</f>
        <v>EBITDA 2026</v>
      </c>
      <c r="E24" s="262">
        <f t="shared" ref="E24:BP24" si="16">E$11</f>
        <v>42522</v>
      </c>
      <c r="F24" s="262">
        <f t="shared" si="16"/>
        <v>42552</v>
      </c>
      <c r="G24" s="262">
        <f t="shared" si="16"/>
        <v>42583</v>
      </c>
      <c r="H24" s="262">
        <f t="shared" si="16"/>
        <v>42614</v>
      </c>
      <c r="I24" s="262">
        <f t="shared" si="16"/>
        <v>42644</v>
      </c>
      <c r="J24" s="262">
        <f t="shared" si="16"/>
        <v>42675</v>
      </c>
      <c r="K24" s="262">
        <f t="shared" si="16"/>
        <v>42705</v>
      </c>
      <c r="L24" s="262">
        <f t="shared" si="16"/>
        <v>42736</v>
      </c>
      <c r="M24" s="262">
        <f t="shared" si="16"/>
        <v>42767</v>
      </c>
      <c r="N24" s="262">
        <f t="shared" si="16"/>
        <v>42795</v>
      </c>
      <c r="O24" s="262">
        <f t="shared" si="16"/>
        <v>42826</v>
      </c>
      <c r="P24" s="262">
        <f t="shared" si="16"/>
        <v>42856</v>
      </c>
      <c r="Q24" s="262">
        <f t="shared" si="16"/>
        <v>42887</v>
      </c>
      <c r="R24" s="262">
        <f t="shared" si="16"/>
        <v>42917</v>
      </c>
      <c r="S24" s="262">
        <f t="shared" si="16"/>
        <v>42948</v>
      </c>
      <c r="T24" s="262">
        <f t="shared" si="16"/>
        <v>42979</v>
      </c>
      <c r="U24" s="262">
        <f t="shared" si="16"/>
        <v>43009</v>
      </c>
      <c r="V24" s="262">
        <f t="shared" si="16"/>
        <v>43040</v>
      </c>
      <c r="W24" s="262">
        <f t="shared" si="16"/>
        <v>43070</v>
      </c>
      <c r="X24" s="262">
        <f t="shared" si="16"/>
        <v>43101</v>
      </c>
      <c r="Y24" s="262">
        <f t="shared" si="16"/>
        <v>43132</v>
      </c>
      <c r="Z24" s="262">
        <f t="shared" si="16"/>
        <v>43160</v>
      </c>
      <c r="AA24" s="262">
        <f t="shared" si="16"/>
        <v>43191</v>
      </c>
      <c r="AB24" s="262">
        <f t="shared" si="16"/>
        <v>43221</v>
      </c>
      <c r="AC24" s="262">
        <f t="shared" si="16"/>
        <v>43252</v>
      </c>
      <c r="AD24" s="262">
        <f t="shared" si="16"/>
        <v>43283</v>
      </c>
      <c r="AE24" s="262">
        <f t="shared" si="16"/>
        <v>43314</v>
      </c>
      <c r="AF24" s="262">
        <f t="shared" si="16"/>
        <v>43345</v>
      </c>
      <c r="AG24" s="262">
        <f t="shared" si="16"/>
        <v>43376</v>
      </c>
      <c r="AH24" s="262">
        <f t="shared" si="16"/>
        <v>43407</v>
      </c>
      <c r="AI24" s="262">
        <f t="shared" si="16"/>
        <v>43437</v>
      </c>
      <c r="AJ24" s="262">
        <f t="shared" si="16"/>
        <v>43468</v>
      </c>
      <c r="AK24" s="262">
        <f t="shared" si="16"/>
        <v>43499</v>
      </c>
      <c r="AL24" s="262">
        <f t="shared" si="16"/>
        <v>43527</v>
      </c>
      <c r="AM24" s="262">
        <f t="shared" si="16"/>
        <v>43558</v>
      </c>
      <c r="AN24" s="262">
        <f t="shared" si="16"/>
        <v>43587</v>
      </c>
      <c r="AO24" s="262">
        <f t="shared" si="16"/>
        <v>43618</v>
      </c>
      <c r="AP24" s="262">
        <f t="shared" si="16"/>
        <v>43647</v>
      </c>
      <c r="AQ24" s="262">
        <f t="shared" si="16"/>
        <v>43678</v>
      </c>
      <c r="AR24" s="262">
        <f t="shared" si="16"/>
        <v>43709</v>
      </c>
      <c r="AS24" s="262">
        <f t="shared" si="16"/>
        <v>43739</v>
      </c>
      <c r="AT24" s="262">
        <f t="shared" si="16"/>
        <v>43770</v>
      </c>
      <c r="AU24" s="262">
        <f t="shared" si="16"/>
        <v>43800</v>
      </c>
      <c r="AV24" s="262">
        <f t="shared" si="16"/>
        <v>43831</v>
      </c>
      <c r="AW24" s="262">
        <f t="shared" si="16"/>
        <v>43862</v>
      </c>
      <c r="AX24" s="933">
        <f t="shared" si="16"/>
        <v>43891</v>
      </c>
      <c r="AY24" s="262">
        <f t="shared" si="16"/>
        <v>43922</v>
      </c>
      <c r="AZ24" s="262">
        <f t="shared" si="16"/>
        <v>43952</v>
      </c>
      <c r="BA24" s="262">
        <f t="shared" si="16"/>
        <v>43983</v>
      </c>
      <c r="BB24" s="262">
        <f t="shared" si="16"/>
        <v>44013</v>
      </c>
      <c r="BC24" s="262">
        <f t="shared" si="16"/>
        <v>44044</v>
      </c>
      <c r="BD24" s="262">
        <f t="shared" si="16"/>
        <v>44075</v>
      </c>
      <c r="BE24" s="262">
        <f t="shared" si="16"/>
        <v>44105</v>
      </c>
      <c r="BF24" s="262">
        <f t="shared" si="16"/>
        <v>44136</v>
      </c>
      <c r="BG24" s="262">
        <f t="shared" si="16"/>
        <v>44166</v>
      </c>
      <c r="BH24" s="262">
        <f t="shared" si="16"/>
        <v>44197</v>
      </c>
      <c r="BI24" s="262">
        <f t="shared" si="16"/>
        <v>44228</v>
      </c>
      <c r="BJ24" s="262">
        <f t="shared" si="16"/>
        <v>44256</v>
      </c>
      <c r="BK24" s="262">
        <f t="shared" si="16"/>
        <v>44287</v>
      </c>
      <c r="BL24" s="262">
        <f t="shared" si="16"/>
        <v>44317</v>
      </c>
      <c r="BM24" s="262">
        <f t="shared" si="16"/>
        <v>44348</v>
      </c>
      <c r="BN24" s="262">
        <f t="shared" si="16"/>
        <v>44378</v>
      </c>
      <c r="BO24" s="262">
        <f t="shared" si="16"/>
        <v>44409</v>
      </c>
      <c r="BP24" s="262">
        <f t="shared" si="16"/>
        <v>44440</v>
      </c>
      <c r="BQ24" s="262">
        <f t="shared" ref="BQ24:DV24" si="17">BQ$11</f>
        <v>44470</v>
      </c>
      <c r="BR24" s="262">
        <f t="shared" si="17"/>
        <v>44501</v>
      </c>
      <c r="BS24" s="262">
        <f t="shared" si="17"/>
        <v>44531</v>
      </c>
      <c r="BT24" s="262">
        <f t="shared" si="17"/>
        <v>44562</v>
      </c>
      <c r="BU24" s="262">
        <f t="shared" si="17"/>
        <v>44593</v>
      </c>
      <c r="BV24" s="262">
        <f t="shared" si="17"/>
        <v>44622</v>
      </c>
      <c r="BW24" s="262">
        <f t="shared" si="17"/>
        <v>44654</v>
      </c>
      <c r="BX24" s="262">
        <f t="shared" si="17"/>
        <v>44685</v>
      </c>
      <c r="BY24" s="262">
        <f t="shared" si="17"/>
        <v>44716</v>
      </c>
      <c r="BZ24" s="262">
        <f t="shared" si="17"/>
        <v>44746</v>
      </c>
      <c r="CA24" s="262">
        <f t="shared" si="17"/>
        <v>44774</v>
      </c>
      <c r="CB24" s="262">
        <f t="shared" si="17"/>
        <v>44805</v>
      </c>
      <c r="CC24" s="262">
        <f t="shared" si="17"/>
        <v>44835</v>
      </c>
      <c r="CD24" s="262">
        <f t="shared" si="17"/>
        <v>44866</v>
      </c>
      <c r="CE24" s="262">
        <f t="shared" si="17"/>
        <v>44896</v>
      </c>
      <c r="CF24" s="262">
        <f t="shared" si="17"/>
        <v>44927</v>
      </c>
      <c r="CG24" s="262">
        <f t="shared" si="17"/>
        <v>44958</v>
      </c>
      <c r="CH24" s="262">
        <f t="shared" si="17"/>
        <v>44986</v>
      </c>
      <c r="CI24" s="262">
        <f t="shared" si="17"/>
        <v>45017</v>
      </c>
      <c r="CJ24" s="262">
        <f t="shared" si="17"/>
        <v>45047</v>
      </c>
      <c r="CK24" s="262">
        <f t="shared" si="17"/>
        <v>45078</v>
      </c>
      <c r="CL24" s="262">
        <f t="shared" si="17"/>
        <v>45108</v>
      </c>
      <c r="CM24" s="262">
        <f t="shared" si="17"/>
        <v>45139</v>
      </c>
      <c r="CN24" s="262">
        <f t="shared" si="17"/>
        <v>45170</v>
      </c>
      <c r="CO24" s="262">
        <f t="shared" si="17"/>
        <v>45200</v>
      </c>
      <c r="CP24" s="262">
        <f t="shared" si="17"/>
        <v>45231</v>
      </c>
      <c r="CQ24" s="262">
        <f t="shared" si="17"/>
        <v>45261</v>
      </c>
      <c r="CR24" s="262">
        <f t="shared" si="17"/>
        <v>45292</v>
      </c>
      <c r="CS24" s="262">
        <f t="shared" si="17"/>
        <v>45323</v>
      </c>
      <c r="CT24" s="262">
        <f t="shared" si="17"/>
        <v>45352</v>
      </c>
      <c r="CU24" s="262">
        <f t="shared" si="17"/>
        <v>45383</v>
      </c>
      <c r="CV24" s="262">
        <f t="shared" si="17"/>
        <v>45413</v>
      </c>
      <c r="CW24" s="262">
        <f t="shared" si="17"/>
        <v>45444</v>
      </c>
      <c r="CX24" s="262">
        <f t="shared" si="17"/>
        <v>45474</v>
      </c>
      <c r="CY24" s="262">
        <f t="shared" si="17"/>
        <v>45505</v>
      </c>
      <c r="CZ24" s="262">
        <f t="shared" si="17"/>
        <v>45536</v>
      </c>
      <c r="DA24" s="262">
        <f t="shared" si="17"/>
        <v>45566</v>
      </c>
      <c r="DB24" s="262">
        <f t="shared" si="17"/>
        <v>45597</v>
      </c>
      <c r="DC24" s="262">
        <f t="shared" si="17"/>
        <v>45627</v>
      </c>
      <c r="DD24" s="262">
        <f t="shared" si="17"/>
        <v>45658</v>
      </c>
      <c r="DE24" s="262">
        <f t="shared" si="17"/>
        <v>45689</v>
      </c>
      <c r="DF24" s="262">
        <f t="shared" si="17"/>
        <v>45717</v>
      </c>
      <c r="DG24" s="262">
        <f t="shared" si="17"/>
        <v>45748</v>
      </c>
      <c r="DH24" s="262">
        <f t="shared" si="17"/>
        <v>45778</v>
      </c>
      <c r="DI24" s="262">
        <f t="shared" si="17"/>
        <v>45809</v>
      </c>
      <c r="DJ24" s="262">
        <v>45839</v>
      </c>
      <c r="DK24" s="262">
        <f t="shared" si="17"/>
        <v>45870</v>
      </c>
      <c r="DL24" s="262">
        <f t="shared" si="17"/>
        <v>45901</v>
      </c>
      <c r="DM24" s="262">
        <f t="shared" si="17"/>
        <v>45931</v>
      </c>
      <c r="DN24" s="262">
        <f t="shared" si="17"/>
        <v>45962</v>
      </c>
      <c r="DO24" s="262">
        <f t="shared" si="17"/>
        <v>45992</v>
      </c>
      <c r="DP24" s="262">
        <f t="shared" si="17"/>
        <v>46023</v>
      </c>
      <c r="DQ24" s="262">
        <f t="shared" si="17"/>
        <v>46054</v>
      </c>
      <c r="DR24" s="262">
        <f t="shared" si="17"/>
        <v>46082</v>
      </c>
      <c r="DS24" s="262">
        <f t="shared" si="17"/>
        <v>46113</v>
      </c>
      <c r="DT24" s="262">
        <f t="shared" si="17"/>
        <v>46143</v>
      </c>
      <c r="DU24" s="262">
        <f t="shared" si="17"/>
        <v>46174</v>
      </c>
      <c r="DV24" s="262">
        <f t="shared" si="17"/>
        <v>46204</v>
      </c>
    </row>
    <row r="25" spans="1:126" customFormat="1" x14ac:dyDescent="0.25">
      <c r="A25" s="261" t="s">
        <v>542</v>
      </c>
      <c r="B25" s="261" t="s">
        <v>542</v>
      </c>
      <c r="C25" s="261"/>
      <c r="D25" s="117" t="str">
        <f>IF([1]RENAME!$H$3=1,B25,A25)</f>
        <v>SANTANDER</v>
      </c>
      <c r="E25" s="263" t="s">
        <v>160</v>
      </c>
      <c r="F25" s="263" t="s">
        <v>160</v>
      </c>
      <c r="G25" s="263" t="s">
        <v>160</v>
      </c>
      <c r="H25" s="264" t="s">
        <v>160</v>
      </c>
      <c r="I25" s="264" t="s">
        <v>160</v>
      </c>
      <c r="J25" s="264" t="s">
        <v>160</v>
      </c>
      <c r="K25" s="264" t="s">
        <v>160</v>
      </c>
      <c r="L25" s="264" t="s">
        <v>160</v>
      </c>
      <c r="M25" s="264" t="s">
        <v>160</v>
      </c>
      <c r="N25" s="264" t="s">
        <v>160</v>
      </c>
      <c r="O25" s="264" t="s">
        <v>160</v>
      </c>
      <c r="P25" s="264" t="s">
        <v>160</v>
      </c>
      <c r="Q25" s="264" t="s">
        <v>160</v>
      </c>
      <c r="R25" s="264" t="s">
        <v>160</v>
      </c>
      <c r="S25" s="264" t="s">
        <v>160</v>
      </c>
      <c r="T25" s="264" t="s">
        <v>160</v>
      </c>
      <c r="U25" s="264" t="s">
        <v>160</v>
      </c>
      <c r="V25" s="264" t="s">
        <v>160</v>
      </c>
      <c r="W25" s="336" t="s">
        <v>160</v>
      </c>
      <c r="X25" s="336" t="s">
        <v>160</v>
      </c>
      <c r="Y25" s="336" t="s">
        <v>160</v>
      </c>
      <c r="Z25" s="336" t="s">
        <v>160</v>
      </c>
      <c r="AA25" s="336" t="s">
        <v>160</v>
      </c>
      <c r="AB25" s="336" t="s">
        <v>160</v>
      </c>
      <c r="AC25" s="336" t="s">
        <v>160</v>
      </c>
      <c r="AD25" s="336" t="s">
        <v>160</v>
      </c>
      <c r="AE25" s="336" t="s">
        <v>160</v>
      </c>
      <c r="AF25" s="336" t="s">
        <v>160</v>
      </c>
      <c r="AG25" s="336" t="s">
        <v>160</v>
      </c>
      <c r="AH25" s="336" t="s">
        <v>160</v>
      </c>
      <c r="AI25" s="336" t="s">
        <v>160</v>
      </c>
      <c r="AJ25" s="336" t="s">
        <v>160</v>
      </c>
      <c r="AK25" s="336" t="s">
        <v>160</v>
      </c>
      <c r="AL25" s="336" t="s">
        <v>160</v>
      </c>
      <c r="AM25" s="336" t="s">
        <v>160</v>
      </c>
      <c r="AN25" s="336" t="s">
        <v>160</v>
      </c>
      <c r="AO25" s="336" t="s">
        <v>160</v>
      </c>
      <c r="AP25" s="336" t="s">
        <v>160</v>
      </c>
      <c r="AQ25" s="336" t="s">
        <v>160</v>
      </c>
      <c r="AR25" s="336" t="s">
        <v>160</v>
      </c>
      <c r="AS25" s="336" t="s">
        <v>160</v>
      </c>
      <c r="AT25" s="336" t="s">
        <v>160</v>
      </c>
      <c r="AU25" s="336" t="s">
        <v>160</v>
      </c>
      <c r="AV25" s="336" t="s">
        <v>160</v>
      </c>
      <c r="AW25" s="336" t="s">
        <v>160</v>
      </c>
      <c r="AX25" s="1181" t="s">
        <v>160</v>
      </c>
      <c r="AY25" s="336" t="s">
        <v>160</v>
      </c>
      <c r="AZ25" s="336" t="s">
        <v>160</v>
      </c>
      <c r="BA25" s="336" t="s">
        <v>160</v>
      </c>
      <c r="BB25" s="336" t="s">
        <v>160</v>
      </c>
      <c r="BC25" s="336" t="s">
        <v>160</v>
      </c>
      <c r="BD25" s="336" t="s">
        <v>160</v>
      </c>
      <c r="BE25" s="336" t="s">
        <v>160</v>
      </c>
      <c r="BF25" s="336" t="s">
        <v>160</v>
      </c>
      <c r="BG25" s="336" t="s">
        <v>160</v>
      </c>
      <c r="BH25" s="336" t="s">
        <v>160</v>
      </c>
      <c r="BI25" s="336" t="s">
        <v>160</v>
      </c>
      <c r="BJ25" s="336" t="s">
        <v>160</v>
      </c>
      <c r="BK25" s="336" t="s">
        <v>160</v>
      </c>
      <c r="BL25" s="336" t="s">
        <v>160</v>
      </c>
      <c r="BM25" s="336" t="s">
        <v>160</v>
      </c>
      <c r="BN25" s="336" t="s">
        <v>160</v>
      </c>
      <c r="BO25" s="336" t="s">
        <v>160</v>
      </c>
      <c r="BP25" s="336" t="s">
        <v>160</v>
      </c>
      <c r="BQ25" s="336" t="s">
        <v>160</v>
      </c>
      <c r="BR25" s="336" t="s">
        <v>160</v>
      </c>
      <c r="BS25" s="336" t="s">
        <v>160</v>
      </c>
      <c r="BT25" s="336" t="s">
        <v>160</v>
      </c>
      <c r="BU25" s="336" t="s">
        <v>160</v>
      </c>
      <c r="BV25" s="336" t="s">
        <v>160</v>
      </c>
      <c r="BW25" s="336" t="s">
        <v>160</v>
      </c>
      <c r="BX25" s="336" t="s">
        <v>160</v>
      </c>
      <c r="BY25" s="336" t="s">
        <v>160</v>
      </c>
      <c r="BZ25" s="336" t="s">
        <v>160</v>
      </c>
      <c r="CA25" s="336" t="s">
        <v>160</v>
      </c>
      <c r="CB25" s="336" t="s">
        <v>160</v>
      </c>
      <c r="CC25" s="336" t="s">
        <v>160</v>
      </c>
      <c r="CD25" s="336" t="s">
        <v>160</v>
      </c>
      <c r="CE25" s="336" t="s">
        <v>160</v>
      </c>
      <c r="CF25" s="336" t="s">
        <v>160</v>
      </c>
      <c r="CG25" s="336" t="s">
        <v>160</v>
      </c>
      <c r="CH25" s="336" t="s">
        <v>160</v>
      </c>
      <c r="CI25" s="336" t="s">
        <v>160</v>
      </c>
      <c r="CJ25" s="336" t="s">
        <v>160</v>
      </c>
      <c r="CK25" s="336" t="s">
        <v>160</v>
      </c>
      <c r="CL25" s="336" t="s">
        <v>160</v>
      </c>
      <c r="CM25" s="336" t="s">
        <v>160</v>
      </c>
      <c r="CN25" s="336" t="s">
        <v>160</v>
      </c>
      <c r="CO25" s="336" t="s">
        <v>160</v>
      </c>
      <c r="CP25" s="336" t="s">
        <v>160</v>
      </c>
      <c r="CQ25" s="336" t="s">
        <v>160</v>
      </c>
      <c r="CR25" s="336" t="s">
        <v>160</v>
      </c>
      <c r="CS25" s="336" t="s">
        <v>160</v>
      </c>
      <c r="CT25" s="336" t="s">
        <v>160</v>
      </c>
      <c r="CU25" s="336" t="s">
        <v>160</v>
      </c>
      <c r="CV25" s="336" t="s">
        <v>160</v>
      </c>
      <c r="CW25" s="336" t="s">
        <v>160</v>
      </c>
      <c r="CX25" s="336" t="s">
        <v>160</v>
      </c>
      <c r="CY25" s="336" t="s">
        <v>160</v>
      </c>
      <c r="CZ25" s="336" t="s">
        <v>160</v>
      </c>
      <c r="DA25" s="336" t="s">
        <v>160</v>
      </c>
      <c r="DB25" s="336" t="s">
        <v>160</v>
      </c>
      <c r="DC25" s="336" t="s">
        <v>160</v>
      </c>
      <c r="DD25" s="336" t="s">
        <v>160</v>
      </c>
      <c r="DE25" s="336" t="s">
        <v>160</v>
      </c>
      <c r="DF25" s="336" t="s">
        <v>160</v>
      </c>
      <c r="DG25" s="336" t="s">
        <v>160</v>
      </c>
      <c r="DH25" s="690">
        <v>433</v>
      </c>
      <c r="DI25" s="591">
        <v>433</v>
      </c>
      <c r="DJ25" s="591">
        <v>433</v>
      </c>
      <c r="DK25" s="591">
        <v>433</v>
      </c>
      <c r="DL25" s="591">
        <v>433</v>
      </c>
      <c r="DM25" s="591">
        <v>433</v>
      </c>
      <c r="DN25" s="591">
        <v>433</v>
      </c>
      <c r="DO25" s="690">
        <v>417</v>
      </c>
      <c r="DP25" s="591">
        <v>417</v>
      </c>
      <c r="DQ25" s="591">
        <v>417</v>
      </c>
      <c r="DR25" s="591">
        <v>417</v>
      </c>
      <c r="DS25" s="591">
        <v>417</v>
      </c>
      <c r="DT25" s="591">
        <v>417</v>
      </c>
      <c r="DU25" s="591">
        <v>417</v>
      </c>
      <c r="DV25" s="591">
        <v>417</v>
      </c>
    </row>
    <row r="26" spans="1:126" x14ac:dyDescent="0.25">
      <c r="A26" s="261" t="s">
        <v>547</v>
      </c>
      <c r="B26" s="261" t="s">
        <v>547</v>
      </c>
      <c r="D26" s="117" t="str">
        <f>IF([1]RENAME!$H$3=1,B26,A26)</f>
        <v>ITAÚ</v>
      </c>
      <c r="E26" s="263" t="s">
        <v>160</v>
      </c>
      <c r="F26" s="263" t="s">
        <v>160</v>
      </c>
      <c r="G26" s="263" t="s">
        <v>160</v>
      </c>
      <c r="H26" s="263" t="s">
        <v>160</v>
      </c>
      <c r="I26" s="264" t="s">
        <v>160</v>
      </c>
      <c r="J26" s="264" t="s">
        <v>160</v>
      </c>
      <c r="K26" s="264" t="s">
        <v>160</v>
      </c>
      <c r="L26" s="264" t="s">
        <v>160</v>
      </c>
      <c r="M26" s="264" t="s">
        <v>160</v>
      </c>
      <c r="N26" s="264" t="s">
        <v>160</v>
      </c>
      <c r="O26" s="264" t="s">
        <v>160</v>
      </c>
      <c r="P26" s="264" t="s">
        <v>160</v>
      </c>
      <c r="Q26" s="264" t="s">
        <v>160</v>
      </c>
      <c r="R26" s="264" t="s">
        <v>160</v>
      </c>
      <c r="S26" s="264" t="s">
        <v>160</v>
      </c>
      <c r="T26" s="264" t="s">
        <v>160</v>
      </c>
      <c r="U26" s="264" t="s">
        <v>160</v>
      </c>
      <c r="V26" s="264" t="s">
        <v>160</v>
      </c>
      <c r="W26" s="264" t="s">
        <v>160</v>
      </c>
      <c r="X26" s="336" t="s">
        <v>160</v>
      </c>
      <c r="Y26" s="264" t="s">
        <v>160</v>
      </c>
      <c r="Z26" s="264" t="s">
        <v>160</v>
      </c>
      <c r="AA26" s="264" t="s">
        <v>160</v>
      </c>
      <c r="AB26" s="264" t="s">
        <v>160</v>
      </c>
      <c r="AC26" s="264" t="s">
        <v>160</v>
      </c>
      <c r="AD26" s="264" t="s">
        <v>160</v>
      </c>
      <c r="AE26" s="264" t="s">
        <v>160</v>
      </c>
      <c r="AF26" s="336" t="s">
        <v>160</v>
      </c>
      <c r="AG26" s="264" t="s">
        <v>160</v>
      </c>
      <c r="AH26" s="264" t="s">
        <v>160</v>
      </c>
      <c r="AI26" s="264" t="s">
        <v>160</v>
      </c>
      <c r="AJ26" s="264" t="s">
        <v>160</v>
      </c>
      <c r="AK26" s="264" t="s">
        <v>160</v>
      </c>
      <c r="AL26" s="336" t="s">
        <v>160</v>
      </c>
      <c r="AM26" s="336" t="s">
        <v>160</v>
      </c>
      <c r="AN26" s="336" t="s">
        <v>160</v>
      </c>
      <c r="AO26" s="336" t="s">
        <v>160</v>
      </c>
      <c r="AP26" s="336" t="s">
        <v>160</v>
      </c>
      <c r="AQ26" s="336" t="s">
        <v>160</v>
      </c>
      <c r="AR26" s="336" t="s">
        <v>160</v>
      </c>
      <c r="AS26" s="336" t="s">
        <v>160</v>
      </c>
      <c r="AT26" s="336" t="s">
        <v>160</v>
      </c>
      <c r="AU26" s="336" t="s">
        <v>160</v>
      </c>
      <c r="AV26" s="336" t="s">
        <v>160</v>
      </c>
      <c r="AW26" s="336" t="s">
        <v>160</v>
      </c>
      <c r="AX26" s="1181" t="s">
        <v>160</v>
      </c>
      <c r="AY26" s="336" t="s">
        <v>160</v>
      </c>
      <c r="AZ26" s="336" t="s">
        <v>160</v>
      </c>
      <c r="BA26" s="336" t="s">
        <v>160</v>
      </c>
      <c r="BB26" s="336" t="s">
        <v>160</v>
      </c>
      <c r="BC26" s="336" t="s">
        <v>160</v>
      </c>
      <c r="BD26" s="336" t="s">
        <v>160</v>
      </c>
      <c r="BE26" s="336" t="s">
        <v>160</v>
      </c>
      <c r="BF26" s="336" t="s">
        <v>160</v>
      </c>
      <c r="BG26" s="336" t="s">
        <v>160</v>
      </c>
      <c r="BH26" s="336" t="s">
        <v>160</v>
      </c>
      <c r="BI26" s="336" t="s">
        <v>160</v>
      </c>
      <c r="BJ26" s="336" t="s">
        <v>160</v>
      </c>
      <c r="BK26" s="336" t="s">
        <v>160</v>
      </c>
      <c r="BL26" s="336" t="s">
        <v>160</v>
      </c>
      <c r="BM26" s="336" t="s">
        <v>160</v>
      </c>
      <c r="BN26" s="336" t="s">
        <v>160</v>
      </c>
      <c r="BO26" s="336" t="s">
        <v>160</v>
      </c>
      <c r="BP26" s="336" t="s">
        <v>160</v>
      </c>
      <c r="BQ26" s="336" t="s">
        <v>160</v>
      </c>
      <c r="BR26" s="336" t="s">
        <v>160</v>
      </c>
      <c r="BS26" s="336" t="s">
        <v>160</v>
      </c>
      <c r="BT26" s="336" t="s">
        <v>160</v>
      </c>
      <c r="BU26" s="336" t="s">
        <v>160</v>
      </c>
      <c r="BV26" s="336" t="s">
        <v>160</v>
      </c>
      <c r="BW26" s="336" t="s">
        <v>160</v>
      </c>
      <c r="BX26" s="336" t="s">
        <v>160</v>
      </c>
      <c r="BY26" s="336" t="s">
        <v>160</v>
      </c>
      <c r="BZ26" s="336" t="s">
        <v>160</v>
      </c>
      <c r="CA26" s="336" t="s">
        <v>160</v>
      </c>
      <c r="CB26" s="336" t="s">
        <v>160</v>
      </c>
      <c r="CC26" s="336" t="s">
        <v>160</v>
      </c>
      <c r="CD26" s="336" t="s">
        <v>160</v>
      </c>
      <c r="CE26" s="336" t="s">
        <v>160</v>
      </c>
      <c r="CF26" s="336" t="s">
        <v>160</v>
      </c>
      <c r="CG26" s="336" t="s">
        <v>160</v>
      </c>
      <c r="CH26" s="336" t="s">
        <v>160</v>
      </c>
      <c r="CI26" s="336" t="s">
        <v>160</v>
      </c>
      <c r="CJ26" s="336" t="s">
        <v>160</v>
      </c>
      <c r="CK26" s="336" t="s">
        <v>160</v>
      </c>
      <c r="CL26" s="336" t="s">
        <v>160</v>
      </c>
      <c r="CM26" s="336" t="s">
        <v>160</v>
      </c>
      <c r="CN26" s="336" t="s">
        <v>160</v>
      </c>
      <c r="CO26" s="336" t="s">
        <v>160</v>
      </c>
      <c r="CP26" s="336" t="s">
        <v>160</v>
      </c>
      <c r="CQ26" s="336" t="s">
        <v>160</v>
      </c>
      <c r="CR26" s="336" t="s">
        <v>160</v>
      </c>
      <c r="CS26" s="336" t="s">
        <v>160</v>
      </c>
      <c r="CT26" s="336" t="s">
        <v>160</v>
      </c>
      <c r="CU26" s="336" t="s">
        <v>160</v>
      </c>
      <c r="CV26" s="336" t="s">
        <v>160</v>
      </c>
      <c r="CW26" s="336" t="s">
        <v>160</v>
      </c>
      <c r="CX26" s="336" t="s">
        <v>160</v>
      </c>
      <c r="CY26" s="336" t="s">
        <v>160</v>
      </c>
      <c r="CZ26" s="336" t="s">
        <v>160</v>
      </c>
      <c r="DA26" s="336">
        <v>399</v>
      </c>
      <c r="DB26" s="336">
        <v>399</v>
      </c>
      <c r="DC26" s="336">
        <v>399</v>
      </c>
      <c r="DD26" s="690">
        <v>476</v>
      </c>
      <c r="DE26" s="591">
        <v>476</v>
      </c>
      <c r="DF26" s="591">
        <v>476</v>
      </c>
      <c r="DG26" s="591">
        <v>476</v>
      </c>
      <c r="DH26" s="591">
        <v>476</v>
      </c>
      <c r="DI26" s="591">
        <v>476</v>
      </c>
      <c r="DJ26" s="591">
        <v>476</v>
      </c>
      <c r="DK26" s="591">
        <v>476</v>
      </c>
      <c r="DL26" s="591">
        <v>476</v>
      </c>
      <c r="DM26" s="591">
        <v>476</v>
      </c>
      <c r="DN26" s="591">
        <v>476</v>
      </c>
      <c r="DO26" s="690">
        <v>419</v>
      </c>
      <c r="DP26" s="591">
        <v>419</v>
      </c>
      <c r="DQ26" s="591">
        <v>419</v>
      </c>
      <c r="DR26" s="591">
        <v>419</v>
      </c>
      <c r="DS26" s="591">
        <v>419</v>
      </c>
      <c r="DT26" s="591">
        <v>419</v>
      </c>
      <c r="DU26" s="591">
        <v>419</v>
      </c>
      <c r="DV26" s="591">
        <v>419</v>
      </c>
    </row>
    <row r="27" spans="1:126" x14ac:dyDescent="0.25">
      <c r="A27" t="s">
        <v>557</v>
      </c>
      <c r="B27" t="s">
        <v>856</v>
      </c>
      <c r="C27"/>
      <c r="D27" s="1092" t="str">
        <f>IF([1]RENAME!$H$3=1,B27,A27)</f>
        <v>Média</v>
      </c>
      <c r="E27" s="1093" t="str">
        <f t="shared" ref="E27:M27" si="18">IFERROR(AVERAGE(E25:E26),"-")</f>
        <v>-</v>
      </c>
      <c r="F27" s="1093" t="str">
        <f t="shared" si="18"/>
        <v>-</v>
      </c>
      <c r="G27" s="1093" t="str">
        <f t="shared" si="18"/>
        <v>-</v>
      </c>
      <c r="H27" s="1093" t="str">
        <f t="shared" si="18"/>
        <v>-</v>
      </c>
      <c r="I27" s="1093" t="str">
        <f t="shared" si="18"/>
        <v>-</v>
      </c>
      <c r="J27" s="1093" t="str">
        <f t="shared" si="18"/>
        <v>-</v>
      </c>
      <c r="K27" s="1093" t="str">
        <f t="shared" si="18"/>
        <v>-</v>
      </c>
      <c r="L27" s="1093" t="str">
        <f t="shared" si="18"/>
        <v>-</v>
      </c>
      <c r="M27" s="1093" t="str">
        <f t="shared" si="18"/>
        <v>-</v>
      </c>
      <c r="N27" s="1095" t="s">
        <v>160</v>
      </c>
      <c r="O27" s="1095" t="s">
        <v>160</v>
      </c>
      <c r="P27" s="1095" t="s">
        <v>160</v>
      </c>
      <c r="Q27" s="1095" t="s">
        <v>160</v>
      </c>
      <c r="R27" s="1095" t="s">
        <v>160</v>
      </c>
      <c r="S27" s="1095" t="s">
        <v>160</v>
      </c>
      <c r="T27" s="1095" t="s">
        <v>160</v>
      </c>
      <c r="U27" s="1095" t="s">
        <v>160</v>
      </c>
      <c r="V27" s="1095" t="s">
        <v>160</v>
      </c>
      <c r="W27" s="1095" t="s">
        <v>160</v>
      </c>
      <c r="X27" s="1096" t="str">
        <f t="shared" ref="X27:BC27" si="19">IFERROR(AVERAGE(X25:X26),"-")</f>
        <v>-</v>
      </c>
      <c r="Y27" s="1096" t="str">
        <f t="shared" si="19"/>
        <v>-</v>
      </c>
      <c r="Z27" s="1096" t="str">
        <f t="shared" si="19"/>
        <v>-</v>
      </c>
      <c r="AA27" s="1096" t="str">
        <f t="shared" si="19"/>
        <v>-</v>
      </c>
      <c r="AB27" s="1096" t="str">
        <f t="shared" si="19"/>
        <v>-</v>
      </c>
      <c r="AC27" s="1096" t="str">
        <f t="shared" si="19"/>
        <v>-</v>
      </c>
      <c r="AD27" s="1096" t="str">
        <f t="shared" si="19"/>
        <v>-</v>
      </c>
      <c r="AE27" s="1096" t="str">
        <f t="shared" si="19"/>
        <v>-</v>
      </c>
      <c r="AF27" s="1096" t="str">
        <f t="shared" si="19"/>
        <v>-</v>
      </c>
      <c r="AG27" s="1096" t="str">
        <f t="shared" si="19"/>
        <v>-</v>
      </c>
      <c r="AH27" s="1096" t="str">
        <f t="shared" si="19"/>
        <v>-</v>
      </c>
      <c r="AI27" s="1096" t="str">
        <f t="shared" si="19"/>
        <v>-</v>
      </c>
      <c r="AJ27" s="1096" t="str">
        <f t="shared" si="19"/>
        <v>-</v>
      </c>
      <c r="AK27" s="1096" t="str">
        <f t="shared" si="19"/>
        <v>-</v>
      </c>
      <c r="AL27" s="1096" t="str">
        <f t="shared" si="19"/>
        <v>-</v>
      </c>
      <c r="AM27" s="1096" t="str">
        <f t="shared" si="19"/>
        <v>-</v>
      </c>
      <c r="AN27" s="1096" t="str">
        <f t="shared" si="19"/>
        <v>-</v>
      </c>
      <c r="AO27" s="1096" t="str">
        <f t="shared" si="19"/>
        <v>-</v>
      </c>
      <c r="AP27" s="1096" t="str">
        <f t="shared" si="19"/>
        <v>-</v>
      </c>
      <c r="AQ27" s="1096" t="str">
        <f t="shared" si="19"/>
        <v>-</v>
      </c>
      <c r="AR27" s="1096" t="str">
        <f t="shared" si="19"/>
        <v>-</v>
      </c>
      <c r="AS27" s="1096" t="str">
        <f t="shared" si="19"/>
        <v>-</v>
      </c>
      <c r="AT27" s="1096" t="str">
        <f t="shared" si="19"/>
        <v>-</v>
      </c>
      <c r="AU27" s="1095" t="str">
        <f t="shared" si="19"/>
        <v>-</v>
      </c>
      <c r="AV27" s="1095" t="str">
        <f t="shared" si="19"/>
        <v>-</v>
      </c>
      <c r="AW27" s="1095" t="str">
        <f t="shared" si="19"/>
        <v>-</v>
      </c>
      <c r="AX27" s="1095" t="str">
        <f t="shared" si="19"/>
        <v>-</v>
      </c>
      <c r="AY27" s="1095" t="str">
        <f t="shared" si="19"/>
        <v>-</v>
      </c>
      <c r="AZ27" s="1095" t="str">
        <f t="shared" si="19"/>
        <v>-</v>
      </c>
      <c r="BA27" s="1095" t="str">
        <f t="shared" si="19"/>
        <v>-</v>
      </c>
      <c r="BB27" s="1095" t="str">
        <f t="shared" si="19"/>
        <v>-</v>
      </c>
      <c r="BC27" s="1095" t="str">
        <f t="shared" si="19"/>
        <v>-</v>
      </c>
      <c r="BD27" s="1095" t="str">
        <f t="shared" ref="BD27:CI27" si="20">IFERROR(AVERAGE(BD25:BD26),"-")</f>
        <v>-</v>
      </c>
      <c r="BE27" s="1095" t="str">
        <f t="shared" si="20"/>
        <v>-</v>
      </c>
      <c r="BF27" s="1095" t="str">
        <f t="shared" si="20"/>
        <v>-</v>
      </c>
      <c r="BG27" s="1095" t="str">
        <f t="shared" si="20"/>
        <v>-</v>
      </c>
      <c r="BH27" s="1095" t="str">
        <f t="shared" si="20"/>
        <v>-</v>
      </c>
      <c r="BI27" s="1095" t="str">
        <f t="shared" si="20"/>
        <v>-</v>
      </c>
      <c r="BJ27" s="1095" t="str">
        <f t="shared" si="20"/>
        <v>-</v>
      </c>
      <c r="BK27" s="1095" t="str">
        <f t="shared" si="20"/>
        <v>-</v>
      </c>
      <c r="BL27" s="1095" t="str">
        <f t="shared" si="20"/>
        <v>-</v>
      </c>
      <c r="BM27" s="1095" t="str">
        <f t="shared" si="20"/>
        <v>-</v>
      </c>
      <c r="BN27" s="1095" t="str">
        <f t="shared" si="20"/>
        <v>-</v>
      </c>
      <c r="BO27" s="1095" t="str">
        <f t="shared" si="20"/>
        <v>-</v>
      </c>
      <c r="BP27" s="1095" t="str">
        <f t="shared" si="20"/>
        <v>-</v>
      </c>
      <c r="BQ27" s="1095" t="str">
        <f t="shared" si="20"/>
        <v>-</v>
      </c>
      <c r="BR27" s="1095" t="str">
        <f t="shared" si="20"/>
        <v>-</v>
      </c>
      <c r="BS27" s="1095" t="str">
        <f t="shared" si="20"/>
        <v>-</v>
      </c>
      <c r="BT27" s="1095" t="str">
        <f t="shared" si="20"/>
        <v>-</v>
      </c>
      <c r="BU27" s="1095" t="str">
        <f t="shared" si="20"/>
        <v>-</v>
      </c>
      <c r="BV27" s="1095" t="str">
        <f t="shared" si="20"/>
        <v>-</v>
      </c>
      <c r="BW27" s="1095" t="str">
        <f t="shared" si="20"/>
        <v>-</v>
      </c>
      <c r="BX27" s="1095" t="str">
        <f t="shared" si="20"/>
        <v>-</v>
      </c>
      <c r="BY27" s="1095" t="str">
        <f t="shared" si="20"/>
        <v>-</v>
      </c>
      <c r="BZ27" s="1095" t="str">
        <f t="shared" si="20"/>
        <v>-</v>
      </c>
      <c r="CA27" s="1095" t="str">
        <f t="shared" si="20"/>
        <v>-</v>
      </c>
      <c r="CB27" s="1095" t="str">
        <f t="shared" si="20"/>
        <v>-</v>
      </c>
      <c r="CC27" s="1095" t="str">
        <f t="shared" si="20"/>
        <v>-</v>
      </c>
      <c r="CD27" s="1095" t="str">
        <f t="shared" si="20"/>
        <v>-</v>
      </c>
      <c r="CE27" s="1095" t="str">
        <f t="shared" si="20"/>
        <v>-</v>
      </c>
      <c r="CF27" s="1095" t="str">
        <f t="shared" si="20"/>
        <v>-</v>
      </c>
      <c r="CG27" s="1095" t="str">
        <f t="shared" si="20"/>
        <v>-</v>
      </c>
      <c r="CH27" s="1095" t="str">
        <f t="shared" si="20"/>
        <v>-</v>
      </c>
      <c r="CI27" s="1095" t="str">
        <f t="shared" si="20"/>
        <v>-</v>
      </c>
      <c r="CJ27" s="1095" t="str">
        <f t="shared" ref="CJ27:DI27" si="21">IFERROR(AVERAGE(CJ25:CJ26),"-")</f>
        <v>-</v>
      </c>
      <c r="CK27" s="1095" t="str">
        <f t="shared" si="21"/>
        <v>-</v>
      </c>
      <c r="CL27" s="1095" t="str">
        <f t="shared" si="21"/>
        <v>-</v>
      </c>
      <c r="CM27" s="1095" t="str">
        <f t="shared" si="21"/>
        <v>-</v>
      </c>
      <c r="CN27" s="1095" t="str">
        <f t="shared" si="21"/>
        <v>-</v>
      </c>
      <c r="CO27" s="1095" t="str">
        <f t="shared" si="21"/>
        <v>-</v>
      </c>
      <c r="CP27" s="1095" t="str">
        <f t="shared" si="21"/>
        <v>-</v>
      </c>
      <c r="CQ27" s="1095" t="str">
        <f t="shared" si="21"/>
        <v>-</v>
      </c>
      <c r="CR27" s="1095" t="str">
        <f t="shared" si="21"/>
        <v>-</v>
      </c>
      <c r="CS27" s="1095" t="str">
        <f t="shared" si="21"/>
        <v>-</v>
      </c>
      <c r="CT27" s="1095" t="str">
        <f t="shared" si="21"/>
        <v>-</v>
      </c>
      <c r="CU27" s="1095" t="str">
        <f t="shared" si="21"/>
        <v>-</v>
      </c>
      <c r="CV27" s="1095" t="str">
        <f t="shared" si="21"/>
        <v>-</v>
      </c>
      <c r="CW27" s="1095" t="str">
        <f t="shared" si="21"/>
        <v>-</v>
      </c>
      <c r="CX27" s="1095" t="str">
        <f t="shared" si="21"/>
        <v>-</v>
      </c>
      <c r="CY27" s="1095" t="str">
        <f t="shared" si="21"/>
        <v>-</v>
      </c>
      <c r="CZ27" s="1095" t="str">
        <f t="shared" si="21"/>
        <v>-</v>
      </c>
      <c r="DA27" s="1095">
        <f t="shared" si="21"/>
        <v>399</v>
      </c>
      <c r="DB27" s="1095">
        <f t="shared" si="21"/>
        <v>399</v>
      </c>
      <c r="DC27" s="1095">
        <f t="shared" si="21"/>
        <v>399</v>
      </c>
      <c r="DD27" s="1095">
        <f t="shared" si="21"/>
        <v>476</v>
      </c>
      <c r="DE27" s="1095">
        <f t="shared" si="21"/>
        <v>476</v>
      </c>
      <c r="DF27" s="1095">
        <f t="shared" si="21"/>
        <v>476</v>
      </c>
      <c r="DG27" s="1095">
        <f t="shared" si="21"/>
        <v>476</v>
      </c>
      <c r="DH27" s="1095">
        <f t="shared" si="21"/>
        <v>454.5</v>
      </c>
      <c r="DI27" s="1095">
        <f t="shared" si="21"/>
        <v>454.5</v>
      </c>
      <c r="DJ27" s="1095">
        <v>454.5</v>
      </c>
      <c r="DK27" s="1095">
        <f t="shared" ref="DK27:DR27" si="22">IFERROR(AVERAGE(DK25:DK26),"-")</f>
        <v>454.5</v>
      </c>
      <c r="DL27" s="1095">
        <f t="shared" si="22"/>
        <v>454.5</v>
      </c>
      <c r="DM27" s="1095">
        <f t="shared" si="22"/>
        <v>454.5</v>
      </c>
      <c r="DN27" s="1095">
        <f t="shared" si="22"/>
        <v>454.5</v>
      </c>
      <c r="DO27" s="1095">
        <f t="shared" si="22"/>
        <v>418</v>
      </c>
      <c r="DP27" s="1095">
        <f t="shared" si="22"/>
        <v>418</v>
      </c>
      <c r="DQ27" s="1095">
        <f t="shared" si="22"/>
        <v>418</v>
      </c>
      <c r="DR27" s="1095">
        <f t="shared" si="22"/>
        <v>418</v>
      </c>
      <c r="DS27" s="1095">
        <f>IFERROR(AVERAGE(DS25:DS26),"-")</f>
        <v>418</v>
      </c>
      <c r="DT27" s="1095">
        <f>IFERROR(AVERAGE(DT25:DT26),"-")</f>
        <v>418</v>
      </c>
      <c r="DU27" s="1095">
        <f>IFERROR(AVERAGE(DU25:DU26),"-")</f>
        <v>418</v>
      </c>
      <c r="DV27" s="1095">
        <f>IFERROR(AVERAGE(DV25:DV26),"-")</f>
        <v>418</v>
      </c>
    </row>
    <row r="28" spans="1:126" x14ac:dyDescent="0.25">
      <c r="Z28" s="339"/>
      <c r="AA28" s="339"/>
      <c r="AB28" s="339"/>
      <c r="AC28" s="339"/>
      <c r="AD28" s="339"/>
      <c r="AE28" s="339"/>
      <c r="AF28" s="339"/>
      <c r="AG28" s="339"/>
      <c r="AH28" s="339"/>
      <c r="AI28" s="339"/>
      <c r="AJ28" s="339"/>
      <c r="AK28" s="339"/>
      <c r="AL28" s="339"/>
      <c r="AM28" s="339"/>
      <c r="AN28" s="339"/>
      <c r="AO28" s="339"/>
      <c r="AP28" s="339"/>
      <c r="AQ28" s="339"/>
      <c r="AR28" s="339"/>
      <c r="AS28" s="339"/>
      <c r="AT28" s="339"/>
      <c r="AU28" s="339"/>
      <c r="AV28" s="817"/>
      <c r="AW28" s="817"/>
      <c r="AX28" s="941"/>
      <c r="AY28" s="817"/>
      <c r="AZ28" s="817"/>
      <c r="BA28" s="817"/>
      <c r="BB28" s="817"/>
      <c r="BC28" s="817"/>
      <c r="BD28" s="817"/>
      <c r="BE28" s="817"/>
      <c r="BF28" s="817"/>
      <c r="BG28" s="817"/>
      <c r="BH28" s="817"/>
      <c r="BI28" s="817"/>
      <c r="BJ28" s="817"/>
      <c r="BK28" s="817"/>
      <c r="BL28" s="817"/>
      <c r="BM28" s="817"/>
      <c r="BN28" s="817"/>
      <c r="BO28" s="817"/>
      <c r="BP28" s="817"/>
      <c r="BQ28" s="817"/>
      <c r="BR28" s="817"/>
      <c r="BS28" s="817"/>
      <c r="BT28" s="817"/>
      <c r="BU28" s="817"/>
      <c r="BV28" s="817"/>
      <c r="BW28" s="817"/>
      <c r="BX28" s="817"/>
      <c r="BY28" s="817"/>
      <c r="BZ28" s="817"/>
      <c r="CA28" s="817"/>
      <c r="CB28" s="817"/>
      <c r="CC28" s="817"/>
      <c r="CD28" s="817"/>
      <c r="CE28" s="817"/>
      <c r="CF28" s="817"/>
      <c r="CG28" s="817"/>
      <c r="CH28" s="817"/>
      <c r="CI28" s="817"/>
      <c r="CJ28" s="817"/>
      <c r="CK28" s="817"/>
      <c r="CL28" s="817"/>
      <c r="CM28" s="817"/>
      <c r="CN28" s="817"/>
      <c r="CO28" s="817"/>
      <c r="CP28" s="817"/>
      <c r="CQ28" s="817"/>
      <c r="CR28" s="817"/>
      <c r="CS28" s="817"/>
      <c r="CT28" s="817"/>
      <c r="CU28" s="817"/>
      <c r="CV28" s="817"/>
      <c r="CW28" s="817"/>
      <c r="CX28" s="817"/>
      <c r="CY28" s="817"/>
      <c r="CZ28" s="817"/>
      <c r="DA28" s="817"/>
      <c r="DB28" s="817"/>
      <c r="DC28" s="817"/>
      <c r="DD28" s="817"/>
      <c r="DE28" s="817"/>
      <c r="DF28" s="817"/>
      <c r="DG28" s="817"/>
      <c r="DH28" s="817"/>
      <c r="DI28" s="817"/>
      <c r="DJ28" s="817"/>
      <c r="DK28" s="817"/>
      <c r="DL28" s="817"/>
      <c r="DM28" s="817"/>
      <c r="DN28" s="817"/>
      <c r="DO28" s="817"/>
      <c r="DP28" s="817"/>
      <c r="DQ28" s="817"/>
      <c r="DR28" s="817"/>
      <c r="DS28" s="817"/>
      <c r="DT28" s="817"/>
      <c r="DU28" s="817"/>
      <c r="DV28" s="817"/>
    </row>
    <row r="29" spans="1:126" x14ac:dyDescent="0.25">
      <c r="A29" s="261" t="s">
        <v>2227</v>
      </c>
      <c r="B29" s="261" t="s">
        <v>2226</v>
      </c>
      <c r="D29" s="113" t="str">
        <f>IF([1]RENAME!$H$3=1,B29,A29)</f>
        <v>Lucro Líquido 2026</v>
      </c>
      <c r="E29" s="262">
        <f t="shared" ref="E29:BP29" si="23">E$11</f>
        <v>42522</v>
      </c>
      <c r="F29" s="262">
        <f t="shared" si="23"/>
        <v>42552</v>
      </c>
      <c r="G29" s="262">
        <f t="shared" si="23"/>
        <v>42583</v>
      </c>
      <c r="H29" s="262">
        <f t="shared" si="23"/>
        <v>42614</v>
      </c>
      <c r="I29" s="262">
        <f t="shared" si="23"/>
        <v>42644</v>
      </c>
      <c r="J29" s="262">
        <f t="shared" si="23"/>
        <v>42675</v>
      </c>
      <c r="K29" s="262">
        <f t="shared" si="23"/>
        <v>42705</v>
      </c>
      <c r="L29" s="262">
        <f t="shared" si="23"/>
        <v>42736</v>
      </c>
      <c r="M29" s="262">
        <f t="shared" si="23"/>
        <v>42767</v>
      </c>
      <c r="N29" s="262">
        <f t="shared" si="23"/>
        <v>42795</v>
      </c>
      <c r="O29" s="262">
        <f t="shared" si="23"/>
        <v>42826</v>
      </c>
      <c r="P29" s="262">
        <f t="shared" si="23"/>
        <v>42856</v>
      </c>
      <c r="Q29" s="262">
        <f t="shared" si="23"/>
        <v>42887</v>
      </c>
      <c r="R29" s="262">
        <f t="shared" si="23"/>
        <v>42917</v>
      </c>
      <c r="S29" s="262">
        <f t="shared" si="23"/>
        <v>42948</v>
      </c>
      <c r="T29" s="262">
        <f t="shared" si="23"/>
        <v>42979</v>
      </c>
      <c r="U29" s="262">
        <f t="shared" si="23"/>
        <v>43009</v>
      </c>
      <c r="V29" s="262">
        <f t="shared" si="23"/>
        <v>43040</v>
      </c>
      <c r="W29" s="262">
        <f t="shared" si="23"/>
        <v>43070</v>
      </c>
      <c r="X29" s="262">
        <f t="shared" si="23"/>
        <v>43101</v>
      </c>
      <c r="Y29" s="262">
        <f t="shared" si="23"/>
        <v>43132</v>
      </c>
      <c r="Z29" s="262">
        <f t="shared" si="23"/>
        <v>43160</v>
      </c>
      <c r="AA29" s="262">
        <f t="shared" si="23"/>
        <v>43191</v>
      </c>
      <c r="AB29" s="262">
        <f t="shared" si="23"/>
        <v>43221</v>
      </c>
      <c r="AC29" s="262">
        <f t="shared" si="23"/>
        <v>43252</v>
      </c>
      <c r="AD29" s="262">
        <f t="shared" si="23"/>
        <v>43283</v>
      </c>
      <c r="AE29" s="262">
        <f t="shared" si="23"/>
        <v>43314</v>
      </c>
      <c r="AF29" s="262">
        <f t="shared" si="23"/>
        <v>43345</v>
      </c>
      <c r="AG29" s="262">
        <f t="shared" si="23"/>
        <v>43376</v>
      </c>
      <c r="AH29" s="262">
        <f t="shared" si="23"/>
        <v>43407</v>
      </c>
      <c r="AI29" s="262">
        <f t="shared" si="23"/>
        <v>43437</v>
      </c>
      <c r="AJ29" s="262">
        <f t="shared" si="23"/>
        <v>43468</v>
      </c>
      <c r="AK29" s="262">
        <f t="shared" si="23"/>
        <v>43499</v>
      </c>
      <c r="AL29" s="262">
        <f t="shared" si="23"/>
        <v>43527</v>
      </c>
      <c r="AM29" s="262">
        <f t="shared" si="23"/>
        <v>43558</v>
      </c>
      <c r="AN29" s="262">
        <f t="shared" si="23"/>
        <v>43587</v>
      </c>
      <c r="AO29" s="262">
        <f t="shared" si="23"/>
        <v>43618</v>
      </c>
      <c r="AP29" s="262">
        <f t="shared" si="23"/>
        <v>43647</v>
      </c>
      <c r="AQ29" s="262">
        <f t="shared" si="23"/>
        <v>43678</v>
      </c>
      <c r="AR29" s="262">
        <f t="shared" si="23"/>
        <v>43709</v>
      </c>
      <c r="AS29" s="262">
        <f t="shared" si="23"/>
        <v>43739</v>
      </c>
      <c r="AT29" s="262">
        <f t="shared" si="23"/>
        <v>43770</v>
      </c>
      <c r="AU29" s="262">
        <f t="shared" si="23"/>
        <v>43800</v>
      </c>
      <c r="AV29" s="262">
        <f t="shared" si="23"/>
        <v>43831</v>
      </c>
      <c r="AW29" s="262">
        <f t="shared" si="23"/>
        <v>43862</v>
      </c>
      <c r="AX29" s="933">
        <f t="shared" si="23"/>
        <v>43891</v>
      </c>
      <c r="AY29" s="262">
        <f t="shared" si="23"/>
        <v>43922</v>
      </c>
      <c r="AZ29" s="262">
        <f t="shared" si="23"/>
        <v>43952</v>
      </c>
      <c r="BA29" s="262">
        <f t="shared" si="23"/>
        <v>43983</v>
      </c>
      <c r="BB29" s="262">
        <f t="shared" si="23"/>
        <v>44013</v>
      </c>
      <c r="BC29" s="262">
        <f t="shared" si="23"/>
        <v>44044</v>
      </c>
      <c r="BD29" s="262">
        <f t="shared" si="23"/>
        <v>44075</v>
      </c>
      <c r="BE29" s="262">
        <f t="shared" si="23"/>
        <v>44105</v>
      </c>
      <c r="BF29" s="262">
        <f t="shared" si="23"/>
        <v>44136</v>
      </c>
      <c r="BG29" s="262">
        <f t="shared" si="23"/>
        <v>44166</v>
      </c>
      <c r="BH29" s="262">
        <f t="shared" si="23"/>
        <v>44197</v>
      </c>
      <c r="BI29" s="262">
        <f t="shared" si="23"/>
        <v>44228</v>
      </c>
      <c r="BJ29" s="262">
        <f t="shared" si="23"/>
        <v>44256</v>
      </c>
      <c r="BK29" s="262">
        <f t="shared" si="23"/>
        <v>44287</v>
      </c>
      <c r="BL29" s="262">
        <f t="shared" si="23"/>
        <v>44317</v>
      </c>
      <c r="BM29" s="262">
        <f t="shared" si="23"/>
        <v>44348</v>
      </c>
      <c r="BN29" s="262">
        <f t="shared" si="23"/>
        <v>44378</v>
      </c>
      <c r="BO29" s="262">
        <f t="shared" si="23"/>
        <v>44409</v>
      </c>
      <c r="BP29" s="262">
        <f t="shared" si="23"/>
        <v>44440</v>
      </c>
      <c r="BQ29" s="262">
        <f t="shared" ref="BQ29:DV29" si="24">BQ$11</f>
        <v>44470</v>
      </c>
      <c r="BR29" s="262">
        <f t="shared" si="24"/>
        <v>44501</v>
      </c>
      <c r="BS29" s="262">
        <f t="shared" si="24"/>
        <v>44531</v>
      </c>
      <c r="BT29" s="262">
        <f t="shared" si="24"/>
        <v>44562</v>
      </c>
      <c r="BU29" s="262">
        <f t="shared" si="24"/>
        <v>44593</v>
      </c>
      <c r="BV29" s="262">
        <f t="shared" si="24"/>
        <v>44622</v>
      </c>
      <c r="BW29" s="262">
        <f t="shared" si="24"/>
        <v>44654</v>
      </c>
      <c r="BX29" s="262">
        <f t="shared" si="24"/>
        <v>44685</v>
      </c>
      <c r="BY29" s="262">
        <f t="shared" si="24"/>
        <v>44716</v>
      </c>
      <c r="BZ29" s="262">
        <f t="shared" si="24"/>
        <v>44746</v>
      </c>
      <c r="CA29" s="262">
        <f t="shared" si="24"/>
        <v>44774</v>
      </c>
      <c r="CB29" s="262">
        <f t="shared" si="24"/>
        <v>44805</v>
      </c>
      <c r="CC29" s="262">
        <f t="shared" si="24"/>
        <v>44835</v>
      </c>
      <c r="CD29" s="262">
        <f t="shared" si="24"/>
        <v>44866</v>
      </c>
      <c r="CE29" s="262">
        <f t="shared" si="24"/>
        <v>44896</v>
      </c>
      <c r="CF29" s="262">
        <f t="shared" si="24"/>
        <v>44927</v>
      </c>
      <c r="CG29" s="262">
        <f t="shared" si="24"/>
        <v>44958</v>
      </c>
      <c r="CH29" s="262">
        <f t="shared" si="24"/>
        <v>44986</v>
      </c>
      <c r="CI29" s="262">
        <f t="shared" si="24"/>
        <v>45017</v>
      </c>
      <c r="CJ29" s="262">
        <f t="shared" si="24"/>
        <v>45047</v>
      </c>
      <c r="CK29" s="262">
        <f t="shared" si="24"/>
        <v>45078</v>
      </c>
      <c r="CL29" s="262">
        <f t="shared" si="24"/>
        <v>45108</v>
      </c>
      <c r="CM29" s="262">
        <f t="shared" si="24"/>
        <v>45139</v>
      </c>
      <c r="CN29" s="262">
        <f t="shared" si="24"/>
        <v>45170</v>
      </c>
      <c r="CO29" s="262">
        <f t="shared" si="24"/>
        <v>45200</v>
      </c>
      <c r="CP29" s="262">
        <f t="shared" si="24"/>
        <v>45231</v>
      </c>
      <c r="CQ29" s="262">
        <f t="shared" si="24"/>
        <v>45261</v>
      </c>
      <c r="CR29" s="262">
        <f t="shared" si="24"/>
        <v>45292</v>
      </c>
      <c r="CS29" s="262">
        <f t="shared" si="24"/>
        <v>45323</v>
      </c>
      <c r="CT29" s="262">
        <f t="shared" si="24"/>
        <v>45352</v>
      </c>
      <c r="CU29" s="262">
        <f t="shared" si="24"/>
        <v>45383</v>
      </c>
      <c r="CV29" s="262">
        <f t="shared" si="24"/>
        <v>45413</v>
      </c>
      <c r="CW29" s="262">
        <f t="shared" si="24"/>
        <v>45444</v>
      </c>
      <c r="CX29" s="262">
        <f t="shared" si="24"/>
        <v>45474</v>
      </c>
      <c r="CY29" s="262">
        <f t="shared" si="24"/>
        <v>45505</v>
      </c>
      <c r="CZ29" s="262">
        <f t="shared" si="24"/>
        <v>45536</v>
      </c>
      <c r="DA29" s="262">
        <f t="shared" si="24"/>
        <v>45566</v>
      </c>
      <c r="DB29" s="262">
        <f t="shared" si="24"/>
        <v>45597</v>
      </c>
      <c r="DC29" s="262">
        <f t="shared" si="24"/>
        <v>45627</v>
      </c>
      <c r="DD29" s="262">
        <f t="shared" si="24"/>
        <v>45658</v>
      </c>
      <c r="DE29" s="262">
        <f t="shared" si="24"/>
        <v>45689</v>
      </c>
      <c r="DF29" s="262">
        <f t="shared" si="24"/>
        <v>45717</v>
      </c>
      <c r="DG29" s="262">
        <f t="shared" si="24"/>
        <v>45748</v>
      </c>
      <c r="DH29" s="262">
        <f t="shared" si="24"/>
        <v>45778</v>
      </c>
      <c r="DI29" s="262">
        <f t="shared" si="24"/>
        <v>45809</v>
      </c>
      <c r="DJ29" s="262">
        <v>45839</v>
      </c>
      <c r="DK29" s="262">
        <f t="shared" si="24"/>
        <v>45870</v>
      </c>
      <c r="DL29" s="262">
        <f t="shared" si="24"/>
        <v>45901</v>
      </c>
      <c r="DM29" s="262">
        <f t="shared" si="24"/>
        <v>45931</v>
      </c>
      <c r="DN29" s="262">
        <f t="shared" si="24"/>
        <v>45962</v>
      </c>
      <c r="DO29" s="262">
        <f t="shared" si="24"/>
        <v>45992</v>
      </c>
      <c r="DP29" s="262">
        <f t="shared" si="24"/>
        <v>46023</v>
      </c>
      <c r="DQ29" s="262">
        <f t="shared" si="24"/>
        <v>46054</v>
      </c>
      <c r="DR29" s="262">
        <f t="shared" si="24"/>
        <v>46082</v>
      </c>
      <c r="DS29" s="262">
        <f t="shared" si="24"/>
        <v>46113</v>
      </c>
      <c r="DT29" s="262">
        <f t="shared" si="24"/>
        <v>46143</v>
      </c>
      <c r="DU29" s="262">
        <f t="shared" si="24"/>
        <v>46174</v>
      </c>
      <c r="DV29" s="262">
        <f t="shared" si="24"/>
        <v>46204</v>
      </c>
    </row>
    <row r="30" spans="1:126" customFormat="1" x14ac:dyDescent="0.25">
      <c r="A30" s="261" t="s">
        <v>542</v>
      </c>
      <c r="B30" s="261" t="s">
        <v>542</v>
      </c>
      <c r="C30" s="261"/>
      <c r="D30" s="117" t="str">
        <f>IF([1]RENAME!$H$3=1,B30,A30)</f>
        <v>SANTANDER</v>
      </c>
      <c r="E30" s="263" t="s">
        <v>160</v>
      </c>
      <c r="F30" s="263" t="s">
        <v>160</v>
      </c>
      <c r="G30" s="263" t="s">
        <v>160</v>
      </c>
      <c r="H30" s="264" t="s">
        <v>160</v>
      </c>
      <c r="I30" s="264" t="s">
        <v>160</v>
      </c>
      <c r="J30" s="264" t="s">
        <v>160</v>
      </c>
      <c r="K30" s="264" t="s">
        <v>160</v>
      </c>
      <c r="L30" s="264" t="s">
        <v>160</v>
      </c>
      <c r="M30" s="264" t="s">
        <v>160</v>
      </c>
      <c r="N30" s="592" t="s">
        <v>160</v>
      </c>
      <c r="O30" s="592" t="s">
        <v>160</v>
      </c>
      <c r="P30" s="592" t="s">
        <v>160</v>
      </c>
      <c r="Q30" s="592" t="s">
        <v>160</v>
      </c>
      <c r="R30" s="592" t="s">
        <v>160</v>
      </c>
      <c r="S30" s="592" t="s">
        <v>160</v>
      </c>
      <c r="T30" s="592" t="s">
        <v>160</v>
      </c>
      <c r="U30" s="592" t="s">
        <v>160</v>
      </c>
      <c r="V30" s="592" t="s">
        <v>160</v>
      </c>
      <c r="W30" s="591" t="s">
        <v>160</v>
      </c>
      <c r="X30" s="591" t="s">
        <v>160</v>
      </c>
      <c r="Y30" s="591" t="s">
        <v>160</v>
      </c>
      <c r="Z30" s="591" t="s">
        <v>160</v>
      </c>
      <c r="AA30" s="591" t="s">
        <v>160</v>
      </c>
      <c r="AB30" s="591" t="s">
        <v>160</v>
      </c>
      <c r="AC30" s="591" t="s">
        <v>160</v>
      </c>
      <c r="AD30" s="591" t="s">
        <v>160</v>
      </c>
      <c r="AE30" s="591" t="s">
        <v>160</v>
      </c>
      <c r="AF30" s="591" t="s">
        <v>160</v>
      </c>
      <c r="AG30" s="591" t="s">
        <v>160</v>
      </c>
      <c r="AH30" s="591" t="s">
        <v>160</v>
      </c>
      <c r="AI30" s="591" t="s">
        <v>160</v>
      </c>
      <c r="AJ30" s="591" t="s">
        <v>160</v>
      </c>
      <c r="AK30" s="591" t="s">
        <v>160</v>
      </c>
      <c r="AL30" s="346" t="s">
        <v>160</v>
      </c>
      <c r="AM30" s="346" t="s">
        <v>160</v>
      </c>
      <c r="AN30" s="346" t="s">
        <v>160</v>
      </c>
      <c r="AO30" s="346" t="s">
        <v>160</v>
      </c>
      <c r="AP30" s="346" t="s">
        <v>160</v>
      </c>
      <c r="AQ30" s="346" t="s">
        <v>160</v>
      </c>
      <c r="AR30" s="346" t="s">
        <v>160</v>
      </c>
      <c r="AS30" s="346" t="s">
        <v>160</v>
      </c>
      <c r="AT30" s="346" t="s">
        <v>160</v>
      </c>
      <c r="AU30" s="346" t="s">
        <v>160</v>
      </c>
      <c r="AV30" s="346" t="s">
        <v>160</v>
      </c>
      <c r="AW30" s="346" t="s">
        <v>160</v>
      </c>
      <c r="AX30" s="947" t="s">
        <v>160</v>
      </c>
      <c r="AY30" s="346" t="s">
        <v>160</v>
      </c>
      <c r="AZ30" s="346" t="s">
        <v>160</v>
      </c>
      <c r="BA30" s="346" t="s">
        <v>160</v>
      </c>
      <c r="BB30" s="346" t="s">
        <v>160</v>
      </c>
      <c r="BC30" s="346" t="s">
        <v>160</v>
      </c>
      <c r="BD30" s="346" t="s">
        <v>160</v>
      </c>
      <c r="BE30" s="346" t="s">
        <v>160</v>
      </c>
      <c r="BF30" s="346" t="s">
        <v>160</v>
      </c>
      <c r="BG30" s="346" t="s">
        <v>160</v>
      </c>
      <c r="BH30" s="591" t="s">
        <v>160</v>
      </c>
      <c r="BI30" s="591" t="s">
        <v>160</v>
      </c>
      <c r="BJ30" s="591" t="s">
        <v>160</v>
      </c>
      <c r="BK30" s="591" t="s">
        <v>160</v>
      </c>
      <c r="BL30" s="591" t="s">
        <v>160</v>
      </c>
      <c r="BM30" s="591" t="s">
        <v>160</v>
      </c>
      <c r="BN30" s="591" t="s">
        <v>160</v>
      </c>
      <c r="BO30" s="591" t="s">
        <v>160</v>
      </c>
      <c r="BP30" s="591" t="s">
        <v>160</v>
      </c>
      <c r="BQ30" s="591" t="s">
        <v>160</v>
      </c>
      <c r="BR30" s="591" t="s">
        <v>160</v>
      </c>
      <c r="BS30" s="591" t="s">
        <v>160</v>
      </c>
      <c r="BT30" s="591" t="s">
        <v>160</v>
      </c>
      <c r="BU30" s="591" t="s">
        <v>160</v>
      </c>
      <c r="BV30" s="591" t="s">
        <v>160</v>
      </c>
      <c r="BW30" s="591" t="s">
        <v>160</v>
      </c>
      <c r="BX30" s="591" t="s">
        <v>160</v>
      </c>
      <c r="BY30" s="591" t="s">
        <v>160</v>
      </c>
      <c r="BZ30" s="591" t="s">
        <v>160</v>
      </c>
      <c r="CA30" s="591" t="s">
        <v>160</v>
      </c>
      <c r="CB30" s="591" t="s">
        <v>160</v>
      </c>
      <c r="CC30" s="591" t="s">
        <v>160</v>
      </c>
      <c r="CD30" s="591" t="s">
        <v>160</v>
      </c>
      <c r="CE30" s="591" t="s">
        <v>160</v>
      </c>
      <c r="CF30" s="591" t="s">
        <v>160</v>
      </c>
      <c r="CG30" s="591" t="s">
        <v>160</v>
      </c>
      <c r="CH30" s="591" t="s">
        <v>160</v>
      </c>
      <c r="CI30" s="591" t="s">
        <v>160</v>
      </c>
      <c r="CJ30" s="591" t="s">
        <v>160</v>
      </c>
      <c r="CK30" s="591" t="s">
        <v>160</v>
      </c>
      <c r="CL30" s="591" t="s">
        <v>160</v>
      </c>
      <c r="CM30" s="591" t="s">
        <v>160</v>
      </c>
      <c r="CN30" s="591" t="s">
        <v>160</v>
      </c>
      <c r="CO30" s="591" t="s">
        <v>160</v>
      </c>
      <c r="CP30" s="591" t="s">
        <v>160</v>
      </c>
      <c r="CQ30" s="591" t="s">
        <v>160</v>
      </c>
      <c r="CR30" s="591" t="s">
        <v>160</v>
      </c>
      <c r="CS30" s="591" t="s">
        <v>160</v>
      </c>
      <c r="CT30" s="591" t="s">
        <v>160</v>
      </c>
      <c r="CU30" s="591" t="s">
        <v>160</v>
      </c>
      <c r="CV30" s="591" t="s">
        <v>160</v>
      </c>
      <c r="CW30" s="591" t="s">
        <v>160</v>
      </c>
      <c r="CX30" s="591" t="s">
        <v>160</v>
      </c>
      <c r="CY30" s="591" t="s">
        <v>160</v>
      </c>
      <c r="CZ30" s="591" t="s">
        <v>160</v>
      </c>
      <c r="DA30" s="591" t="s">
        <v>160</v>
      </c>
      <c r="DB30" s="591" t="s">
        <v>160</v>
      </c>
      <c r="DC30" s="591" t="s">
        <v>160</v>
      </c>
      <c r="DD30" s="591" t="s">
        <v>160</v>
      </c>
      <c r="DE30" s="591" t="s">
        <v>160</v>
      </c>
      <c r="DF30" s="591" t="s">
        <v>160</v>
      </c>
      <c r="DG30" s="591" t="s">
        <v>160</v>
      </c>
      <c r="DH30" s="690">
        <v>288</v>
      </c>
      <c r="DI30" s="591">
        <v>288</v>
      </c>
      <c r="DJ30" s="591">
        <v>288</v>
      </c>
      <c r="DK30" s="591">
        <v>288</v>
      </c>
      <c r="DL30" s="591">
        <v>288</v>
      </c>
      <c r="DM30" s="591">
        <v>288</v>
      </c>
      <c r="DN30" s="591">
        <v>288</v>
      </c>
      <c r="DO30" s="690">
        <v>275</v>
      </c>
      <c r="DP30" s="591">
        <v>275</v>
      </c>
      <c r="DQ30" s="591">
        <v>275</v>
      </c>
      <c r="DR30" s="591">
        <v>275</v>
      </c>
      <c r="DS30" s="591">
        <v>275</v>
      </c>
      <c r="DT30" s="591">
        <v>275</v>
      </c>
      <c r="DU30" s="591">
        <v>275</v>
      </c>
      <c r="DV30" s="591">
        <v>275</v>
      </c>
    </row>
    <row r="31" spans="1:126" x14ac:dyDescent="0.25">
      <c r="A31" s="261" t="s">
        <v>547</v>
      </c>
      <c r="B31" s="261" t="s">
        <v>547</v>
      </c>
      <c r="D31" s="117" t="str">
        <f>IF([1]RENAME!$H$3=1,B31,A31)</f>
        <v>ITAÚ</v>
      </c>
      <c r="E31" s="263" t="s">
        <v>160</v>
      </c>
      <c r="F31" s="263" t="s">
        <v>160</v>
      </c>
      <c r="G31" s="263" t="s">
        <v>160</v>
      </c>
      <c r="H31" s="263" t="s">
        <v>160</v>
      </c>
      <c r="I31" s="264" t="s">
        <v>160</v>
      </c>
      <c r="J31" s="264" t="s">
        <v>160</v>
      </c>
      <c r="K31" s="264" t="s">
        <v>160</v>
      </c>
      <c r="L31" s="264" t="s">
        <v>160</v>
      </c>
      <c r="M31" s="264" t="s">
        <v>160</v>
      </c>
      <c r="N31" s="592" t="s">
        <v>160</v>
      </c>
      <c r="O31" s="592" t="s">
        <v>160</v>
      </c>
      <c r="P31" s="592" t="s">
        <v>160</v>
      </c>
      <c r="Q31" s="592" t="s">
        <v>160</v>
      </c>
      <c r="R31" s="592" t="s">
        <v>160</v>
      </c>
      <c r="S31" s="591" t="s">
        <v>160</v>
      </c>
      <c r="T31" s="591" t="s">
        <v>160</v>
      </c>
      <c r="U31" s="591" t="s">
        <v>160</v>
      </c>
      <c r="V31" s="591" t="s">
        <v>160</v>
      </c>
      <c r="W31" s="591" t="s">
        <v>160</v>
      </c>
      <c r="X31" s="591" t="s">
        <v>160</v>
      </c>
      <c r="Y31" s="591" t="s">
        <v>160</v>
      </c>
      <c r="Z31" s="591" t="s">
        <v>160</v>
      </c>
      <c r="AA31" s="591" t="s">
        <v>160</v>
      </c>
      <c r="AB31" s="591" t="s">
        <v>160</v>
      </c>
      <c r="AC31" s="591" t="s">
        <v>160</v>
      </c>
      <c r="AD31" s="591" t="s">
        <v>160</v>
      </c>
      <c r="AE31" s="591" t="s">
        <v>160</v>
      </c>
      <c r="AF31" s="591" t="s">
        <v>160</v>
      </c>
      <c r="AG31" s="591" t="s">
        <v>160</v>
      </c>
      <c r="AH31" s="591" t="s">
        <v>160</v>
      </c>
      <c r="AI31" s="591" t="s">
        <v>160</v>
      </c>
      <c r="AJ31" s="591" t="s">
        <v>160</v>
      </c>
      <c r="AK31" s="591" t="s">
        <v>160</v>
      </c>
      <c r="AL31" s="346" t="s">
        <v>160</v>
      </c>
      <c r="AM31" s="346" t="s">
        <v>160</v>
      </c>
      <c r="AN31" s="346" t="s">
        <v>160</v>
      </c>
      <c r="AO31" s="346" t="s">
        <v>160</v>
      </c>
      <c r="AP31" s="346" t="s">
        <v>160</v>
      </c>
      <c r="AQ31" s="346" t="s">
        <v>160</v>
      </c>
      <c r="AR31" s="346" t="s">
        <v>160</v>
      </c>
      <c r="AS31" s="346" t="s">
        <v>160</v>
      </c>
      <c r="AT31" s="346" t="s">
        <v>160</v>
      </c>
      <c r="AU31" s="346" t="s">
        <v>160</v>
      </c>
      <c r="AV31" s="346" t="s">
        <v>160</v>
      </c>
      <c r="AW31" s="346" t="s">
        <v>160</v>
      </c>
      <c r="AX31" s="947" t="s">
        <v>160</v>
      </c>
      <c r="AY31" s="346" t="s">
        <v>160</v>
      </c>
      <c r="AZ31" s="346" t="s">
        <v>160</v>
      </c>
      <c r="BA31" s="346" t="s">
        <v>160</v>
      </c>
      <c r="BB31" s="346" t="s">
        <v>160</v>
      </c>
      <c r="BC31" s="346" t="s">
        <v>160</v>
      </c>
      <c r="BD31" s="346" t="s">
        <v>160</v>
      </c>
      <c r="BE31" s="346" t="s">
        <v>160</v>
      </c>
      <c r="BF31" s="346" t="s">
        <v>160</v>
      </c>
      <c r="BG31" s="346" t="s">
        <v>160</v>
      </c>
      <c r="BH31" s="346" t="s">
        <v>160</v>
      </c>
      <c r="BI31" s="346" t="s">
        <v>160</v>
      </c>
      <c r="BJ31" s="346" t="s">
        <v>160</v>
      </c>
      <c r="BK31" s="346" t="s">
        <v>160</v>
      </c>
      <c r="BL31" s="346" t="s">
        <v>160</v>
      </c>
      <c r="BM31" s="346" t="s">
        <v>160</v>
      </c>
      <c r="BN31" s="346" t="s">
        <v>160</v>
      </c>
      <c r="BO31" s="346" t="s">
        <v>160</v>
      </c>
      <c r="BP31" s="591" t="s">
        <v>160</v>
      </c>
      <c r="BQ31" s="591" t="s">
        <v>160</v>
      </c>
      <c r="BR31" s="591" t="s">
        <v>160</v>
      </c>
      <c r="BS31" s="591" t="s">
        <v>160</v>
      </c>
      <c r="BT31" s="591" t="s">
        <v>160</v>
      </c>
      <c r="BU31" s="591" t="s">
        <v>160</v>
      </c>
      <c r="BV31" s="591" t="s">
        <v>160</v>
      </c>
      <c r="BW31" s="591" t="s">
        <v>160</v>
      </c>
      <c r="BX31" s="591" t="s">
        <v>160</v>
      </c>
      <c r="BY31" s="591" t="s">
        <v>160</v>
      </c>
      <c r="BZ31" s="591" t="s">
        <v>160</v>
      </c>
      <c r="CA31" s="591" t="s">
        <v>160</v>
      </c>
      <c r="CB31" s="591" t="s">
        <v>160</v>
      </c>
      <c r="CC31" s="591" t="s">
        <v>160</v>
      </c>
      <c r="CD31" s="591" t="s">
        <v>160</v>
      </c>
      <c r="CE31" s="591" t="s">
        <v>160</v>
      </c>
      <c r="CF31" s="591" t="s">
        <v>160</v>
      </c>
      <c r="CG31" s="591" t="s">
        <v>160</v>
      </c>
      <c r="CH31" s="591" t="s">
        <v>160</v>
      </c>
      <c r="CI31" s="591" t="s">
        <v>160</v>
      </c>
      <c r="CJ31" s="591" t="s">
        <v>160</v>
      </c>
      <c r="CK31" s="591" t="s">
        <v>160</v>
      </c>
      <c r="CL31" s="591" t="s">
        <v>160</v>
      </c>
      <c r="CM31" s="591" t="s">
        <v>160</v>
      </c>
      <c r="CN31" s="591" t="s">
        <v>160</v>
      </c>
      <c r="CO31" s="591" t="s">
        <v>160</v>
      </c>
      <c r="CP31" s="591" t="s">
        <v>160</v>
      </c>
      <c r="CQ31" s="591" t="s">
        <v>160</v>
      </c>
      <c r="CR31" s="591" t="s">
        <v>160</v>
      </c>
      <c r="CS31" s="591" t="s">
        <v>160</v>
      </c>
      <c r="CT31" s="591" t="s">
        <v>160</v>
      </c>
      <c r="CU31" s="591" t="s">
        <v>160</v>
      </c>
      <c r="CV31" s="591" t="s">
        <v>160</v>
      </c>
      <c r="CW31" s="591" t="s">
        <v>160</v>
      </c>
      <c r="CX31" s="591" t="s">
        <v>160</v>
      </c>
      <c r="CY31" s="591" t="s">
        <v>160</v>
      </c>
      <c r="CZ31" s="591" t="s">
        <v>160</v>
      </c>
      <c r="DA31" s="591">
        <v>285</v>
      </c>
      <c r="DB31" s="591">
        <v>285</v>
      </c>
      <c r="DC31" s="591">
        <v>285</v>
      </c>
      <c r="DD31" s="690">
        <v>326</v>
      </c>
      <c r="DE31" s="591">
        <v>326</v>
      </c>
      <c r="DF31" s="591">
        <v>326</v>
      </c>
      <c r="DG31" s="591">
        <v>326</v>
      </c>
      <c r="DH31" s="591">
        <v>326</v>
      </c>
      <c r="DI31" s="591">
        <v>326</v>
      </c>
      <c r="DJ31" s="591">
        <v>326</v>
      </c>
      <c r="DK31" s="591">
        <v>326</v>
      </c>
      <c r="DL31" s="591">
        <v>326</v>
      </c>
      <c r="DM31" s="591">
        <v>326</v>
      </c>
      <c r="DN31" s="591">
        <v>326</v>
      </c>
      <c r="DO31" s="690">
        <v>267</v>
      </c>
      <c r="DP31" s="591">
        <v>267</v>
      </c>
      <c r="DQ31" s="591">
        <v>267</v>
      </c>
      <c r="DR31" s="591">
        <v>267</v>
      </c>
      <c r="DS31" s="591">
        <v>267</v>
      </c>
      <c r="DT31" s="591">
        <v>267</v>
      </c>
      <c r="DU31" s="591">
        <v>267</v>
      </c>
      <c r="DV31" s="591">
        <v>267</v>
      </c>
    </row>
    <row r="32" spans="1:126" x14ac:dyDescent="0.25">
      <c r="A32" t="s">
        <v>557</v>
      </c>
      <c r="B32" t="s">
        <v>856</v>
      </c>
      <c r="C32"/>
      <c r="D32" s="1092" t="str">
        <f>IF([1]RENAME!$H$3=1,B32,A32)</f>
        <v>Média</v>
      </c>
      <c r="E32" s="1095" t="str">
        <f t="shared" ref="E32:AJ32" si="25">IFERROR(AVERAGE(E30:E31),"-")</f>
        <v>-</v>
      </c>
      <c r="F32" s="1095" t="str">
        <f t="shared" si="25"/>
        <v>-</v>
      </c>
      <c r="G32" s="1095" t="str">
        <f t="shared" si="25"/>
        <v>-</v>
      </c>
      <c r="H32" s="1095" t="str">
        <f t="shared" si="25"/>
        <v>-</v>
      </c>
      <c r="I32" s="1095" t="str">
        <f t="shared" si="25"/>
        <v>-</v>
      </c>
      <c r="J32" s="1095" t="str">
        <f t="shared" si="25"/>
        <v>-</v>
      </c>
      <c r="K32" s="1095" t="str">
        <f t="shared" si="25"/>
        <v>-</v>
      </c>
      <c r="L32" s="1095" t="str">
        <f t="shared" si="25"/>
        <v>-</v>
      </c>
      <c r="M32" s="1095" t="str">
        <f t="shared" si="25"/>
        <v>-</v>
      </c>
      <c r="N32" s="1095" t="str">
        <f t="shared" si="25"/>
        <v>-</v>
      </c>
      <c r="O32" s="1095" t="str">
        <f t="shared" si="25"/>
        <v>-</v>
      </c>
      <c r="P32" s="1095" t="str">
        <f t="shared" si="25"/>
        <v>-</v>
      </c>
      <c r="Q32" s="1095" t="str">
        <f t="shared" si="25"/>
        <v>-</v>
      </c>
      <c r="R32" s="1095" t="str">
        <f t="shared" si="25"/>
        <v>-</v>
      </c>
      <c r="S32" s="1095" t="str">
        <f t="shared" si="25"/>
        <v>-</v>
      </c>
      <c r="T32" s="1095" t="str">
        <f t="shared" si="25"/>
        <v>-</v>
      </c>
      <c r="U32" s="1095" t="str">
        <f t="shared" si="25"/>
        <v>-</v>
      </c>
      <c r="V32" s="1095" t="str">
        <f t="shared" si="25"/>
        <v>-</v>
      </c>
      <c r="W32" s="1095" t="str">
        <f t="shared" si="25"/>
        <v>-</v>
      </c>
      <c r="X32" s="1095" t="str">
        <f t="shared" si="25"/>
        <v>-</v>
      </c>
      <c r="Y32" s="1095" t="str">
        <f t="shared" si="25"/>
        <v>-</v>
      </c>
      <c r="Z32" s="1095" t="str">
        <f t="shared" si="25"/>
        <v>-</v>
      </c>
      <c r="AA32" s="1095" t="str">
        <f t="shared" si="25"/>
        <v>-</v>
      </c>
      <c r="AB32" s="1095" t="str">
        <f t="shared" si="25"/>
        <v>-</v>
      </c>
      <c r="AC32" s="1095" t="str">
        <f t="shared" si="25"/>
        <v>-</v>
      </c>
      <c r="AD32" s="1095" t="str">
        <f t="shared" si="25"/>
        <v>-</v>
      </c>
      <c r="AE32" s="1095" t="str">
        <f t="shared" si="25"/>
        <v>-</v>
      </c>
      <c r="AF32" s="1095" t="str">
        <f t="shared" si="25"/>
        <v>-</v>
      </c>
      <c r="AG32" s="1095" t="str">
        <f t="shared" si="25"/>
        <v>-</v>
      </c>
      <c r="AH32" s="1095" t="str">
        <f t="shared" si="25"/>
        <v>-</v>
      </c>
      <c r="AI32" s="1095" t="str">
        <f t="shared" si="25"/>
        <v>-</v>
      </c>
      <c r="AJ32" s="1095" t="str">
        <f t="shared" si="25"/>
        <v>-</v>
      </c>
      <c r="AK32" s="1095" t="str">
        <f t="shared" ref="AK32:BP32" si="26">IFERROR(AVERAGE(AK30:AK31),"-")</f>
        <v>-</v>
      </c>
      <c r="AL32" s="1095" t="str">
        <f t="shared" si="26"/>
        <v>-</v>
      </c>
      <c r="AM32" s="1095" t="str">
        <f t="shared" si="26"/>
        <v>-</v>
      </c>
      <c r="AN32" s="1095" t="str">
        <f t="shared" si="26"/>
        <v>-</v>
      </c>
      <c r="AO32" s="1095" t="str">
        <f t="shared" si="26"/>
        <v>-</v>
      </c>
      <c r="AP32" s="1095" t="str">
        <f t="shared" si="26"/>
        <v>-</v>
      </c>
      <c r="AQ32" s="1095" t="str">
        <f t="shared" si="26"/>
        <v>-</v>
      </c>
      <c r="AR32" s="1095" t="str">
        <f t="shared" si="26"/>
        <v>-</v>
      </c>
      <c r="AS32" s="1095" t="str">
        <f t="shared" si="26"/>
        <v>-</v>
      </c>
      <c r="AT32" s="1095" t="str">
        <f t="shared" si="26"/>
        <v>-</v>
      </c>
      <c r="AU32" s="1095" t="str">
        <f t="shared" si="26"/>
        <v>-</v>
      </c>
      <c r="AV32" s="1095" t="str">
        <f t="shared" si="26"/>
        <v>-</v>
      </c>
      <c r="AW32" s="1095" t="str">
        <f t="shared" si="26"/>
        <v>-</v>
      </c>
      <c r="AX32" s="1095" t="str">
        <f t="shared" si="26"/>
        <v>-</v>
      </c>
      <c r="AY32" s="1095" t="str">
        <f t="shared" si="26"/>
        <v>-</v>
      </c>
      <c r="AZ32" s="1095" t="str">
        <f t="shared" si="26"/>
        <v>-</v>
      </c>
      <c r="BA32" s="1095" t="str">
        <f t="shared" si="26"/>
        <v>-</v>
      </c>
      <c r="BB32" s="1095" t="str">
        <f t="shared" si="26"/>
        <v>-</v>
      </c>
      <c r="BC32" s="1095" t="str">
        <f t="shared" si="26"/>
        <v>-</v>
      </c>
      <c r="BD32" s="1095" t="str">
        <f t="shared" si="26"/>
        <v>-</v>
      </c>
      <c r="BE32" s="1095" t="str">
        <f t="shared" si="26"/>
        <v>-</v>
      </c>
      <c r="BF32" s="1095" t="str">
        <f t="shared" si="26"/>
        <v>-</v>
      </c>
      <c r="BG32" s="1095" t="str">
        <f t="shared" si="26"/>
        <v>-</v>
      </c>
      <c r="BH32" s="1095" t="str">
        <f t="shared" si="26"/>
        <v>-</v>
      </c>
      <c r="BI32" s="1095" t="str">
        <f t="shared" si="26"/>
        <v>-</v>
      </c>
      <c r="BJ32" s="1095" t="str">
        <f t="shared" si="26"/>
        <v>-</v>
      </c>
      <c r="BK32" s="1095" t="str">
        <f t="shared" si="26"/>
        <v>-</v>
      </c>
      <c r="BL32" s="1095" t="str">
        <f t="shared" si="26"/>
        <v>-</v>
      </c>
      <c r="BM32" s="1095" t="str">
        <f t="shared" si="26"/>
        <v>-</v>
      </c>
      <c r="BN32" s="1095" t="str">
        <f t="shared" si="26"/>
        <v>-</v>
      </c>
      <c r="BO32" s="1095" t="str">
        <f t="shared" si="26"/>
        <v>-</v>
      </c>
      <c r="BP32" s="1095" t="str">
        <f t="shared" si="26"/>
        <v>-</v>
      </c>
      <c r="BQ32" s="1095" t="str">
        <f t="shared" ref="BQ32:CV32" si="27">IFERROR(AVERAGE(BQ30:BQ31),"-")</f>
        <v>-</v>
      </c>
      <c r="BR32" s="1095" t="str">
        <f t="shared" si="27"/>
        <v>-</v>
      </c>
      <c r="BS32" s="1095" t="str">
        <f t="shared" si="27"/>
        <v>-</v>
      </c>
      <c r="BT32" s="1095" t="str">
        <f t="shared" si="27"/>
        <v>-</v>
      </c>
      <c r="BU32" s="1095" t="str">
        <f t="shared" si="27"/>
        <v>-</v>
      </c>
      <c r="BV32" s="1095" t="str">
        <f t="shared" si="27"/>
        <v>-</v>
      </c>
      <c r="BW32" s="1095" t="str">
        <f t="shared" si="27"/>
        <v>-</v>
      </c>
      <c r="BX32" s="1095" t="str">
        <f t="shared" si="27"/>
        <v>-</v>
      </c>
      <c r="BY32" s="1095" t="str">
        <f t="shared" si="27"/>
        <v>-</v>
      </c>
      <c r="BZ32" s="1095" t="str">
        <f t="shared" si="27"/>
        <v>-</v>
      </c>
      <c r="CA32" s="1095" t="str">
        <f t="shared" si="27"/>
        <v>-</v>
      </c>
      <c r="CB32" s="1095" t="str">
        <f t="shared" si="27"/>
        <v>-</v>
      </c>
      <c r="CC32" s="1095" t="str">
        <f t="shared" si="27"/>
        <v>-</v>
      </c>
      <c r="CD32" s="1095" t="str">
        <f t="shared" si="27"/>
        <v>-</v>
      </c>
      <c r="CE32" s="1095" t="str">
        <f t="shared" si="27"/>
        <v>-</v>
      </c>
      <c r="CF32" s="1095" t="str">
        <f t="shared" si="27"/>
        <v>-</v>
      </c>
      <c r="CG32" s="1095" t="str">
        <f t="shared" si="27"/>
        <v>-</v>
      </c>
      <c r="CH32" s="1095" t="str">
        <f t="shared" si="27"/>
        <v>-</v>
      </c>
      <c r="CI32" s="1095" t="str">
        <f t="shared" si="27"/>
        <v>-</v>
      </c>
      <c r="CJ32" s="1095" t="str">
        <f t="shared" si="27"/>
        <v>-</v>
      </c>
      <c r="CK32" s="1095" t="str">
        <f t="shared" si="27"/>
        <v>-</v>
      </c>
      <c r="CL32" s="1095" t="str">
        <f t="shared" si="27"/>
        <v>-</v>
      </c>
      <c r="CM32" s="1095" t="str">
        <f t="shared" si="27"/>
        <v>-</v>
      </c>
      <c r="CN32" s="1095" t="str">
        <f t="shared" si="27"/>
        <v>-</v>
      </c>
      <c r="CO32" s="1095" t="str">
        <f t="shared" si="27"/>
        <v>-</v>
      </c>
      <c r="CP32" s="1095" t="str">
        <f t="shared" si="27"/>
        <v>-</v>
      </c>
      <c r="CQ32" s="1095" t="str">
        <f t="shared" si="27"/>
        <v>-</v>
      </c>
      <c r="CR32" s="1095" t="str">
        <f t="shared" si="27"/>
        <v>-</v>
      </c>
      <c r="CS32" s="1095" t="str">
        <f t="shared" si="27"/>
        <v>-</v>
      </c>
      <c r="CT32" s="1095" t="str">
        <f t="shared" si="27"/>
        <v>-</v>
      </c>
      <c r="CU32" s="1095" t="str">
        <f t="shared" si="27"/>
        <v>-</v>
      </c>
      <c r="CV32" s="1095" t="str">
        <f t="shared" si="27"/>
        <v>-</v>
      </c>
      <c r="CW32" s="1095" t="str">
        <f t="shared" ref="CW32:DI32" si="28">IFERROR(AVERAGE(CW30:CW31),"-")</f>
        <v>-</v>
      </c>
      <c r="CX32" s="1095" t="str">
        <f t="shared" si="28"/>
        <v>-</v>
      </c>
      <c r="CY32" s="1095" t="str">
        <f t="shared" si="28"/>
        <v>-</v>
      </c>
      <c r="CZ32" s="1095" t="str">
        <f t="shared" si="28"/>
        <v>-</v>
      </c>
      <c r="DA32" s="1095">
        <f t="shared" si="28"/>
        <v>285</v>
      </c>
      <c r="DB32" s="1095">
        <f t="shared" si="28"/>
        <v>285</v>
      </c>
      <c r="DC32" s="1095">
        <f t="shared" si="28"/>
        <v>285</v>
      </c>
      <c r="DD32" s="1095">
        <f t="shared" si="28"/>
        <v>326</v>
      </c>
      <c r="DE32" s="1095">
        <f t="shared" si="28"/>
        <v>326</v>
      </c>
      <c r="DF32" s="1095">
        <f t="shared" si="28"/>
        <v>326</v>
      </c>
      <c r="DG32" s="1095">
        <f t="shared" si="28"/>
        <v>326</v>
      </c>
      <c r="DH32" s="1095">
        <f t="shared" si="28"/>
        <v>307</v>
      </c>
      <c r="DI32" s="1095">
        <f t="shared" si="28"/>
        <v>307</v>
      </c>
      <c r="DJ32" s="1095">
        <v>307</v>
      </c>
      <c r="DK32" s="1095">
        <f t="shared" ref="DK32:DR32" si="29">IFERROR(AVERAGE(DK30:DK31),"-")</f>
        <v>307</v>
      </c>
      <c r="DL32" s="1095">
        <f t="shared" si="29"/>
        <v>307</v>
      </c>
      <c r="DM32" s="1095">
        <f t="shared" si="29"/>
        <v>307</v>
      </c>
      <c r="DN32" s="1095">
        <f t="shared" si="29"/>
        <v>307</v>
      </c>
      <c r="DO32" s="1095">
        <f t="shared" si="29"/>
        <v>271</v>
      </c>
      <c r="DP32" s="1095">
        <f t="shared" si="29"/>
        <v>271</v>
      </c>
      <c r="DQ32" s="1095">
        <f t="shared" si="29"/>
        <v>271</v>
      </c>
      <c r="DR32" s="1095">
        <f t="shared" si="29"/>
        <v>271</v>
      </c>
      <c r="DS32" s="1095">
        <f>IFERROR(AVERAGE(DS30:DS31),"-")</f>
        <v>271</v>
      </c>
      <c r="DT32" s="1095">
        <f>IFERROR(AVERAGE(DT30:DT31),"-")</f>
        <v>271</v>
      </c>
      <c r="DU32" s="1095">
        <f>IFERROR(AVERAGE(DU30:DU31),"-")</f>
        <v>271</v>
      </c>
      <c r="DV32" s="1095">
        <f>IFERROR(AVERAGE(DV30:DV31),"-")</f>
        <v>271</v>
      </c>
    </row>
    <row r="33" spans="1:126" x14ac:dyDescent="0.25">
      <c r="A33"/>
      <c r="B33"/>
      <c r="C33" s="1012"/>
      <c r="D33" s="1010"/>
      <c r="E33" s="1011"/>
      <c r="F33" s="1011"/>
      <c r="G33" s="1011"/>
      <c r="H33" s="1011"/>
      <c r="I33" s="1011"/>
      <c r="J33" s="1011"/>
      <c r="K33" s="1011"/>
      <c r="L33" s="1011"/>
      <c r="M33" s="1011"/>
      <c r="N33" s="1012"/>
      <c r="O33" s="1012"/>
      <c r="P33" s="1012"/>
      <c r="Q33" s="1012"/>
      <c r="R33" s="1012"/>
      <c r="S33" s="1012"/>
      <c r="T33" s="1012"/>
      <c r="U33" s="1012"/>
      <c r="V33" s="1012"/>
      <c r="W33" s="1012"/>
      <c r="X33" s="1013"/>
      <c r="Y33" s="1013"/>
      <c r="Z33" s="1013"/>
      <c r="AA33" s="1013"/>
      <c r="AB33" s="1013"/>
      <c r="AC33" s="1013"/>
      <c r="AD33" s="1013"/>
      <c r="AE33" s="1013"/>
      <c r="AF33" s="1013"/>
      <c r="AG33" s="1013"/>
      <c r="AH33" s="1013"/>
      <c r="AI33" s="1013"/>
      <c r="AJ33" s="1013"/>
      <c r="AK33" s="1013"/>
      <c r="AL33" s="1013"/>
      <c r="AM33" s="1013"/>
      <c r="AN33" s="1013"/>
      <c r="AO33" s="1013"/>
      <c r="AP33" s="1013"/>
      <c r="AQ33" s="1013"/>
      <c r="AR33" s="1013"/>
      <c r="AS33" s="1013"/>
      <c r="AT33" s="1013"/>
      <c r="AU33" s="1013"/>
      <c r="AV33" s="1012"/>
      <c r="AW33" s="1012"/>
      <c r="AX33" s="1014"/>
      <c r="AY33" s="1015"/>
      <c r="AZ33" s="1015"/>
      <c r="BA33" s="1015"/>
      <c r="BB33" s="1012"/>
      <c r="BC33" s="1012"/>
      <c r="BD33" s="1012"/>
      <c r="BE33" s="1012"/>
      <c r="BF33" s="1012"/>
      <c r="BG33" s="1012"/>
      <c r="BH33" s="1012"/>
      <c r="BI33" s="1012"/>
      <c r="BJ33" s="1012"/>
      <c r="BK33" s="1012"/>
      <c r="BL33" s="1012"/>
      <c r="BM33" s="1012"/>
      <c r="BN33" s="1012"/>
      <c r="BO33" s="1012"/>
      <c r="BP33" s="1012"/>
      <c r="BQ33" s="1012"/>
      <c r="BR33" s="1012"/>
      <c r="BS33" s="1012"/>
      <c r="BT33" s="1012"/>
      <c r="BU33" s="1012"/>
      <c r="BV33" s="1012"/>
      <c r="BW33" s="1012"/>
      <c r="BX33" s="1012"/>
      <c r="BY33" s="1012"/>
      <c r="BZ33" s="1012"/>
      <c r="CA33" s="1012"/>
      <c r="CB33" s="1012"/>
      <c r="CC33" s="1012"/>
      <c r="CD33" s="1012"/>
      <c r="CE33" s="1012"/>
      <c r="CF33" s="1012"/>
      <c r="CG33" s="1012"/>
      <c r="CH33" s="1012"/>
      <c r="CI33" s="1012"/>
      <c r="CJ33" s="1012"/>
      <c r="CK33" s="1012"/>
      <c r="CL33" s="1012"/>
      <c r="CM33" s="1012"/>
      <c r="CN33" s="1012"/>
      <c r="CO33" s="1012"/>
      <c r="CP33" s="1012"/>
      <c r="CQ33" s="1012"/>
      <c r="CR33" s="1012"/>
      <c r="CS33" s="1012"/>
      <c r="CT33" s="1012"/>
      <c r="CU33" s="1012"/>
      <c r="CV33" s="1012"/>
      <c r="CW33" s="1012"/>
      <c r="CX33" s="1012"/>
      <c r="CY33" s="1012"/>
      <c r="CZ33" s="1012"/>
      <c r="DA33" s="1012"/>
      <c r="DB33" s="1012"/>
      <c r="DC33" s="1012"/>
      <c r="DD33" s="1012"/>
      <c r="DE33" s="1012"/>
      <c r="DF33" s="1012"/>
      <c r="DG33" s="1012"/>
    </row>
    <row r="34" spans="1:126" x14ac:dyDescent="0.25">
      <c r="A34" s="261" t="s">
        <v>2301</v>
      </c>
      <c r="B34" s="261" t="s">
        <v>2302</v>
      </c>
      <c r="C34" s="1012"/>
      <c r="D34" s="113" t="str">
        <f>IF([1]RENAME!$H$3=1,B34,A34)</f>
        <v>Receita líquida 2027</v>
      </c>
      <c r="E34" s="262">
        <f t="shared" ref="E34:BP34" si="30">E$11</f>
        <v>42522</v>
      </c>
      <c r="F34" s="262">
        <f t="shared" si="30"/>
        <v>42552</v>
      </c>
      <c r="G34" s="262">
        <f t="shared" si="30"/>
        <v>42583</v>
      </c>
      <c r="H34" s="262">
        <f t="shared" si="30"/>
        <v>42614</v>
      </c>
      <c r="I34" s="262">
        <f t="shared" si="30"/>
        <v>42644</v>
      </c>
      <c r="J34" s="262">
        <f t="shared" si="30"/>
        <v>42675</v>
      </c>
      <c r="K34" s="262">
        <f t="shared" si="30"/>
        <v>42705</v>
      </c>
      <c r="L34" s="262">
        <f t="shared" si="30"/>
        <v>42736</v>
      </c>
      <c r="M34" s="262">
        <f t="shared" si="30"/>
        <v>42767</v>
      </c>
      <c r="N34" s="262">
        <f t="shared" si="30"/>
        <v>42795</v>
      </c>
      <c r="O34" s="262">
        <f t="shared" si="30"/>
        <v>42826</v>
      </c>
      <c r="P34" s="262">
        <f t="shared" si="30"/>
        <v>42856</v>
      </c>
      <c r="Q34" s="262">
        <f t="shared" si="30"/>
        <v>42887</v>
      </c>
      <c r="R34" s="262">
        <f t="shared" si="30"/>
        <v>42917</v>
      </c>
      <c r="S34" s="262">
        <f t="shared" si="30"/>
        <v>42948</v>
      </c>
      <c r="T34" s="262">
        <f t="shared" si="30"/>
        <v>42979</v>
      </c>
      <c r="U34" s="262">
        <f t="shared" si="30"/>
        <v>43009</v>
      </c>
      <c r="V34" s="262">
        <f t="shared" si="30"/>
        <v>43040</v>
      </c>
      <c r="W34" s="262">
        <f t="shared" si="30"/>
        <v>43070</v>
      </c>
      <c r="X34" s="262">
        <f t="shared" si="30"/>
        <v>43101</v>
      </c>
      <c r="Y34" s="262">
        <f t="shared" si="30"/>
        <v>43132</v>
      </c>
      <c r="Z34" s="262">
        <f t="shared" si="30"/>
        <v>43160</v>
      </c>
      <c r="AA34" s="262">
        <f t="shared" si="30"/>
        <v>43191</v>
      </c>
      <c r="AB34" s="262">
        <f t="shared" si="30"/>
        <v>43221</v>
      </c>
      <c r="AC34" s="262">
        <f t="shared" si="30"/>
        <v>43252</v>
      </c>
      <c r="AD34" s="262">
        <f t="shared" si="30"/>
        <v>43283</v>
      </c>
      <c r="AE34" s="262">
        <f t="shared" si="30"/>
        <v>43314</v>
      </c>
      <c r="AF34" s="262">
        <f t="shared" si="30"/>
        <v>43345</v>
      </c>
      <c r="AG34" s="262">
        <f t="shared" si="30"/>
        <v>43376</v>
      </c>
      <c r="AH34" s="262">
        <f t="shared" si="30"/>
        <v>43407</v>
      </c>
      <c r="AI34" s="262">
        <f t="shared" si="30"/>
        <v>43437</v>
      </c>
      <c r="AJ34" s="262">
        <f t="shared" si="30"/>
        <v>43468</v>
      </c>
      <c r="AK34" s="262">
        <f t="shared" si="30"/>
        <v>43499</v>
      </c>
      <c r="AL34" s="262">
        <f t="shared" si="30"/>
        <v>43527</v>
      </c>
      <c r="AM34" s="262">
        <f t="shared" si="30"/>
        <v>43558</v>
      </c>
      <c r="AN34" s="262">
        <f t="shared" si="30"/>
        <v>43587</v>
      </c>
      <c r="AO34" s="262">
        <f t="shared" si="30"/>
        <v>43618</v>
      </c>
      <c r="AP34" s="262">
        <f t="shared" si="30"/>
        <v>43647</v>
      </c>
      <c r="AQ34" s="262">
        <f t="shared" si="30"/>
        <v>43678</v>
      </c>
      <c r="AR34" s="262">
        <f t="shared" si="30"/>
        <v>43709</v>
      </c>
      <c r="AS34" s="262">
        <f t="shared" si="30"/>
        <v>43739</v>
      </c>
      <c r="AT34" s="262">
        <f t="shared" si="30"/>
        <v>43770</v>
      </c>
      <c r="AU34" s="262">
        <f t="shared" si="30"/>
        <v>43800</v>
      </c>
      <c r="AV34" s="262">
        <f t="shared" si="30"/>
        <v>43831</v>
      </c>
      <c r="AW34" s="262">
        <f t="shared" si="30"/>
        <v>43862</v>
      </c>
      <c r="AX34" s="933">
        <f t="shared" si="30"/>
        <v>43891</v>
      </c>
      <c r="AY34" s="262">
        <f t="shared" si="30"/>
        <v>43922</v>
      </c>
      <c r="AZ34" s="262">
        <f t="shared" si="30"/>
        <v>43952</v>
      </c>
      <c r="BA34" s="262">
        <f t="shared" si="30"/>
        <v>43983</v>
      </c>
      <c r="BB34" s="262">
        <f t="shared" si="30"/>
        <v>44013</v>
      </c>
      <c r="BC34" s="262">
        <f t="shared" si="30"/>
        <v>44044</v>
      </c>
      <c r="BD34" s="262">
        <f t="shared" si="30"/>
        <v>44075</v>
      </c>
      <c r="BE34" s="262">
        <f t="shared" si="30"/>
        <v>44105</v>
      </c>
      <c r="BF34" s="262">
        <f t="shared" si="30"/>
        <v>44136</v>
      </c>
      <c r="BG34" s="262">
        <f t="shared" si="30"/>
        <v>44166</v>
      </c>
      <c r="BH34" s="262">
        <f t="shared" si="30"/>
        <v>44197</v>
      </c>
      <c r="BI34" s="262">
        <f t="shared" si="30"/>
        <v>44228</v>
      </c>
      <c r="BJ34" s="262">
        <f t="shared" si="30"/>
        <v>44256</v>
      </c>
      <c r="BK34" s="262">
        <f t="shared" si="30"/>
        <v>44287</v>
      </c>
      <c r="BL34" s="262">
        <f t="shared" si="30"/>
        <v>44317</v>
      </c>
      <c r="BM34" s="262">
        <f t="shared" si="30"/>
        <v>44348</v>
      </c>
      <c r="BN34" s="262">
        <f t="shared" si="30"/>
        <v>44378</v>
      </c>
      <c r="BO34" s="262">
        <f t="shared" si="30"/>
        <v>44409</v>
      </c>
      <c r="BP34" s="262">
        <f t="shared" si="30"/>
        <v>44440</v>
      </c>
      <c r="BQ34" s="262">
        <f t="shared" ref="BQ34:DV34" si="31">BQ$11</f>
        <v>44470</v>
      </c>
      <c r="BR34" s="262">
        <f t="shared" si="31"/>
        <v>44501</v>
      </c>
      <c r="BS34" s="262">
        <f t="shared" si="31"/>
        <v>44531</v>
      </c>
      <c r="BT34" s="262">
        <f t="shared" si="31"/>
        <v>44562</v>
      </c>
      <c r="BU34" s="262">
        <f t="shared" si="31"/>
        <v>44593</v>
      </c>
      <c r="BV34" s="262">
        <f t="shared" si="31"/>
        <v>44622</v>
      </c>
      <c r="BW34" s="262">
        <f t="shared" si="31"/>
        <v>44654</v>
      </c>
      <c r="BX34" s="262">
        <f t="shared" si="31"/>
        <v>44685</v>
      </c>
      <c r="BY34" s="262">
        <f t="shared" si="31"/>
        <v>44716</v>
      </c>
      <c r="BZ34" s="262">
        <f t="shared" si="31"/>
        <v>44746</v>
      </c>
      <c r="CA34" s="262">
        <f t="shared" si="31"/>
        <v>44774</v>
      </c>
      <c r="CB34" s="262">
        <f t="shared" si="31"/>
        <v>44805</v>
      </c>
      <c r="CC34" s="262">
        <f t="shared" si="31"/>
        <v>44835</v>
      </c>
      <c r="CD34" s="262">
        <f t="shared" si="31"/>
        <v>44866</v>
      </c>
      <c r="CE34" s="262">
        <f t="shared" si="31"/>
        <v>44896</v>
      </c>
      <c r="CF34" s="262">
        <f t="shared" si="31"/>
        <v>44927</v>
      </c>
      <c r="CG34" s="262">
        <f t="shared" si="31"/>
        <v>44958</v>
      </c>
      <c r="CH34" s="262">
        <f t="shared" si="31"/>
        <v>44986</v>
      </c>
      <c r="CI34" s="262">
        <f t="shared" si="31"/>
        <v>45017</v>
      </c>
      <c r="CJ34" s="262">
        <f t="shared" si="31"/>
        <v>45047</v>
      </c>
      <c r="CK34" s="262">
        <f t="shared" si="31"/>
        <v>45078</v>
      </c>
      <c r="CL34" s="262">
        <f t="shared" si="31"/>
        <v>45108</v>
      </c>
      <c r="CM34" s="262">
        <f t="shared" si="31"/>
        <v>45139</v>
      </c>
      <c r="CN34" s="262">
        <f t="shared" si="31"/>
        <v>45170</v>
      </c>
      <c r="CO34" s="262">
        <f t="shared" si="31"/>
        <v>45200</v>
      </c>
      <c r="CP34" s="262">
        <f t="shared" si="31"/>
        <v>45231</v>
      </c>
      <c r="CQ34" s="262">
        <f t="shared" si="31"/>
        <v>45261</v>
      </c>
      <c r="CR34" s="262">
        <f t="shared" si="31"/>
        <v>45292</v>
      </c>
      <c r="CS34" s="262">
        <f t="shared" si="31"/>
        <v>45323</v>
      </c>
      <c r="CT34" s="262">
        <f t="shared" si="31"/>
        <v>45352</v>
      </c>
      <c r="CU34" s="262">
        <f t="shared" si="31"/>
        <v>45383</v>
      </c>
      <c r="CV34" s="262">
        <f t="shared" si="31"/>
        <v>45413</v>
      </c>
      <c r="CW34" s="262">
        <f t="shared" si="31"/>
        <v>45444</v>
      </c>
      <c r="CX34" s="262">
        <f t="shared" si="31"/>
        <v>45474</v>
      </c>
      <c r="CY34" s="262">
        <f t="shared" si="31"/>
        <v>45505</v>
      </c>
      <c r="CZ34" s="262">
        <f t="shared" si="31"/>
        <v>45536</v>
      </c>
      <c r="DA34" s="262">
        <f t="shared" si="31"/>
        <v>45566</v>
      </c>
      <c r="DB34" s="262">
        <f t="shared" si="31"/>
        <v>45597</v>
      </c>
      <c r="DC34" s="262">
        <f t="shared" si="31"/>
        <v>45627</v>
      </c>
      <c r="DD34" s="262">
        <f t="shared" si="31"/>
        <v>45658</v>
      </c>
      <c r="DE34" s="262">
        <f t="shared" si="31"/>
        <v>45689</v>
      </c>
      <c r="DF34" s="262">
        <f t="shared" si="31"/>
        <v>45717</v>
      </c>
      <c r="DG34" s="262">
        <f t="shared" si="31"/>
        <v>45748</v>
      </c>
      <c r="DH34" s="262">
        <f t="shared" si="31"/>
        <v>45778</v>
      </c>
      <c r="DI34" s="262">
        <f t="shared" si="31"/>
        <v>45809</v>
      </c>
      <c r="DJ34" s="262">
        <v>45839</v>
      </c>
      <c r="DK34" s="262">
        <f t="shared" si="31"/>
        <v>45870</v>
      </c>
      <c r="DL34" s="262">
        <f t="shared" si="31"/>
        <v>45901</v>
      </c>
      <c r="DM34" s="262">
        <f t="shared" si="31"/>
        <v>45931</v>
      </c>
      <c r="DN34" s="262">
        <f t="shared" si="31"/>
        <v>45962</v>
      </c>
      <c r="DO34" s="262">
        <f t="shared" si="31"/>
        <v>45992</v>
      </c>
      <c r="DP34" s="262">
        <f t="shared" si="31"/>
        <v>46023</v>
      </c>
      <c r="DQ34" s="262">
        <f t="shared" si="31"/>
        <v>46054</v>
      </c>
      <c r="DR34" s="262">
        <f t="shared" si="31"/>
        <v>46082</v>
      </c>
      <c r="DS34" s="262">
        <f t="shared" si="31"/>
        <v>46113</v>
      </c>
      <c r="DT34" s="262">
        <f t="shared" si="31"/>
        <v>46143</v>
      </c>
      <c r="DU34" s="262">
        <f t="shared" si="31"/>
        <v>46174</v>
      </c>
      <c r="DV34" s="262">
        <f t="shared" si="31"/>
        <v>46204</v>
      </c>
    </row>
    <row r="35" spans="1:126" x14ac:dyDescent="0.25">
      <c r="A35" s="261" t="s">
        <v>542</v>
      </c>
      <c r="B35" s="261" t="s">
        <v>542</v>
      </c>
      <c r="C35" s="1012"/>
      <c r="D35" s="117" t="str">
        <f>IF([1]RENAME!$H$3=1,B35,A35)</f>
        <v>SANTANDER</v>
      </c>
      <c r="E35" s="592" t="s">
        <v>160</v>
      </c>
      <c r="F35" s="592" t="s">
        <v>160</v>
      </c>
      <c r="G35" s="592" t="s">
        <v>160</v>
      </c>
      <c r="H35" s="592" t="s">
        <v>160</v>
      </c>
      <c r="I35" s="592" t="s">
        <v>160</v>
      </c>
      <c r="J35" s="592" t="s">
        <v>160</v>
      </c>
      <c r="K35" s="592" t="s">
        <v>160</v>
      </c>
      <c r="L35" s="591" t="s">
        <v>160</v>
      </c>
      <c r="M35" s="591" t="s">
        <v>160</v>
      </c>
      <c r="N35" s="591" t="s">
        <v>160</v>
      </c>
      <c r="O35" s="591" t="s">
        <v>160</v>
      </c>
      <c r="P35" s="591" t="s">
        <v>160</v>
      </c>
      <c r="Q35" s="591" t="s">
        <v>160</v>
      </c>
      <c r="R35" s="591" t="s">
        <v>160</v>
      </c>
      <c r="S35" s="591" t="s">
        <v>160</v>
      </c>
      <c r="T35" s="591" t="s">
        <v>160</v>
      </c>
      <c r="U35" s="591" t="s">
        <v>160</v>
      </c>
      <c r="V35" s="591" t="s">
        <v>160</v>
      </c>
      <c r="W35" s="591" t="s">
        <v>160</v>
      </c>
      <c r="X35" s="591" t="s">
        <v>160</v>
      </c>
      <c r="Y35" s="591" t="s">
        <v>160</v>
      </c>
      <c r="Z35" s="591" t="s">
        <v>160</v>
      </c>
      <c r="AA35" s="591" t="s">
        <v>160</v>
      </c>
      <c r="AB35" s="591" t="s">
        <v>160</v>
      </c>
      <c r="AC35" s="591" t="s">
        <v>160</v>
      </c>
      <c r="AD35" s="591" t="s">
        <v>160</v>
      </c>
      <c r="AE35" s="591" t="s">
        <v>160</v>
      </c>
      <c r="AF35" s="591" t="s">
        <v>160</v>
      </c>
      <c r="AG35" s="591" t="s">
        <v>160</v>
      </c>
      <c r="AH35" s="591" t="s">
        <v>160</v>
      </c>
      <c r="AI35" s="591" t="s">
        <v>160</v>
      </c>
      <c r="AJ35" s="591" t="s">
        <v>160</v>
      </c>
      <c r="AK35" s="591" t="s">
        <v>160</v>
      </c>
      <c r="AL35" s="591" t="s">
        <v>160</v>
      </c>
      <c r="AM35" s="591" t="s">
        <v>160</v>
      </c>
      <c r="AN35" s="591" t="s">
        <v>160</v>
      </c>
      <c r="AO35" s="591" t="s">
        <v>160</v>
      </c>
      <c r="AP35" s="591" t="s">
        <v>160</v>
      </c>
      <c r="AQ35" s="591" t="s">
        <v>160</v>
      </c>
      <c r="AR35" s="591" t="s">
        <v>160</v>
      </c>
      <c r="AS35" s="591" t="s">
        <v>160</v>
      </c>
      <c r="AT35" s="591" t="s">
        <v>160</v>
      </c>
      <c r="AU35" s="591" t="s">
        <v>160</v>
      </c>
      <c r="AV35" s="591" t="s">
        <v>160</v>
      </c>
      <c r="AW35" s="591" t="s">
        <v>160</v>
      </c>
      <c r="AX35" s="935" t="s">
        <v>160</v>
      </c>
      <c r="AY35" s="591" t="s">
        <v>160</v>
      </c>
      <c r="AZ35" s="591" t="s">
        <v>160</v>
      </c>
      <c r="BA35" s="591" t="s">
        <v>160</v>
      </c>
      <c r="BB35" s="591" t="s">
        <v>160</v>
      </c>
      <c r="BC35" s="591" t="s">
        <v>160</v>
      </c>
      <c r="BD35" s="591" t="s">
        <v>160</v>
      </c>
      <c r="BE35" s="591" t="s">
        <v>160</v>
      </c>
      <c r="BF35" s="591" t="s">
        <v>160</v>
      </c>
      <c r="BG35" s="591" t="s">
        <v>160</v>
      </c>
      <c r="BH35" s="591" t="s">
        <v>160</v>
      </c>
      <c r="BI35" s="591" t="s">
        <v>160</v>
      </c>
      <c r="BJ35" s="591" t="s">
        <v>160</v>
      </c>
      <c r="BK35" s="591" t="s">
        <v>160</v>
      </c>
      <c r="BL35" s="591" t="s">
        <v>160</v>
      </c>
      <c r="BM35" s="591" t="s">
        <v>160</v>
      </c>
      <c r="BN35" s="591" t="s">
        <v>160</v>
      </c>
      <c r="BO35" s="591" t="s">
        <v>160</v>
      </c>
      <c r="BP35" s="591" t="s">
        <v>160</v>
      </c>
      <c r="BQ35" s="591" t="s">
        <v>160</v>
      </c>
      <c r="BR35" s="591" t="s">
        <v>160</v>
      </c>
      <c r="BS35" s="591" t="s">
        <v>160</v>
      </c>
      <c r="BT35" s="591" t="s">
        <v>160</v>
      </c>
      <c r="BU35" s="591" t="s">
        <v>160</v>
      </c>
      <c r="BV35" s="591" t="s">
        <v>160</v>
      </c>
      <c r="BW35" s="591" t="s">
        <v>160</v>
      </c>
      <c r="BX35" s="591" t="s">
        <v>160</v>
      </c>
      <c r="BY35" s="591" t="s">
        <v>160</v>
      </c>
      <c r="BZ35" s="591" t="s">
        <v>160</v>
      </c>
      <c r="CA35" s="591" t="s">
        <v>160</v>
      </c>
      <c r="CB35" s="591" t="s">
        <v>160</v>
      </c>
      <c r="CC35" s="591" t="s">
        <v>160</v>
      </c>
      <c r="CD35" s="591" t="s">
        <v>160</v>
      </c>
      <c r="CE35" s="591" t="s">
        <v>160</v>
      </c>
      <c r="CF35" s="591" t="s">
        <v>160</v>
      </c>
      <c r="CG35" s="591" t="s">
        <v>160</v>
      </c>
      <c r="CH35" s="591" t="s">
        <v>160</v>
      </c>
      <c r="CI35" s="591" t="s">
        <v>160</v>
      </c>
      <c r="CJ35" s="591" t="s">
        <v>160</v>
      </c>
      <c r="CK35" s="591" t="s">
        <v>160</v>
      </c>
      <c r="CL35" s="591" t="s">
        <v>160</v>
      </c>
      <c r="CM35" s="591" t="s">
        <v>160</v>
      </c>
      <c r="CN35" s="591" t="s">
        <v>160</v>
      </c>
      <c r="CO35" s="591" t="s">
        <v>160</v>
      </c>
      <c r="CP35" s="591" t="s">
        <v>160</v>
      </c>
      <c r="CQ35" s="591" t="s">
        <v>160</v>
      </c>
      <c r="CR35" s="591" t="s">
        <v>160</v>
      </c>
      <c r="CS35" s="591" t="s">
        <v>160</v>
      </c>
      <c r="CT35" s="591" t="s">
        <v>160</v>
      </c>
      <c r="CU35" s="591" t="s">
        <v>160</v>
      </c>
      <c r="CV35" s="591" t="s">
        <v>160</v>
      </c>
      <c r="CW35" s="591" t="s">
        <v>160</v>
      </c>
      <c r="CX35" s="591" t="s">
        <v>160</v>
      </c>
      <c r="CY35" s="591" t="s">
        <v>160</v>
      </c>
      <c r="CZ35" s="591" t="s">
        <v>160</v>
      </c>
      <c r="DA35" s="591" t="s">
        <v>160</v>
      </c>
      <c r="DB35" s="591" t="s">
        <v>160</v>
      </c>
      <c r="DC35" s="591" t="s">
        <v>160</v>
      </c>
      <c r="DD35" s="591" t="s">
        <v>160</v>
      </c>
      <c r="DE35" s="591" t="s">
        <v>160</v>
      </c>
      <c r="DF35" s="591" t="s">
        <v>160</v>
      </c>
      <c r="DG35" s="591" t="s">
        <v>160</v>
      </c>
      <c r="DH35" s="591" t="s">
        <v>160</v>
      </c>
      <c r="DI35" s="591" t="s">
        <v>160</v>
      </c>
      <c r="DJ35" s="591" t="s">
        <v>160</v>
      </c>
      <c r="DK35" s="591" t="s">
        <v>160</v>
      </c>
      <c r="DL35" s="591" t="s">
        <v>160</v>
      </c>
      <c r="DM35" s="591" t="s">
        <v>160</v>
      </c>
      <c r="DN35" s="591" t="s">
        <v>160</v>
      </c>
      <c r="DO35" s="591">
        <v>2820</v>
      </c>
      <c r="DP35" s="591">
        <v>2820</v>
      </c>
      <c r="DQ35" s="591">
        <v>2820</v>
      </c>
      <c r="DR35" s="591">
        <v>2820</v>
      </c>
      <c r="DS35" s="591">
        <v>2820</v>
      </c>
      <c r="DT35" s="591">
        <v>2820</v>
      </c>
      <c r="DU35" s="591">
        <v>2820</v>
      </c>
      <c r="DV35" s="591">
        <v>2820</v>
      </c>
    </row>
    <row r="36" spans="1:126" x14ac:dyDescent="0.25">
      <c r="A36" s="261" t="s">
        <v>547</v>
      </c>
      <c r="B36" s="261" t="s">
        <v>547</v>
      </c>
      <c r="C36" s="1012"/>
      <c r="D36" s="117" t="str">
        <f>IF([1]RENAME!$H$3=1,B36,A36)</f>
        <v>ITAÚ</v>
      </c>
      <c r="E36" s="264" t="s">
        <v>160</v>
      </c>
      <c r="F36" s="264" t="s">
        <v>160</v>
      </c>
      <c r="G36" s="264" t="s">
        <v>160</v>
      </c>
      <c r="H36" s="264" t="s">
        <v>160</v>
      </c>
      <c r="I36" s="264" t="s">
        <v>160</v>
      </c>
      <c r="J36" s="264" t="s">
        <v>160</v>
      </c>
      <c r="K36" s="264" t="s">
        <v>160</v>
      </c>
      <c r="L36" s="336" t="s">
        <v>160</v>
      </c>
      <c r="M36" s="336" t="s">
        <v>160</v>
      </c>
      <c r="N36" s="336" t="s">
        <v>160</v>
      </c>
      <c r="O36" s="336" t="s">
        <v>160</v>
      </c>
      <c r="P36" s="336" t="s">
        <v>160</v>
      </c>
      <c r="Q36" s="336" t="s">
        <v>160</v>
      </c>
      <c r="R36" s="336" t="s">
        <v>160</v>
      </c>
      <c r="S36" s="336" t="s">
        <v>160</v>
      </c>
      <c r="T36" s="336" t="s">
        <v>160</v>
      </c>
      <c r="U36" s="336" t="s">
        <v>160</v>
      </c>
      <c r="V36" s="336" t="s">
        <v>160</v>
      </c>
      <c r="W36" s="336" t="s">
        <v>160</v>
      </c>
      <c r="X36" s="336" t="s">
        <v>160</v>
      </c>
      <c r="Y36" s="336" t="s">
        <v>160</v>
      </c>
      <c r="Z36" s="336" t="s">
        <v>160</v>
      </c>
      <c r="AA36" s="336" t="s">
        <v>160</v>
      </c>
      <c r="AB36" s="336" t="s">
        <v>160</v>
      </c>
      <c r="AC36" s="336" t="s">
        <v>160</v>
      </c>
      <c r="AD36" s="336" t="s">
        <v>160</v>
      </c>
      <c r="AE36" s="336" t="s">
        <v>160</v>
      </c>
      <c r="AF36" s="336" t="s">
        <v>160</v>
      </c>
      <c r="AG36" s="336" t="s">
        <v>160</v>
      </c>
      <c r="AH36" s="336" t="s">
        <v>160</v>
      </c>
      <c r="AI36" s="336" t="s">
        <v>160</v>
      </c>
      <c r="AJ36" s="336" t="s">
        <v>160</v>
      </c>
      <c r="AK36" s="336" t="s">
        <v>160</v>
      </c>
      <c r="AL36" s="336" t="s">
        <v>160</v>
      </c>
      <c r="AM36" s="336" t="s">
        <v>160</v>
      </c>
      <c r="AN36" s="336" t="s">
        <v>160</v>
      </c>
      <c r="AO36" s="336" t="s">
        <v>160</v>
      </c>
      <c r="AP36" s="336" t="s">
        <v>160</v>
      </c>
      <c r="AQ36" s="336" t="s">
        <v>160</v>
      </c>
      <c r="AR36" s="336" t="s">
        <v>160</v>
      </c>
      <c r="AS36" s="336" t="s">
        <v>160</v>
      </c>
      <c r="AT36" s="336" t="s">
        <v>160</v>
      </c>
      <c r="AU36" s="336" t="s">
        <v>160</v>
      </c>
      <c r="AV36" s="336" t="s">
        <v>160</v>
      </c>
      <c r="AW36" s="336" t="s">
        <v>160</v>
      </c>
      <c r="AX36" s="1181" t="s">
        <v>160</v>
      </c>
      <c r="AY36" s="336" t="s">
        <v>160</v>
      </c>
      <c r="AZ36" s="336" t="s">
        <v>160</v>
      </c>
      <c r="BA36" s="336" t="s">
        <v>160</v>
      </c>
      <c r="BB36" s="336" t="s">
        <v>160</v>
      </c>
      <c r="BC36" s="336" t="s">
        <v>160</v>
      </c>
      <c r="BD36" s="336" t="s">
        <v>160</v>
      </c>
      <c r="BE36" s="336" t="s">
        <v>160</v>
      </c>
      <c r="BF36" s="336" t="s">
        <v>160</v>
      </c>
      <c r="BG36" s="336" t="s">
        <v>160</v>
      </c>
      <c r="BH36" s="336" t="s">
        <v>160</v>
      </c>
      <c r="BI36" s="336" t="s">
        <v>160</v>
      </c>
      <c r="BJ36" s="336" t="s">
        <v>160</v>
      </c>
      <c r="BK36" s="336" t="s">
        <v>160</v>
      </c>
      <c r="BL36" s="336" t="s">
        <v>160</v>
      </c>
      <c r="BM36" s="336" t="s">
        <v>160</v>
      </c>
      <c r="BN36" s="336" t="s">
        <v>160</v>
      </c>
      <c r="BO36" s="336" t="s">
        <v>160</v>
      </c>
      <c r="BP36" s="336" t="s">
        <v>160</v>
      </c>
      <c r="BQ36" s="336" t="s">
        <v>160</v>
      </c>
      <c r="BR36" s="336" t="s">
        <v>160</v>
      </c>
      <c r="BS36" s="336" t="s">
        <v>160</v>
      </c>
      <c r="BT36" s="336" t="s">
        <v>160</v>
      </c>
      <c r="BU36" s="336" t="s">
        <v>160</v>
      </c>
      <c r="BV36" s="336" t="s">
        <v>160</v>
      </c>
      <c r="BW36" s="336" t="s">
        <v>160</v>
      </c>
      <c r="BX36" s="336" t="s">
        <v>160</v>
      </c>
      <c r="BY36" s="336" t="s">
        <v>160</v>
      </c>
      <c r="BZ36" s="336" t="s">
        <v>160</v>
      </c>
      <c r="CA36" s="336" t="s">
        <v>160</v>
      </c>
      <c r="CB36" s="336" t="s">
        <v>160</v>
      </c>
      <c r="CC36" s="336" t="s">
        <v>160</v>
      </c>
      <c r="CD36" s="336" t="s">
        <v>160</v>
      </c>
      <c r="CE36" s="336" t="s">
        <v>160</v>
      </c>
      <c r="CF36" s="336" t="s">
        <v>160</v>
      </c>
      <c r="CG36" s="336" t="s">
        <v>160</v>
      </c>
      <c r="CH36" s="336" t="s">
        <v>160</v>
      </c>
      <c r="CI36" s="336" t="s">
        <v>160</v>
      </c>
      <c r="CJ36" s="336" t="s">
        <v>160</v>
      </c>
      <c r="CK36" s="336" t="s">
        <v>160</v>
      </c>
      <c r="CL36" s="336" t="s">
        <v>160</v>
      </c>
      <c r="CM36" s="336" t="s">
        <v>160</v>
      </c>
      <c r="CN36" s="336" t="s">
        <v>160</v>
      </c>
      <c r="CO36" s="336" t="s">
        <v>160</v>
      </c>
      <c r="CP36" s="336" t="s">
        <v>160</v>
      </c>
      <c r="CQ36" s="336" t="s">
        <v>160</v>
      </c>
      <c r="CR36" s="336" t="s">
        <v>160</v>
      </c>
      <c r="CS36" s="336" t="s">
        <v>160</v>
      </c>
      <c r="CT36" s="336" t="s">
        <v>160</v>
      </c>
      <c r="CU36" s="336" t="s">
        <v>160</v>
      </c>
      <c r="CV36" s="336" t="s">
        <v>160</v>
      </c>
      <c r="CW36" s="336" t="s">
        <v>160</v>
      </c>
      <c r="CX36" s="336" t="s">
        <v>160</v>
      </c>
      <c r="CY36" s="336" t="s">
        <v>160</v>
      </c>
      <c r="CZ36" s="336" t="s">
        <v>160</v>
      </c>
      <c r="DA36" s="336" t="s">
        <v>160</v>
      </c>
      <c r="DB36" s="336" t="s">
        <v>160</v>
      </c>
      <c r="DC36" s="336" t="s">
        <v>160</v>
      </c>
      <c r="DD36" s="336" t="s">
        <v>160</v>
      </c>
      <c r="DE36" s="336" t="s">
        <v>160</v>
      </c>
      <c r="DF36" s="336" t="s">
        <v>160</v>
      </c>
      <c r="DG36" s="336" t="s">
        <v>160</v>
      </c>
      <c r="DH36" s="336">
        <v>2267</v>
      </c>
      <c r="DI36" s="336">
        <v>2267</v>
      </c>
      <c r="DJ36" s="336">
        <v>2267</v>
      </c>
      <c r="DK36" s="336">
        <v>2267</v>
      </c>
      <c r="DL36" s="336">
        <v>2267</v>
      </c>
      <c r="DM36" s="336">
        <v>2267</v>
      </c>
      <c r="DN36" s="336">
        <v>2267</v>
      </c>
      <c r="DO36" s="336">
        <v>2461</v>
      </c>
      <c r="DP36" s="336">
        <v>2461</v>
      </c>
      <c r="DQ36" s="336">
        <v>2461</v>
      </c>
      <c r="DR36" s="336">
        <v>2461</v>
      </c>
      <c r="DS36" s="336">
        <v>2461</v>
      </c>
      <c r="DT36" s="336">
        <v>2461</v>
      </c>
      <c r="DU36" s="336">
        <v>2461</v>
      </c>
      <c r="DV36" s="336">
        <v>2461</v>
      </c>
    </row>
    <row r="37" spans="1:126" x14ac:dyDescent="0.25">
      <c r="A37" t="s">
        <v>557</v>
      </c>
      <c r="B37" t="s">
        <v>856</v>
      </c>
      <c r="C37" s="1012"/>
      <c r="D37" s="1092" t="str">
        <f>IF([1]RENAME!$H$3=1,B37,A37)</f>
        <v>Média</v>
      </c>
      <c r="E37" s="1099" t="str">
        <f t="shared" ref="E37:AJ37" si="32">IFERROR(AVERAGE(E35:E36),"-")</f>
        <v>-</v>
      </c>
      <c r="F37" s="1099" t="str">
        <f t="shared" si="32"/>
        <v>-</v>
      </c>
      <c r="G37" s="1099" t="str">
        <f t="shared" si="32"/>
        <v>-</v>
      </c>
      <c r="H37" s="1099" t="str">
        <f t="shared" si="32"/>
        <v>-</v>
      </c>
      <c r="I37" s="1099" t="str">
        <f t="shared" si="32"/>
        <v>-</v>
      </c>
      <c r="J37" s="1099" t="str">
        <f t="shared" si="32"/>
        <v>-</v>
      </c>
      <c r="K37" s="1099" t="str">
        <f t="shared" si="32"/>
        <v>-</v>
      </c>
      <c r="L37" s="1099" t="str">
        <f t="shared" si="32"/>
        <v>-</v>
      </c>
      <c r="M37" s="1099" t="str">
        <f t="shared" si="32"/>
        <v>-</v>
      </c>
      <c r="N37" s="1099" t="str">
        <f t="shared" si="32"/>
        <v>-</v>
      </c>
      <c r="O37" s="1099" t="str">
        <f t="shared" si="32"/>
        <v>-</v>
      </c>
      <c r="P37" s="1099" t="str">
        <f t="shared" si="32"/>
        <v>-</v>
      </c>
      <c r="Q37" s="1099" t="str">
        <f t="shared" si="32"/>
        <v>-</v>
      </c>
      <c r="R37" s="1099" t="str">
        <f t="shared" si="32"/>
        <v>-</v>
      </c>
      <c r="S37" s="1099" t="str">
        <f t="shared" si="32"/>
        <v>-</v>
      </c>
      <c r="T37" s="1099" t="str">
        <f t="shared" si="32"/>
        <v>-</v>
      </c>
      <c r="U37" s="1099" t="str">
        <f t="shared" si="32"/>
        <v>-</v>
      </c>
      <c r="V37" s="1099" t="str">
        <f t="shared" si="32"/>
        <v>-</v>
      </c>
      <c r="W37" s="1099" t="str">
        <f t="shared" si="32"/>
        <v>-</v>
      </c>
      <c r="X37" s="1099" t="str">
        <f t="shared" si="32"/>
        <v>-</v>
      </c>
      <c r="Y37" s="1099" t="str">
        <f t="shared" si="32"/>
        <v>-</v>
      </c>
      <c r="Z37" s="1099" t="str">
        <f t="shared" si="32"/>
        <v>-</v>
      </c>
      <c r="AA37" s="1099" t="str">
        <f t="shared" si="32"/>
        <v>-</v>
      </c>
      <c r="AB37" s="1099" t="str">
        <f t="shared" si="32"/>
        <v>-</v>
      </c>
      <c r="AC37" s="1099" t="str">
        <f t="shared" si="32"/>
        <v>-</v>
      </c>
      <c r="AD37" s="1099" t="str">
        <f t="shared" si="32"/>
        <v>-</v>
      </c>
      <c r="AE37" s="1099" t="str">
        <f t="shared" si="32"/>
        <v>-</v>
      </c>
      <c r="AF37" s="1099" t="str">
        <f t="shared" si="32"/>
        <v>-</v>
      </c>
      <c r="AG37" s="1099" t="str">
        <f t="shared" si="32"/>
        <v>-</v>
      </c>
      <c r="AH37" s="1099" t="str">
        <f t="shared" si="32"/>
        <v>-</v>
      </c>
      <c r="AI37" s="1099" t="str">
        <f t="shared" si="32"/>
        <v>-</v>
      </c>
      <c r="AJ37" s="1099" t="str">
        <f t="shared" si="32"/>
        <v>-</v>
      </c>
      <c r="AK37" s="1099" t="str">
        <f t="shared" ref="AK37:BP37" si="33">IFERROR(AVERAGE(AK35:AK36),"-")</f>
        <v>-</v>
      </c>
      <c r="AL37" s="1099" t="str">
        <f t="shared" si="33"/>
        <v>-</v>
      </c>
      <c r="AM37" s="1099" t="str">
        <f t="shared" si="33"/>
        <v>-</v>
      </c>
      <c r="AN37" s="1099" t="str">
        <f t="shared" si="33"/>
        <v>-</v>
      </c>
      <c r="AO37" s="1099" t="str">
        <f t="shared" si="33"/>
        <v>-</v>
      </c>
      <c r="AP37" s="1099" t="str">
        <f t="shared" si="33"/>
        <v>-</v>
      </c>
      <c r="AQ37" s="1099" t="str">
        <f t="shared" si="33"/>
        <v>-</v>
      </c>
      <c r="AR37" s="1099" t="str">
        <f t="shared" si="33"/>
        <v>-</v>
      </c>
      <c r="AS37" s="1099" t="str">
        <f t="shared" si="33"/>
        <v>-</v>
      </c>
      <c r="AT37" s="1099" t="str">
        <f t="shared" si="33"/>
        <v>-</v>
      </c>
      <c r="AU37" s="1099" t="str">
        <f t="shared" si="33"/>
        <v>-</v>
      </c>
      <c r="AV37" s="1099" t="str">
        <f t="shared" si="33"/>
        <v>-</v>
      </c>
      <c r="AW37" s="1099" t="str">
        <f t="shared" si="33"/>
        <v>-</v>
      </c>
      <c r="AX37" s="1099" t="str">
        <f t="shared" si="33"/>
        <v>-</v>
      </c>
      <c r="AY37" s="1099" t="str">
        <f t="shared" si="33"/>
        <v>-</v>
      </c>
      <c r="AZ37" s="1099" t="str">
        <f t="shared" si="33"/>
        <v>-</v>
      </c>
      <c r="BA37" s="1099" t="str">
        <f t="shared" si="33"/>
        <v>-</v>
      </c>
      <c r="BB37" s="1099" t="str">
        <f t="shared" si="33"/>
        <v>-</v>
      </c>
      <c r="BC37" s="1099" t="str">
        <f t="shared" si="33"/>
        <v>-</v>
      </c>
      <c r="BD37" s="1099" t="str">
        <f t="shared" si="33"/>
        <v>-</v>
      </c>
      <c r="BE37" s="1099" t="str">
        <f t="shared" si="33"/>
        <v>-</v>
      </c>
      <c r="BF37" s="1099" t="str">
        <f t="shared" si="33"/>
        <v>-</v>
      </c>
      <c r="BG37" s="1099" t="str">
        <f t="shared" si="33"/>
        <v>-</v>
      </c>
      <c r="BH37" s="1099" t="str">
        <f t="shared" si="33"/>
        <v>-</v>
      </c>
      <c r="BI37" s="1099" t="str">
        <f t="shared" si="33"/>
        <v>-</v>
      </c>
      <c r="BJ37" s="1099" t="str">
        <f t="shared" si="33"/>
        <v>-</v>
      </c>
      <c r="BK37" s="1099" t="str">
        <f t="shared" si="33"/>
        <v>-</v>
      </c>
      <c r="BL37" s="1099" t="str">
        <f t="shared" si="33"/>
        <v>-</v>
      </c>
      <c r="BM37" s="1099" t="str">
        <f t="shared" si="33"/>
        <v>-</v>
      </c>
      <c r="BN37" s="1099" t="str">
        <f t="shared" si="33"/>
        <v>-</v>
      </c>
      <c r="BO37" s="1099" t="str">
        <f t="shared" si="33"/>
        <v>-</v>
      </c>
      <c r="BP37" s="1099" t="str">
        <f t="shared" si="33"/>
        <v>-</v>
      </c>
      <c r="BQ37" s="1099" t="str">
        <f t="shared" ref="BQ37:CV37" si="34">IFERROR(AVERAGE(BQ35:BQ36),"-")</f>
        <v>-</v>
      </c>
      <c r="BR37" s="1099" t="str">
        <f t="shared" si="34"/>
        <v>-</v>
      </c>
      <c r="BS37" s="1099" t="str">
        <f t="shared" si="34"/>
        <v>-</v>
      </c>
      <c r="BT37" s="1099" t="str">
        <f t="shared" si="34"/>
        <v>-</v>
      </c>
      <c r="BU37" s="1099" t="str">
        <f t="shared" si="34"/>
        <v>-</v>
      </c>
      <c r="BV37" s="1099" t="str">
        <f t="shared" si="34"/>
        <v>-</v>
      </c>
      <c r="BW37" s="1099" t="str">
        <f t="shared" si="34"/>
        <v>-</v>
      </c>
      <c r="BX37" s="1099" t="str">
        <f t="shared" si="34"/>
        <v>-</v>
      </c>
      <c r="BY37" s="1099" t="str">
        <f t="shared" si="34"/>
        <v>-</v>
      </c>
      <c r="BZ37" s="1099" t="str">
        <f t="shared" si="34"/>
        <v>-</v>
      </c>
      <c r="CA37" s="1099" t="str">
        <f t="shared" si="34"/>
        <v>-</v>
      </c>
      <c r="CB37" s="1099" t="str">
        <f t="shared" si="34"/>
        <v>-</v>
      </c>
      <c r="CC37" s="1099" t="str">
        <f t="shared" si="34"/>
        <v>-</v>
      </c>
      <c r="CD37" s="1099" t="str">
        <f t="shared" si="34"/>
        <v>-</v>
      </c>
      <c r="CE37" s="1099" t="str">
        <f t="shared" si="34"/>
        <v>-</v>
      </c>
      <c r="CF37" s="1099" t="str">
        <f t="shared" si="34"/>
        <v>-</v>
      </c>
      <c r="CG37" s="1099" t="str">
        <f t="shared" si="34"/>
        <v>-</v>
      </c>
      <c r="CH37" s="1099" t="str">
        <f t="shared" si="34"/>
        <v>-</v>
      </c>
      <c r="CI37" s="1099" t="str">
        <f t="shared" si="34"/>
        <v>-</v>
      </c>
      <c r="CJ37" s="1099" t="str">
        <f t="shared" si="34"/>
        <v>-</v>
      </c>
      <c r="CK37" s="1099" t="str">
        <f t="shared" si="34"/>
        <v>-</v>
      </c>
      <c r="CL37" s="1099" t="str">
        <f t="shared" si="34"/>
        <v>-</v>
      </c>
      <c r="CM37" s="1099" t="str">
        <f t="shared" si="34"/>
        <v>-</v>
      </c>
      <c r="CN37" s="1099" t="str">
        <f t="shared" si="34"/>
        <v>-</v>
      </c>
      <c r="CO37" s="1099" t="str">
        <f t="shared" si="34"/>
        <v>-</v>
      </c>
      <c r="CP37" s="1099" t="str">
        <f t="shared" si="34"/>
        <v>-</v>
      </c>
      <c r="CQ37" s="1099" t="str">
        <f t="shared" si="34"/>
        <v>-</v>
      </c>
      <c r="CR37" s="1099" t="str">
        <f t="shared" si="34"/>
        <v>-</v>
      </c>
      <c r="CS37" s="1099" t="str">
        <f t="shared" si="34"/>
        <v>-</v>
      </c>
      <c r="CT37" s="1099" t="str">
        <f t="shared" si="34"/>
        <v>-</v>
      </c>
      <c r="CU37" s="1099" t="str">
        <f t="shared" si="34"/>
        <v>-</v>
      </c>
      <c r="CV37" s="1099" t="str">
        <f t="shared" si="34"/>
        <v>-</v>
      </c>
      <c r="CW37" s="1099" t="str">
        <f t="shared" ref="CW37:DR37" si="35">IFERROR(AVERAGE(CW35:CW36),"-")</f>
        <v>-</v>
      </c>
      <c r="CX37" s="1099" t="str">
        <f t="shared" si="35"/>
        <v>-</v>
      </c>
      <c r="CY37" s="1099" t="str">
        <f t="shared" si="35"/>
        <v>-</v>
      </c>
      <c r="CZ37" s="1099" t="str">
        <f t="shared" si="35"/>
        <v>-</v>
      </c>
      <c r="DA37" s="1099" t="str">
        <f t="shared" si="35"/>
        <v>-</v>
      </c>
      <c r="DB37" s="1099" t="str">
        <f t="shared" si="35"/>
        <v>-</v>
      </c>
      <c r="DC37" s="1099" t="str">
        <f t="shared" si="35"/>
        <v>-</v>
      </c>
      <c r="DD37" s="1099" t="str">
        <f t="shared" si="35"/>
        <v>-</v>
      </c>
      <c r="DE37" s="1099" t="str">
        <f t="shared" si="35"/>
        <v>-</v>
      </c>
      <c r="DF37" s="1099" t="str">
        <f t="shared" si="35"/>
        <v>-</v>
      </c>
      <c r="DG37" s="1099" t="str">
        <f t="shared" si="35"/>
        <v>-</v>
      </c>
      <c r="DH37" s="1099">
        <f t="shared" si="35"/>
        <v>2267</v>
      </c>
      <c r="DI37" s="1099">
        <f t="shared" si="35"/>
        <v>2267</v>
      </c>
      <c r="DJ37" s="1099">
        <f t="shared" si="35"/>
        <v>2267</v>
      </c>
      <c r="DK37" s="1099">
        <f t="shared" si="35"/>
        <v>2267</v>
      </c>
      <c r="DL37" s="1099">
        <f t="shared" si="35"/>
        <v>2267</v>
      </c>
      <c r="DM37" s="1099">
        <f t="shared" si="35"/>
        <v>2267</v>
      </c>
      <c r="DN37" s="1099">
        <f t="shared" si="35"/>
        <v>2267</v>
      </c>
      <c r="DO37" s="1099">
        <f t="shared" si="35"/>
        <v>2640.5</v>
      </c>
      <c r="DP37" s="1099">
        <f t="shared" si="35"/>
        <v>2640.5</v>
      </c>
      <c r="DQ37" s="1099">
        <f t="shared" si="35"/>
        <v>2640.5</v>
      </c>
      <c r="DR37" s="1099">
        <f t="shared" si="35"/>
        <v>2640.5</v>
      </c>
      <c r="DS37" s="1099">
        <f>IFERROR(AVERAGE(DS35:DS36),"-")</f>
        <v>2640.5</v>
      </c>
      <c r="DT37" s="1099">
        <f>IFERROR(AVERAGE(DT35:DT36),"-")</f>
        <v>2640.5</v>
      </c>
      <c r="DU37" s="1099">
        <f>IFERROR(AVERAGE(DU35:DU36),"-")</f>
        <v>2640.5</v>
      </c>
      <c r="DV37" s="1099">
        <f>IFERROR(AVERAGE(DV35:DV36),"-")</f>
        <v>2640.5</v>
      </c>
    </row>
    <row r="38" spans="1:126" x14ac:dyDescent="0.25">
      <c r="C38" s="1012"/>
      <c r="Z38" s="339"/>
      <c r="AA38" s="339"/>
      <c r="AB38" s="339"/>
      <c r="AC38" s="339"/>
      <c r="AD38" s="339"/>
      <c r="AE38" s="339"/>
      <c r="AF38" s="339"/>
      <c r="AG38" s="339"/>
      <c r="AH38" s="339"/>
      <c r="AI38" s="339"/>
      <c r="AJ38" s="339"/>
      <c r="AK38" s="339"/>
      <c r="AL38" s="339"/>
      <c r="AM38" s="339"/>
      <c r="AN38" s="339"/>
      <c r="AO38" s="339"/>
      <c r="AP38" s="339"/>
      <c r="AQ38" s="339"/>
      <c r="AR38" s="339"/>
      <c r="AS38" s="339"/>
      <c r="AT38" s="339"/>
      <c r="AU38" s="339"/>
      <c r="AV38"/>
      <c r="AW38"/>
      <c r="AX38" s="937"/>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s="1172"/>
      <c r="DJ38" s="1172"/>
      <c r="DK38" s="1172"/>
      <c r="DL38" s="1172"/>
      <c r="DM38" s="1172"/>
      <c r="DN38" s="1172"/>
      <c r="DO38" s="1172"/>
      <c r="DP38" s="1172"/>
      <c r="DQ38" s="1172"/>
      <c r="DR38" s="1172"/>
      <c r="DS38" s="1172"/>
      <c r="DT38" s="1172"/>
      <c r="DU38" s="1172"/>
      <c r="DV38" s="1172"/>
    </row>
    <row r="39" spans="1:126" x14ac:dyDescent="0.25">
      <c r="A39" s="261" t="s">
        <v>2304</v>
      </c>
      <c r="B39" s="261" t="s">
        <v>2303</v>
      </c>
      <c r="C39" s="1012"/>
      <c r="D39" s="113" t="str">
        <f>IF([1]RENAME!$H$3=1,B39,A39)</f>
        <v>EBITDA 2027</v>
      </c>
      <c r="E39" s="262">
        <f t="shared" ref="E39:BP39" si="36">E$11</f>
        <v>42522</v>
      </c>
      <c r="F39" s="262">
        <f t="shared" si="36"/>
        <v>42552</v>
      </c>
      <c r="G39" s="262">
        <f t="shared" si="36"/>
        <v>42583</v>
      </c>
      <c r="H39" s="262">
        <f t="shared" si="36"/>
        <v>42614</v>
      </c>
      <c r="I39" s="262">
        <f t="shared" si="36"/>
        <v>42644</v>
      </c>
      <c r="J39" s="262">
        <f t="shared" si="36"/>
        <v>42675</v>
      </c>
      <c r="K39" s="262">
        <f t="shared" si="36"/>
        <v>42705</v>
      </c>
      <c r="L39" s="262">
        <f t="shared" si="36"/>
        <v>42736</v>
      </c>
      <c r="M39" s="262">
        <f t="shared" si="36"/>
        <v>42767</v>
      </c>
      <c r="N39" s="262">
        <f t="shared" si="36"/>
        <v>42795</v>
      </c>
      <c r="O39" s="262">
        <f t="shared" si="36"/>
        <v>42826</v>
      </c>
      <c r="P39" s="262">
        <f t="shared" si="36"/>
        <v>42856</v>
      </c>
      <c r="Q39" s="262">
        <f t="shared" si="36"/>
        <v>42887</v>
      </c>
      <c r="R39" s="262">
        <f t="shared" si="36"/>
        <v>42917</v>
      </c>
      <c r="S39" s="262">
        <f t="shared" si="36"/>
        <v>42948</v>
      </c>
      <c r="T39" s="262">
        <f t="shared" si="36"/>
        <v>42979</v>
      </c>
      <c r="U39" s="262">
        <f t="shared" si="36"/>
        <v>43009</v>
      </c>
      <c r="V39" s="262">
        <f t="shared" si="36"/>
        <v>43040</v>
      </c>
      <c r="W39" s="262">
        <f t="shared" si="36"/>
        <v>43070</v>
      </c>
      <c r="X39" s="262">
        <f t="shared" si="36"/>
        <v>43101</v>
      </c>
      <c r="Y39" s="262">
        <f t="shared" si="36"/>
        <v>43132</v>
      </c>
      <c r="Z39" s="262">
        <f t="shared" si="36"/>
        <v>43160</v>
      </c>
      <c r="AA39" s="262">
        <f t="shared" si="36"/>
        <v>43191</v>
      </c>
      <c r="AB39" s="262">
        <f t="shared" si="36"/>
        <v>43221</v>
      </c>
      <c r="AC39" s="262">
        <f t="shared" si="36"/>
        <v>43252</v>
      </c>
      <c r="AD39" s="262">
        <f t="shared" si="36"/>
        <v>43283</v>
      </c>
      <c r="AE39" s="262">
        <f t="shared" si="36"/>
        <v>43314</v>
      </c>
      <c r="AF39" s="262">
        <f t="shared" si="36"/>
        <v>43345</v>
      </c>
      <c r="AG39" s="262">
        <f t="shared" si="36"/>
        <v>43376</v>
      </c>
      <c r="AH39" s="262">
        <f t="shared" si="36"/>
        <v>43407</v>
      </c>
      <c r="AI39" s="262">
        <f t="shared" si="36"/>
        <v>43437</v>
      </c>
      <c r="AJ39" s="262">
        <f t="shared" si="36"/>
        <v>43468</v>
      </c>
      <c r="AK39" s="262">
        <f t="shared" si="36"/>
        <v>43499</v>
      </c>
      <c r="AL39" s="262">
        <f t="shared" si="36"/>
        <v>43527</v>
      </c>
      <c r="AM39" s="262">
        <f t="shared" si="36"/>
        <v>43558</v>
      </c>
      <c r="AN39" s="262">
        <f t="shared" si="36"/>
        <v>43587</v>
      </c>
      <c r="AO39" s="262">
        <f t="shared" si="36"/>
        <v>43618</v>
      </c>
      <c r="AP39" s="262">
        <f t="shared" si="36"/>
        <v>43647</v>
      </c>
      <c r="AQ39" s="262">
        <f t="shared" si="36"/>
        <v>43678</v>
      </c>
      <c r="AR39" s="262">
        <f t="shared" si="36"/>
        <v>43709</v>
      </c>
      <c r="AS39" s="262">
        <f t="shared" si="36"/>
        <v>43739</v>
      </c>
      <c r="AT39" s="262">
        <f t="shared" si="36"/>
        <v>43770</v>
      </c>
      <c r="AU39" s="262">
        <f t="shared" si="36"/>
        <v>43800</v>
      </c>
      <c r="AV39" s="262">
        <f t="shared" si="36"/>
        <v>43831</v>
      </c>
      <c r="AW39" s="262">
        <f t="shared" si="36"/>
        <v>43862</v>
      </c>
      <c r="AX39" s="933">
        <f t="shared" si="36"/>
        <v>43891</v>
      </c>
      <c r="AY39" s="262">
        <f t="shared" si="36"/>
        <v>43922</v>
      </c>
      <c r="AZ39" s="262">
        <f t="shared" si="36"/>
        <v>43952</v>
      </c>
      <c r="BA39" s="262">
        <f t="shared" si="36"/>
        <v>43983</v>
      </c>
      <c r="BB39" s="262">
        <f t="shared" si="36"/>
        <v>44013</v>
      </c>
      <c r="BC39" s="262">
        <f t="shared" si="36"/>
        <v>44044</v>
      </c>
      <c r="BD39" s="262">
        <f t="shared" si="36"/>
        <v>44075</v>
      </c>
      <c r="BE39" s="262">
        <f t="shared" si="36"/>
        <v>44105</v>
      </c>
      <c r="BF39" s="262">
        <f t="shared" si="36"/>
        <v>44136</v>
      </c>
      <c r="BG39" s="262">
        <f t="shared" si="36"/>
        <v>44166</v>
      </c>
      <c r="BH39" s="262">
        <f t="shared" si="36"/>
        <v>44197</v>
      </c>
      <c r="BI39" s="262">
        <f t="shared" si="36"/>
        <v>44228</v>
      </c>
      <c r="BJ39" s="262">
        <f t="shared" si="36"/>
        <v>44256</v>
      </c>
      <c r="BK39" s="262">
        <f t="shared" si="36"/>
        <v>44287</v>
      </c>
      <c r="BL39" s="262">
        <f t="shared" si="36"/>
        <v>44317</v>
      </c>
      <c r="BM39" s="262">
        <f t="shared" si="36"/>
        <v>44348</v>
      </c>
      <c r="BN39" s="262">
        <f t="shared" si="36"/>
        <v>44378</v>
      </c>
      <c r="BO39" s="262">
        <f t="shared" si="36"/>
        <v>44409</v>
      </c>
      <c r="BP39" s="262">
        <f t="shared" si="36"/>
        <v>44440</v>
      </c>
      <c r="BQ39" s="262">
        <f t="shared" ref="BQ39:DV39" si="37">BQ$11</f>
        <v>44470</v>
      </c>
      <c r="BR39" s="262">
        <f t="shared" si="37"/>
        <v>44501</v>
      </c>
      <c r="BS39" s="262">
        <f t="shared" si="37"/>
        <v>44531</v>
      </c>
      <c r="BT39" s="262">
        <f t="shared" si="37"/>
        <v>44562</v>
      </c>
      <c r="BU39" s="262">
        <f t="shared" si="37"/>
        <v>44593</v>
      </c>
      <c r="BV39" s="262">
        <f t="shared" si="37"/>
        <v>44622</v>
      </c>
      <c r="BW39" s="262">
        <f t="shared" si="37"/>
        <v>44654</v>
      </c>
      <c r="BX39" s="262">
        <f t="shared" si="37"/>
        <v>44685</v>
      </c>
      <c r="BY39" s="262">
        <f t="shared" si="37"/>
        <v>44716</v>
      </c>
      <c r="BZ39" s="262">
        <f t="shared" si="37"/>
        <v>44746</v>
      </c>
      <c r="CA39" s="262">
        <f t="shared" si="37"/>
        <v>44774</v>
      </c>
      <c r="CB39" s="262">
        <f t="shared" si="37"/>
        <v>44805</v>
      </c>
      <c r="CC39" s="262">
        <f t="shared" si="37"/>
        <v>44835</v>
      </c>
      <c r="CD39" s="262">
        <f t="shared" si="37"/>
        <v>44866</v>
      </c>
      <c r="CE39" s="262">
        <f t="shared" si="37"/>
        <v>44896</v>
      </c>
      <c r="CF39" s="262">
        <f t="shared" si="37"/>
        <v>44927</v>
      </c>
      <c r="CG39" s="262">
        <f t="shared" si="37"/>
        <v>44958</v>
      </c>
      <c r="CH39" s="262">
        <f t="shared" si="37"/>
        <v>44986</v>
      </c>
      <c r="CI39" s="262">
        <f t="shared" si="37"/>
        <v>45017</v>
      </c>
      <c r="CJ39" s="262">
        <f t="shared" si="37"/>
        <v>45047</v>
      </c>
      <c r="CK39" s="262">
        <f t="shared" si="37"/>
        <v>45078</v>
      </c>
      <c r="CL39" s="262">
        <f t="shared" si="37"/>
        <v>45108</v>
      </c>
      <c r="CM39" s="262">
        <f t="shared" si="37"/>
        <v>45139</v>
      </c>
      <c r="CN39" s="262">
        <f t="shared" si="37"/>
        <v>45170</v>
      </c>
      <c r="CO39" s="262">
        <f t="shared" si="37"/>
        <v>45200</v>
      </c>
      <c r="CP39" s="262">
        <f t="shared" si="37"/>
        <v>45231</v>
      </c>
      <c r="CQ39" s="262">
        <f t="shared" si="37"/>
        <v>45261</v>
      </c>
      <c r="CR39" s="262">
        <f t="shared" si="37"/>
        <v>45292</v>
      </c>
      <c r="CS39" s="262">
        <f t="shared" si="37"/>
        <v>45323</v>
      </c>
      <c r="CT39" s="262">
        <f t="shared" si="37"/>
        <v>45352</v>
      </c>
      <c r="CU39" s="262">
        <f t="shared" si="37"/>
        <v>45383</v>
      </c>
      <c r="CV39" s="262">
        <f t="shared" si="37"/>
        <v>45413</v>
      </c>
      <c r="CW39" s="262">
        <f t="shared" si="37"/>
        <v>45444</v>
      </c>
      <c r="CX39" s="262">
        <f t="shared" si="37"/>
        <v>45474</v>
      </c>
      <c r="CY39" s="262">
        <f t="shared" si="37"/>
        <v>45505</v>
      </c>
      <c r="CZ39" s="262">
        <f t="shared" si="37"/>
        <v>45536</v>
      </c>
      <c r="DA39" s="262">
        <f t="shared" si="37"/>
        <v>45566</v>
      </c>
      <c r="DB39" s="262">
        <f t="shared" si="37"/>
        <v>45597</v>
      </c>
      <c r="DC39" s="262">
        <f t="shared" si="37"/>
        <v>45627</v>
      </c>
      <c r="DD39" s="262">
        <f t="shared" si="37"/>
        <v>45658</v>
      </c>
      <c r="DE39" s="262">
        <f t="shared" si="37"/>
        <v>45689</v>
      </c>
      <c r="DF39" s="262">
        <f t="shared" si="37"/>
        <v>45717</v>
      </c>
      <c r="DG39" s="262">
        <f t="shared" si="37"/>
        <v>45748</v>
      </c>
      <c r="DH39" s="262">
        <f t="shared" si="37"/>
        <v>45778</v>
      </c>
      <c r="DI39" s="262">
        <f t="shared" si="37"/>
        <v>45809</v>
      </c>
      <c r="DJ39" s="262">
        <v>45839</v>
      </c>
      <c r="DK39" s="262">
        <f t="shared" si="37"/>
        <v>45870</v>
      </c>
      <c r="DL39" s="262">
        <f t="shared" si="37"/>
        <v>45901</v>
      </c>
      <c r="DM39" s="262">
        <f t="shared" si="37"/>
        <v>45931</v>
      </c>
      <c r="DN39" s="262">
        <f t="shared" si="37"/>
        <v>45962</v>
      </c>
      <c r="DO39" s="262">
        <f t="shared" si="37"/>
        <v>45992</v>
      </c>
      <c r="DP39" s="262">
        <f t="shared" si="37"/>
        <v>46023</v>
      </c>
      <c r="DQ39" s="262">
        <f t="shared" si="37"/>
        <v>46054</v>
      </c>
      <c r="DR39" s="262">
        <f t="shared" si="37"/>
        <v>46082</v>
      </c>
      <c r="DS39" s="262">
        <f t="shared" si="37"/>
        <v>46113</v>
      </c>
      <c r="DT39" s="262">
        <f t="shared" si="37"/>
        <v>46143</v>
      </c>
      <c r="DU39" s="262">
        <f t="shared" si="37"/>
        <v>46174</v>
      </c>
      <c r="DV39" s="262">
        <f t="shared" si="37"/>
        <v>46204</v>
      </c>
    </row>
    <row r="40" spans="1:126" x14ac:dyDescent="0.25">
      <c r="A40" s="261" t="s">
        <v>542</v>
      </c>
      <c r="B40" s="261" t="s">
        <v>542</v>
      </c>
      <c r="C40" s="1012"/>
      <c r="D40" s="117" t="str">
        <f>IF([1]RENAME!$H$3=1,B40,A40)</f>
        <v>SANTANDER</v>
      </c>
      <c r="E40" s="263" t="s">
        <v>160</v>
      </c>
      <c r="F40" s="263" t="s">
        <v>160</v>
      </c>
      <c r="G40" s="263" t="s">
        <v>160</v>
      </c>
      <c r="H40" s="264" t="s">
        <v>160</v>
      </c>
      <c r="I40" s="264" t="s">
        <v>160</v>
      </c>
      <c r="J40" s="264" t="s">
        <v>160</v>
      </c>
      <c r="K40" s="264" t="s">
        <v>160</v>
      </c>
      <c r="L40" s="264" t="s">
        <v>160</v>
      </c>
      <c r="M40" s="264" t="s">
        <v>160</v>
      </c>
      <c r="N40" s="264" t="s">
        <v>160</v>
      </c>
      <c r="O40" s="264" t="s">
        <v>160</v>
      </c>
      <c r="P40" s="264" t="s">
        <v>160</v>
      </c>
      <c r="Q40" s="264" t="s">
        <v>160</v>
      </c>
      <c r="R40" s="264" t="s">
        <v>160</v>
      </c>
      <c r="S40" s="264" t="s">
        <v>160</v>
      </c>
      <c r="T40" s="264" t="s">
        <v>160</v>
      </c>
      <c r="U40" s="264" t="s">
        <v>160</v>
      </c>
      <c r="V40" s="264" t="s">
        <v>160</v>
      </c>
      <c r="W40" s="336" t="s">
        <v>160</v>
      </c>
      <c r="X40" s="336" t="s">
        <v>160</v>
      </c>
      <c r="Y40" s="336" t="s">
        <v>160</v>
      </c>
      <c r="Z40" s="336" t="s">
        <v>160</v>
      </c>
      <c r="AA40" s="336" t="s">
        <v>160</v>
      </c>
      <c r="AB40" s="336" t="s">
        <v>160</v>
      </c>
      <c r="AC40" s="336" t="s">
        <v>160</v>
      </c>
      <c r="AD40" s="336" t="s">
        <v>160</v>
      </c>
      <c r="AE40" s="336" t="s">
        <v>160</v>
      </c>
      <c r="AF40" s="336" t="s">
        <v>160</v>
      </c>
      <c r="AG40" s="336" t="s">
        <v>160</v>
      </c>
      <c r="AH40" s="336" t="s">
        <v>160</v>
      </c>
      <c r="AI40" s="336" t="s">
        <v>160</v>
      </c>
      <c r="AJ40" s="336" t="s">
        <v>160</v>
      </c>
      <c r="AK40" s="336" t="s">
        <v>160</v>
      </c>
      <c r="AL40" s="336" t="s">
        <v>160</v>
      </c>
      <c r="AM40" s="336" t="s">
        <v>160</v>
      </c>
      <c r="AN40" s="336" t="s">
        <v>160</v>
      </c>
      <c r="AO40" s="336" t="s">
        <v>160</v>
      </c>
      <c r="AP40" s="336" t="s">
        <v>160</v>
      </c>
      <c r="AQ40" s="336" t="s">
        <v>160</v>
      </c>
      <c r="AR40" s="336" t="s">
        <v>160</v>
      </c>
      <c r="AS40" s="336" t="s">
        <v>160</v>
      </c>
      <c r="AT40" s="336" t="s">
        <v>160</v>
      </c>
      <c r="AU40" s="336" t="s">
        <v>160</v>
      </c>
      <c r="AV40" s="336" t="s">
        <v>160</v>
      </c>
      <c r="AW40" s="336" t="s">
        <v>160</v>
      </c>
      <c r="AX40" s="1181" t="s">
        <v>160</v>
      </c>
      <c r="AY40" s="336" t="s">
        <v>160</v>
      </c>
      <c r="AZ40" s="336" t="s">
        <v>160</v>
      </c>
      <c r="BA40" s="336" t="s">
        <v>160</v>
      </c>
      <c r="BB40" s="336" t="s">
        <v>160</v>
      </c>
      <c r="BC40" s="336" t="s">
        <v>160</v>
      </c>
      <c r="BD40" s="336" t="s">
        <v>160</v>
      </c>
      <c r="BE40" s="336" t="s">
        <v>160</v>
      </c>
      <c r="BF40" s="336" t="s">
        <v>160</v>
      </c>
      <c r="BG40" s="336" t="s">
        <v>160</v>
      </c>
      <c r="BH40" s="336" t="s">
        <v>160</v>
      </c>
      <c r="BI40" s="336" t="s">
        <v>160</v>
      </c>
      <c r="BJ40" s="336" t="s">
        <v>160</v>
      </c>
      <c r="BK40" s="336" t="s">
        <v>160</v>
      </c>
      <c r="BL40" s="336" t="s">
        <v>160</v>
      </c>
      <c r="BM40" s="336" t="s">
        <v>160</v>
      </c>
      <c r="BN40" s="336" t="s">
        <v>160</v>
      </c>
      <c r="BO40" s="336" t="s">
        <v>160</v>
      </c>
      <c r="BP40" s="336" t="s">
        <v>160</v>
      </c>
      <c r="BQ40" s="336" t="s">
        <v>160</v>
      </c>
      <c r="BR40" s="336" t="s">
        <v>160</v>
      </c>
      <c r="BS40" s="336" t="s">
        <v>160</v>
      </c>
      <c r="BT40" s="336" t="s">
        <v>160</v>
      </c>
      <c r="BU40" s="336" t="s">
        <v>160</v>
      </c>
      <c r="BV40" s="336" t="s">
        <v>160</v>
      </c>
      <c r="BW40" s="336" t="s">
        <v>160</v>
      </c>
      <c r="BX40" s="336" t="s">
        <v>160</v>
      </c>
      <c r="BY40" s="336" t="s">
        <v>160</v>
      </c>
      <c r="BZ40" s="336" t="s">
        <v>160</v>
      </c>
      <c r="CA40" s="336" t="s">
        <v>160</v>
      </c>
      <c r="CB40" s="336" t="s">
        <v>160</v>
      </c>
      <c r="CC40" s="336" t="s">
        <v>160</v>
      </c>
      <c r="CD40" s="336" t="s">
        <v>160</v>
      </c>
      <c r="CE40" s="336" t="s">
        <v>160</v>
      </c>
      <c r="CF40" s="336" t="s">
        <v>160</v>
      </c>
      <c r="CG40" s="336" t="s">
        <v>160</v>
      </c>
      <c r="CH40" s="336" t="s">
        <v>160</v>
      </c>
      <c r="CI40" s="336" t="s">
        <v>160</v>
      </c>
      <c r="CJ40" s="336" t="s">
        <v>160</v>
      </c>
      <c r="CK40" s="336" t="s">
        <v>160</v>
      </c>
      <c r="CL40" s="336" t="s">
        <v>160</v>
      </c>
      <c r="CM40" s="336" t="s">
        <v>160</v>
      </c>
      <c r="CN40" s="336" t="s">
        <v>160</v>
      </c>
      <c r="CO40" s="336" t="s">
        <v>160</v>
      </c>
      <c r="CP40" s="336" t="s">
        <v>160</v>
      </c>
      <c r="CQ40" s="336" t="s">
        <v>160</v>
      </c>
      <c r="CR40" s="336" t="s">
        <v>160</v>
      </c>
      <c r="CS40" s="336" t="s">
        <v>160</v>
      </c>
      <c r="CT40" s="336" t="s">
        <v>160</v>
      </c>
      <c r="CU40" s="336" t="s">
        <v>160</v>
      </c>
      <c r="CV40" s="336" t="s">
        <v>160</v>
      </c>
      <c r="CW40" s="336" t="s">
        <v>160</v>
      </c>
      <c r="CX40" s="336" t="s">
        <v>160</v>
      </c>
      <c r="CY40" s="336" t="s">
        <v>160</v>
      </c>
      <c r="CZ40" s="336" t="s">
        <v>160</v>
      </c>
      <c r="DA40" s="336" t="s">
        <v>160</v>
      </c>
      <c r="DB40" s="336" t="s">
        <v>160</v>
      </c>
      <c r="DC40" s="336" t="s">
        <v>160</v>
      </c>
      <c r="DD40" s="336" t="s">
        <v>160</v>
      </c>
      <c r="DE40" s="336" t="s">
        <v>160</v>
      </c>
      <c r="DF40" s="336" t="s">
        <v>160</v>
      </c>
      <c r="DG40" s="336" t="s">
        <v>160</v>
      </c>
      <c r="DH40" s="336" t="s">
        <v>160</v>
      </c>
      <c r="DI40" s="336" t="s">
        <v>160</v>
      </c>
      <c r="DJ40" s="336" t="s">
        <v>160</v>
      </c>
      <c r="DK40" s="336" t="s">
        <v>160</v>
      </c>
      <c r="DL40" s="336" t="s">
        <v>160</v>
      </c>
      <c r="DM40" s="336" t="s">
        <v>160</v>
      </c>
      <c r="DN40" s="336" t="s">
        <v>160</v>
      </c>
      <c r="DO40" s="336">
        <v>501</v>
      </c>
      <c r="DP40" s="336">
        <v>501</v>
      </c>
      <c r="DQ40" s="336">
        <v>501</v>
      </c>
      <c r="DR40" s="336">
        <v>501</v>
      </c>
      <c r="DS40" s="336">
        <v>501</v>
      </c>
      <c r="DT40" s="336">
        <v>501</v>
      </c>
      <c r="DU40" s="336">
        <v>501</v>
      </c>
      <c r="DV40" s="336">
        <v>501</v>
      </c>
    </row>
    <row r="41" spans="1:126" x14ac:dyDescent="0.25">
      <c r="A41" s="261" t="s">
        <v>547</v>
      </c>
      <c r="B41" s="261" t="s">
        <v>547</v>
      </c>
      <c r="C41" s="1012"/>
      <c r="D41" s="117" t="str">
        <f>IF([1]RENAME!$H$3=1,B41,A41)</f>
        <v>ITAÚ</v>
      </c>
      <c r="E41" s="263" t="s">
        <v>160</v>
      </c>
      <c r="F41" s="263" t="s">
        <v>160</v>
      </c>
      <c r="G41" s="263" t="s">
        <v>160</v>
      </c>
      <c r="H41" s="263" t="s">
        <v>160</v>
      </c>
      <c r="I41" s="264" t="s">
        <v>160</v>
      </c>
      <c r="J41" s="264" t="s">
        <v>160</v>
      </c>
      <c r="K41" s="264" t="s">
        <v>160</v>
      </c>
      <c r="L41" s="264" t="s">
        <v>160</v>
      </c>
      <c r="M41" s="264" t="s">
        <v>160</v>
      </c>
      <c r="N41" s="264" t="s">
        <v>160</v>
      </c>
      <c r="O41" s="264" t="s">
        <v>160</v>
      </c>
      <c r="P41" s="264" t="s">
        <v>160</v>
      </c>
      <c r="Q41" s="264" t="s">
        <v>160</v>
      </c>
      <c r="R41" s="264" t="s">
        <v>160</v>
      </c>
      <c r="S41" s="264" t="s">
        <v>160</v>
      </c>
      <c r="T41" s="264" t="s">
        <v>160</v>
      </c>
      <c r="U41" s="264" t="s">
        <v>160</v>
      </c>
      <c r="V41" s="264" t="s">
        <v>160</v>
      </c>
      <c r="W41" s="264" t="s">
        <v>160</v>
      </c>
      <c r="X41" s="336" t="s">
        <v>160</v>
      </c>
      <c r="Y41" s="264" t="s">
        <v>160</v>
      </c>
      <c r="Z41" s="264" t="s">
        <v>160</v>
      </c>
      <c r="AA41" s="264" t="s">
        <v>160</v>
      </c>
      <c r="AB41" s="264" t="s">
        <v>160</v>
      </c>
      <c r="AC41" s="264" t="s">
        <v>160</v>
      </c>
      <c r="AD41" s="264" t="s">
        <v>160</v>
      </c>
      <c r="AE41" s="264" t="s">
        <v>160</v>
      </c>
      <c r="AF41" s="336" t="s">
        <v>160</v>
      </c>
      <c r="AG41" s="264" t="s">
        <v>160</v>
      </c>
      <c r="AH41" s="264" t="s">
        <v>160</v>
      </c>
      <c r="AI41" s="264" t="s">
        <v>160</v>
      </c>
      <c r="AJ41" s="264" t="s">
        <v>160</v>
      </c>
      <c r="AK41" s="264" t="s">
        <v>160</v>
      </c>
      <c r="AL41" s="336" t="s">
        <v>160</v>
      </c>
      <c r="AM41" s="336" t="s">
        <v>160</v>
      </c>
      <c r="AN41" s="336" t="s">
        <v>160</v>
      </c>
      <c r="AO41" s="336" t="s">
        <v>160</v>
      </c>
      <c r="AP41" s="336" t="s">
        <v>160</v>
      </c>
      <c r="AQ41" s="336" t="s">
        <v>160</v>
      </c>
      <c r="AR41" s="336" t="s">
        <v>160</v>
      </c>
      <c r="AS41" s="336" t="s">
        <v>160</v>
      </c>
      <c r="AT41" s="336" t="s">
        <v>160</v>
      </c>
      <c r="AU41" s="336" t="s">
        <v>160</v>
      </c>
      <c r="AV41" s="336" t="s">
        <v>160</v>
      </c>
      <c r="AW41" s="336" t="s">
        <v>160</v>
      </c>
      <c r="AX41" s="1181" t="s">
        <v>160</v>
      </c>
      <c r="AY41" s="336" t="s">
        <v>160</v>
      </c>
      <c r="AZ41" s="336" t="s">
        <v>160</v>
      </c>
      <c r="BA41" s="336" t="s">
        <v>160</v>
      </c>
      <c r="BB41" s="336" t="s">
        <v>160</v>
      </c>
      <c r="BC41" s="336" t="s">
        <v>160</v>
      </c>
      <c r="BD41" s="336" t="s">
        <v>160</v>
      </c>
      <c r="BE41" s="336" t="s">
        <v>160</v>
      </c>
      <c r="BF41" s="336" t="s">
        <v>160</v>
      </c>
      <c r="BG41" s="336" t="s">
        <v>160</v>
      </c>
      <c r="BH41" s="336" t="s">
        <v>160</v>
      </c>
      <c r="BI41" s="336" t="s">
        <v>160</v>
      </c>
      <c r="BJ41" s="336" t="s">
        <v>160</v>
      </c>
      <c r="BK41" s="336" t="s">
        <v>160</v>
      </c>
      <c r="BL41" s="336" t="s">
        <v>160</v>
      </c>
      <c r="BM41" s="336" t="s">
        <v>160</v>
      </c>
      <c r="BN41" s="336" t="s">
        <v>160</v>
      </c>
      <c r="BO41" s="336" t="s">
        <v>160</v>
      </c>
      <c r="BP41" s="336" t="s">
        <v>160</v>
      </c>
      <c r="BQ41" s="336" t="s">
        <v>160</v>
      </c>
      <c r="BR41" s="336" t="s">
        <v>160</v>
      </c>
      <c r="BS41" s="336" t="s">
        <v>160</v>
      </c>
      <c r="BT41" s="336" t="s">
        <v>160</v>
      </c>
      <c r="BU41" s="336" t="s">
        <v>160</v>
      </c>
      <c r="BV41" s="336" t="s">
        <v>160</v>
      </c>
      <c r="BW41" s="336" t="s">
        <v>160</v>
      </c>
      <c r="BX41" s="336" t="s">
        <v>160</v>
      </c>
      <c r="BY41" s="336" t="s">
        <v>160</v>
      </c>
      <c r="BZ41" s="336" t="s">
        <v>160</v>
      </c>
      <c r="CA41" s="336" t="s">
        <v>160</v>
      </c>
      <c r="CB41" s="336" t="s">
        <v>160</v>
      </c>
      <c r="CC41" s="336" t="s">
        <v>160</v>
      </c>
      <c r="CD41" s="336" t="s">
        <v>160</v>
      </c>
      <c r="CE41" s="336" t="s">
        <v>160</v>
      </c>
      <c r="CF41" s="336" t="s">
        <v>160</v>
      </c>
      <c r="CG41" s="336" t="s">
        <v>160</v>
      </c>
      <c r="CH41" s="336" t="s">
        <v>160</v>
      </c>
      <c r="CI41" s="336" t="s">
        <v>160</v>
      </c>
      <c r="CJ41" s="336" t="s">
        <v>160</v>
      </c>
      <c r="CK41" s="336" t="s">
        <v>160</v>
      </c>
      <c r="CL41" s="336" t="s">
        <v>160</v>
      </c>
      <c r="CM41" s="336" t="s">
        <v>160</v>
      </c>
      <c r="CN41" s="336" t="s">
        <v>160</v>
      </c>
      <c r="CO41" s="336" t="s">
        <v>160</v>
      </c>
      <c r="CP41" s="336" t="s">
        <v>160</v>
      </c>
      <c r="CQ41" s="336" t="s">
        <v>160</v>
      </c>
      <c r="CR41" s="336" t="s">
        <v>160</v>
      </c>
      <c r="CS41" s="336" t="s">
        <v>160</v>
      </c>
      <c r="CT41" s="336" t="s">
        <v>160</v>
      </c>
      <c r="CU41" s="336" t="s">
        <v>160</v>
      </c>
      <c r="CV41" s="336" t="s">
        <v>160</v>
      </c>
      <c r="CW41" s="336" t="s">
        <v>160</v>
      </c>
      <c r="CX41" s="336" t="s">
        <v>160</v>
      </c>
      <c r="CY41" s="336" t="s">
        <v>160</v>
      </c>
      <c r="CZ41" s="336" t="s">
        <v>160</v>
      </c>
      <c r="DA41" s="336" t="s">
        <v>160</v>
      </c>
      <c r="DB41" s="336" t="s">
        <v>160</v>
      </c>
      <c r="DC41" s="336" t="s">
        <v>160</v>
      </c>
      <c r="DD41" s="336" t="s">
        <v>160</v>
      </c>
      <c r="DE41" s="336" t="s">
        <v>160</v>
      </c>
      <c r="DF41" s="336" t="s">
        <v>160</v>
      </c>
      <c r="DG41" s="336" t="s">
        <v>160</v>
      </c>
      <c r="DH41" s="336">
        <v>443</v>
      </c>
      <c r="DI41" s="336">
        <v>443</v>
      </c>
      <c r="DJ41" s="336">
        <v>443</v>
      </c>
      <c r="DK41" s="336">
        <v>443</v>
      </c>
      <c r="DL41" s="336">
        <v>443</v>
      </c>
      <c r="DM41" s="336">
        <v>443</v>
      </c>
      <c r="DN41" s="336">
        <v>443</v>
      </c>
      <c r="DO41" s="336">
        <v>436</v>
      </c>
      <c r="DP41" s="336">
        <v>436</v>
      </c>
      <c r="DQ41" s="336">
        <v>436</v>
      </c>
      <c r="DR41" s="336">
        <v>436</v>
      </c>
      <c r="DS41" s="336">
        <v>436</v>
      </c>
      <c r="DT41" s="336">
        <v>436</v>
      </c>
      <c r="DU41" s="336">
        <v>436</v>
      </c>
      <c r="DV41" s="336">
        <v>436</v>
      </c>
    </row>
    <row r="42" spans="1:126" x14ac:dyDescent="0.25">
      <c r="A42" t="s">
        <v>557</v>
      </c>
      <c r="B42" t="s">
        <v>856</v>
      </c>
      <c r="C42" s="1012"/>
      <c r="D42" s="1092" t="str">
        <f>IF([1]RENAME!$H$3=1,B42,A42)</f>
        <v>Média</v>
      </c>
      <c r="E42" s="1093" t="str">
        <f t="shared" ref="E42:M42" si="38">IFERROR(AVERAGE(E40:E41),"-")</f>
        <v>-</v>
      </c>
      <c r="F42" s="1093" t="str">
        <f t="shared" si="38"/>
        <v>-</v>
      </c>
      <c r="G42" s="1093" t="str">
        <f t="shared" si="38"/>
        <v>-</v>
      </c>
      <c r="H42" s="1093" t="str">
        <f t="shared" si="38"/>
        <v>-</v>
      </c>
      <c r="I42" s="1093" t="str">
        <f t="shared" si="38"/>
        <v>-</v>
      </c>
      <c r="J42" s="1093" t="str">
        <f t="shared" si="38"/>
        <v>-</v>
      </c>
      <c r="K42" s="1093" t="str">
        <f t="shared" si="38"/>
        <v>-</v>
      </c>
      <c r="L42" s="1093" t="str">
        <f t="shared" si="38"/>
        <v>-</v>
      </c>
      <c r="M42" s="1093" t="str">
        <f t="shared" si="38"/>
        <v>-</v>
      </c>
      <c r="N42" s="1095" t="s">
        <v>160</v>
      </c>
      <c r="O42" s="1095" t="s">
        <v>160</v>
      </c>
      <c r="P42" s="1095" t="s">
        <v>160</v>
      </c>
      <c r="Q42" s="1095" t="s">
        <v>160</v>
      </c>
      <c r="R42" s="1095" t="s">
        <v>160</v>
      </c>
      <c r="S42" s="1095" t="s">
        <v>160</v>
      </c>
      <c r="T42" s="1095" t="s">
        <v>160</v>
      </c>
      <c r="U42" s="1095" t="s">
        <v>160</v>
      </c>
      <c r="V42" s="1095" t="s">
        <v>160</v>
      </c>
      <c r="W42" s="1095" t="s">
        <v>160</v>
      </c>
      <c r="X42" s="1096" t="str">
        <f t="shared" ref="X42:BC42" si="39">IFERROR(AVERAGE(X40:X41),"-")</f>
        <v>-</v>
      </c>
      <c r="Y42" s="1096" t="str">
        <f t="shared" si="39"/>
        <v>-</v>
      </c>
      <c r="Z42" s="1096" t="str">
        <f t="shared" si="39"/>
        <v>-</v>
      </c>
      <c r="AA42" s="1096" t="str">
        <f t="shared" si="39"/>
        <v>-</v>
      </c>
      <c r="AB42" s="1096" t="str">
        <f t="shared" si="39"/>
        <v>-</v>
      </c>
      <c r="AC42" s="1096" t="str">
        <f t="shared" si="39"/>
        <v>-</v>
      </c>
      <c r="AD42" s="1096" t="str">
        <f t="shared" si="39"/>
        <v>-</v>
      </c>
      <c r="AE42" s="1096" t="str">
        <f t="shared" si="39"/>
        <v>-</v>
      </c>
      <c r="AF42" s="1096" t="str">
        <f t="shared" si="39"/>
        <v>-</v>
      </c>
      <c r="AG42" s="1096" t="str">
        <f t="shared" si="39"/>
        <v>-</v>
      </c>
      <c r="AH42" s="1096" t="str">
        <f t="shared" si="39"/>
        <v>-</v>
      </c>
      <c r="AI42" s="1096" t="str">
        <f t="shared" si="39"/>
        <v>-</v>
      </c>
      <c r="AJ42" s="1096" t="str">
        <f t="shared" si="39"/>
        <v>-</v>
      </c>
      <c r="AK42" s="1096" t="str">
        <f t="shared" si="39"/>
        <v>-</v>
      </c>
      <c r="AL42" s="1096" t="str">
        <f t="shared" si="39"/>
        <v>-</v>
      </c>
      <c r="AM42" s="1096" t="str">
        <f t="shared" si="39"/>
        <v>-</v>
      </c>
      <c r="AN42" s="1096" t="str">
        <f t="shared" si="39"/>
        <v>-</v>
      </c>
      <c r="AO42" s="1096" t="str">
        <f t="shared" si="39"/>
        <v>-</v>
      </c>
      <c r="AP42" s="1096" t="str">
        <f t="shared" si="39"/>
        <v>-</v>
      </c>
      <c r="AQ42" s="1096" t="str">
        <f t="shared" si="39"/>
        <v>-</v>
      </c>
      <c r="AR42" s="1096" t="str">
        <f t="shared" si="39"/>
        <v>-</v>
      </c>
      <c r="AS42" s="1096" t="str">
        <f t="shared" si="39"/>
        <v>-</v>
      </c>
      <c r="AT42" s="1096" t="str">
        <f t="shared" si="39"/>
        <v>-</v>
      </c>
      <c r="AU42" s="1095" t="str">
        <f t="shared" si="39"/>
        <v>-</v>
      </c>
      <c r="AV42" s="1095" t="str">
        <f t="shared" si="39"/>
        <v>-</v>
      </c>
      <c r="AW42" s="1095" t="str">
        <f t="shared" si="39"/>
        <v>-</v>
      </c>
      <c r="AX42" s="1095" t="str">
        <f t="shared" si="39"/>
        <v>-</v>
      </c>
      <c r="AY42" s="1095" t="str">
        <f t="shared" si="39"/>
        <v>-</v>
      </c>
      <c r="AZ42" s="1095" t="str">
        <f t="shared" si="39"/>
        <v>-</v>
      </c>
      <c r="BA42" s="1095" t="str">
        <f t="shared" si="39"/>
        <v>-</v>
      </c>
      <c r="BB42" s="1095" t="str">
        <f t="shared" si="39"/>
        <v>-</v>
      </c>
      <c r="BC42" s="1095" t="str">
        <f t="shared" si="39"/>
        <v>-</v>
      </c>
      <c r="BD42" s="1095" t="str">
        <f t="shared" ref="BD42:CI42" si="40">IFERROR(AVERAGE(BD40:BD41),"-")</f>
        <v>-</v>
      </c>
      <c r="BE42" s="1095" t="str">
        <f t="shared" si="40"/>
        <v>-</v>
      </c>
      <c r="BF42" s="1095" t="str">
        <f t="shared" si="40"/>
        <v>-</v>
      </c>
      <c r="BG42" s="1095" t="str">
        <f t="shared" si="40"/>
        <v>-</v>
      </c>
      <c r="BH42" s="1095" t="str">
        <f t="shared" si="40"/>
        <v>-</v>
      </c>
      <c r="BI42" s="1095" t="str">
        <f t="shared" si="40"/>
        <v>-</v>
      </c>
      <c r="BJ42" s="1095" t="str">
        <f t="shared" si="40"/>
        <v>-</v>
      </c>
      <c r="BK42" s="1095" t="str">
        <f t="shared" si="40"/>
        <v>-</v>
      </c>
      <c r="BL42" s="1095" t="str">
        <f t="shared" si="40"/>
        <v>-</v>
      </c>
      <c r="BM42" s="1095" t="str">
        <f t="shared" si="40"/>
        <v>-</v>
      </c>
      <c r="BN42" s="1095" t="str">
        <f t="shared" si="40"/>
        <v>-</v>
      </c>
      <c r="BO42" s="1095" t="str">
        <f t="shared" si="40"/>
        <v>-</v>
      </c>
      <c r="BP42" s="1095" t="str">
        <f t="shared" si="40"/>
        <v>-</v>
      </c>
      <c r="BQ42" s="1095" t="str">
        <f t="shared" si="40"/>
        <v>-</v>
      </c>
      <c r="BR42" s="1095" t="str">
        <f t="shared" si="40"/>
        <v>-</v>
      </c>
      <c r="BS42" s="1095" t="str">
        <f t="shared" si="40"/>
        <v>-</v>
      </c>
      <c r="BT42" s="1095" t="str">
        <f t="shared" si="40"/>
        <v>-</v>
      </c>
      <c r="BU42" s="1095" t="str">
        <f t="shared" si="40"/>
        <v>-</v>
      </c>
      <c r="BV42" s="1095" t="str">
        <f t="shared" si="40"/>
        <v>-</v>
      </c>
      <c r="BW42" s="1095" t="str">
        <f t="shared" si="40"/>
        <v>-</v>
      </c>
      <c r="BX42" s="1095" t="str">
        <f t="shared" si="40"/>
        <v>-</v>
      </c>
      <c r="BY42" s="1095" t="str">
        <f t="shared" si="40"/>
        <v>-</v>
      </c>
      <c r="BZ42" s="1095" t="str">
        <f t="shared" si="40"/>
        <v>-</v>
      </c>
      <c r="CA42" s="1095" t="str">
        <f t="shared" si="40"/>
        <v>-</v>
      </c>
      <c r="CB42" s="1095" t="str">
        <f t="shared" si="40"/>
        <v>-</v>
      </c>
      <c r="CC42" s="1095" t="str">
        <f t="shared" si="40"/>
        <v>-</v>
      </c>
      <c r="CD42" s="1095" t="str">
        <f t="shared" si="40"/>
        <v>-</v>
      </c>
      <c r="CE42" s="1095" t="str">
        <f t="shared" si="40"/>
        <v>-</v>
      </c>
      <c r="CF42" s="1095" t="str">
        <f t="shared" si="40"/>
        <v>-</v>
      </c>
      <c r="CG42" s="1095" t="str">
        <f t="shared" si="40"/>
        <v>-</v>
      </c>
      <c r="CH42" s="1095" t="str">
        <f t="shared" si="40"/>
        <v>-</v>
      </c>
      <c r="CI42" s="1095" t="str">
        <f t="shared" si="40"/>
        <v>-</v>
      </c>
      <c r="CJ42" s="1095" t="str">
        <f t="shared" ref="CJ42:DO42" si="41">IFERROR(AVERAGE(CJ40:CJ41),"-")</f>
        <v>-</v>
      </c>
      <c r="CK42" s="1095" t="str">
        <f t="shared" si="41"/>
        <v>-</v>
      </c>
      <c r="CL42" s="1095" t="str">
        <f t="shared" si="41"/>
        <v>-</v>
      </c>
      <c r="CM42" s="1095" t="str">
        <f t="shared" si="41"/>
        <v>-</v>
      </c>
      <c r="CN42" s="1095" t="str">
        <f t="shared" si="41"/>
        <v>-</v>
      </c>
      <c r="CO42" s="1095" t="str">
        <f t="shared" si="41"/>
        <v>-</v>
      </c>
      <c r="CP42" s="1095" t="str">
        <f t="shared" si="41"/>
        <v>-</v>
      </c>
      <c r="CQ42" s="1095" t="str">
        <f t="shared" si="41"/>
        <v>-</v>
      </c>
      <c r="CR42" s="1095" t="str">
        <f t="shared" si="41"/>
        <v>-</v>
      </c>
      <c r="CS42" s="1095" t="str">
        <f t="shared" si="41"/>
        <v>-</v>
      </c>
      <c r="CT42" s="1095" t="str">
        <f t="shared" si="41"/>
        <v>-</v>
      </c>
      <c r="CU42" s="1095" t="str">
        <f t="shared" si="41"/>
        <v>-</v>
      </c>
      <c r="CV42" s="1095" t="str">
        <f t="shared" si="41"/>
        <v>-</v>
      </c>
      <c r="CW42" s="1095" t="str">
        <f t="shared" si="41"/>
        <v>-</v>
      </c>
      <c r="CX42" s="1095" t="str">
        <f t="shared" si="41"/>
        <v>-</v>
      </c>
      <c r="CY42" s="1095" t="str">
        <f t="shared" si="41"/>
        <v>-</v>
      </c>
      <c r="CZ42" s="1095" t="str">
        <f t="shared" si="41"/>
        <v>-</v>
      </c>
      <c r="DA42" s="1095" t="str">
        <f t="shared" si="41"/>
        <v>-</v>
      </c>
      <c r="DB42" s="1095" t="str">
        <f t="shared" si="41"/>
        <v>-</v>
      </c>
      <c r="DC42" s="1095" t="str">
        <f t="shared" si="41"/>
        <v>-</v>
      </c>
      <c r="DD42" s="1095" t="str">
        <f t="shared" si="41"/>
        <v>-</v>
      </c>
      <c r="DE42" s="1095" t="str">
        <f t="shared" si="41"/>
        <v>-</v>
      </c>
      <c r="DF42" s="1095" t="str">
        <f t="shared" si="41"/>
        <v>-</v>
      </c>
      <c r="DG42" s="1095" t="str">
        <f t="shared" si="41"/>
        <v>-</v>
      </c>
      <c r="DH42" s="1095">
        <f t="shared" si="41"/>
        <v>443</v>
      </c>
      <c r="DI42" s="1095">
        <f t="shared" si="41"/>
        <v>443</v>
      </c>
      <c r="DJ42" s="1095">
        <f t="shared" si="41"/>
        <v>443</v>
      </c>
      <c r="DK42" s="1095">
        <f t="shared" si="41"/>
        <v>443</v>
      </c>
      <c r="DL42" s="1095">
        <f t="shared" si="41"/>
        <v>443</v>
      </c>
      <c r="DM42" s="1095">
        <f t="shared" si="41"/>
        <v>443</v>
      </c>
      <c r="DN42" s="1095">
        <f t="shared" si="41"/>
        <v>443</v>
      </c>
      <c r="DO42" s="1095">
        <f t="shared" si="41"/>
        <v>468.5</v>
      </c>
      <c r="DP42" s="1095">
        <f t="shared" ref="DP42:DU42" si="42">IFERROR(AVERAGE(DP40:DP41),"-")</f>
        <v>468.5</v>
      </c>
      <c r="DQ42" s="1095">
        <f t="shared" si="42"/>
        <v>468.5</v>
      </c>
      <c r="DR42" s="1095">
        <f t="shared" si="42"/>
        <v>468.5</v>
      </c>
      <c r="DS42" s="1095">
        <f t="shared" si="42"/>
        <v>468.5</v>
      </c>
      <c r="DT42" s="1095">
        <f t="shared" si="42"/>
        <v>468.5</v>
      </c>
      <c r="DU42" s="1095">
        <f t="shared" si="42"/>
        <v>468.5</v>
      </c>
      <c r="DV42" s="1095">
        <f>IFERROR(AVERAGE(DV40:DV41),"-")</f>
        <v>468.5</v>
      </c>
    </row>
    <row r="43" spans="1:126" x14ac:dyDescent="0.25">
      <c r="C43" s="1012"/>
      <c r="Z43" s="339"/>
      <c r="AA43" s="339"/>
      <c r="AB43" s="339"/>
      <c r="AC43" s="339"/>
      <c r="AD43" s="339"/>
      <c r="AE43" s="339"/>
      <c r="AF43" s="339"/>
      <c r="AG43" s="339"/>
      <c r="AH43" s="339"/>
      <c r="AI43" s="339"/>
      <c r="AJ43" s="339"/>
      <c r="AK43" s="339"/>
      <c r="AL43" s="339"/>
      <c r="AM43" s="339"/>
      <c r="AN43" s="339"/>
      <c r="AO43" s="339"/>
      <c r="AP43" s="339"/>
      <c r="AQ43" s="339"/>
      <c r="AR43" s="339"/>
      <c r="AS43" s="339"/>
      <c r="AT43" s="339"/>
      <c r="AU43" s="339"/>
      <c r="AV43" s="817"/>
      <c r="AW43" s="817"/>
      <c r="AX43" s="941"/>
      <c r="AY43" s="817"/>
      <c r="AZ43" s="817"/>
      <c r="BA43" s="817"/>
      <c r="BB43" s="817"/>
      <c r="BC43" s="817"/>
      <c r="BD43" s="817"/>
      <c r="BE43" s="817"/>
      <c r="BF43" s="817"/>
      <c r="BG43" s="817"/>
      <c r="BH43" s="817"/>
      <c r="BI43" s="817"/>
      <c r="BJ43" s="817"/>
      <c r="BK43" s="817"/>
      <c r="BL43" s="817"/>
      <c r="BM43" s="817"/>
      <c r="BN43" s="817"/>
      <c r="BO43" s="817"/>
      <c r="BP43" s="817"/>
      <c r="BQ43" s="817"/>
      <c r="BR43" s="817"/>
      <c r="BS43" s="817"/>
      <c r="BT43" s="817"/>
      <c r="BU43" s="817"/>
      <c r="BV43" s="817"/>
      <c r="BW43" s="817"/>
      <c r="BX43" s="817"/>
      <c r="BY43" s="817"/>
      <c r="BZ43" s="817"/>
      <c r="CA43" s="817"/>
      <c r="CB43" s="817"/>
      <c r="CC43" s="817"/>
      <c r="CD43" s="817"/>
      <c r="CE43" s="817"/>
      <c r="CF43" s="817"/>
      <c r="CG43" s="817"/>
      <c r="CH43" s="817"/>
      <c r="CI43" s="817"/>
      <c r="CJ43" s="817"/>
      <c r="CK43" s="817"/>
      <c r="CL43" s="817"/>
      <c r="CM43" s="817"/>
      <c r="CN43" s="817"/>
      <c r="CO43" s="817"/>
      <c r="CP43" s="817"/>
      <c r="CQ43" s="817"/>
      <c r="CR43" s="817"/>
      <c r="CS43" s="817"/>
      <c r="CT43" s="817"/>
      <c r="CU43" s="817"/>
      <c r="CV43" s="817"/>
      <c r="CW43" s="817"/>
      <c r="CX43" s="817"/>
      <c r="CY43" s="817"/>
      <c r="CZ43" s="817"/>
      <c r="DA43" s="817"/>
      <c r="DB43" s="817"/>
      <c r="DC43" s="817"/>
      <c r="DD43" s="817"/>
      <c r="DE43" s="817"/>
      <c r="DF43" s="817"/>
      <c r="DG43" s="817"/>
      <c r="DH43" s="817"/>
      <c r="DI43" s="817"/>
      <c r="DJ43" s="817"/>
      <c r="DK43" s="817"/>
      <c r="DL43" s="817"/>
      <c r="DM43" s="817"/>
      <c r="DN43" s="817"/>
      <c r="DO43" s="817"/>
      <c r="DP43" s="817"/>
      <c r="DQ43" s="817"/>
      <c r="DR43" s="817"/>
      <c r="DS43" s="817"/>
      <c r="DT43" s="817"/>
      <c r="DU43" s="817"/>
      <c r="DV43" s="817"/>
    </row>
    <row r="44" spans="1:126" x14ac:dyDescent="0.25">
      <c r="A44" s="261" t="s">
        <v>2305</v>
      </c>
      <c r="B44" s="261" t="s">
        <v>2306</v>
      </c>
      <c r="C44" s="1012"/>
      <c r="D44" s="113" t="str">
        <f>IF([1]RENAME!$H$3=1,B44,A44)</f>
        <v>Lucro Líquido 2027</v>
      </c>
      <c r="E44" s="262">
        <f t="shared" ref="E44:BP44" si="43">E$11</f>
        <v>42522</v>
      </c>
      <c r="F44" s="262">
        <f t="shared" si="43"/>
        <v>42552</v>
      </c>
      <c r="G44" s="262">
        <f t="shared" si="43"/>
        <v>42583</v>
      </c>
      <c r="H44" s="262">
        <f t="shared" si="43"/>
        <v>42614</v>
      </c>
      <c r="I44" s="262">
        <f t="shared" si="43"/>
        <v>42644</v>
      </c>
      <c r="J44" s="262">
        <f t="shared" si="43"/>
        <v>42675</v>
      </c>
      <c r="K44" s="262">
        <f t="shared" si="43"/>
        <v>42705</v>
      </c>
      <c r="L44" s="262">
        <f t="shared" si="43"/>
        <v>42736</v>
      </c>
      <c r="M44" s="262">
        <f t="shared" si="43"/>
        <v>42767</v>
      </c>
      <c r="N44" s="262">
        <f t="shared" si="43"/>
        <v>42795</v>
      </c>
      <c r="O44" s="262">
        <f t="shared" si="43"/>
        <v>42826</v>
      </c>
      <c r="P44" s="262">
        <f t="shared" si="43"/>
        <v>42856</v>
      </c>
      <c r="Q44" s="262">
        <f t="shared" si="43"/>
        <v>42887</v>
      </c>
      <c r="R44" s="262">
        <f t="shared" si="43"/>
        <v>42917</v>
      </c>
      <c r="S44" s="262">
        <f t="shared" si="43"/>
        <v>42948</v>
      </c>
      <c r="T44" s="262">
        <f t="shared" si="43"/>
        <v>42979</v>
      </c>
      <c r="U44" s="262">
        <f t="shared" si="43"/>
        <v>43009</v>
      </c>
      <c r="V44" s="262">
        <f t="shared" si="43"/>
        <v>43040</v>
      </c>
      <c r="W44" s="262">
        <f t="shared" si="43"/>
        <v>43070</v>
      </c>
      <c r="X44" s="262">
        <f t="shared" si="43"/>
        <v>43101</v>
      </c>
      <c r="Y44" s="262">
        <f t="shared" si="43"/>
        <v>43132</v>
      </c>
      <c r="Z44" s="262">
        <f t="shared" si="43"/>
        <v>43160</v>
      </c>
      <c r="AA44" s="262">
        <f t="shared" si="43"/>
        <v>43191</v>
      </c>
      <c r="AB44" s="262">
        <f t="shared" si="43"/>
        <v>43221</v>
      </c>
      <c r="AC44" s="262">
        <f t="shared" si="43"/>
        <v>43252</v>
      </c>
      <c r="AD44" s="262">
        <f t="shared" si="43"/>
        <v>43283</v>
      </c>
      <c r="AE44" s="262">
        <f t="shared" si="43"/>
        <v>43314</v>
      </c>
      <c r="AF44" s="262">
        <f t="shared" si="43"/>
        <v>43345</v>
      </c>
      <c r="AG44" s="262">
        <f t="shared" si="43"/>
        <v>43376</v>
      </c>
      <c r="AH44" s="262">
        <f t="shared" si="43"/>
        <v>43407</v>
      </c>
      <c r="AI44" s="262">
        <f t="shared" si="43"/>
        <v>43437</v>
      </c>
      <c r="AJ44" s="262">
        <f t="shared" si="43"/>
        <v>43468</v>
      </c>
      <c r="AK44" s="262">
        <f t="shared" si="43"/>
        <v>43499</v>
      </c>
      <c r="AL44" s="262">
        <f t="shared" si="43"/>
        <v>43527</v>
      </c>
      <c r="AM44" s="262">
        <f t="shared" si="43"/>
        <v>43558</v>
      </c>
      <c r="AN44" s="262">
        <f t="shared" si="43"/>
        <v>43587</v>
      </c>
      <c r="AO44" s="262">
        <f t="shared" si="43"/>
        <v>43618</v>
      </c>
      <c r="AP44" s="262">
        <f t="shared" si="43"/>
        <v>43647</v>
      </c>
      <c r="AQ44" s="262">
        <f t="shared" si="43"/>
        <v>43678</v>
      </c>
      <c r="AR44" s="262">
        <f t="shared" si="43"/>
        <v>43709</v>
      </c>
      <c r="AS44" s="262">
        <f t="shared" si="43"/>
        <v>43739</v>
      </c>
      <c r="AT44" s="262">
        <f t="shared" si="43"/>
        <v>43770</v>
      </c>
      <c r="AU44" s="262">
        <f t="shared" si="43"/>
        <v>43800</v>
      </c>
      <c r="AV44" s="262">
        <f t="shared" si="43"/>
        <v>43831</v>
      </c>
      <c r="AW44" s="262">
        <f t="shared" si="43"/>
        <v>43862</v>
      </c>
      <c r="AX44" s="933">
        <f t="shared" si="43"/>
        <v>43891</v>
      </c>
      <c r="AY44" s="262">
        <f t="shared" si="43"/>
        <v>43922</v>
      </c>
      <c r="AZ44" s="262">
        <f t="shared" si="43"/>
        <v>43952</v>
      </c>
      <c r="BA44" s="262">
        <f t="shared" si="43"/>
        <v>43983</v>
      </c>
      <c r="BB44" s="262">
        <f t="shared" si="43"/>
        <v>44013</v>
      </c>
      <c r="BC44" s="262">
        <f t="shared" si="43"/>
        <v>44044</v>
      </c>
      <c r="BD44" s="262">
        <f t="shared" si="43"/>
        <v>44075</v>
      </c>
      <c r="BE44" s="262">
        <f t="shared" si="43"/>
        <v>44105</v>
      </c>
      <c r="BF44" s="262">
        <f t="shared" si="43"/>
        <v>44136</v>
      </c>
      <c r="BG44" s="262">
        <f t="shared" si="43"/>
        <v>44166</v>
      </c>
      <c r="BH44" s="262">
        <f t="shared" si="43"/>
        <v>44197</v>
      </c>
      <c r="BI44" s="262">
        <f t="shared" si="43"/>
        <v>44228</v>
      </c>
      <c r="BJ44" s="262">
        <f t="shared" si="43"/>
        <v>44256</v>
      </c>
      <c r="BK44" s="262">
        <f t="shared" si="43"/>
        <v>44287</v>
      </c>
      <c r="BL44" s="262">
        <f t="shared" si="43"/>
        <v>44317</v>
      </c>
      <c r="BM44" s="262">
        <f t="shared" si="43"/>
        <v>44348</v>
      </c>
      <c r="BN44" s="262">
        <f t="shared" si="43"/>
        <v>44378</v>
      </c>
      <c r="BO44" s="262">
        <f t="shared" si="43"/>
        <v>44409</v>
      </c>
      <c r="BP44" s="262">
        <f t="shared" si="43"/>
        <v>44440</v>
      </c>
      <c r="BQ44" s="262">
        <f t="shared" ref="BQ44:DV44" si="44">BQ$11</f>
        <v>44470</v>
      </c>
      <c r="BR44" s="262">
        <f t="shared" si="44"/>
        <v>44501</v>
      </c>
      <c r="BS44" s="262">
        <f t="shared" si="44"/>
        <v>44531</v>
      </c>
      <c r="BT44" s="262">
        <f t="shared" si="44"/>
        <v>44562</v>
      </c>
      <c r="BU44" s="262">
        <f t="shared" si="44"/>
        <v>44593</v>
      </c>
      <c r="BV44" s="262">
        <f t="shared" si="44"/>
        <v>44622</v>
      </c>
      <c r="BW44" s="262">
        <f t="shared" si="44"/>
        <v>44654</v>
      </c>
      <c r="BX44" s="262">
        <f t="shared" si="44"/>
        <v>44685</v>
      </c>
      <c r="BY44" s="262">
        <f t="shared" si="44"/>
        <v>44716</v>
      </c>
      <c r="BZ44" s="262">
        <f t="shared" si="44"/>
        <v>44746</v>
      </c>
      <c r="CA44" s="262">
        <f t="shared" si="44"/>
        <v>44774</v>
      </c>
      <c r="CB44" s="262">
        <f t="shared" si="44"/>
        <v>44805</v>
      </c>
      <c r="CC44" s="262">
        <f t="shared" si="44"/>
        <v>44835</v>
      </c>
      <c r="CD44" s="262">
        <f t="shared" si="44"/>
        <v>44866</v>
      </c>
      <c r="CE44" s="262">
        <f t="shared" si="44"/>
        <v>44896</v>
      </c>
      <c r="CF44" s="262">
        <f t="shared" si="44"/>
        <v>44927</v>
      </c>
      <c r="CG44" s="262">
        <f t="shared" si="44"/>
        <v>44958</v>
      </c>
      <c r="CH44" s="262">
        <f t="shared" si="44"/>
        <v>44986</v>
      </c>
      <c r="CI44" s="262">
        <f t="shared" si="44"/>
        <v>45017</v>
      </c>
      <c r="CJ44" s="262">
        <f t="shared" si="44"/>
        <v>45047</v>
      </c>
      <c r="CK44" s="262">
        <f t="shared" si="44"/>
        <v>45078</v>
      </c>
      <c r="CL44" s="262">
        <f t="shared" si="44"/>
        <v>45108</v>
      </c>
      <c r="CM44" s="262">
        <f t="shared" si="44"/>
        <v>45139</v>
      </c>
      <c r="CN44" s="262">
        <f t="shared" si="44"/>
        <v>45170</v>
      </c>
      <c r="CO44" s="262">
        <f t="shared" si="44"/>
        <v>45200</v>
      </c>
      <c r="CP44" s="262">
        <f t="shared" si="44"/>
        <v>45231</v>
      </c>
      <c r="CQ44" s="262">
        <f t="shared" si="44"/>
        <v>45261</v>
      </c>
      <c r="CR44" s="262">
        <f t="shared" si="44"/>
        <v>45292</v>
      </c>
      <c r="CS44" s="262">
        <f t="shared" si="44"/>
        <v>45323</v>
      </c>
      <c r="CT44" s="262">
        <f t="shared" si="44"/>
        <v>45352</v>
      </c>
      <c r="CU44" s="262">
        <f t="shared" si="44"/>
        <v>45383</v>
      </c>
      <c r="CV44" s="262">
        <f t="shared" si="44"/>
        <v>45413</v>
      </c>
      <c r="CW44" s="262">
        <f t="shared" si="44"/>
        <v>45444</v>
      </c>
      <c r="CX44" s="262">
        <f t="shared" si="44"/>
        <v>45474</v>
      </c>
      <c r="CY44" s="262">
        <f t="shared" si="44"/>
        <v>45505</v>
      </c>
      <c r="CZ44" s="262">
        <f t="shared" si="44"/>
        <v>45536</v>
      </c>
      <c r="DA44" s="262">
        <f t="shared" si="44"/>
        <v>45566</v>
      </c>
      <c r="DB44" s="262">
        <f t="shared" si="44"/>
        <v>45597</v>
      </c>
      <c r="DC44" s="262">
        <f t="shared" si="44"/>
        <v>45627</v>
      </c>
      <c r="DD44" s="262">
        <f t="shared" si="44"/>
        <v>45658</v>
      </c>
      <c r="DE44" s="262">
        <f t="shared" si="44"/>
        <v>45689</v>
      </c>
      <c r="DF44" s="262">
        <f t="shared" si="44"/>
        <v>45717</v>
      </c>
      <c r="DG44" s="262">
        <f t="shared" si="44"/>
        <v>45748</v>
      </c>
      <c r="DH44" s="262">
        <f t="shared" si="44"/>
        <v>45778</v>
      </c>
      <c r="DI44" s="262">
        <f t="shared" si="44"/>
        <v>45809</v>
      </c>
      <c r="DJ44" s="262">
        <v>45839</v>
      </c>
      <c r="DK44" s="262">
        <f t="shared" si="44"/>
        <v>45870</v>
      </c>
      <c r="DL44" s="262">
        <f t="shared" si="44"/>
        <v>45901</v>
      </c>
      <c r="DM44" s="262">
        <f t="shared" si="44"/>
        <v>45931</v>
      </c>
      <c r="DN44" s="262">
        <f t="shared" si="44"/>
        <v>45962</v>
      </c>
      <c r="DO44" s="262">
        <f t="shared" si="44"/>
        <v>45992</v>
      </c>
      <c r="DP44" s="262">
        <f t="shared" si="44"/>
        <v>46023</v>
      </c>
      <c r="DQ44" s="262">
        <f t="shared" si="44"/>
        <v>46054</v>
      </c>
      <c r="DR44" s="262">
        <f t="shared" si="44"/>
        <v>46082</v>
      </c>
      <c r="DS44" s="262">
        <f t="shared" si="44"/>
        <v>46113</v>
      </c>
      <c r="DT44" s="262">
        <f t="shared" si="44"/>
        <v>46143</v>
      </c>
      <c r="DU44" s="262">
        <f t="shared" si="44"/>
        <v>46174</v>
      </c>
      <c r="DV44" s="262">
        <f t="shared" si="44"/>
        <v>46204</v>
      </c>
    </row>
    <row r="45" spans="1:126" x14ac:dyDescent="0.25">
      <c r="A45" s="261" t="s">
        <v>542</v>
      </c>
      <c r="B45" s="261" t="s">
        <v>542</v>
      </c>
      <c r="C45" s="1012"/>
      <c r="D45" s="117" t="str">
        <f>IF([1]RENAME!$H$3=1,B45,A45)</f>
        <v>SANTANDER</v>
      </c>
      <c r="E45" s="263" t="s">
        <v>160</v>
      </c>
      <c r="F45" s="263" t="s">
        <v>160</v>
      </c>
      <c r="G45" s="263" t="s">
        <v>160</v>
      </c>
      <c r="H45" s="264" t="s">
        <v>160</v>
      </c>
      <c r="I45" s="264" t="s">
        <v>160</v>
      </c>
      <c r="J45" s="264" t="s">
        <v>160</v>
      </c>
      <c r="K45" s="264" t="s">
        <v>160</v>
      </c>
      <c r="L45" s="264" t="s">
        <v>160</v>
      </c>
      <c r="M45" s="264" t="s">
        <v>160</v>
      </c>
      <c r="N45" s="592" t="s">
        <v>160</v>
      </c>
      <c r="O45" s="592" t="s">
        <v>160</v>
      </c>
      <c r="P45" s="592" t="s">
        <v>160</v>
      </c>
      <c r="Q45" s="592" t="s">
        <v>160</v>
      </c>
      <c r="R45" s="592" t="s">
        <v>160</v>
      </c>
      <c r="S45" s="592" t="s">
        <v>160</v>
      </c>
      <c r="T45" s="592" t="s">
        <v>160</v>
      </c>
      <c r="U45" s="592" t="s">
        <v>160</v>
      </c>
      <c r="V45" s="592" t="s">
        <v>160</v>
      </c>
      <c r="W45" s="591" t="s">
        <v>160</v>
      </c>
      <c r="X45" s="591" t="s">
        <v>160</v>
      </c>
      <c r="Y45" s="591" t="s">
        <v>160</v>
      </c>
      <c r="Z45" s="591" t="s">
        <v>160</v>
      </c>
      <c r="AA45" s="591" t="s">
        <v>160</v>
      </c>
      <c r="AB45" s="591" t="s">
        <v>160</v>
      </c>
      <c r="AC45" s="591" t="s">
        <v>160</v>
      </c>
      <c r="AD45" s="591" t="s">
        <v>160</v>
      </c>
      <c r="AE45" s="591" t="s">
        <v>160</v>
      </c>
      <c r="AF45" s="591" t="s">
        <v>160</v>
      </c>
      <c r="AG45" s="591" t="s">
        <v>160</v>
      </c>
      <c r="AH45" s="591" t="s">
        <v>160</v>
      </c>
      <c r="AI45" s="591" t="s">
        <v>160</v>
      </c>
      <c r="AJ45" s="591" t="s">
        <v>160</v>
      </c>
      <c r="AK45" s="591" t="s">
        <v>160</v>
      </c>
      <c r="AL45" s="346" t="s">
        <v>160</v>
      </c>
      <c r="AM45" s="346" t="s">
        <v>160</v>
      </c>
      <c r="AN45" s="346" t="s">
        <v>160</v>
      </c>
      <c r="AO45" s="346" t="s">
        <v>160</v>
      </c>
      <c r="AP45" s="346" t="s">
        <v>160</v>
      </c>
      <c r="AQ45" s="346" t="s">
        <v>160</v>
      </c>
      <c r="AR45" s="346" t="s">
        <v>160</v>
      </c>
      <c r="AS45" s="346" t="s">
        <v>160</v>
      </c>
      <c r="AT45" s="346" t="s">
        <v>160</v>
      </c>
      <c r="AU45" s="346" t="s">
        <v>160</v>
      </c>
      <c r="AV45" s="346" t="s">
        <v>160</v>
      </c>
      <c r="AW45" s="346" t="s">
        <v>160</v>
      </c>
      <c r="AX45" s="947" t="s">
        <v>160</v>
      </c>
      <c r="AY45" s="346" t="s">
        <v>160</v>
      </c>
      <c r="AZ45" s="346" t="s">
        <v>160</v>
      </c>
      <c r="BA45" s="346" t="s">
        <v>160</v>
      </c>
      <c r="BB45" s="346" t="s">
        <v>160</v>
      </c>
      <c r="BC45" s="346" t="s">
        <v>160</v>
      </c>
      <c r="BD45" s="346" t="s">
        <v>160</v>
      </c>
      <c r="BE45" s="346" t="s">
        <v>160</v>
      </c>
      <c r="BF45" s="346" t="s">
        <v>160</v>
      </c>
      <c r="BG45" s="346" t="s">
        <v>160</v>
      </c>
      <c r="BH45" s="591" t="s">
        <v>160</v>
      </c>
      <c r="BI45" s="591" t="s">
        <v>160</v>
      </c>
      <c r="BJ45" s="591" t="s">
        <v>160</v>
      </c>
      <c r="BK45" s="591" t="s">
        <v>160</v>
      </c>
      <c r="BL45" s="591" t="s">
        <v>160</v>
      </c>
      <c r="BM45" s="591" t="s">
        <v>160</v>
      </c>
      <c r="BN45" s="591" t="s">
        <v>160</v>
      </c>
      <c r="BO45" s="591" t="s">
        <v>160</v>
      </c>
      <c r="BP45" s="591" t="s">
        <v>160</v>
      </c>
      <c r="BQ45" s="591" t="s">
        <v>160</v>
      </c>
      <c r="BR45" s="591" t="s">
        <v>160</v>
      </c>
      <c r="BS45" s="591" t="s">
        <v>160</v>
      </c>
      <c r="BT45" s="591" t="s">
        <v>160</v>
      </c>
      <c r="BU45" s="591" t="s">
        <v>160</v>
      </c>
      <c r="BV45" s="591" t="s">
        <v>160</v>
      </c>
      <c r="BW45" s="591" t="s">
        <v>160</v>
      </c>
      <c r="BX45" s="591" t="s">
        <v>160</v>
      </c>
      <c r="BY45" s="591" t="s">
        <v>160</v>
      </c>
      <c r="BZ45" s="591" t="s">
        <v>160</v>
      </c>
      <c r="CA45" s="591" t="s">
        <v>160</v>
      </c>
      <c r="CB45" s="591" t="s">
        <v>160</v>
      </c>
      <c r="CC45" s="591" t="s">
        <v>160</v>
      </c>
      <c r="CD45" s="591" t="s">
        <v>160</v>
      </c>
      <c r="CE45" s="591" t="s">
        <v>160</v>
      </c>
      <c r="CF45" s="591" t="s">
        <v>160</v>
      </c>
      <c r="CG45" s="591" t="s">
        <v>160</v>
      </c>
      <c r="CH45" s="591" t="s">
        <v>160</v>
      </c>
      <c r="CI45" s="591" t="s">
        <v>160</v>
      </c>
      <c r="CJ45" s="591" t="s">
        <v>160</v>
      </c>
      <c r="CK45" s="591" t="s">
        <v>160</v>
      </c>
      <c r="CL45" s="591" t="s">
        <v>160</v>
      </c>
      <c r="CM45" s="591" t="s">
        <v>160</v>
      </c>
      <c r="CN45" s="591" t="s">
        <v>160</v>
      </c>
      <c r="CO45" s="591" t="s">
        <v>160</v>
      </c>
      <c r="CP45" s="591" t="s">
        <v>160</v>
      </c>
      <c r="CQ45" s="591" t="s">
        <v>160</v>
      </c>
      <c r="CR45" s="591" t="s">
        <v>160</v>
      </c>
      <c r="CS45" s="591" t="s">
        <v>160</v>
      </c>
      <c r="CT45" s="591" t="s">
        <v>160</v>
      </c>
      <c r="CU45" s="591" t="s">
        <v>160</v>
      </c>
      <c r="CV45" s="591" t="s">
        <v>160</v>
      </c>
      <c r="CW45" s="591" t="s">
        <v>160</v>
      </c>
      <c r="CX45" s="591" t="s">
        <v>160</v>
      </c>
      <c r="CY45" s="591" t="s">
        <v>160</v>
      </c>
      <c r="CZ45" s="591" t="s">
        <v>160</v>
      </c>
      <c r="DA45" s="591" t="s">
        <v>160</v>
      </c>
      <c r="DB45" s="591" t="s">
        <v>160</v>
      </c>
      <c r="DC45" s="591" t="s">
        <v>160</v>
      </c>
      <c r="DD45" s="591" t="s">
        <v>160</v>
      </c>
      <c r="DE45" s="591" t="s">
        <v>160</v>
      </c>
      <c r="DF45" s="591" t="s">
        <v>160</v>
      </c>
      <c r="DG45" s="591" t="s">
        <v>160</v>
      </c>
      <c r="DH45" s="591" t="s">
        <v>160</v>
      </c>
      <c r="DI45" s="591" t="s">
        <v>160</v>
      </c>
      <c r="DJ45" s="591" t="s">
        <v>160</v>
      </c>
      <c r="DK45" s="591" t="s">
        <v>160</v>
      </c>
      <c r="DL45" s="591" t="s">
        <v>160</v>
      </c>
      <c r="DM45" s="591" t="s">
        <v>160</v>
      </c>
      <c r="DN45" s="591" t="s">
        <v>160</v>
      </c>
      <c r="DO45" s="591">
        <v>335</v>
      </c>
      <c r="DP45" s="591">
        <v>335</v>
      </c>
      <c r="DQ45" s="591">
        <v>335</v>
      </c>
      <c r="DR45" s="591">
        <v>335</v>
      </c>
      <c r="DS45" s="591">
        <v>335</v>
      </c>
      <c r="DT45" s="591">
        <v>335</v>
      </c>
      <c r="DU45" s="591">
        <v>335</v>
      </c>
      <c r="DV45" s="591">
        <v>335</v>
      </c>
    </row>
    <row r="46" spans="1:126" x14ac:dyDescent="0.25">
      <c r="A46" s="261" t="s">
        <v>547</v>
      </c>
      <c r="B46" s="261" t="s">
        <v>547</v>
      </c>
      <c r="C46" s="1012"/>
      <c r="D46" s="117" t="str">
        <f>IF([1]RENAME!$H$3=1,B46,A46)</f>
        <v>ITAÚ</v>
      </c>
      <c r="E46" s="263" t="s">
        <v>160</v>
      </c>
      <c r="F46" s="263" t="s">
        <v>160</v>
      </c>
      <c r="G46" s="263" t="s">
        <v>160</v>
      </c>
      <c r="H46" s="263" t="s">
        <v>160</v>
      </c>
      <c r="I46" s="264" t="s">
        <v>160</v>
      </c>
      <c r="J46" s="264" t="s">
        <v>160</v>
      </c>
      <c r="K46" s="264" t="s">
        <v>160</v>
      </c>
      <c r="L46" s="264" t="s">
        <v>160</v>
      </c>
      <c r="M46" s="264" t="s">
        <v>160</v>
      </c>
      <c r="N46" s="592" t="s">
        <v>160</v>
      </c>
      <c r="O46" s="592" t="s">
        <v>160</v>
      </c>
      <c r="P46" s="592" t="s">
        <v>160</v>
      </c>
      <c r="Q46" s="592" t="s">
        <v>160</v>
      </c>
      <c r="R46" s="592" t="s">
        <v>160</v>
      </c>
      <c r="S46" s="591" t="s">
        <v>160</v>
      </c>
      <c r="T46" s="591" t="s">
        <v>160</v>
      </c>
      <c r="U46" s="591" t="s">
        <v>160</v>
      </c>
      <c r="V46" s="591" t="s">
        <v>160</v>
      </c>
      <c r="W46" s="591" t="s">
        <v>160</v>
      </c>
      <c r="X46" s="591" t="s">
        <v>160</v>
      </c>
      <c r="Y46" s="591" t="s">
        <v>160</v>
      </c>
      <c r="Z46" s="591" t="s">
        <v>160</v>
      </c>
      <c r="AA46" s="591" t="s">
        <v>160</v>
      </c>
      <c r="AB46" s="591" t="s">
        <v>160</v>
      </c>
      <c r="AC46" s="591" t="s">
        <v>160</v>
      </c>
      <c r="AD46" s="591" t="s">
        <v>160</v>
      </c>
      <c r="AE46" s="591" t="s">
        <v>160</v>
      </c>
      <c r="AF46" s="591" t="s">
        <v>160</v>
      </c>
      <c r="AG46" s="591" t="s">
        <v>160</v>
      </c>
      <c r="AH46" s="591" t="s">
        <v>160</v>
      </c>
      <c r="AI46" s="591" t="s">
        <v>160</v>
      </c>
      <c r="AJ46" s="591" t="s">
        <v>160</v>
      </c>
      <c r="AK46" s="591" t="s">
        <v>160</v>
      </c>
      <c r="AL46" s="346" t="s">
        <v>160</v>
      </c>
      <c r="AM46" s="346" t="s">
        <v>160</v>
      </c>
      <c r="AN46" s="346" t="s">
        <v>160</v>
      </c>
      <c r="AO46" s="346" t="s">
        <v>160</v>
      </c>
      <c r="AP46" s="346" t="s">
        <v>160</v>
      </c>
      <c r="AQ46" s="346" t="s">
        <v>160</v>
      </c>
      <c r="AR46" s="346" t="s">
        <v>160</v>
      </c>
      <c r="AS46" s="346" t="s">
        <v>160</v>
      </c>
      <c r="AT46" s="346" t="s">
        <v>160</v>
      </c>
      <c r="AU46" s="346" t="s">
        <v>160</v>
      </c>
      <c r="AV46" s="346" t="s">
        <v>160</v>
      </c>
      <c r="AW46" s="346" t="s">
        <v>160</v>
      </c>
      <c r="AX46" s="947" t="s">
        <v>160</v>
      </c>
      <c r="AY46" s="346" t="s">
        <v>160</v>
      </c>
      <c r="AZ46" s="346" t="s">
        <v>160</v>
      </c>
      <c r="BA46" s="346" t="s">
        <v>160</v>
      </c>
      <c r="BB46" s="346" t="s">
        <v>160</v>
      </c>
      <c r="BC46" s="346" t="s">
        <v>160</v>
      </c>
      <c r="BD46" s="346" t="s">
        <v>160</v>
      </c>
      <c r="BE46" s="346" t="s">
        <v>160</v>
      </c>
      <c r="BF46" s="346" t="s">
        <v>160</v>
      </c>
      <c r="BG46" s="346" t="s">
        <v>160</v>
      </c>
      <c r="BH46" s="346" t="s">
        <v>160</v>
      </c>
      <c r="BI46" s="346" t="s">
        <v>160</v>
      </c>
      <c r="BJ46" s="346" t="s">
        <v>160</v>
      </c>
      <c r="BK46" s="346" t="s">
        <v>160</v>
      </c>
      <c r="BL46" s="346" t="s">
        <v>160</v>
      </c>
      <c r="BM46" s="346" t="s">
        <v>160</v>
      </c>
      <c r="BN46" s="346" t="s">
        <v>160</v>
      </c>
      <c r="BO46" s="346" t="s">
        <v>160</v>
      </c>
      <c r="BP46" s="591" t="s">
        <v>160</v>
      </c>
      <c r="BQ46" s="591" t="s">
        <v>160</v>
      </c>
      <c r="BR46" s="591" t="s">
        <v>160</v>
      </c>
      <c r="BS46" s="591" t="s">
        <v>160</v>
      </c>
      <c r="BT46" s="591" t="s">
        <v>160</v>
      </c>
      <c r="BU46" s="591" t="s">
        <v>160</v>
      </c>
      <c r="BV46" s="591" t="s">
        <v>160</v>
      </c>
      <c r="BW46" s="591" t="s">
        <v>160</v>
      </c>
      <c r="BX46" s="591" t="s">
        <v>160</v>
      </c>
      <c r="BY46" s="591" t="s">
        <v>160</v>
      </c>
      <c r="BZ46" s="591" t="s">
        <v>160</v>
      </c>
      <c r="CA46" s="591" t="s">
        <v>160</v>
      </c>
      <c r="CB46" s="591" t="s">
        <v>160</v>
      </c>
      <c r="CC46" s="591" t="s">
        <v>160</v>
      </c>
      <c r="CD46" s="591" t="s">
        <v>160</v>
      </c>
      <c r="CE46" s="591" t="s">
        <v>160</v>
      </c>
      <c r="CF46" s="591" t="s">
        <v>160</v>
      </c>
      <c r="CG46" s="591" t="s">
        <v>160</v>
      </c>
      <c r="CH46" s="591" t="s">
        <v>160</v>
      </c>
      <c r="CI46" s="591" t="s">
        <v>160</v>
      </c>
      <c r="CJ46" s="591" t="s">
        <v>160</v>
      </c>
      <c r="CK46" s="591" t="s">
        <v>160</v>
      </c>
      <c r="CL46" s="591" t="s">
        <v>160</v>
      </c>
      <c r="CM46" s="591" t="s">
        <v>160</v>
      </c>
      <c r="CN46" s="591" t="s">
        <v>160</v>
      </c>
      <c r="CO46" s="591" t="s">
        <v>160</v>
      </c>
      <c r="CP46" s="591" t="s">
        <v>160</v>
      </c>
      <c r="CQ46" s="591" t="s">
        <v>160</v>
      </c>
      <c r="CR46" s="591" t="s">
        <v>160</v>
      </c>
      <c r="CS46" s="591" t="s">
        <v>160</v>
      </c>
      <c r="CT46" s="591" t="s">
        <v>160</v>
      </c>
      <c r="CU46" s="591" t="s">
        <v>160</v>
      </c>
      <c r="CV46" s="591" t="s">
        <v>160</v>
      </c>
      <c r="CW46" s="591" t="s">
        <v>160</v>
      </c>
      <c r="CX46" s="591" t="s">
        <v>160</v>
      </c>
      <c r="CY46" s="591" t="s">
        <v>160</v>
      </c>
      <c r="CZ46" s="591" t="s">
        <v>160</v>
      </c>
      <c r="DA46" s="591" t="s">
        <v>160</v>
      </c>
      <c r="DB46" s="591" t="s">
        <v>160</v>
      </c>
      <c r="DC46" s="591" t="s">
        <v>160</v>
      </c>
      <c r="DD46" s="591" t="s">
        <v>160</v>
      </c>
      <c r="DE46" s="591" t="s">
        <v>160</v>
      </c>
      <c r="DF46" s="591" t="s">
        <v>160</v>
      </c>
      <c r="DG46" s="591" t="s">
        <v>160</v>
      </c>
      <c r="DH46" s="591">
        <v>326</v>
      </c>
      <c r="DI46" s="591">
        <v>326</v>
      </c>
      <c r="DJ46" s="591">
        <v>326</v>
      </c>
      <c r="DK46" s="591">
        <v>326</v>
      </c>
      <c r="DL46" s="591">
        <v>326</v>
      </c>
      <c r="DM46" s="591">
        <v>326</v>
      </c>
      <c r="DN46" s="591">
        <v>326</v>
      </c>
      <c r="DO46" s="591">
        <v>280</v>
      </c>
      <c r="DP46" s="591">
        <v>280</v>
      </c>
      <c r="DQ46" s="591">
        <v>280</v>
      </c>
      <c r="DR46" s="591">
        <v>280</v>
      </c>
      <c r="DS46" s="591">
        <v>280</v>
      </c>
      <c r="DT46" s="591">
        <v>280</v>
      </c>
      <c r="DU46" s="591">
        <v>280</v>
      </c>
      <c r="DV46" s="591">
        <v>280</v>
      </c>
    </row>
    <row r="47" spans="1:126" x14ac:dyDescent="0.25">
      <c r="A47" t="s">
        <v>557</v>
      </c>
      <c r="B47" t="s">
        <v>856</v>
      </c>
      <c r="C47" s="1012"/>
      <c r="D47" s="1092" t="str">
        <f>IF([1]RENAME!$H$3=1,B47,A47)</f>
        <v>Média</v>
      </c>
      <c r="E47" s="1095" t="str">
        <f t="shared" ref="E47:AJ47" si="45">IFERROR(AVERAGE(E45:E46),"-")</f>
        <v>-</v>
      </c>
      <c r="F47" s="1095" t="str">
        <f t="shared" si="45"/>
        <v>-</v>
      </c>
      <c r="G47" s="1095" t="str">
        <f t="shared" si="45"/>
        <v>-</v>
      </c>
      <c r="H47" s="1095" t="str">
        <f t="shared" si="45"/>
        <v>-</v>
      </c>
      <c r="I47" s="1095" t="str">
        <f t="shared" si="45"/>
        <v>-</v>
      </c>
      <c r="J47" s="1095" t="str">
        <f t="shared" si="45"/>
        <v>-</v>
      </c>
      <c r="K47" s="1095" t="str">
        <f t="shared" si="45"/>
        <v>-</v>
      </c>
      <c r="L47" s="1095" t="str">
        <f t="shared" si="45"/>
        <v>-</v>
      </c>
      <c r="M47" s="1095" t="str">
        <f t="shared" si="45"/>
        <v>-</v>
      </c>
      <c r="N47" s="1095" t="str">
        <f t="shared" si="45"/>
        <v>-</v>
      </c>
      <c r="O47" s="1095" t="str">
        <f t="shared" si="45"/>
        <v>-</v>
      </c>
      <c r="P47" s="1095" t="str">
        <f t="shared" si="45"/>
        <v>-</v>
      </c>
      <c r="Q47" s="1095" t="str">
        <f t="shared" si="45"/>
        <v>-</v>
      </c>
      <c r="R47" s="1095" t="str">
        <f t="shared" si="45"/>
        <v>-</v>
      </c>
      <c r="S47" s="1095" t="str">
        <f t="shared" si="45"/>
        <v>-</v>
      </c>
      <c r="T47" s="1095" t="str">
        <f t="shared" si="45"/>
        <v>-</v>
      </c>
      <c r="U47" s="1095" t="str">
        <f t="shared" si="45"/>
        <v>-</v>
      </c>
      <c r="V47" s="1095" t="str">
        <f t="shared" si="45"/>
        <v>-</v>
      </c>
      <c r="W47" s="1095" t="str">
        <f t="shared" si="45"/>
        <v>-</v>
      </c>
      <c r="X47" s="1095" t="str">
        <f t="shared" si="45"/>
        <v>-</v>
      </c>
      <c r="Y47" s="1095" t="str">
        <f t="shared" si="45"/>
        <v>-</v>
      </c>
      <c r="Z47" s="1095" t="str">
        <f t="shared" si="45"/>
        <v>-</v>
      </c>
      <c r="AA47" s="1095" t="str">
        <f t="shared" si="45"/>
        <v>-</v>
      </c>
      <c r="AB47" s="1095" t="str">
        <f t="shared" si="45"/>
        <v>-</v>
      </c>
      <c r="AC47" s="1095" t="str">
        <f t="shared" si="45"/>
        <v>-</v>
      </c>
      <c r="AD47" s="1095" t="str">
        <f t="shared" si="45"/>
        <v>-</v>
      </c>
      <c r="AE47" s="1095" t="str">
        <f t="shared" si="45"/>
        <v>-</v>
      </c>
      <c r="AF47" s="1095" t="str">
        <f t="shared" si="45"/>
        <v>-</v>
      </c>
      <c r="AG47" s="1095" t="str">
        <f t="shared" si="45"/>
        <v>-</v>
      </c>
      <c r="AH47" s="1095" t="str">
        <f t="shared" si="45"/>
        <v>-</v>
      </c>
      <c r="AI47" s="1095" t="str">
        <f t="shared" si="45"/>
        <v>-</v>
      </c>
      <c r="AJ47" s="1095" t="str">
        <f t="shared" si="45"/>
        <v>-</v>
      </c>
      <c r="AK47" s="1095" t="str">
        <f t="shared" ref="AK47:BP47" si="46">IFERROR(AVERAGE(AK45:AK46),"-")</f>
        <v>-</v>
      </c>
      <c r="AL47" s="1095" t="str">
        <f t="shared" si="46"/>
        <v>-</v>
      </c>
      <c r="AM47" s="1095" t="str">
        <f t="shared" si="46"/>
        <v>-</v>
      </c>
      <c r="AN47" s="1095" t="str">
        <f t="shared" si="46"/>
        <v>-</v>
      </c>
      <c r="AO47" s="1095" t="str">
        <f t="shared" si="46"/>
        <v>-</v>
      </c>
      <c r="AP47" s="1095" t="str">
        <f t="shared" si="46"/>
        <v>-</v>
      </c>
      <c r="AQ47" s="1095" t="str">
        <f t="shared" si="46"/>
        <v>-</v>
      </c>
      <c r="AR47" s="1095" t="str">
        <f t="shared" si="46"/>
        <v>-</v>
      </c>
      <c r="AS47" s="1095" t="str">
        <f t="shared" si="46"/>
        <v>-</v>
      </c>
      <c r="AT47" s="1095" t="str">
        <f t="shared" si="46"/>
        <v>-</v>
      </c>
      <c r="AU47" s="1095" t="str">
        <f t="shared" si="46"/>
        <v>-</v>
      </c>
      <c r="AV47" s="1095" t="str">
        <f t="shared" si="46"/>
        <v>-</v>
      </c>
      <c r="AW47" s="1095" t="str">
        <f t="shared" si="46"/>
        <v>-</v>
      </c>
      <c r="AX47" s="1095" t="str">
        <f t="shared" si="46"/>
        <v>-</v>
      </c>
      <c r="AY47" s="1095" t="str">
        <f t="shared" si="46"/>
        <v>-</v>
      </c>
      <c r="AZ47" s="1095" t="str">
        <f t="shared" si="46"/>
        <v>-</v>
      </c>
      <c r="BA47" s="1095" t="str">
        <f t="shared" si="46"/>
        <v>-</v>
      </c>
      <c r="BB47" s="1095" t="str">
        <f t="shared" si="46"/>
        <v>-</v>
      </c>
      <c r="BC47" s="1095" t="str">
        <f t="shared" si="46"/>
        <v>-</v>
      </c>
      <c r="BD47" s="1095" t="str">
        <f t="shared" si="46"/>
        <v>-</v>
      </c>
      <c r="BE47" s="1095" t="str">
        <f t="shared" si="46"/>
        <v>-</v>
      </c>
      <c r="BF47" s="1095" t="str">
        <f t="shared" si="46"/>
        <v>-</v>
      </c>
      <c r="BG47" s="1095" t="str">
        <f t="shared" si="46"/>
        <v>-</v>
      </c>
      <c r="BH47" s="1095" t="str">
        <f t="shared" si="46"/>
        <v>-</v>
      </c>
      <c r="BI47" s="1095" t="str">
        <f t="shared" si="46"/>
        <v>-</v>
      </c>
      <c r="BJ47" s="1095" t="str">
        <f t="shared" si="46"/>
        <v>-</v>
      </c>
      <c r="BK47" s="1095" t="str">
        <f t="shared" si="46"/>
        <v>-</v>
      </c>
      <c r="BL47" s="1095" t="str">
        <f t="shared" si="46"/>
        <v>-</v>
      </c>
      <c r="BM47" s="1095" t="str">
        <f t="shared" si="46"/>
        <v>-</v>
      </c>
      <c r="BN47" s="1095" t="str">
        <f t="shared" si="46"/>
        <v>-</v>
      </c>
      <c r="BO47" s="1095" t="str">
        <f t="shared" si="46"/>
        <v>-</v>
      </c>
      <c r="BP47" s="1095" t="str">
        <f t="shared" si="46"/>
        <v>-</v>
      </c>
      <c r="BQ47" s="1095" t="str">
        <f t="shared" ref="BQ47:CV47" si="47">IFERROR(AVERAGE(BQ45:BQ46),"-")</f>
        <v>-</v>
      </c>
      <c r="BR47" s="1095" t="str">
        <f t="shared" si="47"/>
        <v>-</v>
      </c>
      <c r="BS47" s="1095" t="str">
        <f t="shared" si="47"/>
        <v>-</v>
      </c>
      <c r="BT47" s="1095" t="str">
        <f t="shared" si="47"/>
        <v>-</v>
      </c>
      <c r="BU47" s="1095" t="str">
        <f t="shared" si="47"/>
        <v>-</v>
      </c>
      <c r="BV47" s="1095" t="str">
        <f t="shared" si="47"/>
        <v>-</v>
      </c>
      <c r="BW47" s="1095" t="str">
        <f t="shared" si="47"/>
        <v>-</v>
      </c>
      <c r="BX47" s="1095" t="str">
        <f t="shared" si="47"/>
        <v>-</v>
      </c>
      <c r="BY47" s="1095" t="str">
        <f t="shared" si="47"/>
        <v>-</v>
      </c>
      <c r="BZ47" s="1095" t="str">
        <f t="shared" si="47"/>
        <v>-</v>
      </c>
      <c r="CA47" s="1095" t="str">
        <f t="shared" si="47"/>
        <v>-</v>
      </c>
      <c r="CB47" s="1095" t="str">
        <f t="shared" si="47"/>
        <v>-</v>
      </c>
      <c r="CC47" s="1095" t="str">
        <f t="shared" si="47"/>
        <v>-</v>
      </c>
      <c r="CD47" s="1095" t="str">
        <f t="shared" si="47"/>
        <v>-</v>
      </c>
      <c r="CE47" s="1095" t="str">
        <f t="shared" si="47"/>
        <v>-</v>
      </c>
      <c r="CF47" s="1095" t="str">
        <f t="shared" si="47"/>
        <v>-</v>
      </c>
      <c r="CG47" s="1095" t="str">
        <f t="shared" si="47"/>
        <v>-</v>
      </c>
      <c r="CH47" s="1095" t="str">
        <f t="shared" si="47"/>
        <v>-</v>
      </c>
      <c r="CI47" s="1095" t="str">
        <f t="shared" si="47"/>
        <v>-</v>
      </c>
      <c r="CJ47" s="1095" t="str">
        <f t="shared" si="47"/>
        <v>-</v>
      </c>
      <c r="CK47" s="1095" t="str">
        <f t="shared" si="47"/>
        <v>-</v>
      </c>
      <c r="CL47" s="1095" t="str">
        <f t="shared" si="47"/>
        <v>-</v>
      </c>
      <c r="CM47" s="1095" t="str">
        <f t="shared" si="47"/>
        <v>-</v>
      </c>
      <c r="CN47" s="1095" t="str">
        <f t="shared" si="47"/>
        <v>-</v>
      </c>
      <c r="CO47" s="1095" t="str">
        <f t="shared" si="47"/>
        <v>-</v>
      </c>
      <c r="CP47" s="1095" t="str">
        <f t="shared" si="47"/>
        <v>-</v>
      </c>
      <c r="CQ47" s="1095" t="str">
        <f t="shared" si="47"/>
        <v>-</v>
      </c>
      <c r="CR47" s="1095" t="str">
        <f t="shared" si="47"/>
        <v>-</v>
      </c>
      <c r="CS47" s="1095" t="str">
        <f t="shared" si="47"/>
        <v>-</v>
      </c>
      <c r="CT47" s="1095" t="str">
        <f t="shared" si="47"/>
        <v>-</v>
      </c>
      <c r="CU47" s="1095" t="str">
        <f t="shared" si="47"/>
        <v>-</v>
      </c>
      <c r="CV47" s="1095" t="str">
        <f t="shared" si="47"/>
        <v>-</v>
      </c>
      <c r="CW47" s="1095" t="str">
        <f t="shared" ref="CW47:DI47" si="48">IFERROR(AVERAGE(CW45:CW46),"-")</f>
        <v>-</v>
      </c>
      <c r="CX47" s="1095" t="str">
        <f t="shared" si="48"/>
        <v>-</v>
      </c>
      <c r="CY47" s="1095" t="str">
        <f t="shared" si="48"/>
        <v>-</v>
      </c>
      <c r="CZ47" s="1095" t="str">
        <f t="shared" si="48"/>
        <v>-</v>
      </c>
      <c r="DA47" s="1095" t="str">
        <f t="shared" si="48"/>
        <v>-</v>
      </c>
      <c r="DB47" s="1095" t="str">
        <f t="shared" si="48"/>
        <v>-</v>
      </c>
      <c r="DC47" s="1095" t="str">
        <f t="shared" si="48"/>
        <v>-</v>
      </c>
      <c r="DD47" s="1095" t="str">
        <f t="shared" si="48"/>
        <v>-</v>
      </c>
      <c r="DE47" s="1095" t="str">
        <f t="shared" si="48"/>
        <v>-</v>
      </c>
      <c r="DF47" s="1095" t="str">
        <f t="shared" si="48"/>
        <v>-</v>
      </c>
      <c r="DG47" s="1095" t="str">
        <f t="shared" si="48"/>
        <v>-</v>
      </c>
      <c r="DH47" s="1095">
        <f t="shared" si="48"/>
        <v>326</v>
      </c>
      <c r="DI47" s="1095">
        <f t="shared" si="48"/>
        <v>326</v>
      </c>
      <c r="DJ47" s="1095">
        <v>307</v>
      </c>
      <c r="DK47" s="1095">
        <f t="shared" ref="DK47:DR47" si="49">IFERROR(AVERAGE(DK45:DK46),"-")</f>
        <v>326</v>
      </c>
      <c r="DL47" s="1095">
        <f t="shared" si="49"/>
        <v>326</v>
      </c>
      <c r="DM47" s="1095">
        <f t="shared" si="49"/>
        <v>326</v>
      </c>
      <c r="DN47" s="1095">
        <f t="shared" si="49"/>
        <v>326</v>
      </c>
      <c r="DO47" s="1095">
        <f t="shared" si="49"/>
        <v>307.5</v>
      </c>
      <c r="DP47" s="1095">
        <f t="shared" si="49"/>
        <v>307.5</v>
      </c>
      <c r="DQ47" s="1095">
        <f t="shared" si="49"/>
        <v>307.5</v>
      </c>
      <c r="DR47" s="1095">
        <f t="shared" si="49"/>
        <v>307.5</v>
      </c>
      <c r="DS47" s="1095">
        <f>IFERROR(AVERAGE(DS45:DS46),"-")</f>
        <v>307.5</v>
      </c>
      <c r="DT47" s="1095">
        <f>IFERROR(AVERAGE(DT45:DT46),"-")</f>
        <v>307.5</v>
      </c>
      <c r="DU47" s="1095">
        <f>IFERROR(AVERAGE(DU45:DU46),"-")</f>
        <v>307.5</v>
      </c>
      <c r="DV47" s="1095">
        <f>IFERROR(AVERAGE(DV45:DV46),"-")</f>
        <v>307.5</v>
      </c>
    </row>
    <row r="48" spans="1:126" x14ac:dyDescent="0.25">
      <c r="A48"/>
      <c r="B48"/>
      <c r="C48" s="1012"/>
      <c r="D48" s="1010"/>
      <c r="E48" s="1011"/>
      <c r="F48" s="1011"/>
      <c r="G48" s="1011"/>
      <c r="H48" s="1011"/>
      <c r="I48" s="1011"/>
      <c r="J48" s="1011"/>
      <c r="K48" s="1011"/>
      <c r="L48" s="1011"/>
      <c r="M48" s="1011"/>
      <c r="N48" s="1012"/>
      <c r="O48" s="1012"/>
      <c r="P48" s="1012"/>
      <c r="Q48" s="1012"/>
      <c r="R48" s="1012"/>
      <c r="S48" s="1012"/>
      <c r="T48" s="1012"/>
      <c r="U48" s="1012"/>
      <c r="V48" s="1012"/>
      <c r="W48" s="1012"/>
      <c r="X48" s="1013"/>
      <c r="Y48" s="1013"/>
      <c r="Z48" s="1013"/>
      <c r="AA48" s="1013"/>
      <c r="AB48" s="1013"/>
      <c r="AC48" s="1013"/>
      <c r="AD48" s="1013"/>
      <c r="AE48" s="1013"/>
      <c r="AF48" s="1013"/>
      <c r="AG48" s="1013"/>
      <c r="AH48" s="1013"/>
      <c r="AI48" s="1013"/>
      <c r="AJ48" s="1013"/>
      <c r="AK48" s="1013"/>
      <c r="AL48" s="1013"/>
      <c r="AM48" s="1013"/>
      <c r="AN48" s="1013"/>
      <c r="AO48" s="1013"/>
      <c r="AP48" s="1013"/>
      <c r="AQ48" s="1013"/>
      <c r="AR48" s="1013"/>
      <c r="AS48" s="1013"/>
      <c r="AT48" s="1013"/>
      <c r="AU48" s="1013"/>
      <c r="AV48" s="1012"/>
      <c r="AW48" s="1012"/>
      <c r="AX48" s="1012"/>
      <c r="AY48" s="1015"/>
      <c r="AZ48" s="1015"/>
      <c r="BA48" s="1015"/>
      <c r="BB48" s="1012"/>
      <c r="BC48" s="1012"/>
      <c r="BD48" s="1012"/>
      <c r="BE48" s="1012"/>
      <c r="BF48" s="1012"/>
      <c r="BG48" s="1012"/>
      <c r="BH48" s="1012"/>
      <c r="BI48" s="1012"/>
      <c r="BJ48" s="1012"/>
      <c r="BK48" s="1012"/>
      <c r="BL48" s="1012"/>
      <c r="BM48" s="1012"/>
      <c r="BN48" s="1012"/>
      <c r="BO48" s="1012"/>
      <c r="BP48" s="1012"/>
      <c r="BQ48" s="1012"/>
      <c r="BR48" s="1012"/>
      <c r="BS48" s="1012"/>
      <c r="BT48" s="1012"/>
      <c r="BU48" s="1012"/>
      <c r="BV48" s="1012"/>
      <c r="BW48" s="1012"/>
      <c r="BX48" s="1012"/>
      <c r="BY48" s="1012"/>
      <c r="BZ48" s="1012"/>
      <c r="CA48" s="1012"/>
      <c r="CB48" s="1012"/>
      <c r="CC48" s="1012"/>
      <c r="CD48" s="1012"/>
      <c r="CE48" s="1012"/>
      <c r="CF48" s="1012"/>
      <c r="CG48" s="1012"/>
      <c r="CH48" s="1012"/>
      <c r="CI48" s="1012"/>
      <c r="CJ48" s="1012"/>
      <c r="CK48" s="1012"/>
      <c r="CL48" s="1012"/>
      <c r="CM48" s="1012"/>
      <c r="CN48" s="1012"/>
      <c r="CO48" s="1012"/>
      <c r="CP48" s="1012"/>
      <c r="CQ48" s="1012"/>
      <c r="CR48" s="1012"/>
      <c r="CS48" s="1012"/>
      <c r="CT48" s="1012"/>
      <c r="CU48" s="1012"/>
      <c r="CV48" s="1012"/>
      <c r="CW48" s="1012"/>
      <c r="CX48" s="1012"/>
      <c r="CY48" s="1012"/>
      <c r="CZ48" s="1012"/>
      <c r="DA48" s="1012"/>
      <c r="DB48" s="1012"/>
      <c r="DC48" s="1012"/>
      <c r="DD48" s="1012"/>
      <c r="DE48" s="1012"/>
      <c r="DF48" s="1012"/>
      <c r="DG48" s="1012"/>
    </row>
    <row r="49" spans="1:117" x14ac:dyDescent="0.25">
      <c r="A49" s="261" t="s">
        <v>590</v>
      </c>
      <c r="B49" s="261" t="s">
        <v>855</v>
      </c>
      <c r="D49" s="113" t="str">
        <f>IF([1]RENAME!$H$3=1,B49,A49)</f>
        <v>PREÇO ALVO YE18</v>
      </c>
      <c r="E49" s="262">
        <f t="shared" ref="E49:AU49" si="50">+E$117</f>
        <v>42522</v>
      </c>
      <c r="F49" s="262">
        <f t="shared" si="50"/>
        <v>42552</v>
      </c>
      <c r="G49" s="262">
        <f t="shared" si="50"/>
        <v>42583</v>
      </c>
      <c r="H49" s="262">
        <f t="shared" si="50"/>
        <v>42614</v>
      </c>
      <c r="I49" s="262">
        <f t="shared" si="50"/>
        <v>42644</v>
      </c>
      <c r="J49" s="262">
        <f t="shared" si="50"/>
        <v>42675</v>
      </c>
      <c r="K49" s="262">
        <f t="shared" si="50"/>
        <v>42705</v>
      </c>
      <c r="L49" s="262">
        <f t="shared" si="50"/>
        <v>42736</v>
      </c>
      <c r="M49" s="262">
        <f t="shared" si="50"/>
        <v>42767</v>
      </c>
      <c r="N49" s="262">
        <f t="shared" si="50"/>
        <v>42795</v>
      </c>
      <c r="O49" s="262">
        <f t="shared" si="50"/>
        <v>42826</v>
      </c>
      <c r="P49" s="262">
        <f t="shared" si="50"/>
        <v>42856</v>
      </c>
      <c r="Q49" s="262">
        <f t="shared" si="50"/>
        <v>42887</v>
      </c>
      <c r="R49" s="262">
        <f t="shared" si="50"/>
        <v>42917</v>
      </c>
      <c r="S49" s="262">
        <f t="shared" si="50"/>
        <v>42948</v>
      </c>
      <c r="T49" s="343">
        <f t="shared" si="50"/>
        <v>42979</v>
      </c>
      <c r="U49" s="262">
        <f t="shared" si="50"/>
        <v>43009</v>
      </c>
      <c r="V49" s="262">
        <f t="shared" si="50"/>
        <v>43040</v>
      </c>
      <c r="W49" s="262">
        <f t="shared" si="50"/>
        <v>43070</v>
      </c>
      <c r="X49" s="262">
        <f t="shared" si="50"/>
        <v>43101</v>
      </c>
      <c r="Y49" s="262">
        <f t="shared" si="50"/>
        <v>43132</v>
      </c>
      <c r="Z49" s="262">
        <f t="shared" si="50"/>
        <v>43160</v>
      </c>
      <c r="AA49" s="262">
        <f t="shared" si="50"/>
        <v>43191</v>
      </c>
      <c r="AB49" s="262">
        <f t="shared" si="50"/>
        <v>43221</v>
      </c>
      <c r="AC49" s="262">
        <f t="shared" si="50"/>
        <v>43252</v>
      </c>
      <c r="AD49" s="262">
        <f t="shared" si="50"/>
        <v>43283</v>
      </c>
      <c r="AE49" s="262">
        <f t="shared" si="50"/>
        <v>43314</v>
      </c>
      <c r="AF49" s="262">
        <f t="shared" si="50"/>
        <v>43345</v>
      </c>
      <c r="AG49" s="262">
        <f t="shared" si="50"/>
        <v>43376</v>
      </c>
      <c r="AH49" s="262">
        <f t="shared" si="50"/>
        <v>43407</v>
      </c>
      <c r="AI49" s="262">
        <f t="shared" si="50"/>
        <v>43437</v>
      </c>
      <c r="AJ49" s="262">
        <f t="shared" si="50"/>
        <v>43468</v>
      </c>
      <c r="AK49" s="262">
        <f t="shared" si="50"/>
        <v>43499</v>
      </c>
      <c r="AL49" s="262">
        <f t="shared" si="50"/>
        <v>43527</v>
      </c>
      <c r="AM49" s="262">
        <f t="shared" si="50"/>
        <v>43558</v>
      </c>
      <c r="AN49" s="262">
        <f t="shared" si="50"/>
        <v>43587</v>
      </c>
      <c r="AO49" s="262">
        <f t="shared" si="50"/>
        <v>43618</v>
      </c>
      <c r="AP49" s="262">
        <f t="shared" si="50"/>
        <v>43647</v>
      </c>
      <c r="AQ49" s="262">
        <f t="shared" si="50"/>
        <v>43678</v>
      </c>
      <c r="AR49" s="262">
        <f t="shared" si="50"/>
        <v>43709</v>
      </c>
      <c r="AS49" s="262">
        <f t="shared" si="50"/>
        <v>43739</v>
      </c>
      <c r="AT49" s="262">
        <f t="shared" si="50"/>
        <v>43770</v>
      </c>
      <c r="AU49" s="262">
        <f t="shared" si="50"/>
        <v>43800</v>
      </c>
    </row>
    <row r="50" spans="1:117" x14ac:dyDescent="0.25">
      <c r="A50" s="261" t="s">
        <v>542</v>
      </c>
      <c r="B50" s="261" t="s">
        <v>542</v>
      </c>
      <c r="D50" s="117" t="str">
        <f>IF([1]RENAME!$H$3=1,B50,A50)</f>
        <v>SANTANDER</v>
      </c>
      <c r="E50" s="263" t="s">
        <v>160</v>
      </c>
      <c r="F50" s="263" t="s">
        <v>160</v>
      </c>
      <c r="G50" s="263" t="s">
        <v>160</v>
      </c>
      <c r="H50" s="263" t="s">
        <v>160</v>
      </c>
      <c r="I50" s="263" t="s">
        <v>160</v>
      </c>
      <c r="J50" s="263" t="s">
        <v>160</v>
      </c>
      <c r="K50" s="263" t="s">
        <v>160</v>
      </c>
      <c r="L50" s="263" t="s">
        <v>160</v>
      </c>
      <c r="M50" s="263" t="s">
        <v>160</v>
      </c>
      <c r="N50" s="263" t="s">
        <v>160</v>
      </c>
      <c r="O50" s="263" t="s">
        <v>160</v>
      </c>
      <c r="P50" s="263" t="s">
        <v>160</v>
      </c>
      <c r="Q50" s="263" t="s">
        <v>160</v>
      </c>
      <c r="R50" s="263" t="s">
        <v>160</v>
      </c>
      <c r="S50" s="263">
        <v>20</v>
      </c>
      <c r="T50" s="344">
        <v>20</v>
      </c>
      <c r="U50" s="344">
        <v>20</v>
      </c>
      <c r="V50" s="344">
        <v>20</v>
      </c>
      <c r="W50" s="590">
        <v>26</v>
      </c>
      <c r="X50" s="596">
        <v>26</v>
      </c>
      <c r="Y50" s="596">
        <v>26</v>
      </c>
      <c r="Z50" s="596">
        <v>26</v>
      </c>
      <c r="AA50" s="596">
        <v>26</v>
      </c>
      <c r="AB50" s="596">
        <v>26</v>
      </c>
      <c r="AC50" s="596">
        <v>26</v>
      </c>
      <c r="AD50" s="596">
        <v>26</v>
      </c>
      <c r="AE50" s="596">
        <v>26</v>
      </c>
      <c r="AF50" s="596">
        <v>26</v>
      </c>
      <c r="AG50" s="596">
        <v>26</v>
      </c>
      <c r="AH50" s="596">
        <v>26</v>
      </c>
      <c r="AI50" s="596" t="s">
        <v>160</v>
      </c>
      <c r="AJ50" s="596" t="s">
        <v>160</v>
      </c>
      <c r="AK50" s="596" t="s">
        <v>160</v>
      </c>
      <c r="AL50" s="596" t="s">
        <v>160</v>
      </c>
      <c r="AM50" s="596" t="s">
        <v>160</v>
      </c>
      <c r="AN50" s="596" t="s">
        <v>160</v>
      </c>
      <c r="AO50" s="596" t="s">
        <v>160</v>
      </c>
      <c r="AP50" s="596" t="s">
        <v>160</v>
      </c>
      <c r="AQ50" s="596" t="s">
        <v>160</v>
      </c>
      <c r="AR50" s="596" t="s">
        <v>160</v>
      </c>
      <c r="AS50" s="596" t="s">
        <v>160</v>
      </c>
      <c r="AT50" s="596" t="s">
        <v>160</v>
      </c>
      <c r="AU50" s="596" t="s">
        <v>160</v>
      </c>
    </row>
    <row r="51" spans="1:117" x14ac:dyDescent="0.25">
      <c r="A51" s="261" t="s">
        <v>545</v>
      </c>
      <c r="B51" s="261" t="s">
        <v>545</v>
      </c>
      <c r="D51" s="117" t="str">
        <f>IF([1]RENAME!$H$3=1,B51,A51)</f>
        <v>BAML</v>
      </c>
      <c r="E51" s="263" t="s">
        <v>160</v>
      </c>
      <c r="F51" s="263" t="s">
        <v>160</v>
      </c>
      <c r="G51" s="263" t="s">
        <v>160</v>
      </c>
      <c r="H51" s="263" t="s">
        <v>160</v>
      </c>
      <c r="I51" s="263" t="s">
        <v>160</v>
      </c>
      <c r="J51" s="263" t="s">
        <v>160</v>
      </c>
      <c r="K51" s="263" t="s">
        <v>160</v>
      </c>
      <c r="L51" s="263" t="s">
        <v>160</v>
      </c>
      <c r="M51" s="263" t="s">
        <v>160</v>
      </c>
      <c r="N51" s="263" t="s">
        <v>160</v>
      </c>
      <c r="O51" s="263" t="s">
        <v>160</v>
      </c>
      <c r="P51" s="263" t="s">
        <v>160</v>
      </c>
      <c r="Q51" s="263" t="s">
        <v>160</v>
      </c>
      <c r="R51" s="263" t="s">
        <v>160</v>
      </c>
      <c r="S51" s="263" t="s">
        <v>160</v>
      </c>
      <c r="T51" s="344" t="s">
        <v>160</v>
      </c>
      <c r="U51" s="344" t="s">
        <v>160</v>
      </c>
      <c r="V51" s="344" t="s">
        <v>160</v>
      </c>
      <c r="W51" s="344" t="s">
        <v>160</v>
      </c>
      <c r="X51" s="344" t="s">
        <v>160</v>
      </c>
      <c r="Y51" s="344">
        <v>24</v>
      </c>
      <c r="Z51" s="344">
        <v>24</v>
      </c>
      <c r="AA51" s="344">
        <v>24</v>
      </c>
      <c r="AB51" s="344">
        <v>23</v>
      </c>
      <c r="AC51" s="344">
        <v>23</v>
      </c>
      <c r="AD51" s="344">
        <v>23</v>
      </c>
      <c r="AE51" s="684">
        <v>21</v>
      </c>
      <c r="AF51" s="596">
        <v>21</v>
      </c>
      <c r="AG51" s="596">
        <v>21</v>
      </c>
      <c r="AH51" s="691">
        <v>23</v>
      </c>
      <c r="AI51" s="596" t="s">
        <v>160</v>
      </c>
      <c r="AJ51" s="596" t="s">
        <v>160</v>
      </c>
      <c r="AK51" s="596" t="s">
        <v>160</v>
      </c>
      <c r="AL51" s="596" t="s">
        <v>160</v>
      </c>
      <c r="AM51" s="596" t="s">
        <v>160</v>
      </c>
      <c r="AN51" s="596" t="s">
        <v>160</v>
      </c>
      <c r="AO51" s="596" t="s">
        <v>160</v>
      </c>
      <c r="AP51" s="596" t="s">
        <v>160</v>
      </c>
      <c r="AQ51" s="596" t="s">
        <v>160</v>
      </c>
      <c r="AR51" s="596" t="s">
        <v>160</v>
      </c>
      <c r="AS51" s="596" t="s">
        <v>160</v>
      </c>
      <c r="AT51" s="596" t="s">
        <v>160</v>
      </c>
      <c r="AU51" s="596" t="s">
        <v>160</v>
      </c>
    </row>
    <row r="52" spans="1:117" x14ac:dyDescent="0.25">
      <c r="A52" s="261" t="s">
        <v>546</v>
      </c>
      <c r="B52" s="261" t="s">
        <v>546</v>
      </c>
      <c r="D52" s="117" t="str">
        <f>IF([1]RENAME!$H$3=1,B52,A52)</f>
        <v>BTG PACTUAL</v>
      </c>
      <c r="E52" s="263" t="s">
        <v>160</v>
      </c>
      <c r="F52" s="263" t="s">
        <v>160</v>
      </c>
      <c r="G52" s="263" t="s">
        <v>160</v>
      </c>
      <c r="H52" s="263" t="s">
        <v>160</v>
      </c>
      <c r="I52" s="263" t="s">
        <v>160</v>
      </c>
      <c r="J52" s="263" t="s">
        <v>160</v>
      </c>
      <c r="K52" s="263" t="s">
        <v>160</v>
      </c>
      <c r="L52" s="263" t="s">
        <v>160</v>
      </c>
      <c r="M52" s="263" t="s">
        <v>160</v>
      </c>
      <c r="N52" s="263" t="s">
        <v>160</v>
      </c>
      <c r="O52" s="263" t="s">
        <v>160</v>
      </c>
      <c r="P52" s="263" t="s">
        <v>160</v>
      </c>
      <c r="Q52" s="263" t="s">
        <v>160</v>
      </c>
      <c r="R52" s="263" t="s">
        <v>160</v>
      </c>
      <c r="S52" s="263" t="s">
        <v>160</v>
      </c>
      <c r="T52" s="344" t="s">
        <v>160</v>
      </c>
      <c r="U52" s="344" t="s">
        <v>160</v>
      </c>
      <c r="V52" s="344">
        <v>24</v>
      </c>
      <c r="W52" s="344">
        <v>24</v>
      </c>
      <c r="X52" s="344">
        <v>24</v>
      </c>
      <c r="Y52" s="344">
        <v>24</v>
      </c>
      <c r="Z52" s="344">
        <v>24</v>
      </c>
      <c r="AA52" s="344">
        <v>24</v>
      </c>
      <c r="AB52" s="590">
        <v>27</v>
      </c>
      <c r="AC52" s="344">
        <v>27</v>
      </c>
      <c r="AD52" s="344">
        <v>27</v>
      </c>
      <c r="AE52" s="684">
        <v>26</v>
      </c>
      <c r="AF52" s="596">
        <v>26</v>
      </c>
      <c r="AG52" s="596">
        <v>26</v>
      </c>
      <c r="AH52" s="596" t="s">
        <v>160</v>
      </c>
      <c r="AI52" s="596" t="s">
        <v>160</v>
      </c>
      <c r="AJ52" s="596" t="s">
        <v>160</v>
      </c>
      <c r="AK52" s="596" t="s">
        <v>160</v>
      </c>
      <c r="AL52" s="596" t="s">
        <v>160</v>
      </c>
      <c r="AM52" s="596" t="s">
        <v>160</v>
      </c>
      <c r="AN52" s="596" t="s">
        <v>160</v>
      </c>
      <c r="AO52" s="596" t="s">
        <v>160</v>
      </c>
      <c r="AP52" s="596" t="s">
        <v>160</v>
      </c>
      <c r="AQ52" s="596" t="s">
        <v>160</v>
      </c>
      <c r="AR52" s="596" t="s">
        <v>160</v>
      </c>
      <c r="AS52" s="596" t="s">
        <v>160</v>
      </c>
      <c r="AT52" s="596" t="s">
        <v>160</v>
      </c>
      <c r="AU52" s="596" t="s">
        <v>160</v>
      </c>
    </row>
    <row r="53" spans="1:117" x14ac:dyDescent="0.25">
      <c r="A53" s="261" t="s">
        <v>574</v>
      </c>
      <c r="B53" s="261" t="s">
        <v>574</v>
      </c>
      <c r="D53" s="117" t="str">
        <f>IF([1]RENAME!$H$3=1,B53,A53)</f>
        <v>SAFRA</v>
      </c>
      <c r="E53" s="263" t="s">
        <v>160</v>
      </c>
      <c r="F53" s="263" t="s">
        <v>160</v>
      </c>
      <c r="G53" s="263" t="s">
        <v>160</v>
      </c>
      <c r="H53" s="263" t="s">
        <v>160</v>
      </c>
      <c r="I53" s="263" t="s">
        <v>160</v>
      </c>
      <c r="J53" s="263" t="s">
        <v>160</v>
      </c>
      <c r="K53" s="263" t="s">
        <v>160</v>
      </c>
      <c r="L53" s="263" t="s">
        <v>160</v>
      </c>
      <c r="M53" s="263" t="s">
        <v>160</v>
      </c>
      <c r="N53" s="263" t="s">
        <v>160</v>
      </c>
      <c r="O53" s="263" t="s">
        <v>160</v>
      </c>
      <c r="P53" s="263" t="s">
        <v>160</v>
      </c>
      <c r="Q53" s="263" t="s">
        <v>160</v>
      </c>
      <c r="R53" s="263" t="s">
        <v>160</v>
      </c>
      <c r="S53" s="351">
        <v>22.5</v>
      </c>
      <c r="T53" s="351">
        <v>22.5</v>
      </c>
      <c r="U53" s="351">
        <v>22.5</v>
      </c>
      <c r="V53" s="351">
        <v>22.5</v>
      </c>
      <c r="W53" s="351">
        <v>22.5</v>
      </c>
      <c r="X53" s="351">
        <v>22.5</v>
      </c>
      <c r="Y53" s="590">
        <v>26</v>
      </c>
      <c r="Z53" s="596">
        <v>26</v>
      </c>
      <c r="AA53" s="596">
        <v>26</v>
      </c>
      <c r="AB53" s="596">
        <v>26</v>
      </c>
      <c r="AC53" s="596">
        <v>26</v>
      </c>
      <c r="AD53" s="596">
        <v>26</v>
      </c>
      <c r="AE53" s="596">
        <v>26</v>
      </c>
      <c r="AF53" s="596">
        <v>26</v>
      </c>
      <c r="AG53" s="596">
        <v>26</v>
      </c>
      <c r="AH53" s="596">
        <v>26</v>
      </c>
      <c r="AI53" s="596" t="s">
        <v>160</v>
      </c>
      <c r="AJ53" s="596" t="s">
        <v>160</v>
      </c>
      <c r="AK53" s="596" t="s">
        <v>160</v>
      </c>
      <c r="AL53" s="596" t="s">
        <v>160</v>
      </c>
      <c r="AM53" s="596" t="s">
        <v>160</v>
      </c>
      <c r="AN53" s="596" t="s">
        <v>160</v>
      </c>
      <c r="AO53" s="596" t="s">
        <v>160</v>
      </c>
      <c r="AP53" s="596" t="s">
        <v>160</v>
      </c>
      <c r="AQ53" s="596" t="s">
        <v>160</v>
      </c>
      <c r="AR53" s="596" t="s">
        <v>160</v>
      </c>
      <c r="AS53" s="596" t="s">
        <v>160</v>
      </c>
      <c r="AT53" s="596" t="s">
        <v>160</v>
      </c>
      <c r="AU53" s="596" t="s">
        <v>160</v>
      </c>
    </row>
    <row r="54" spans="1:117" x14ac:dyDescent="0.25">
      <c r="A54" s="261" t="s">
        <v>547</v>
      </c>
      <c r="B54" s="261" t="s">
        <v>547</v>
      </c>
      <c r="D54" s="117" t="str">
        <f>IF([1]RENAME!$H$3=1,B54,A54)</f>
        <v>ITAÚ</v>
      </c>
      <c r="E54" s="263" t="s">
        <v>160</v>
      </c>
      <c r="F54" s="263" t="s">
        <v>160</v>
      </c>
      <c r="G54" s="263" t="s">
        <v>160</v>
      </c>
      <c r="H54" s="263" t="s">
        <v>160</v>
      </c>
      <c r="I54" s="263" t="s">
        <v>160</v>
      </c>
      <c r="J54" s="263" t="s">
        <v>160</v>
      </c>
      <c r="K54" s="263" t="s">
        <v>160</v>
      </c>
      <c r="L54" s="263" t="s">
        <v>160</v>
      </c>
      <c r="M54" s="263" t="s">
        <v>160</v>
      </c>
      <c r="N54" s="263" t="s">
        <v>160</v>
      </c>
      <c r="O54" s="263" t="s">
        <v>160</v>
      </c>
      <c r="P54" s="263" t="s">
        <v>160</v>
      </c>
      <c r="Q54" s="263" t="s">
        <v>160</v>
      </c>
      <c r="R54" s="263" t="s">
        <v>160</v>
      </c>
      <c r="S54" s="263">
        <v>19.5</v>
      </c>
      <c r="T54" s="263">
        <v>19.5</v>
      </c>
      <c r="U54" s="263">
        <v>19.5</v>
      </c>
      <c r="V54" s="263">
        <v>19.5</v>
      </c>
      <c r="W54" s="263">
        <v>19.5</v>
      </c>
      <c r="X54" s="590">
        <v>27</v>
      </c>
      <c r="Y54" s="596">
        <v>27</v>
      </c>
      <c r="Z54" s="596">
        <v>27</v>
      </c>
      <c r="AA54" s="596">
        <v>27</v>
      </c>
      <c r="AB54" s="596">
        <v>27</v>
      </c>
      <c r="AC54" s="596">
        <v>27</v>
      </c>
      <c r="AD54" s="596">
        <v>27</v>
      </c>
      <c r="AE54" s="596">
        <v>27</v>
      </c>
      <c r="AF54" s="596" t="s">
        <v>160</v>
      </c>
      <c r="AG54" s="596" t="s">
        <v>160</v>
      </c>
      <c r="AH54" s="596" t="s">
        <v>160</v>
      </c>
      <c r="AI54" s="596" t="s">
        <v>160</v>
      </c>
      <c r="AJ54" s="596" t="s">
        <v>160</v>
      </c>
      <c r="AK54" s="596" t="s">
        <v>160</v>
      </c>
      <c r="AL54" s="596" t="s">
        <v>160</v>
      </c>
      <c r="AM54" s="596" t="s">
        <v>160</v>
      </c>
      <c r="AN54" s="596" t="s">
        <v>160</v>
      </c>
      <c r="AO54" s="596" t="s">
        <v>160</v>
      </c>
      <c r="AP54" s="596" t="s">
        <v>160</v>
      </c>
      <c r="AQ54" s="596" t="s">
        <v>160</v>
      </c>
      <c r="AR54" s="596" t="s">
        <v>160</v>
      </c>
      <c r="AS54" s="596" t="s">
        <v>160</v>
      </c>
      <c r="AT54" s="596" t="s">
        <v>160</v>
      </c>
      <c r="AU54" s="596" t="s">
        <v>160</v>
      </c>
    </row>
    <row r="55" spans="1:117" customFormat="1" x14ac:dyDescent="0.25">
      <c r="A55" t="s">
        <v>557</v>
      </c>
      <c r="B55" t="s">
        <v>856</v>
      </c>
      <c r="D55" s="277" t="str">
        <f>IF([1]RENAME!$H$3=1,B55,A55)</f>
        <v>Média</v>
      </c>
      <c r="E55" s="278" t="str">
        <f t="shared" ref="E55:S55" si="51">IFERROR(AVERAGE(E50:E54),"-")</f>
        <v>-</v>
      </c>
      <c r="F55" s="278" t="str">
        <f t="shared" si="51"/>
        <v>-</v>
      </c>
      <c r="G55" s="278" t="str">
        <f t="shared" si="51"/>
        <v>-</v>
      </c>
      <c r="H55" s="278" t="str">
        <f t="shared" si="51"/>
        <v>-</v>
      </c>
      <c r="I55" s="278" t="str">
        <f t="shared" si="51"/>
        <v>-</v>
      </c>
      <c r="J55" s="278" t="str">
        <f t="shared" si="51"/>
        <v>-</v>
      </c>
      <c r="K55" s="278" t="str">
        <f t="shared" si="51"/>
        <v>-</v>
      </c>
      <c r="L55" s="278" t="str">
        <f t="shared" si="51"/>
        <v>-</v>
      </c>
      <c r="M55" s="278" t="str">
        <f t="shared" si="51"/>
        <v>-</v>
      </c>
      <c r="N55" s="278" t="str">
        <f t="shared" si="51"/>
        <v>-</v>
      </c>
      <c r="O55" s="278" t="str">
        <f t="shared" si="51"/>
        <v>-</v>
      </c>
      <c r="P55" s="278" t="str">
        <f t="shared" si="51"/>
        <v>-</v>
      </c>
      <c r="Q55" s="278" t="str">
        <f t="shared" si="51"/>
        <v>-</v>
      </c>
      <c r="R55" s="278" t="str">
        <f t="shared" si="51"/>
        <v>-</v>
      </c>
      <c r="S55" s="278">
        <f t="shared" si="51"/>
        <v>20.666666666666668</v>
      </c>
      <c r="T55" s="345">
        <f t="shared" ref="T55:AH55" si="52">IFERROR(AVERAGE(T50:T54),"-")</f>
        <v>20.666666666666668</v>
      </c>
      <c r="U55" s="345">
        <f t="shared" si="52"/>
        <v>20.666666666666668</v>
      </c>
      <c r="V55" s="345">
        <f t="shared" si="52"/>
        <v>21.5</v>
      </c>
      <c r="W55" s="345">
        <f t="shared" si="52"/>
        <v>23</v>
      </c>
      <c r="X55" s="345">
        <f t="shared" si="52"/>
        <v>24.875</v>
      </c>
      <c r="Y55" s="345">
        <f t="shared" si="52"/>
        <v>25.4</v>
      </c>
      <c r="Z55" s="345">
        <f t="shared" si="52"/>
        <v>25.4</v>
      </c>
      <c r="AA55" s="345">
        <f t="shared" si="52"/>
        <v>25.4</v>
      </c>
      <c r="AB55" s="345">
        <f t="shared" si="52"/>
        <v>25.8</v>
      </c>
      <c r="AC55" s="345">
        <f t="shared" si="52"/>
        <v>25.8</v>
      </c>
      <c r="AD55" s="345">
        <f t="shared" si="52"/>
        <v>25.8</v>
      </c>
      <c r="AE55" s="345">
        <f t="shared" si="52"/>
        <v>25.2</v>
      </c>
      <c r="AF55" s="345">
        <f t="shared" si="52"/>
        <v>24.75</v>
      </c>
      <c r="AG55" s="345">
        <f t="shared" si="52"/>
        <v>24.75</v>
      </c>
      <c r="AH55" s="345">
        <f t="shared" si="52"/>
        <v>25</v>
      </c>
      <c r="AI55" s="345" t="str">
        <f t="shared" ref="AI55:AN55" si="53">IFERROR(AVERAGE(AI50:AI54),"-")</f>
        <v>-</v>
      </c>
      <c r="AJ55" s="345" t="str">
        <f t="shared" si="53"/>
        <v>-</v>
      </c>
      <c r="AK55" s="345" t="str">
        <f t="shared" si="53"/>
        <v>-</v>
      </c>
      <c r="AL55" s="345" t="str">
        <f t="shared" si="53"/>
        <v>-</v>
      </c>
      <c r="AM55" s="345" t="str">
        <f t="shared" si="53"/>
        <v>-</v>
      </c>
      <c r="AN55" s="345" t="str">
        <f t="shared" si="53"/>
        <v>-</v>
      </c>
      <c r="AO55" s="345" t="str">
        <f t="shared" ref="AO55:AT55" si="54">IFERROR(AVERAGE(AO50:AO54),"-")</f>
        <v>-</v>
      </c>
      <c r="AP55" s="345" t="str">
        <f t="shared" si="54"/>
        <v>-</v>
      </c>
      <c r="AQ55" s="345" t="str">
        <f t="shared" si="54"/>
        <v>-</v>
      </c>
      <c r="AR55" s="345" t="str">
        <f t="shared" si="54"/>
        <v>-</v>
      </c>
      <c r="AS55" s="345" t="str">
        <f t="shared" si="54"/>
        <v>-</v>
      </c>
      <c r="AT55" s="345" t="str">
        <f t="shared" si="54"/>
        <v>-</v>
      </c>
      <c r="AU55" s="345" t="str">
        <f>IFERROR(AVERAGE(AU50:AU54),"-")</f>
        <v>-</v>
      </c>
      <c r="AV55" s="261"/>
      <c r="AW55" s="261"/>
      <c r="DI55" s="1172"/>
      <c r="DJ55" s="1172"/>
      <c r="DK55" s="1172"/>
      <c r="DL55" s="1172"/>
      <c r="DM55" s="1172"/>
    </row>
    <row r="56" spans="1:117" x14ac:dyDescent="0.25">
      <c r="Z56" s="339"/>
      <c r="AA56" s="339"/>
      <c r="AB56" s="339"/>
      <c r="AC56" s="339"/>
      <c r="AD56" s="339"/>
      <c r="AE56" s="339"/>
      <c r="AF56" s="339"/>
      <c r="AG56" s="339"/>
      <c r="AH56" s="339"/>
      <c r="AI56" s="339"/>
      <c r="AJ56" s="339"/>
      <c r="AK56" s="339"/>
      <c r="AL56" s="339"/>
      <c r="AM56" s="339"/>
      <c r="AN56" s="339"/>
      <c r="AO56" s="339"/>
      <c r="AP56" s="339"/>
      <c r="AQ56" s="339"/>
      <c r="AR56" s="339"/>
      <c r="AS56" s="339"/>
      <c r="AT56" s="339"/>
      <c r="AU56" s="339"/>
    </row>
    <row r="57" spans="1:117" x14ac:dyDescent="0.25">
      <c r="A57" s="261" t="s">
        <v>594</v>
      </c>
      <c r="B57" s="261" t="s">
        <v>857</v>
      </c>
      <c r="D57" s="113" t="str">
        <f>IF([1]RENAME!$H$3=1,B57,A57)</f>
        <v>Receita líquida 2018</v>
      </c>
      <c r="E57" s="262">
        <f t="shared" ref="E57:AU57" si="55">+E$117</f>
        <v>42522</v>
      </c>
      <c r="F57" s="262">
        <f t="shared" si="55"/>
        <v>42552</v>
      </c>
      <c r="G57" s="262">
        <f t="shared" si="55"/>
        <v>42583</v>
      </c>
      <c r="H57" s="262">
        <f t="shared" si="55"/>
        <v>42614</v>
      </c>
      <c r="I57" s="262">
        <f t="shared" si="55"/>
        <v>42644</v>
      </c>
      <c r="J57" s="262">
        <f t="shared" si="55"/>
        <v>42675</v>
      </c>
      <c r="K57" s="262">
        <f t="shared" si="55"/>
        <v>42705</v>
      </c>
      <c r="L57" s="262">
        <f t="shared" si="55"/>
        <v>42736</v>
      </c>
      <c r="M57" s="262">
        <f t="shared" si="55"/>
        <v>42767</v>
      </c>
      <c r="N57" s="262">
        <f t="shared" si="55"/>
        <v>42795</v>
      </c>
      <c r="O57" s="262">
        <f t="shared" si="55"/>
        <v>42826</v>
      </c>
      <c r="P57" s="262">
        <f t="shared" si="55"/>
        <v>42856</v>
      </c>
      <c r="Q57" s="262">
        <f t="shared" si="55"/>
        <v>42887</v>
      </c>
      <c r="R57" s="262">
        <f t="shared" si="55"/>
        <v>42917</v>
      </c>
      <c r="S57" s="262">
        <f t="shared" si="55"/>
        <v>42948</v>
      </c>
      <c r="T57" s="262">
        <f t="shared" si="55"/>
        <v>42979</v>
      </c>
      <c r="U57" s="262">
        <f t="shared" si="55"/>
        <v>43009</v>
      </c>
      <c r="V57" s="262">
        <f t="shared" si="55"/>
        <v>43040</v>
      </c>
      <c r="W57" s="262">
        <f t="shared" si="55"/>
        <v>43070</v>
      </c>
      <c r="X57" s="262">
        <f t="shared" si="55"/>
        <v>43101</v>
      </c>
      <c r="Y57" s="262">
        <f t="shared" si="55"/>
        <v>43132</v>
      </c>
      <c r="Z57" s="262">
        <f t="shared" si="55"/>
        <v>43160</v>
      </c>
      <c r="AA57" s="262">
        <f t="shared" si="55"/>
        <v>43191</v>
      </c>
      <c r="AB57" s="262">
        <f t="shared" si="55"/>
        <v>43221</v>
      </c>
      <c r="AC57" s="262">
        <f t="shared" si="55"/>
        <v>43252</v>
      </c>
      <c r="AD57" s="262">
        <f t="shared" si="55"/>
        <v>43283</v>
      </c>
      <c r="AE57" s="262">
        <f t="shared" si="55"/>
        <v>43314</v>
      </c>
      <c r="AF57" s="262">
        <f t="shared" si="55"/>
        <v>43345</v>
      </c>
      <c r="AG57" s="262">
        <f t="shared" si="55"/>
        <v>43376</v>
      </c>
      <c r="AH57" s="262">
        <f t="shared" si="55"/>
        <v>43407</v>
      </c>
      <c r="AI57" s="262">
        <f t="shared" si="55"/>
        <v>43437</v>
      </c>
      <c r="AJ57" s="262">
        <f t="shared" si="55"/>
        <v>43468</v>
      </c>
      <c r="AK57" s="262">
        <f t="shared" si="55"/>
        <v>43499</v>
      </c>
      <c r="AL57" s="262">
        <f t="shared" si="55"/>
        <v>43527</v>
      </c>
      <c r="AM57" s="262">
        <f t="shared" si="55"/>
        <v>43558</v>
      </c>
      <c r="AN57" s="262">
        <f t="shared" si="55"/>
        <v>43587</v>
      </c>
      <c r="AO57" s="262">
        <f t="shared" si="55"/>
        <v>43618</v>
      </c>
      <c r="AP57" s="262">
        <f t="shared" si="55"/>
        <v>43647</v>
      </c>
      <c r="AQ57" s="262">
        <f t="shared" si="55"/>
        <v>43678</v>
      </c>
      <c r="AR57" s="262">
        <f t="shared" si="55"/>
        <v>43709</v>
      </c>
      <c r="AS57" s="262">
        <f t="shared" si="55"/>
        <v>43739</v>
      </c>
      <c r="AT57" s="262">
        <f t="shared" si="55"/>
        <v>43770</v>
      </c>
      <c r="AU57" s="262">
        <f t="shared" si="55"/>
        <v>43800</v>
      </c>
    </row>
    <row r="58" spans="1:117" x14ac:dyDescent="0.25">
      <c r="A58" s="261" t="s">
        <v>542</v>
      </c>
      <c r="B58" s="261" t="s">
        <v>542</v>
      </c>
      <c r="D58" s="117" t="str">
        <f>IF([1]RENAME!$H$3=1,B58,A58)</f>
        <v>SANTANDER</v>
      </c>
      <c r="E58" s="264" t="s">
        <v>160</v>
      </c>
      <c r="F58" s="264" t="s">
        <v>160</v>
      </c>
      <c r="G58" s="264" t="s">
        <v>160</v>
      </c>
      <c r="H58" s="336">
        <v>1176</v>
      </c>
      <c r="I58" s="336">
        <v>1176</v>
      </c>
      <c r="J58" s="336">
        <v>1176</v>
      </c>
      <c r="K58" s="336">
        <v>1176</v>
      </c>
      <c r="L58" s="336">
        <v>1176</v>
      </c>
      <c r="M58" s="336">
        <v>1176</v>
      </c>
      <c r="N58" s="336">
        <v>1176</v>
      </c>
      <c r="O58" s="336">
        <v>1176</v>
      </c>
      <c r="P58" s="336">
        <v>1176</v>
      </c>
      <c r="Q58" s="336">
        <v>1176</v>
      </c>
      <c r="R58" s="336">
        <v>1176</v>
      </c>
      <c r="S58" s="340">
        <v>1138</v>
      </c>
      <c r="T58" s="346">
        <v>1138</v>
      </c>
      <c r="U58" s="346">
        <v>1138</v>
      </c>
      <c r="V58" s="346">
        <v>1138</v>
      </c>
      <c r="W58" s="341">
        <v>1240</v>
      </c>
      <c r="X58" s="591">
        <v>1240</v>
      </c>
      <c r="Y58" s="591">
        <v>1240</v>
      </c>
      <c r="Z58" s="591">
        <v>1240</v>
      </c>
      <c r="AA58" s="591">
        <v>1240</v>
      </c>
      <c r="AB58" s="591">
        <v>1240</v>
      </c>
      <c r="AC58" s="591">
        <v>1240</v>
      </c>
      <c r="AD58" s="591">
        <v>1240</v>
      </c>
      <c r="AE58" s="591">
        <v>1240</v>
      </c>
      <c r="AF58" s="591">
        <v>1240</v>
      </c>
      <c r="AG58" s="591">
        <v>1240</v>
      </c>
      <c r="AH58" s="591">
        <v>1240</v>
      </c>
      <c r="AI58" s="591" t="s">
        <v>160</v>
      </c>
      <c r="AJ58" s="591" t="s">
        <v>160</v>
      </c>
      <c r="AK58" s="591" t="s">
        <v>160</v>
      </c>
      <c r="AL58" s="591" t="s">
        <v>160</v>
      </c>
      <c r="AM58" s="591" t="s">
        <v>160</v>
      </c>
      <c r="AN58" s="591" t="s">
        <v>160</v>
      </c>
      <c r="AO58" s="591" t="s">
        <v>160</v>
      </c>
      <c r="AP58" s="591" t="s">
        <v>160</v>
      </c>
      <c r="AQ58" s="591" t="s">
        <v>160</v>
      </c>
      <c r="AR58" s="591" t="s">
        <v>160</v>
      </c>
      <c r="AS58" s="591" t="s">
        <v>160</v>
      </c>
      <c r="AT58" s="591" t="s">
        <v>160</v>
      </c>
      <c r="AU58" s="591" t="s">
        <v>160</v>
      </c>
    </row>
    <row r="59" spans="1:117" x14ac:dyDescent="0.25">
      <c r="A59" s="261" t="s">
        <v>545</v>
      </c>
      <c r="B59" s="261" t="s">
        <v>545</v>
      </c>
      <c r="D59" s="117" t="str">
        <f>IF([1]RENAME!$H$3=1,B59,A59)</f>
        <v>BAML</v>
      </c>
      <c r="E59" s="264" t="s">
        <v>160</v>
      </c>
      <c r="F59" s="264" t="s">
        <v>160</v>
      </c>
      <c r="G59" s="264" t="s">
        <v>160</v>
      </c>
      <c r="H59" s="264" t="s">
        <v>160</v>
      </c>
      <c r="I59" s="264" t="s">
        <v>160</v>
      </c>
      <c r="J59" s="264">
        <v>1091</v>
      </c>
      <c r="K59" s="264">
        <v>1091</v>
      </c>
      <c r="L59" s="336">
        <v>1091</v>
      </c>
      <c r="M59" s="336">
        <v>1091</v>
      </c>
      <c r="N59" s="336">
        <v>1091</v>
      </c>
      <c r="O59" s="341">
        <v>1093</v>
      </c>
      <c r="P59" s="336">
        <v>1093</v>
      </c>
      <c r="Q59" s="336">
        <v>1093</v>
      </c>
      <c r="R59" s="336">
        <v>1093</v>
      </c>
      <c r="S59" s="341">
        <v>1120</v>
      </c>
      <c r="T59" s="346">
        <v>1120</v>
      </c>
      <c r="U59" s="346">
        <v>1120</v>
      </c>
      <c r="V59" s="346">
        <v>1120</v>
      </c>
      <c r="W59" s="346">
        <v>1120</v>
      </c>
      <c r="X59" s="346">
        <f>+W59</f>
        <v>1120</v>
      </c>
      <c r="Y59" s="341">
        <v>1155</v>
      </c>
      <c r="Z59" s="346">
        <v>1155</v>
      </c>
      <c r="AA59" s="346">
        <v>1155</v>
      </c>
      <c r="AB59" s="341">
        <v>1202</v>
      </c>
      <c r="AC59" s="591">
        <v>1202</v>
      </c>
      <c r="AD59" s="591">
        <v>1202</v>
      </c>
      <c r="AE59" s="591">
        <v>1202</v>
      </c>
      <c r="AF59" s="591">
        <v>1202</v>
      </c>
      <c r="AG59" s="591">
        <v>1202</v>
      </c>
      <c r="AH59" s="690">
        <v>1236</v>
      </c>
      <c r="AI59" s="591" t="s">
        <v>160</v>
      </c>
      <c r="AJ59" s="591" t="s">
        <v>160</v>
      </c>
      <c r="AK59" s="591" t="s">
        <v>160</v>
      </c>
      <c r="AL59" s="591" t="s">
        <v>160</v>
      </c>
      <c r="AM59" s="591" t="s">
        <v>160</v>
      </c>
      <c r="AN59" s="591" t="s">
        <v>160</v>
      </c>
      <c r="AO59" s="591" t="s">
        <v>160</v>
      </c>
      <c r="AP59" s="591" t="s">
        <v>160</v>
      </c>
      <c r="AQ59" s="591" t="s">
        <v>160</v>
      </c>
      <c r="AR59" s="591" t="s">
        <v>160</v>
      </c>
      <c r="AS59" s="591" t="s">
        <v>160</v>
      </c>
      <c r="AT59" s="591" t="s">
        <v>160</v>
      </c>
      <c r="AU59" s="591" t="s">
        <v>160</v>
      </c>
    </row>
    <row r="60" spans="1:117" x14ac:dyDescent="0.25">
      <c r="A60" s="261" t="s">
        <v>546</v>
      </c>
      <c r="B60" s="261" t="s">
        <v>546</v>
      </c>
      <c r="D60" s="117" t="str">
        <f>IF([1]RENAME!$H$3=1,B60,A60)</f>
        <v>BTG PACTUAL</v>
      </c>
      <c r="E60" s="264" t="s">
        <v>160</v>
      </c>
      <c r="F60" s="264" t="s">
        <v>160</v>
      </c>
      <c r="G60" s="264" t="s">
        <v>160</v>
      </c>
      <c r="H60" s="264" t="s">
        <v>160</v>
      </c>
      <c r="I60" s="264" t="s">
        <v>160</v>
      </c>
      <c r="J60" s="336">
        <v>1093</v>
      </c>
      <c r="K60" s="336">
        <v>1093</v>
      </c>
      <c r="L60" s="336">
        <v>1093</v>
      </c>
      <c r="M60" s="336">
        <v>1093</v>
      </c>
      <c r="N60" s="336">
        <v>1093</v>
      </c>
      <c r="O60" s="336">
        <v>1093</v>
      </c>
      <c r="P60" s="336">
        <v>1093</v>
      </c>
      <c r="Q60" s="336">
        <v>1093</v>
      </c>
      <c r="R60" s="336">
        <v>1093</v>
      </c>
      <c r="S60" s="336">
        <v>1093</v>
      </c>
      <c r="T60" s="346">
        <v>1093</v>
      </c>
      <c r="U60" s="346">
        <v>1093</v>
      </c>
      <c r="V60" s="341">
        <v>1226</v>
      </c>
      <c r="W60" s="591">
        <v>1226</v>
      </c>
      <c r="X60" s="591">
        <v>1226</v>
      </c>
      <c r="Y60" s="591">
        <v>1226</v>
      </c>
      <c r="Z60" s="591">
        <v>1226</v>
      </c>
      <c r="AA60" s="591">
        <v>1226</v>
      </c>
      <c r="AB60" s="591">
        <v>1226</v>
      </c>
      <c r="AC60" s="591">
        <v>1226</v>
      </c>
      <c r="AD60" s="591">
        <v>1226</v>
      </c>
      <c r="AE60" s="591">
        <v>1226</v>
      </c>
      <c r="AF60" s="591">
        <v>1226</v>
      </c>
      <c r="AG60" s="591">
        <v>1226</v>
      </c>
      <c r="AH60" s="690">
        <v>1252</v>
      </c>
      <c r="AI60" s="591" t="s">
        <v>160</v>
      </c>
      <c r="AJ60" s="591" t="s">
        <v>160</v>
      </c>
      <c r="AK60" s="591" t="s">
        <v>160</v>
      </c>
      <c r="AL60" s="591" t="s">
        <v>160</v>
      </c>
      <c r="AM60" s="591" t="s">
        <v>160</v>
      </c>
      <c r="AN60" s="591" t="s">
        <v>160</v>
      </c>
      <c r="AO60" s="591" t="s">
        <v>160</v>
      </c>
      <c r="AP60" s="591" t="s">
        <v>160</v>
      </c>
      <c r="AQ60" s="591" t="s">
        <v>160</v>
      </c>
      <c r="AR60" s="591" t="s">
        <v>160</v>
      </c>
      <c r="AS60" s="591" t="s">
        <v>160</v>
      </c>
      <c r="AT60" s="591" t="s">
        <v>160</v>
      </c>
      <c r="AU60" s="591" t="s">
        <v>160</v>
      </c>
    </row>
    <row r="61" spans="1:117" x14ac:dyDescent="0.25">
      <c r="A61" s="261" t="s">
        <v>574</v>
      </c>
      <c r="B61" s="261" t="s">
        <v>574</v>
      </c>
      <c r="D61" s="117" t="str">
        <f>IF([1]RENAME!$H$3=1,B61,A61)</f>
        <v>SAFRA</v>
      </c>
      <c r="E61" s="263" t="s">
        <v>160</v>
      </c>
      <c r="F61" s="263" t="s">
        <v>160</v>
      </c>
      <c r="G61" s="263" t="s">
        <v>160</v>
      </c>
      <c r="H61" s="263" t="s">
        <v>160</v>
      </c>
      <c r="I61" s="263" t="s">
        <v>160</v>
      </c>
      <c r="J61" s="263" t="s">
        <v>160</v>
      </c>
      <c r="K61" s="263" t="s">
        <v>160</v>
      </c>
      <c r="L61" s="336" t="s">
        <v>160</v>
      </c>
      <c r="M61" s="336" t="s">
        <v>160</v>
      </c>
      <c r="N61" s="336" t="s">
        <v>160</v>
      </c>
      <c r="O61" s="336" t="s">
        <v>160</v>
      </c>
      <c r="P61" s="336"/>
      <c r="Q61" s="336">
        <v>1283</v>
      </c>
      <c r="R61" s="336">
        <v>1283</v>
      </c>
      <c r="S61" s="336">
        <v>1283</v>
      </c>
      <c r="T61" s="341">
        <v>1285</v>
      </c>
      <c r="U61" s="346">
        <v>1285</v>
      </c>
      <c r="V61" s="346">
        <v>1285</v>
      </c>
      <c r="W61" s="346">
        <v>1285</v>
      </c>
      <c r="X61" s="346">
        <v>1285</v>
      </c>
      <c r="Y61" s="341">
        <v>1338</v>
      </c>
      <c r="Z61" s="591">
        <v>1338</v>
      </c>
      <c r="AA61" s="591">
        <v>1338</v>
      </c>
      <c r="AB61" s="591">
        <v>1338</v>
      </c>
      <c r="AC61" s="591">
        <v>1338</v>
      </c>
      <c r="AD61" s="591">
        <v>1338</v>
      </c>
      <c r="AE61" s="591">
        <v>1338</v>
      </c>
      <c r="AF61" s="591">
        <v>1338</v>
      </c>
      <c r="AG61" s="591">
        <v>1338</v>
      </c>
      <c r="AH61" s="591">
        <v>1338</v>
      </c>
      <c r="AI61" s="591" t="s">
        <v>160</v>
      </c>
      <c r="AJ61" s="591" t="s">
        <v>160</v>
      </c>
      <c r="AK61" s="591" t="s">
        <v>160</v>
      </c>
      <c r="AL61" s="591" t="s">
        <v>160</v>
      </c>
      <c r="AM61" s="591" t="s">
        <v>160</v>
      </c>
      <c r="AN61" s="591" t="s">
        <v>160</v>
      </c>
      <c r="AO61" s="591" t="s">
        <v>160</v>
      </c>
      <c r="AP61" s="591" t="s">
        <v>160</v>
      </c>
      <c r="AQ61" s="591" t="s">
        <v>160</v>
      </c>
      <c r="AR61" s="591" t="s">
        <v>160</v>
      </c>
      <c r="AS61" s="591" t="s">
        <v>160</v>
      </c>
      <c r="AT61" s="591" t="s">
        <v>160</v>
      </c>
      <c r="AU61" s="591" t="s">
        <v>160</v>
      </c>
    </row>
    <row r="62" spans="1:117" x14ac:dyDescent="0.25">
      <c r="A62" s="261" t="s">
        <v>547</v>
      </c>
      <c r="B62" s="261" t="s">
        <v>547</v>
      </c>
      <c r="D62" s="117" t="str">
        <f>IF([1]RENAME!$H$3=1,B62,A62)</f>
        <v>ITAÚ</v>
      </c>
      <c r="E62" s="264" t="s">
        <v>160</v>
      </c>
      <c r="F62" s="264" t="s">
        <v>160</v>
      </c>
      <c r="G62" s="264" t="s">
        <v>160</v>
      </c>
      <c r="H62" s="264" t="s">
        <v>160</v>
      </c>
      <c r="I62" s="336">
        <v>1229</v>
      </c>
      <c r="J62" s="336">
        <v>1229</v>
      </c>
      <c r="K62" s="336">
        <v>1229</v>
      </c>
      <c r="L62" s="336">
        <v>1229</v>
      </c>
      <c r="M62" s="336">
        <v>1229</v>
      </c>
      <c r="N62" s="340">
        <v>1081</v>
      </c>
      <c r="O62" s="336">
        <v>1081</v>
      </c>
      <c r="P62" s="336">
        <v>1081</v>
      </c>
      <c r="Q62" s="336">
        <v>1081</v>
      </c>
      <c r="R62" s="336">
        <v>1081</v>
      </c>
      <c r="S62" s="341">
        <v>1118</v>
      </c>
      <c r="T62" s="346">
        <v>1118</v>
      </c>
      <c r="U62" s="346">
        <v>1118</v>
      </c>
      <c r="V62" s="346">
        <v>1118</v>
      </c>
      <c r="W62" s="346">
        <v>1118</v>
      </c>
      <c r="X62" s="341">
        <v>1241</v>
      </c>
      <c r="Y62" s="591">
        <v>1241</v>
      </c>
      <c r="Z62" s="591">
        <v>1241</v>
      </c>
      <c r="AA62" s="591">
        <v>1241</v>
      </c>
      <c r="AB62" s="591">
        <v>1241</v>
      </c>
      <c r="AC62" s="591">
        <v>1241</v>
      </c>
      <c r="AD62" s="591">
        <v>1241</v>
      </c>
      <c r="AE62" s="591">
        <v>1241</v>
      </c>
      <c r="AF62" s="340">
        <v>1207</v>
      </c>
      <c r="AG62" s="591">
        <v>1207</v>
      </c>
      <c r="AH62" s="591">
        <v>1207</v>
      </c>
      <c r="AI62" s="591" t="s">
        <v>160</v>
      </c>
      <c r="AJ62" s="591" t="s">
        <v>160</v>
      </c>
      <c r="AK62" s="591" t="s">
        <v>160</v>
      </c>
      <c r="AL62" s="591" t="s">
        <v>160</v>
      </c>
      <c r="AM62" s="591" t="s">
        <v>160</v>
      </c>
      <c r="AN62" s="591" t="s">
        <v>160</v>
      </c>
      <c r="AO62" s="591" t="s">
        <v>160</v>
      </c>
      <c r="AP62" s="591" t="s">
        <v>160</v>
      </c>
      <c r="AQ62" s="591" t="s">
        <v>160</v>
      </c>
      <c r="AR62" s="591" t="s">
        <v>160</v>
      </c>
      <c r="AS62" s="591" t="s">
        <v>160</v>
      </c>
      <c r="AT62" s="591" t="s">
        <v>160</v>
      </c>
      <c r="AU62" s="591" t="s">
        <v>160</v>
      </c>
    </row>
    <row r="63" spans="1:117" customFormat="1" ht="12.75" x14ac:dyDescent="0.2">
      <c r="A63" t="s">
        <v>557</v>
      </c>
      <c r="B63" t="s">
        <v>856</v>
      </c>
      <c r="D63" s="277" t="str">
        <f>IF([1]RENAME!$H$3=1,B63,A63)</f>
        <v>Média</v>
      </c>
      <c r="E63" s="326" t="str">
        <f t="shared" ref="E63:S63" si="56">IFERROR(AVERAGE(E58:E62),"-")</f>
        <v>-</v>
      </c>
      <c r="F63" s="326" t="str">
        <f t="shared" si="56"/>
        <v>-</v>
      </c>
      <c r="G63" s="326" t="str">
        <f t="shared" si="56"/>
        <v>-</v>
      </c>
      <c r="H63" s="326">
        <f t="shared" si="56"/>
        <v>1176</v>
      </c>
      <c r="I63" s="326">
        <f t="shared" si="56"/>
        <v>1202.5</v>
      </c>
      <c r="J63" s="326">
        <f t="shared" si="56"/>
        <v>1147.25</v>
      </c>
      <c r="K63" s="326">
        <f t="shared" si="56"/>
        <v>1147.25</v>
      </c>
      <c r="L63" s="337">
        <f t="shared" si="56"/>
        <v>1147.25</v>
      </c>
      <c r="M63" s="337">
        <f t="shared" si="56"/>
        <v>1147.25</v>
      </c>
      <c r="N63" s="337">
        <f t="shared" si="56"/>
        <v>1110.25</v>
      </c>
      <c r="O63" s="337">
        <f t="shared" si="56"/>
        <v>1110.75</v>
      </c>
      <c r="P63" s="337">
        <f t="shared" si="56"/>
        <v>1110.75</v>
      </c>
      <c r="Q63" s="337">
        <f t="shared" si="56"/>
        <v>1145.2</v>
      </c>
      <c r="R63" s="337">
        <f t="shared" si="56"/>
        <v>1145.2</v>
      </c>
      <c r="S63" s="337">
        <f t="shared" si="56"/>
        <v>1150.4000000000001</v>
      </c>
      <c r="T63" s="347">
        <f t="shared" ref="T63:AH63" si="57">IFERROR(AVERAGE(T58:T62),"-")</f>
        <v>1150.8</v>
      </c>
      <c r="U63" s="347">
        <f t="shared" si="57"/>
        <v>1150.8</v>
      </c>
      <c r="V63" s="347">
        <f t="shared" si="57"/>
        <v>1177.4000000000001</v>
      </c>
      <c r="W63" s="347">
        <f t="shared" si="57"/>
        <v>1197.8</v>
      </c>
      <c r="X63" s="347">
        <f t="shared" si="57"/>
        <v>1222.4000000000001</v>
      </c>
      <c r="Y63" s="347">
        <f t="shared" si="57"/>
        <v>1240</v>
      </c>
      <c r="Z63" s="347">
        <f t="shared" si="57"/>
        <v>1240</v>
      </c>
      <c r="AA63" s="347">
        <f t="shared" si="57"/>
        <v>1240</v>
      </c>
      <c r="AB63" s="347">
        <f t="shared" si="57"/>
        <v>1249.4000000000001</v>
      </c>
      <c r="AC63" s="347">
        <f t="shared" si="57"/>
        <v>1249.4000000000001</v>
      </c>
      <c r="AD63" s="347">
        <f t="shared" si="57"/>
        <v>1249.4000000000001</v>
      </c>
      <c r="AE63" s="347">
        <f t="shared" si="57"/>
        <v>1249.4000000000001</v>
      </c>
      <c r="AF63" s="347">
        <f t="shared" si="57"/>
        <v>1242.5999999999999</v>
      </c>
      <c r="AG63" s="347">
        <f t="shared" si="57"/>
        <v>1242.5999999999999</v>
      </c>
      <c r="AH63" s="347">
        <f t="shared" si="57"/>
        <v>1254.5999999999999</v>
      </c>
      <c r="AI63" s="347" t="str">
        <f t="shared" ref="AI63:AN63" si="58">IFERROR(AVERAGE(AI58:AI62),"-")</f>
        <v>-</v>
      </c>
      <c r="AJ63" s="347" t="str">
        <f t="shared" si="58"/>
        <v>-</v>
      </c>
      <c r="AK63" s="347" t="str">
        <f t="shared" si="58"/>
        <v>-</v>
      </c>
      <c r="AL63" s="347" t="str">
        <f t="shared" si="58"/>
        <v>-</v>
      </c>
      <c r="AM63" s="347" t="str">
        <f t="shared" si="58"/>
        <v>-</v>
      </c>
      <c r="AN63" s="347" t="str">
        <f t="shared" si="58"/>
        <v>-</v>
      </c>
      <c r="AO63" s="347" t="str">
        <f t="shared" ref="AO63:AT63" si="59">IFERROR(AVERAGE(AO58:AO62),"-")</f>
        <v>-</v>
      </c>
      <c r="AP63" s="347" t="str">
        <f t="shared" si="59"/>
        <v>-</v>
      </c>
      <c r="AQ63" s="347" t="str">
        <f t="shared" si="59"/>
        <v>-</v>
      </c>
      <c r="AR63" s="347" t="str">
        <f t="shared" si="59"/>
        <v>-</v>
      </c>
      <c r="AS63" s="347" t="str">
        <f t="shared" si="59"/>
        <v>-</v>
      </c>
      <c r="AT63" s="347" t="str">
        <f t="shared" si="59"/>
        <v>-</v>
      </c>
      <c r="AU63" s="347" t="str">
        <f>IFERROR(AVERAGE(AU58:AU62),"-")</f>
        <v>-</v>
      </c>
      <c r="DI63" s="1172"/>
      <c r="DJ63" s="1172"/>
      <c r="DK63" s="1172"/>
      <c r="DL63" s="1172"/>
      <c r="DM63" s="1172"/>
    </row>
    <row r="64" spans="1:117" x14ac:dyDescent="0.25">
      <c r="Z64" s="339"/>
      <c r="AA64" s="339"/>
      <c r="AB64" s="339"/>
      <c r="AC64" s="339"/>
      <c r="AD64" s="339"/>
      <c r="AE64" s="339"/>
      <c r="AF64" s="339"/>
      <c r="AG64" s="339"/>
      <c r="AH64" s="339"/>
      <c r="AI64" s="339"/>
      <c r="AJ64" s="339"/>
      <c r="AK64" s="339"/>
      <c r="AL64" s="339"/>
      <c r="AM64" s="339"/>
      <c r="AN64" s="339"/>
      <c r="AO64" s="339"/>
      <c r="AP64" s="339"/>
      <c r="AQ64" s="339"/>
      <c r="AR64" s="339"/>
      <c r="AS64" s="339"/>
      <c r="AT64" s="339"/>
      <c r="AU64" s="339"/>
    </row>
    <row r="65" spans="1:117" x14ac:dyDescent="0.25">
      <c r="A65" s="261" t="s">
        <v>548</v>
      </c>
      <c r="B65" s="261" t="s">
        <v>858</v>
      </c>
      <c r="D65" s="113" t="str">
        <f>IF([1]RENAME!$H$3=1,B65,A65)</f>
        <v>EBITDA 2018</v>
      </c>
      <c r="E65" s="262">
        <f t="shared" ref="E65:AU65" si="60">+E$117</f>
        <v>42522</v>
      </c>
      <c r="F65" s="262">
        <f t="shared" si="60"/>
        <v>42552</v>
      </c>
      <c r="G65" s="262">
        <f t="shared" si="60"/>
        <v>42583</v>
      </c>
      <c r="H65" s="262">
        <f t="shared" si="60"/>
        <v>42614</v>
      </c>
      <c r="I65" s="262">
        <f t="shared" si="60"/>
        <v>42644</v>
      </c>
      <c r="J65" s="262">
        <f t="shared" si="60"/>
        <v>42675</v>
      </c>
      <c r="K65" s="262">
        <f t="shared" si="60"/>
        <v>42705</v>
      </c>
      <c r="L65" s="262">
        <f t="shared" si="60"/>
        <v>42736</v>
      </c>
      <c r="M65" s="262">
        <f t="shared" si="60"/>
        <v>42767</v>
      </c>
      <c r="N65" s="262">
        <f t="shared" si="60"/>
        <v>42795</v>
      </c>
      <c r="O65" s="262">
        <f t="shared" si="60"/>
        <v>42826</v>
      </c>
      <c r="P65" s="262">
        <f t="shared" si="60"/>
        <v>42856</v>
      </c>
      <c r="Q65" s="262">
        <f t="shared" si="60"/>
        <v>42887</v>
      </c>
      <c r="R65" s="262">
        <f t="shared" si="60"/>
        <v>42917</v>
      </c>
      <c r="S65" s="262">
        <f t="shared" si="60"/>
        <v>42948</v>
      </c>
      <c r="T65" s="262">
        <f t="shared" si="60"/>
        <v>42979</v>
      </c>
      <c r="U65" s="262">
        <f t="shared" si="60"/>
        <v>43009</v>
      </c>
      <c r="V65" s="262">
        <f t="shared" si="60"/>
        <v>43040</v>
      </c>
      <c r="W65" s="262">
        <f t="shared" si="60"/>
        <v>43070</v>
      </c>
      <c r="X65" s="262">
        <f t="shared" si="60"/>
        <v>43101</v>
      </c>
      <c r="Y65" s="262">
        <f t="shared" si="60"/>
        <v>43132</v>
      </c>
      <c r="Z65" s="262">
        <f t="shared" si="60"/>
        <v>43160</v>
      </c>
      <c r="AA65" s="262">
        <f t="shared" si="60"/>
        <v>43191</v>
      </c>
      <c r="AB65" s="262">
        <f t="shared" si="60"/>
        <v>43221</v>
      </c>
      <c r="AC65" s="262">
        <f t="shared" si="60"/>
        <v>43252</v>
      </c>
      <c r="AD65" s="262">
        <f t="shared" si="60"/>
        <v>43283</v>
      </c>
      <c r="AE65" s="262">
        <f t="shared" si="60"/>
        <v>43314</v>
      </c>
      <c r="AF65" s="262">
        <f t="shared" si="60"/>
        <v>43345</v>
      </c>
      <c r="AG65" s="262">
        <f t="shared" si="60"/>
        <v>43376</v>
      </c>
      <c r="AH65" s="262">
        <f t="shared" si="60"/>
        <v>43407</v>
      </c>
      <c r="AI65" s="262">
        <f t="shared" si="60"/>
        <v>43437</v>
      </c>
      <c r="AJ65" s="262">
        <f t="shared" si="60"/>
        <v>43468</v>
      </c>
      <c r="AK65" s="262">
        <f t="shared" si="60"/>
        <v>43499</v>
      </c>
      <c r="AL65" s="262">
        <f t="shared" si="60"/>
        <v>43527</v>
      </c>
      <c r="AM65" s="262">
        <f t="shared" si="60"/>
        <v>43558</v>
      </c>
      <c r="AN65" s="262">
        <f t="shared" si="60"/>
        <v>43587</v>
      </c>
      <c r="AO65" s="262">
        <f t="shared" si="60"/>
        <v>43618</v>
      </c>
      <c r="AP65" s="262">
        <f t="shared" si="60"/>
        <v>43647</v>
      </c>
      <c r="AQ65" s="262">
        <f t="shared" si="60"/>
        <v>43678</v>
      </c>
      <c r="AR65" s="262">
        <f t="shared" si="60"/>
        <v>43709</v>
      </c>
      <c r="AS65" s="262">
        <f t="shared" si="60"/>
        <v>43739</v>
      </c>
      <c r="AT65" s="262">
        <f t="shared" si="60"/>
        <v>43770</v>
      </c>
      <c r="AU65" s="262">
        <f t="shared" si="60"/>
        <v>43800</v>
      </c>
    </row>
    <row r="66" spans="1:117" x14ac:dyDescent="0.25">
      <c r="A66" s="261" t="s">
        <v>542</v>
      </c>
      <c r="B66" s="261" t="s">
        <v>542</v>
      </c>
      <c r="D66" s="117" t="str">
        <f>IF([1]RENAME!$H$3=1,B66,A66)</f>
        <v>SANTANDER</v>
      </c>
      <c r="E66" s="263" t="s">
        <v>160</v>
      </c>
      <c r="F66" s="263" t="s">
        <v>160</v>
      </c>
      <c r="G66" s="263" t="s">
        <v>160</v>
      </c>
      <c r="H66" s="264">
        <v>117</v>
      </c>
      <c r="I66" s="264">
        <v>117</v>
      </c>
      <c r="J66" s="264">
        <v>117</v>
      </c>
      <c r="K66" s="264">
        <v>117</v>
      </c>
      <c r="L66" s="264">
        <v>117</v>
      </c>
      <c r="M66" s="264">
        <v>117</v>
      </c>
      <c r="N66" s="264">
        <v>117</v>
      </c>
      <c r="O66" s="264">
        <v>117</v>
      </c>
      <c r="P66" s="264">
        <v>117</v>
      </c>
      <c r="Q66" s="264">
        <v>117</v>
      </c>
      <c r="R66" s="264">
        <v>117</v>
      </c>
      <c r="S66" s="341">
        <v>132</v>
      </c>
      <c r="T66" s="346">
        <v>132</v>
      </c>
      <c r="U66" s="346">
        <v>132</v>
      </c>
      <c r="V66" s="346">
        <v>132</v>
      </c>
      <c r="W66" s="341">
        <v>172</v>
      </c>
      <c r="X66" s="591">
        <v>172</v>
      </c>
      <c r="Y66" s="591">
        <v>172</v>
      </c>
      <c r="Z66" s="591">
        <v>172</v>
      </c>
      <c r="AA66" s="591">
        <v>172</v>
      </c>
      <c r="AB66" s="591">
        <v>172</v>
      </c>
      <c r="AC66" s="591">
        <v>172</v>
      </c>
      <c r="AD66" s="591">
        <v>172</v>
      </c>
      <c r="AE66" s="591">
        <v>172</v>
      </c>
      <c r="AF66" s="591">
        <v>172</v>
      </c>
      <c r="AG66" s="591">
        <v>172</v>
      </c>
      <c r="AH66" s="591">
        <v>172</v>
      </c>
      <c r="AI66" s="690" t="s">
        <v>160</v>
      </c>
      <c r="AJ66" s="690" t="s">
        <v>160</v>
      </c>
      <c r="AK66" s="690" t="s">
        <v>160</v>
      </c>
      <c r="AL66" s="690" t="s">
        <v>160</v>
      </c>
      <c r="AM66" s="690" t="s">
        <v>160</v>
      </c>
      <c r="AN66" s="690" t="s">
        <v>160</v>
      </c>
      <c r="AO66" s="690" t="s">
        <v>160</v>
      </c>
      <c r="AP66" s="690" t="s">
        <v>160</v>
      </c>
      <c r="AQ66" s="690" t="s">
        <v>160</v>
      </c>
      <c r="AR66" s="690" t="s">
        <v>160</v>
      </c>
      <c r="AS66" s="690" t="s">
        <v>160</v>
      </c>
      <c r="AT66" s="690" t="s">
        <v>160</v>
      </c>
      <c r="AU66" s="690" t="s">
        <v>160</v>
      </c>
    </row>
    <row r="67" spans="1:117" x14ac:dyDescent="0.25">
      <c r="A67" s="261" t="s">
        <v>543</v>
      </c>
      <c r="B67" s="261" t="s">
        <v>543</v>
      </c>
      <c r="D67" s="227" t="str">
        <f>IF([1]RENAME!$H$3=1,B67,A67)</f>
        <v>BRASIL PLURAL</v>
      </c>
      <c r="E67" s="276">
        <v>99</v>
      </c>
      <c r="F67" s="276">
        <v>99</v>
      </c>
      <c r="G67" s="276">
        <v>99</v>
      </c>
      <c r="H67" s="276">
        <v>99</v>
      </c>
      <c r="I67" s="276">
        <v>99</v>
      </c>
      <c r="J67" s="276">
        <v>99</v>
      </c>
      <c r="K67" s="276" t="s">
        <v>160</v>
      </c>
      <c r="L67" s="276" t="s">
        <v>160</v>
      </c>
      <c r="M67" s="276" t="s">
        <v>160</v>
      </c>
      <c r="N67" s="276" t="s">
        <v>160</v>
      </c>
      <c r="O67" s="276" t="s">
        <v>160</v>
      </c>
      <c r="P67" s="276" t="s">
        <v>160</v>
      </c>
      <c r="Q67" s="276" t="s">
        <v>160</v>
      </c>
      <c r="R67" s="276" t="s">
        <v>160</v>
      </c>
      <c r="S67" s="276" t="s">
        <v>160</v>
      </c>
      <c r="T67" s="348" t="s">
        <v>160</v>
      </c>
      <c r="U67" s="348" t="s">
        <v>160</v>
      </c>
      <c r="V67" s="348" t="s">
        <v>160</v>
      </c>
      <c r="W67" s="348" t="s">
        <v>160</v>
      </c>
      <c r="X67" s="348" t="s">
        <v>160</v>
      </c>
      <c r="Y67" s="348" t="s">
        <v>160</v>
      </c>
      <c r="Z67" s="348" t="s">
        <v>160</v>
      </c>
      <c r="AA67" s="348" t="s">
        <v>160</v>
      </c>
      <c r="AB67" s="348" t="s">
        <v>160</v>
      </c>
      <c r="AC67" s="348" t="s">
        <v>160</v>
      </c>
      <c r="AD67" s="348" t="s">
        <v>160</v>
      </c>
      <c r="AE67" s="348" t="s">
        <v>160</v>
      </c>
      <c r="AF67" s="348" t="s">
        <v>160</v>
      </c>
      <c r="AG67" s="348" t="s">
        <v>160</v>
      </c>
      <c r="AH67" s="348" t="s">
        <v>160</v>
      </c>
      <c r="AI67" s="716" t="s">
        <v>160</v>
      </c>
      <c r="AJ67" s="716" t="s">
        <v>160</v>
      </c>
      <c r="AK67" s="716" t="s">
        <v>160</v>
      </c>
      <c r="AL67" s="716" t="s">
        <v>160</v>
      </c>
      <c r="AM67" s="716" t="s">
        <v>160</v>
      </c>
      <c r="AN67" s="716" t="s">
        <v>160</v>
      </c>
      <c r="AO67" s="716" t="s">
        <v>160</v>
      </c>
      <c r="AP67" s="716" t="s">
        <v>160</v>
      </c>
      <c r="AQ67" s="716" t="s">
        <v>160</v>
      </c>
      <c r="AR67" s="716" t="s">
        <v>160</v>
      </c>
      <c r="AS67" s="716" t="s">
        <v>160</v>
      </c>
      <c r="AT67" s="716" t="s">
        <v>160</v>
      </c>
      <c r="AU67" s="716" t="s">
        <v>160</v>
      </c>
    </row>
    <row r="68" spans="1:117" x14ac:dyDescent="0.25">
      <c r="A68" s="261" t="s">
        <v>544</v>
      </c>
      <c r="B68" s="261" t="s">
        <v>544</v>
      </c>
      <c r="D68" s="227" t="str">
        <f>IF([1]RENAME!$H$3=1,B68,A68)</f>
        <v>VOTORANTIM</v>
      </c>
      <c r="E68" s="275" t="s">
        <v>160</v>
      </c>
      <c r="F68" s="275" t="s">
        <v>160</v>
      </c>
      <c r="G68" s="275" t="s">
        <v>160</v>
      </c>
      <c r="H68" s="275" t="s">
        <v>160</v>
      </c>
      <c r="I68" s="275" t="s">
        <v>160</v>
      </c>
      <c r="J68" s="276">
        <v>121</v>
      </c>
      <c r="K68" s="276" t="s">
        <v>160</v>
      </c>
      <c r="L68" s="276" t="s">
        <v>160</v>
      </c>
      <c r="M68" s="276" t="s">
        <v>160</v>
      </c>
      <c r="N68" s="276" t="s">
        <v>160</v>
      </c>
      <c r="O68" s="276" t="s">
        <v>160</v>
      </c>
      <c r="P68" s="276" t="s">
        <v>160</v>
      </c>
      <c r="Q68" s="276" t="s">
        <v>160</v>
      </c>
      <c r="R68" s="276" t="s">
        <v>160</v>
      </c>
      <c r="S68" s="276" t="s">
        <v>160</v>
      </c>
      <c r="T68" s="348" t="s">
        <v>160</v>
      </c>
      <c r="U68" s="348" t="s">
        <v>160</v>
      </c>
      <c r="V68" s="348" t="s">
        <v>160</v>
      </c>
      <c r="W68" s="348" t="s">
        <v>160</v>
      </c>
      <c r="X68" s="348" t="s">
        <v>160</v>
      </c>
      <c r="Y68" s="348" t="s">
        <v>160</v>
      </c>
      <c r="Z68" s="348" t="s">
        <v>160</v>
      </c>
      <c r="AA68" s="348" t="s">
        <v>160</v>
      </c>
      <c r="AB68" s="348" t="s">
        <v>160</v>
      </c>
      <c r="AC68" s="348" t="s">
        <v>160</v>
      </c>
      <c r="AD68" s="348" t="s">
        <v>160</v>
      </c>
      <c r="AE68" s="348" t="s">
        <v>160</v>
      </c>
      <c r="AF68" s="348" t="s">
        <v>160</v>
      </c>
      <c r="AG68" s="348" t="s">
        <v>160</v>
      </c>
      <c r="AH68" s="348" t="s">
        <v>160</v>
      </c>
      <c r="AI68" s="716" t="s">
        <v>160</v>
      </c>
      <c r="AJ68" s="716" t="s">
        <v>160</v>
      </c>
      <c r="AK68" s="716" t="s">
        <v>160</v>
      </c>
      <c r="AL68" s="716" t="s">
        <v>160</v>
      </c>
      <c r="AM68" s="716" t="s">
        <v>160</v>
      </c>
      <c r="AN68" s="716" t="s">
        <v>160</v>
      </c>
      <c r="AO68" s="716" t="s">
        <v>160</v>
      </c>
      <c r="AP68" s="716" t="s">
        <v>160</v>
      </c>
      <c r="AQ68" s="716" t="s">
        <v>160</v>
      </c>
      <c r="AR68" s="716" t="s">
        <v>160</v>
      </c>
      <c r="AS68" s="716" t="s">
        <v>160</v>
      </c>
      <c r="AT68" s="716" t="s">
        <v>160</v>
      </c>
      <c r="AU68" s="716" t="s">
        <v>160</v>
      </c>
    </row>
    <row r="69" spans="1:117" x14ac:dyDescent="0.25">
      <c r="A69" s="261" t="s">
        <v>545</v>
      </c>
      <c r="B69" s="261" t="s">
        <v>545</v>
      </c>
      <c r="D69" s="117" t="str">
        <f>IF([1]RENAME!$H$3=1,B69,A69)</f>
        <v>BAML</v>
      </c>
      <c r="E69" s="263" t="s">
        <v>160</v>
      </c>
      <c r="F69" s="263" t="s">
        <v>160</v>
      </c>
      <c r="G69" s="263" t="s">
        <v>160</v>
      </c>
      <c r="H69" s="263" t="s">
        <v>160</v>
      </c>
      <c r="I69" s="263" t="s">
        <v>160</v>
      </c>
      <c r="J69" s="264">
        <v>124</v>
      </c>
      <c r="K69" s="264">
        <v>124</v>
      </c>
      <c r="L69" s="264">
        <v>124</v>
      </c>
      <c r="M69" s="264">
        <v>124</v>
      </c>
      <c r="N69" s="264">
        <v>124</v>
      </c>
      <c r="O69" s="264">
        <v>124</v>
      </c>
      <c r="P69" s="264">
        <v>137</v>
      </c>
      <c r="Q69" s="264">
        <v>137</v>
      </c>
      <c r="R69" s="264">
        <v>137</v>
      </c>
      <c r="S69" s="341">
        <v>141</v>
      </c>
      <c r="T69" s="346">
        <v>141</v>
      </c>
      <c r="U69" s="346">
        <v>141</v>
      </c>
      <c r="V69" s="346">
        <v>141</v>
      </c>
      <c r="W69" s="346">
        <v>141</v>
      </c>
      <c r="X69" s="346">
        <f>+W69</f>
        <v>141</v>
      </c>
      <c r="Y69" s="341">
        <v>164</v>
      </c>
      <c r="Z69" s="346">
        <v>164</v>
      </c>
      <c r="AA69" s="346">
        <v>164</v>
      </c>
      <c r="AB69" s="340">
        <v>160</v>
      </c>
      <c r="AC69" s="591">
        <v>160</v>
      </c>
      <c r="AD69" s="591">
        <v>160</v>
      </c>
      <c r="AE69" s="591">
        <v>169</v>
      </c>
      <c r="AF69" s="690">
        <v>169</v>
      </c>
      <c r="AG69" s="591">
        <v>169</v>
      </c>
      <c r="AH69" s="690">
        <v>182</v>
      </c>
      <c r="AI69" s="690" t="s">
        <v>160</v>
      </c>
      <c r="AJ69" s="690" t="s">
        <v>160</v>
      </c>
      <c r="AK69" s="690" t="s">
        <v>160</v>
      </c>
      <c r="AL69" s="690" t="s">
        <v>160</v>
      </c>
      <c r="AM69" s="690" t="s">
        <v>160</v>
      </c>
      <c r="AN69" s="690" t="s">
        <v>160</v>
      </c>
      <c r="AO69" s="690" t="s">
        <v>160</v>
      </c>
      <c r="AP69" s="690" t="s">
        <v>160</v>
      </c>
      <c r="AQ69" s="690" t="s">
        <v>160</v>
      </c>
      <c r="AR69" s="690" t="s">
        <v>160</v>
      </c>
      <c r="AS69" s="690" t="s">
        <v>160</v>
      </c>
      <c r="AT69" s="690" t="s">
        <v>160</v>
      </c>
      <c r="AU69" s="690" t="s">
        <v>160</v>
      </c>
    </row>
    <row r="70" spans="1:117" x14ac:dyDescent="0.25">
      <c r="A70" s="261" t="s">
        <v>546</v>
      </c>
      <c r="B70" s="261" t="s">
        <v>546</v>
      </c>
      <c r="D70" s="117" t="str">
        <f>IF([1]RENAME!$H$3=1,B70,A70)</f>
        <v>BTG PACTUAL</v>
      </c>
      <c r="E70" s="263" t="s">
        <v>160</v>
      </c>
      <c r="F70" s="263" t="s">
        <v>160</v>
      </c>
      <c r="G70" s="263" t="s">
        <v>160</v>
      </c>
      <c r="H70" s="263" t="s">
        <v>160</v>
      </c>
      <c r="I70" s="263" t="s">
        <v>160</v>
      </c>
      <c r="J70" s="264">
        <v>131</v>
      </c>
      <c r="K70" s="264">
        <v>131</v>
      </c>
      <c r="L70" s="264">
        <v>131</v>
      </c>
      <c r="M70" s="264">
        <v>131</v>
      </c>
      <c r="N70" s="264">
        <v>131</v>
      </c>
      <c r="O70" s="264">
        <v>131</v>
      </c>
      <c r="P70" s="264">
        <v>131</v>
      </c>
      <c r="Q70" s="264">
        <v>131</v>
      </c>
      <c r="R70" s="264">
        <v>131</v>
      </c>
      <c r="S70" s="264">
        <v>131</v>
      </c>
      <c r="T70" s="348">
        <v>131</v>
      </c>
      <c r="U70" s="348">
        <v>131</v>
      </c>
      <c r="V70" s="341">
        <v>173</v>
      </c>
      <c r="W70" s="591">
        <v>173</v>
      </c>
      <c r="X70" s="591">
        <v>173</v>
      </c>
      <c r="Y70" s="591">
        <v>173</v>
      </c>
      <c r="Z70" s="591">
        <v>173</v>
      </c>
      <c r="AA70" s="591">
        <v>173</v>
      </c>
      <c r="AB70" s="591">
        <v>173</v>
      </c>
      <c r="AC70" s="591">
        <v>173</v>
      </c>
      <c r="AD70" s="591">
        <v>173</v>
      </c>
      <c r="AE70" s="591">
        <v>173</v>
      </c>
      <c r="AF70" s="591">
        <v>173</v>
      </c>
      <c r="AG70" s="591">
        <v>173</v>
      </c>
      <c r="AH70" s="690">
        <v>190</v>
      </c>
      <c r="AI70" s="690" t="s">
        <v>160</v>
      </c>
      <c r="AJ70" s="690" t="s">
        <v>160</v>
      </c>
      <c r="AK70" s="690" t="s">
        <v>160</v>
      </c>
      <c r="AL70" s="690" t="s">
        <v>160</v>
      </c>
      <c r="AM70" s="690" t="s">
        <v>160</v>
      </c>
      <c r="AN70" s="690" t="s">
        <v>160</v>
      </c>
      <c r="AO70" s="690" t="s">
        <v>160</v>
      </c>
      <c r="AP70" s="690" t="s">
        <v>160</v>
      </c>
      <c r="AQ70" s="690" t="s">
        <v>160</v>
      </c>
      <c r="AR70" s="690" t="s">
        <v>160</v>
      </c>
      <c r="AS70" s="690" t="s">
        <v>160</v>
      </c>
      <c r="AT70" s="690" t="s">
        <v>160</v>
      </c>
      <c r="AU70" s="690" t="s">
        <v>160</v>
      </c>
    </row>
    <row r="71" spans="1:117" x14ac:dyDescent="0.25">
      <c r="A71" s="261" t="s">
        <v>574</v>
      </c>
      <c r="B71" s="261" t="s">
        <v>574</v>
      </c>
      <c r="D71" s="117" t="str">
        <f>IF([1]RENAME!$H$3=1,B71,A71)</f>
        <v>SAFRA</v>
      </c>
      <c r="E71" s="263" t="s">
        <v>160</v>
      </c>
      <c r="F71" s="263" t="s">
        <v>160</v>
      </c>
      <c r="G71" s="263" t="s">
        <v>160</v>
      </c>
      <c r="H71" s="263" t="s">
        <v>160</v>
      </c>
      <c r="I71" s="263" t="s">
        <v>160</v>
      </c>
      <c r="J71" s="263" t="s">
        <v>160</v>
      </c>
      <c r="K71" s="263" t="s">
        <v>160</v>
      </c>
      <c r="L71" s="263" t="s">
        <v>160</v>
      </c>
      <c r="M71" s="263" t="s">
        <v>160</v>
      </c>
      <c r="N71" s="263" t="s">
        <v>160</v>
      </c>
      <c r="O71" s="263" t="s">
        <v>160</v>
      </c>
      <c r="P71" s="263" t="s">
        <v>160</v>
      </c>
      <c r="Q71" s="264">
        <v>128</v>
      </c>
      <c r="R71" s="264">
        <v>128</v>
      </c>
      <c r="S71" s="264">
        <v>128</v>
      </c>
      <c r="T71" s="342">
        <v>121</v>
      </c>
      <c r="U71" s="348">
        <v>121</v>
      </c>
      <c r="V71" s="348">
        <v>121</v>
      </c>
      <c r="W71" s="348">
        <v>121</v>
      </c>
      <c r="X71" s="348">
        <v>121</v>
      </c>
      <c r="Y71" s="341">
        <v>180</v>
      </c>
      <c r="Z71" s="591">
        <v>180</v>
      </c>
      <c r="AA71" s="591">
        <v>180</v>
      </c>
      <c r="AB71" s="591">
        <v>180</v>
      </c>
      <c r="AC71" s="591">
        <v>180</v>
      </c>
      <c r="AD71" s="591">
        <v>180</v>
      </c>
      <c r="AE71" s="591">
        <v>180</v>
      </c>
      <c r="AF71" s="591">
        <v>180</v>
      </c>
      <c r="AG71" s="591">
        <v>180</v>
      </c>
      <c r="AH71" s="591">
        <v>180</v>
      </c>
      <c r="AI71" s="690" t="s">
        <v>160</v>
      </c>
      <c r="AJ71" s="690" t="s">
        <v>160</v>
      </c>
      <c r="AK71" s="690" t="s">
        <v>160</v>
      </c>
      <c r="AL71" s="690" t="s">
        <v>160</v>
      </c>
      <c r="AM71" s="690" t="s">
        <v>160</v>
      </c>
      <c r="AN71" s="690" t="s">
        <v>160</v>
      </c>
      <c r="AO71" s="690" t="s">
        <v>160</v>
      </c>
      <c r="AP71" s="690" t="s">
        <v>160</v>
      </c>
      <c r="AQ71" s="690" t="s">
        <v>160</v>
      </c>
      <c r="AR71" s="690" t="s">
        <v>160</v>
      </c>
      <c r="AS71" s="690" t="s">
        <v>160</v>
      </c>
      <c r="AT71" s="690" t="s">
        <v>160</v>
      </c>
      <c r="AU71" s="690" t="s">
        <v>160</v>
      </c>
    </row>
    <row r="72" spans="1:117" x14ac:dyDescent="0.25">
      <c r="A72" s="261" t="s">
        <v>547</v>
      </c>
      <c r="B72" s="261" t="s">
        <v>547</v>
      </c>
      <c r="D72" s="117" t="str">
        <f>IF([1]RENAME!$H$3=1,B72,A72)</f>
        <v>ITAÚ</v>
      </c>
      <c r="E72" s="263" t="s">
        <v>160</v>
      </c>
      <c r="F72" s="263" t="s">
        <v>160</v>
      </c>
      <c r="G72" s="263" t="s">
        <v>160</v>
      </c>
      <c r="H72" s="263" t="s">
        <v>160</v>
      </c>
      <c r="I72" s="264">
        <v>149.9</v>
      </c>
      <c r="J72" s="264">
        <v>149.9</v>
      </c>
      <c r="K72" s="264">
        <v>149.9</v>
      </c>
      <c r="L72" s="264">
        <v>149.9</v>
      </c>
      <c r="M72" s="264">
        <v>149.9</v>
      </c>
      <c r="N72" s="340">
        <v>122</v>
      </c>
      <c r="O72" s="264">
        <v>122</v>
      </c>
      <c r="P72" s="264">
        <v>122</v>
      </c>
      <c r="Q72" s="264">
        <v>122</v>
      </c>
      <c r="R72" s="264">
        <v>122</v>
      </c>
      <c r="S72" s="341">
        <v>133</v>
      </c>
      <c r="T72" s="346">
        <v>133</v>
      </c>
      <c r="U72" s="346">
        <v>133</v>
      </c>
      <c r="V72" s="346">
        <v>133</v>
      </c>
      <c r="W72" s="346">
        <v>133</v>
      </c>
      <c r="X72" s="341">
        <v>156</v>
      </c>
      <c r="Y72" s="591">
        <v>156</v>
      </c>
      <c r="Z72" s="591">
        <v>156</v>
      </c>
      <c r="AA72" s="591">
        <v>156</v>
      </c>
      <c r="AB72" s="591">
        <v>156</v>
      </c>
      <c r="AC72" s="591">
        <v>156</v>
      </c>
      <c r="AD72" s="591">
        <v>156</v>
      </c>
      <c r="AE72" s="591">
        <v>156</v>
      </c>
      <c r="AF72" s="341">
        <v>174</v>
      </c>
      <c r="AG72" s="591">
        <v>174</v>
      </c>
      <c r="AH72" s="591">
        <v>174</v>
      </c>
      <c r="AI72" s="690" t="s">
        <v>160</v>
      </c>
      <c r="AJ72" s="690" t="s">
        <v>160</v>
      </c>
      <c r="AK72" s="690" t="s">
        <v>160</v>
      </c>
      <c r="AL72" s="690" t="s">
        <v>160</v>
      </c>
      <c r="AM72" s="690" t="s">
        <v>160</v>
      </c>
      <c r="AN72" s="690" t="s">
        <v>160</v>
      </c>
      <c r="AO72" s="690" t="s">
        <v>160</v>
      </c>
      <c r="AP72" s="690" t="s">
        <v>160</v>
      </c>
      <c r="AQ72" s="690" t="s">
        <v>160</v>
      </c>
      <c r="AR72" s="690" t="s">
        <v>160</v>
      </c>
      <c r="AS72" s="690" t="s">
        <v>160</v>
      </c>
      <c r="AT72" s="690" t="s">
        <v>160</v>
      </c>
      <c r="AU72" s="690" t="s">
        <v>160</v>
      </c>
    </row>
    <row r="73" spans="1:117" customFormat="1" ht="12.75" x14ac:dyDescent="0.2">
      <c r="A73" t="s">
        <v>557</v>
      </c>
      <c r="B73" t="s">
        <v>856</v>
      </c>
      <c r="D73" s="277" t="str">
        <f>IF([1]RENAME!$H$3=1,B73,A73)</f>
        <v>Média</v>
      </c>
      <c r="E73" s="326">
        <f t="shared" ref="E73:AN73" si="61">IFERROR(AVERAGE(E66:E72),"-")</f>
        <v>99</v>
      </c>
      <c r="F73" s="326">
        <f t="shared" si="61"/>
        <v>99</v>
      </c>
      <c r="G73" s="326">
        <f t="shared" si="61"/>
        <v>99</v>
      </c>
      <c r="H73" s="326">
        <f t="shared" si="61"/>
        <v>108</v>
      </c>
      <c r="I73" s="326">
        <f t="shared" si="61"/>
        <v>121.96666666666665</v>
      </c>
      <c r="J73" s="326">
        <f t="shared" si="61"/>
        <v>123.64999999999999</v>
      </c>
      <c r="K73" s="326">
        <f t="shared" si="61"/>
        <v>130.47499999999999</v>
      </c>
      <c r="L73" s="326">
        <f t="shared" si="61"/>
        <v>130.47499999999999</v>
      </c>
      <c r="M73" s="326">
        <f t="shared" si="61"/>
        <v>130.47499999999999</v>
      </c>
      <c r="N73" s="326">
        <f t="shared" si="61"/>
        <v>123.5</v>
      </c>
      <c r="O73" s="326">
        <f t="shared" si="61"/>
        <v>123.5</v>
      </c>
      <c r="P73" s="326">
        <f t="shared" si="61"/>
        <v>126.75</v>
      </c>
      <c r="Q73" s="326">
        <f t="shared" si="61"/>
        <v>127</v>
      </c>
      <c r="R73" s="326">
        <f t="shared" si="61"/>
        <v>127</v>
      </c>
      <c r="S73" s="326">
        <f t="shared" si="61"/>
        <v>133</v>
      </c>
      <c r="T73" s="349">
        <f t="shared" si="61"/>
        <v>131.6</v>
      </c>
      <c r="U73" s="349">
        <f t="shared" si="61"/>
        <v>131.6</v>
      </c>
      <c r="V73" s="349">
        <f t="shared" si="61"/>
        <v>140</v>
      </c>
      <c r="W73" s="349">
        <f t="shared" si="61"/>
        <v>148</v>
      </c>
      <c r="X73" s="349">
        <f t="shared" si="61"/>
        <v>152.6</v>
      </c>
      <c r="Y73" s="349">
        <f t="shared" si="61"/>
        <v>169</v>
      </c>
      <c r="Z73" s="349">
        <f t="shared" si="61"/>
        <v>169</v>
      </c>
      <c r="AA73" s="349">
        <f t="shared" si="61"/>
        <v>169</v>
      </c>
      <c r="AB73" s="349">
        <f t="shared" si="61"/>
        <v>168.2</v>
      </c>
      <c r="AC73" s="349">
        <f t="shared" si="61"/>
        <v>168.2</v>
      </c>
      <c r="AD73" s="349">
        <f t="shared" si="61"/>
        <v>168.2</v>
      </c>
      <c r="AE73" s="349">
        <f t="shared" si="61"/>
        <v>170</v>
      </c>
      <c r="AF73" s="349">
        <f t="shared" si="61"/>
        <v>173.6</v>
      </c>
      <c r="AG73" s="349">
        <f t="shared" si="61"/>
        <v>173.6</v>
      </c>
      <c r="AH73" s="349">
        <f t="shared" si="61"/>
        <v>179.6</v>
      </c>
      <c r="AI73" s="349" t="str">
        <f t="shared" si="61"/>
        <v>-</v>
      </c>
      <c r="AJ73" s="349" t="str">
        <f t="shared" si="61"/>
        <v>-</v>
      </c>
      <c r="AK73" s="349" t="str">
        <f t="shared" si="61"/>
        <v>-</v>
      </c>
      <c r="AL73" s="349" t="str">
        <f t="shared" si="61"/>
        <v>-</v>
      </c>
      <c r="AM73" s="349" t="str">
        <f t="shared" si="61"/>
        <v>-</v>
      </c>
      <c r="AN73" s="349" t="str">
        <f t="shared" si="61"/>
        <v>-</v>
      </c>
      <c r="AO73" s="349" t="str">
        <f t="shared" ref="AO73:AT73" si="62">IFERROR(AVERAGE(AO66:AO72),"-")</f>
        <v>-</v>
      </c>
      <c r="AP73" s="349" t="str">
        <f t="shared" si="62"/>
        <v>-</v>
      </c>
      <c r="AQ73" s="349" t="str">
        <f t="shared" si="62"/>
        <v>-</v>
      </c>
      <c r="AR73" s="349" t="str">
        <f t="shared" si="62"/>
        <v>-</v>
      </c>
      <c r="AS73" s="349" t="str">
        <f t="shared" si="62"/>
        <v>-</v>
      </c>
      <c r="AT73" s="349" t="str">
        <f t="shared" si="62"/>
        <v>-</v>
      </c>
      <c r="AU73" s="349" t="str">
        <f>IFERROR(AVERAGE(AU66:AU72),"-")</f>
        <v>-</v>
      </c>
      <c r="DI73" s="1172"/>
      <c r="DJ73" s="1172"/>
      <c r="DK73" s="1172"/>
      <c r="DL73" s="1172"/>
      <c r="DM73" s="1172"/>
    </row>
    <row r="74" spans="1:117" x14ac:dyDescent="0.25">
      <c r="Z74" s="339"/>
      <c r="AA74" s="339"/>
      <c r="AB74" s="339"/>
      <c r="AC74" s="339"/>
      <c r="AD74" s="339"/>
      <c r="AE74" s="339"/>
      <c r="AF74" s="339"/>
      <c r="AG74" s="339"/>
      <c r="AH74" s="339"/>
      <c r="AI74" s="339"/>
      <c r="AJ74" s="339"/>
      <c r="AK74" s="339"/>
      <c r="AL74" s="339"/>
      <c r="AM74" s="339"/>
      <c r="AN74" s="339"/>
      <c r="AO74" s="339"/>
      <c r="AP74" s="339"/>
      <c r="AQ74" s="339"/>
      <c r="AR74" s="339"/>
      <c r="AS74" s="339"/>
      <c r="AT74" s="339"/>
      <c r="AU74" s="339"/>
    </row>
    <row r="75" spans="1:117" x14ac:dyDescent="0.25">
      <c r="A75" s="261" t="s">
        <v>549</v>
      </c>
      <c r="B75" s="261" t="s">
        <v>859</v>
      </c>
      <c r="D75" s="113" t="str">
        <f>IF([1]RENAME!$H$3=1,B75,A75)</f>
        <v>Lucro Líquido 2018</v>
      </c>
      <c r="E75" s="262">
        <f t="shared" ref="E75:AU75" si="63">+E$117</f>
        <v>42522</v>
      </c>
      <c r="F75" s="262">
        <f t="shared" si="63"/>
        <v>42552</v>
      </c>
      <c r="G75" s="262">
        <f t="shared" si="63"/>
        <v>42583</v>
      </c>
      <c r="H75" s="262">
        <f t="shared" si="63"/>
        <v>42614</v>
      </c>
      <c r="I75" s="262">
        <f t="shared" si="63"/>
        <v>42644</v>
      </c>
      <c r="J75" s="262">
        <f t="shared" si="63"/>
        <v>42675</v>
      </c>
      <c r="K75" s="262">
        <f t="shared" si="63"/>
        <v>42705</v>
      </c>
      <c r="L75" s="262">
        <f t="shared" si="63"/>
        <v>42736</v>
      </c>
      <c r="M75" s="262">
        <f t="shared" si="63"/>
        <v>42767</v>
      </c>
      <c r="N75" s="262">
        <f t="shared" si="63"/>
        <v>42795</v>
      </c>
      <c r="O75" s="262">
        <f t="shared" si="63"/>
        <v>42826</v>
      </c>
      <c r="P75" s="262">
        <f t="shared" si="63"/>
        <v>42856</v>
      </c>
      <c r="Q75" s="262">
        <f t="shared" si="63"/>
        <v>42887</v>
      </c>
      <c r="R75" s="262">
        <f t="shared" si="63"/>
        <v>42917</v>
      </c>
      <c r="S75" s="262">
        <f t="shared" si="63"/>
        <v>42948</v>
      </c>
      <c r="T75" s="262">
        <f t="shared" si="63"/>
        <v>42979</v>
      </c>
      <c r="U75" s="262">
        <f t="shared" si="63"/>
        <v>43009</v>
      </c>
      <c r="V75" s="262">
        <f t="shared" si="63"/>
        <v>43040</v>
      </c>
      <c r="W75" s="262">
        <f t="shared" si="63"/>
        <v>43070</v>
      </c>
      <c r="X75" s="262">
        <f t="shared" si="63"/>
        <v>43101</v>
      </c>
      <c r="Y75" s="262">
        <f t="shared" si="63"/>
        <v>43132</v>
      </c>
      <c r="Z75" s="262">
        <f t="shared" si="63"/>
        <v>43160</v>
      </c>
      <c r="AA75" s="262">
        <f t="shared" si="63"/>
        <v>43191</v>
      </c>
      <c r="AB75" s="262">
        <f t="shared" si="63"/>
        <v>43221</v>
      </c>
      <c r="AC75" s="262">
        <f t="shared" si="63"/>
        <v>43252</v>
      </c>
      <c r="AD75" s="262">
        <f t="shared" si="63"/>
        <v>43283</v>
      </c>
      <c r="AE75" s="262">
        <f t="shared" si="63"/>
        <v>43314</v>
      </c>
      <c r="AF75" s="262">
        <f t="shared" si="63"/>
        <v>43345</v>
      </c>
      <c r="AG75" s="262">
        <f t="shared" si="63"/>
        <v>43376</v>
      </c>
      <c r="AH75" s="262">
        <f t="shared" si="63"/>
        <v>43407</v>
      </c>
      <c r="AI75" s="262">
        <f t="shared" si="63"/>
        <v>43437</v>
      </c>
      <c r="AJ75" s="262">
        <f t="shared" si="63"/>
        <v>43468</v>
      </c>
      <c r="AK75" s="262">
        <f t="shared" si="63"/>
        <v>43499</v>
      </c>
      <c r="AL75" s="262">
        <f t="shared" si="63"/>
        <v>43527</v>
      </c>
      <c r="AM75" s="262">
        <f t="shared" si="63"/>
        <v>43558</v>
      </c>
      <c r="AN75" s="262">
        <f t="shared" si="63"/>
        <v>43587</v>
      </c>
      <c r="AO75" s="262">
        <f t="shared" si="63"/>
        <v>43618</v>
      </c>
      <c r="AP75" s="262">
        <f t="shared" si="63"/>
        <v>43647</v>
      </c>
      <c r="AQ75" s="262">
        <f t="shared" si="63"/>
        <v>43678</v>
      </c>
      <c r="AR75" s="262">
        <f t="shared" si="63"/>
        <v>43709</v>
      </c>
      <c r="AS75" s="262">
        <f t="shared" si="63"/>
        <v>43739</v>
      </c>
      <c r="AT75" s="262">
        <f t="shared" si="63"/>
        <v>43770</v>
      </c>
      <c r="AU75" s="262">
        <f t="shared" si="63"/>
        <v>43800</v>
      </c>
    </row>
    <row r="76" spans="1:117" x14ac:dyDescent="0.25">
      <c r="A76" s="261" t="s">
        <v>542</v>
      </c>
      <c r="B76" s="261" t="s">
        <v>542</v>
      </c>
      <c r="D76" s="117" t="str">
        <f>IF([1]RENAME!$H$3=1,B76,A76)</f>
        <v>SANTANDER</v>
      </c>
      <c r="E76" s="263" t="s">
        <v>160</v>
      </c>
      <c r="F76" s="263" t="s">
        <v>160</v>
      </c>
      <c r="G76" s="263" t="s">
        <v>160</v>
      </c>
      <c r="H76" s="264">
        <v>45</v>
      </c>
      <c r="I76" s="264">
        <v>45</v>
      </c>
      <c r="J76" s="264">
        <v>45</v>
      </c>
      <c r="K76" s="264">
        <v>45</v>
      </c>
      <c r="L76" s="264">
        <v>45</v>
      </c>
      <c r="M76" s="264">
        <v>45</v>
      </c>
      <c r="N76" s="264">
        <v>45</v>
      </c>
      <c r="O76" s="264">
        <v>45</v>
      </c>
      <c r="P76" s="341">
        <v>46</v>
      </c>
      <c r="Q76" s="264">
        <v>46</v>
      </c>
      <c r="R76" s="264">
        <v>46</v>
      </c>
      <c r="S76" s="341">
        <v>59</v>
      </c>
      <c r="T76" s="346">
        <v>59</v>
      </c>
      <c r="U76" s="346">
        <v>59</v>
      </c>
      <c r="V76" s="346">
        <v>59</v>
      </c>
      <c r="W76" s="350">
        <v>85</v>
      </c>
      <c r="X76" s="592">
        <v>85</v>
      </c>
      <c r="Y76" s="592">
        <v>85</v>
      </c>
      <c r="Z76" s="592">
        <v>85</v>
      </c>
      <c r="AA76" s="592">
        <v>85</v>
      </c>
      <c r="AB76" s="592">
        <v>85</v>
      </c>
      <c r="AC76" s="592">
        <v>85</v>
      </c>
      <c r="AD76" s="592">
        <v>85</v>
      </c>
      <c r="AE76" s="592">
        <v>85</v>
      </c>
      <c r="AF76" s="592">
        <v>85</v>
      </c>
      <c r="AG76" s="592">
        <v>85</v>
      </c>
      <c r="AH76" s="592">
        <v>85</v>
      </c>
      <c r="AI76" s="690" t="s">
        <v>160</v>
      </c>
      <c r="AJ76" s="716" t="s">
        <v>160</v>
      </c>
      <c r="AK76" s="716" t="s">
        <v>160</v>
      </c>
      <c r="AL76" s="716" t="s">
        <v>160</v>
      </c>
      <c r="AM76" s="716" t="s">
        <v>160</v>
      </c>
      <c r="AN76" s="716" t="s">
        <v>160</v>
      </c>
      <c r="AO76" s="716" t="s">
        <v>160</v>
      </c>
      <c r="AP76" s="716" t="s">
        <v>160</v>
      </c>
      <c r="AQ76" s="716" t="s">
        <v>160</v>
      </c>
      <c r="AR76" s="716" t="s">
        <v>160</v>
      </c>
      <c r="AS76" s="716" t="s">
        <v>160</v>
      </c>
      <c r="AT76" s="716" t="s">
        <v>160</v>
      </c>
      <c r="AU76" s="716" t="s">
        <v>160</v>
      </c>
    </row>
    <row r="77" spans="1:117" x14ac:dyDescent="0.25">
      <c r="A77" s="261" t="s">
        <v>543</v>
      </c>
      <c r="B77" s="261" t="s">
        <v>543</v>
      </c>
      <c r="D77" s="227" t="str">
        <f>IF([1]RENAME!$H$3=1,B77,A77)</f>
        <v>BRASIL PLURAL</v>
      </c>
      <c r="E77" s="276">
        <v>36</v>
      </c>
      <c r="F77" s="276">
        <v>36</v>
      </c>
      <c r="G77" s="276">
        <v>36</v>
      </c>
      <c r="H77" s="276">
        <v>36</v>
      </c>
      <c r="I77" s="276">
        <v>36</v>
      </c>
      <c r="J77" s="276">
        <v>36</v>
      </c>
      <c r="K77" s="276" t="s">
        <v>160</v>
      </c>
      <c r="L77" s="276" t="s">
        <v>160</v>
      </c>
      <c r="M77" s="276" t="s">
        <v>160</v>
      </c>
      <c r="N77" s="276" t="s">
        <v>160</v>
      </c>
      <c r="O77" s="276" t="s">
        <v>160</v>
      </c>
      <c r="P77" s="276" t="s">
        <v>160</v>
      </c>
      <c r="Q77" s="276" t="s">
        <v>160</v>
      </c>
      <c r="R77" s="276" t="s">
        <v>160</v>
      </c>
      <c r="S77" s="276" t="s">
        <v>160</v>
      </c>
      <c r="T77" s="348" t="s">
        <v>160</v>
      </c>
      <c r="U77" s="348" t="s">
        <v>160</v>
      </c>
      <c r="V77" s="348" t="s">
        <v>160</v>
      </c>
      <c r="W77" s="348" t="s">
        <v>160</v>
      </c>
      <c r="X77" s="348" t="s">
        <v>160</v>
      </c>
      <c r="Y77" s="348" t="s">
        <v>160</v>
      </c>
      <c r="Z77" s="348" t="s">
        <v>160</v>
      </c>
      <c r="AA77" s="348" t="s">
        <v>160</v>
      </c>
      <c r="AB77" s="348" t="s">
        <v>160</v>
      </c>
      <c r="AC77" s="348" t="s">
        <v>160</v>
      </c>
      <c r="AD77" s="348" t="s">
        <v>160</v>
      </c>
      <c r="AE77" s="348" t="s">
        <v>160</v>
      </c>
      <c r="AF77" s="348" t="s">
        <v>160</v>
      </c>
      <c r="AG77" s="348" t="s">
        <v>160</v>
      </c>
      <c r="AH77" s="348" t="s">
        <v>160</v>
      </c>
      <c r="AI77" s="716" t="s">
        <v>160</v>
      </c>
      <c r="AJ77" s="716" t="s">
        <v>160</v>
      </c>
      <c r="AK77" s="716" t="s">
        <v>160</v>
      </c>
      <c r="AL77" s="716" t="s">
        <v>160</v>
      </c>
      <c r="AM77" s="716" t="s">
        <v>160</v>
      </c>
      <c r="AN77" s="716" t="s">
        <v>160</v>
      </c>
      <c r="AO77" s="716" t="s">
        <v>160</v>
      </c>
      <c r="AP77" s="716" t="s">
        <v>160</v>
      </c>
      <c r="AQ77" s="716" t="s">
        <v>160</v>
      </c>
      <c r="AR77" s="716" t="s">
        <v>160</v>
      </c>
      <c r="AS77" s="716" t="s">
        <v>160</v>
      </c>
      <c r="AT77" s="716" t="s">
        <v>160</v>
      </c>
      <c r="AU77" s="716" t="s">
        <v>160</v>
      </c>
    </row>
    <row r="78" spans="1:117" x14ac:dyDescent="0.25">
      <c r="A78" s="261" t="s">
        <v>544</v>
      </c>
      <c r="B78" s="261" t="s">
        <v>544</v>
      </c>
      <c r="D78" s="227" t="str">
        <f>IF([1]RENAME!$H$3=1,B78,A78)</f>
        <v>VOTORANTIM</v>
      </c>
      <c r="E78" s="275" t="s">
        <v>160</v>
      </c>
      <c r="F78" s="275" t="s">
        <v>160</v>
      </c>
      <c r="G78" s="275" t="s">
        <v>160</v>
      </c>
      <c r="H78" s="275" t="s">
        <v>160</v>
      </c>
      <c r="I78" s="275" t="s">
        <v>160</v>
      </c>
      <c r="J78" s="276">
        <v>53</v>
      </c>
      <c r="K78" s="276" t="s">
        <v>160</v>
      </c>
      <c r="L78" s="276" t="s">
        <v>160</v>
      </c>
      <c r="M78" s="276" t="s">
        <v>160</v>
      </c>
      <c r="N78" s="276" t="s">
        <v>160</v>
      </c>
      <c r="O78" s="276" t="s">
        <v>160</v>
      </c>
      <c r="P78" s="276" t="s">
        <v>160</v>
      </c>
      <c r="Q78" s="276" t="s">
        <v>160</v>
      </c>
      <c r="R78" s="276" t="s">
        <v>160</v>
      </c>
      <c r="S78" s="276" t="s">
        <v>160</v>
      </c>
      <c r="T78" s="348" t="s">
        <v>160</v>
      </c>
      <c r="U78" s="348" t="s">
        <v>160</v>
      </c>
      <c r="V78" s="348" t="s">
        <v>160</v>
      </c>
      <c r="W78" s="348" t="s">
        <v>160</v>
      </c>
      <c r="X78" s="348" t="s">
        <v>160</v>
      </c>
      <c r="Y78" s="348" t="s">
        <v>160</v>
      </c>
      <c r="Z78" s="348" t="s">
        <v>160</v>
      </c>
      <c r="AA78" s="348" t="s">
        <v>160</v>
      </c>
      <c r="AB78" s="348" t="s">
        <v>160</v>
      </c>
      <c r="AC78" s="348" t="s">
        <v>160</v>
      </c>
      <c r="AD78" s="348" t="s">
        <v>160</v>
      </c>
      <c r="AE78" s="348" t="s">
        <v>160</v>
      </c>
      <c r="AF78" s="348" t="s">
        <v>160</v>
      </c>
      <c r="AG78" s="348" t="s">
        <v>160</v>
      </c>
      <c r="AH78" s="348" t="s">
        <v>160</v>
      </c>
      <c r="AI78" s="716" t="s">
        <v>160</v>
      </c>
      <c r="AJ78" s="716" t="s">
        <v>160</v>
      </c>
      <c r="AK78" s="716" t="s">
        <v>160</v>
      </c>
      <c r="AL78" s="716" t="s">
        <v>160</v>
      </c>
      <c r="AM78" s="716" t="s">
        <v>160</v>
      </c>
      <c r="AN78" s="716" t="s">
        <v>160</v>
      </c>
      <c r="AO78" s="716" t="s">
        <v>160</v>
      </c>
      <c r="AP78" s="716" t="s">
        <v>160</v>
      </c>
      <c r="AQ78" s="716" t="s">
        <v>160</v>
      </c>
      <c r="AR78" s="716" t="s">
        <v>160</v>
      </c>
      <c r="AS78" s="716" t="s">
        <v>160</v>
      </c>
      <c r="AT78" s="716" t="s">
        <v>160</v>
      </c>
      <c r="AU78" s="716" t="s">
        <v>160</v>
      </c>
    </row>
    <row r="79" spans="1:117" x14ac:dyDescent="0.25">
      <c r="A79" s="261" t="s">
        <v>545</v>
      </c>
      <c r="B79" s="261" t="s">
        <v>545</v>
      </c>
      <c r="D79" s="117" t="str">
        <f>IF([1]RENAME!$H$3=1,B79,A79)</f>
        <v>BAML</v>
      </c>
      <c r="E79" s="263" t="s">
        <v>160</v>
      </c>
      <c r="F79" s="263" t="s">
        <v>160</v>
      </c>
      <c r="G79" s="263" t="s">
        <v>160</v>
      </c>
      <c r="H79" s="263" t="s">
        <v>160</v>
      </c>
      <c r="I79" s="263" t="s">
        <v>160</v>
      </c>
      <c r="J79" s="264">
        <v>43</v>
      </c>
      <c r="K79" s="264">
        <v>43</v>
      </c>
      <c r="L79" s="264">
        <v>43</v>
      </c>
      <c r="M79" s="264">
        <v>43</v>
      </c>
      <c r="N79" s="264">
        <v>43</v>
      </c>
      <c r="O79" s="264">
        <v>43</v>
      </c>
      <c r="P79" s="341">
        <v>58</v>
      </c>
      <c r="Q79" s="264">
        <v>58</v>
      </c>
      <c r="R79" s="264">
        <v>58</v>
      </c>
      <c r="S79" s="341">
        <v>62</v>
      </c>
      <c r="T79" s="346">
        <v>62</v>
      </c>
      <c r="U79" s="346">
        <v>62</v>
      </c>
      <c r="V79" s="346">
        <v>62</v>
      </c>
      <c r="W79" s="346">
        <v>62</v>
      </c>
      <c r="X79" s="350">
        <f>+W79</f>
        <v>62</v>
      </c>
      <c r="Y79" s="346">
        <v>83.6</v>
      </c>
      <c r="Z79" s="346">
        <v>83.6</v>
      </c>
      <c r="AA79" s="346">
        <v>83.6</v>
      </c>
      <c r="AB79" s="346">
        <v>83</v>
      </c>
      <c r="AC79" s="346">
        <v>83</v>
      </c>
      <c r="AD79" s="346">
        <v>83</v>
      </c>
      <c r="AE79" s="346">
        <v>83</v>
      </c>
      <c r="AF79" s="346">
        <v>83</v>
      </c>
      <c r="AG79" s="346">
        <v>83</v>
      </c>
      <c r="AH79" s="690">
        <v>103</v>
      </c>
      <c r="AI79" s="716" t="s">
        <v>160</v>
      </c>
      <c r="AJ79" s="716" t="s">
        <v>160</v>
      </c>
      <c r="AK79" s="716" t="s">
        <v>160</v>
      </c>
      <c r="AL79" s="716" t="s">
        <v>160</v>
      </c>
      <c r="AM79" s="716" t="s">
        <v>160</v>
      </c>
      <c r="AN79" s="716" t="s">
        <v>160</v>
      </c>
      <c r="AO79" s="716" t="s">
        <v>160</v>
      </c>
      <c r="AP79" s="716" t="s">
        <v>160</v>
      </c>
      <c r="AQ79" s="716" t="s">
        <v>160</v>
      </c>
      <c r="AR79" s="716" t="s">
        <v>160</v>
      </c>
      <c r="AS79" s="716" t="s">
        <v>160</v>
      </c>
      <c r="AT79" s="716" t="s">
        <v>160</v>
      </c>
      <c r="AU79" s="716" t="s">
        <v>160</v>
      </c>
    </row>
    <row r="80" spans="1:117" x14ac:dyDescent="0.25">
      <c r="A80" s="261" t="s">
        <v>546</v>
      </c>
      <c r="B80" s="261" t="s">
        <v>546</v>
      </c>
      <c r="D80" s="117" t="str">
        <f>IF([1]RENAME!$H$3=1,B80,A80)</f>
        <v>BTG PACTUAL</v>
      </c>
      <c r="E80" s="263" t="s">
        <v>160</v>
      </c>
      <c r="F80" s="263" t="s">
        <v>160</v>
      </c>
      <c r="G80" s="263" t="s">
        <v>160</v>
      </c>
      <c r="H80" s="263" t="s">
        <v>160</v>
      </c>
      <c r="I80" s="263" t="s">
        <v>160</v>
      </c>
      <c r="J80" s="264">
        <v>54</v>
      </c>
      <c r="K80" s="264">
        <v>54</v>
      </c>
      <c r="L80" s="264">
        <v>54</v>
      </c>
      <c r="M80" s="264">
        <v>54</v>
      </c>
      <c r="N80" s="264">
        <v>54</v>
      </c>
      <c r="O80" s="264">
        <v>54</v>
      </c>
      <c r="P80" s="264">
        <v>54</v>
      </c>
      <c r="Q80" s="264">
        <v>54</v>
      </c>
      <c r="R80" s="264">
        <v>54</v>
      </c>
      <c r="S80" s="264">
        <v>54</v>
      </c>
      <c r="T80" s="348">
        <v>54</v>
      </c>
      <c r="U80" s="348">
        <v>54</v>
      </c>
      <c r="V80" s="350">
        <v>89</v>
      </c>
      <c r="W80" s="592">
        <v>89</v>
      </c>
      <c r="X80" s="592">
        <v>89</v>
      </c>
      <c r="Y80" s="592">
        <v>89</v>
      </c>
      <c r="Z80" s="592">
        <v>89</v>
      </c>
      <c r="AA80" s="592">
        <v>89</v>
      </c>
      <c r="AB80" s="592">
        <v>89</v>
      </c>
      <c r="AC80" s="592">
        <v>89</v>
      </c>
      <c r="AD80" s="592">
        <v>89</v>
      </c>
      <c r="AE80" s="592">
        <v>89</v>
      </c>
      <c r="AF80" s="592">
        <v>89</v>
      </c>
      <c r="AG80" s="592">
        <v>89</v>
      </c>
      <c r="AH80" s="690">
        <v>111</v>
      </c>
      <c r="AI80" s="716" t="s">
        <v>160</v>
      </c>
      <c r="AJ80" s="716" t="s">
        <v>160</v>
      </c>
      <c r="AK80" s="716" t="s">
        <v>160</v>
      </c>
      <c r="AL80" s="716" t="s">
        <v>160</v>
      </c>
      <c r="AM80" s="716" t="s">
        <v>160</v>
      </c>
      <c r="AN80" s="716" t="s">
        <v>160</v>
      </c>
      <c r="AO80" s="716" t="s">
        <v>160</v>
      </c>
      <c r="AP80" s="716" t="s">
        <v>160</v>
      </c>
      <c r="AQ80" s="716" t="s">
        <v>160</v>
      </c>
      <c r="AR80" s="716" t="s">
        <v>160</v>
      </c>
      <c r="AS80" s="716" t="s">
        <v>160</v>
      </c>
      <c r="AT80" s="716" t="s">
        <v>160</v>
      </c>
      <c r="AU80" s="716" t="s">
        <v>160</v>
      </c>
    </row>
    <row r="81" spans="1:117" x14ac:dyDescent="0.25">
      <c r="A81" s="261" t="s">
        <v>574</v>
      </c>
      <c r="B81" s="261" t="s">
        <v>574</v>
      </c>
      <c r="D81" s="117" t="str">
        <f>IF([1]RENAME!$H$3=1,B81,A81)</f>
        <v>SAFRA</v>
      </c>
      <c r="E81" s="263" t="s">
        <v>160</v>
      </c>
      <c r="F81" s="263" t="s">
        <v>160</v>
      </c>
      <c r="G81" s="263" t="s">
        <v>160</v>
      </c>
      <c r="H81" s="263" t="s">
        <v>160</v>
      </c>
      <c r="I81" s="263" t="s">
        <v>160</v>
      </c>
      <c r="J81" s="263" t="s">
        <v>160</v>
      </c>
      <c r="K81" s="263" t="s">
        <v>160</v>
      </c>
      <c r="L81" s="263" t="s">
        <v>160</v>
      </c>
      <c r="M81" s="263" t="s">
        <v>160</v>
      </c>
      <c r="N81" s="263" t="s">
        <v>160</v>
      </c>
      <c r="O81" s="263" t="s">
        <v>160</v>
      </c>
      <c r="P81" s="263" t="s">
        <v>160</v>
      </c>
      <c r="Q81" s="264">
        <v>54</v>
      </c>
      <c r="R81" s="264">
        <v>54</v>
      </c>
      <c r="S81" s="264">
        <v>54</v>
      </c>
      <c r="T81" s="350">
        <v>67</v>
      </c>
      <c r="U81" s="348">
        <v>67</v>
      </c>
      <c r="V81" s="348">
        <v>67</v>
      </c>
      <c r="W81" s="348">
        <v>67</v>
      </c>
      <c r="X81" s="348">
        <v>67</v>
      </c>
      <c r="Y81" s="350">
        <v>89</v>
      </c>
      <c r="Z81" s="592">
        <v>89</v>
      </c>
      <c r="AA81" s="592">
        <v>89</v>
      </c>
      <c r="AB81" s="592">
        <v>89</v>
      </c>
      <c r="AC81" s="592">
        <v>89</v>
      </c>
      <c r="AD81" s="592">
        <v>89</v>
      </c>
      <c r="AE81" s="592">
        <v>89</v>
      </c>
      <c r="AF81" s="592">
        <v>89</v>
      </c>
      <c r="AG81" s="592">
        <v>89</v>
      </c>
      <c r="AH81" s="592">
        <v>89</v>
      </c>
      <c r="AI81" s="716" t="s">
        <v>160</v>
      </c>
      <c r="AJ81" s="716" t="s">
        <v>160</v>
      </c>
      <c r="AK81" s="716" t="s">
        <v>160</v>
      </c>
      <c r="AL81" s="716" t="s">
        <v>160</v>
      </c>
      <c r="AM81" s="716" t="s">
        <v>160</v>
      </c>
      <c r="AN81" s="716" t="s">
        <v>160</v>
      </c>
      <c r="AO81" s="716" t="s">
        <v>160</v>
      </c>
      <c r="AP81" s="716" t="s">
        <v>160</v>
      </c>
      <c r="AQ81" s="716" t="s">
        <v>160</v>
      </c>
      <c r="AR81" s="716" t="s">
        <v>160</v>
      </c>
      <c r="AS81" s="716" t="s">
        <v>160</v>
      </c>
      <c r="AT81" s="716" t="s">
        <v>160</v>
      </c>
      <c r="AU81" s="716" t="s">
        <v>160</v>
      </c>
    </row>
    <row r="82" spans="1:117" x14ac:dyDescent="0.25">
      <c r="A82" s="261" t="s">
        <v>547</v>
      </c>
      <c r="B82" s="261" t="s">
        <v>547</v>
      </c>
      <c r="D82" s="117" t="str">
        <f>IF([1]RENAME!$H$3=1,B82,A82)</f>
        <v>ITAÚ</v>
      </c>
      <c r="E82" s="263" t="s">
        <v>160</v>
      </c>
      <c r="F82" s="263" t="s">
        <v>160</v>
      </c>
      <c r="G82" s="263" t="s">
        <v>160</v>
      </c>
      <c r="H82" s="263" t="s">
        <v>160</v>
      </c>
      <c r="I82" s="264">
        <v>57.7</v>
      </c>
      <c r="J82" s="264">
        <v>57.7</v>
      </c>
      <c r="K82" s="264">
        <v>57.7</v>
      </c>
      <c r="L82" s="264">
        <v>57.7</v>
      </c>
      <c r="M82" s="264">
        <v>57.7</v>
      </c>
      <c r="N82" s="340">
        <v>42</v>
      </c>
      <c r="O82" s="264">
        <v>42</v>
      </c>
      <c r="P82" s="264">
        <v>42</v>
      </c>
      <c r="Q82" s="264">
        <v>42</v>
      </c>
      <c r="R82" s="264">
        <v>42</v>
      </c>
      <c r="S82" s="341">
        <v>60</v>
      </c>
      <c r="T82" s="346">
        <v>60</v>
      </c>
      <c r="U82" s="346">
        <v>60</v>
      </c>
      <c r="V82" s="346">
        <v>60</v>
      </c>
      <c r="W82" s="346">
        <v>60</v>
      </c>
      <c r="X82" s="350">
        <v>79</v>
      </c>
      <c r="Y82" s="592">
        <v>79</v>
      </c>
      <c r="Z82" s="592">
        <v>79</v>
      </c>
      <c r="AA82" s="592">
        <v>79</v>
      </c>
      <c r="AB82" s="592">
        <v>79</v>
      </c>
      <c r="AC82" s="592">
        <v>79</v>
      </c>
      <c r="AD82" s="592">
        <v>79</v>
      </c>
      <c r="AE82" s="592">
        <v>79</v>
      </c>
      <c r="AF82" s="350">
        <v>103</v>
      </c>
      <c r="AG82" s="592">
        <v>103</v>
      </c>
      <c r="AH82" s="592">
        <v>103</v>
      </c>
      <c r="AI82" s="716" t="s">
        <v>160</v>
      </c>
      <c r="AJ82" s="716" t="s">
        <v>160</v>
      </c>
      <c r="AK82" s="716" t="s">
        <v>160</v>
      </c>
      <c r="AL82" s="716" t="s">
        <v>160</v>
      </c>
      <c r="AM82" s="716" t="s">
        <v>160</v>
      </c>
      <c r="AN82" s="716" t="s">
        <v>160</v>
      </c>
      <c r="AO82" s="716" t="s">
        <v>160</v>
      </c>
      <c r="AP82" s="716" t="s">
        <v>160</v>
      </c>
      <c r="AQ82" s="716" t="s">
        <v>160</v>
      </c>
      <c r="AR82" s="716" t="s">
        <v>160</v>
      </c>
      <c r="AS82" s="716" t="s">
        <v>160</v>
      </c>
      <c r="AT82" s="716" t="s">
        <v>160</v>
      </c>
      <c r="AU82" s="716" t="s">
        <v>160</v>
      </c>
    </row>
    <row r="83" spans="1:117" customFormat="1" ht="12.75" x14ac:dyDescent="0.2">
      <c r="A83" t="s">
        <v>557</v>
      </c>
      <c r="B83" t="s">
        <v>856</v>
      </c>
      <c r="D83" s="277" t="str">
        <f>IF([1]RENAME!$H$3=1,B83,A83)</f>
        <v>Média</v>
      </c>
      <c r="E83" s="326">
        <f t="shared" ref="E83:AH83" si="64">IFERROR(AVERAGE(E76:E82),"-")</f>
        <v>36</v>
      </c>
      <c r="F83" s="326">
        <f t="shared" si="64"/>
        <v>36</v>
      </c>
      <c r="G83" s="326">
        <f t="shared" si="64"/>
        <v>36</v>
      </c>
      <c r="H83" s="326">
        <f t="shared" si="64"/>
        <v>40.5</v>
      </c>
      <c r="I83" s="326">
        <f t="shared" si="64"/>
        <v>46.233333333333327</v>
      </c>
      <c r="J83" s="326">
        <f t="shared" si="64"/>
        <v>48.116666666666667</v>
      </c>
      <c r="K83" s="326">
        <f t="shared" si="64"/>
        <v>49.924999999999997</v>
      </c>
      <c r="L83" s="326">
        <f t="shared" si="64"/>
        <v>49.924999999999997</v>
      </c>
      <c r="M83" s="326">
        <f t="shared" si="64"/>
        <v>49.924999999999997</v>
      </c>
      <c r="N83" s="326">
        <f t="shared" si="64"/>
        <v>46</v>
      </c>
      <c r="O83" s="326">
        <f t="shared" si="64"/>
        <v>46</v>
      </c>
      <c r="P83" s="326">
        <f t="shared" si="64"/>
        <v>50</v>
      </c>
      <c r="Q83" s="326">
        <f t="shared" si="64"/>
        <v>50.8</v>
      </c>
      <c r="R83" s="326">
        <f t="shared" si="64"/>
        <v>50.8</v>
      </c>
      <c r="S83" s="326">
        <f t="shared" si="64"/>
        <v>57.8</v>
      </c>
      <c r="T83" s="349">
        <f t="shared" si="64"/>
        <v>60.4</v>
      </c>
      <c r="U83" s="349">
        <f t="shared" si="64"/>
        <v>60.4</v>
      </c>
      <c r="V83" s="349">
        <f t="shared" si="64"/>
        <v>67.400000000000006</v>
      </c>
      <c r="W83" s="349">
        <f t="shared" si="64"/>
        <v>72.599999999999994</v>
      </c>
      <c r="X83" s="349">
        <f t="shared" si="64"/>
        <v>76.400000000000006</v>
      </c>
      <c r="Y83" s="349">
        <f t="shared" si="64"/>
        <v>85.12</v>
      </c>
      <c r="Z83" s="349">
        <f t="shared" si="64"/>
        <v>85.12</v>
      </c>
      <c r="AA83" s="349">
        <f t="shared" si="64"/>
        <v>85.12</v>
      </c>
      <c r="AB83" s="349">
        <f t="shared" si="64"/>
        <v>85</v>
      </c>
      <c r="AC83" s="349">
        <f t="shared" si="64"/>
        <v>85</v>
      </c>
      <c r="AD83" s="349">
        <f t="shared" si="64"/>
        <v>85</v>
      </c>
      <c r="AE83" s="349">
        <f t="shared" si="64"/>
        <v>85</v>
      </c>
      <c r="AF83" s="349">
        <f t="shared" si="64"/>
        <v>89.8</v>
      </c>
      <c r="AG83" s="349">
        <f t="shared" si="64"/>
        <v>89.8</v>
      </c>
      <c r="AH83" s="349">
        <f t="shared" si="64"/>
        <v>98.2</v>
      </c>
      <c r="AI83" s="349" t="str">
        <f t="shared" ref="AI83:AN83" si="65">IFERROR(AVERAGE(AI76:AI82),"-")</f>
        <v>-</v>
      </c>
      <c r="AJ83" s="349" t="str">
        <f t="shared" si="65"/>
        <v>-</v>
      </c>
      <c r="AK83" s="349" t="str">
        <f t="shared" si="65"/>
        <v>-</v>
      </c>
      <c r="AL83" s="349" t="str">
        <f t="shared" si="65"/>
        <v>-</v>
      </c>
      <c r="AM83" s="349" t="str">
        <f t="shared" si="65"/>
        <v>-</v>
      </c>
      <c r="AN83" s="349" t="str">
        <f t="shared" si="65"/>
        <v>-</v>
      </c>
      <c r="AO83" s="349" t="str">
        <f t="shared" ref="AO83:AT83" si="66">IFERROR(AVERAGE(AO76:AO82),"-")</f>
        <v>-</v>
      </c>
      <c r="AP83" s="349" t="str">
        <f t="shared" si="66"/>
        <v>-</v>
      </c>
      <c r="AQ83" s="349" t="str">
        <f t="shared" si="66"/>
        <v>-</v>
      </c>
      <c r="AR83" s="349" t="str">
        <f t="shared" si="66"/>
        <v>-</v>
      </c>
      <c r="AS83" s="349" t="str">
        <f t="shared" si="66"/>
        <v>-</v>
      </c>
      <c r="AT83" s="349" t="str">
        <f t="shared" si="66"/>
        <v>-</v>
      </c>
      <c r="AU83" s="349" t="str">
        <f>IFERROR(AVERAGE(AU76:AU82),"-")</f>
        <v>-</v>
      </c>
      <c r="DI83" s="1172"/>
      <c r="DJ83" s="1172"/>
      <c r="DK83" s="1172"/>
      <c r="DL83" s="1172"/>
      <c r="DM83" s="1172"/>
    </row>
    <row r="84" spans="1:117" x14ac:dyDescent="0.25">
      <c r="Z84" s="339"/>
      <c r="AA84" s="339"/>
      <c r="AB84" s="339"/>
      <c r="AC84" s="339"/>
      <c r="AD84" s="339"/>
      <c r="AE84" s="339"/>
      <c r="AF84" s="339"/>
      <c r="AG84" s="339"/>
      <c r="AH84" s="339"/>
      <c r="AI84" s="339"/>
      <c r="AJ84" s="339"/>
      <c r="AK84" s="339"/>
      <c r="AL84" s="339"/>
      <c r="AM84" s="339"/>
      <c r="AN84" s="339"/>
      <c r="AO84" s="339"/>
      <c r="AP84" s="339"/>
      <c r="AQ84" s="339"/>
      <c r="AR84" s="339"/>
      <c r="AS84" s="339"/>
      <c r="AT84" s="339"/>
      <c r="AU84" s="339"/>
    </row>
    <row r="85" spans="1:117" x14ac:dyDescent="0.25">
      <c r="A85" s="261" t="s">
        <v>1334</v>
      </c>
      <c r="B85" s="261" t="s">
        <v>1333</v>
      </c>
      <c r="D85" s="113" t="str">
        <f>IF([1]RENAME!$H$3=1,B85,A85)</f>
        <v>PREÇO ALVO YE19</v>
      </c>
      <c r="E85" s="262">
        <f t="shared" ref="E85:AU85" si="67">+E$117</f>
        <v>42522</v>
      </c>
      <c r="F85" s="262">
        <f t="shared" si="67"/>
        <v>42552</v>
      </c>
      <c r="G85" s="262">
        <f t="shared" si="67"/>
        <v>42583</v>
      </c>
      <c r="H85" s="262">
        <f t="shared" si="67"/>
        <v>42614</v>
      </c>
      <c r="I85" s="262">
        <f t="shared" si="67"/>
        <v>42644</v>
      </c>
      <c r="J85" s="262">
        <f t="shared" si="67"/>
        <v>42675</v>
      </c>
      <c r="K85" s="262">
        <f t="shared" si="67"/>
        <v>42705</v>
      </c>
      <c r="L85" s="262">
        <f t="shared" si="67"/>
        <v>42736</v>
      </c>
      <c r="M85" s="262">
        <f t="shared" si="67"/>
        <v>42767</v>
      </c>
      <c r="N85" s="262">
        <f t="shared" si="67"/>
        <v>42795</v>
      </c>
      <c r="O85" s="262">
        <f t="shared" si="67"/>
        <v>42826</v>
      </c>
      <c r="P85" s="262">
        <f t="shared" si="67"/>
        <v>42856</v>
      </c>
      <c r="Q85" s="262">
        <f t="shared" si="67"/>
        <v>42887</v>
      </c>
      <c r="R85" s="262">
        <f t="shared" si="67"/>
        <v>42917</v>
      </c>
      <c r="S85" s="262">
        <f t="shared" si="67"/>
        <v>42948</v>
      </c>
      <c r="T85" s="262">
        <f t="shared" si="67"/>
        <v>42979</v>
      </c>
      <c r="U85" s="262">
        <f t="shared" si="67"/>
        <v>43009</v>
      </c>
      <c r="V85" s="262">
        <f t="shared" si="67"/>
        <v>43040</v>
      </c>
      <c r="W85" s="262">
        <f t="shared" si="67"/>
        <v>43070</v>
      </c>
      <c r="X85" s="262">
        <f t="shared" si="67"/>
        <v>43101</v>
      </c>
      <c r="Y85" s="262">
        <f t="shared" si="67"/>
        <v>43132</v>
      </c>
      <c r="Z85" s="262">
        <f t="shared" si="67"/>
        <v>43160</v>
      </c>
      <c r="AA85" s="262">
        <f t="shared" si="67"/>
        <v>43191</v>
      </c>
      <c r="AB85" s="262">
        <f t="shared" si="67"/>
        <v>43221</v>
      </c>
      <c r="AC85" s="262">
        <f t="shared" si="67"/>
        <v>43252</v>
      </c>
      <c r="AD85" s="262">
        <f t="shared" si="67"/>
        <v>43283</v>
      </c>
      <c r="AE85" s="262">
        <f t="shared" si="67"/>
        <v>43314</v>
      </c>
      <c r="AF85" s="262">
        <f t="shared" si="67"/>
        <v>43345</v>
      </c>
      <c r="AG85" s="262">
        <f t="shared" si="67"/>
        <v>43376</v>
      </c>
      <c r="AH85" s="262">
        <f t="shared" si="67"/>
        <v>43407</v>
      </c>
      <c r="AI85" s="262">
        <f t="shared" si="67"/>
        <v>43437</v>
      </c>
      <c r="AJ85" s="262">
        <f t="shared" si="67"/>
        <v>43468</v>
      </c>
      <c r="AK85" s="262">
        <f t="shared" si="67"/>
        <v>43499</v>
      </c>
      <c r="AL85" s="262">
        <f t="shared" si="67"/>
        <v>43527</v>
      </c>
      <c r="AM85" s="262">
        <f t="shared" si="67"/>
        <v>43558</v>
      </c>
      <c r="AN85" s="262">
        <f t="shared" si="67"/>
        <v>43587</v>
      </c>
      <c r="AO85" s="262">
        <f t="shared" si="67"/>
        <v>43618</v>
      </c>
      <c r="AP85" s="262">
        <f t="shared" si="67"/>
        <v>43647</v>
      </c>
      <c r="AQ85" s="262">
        <f t="shared" si="67"/>
        <v>43678</v>
      </c>
      <c r="AR85" s="262">
        <f t="shared" si="67"/>
        <v>43709</v>
      </c>
      <c r="AS85" s="262">
        <f t="shared" si="67"/>
        <v>43739</v>
      </c>
      <c r="AT85" s="262">
        <f t="shared" si="67"/>
        <v>43770</v>
      </c>
      <c r="AU85" s="262">
        <f t="shared" si="67"/>
        <v>43800</v>
      </c>
    </row>
    <row r="86" spans="1:117" x14ac:dyDescent="0.25">
      <c r="A86" s="261" t="s">
        <v>542</v>
      </c>
      <c r="B86" s="261" t="s">
        <v>542</v>
      </c>
      <c r="D86" s="117" t="str">
        <f>IF([1]RENAME!$H$3=1,B86,A86)</f>
        <v>SANTANDER</v>
      </c>
      <c r="E86" s="263" t="s">
        <v>160</v>
      </c>
      <c r="F86" s="263" t="s">
        <v>160</v>
      </c>
      <c r="G86" s="263" t="s">
        <v>160</v>
      </c>
      <c r="H86" s="263" t="s">
        <v>160</v>
      </c>
      <c r="I86" s="263" t="s">
        <v>160</v>
      </c>
      <c r="J86" s="263" t="s">
        <v>160</v>
      </c>
      <c r="K86" s="263" t="s">
        <v>160</v>
      </c>
      <c r="L86" s="263" t="s">
        <v>160</v>
      </c>
      <c r="M86" s="263" t="s">
        <v>160</v>
      </c>
      <c r="N86" s="263" t="s">
        <v>160</v>
      </c>
      <c r="O86" s="263" t="s">
        <v>160</v>
      </c>
      <c r="P86" s="263" t="s">
        <v>160</v>
      </c>
      <c r="Q86" s="263" t="s">
        <v>160</v>
      </c>
      <c r="R86" s="263" t="s">
        <v>160</v>
      </c>
      <c r="S86" s="263" t="s">
        <v>160</v>
      </c>
      <c r="T86" s="263" t="s">
        <v>160</v>
      </c>
      <c r="U86" s="263" t="s">
        <v>160</v>
      </c>
      <c r="V86" s="263" t="s">
        <v>160</v>
      </c>
      <c r="W86" s="686" t="s">
        <v>160</v>
      </c>
      <c r="X86" s="686" t="s">
        <v>160</v>
      </c>
      <c r="Y86" s="686" t="s">
        <v>160</v>
      </c>
      <c r="Z86" s="686" t="s">
        <v>160</v>
      </c>
      <c r="AA86" s="686" t="s">
        <v>160</v>
      </c>
      <c r="AB86" s="686" t="s">
        <v>160</v>
      </c>
      <c r="AC86" s="686" t="s">
        <v>160</v>
      </c>
      <c r="AD86" s="686" t="s">
        <v>160</v>
      </c>
      <c r="AE86" s="686" t="s">
        <v>160</v>
      </c>
      <c r="AF86" s="686" t="s">
        <v>160</v>
      </c>
      <c r="AG86" s="686" t="s">
        <v>160</v>
      </c>
      <c r="AH86" s="686" t="s">
        <v>160</v>
      </c>
      <c r="AI86" s="686">
        <v>32</v>
      </c>
      <c r="AJ86" s="686">
        <v>32</v>
      </c>
      <c r="AK86" s="686">
        <v>32</v>
      </c>
      <c r="AL86" s="686">
        <v>32</v>
      </c>
      <c r="AM86" s="686">
        <v>32</v>
      </c>
      <c r="AN86" s="686">
        <v>32</v>
      </c>
      <c r="AO86" s="686">
        <v>32</v>
      </c>
      <c r="AP86" s="686">
        <v>32</v>
      </c>
      <c r="AQ86" s="686">
        <v>32</v>
      </c>
      <c r="AR86" s="686">
        <v>32</v>
      </c>
      <c r="AS86" s="686">
        <v>32</v>
      </c>
      <c r="AT86" s="686">
        <v>32</v>
      </c>
      <c r="AU86" s="686" t="s">
        <v>160</v>
      </c>
    </row>
    <row r="87" spans="1:117" x14ac:dyDescent="0.25">
      <c r="A87" s="261" t="s">
        <v>545</v>
      </c>
      <c r="B87" s="261" t="s">
        <v>545</v>
      </c>
      <c r="D87" s="117" t="str">
        <f>IF([1]RENAME!$H$3=1,B87,A87)</f>
        <v>BAML</v>
      </c>
      <c r="E87" s="263" t="s">
        <v>160</v>
      </c>
      <c r="F87" s="263" t="s">
        <v>160</v>
      </c>
      <c r="G87" s="263" t="s">
        <v>160</v>
      </c>
      <c r="H87" s="263" t="s">
        <v>160</v>
      </c>
      <c r="I87" s="263" t="s">
        <v>160</v>
      </c>
      <c r="J87" s="263" t="s">
        <v>160</v>
      </c>
      <c r="K87" s="263" t="s">
        <v>160</v>
      </c>
      <c r="L87" s="263" t="s">
        <v>160</v>
      </c>
      <c r="M87" s="263" t="s">
        <v>160</v>
      </c>
      <c r="N87" s="263" t="s">
        <v>160</v>
      </c>
      <c r="O87" s="263" t="s">
        <v>160</v>
      </c>
      <c r="P87" s="263" t="s">
        <v>160</v>
      </c>
      <c r="Q87" s="263" t="s">
        <v>160</v>
      </c>
      <c r="R87" s="263" t="s">
        <v>160</v>
      </c>
      <c r="S87" s="263" t="s">
        <v>160</v>
      </c>
      <c r="T87" s="263" t="s">
        <v>160</v>
      </c>
      <c r="U87" s="263" t="s">
        <v>160</v>
      </c>
      <c r="V87" s="263" t="s">
        <v>160</v>
      </c>
      <c r="W87" s="263" t="s">
        <v>160</v>
      </c>
      <c r="X87" s="263" t="s">
        <v>160</v>
      </c>
      <c r="Y87" s="263" t="s">
        <v>160</v>
      </c>
      <c r="Z87" s="263" t="s">
        <v>160</v>
      </c>
      <c r="AA87" s="263" t="s">
        <v>160</v>
      </c>
      <c r="AB87" s="263" t="s">
        <v>160</v>
      </c>
      <c r="AC87" s="263" t="s">
        <v>160</v>
      </c>
      <c r="AD87" s="263" t="s">
        <v>160</v>
      </c>
      <c r="AE87" s="263" t="s">
        <v>160</v>
      </c>
      <c r="AF87" s="263" t="s">
        <v>160</v>
      </c>
      <c r="AG87" s="263" t="s">
        <v>160</v>
      </c>
      <c r="AH87" s="263" t="s">
        <v>160</v>
      </c>
      <c r="AI87" s="263" t="s">
        <v>160</v>
      </c>
      <c r="AJ87" s="263" t="s">
        <v>160</v>
      </c>
      <c r="AK87" s="263" t="s">
        <v>160</v>
      </c>
      <c r="AL87" s="263">
        <v>26</v>
      </c>
      <c r="AM87" s="263">
        <v>26</v>
      </c>
      <c r="AN87" s="691">
        <v>27</v>
      </c>
      <c r="AO87" s="263">
        <v>27</v>
      </c>
      <c r="AP87" s="263">
        <v>27</v>
      </c>
      <c r="AQ87" s="263">
        <v>27</v>
      </c>
      <c r="AR87" s="263">
        <v>27</v>
      </c>
      <c r="AS87" s="263">
        <v>27</v>
      </c>
      <c r="AT87" s="263">
        <f>AS87</f>
        <v>27</v>
      </c>
      <c r="AU87" s="263" t="s">
        <v>160</v>
      </c>
    </row>
    <row r="88" spans="1:117" x14ac:dyDescent="0.25">
      <c r="A88" s="261" t="s">
        <v>546</v>
      </c>
      <c r="B88" s="261" t="s">
        <v>546</v>
      </c>
      <c r="D88" s="117" t="str">
        <f>IF([1]RENAME!$H$3=1,B88,A88)</f>
        <v>BTG PACTUAL</v>
      </c>
      <c r="E88" s="263" t="s">
        <v>160</v>
      </c>
      <c r="F88" s="263" t="s">
        <v>160</v>
      </c>
      <c r="G88" s="263" t="s">
        <v>160</v>
      </c>
      <c r="H88" s="263" t="s">
        <v>160</v>
      </c>
      <c r="I88" s="263" t="s">
        <v>160</v>
      </c>
      <c r="J88" s="263" t="s">
        <v>160</v>
      </c>
      <c r="K88" s="263" t="s">
        <v>160</v>
      </c>
      <c r="L88" s="263" t="s">
        <v>160</v>
      </c>
      <c r="M88" s="263" t="s">
        <v>160</v>
      </c>
      <c r="N88" s="263" t="s">
        <v>160</v>
      </c>
      <c r="O88" s="263" t="s">
        <v>160</v>
      </c>
      <c r="P88" s="263" t="s">
        <v>160</v>
      </c>
      <c r="Q88" s="263" t="s">
        <v>160</v>
      </c>
      <c r="R88" s="263" t="s">
        <v>160</v>
      </c>
      <c r="S88" s="263" t="s">
        <v>160</v>
      </c>
      <c r="T88" s="263" t="s">
        <v>160</v>
      </c>
      <c r="U88" s="263" t="s">
        <v>160</v>
      </c>
      <c r="V88" s="263" t="s">
        <v>160</v>
      </c>
      <c r="W88" s="263" t="s">
        <v>160</v>
      </c>
      <c r="X88" s="263" t="s">
        <v>160</v>
      </c>
      <c r="Y88" s="263" t="s">
        <v>160</v>
      </c>
      <c r="Z88" s="263" t="s">
        <v>160</v>
      </c>
      <c r="AA88" s="263" t="s">
        <v>160</v>
      </c>
      <c r="AB88" s="686" t="s">
        <v>160</v>
      </c>
      <c r="AC88" s="263" t="s">
        <v>160</v>
      </c>
      <c r="AD88" s="263" t="s">
        <v>160</v>
      </c>
      <c r="AE88" s="263" t="s">
        <v>160</v>
      </c>
      <c r="AF88" s="263" t="s">
        <v>160</v>
      </c>
      <c r="AG88" s="263" t="s">
        <v>160</v>
      </c>
      <c r="AH88" s="263">
        <v>29</v>
      </c>
      <c r="AI88" s="263">
        <v>29</v>
      </c>
      <c r="AJ88" s="263">
        <v>29</v>
      </c>
      <c r="AK88" s="263">
        <v>29</v>
      </c>
      <c r="AL88" s="263">
        <v>29</v>
      </c>
      <c r="AM88" s="263">
        <v>29</v>
      </c>
      <c r="AN88" s="263">
        <v>34</v>
      </c>
      <c r="AO88" s="263">
        <v>34</v>
      </c>
      <c r="AP88" s="263">
        <v>34</v>
      </c>
      <c r="AQ88" s="263">
        <v>34</v>
      </c>
      <c r="AR88" s="263">
        <v>34</v>
      </c>
      <c r="AS88" s="263">
        <v>34</v>
      </c>
      <c r="AT88" s="263" t="s">
        <v>160</v>
      </c>
      <c r="AU88" s="263" t="s">
        <v>160</v>
      </c>
    </row>
    <row r="89" spans="1:117" x14ac:dyDescent="0.25">
      <c r="A89" s="261" t="s">
        <v>574</v>
      </c>
      <c r="B89" s="261" t="s">
        <v>574</v>
      </c>
      <c r="D89" s="117" t="str">
        <f>IF([1]RENAME!$H$3=1,B89,A89)</f>
        <v>SAFRA</v>
      </c>
      <c r="E89" s="263" t="s">
        <v>160</v>
      </c>
      <c r="F89" s="263" t="s">
        <v>160</v>
      </c>
      <c r="G89" s="263" t="s">
        <v>160</v>
      </c>
      <c r="H89" s="263" t="s">
        <v>160</v>
      </c>
      <c r="I89" s="263" t="s">
        <v>160</v>
      </c>
      <c r="J89" s="263" t="s">
        <v>160</v>
      </c>
      <c r="K89" s="263" t="s">
        <v>160</v>
      </c>
      <c r="L89" s="263" t="s">
        <v>160</v>
      </c>
      <c r="M89" s="263" t="s">
        <v>160</v>
      </c>
      <c r="N89" s="263" t="s">
        <v>160</v>
      </c>
      <c r="O89" s="263" t="s">
        <v>160</v>
      </c>
      <c r="P89" s="263" t="s">
        <v>160</v>
      </c>
      <c r="Q89" s="263" t="s">
        <v>160</v>
      </c>
      <c r="R89" s="263" t="s">
        <v>160</v>
      </c>
      <c r="S89" s="263" t="s">
        <v>160</v>
      </c>
      <c r="T89" s="263" t="s">
        <v>160</v>
      </c>
      <c r="U89" s="263" t="s">
        <v>160</v>
      </c>
      <c r="V89" s="263" t="s">
        <v>160</v>
      </c>
      <c r="W89" s="263" t="s">
        <v>160</v>
      </c>
      <c r="X89" s="263" t="s">
        <v>160</v>
      </c>
      <c r="Y89" s="686" t="s">
        <v>160</v>
      </c>
      <c r="Z89" s="686" t="s">
        <v>160</v>
      </c>
      <c r="AA89" s="686" t="s">
        <v>160</v>
      </c>
      <c r="AB89" s="686" t="s">
        <v>160</v>
      </c>
      <c r="AC89" s="686" t="s">
        <v>160</v>
      </c>
      <c r="AD89" s="686" t="s">
        <v>160</v>
      </c>
      <c r="AE89" s="686" t="s">
        <v>160</v>
      </c>
      <c r="AF89" s="686" t="s">
        <v>160</v>
      </c>
      <c r="AG89" s="686" t="s">
        <v>160</v>
      </c>
      <c r="AH89" s="686" t="s">
        <v>160</v>
      </c>
      <c r="AI89" s="686" t="s">
        <v>160</v>
      </c>
      <c r="AJ89" s="686" t="s">
        <v>160</v>
      </c>
      <c r="AK89" s="686" t="s">
        <v>160</v>
      </c>
      <c r="AL89" s="686" t="s">
        <v>160</v>
      </c>
      <c r="AM89" s="691">
        <v>33</v>
      </c>
      <c r="AN89" s="686">
        <v>33</v>
      </c>
      <c r="AO89" s="686">
        <v>33</v>
      </c>
      <c r="AP89" s="686" t="s">
        <v>160</v>
      </c>
      <c r="AQ89" s="686" t="s">
        <v>160</v>
      </c>
      <c r="AR89" s="686" t="s">
        <v>160</v>
      </c>
      <c r="AS89" s="686" t="s">
        <v>160</v>
      </c>
      <c r="AT89" s="686" t="s">
        <v>160</v>
      </c>
      <c r="AU89" s="686" t="s">
        <v>160</v>
      </c>
    </row>
    <row r="90" spans="1:117" x14ac:dyDescent="0.25">
      <c r="A90" s="261" t="s">
        <v>547</v>
      </c>
      <c r="B90" s="261" t="s">
        <v>547</v>
      </c>
      <c r="D90" s="117" t="str">
        <f>IF([1]RENAME!$H$3=1,B90,A90)</f>
        <v>ITAÚ</v>
      </c>
      <c r="E90" s="263" t="s">
        <v>160</v>
      </c>
      <c r="F90" s="263" t="s">
        <v>160</v>
      </c>
      <c r="G90" s="263" t="s">
        <v>160</v>
      </c>
      <c r="H90" s="263" t="s">
        <v>160</v>
      </c>
      <c r="I90" s="263" t="s">
        <v>160</v>
      </c>
      <c r="J90" s="263" t="s">
        <v>160</v>
      </c>
      <c r="K90" s="263" t="s">
        <v>160</v>
      </c>
      <c r="L90" s="263" t="s">
        <v>160</v>
      </c>
      <c r="M90" s="263" t="s">
        <v>160</v>
      </c>
      <c r="N90" s="263" t="s">
        <v>160</v>
      </c>
      <c r="O90" s="263" t="s">
        <v>160</v>
      </c>
      <c r="P90" s="263" t="s">
        <v>160</v>
      </c>
      <c r="Q90" s="263" t="s">
        <v>160</v>
      </c>
      <c r="R90" s="263" t="s">
        <v>160</v>
      </c>
      <c r="S90" s="263" t="s">
        <v>160</v>
      </c>
      <c r="T90" s="263" t="s">
        <v>160</v>
      </c>
      <c r="U90" s="263" t="s">
        <v>160</v>
      </c>
      <c r="V90" s="263" t="s">
        <v>160</v>
      </c>
      <c r="W90" s="263" t="s">
        <v>160</v>
      </c>
      <c r="X90" s="686" t="s">
        <v>160</v>
      </c>
      <c r="Y90" s="686" t="s">
        <v>160</v>
      </c>
      <c r="Z90" s="686" t="s">
        <v>160</v>
      </c>
      <c r="AA90" s="686" t="s">
        <v>160</v>
      </c>
      <c r="AB90" s="686" t="s">
        <v>160</v>
      </c>
      <c r="AC90" s="686" t="s">
        <v>160</v>
      </c>
      <c r="AD90" s="686" t="s">
        <v>160</v>
      </c>
      <c r="AE90" s="686" t="s">
        <v>160</v>
      </c>
      <c r="AF90" s="686">
        <v>28.8</v>
      </c>
      <c r="AG90" s="686">
        <v>28.8</v>
      </c>
      <c r="AH90" s="686">
        <v>28.8</v>
      </c>
      <c r="AI90" s="686">
        <v>28.8</v>
      </c>
      <c r="AJ90" s="686">
        <v>28.8</v>
      </c>
      <c r="AK90" s="686">
        <v>28.8</v>
      </c>
      <c r="AL90" s="686">
        <v>28.8</v>
      </c>
      <c r="AM90" s="686">
        <v>28.8</v>
      </c>
      <c r="AN90" s="686">
        <v>28.8</v>
      </c>
      <c r="AO90" s="686">
        <v>28.8</v>
      </c>
      <c r="AP90" s="686">
        <v>28.8</v>
      </c>
      <c r="AQ90" s="686">
        <v>28.8</v>
      </c>
      <c r="AR90" s="686" t="s">
        <v>160</v>
      </c>
      <c r="AS90" s="686" t="s">
        <v>160</v>
      </c>
      <c r="AT90" s="686" t="s">
        <v>160</v>
      </c>
      <c r="AU90" s="686" t="s">
        <v>160</v>
      </c>
    </row>
    <row r="91" spans="1:117" customFormat="1" ht="12.75" x14ac:dyDescent="0.2">
      <c r="A91" t="s">
        <v>557</v>
      </c>
      <c r="B91" t="s">
        <v>856</v>
      </c>
      <c r="D91" s="277" t="str">
        <f>IF([1]RENAME!$H$3=1,B91,A91)</f>
        <v>Média</v>
      </c>
      <c r="E91" s="278" t="str">
        <f t="shared" ref="E91:AE91" si="68">IFERROR(AVERAGE(E86:E90),"-")</f>
        <v>-</v>
      </c>
      <c r="F91" s="278" t="str">
        <f t="shared" si="68"/>
        <v>-</v>
      </c>
      <c r="G91" s="278" t="str">
        <f t="shared" si="68"/>
        <v>-</v>
      </c>
      <c r="H91" s="278" t="str">
        <f t="shared" si="68"/>
        <v>-</v>
      </c>
      <c r="I91" s="278" t="str">
        <f t="shared" si="68"/>
        <v>-</v>
      </c>
      <c r="J91" s="278" t="str">
        <f t="shared" si="68"/>
        <v>-</v>
      </c>
      <c r="K91" s="278" t="str">
        <f t="shared" si="68"/>
        <v>-</v>
      </c>
      <c r="L91" s="278" t="str">
        <f t="shared" si="68"/>
        <v>-</v>
      </c>
      <c r="M91" s="278" t="str">
        <f t="shared" si="68"/>
        <v>-</v>
      </c>
      <c r="N91" s="278" t="str">
        <f t="shared" si="68"/>
        <v>-</v>
      </c>
      <c r="O91" s="278" t="str">
        <f t="shared" si="68"/>
        <v>-</v>
      </c>
      <c r="P91" s="278" t="str">
        <f t="shared" si="68"/>
        <v>-</v>
      </c>
      <c r="Q91" s="278" t="str">
        <f t="shared" si="68"/>
        <v>-</v>
      </c>
      <c r="R91" s="278" t="str">
        <f t="shared" si="68"/>
        <v>-</v>
      </c>
      <c r="S91" s="278" t="str">
        <f t="shared" si="68"/>
        <v>-</v>
      </c>
      <c r="T91" s="345" t="str">
        <f t="shared" si="68"/>
        <v>-</v>
      </c>
      <c r="U91" s="345" t="str">
        <f t="shared" si="68"/>
        <v>-</v>
      </c>
      <c r="V91" s="345" t="str">
        <f t="shared" si="68"/>
        <v>-</v>
      </c>
      <c r="W91" s="345" t="str">
        <f t="shared" si="68"/>
        <v>-</v>
      </c>
      <c r="X91" s="345" t="str">
        <f t="shared" si="68"/>
        <v>-</v>
      </c>
      <c r="Y91" s="345" t="str">
        <f t="shared" si="68"/>
        <v>-</v>
      </c>
      <c r="Z91" s="345" t="str">
        <f t="shared" si="68"/>
        <v>-</v>
      </c>
      <c r="AA91" s="345" t="str">
        <f t="shared" si="68"/>
        <v>-</v>
      </c>
      <c r="AB91" s="345" t="str">
        <f t="shared" si="68"/>
        <v>-</v>
      </c>
      <c r="AC91" s="345" t="str">
        <f t="shared" si="68"/>
        <v>-</v>
      </c>
      <c r="AD91" s="345" t="str">
        <f t="shared" si="68"/>
        <v>-</v>
      </c>
      <c r="AE91" s="345" t="str">
        <f t="shared" si="68"/>
        <v>-</v>
      </c>
      <c r="AF91" s="345">
        <f t="shared" ref="AF91:AK91" si="69">IFERROR(AVERAGE(AF86:AF90),"-")</f>
        <v>28.8</v>
      </c>
      <c r="AG91" s="345">
        <f t="shared" si="69"/>
        <v>28.8</v>
      </c>
      <c r="AH91" s="345">
        <f t="shared" si="69"/>
        <v>28.9</v>
      </c>
      <c r="AI91" s="345">
        <f t="shared" si="69"/>
        <v>29.933333333333334</v>
      </c>
      <c r="AJ91" s="345">
        <f t="shared" si="69"/>
        <v>29.933333333333334</v>
      </c>
      <c r="AK91" s="345">
        <f t="shared" si="69"/>
        <v>29.933333333333334</v>
      </c>
      <c r="AL91" s="345">
        <f t="shared" ref="AL91:AQ91" si="70">IFERROR(AVERAGE(AL86:AL90),"-")</f>
        <v>28.95</v>
      </c>
      <c r="AM91" s="345">
        <f t="shared" si="70"/>
        <v>29.76</v>
      </c>
      <c r="AN91" s="345">
        <f t="shared" si="70"/>
        <v>30.96</v>
      </c>
      <c r="AO91" s="345">
        <f t="shared" si="70"/>
        <v>30.96</v>
      </c>
      <c r="AP91" s="345">
        <f t="shared" si="70"/>
        <v>30.45</v>
      </c>
      <c r="AQ91" s="345">
        <f t="shared" si="70"/>
        <v>30.45</v>
      </c>
      <c r="AR91" s="345">
        <f>IFERROR(AVERAGE(AR86:AR90),"-")</f>
        <v>31</v>
      </c>
      <c r="AS91" s="345">
        <f>IFERROR(AVERAGE(AS86:AS90),"-")</f>
        <v>31</v>
      </c>
      <c r="AT91" s="345">
        <f>IFERROR(AVERAGE(AT86:AT90),"-")</f>
        <v>29.5</v>
      </c>
      <c r="AU91" s="345" t="str">
        <f>IFERROR(AVERAGE(AU86:AU90),"-")</f>
        <v>-</v>
      </c>
      <c r="DI91" s="1172"/>
      <c r="DJ91" s="1172"/>
      <c r="DK91" s="1172"/>
      <c r="DL91" s="1172"/>
      <c r="DM91" s="1172"/>
    </row>
    <row r="92" spans="1:117" s="775" customFormat="1" x14ac:dyDescent="0.25"/>
    <row r="93" spans="1:117" x14ac:dyDescent="0.25">
      <c r="A93" s="261" t="s">
        <v>593</v>
      </c>
      <c r="B93" s="261" t="s">
        <v>860</v>
      </c>
      <c r="D93" s="113" t="str">
        <f>IF([1]RENAME!$H$3=1,B93,A93)</f>
        <v>Receita líquida 2019</v>
      </c>
      <c r="E93" s="262">
        <f t="shared" ref="E93:AU93" si="71">+E$117</f>
        <v>42522</v>
      </c>
      <c r="F93" s="262">
        <f t="shared" si="71"/>
        <v>42552</v>
      </c>
      <c r="G93" s="262">
        <f t="shared" si="71"/>
        <v>42583</v>
      </c>
      <c r="H93" s="262">
        <f t="shared" si="71"/>
        <v>42614</v>
      </c>
      <c r="I93" s="262">
        <f t="shared" si="71"/>
        <v>42644</v>
      </c>
      <c r="J93" s="262">
        <f t="shared" si="71"/>
        <v>42675</v>
      </c>
      <c r="K93" s="262">
        <f t="shared" si="71"/>
        <v>42705</v>
      </c>
      <c r="L93" s="262">
        <f t="shared" si="71"/>
        <v>42736</v>
      </c>
      <c r="M93" s="262">
        <f t="shared" si="71"/>
        <v>42767</v>
      </c>
      <c r="N93" s="262">
        <f t="shared" si="71"/>
        <v>42795</v>
      </c>
      <c r="O93" s="262">
        <f t="shared" si="71"/>
        <v>42826</v>
      </c>
      <c r="P93" s="262">
        <f t="shared" si="71"/>
        <v>42856</v>
      </c>
      <c r="Q93" s="262">
        <f t="shared" si="71"/>
        <v>42887</v>
      </c>
      <c r="R93" s="262">
        <f t="shared" si="71"/>
        <v>42917</v>
      </c>
      <c r="S93" s="262">
        <f t="shared" si="71"/>
        <v>42948</v>
      </c>
      <c r="T93" s="262">
        <f t="shared" si="71"/>
        <v>42979</v>
      </c>
      <c r="U93" s="262">
        <f t="shared" si="71"/>
        <v>43009</v>
      </c>
      <c r="V93" s="262">
        <f t="shared" si="71"/>
        <v>43040</v>
      </c>
      <c r="W93" s="262">
        <f t="shared" si="71"/>
        <v>43070</v>
      </c>
      <c r="X93" s="262">
        <f t="shared" si="71"/>
        <v>43101</v>
      </c>
      <c r="Y93" s="262">
        <f t="shared" si="71"/>
        <v>43132</v>
      </c>
      <c r="Z93" s="262">
        <f t="shared" si="71"/>
        <v>43160</v>
      </c>
      <c r="AA93" s="262">
        <f t="shared" si="71"/>
        <v>43191</v>
      </c>
      <c r="AB93" s="262">
        <f t="shared" si="71"/>
        <v>43221</v>
      </c>
      <c r="AC93" s="262">
        <f t="shared" si="71"/>
        <v>43252</v>
      </c>
      <c r="AD93" s="262">
        <f t="shared" si="71"/>
        <v>43283</v>
      </c>
      <c r="AE93" s="262">
        <f t="shared" si="71"/>
        <v>43314</v>
      </c>
      <c r="AF93" s="262">
        <f t="shared" si="71"/>
        <v>43345</v>
      </c>
      <c r="AG93" s="262">
        <f t="shared" si="71"/>
        <v>43376</v>
      </c>
      <c r="AH93" s="262">
        <f t="shared" si="71"/>
        <v>43407</v>
      </c>
      <c r="AI93" s="262">
        <f t="shared" si="71"/>
        <v>43437</v>
      </c>
      <c r="AJ93" s="262">
        <f t="shared" si="71"/>
        <v>43468</v>
      </c>
      <c r="AK93" s="262">
        <f t="shared" si="71"/>
        <v>43499</v>
      </c>
      <c r="AL93" s="262">
        <f t="shared" si="71"/>
        <v>43527</v>
      </c>
      <c r="AM93" s="262">
        <f t="shared" si="71"/>
        <v>43558</v>
      </c>
      <c r="AN93" s="262">
        <f t="shared" si="71"/>
        <v>43587</v>
      </c>
      <c r="AO93" s="262">
        <f t="shared" si="71"/>
        <v>43618</v>
      </c>
      <c r="AP93" s="262">
        <f t="shared" si="71"/>
        <v>43647</v>
      </c>
      <c r="AQ93" s="262">
        <f t="shared" si="71"/>
        <v>43678</v>
      </c>
      <c r="AR93" s="262">
        <f t="shared" si="71"/>
        <v>43709</v>
      </c>
      <c r="AS93" s="262">
        <f t="shared" si="71"/>
        <v>43739</v>
      </c>
      <c r="AT93" s="262">
        <f t="shared" si="71"/>
        <v>43770</v>
      </c>
      <c r="AU93" s="262">
        <f t="shared" si="71"/>
        <v>43800</v>
      </c>
    </row>
    <row r="94" spans="1:117" x14ac:dyDescent="0.25">
      <c r="A94" s="261" t="s">
        <v>542</v>
      </c>
      <c r="B94" s="261" t="s">
        <v>542</v>
      </c>
      <c r="D94" s="117" t="str">
        <f>IF([1]RENAME!$H$3=1,B94,A94)</f>
        <v>SANTANDER</v>
      </c>
      <c r="E94" s="264" t="s">
        <v>160</v>
      </c>
      <c r="F94" s="264" t="s">
        <v>160</v>
      </c>
      <c r="G94" s="264" t="s">
        <v>160</v>
      </c>
      <c r="H94" s="264" t="s">
        <v>160</v>
      </c>
      <c r="I94" s="264" t="s">
        <v>160</v>
      </c>
      <c r="J94" s="264" t="s">
        <v>160</v>
      </c>
      <c r="K94" s="264" t="s">
        <v>160</v>
      </c>
      <c r="L94" s="336" t="s">
        <v>160</v>
      </c>
      <c r="M94" s="336" t="s">
        <v>160</v>
      </c>
      <c r="N94" s="336" t="s">
        <v>160</v>
      </c>
      <c r="O94" s="336" t="s">
        <v>160</v>
      </c>
      <c r="P94" s="336" t="s">
        <v>160</v>
      </c>
      <c r="Q94" s="336" t="s">
        <v>160</v>
      </c>
      <c r="R94" s="336" t="s">
        <v>160</v>
      </c>
      <c r="S94" s="336">
        <v>1294</v>
      </c>
      <c r="T94" s="346">
        <v>1294</v>
      </c>
      <c r="U94" s="346">
        <v>1294</v>
      </c>
      <c r="V94" s="346">
        <v>1294</v>
      </c>
      <c r="W94" s="341">
        <v>1412</v>
      </c>
      <c r="X94" s="591">
        <v>1412</v>
      </c>
      <c r="Y94" s="591">
        <v>1412</v>
      </c>
      <c r="Z94" s="591">
        <v>1412</v>
      </c>
      <c r="AA94" s="591">
        <v>1412</v>
      </c>
      <c r="AB94" s="591">
        <v>1412</v>
      </c>
      <c r="AC94" s="591">
        <v>1412</v>
      </c>
      <c r="AD94" s="591">
        <v>1412</v>
      </c>
      <c r="AE94" s="591">
        <v>1412</v>
      </c>
      <c r="AF94" s="591">
        <v>1412</v>
      </c>
      <c r="AG94" s="591">
        <v>1412</v>
      </c>
      <c r="AH94" s="591">
        <v>1412</v>
      </c>
      <c r="AI94" s="690">
        <v>1426</v>
      </c>
      <c r="AJ94" s="591">
        <v>1426</v>
      </c>
      <c r="AK94" s="591">
        <v>1426</v>
      </c>
      <c r="AL94" s="591">
        <v>1426</v>
      </c>
      <c r="AM94" s="591">
        <v>1426</v>
      </c>
      <c r="AN94" s="591">
        <v>1426</v>
      </c>
      <c r="AO94" s="591">
        <v>1426</v>
      </c>
      <c r="AP94" s="591">
        <v>1426</v>
      </c>
      <c r="AQ94" s="591">
        <v>1426</v>
      </c>
      <c r="AR94" s="591">
        <v>1426</v>
      </c>
      <c r="AS94" s="591">
        <v>1426</v>
      </c>
      <c r="AT94" s="591">
        <v>1426</v>
      </c>
      <c r="AU94" s="340">
        <v>1329</v>
      </c>
    </row>
    <row r="95" spans="1:117" x14ac:dyDescent="0.25">
      <c r="A95" s="261" t="s">
        <v>545</v>
      </c>
      <c r="B95" s="261" t="s">
        <v>545</v>
      </c>
      <c r="D95" s="117" t="str">
        <f>IF([1]RENAME!$H$3=1,B95,A95)</f>
        <v>BAML</v>
      </c>
      <c r="E95" s="264" t="s">
        <v>160</v>
      </c>
      <c r="F95" s="264" t="s">
        <v>160</v>
      </c>
      <c r="G95" s="264" t="s">
        <v>160</v>
      </c>
      <c r="H95" s="264" t="s">
        <v>160</v>
      </c>
      <c r="I95" s="264" t="s">
        <v>160</v>
      </c>
      <c r="J95" s="264" t="s">
        <v>160</v>
      </c>
      <c r="K95" s="264" t="s">
        <v>160</v>
      </c>
      <c r="L95" s="336" t="s">
        <v>160</v>
      </c>
      <c r="M95" s="336" t="s">
        <v>160</v>
      </c>
      <c r="N95" s="336">
        <v>1192</v>
      </c>
      <c r="O95" s="336">
        <v>1192</v>
      </c>
      <c r="P95" s="336">
        <v>1192</v>
      </c>
      <c r="Q95" s="336">
        <v>1192</v>
      </c>
      <c r="R95" s="336">
        <v>1192</v>
      </c>
      <c r="S95" s="341">
        <v>1219</v>
      </c>
      <c r="T95" s="346">
        <v>1219</v>
      </c>
      <c r="U95" s="346">
        <v>1219</v>
      </c>
      <c r="V95" s="346">
        <v>1219</v>
      </c>
      <c r="W95" s="346">
        <v>1219</v>
      </c>
      <c r="X95" s="346">
        <f>+W95</f>
        <v>1219</v>
      </c>
      <c r="Y95" s="341">
        <v>1291</v>
      </c>
      <c r="Z95" s="346">
        <v>1291</v>
      </c>
      <c r="AA95" s="346">
        <v>1291</v>
      </c>
      <c r="AB95" s="341">
        <v>1331</v>
      </c>
      <c r="AC95" s="346">
        <v>1331</v>
      </c>
      <c r="AD95" s="346">
        <v>1331</v>
      </c>
      <c r="AE95" s="346">
        <v>1331</v>
      </c>
      <c r="AF95" s="346">
        <v>1331</v>
      </c>
      <c r="AG95" s="346">
        <v>1331</v>
      </c>
      <c r="AH95" s="690">
        <v>1375</v>
      </c>
      <c r="AI95" s="591">
        <v>1375</v>
      </c>
      <c r="AJ95" s="591">
        <v>1375</v>
      </c>
      <c r="AK95" s="591">
        <v>1375</v>
      </c>
      <c r="AL95" s="690">
        <v>1410</v>
      </c>
      <c r="AM95" s="591">
        <v>1410</v>
      </c>
      <c r="AN95" s="690">
        <v>1446</v>
      </c>
      <c r="AO95" s="591">
        <v>1446</v>
      </c>
      <c r="AP95" s="591">
        <v>1446</v>
      </c>
      <c r="AQ95" s="591">
        <v>1446</v>
      </c>
      <c r="AR95" s="591">
        <v>1446</v>
      </c>
      <c r="AS95" s="591">
        <v>1446</v>
      </c>
      <c r="AT95" s="591">
        <v>1446</v>
      </c>
      <c r="AU95" s="340">
        <v>1376</v>
      </c>
    </row>
    <row r="96" spans="1:117" x14ac:dyDescent="0.25">
      <c r="A96" s="261" t="s">
        <v>546</v>
      </c>
      <c r="B96" s="261" t="s">
        <v>546</v>
      </c>
      <c r="D96" s="117" t="str">
        <f>IF([1]RENAME!$H$3=1,B96,A96)</f>
        <v>BTG PACTUAL</v>
      </c>
      <c r="E96" s="264" t="s">
        <v>160</v>
      </c>
      <c r="F96" s="264" t="s">
        <v>160</v>
      </c>
      <c r="G96" s="264" t="s">
        <v>160</v>
      </c>
      <c r="H96" s="264" t="s">
        <v>160</v>
      </c>
      <c r="I96" s="264" t="s">
        <v>160</v>
      </c>
      <c r="J96" s="264" t="s">
        <v>160</v>
      </c>
      <c r="K96" s="264" t="s">
        <v>160</v>
      </c>
      <c r="L96" s="336" t="s">
        <v>160</v>
      </c>
      <c r="M96" s="336" t="s">
        <v>160</v>
      </c>
      <c r="N96" s="336" t="s">
        <v>160</v>
      </c>
      <c r="O96" s="336" t="s">
        <v>160</v>
      </c>
      <c r="P96" s="336" t="s">
        <v>160</v>
      </c>
      <c r="Q96" s="336" t="s">
        <v>160</v>
      </c>
      <c r="R96" s="336" t="s">
        <v>160</v>
      </c>
      <c r="S96" s="336" t="s">
        <v>160</v>
      </c>
      <c r="T96" s="346" t="s">
        <v>160</v>
      </c>
      <c r="U96" s="346" t="s">
        <v>160</v>
      </c>
      <c r="V96" s="346">
        <v>1415</v>
      </c>
      <c r="W96" s="346">
        <v>1415</v>
      </c>
      <c r="X96" s="346">
        <v>1415</v>
      </c>
      <c r="Y96" s="346">
        <v>1415</v>
      </c>
      <c r="Z96" s="346">
        <v>1415</v>
      </c>
      <c r="AA96" s="346">
        <v>1415</v>
      </c>
      <c r="AB96" s="346">
        <v>1415</v>
      </c>
      <c r="AC96" s="346">
        <v>1415</v>
      </c>
      <c r="AD96" s="346">
        <v>1415</v>
      </c>
      <c r="AE96" s="346">
        <v>1415</v>
      </c>
      <c r="AF96" s="346">
        <v>1415</v>
      </c>
      <c r="AG96" s="346">
        <v>1415</v>
      </c>
      <c r="AH96" s="690">
        <v>1445</v>
      </c>
      <c r="AI96" s="591">
        <v>1445</v>
      </c>
      <c r="AJ96" s="591">
        <v>1445</v>
      </c>
      <c r="AK96" s="591">
        <v>1445</v>
      </c>
      <c r="AL96" s="340">
        <v>1438</v>
      </c>
      <c r="AM96" s="591">
        <v>1438</v>
      </c>
      <c r="AN96" s="591">
        <v>1438</v>
      </c>
      <c r="AO96" s="591">
        <v>1438</v>
      </c>
      <c r="AP96" s="591">
        <v>1438</v>
      </c>
      <c r="AQ96" s="591">
        <v>1438</v>
      </c>
      <c r="AR96" s="591">
        <v>1438</v>
      </c>
      <c r="AS96" s="591">
        <v>1438</v>
      </c>
      <c r="AT96" s="591">
        <v>1438</v>
      </c>
      <c r="AU96" s="591">
        <v>1438</v>
      </c>
    </row>
    <row r="97" spans="1:117" x14ac:dyDescent="0.25">
      <c r="A97" s="261" t="s">
        <v>574</v>
      </c>
      <c r="B97" s="261" t="s">
        <v>574</v>
      </c>
      <c r="D97" s="117" t="str">
        <f>IF([1]RENAME!$H$3=1,B97,A97)</f>
        <v>SAFRA</v>
      </c>
      <c r="E97" s="263" t="s">
        <v>160</v>
      </c>
      <c r="F97" s="263" t="s">
        <v>160</v>
      </c>
      <c r="G97" s="263" t="s">
        <v>160</v>
      </c>
      <c r="H97" s="263" t="s">
        <v>160</v>
      </c>
      <c r="I97" s="263" t="s">
        <v>160</v>
      </c>
      <c r="J97" s="263" t="s">
        <v>160</v>
      </c>
      <c r="K97" s="263" t="s">
        <v>160</v>
      </c>
      <c r="L97" s="336" t="s">
        <v>160</v>
      </c>
      <c r="M97" s="336" t="s">
        <v>160</v>
      </c>
      <c r="N97" s="336" t="s">
        <v>160</v>
      </c>
      <c r="O97" s="336" t="s">
        <v>160</v>
      </c>
      <c r="P97" s="336" t="s">
        <v>160</v>
      </c>
      <c r="Q97" s="336" t="s">
        <v>160</v>
      </c>
      <c r="R97" s="336" t="s">
        <v>160</v>
      </c>
      <c r="S97" s="336" t="s">
        <v>160</v>
      </c>
      <c r="T97" s="346" t="s">
        <v>160</v>
      </c>
      <c r="U97" s="346" t="s">
        <v>160</v>
      </c>
      <c r="V97" s="346" t="s">
        <v>160</v>
      </c>
      <c r="W97" s="346" t="s">
        <v>160</v>
      </c>
      <c r="X97" s="346" t="s">
        <v>160</v>
      </c>
      <c r="Y97" s="341">
        <f t="shared" ref="Y97:AF97" si="72">1286.9+197.5</f>
        <v>1484.4</v>
      </c>
      <c r="Z97" s="591">
        <f t="shared" si="72"/>
        <v>1484.4</v>
      </c>
      <c r="AA97" s="591">
        <f t="shared" si="72"/>
        <v>1484.4</v>
      </c>
      <c r="AB97" s="591">
        <f t="shared" si="72"/>
        <v>1484.4</v>
      </c>
      <c r="AC97" s="591">
        <f t="shared" si="72"/>
        <v>1484.4</v>
      </c>
      <c r="AD97" s="591">
        <f t="shared" si="72"/>
        <v>1484.4</v>
      </c>
      <c r="AE97" s="591">
        <f t="shared" si="72"/>
        <v>1484.4</v>
      </c>
      <c r="AF97" s="591">
        <f t="shared" si="72"/>
        <v>1484.4</v>
      </c>
      <c r="AG97" s="591">
        <v>1484.4</v>
      </c>
      <c r="AH97" s="591">
        <v>1484.4</v>
      </c>
      <c r="AI97" s="591">
        <v>1484.4</v>
      </c>
      <c r="AJ97" s="591">
        <v>1484.4</v>
      </c>
      <c r="AK97" s="591">
        <v>1484.4</v>
      </c>
      <c r="AL97" s="591">
        <v>1484.4</v>
      </c>
      <c r="AM97" s="340">
        <v>1355</v>
      </c>
      <c r="AN97" s="591">
        <v>1355</v>
      </c>
      <c r="AO97" s="591">
        <v>1355</v>
      </c>
      <c r="AP97" s="591" t="s">
        <v>160</v>
      </c>
      <c r="AQ97" s="591" t="s">
        <v>160</v>
      </c>
      <c r="AR97" s="591" t="s">
        <v>160</v>
      </c>
      <c r="AS97" s="591">
        <v>1402</v>
      </c>
      <c r="AT97" s="591">
        <v>1402</v>
      </c>
      <c r="AU97" s="591">
        <v>1402</v>
      </c>
    </row>
    <row r="98" spans="1:117" x14ac:dyDescent="0.25">
      <c r="A98" s="261" t="s">
        <v>547</v>
      </c>
      <c r="B98" s="261" t="s">
        <v>547</v>
      </c>
      <c r="D98" s="117" t="str">
        <f>IF([1]RENAME!$H$3=1,B98,A98)</f>
        <v>ITAÚ</v>
      </c>
      <c r="E98" s="264" t="s">
        <v>160</v>
      </c>
      <c r="F98" s="264" t="s">
        <v>160</v>
      </c>
      <c r="G98" s="264" t="s">
        <v>160</v>
      </c>
      <c r="H98" s="264" t="s">
        <v>160</v>
      </c>
      <c r="I98" s="264" t="s">
        <v>160</v>
      </c>
      <c r="J98" s="264" t="s">
        <v>160</v>
      </c>
      <c r="K98" s="264" t="s">
        <v>160</v>
      </c>
      <c r="L98" s="336" t="s">
        <v>160</v>
      </c>
      <c r="M98" s="336" t="s">
        <v>160</v>
      </c>
      <c r="N98" s="336">
        <v>1257</v>
      </c>
      <c r="O98" s="336">
        <v>1257</v>
      </c>
      <c r="P98" s="336">
        <v>1257</v>
      </c>
      <c r="Q98" s="336">
        <v>1257</v>
      </c>
      <c r="R98" s="336">
        <v>1257</v>
      </c>
      <c r="S98" s="340">
        <v>1234</v>
      </c>
      <c r="T98" s="346">
        <v>1234</v>
      </c>
      <c r="U98" s="346">
        <v>1234</v>
      </c>
      <c r="V98" s="346">
        <v>1234</v>
      </c>
      <c r="W98" s="346">
        <v>1234</v>
      </c>
      <c r="X98" s="341">
        <v>1380</v>
      </c>
      <c r="Y98" s="346">
        <v>1380</v>
      </c>
      <c r="Z98" s="346">
        <v>1380</v>
      </c>
      <c r="AA98" s="346">
        <v>1380</v>
      </c>
      <c r="AB98" s="346">
        <v>1380</v>
      </c>
      <c r="AC98" s="346">
        <v>1380</v>
      </c>
      <c r="AD98" s="346">
        <v>1380</v>
      </c>
      <c r="AE98" s="346">
        <v>1380</v>
      </c>
      <c r="AF98" s="340">
        <v>1343</v>
      </c>
      <c r="AG98" s="346">
        <v>1343</v>
      </c>
      <c r="AH98" s="346">
        <v>1343</v>
      </c>
      <c r="AI98" s="346">
        <v>1343</v>
      </c>
      <c r="AJ98" s="346">
        <v>1343</v>
      </c>
      <c r="AK98" s="346" t="s">
        <v>160</v>
      </c>
      <c r="AL98" s="346" t="s">
        <v>160</v>
      </c>
      <c r="AM98" s="346" t="s">
        <v>160</v>
      </c>
      <c r="AN98" s="346" t="s">
        <v>160</v>
      </c>
      <c r="AO98" s="346" t="s">
        <v>160</v>
      </c>
      <c r="AP98" s="346" t="s">
        <v>160</v>
      </c>
      <c r="AQ98" s="346" t="s">
        <v>160</v>
      </c>
      <c r="AR98" s="346">
        <v>1371</v>
      </c>
      <c r="AS98" s="346">
        <v>1371</v>
      </c>
      <c r="AT98" s="346">
        <v>1371</v>
      </c>
      <c r="AU98" s="346">
        <v>1371</v>
      </c>
    </row>
    <row r="99" spans="1:117" customFormat="1" ht="12.75" x14ac:dyDescent="0.2">
      <c r="A99" t="s">
        <v>557</v>
      </c>
      <c r="B99" t="s">
        <v>856</v>
      </c>
      <c r="D99" s="277" t="str">
        <f>IF([1]RENAME!$H$3=1,B99,A99)</f>
        <v>Média</v>
      </c>
      <c r="E99" s="326" t="str">
        <f t="shared" ref="E99:S99" si="73">IFERROR(AVERAGE(E94:E98),"-")</f>
        <v>-</v>
      </c>
      <c r="F99" s="326" t="str">
        <f t="shared" si="73"/>
        <v>-</v>
      </c>
      <c r="G99" s="326" t="str">
        <f t="shared" si="73"/>
        <v>-</v>
      </c>
      <c r="H99" s="326" t="str">
        <f t="shared" si="73"/>
        <v>-</v>
      </c>
      <c r="I99" s="326" t="str">
        <f t="shared" si="73"/>
        <v>-</v>
      </c>
      <c r="J99" s="326" t="str">
        <f t="shared" si="73"/>
        <v>-</v>
      </c>
      <c r="K99" s="326" t="str">
        <f t="shared" si="73"/>
        <v>-</v>
      </c>
      <c r="L99" s="337" t="str">
        <f t="shared" si="73"/>
        <v>-</v>
      </c>
      <c r="M99" s="337" t="str">
        <f t="shared" si="73"/>
        <v>-</v>
      </c>
      <c r="N99" s="337">
        <f t="shared" si="73"/>
        <v>1224.5</v>
      </c>
      <c r="O99" s="337">
        <f t="shared" si="73"/>
        <v>1224.5</v>
      </c>
      <c r="P99" s="337">
        <f t="shared" si="73"/>
        <v>1224.5</v>
      </c>
      <c r="Q99" s="337">
        <f t="shared" si="73"/>
        <v>1224.5</v>
      </c>
      <c r="R99" s="337">
        <f t="shared" si="73"/>
        <v>1224.5</v>
      </c>
      <c r="S99" s="337">
        <f t="shared" si="73"/>
        <v>1249</v>
      </c>
      <c r="T99" s="347">
        <f t="shared" ref="T99:AH99" si="74">IFERROR(AVERAGE(T94:T98),"-")</f>
        <v>1249</v>
      </c>
      <c r="U99" s="347">
        <f t="shared" si="74"/>
        <v>1249</v>
      </c>
      <c r="V99" s="347">
        <f t="shared" si="74"/>
        <v>1290.5</v>
      </c>
      <c r="W99" s="347">
        <f t="shared" si="74"/>
        <v>1320</v>
      </c>
      <c r="X99" s="347">
        <f t="shared" si="74"/>
        <v>1356.5</v>
      </c>
      <c r="Y99" s="347">
        <f t="shared" si="74"/>
        <v>1396.48</v>
      </c>
      <c r="Z99" s="347">
        <f t="shared" si="74"/>
        <v>1396.48</v>
      </c>
      <c r="AA99" s="347">
        <f t="shared" si="74"/>
        <v>1396.48</v>
      </c>
      <c r="AB99" s="347">
        <f t="shared" si="74"/>
        <v>1404.48</v>
      </c>
      <c r="AC99" s="347">
        <f t="shared" si="74"/>
        <v>1404.48</v>
      </c>
      <c r="AD99" s="347">
        <f t="shared" si="74"/>
        <v>1404.48</v>
      </c>
      <c r="AE99" s="347">
        <f t="shared" si="74"/>
        <v>1404.48</v>
      </c>
      <c r="AF99" s="347">
        <f t="shared" si="74"/>
        <v>1397.08</v>
      </c>
      <c r="AG99" s="347">
        <f t="shared" si="74"/>
        <v>1397.08</v>
      </c>
      <c r="AH99" s="347">
        <f t="shared" si="74"/>
        <v>1411.8799999999999</v>
      </c>
      <c r="AI99" s="347">
        <f t="shared" ref="AI99:AN99" si="75">IFERROR(AVERAGE(AI94:AI98),"-")</f>
        <v>1414.6799999999998</v>
      </c>
      <c r="AJ99" s="347">
        <f t="shared" si="75"/>
        <v>1414.6799999999998</v>
      </c>
      <c r="AK99" s="347">
        <f t="shared" si="75"/>
        <v>1432.6</v>
      </c>
      <c r="AL99" s="347">
        <f t="shared" si="75"/>
        <v>1439.6</v>
      </c>
      <c r="AM99" s="347">
        <f t="shared" si="75"/>
        <v>1407.25</v>
      </c>
      <c r="AN99" s="347">
        <f t="shared" si="75"/>
        <v>1416.25</v>
      </c>
      <c r="AO99" s="347">
        <f t="shared" ref="AO99:AT99" si="76">IFERROR(AVERAGE(AO94:AO98),"-")</f>
        <v>1416.25</v>
      </c>
      <c r="AP99" s="347">
        <f t="shared" si="76"/>
        <v>1436.6666666666667</v>
      </c>
      <c r="AQ99" s="347">
        <f t="shared" si="76"/>
        <v>1436.6666666666667</v>
      </c>
      <c r="AR99" s="347">
        <f t="shared" si="76"/>
        <v>1420.25</v>
      </c>
      <c r="AS99" s="347">
        <f t="shared" si="76"/>
        <v>1416.6</v>
      </c>
      <c r="AT99" s="347">
        <f t="shared" si="76"/>
        <v>1416.6</v>
      </c>
      <c r="AU99" s="347">
        <f>IFERROR(AVERAGE(AU94:AU98),"-")</f>
        <v>1383.2</v>
      </c>
      <c r="DI99" s="1172"/>
      <c r="DJ99" s="1172"/>
      <c r="DK99" s="1172"/>
      <c r="DL99" s="1172"/>
      <c r="DM99" s="1172"/>
    </row>
    <row r="100" spans="1:117" x14ac:dyDescent="0.25">
      <c r="Z100" s="339"/>
      <c r="AA100" s="339"/>
      <c r="AB100" s="339"/>
      <c r="AC100" s="339"/>
      <c r="AD100" s="339"/>
      <c r="AE100" s="339"/>
      <c r="AF100" s="339"/>
      <c r="AG100" s="339"/>
      <c r="AH100" s="339"/>
      <c r="AI100" s="339"/>
      <c r="AJ100" s="339"/>
      <c r="AK100" s="339"/>
      <c r="AL100" s="339"/>
      <c r="AM100" s="339"/>
      <c r="AN100" s="339"/>
      <c r="AO100" s="339"/>
      <c r="AP100" s="339"/>
      <c r="AQ100" s="339"/>
      <c r="AR100" s="339"/>
      <c r="AS100" s="339"/>
      <c r="AT100" s="339"/>
      <c r="AU100" s="339"/>
      <c r="AV100" s="775"/>
    </row>
    <row r="101" spans="1:117" x14ac:dyDescent="0.25">
      <c r="A101" s="261" t="s">
        <v>591</v>
      </c>
      <c r="B101" s="261" t="s">
        <v>861</v>
      </c>
      <c r="D101" s="113" t="str">
        <f>IF([1]RENAME!$H$3=1,B101,A101)</f>
        <v>EBITDA 2019</v>
      </c>
      <c r="E101" s="262">
        <f t="shared" ref="E101:AU101" si="77">+E$117</f>
        <v>42522</v>
      </c>
      <c r="F101" s="262">
        <f t="shared" si="77"/>
        <v>42552</v>
      </c>
      <c r="G101" s="262">
        <f t="shared" si="77"/>
        <v>42583</v>
      </c>
      <c r="H101" s="262">
        <f t="shared" si="77"/>
        <v>42614</v>
      </c>
      <c r="I101" s="262">
        <f t="shared" si="77"/>
        <v>42644</v>
      </c>
      <c r="J101" s="262">
        <f t="shared" si="77"/>
        <v>42675</v>
      </c>
      <c r="K101" s="262">
        <f t="shared" si="77"/>
        <v>42705</v>
      </c>
      <c r="L101" s="262">
        <f t="shared" si="77"/>
        <v>42736</v>
      </c>
      <c r="M101" s="262">
        <f t="shared" si="77"/>
        <v>42767</v>
      </c>
      <c r="N101" s="262">
        <f t="shared" si="77"/>
        <v>42795</v>
      </c>
      <c r="O101" s="262">
        <f t="shared" si="77"/>
        <v>42826</v>
      </c>
      <c r="P101" s="262">
        <f t="shared" si="77"/>
        <v>42856</v>
      </c>
      <c r="Q101" s="262">
        <f t="shared" si="77"/>
        <v>42887</v>
      </c>
      <c r="R101" s="262">
        <f t="shared" si="77"/>
        <v>42917</v>
      </c>
      <c r="S101" s="262">
        <f t="shared" si="77"/>
        <v>42948</v>
      </c>
      <c r="T101" s="262">
        <f t="shared" si="77"/>
        <v>42979</v>
      </c>
      <c r="U101" s="262">
        <f t="shared" si="77"/>
        <v>43009</v>
      </c>
      <c r="V101" s="262">
        <f t="shared" si="77"/>
        <v>43040</v>
      </c>
      <c r="W101" s="262">
        <f t="shared" si="77"/>
        <v>43070</v>
      </c>
      <c r="X101" s="262">
        <f t="shared" si="77"/>
        <v>43101</v>
      </c>
      <c r="Y101" s="262">
        <f t="shared" si="77"/>
        <v>43132</v>
      </c>
      <c r="Z101" s="262">
        <f t="shared" si="77"/>
        <v>43160</v>
      </c>
      <c r="AA101" s="262">
        <f t="shared" si="77"/>
        <v>43191</v>
      </c>
      <c r="AB101" s="262">
        <f t="shared" si="77"/>
        <v>43221</v>
      </c>
      <c r="AC101" s="262">
        <f t="shared" si="77"/>
        <v>43252</v>
      </c>
      <c r="AD101" s="262">
        <f t="shared" si="77"/>
        <v>43283</v>
      </c>
      <c r="AE101" s="262">
        <f t="shared" si="77"/>
        <v>43314</v>
      </c>
      <c r="AF101" s="262">
        <f t="shared" si="77"/>
        <v>43345</v>
      </c>
      <c r="AG101" s="262">
        <f t="shared" si="77"/>
        <v>43376</v>
      </c>
      <c r="AH101" s="262">
        <f t="shared" si="77"/>
        <v>43407</v>
      </c>
      <c r="AI101" s="262">
        <f t="shared" si="77"/>
        <v>43437</v>
      </c>
      <c r="AJ101" s="262">
        <f t="shared" si="77"/>
        <v>43468</v>
      </c>
      <c r="AK101" s="262">
        <f t="shared" si="77"/>
        <v>43499</v>
      </c>
      <c r="AL101" s="262">
        <f t="shared" si="77"/>
        <v>43527</v>
      </c>
      <c r="AM101" s="262">
        <f t="shared" si="77"/>
        <v>43558</v>
      </c>
      <c r="AN101" s="262">
        <f t="shared" si="77"/>
        <v>43587</v>
      </c>
      <c r="AO101" s="262">
        <f t="shared" si="77"/>
        <v>43618</v>
      </c>
      <c r="AP101" s="262">
        <f t="shared" si="77"/>
        <v>43647</v>
      </c>
      <c r="AQ101" s="262">
        <f t="shared" si="77"/>
        <v>43678</v>
      </c>
      <c r="AR101" s="262">
        <f t="shared" si="77"/>
        <v>43709</v>
      </c>
      <c r="AS101" s="262">
        <f t="shared" si="77"/>
        <v>43739</v>
      </c>
      <c r="AT101" s="262">
        <f t="shared" si="77"/>
        <v>43770</v>
      </c>
      <c r="AU101" s="262">
        <f t="shared" si="77"/>
        <v>43800</v>
      </c>
    </row>
    <row r="102" spans="1:117" x14ac:dyDescent="0.25">
      <c r="A102" s="261" t="s">
        <v>542</v>
      </c>
      <c r="B102" s="261" t="s">
        <v>542</v>
      </c>
      <c r="D102" s="117" t="str">
        <f>IF([1]RENAME!$H$3=1,B102,A102)</f>
        <v>SANTANDER</v>
      </c>
      <c r="E102" s="263" t="s">
        <v>160</v>
      </c>
      <c r="F102" s="263" t="s">
        <v>160</v>
      </c>
      <c r="G102" s="263" t="s">
        <v>160</v>
      </c>
      <c r="H102" s="264" t="s">
        <v>160</v>
      </c>
      <c r="I102" s="264" t="s">
        <v>160</v>
      </c>
      <c r="J102" s="264" t="s">
        <v>160</v>
      </c>
      <c r="K102" s="264" t="s">
        <v>160</v>
      </c>
      <c r="L102" s="264" t="s">
        <v>160</v>
      </c>
      <c r="M102" s="264" t="s">
        <v>160</v>
      </c>
      <c r="N102" s="264" t="s">
        <v>160</v>
      </c>
      <c r="O102" s="264" t="s">
        <v>160</v>
      </c>
      <c r="P102" s="264" t="s">
        <v>160</v>
      </c>
      <c r="Q102" s="264" t="s">
        <v>160</v>
      </c>
      <c r="R102" s="264" t="s">
        <v>160</v>
      </c>
      <c r="S102" s="264">
        <v>157</v>
      </c>
      <c r="T102" s="348">
        <v>157</v>
      </c>
      <c r="U102" s="348">
        <v>157</v>
      </c>
      <c r="V102" s="348">
        <v>157</v>
      </c>
      <c r="W102" s="341">
        <v>204</v>
      </c>
      <c r="X102" s="591">
        <v>204</v>
      </c>
      <c r="Y102" s="591">
        <v>204</v>
      </c>
      <c r="Z102" s="591">
        <v>204</v>
      </c>
      <c r="AA102" s="591">
        <v>204</v>
      </c>
      <c r="AB102" s="591">
        <v>204</v>
      </c>
      <c r="AC102" s="591">
        <v>204</v>
      </c>
      <c r="AD102" s="591">
        <v>204</v>
      </c>
      <c r="AE102" s="591">
        <v>204</v>
      </c>
      <c r="AF102" s="591">
        <v>204</v>
      </c>
      <c r="AG102" s="591">
        <v>204</v>
      </c>
      <c r="AH102" s="591">
        <v>204</v>
      </c>
      <c r="AI102" s="341">
        <v>238</v>
      </c>
      <c r="AJ102" s="591">
        <v>238</v>
      </c>
      <c r="AK102" s="591">
        <v>238</v>
      </c>
      <c r="AL102" s="591">
        <v>238</v>
      </c>
      <c r="AM102" s="591">
        <v>238</v>
      </c>
      <c r="AN102" s="591">
        <v>238</v>
      </c>
      <c r="AO102" s="591">
        <v>238</v>
      </c>
      <c r="AP102" s="591">
        <v>238</v>
      </c>
      <c r="AQ102" s="591">
        <v>238</v>
      </c>
      <c r="AR102" s="591">
        <v>238</v>
      </c>
      <c r="AS102" s="591">
        <v>238</v>
      </c>
      <c r="AT102" s="591">
        <v>238</v>
      </c>
      <c r="AU102" s="340">
        <f>253-36</f>
        <v>217</v>
      </c>
    </row>
    <row r="103" spans="1:117" x14ac:dyDescent="0.25">
      <c r="A103" s="261" t="s">
        <v>545</v>
      </c>
      <c r="B103" s="261" t="s">
        <v>545</v>
      </c>
      <c r="D103" s="117" t="str">
        <f>IF([1]RENAME!$H$3=1,B103,A103)</f>
        <v>BAML</v>
      </c>
      <c r="E103" s="263" t="s">
        <v>160</v>
      </c>
      <c r="F103" s="263" t="s">
        <v>160</v>
      </c>
      <c r="G103" s="263" t="s">
        <v>160</v>
      </c>
      <c r="H103" s="263" t="s">
        <v>160</v>
      </c>
      <c r="I103" s="263" t="s">
        <v>160</v>
      </c>
      <c r="J103" s="264" t="s">
        <v>160</v>
      </c>
      <c r="K103" s="264" t="s">
        <v>160</v>
      </c>
      <c r="L103" s="264" t="s">
        <v>160</v>
      </c>
      <c r="M103" s="264" t="s">
        <v>160</v>
      </c>
      <c r="N103" s="264" t="s">
        <v>160</v>
      </c>
      <c r="O103" s="264" t="s">
        <v>160</v>
      </c>
      <c r="P103" s="264">
        <v>156</v>
      </c>
      <c r="Q103" s="264">
        <v>156</v>
      </c>
      <c r="R103" s="264">
        <v>156</v>
      </c>
      <c r="S103" s="341">
        <v>165</v>
      </c>
      <c r="T103" s="346">
        <v>165</v>
      </c>
      <c r="U103" s="346">
        <v>165</v>
      </c>
      <c r="V103" s="346">
        <v>165</v>
      </c>
      <c r="W103" s="346">
        <v>165</v>
      </c>
      <c r="X103" s="346">
        <f>+W103</f>
        <v>165</v>
      </c>
      <c r="Y103" s="341">
        <v>193</v>
      </c>
      <c r="Z103" s="346">
        <v>193</v>
      </c>
      <c r="AA103" s="346">
        <v>193</v>
      </c>
      <c r="AB103" s="346">
        <v>190</v>
      </c>
      <c r="AC103" s="346">
        <v>190</v>
      </c>
      <c r="AD103" s="346">
        <v>190</v>
      </c>
      <c r="AE103" s="346">
        <v>190</v>
      </c>
      <c r="AF103" s="346">
        <v>190</v>
      </c>
      <c r="AG103" s="346">
        <v>190</v>
      </c>
      <c r="AH103" s="341">
        <v>205</v>
      </c>
      <c r="AI103" s="591">
        <v>205</v>
      </c>
      <c r="AJ103" s="591">
        <v>205</v>
      </c>
      <c r="AK103" s="591">
        <v>205</v>
      </c>
      <c r="AL103" s="341">
        <v>225</v>
      </c>
      <c r="AM103" s="591">
        <v>225</v>
      </c>
      <c r="AN103" s="341">
        <v>235</v>
      </c>
      <c r="AO103" s="591">
        <v>235</v>
      </c>
      <c r="AP103" s="591">
        <v>235</v>
      </c>
      <c r="AQ103" s="591">
        <v>235</v>
      </c>
      <c r="AR103" s="591">
        <v>235</v>
      </c>
      <c r="AS103" s="591">
        <v>235</v>
      </c>
      <c r="AT103" s="591">
        <v>235</v>
      </c>
      <c r="AU103" s="340">
        <v>224</v>
      </c>
    </row>
    <row r="104" spans="1:117" x14ac:dyDescent="0.25">
      <c r="A104" s="261" t="s">
        <v>546</v>
      </c>
      <c r="B104" s="261" t="s">
        <v>546</v>
      </c>
      <c r="D104" s="117" t="str">
        <f>IF([1]RENAME!$H$3=1,B104,A104)</f>
        <v>BTG PACTUAL</v>
      </c>
      <c r="E104" s="263" t="s">
        <v>160</v>
      </c>
      <c r="F104" s="263" t="s">
        <v>160</v>
      </c>
      <c r="G104" s="263" t="s">
        <v>160</v>
      </c>
      <c r="H104" s="263" t="s">
        <v>160</v>
      </c>
      <c r="I104" s="263" t="s">
        <v>160</v>
      </c>
      <c r="J104" s="264" t="s">
        <v>160</v>
      </c>
      <c r="K104" s="264" t="s">
        <v>160</v>
      </c>
      <c r="L104" s="264" t="s">
        <v>160</v>
      </c>
      <c r="M104" s="264" t="s">
        <v>160</v>
      </c>
      <c r="N104" s="264" t="s">
        <v>160</v>
      </c>
      <c r="O104" s="264" t="s">
        <v>160</v>
      </c>
      <c r="P104" s="264" t="s">
        <v>160</v>
      </c>
      <c r="Q104" s="264" t="s">
        <v>160</v>
      </c>
      <c r="R104" s="264" t="s">
        <v>160</v>
      </c>
      <c r="S104" s="264" t="s">
        <v>160</v>
      </c>
      <c r="T104" s="348" t="s">
        <v>160</v>
      </c>
      <c r="U104" s="348" t="s">
        <v>160</v>
      </c>
      <c r="V104" s="348">
        <v>201</v>
      </c>
      <c r="W104" s="348">
        <v>201</v>
      </c>
      <c r="X104" s="348">
        <v>201</v>
      </c>
      <c r="Y104" s="348">
        <v>201</v>
      </c>
      <c r="Z104" s="348">
        <v>201</v>
      </c>
      <c r="AA104" s="348">
        <v>201</v>
      </c>
      <c r="AB104" s="348">
        <v>201</v>
      </c>
      <c r="AC104" s="348">
        <v>201</v>
      </c>
      <c r="AD104" s="348">
        <v>201</v>
      </c>
      <c r="AE104" s="348">
        <v>201</v>
      </c>
      <c r="AF104" s="348">
        <v>201</v>
      </c>
      <c r="AG104" s="348">
        <v>201</v>
      </c>
      <c r="AH104" s="341">
        <v>223</v>
      </c>
      <c r="AI104" s="591">
        <v>223</v>
      </c>
      <c r="AJ104" s="591">
        <v>223</v>
      </c>
      <c r="AK104" s="591">
        <v>223</v>
      </c>
      <c r="AL104" s="341">
        <v>234</v>
      </c>
      <c r="AM104" s="591">
        <v>234</v>
      </c>
      <c r="AN104" s="591">
        <v>234</v>
      </c>
      <c r="AO104" s="591">
        <v>234</v>
      </c>
      <c r="AP104" s="591">
        <v>234</v>
      </c>
      <c r="AQ104" s="591">
        <v>234</v>
      </c>
      <c r="AR104" s="591">
        <v>234</v>
      </c>
      <c r="AS104" s="591">
        <v>234</v>
      </c>
      <c r="AT104" s="591">
        <v>234</v>
      </c>
      <c r="AU104" s="591">
        <v>234</v>
      </c>
    </row>
    <row r="105" spans="1:117" x14ac:dyDescent="0.25">
      <c r="A105" s="261" t="s">
        <v>574</v>
      </c>
      <c r="B105" s="261" t="s">
        <v>574</v>
      </c>
      <c r="D105" s="117" t="str">
        <f>IF([1]RENAME!$H$3=1,B105,A105)</f>
        <v>SAFRA</v>
      </c>
      <c r="E105" s="263" t="s">
        <v>160</v>
      </c>
      <c r="F105" s="263" t="s">
        <v>160</v>
      </c>
      <c r="G105" s="263" t="s">
        <v>160</v>
      </c>
      <c r="H105" s="263" t="s">
        <v>160</v>
      </c>
      <c r="I105" s="263" t="s">
        <v>160</v>
      </c>
      <c r="J105" s="263" t="s">
        <v>160</v>
      </c>
      <c r="K105" s="263" t="s">
        <v>160</v>
      </c>
      <c r="L105" s="263" t="s">
        <v>160</v>
      </c>
      <c r="M105" s="263" t="s">
        <v>160</v>
      </c>
      <c r="N105" s="263" t="s">
        <v>160</v>
      </c>
      <c r="O105" s="263" t="s">
        <v>160</v>
      </c>
      <c r="P105" s="263" t="s">
        <v>160</v>
      </c>
      <c r="Q105" s="264" t="s">
        <v>160</v>
      </c>
      <c r="R105" s="264" t="s">
        <v>160</v>
      </c>
      <c r="S105" s="264" t="s">
        <v>160</v>
      </c>
      <c r="T105" s="348" t="s">
        <v>160</v>
      </c>
      <c r="U105" s="348" t="s">
        <v>160</v>
      </c>
      <c r="V105" s="348" t="s">
        <v>160</v>
      </c>
      <c r="W105" s="348" t="s">
        <v>160</v>
      </c>
      <c r="X105" s="348" t="s">
        <v>160</v>
      </c>
      <c r="Y105" s="341">
        <f t="shared" ref="Y105:AF105" si="78">185+17.3</f>
        <v>202.3</v>
      </c>
      <c r="Z105" s="591">
        <f t="shared" si="78"/>
        <v>202.3</v>
      </c>
      <c r="AA105" s="591">
        <f t="shared" si="78"/>
        <v>202.3</v>
      </c>
      <c r="AB105" s="591">
        <f t="shared" si="78"/>
        <v>202.3</v>
      </c>
      <c r="AC105" s="591">
        <f t="shared" si="78"/>
        <v>202.3</v>
      </c>
      <c r="AD105" s="591">
        <f t="shared" si="78"/>
        <v>202.3</v>
      </c>
      <c r="AE105" s="591">
        <f t="shared" si="78"/>
        <v>202.3</v>
      </c>
      <c r="AF105" s="591">
        <f t="shared" si="78"/>
        <v>202.3</v>
      </c>
      <c r="AG105" s="591">
        <v>202.3</v>
      </c>
      <c r="AH105" s="591">
        <v>202.3</v>
      </c>
      <c r="AI105" s="591">
        <v>202.3</v>
      </c>
      <c r="AJ105" s="591">
        <v>202.3</v>
      </c>
      <c r="AK105" s="591">
        <v>202.3</v>
      </c>
      <c r="AL105" s="591">
        <v>202.3</v>
      </c>
      <c r="AM105" s="341">
        <v>226.1</v>
      </c>
      <c r="AN105" s="591">
        <v>226.1</v>
      </c>
      <c r="AO105" s="591">
        <v>226.1</v>
      </c>
      <c r="AP105" s="591" t="s">
        <v>160</v>
      </c>
      <c r="AQ105" s="591" t="s">
        <v>160</v>
      </c>
      <c r="AR105" s="591" t="s">
        <v>160</v>
      </c>
      <c r="AS105" s="591">
        <v>235</v>
      </c>
      <c r="AT105" s="591">
        <v>235</v>
      </c>
      <c r="AU105" s="591">
        <v>235</v>
      </c>
    </row>
    <row r="106" spans="1:117" x14ac:dyDescent="0.25">
      <c r="A106" s="261" t="s">
        <v>547</v>
      </c>
      <c r="B106" s="261" t="s">
        <v>547</v>
      </c>
      <c r="D106" s="117" t="str">
        <f>IF([1]RENAME!$H$3=1,B106,A106)</f>
        <v>ITAÚ</v>
      </c>
      <c r="E106" s="263" t="s">
        <v>160</v>
      </c>
      <c r="F106" s="263" t="s">
        <v>160</v>
      </c>
      <c r="G106" s="263" t="s">
        <v>160</v>
      </c>
      <c r="H106" s="263" t="s">
        <v>160</v>
      </c>
      <c r="I106" s="264" t="s">
        <v>160</v>
      </c>
      <c r="J106" s="264" t="s">
        <v>160</v>
      </c>
      <c r="K106" s="264" t="s">
        <v>160</v>
      </c>
      <c r="L106" s="264" t="s">
        <v>160</v>
      </c>
      <c r="M106" s="264" t="s">
        <v>160</v>
      </c>
      <c r="N106" s="264">
        <v>160</v>
      </c>
      <c r="O106" s="264">
        <v>160</v>
      </c>
      <c r="P106" s="264">
        <v>160</v>
      </c>
      <c r="Q106" s="264">
        <v>160</v>
      </c>
      <c r="R106" s="264">
        <v>160</v>
      </c>
      <c r="S106" s="342">
        <v>159</v>
      </c>
      <c r="T106" s="348">
        <v>159</v>
      </c>
      <c r="U106" s="348">
        <v>159</v>
      </c>
      <c r="V106" s="348">
        <v>159</v>
      </c>
      <c r="W106" s="348">
        <v>159</v>
      </c>
      <c r="X106" s="341">
        <v>188</v>
      </c>
      <c r="Y106" s="348">
        <v>188</v>
      </c>
      <c r="Z106" s="348">
        <v>188</v>
      </c>
      <c r="AA106" s="348">
        <v>188</v>
      </c>
      <c r="AB106" s="348">
        <v>188</v>
      </c>
      <c r="AC106" s="348">
        <v>188</v>
      </c>
      <c r="AD106" s="348">
        <v>188</v>
      </c>
      <c r="AE106" s="348">
        <v>188</v>
      </c>
      <c r="AF106" s="341">
        <v>196</v>
      </c>
      <c r="AG106" s="348">
        <v>196</v>
      </c>
      <c r="AH106" s="348">
        <v>196</v>
      </c>
      <c r="AI106" s="348">
        <v>196</v>
      </c>
      <c r="AJ106" s="348">
        <v>196</v>
      </c>
      <c r="AK106" s="348" t="s">
        <v>160</v>
      </c>
      <c r="AL106" s="348" t="s">
        <v>160</v>
      </c>
      <c r="AM106" s="348" t="s">
        <v>160</v>
      </c>
      <c r="AN106" s="348" t="s">
        <v>160</v>
      </c>
      <c r="AO106" s="348" t="s">
        <v>160</v>
      </c>
      <c r="AP106" s="348" t="s">
        <v>160</v>
      </c>
      <c r="AQ106" s="348" t="s">
        <v>160</v>
      </c>
      <c r="AR106" s="348">
        <v>227</v>
      </c>
      <c r="AS106" s="348">
        <v>227</v>
      </c>
      <c r="AT106" s="348">
        <v>227</v>
      </c>
      <c r="AU106" s="348">
        <v>227</v>
      </c>
    </row>
    <row r="107" spans="1:117" customFormat="1" ht="12.75" x14ac:dyDescent="0.2">
      <c r="A107" t="s">
        <v>557</v>
      </c>
      <c r="B107" t="s">
        <v>856</v>
      </c>
      <c r="D107" s="277" t="str">
        <f>IF([1]RENAME!$H$3=1,B107,A107)</f>
        <v>Média</v>
      </c>
      <c r="E107" s="326" t="str">
        <f t="shared" ref="E107:S107" si="79">IFERROR(AVERAGE(E102:E106),"-")</f>
        <v>-</v>
      </c>
      <c r="F107" s="326" t="str">
        <f t="shared" si="79"/>
        <v>-</v>
      </c>
      <c r="G107" s="326" t="str">
        <f t="shared" si="79"/>
        <v>-</v>
      </c>
      <c r="H107" s="326" t="str">
        <f t="shared" si="79"/>
        <v>-</v>
      </c>
      <c r="I107" s="326" t="str">
        <f t="shared" si="79"/>
        <v>-</v>
      </c>
      <c r="J107" s="326" t="str">
        <f t="shared" si="79"/>
        <v>-</v>
      </c>
      <c r="K107" s="326" t="str">
        <f t="shared" si="79"/>
        <v>-</v>
      </c>
      <c r="L107" s="326" t="str">
        <f t="shared" si="79"/>
        <v>-</v>
      </c>
      <c r="M107" s="326" t="str">
        <f t="shared" si="79"/>
        <v>-</v>
      </c>
      <c r="N107" s="326">
        <f t="shared" si="79"/>
        <v>160</v>
      </c>
      <c r="O107" s="326">
        <f t="shared" si="79"/>
        <v>160</v>
      </c>
      <c r="P107" s="326">
        <f t="shared" si="79"/>
        <v>158</v>
      </c>
      <c r="Q107" s="326">
        <f t="shared" si="79"/>
        <v>158</v>
      </c>
      <c r="R107" s="326">
        <f t="shared" si="79"/>
        <v>158</v>
      </c>
      <c r="S107" s="326">
        <f t="shared" si="79"/>
        <v>160.33333333333334</v>
      </c>
      <c r="T107" s="349">
        <f t="shared" ref="T107:AH107" si="80">IFERROR(AVERAGE(T102:T106),"-")</f>
        <v>160.33333333333334</v>
      </c>
      <c r="U107" s="349">
        <f t="shared" si="80"/>
        <v>160.33333333333334</v>
      </c>
      <c r="V107" s="349">
        <f t="shared" si="80"/>
        <v>170.5</v>
      </c>
      <c r="W107" s="349">
        <f t="shared" si="80"/>
        <v>182.25</v>
      </c>
      <c r="X107" s="349">
        <f t="shared" si="80"/>
        <v>189.5</v>
      </c>
      <c r="Y107" s="349">
        <f t="shared" si="80"/>
        <v>197.66</v>
      </c>
      <c r="Z107" s="349">
        <f t="shared" si="80"/>
        <v>197.66</v>
      </c>
      <c r="AA107" s="349">
        <f t="shared" si="80"/>
        <v>197.66</v>
      </c>
      <c r="AB107" s="349">
        <f t="shared" si="80"/>
        <v>197.06</v>
      </c>
      <c r="AC107" s="349">
        <f t="shared" si="80"/>
        <v>197.06</v>
      </c>
      <c r="AD107" s="349">
        <f t="shared" si="80"/>
        <v>197.06</v>
      </c>
      <c r="AE107" s="349">
        <f t="shared" si="80"/>
        <v>197.06</v>
      </c>
      <c r="AF107" s="349">
        <f t="shared" si="80"/>
        <v>198.66</v>
      </c>
      <c r="AG107" s="349">
        <f t="shared" si="80"/>
        <v>198.66</v>
      </c>
      <c r="AH107" s="349">
        <f t="shared" si="80"/>
        <v>206.06</v>
      </c>
      <c r="AI107" s="349">
        <f t="shared" ref="AI107:AN107" si="81">IFERROR(AVERAGE(AI102:AI106),"-")</f>
        <v>212.85999999999999</v>
      </c>
      <c r="AJ107" s="349">
        <f t="shared" si="81"/>
        <v>212.85999999999999</v>
      </c>
      <c r="AK107" s="349">
        <f t="shared" si="81"/>
        <v>217.07499999999999</v>
      </c>
      <c r="AL107" s="349">
        <f t="shared" si="81"/>
        <v>224.82499999999999</v>
      </c>
      <c r="AM107" s="349">
        <f t="shared" si="81"/>
        <v>230.77500000000001</v>
      </c>
      <c r="AN107" s="349">
        <f t="shared" si="81"/>
        <v>233.27500000000001</v>
      </c>
      <c r="AO107" s="349">
        <f t="shared" ref="AO107:AT107" si="82">IFERROR(AVERAGE(AO102:AO106),"-")</f>
        <v>233.27500000000001</v>
      </c>
      <c r="AP107" s="349">
        <f t="shared" si="82"/>
        <v>235.66666666666666</v>
      </c>
      <c r="AQ107" s="349">
        <f t="shared" si="82"/>
        <v>235.66666666666666</v>
      </c>
      <c r="AR107" s="349">
        <f t="shared" si="82"/>
        <v>233.5</v>
      </c>
      <c r="AS107" s="349">
        <f t="shared" si="82"/>
        <v>233.8</v>
      </c>
      <c r="AT107" s="349">
        <f t="shared" si="82"/>
        <v>233.8</v>
      </c>
      <c r="AU107" s="349">
        <f>IFERROR(AVERAGE(AU102:AU106),"-")</f>
        <v>227.4</v>
      </c>
      <c r="DI107" s="1172"/>
      <c r="DJ107" s="1172"/>
      <c r="DK107" s="1172"/>
      <c r="DL107" s="1172"/>
      <c r="DM107" s="1172"/>
    </row>
    <row r="108" spans="1:117" x14ac:dyDescent="0.25">
      <c r="Z108" s="339"/>
      <c r="AA108" s="339"/>
      <c r="AB108" s="339"/>
      <c r="AC108" s="339"/>
      <c r="AD108" s="339"/>
      <c r="AE108" s="339"/>
      <c r="AF108" s="339"/>
      <c r="AG108" s="339"/>
      <c r="AH108" s="339"/>
      <c r="AI108" s="339"/>
      <c r="AJ108" s="339"/>
      <c r="AK108" s="339"/>
      <c r="AL108" s="339"/>
      <c r="AM108" s="339"/>
      <c r="AN108" s="339"/>
      <c r="AO108" s="339"/>
      <c r="AP108" s="339"/>
      <c r="AQ108" s="339"/>
      <c r="AR108" s="339"/>
      <c r="AS108" s="339"/>
      <c r="AT108" s="339"/>
      <c r="AU108" s="339"/>
    </row>
    <row r="109" spans="1:117" x14ac:dyDescent="0.25">
      <c r="A109" s="261" t="s">
        <v>592</v>
      </c>
      <c r="B109" s="261" t="s">
        <v>862</v>
      </c>
      <c r="D109" s="113" t="str">
        <f>IF([1]RENAME!$H$3=1,B109,A109)</f>
        <v>Lucro Líquido 2019</v>
      </c>
      <c r="E109" s="262">
        <f t="shared" ref="E109:AU109" si="83">+E$117</f>
        <v>42522</v>
      </c>
      <c r="F109" s="262">
        <f t="shared" si="83"/>
        <v>42552</v>
      </c>
      <c r="G109" s="262">
        <f t="shared" si="83"/>
        <v>42583</v>
      </c>
      <c r="H109" s="262">
        <f t="shared" si="83"/>
        <v>42614</v>
      </c>
      <c r="I109" s="262">
        <f t="shared" si="83"/>
        <v>42644</v>
      </c>
      <c r="J109" s="262">
        <f t="shared" si="83"/>
        <v>42675</v>
      </c>
      <c r="K109" s="262">
        <f t="shared" si="83"/>
        <v>42705</v>
      </c>
      <c r="L109" s="262">
        <f t="shared" si="83"/>
        <v>42736</v>
      </c>
      <c r="M109" s="262">
        <f t="shared" si="83"/>
        <v>42767</v>
      </c>
      <c r="N109" s="262">
        <f t="shared" si="83"/>
        <v>42795</v>
      </c>
      <c r="O109" s="262">
        <f t="shared" si="83"/>
        <v>42826</v>
      </c>
      <c r="P109" s="262">
        <f t="shared" si="83"/>
        <v>42856</v>
      </c>
      <c r="Q109" s="262">
        <f t="shared" si="83"/>
        <v>42887</v>
      </c>
      <c r="R109" s="262">
        <f t="shared" si="83"/>
        <v>42917</v>
      </c>
      <c r="S109" s="262">
        <f t="shared" si="83"/>
        <v>42948</v>
      </c>
      <c r="T109" s="262">
        <f t="shared" si="83"/>
        <v>42979</v>
      </c>
      <c r="U109" s="262">
        <f t="shared" si="83"/>
        <v>43009</v>
      </c>
      <c r="V109" s="262">
        <f t="shared" si="83"/>
        <v>43040</v>
      </c>
      <c r="W109" s="262">
        <f t="shared" si="83"/>
        <v>43070</v>
      </c>
      <c r="X109" s="262">
        <f t="shared" si="83"/>
        <v>43101</v>
      </c>
      <c r="Y109" s="262">
        <f t="shared" si="83"/>
        <v>43132</v>
      </c>
      <c r="Z109" s="262">
        <f t="shared" si="83"/>
        <v>43160</v>
      </c>
      <c r="AA109" s="262">
        <f t="shared" si="83"/>
        <v>43191</v>
      </c>
      <c r="AB109" s="262">
        <f t="shared" si="83"/>
        <v>43221</v>
      </c>
      <c r="AC109" s="262">
        <f t="shared" si="83"/>
        <v>43252</v>
      </c>
      <c r="AD109" s="262">
        <f t="shared" si="83"/>
        <v>43283</v>
      </c>
      <c r="AE109" s="262">
        <f t="shared" si="83"/>
        <v>43314</v>
      </c>
      <c r="AF109" s="262">
        <f t="shared" si="83"/>
        <v>43345</v>
      </c>
      <c r="AG109" s="262">
        <f t="shared" si="83"/>
        <v>43376</v>
      </c>
      <c r="AH109" s="262">
        <f t="shared" si="83"/>
        <v>43407</v>
      </c>
      <c r="AI109" s="262">
        <f t="shared" si="83"/>
        <v>43437</v>
      </c>
      <c r="AJ109" s="262">
        <f t="shared" si="83"/>
        <v>43468</v>
      </c>
      <c r="AK109" s="262">
        <f t="shared" si="83"/>
        <v>43499</v>
      </c>
      <c r="AL109" s="262">
        <f t="shared" si="83"/>
        <v>43527</v>
      </c>
      <c r="AM109" s="262">
        <f t="shared" si="83"/>
        <v>43558</v>
      </c>
      <c r="AN109" s="262">
        <f t="shared" si="83"/>
        <v>43587</v>
      </c>
      <c r="AO109" s="262">
        <f t="shared" si="83"/>
        <v>43618</v>
      </c>
      <c r="AP109" s="262">
        <f t="shared" si="83"/>
        <v>43647</v>
      </c>
      <c r="AQ109" s="262">
        <f t="shared" si="83"/>
        <v>43678</v>
      </c>
      <c r="AR109" s="262">
        <f t="shared" si="83"/>
        <v>43709</v>
      </c>
      <c r="AS109" s="262">
        <f t="shared" si="83"/>
        <v>43739</v>
      </c>
      <c r="AT109" s="262">
        <f t="shared" si="83"/>
        <v>43770</v>
      </c>
      <c r="AU109" s="262">
        <f t="shared" si="83"/>
        <v>43800</v>
      </c>
    </row>
    <row r="110" spans="1:117" x14ac:dyDescent="0.25">
      <c r="A110" s="261" t="s">
        <v>542</v>
      </c>
      <c r="B110" s="261" t="s">
        <v>542</v>
      </c>
      <c r="D110" s="117" t="str">
        <f>IF([1]RENAME!$H$3=1,B110,A110)</f>
        <v>SANTANDER</v>
      </c>
      <c r="E110" s="263" t="s">
        <v>160</v>
      </c>
      <c r="F110" s="263" t="s">
        <v>160</v>
      </c>
      <c r="G110" s="263" t="s">
        <v>160</v>
      </c>
      <c r="H110" s="264" t="s">
        <v>160</v>
      </c>
      <c r="I110" s="264" t="s">
        <v>160</v>
      </c>
      <c r="J110" s="264" t="s">
        <v>160</v>
      </c>
      <c r="K110" s="264" t="s">
        <v>160</v>
      </c>
      <c r="L110" s="264" t="s">
        <v>160</v>
      </c>
      <c r="M110" s="264" t="s">
        <v>160</v>
      </c>
      <c r="N110" s="264" t="s">
        <v>160</v>
      </c>
      <c r="O110" s="264" t="s">
        <v>160</v>
      </c>
      <c r="P110" s="264" t="s">
        <v>160</v>
      </c>
      <c r="Q110" s="264" t="s">
        <v>160</v>
      </c>
      <c r="R110" s="264" t="s">
        <v>160</v>
      </c>
      <c r="S110" s="264">
        <v>76</v>
      </c>
      <c r="T110" s="348">
        <v>76</v>
      </c>
      <c r="U110" s="348">
        <v>76</v>
      </c>
      <c r="V110" s="348">
        <v>76</v>
      </c>
      <c r="W110" s="341">
        <v>105</v>
      </c>
      <c r="X110" s="591">
        <v>105</v>
      </c>
      <c r="Y110" s="591">
        <v>105</v>
      </c>
      <c r="Z110" s="591">
        <v>105</v>
      </c>
      <c r="AA110" s="591">
        <v>105</v>
      </c>
      <c r="AB110" s="591">
        <v>105</v>
      </c>
      <c r="AC110" s="591">
        <v>105</v>
      </c>
      <c r="AD110" s="591">
        <v>105</v>
      </c>
      <c r="AE110" s="591">
        <v>105</v>
      </c>
      <c r="AF110" s="591">
        <v>105</v>
      </c>
      <c r="AG110" s="591">
        <v>105</v>
      </c>
      <c r="AH110" s="591">
        <v>105</v>
      </c>
      <c r="AI110" s="690">
        <v>138</v>
      </c>
      <c r="AJ110" s="591">
        <v>138</v>
      </c>
      <c r="AK110" s="591">
        <v>138</v>
      </c>
      <c r="AL110" s="591">
        <v>138</v>
      </c>
      <c r="AM110" s="591">
        <v>138</v>
      </c>
      <c r="AN110" s="591">
        <v>138</v>
      </c>
      <c r="AO110" s="591">
        <v>138</v>
      </c>
      <c r="AP110" s="591">
        <v>138</v>
      </c>
      <c r="AQ110" s="591">
        <v>138</v>
      </c>
      <c r="AR110" s="591">
        <v>138</v>
      </c>
      <c r="AS110" s="591">
        <v>138</v>
      </c>
      <c r="AT110" s="591">
        <v>138</v>
      </c>
      <c r="AU110" s="340">
        <v>136</v>
      </c>
    </row>
    <row r="111" spans="1:117" x14ac:dyDescent="0.25">
      <c r="A111" s="261" t="s">
        <v>545</v>
      </c>
      <c r="B111" s="261" t="s">
        <v>545</v>
      </c>
      <c r="D111" s="117" t="str">
        <f>IF([1]RENAME!$H$3=1,B111,A111)</f>
        <v>BAML</v>
      </c>
      <c r="E111" s="263" t="s">
        <v>160</v>
      </c>
      <c r="F111" s="263" t="s">
        <v>160</v>
      </c>
      <c r="G111" s="263" t="s">
        <v>160</v>
      </c>
      <c r="H111" s="263" t="s">
        <v>160</v>
      </c>
      <c r="I111" s="263" t="s">
        <v>160</v>
      </c>
      <c r="J111" s="264" t="s">
        <v>160</v>
      </c>
      <c r="K111" s="264" t="s">
        <v>160</v>
      </c>
      <c r="L111" s="264" t="s">
        <v>160</v>
      </c>
      <c r="M111" s="264" t="s">
        <v>160</v>
      </c>
      <c r="N111" s="264" t="s">
        <v>160</v>
      </c>
      <c r="O111" s="264" t="s">
        <v>160</v>
      </c>
      <c r="P111" s="264">
        <v>70</v>
      </c>
      <c r="Q111" s="264">
        <v>70</v>
      </c>
      <c r="R111" s="264">
        <v>70</v>
      </c>
      <c r="S111" s="341">
        <v>76</v>
      </c>
      <c r="T111" s="346">
        <v>76</v>
      </c>
      <c r="U111" s="346">
        <v>76</v>
      </c>
      <c r="V111" s="346">
        <v>76</v>
      </c>
      <c r="W111" s="346">
        <v>76</v>
      </c>
      <c r="X111" s="346">
        <f>+W111</f>
        <v>76</v>
      </c>
      <c r="Y111" s="346">
        <v>101</v>
      </c>
      <c r="Z111" s="346">
        <v>101</v>
      </c>
      <c r="AA111" s="346">
        <v>101</v>
      </c>
      <c r="AB111" s="346">
        <v>102</v>
      </c>
      <c r="AC111" s="346">
        <v>102</v>
      </c>
      <c r="AD111" s="346">
        <v>102</v>
      </c>
      <c r="AE111" s="346">
        <v>102</v>
      </c>
      <c r="AF111" s="346">
        <v>102</v>
      </c>
      <c r="AG111" s="346">
        <v>102</v>
      </c>
      <c r="AH111" s="690">
        <v>109</v>
      </c>
      <c r="AI111" s="592">
        <v>109</v>
      </c>
      <c r="AJ111" s="592">
        <v>109</v>
      </c>
      <c r="AK111" s="592">
        <v>109</v>
      </c>
      <c r="AL111" s="341">
        <v>122</v>
      </c>
      <c r="AM111" s="592">
        <v>122</v>
      </c>
      <c r="AN111" s="341">
        <v>135</v>
      </c>
      <c r="AO111" s="592">
        <v>135</v>
      </c>
      <c r="AP111" s="592">
        <v>135</v>
      </c>
      <c r="AQ111" s="592">
        <v>135</v>
      </c>
      <c r="AR111" s="592">
        <v>135</v>
      </c>
      <c r="AS111" s="592">
        <v>135</v>
      </c>
      <c r="AT111" s="592">
        <v>135</v>
      </c>
      <c r="AU111" s="716">
        <v>142</v>
      </c>
    </row>
    <row r="112" spans="1:117" x14ac:dyDescent="0.25">
      <c r="A112" s="261" t="s">
        <v>546</v>
      </c>
      <c r="B112" s="261" t="s">
        <v>546</v>
      </c>
      <c r="D112" s="117" t="str">
        <f>IF([1]RENAME!$H$3=1,B112,A112)</f>
        <v>BTG PACTUAL</v>
      </c>
      <c r="E112" s="263" t="s">
        <v>160</v>
      </c>
      <c r="F112" s="263" t="s">
        <v>160</v>
      </c>
      <c r="G112" s="263" t="s">
        <v>160</v>
      </c>
      <c r="H112" s="263" t="s">
        <v>160</v>
      </c>
      <c r="I112" s="263" t="s">
        <v>160</v>
      </c>
      <c r="J112" s="264" t="s">
        <v>160</v>
      </c>
      <c r="K112" s="264" t="s">
        <v>160</v>
      </c>
      <c r="L112" s="264" t="s">
        <v>160</v>
      </c>
      <c r="M112" s="264" t="s">
        <v>160</v>
      </c>
      <c r="N112" s="264" t="s">
        <v>160</v>
      </c>
      <c r="O112" s="264" t="s">
        <v>160</v>
      </c>
      <c r="P112" s="264" t="s">
        <v>160</v>
      </c>
      <c r="Q112" s="264" t="s">
        <v>160</v>
      </c>
      <c r="R112" s="264" t="s">
        <v>160</v>
      </c>
      <c r="S112" s="264" t="s">
        <v>160</v>
      </c>
      <c r="T112" s="348" t="s">
        <v>160</v>
      </c>
      <c r="U112" s="348" t="s">
        <v>160</v>
      </c>
      <c r="V112" s="348">
        <v>106</v>
      </c>
      <c r="W112" s="348">
        <v>106</v>
      </c>
      <c r="X112" s="348">
        <v>106</v>
      </c>
      <c r="Y112" s="348">
        <v>106</v>
      </c>
      <c r="Z112" s="348">
        <v>106</v>
      </c>
      <c r="AA112" s="348">
        <v>106</v>
      </c>
      <c r="AB112" s="348">
        <v>106</v>
      </c>
      <c r="AC112" s="348">
        <v>106</v>
      </c>
      <c r="AD112" s="348">
        <v>106</v>
      </c>
      <c r="AE112" s="348">
        <v>106</v>
      </c>
      <c r="AF112" s="348">
        <v>106</v>
      </c>
      <c r="AG112" s="348">
        <v>106</v>
      </c>
      <c r="AH112" s="690">
        <v>128</v>
      </c>
      <c r="AI112" s="592">
        <v>128</v>
      </c>
      <c r="AJ112" s="592">
        <v>128</v>
      </c>
      <c r="AK112" s="592">
        <v>128</v>
      </c>
      <c r="AL112" s="341">
        <v>135</v>
      </c>
      <c r="AM112" s="592">
        <v>135</v>
      </c>
      <c r="AN112" s="592">
        <v>135</v>
      </c>
      <c r="AO112" s="592">
        <v>135</v>
      </c>
      <c r="AP112" s="592">
        <v>135</v>
      </c>
      <c r="AQ112" s="592">
        <v>135</v>
      </c>
      <c r="AR112" s="592">
        <v>135</v>
      </c>
      <c r="AS112" s="592">
        <v>135</v>
      </c>
      <c r="AT112" s="592">
        <v>135</v>
      </c>
      <c r="AU112" s="592">
        <v>135</v>
      </c>
    </row>
    <row r="113" spans="1:117" x14ac:dyDescent="0.25">
      <c r="A113" s="261" t="s">
        <v>574</v>
      </c>
      <c r="B113" s="261" t="s">
        <v>574</v>
      </c>
      <c r="D113" s="117" t="str">
        <f>IF([1]RENAME!$H$3=1,B113,A113)</f>
        <v>SAFRA</v>
      </c>
      <c r="E113" s="263" t="s">
        <v>160</v>
      </c>
      <c r="F113" s="263" t="s">
        <v>160</v>
      </c>
      <c r="G113" s="263" t="s">
        <v>160</v>
      </c>
      <c r="H113" s="263" t="s">
        <v>160</v>
      </c>
      <c r="I113" s="263" t="s">
        <v>160</v>
      </c>
      <c r="J113" s="263" t="s">
        <v>160</v>
      </c>
      <c r="K113" s="263" t="s">
        <v>160</v>
      </c>
      <c r="L113" s="263" t="s">
        <v>160</v>
      </c>
      <c r="M113" s="263" t="s">
        <v>160</v>
      </c>
      <c r="N113" s="263" t="s">
        <v>160</v>
      </c>
      <c r="O113" s="263" t="s">
        <v>160</v>
      </c>
      <c r="P113" s="263" t="s">
        <v>160</v>
      </c>
      <c r="Q113" s="264" t="s">
        <v>160</v>
      </c>
      <c r="R113" s="264" t="s">
        <v>160</v>
      </c>
      <c r="S113" s="264" t="s">
        <v>160</v>
      </c>
      <c r="T113" s="348" t="s">
        <v>160</v>
      </c>
      <c r="U113" s="348" t="s">
        <v>160</v>
      </c>
      <c r="V113" s="348" t="s">
        <v>160</v>
      </c>
      <c r="W113" s="348" t="s">
        <v>160</v>
      </c>
      <c r="X113" s="348" t="s">
        <v>160</v>
      </c>
      <c r="Y113" s="341">
        <v>95</v>
      </c>
      <c r="Z113" s="592">
        <v>95</v>
      </c>
      <c r="AA113" s="592">
        <v>95</v>
      </c>
      <c r="AB113" s="592">
        <v>95</v>
      </c>
      <c r="AC113" s="592">
        <v>95</v>
      </c>
      <c r="AD113" s="592">
        <v>95</v>
      </c>
      <c r="AE113" s="592">
        <v>95</v>
      </c>
      <c r="AF113" s="592">
        <v>95</v>
      </c>
      <c r="AG113" s="592">
        <v>95</v>
      </c>
      <c r="AH113" s="592">
        <v>95</v>
      </c>
      <c r="AI113" s="592">
        <v>95</v>
      </c>
      <c r="AJ113" s="592">
        <v>95</v>
      </c>
      <c r="AK113" s="592">
        <v>95</v>
      </c>
      <c r="AL113" s="592">
        <v>95</v>
      </c>
      <c r="AM113" s="341">
        <v>138</v>
      </c>
      <c r="AN113" s="592">
        <v>138</v>
      </c>
      <c r="AO113" s="592">
        <v>138</v>
      </c>
      <c r="AP113" s="592" t="s">
        <v>160</v>
      </c>
      <c r="AQ113" s="592" t="s">
        <v>160</v>
      </c>
      <c r="AR113" s="592" t="s">
        <v>160</v>
      </c>
      <c r="AS113" s="592">
        <v>149</v>
      </c>
      <c r="AT113" s="592">
        <v>149</v>
      </c>
      <c r="AU113" s="592">
        <v>149</v>
      </c>
    </row>
    <row r="114" spans="1:117" x14ac:dyDescent="0.25">
      <c r="A114" s="261" t="s">
        <v>547</v>
      </c>
      <c r="B114" s="261" t="s">
        <v>547</v>
      </c>
      <c r="D114" s="117" t="str">
        <f>IF([1]RENAME!$H$3=1,B114,A114)</f>
        <v>ITAÚ</v>
      </c>
      <c r="E114" s="263" t="s">
        <v>160</v>
      </c>
      <c r="F114" s="263" t="s">
        <v>160</v>
      </c>
      <c r="G114" s="263" t="s">
        <v>160</v>
      </c>
      <c r="H114" s="263" t="s">
        <v>160</v>
      </c>
      <c r="I114" s="264" t="s">
        <v>160</v>
      </c>
      <c r="J114" s="264" t="s">
        <v>160</v>
      </c>
      <c r="K114" s="264" t="s">
        <v>160</v>
      </c>
      <c r="L114" s="264" t="s">
        <v>160</v>
      </c>
      <c r="M114" s="264" t="s">
        <v>160</v>
      </c>
      <c r="N114" s="264">
        <v>67</v>
      </c>
      <c r="O114" s="264">
        <v>67</v>
      </c>
      <c r="P114" s="264">
        <v>67</v>
      </c>
      <c r="Q114" s="264">
        <v>67</v>
      </c>
      <c r="R114" s="264">
        <v>67</v>
      </c>
      <c r="S114" s="341">
        <v>77</v>
      </c>
      <c r="T114" s="346">
        <v>77</v>
      </c>
      <c r="U114" s="346">
        <v>77</v>
      </c>
      <c r="V114" s="346">
        <v>77</v>
      </c>
      <c r="W114" s="346">
        <v>77</v>
      </c>
      <c r="X114" s="341">
        <v>99</v>
      </c>
      <c r="Y114" s="346">
        <v>99</v>
      </c>
      <c r="Z114" s="346">
        <v>99</v>
      </c>
      <c r="AA114" s="346">
        <v>99</v>
      </c>
      <c r="AB114" s="346">
        <v>99</v>
      </c>
      <c r="AC114" s="346">
        <v>99</v>
      </c>
      <c r="AD114" s="346">
        <v>99</v>
      </c>
      <c r="AE114" s="346">
        <v>99</v>
      </c>
      <c r="AF114" s="341">
        <v>120</v>
      </c>
      <c r="AG114" s="346">
        <v>120</v>
      </c>
      <c r="AH114" s="346">
        <v>120</v>
      </c>
      <c r="AI114" s="346">
        <v>120</v>
      </c>
      <c r="AJ114" s="346">
        <v>120</v>
      </c>
      <c r="AK114" s="346" t="s">
        <v>160</v>
      </c>
      <c r="AL114" s="346" t="s">
        <v>160</v>
      </c>
      <c r="AM114" s="346" t="s">
        <v>160</v>
      </c>
      <c r="AN114" s="346" t="s">
        <v>160</v>
      </c>
      <c r="AO114" s="346" t="s">
        <v>160</v>
      </c>
      <c r="AP114" s="346" t="s">
        <v>160</v>
      </c>
      <c r="AQ114" s="346" t="s">
        <v>160</v>
      </c>
      <c r="AR114" s="346">
        <v>142</v>
      </c>
      <c r="AS114" s="346">
        <v>142</v>
      </c>
      <c r="AT114" s="346">
        <v>142</v>
      </c>
      <c r="AU114" s="346">
        <v>142</v>
      </c>
    </row>
    <row r="115" spans="1:117" customFormat="1" ht="12.75" x14ac:dyDescent="0.2">
      <c r="A115" t="s">
        <v>557</v>
      </c>
      <c r="B115" t="s">
        <v>856</v>
      </c>
      <c r="D115" s="277" t="str">
        <f>IF([1]RENAME!$H$3=1,B115,A115)</f>
        <v>Média</v>
      </c>
      <c r="E115" s="326" t="str">
        <f t="shared" ref="E115:S115" si="84">IFERROR(AVERAGE(E110:E114),"-")</f>
        <v>-</v>
      </c>
      <c r="F115" s="326" t="str">
        <f t="shared" si="84"/>
        <v>-</v>
      </c>
      <c r="G115" s="326" t="str">
        <f t="shared" si="84"/>
        <v>-</v>
      </c>
      <c r="H115" s="326" t="str">
        <f t="shared" si="84"/>
        <v>-</v>
      </c>
      <c r="I115" s="326" t="str">
        <f t="shared" si="84"/>
        <v>-</v>
      </c>
      <c r="J115" s="326" t="str">
        <f t="shared" si="84"/>
        <v>-</v>
      </c>
      <c r="K115" s="326" t="str">
        <f t="shared" si="84"/>
        <v>-</v>
      </c>
      <c r="L115" s="326" t="str">
        <f t="shared" si="84"/>
        <v>-</v>
      </c>
      <c r="M115" s="326" t="str">
        <f t="shared" si="84"/>
        <v>-</v>
      </c>
      <c r="N115" s="326">
        <f t="shared" si="84"/>
        <v>67</v>
      </c>
      <c r="O115" s="326">
        <f t="shared" si="84"/>
        <v>67</v>
      </c>
      <c r="P115" s="326">
        <f t="shared" si="84"/>
        <v>68.5</v>
      </c>
      <c r="Q115" s="326">
        <f t="shared" si="84"/>
        <v>68.5</v>
      </c>
      <c r="R115" s="326">
        <f t="shared" si="84"/>
        <v>68.5</v>
      </c>
      <c r="S115" s="326">
        <f t="shared" si="84"/>
        <v>76.333333333333329</v>
      </c>
      <c r="T115" s="349">
        <f t="shared" ref="T115:AH115" si="85">IFERROR(AVERAGE(T110:T114),"-")</f>
        <v>76.333333333333329</v>
      </c>
      <c r="U115" s="349">
        <f t="shared" si="85"/>
        <v>76.333333333333329</v>
      </c>
      <c r="V115" s="349">
        <f t="shared" si="85"/>
        <v>83.75</v>
      </c>
      <c r="W115" s="349">
        <f t="shared" si="85"/>
        <v>91</v>
      </c>
      <c r="X115" s="349">
        <f t="shared" si="85"/>
        <v>96.5</v>
      </c>
      <c r="Y115" s="349">
        <f t="shared" si="85"/>
        <v>101.2</v>
      </c>
      <c r="Z115" s="349">
        <f t="shared" si="85"/>
        <v>101.2</v>
      </c>
      <c r="AA115" s="349">
        <f t="shared" si="85"/>
        <v>101.2</v>
      </c>
      <c r="AB115" s="349">
        <f t="shared" si="85"/>
        <v>101.4</v>
      </c>
      <c r="AC115" s="349">
        <f t="shared" si="85"/>
        <v>101.4</v>
      </c>
      <c r="AD115" s="349">
        <f t="shared" si="85"/>
        <v>101.4</v>
      </c>
      <c r="AE115" s="349">
        <f t="shared" si="85"/>
        <v>101.4</v>
      </c>
      <c r="AF115" s="349">
        <f t="shared" si="85"/>
        <v>105.6</v>
      </c>
      <c r="AG115" s="349">
        <f t="shared" si="85"/>
        <v>105.6</v>
      </c>
      <c r="AH115" s="349">
        <f t="shared" si="85"/>
        <v>111.4</v>
      </c>
      <c r="AI115" s="349">
        <f t="shared" ref="AI115:AN115" si="86">IFERROR(AVERAGE(AI110:AI114),"-")</f>
        <v>118</v>
      </c>
      <c r="AJ115" s="349">
        <f t="shared" si="86"/>
        <v>118</v>
      </c>
      <c r="AK115" s="349">
        <f t="shared" si="86"/>
        <v>117.5</v>
      </c>
      <c r="AL115" s="349">
        <f t="shared" si="86"/>
        <v>122.5</v>
      </c>
      <c r="AM115" s="349">
        <f t="shared" si="86"/>
        <v>133.25</v>
      </c>
      <c r="AN115" s="349">
        <f t="shared" si="86"/>
        <v>136.5</v>
      </c>
      <c r="AO115" s="349">
        <f t="shared" ref="AO115:AT115" si="87">IFERROR(AVERAGE(AO110:AO114),"-")</f>
        <v>136.5</v>
      </c>
      <c r="AP115" s="349">
        <f t="shared" si="87"/>
        <v>136</v>
      </c>
      <c r="AQ115" s="349">
        <f t="shared" si="87"/>
        <v>136</v>
      </c>
      <c r="AR115" s="349">
        <f t="shared" si="87"/>
        <v>137.5</v>
      </c>
      <c r="AS115" s="349">
        <f t="shared" si="87"/>
        <v>139.80000000000001</v>
      </c>
      <c r="AT115" s="349">
        <f t="shared" si="87"/>
        <v>139.80000000000001</v>
      </c>
      <c r="AU115" s="349">
        <f>IFERROR(AVERAGE(AU110:AU114),"-")</f>
        <v>140.80000000000001</v>
      </c>
      <c r="DI115" s="1172"/>
      <c r="DJ115" s="1172"/>
      <c r="DK115" s="1172"/>
      <c r="DL115" s="1172"/>
      <c r="DM115" s="1172"/>
    </row>
    <row r="116" spans="1:117" x14ac:dyDescent="0.25">
      <c r="Z116" s="339"/>
      <c r="AA116" s="339"/>
      <c r="AB116" s="339"/>
      <c r="AC116" s="339"/>
      <c r="AD116" s="339"/>
      <c r="AE116" s="339"/>
      <c r="AF116" s="339"/>
      <c r="AG116" s="339"/>
      <c r="AH116" s="339"/>
      <c r="AI116" s="339"/>
      <c r="AJ116" s="339"/>
      <c r="AK116" s="339"/>
      <c r="AL116" s="339"/>
      <c r="AM116" s="339"/>
      <c r="AN116" s="339"/>
      <c r="AO116" s="339"/>
      <c r="AP116" s="339"/>
      <c r="AQ116" s="339"/>
      <c r="AR116" s="339"/>
      <c r="AS116" s="339"/>
      <c r="AT116" s="339"/>
      <c r="AU116" s="339"/>
      <c r="AX116" s="932"/>
    </row>
    <row r="117" spans="1:117" x14ac:dyDescent="0.25">
      <c r="A117" s="261" t="s">
        <v>1539</v>
      </c>
      <c r="B117" s="261" t="s">
        <v>1540</v>
      </c>
      <c r="D117" s="113" t="str">
        <f>IF([1]RENAME!$H$3=1,B117,A117)</f>
        <v>PREÇO ALVO YE20</v>
      </c>
      <c r="E117" s="262">
        <f>IF([1]RENAME!$H$3=0,E1,TEXT(E1,"[$-en-US]mmm-AA;@"))</f>
        <v>42522</v>
      </c>
      <c r="F117" s="262">
        <f>IF([1]RENAME!$H$3=0,F1,TEXT(F1,"[$-en-US]mmm-AA;@"))</f>
        <v>42552</v>
      </c>
      <c r="G117" s="262">
        <f>IF([1]RENAME!$H$3=0,G1,TEXT(G1,"[$-en-US]mmm-AA;@"))</f>
        <v>42583</v>
      </c>
      <c r="H117" s="262">
        <f>IF([1]RENAME!$H$3=0,H1,TEXT(H1,"[$-en-US]mmm-AA;@"))</f>
        <v>42614</v>
      </c>
      <c r="I117" s="262">
        <f>IF([1]RENAME!$H$3=0,I1,TEXT(I1,"[$-en-US]mmm-AA;@"))</f>
        <v>42644</v>
      </c>
      <c r="J117" s="262">
        <f>IF([1]RENAME!$H$3=0,J1,TEXT(J1,"[$-en-US]mmm-AA;@"))</f>
        <v>42675</v>
      </c>
      <c r="K117" s="262">
        <f>IF([1]RENAME!$H$3=0,K1,TEXT(K1,"[$-en-US]mmm-AA;@"))</f>
        <v>42705</v>
      </c>
      <c r="L117" s="262">
        <f>IF([1]RENAME!$H$3=0,L1,TEXT(L1,"[$-en-US]mmm-AA;@"))</f>
        <v>42736</v>
      </c>
      <c r="M117" s="262">
        <f>IF([1]RENAME!$H$3=0,M1,TEXT(M1,"[$-en-US]mmm-AA;@"))</f>
        <v>42767</v>
      </c>
      <c r="N117" s="262">
        <f>IF([1]RENAME!$H$3=0,N1,TEXT(N1,"[$-en-US]mmm-AA;@"))</f>
        <v>42795</v>
      </c>
      <c r="O117" s="262">
        <f>IF([1]RENAME!$H$3=0,O1,TEXT(O1,"[$-en-US]mmm-AA;@"))</f>
        <v>42826</v>
      </c>
      <c r="P117" s="262">
        <f>IF([1]RENAME!$H$3=0,P1,TEXT(P1,"[$-en-US]mmm-AA;@"))</f>
        <v>42856</v>
      </c>
      <c r="Q117" s="262">
        <f>IF([1]RENAME!$H$3=0,Q1,TEXT(Q1,"[$-en-US]mmm-AA;@"))</f>
        <v>42887</v>
      </c>
      <c r="R117" s="262">
        <f>IF([1]RENAME!$H$3=0,R1,TEXT(R1,"[$-en-US]mmm-AA;@"))</f>
        <v>42917</v>
      </c>
      <c r="S117" s="262">
        <f>IF([1]RENAME!$H$3=0,S1,TEXT(S1,"[$-en-US]mmm-AA;@"))</f>
        <v>42948</v>
      </c>
      <c r="T117" s="262">
        <f>IF([1]RENAME!$H$3=0,T1,TEXT(T1,"[$-en-US]mmm-AA;@"))</f>
        <v>42979</v>
      </c>
      <c r="U117" s="262">
        <f>IF([1]RENAME!$H$3=0,U1,TEXT(U1,"[$-en-US]mmm-AA;@"))</f>
        <v>43009</v>
      </c>
      <c r="V117" s="262">
        <f>IF([1]RENAME!$H$3=0,V1,TEXT(V1,"[$-en-US]mmm-AA;@"))</f>
        <v>43040</v>
      </c>
      <c r="W117" s="262">
        <f>IF([1]RENAME!$H$3=0,W1,TEXT(W1,"[$-en-US]mmm-AA;@"))</f>
        <v>43070</v>
      </c>
      <c r="X117" s="262">
        <f>IF([1]RENAME!$H$3=0,X1,TEXT(X1,"[$-en-US]mmm-AA;@"))</f>
        <v>43101</v>
      </c>
      <c r="Y117" s="262">
        <f>IF([1]RENAME!$H$3=0,Y1,TEXT(Y1,"[$-en-US]mmm-AA;@"))</f>
        <v>43132</v>
      </c>
      <c r="Z117" s="262">
        <f>IF([1]RENAME!$H$3=0,Z1,TEXT(Z1,"[$-en-US]mmm-AA;@"))</f>
        <v>43160</v>
      </c>
      <c r="AA117" s="262">
        <f>IF([1]RENAME!$H$3=0,AA1,TEXT(AA1,"[$-en-US]mmm-AA;@"))</f>
        <v>43191</v>
      </c>
      <c r="AB117" s="262">
        <f>IF([1]RENAME!$H$3=0,AB1,TEXT(AB1,"[$-en-US]mmm-AA;@"))</f>
        <v>43221</v>
      </c>
      <c r="AC117" s="262">
        <f>IF([1]RENAME!$H$3=0,AC1,TEXT(AC1,"[$-en-US]mmm-AA;@"))</f>
        <v>43252</v>
      </c>
      <c r="AD117" s="262">
        <f>IF([1]RENAME!$H$3=0,AD1,TEXT(AD1,"[$-en-US]mmm-AA;@"))</f>
        <v>43283</v>
      </c>
      <c r="AE117" s="262">
        <f>IF([1]RENAME!$H$3=0,AE1,TEXT(AE1,"[$-en-US]mmm-AA;@"))</f>
        <v>43314</v>
      </c>
      <c r="AF117" s="262">
        <f>IF([1]RENAME!$H$3=0,AF1,TEXT(AF1,"[$-en-US]mmm-AA;@"))</f>
        <v>43345</v>
      </c>
      <c r="AG117" s="262">
        <f>IF([1]RENAME!$H$3=0,AG1,TEXT(AG1,"[$-en-US]mmm-AA;@"))</f>
        <v>43376</v>
      </c>
      <c r="AH117" s="262">
        <f>IF([1]RENAME!$H$3=0,AH1,TEXT(AH1,"[$-en-US]mmm-AA;@"))</f>
        <v>43407</v>
      </c>
      <c r="AI117" s="262">
        <f>IF([1]RENAME!$H$3=0,AI1,TEXT(AI1,"[$-en-US]mmm-AA;@"))</f>
        <v>43437</v>
      </c>
      <c r="AJ117" s="262">
        <f>IF([1]RENAME!$H$3=0,AJ1,TEXT(AJ1,"[$-en-US]mmm-AA;@"))</f>
        <v>43468</v>
      </c>
      <c r="AK117" s="262">
        <f>IF([1]RENAME!$H$3=0,AK1,TEXT(AK1,"[$-en-US]mmm-AA;@"))</f>
        <v>43499</v>
      </c>
      <c r="AL117" s="262">
        <f>IF([1]RENAME!$H$3=0,AL1,TEXT(AL1,"[$-en-US]mmm-AA;@"))</f>
        <v>43527</v>
      </c>
      <c r="AM117" s="262">
        <f>IF([1]RENAME!$H$3=0,AM1,TEXT(AM1,"[$-en-US]mmm-AA;@"))</f>
        <v>43558</v>
      </c>
      <c r="AN117" s="262">
        <f>IF([1]RENAME!$H$3=0,AN1,TEXT(AN1,"[$-en-US]mmm-AA;@"))</f>
        <v>43587</v>
      </c>
      <c r="AO117" s="262">
        <f>IF([1]RENAME!$H$3=0,AO1,TEXT(AO1,"[$-en-US]mmm-AA;@"))</f>
        <v>43618</v>
      </c>
      <c r="AP117" s="262">
        <f>IF([1]RENAME!$H$3=0,AP1,TEXT(AP1,"[$-en-US]mmm-AA;@"))</f>
        <v>43647</v>
      </c>
      <c r="AQ117" s="262">
        <f>IF([1]RENAME!$H$3=0,AQ1,TEXT(AQ1,"[$-en-US]mmm-AA;@"))</f>
        <v>43678</v>
      </c>
      <c r="AR117" s="262">
        <f>IF([1]RENAME!$H$3=0,AR1,TEXT(AR1,"[$-en-US]mmm-AA;@"))</f>
        <v>43709</v>
      </c>
      <c r="AS117" s="262">
        <f>IF([1]RENAME!$H$3=0,AS1,TEXT(AS1,"[$-en-US]mmm-AA;@"))</f>
        <v>43739</v>
      </c>
      <c r="AT117" s="262">
        <f>IF([1]RENAME!$H$3=0,AT1,TEXT(AT1,"[$-en-US]mmm-AA;@"))</f>
        <v>43770</v>
      </c>
      <c r="AU117" s="262">
        <f>IF([1]RENAME!$H$3=0,AU1,TEXT(AU1,"[$-en-US]mmm-AA;@"))</f>
        <v>43800</v>
      </c>
      <c r="AV117" s="262">
        <f>IF([1]RENAME!$H$3=0,AV1,TEXT(AV1,"[$-en-US]mmm-AA;@"))</f>
        <v>43831</v>
      </c>
      <c r="AW117" s="262">
        <f>IF([1]RENAME!$H$3=0,AW1,TEXT(AW1,"[$-en-US]mmm-AA;@"))</f>
        <v>43862</v>
      </c>
      <c r="AX117" s="933">
        <f>IF([1]RENAME!$H$3=0,AX1,TEXT(AX1,"[$-en-US]mmm-AA;@"))</f>
        <v>43891</v>
      </c>
      <c r="AY117" s="262">
        <f>IF([1]RENAME!$H$3=0,AY1,TEXT(AY1,"[$-en-US]mmm-AA;@"))</f>
        <v>43922</v>
      </c>
      <c r="AZ117" s="262">
        <f>IF([1]RENAME!$H$3=0,AZ1,TEXT(AZ1,"[$-en-US]mmm-AA;@"))</f>
        <v>43952</v>
      </c>
      <c r="BA117" s="262">
        <f>IF([1]RENAME!$H$3=0,BA1,TEXT(BA1,"[$-en-US]mmm-AA;@"))</f>
        <v>43983</v>
      </c>
      <c r="BB117" s="262">
        <f>IF([1]RENAME!$H$3=0,BB1,TEXT(BB1,"[$-en-US]mmm-AA;@"))</f>
        <v>44013</v>
      </c>
      <c r="BC117" s="262">
        <f>IF([1]RENAME!$H$3=0,BC1,TEXT(BC1,"[$-en-US]mmm-AA;@"))</f>
        <v>44044</v>
      </c>
      <c r="BD117" s="262">
        <f>IF([1]RENAME!$H$3=0,BD1,TEXT(BD1,"[$-en-US]mmm-AA;@"))</f>
        <v>44075</v>
      </c>
      <c r="BE117" s="262">
        <f>IF([1]RENAME!$H$3=0,BE1,TEXT(BE1,"[$-en-US]mmm-AA;@"))</f>
        <v>44105</v>
      </c>
      <c r="BF117" s="262">
        <f>IF([1]RENAME!$H$3=0,BF1,TEXT(BF1,"[$-en-US]mmm-AA;@"))</f>
        <v>44136</v>
      </c>
      <c r="BG117"/>
      <c r="BH117"/>
      <c r="BI117"/>
      <c r="BJ117"/>
      <c r="BK117"/>
      <c r="BL117"/>
      <c r="BM117"/>
      <c r="BN117"/>
      <c r="BO117"/>
      <c r="BP117"/>
      <c r="BQ117"/>
      <c r="BR117"/>
      <c r="BS117"/>
      <c r="BT117"/>
      <c r="BU117"/>
      <c r="BV117"/>
      <c r="BW117"/>
    </row>
    <row r="118" spans="1:117" x14ac:dyDescent="0.25">
      <c r="A118" s="261" t="s">
        <v>542</v>
      </c>
      <c r="B118" s="261" t="s">
        <v>542</v>
      </c>
      <c r="D118" s="117" t="str">
        <f>IF([1]RENAME!$H$3=1,B118,A118)</f>
        <v>SANTANDER</v>
      </c>
      <c r="E118" s="263" t="s">
        <v>160</v>
      </c>
      <c r="F118" s="263" t="s">
        <v>160</v>
      </c>
      <c r="G118" s="263" t="s">
        <v>160</v>
      </c>
      <c r="H118" s="263" t="s">
        <v>160</v>
      </c>
      <c r="I118" s="263" t="s">
        <v>160</v>
      </c>
      <c r="J118" s="263" t="s">
        <v>160</v>
      </c>
      <c r="K118" s="263" t="s">
        <v>160</v>
      </c>
      <c r="L118" s="263" t="s">
        <v>160</v>
      </c>
      <c r="M118" s="263" t="s">
        <v>160</v>
      </c>
      <c r="N118" s="263" t="s">
        <v>160</v>
      </c>
      <c r="O118" s="263" t="s">
        <v>160</v>
      </c>
      <c r="P118" s="263" t="s">
        <v>160</v>
      </c>
      <c r="Q118" s="263" t="s">
        <v>160</v>
      </c>
      <c r="R118" s="263" t="s">
        <v>160</v>
      </c>
      <c r="S118" s="263" t="s">
        <v>160</v>
      </c>
      <c r="T118" s="263" t="s">
        <v>160</v>
      </c>
      <c r="U118" s="263" t="s">
        <v>160</v>
      </c>
      <c r="V118" s="263" t="s">
        <v>160</v>
      </c>
      <c r="W118" s="686" t="s">
        <v>160</v>
      </c>
      <c r="X118" s="686" t="s">
        <v>160</v>
      </c>
      <c r="Y118" s="686" t="s">
        <v>160</v>
      </c>
      <c r="Z118" s="686" t="s">
        <v>160</v>
      </c>
      <c r="AA118" s="686" t="s">
        <v>160</v>
      </c>
      <c r="AB118" s="686" t="s">
        <v>160</v>
      </c>
      <c r="AC118" s="686" t="s">
        <v>160</v>
      </c>
      <c r="AD118" s="686" t="s">
        <v>160</v>
      </c>
      <c r="AE118" s="686" t="s">
        <v>160</v>
      </c>
      <c r="AF118" s="686" t="s">
        <v>160</v>
      </c>
      <c r="AG118" s="686" t="s">
        <v>160</v>
      </c>
      <c r="AH118" s="686" t="s">
        <v>160</v>
      </c>
      <c r="AI118" s="686" t="s">
        <v>160</v>
      </c>
      <c r="AJ118" s="686" t="s">
        <v>160</v>
      </c>
      <c r="AK118" s="686" t="s">
        <v>160</v>
      </c>
      <c r="AL118" s="686" t="s">
        <v>160</v>
      </c>
      <c r="AM118" s="686" t="s">
        <v>160</v>
      </c>
      <c r="AN118" s="686" t="s">
        <v>160</v>
      </c>
      <c r="AO118" s="686" t="s">
        <v>160</v>
      </c>
      <c r="AP118" s="686" t="s">
        <v>160</v>
      </c>
      <c r="AQ118" s="686" t="s">
        <v>160</v>
      </c>
      <c r="AR118" s="686" t="s">
        <v>160</v>
      </c>
      <c r="AS118" s="686" t="s">
        <v>160</v>
      </c>
      <c r="AT118" s="686" t="s">
        <v>160</v>
      </c>
      <c r="AU118" s="686">
        <v>42</v>
      </c>
      <c r="AV118" s="596">
        <v>42</v>
      </c>
      <c r="AW118" s="596">
        <v>42</v>
      </c>
      <c r="AX118" s="596">
        <v>42</v>
      </c>
      <c r="AY118" s="844" t="s">
        <v>160</v>
      </c>
      <c r="AZ118" s="845" t="s">
        <v>160</v>
      </c>
      <c r="BA118" s="846">
        <v>27.5</v>
      </c>
      <c r="BB118" s="596">
        <v>27.5</v>
      </c>
      <c r="BC118" s="596">
        <v>27.5</v>
      </c>
      <c r="BD118" s="596">
        <v>27.5</v>
      </c>
      <c r="BE118" s="596">
        <v>27.5</v>
      </c>
      <c r="BF118" s="596">
        <v>27.5</v>
      </c>
      <c r="BG118"/>
      <c r="BH118"/>
      <c r="BI118"/>
      <c r="BJ118"/>
      <c r="BK118"/>
      <c r="BL118"/>
      <c r="BM118"/>
      <c r="BN118"/>
      <c r="BO118"/>
      <c r="BP118"/>
      <c r="BQ118"/>
      <c r="BR118"/>
      <c r="BS118"/>
      <c r="BT118"/>
      <c r="BU118"/>
      <c r="BV118"/>
      <c r="BW118"/>
    </row>
    <row r="119" spans="1:117" x14ac:dyDescent="0.25">
      <c r="A119" s="261" t="s">
        <v>545</v>
      </c>
      <c r="B119" s="261" t="s">
        <v>545</v>
      </c>
      <c r="D119" s="117" t="str">
        <f>IF([1]RENAME!$H$3=1,B119,A119)</f>
        <v>BAML</v>
      </c>
      <c r="E119" s="263" t="s">
        <v>160</v>
      </c>
      <c r="F119" s="263" t="s">
        <v>160</v>
      </c>
      <c r="G119" s="263" t="s">
        <v>160</v>
      </c>
      <c r="H119" s="263" t="s">
        <v>160</v>
      </c>
      <c r="I119" s="263" t="s">
        <v>160</v>
      </c>
      <c r="J119" s="263" t="s">
        <v>160</v>
      </c>
      <c r="K119" s="263" t="s">
        <v>160</v>
      </c>
      <c r="L119" s="263" t="s">
        <v>160</v>
      </c>
      <c r="M119" s="263" t="s">
        <v>160</v>
      </c>
      <c r="N119" s="263" t="s">
        <v>160</v>
      </c>
      <c r="O119" s="263" t="s">
        <v>160</v>
      </c>
      <c r="P119" s="263" t="s">
        <v>160</v>
      </c>
      <c r="Q119" s="263" t="s">
        <v>160</v>
      </c>
      <c r="R119" s="263" t="s">
        <v>160</v>
      </c>
      <c r="S119" s="263" t="s">
        <v>160</v>
      </c>
      <c r="T119" s="263" t="s">
        <v>160</v>
      </c>
      <c r="U119" s="263" t="s">
        <v>160</v>
      </c>
      <c r="V119" s="263" t="s">
        <v>160</v>
      </c>
      <c r="W119" s="263" t="s">
        <v>160</v>
      </c>
      <c r="X119" s="263" t="s">
        <v>160</v>
      </c>
      <c r="Y119" s="263" t="s">
        <v>160</v>
      </c>
      <c r="Z119" s="263" t="s">
        <v>160</v>
      </c>
      <c r="AA119" s="263" t="s">
        <v>160</v>
      </c>
      <c r="AB119" s="263" t="s">
        <v>160</v>
      </c>
      <c r="AC119" s="263" t="s">
        <v>160</v>
      </c>
      <c r="AD119" s="263" t="s">
        <v>160</v>
      </c>
      <c r="AE119" s="263" t="s">
        <v>160</v>
      </c>
      <c r="AF119" s="263" t="s">
        <v>160</v>
      </c>
      <c r="AG119" s="263" t="s">
        <v>160</v>
      </c>
      <c r="AH119" s="263" t="s">
        <v>160</v>
      </c>
      <c r="AI119" s="263" t="s">
        <v>160</v>
      </c>
      <c r="AJ119" s="263" t="s">
        <v>160</v>
      </c>
      <c r="AK119" s="263" t="s">
        <v>160</v>
      </c>
      <c r="AL119" s="263" t="s">
        <v>160</v>
      </c>
      <c r="AM119" s="263" t="s">
        <v>160</v>
      </c>
      <c r="AN119" s="686" t="s">
        <v>160</v>
      </c>
      <c r="AO119" s="263" t="s">
        <v>160</v>
      </c>
      <c r="AP119" s="263" t="s">
        <v>160</v>
      </c>
      <c r="AQ119" s="263" t="s">
        <v>160</v>
      </c>
      <c r="AR119" s="263" t="s">
        <v>160</v>
      </c>
      <c r="AS119" s="263" t="s">
        <v>160</v>
      </c>
      <c r="AT119" s="263" t="s">
        <v>160</v>
      </c>
      <c r="AU119" s="263">
        <v>30</v>
      </c>
      <c r="AV119" s="351">
        <v>30</v>
      </c>
      <c r="AW119" s="351">
        <v>30</v>
      </c>
      <c r="AX119" s="351">
        <v>30</v>
      </c>
      <c r="AY119" s="844" t="s">
        <v>160</v>
      </c>
      <c r="AZ119" s="845" t="s">
        <v>160</v>
      </c>
      <c r="BA119" s="845" t="s">
        <v>160</v>
      </c>
      <c r="BB119" s="845" t="s">
        <v>160</v>
      </c>
      <c r="BC119" s="845" t="s">
        <v>160</v>
      </c>
      <c r="BD119" s="845" t="s">
        <v>160</v>
      </c>
      <c r="BE119" s="845" t="s">
        <v>160</v>
      </c>
      <c r="BF119" s="845" t="s">
        <v>160</v>
      </c>
      <c r="BG119"/>
      <c r="BH119"/>
      <c r="BI119"/>
      <c r="BJ119"/>
      <c r="BK119"/>
      <c r="BL119"/>
      <c r="BM119"/>
      <c r="BN119"/>
      <c r="BO119"/>
      <c r="BP119"/>
      <c r="BQ119"/>
      <c r="BR119"/>
      <c r="BS119"/>
      <c r="BT119"/>
      <c r="BU119"/>
      <c r="BV119"/>
      <c r="BW119"/>
    </row>
    <row r="120" spans="1:117" x14ac:dyDescent="0.25">
      <c r="A120" s="261" t="s">
        <v>546</v>
      </c>
      <c r="B120" s="261" t="s">
        <v>546</v>
      </c>
      <c r="D120" s="117" t="str">
        <f>IF([1]RENAME!$H$3=1,B120,A120)</f>
        <v>BTG PACTUAL</v>
      </c>
      <c r="E120" s="263" t="s">
        <v>160</v>
      </c>
      <c r="F120" s="263" t="s">
        <v>160</v>
      </c>
      <c r="G120" s="263" t="s">
        <v>160</v>
      </c>
      <c r="H120" s="263" t="s">
        <v>160</v>
      </c>
      <c r="I120" s="263" t="s">
        <v>160</v>
      </c>
      <c r="J120" s="263" t="s">
        <v>160</v>
      </c>
      <c r="K120" s="263" t="s">
        <v>160</v>
      </c>
      <c r="L120" s="263" t="s">
        <v>160</v>
      </c>
      <c r="M120" s="263" t="s">
        <v>160</v>
      </c>
      <c r="N120" s="263" t="s">
        <v>160</v>
      </c>
      <c r="O120" s="263" t="s">
        <v>160</v>
      </c>
      <c r="P120" s="263" t="s">
        <v>160</v>
      </c>
      <c r="Q120" s="263" t="s">
        <v>160</v>
      </c>
      <c r="R120" s="263" t="s">
        <v>160</v>
      </c>
      <c r="S120" s="263" t="s">
        <v>160</v>
      </c>
      <c r="T120" s="263" t="s">
        <v>160</v>
      </c>
      <c r="U120" s="263" t="s">
        <v>160</v>
      </c>
      <c r="V120" s="263" t="s">
        <v>160</v>
      </c>
      <c r="W120" s="263" t="s">
        <v>160</v>
      </c>
      <c r="X120" s="263" t="s">
        <v>160</v>
      </c>
      <c r="Y120" s="263" t="s">
        <v>160</v>
      </c>
      <c r="Z120" s="263" t="s">
        <v>160</v>
      </c>
      <c r="AA120" s="263" t="s">
        <v>160</v>
      </c>
      <c r="AB120" s="686" t="s">
        <v>160</v>
      </c>
      <c r="AC120" s="263" t="s">
        <v>160</v>
      </c>
      <c r="AD120" s="263" t="s">
        <v>160</v>
      </c>
      <c r="AE120" s="263" t="s">
        <v>160</v>
      </c>
      <c r="AF120" s="263" t="s">
        <v>160</v>
      </c>
      <c r="AG120" s="263" t="s">
        <v>160</v>
      </c>
      <c r="AH120" s="263" t="s">
        <v>160</v>
      </c>
      <c r="AI120" s="263" t="s">
        <v>160</v>
      </c>
      <c r="AJ120" s="263" t="s">
        <v>160</v>
      </c>
      <c r="AK120" s="263" t="s">
        <v>160</v>
      </c>
      <c r="AL120" s="263" t="s">
        <v>160</v>
      </c>
      <c r="AM120" s="263" t="s">
        <v>160</v>
      </c>
      <c r="AN120" s="263" t="s">
        <v>160</v>
      </c>
      <c r="AO120" s="263" t="s">
        <v>160</v>
      </c>
      <c r="AP120" s="263" t="s">
        <v>160</v>
      </c>
      <c r="AQ120" s="263" t="s">
        <v>160</v>
      </c>
      <c r="AR120" s="263" t="s">
        <v>160</v>
      </c>
      <c r="AS120" s="263" t="s">
        <v>160</v>
      </c>
      <c r="AT120" s="263">
        <v>34</v>
      </c>
      <c r="AU120" s="263">
        <v>34</v>
      </c>
      <c r="AV120" s="351">
        <v>34</v>
      </c>
      <c r="AW120" s="351">
        <v>34</v>
      </c>
      <c r="AX120" s="351">
        <v>34</v>
      </c>
      <c r="AY120" s="942">
        <v>23</v>
      </c>
      <c r="AZ120" s="596">
        <v>23</v>
      </c>
      <c r="BA120" s="596">
        <v>23</v>
      </c>
      <c r="BB120" s="596">
        <v>23</v>
      </c>
      <c r="BC120" s="596">
        <v>23</v>
      </c>
      <c r="BD120" s="596">
        <v>23</v>
      </c>
      <c r="BE120" s="596">
        <v>23</v>
      </c>
      <c r="BF120" s="590" t="s">
        <v>160</v>
      </c>
      <c r="BG120"/>
      <c r="BH120"/>
      <c r="BI120"/>
      <c r="BJ120"/>
      <c r="BK120"/>
      <c r="BL120"/>
      <c r="BM120"/>
      <c r="BN120"/>
      <c r="BO120"/>
      <c r="BP120"/>
      <c r="BQ120"/>
      <c r="BR120"/>
      <c r="BS120"/>
      <c r="BT120"/>
      <c r="BU120"/>
      <c r="BV120"/>
      <c r="BW120"/>
    </row>
    <row r="121" spans="1:117" x14ac:dyDescent="0.25">
      <c r="A121" s="261" t="s">
        <v>574</v>
      </c>
      <c r="B121" s="261" t="s">
        <v>574</v>
      </c>
      <c r="D121" s="117" t="str">
        <f>IF([1]RENAME!$H$3=1,B121,A121)</f>
        <v>SAFRA</v>
      </c>
      <c r="E121" s="263" t="s">
        <v>160</v>
      </c>
      <c r="F121" s="263" t="s">
        <v>160</v>
      </c>
      <c r="G121" s="263" t="s">
        <v>160</v>
      </c>
      <c r="H121" s="263" t="s">
        <v>160</v>
      </c>
      <c r="I121" s="263" t="s">
        <v>160</v>
      </c>
      <c r="J121" s="263" t="s">
        <v>160</v>
      </c>
      <c r="K121" s="263" t="s">
        <v>160</v>
      </c>
      <c r="L121" s="263" t="s">
        <v>160</v>
      </c>
      <c r="M121" s="263" t="s">
        <v>160</v>
      </c>
      <c r="N121" s="263" t="s">
        <v>160</v>
      </c>
      <c r="O121" s="263" t="s">
        <v>160</v>
      </c>
      <c r="P121" s="263" t="s">
        <v>160</v>
      </c>
      <c r="Q121" s="263" t="s">
        <v>160</v>
      </c>
      <c r="R121" s="263" t="s">
        <v>160</v>
      </c>
      <c r="S121" s="263" t="s">
        <v>160</v>
      </c>
      <c r="T121" s="263" t="s">
        <v>160</v>
      </c>
      <c r="U121" s="263" t="s">
        <v>160</v>
      </c>
      <c r="V121" s="263" t="s">
        <v>160</v>
      </c>
      <c r="W121" s="263" t="s">
        <v>160</v>
      </c>
      <c r="X121" s="263" t="s">
        <v>160</v>
      </c>
      <c r="Y121" s="686" t="s">
        <v>160</v>
      </c>
      <c r="Z121" s="686" t="s">
        <v>160</v>
      </c>
      <c r="AA121" s="686" t="s">
        <v>160</v>
      </c>
      <c r="AB121" s="686" t="s">
        <v>160</v>
      </c>
      <c r="AC121" s="686" t="s">
        <v>160</v>
      </c>
      <c r="AD121" s="686" t="s">
        <v>160</v>
      </c>
      <c r="AE121" s="686" t="s">
        <v>160</v>
      </c>
      <c r="AF121" s="686" t="s">
        <v>160</v>
      </c>
      <c r="AG121" s="686" t="s">
        <v>160</v>
      </c>
      <c r="AH121" s="686" t="s">
        <v>160</v>
      </c>
      <c r="AI121" s="686" t="s">
        <v>160</v>
      </c>
      <c r="AJ121" s="686" t="s">
        <v>160</v>
      </c>
      <c r="AK121" s="686" t="s">
        <v>160</v>
      </c>
      <c r="AL121" s="686" t="s">
        <v>160</v>
      </c>
      <c r="AM121" s="686" t="s">
        <v>160</v>
      </c>
      <c r="AN121" s="686" t="s">
        <v>160</v>
      </c>
      <c r="AO121" s="686" t="s">
        <v>160</v>
      </c>
      <c r="AP121" s="686" t="s">
        <v>160</v>
      </c>
      <c r="AQ121" s="686" t="s">
        <v>160</v>
      </c>
      <c r="AR121" s="686" t="s">
        <v>160</v>
      </c>
      <c r="AS121" s="686">
        <v>37.200000000000003</v>
      </c>
      <c r="AT121" s="686">
        <v>37.200000000000003</v>
      </c>
      <c r="AU121" s="686">
        <v>37.200000000000003</v>
      </c>
      <c r="AV121" s="596">
        <v>37.200000000000003</v>
      </c>
      <c r="AW121" s="596">
        <v>37.200000000000003</v>
      </c>
      <c r="AX121" s="596">
        <v>37.200000000000003</v>
      </c>
      <c r="AY121" s="844" t="s">
        <v>160</v>
      </c>
      <c r="AZ121" s="845" t="s">
        <v>160</v>
      </c>
      <c r="BA121" s="845" t="s">
        <v>160</v>
      </c>
      <c r="BB121" s="845" t="s">
        <v>160</v>
      </c>
      <c r="BC121" s="845" t="s">
        <v>160</v>
      </c>
      <c r="BD121" s="845" t="s">
        <v>160</v>
      </c>
      <c r="BE121" s="845" t="s">
        <v>160</v>
      </c>
      <c r="BF121" s="845" t="s">
        <v>160</v>
      </c>
      <c r="BG121"/>
      <c r="BH121"/>
      <c r="BI121"/>
      <c r="BJ121"/>
      <c r="BK121"/>
      <c r="BL121"/>
      <c r="BM121"/>
      <c r="BN121"/>
      <c r="BO121"/>
      <c r="BP121"/>
      <c r="BQ121"/>
      <c r="BR121"/>
      <c r="BS121"/>
      <c r="BT121"/>
      <c r="BU121"/>
      <c r="BV121"/>
      <c r="BW121"/>
    </row>
    <row r="122" spans="1:117" x14ac:dyDescent="0.25">
      <c r="A122" s="261" t="s">
        <v>547</v>
      </c>
      <c r="B122" s="261" t="s">
        <v>547</v>
      </c>
      <c r="D122" s="117" t="str">
        <f>IF([1]RENAME!$H$3=1,B122,A122)</f>
        <v>ITAÚ</v>
      </c>
      <c r="E122" s="263" t="s">
        <v>160</v>
      </c>
      <c r="F122" s="263" t="s">
        <v>160</v>
      </c>
      <c r="G122" s="263" t="s">
        <v>160</v>
      </c>
      <c r="H122" s="263" t="s">
        <v>160</v>
      </c>
      <c r="I122" s="263" t="s">
        <v>160</v>
      </c>
      <c r="J122" s="263" t="s">
        <v>160</v>
      </c>
      <c r="K122" s="263" t="s">
        <v>160</v>
      </c>
      <c r="L122" s="263" t="s">
        <v>160</v>
      </c>
      <c r="M122" s="263" t="s">
        <v>160</v>
      </c>
      <c r="N122" s="263" t="s">
        <v>160</v>
      </c>
      <c r="O122" s="263" t="s">
        <v>160</v>
      </c>
      <c r="P122" s="263" t="s">
        <v>160</v>
      </c>
      <c r="Q122" s="263" t="s">
        <v>160</v>
      </c>
      <c r="R122" s="263" t="s">
        <v>160</v>
      </c>
      <c r="S122" s="263" t="s">
        <v>160</v>
      </c>
      <c r="T122" s="263" t="s">
        <v>160</v>
      </c>
      <c r="U122" s="263" t="s">
        <v>160</v>
      </c>
      <c r="V122" s="263" t="s">
        <v>160</v>
      </c>
      <c r="W122" s="263" t="s">
        <v>160</v>
      </c>
      <c r="X122" s="686" t="s">
        <v>160</v>
      </c>
      <c r="Y122" s="686" t="s">
        <v>160</v>
      </c>
      <c r="Z122" s="686" t="s">
        <v>160</v>
      </c>
      <c r="AA122" s="686" t="s">
        <v>160</v>
      </c>
      <c r="AB122" s="686" t="s">
        <v>160</v>
      </c>
      <c r="AC122" s="686" t="s">
        <v>160</v>
      </c>
      <c r="AD122" s="686" t="s">
        <v>160</v>
      </c>
      <c r="AE122" s="686" t="s">
        <v>160</v>
      </c>
      <c r="AF122" s="686" t="s">
        <v>160</v>
      </c>
      <c r="AG122" s="686" t="s">
        <v>160</v>
      </c>
      <c r="AH122" s="686" t="s">
        <v>160</v>
      </c>
      <c r="AI122" s="686" t="s">
        <v>160</v>
      </c>
      <c r="AJ122" s="686" t="s">
        <v>160</v>
      </c>
      <c r="AK122" s="686" t="s">
        <v>160</v>
      </c>
      <c r="AL122" s="686" t="s">
        <v>160</v>
      </c>
      <c r="AM122" s="686" t="s">
        <v>160</v>
      </c>
      <c r="AN122" s="686" t="s">
        <v>160</v>
      </c>
      <c r="AO122" s="686" t="s">
        <v>160</v>
      </c>
      <c r="AP122" s="686" t="s">
        <v>160</v>
      </c>
      <c r="AQ122" s="686" t="s">
        <v>160</v>
      </c>
      <c r="AR122" s="686">
        <v>43</v>
      </c>
      <c r="AS122" s="686">
        <v>43</v>
      </c>
      <c r="AT122" s="686">
        <v>43</v>
      </c>
      <c r="AU122" s="686">
        <v>43</v>
      </c>
      <c r="AV122" s="596">
        <v>43</v>
      </c>
      <c r="AW122" s="596">
        <v>43</v>
      </c>
      <c r="AX122" s="596">
        <v>43</v>
      </c>
      <c r="AY122" s="844" t="s">
        <v>160</v>
      </c>
      <c r="AZ122" s="845" t="s">
        <v>160</v>
      </c>
      <c r="BA122" s="846">
        <v>30</v>
      </c>
      <c r="BB122" s="596">
        <v>30</v>
      </c>
      <c r="BC122" s="596">
        <v>30</v>
      </c>
      <c r="BD122" s="596">
        <v>30</v>
      </c>
      <c r="BE122" s="596">
        <v>30</v>
      </c>
      <c r="BF122" s="596">
        <v>30</v>
      </c>
      <c r="BG122"/>
      <c r="BH122"/>
      <c r="BI122"/>
      <c r="BJ122"/>
      <c r="BK122"/>
      <c r="BL122"/>
      <c r="BM122"/>
      <c r="BN122"/>
      <c r="BO122"/>
      <c r="BP122"/>
      <c r="BQ122"/>
      <c r="BR122"/>
      <c r="BS122"/>
      <c r="BT122"/>
      <c r="BU122"/>
      <c r="BV122"/>
      <c r="BW122"/>
    </row>
    <row r="123" spans="1:117" customFormat="1" ht="12.75" x14ac:dyDescent="0.2">
      <c r="A123" t="s">
        <v>557</v>
      </c>
      <c r="B123" t="s">
        <v>856</v>
      </c>
      <c r="D123" s="277" t="str">
        <f>IF([1]RENAME!$H$3=1,B123,A123)</f>
        <v>Média</v>
      </c>
      <c r="E123" s="278" t="str">
        <f t="shared" ref="E123:BF123" si="88">IFERROR(AVERAGE(E118:E122),"-")</f>
        <v>-</v>
      </c>
      <c r="F123" s="278" t="str">
        <f t="shared" si="88"/>
        <v>-</v>
      </c>
      <c r="G123" s="278" t="str">
        <f t="shared" si="88"/>
        <v>-</v>
      </c>
      <c r="H123" s="278" t="str">
        <f t="shared" si="88"/>
        <v>-</v>
      </c>
      <c r="I123" s="278" t="str">
        <f t="shared" si="88"/>
        <v>-</v>
      </c>
      <c r="J123" s="278" t="str">
        <f t="shared" si="88"/>
        <v>-</v>
      </c>
      <c r="K123" s="278" t="str">
        <f t="shared" si="88"/>
        <v>-</v>
      </c>
      <c r="L123" s="278" t="str">
        <f t="shared" si="88"/>
        <v>-</v>
      </c>
      <c r="M123" s="278" t="str">
        <f t="shared" si="88"/>
        <v>-</v>
      </c>
      <c r="N123" s="278" t="str">
        <f t="shared" si="88"/>
        <v>-</v>
      </c>
      <c r="O123" s="278" t="str">
        <f t="shared" si="88"/>
        <v>-</v>
      </c>
      <c r="P123" s="278" t="str">
        <f t="shared" si="88"/>
        <v>-</v>
      </c>
      <c r="Q123" s="278" t="str">
        <f t="shared" si="88"/>
        <v>-</v>
      </c>
      <c r="R123" s="278" t="str">
        <f t="shared" si="88"/>
        <v>-</v>
      </c>
      <c r="S123" s="278" t="str">
        <f t="shared" si="88"/>
        <v>-</v>
      </c>
      <c r="T123" s="345" t="str">
        <f t="shared" si="88"/>
        <v>-</v>
      </c>
      <c r="U123" s="345" t="str">
        <f t="shared" si="88"/>
        <v>-</v>
      </c>
      <c r="V123" s="345" t="str">
        <f t="shared" si="88"/>
        <v>-</v>
      </c>
      <c r="W123" s="345" t="str">
        <f t="shared" si="88"/>
        <v>-</v>
      </c>
      <c r="X123" s="345" t="str">
        <f t="shared" si="88"/>
        <v>-</v>
      </c>
      <c r="Y123" s="345" t="str">
        <f t="shared" si="88"/>
        <v>-</v>
      </c>
      <c r="Z123" s="345" t="str">
        <f t="shared" si="88"/>
        <v>-</v>
      </c>
      <c r="AA123" s="345" t="str">
        <f t="shared" si="88"/>
        <v>-</v>
      </c>
      <c r="AB123" s="345" t="str">
        <f t="shared" si="88"/>
        <v>-</v>
      </c>
      <c r="AC123" s="345" t="str">
        <f t="shared" si="88"/>
        <v>-</v>
      </c>
      <c r="AD123" s="345" t="str">
        <f t="shared" si="88"/>
        <v>-</v>
      </c>
      <c r="AE123" s="345" t="str">
        <f t="shared" si="88"/>
        <v>-</v>
      </c>
      <c r="AF123" s="345" t="str">
        <f t="shared" si="88"/>
        <v>-</v>
      </c>
      <c r="AG123" s="345" t="str">
        <f t="shared" si="88"/>
        <v>-</v>
      </c>
      <c r="AH123" s="345" t="str">
        <f t="shared" si="88"/>
        <v>-</v>
      </c>
      <c r="AI123" s="345" t="str">
        <f t="shared" si="88"/>
        <v>-</v>
      </c>
      <c r="AJ123" s="345" t="str">
        <f t="shared" si="88"/>
        <v>-</v>
      </c>
      <c r="AK123" s="345" t="str">
        <f t="shared" si="88"/>
        <v>-</v>
      </c>
      <c r="AL123" s="345" t="str">
        <f t="shared" si="88"/>
        <v>-</v>
      </c>
      <c r="AM123" s="345" t="str">
        <f t="shared" si="88"/>
        <v>-</v>
      </c>
      <c r="AN123" s="345" t="str">
        <f t="shared" si="88"/>
        <v>-</v>
      </c>
      <c r="AO123" s="345" t="str">
        <f t="shared" si="88"/>
        <v>-</v>
      </c>
      <c r="AP123" s="345" t="str">
        <f t="shared" si="88"/>
        <v>-</v>
      </c>
      <c r="AQ123" s="345" t="str">
        <f t="shared" si="88"/>
        <v>-</v>
      </c>
      <c r="AR123" s="345">
        <f t="shared" si="88"/>
        <v>43</v>
      </c>
      <c r="AS123" s="345">
        <f t="shared" si="88"/>
        <v>40.1</v>
      </c>
      <c r="AT123" s="345">
        <f t="shared" si="88"/>
        <v>38.06666666666667</v>
      </c>
      <c r="AU123" s="345">
        <f t="shared" si="88"/>
        <v>37.239999999999995</v>
      </c>
      <c r="AV123" s="814">
        <f t="shared" si="88"/>
        <v>37.239999999999995</v>
      </c>
      <c r="AW123" s="814">
        <f t="shared" si="88"/>
        <v>37.239999999999995</v>
      </c>
      <c r="AX123" s="814">
        <f t="shared" si="88"/>
        <v>37.239999999999995</v>
      </c>
      <c r="AY123" s="847">
        <f t="shared" si="88"/>
        <v>23</v>
      </c>
      <c r="AZ123" s="848">
        <f t="shared" si="88"/>
        <v>23</v>
      </c>
      <c r="BA123" s="848">
        <f t="shared" si="88"/>
        <v>26.833333333333332</v>
      </c>
      <c r="BB123" s="848">
        <f t="shared" si="88"/>
        <v>26.833333333333332</v>
      </c>
      <c r="BC123" s="848">
        <f t="shared" si="88"/>
        <v>26.833333333333332</v>
      </c>
      <c r="BD123" s="848">
        <f t="shared" si="88"/>
        <v>26.833333333333332</v>
      </c>
      <c r="BE123" s="848">
        <f t="shared" si="88"/>
        <v>26.833333333333332</v>
      </c>
      <c r="BF123" s="848">
        <f t="shared" si="88"/>
        <v>28.75</v>
      </c>
      <c r="DI123" s="1172"/>
      <c r="DJ123" s="1172"/>
      <c r="DK123" s="1172"/>
      <c r="DL123" s="1172"/>
      <c r="DM123" s="1172"/>
    </row>
    <row r="124" spans="1:117" x14ac:dyDescent="0.25">
      <c r="S124" s="338"/>
      <c r="T124" s="338"/>
      <c r="U124" s="338"/>
      <c r="V124" s="338"/>
      <c r="W124" s="338"/>
      <c r="X124" s="338"/>
      <c r="Y124" s="338"/>
      <c r="Z124" s="338"/>
      <c r="AA124" s="338"/>
      <c r="AB124" s="338"/>
      <c r="AC124" s="338"/>
      <c r="AD124" s="338"/>
      <c r="AE124" s="338"/>
      <c r="AF124" s="338"/>
      <c r="AG124" s="338"/>
      <c r="AH124" s="338"/>
      <c r="AI124" s="338"/>
      <c r="AJ124" s="338"/>
      <c r="AK124" s="338"/>
      <c r="AL124" s="338"/>
      <c r="AM124" s="338"/>
      <c r="AN124" s="338"/>
      <c r="AO124" s="338"/>
      <c r="AP124" s="338"/>
      <c r="AQ124" s="338"/>
      <c r="AR124" s="338"/>
      <c r="AS124" s="338"/>
      <c r="AT124" s="338"/>
      <c r="AU124" s="338"/>
      <c r="AV124" s="775"/>
      <c r="AX124" s="932"/>
    </row>
    <row r="125" spans="1:117" x14ac:dyDescent="0.25">
      <c r="A125" s="261" t="s">
        <v>1282</v>
      </c>
      <c r="B125" s="261" t="s">
        <v>1283</v>
      </c>
      <c r="D125" s="113" t="str">
        <f>IF([1]RENAME!$H$3=1,B125,A125)</f>
        <v>Receita líquida 2020</v>
      </c>
      <c r="E125" s="262">
        <f t="shared" ref="E125:AJ125" si="89">+E$208</f>
        <v>42522</v>
      </c>
      <c r="F125" s="262">
        <f t="shared" si="89"/>
        <v>42552</v>
      </c>
      <c r="G125" s="262">
        <f t="shared" si="89"/>
        <v>42583</v>
      </c>
      <c r="H125" s="262">
        <f t="shared" si="89"/>
        <v>42614</v>
      </c>
      <c r="I125" s="262">
        <f t="shared" si="89"/>
        <v>42644</v>
      </c>
      <c r="J125" s="262">
        <f t="shared" si="89"/>
        <v>42675</v>
      </c>
      <c r="K125" s="262">
        <f t="shared" si="89"/>
        <v>42705</v>
      </c>
      <c r="L125" s="262">
        <f t="shared" si="89"/>
        <v>42736</v>
      </c>
      <c r="M125" s="262">
        <f t="shared" si="89"/>
        <v>42767</v>
      </c>
      <c r="N125" s="262">
        <f t="shared" si="89"/>
        <v>42795</v>
      </c>
      <c r="O125" s="262">
        <f t="shared" si="89"/>
        <v>42826</v>
      </c>
      <c r="P125" s="262">
        <f t="shared" si="89"/>
        <v>42856</v>
      </c>
      <c r="Q125" s="262">
        <f t="shared" si="89"/>
        <v>42887</v>
      </c>
      <c r="R125" s="262">
        <f t="shared" si="89"/>
        <v>42917</v>
      </c>
      <c r="S125" s="262">
        <f t="shared" si="89"/>
        <v>42948</v>
      </c>
      <c r="T125" s="262">
        <f t="shared" si="89"/>
        <v>42979</v>
      </c>
      <c r="U125" s="262">
        <f t="shared" si="89"/>
        <v>43009</v>
      </c>
      <c r="V125" s="262">
        <f t="shared" si="89"/>
        <v>43040</v>
      </c>
      <c r="W125" s="262">
        <f t="shared" si="89"/>
        <v>43070</v>
      </c>
      <c r="X125" s="262">
        <f t="shared" si="89"/>
        <v>43101</v>
      </c>
      <c r="Y125" s="262">
        <f t="shared" si="89"/>
        <v>43132</v>
      </c>
      <c r="Z125" s="262">
        <f t="shared" si="89"/>
        <v>43160</v>
      </c>
      <c r="AA125" s="262">
        <f t="shared" si="89"/>
        <v>43191</v>
      </c>
      <c r="AB125" s="262">
        <f t="shared" si="89"/>
        <v>43221</v>
      </c>
      <c r="AC125" s="262">
        <f t="shared" si="89"/>
        <v>43252</v>
      </c>
      <c r="AD125" s="262">
        <f t="shared" si="89"/>
        <v>43283</v>
      </c>
      <c r="AE125" s="262">
        <f t="shared" si="89"/>
        <v>43314</v>
      </c>
      <c r="AF125" s="262">
        <f t="shared" si="89"/>
        <v>43345</v>
      </c>
      <c r="AG125" s="262">
        <f t="shared" si="89"/>
        <v>43376</v>
      </c>
      <c r="AH125" s="262">
        <f t="shared" si="89"/>
        <v>43407</v>
      </c>
      <c r="AI125" s="262">
        <f t="shared" si="89"/>
        <v>43437</v>
      </c>
      <c r="AJ125" s="262">
        <f t="shared" si="89"/>
        <v>43468</v>
      </c>
      <c r="AK125" s="262">
        <f t="shared" ref="AK125:BL125" si="90">+AK$208</f>
        <v>43499</v>
      </c>
      <c r="AL125" s="262">
        <f t="shared" si="90"/>
        <v>43527</v>
      </c>
      <c r="AM125" s="262">
        <f t="shared" si="90"/>
        <v>43558</v>
      </c>
      <c r="AN125" s="262">
        <f t="shared" si="90"/>
        <v>43587</v>
      </c>
      <c r="AO125" s="262">
        <f t="shared" si="90"/>
        <v>43618</v>
      </c>
      <c r="AP125" s="262">
        <f t="shared" si="90"/>
        <v>43647</v>
      </c>
      <c r="AQ125" s="262">
        <f t="shared" si="90"/>
        <v>43678</v>
      </c>
      <c r="AR125" s="262">
        <f t="shared" si="90"/>
        <v>43709</v>
      </c>
      <c r="AS125" s="262">
        <f t="shared" si="90"/>
        <v>43739</v>
      </c>
      <c r="AT125" s="262">
        <f t="shared" si="90"/>
        <v>43770</v>
      </c>
      <c r="AU125" s="262">
        <f t="shared" si="90"/>
        <v>43800</v>
      </c>
      <c r="AV125" s="262">
        <f t="shared" si="90"/>
        <v>43831</v>
      </c>
      <c r="AW125" s="262">
        <f t="shared" si="90"/>
        <v>43862</v>
      </c>
      <c r="AX125" s="933">
        <f t="shared" si="90"/>
        <v>43891</v>
      </c>
      <c r="AY125" s="262">
        <f t="shared" si="90"/>
        <v>43922</v>
      </c>
      <c r="AZ125" s="262">
        <f t="shared" si="90"/>
        <v>43952</v>
      </c>
      <c r="BA125" s="262">
        <f t="shared" si="90"/>
        <v>43983</v>
      </c>
      <c r="BB125" s="262">
        <f t="shared" si="90"/>
        <v>44013</v>
      </c>
      <c r="BC125" s="262">
        <f t="shared" si="90"/>
        <v>44044</v>
      </c>
      <c r="BD125" s="262">
        <f t="shared" si="90"/>
        <v>44075</v>
      </c>
      <c r="BE125" s="262">
        <f t="shared" si="90"/>
        <v>44105</v>
      </c>
      <c r="BF125" s="262">
        <f t="shared" si="90"/>
        <v>44136</v>
      </c>
      <c r="BG125" s="262">
        <f t="shared" si="90"/>
        <v>44166</v>
      </c>
      <c r="BH125" s="262">
        <f t="shared" si="90"/>
        <v>44197</v>
      </c>
      <c r="BI125" s="262">
        <f t="shared" si="90"/>
        <v>44228</v>
      </c>
      <c r="BJ125" s="262">
        <f t="shared" si="90"/>
        <v>44256</v>
      </c>
      <c r="BK125" s="262">
        <f t="shared" si="90"/>
        <v>44287</v>
      </c>
      <c r="BL125" s="262">
        <f t="shared" si="90"/>
        <v>44317</v>
      </c>
    </row>
    <row r="126" spans="1:117" x14ac:dyDescent="0.25">
      <c r="A126" s="261" t="s">
        <v>542</v>
      </c>
      <c r="B126" s="261" t="s">
        <v>542</v>
      </c>
      <c r="D126" s="117" t="str">
        <f>IF([1]RENAME!$H$3=1,B126,A126)</f>
        <v>SANTANDER</v>
      </c>
      <c r="E126" s="264" t="s">
        <v>160</v>
      </c>
      <c r="F126" s="264" t="s">
        <v>160</v>
      </c>
      <c r="G126" s="264" t="s">
        <v>160</v>
      </c>
      <c r="H126" s="264" t="s">
        <v>160</v>
      </c>
      <c r="I126" s="264" t="s">
        <v>160</v>
      </c>
      <c r="J126" s="264" t="s">
        <v>160</v>
      </c>
      <c r="K126" s="264" t="s">
        <v>160</v>
      </c>
      <c r="L126" s="336" t="s">
        <v>160</v>
      </c>
      <c r="M126" s="336" t="s">
        <v>160</v>
      </c>
      <c r="N126" s="591" t="s">
        <v>160</v>
      </c>
      <c r="O126" s="591" t="s">
        <v>160</v>
      </c>
      <c r="P126" s="591" t="s">
        <v>160</v>
      </c>
      <c r="Q126" s="591" t="s">
        <v>160</v>
      </c>
      <c r="R126" s="591" t="s">
        <v>160</v>
      </c>
      <c r="S126" s="591" t="s">
        <v>160</v>
      </c>
      <c r="T126" s="591" t="s">
        <v>160</v>
      </c>
      <c r="U126" s="591" t="s">
        <v>160</v>
      </c>
      <c r="V126" s="591" t="s">
        <v>160</v>
      </c>
      <c r="W126" s="591" t="s">
        <v>160</v>
      </c>
      <c r="X126" s="591" t="s">
        <v>160</v>
      </c>
      <c r="Y126" s="591" t="s">
        <v>160</v>
      </c>
      <c r="Z126" s="591" t="s">
        <v>160</v>
      </c>
      <c r="AA126" s="591" t="s">
        <v>160</v>
      </c>
      <c r="AB126" s="591" t="s">
        <v>160</v>
      </c>
      <c r="AC126" s="591" t="s">
        <v>160</v>
      </c>
      <c r="AD126" s="591" t="s">
        <v>160</v>
      </c>
      <c r="AE126" s="591" t="s">
        <v>160</v>
      </c>
      <c r="AF126" s="591" t="s">
        <v>160</v>
      </c>
      <c r="AG126" s="591" t="s">
        <v>160</v>
      </c>
      <c r="AH126" s="591" t="s">
        <v>160</v>
      </c>
      <c r="AI126" s="591">
        <v>1586</v>
      </c>
      <c r="AJ126" s="591">
        <v>1586</v>
      </c>
      <c r="AK126" s="591">
        <v>1586</v>
      </c>
      <c r="AL126" s="591">
        <v>1586</v>
      </c>
      <c r="AM126" s="591">
        <v>1586</v>
      </c>
      <c r="AN126" s="591">
        <v>1586</v>
      </c>
      <c r="AO126" s="591">
        <v>1586</v>
      </c>
      <c r="AP126" s="591">
        <v>1586</v>
      </c>
      <c r="AQ126" s="591">
        <v>1586</v>
      </c>
      <c r="AR126" s="591">
        <v>1586</v>
      </c>
      <c r="AS126" s="591">
        <v>1586</v>
      </c>
      <c r="AT126" s="591">
        <v>1586</v>
      </c>
      <c r="AU126" s="340">
        <v>1453</v>
      </c>
      <c r="AV126" s="591">
        <v>1453</v>
      </c>
      <c r="AW126" s="591">
        <v>1453</v>
      </c>
      <c r="AX126" s="935">
        <v>1453</v>
      </c>
      <c r="AY126" s="842" t="s">
        <v>160</v>
      </c>
      <c r="AZ126" s="842" t="s">
        <v>160</v>
      </c>
      <c r="BA126" s="340">
        <v>917</v>
      </c>
      <c r="BB126" s="591">
        <v>917</v>
      </c>
      <c r="BC126" s="591">
        <v>917</v>
      </c>
      <c r="BD126" s="591">
        <v>917</v>
      </c>
      <c r="BE126" s="591">
        <v>917</v>
      </c>
      <c r="BF126" s="591">
        <v>917</v>
      </c>
      <c r="BG126" s="341">
        <v>1020</v>
      </c>
      <c r="BH126" s="591">
        <v>1020</v>
      </c>
      <c r="BI126" s="591">
        <v>1020</v>
      </c>
      <c r="BJ126" s="591">
        <v>1020</v>
      </c>
      <c r="BK126" s="591">
        <v>1020</v>
      </c>
      <c r="BL126" s="591">
        <v>1020</v>
      </c>
    </row>
    <row r="127" spans="1:117" x14ac:dyDescent="0.25">
      <c r="A127" s="261" t="s">
        <v>545</v>
      </c>
      <c r="B127" s="261" t="s">
        <v>545</v>
      </c>
      <c r="D127" s="117" t="str">
        <f>IF([1]RENAME!$H$3=1,B127,A127)</f>
        <v>BAML</v>
      </c>
      <c r="E127" s="264" t="s">
        <v>160</v>
      </c>
      <c r="F127" s="264" t="s">
        <v>160</v>
      </c>
      <c r="G127" s="264" t="s">
        <v>160</v>
      </c>
      <c r="H127" s="264" t="s">
        <v>160</v>
      </c>
      <c r="I127" s="264" t="s">
        <v>160</v>
      </c>
      <c r="J127" s="264" t="s">
        <v>160</v>
      </c>
      <c r="K127" s="264" t="s">
        <v>160</v>
      </c>
      <c r="L127" s="336" t="s">
        <v>160</v>
      </c>
      <c r="M127" s="336" t="s">
        <v>160</v>
      </c>
      <c r="N127" s="591" t="s">
        <v>160</v>
      </c>
      <c r="O127" s="591" t="s">
        <v>160</v>
      </c>
      <c r="P127" s="591" t="s">
        <v>160</v>
      </c>
      <c r="Q127" s="591" t="s">
        <v>160</v>
      </c>
      <c r="R127" s="591" t="s">
        <v>160</v>
      </c>
      <c r="S127" s="591" t="s">
        <v>160</v>
      </c>
      <c r="T127" s="591" t="s">
        <v>160</v>
      </c>
      <c r="U127" s="591" t="s">
        <v>160</v>
      </c>
      <c r="V127" s="591" t="s">
        <v>160</v>
      </c>
      <c r="W127" s="591" t="s">
        <v>160</v>
      </c>
      <c r="X127" s="591" t="s">
        <v>160</v>
      </c>
      <c r="Y127" s="591">
        <v>1431</v>
      </c>
      <c r="Z127" s="591">
        <v>1431</v>
      </c>
      <c r="AA127" s="591">
        <v>1431</v>
      </c>
      <c r="AB127" s="591">
        <v>1476</v>
      </c>
      <c r="AC127" s="591">
        <v>1476</v>
      </c>
      <c r="AD127" s="591">
        <v>1476</v>
      </c>
      <c r="AE127" s="591">
        <v>1476</v>
      </c>
      <c r="AF127" s="591">
        <v>1476</v>
      </c>
      <c r="AG127" s="591">
        <v>1476</v>
      </c>
      <c r="AH127" s="690">
        <v>1526</v>
      </c>
      <c r="AI127" s="591">
        <v>1526</v>
      </c>
      <c r="AJ127" s="591">
        <v>1526</v>
      </c>
      <c r="AK127" s="591">
        <v>1526</v>
      </c>
      <c r="AL127" s="690">
        <v>1578</v>
      </c>
      <c r="AM127" s="591">
        <v>1578</v>
      </c>
      <c r="AN127" s="690">
        <v>1616</v>
      </c>
      <c r="AO127" s="591">
        <v>1616</v>
      </c>
      <c r="AP127" s="591">
        <v>1616</v>
      </c>
      <c r="AQ127" s="591">
        <v>1616</v>
      </c>
      <c r="AR127" s="591">
        <v>1616</v>
      </c>
      <c r="AS127" s="591">
        <v>1616</v>
      </c>
      <c r="AT127" s="591">
        <v>1616</v>
      </c>
      <c r="AU127" s="340">
        <v>1535</v>
      </c>
      <c r="AV127" s="591">
        <v>1535</v>
      </c>
      <c r="AW127" s="591">
        <v>1535</v>
      </c>
      <c r="AX127" s="935">
        <v>1535</v>
      </c>
      <c r="AY127" s="842" t="s">
        <v>160</v>
      </c>
      <c r="AZ127" s="842" t="s">
        <v>160</v>
      </c>
      <c r="BA127" s="842" t="s">
        <v>160</v>
      </c>
      <c r="BB127" s="842" t="s">
        <v>160</v>
      </c>
      <c r="BC127" s="842" t="s">
        <v>160</v>
      </c>
      <c r="BD127" s="842" t="s">
        <v>160</v>
      </c>
      <c r="BE127" s="842" t="s">
        <v>160</v>
      </c>
      <c r="BF127" s="842" t="s">
        <v>160</v>
      </c>
      <c r="BG127" s="842" t="s">
        <v>160</v>
      </c>
      <c r="BH127" s="591" t="s">
        <v>160</v>
      </c>
      <c r="BI127" s="591" t="s">
        <v>160</v>
      </c>
      <c r="BJ127" s="591" t="s">
        <v>160</v>
      </c>
      <c r="BK127" s="591" t="s">
        <v>160</v>
      </c>
      <c r="BL127" s="591" t="s">
        <v>160</v>
      </c>
    </row>
    <row r="128" spans="1:117" x14ac:dyDescent="0.25">
      <c r="A128" s="261" t="s">
        <v>546</v>
      </c>
      <c r="B128" s="261" t="s">
        <v>546</v>
      </c>
      <c r="D128" s="117" t="str">
        <f>IF([1]RENAME!$H$3=1,B128,A128)</f>
        <v>BTG PACTUAL</v>
      </c>
      <c r="E128" s="264" t="s">
        <v>160</v>
      </c>
      <c r="F128" s="264" t="s">
        <v>160</v>
      </c>
      <c r="G128" s="264" t="s">
        <v>160</v>
      </c>
      <c r="H128" s="264" t="s">
        <v>160</v>
      </c>
      <c r="I128" s="264" t="s">
        <v>160</v>
      </c>
      <c r="J128" s="264" t="s">
        <v>160</v>
      </c>
      <c r="K128" s="264" t="s">
        <v>160</v>
      </c>
      <c r="L128" s="336" t="s">
        <v>160</v>
      </c>
      <c r="M128" s="336" t="s">
        <v>160</v>
      </c>
      <c r="N128" s="591" t="s">
        <v>160</v>
      </c>
      <c r="O128" s="591" t="s">
        <v>160</v>
      </c>
      <c r="P128" s="591" t="s">
        <v>160</v>
      </c>
      <c r="Q128" s="591" t="s">
        <v>160</v>
      </c>
      <c r="R128" s="591" t="s">
        <v>160</v>
      </c>
      <c r="S128" s="591" t="s">
        <v>160</v>
      </c>
      <c r="T128" s="591" t="s">
        <v>160</v>
      </c>
      <c r="U128" s="591" t="s">
        <v>160</v>
      </c>
      <c r="V128" s="591" t="s">
        <v>160</v>
      </c>
      <c r="W128" s="591" t="s">
        <v>160</v>
      </c>
      <c r="X128" s="591" t="s">
        <v>160</v>
      </c>
      <c r="Y128" s="591" t="s">
        <v>160</v>
      </c>
      <c r="Z128" s="591" t="s">
        <v>160</v>
      </c>
      <c r="AA128" s="591" t="s">
        <v>160</v>
      </c>
      <c r="AB128" s="591" t="s">
        <v>160</v>
      </c>
      <c r="AC128" s="591" t="s">
        <v>160</v>
      </c>
      <c r="AD128" s="591" t="s">
        <v>160</v>
      </c>
      <c r="AE128" s="591">
        <v>1642</v>
      </c>
      <c r="AF128" s="591">
        <v>1642</v>
      </c>
      <c r="AG128" s="591">
        <v>1642</v>
      </c>
      <c r="AH128" s="340">
        <v>1634</v>
      </c>
      <c r="AI128" s="591">
        <v>1634</v>
      </c>
      <c r="AJ128" s="591">
        <v>1634</v>
      </c>
      <c r="AK128" s="591">
        <v>1634</v>
      </c>
      <c r="AL128" s="340">
        <v>1625</v>
      </c>
      <c r="AM128" s="591">
        <v>1625</v>
      </c>
      <c r="AN128" s="591">
        <v>1625</v>
      </c>
      <c r="AO128" s="591">
        <v>1625</v>
      </c>
      <c r="AP128" s="591">
        <v>1625</v>
      </c>
      <c r="AQ128" s="591">
        <v>1625</v>
      </c>
      <c r="AR128" s="591">
        <v>1625</v>
      </c>
      <c r="AS128" s="591">
        <v>1625</v>
      </c>
      <c r="AT128" s="591">
        <v>1625</v>
      </c>
      <c r="AU128" s="591">
        <v>1625</v>
      </c>
      <c r="AV128" s="591">
        <v>1625</v>
      </c>
      <c r="AW128" s="591">
        <v>1625</v>
      </c>
      <c r="AX128" s="935">
        <v>1625</v>
      </c>
      <c r="AY128" s="340">
        <v>1083.705995360719</v>
      </c>
      <c r="AZ128" s="591">
        <v>1083.705995360719</v>
      </c>
      <c r="BA128" s="591">
        <v>1083.705995360719</v>
      </c>
      <c r="BB128" s="591">
        <v>1083.705995360719</v>
      </c>
      <c r="BC128" s="591">
        <v>1083.705995360719</v>
      </c>
      <c r="BD128" s="591">
        <v>1083.705995360719</v>
      </c>
      <c r="BE128" s="591">
        <v>1083.705995360719</v>
      </c>
      <c r="BF128" s="341">
        <v>1087</v>
      </c>
      <c r="BG128" s="591">
        <v>1087</v>
      </c>
      <c r="BH128" s="591">
        <v>1087</v>
      </c>
      <c r="BI128" s="591">
        <v>1087</v>
      </c>
      <c r="BJ128" s="591">
        <v>1087</v>
      </c>
      <c r="BK128" s="591">
        <v>1087</v>
      </c>
      <c r="BL128" s="591">
        <v>1087</v>
      </c>
    </row>
    <row r="129" spans="1:117" x14ac:dyDescent="0.25">
      <c r="A129" s="261" t="s">
        <v>574</v>
      </c>
      <c r="B129" s="261" t="s">
        <v>574</v>
      </c>
      <c r="D129" s="117" t="str">
        <f>IF([1]RENAME!$H$3=1,B129,A129)</f>
        <v>SAFRA</v>
      </c>
      <c r="E129" s="263" t="s">
        <v>160</v>
      </c>
      <c r="F129" s="263" t="s">
        <v>160</v>
      </c>
      <c r="G129" s="263" t="s">
        <v>160</v>
      </c>
      <c r="H129" s="263" t="s">
        <v>160</v>
      </c>
      <c r="I129" s="263" t="s">
        <v>160</v>
      </c>
      <c r="J129" s="263" t="s">
        <v>160</v>
      </c>
      <c r="K129" s="263" t="s">
        <v>160</v>
      </c>
      <c r="L129" s="336" t="s">
        <v>160</v>
      </c>
      <c r="M129" s="336" t="s">
        <v>160</v>
      </c>
      <c r="N129" s="591" t="s">
        <v>160</v>
      </c>
      <c r="O129" s="591" t="s">
        <v>160</v>
      </c>
      <c r="P129" s="591" t="s">
        <v>160</v>
      </c>
      <c r="Q129" s="591" t="s">
        <v>160</v>
      </c>
      <c r="R129" s="591" t="s">
        <v>160</v>
      </c>
      <c r="S129" s="591" t="s">
        <v>160</v>
      </c>
      <c r="T129" s="591" t="s">
        <v>160</v>
      </c>
      <c r="U129" s="591" t="s">
        <v>160</v>
      </c>
      <c r="V129" s="591" t="s">
        <v>160</v>
      </c>
      <c r="W129" s="591" t="s">
        <v>160</v>
      </c>
      <c r="X129" s="591" t="s">
        <v>160</v>
      </c>
      <c r="Y129" s="591" t="s">
        <v>160</v>
      </c>
      <c r="Z129" s="591" t="s">
        <v>160</v>
      </c>
      <c r="AA129" s="591" t="s">
        <v>160</v>
      </c>
      <c r="AB129" s="591" t="s">
        <v>160</v>
      </c>
      <c r="AC129" s="591" t="s">
        <v>160</v>
      </c>
      <c r="AD129" s="591" t="s">
        <v>160</v>
      </c>
      <c r="AE129" s="591" t="s">
        <v>160</v>
      </c>
      <c r="AF129" s="591" t="s">
        <v>160</v>
      </c>
      <c r="AG129" s="591" t="s">
        <v>160</v>
      </c>
      <c r="AH129" s="591" t="s">
        <v>160</v>
      </c>
      <c r="AI129" s="591" t="s">
        <v>160</v>
      </c>
      <c r="AJ129" s="591" t="s">
        <v>160</v>
      </c>
      <c r="AK129" s="591" t="s">
        <v>160</v>
      </c>
      <c r="AL129" s="591" t="s">
        <v>160</v>
      </c>
      <c r="AM129" s="591">
        <v>1565.2</v>
      </c>
      <c r="AN129" s="591">
        <v>1565.2</v>
      </c>
      <c r="AO129" s="591">
        <v>1565.2</v>
      </c>
      <c r="AP129" s="591" t="s">
        <v>160</v>
      </c>
      <c r="AQ129" s="591" t="s">
        <v>160</v>
      </c>
      <c r="AR129" s="591" t="s">
        <v>160</v>
      </c>
      <c r="AS129" s="591">
        <v>1574</v>
      </c>
      <c r="AT129" s="591">
        <v>1574</v>
      </c>
      <c r="AU129" s="591">
        <v>1574</v>
      </c>
      <c r="AV129" s="591">
        <v>1574</v>
      </c>
      <c r="AW129" s="591">
        <v>1574</v>
      </c>
      <c r="AX129" s="935">
        <v>1574</v>
      </c>
      <c r="AY129" s="842" t="s">
        <v>160</v>
      </c>
      <c r="AZ129" s="842" t="s">
        <v>160</v>
      </c>
      <c r="BA129" s="842" t="s">
        <v>160</v>
      </c>
      <c r="BB129" s="842" t="s">
        <v>160</v>
      </c>
      <c r="BC129" s="842" t="s">
        <v>160</v>
      </c>
      <c r="BD129" s="842" t="s">
        <v>160</v>
      </c>
      <c r="BE129" s="591">
        <v>1020</v>
      </c>
      <c r="BF129" s="591">
        <v>1020</v>
      </c>
      <c r="BG129" s="591">
        <v>1020</v>
      </c>
      <c r="BH129" s="591">
        <v>1020</v>
      </c>
      <c r="BI129" s="591">
        <v>1020</v>
      </c>
      <c r="BJ129" s="591">
        <v>1020</v>
      </c>
      <c r="BK129" s="591">
        <v>1020</v>
      </c>
      <c r="BL129" s="591">
        <v>1020</v>
      </c>
    </row>
    <row r="130" spans="1:117" x14ac:dyDescent="0.25">
      <c r="A130" s="261" t="s">
        <v>547</v>
      </c>
      <c r="B130" s="261" t="s">
        <v>547</v>
      </c>
      <c r="D130" s="117" t="str">
        <f>IF([1]RENAME!$H$3=1,B130,A130)</f>
        <v>ITAÚ</v>
      </c>
      <c r="E130" s="264" t="s">
        <v>160</v>
      </c>
      <c r="F130" s="264" t="s">
        <v>160</v>
      </c>
      <c r="G130" s="264" t="s">
        <v>160</v>
      </c>
      <c r="H130" s="264" t="s">
        <v>160</v>
      </c>
      <c r="I130" s="264" t="s">
        <v>160</v>
      </c>
      <c r="J130" s="264" t="s">
        <v>160</v>
      </c>
      <c r="K130" s="264" t="s">
        <v>160</v>
      </c>
      <c r="L130" s="336" t="s">
        <v>160</v>
      </c>
      <c r="M130" s="336" t="s">
        <v>160</v>
      </c>
      <c r="N130" s="591" t="s">
        <v>160</v>
      </c>
      <c r="O130" s="591" t="s">
        <v>160</v>
      </c>
      <c r="P130" s="591" t="s">
        <v>160</v>
      </c>
      <c r="Q130" s="591" t="s">
        <v>160</v>
      </c>
      <c r="R130" s="591" t="s">
        <v>160</v>
      </c>
      <c r="S130" s="591" t="s">
        <v>160</v>
      </c>
      <c r="T130" s="591" t="s">
        <v>160</v>
      </c>
      <c r="U130" s="591" t="s">
        <v>160</v>
      </c>
      <c r="V130" s="591" t="s">
        <v>160</v>
      </c>
      <c r="W130" s="591" t="s">
        <v>160</v>
      </c>
      <c r="X130" s="591">
        <v>1456</v>
      </c>
      <c r="Y130" s="591">
        <v>1456</v>
      </c>
      <c r="Z130" s="591">
        <v>1456</v>
      </c>
      <c r="AA130" s="591">
        <v>1456</v>
      </c>
      <c r="AB130" s="591">
        <v>1456</v>
      </c>
      <c r="AC130" s="591">
        <v>1456</v>
      </c>
      <c r="AD130" s="591">
        <v>1456</v>
      </c>
      <c r="AE130" s="591">
        <v>1456</v>
      </c>
      <c r="AF130" s="341">
        <v>1491</v>
      </c>
      <c r="AG130" s="591">
        <v>1456</v>
      </c>
      <c r="AH130" s="591">
        <v>1456</v>
      </c>
      <c r="AI130" s="591">
        <v>1456</v>
      </c>
      <c r="AJ130" s="591">
        <v>1456</v>
      </c>
      <c r="AK130" s="591" t="s">
        <v>160</v>
      </c>
      <c r="AL130" s="591" t="s">
        <v>160</v>
      </c>
      <c r="AM130" s="591" t="s">
        <v>160</v>
      </c>
      <c r="AN130" s="591" t="s">
        <v>160</v>
      </c>
      <c r="AO130" s="591" t="s">
        <v>160</v>
      </c>
      <c r="AP130" s="591" t="s">
        <v>160</v>
      </c>
      <c r="AQ130" s="591" t="s">
        <v>160</v>
      </c>
      <c r="AR130" s="591">
        <v>1524</v>
      </c>
      <c r="AS130" s="591">
        <v>1524</v>
      </c>
      <c r="AT130" s="591">
        <v>1524</v>
      </c>
      <c r="AU130" s="591">
        <v>1524</v>
      </c>
      <c r="AV130" s="591">
        <v>1524</v>
      </c>
      <c r="AW130" s="591">
        <v>1524</v>
      </c>
      <c r="AX130" s="935">
        <v>1524</v>
      </c>
      <c r="AY130" s="842" t="s">
        <v>160</v>
      </c>
      <c r="AZ130" s="842" t="s">
        <v>160</v>
      </c>
      <c r="BA130" s="340">
        <v>909</v>
      </c>
      <c r="BB130" s="591">
        <v>909</v>
      </c>
      <c r="BC130" s="591">
        <v>909</v>
      </c>
      <c r="BD130" s="591">
        <v>909</v>
      </c>
      <c r="BE130" s="591">
        <v>909</v>
      </c>
      <c r="BF130" s="591">
        <v>909</v>
      </c>
      <c r="BG130" s="341">
        <v>1049</v>
      </c>
      <c r="BH130" s="591">
        <v>1049</v>
      </c>
      <c r="BI130" s="591">
        <v>1049</v>
      </c>
      <c r="BJ130" s="591">
        <v>1049</v>
      </c>
      <c r="BK130" s="591">
        <v>1049</v>
      </c>
      <c r="BL130" s="591">
        <v>1049</v>
      </c>
    </row>
    <row r="131" spans="1:117" x14ac:dyDescent="0.25">
      <c r="A131" t="s">
        <v>557</v>
      </c>
      <c r="B131" t="s">
        <v>856</v>
      </c>
      <c r="C131"/>
      <c r="D131" s="277" t="str">
        <f>IF([1]RENAME!$H$3=1,B131,A131)</f>
        <v>Média</v>
      </c>
      <c r="E131" s="326" t="str">
        <f t="shared" ref="E131:Z131" si="91">IFERROR(AVERAGE(E126:E130),"-")</f>
        <v>-</v>
      </c>
      <c r="F131" s="326" t="str">
        <f t="shared" si="91"/>
        <v>-</v>
      </c>
      <c r="G131" s="326" t="str">
        <f t="shared" si="91"/>
        <v>-</v>
      </c>
      <c r="H131" s="326" t="str">
        <f t="shared" si="91"/>
        <v>-</v>
      </c>
      <c r="I131" s="326" t="str">
        <f t="shared" si="91"/>
        <v>-</v>
      </c>
      <c r="J131" s="326" t="str">
        <f t="shared" si="91"/>
        <v>-</v>
      </c>
      <c r="K131" s="326" t="str">
        <f t="shared" si="91"/>
        <v>-</v>
      </c>
      <c r="L131" s="337" t="str">
        <f t="shared" si="91"/>
        <v>-</v>
      </c>
      <c r="M131" s="337" t="str">
        <f t="shared" si="91"/>
        <v>-</v>
      </c>
      <c r="N131" s="337" t="str">
        <f t="shared" si="91"/>
        <v>-</v>
      </c>
      <c r="O131" s="337" t="str">
        <f t="shared" si="91"/>
        <v>-</v>
      </c>
      <c r="P131" s="337" t="str">
        <f t="shared" si="91"/>
        <v>-</v>
      </c>
      <c r="Q131" s="337" t="str">
        <f t="shared" si="91"/>
        <v>-</v>
      </c>
      <c r="R131" s="337" t="str">
        <f t="shared" si="91"/>
        <v>-</v>
      </c>
      <c r="S131" s="337" t="str">
        <f t="shared" si="91"/>
        <v>-</v>
      </c>
      <c r="T131" s="347" t="str">
        <f t="shared" si="91"/>
        <v>-</v>
      </c>
      <c r="U131" s="347" t="str">
        <f t="shared" si="91"/>
        <v>-</v>
      </c>
      <c r="V131" s="347" t="str">
        <f t="shared" si="91"/>
        <v>-</v>
      </c>
      <c r="W131" s="347" t="str">
        <f t="shared" si="91"/>
        <v>-</v>
      </c>
      <c r="X131" s="347">
        <f t="shared" si="91"/>
        <v>1456</v>
      </c>
      <c r="Y131" s="347">
        <f t="shared" si="91"/>
        <v>1443.5</v>
      </c>
      <c r="Z131" s="347">
        <f t="shared" si="91"/>
        <v>1443.5</v>
      </c>
      <c r="AA131" s="347">
        <f t="shared" ref="AA131:AH131" si="92">IFERROR(AVERAGE(AA126:AA130),"-")</f>
        <v>1443.5</v>
      </c>
      <c r="AB131" s="347">
        <f t="shared" si="92"/>
        <v>1466</v>
      </c>
      <c r="AC131" s="347">
        <f t="shared" si="92"/>
        <v>1466</v>
      </c>
      <c r="AD131" s="347">
        <f t="shared" si="92"/>
        <v>1466</v>
      </c>
      <c r="AE131" s="347">
        <f t="shared" si="92"/>
        <v>1524.6666666666667</v>
      </c>
      <c r="AF131" s="347">
        <f t="shared" si="92"/>
        <v>1536.3333333333333</v>
      </c>
      <c r="AG131" s="347">
        <f t="shared" si="92"/>
        <v>1524.6666666666667</v>
      </c>
      <c r="AH131" s="347">
        <f t="shared" si="92"/>
        <v>1538.6666666666667</v>
      </c>
      <c r="AI131" s="347">
        <f t="shared" ref="AI131:AN131" si="93">IFERROR(AVERAGE(AI126:AI130),"-")</f>
        <v>1550.5</v>
      </c>
      <c r="AJ131" s="347">
        <f t="shared" si="93"/>
        <v>1550.5</v>
      </c>
      <c r="AK131" s="347">
        <f t="shared" si="93"/>
        <v>1582</v>
      </c>
      <c r="AL131" s="347">
        <f t="shared" si="93"/>
        <v>1596.3333333333333</v>
      </c>
      <c r="AM131" s="347">
        <f t="shared" si="93"/>
        <v>1588.55</v>
      </c>
      <c r="AN131" s="347">
        <f t="shared" si="93"/>
        <v>1598.05</v>
      </c>
      <c r="AO131" s="347">
        <f t="shared" ref="AO131:AT131" si="94">IFERROR(AVERAGE(AO126:AO130),"-")</f>
        <v>1598.05</v>
      </c>
      <c r="AP131" s="347">
        <f t="shared" si="94"/>
        <v>1609</v>
      </c>
      <c r="AQ131" s="347">
        <f t="shared" si="94"/>
        <v>1609</v>
      </c>
      <c r="AR131" s="347">
        <f t="shared" si="94"/>
        <v>1587.75</v>
      </c>
      <c r="AS131" s="347">
        <f t="shared" si="94"/>
        <v>1585</v>
      </c>
      <c r="AT131" s="347">
        <f t="shared" si="94"/>
        <v>1585</v>
      </c>
      <c r="AU131" s="347">
        <f t="shared" ref="AU131:BB131" si="95">IFERROR(AVERAGE(AU126:AU130),"-")</f>
        <v>1542.2</v>
      </c>
      <c r="AV131" s="816">
        <f t="shared" si="95"/>
        <v>1542.2</v>
      </c>
      <c r="AW131" s="816">
        <f t="shared" si="95"/>
        <v>1542.2</v>
      </c>
      <c r="AX131" s="936">
        <f>IFERROR(AVERAGE(AX126:AX130),"-")</f>
        <v>1542.2</v>
      </c>
      <c r="AY131" s="948">
        <f t="shared" si="95"/>
        <v>1083.705995360719</v>
      </c>
      <c r="AZ131" s="816">
        <f t="shared" si="95"/>
        <v>1083.705995360719</v>
      </c>
      <c r="BA131" s="645">
        <f t="shared" si="95"/>
        <v>969.90199845357301</v>
      </c>
      <c r="BB131" s="645">
        <f t="shared" si="95"/>
        <v>969.90199845357301</v>
      </c>
      <c r="BC131" s="645">
        <f t="shared" ref="BC131:BH131" si="96">IFERROR(AVERAGE(BC126:BC130),"-")</f>
        <v>969.90199845357301</v>
      </c>
      <c r="BD131" s="645">
        <f t="shared" si="96"/>
        <v>969.90199845357301</v>
      </c>
      <c r="BE131" s="645">
        <f t="shared" si="96"/>
        <v>982.42649884017976</v>
      </c>
      <c r="BF131" s="645">
        <f t="shared" si="96"/>
        <v>983.25</v>
      </c>
      <c r="BG131" s="816">
        <f t="shared" si="96"/>
        <v>1044</v>
      </c>
      <c r="BH131" s="816">
        <f t="shared" si="96"/>
        <v>1044</v>
      </c>
      <c r="BI131" s="816">
        <f>IFERROR(AVERAGE(BI126:BI130),"-")</f>
        <v>1044</v>
      </c>
      <c r="BJ131" s="816">
        <f>IFERROR(AVERAGE(BJ126:BJ130),"-")</f>
        <v>1044</v>
      </c>
      <c r="BK131" s="816">
        <f>IFERROR(AVERAGE(BK126:BK130),"-")</f>
        <v>1044</v>
      </c>
      <c r="BL131" s="816">
        <f>IFERROR(AVERAGE(BL126:BL130),"-")</f>
        <v>1044</v>
      </c>
    </row>
    <row r="132" spans="1:117" customFormat="1" x14ac:dyDescent="0.25">
      <c r="A132" s="261"/>
      <c r="B132" s="261"/>
      <c r="C132" s="261"/>
      <c r="D132" s="261"/>
      <c r="E132" s="261"/>
      <c r="F132" s="261"/>
      <c r="G132" s="261"/>
      <c r="H132" s="261"/>
      <c r="I132" s="261"/>
      <c r="J132" s="261"/>
      <c r="K132" s="261"/>
      <c r="L132" s="261"/>
      <c r="M132" s="261"/>
      <c r="N132" s="261"/>
      <c r="O132" s="261"/>
      <c r="P132" s="261"/>
      <c r="Q132" s="261"/>
      <c r="R132" s="261"/>
      <c r="S132" s="339"/>
      <c r="T132" s="339"/>
      <c r="U132" s="339"/>
      <c r="V132" s="339"/>
      <c r="W132" s="339"/>
      <c r="X132" s="339"/>
      <c r="Y132" s="339"/>
      <c r="Z132" s="339"/>
      <c r="AA132" s="339"/>
      <c r="AB132" s="339"/>
      <c r="AC132" s="339"/>
      <c r="AD132" s="339"/>
      <c r="AE132" s="339"/>
      <c r="AF132" s="339"/>
      <c r="AG132" s="339"/>
      <c r="AH132" s="339"/>
      <c r="AI132" s="339"/>
      <c r="AJ132" s="339"/>
      <c r="AK132" s="339"/>
      <c r="AL132" s="339"/>
      <c r="AM132" s="339"/>
      <c r="AN132" s="339"/>
      <c r="AO132" s="339"/>
      <c r="AP132" s="339"/>
      <c r="AQ132" s="339"/>
      <c r="AR132" s="339"/>
      <c r="AS132" s="339"/>
      <c r="AT132" s="339"/>
      <c r="AU132" s="339"/>
      <c r="AX132" s="937"/>
      <c r="DI132" s="1172"/>
      <c r="DJ132" s="1172"/>
      <c r="DK132" s="1172"/>
      <c r="DL132" s="1172"/>
      <c r="DM132" s="1172"/>
    </row>
    <row r="133" spans="1:117" customFormat="1" x14ac:dyDescent="0.25">
      <c r="A133" s="261" t="s">
        <v>1284</v>
      </c>
      <c r="B133" s="261" t="s">
        <v>1285</v>
      </c>
      <c r="C133" s="261"/>
      <c r="D133" s="113" t="str">
        <f>IF([1]RENAME!$H$3=1,B133,A133)</f>
        <v>EBITDA 2020</v>
      </c>
      <c r="E133" s="262">
        <f t="shared" ref="E133:AJ133" si="97">+E$208</f>
        <v>42522</v>
      </c>
      <c r="F133" s="262">
        <f t="shared" si="97"/>
        <v>42552</v>
      </c>
      <c r="G133" s="262">
        <f t="shared" si="97"/>
        <v>42583</v>
      </c>
      <c r="H133" s="262">
        <f t="shared" si="97"/>
        <v>42614</v>
      </c>
      <c r="I133" s="262">
        <f t="shared" si="97"/>
        <v>42644</v>
      </c>
      <c r="J133" s="262">
        <f t="shared" si="97"/>
        <v>42675</v>
      </c>
      <c r="K133" s="262">
        <f t="shared" si="97"/>
        <v>42705</v>
      </c>
      <c r="L133" s="262">
        <f t="shared" si="97"/>
        <v>42736</v>
      </c>
      <c r="M133" s="262">
        <f t="shared" si="97"/>
        <v>42767</v>
      </c>
      <c r="N133" s="262">
        <f t="shared" si="97"/>
        <v>42795</v>
      </c>
      <c r="O133" s="262">
        <f t="shared" si="97"/>
        <v>42826</v>
      </c>
      <c r="P133" s="262">
        <f t="shared" si="97"/>
        <v>42856</v>
      </c>
      <c r="Q133" s="262">
        <f t="shared" si="97"/>
        <v>42887</v>
      </c>
      <c r="R133" s="262">
        <f t="shared" si="97"/>
        <v>42917</v>
      </c>
      <c r="S133" s="262">
        <f t="shared" si="97"/>
        <v>42948</v>
      </c>
      <c r="T133" s="262">
        <f t="shared" si="97"/>
        <v>42979</v>
      </c>
      <c r="U133" s="262">
        <f t="shared" si="97"/>
        <v>43009</v>
      </c>
      <c r="V133" s="262">
        <f t="shared" si="97"/>
        <v>43040</v>
      </c>
      <c r="W133" s="262">
        <f t="shared" si="97"/>
        <v>43070</v>
      </c>
      <c r="X133" s="262">
        <f t="shared" si="97"/>
        <v>43101</v>
      </c>
      <c r="Y133" s="262">
        <f t="shared" si="97"/>
        <v>43132</v>
      </c>
      <c r="Z133" s="262">
        <f t="shared" si="97"/>
        <v>43160</v>
      </c>
      <c r="AA133" s="262">
        <f t="shared" si="97"/>
        <v>43191</v>
      </c>
      <c r="AB133" s="262">
        <f t="shared" si="97"/>
        <v>43221</v>
      </c>
      <c r="AC133" s="262">
        <f t="shared" si="97"/>
        <v>43252</v>
      </c>
      <c r="AD133" s="262">
        <f t="shared" si="97"/>
        <v>43283</v>
      </c>
      <c r="AE133" s="262">
        <f t="shared" si="97"/>
        <v>43314</v>
      </c>
      <c r="AF133" s="262">
        <f t="shared" si="97"/>
        <v>43345</v>
      </c>
      <c r="AG133" s="262">
        <f t="shared" si="97"/>
        <v>43376</v>
      </c>
      <c r="AH133" s="262">
        <f t="shared" si="97"/>
        <v>43407</v>
      </c>
      <c r="AI133" s="262">
        <f t="shared" si="97"/>
        <v>43437</v>
      </c>
      <c r="AJ133" s="262">
        <f t="shared" si="97"/>
        <v>43468</v>
      </c>
      <c r="AK133" s="262">
        <f t="shared" ref="AK133:BL133" si="98">+AK$208</f>
        <v>43499</v>
      </c>
      <c r="AL133" s="262">
        <f t="shared" si="98"/>
        <v>43527</v>
      </c>
      <c r="AM133" s="262">
        <f t="shared" si="98"/>
        <v>43558</v>
      </c>
      <c r="AN133" s="262">
        <f t="shared" si="98"/>
        <v>43587</v>
      </c>
      <c r="AO133" s="262">
        <f t="shared" si="98"/>
        <v>43618</v>
      </c>
      <c r="AP133" s="262">
        <f t="shared" si="98"/>
        <v>43647</v>
      </c>
      <c r="AQ133" s="262">
        <f t="shared" si="98"/>
        <v>43678</v>
      </c>
      <c r="AR133" s="262">
        <f t="shared" si="98"/>
        <v>43709</v>
      </c>
      <c r="AS133" s="262">
        <f t="shared" si="98"/>
        <v>43739</v>
      </c>
      <c r="AT133" s="262">
        <f t="shared" si="98"/>
        <v>43770</v>
      </c>
      <c r="AU133" s="262">
        <f t="shared" si="98"/>
        <v>43800</v>
      </c>
      <c r="AV133" s="262">
        <f t="shared" si="98"/>
        <v>43831</v>
      </c>
      <c r="AW133" s="262">
        <f t="shared" si="98"/>
        <v>43862</v>
      </c>
      <c r="AX133" s="933">
        <f t="shared" si="98"/>
        <v>43891</v>
      </c>
      <c r="AY133" s="262">
        <f t="shared" si="98"/>
        <v>43922</v>
      </c>
      <c r="AZ133" s="262">
        <f t="shared" si="98"/>
        <v>43952</v>
      </c>
      <c r="BA133" s="262">
        <f t="shared" si="98"/>
        <v>43983</v>
      </c>
      <c r="BB133" s="262">
        <f t="shared" si="98"/>
        <v>44013</v>
      </c>
      <c r="BC133" s="262">
        <f t="shared" si="98"/>
        <v>44044</v>
      </c>
      <c r="BD133" s="262">
        <f t="shared" si="98"/>
        <v>44075</v>
      </c>
      <c r="BE133" s="262">
        <f t="shared" si="98"/>
        <v>44105</v>
      </c>
      <c r="BF133" s="262">
        <f t="shared" si="98"/>
        <v>44136</v>
      </c>
      <c r="BG133" s="262">
        <f t="shared" si="98"/>
        <v>44166</v>
      </c>
      <c r="BH133" s="262">
        <f t="shared" si="98"/>
        <v>44197</v>
      </c>
      <c r="BI133" s="262">
        <f t="shared" si="98"/>
        <v>44228</v>
      </c>
      <c r="BJ133" s="262">
        <f t="shared" si="98"/>
        <v>44256</v>
      </c>
      <c r="BK133" s="262">
        <f t="shared" si="98"/>
        <v>44287</v>
      </c>
      <c r="BL133" s="262">
        <f t="shared" si="98"/>
        <v>44317</v>
      </c>
      <c r="DI133" s="1172"/>
      <c r="DJ133" s="1172"/>
      <c r="DK133" s="1172"/>
      <c r="DL133" s="1172"/>
      <c r="DM133" s="1172"/>
    </row>
    <row r="134" spans="1:117" customFormat="1" x14ac:dyDescent="0.25">
      <c r="A134" s="261" t="s">
        <v>542</v>
      </c>
      <c r="B134" s="261" t="s">
        <v>542</v>
      </c>
      <c r="C134" s="261"/>
      <c r="D134" s="117" t="str">
        <f>IF([1]RENAME!$H$3=1,B134,A134)</f>
        <v>SANTANDER</v>
      </c>
      <c r="E134" s="263" t="s">
        <v>160</v>
      </c>
      <c r="F134" s="263" t="s">
        <v>160</v>
      </c>
      <c r="G134" s="263" t="s">
        <v>160</v>
      </c>
      <c r="H134" s="264" t="s">
        <v>160</v>
      </c>
      <c r="I134" s="264" t="s">
        <v>160</v>
      </c>
      <c r="J134" s="264" t="s">
        <v>160</v>
      </c>
      <c r="K134" s="264" t="s">
        <v>160</v>
      </c>
      <c r="L134" s="264" t="s">
        <v>160</v>
      </c>
      <c r="M134" s="264" t="s">
        <v>160</v>
      </c>
      <c r="N134" s="592" t="s">
        <v>160</v>
      </c>
      <c r="O134" s="592" t="s">
        <v>160</v>
      </c>
      <c r="P134" s="592" t="s">
        <v>160</v>
      </c>
      <c r="Q134" s="592" t="s">
        <v>160</v>
      </c>
      <c r="R134" s="592" t="s">
        <v>160</v>
      </c>
      <c r="S134" s="592" t="s">
        <v>160</v>
      </c>
      <c r="T134" s="592" t="s">
        <v>160</v>
      </c>
      <c r="U134" s="592" t="s">
        <v>160</v>
      </c>
      <c r="V134" s="592" t="s">
        <v>160</v>
      </c>
      <c r="W134" s="591" t="s">
        <v>160</v>
      </c>
      <c r="X134" s="591" t="s">
        <v>160</v>
      </c>
      <c r="Y134" s="591" t="s">
        <v>160</v>
      </c>
      <c r="Z134" s="591" t="s">
        <v>160</v>
      </c>
      <c r="AA134" s="591" t="s">
        <v>160</v>
      </c>
      <c r="AB134" s="591" t="s">
        <v>160</v>
      </c>
      <c r="AC134" s="591" t="s">
        <v>160</v>
      </c>
      <c r="AD134" s="591" t="s">
        <v>160</v>
      </c>
      <c r="AE134" s="591" t="s">
        <v>160</v>
      </c>
      <c r="AF134" s="591" t="s">
        <v>160</v>
      </c>
      <c r="AG134" s="591" t="s">
        <v>160</v>
      </c>
      <c r="AH134" s="591" t="s">
        <v>160</v>
      </c>
      <c r="AI134" s="591">
        <v>280</v>
      </c>
      <c r="AJ134" s="591">
        <v>280</v>
      </c>
      <c r="AK134" s="591">
        <v>280</v>
      </c>
      <c r="AL134" s="591">
        <v>280</v>
      </c>
      <c r="AM134" s="591">
        <v>280</v>
      </c>
      <c r="AN134" s="591">
        <v>280</v>
      </c>
      <c r="AO134" s="591">
        <v>280</v>
      </c>
      <c r="AP134" s="591">
        <v>280</v>
      </c>
      <c r="AQ134" s="591">
        <v>280</v>
      </c>
      <c r="AR134" s="591">
        <v>280</v>
      </c>
      <c r="AS134" s="591">
        <v>280</v>
      </c>
      <c r="AT134" s="591">
        <v>280</v>
      </c>
      <c r="AU134" s="591">
        <f>308-36</f>
        <v>272</v>
      </c>
      <c r="AV134" s="591">
        <f>308-36</f>
        <v>272</v>
      </c>
      <c r="AW134" s="591">
        <f>308-36</f>
        <v>272</v>
      </c>
      <c r="AX134" s="935">
        <f>308-36</f>
        <v>272</v>
      </c>
      <c r="AY134" s="842" t="s">
        <v>160</v>
      </c>
      <c r="AZ134" s="842" t="s">
        <v>160</v>
      </c>
      <c r="BA134" s="340">
        <v>120</v>
      </c>
      <c r="BB134" s="591">
        <v>120</v>
      </c>
      <c r="BC134" s="591">
        <v>120</v>
      </c>
      <c r="BD134" s="591">
        <v>120</v>
      </c>
      <c r="BE134" s="591">
        <v>120</v>
      </c>
      <c r="BF134" s="591">
        <v>120</v>
      </c>
      <c r="BG134" s="341">
        <v>167</v>
      </c>
      <c r="BH134" s="591">
        <v>167</v>
      </c>
      <c r="BI134" s="591">
        <v>167</v>
      </c>
      <c r="BJ134" s="591">
        <v>167</v>
      </c>
      <c r="BK134" s="591">
        <v>167</v>
      </c>
      <c r="BL134" s="591">
        <v>167</v>
      </c>
      <c r="DI134" s="1172"/>
      <c r="DJ134" s="1172"/>
      <c r="DK134" s="1172"/>
      <c r="DL134" s="1172"/>
      <c r="DM134" s="1172"/>
    </row>
    <row r="135" spans="1:117" x14ac:dyDescent="0.25">
      <c r="A135" s="261" t="s">
        <v>545</v>
      </c>
      <c r="B135" s="261" t="s">
        <v>545</v>
      </c>
      <c r="D135" s="117" t="str">
        <f>IF([1]RENAME!$H$3=1,B135,A135)</f>
        <v>BAML</v>
      </c>
      <c r="E135" s="263" t="s">
        <v>160</v>
      </c>
      <c r="F135" s="263" t="s">
        <v>160</v>
      </c>
      <c r="G135" s="263" t="s">
        <v>160</v>
      </c>
      <c r="H135" s="263" t="s">
        <v>160</v>
      </c>
      <c r="I135" s="263" t="s">
        <v>160</v>
      </c>
      <c r="J135" s="264" t="s">
        <v>160</v>
      </c>
      <c r="K135" s="264" t="s">
        <v>160</v>
      </c>
      <c r="L135" s="264" t="s">
        <v>160</v>
      </c>
      <c r="M135" s="264" t="s">
        <v>160</v>
      </c>
      <c r="N135" s="592" t="s">
        <v>160</v>
      </c>
      <c r="O135" s="592" t="s">
        <v>160</v>
      </c>
      <c r="P135" s="592" t="s">
        <v>160</v>
      </c>
      <c r="Q135" s="592" t="s">
        <v>160</v>
      </c>
      <c r="R135" s="592" t="s">
        <v>160</v>
      </c>
      <c r="S135" s="591" t="s">
        <v>160</v>
      </c>
      <c r="T135" s="591" t="s">
        <v>160</v>
      </c>
      <c r="U135" s="591" t="s">
        <v>160</v>
      </c>
      <c r="V135" s="591" t="s">
        <v>160</v>
      </c>
      <c r="W135" s="591" t="s">
        <v>160</v>
      </c>
      <c r="X135" s="591" t="s">
        <v>160</v>
      </c>
      <c r="Y135" s="591">
        <v>215</v>
      </c>
      <c r="Z135" s="591">
        <v>215</v>
      </c>
      <c r="AA135" s="591">
        <v>215</v>
      </c>
      <c r="AB135" s="591">
        <v>211</v>
      </c>
      <c r="AC135" s="591">
        <v>211</v>
      </c>
      <c r="AD135" s="591">
        <v>211</v>
      </c>
      <c r="AE135" s="591">
        <v>211</v>
      </c>
      <c r="AF135" s="591">
        <v>211</v>
      </c>
      <c r="AG135" s="591">
        <v>211</v>
      </c>
      <c r="AH135" s="690">
        <v>229</v>
      </c>
      <c r="AI135" s="592">
        <v>229</v>
      </c>
      <c r="AJ135" s="592">
        <v>229</v>
      </c>
      <c r="AK135" s="592">
        <v>229</v>
      </c>
      <c r="AL135" s="690">
        <v>253</v>
      </c>
      <c r="AM135" s="592">
        <v>253</v>
      </c>
      <c r="AN135" s="690">
        <v>260</v>
      </c>
      <c r="AO135" s="592">
        <v>260</v>
      </c>
      <c r="AP135" s="592">
        <v>260</v>
      </c>
      <c r="AQ135" s="592">
        <v>260</v>
      </c>
      <c r="AR135" s="592">
        <v>260</v>
      </c>
      <c r="AS135" s="592">
        <v>260</v>
      </c>
      <c r="AT135" s="592">
        <v>260</v>
      </c>
      <c r="AU135" s="342">
        <v>258</v>
      </c>
      <c r="AV135" s="592">
        <v>258</v>
      </c>
      <c r="AW135" s="592">
        <v>258</v>
      </c>
      <c r="AX135" s="938">
        <v>258</v>
      </c>
      <c r="AY135" s="276" t="s">
        <v>160</v>
      </c>
      <c r="AZ135" s="276" t="s">
        <v>160</v>
      </c>
      <c r="BA135" s="276" t="s">
        <v>160</v>
      </c>
      <c r="BB135" s="276" t="s">
        <v>160</v>
      </c>
      <c r="BC135" s="276" t="s">
        <v>160</v>
      </c>
      <c r="BD135" s="276" t="s">
        <v>160</v>
      </c>
      <c r="BE135" s="276" t="s">
        <v>160</v>
      </c>
      <c r="BF135" s="276" t="s">
        <v>160</v>
      </c>
      <c r="BG135" s="276" t="s">
        <v>160</v>
      </c>
      <c r="BH135" s="592" t="s">
        <v>160</v>
      </c>
      <c r="BI135" s="592" t="s">
        <v>160</v>
      </c>
      <c r="BJ135" s="592" t="s">
        <v>160</v>
      </c>
      <c r="BK135" s="592" t="s">
        <v>160</v>
      </c>
      <c r="BL135" s="592" t="s">
        <v>160</v>
      </c>
    </row>
    <row r="136" spans="1:117" x14ac:dyDescent="0.25">
      <c r="A136" s="261" t="s">
        <v>546</v>
      </c>
      <c r="B136" s="261" t="s">
        <v>546</v>
      </c>
      <c r="D136" s="117" t="str">
        <f>IF([1]RENAME!$H$3=1,B136,A136)</f>
        <v>BTG PACTUAL</v>
      </c>
      <c r="E136" s="263" t="s">
        <v>160</v>
      </c>
      <c r="F136" s="263" t="s">
        <v>160</v>
      </c>
      <c r="G136" s="263" t="s">
        <v>160</v>
      </c>
      <c r="H136" s="263" t="s">
        <v>160</v>
      </c>
      <c r="I136" s="263" t="s">
        <v>160</v>
      </c>
      <c r="J136" s="264" t="s">
        <v>160</v>
      </c>
      <c r="K136" s="264" t="s">
        <v>160</v>
      </c>
      <c r="L136" s="264" t="s">
        <v>160</v>
      </c>
      <c r="M136" s="264" t="s">
        <v>160</v>
      </c>
      <c r="N136" s="592" t="s">
        <v>160</v>
      </c>
      <c r="O136" s="592" t="s">
        <v>160</v>
      </c>
      <c r="P136" s="592" t="s">
        <v>160</v>
      </c>
      <c r="Q136" s="592" t="s">
        <v>160</v>
      </c>
      <c r="R136" s="592" t="s">
        <v>160</v>
      </c>
      <c r="S136" s="592" t="s">
        <v>160</v>
      </c>
      <c r="T136" s="592" t="s">
        <v>160</v>
      </c>
      <c r="U136" s="592" t="s">
        <v>160</v>
      </c>
      <c r="V136" s="592" t="s">
        <v>160</v>
      </c>
      <c r="W136" s="592" t="s">
        <v>160</v>
      </c>
      <c r="X136" s="592" t="s">
        <v>160</v>
      </c>
      <c r="Y136" s="592" t="s">
        <v>160</v>
      </c>
      <c r="Z136" s="592" t="s">
        <v>160</v>
      </c>
      <c r="AA136" s="592" t="s">
        <v>160</v>
      </c>
      <c r="AB136" s="592" t="s">
        <v>160</v>
      </c>
      <c r="AC136" s="592" t="s">
        <v>160</v>
      </c>
      <c r="AD136" s="592" t="s">
        <v>160</v>
      </c>
      <c r="AE136" s="592">
        <v>235</v>
      </c>
      <c r="AF136" s="592">
        <v>235</v>
      </c>
      <c r="AG136" s="592">
        <v>235</v>
      </c>
      <c r="AH136" s="690">
        <v>253</v>
      </c>
      <c r="AI136" s="592">
        <v>253</v>
      </c>
      <c r="AJ136" s="592">
        <v>253</v>
      </c>
      <c r="AK136" s="592">
        <v>253</v>
      </c>
      <c r="AL136" s="690">
        <v>265</v>
      </c>
      <c r="AM136" s="592">
        <v>265</v>
      </c>
      <c r="AN136" s="592">
        <v>265</v>
      </c>
      <c r="AO136" s="592">
        <v>265</v>
      </c>
      <c r="AP136" s="592">
        <v>265</v>
      </c>
      <c r="AQ136" s="592">
        <v>265</v>
      </c>
      <c r="AR136" s="592">
        <v>265</v>
      </c>
      <c r="AS136" s="592">
        <v>265</v>
      </c>
      <c r="AT136" s="592">
        <v>265</v>
      </c>
      <c r="AU136" s="592">
        <v>265</v>
      </c>
      <c r="AV136" s="592">
        <v>265</v>
      </c>
      <c r="AW136" s="592">
        <v>265</v>
      </c>
      <c r="AX136" s="938">
        <v>265</v>
      </c>
      <c r="AY136" s="340">
        <v>129.5755240420927</v>
      </c>
      <c r="AZ136" s="591">
        <v>129.5755240420927</v>
      </c>
      <c r="BA136" s="591">
        <v>129.5755240420927</v>
      </c>
      <c r="BB136" s="591">
        <v>129.5755240420927</v>
      </c>
      <c r="BC136" s="591">
        <v>129.5755240420927</v>
      </c>
      <c r="BD136" s="591">
        <v>129.5755240420927</v>
      </c>
      <c r="BE136" s="591">
        <v>129.5755240420927</v>
      </c>
      <c r="BF136" s="341">
        <v>177</v>
      </c>
      <c r="BG136" s="591">
        <v>177</v>
      </c>
      <c r="BH136" s="591">
        <v>177</v>
      </c>
      <c r="BI136" s="591">
        <v>177</v>
      </c>
      <c r="BJ136" s="591">
        <v>177</v>
      </c>
      <c r="BK136" s="591">
        <v>177</v>
      </c>
      <c r="BL136" s="591">
        <v>177</v>
      </c>
    </row>
    <row r="137" spans="1:117" x14ac:dyDescent="0.25">
      <c r="A137" s="261" t="s">
        <v>574</v>
      </c>
      <c r="B137" s="261" t="s">
        <v>574</v>
      </c>
      <c r="D137" s="117" t="str">
        <f>IF([1]RENAME!$H$3=1,B137,A137)</f>
        <v>SAFRA</v>
      </c>
      <c r="E137" s="263" t="s">
        <v>160</v>
      </c>
      <c r="F137" s="263" t="s">
        <v>160</v>
      </c>
      <c r="G137" s="263" t="s">
        <v>160</v>
      </c>
      <c r="H137" s="263" t="s">
        <v>160</v>
      </c>
      <c r="I137" s="263" t="s">
        <v>160</v>
      </c>
      <c r="J137" s="263" t="s">
        <v>160</v>
      </c>
      <c r="K137" s="263" t="s">
        <v>160</v>
      </c>
      <c r="L137" s="263" t="s">
        <v>160</v>
      </c>
      <c r="M137" s="263" t="s">
        <v>160</v>
      </c>
      <c r="N137" s="351" t="s">
        <v>160</v>
      </c>
      <c r="O137" s="351" t="s">
        <v>160</v>
      </c>
      <c r="P137" s="351" t="s">
        <v>160</v>
      </c>
      <c r="Q137" s="592" t="s">
        <v>160</v>
      </c>
      <c r="R137" s="592" t="s">
        <v>160</v>
      </c>
      <c r="S137" s="592" t="s">
        <v>160</v>
      </c>
      <c r="T137" s="592" t="s">
        <v>160</v>
      </c>
      <c r="U137" s="592" t="s">
        <v>160</v>
      </c>
      <c r="V137" s="592" t="s">
        <v>160</v>
      </c>
      <c r="W137" s="592" t="s">
        <v>160</v>
      </c>
      <c r="X137" s="592" t="s">
        <v>160</v>
      </c>
      <c r="Y137" s="591" t="s">
        <v>160</v>
      </c>
      <c r="Z137" s="591" t="s">
        <v>160</v>
      </c>
      <c r="AA137" s="591" t="s">
        <v>160</v>
      </c>
      <c r="AB137" s="591" t="s">
        <v>160</v>
      </c>
      <c r="AC137" s="591" t="s">
        <v>160</v>
      </c>
      <c r="AD137" s="591" t="s">
        <v>160</v>
      </c>
      <c r="AE137" s="591" t="s">
        <v>160</v>
      </c>
      <c r="AF137" s="591" t="s">
        <v>160</v>
      </c>
      <c r="AG137" s="591" t="s">
        <v>160</v>
      </c>
      <c r="AH137" s="591" t="s">
        <v>160</v>
      </c>
      <c r="AI137" s="592" t="s">
        <v>160</v>
      </c>
      <c r="AJ137" s="592" t="s">
        <v>160</v>
      </c>
      <c r="AK137" s="592" t="s">
        <v>160</v>
      </c>
      <c r="AL137" s="592" t="s">
        <v>160</v>
      </c>
      <c r="AM137" s="592">
        <v>254.1</v>
      </c>
      <c r="AN137" s="592">
        <v>254.1</v>
      </c>
      <c r="AO137" s="592">
        <v>254.1</v>
      </c>
      <c r="AP137" s="592" t="s">
        <v>160</v>
      </c>
      <c r="AQ137" s="592" t="s">
        <v>160</v>
      </c>
      <c r="AR137" s="592" t="s">
        <v>160</v>
      </c>
      <c r="AS137" s="592">
        <v>257</v>
      </c>
      <c r="AT137" s="592">
        <v>257</v>
      </c>
      <c r="AU137" s="592">
        <v>257</v>
      </c>
      <c r="AV137" s="592">
        <v>257</v>
      </c>
      <c r="AW137" s="592">
        <v>257</v>
      </c>
      <c r="AX137" s="938">
        <v>257</v>
      </c>
      <c r="AY137" s="276" t="s">
        <v>160</v>
      </c>
      <c r="AZ137" s="276" t="s">
        <v>160</v>
      </c>
      <c r="BA137" s="276" t="s">
        <v>160</v>
      </c>
      <c r="BB137" s="276" t="s">
        <v>160</v>
      </c>
      <c r="BC137" s="276" t="s">
        <v>160</v>
      </c>
      <c r="BD137" s="276" t="s">
        <v>160</v>
      </c>
      <c r="BE137" s="591">
        <v>147</v>
      </c>
      <c r="BF137" s="591">
        <v>147</v>
      </c>
      <c r="BG137" s="591">
        <v>147</v>
      </c>
      <c r="BH137" s="591">
        <v>147</v>
      </c>
      <c r="BI137" s="591">
        <v>147</v>
      </c>
      <c r="BJ137" s="591">
        <v>147</v>
      </c>
      <c r="BK137" s="591">
        <v>147</v>
      </c>
      <c r="BL137" s="591">
        <v>147</v>
      </c>
    </row>
    <row r="138" spans="1:117" x14ac:dyDescent="0.25">
      <c r="A138" s="261" t="s">
        <v>547</v>
      </c>
      <c r="B138" s="261" t="s">
        <v>547</v>
      </c>
      <c r="D138" s="117" t="str">
        <f>IF([1]RENAME!$H$3=1,B138,A138)</f>
        <v>ITAÚ</v>
      </c>
      <c r="E138" s="263" t="s">
        <v>160</v>
      </c>
      <c r="F138" s="263" t="s">
        <v>160</v>
      </c>
      <c r="G138" s="263" t="s">
        <v>160</v>
      </c>
      <c r="H138" s="263" t="s">
        <v>160</v>
      </c>
      <c r="I138" s="264" t="s">
        <v>160</v>
      </c>
      <c r="J138" s="264" t="s">
        <v>160</v>
      </c>
      <c r="K138" s="264" t="s">
        <v>160</v>
      </c>
      <c r="L138" s="264" t="s">
        <v>160</v>
      </c>
      <c r="M138" s="264" t="s">
        <v>160</v>
      </c>
      <c r="N138" s="592" t="s">
        <v>160</v>
      </c>
      <c r="O138" s="592" t="s">
        <v>160</v>
      </c>
      <c r="P138" s="592" t="s">
        <v>160</v>
      </c>
      <c r="Q138" s="592" t="s">
        <v>160</v>
      </c>
      <c r="R138" s="592" t="s">
        <v>160</v>
      </c>
      <c r="S138" s="592" t="s">
        <v>160</v>
      </c>
      <c r="T138" s="592" t="s">
        <v>160</v>
      </c>
      <c r="U138" s="592" t="s">
        <v>160</v>
      </c>
      <c r="V138" s="592" t="s">
        <v>160</v>
      </c>
      <c r="W138" s="592" t="s">
        <v>160</v>
      </c>
      <c r="X138" s="591">
        <v>200</v>
      </c>
      <c r="Y138" s="592">
        <v>200</v>
      </c>
      <c r="Z138" s="592">
        <v>200</v>
      </c>
      <c r="AA138" s="592">
        <v>200</v>
      </c>
      <c r="AB138" s="592">
        <v>200</v>
      </c>
      <c r="AC138" s="592">
        <v>200</v>
      </c>
      <c r="AD138" s="592">
        <v>200</v>
      </c>
      <c r="AE138" s="592">
        <v>200</v>
      </c>
      <c r="AF138" s="341">
        <v>222</v>
      </c>
      <c r="AG138" s="592">
        <v>222</v>
      </c>
      <c r="AH138" s="592">
        <v>222</v>
      </c>
      <c r="AI138" s="592">
        <v>222</v>
      </c>
      <c r="AJ138" s="592">
        <v>222</v>
      </c>
      <c r="AK138" s="592" t="s">
        <v>160</v>
      </c>
      <c r="AL138" s="592" t="s">
        <v>160</v>
      </c>
      <c r="AM138" s="592" t="s">
        <v>160</v>
      </c>
      <c r="AN138" s="592" t="s">
        <v>160</v>
      </c>
      <c r="AO138" s="592" t="s">
        <v>160</v>
      </c>
      <c r="AP138" s="592" t="s">
        <v>160</v>
      </c>
      <c r="AQ138" s="592" t="s">
        <v>160</v>
      </c>
      <c r="AR138" s="592">
        <v>254</v>
      </c>
      <c r="AS138" s="592">
        <v>254</v>
      </c>
      <c r="AT138" s="592">
        <v>254</v>
      </c>
      <c r="AU138" s="592">
        <v>254</v>
      </c>
      <c r="AV138" s="592">
        <v>254</v>
      </c>
      <c r="AW138" s="592">
        <v>254</v>
      </c>
      <c r="AX138" s="938">
        <v>254</v>
      </c>
      <c r="AY138" s="276" t="s">
        <v>160</v>
      </c>
      <c r="AZ138" s="276" t="s">
        <v>160</v>
      </c>
      <c r="BA138" s="340">
        <v>134</v>
      </c>
      <c r="BB138" s="591">
        <v>134</v>
      </c>
      <c r="BC138" s="591">
        <v>134</v>
      </c>
      <c r="BD138" s="591">
        <v>134</v>
      </c>
      <c r="BE138" s="591">
        <v>134</v>
      </c>
      <c r="BF138" s="591">
        <v>134</v>
      </c>
      <c r="BG138" s="341">
        <v>168</v>
      </c>
      <c r="BH138" s="591">
        <v>168</v>
      </c>
      <c r="BI138" s="591">
        <v>168</v>
      </c>
      <c r="BJ138" s="591">
        <v>168</v>
      </c>
      <c r="BK138" s="591">
        <v>168</v>
      </c>
      <c r="BL138" s="591">
        <v>168</v>
      </c>
    </row>
    <row r="139" spans="1:117" x14ac:dyDescent="0.25">
      <c r="A139" t="s">
        <v>557</v>
      </c>
      <c r="B139" t="s">
        <v>856</v>
      </c>
      <c r="C139"/>
      <c r="D139" s="277" t="str">
        <f>IF([1]RENAME!$H$3=1,B139,A139)</f>
        <v>Média</v>
      </c>
      <c r="E139" s="326" t="str">
        <f t="shared" ref="E139:M139" si="99">IFERROR(AVERAGE(E134:E138),"-")</f>
        <v>-</v>
      </c>
      <c r="F139" s="326" t="str">
        <f t="shared" si="99"/>
        <v>-</v>
      </c>
      <c r="G139" s="326" t="str">
        <f t="shared" si="99"/>
        <v>-</v>
      </c>
      <c r="H139" s="326" t="str">
        <f t="shared" si="99"/>
        <v>-</v>
      </c>
      <c r="I139" s="326" t="str">
        <f t="shared" si="99"/>
        <v>-</v>
      </c>
      <c r="J139" s="326" t="str">
        <f t="shared" si="99"/>
        <v>-</v>
      </c>
      <c r="K139" s="326" t="str">
        <f t="shared" si="99"/>
        <v>-</v>
      </c>
      <c r="L139" s="326" t="str">
        <f t="shared" si="99"/>
        <v>-</v>
      </c>
      <c r="M139" s="326" t="str">
        <f t="shared" si="99"/>
        <v>-</v>
      </c>
      <c r="N139" s="645" t="s">
        <v>160</v>
      </c>
      <c r="O139" s="645" t="s">
        <v>160</v>
      </c>
      <c r="P139" s="645" t="s">
        <v>160</v>
      </c>
      <c r="Q139" s="645" t="s">
        <v>160</v>
      </c>
      <c r="R139" s="645" t="s">
        <v>160</v>
      </c>
      <c r="S139" s="645" t="s">
        <v>160</v>
      </c>
      <c r="T139" s="645" t="s">
        <v>160</v>
      </c>
      <c r="U139" s="645" t="s">
        <v>160</v>
      </c>
      <c r="V139" s="645" t="s">
        <v>160</v>
      </c>
      <c r="W139" s="645" t="s">
        <v>160</v>
      </c>
      <c r="X139" s="349">
        <f t="shared" ref="X139:AH139" si="100">IFERROR(AVERAGE(X134:X138),"-")</f>
        <v>200</v>
      </c>
      <c r="Y139" s="349">
        <f t="shared" si="100"/>
        <v>207.5</v>
      </c>
      <c r="Z139" s="349">
        <f t="shared" si="100"/>
        <v>207.5</v>
      </c>
      <c r="AA139" s="349">
        <f t="shared" si="100"/>
        <v>207.5</v>
      </c>
      <c r="AB139" s="349">
        <f t="shared" si="100"/>
        <v>205.5</v>
      </c>
      <c r="AC139" s="349">
        <f t="shared" si="100"/>
        <v>205.5</v>
      </c>
      <c r="AD139" s="349">
        <f t="shared" si="100"/>
        <v>205.5</v>
      </c>
      <c r="AE139" s="349">
        <f t="shared" si="100"/>
        <v>215.33333333333334</v>
      </c>
      <c r="AF139" s="349">
        <f t="shared" si="100"/>
        <v>222.66666666666666</v>
      </c>
      <c r="AG139" s="349">
        <f t="shared" si="100"/>
        <v>222.66666666666666</v>
      </c>
      <c r="AH139" s="349">
        <f t="shared" si="100"/>
        <v>234.66666666666666</v>
      </c>
      <c r="AI139" s="349">
        <f t="shared" ref="AI139:AN139" si="101">IFERROR(AVERAGE(AI134:AI138),"-")</f>
        <v>246</v>
      </c>
      <c r="AJ139" s="349">
        <f t="shared" si="101"/>
        <v>246</v>
      </c>
      <c r="AK139" s="349">
        <f t="shared" si="101"/>
        <v>254</v>
      </c>
      <c r="AL139" s="349">
        <f t="shared" si="101"/>
        <v>266</v>
      </c>
      <c r="AM139" s="349">
        <f t="shared" si="101"/>
        <v>263.02499999999998</v>
      </c>
      <c r="AN139" s="349">
        <f t="shared" si="101"/>
        <v>264.77499999999998</v>
      </c>
      <c r="AO139" s="349">
        <f t="shared" ref="AO139:AT139" si="102">IFERROR(AVERAGE(AO134:AO138),"-")</f>
        <v>264.77499999999998</v>
      </c>
      <c r="AP139" s="349">
        <f t="shared" si="102"/>
        <v>268.33333333333331</v>
      </c>
      <c r="AQ139" s="349">
        <f t="shared" si="102"/>
        <v>268.33333333333331</v>
      </c>
      <c r="AR139" s="349">
        <f t="shared" si="102"/>
        <v>264.75</v>
      </c>
      <c r="AS139" s="349">
        <f t="shared" si="102"/>
        <v>263.2</v>
      </c>
      <c r="AT139" s="349">
        <f t="shared" si="102"/>
        <v>263.2</v>
      </c>
      <c r="AU139" s="349">
        <f t="shared" ref="AU139:BB139" si="103">IFERROR(AVERAGE(AU134:AU138),"-")</f>
        <v>261.2</v>
      </c>
      <c r="AV139" s="645">
        <f t="shared" si="103"/>
        <v>261.2</v>
      </c>
      <c r="AW139" s="645">
        <f t="shared" si="103"/>
        <v>261.2</v>
      </c>
      <c r="AX139" s="939">
        <f>IFERROR(AVERAGE(AX134:AX138),"-")</f>
        <v>261.2</v>
      </c>
      <c r="AY139" s="645">
        <f t="shared" si="103"/>
        <v>129.5755240420927</v>
      </c>
      <c r="AZ139" s="645">
        <f t="shared" si="103"/>
        <v>129.5755240420927</v>
      </c>
      <c r="BA139" s="645">
        <f t="shared" si="103"/>
        <v>127.8585080140309</v>
      </c>
      <c r="BB139" s="645">
        <f t="shared" si="103"/>
        <v>127.8585080140309</v>
      </c>
      <c r="BC139" s="645">
        <f t="shared" ref="BC139:BH139" si="104">IFERROR(AVERAGE(BC134:BC138),"-")</f>
        <v>127.8585080140309</v>
      </c>
      <c r="BD139" s="645">
        <f t="shared" si="104"/>
        <v>127.8585080140309</v>
      </c>
      <c r="BE139" s="645">
        <f t="shared" si="104"/>
        <v>132.64388101052316</v>
      </c>
      <c r="BF139" s="645">
        <f t="shared" si="104"/>
        <v>144.5</v>
      </c>
      <c r="BG139" s="645">
        <f t="shared" si="104"/>
        <v>164.75</v>
      </c>
      <c r="BH139" s="645">
        <f t="shared" si="104"/>
        <v>164.75</v>
      </c>
      <c r="BI139" s="645">
        <f>IFERROR(AVERAGE(BI134:BI138),"-")</f>
        <v>164.75</v>
      </c>
      <c r="BJ139" s="645">
        <f>IFERROR(AVERAGE(BJ134:BJ138),"-")</f>
        <v>164.75</v>
      </c>
      <c r="BK139" s="645">
        <f>IFERROR(AVERAGE(BK134:BK138),"-")</f>
        <v>164.75</v>
      </c>
      <c r="BL139" s="645">
        <f>IFERROR(AVERAGE(BL134:BL138),"-")</f>
        <v>164.75</v>
      </c>
    </row>
    <row r="140" spans="1:117" x14ac:dyDescent="0.25">
      <c r="Z140" s="339"/>
      <c r="AA140" s="339"/>
      <c r="AB140" s="339"/>
      <c r="AC140" s="339"/>
      <c r="AD140" s="339"/>
      <c r="AE140" s="339"/>
      <c r="AF140" s="339"/>
      <c r="AG140" s="339"/>
      <c r="AH140" s="339"/>
      <c r="AI140" s="339"/>
      <c r="AJ140" s="339"/>
      <c r="AK140" s="339"/>
      <c r="AL140" s="339"/>
      <c r="AM140" s="339"/>
      <c r="AN140" s="339"/>
      <c r="AO140" s="339"/>
      <c r="AP140" s="339"/>
      <c r="AQ140" s="339"/>
      <c r="AR140" s="339"/>
      <c r="AS140" s="339"/>
      <c r="AT140" s="339"/>
      <c r="AU140" s="339"/>
      <c r="AV140" s="775"/>
      <c r="AW140" s="775"/>
      <c r="AX140" s="940"/>
      <c r="AY140" s="775"/>
      <c r="AZ140" s="775"/>
      <c r="BA140" s="775"/>
      <c r="BB140" s="775"/>
      <c r="BC140" s="775"/>
      <c r="BD140" s="775"/>
      <c r="BE140" s="775"/>
      <c r="BF140" s="775"/>
      <c r="BG140" s="775"/>
      <c r="BH140" s="775"/>
      <c r="BI140" s="775"/>
      <c r="BJ140" s="775"/>
      <c r="BK140" s="775"/>
      <c r="BL140" s="775"/>
    </row>
    <row r="141" spans="1:117" x14ac:dyDescent="0.25">
      <c r="A141" s="261" t="s">
        <v>1286</v>
      </c>
      <c r="B141" s="261" t="s">
        <v>1287</v>
      </c>
      <c r="D141" s="113" t="str">
        <f>IF([1]RENAME!$H$3=1,B141,A141)</f>
        <v>Lucro Líquido 2020</v>
      </c>
      <c r="E141" s="262">
        <f t="shared" ref="E141:AJ141" si="105">+E$208</f>
        <v>42522</v>
      </c>
      <c r="F141" s="262">
        <f t="shared" si="105"/>
        <v>42552</v>
      </c>
      <c r="G141" s="262">
        <f t="shared" si="105"/>
        <v>42583</v>
      </c>
      <c r="H141" s="262">
        <f t="shared" si="105"/>
        <v>42614</v>
      </c>
      <c r="I141" s="262">
        <f t="shared" si="105"/>
        <v>42644</v>
      </c>
      <c r="J141" s="262">
        <f t="shared" si="105"/>
        <v>42675</v>
      </c>
      <c r="K141" s="262">
        <f t="shared" si="105"/>
        <v>42705</v>
      </c>
      <c r="L141" s="262">
        <f t="shared" si="105"/>
        <v>42736</v>
      </c>
      <c r="M141" s="262">
        <f t="shared" si="105"/>
        <v>42767</v>
      </c>
      <c r="N141" s="262">
        <f t="shared" si="105"/>
        <v>42795</v>
      </c>
      <c r="O141" s="262">
        <f t="shared" si="105"/>
        <v>42826</v>
      </c>
      <c r="P141" s="262">
        <f t="shared" si="105"/>
        <v>42856</v>
      </c>
      <c r="Q141" s="262">
        <f t="shared" si="105"/>
        <v>42887</v>
      </c>
      <c r="R141" s="262">
        <f t="shared" si="105"/>
        <v>42917</v>
      </c>
      <c r="S141" s="262">
        <f t="shared" si="105"/>
        <v>42948</v>
      </c>
      <c r="T141" s="262">
        <f t="shared" si="105"/>
        <v>42979</v>
      </c>
      <c r="U141" s="262">
        <f t="shared" si="105"/>
        <v>43009</v>
      </c>
      <c r="V141" s="262">
        <f t="shared" si="105"/>
        <v>43040</v>
      </c>
      <c r="W141" s="262">
        <f t="shared" si="105"/>
        <v>43070</v>
      </c>
      <c r="X141" s="262">
        <f t="shared" si="105"/>
        <v>43101</v>
      </c>
      <c r="Y141" s="262">
        <f t="shared" si="105"/>
        <v>43132</v>
      </c>
      <c r="Z141" s="262">
        <f t="shared" si="105"/>
        <v>43160</v>
      </c>
      <c r="AA141" s="262">
        <f t="shared" si="105"/>
        <v>43191</v>
      </c>
      <c r="AB141" s="262">
        <f t="shared" si="105"/>
        <v>43221</v>
      </c>
      <c r="AC141" s="262">
        <f t="shared" si="105"/>
        <v>43252</v>
      </c>
      <c r="AD141" s="262">
        <f t="shared" si="105"/>
        <v>43283</v>
      </c>
      <c r="AE141" s="262">
        <f t="shared" si="105"/>
        <v>43314</v>
      </c>
      <c r="AF141" s="262">
        <f t="shared" si="105"/>
        <v>43345</v>
      </c>
      <c r="AG141" s="262">
        <f t="shared" si="105"/>
        <v>43376</v>
      </c>
      <c r="AH141" s="262">
        <f t="shared" si="105"/>
        <v>43407</v>
      </c>
      <c r="AI141" s="262">
        <f t="shared" si="105"/>
        <v>43437</v>
      </c>
      <c r="AJ141" s="262">
        <f t="shared" si="105"/>
        <v>43468</v>
      </c>
      <c r="AK141" s="262">
        <f t="shared" ref="AK141:BL141" si="106">+AK$208</f>
        <v>43499</v>
      </c>
      <c r="AL141" s="262">
        <f t="shared" si="106"/>
        <v>43527</v>
      </c>
      <c r="AM141" s="262">
        <f t="shared" si="106"/>
        <v>43558</v>
      </c>
      <c r="AN141" s="262">
        <f t="shared" si="106"/>
        <v>43587</v>
      </c>
      <c r="AO141" s="262">
        <f t="shared" si="106"/>
        <v>43618</v>
      </c>
      <c r="AP141" s="262">
        <f t="shared" si="106"/>
        <v>43647</v>
      </c>
      <c r="AQ141" s="262">
        <f t="shared" si="106"/>
        <v>43678</v>
      </c>
      <c r="AR141" s="262">
        <f t="shared" si="106"/>
        <v>43709</v>
      </c>
      <c r="AS141" s="262">
        <f t="shared" si="106"/>
        <v>43739</v>
      </c>
      <c r="AT141" s="262">
        <f t="shared" si="106"/>
        <v>43770</v>
      </c>
      <c r="AU141" s="262">
        <f t="shared" si="106"/>
        <v>43800</v>
      </c>
      <c r="AV141" s="262">
        <f t="shared" si="106"/>
        <v>43831</v>
      </c>
      <c r="AW141" s="262">
        <f t="shared" si="106"/>
        <v>43862</v>
      </c>
      <c r="AX141" s="262">
        <f t="shared" si="106"/>
        <v>43891</v>
      </c>
      <c r="AY141" s="262">
        <f t="shared" si="106"/>
        <v>43922</v>
      </c>
      <c r="AZ141" s="262">
        <f t="shared" si="106"/>
        <v>43952</v>
      </c>
      <c r="BA141" s="262">
        <f t="shared" si="106"/>
        <v>43983</v>
      </c>
      <c r="BB141" s="262">
        <f t="shared" si="106"/>
        <v>44013</v>
      </c>
      <c r="BC141" s="262">
        <f t="shared" si="106"/>
        <v>44044</v>
      </c>
      <c r="BD141" s="262">
        <f t="shared" si="106"/>
        <v>44075</v>
      </c>
      <c r="BE141" s="262">
        <f t="shared" si="106"/>
        <v>44105</v>
      </c>
      <c r="BF141" s="262">
        <f t="shared" si="106"/>
        <v>44136</v>
      </c>
      <c r="BG141" s="262">
        <f t="shared" si="106"/>
        <v>44166</v>
      </c>
      <c r="BH141" s="262">
        <f t="shared" si="106"/>
        <v>44197</v>
      </c>
      <c r="BI141" s="262">
        <f t="shared" si="106"/>
        <v>44228</v>
      </c>
      <c r="BJ141" s="262">
        <f t="shared" si="106"/>
        <v>44256</v>
      </c>
      <c r="BK141" s="262">
        <f t="shared" si="106"/>
        <v>44287</v>
      </c>
      <c r="BL141" s="262">
        <f t="shared" si="106"/>
        <v>44317</v>
      </c>
    </row>
    <row r="142" spans="1:117" customFormat="1" x14ac:dyDescent="0.25">
      <c r="A142" s="261" t="s">
        <v>542</v>
      </c>
      <c r="B142" s="261" t="s">
        <v>542</v>
      </c>
      <c r="C142" s="261"/>
      <c r="D142" s="117" t="str">
        <f>IF([1]RENAME!$H$3=1,B142,A142)</f>
        <v>SANTANDER</v>
      </c>
      <c r="E142" s="263" t="s">
        <v>160</v>
      </c>
      <c r="F142" s="263" t="s">
        <v>160</v>
      </c>
      <c r="G142" s="263" t="s">
        <v>160</v>
      </c>
      <c r="H142" s="264" t="s">
        <v>160</v>
      </c>
      <c r="I142" s="264" t="s">
        <v>160</v>
      </c>
      <c r="J142" s="264" t="s">
        <v>160</v>
      </c>
      <c r="K142" s="264" t="s">
        <v>160</v>
      </c>
      <c r="L142" s="264" t="s">
        <v>160</v>
      </c>
      <c r="M142" s="264" t="s">
        <v>160</v>
      </c>
      <c r="N142" s="592" t="s">
        <v>160</v>
      </c>
      <c r="O142" s="592" t="s">
        <v>160</v>
      </c>
      <c r="P142" s="592" t="s">
        <v>160</v>
      </c>
      <c r="Q142" s="592" t="s">
        <v>160</v>
      </c>
      <c r="R142" s="592" t="s">
        <v>160</v>
      </c>
      <c r="S142" s="592" t="s">
        <v>160</v>
      </c>
      <c r="T142" s="592" t="s">
        <v>160</v>
      </c>
      <c r="U142" s="592" t="s">
        <v>160</v>
      </c>
      <c r="V142" s="592" t="s">
        <v>160</v>
      </c>
      <c r="W142" s="591" t="s">
        <v>160</v>
      </c>
      <c r="X142" s="591" t="s">
        <v>160</v>
      </c>
      <c r="Y142" s="591" t="s">
        <v>160</v>
      </c>
      <c r="Z142" s="591" t="s">
        <v>160</v>
      </c>
      <c r="AA142" s="591" t="s">
        <v>160</v>
      </c>
      <c r="AB142" s="591" t="s">
        <v>160</v>
      </c>
      <c r="AC142" s="591" t="s">
        <v>160</v>
      </c>
      <c r="AD142" s="591" t="s">
        <v>160</v>
      </c>
      <c r="AE142" s="591" t="s">
        <v>160</v>
      </c>
      <c r="AF142" s="591" t="s">
        <v>160</v>
      </c>
      <c r="AG142" s="591" t="s">
        <v>160</v>
      </c>
      <c r="AH142" s="591" t="s">
        <v>160</v>
      </c>
      <c r="AI142" s="591">
        <v>158</v>
      </c>
      <c r="AJ142" s="591">
        <v>158</v>
      </c>
      <c r="AK142" s="591">
        <v>158</v>
      </c>
      <c r="AL142" s="591">
        <v>158</v>
      </c>
      <c r="AM142" s="591">
        <v>158</v>
      </c>
      <c r="AN142" s="591">
        <v>158</v>
      </c>
      <c r="AO142" s="591">
        <v>158</v>
      </c>
      <c r="AP142" s="591">
        <v>158</v>
      </c>
      <c r="AQ142" s="591">
        <v>158</v>
      </c>
      <c r="AR142" s="591">
        <v>158</v>
      </c>
      <c r="AS142" s="591">
        <v>158</v>
      </c>
      <c r="AT142" s="591">
        <v>158</v>
      </c>
      <c r="AU142" s="690">
        <v>171</v>
      </c>
      <c r="AV142" s="591">
        <v>171</v>
      </c>
      <c r="AW142" s="591">
        <v>171</v>
      </c>
      <c r="AX142" s="935">
        <v>171</v>
      </c>
      <c r="AY142" s="842" t="s">
        <v>160</v>
      </c>
      <c r="AZ142" s="842" t="s">
        <v>160</v>
      </c>
      <c r="BA142" s="340">
        <v>44</v>
      </c>
      <c r="BB142" s="591">
        <v>44</v>
      </c>
      <c r="BC142" s="591">
        <v>44</v>
      </c>
      <c r="BD142" s="591">
        <v>44</v>
      </c>
      <c r="BE142" s="591">
        <v>44</v>
      </c>
      <c r="BF142" s="591">
        <v>44</v>
      </c>
      <c r="BG142" s="341">
        <v>83</v>
      </c>
      <c r="BH142" s="591">
        <v>83</v>
      </c>
      <c r="BI142" s="591">
        <v>83</v>
      </c>
      <c r="BJ142" s="591">
        <v>83</v>
      </c>
      <c r="BK142" s="591">
        <v>83</v>
      </c>
      <c r="BL142" s="591">
        <v>83</v>
      </c>
      <c r="DI142" s="1172"/>
      <c r="DJ142" s="1172"/>
      <c r="DK142" s="1172"/>
      <c r="DL142" s="1172"/>
      <c r="DM142" s="1172"/>
    </row>
    <row r="143" spans="1:117" customFormat="1" x14ac:dyDescent="0.25">
      <c r="A143" s="261" t="s">
        <v>545</v>
      </c>
      <c r="B143" s="261" t="s">
        <v>545</v>
      </c>
      <c r="C143" s="261"/>
      <c r="D143" s="117" t="str">
        <f>IF([1]RENAME!$H$3=1,B143,A143)</f>
        <v>BAML</v>
      </c>
      <c r="E143" s="263" t="s">
        <v>160</v>
      </c>
      <c r="F143" s="263" t="s">
        <v>160</v>
      </c>
      <c r="G143" s="263" t="s">
        <v>160</v>
      </c>
      <c r="H143" s="263" t="s">
        <v>160</v>
      </c>
      <c r="I143" s="263" t="s">
        <v>160</v>
      </c>
      <c r="J143" s="264" t="s">
        <v>160</v>
      </c>
      <c r="K143" s="264" t="s">
        <v>160</v>
      </c>
      <c r="L143" s="264" t="s">
        <v>160</v>
      </c>
      <c r="M143" s="264" t="s">
        <v>160</v>
      </c>
      <c r="N143" s="592" t="s">
        <v>160</v>
      </c>
      <c r="O143" s="592" t="s">
        <v>160</v>
      </c>
      <c r="P143" s="592" t="s">
        <v>160</v>
      </c>
      <c r="Q143" s="592" t="s">
        <v>160</v>
      </c>
      <c r="R143" s="592" t="s">
        <v>160</v>
      </c>
      <c r="S143" s="591" t="s">
        <v>160</v>
      </c>
      <c r="T143" s="591" t="s">
        <v>160</v>
      </c>
      <c r="U143" s="591" t="s">
        <v>160</v>
      </c>
      <c r="V143" s="591" t="s">
        <v>160</v>
      </c>
      <c r="W143" s="591" t="s">
        <v>160</v>
      </c>
      <c r="X143" s="591" t="s">
        <v>160</v>
      </c>
      <c r="Y143" s="591">
        <v>112</v>
      </c>
      <c r="Z143" s="591">
        <v>112</v>
      </c>
      <c r="AA143" s="591">
        <v>112</v>
      </c>
      <c r="AB143" s="591">
        <v>113</v>
      </c>
      <c r="AC143" s="591">
        <v>113</v>
      </c>
      <c r="AD143" s="591">
        <v>113</v>
      </c>
      <c r="AE143" s="591">
        <v>113</v>
      </c>
      <c r="AF143" s="591">
        <v>113</v>
      </c>
      <c r="AG143" s="591">
        <v>113</v>
      </c>
      <c r="AH143" s="690">
        <v>120</v>
      </c>
      <c r="AI143" s="591">
        <v>120</v>
      </c>
      <c r="AJ143" s="591">
        <v>120</v>
      </c>
      <c r="AK143" s="591">
        <v>120</v>
      </c>
      <c r="AL143" s="690">
        <v>136</v>
      </c>
      <c r="AM143" s="591">
        <v>136</v>
      </c>
      <c r="AN143" s="690">
        <v>146</v>
      </c>
      <c r="AO143" s="591">
        <v>146</v>
      </c>
      <c r="AP143" s="591">
        <v>146</v>
      </c>
      <c r="AQ143" s="591">
        <v>146</v>
      </c>
      <c r="AR143" s="591">
        <v>146</v>
      </c>
      <c r="AS143" s="591">
        <v>146</v>
      </c>
      <c r="AT143" s="591">
        <v>146</v>
      </c>
      <c r="AU143" s="690">
        <v>162</v>
      </c>
      <c r="AV143" s="591">
        <v>162</v>
      </c>
      <c r="AW143" s="591">
        <v>162</v>
      </c>
      <c r="AX143" s="935">
        <v>162</v>
      </c>
      <c r="AY143" s="842" t="s">
        <v>160</v>
      </c>
      <c r="AZ143" s="842" t="s">
        <v>160</v>
      </c>
      <c r="BA143" s="842" t="s">
        <v>160</v>
      </c>
      <c r="BB143" s="842" t="s">
        <v>160</v>
      </c>
      <c r="BC143" s="842" t="s">
        <v>160</v>
      </c>
      <c r="BD143" s="842" t="s">
        <v>160</v>
      </c>
      <c r="BE143" s="842" t="s">
        <v>160</v>
      </c>
      <c r="BF143" s="842" t="s">
        <v>160</v>
      </c>
      <c r="BG143" s="842" t="s">
        <v>160</v>
      </c>
      <c r="BH143" s="591" t="s">
        <v>160</v>
      </c>
      <c r="BI143" s="591" t="s">
        <v>160</v>
      </c>
      <c r="BJ143" s="591" t="s">
        <v>160</v>
      </c>
      <c r="BK143" s="591" t="s">
        <v>160</v>
      </c>
      <c r="BL143" s="591" t="s">
        <v>160</v>
      </c>
      <c r="DI143" s="1172"/>
      <c r="DJ143" s="1172"/>
      <c r="DK143" s="1172"/>
      <c r="DL143" s="1172"/>
      <c r="DM143" s="1172"/>
    </row>
    <row r="144" spans="1:117" customFormat="1" x14ac:dyDescent="0.25">
      <c r="A144" s="261" t="s">
        <v>546</v>
      </c>
      <c r="B144" s="261" t="s">
        <v>546</v>
      </c>
      <c r="C144" s="261"/>
      <c r="D144" s="117" t="str">
        <f>IF([1]RENAME!$H$3=1,B144,A144)</f>
        <v>BTG PACTUAL</v>
      </c>
      <c r="E144" s="263" t="s">
        <v>160</v>
      </c>
      <c r="F144" s="263" t="s">
        <v>160</v>
      </c>
      <c r="G144" s="263" t="s">
        <v>160</v>
      </c>
      <c r="H144" s="263" t="s">
        <v>160</v>
      </c>
      <c r="I144" s="263" t="s">
        <v>160</v>
      </c>
      <c r="J144" s="264" t="s">
        <v>160</v>
      </c>
      <c r="K144" s="264" t="s">
        <v>160</v>
      </c>
      <c r="L144" s="264" t="s">
        <v>160</v>
      </c>
      <c r="M144" s="264" t="s">
        <v>160</v>
      </c>
      <c r="N144" s="592" t="s">
        <v>160</v>
      </c>
      <c r="O144" s="592" t="s">
        <v>160</v>
      </c>
      <c r="P144" s="592" t="s">
        <v>160</v>
      </c>
      <c r="Q144" s="592" t="s">
        <v>160</v>
      </c>
      <c r="R144" s="592" t="s">
        <v>160</v>
      </c>
      <c r="S144" s="592" t="s">
        <v>160</v>
      </c>
      <c r="T144" s="592" t="s">
        <v>160</v>
      </c>
      <c r="U144" s="592" t="s">
        <v>160</v>
      </c>
      <c r="V144" s="592" t="s">
        <v>160</v>
      </c>
      <c r="W144" s="592" t="s">
        <v>160</v>
      </c>
      <c r="X144" s="592" t="s">
        <v>160</v>
      </c>
      <c r="Y144" s="592" t="s">
        <v>160</v>
      </c>
      <c r="Z144" s="592" t="s">
        <v>160</v>
      </c>
      <c r="AA144" s="592" t="s">
        <v>160</v>
      </c>
      <c r="AB144" s="592" t="s">
        <v>160</v>
      </c>
      <c r="AC144" s="592" t="s">
        <v>160</v>
      </c>
      <c r="AD144" s="592" t="s">
        <v>160</v>
      </c>
      <c r="AE144" s="592">
        <v>132</v>
      </c>
      <c r="AF144" s="592">
        <v>132</v>
      </c>
      <c r="AG144" s="592">
        <v>132</v>
      </c>
      <c r="AH144" s="690">
        <v>142</v>
      </c>
      <c r="AI144" s="591">
        <v>142</v>
      </c>
      <c r="AJ144" s="591">
        <v>142</v>
      </c>
      <c r="AK144" s="591">
        <v>142</v>
      </c>
      <c r="AL144" s="690">
        <v>149</v>
      </c>
      <c r="AM144" s="591">
        <v>149</v>
      </c>
      <c r="AN144" s="591">
        <v>149</v>
      </c>
      <c r="AO144" s="591">
        <v>149</v>
      </c>
      <c r="AP144" s="591">
        <v>149</v>
      </c>
      <c r="AQ144" s="591">
        <v>149</v>
      </c>
      <c r="AR144" s="591">
        <v>149</v>
      </c>
      <c r="AS144" s="591">
        <v>149</v>
      </c>
      <c r="AT144" s="591">
        <v>149</v>
      </c>
      <c r="AU144" s="591">
        <v>149</v>
      </c>
      <c r="AV144" s="591">
        <v>149</v>
      </c>
      <c r="AW144" s="591">
        <v>149</v>
      </c>
      <c r="AX144" s="935">
        <v>149</v>
      </c>
      <c r="AY144" s="340">
        <v>54.681846873498358</v>
      </c>
      <c r="AZ144" s="591">
        <v>54.681846873498358</v>
      </c>
      <c r="BA144" s="591">
        <v>54.681846873498358</v>
      </c>
      <c r="BB144" s="591">
        <v>54.681846873498358</v>
      </c>
      <c r="BC144" s="591">
        <v>54.681846873498358</v>
      </c>
      <c r="BD144" s="591">
        <v>54.681846873498358</v>
      </c>
      <c r="BE144" s="591">
        <v>54.681846873498358</v>
      </c>
      <c r="BF144" s="341">
        <v>89</v>
      </c>
      <c r="BG144" s="591">
        <v>89</v>
      </c>
      <c r="BH144" s="591">
        <v>89</v>
      </c>
      <c r="BI144" s="591">
        <v>89</v>
      </c>
      <c r="BJ144" s="591">
        <v>89</v>
      </c>
      <c r="BK144" s="591">
        <v>89</v>
      </c>
      <c r="BL144" s="591">
        <v>89</v>
      </c>
      <c r="DI144" s="1172"/>
      <c r="DJ144" s="1172"/>
      <c r="DK144" s="1172"/>
      <c r="DL144" s="1172"/>
      <c r="DM144" s="1172"/>
    </row>
    <row r="145" spans="1:117" x14ac:dyDescent="0.25">
      <c r="A145" s="261" t="s">
        <v>574</v>
      </c>
      <c r="B145" s="261" t="s">
        <v>574</v>
      </c>
      <c r="D145" s="117" t="str">
        <f>IF([1]RENAME!$H$3=1,B145,A145)</f>
        <v>SAFRA</v>
      </c>
      <c r="E145" s="263" t="s">
        <v>160</v>
      </c>
      <c r="F145" s="263" t="s">
        <v>160</v>
      </c>
      <c r="G145" s="263" t="s">
        <v>160</v>
      </c>
      <c r="H145" s="263" t="s">
        <v>160</v>
      </c>
      <c r="I145" s="263" t="s">
        <v>160</v>
      </c>
      <c r="J145" s="263" t="s">
        <v>160</v>
      </c>
      <c r="K145" s="263" t="s">
        <v>160</v>
      </c>
      <c r="L145" s="263" t="s">
        <v>160</v>
      </c>
      <c r="M145" s="263" t="s">
        <v>160</v>
      </c>
      <c r="N145" s="351" t="s">
        <v>160</v>
      </c>
      <c r="O145" s="351" t="s">
        <v>160</v>
      </c>
      <c r="P145" s="351" t="s">
        <v>160</v>
      </c>
      <c r="Q145" s="592" t="s">
        <v>160</v>
      </c>
      <c r="R145" s="592" t="s">
        <v>160</v>
      </c>
      <c r="S145" s="592" t="s">
        <v>160</v>
      </c>
      <c r="T145" s="592" t="s">
        <v>160</v>
      </c>
      <c r="U145" s="592" t="s">
        <v>160</v>
      </c>
      <c r="V145" s="592" t="s">
        <v>160</v>
      </c>
      <c r="W145" s="592" t="s">
        <v>160</v>
      </c>
      <c r="X145" s="592" t="s">
        <v>160</v>
      </c>
      <c r="Y145" s="591" t="s">
        <v>160</v>
      </c>
      <c r="Z145" s="592" t="s">
        <v>160</v>
      </c>
      <c r="AA145" s="592" t="s">
        <v>160</v>
      </c>
      <c r="AB145" s="592" t="s">
        <v>160</v>
      </c>
      <c r="AC145" s="592" t="s">
        <v>160</v>
      </c>
      <c r="AD145" s="592" t="s">
        <v>160</v>
      </c>
      <c r="AE145" s="592" t="s">
        <v>160</v>
      </c>
      <c r="AF145" s="592" t="s">
        <v>160</v>
      </c>
      <c r="AG145" s="592" t="s">
        <v>160</v>
      </c>
      <c r="AH145" s="592" t="s">
        <v>160</v>
      </c>
      <c r="AI145" s="592" t="s">
        <v>160</v>
      </c>
      <c r="AJ145" s="592" t="s">
        <v>160</v>
      </c>
      <c r="AK145" s="592" t="s">
        <v>160</v>
      </c>
      <c r="AL145" s="592" t="s">
        <v>160</v>
      </c>
      <c r="AM145" s="592">
        <v>155.6</v>
      </c>
      <c r="AN145" s="592">
        <v>155.6</v>
      </c>
      <c r="AO145" s="592">
        <v>155.6</v>
      </c>
      <c r="AP145" s="592" t="s">
        <v>160</v>
      </c>
      <c r="AQ145" s="592" t="s">
        <v>160</v>
      </c>
      <c r="AR145" s="592" t="s">
        <v>160</v>
      </c>
      <c r="AS145" s="592">
        <v>174</v>
      </c>
      <c r="AT145" s="592">
        <v>174</v>
      </c>
      <c r="AU145" s="592">
        <v>174</v>
      </c>
      <c r="AV145" s="592">
        <v>174</v>
      </c>
      <c r="AW145" s="592">
        <v>174</v>
      </c>
      <c r="AX145" s="938">
        <v>174</v>
      </c>
      <c r="AY145" s="276" t="s">
        <v>160</v>
      </c>
      <c r="AZ145" s="276" t="s">
        <v>160</v>
      </c>
      <c r="BA145" s="842" t="s">
        <v>160</v>
      </c>
      <c r="BB145" s="842" t="s">
        <v>160</v>
      </c>
      <c r="BC145" s="842" t="s">
        <v>160</v>
      </c>
      <c r="BD145" s="842" t="s">
        <v>160</v>
      </c>
      <c r="BE145" s="591">
        <v>62</v>
      </c>
      <c r="BF145" s="591">
        <v>62</v>
      </c>
      <c r="BG145" s="591">
        <v>62</v>
      </c>
      <c r="BH145" s="591">
        <v>62</v>
      </c>
      <c r="BI145" s="591">
        <v>62</v>
      </c>
      <c r="BJ145" s="591">
        <v>62</v>
      </c>
      <c r="BK145" s="591">
        <v>62</v>
      </c>
      <c r="BL145" s="591">
        <v>62</v>
      </c>
    </row>
    <row r="146" spans="1:117" x14ac:dyDescent="0.25">
      <c r="A146" s="261" t="s">
        <v>547</v>
      </c>
      <c r="B146" s="261" t="s">
        <v>547</v>
      </c>
      <c r="D146" s="117" t="str">
        <f>IF([1]RENAME!$H$3=1,B146,A146)</f>
        <v>ITAÚ</v>
      </c>
      <c r="E146" s="263" t="s">
        <v>160</v>
      </c>
      <c r="F146" s="263" t="s">
        <v>160</v>
      </c>
      <c r="G146" s="263" t="s">
        <v>160</v>
      </c>
      <c r="H146" s="263" t="s">
        <v>160</v>
      </c>
      <c r="I146" s="264" t="s">
        <v>160</v>
      </c>
      <c r="J146" s="264" t="s">
        <v>160</v>
      </c>
      <c r="K146" s="264" t="s">
        <v>160</v>
      </c>
      <c r="L146" s="264" t="s">
        <v>160</v>
      </c>
      <c r="M146" s="264" t="s">
        <v>160</v>
      </c>
      <c r="N146" s="592" t="s">
        <v>160</v>
      </c>
      <c r="O146" s="592" t="s">
        <v>160</v>
      </c>
      <c r="P146" s="592" t="s">
        <v>160</v>
      </c>
      <c r="Q146" s="592" t="s">
        <v>160</v>
      </c>
      <c r="R146" s="592" t="s">
        <v>160</v>
      </c>
      <c r="S146" s="591" t="s">
        <v>160</v>
      </c>
      <c r="T146" s="591" t="s">
        <v>160</v>
      </c>
      <c r="U146" s="591" t="s">
        <v>160</v>
      </c>
      <c r="V146" s="591" t="s">
        <v>160</v>
      </c>
      <c r="W146" s="591" t="s">
        <v>160</v>
      </c>
      <c r="X146" s="591">
        <v>107</v>
      </c>
      <c r="Y146" s="591">
        <v>107</v>
      </c>
      <c r="Z146" s="591">
        <v>107</v>
      </c>
      <c r="AA146" s="591">
        <v>107</v>
      </c>
      <c r="AB146" s="591">
        <v>107</v>
      </c>
      <c r="AC146" s="591">
        <v>107</v>
      </c>
      <c r="AD146" s="591">
        <v>107</v>
      </c>
      <c r="AE146" s="591">
        <v>107</v>
      </c>
      <c r="AF146" s="341">
        <v>127</v>
      </c>
      <c r="AG146" s="591">
        <v>127</v>
      </c>
      <c r="AH146" s="591">
        <v>127</v>
      </c>
      <c r="AI146" s="591">
        <v>127</v>
      </c>
      <c r="AJ146" s="591">
        <v>127</v>
      </c>
      <c r="AK146" s="591" t="s">
        <v>160</v>
      </c>
      <c r="AL146" s="591" t="s">
        <v>160</v>
      </c>
      <c r="AM146" s="591" t="s">
        <v>160</v>
      </c>
      <c r="AN146" s="591" t="s">
        <v>160</v>
      </c>
      <c r="AO146" s="591" t="s">
        <v>160</v>
      </c>
      <c r="AP146" s="591" t="s">
        <v>160</v>
      </c>
      <c r="AQ146" s="591" t="s">
        <v>160</v>
      </c>
      <c r="AR146" s="591">
        <v>159</v>
      </c>
      <c r="AS146" s="591">
        <v>159</v>
      </c>
      <c r="AT146" s="591">
        <v>159</v>
      </c>
      <c r="AU146" s="591">
        <v>159</v>
      </c>
      <c r="AV146" s="591">
        <v>159</v>
      </c>
      <c r="AW146" s="591">
        <v>159</v>
      </c>
      <c r="AX146" s="935">
        <v>159</v>
      </c>
      <c r="AY146" s="842" t="s">
        <v>160</v>
      </c>
      <c r="AZ146" s="842" t="s">
        <v>160</v>
      </c>
      <c r="BA146" s="340">
        <v>56</v>
      </c>
      <c r="BB146" s="591">
        <v>56</v>
      </c>
      <c r="BC146" s="591">
        <v>56</v>
      </c>
      <c r="BD146" s="591">
        <v>56</v>
      </c>
      <c r="BE146" s="591">
        <v>56</v>
      </c>
      <c r="BF146" s="591">
        <v>56</v>
      </c>
      <c r="BG146" s="341">
        <v>83</v>
      </c>
      <c r="BH146" s="591">
        <v>83</v>
      </c>
      <c r="BI146" s="591">
        <v>83</v>
      </c>
      <c r="BJ146" s="591">
        <v>83</v>
      </c>
      <c r="BK146" s="591">
        <v>83</v>
      </c>
      <c r="BL146" s="591">
        <v>83</v>
      </c>
    </row>
    <row r="147" spans="1:117" x14ac:dyDescent="0.25">
      <c r="A147" t="s">
        <v>557</v>
      </c>
      <c r="B147" t="s">
        <v>856</v>
      </c>
      <c r="C147"/>
      <c r="D147" s="277" t="str">
        <f>IF([1]RENAME!$H$3=1,B147,A147)</f>
        <v>Média</v>
      </c>
      <c r="E147" s="326" t="str">
        <f t="shared" ref="E147:Z147" si="107">IFERROR(AVERAGE(E142:E146),"-")</f>
        <v>-</v>
      </c>
      <c r="F147" s="326" t="str">
        <f t="shared" si="107"/>
        <v>-</v>
      </c>
      <c r="G147" s="326" t="str">
        <f t="shared" si="107"/>
        <v>-</v>
      </c>
      <c r="H147" s="326" t="str">
        <f t="shared" si="107"/>
        <v>-</v>
      </c>
      <c r="I147" s="326" t="str">
        <f t="shared" si="107"/>
        <v>-</v>
      </c>
      <c r="J147" s="326" t="str">
        <f t="shared" si="107"/>
        <v>-</v>
      </c>
      <c r="K147" s="326" t="str">
        <f t="shared" si="107"/>
        <v>-</v>
      </c>
      <c r="L147" s="326" t="str">
        <f t="shared" si="107"/>
        <v>-</v>
      </c>
      <c r="M147" s="326" t="str">
        <f t="shared" si="107"/>
        <v>-</v>
      </c>
      <c r="N147" s="326" t="str">
        <f t="shared" si="107"/>
        <v>-</v>
      </c>
      <c r="O147" s="326" t="str">
        <f t="shared" si="107"/>
        <v>-</v>
      </c>
      <c r="P147" s="326" t="str">
        <f t="shared" si="107"/>
        <v>-</v>
      </c>
      <c r="Q147" s="326" t="str">
        <f t="shared" si="107"/>
        <v>-</v>
      </c>
      <c r="R147" s="326" t="str">
        <f t="shared" si="107"/>
        <v>-</v>
      </c>
      <c r="S147" s="326" t="str">
        <f t="shared" si="107"/>
        <v>-</v>
      </c>
      <c r="T147" s="349" t="str">
        <f t="shared" si="107"/>
        <v>-</v>
      </c>
      <c r="U147" s="349" t="str">
        <f t="shared" si="107"/>
        <v>-</v>
      </c>
      <c r="V147" s="349" t="str">
        <f t="shared" si="107"/>
        <v>-</v>
      </c>
      <c r="W147" s="349" t="str">
        <f t="shared" si="107"/>
        <v>-</v>
      </c>
      <c r="X147" s="349">
        <f t="shared" si="107"/>
        <v>107</v>
      </c>
      <c r="Y147" s="349">
        <f t="shared" si="107"/>
        <v>109.5</v>
      </c>
      <c r="Z147" s="349">
        <f t="shared" si="107"/>
        <v>109.5</v>
      </c>
      <c r="AA147" s="349">
        <f t="shared" ref="AA147:AH147" si="108">IFERROR(AVERAGE(AA142:AA146),"-")</f>
        <v>109.5</v>
      </c>
      <c r="AB147" s="349">
        <f t="shared" si="108"/>
        <v>110</v>
      </c>
      <c r="AC147" s="349">
        <f t="shared" si="108"/>
        <v>110</v>
      </c>
      <c r="AD147" s="349">
        <f t="shared" si="108"/>
        <v>110</v>
      </c>
      <c r="AE147" s="349">
        <f t="shared" si="108"/>
        <v>117.33333333333333</v>
      </c>
      <c r="AF147" s="349">
        <f t="shared" si="108"/>
        <v>124</v>
      </c>
      <c r="AG147" s="349">
        <f t="shared" si="108"/>
        <v>124</v>
      </c>
      <c r="AH147" s="349">
        <f t="shared" si="108"/>
        <v>129.66666666666666</v>
      </c>
      <c r="AI147" s="349">
        <f t="shared" ref="AI147:AN147" si="109">IFERROR(AVERAGE(AI142:AI146),"-")</f>
        <v>136.75</v>
      </c>
      <c r="AJ147" s="349">
        <f t="shared" si="109"/>
        <v>136.75</v>
      </c>
      <c r="AK147" s="349">
        <f t="shared" si="109"/>
        <v>140</v>
      </c>
      <c r="AL147" s="349">
        <f t="shared" si="109"/>
        <v>147.66666666666666</v>
      </c>
      <c r="AM147" s="349">
        <f t="shared" si="109"/>
        <v>149.65</v>
      </c>
      <c r="AN147" s="349">
        <f t="shared" si="109"/>
        <v>152.15</v>
      </c>
      <c r="AO147" s="349">
        <f t="shared" ref="AO147:AT147" si="110">IFERROR(AVERAGE(AO142:AO146),"-")</f>
        <v>152.15</v>
      </c>
      <c r="AP147" s="349">
        <f t="shared" si="110"/>
        <v>151</v>
      </c>
      <c r="AQ147" s="349">
        <f t="shared" si="110"/>
        <v>151</v>
      </c>
      <c r="AR147" s="349">
        <f t="shared" si="110"/>
        <v>153</v>
      </c>
      <c r="AS147" s="349">
        <f t="shared" si="110"/>
        <v>157.19999999999999</v>
      </c>
      <c r="AT147" s="349">
        <f t="shared" si="110"/>
        <v>157.19999999999999</v>
      </c>
      <c r="AU147" s="349">
        <f t="shared" ref="AU147:BB147" si="111">IFERROR(AVERAGE(AU142:AU146),"-")</f>
        <v>163</v>
      </c>
      <c r="AV147" s="645">
        <f t="shared" si="111"/>
        <v>163</v>
      </c>
      <c r="AW147" s="645">
        <f t="shared" si="111"/>
        <v>163</v>
      </c>
      <c r="AX147" s="939">
        <f>IFERROR(AVERAGE(AX142:AX146),"-")</f>
        <v>163</v>
      </c>
      <c r="AY147" s="645">
        <f t="shared" si="111"/>
        <v>54.681846873498358</v>
      </c>
      <c r="AZ147" s="645">
        <f t="shared" si="111"/>
        <v>54.681846873498358</v>
      </c>
      <c r="BA147" s="645">
        <f t="shared" si="111"/>
        <v>51.560615624499455</v>
      </c>
      <c r="BB147" s="645">
        <f t="shared" si="111"/>
        <v>51.560615624499455</v>
      </c>
      <c r="BC147" s="645">
        <f t="shared" ref="BC147:BH147" si="112">IFERROR(AVERAGE(BC142:BC146),"-")</f>
        <v>51.560615624499455</v>
      </c>
      <c r="BD147" s="645">
        <f t="shared" si="112"/>
        <v>51.560615624499455</v>
      </c>
      <c r="BE147" s="645">
        <f t="shared" si="112"/>
        <v>54.17046171837459</v>
      </c>
      <c r="BF147" s="645">
        <f t="shared" si="112"/>
        <v>62.75</v>
      </c>
      <c r="BG147" s="645">
        <f t="shared" si="112"/>
        <v>79.25</v>
      </c>
      <c r="BH147" s="645">
        <f t="shared" si="112"/>
        <v>79.25</v>
      </c>
      <c r="BI147" s="645">
        <f>IFERROR(AVERAGE(BI142:BI146),"-")</f>
        <v>79.25</v>
      </c>
      <c r="BJ147" s="645">
        <f>IFERROR(AVERAGE(BJ142:BJ146),"-")</f>
        <v>79.25</v>
      </c>
      <c r="BK147" s="645">
        <f>IFERROR(AVERAGE(BK142:BK146),"-")</f>
        <v>79.25</v>
      </c>
      <c r="BL147" s="645">
        <f>IFERROR(AVERAGE(BL142:BL146),"-")</f>
        <v>79.25</v>
      </c>
    </row>
    <row r="148" spans="1:117" x14ac:dyDescent="0.25">
      <c r="S148" s="338"/>
      <c r="T148" s="338"/>
      <c r="U148" s="338"/>
      <c r="V148" s="338"/>
      <c r="W148" s="338"/>
      <c r="X148" s="338"/>
      <c r="Y148" s="338"/>
      <c r="AV148" s="775"/>
      <c r="AW148" s="775"/>
      <c r="AX148" s="940"/>
      <c r="AY148" s="775"/>
      <c r="AZ148" s="775"/>
      <c r="BA148" s="775"/>
      <c r="BB148" s="775"/>
      <c r="BC148" s="775"/>
      <c r="BD148" s="775"/>
      <c r="BE148" s="775"/>
      <c r="BF148" s="775"/>
      <c r="BG148" s="775"/>
      <c r="BH148" s="775"/>
      <c r="BI148" s="775"/>
      <c r="BJ148" s="775"/>
      <c r="BK148" s="775"/>
      <c r="BL148" s="775"/>
      <c r="BM148" s="775"/>
      <c r="BN148" s="775"/>
      <c r="BO148" s="775"/>
      <c r="BP148" s="775"/>
      <c r="BQ148" s="775"/>
      <c r="BR148" s="775"/>
      <c r="BS148" s="775"/>
      <c r="BT148" s="775"/>
      <c r="BU148" s="775"/>
      <c r="BV148" s="775"/>
      <c r="BW148" s="775"/>
    </row>
    <row r="149" spans="1:117" x14ac:dyDescent="0.25">
      <c r="A149" s="261" t="s">
        <v>1414</v>
      </c>
      <c r="B149" s="261" t="s">
        <v>1415</v>
      </c>
      <c r="D149" s="113" t="str">
        <f>IF([1]RENAME!$H$3=1,B149,A149)</f>
        <v>Receita líquida 2021</v>
      </c>
      <c r="E149" s="262">
        <f t="shared" ref="E149:AJ149" si="113">+E$173</f>
        <v>42522</v>
      </c>
      <c r="F149" s="262">
        <f t="shared" si="113"/>
        <v>42552</v>
      </c>
      <c r="G149" s="262">
        <f t="shared" si="113"/>
        <v>42583</v>
      </c>
      <c r="H149" s="262">
        <f t="shared" si="113"/>
        <v>42614</v>
      </c>
      <c r="I149" s="262">
        <f t="shared" si="113"/>
        <v>42644</v>
      </c>
      <c r="J149" s="262">
        <f t="shared" si="113"/>
        <v>42675</v>
      </c>
      <c r="K149" s="262">
        <f t="shared" si="113"/>
        <v>42705</v>
      </c>
      <c r="L149" s="262">
        <f t="shared" si="113"/>
        <v>42736</v>
      </c>
      <c r="M149" s="262">
        <f t="shared" si="113"/>
        <v>42767</v>
      </c>
      <c r="N149" s="262">
        <f t="shared" si="113"/>
        <v>42795</v>
      </c>
      <c r="O149" s="262">
        <f t="shared" si="113"/>
        <v>42826</v>
      </c>
      <c r="P149" s="262">
        <f t="shared" si="113"/>
        <v>42856</v>
      </c>
      <c r="Q149" s="262">
        <f t="shared" si="113"/>
        <v>42887</v>
      </c>
      <c r="R149" s="262">
        <f t="shared" si="113"/>
        <v>42917</v>
      </c>
      <c r="S149" s="262">
        <f t="shared" si="113"/>
        <v>42948</v>
      </c>
      <c r="T149" s="262">
        <f t="shared" si="113"/>
        <v>42979</v>
      </c>
      <c r="U149" s="262">
        <f t="shared" si="113"/>
        <v>43009</v>
      </c>
      <c r="V149" s="262">
        <f t="shared" si="113"/>
        <v>43040</v>
      </c>
      <c r="W149" s="262">
        <f t="shared" si="113"/>
        <v>43070</v>
      </c>
      <c r="X149" s="262">
        <f t="shared" si="113"/>
        <v>43101</v>
      </c>
      <c r="Y149" s="262">
        <f t="shared" si="113"/>
        <v>43132</v>
      </c>
      <c r="Z149" s="262">
        <f t="shared" si="113"/>
        <v>43160</v>
      </c>
      <c r="AA149" s="262">
        <f t="shared" si="113"/>
        <v>43191</v>
      </c>
      <c r="AB149" s="262">
        <f t="shared" si="113"/>
        <v>43221</v>
      </c>
      <c r="AC149" s="262">
        <f t="shared" si="113"/>
        <v>43252</v>
      </c>
      <c r="AD149" s="262">
        <f t="shared" si="113"/>
        <v>43283</v>
      </c>
      <c r="AE149" s="262">
        <f t="shared" si="113"/>
        <v>43314</v>
      </c>
      <c r="AF149" s="262">
        <f t="shared" si="113"/>
        <v>43345</v>
      </c>
      <c r="AG149" s="262">
        <f t="shared" si="113"/>
        <v>43376</v>
      </c>
      <c r="AH149" s="262">
        <f t="shared" si="113"/>
        <v>43407</v>
      </c>
      <c r="AI149" s="262">
        <f t="shared" si="113"/>
        <v>43437</v>
      </c>
      <c r="AJ149" s="262">
        <f t="shared" si="113"/>
        <v>43468</v>
      </c>
      <c r="AK149" s="262">
        <f t="shared" ref="AK149:BS149" si="114">+AK$173</f>
        <v>43499</v>
      </c>
      <c r="AL149" s="262">
        <f t="shared" si="114"/>
        <v>43527</v>
      </c>
      <c r="AM149" s="262">
        <f t="shared" si="114"/>
        <v>43558</v>
      </c>
      <c r="AN149" s="262">
        <f t="shared" si="114"/>
        <v>43587</v>
      </c>
      <c r="AO149" s="262">
        <f t="shared" si="114"/>
        <v>43618</v>
      </c>
      <c r="AP149" s="262">
        <f t="shared" si="114"/>
        <v>43647</v>
      </c>
      <c r="AQ149" s="262">
        <f t="shared" si="114"/>
        <v>43678</v>
      </c>
      <c r="AR149" s="262">
        <f t="shared" si="114"/>
        <v>43709</v>
      </c>
      <c r="AS149" s="262">
        <f t="shared" si="114"/>
        <v>43739</v>
      </c>
      <c r="AT149" s="262">
        <f t="shared" si="114"/>
        <v>43770</v>
      </c>
      <c r="AU149" s="262">
        <f t="shared" si="114"/>
        <v>43800</v>
      </c>
      <c r="AV149" s="262">
        <f t="shared" si="114"/>
        <v>43831</v>
      </c>
      <c r="AW149" s="262">
        <f t="shared" si="114"/>
        <v>43862</v>
      </c>
      <c r="AX149" s="933">
        <f t="shared" si="114"/>
        <v>43891</v>
      </c>
      <c r="AY149" s="262">
        <f t="shared" si="114"/>
        <v>43922</v>
      </c>
      <c r="AZ149" s="262">
        <f t="shared" si="114"/>
        <v>43952</v>
      </c>
      <c r="BA149" s="262">
        <f t="shared" si="114"/>
        <v>43983</v>
      </c>
      <c r="BB149" s="262">
        <f t="shared" si="114"/>
        <v>44013</v>
      </c>
      <c r="BC149" s="262">
        <f t="shared" si="114"/>
        <v>44044</v>
      </c>
      <c r="BD149" s="262">
        <f t="shared" si="114"/>
        <v>44075</v>
      </c>
      <c r="BE149" s="262">
        <f t="shared" si="114"/>
        <v>44105</v>
      </c>
      <c r="BF149" s="262">
        <f t="shared" si="114"/>
        <v>44136</v>
      </c>
      <c r="BG149" s="262">
        <f t="shared" si="114"/>
        <v>44166</v>
      </c>
      <c r="BH149" s="262">
        <f t="shared" si="114"/>
        <v>44197</v>
      </c>
      <c r="BI149" s="262">
        <f t="shared" si="114"/>
        <v>44228</v>
      </c>
      <c r="BJ149" s="262">
        <f t="shared" si="114"/>
        <v>44256</v>
      </c>
      <c r="BK149" s="262">
        <f t="shared" si="114"/>
        <v>44287</v>
      </c>
      <c r="BL149" s="262">
        <f t="shared" si="114"/>
        <v>44317</v>
      </c>
      <c r="BM149" s="262">
        <f t="shared" si="114"/>
        <v>44348</v>
      </c>
      <c r="BN149" s="262">
        <f t="shared" si="114"/>
        <v>44378</v>
      </c>
      <c r="BO149" s="262">
        <f t="shared" si="114"/>
        <v>44409</v>
      </c>
      <c r="BP149" s="262">
        <f t="shared" si="114"/>
        <v>44440</v>
      </c>
      <c r="BQ149" s="262">
        <f t="shared" si="114"/>
        <v>44470</v>
      </c>
      <c r="BR149" s="262">
        <f t="shared" si="114"/>
        <v>44501</v>
      </c>
      <c r="BS149" s="262">
        <f t="shared" si="114"/>
        <v>44531</v>
      </c>
      <c r="BT149"/>
      <c r="BU149"/>
      <c r="BV149"/>
      <c r="BW149"/>
    </row>
    <row r="150" spans="1:117" x14ac:dyDescent="0.25">
      <c r="A150" s="261" t="s">
        <v>542</v>
      </c>
      <c r="B150" s="261" t="s">
        <v>542</v>
      </c>
      <c r="D150" s="117" t="str">
        <f>IF([1]RENAME!$H$3=1,B150,A150)</f>
        <v>SANTANDER</v>
      </c>
      <c r="E150" s="264" t="s">
        <v>160</v>
      </c>
      <c r="F150" s="264" t="s">
        <v>160</v>
      </c>
      <c r="G150" s="264" t="s">
        <v>160</v>
      </c>
      <c r="H150" s="264" t="s">
        <v>160</v>
      </c>
      <c r="I150" s="264" t="s">
        <v>160</v>
      </c>
      <c r="J150" s="264" t="s">
        <v>160</v>
      </c>
      <c r="K150" s="264" t="s">
        <v>160</v>
      </c>
      <c r="L150" s="336" t="s">
        <v>160</v>
      </c>
      <c r="M150" s="336" t="s">
        <v>160</v>
      </c>
      <c r="N150" s="591" t="s">
        <v>160</v>
      </c>
      <c r="O150" s="591" t="s">
        <v>160</v>
      </c>
      <c r="P150" s="591" t="s">
        <v>160</v>
      </c>
      <c r="Q150" s="591" t="s">
        <v>160</v>
      </c>
      <c r="R150" s="591" t="s">
        <v>160</v>
      </c>
      <c r="S150" s="591" t="s">
        <v>160</v>
      </c>
      <c r="T150" s="591" t="s">
        <v>160</v>
      </c>
      <c r="U150" s="591" t="s">
        <v>160</v>
      </c>
      <c r="V150" s="591" t="s">
        <v>160</v>
      </c>
      <c r="W150" s="591" t="s">
        <v>160</v>
      </c>
      <c r="X150" s="591" t="s">
        <v>160</v>
      </c>
      <c r="Y150" s="591" t="s">
        <v>160</v>
      </c>
      <c r="Z150" s="591" t="s">
        <v>160</v>
      </c>
      <c r="AA150" s="591" t="s">
        <v>160</v>
      </c>
      <c r="AB150" s="591" t="s">
        <v>160</v>
      </c>
      <c r="AC150" s="591" t="s">
        <v>160</v>
      </c>
      <c r="AD150" s="591" t="s">
        <v>160</v>
      </c>
      <c r="AE150" s="591" t="s">
        <v>160</v>
      </c>
      <c r="AF150" s="591" t="s">
        <v>160</v>
      </c>
      <c r="AG150" s="591" t="s">
        <v>160</v>
      </c>
      <c r="AH150" s="591" t="s">
        <v>160</v>
      </c>
      <c r="AI150" s="591" t="s">
        <v>160</v>
      </c>
      <c r="AJ150" s="591" t="s">
        <v>160</v>
      </c>
      <c r="AK150" s="591" t="s">
        <v>160</v>
      </c>
      <c r="AL150" s="591" t="s">
        <v>160</v>
      </c>
      <c r="AM150" s="591" t="s">
        <v>160</v>
      </c>
      <c r="AN150" s="591" t="s">
        <v>160</v>
      </c>
      <c r="AO150" s="591" t="s">
        <v>160</v>
      </c>
      <c r="AP150" s="591" t="s">
        <v>160</v>
      </c>
      <c r="AQ150" s="591" t="s">
        <v>160</v>
      </c>
      <c r="AR150" s="591" t="s">
        <v>160</v>
      </c>
      <c r="AS150" s="591" t="s">
        <v>160</v>
      </c>
      <c r="AT150" s="591" t="s">
        <v>160</v>
      </c>
      <c r="AU150" s="591">
        <v>1590</v>
      </c>
      <c r="AV150" s="591">
        <v>1590</v>
      </c>
      <c r="AW150" s="591">
        <v>1590</v>
      </c>
      <c r="AX150" s="935">
        <v>1590</v>
      </c>
      <c r="AY150" s="842" t="s">
        <v>160</v>
      </c>
      <c r="AZ150" s="842" t="s">
        <v>160</v>
      </c>
      <c r="BA150" s="340">
        <v>1232</v>
      </c>
      <c r="BB150" s="591">
        <v>1232</v>
      </c>
      <c r="BC150" s="591">
        <v>1232</v>
      </c>
      <c r="BD150" s="591">
        <v>1232</v>
      </c>
      <c r="BE150" s="591">
        <v>1232</v>
      </c>
      <c r="BF150" s="591">
        <v>1232</v>
      </c>
      <c r="BG150" s="341">
        <v>1379</v>
      </c>
      <c r="BH150" s="591">
        <v>1379</v>
      </c>
      <c r="BI150" s="591">
        <v>1379</v>
      </c>
      <c r="BJ150" s="591">
        <v>1379</v>
      </c>
      <c r="BK150" s="591">
        <v>1379</v>
      </c>
      <c r="BL150" s="591">
        <v>1379</v>
      </c>
      <c r="BM150" s="591">
        <v>1380</v>
      </c>
      <c r="BN150" s="591">
        <v>1380</v>
      </c>
      <c r="BO150" s="591">
        <v>1380</v>
      </c>
      <c r="BP150" s="591" t="s">
        <v>160</v>
      </c>
      <c r="BQ150" s="591" t="s">
        <v>160</v>
      </c>
      <c r="BR150" s="591" t="s">
        <v>160</v>
      </c>
      <c r="BS150" s="591">
        <v>973</v>
      </c>
      <c r="BT150"/>
      <c r="BU150"/>
      <c r="BV150"/>
      <c r="BW150"/>
    </row>
    <row r="151" spans="1:117" x14ac:dyDescent="0.25">
      <c r="A151" s="261" t="s">
        <v>545</v>
      </c>
      <c r="B151" s="261" t="s">
        <v>545</v>
      </c>
      <c r="D151" s="117" t="str">
        <f>IF([1]RENAME!$H$3=1,B151,A151)</f>
        <v>BAML</v>
      </c>
      <c r="E151" s="264" t="s">
        <v>160</v>
      </c>
      <c r="F151" s="264" t="s">
        <v>160</v>
      </c>
      <c r="G151" s="264" t="s">
        <v>160</v>
      </c>
      <c r="H151" s="264" t="s">
        <v>160</v>
      </c>
      <c r="I151" s="264" t="s">
        <v>160</v>
      </c>
      <c r="J151" s="264" t="s">
        <v>160</v>
      </c>
      <c r="K151" s="264" t="s">
        <v>160</v>
      </c>
      <c r="L151" s="336" t="s">
        <v>160</v>
      </c>
      <c r="M151" s="336" t="s">
        <v>160</v>
      </c>
      <c r="N151" s="591" t="s">
        <v>160</v>
      </c>
      <c r="O151" s="591" t="s">
        <v>160</v>
      </c>
      <c r="P151" s="591" t="s">
        <v>160</v>
      </c>
      <c r="Q151" s="591" t="s">
        <v>160</v>
      </c>
      <c r="R151" s="591" t="s">
        <v>160</v>
      </c>
      <c r="S151" s="591" t="s">
        <v>160</v>
      </c>
      <c r="T151" s="591" t="s">
        <v>160</v>
      </c>
      <c r="U151" s="591" t="s">
        <v>160</v>
      </c>
      <c r="V151" s="591" t="s">
        <v>160</v>
      </c>
      <c r="W151" s="591" t="s">
        <v>160</v>
      </c>
      <c r="X151" s="591" t="s">
        <v>160</v>
      </c>
      <c r="Y151" s="591" t="s">
        <v>160</v>
      </c>
      <c r="Z151" s="591" t="s">
        <v>160</v>
      </c>
      <c r="AA151" s="591" t="s">
        <v>160</v>
      </c>
      <c r="AB151" s="591" t="s">
        <v>160</v>
      </c>
      <c r="AC151" s="591" t="s">
        <v>160</v>
      </c>
      <c r="AD151" s="591" t="s">
        <v>160</v>
      </c>
      <c r="AE151" s="591" t="s">
        <v>160</v>
      </c>
      <c r="AF151" s="591" t="s">
        <v>160</v>
      </c>
      <c r="AG151" s="591" t="s">
        <v>160</v>
      </c>
      <c r="AH151" s="591" t="s">
        <v>160</v>
      </c>
      <c r="AI151" s="591" t="s">
        <v>160</v>
      </c>
      <c r="AJ151" s="591" t="s">
        <v>160</v>
      </c>
      <c r="AK151" s="591" t="s">
        <v>160</v>
      </c>
      <c r="AL151" s="591">
        <v>1717</v>
      </c>
      <c r="AM151" s="591">
        <v>1717</v>
      </c>
      <c r="AN151" s="690">
        <v>1757</v>
      </c>
      <c r="AO151" s="591">
        <v>1757</v>
      </c>
      <c r="AP151" s="591">
        <v>1757</v>
      </c>
      <c r="AQ151" s="591">
        <v>1757</v>
      </c>
      <c r="AR151" s="591">
        <v>1757</v>
      </c>
      <c r="AS151" s="591">
        <v>1757</v>
      </c>
      <c r="AT151" s="591">
        <v>1757</v>
      </c>
      <c r="AU151" s="340">
        <v>1642</v>
      </c>
      <c r="AV151" s="591">
        <v>1642</v>
      </c>
      <c r="AW151" s="591">
        <v>1642</v>
      </c>
      <c r="AX151" s="935">
        <v>1642</v>
      </c>
      <c r="AY151" s="842" t="s">
        <v>160</v>
      </c>
      <c r="AZ151" s="842" t="s">
        <v>160</v>
      </c>
      <c r="BA151" s="842" t="s">
        <v>160</v>
      </c>
      <c r="BB151" s="842" t="s">
        <v>160</v>
      </c>
      <c r="BC151" s="842" t="s">
        <v>160</v>
      </c>
      <c r="BD151" s="842" t="s">
        <v>160</v>
      </c>
      <c r="BE151" s="842" t="s">
        <v>160</v>
      </c>
      <c r="BF151" s="842" t="s">
        <v>160</v>
      </c>
      <c r="BG151" s="842" t="s">
        <v>160</v>
      </c>
      <c r="BH151" s="591" t="s">
        <v>160</v>
      </c>
      <c r="BI151" s="591" t="s">
        <v>160</v>
      </c>
      <c r="BJ151" s="591" t="s">
        <v>160</v>
      </c>
      <c r="BK151" s="591" t="s">
        <v>160</v>
      </c>
      <c r="BL151" s="591" t="s">
        <v>160</v>
      </c>
      <c r="BM151" s="591" t="s">
        <v>160</v>
      </c>
      <c r="BN151" s="591" t="s">
        <v>160</v>
      </c>
      <c r="BO151" s="591" t="s">
        <v>160</v>
      </c>
      <c r="BP151" s="591">
        <v>972</v>
      </c>
      <c r="BQ151" s="591">
        <v>972</v>
      </c>
      <c r="BR151" s="591">
        <v>972</v>
      </c>
      <c r="BS151" s="591">
        <v>972</v>
      </c>
      <c r="BT151"/>
      <c r="BU151"/>
      <c r="BV151"/>
      <c r="BW151"/>
    </row>
    <row r="152" spans="1:117" x14ac:dyDescent="0.25">
      <c r="A152" s="261" t="s">
        <v>546</v>
      </c>
      <c r="B152" s="261" t="s">
        <v>546</v>
      </c>
      <c r="D152" s="117" t="str">
        <f>IF([1]RENAME!$H$3=1,B152,A152)</f>
        <v>BTG PACTUAL</v>
      </c>
      <c r="E152" s="264" t="s">
        <v>160</v>
      </c>
      <c r="F152" s="264" t="s">
        <v>160</v>
      </c>
      <c r="G152" s="264" t="s">
        <v>160</v>
      </c>
      <c r="H152" s="264" t="s">
        <v>160</v>
      </c>
      <c r="I152" s="264" t="s">
        <v>160</v>
      </c>
      <c r="J152" s="264" t="s">
        <v>160</v>
      </c>
      <c r="K152" s="264" t="s">
        <v>160</v>
      </c>
      <c r="L152" s="336" t="s">
        <v>160</v>
      </c>
      <c r="M152" s="336" t="s">
        <v>160</v>
      </c>
      <c r="N152" s="591" t="s">
        <v>160</v>
      </c>
      <c r="O152" s="591" t="s">
        <v>160</v>
      </c>
      <c r="P152" s="591" t="s">
        <v>160</v>
      </c>
      <c r="Q152" s="591" t="s">
        <v>160</v>
      </c>
      <c r="R152" s="591" t="s">
        <v>160</v>
      </c>
      <c r="S152" s="591" t="s">
        <v>160</v>
      </c>
      <c r="T152" s="591" t="s">
        <v>160</v>
      </c>
      <c r="U152" s="591" t="s">
        <v>160</v>
      </c>
      <c r="V152" s="591" t="s">
        <v>160</v>
      </c>
      <c r="W152" s="591" t="s">
        <v>160</v>
      </c>
      <c r="X152" s="591" t="s">
        <v>160</v>
      </c>
      <c r="Y152" s="591" t="s">
        <v>160</v>
      </c>
      <c r="Z152" s="591" t="s">
        <v>160</v>
      </c>
      <c r="AA152" s="591" t="s">
        <v>160</v>
      </c>
      <c r="AB152" s="591" t="s">
        <v>160</v>
      </c>
      <c r="AC152" s="591" t="s">
        <v>160</v>
      </c>
      <c r="AD152" s="591" t="s">
        <v>160</v>
      </c>
      <c r="AE152" s="591" t="s">
        <v>160</v>
      </c>
      <c r="AF152" s="591" t="s">
        <v>160</v>
      </c>
      <c r="AG152" s="591" t="s">
        <v>160</v>
      </c>
      <c r="AH152" s="591" t="s">
        <v>160</v>
      </c>
      <c r="AI152" s="591" t="s">
        <v>160</v>
      </c>
      <c r="AJ152" s="591" t="s">
        <v>160</v>
      </c>
      <c r="AK152" s="591" t="s">
        <v>160</v>
      </c>
      <c r="AL152" s="591" t="s">
        <v>160</v>
      </c>
      <c r="AM152" s="591" t="s">
        <v>160</v>
      </c>
      <c r="AN152" s="591">
        <v>1800</v>
      </c>
      <c r="AO152" s="591">
        <v>1800</v>
      </c>
      <c r="AP152" s="591">
        <v>1800</v>
      </c>
      <c r="AQ152" s="591">
        <v>1800</v>
      </c>
      <c r="AR152" s="591">
        <v>1800</v>
      </c>
      <c r="AS152" s="591">
        <v>1800</v>
      </c>
      <c r="AT152" s="591">
        <v>1800</v>
      </c>
      <c r="AU152" s="591">
        <v>1800</v>
      </c>
      <c r="AV152" s="591">
        <v>1800</v>
      </c>
      <c r="AW152" s="591">
        <v>1800</v>
      </c>
      <c r="AX152" s="935">
        <v>1800</v>
      </c>
      <c r="AY152" s="340">
        <v>1316.0829709610105</v>
      </c>
      <c r="AZ152" s="591">
        <v>1316.0829709610105</v>
      </c>
      <c r="BA152" s="591">
        <v>1316.0829709610105</v>
      </c>
      <c r="BB152" s="591">
        <v>1316.0829709610105</v>
      </c>
      <c r="BC152" s="591">
        <v>1316.0829709610105</v>
      </c>
      <c r="BD152" s="591">
        <v>1316.0829709610105</v>
      </c>
      <c r="BE152" s="591">
        <v>1316.0829709610105</v>
      </c>
      <c r="BF152" s="341">
        <v>1404</v>
      </c>
      <c r="BG152" s="591">
        <v>1404</v>
      </c>
      <c r="BH152" s="591">
        <v>1404</v>
      </c>
      <c r="BI152" s="591">
        <v>1404</v>
      </c>
      <c r="BJ152" s="591">
        <v>1404</v>
      </c>
      <c r="BK152" s="591">
        <v>1404</v>
      </c>
      <c r="BL152" s="591">
        <v>1404</v>
      </c>
      <c r="BM152" s="591">
        <v>1404</v>
      </c>
      <c r="BN152" s="591">
        <v>1404</v>
      </c>
      <c r="BO152" s="591">
        <v>1404</v>
      </c>
      <c r="BP152" s="591" t="s">
        <v>160</v>
      </c>
      <c r="BQ152" s="591" t="s">
        <v>160</v>
      </c>
      <c r="BR152" s="591" t="s">
        <v>160</v>
      </c>
      <c r="BS152" s="591">
        <v>976</v>
      </c>
      <c r="BT152"/>
      <c r="BU152"/>
      <c r="BV152"/>
      <c r="BW152"/>
    </row>
    <row r="153" spans="1:117" x14ac:dyDescent="0.25">
      <c r="A153" s="261" t="s">
        <v>574</v>
      </c>
      <c r="B153" s="261" t="s">
        <v>574</v>
      </c>
      <c r="D153" s="117" t="str">
        <f>IF([1]RENAME!$H$3=1,B153,A153)</f>
        <v>SAFRA</v>
      </c>
      <c r="E153" s="263" t="s">
        <v>160</v>
      </c>
      <c r="F153" s="263" t="s">
        <v>160</v>
      </c>
      <c r="G153" s="263" t="s">
        <v>160</v>
      </c>
      <c r="H153" s="263" t="s">
        <v>160</v>
      </c>
      <c r="I153" s="263" t="s">
        <v>160</v>
      </c>
      <c r="J153" s="263" t="s">
        <v>160</v>
      </c>
      <c r="K153" s="263" t="s">
        <v>160</v>
      </c>
      <c r="L153" s="336" t="s">
        <v>160</v>
      </c>
      <c r="M153" s="336" t="s">
        <v>160</v>
      </c>
      <c r="N153" s="591" t="s">
        <v>160</v>
      </c>
      <c r="O153" s="591" t="s">
        <v>160</v>
      </c>
      <c r="P153" s="591" t="s">
        <v>160</v>
      </c>
      <c r="Q153" s="591" t="s">
        <v>160</v>
      </c>
      <c r="R153" s="591" t="s">
        <v>160</v>
      </c>
      <c r="S153" s="591" t="s">
        <v>160</v>
      </c>
      <c r="T153" s="591" t="s">
        <v>160</v>
      </c>
      <c r="U153" s="591" t="s">
        <v>160</v>
      </c>
      <c r="V153" s="591" t="s">
        <v>160</v>
      </c>
      <c r="W153" s="591" t="s">
        <v>160</v>
      </c>
      <c r="X153" s="591" t="s">
        <v>160</v>
      </c>
      <c r="Y153" s="591" t="s">
        <v>160</v>
      </c>
      <c r="Z153" s="591" t="s">
        <v>160</v>
      </c>
      <c r="AA153" s="591" t="s">
        <v>160</v>
      </c>
      <c r="AB153" s="591" t="s">
        <v>160</v>
      </c>
      <c r="AC153" s="591" t="s">
        <v>160</v>
      </c>
      <c r="AD153" s="591" t="s">
        <v>160</v>
      </c>
      <c r="AE153" s="591" t="s">
        <v>160</v>
      </c>
      <c r="AF153" s="591" t="s">
        <v>160</v>
      </c>
      <c r="AG153" s="591" t="s">
        <v>160</v>
      </c>
      <c r="AH153" s="591" t="s">
        <v>160</v>
      </c>
      <c r="AI153" s="591" t="s">
        <v>160</v>
      </c>
      <c r="AJ153" s="591" t="s">
        <v>160</v>
      </c>
      <c r="AK153" s="591" t="s">
        <v>160</v>
      </c>
      <c r="AL153" s="591" t="s">
        <v>160</v>
      </c>
      <c r="AM153" s="591" t="s">
        <v>160</v>
      </c>
      <c r="AN153" s="591" t="s">
        <v>160</v>
      </c>
      <c r="AO153" s="591" t="s">
        <v>160</v>
      </c>
      <c r="AP153" s="591" t="s">
        <v>160</v>
      </c>
      <c r="AQ153" s="591" t="s">
        <v>160</v>
      </c>
      <c r="AR153" s="591"/>
      <c r="AS153" s="591">
        <v>1674</v>
      </c>
      <c r="AT153" s="591">
        <v>1674</v>
      </c>
      <c r="AU153" s="591">
        <v>1674</v>
      </c>
      <c r="AV153" s="591">
        <v>1674</v>
      </c>
      <c r="AW153" s="591">
        <v>1674</v>
      </c>
      <c r="AX153" s="935">
        <v>1674</v>
      </c>
      <c r="AY153" s="276" t="s">
        <v>160</v>
      </c>
      <c r="AZ153" s="276" t="s">
        <v>160</v>
      </c>
      <c r="BA153" s="842" t="s">
        <v>160</v>
      </c>
      <c r="BB153" s="842" t="s">
        <v>160</v>
      </c>
      <c r="BC153" s="842" t="s">
        <v>160</v>
      </c>
      <c r="BD153" s="842" t="s">
        <v>160</v>
      </c>
      <c r="BE153" s="591">
        <v>1314</v>
      </c>
      <c r="BF153" s="591">
        <v>1314</v>
      </c>
      <c r="BG153" s="591">
        <v>1314</v>
      </c>
      <c r="BH153" s="591">
        <v>1314</v>
      </c>
      <c r="BI153" s="591">
        <v>1314</v>
      </c>
      <c r="BJ153" s="591">
        <v>1314</v>
      </c>
      <c r="BK153" s="591">
        <v>1314</v>
      </c>
      <c r="BL153" s="591">
        <v>1314</v>
      </c>
      <c r="BM153" s="591">
        <v>1314</v>
      </c>
      <c r="BN153" s="591">
        <v>1314</v>
      </c>
      <c r="BO153" s="591">
        <v>1314</v>
      </c>
      <c r="BP153" s="591" t="s">
        <v>160</v>
      </c>
      <c r="BQ153" s="591" t="s">
        <v>160</v>
      </c>
      <c r="BR153" s="591" t="s">
        <v>160</v>
      </c>
      <c r="BS153" s="591" t="s">
        <v>160</v>
      </c>
      <c r="BT153"/>
      <c r="BU153"/>
      <c r="BV153"/>
      <c r="BW153"/>
    </row>
    <row r="154" spans="1:117" x14ac:dyDescent="0.25">
      <c r="A154" s="261" t="s">
        <v>547</v>
      </c>
      <c r="B154" s="261" t="s">
        <v>547</v>
      </c>
      <c r="D154" s="117" t="str">
        <f>IF([1]RENAME!$H$3=1,B154,A154)</f>
        <v>ITAÚ</v>
      </c>
      <c r="E154" s="264" t="s">
        <v>160</v>
      </c>
      <c r="F154" s="264" t="s">
        <v>160</v>
      </c>
      <c r="G154" s="264" t="s">
        <v>160</v>
      </c>
      <c r="H154" s="264" t="s">
        <v>160</v>
      </c>
      <c r="I154" s="264" t="s">
        <v>160</v>
      </c>
      <c r="J154" s="264" t="s">
        <v>160</v>
      </c>
      <c r="K154" s="264" t="s">
        <v>160</v>
      </c>
      <c r="L154" s="336" t="s">
        <v>160</v>
      </c>
      <c r="M154" s="336" t="s">
        <v>160</v>
      </c>
      <c r="N154" s="591" t="s">
        <v>160</v>
      </c>
      <c r="O154" s="591" t="s">
        <v>160</v>
      </c>
      <c r="P154" s="591" t="s">
        <v>160</v>
      </c>
      <c r="Q154" s="591" t="s">
        <v>160</v>
      </c>
      <c r="R154" s="591" t="s">
        <v>160</v>
      </c>
      <c r="S154" s="591" t="s">
        <v>160</v>
      </c>
      <c r="T154" s="591" t="s">
        <v>160</v>
      </c>
      <c r="U154" s="591" t="s">
        <v>160</v>
      </c>
      <c r="V154" s="591" t="s">
        <v>160</v>
      </c>
      <c r="W154" s="591" t="s">
        <v>160</v>
      </c>
      <c r="X154" s="591" t="s">
        <v>160</v>
      </c>
      <c r="Y154" s="591" t="s">
        <v>160</v>
      </c>
      <c r="Z154" s="591" t="s">
        <v>160</v>
      </c>
      <c r="AA154" s="591" t="s">
        <v>160</v>
      </c>
      <c r="AB154" s="591" t="s">
        <v>160</v>
      </c>
      <c r="AC154" s="591" t="s">
        <v>160</v>
      </c>
      <c r="AD154" s="591" t="s">
        <v>160</v>
      </c>
      <c r="AE154" s="591" t="s">
        <v>160</v>
      </c>
      <c r="AF154" s="591" t="s">
        <v>160</v>
      </c>
      <c r="AG154" s="591" t="s">
        <v>160</v>
      </c>
      <c r="AH154" s="591" t="s">
        <v>160</v>
      </c>
      <c r="AI154" s="591" t="s">
        <v>160</v>
      </c>
      <c r="AJ154" s="591" t="s">
        <v>160</v>
      </c>
      <c r="AK154" s="591" t="s">
        <v>160</v>
      </c>
      <c r="AL154" s="591" t="s">
        <v>160</v>
      </c>
      <c r="AM154" s="591" t="s">
        <v>160</v>
      </c>
      <c r="AN154" s="591" t="s">
        <v>160</v>
      </c>
      <c r="AO154" s="591" t="s">
        <v>160</v>
      </c>
      <c r="AP154" s="591" t="s">
        <v>160</v>
      </c>
      <c r="AQ154" s="591" t="s">
        <v>160</v>
      </c>
      <c r="AR154" s="591">
        <v>1684</v>
      </c>
      <c r="AS154" s="591">
        <v>1684</v>
      </c>
      <c r="AT154" s="591">
        <v>1684</v>
      </c>
      <c r="AU154" s="591">
        <v>1684</v>
      </c>
      <c r="AV154" s="591">
        <v>1684</v>
      </c>
      <c r="AW154" s="591">
        <v>1684</v>
      </c>
      <c r="AX154" s="935">
        <v>1684</v>
      </c>
      <c r="AY154" s="842" t="s">
        <v>160</v>
      </c>
      <c r="AZ154" s="842" t="s">
        <v>160</v>
      </c>
      <c r="BA154" s="340">
        <v>1149</v>
      </c>
      <c r="BB154" s="591">
        <v>1149</v>
      </c>
      <c r="BC154" s="591">
        <v>1149</v>
      </c>
      <c r="BD154" s="591">
        <v>1149</v>
      </c>
      <c r="BE154" s="591">
        <v>1149</v>
      </c>
      <c r="BF154" s="591">
        <v>1149</v>
      </c>
      <c r="BG154" s="341">
        <v>1245</v>
      </c>
      <c r="BH154" s="591">
        <v>1245</v>
      </c>
      <c r="BI154" s="591">
        <v>1245</v>
      </c>
      <c r="BJ154" s="591">
        <v>1245</v>
      </c>
      <c r="BK154" s="591">
        <v>1245</v>
      </c>
      <c r="BL154" s="591">
        <v>1245</v>
      </c>
      <c r="BM154" s="591">
        <v>1245</v>
      </c>
      <c r="BN154" s="591">
        <v>1245</v>
      </c>
      <c r="BO154" s="591">
        <v>1245</v>
      </c>
      <c r="BP154" s="591" t="s">
        <v>160</v>
      </c>
      <c r="BQ154" s="591" t="s">
        <v>160</v>
      </c>
      <c r="BR154" s="591" t="s">
        <v>160</v>
      </c>
      <c r="BS154" s="591">
        <v>953</v>
      </c>
      <c r="BT154"/>
      <c r="BU154"/>
      <c r="BV154"/>
      <c r="BW154"/>
    </row>
    <row r="155" spans="1:117" x14ac:dyDescent="0.25">
      <c r="A155" t="s">
        <v>557</v>
      </c>
      <c r="B155" t="s">
        <v>856</v>
      </c>
      <c r="C155"/>
      <c r="D155" s="277" t="str">
        <f>IF([1]RENAME!$H$3=1,B155,A155)</f>
        <v>Média</v>
      </c>
      <c r="E155" s="326" t="str">
        <f t="shared" ref="E155:AJ155" si="115">IFERROR(AVERAGE(E150:E154),"-")</f>
        <v>-</v>
      </c>
      <c r="F155" s="326" t="str">
        <f t="shared" si="115"/>
        <v>-</v>
      </c>
      <c r="G155" s="326" t="str">
        <f t="shared" si="115"/>
        <v>-</v>
      </c>
      <c r="H155" s="326" t="str">
        <f t="shared" si="115"/>
        <v>-</v>
      </c>
      <c r="I155" s="326" t="str">
        <f t="shared" si="115"/>
        <v>-</v>
      </c>
      <c r="J155" s="326" t="str">
        <f t="shared" si="115"/>
        <v>-</v>
      </c>
      <c r="K155" s="326" t="str">
        <f t="shared" si="115"/>
        <v>-</v>
      </c>
      <c r="L155" s="337" t="str">
        <f t="shared" si="115"/>
        <v>-</v>
      </c>
      <c r="M155" s="337" t="str">
        <f t="shared" si="115"/>
        <v>-</v>
      </c>
      <c r="N155" s="337" t="str">
        <f t="shared" si="115"/>
        <v>-</v>
      </c>
      <c r="O155" s="337" t="str">
        <f t="shared" si="115"/>
        <v>-</v>
      </c>
      <c r="P155" s="337" t="str">
        <f t="shared" si="115"/>
        <v>-</v>
      </c>
      <c r="Q155" s="337" t="str">
        <f t="shared" si="115"/>
        <v>-</v>
      </c>
      <c r="R155" s="337" t="str">
        <f t="shared" si="115"/>
        <v>-</v>
      </c>
      <c r="S155" s="337" t="str">
        <f t="shared" si="115"/>
        <v>-</v>
      </c>
      <c r="T155" s="347" t="str">
        <f t="shared" si="115"/>
        <v>-</v>
      </c>
      <c r="U155" s="347" t="str">
        <f t="shared" si="115"/>
        <v>-</v>
      </c>
      <c r="V155" s="347" t="str">
        <f t="shared" si="115"/>
        <v>-</v>
      </c>
      <c r="W155" s="347" t="str">
        <f t="shared" si="115"/>
        <v>-</v>
      </c>
      <c r="X155" s="347" t="str">
        <f t="shared" si="115"/>
        <v>-</v>
      </c>
      <c r="Y155" s="347" t="str">
        <f t="shared" si="115"/>
        <v>-</v>
      </c>
      <c r="Z155" s="347" t="str">
        <f t="shared" si="115"/>
        <v>-</v>
      </c>
      <c r="AA155" s="347" t="str">
        <f t="shared" si="115"/>
        <v>-</v>
      </c>
      <c r="AB155" s="347" t="str">
        <f t="shared" si="115"/>
        <v>-</v>
      </c>
      <c r="AC155" s="347" t="str">
        <f t="shared" si="115"/>
        <v>-</v>
      </c>
      <c r="AD155" s="347" t="str">
        <f t="shared" si="115"/>
        <v>-</v>
      </c>
      <c r="AE155" s="347" t="str">
        <f t="shared" si="115"/>
        <v>-</v>
      </c>
      <c r="AF155" s="347" t="str">
        <f t="shared" si="115"/>
        <v>-</v>
      </c>
      <c r="AG155" s="347" t="str">
        <f t="shared" si="115"/>
        <v>-</v>
      </c>
      <c r="AH155" s="347" t="str">
        <f t="shared" si="115"/>
        <v>-</v>
      </c>
      <c r="AI155" s="347" t="str">
        <f t="shared" si="115"/>
        <v>-</v>
      </c>
      <c r="AJ155" s="347" t="str">
        <f t="shared" si="115"/>
        <v>-</v>
      </c>
      <c r="AK155" s="347" t="str">
        <f t="shared" ref="AK155:BP155" si="116">IFERROR(AVERAGE(AK150:AK154),"-")</f>
        <v>-</v>
      </c>
      <c r="AL155" s="347">
        <f t="shared" si="116"/>
        <v>1717</v>
      </c>
      <c r="AM155" s="347">
        <f t="shared" si="116"/>
        <v>1717</v>
      </c>
      <c r="AN155" s="347">
        <f t="shared" si="116"/>
        <v>1778.5</v>
      </c>
      <c r="AO155" s="347">
        <f t="shared" si="116"/>
        <v>1778.5</v>
      </c>
      <c r="AP155" s="347">
        <f t="shared" si="116"/>
        <v>1778.5</v>
      </c>
      <c r="AQ155" s="347">
        <f t="shared" si="116"/>
        <v>1778.5</v>
      </c>
      <c r="AR155" s="347">
        <f t="shared" si="116"/>
        <v>1747</v>
      </c>
      <c r="AS155" s="347">
        <f t="shared" si="116"/>
        <v>1728.75</v>
      </c>
      <c r="AT155" s="347">
        <f t="shared" si="116"/>
        <v>1728.75</v>
      </c>
      <c r="AU155" s="347">
        <f t="shared" si="116"/>
        <v>1678</v>
      </c>
      <c r="AV155" s="816">
        <f t="shared" si="116"/>
        <v>1678</v>
      </c>
      <c r="AW155" s="816">
        <f t="shared" si="116"/>
        <v>1678</v>
      </c>
      <c r="AX155" s="936">
        <f t="shared" si="116"/>
        <v>1678</v>
      </c>
      <c r="AY155" s="948">
        <f t="shared" si="116"/>
        <v>1316.0829709610105</v>
      </c>
      <c r="AZ155" s="816">
        <f t="shared" si="116"/>
        <v>1316.0829709610105</v>
      </c>
      <c r="BA155" s="816">
        <f t="shared" si="116"/>
        <v>1232.3609903203369</v>
      </c>
      <c r="BB155" s="816">
        <f t="shared" si="116"/>
        <v>1232.3609903203369</v>
      </c>
      <c r="BC155" s="816">
        <f t="shared" si="116"/>
        <v>1232.3609903203369</v>
      </c>
      <c r="BD155" s="816">
        <f t="shared" si="116"/>
        <v>1232.3609903203369</v>
      </c>
      <c r="BE155" s="816">
        <f t="shared" si="116"/>
        <v>1252.7707427402527</v>
      </c>
      <c r="BF155" s="816">
        <f t="shared" si="116"/>
        <v>1274.75</v>
      </c>
      <c r="BG155" s="816">
        <f t="shared" si="116"/>
        <v>1335.5</v>
      </c>
      <c r="BH155" s="816">
        <f t="shared" si="116"/>
        <v>1335.5</v>
      </c>
      <c r="BI155" s="816">
        <f t="shared" si="116"/>
        <v>1335.5</v>
      </c>
      <c r="BJ155" s="816">
        <f t="shared" si="116"/>
        <v>1335.5</v>
      </c>
      <c r="BK155" s="816">
        <f t="shared" si="116"/>
        <v>1335.5</v>
      </c>
      <c r="BL155" s="816">
        <f t="shared" si="116"/>
        <v>1335.5</v>
      </c>
      <c r="BM155" s="816">
        <f t="shared" si="116"/>
        <v>1335.75</v>
      </c>
      <c r="BN155" s="816">
        <f t="shared" si="116"/>
        <v>1335.75</v>
      </c>
      <c r="BO155" s="816">
        <f t="shared" si="116"/>
        <v>1335.75</v>
      </c>
      <c r="BP155" s="816">
        <f t="shared" si="116"/>
        <v>972</v>
      </c>
      <c r="BQ155" s="816">
        <f>IFERROR(AVERAGE(BQ150:BQ154),"-")</f>
        <v>972</v>
      </c>
      <c r="BR155" s="816">
        <f>IFERROR(AVERAGE(BR150:BR154),"-")</f>
        <v>972</v>
      </c>
      <c r="BS155" s="816">
        <f>IFERROR(AVERAGE(BS150:BS154),"-")</f>
        <v>968.5</v>
      </c>
      <c r="BT155"/>
      <c r="BU155"/>
      <c r="BV155"/>
      <c r="BW155"/>
    </row>
    <row r="156" spans="1:117" customFormat="1" x14ac:dyDescent="0.25">
      <c r="A156" s="261"/>
      <c r="B156" s="261"/>
      <c r="C156" s="261"/>
      <c r="D156" s="261"/>
      <c r="E156" s="261"/>
      <c r="F156" s="261"/>
      <c r="G156" s="261"/>
      <c r="H156" s="261"/>
      <c r="I156" s="261"/>
      <c r="J156" s="261"/>
      <c r="K156" s="261"/>
      <c r="L156" s="261"/>
      <c r="M156" s="261"/>
      <c r="N156" s="261"/>
      <c r="O156" s="261"/>
      <c r="P156" s="261"/>
      <c r="Q156" s="261"/>
      <c r="R156" s="261"/>
      <c r="S156" s="339"/>
      <c r="T156" s="339"/>
      <c r="U156" s="339"/>
      <c r="V156" s="339"/>
      <c r="W156" s="339"/>
      <c r="X156" s="339"/>
      <c r="Y156" s="339"/>
      <c r="Z156" s="339"/>
      <c r="AA156" s="339"/>
      <c r="AB156" s="339"/>
      <c r="AC156" s="339"/>
      <c r="AD156" s="339"/>
      <c r="AE156" s="339"/>
      <c r="AF156" s="339"/>
      <c r="AG156" s="339"/>
      <c r="AH156" s="339"/>
      <c r="AI156" s="339"/>
      <c r="AJ156" s="339"/>
      <c r="AK156" s="339"/>
      <c r="AL156" s="339"/>
      <c r="AM156" s="339"/>
      <c r="AN156" s="339"/>
      <c r="AO156" s="339"/>
      <c r="AP156" s="339"/>
      <c r="AQ156" s="339"/>
      <c r="AR156" s="339"/>
      <c r="AS156" s="339"/>
      <c r="AT156" s="339"/>
      <c r="AU156" s="339"/>
      <c r="AX156" s="937"/>
      <c r="DI156" s="1172"/>
      <c r="DJ156" s="1172"/>
      <c r="DK156" s="1172"/>
      <c r="DL156" s="1172"/>
      <c r="DM156" s="1172"/>
    </row>
    <row r="157" spans="1:117" customFormat="1" x14ac:dyDescent="0.25">
      <c r="A157" s="261" t="s">
        <v>1416</v>
      </c>
      <c r="B157" s="261" t="s">
        <v>1417</v>
      </c>
      <c r="C157" s="261"/>
      <c r="D157" s="113" t="str">
        <f>IF([1]RENAME!$H$3=1,B157,A157)</f>
        <v>EBITDA 2021</v>
      </c>
      <c r="E157" s="262">
        <f t="shared" ref="E157:AJ157" si="117">+E$173</f>
        <v>42522</v>
      </c>
      <c r="F157" s="262">
        <f t="shared" si="117"/>
        <v>42552</v>
      </c>
      <c r="G157" s="262">
        <f t="shared" si="117"/>
        <v>42583</v>
      </c>
      <c r="H157" s="262">
        <f t="shared" si="117"/>
        <v>42614</v>
      </c>
      <c r="I157" s="262">
        <f t="shared" si="117"/>
        <v>42644</v>
      </c>
      <c r="J157" s="262">
        <f t="shared" si="117"/>
        <v>42675</v>
      </c>
      <c r="K157" s="262">
        <f t="shared" si="117"/>
        <v>42705</v>
      </c>
      <c r="L157" s="262">
        <f t="shared" si="117"/>
        <v>42736</v>
      </c>
      <c r="M157" s="262">
        <f t="shared" si="117"/>
        <v>42767</v>
      </c>
      <c r="N157" s="262">
        <f t="shared" si="117"/>
        <v>42795</v>
      </c>
      <c r="O157" s="262">
        <f t="shared" si="117"/>
        <v>42826</v>
      </c>
      <c r="P157" s="262">
        <f t="shared" si="117"/>
        <v>42856</v>
      </c>
      <c r="Q157" s="262">
        <f t="shared" si="117"/>
        <v>42887</v>
      </c>
      <c r="R157" s="262">
        <f t="shared" si="117"/>
        <v>42917</v>
      </c>
      <c r="S157" s="262">
        <f t="shared" si="117"/>
        <v>42948</v>
      </c>
      <c r="T157" s="262">
        <f t="shared" si="117"/>
        <v>42979</v>
      </c>
      <c r="U157" s="262">
        <f t="shared" si="117"/>
        <v>43009</v>
      </c>
      <c r="V157" s="262">
        <f t="shared" si="117"/>
        <v>43040</v>
      </c>
      <c r="W157" s="262">
        <f t="shared" si="117"/>
        <v>43070</v>
      </c>
      <c r="X157" s="262">
        <f t="shared" si="117"/>
        <v>43101</v>
      </c>
      <c r="Y157" s="262">
        <f t="shared" si="117"/>
        <v>43132</v>
      </c>
      <c r="Z157" s="262">
        <f t="shared" si="117"/>
        <v>43160</v>
      </c>
      <c r="AA157" s="262">
        <f t="shared" si="117"/>
        <v>43191</v>
      </c>
      <c r="AB157" s="262">
        <f t="shared" si="117"/>
        <v>43221</v>
      </c>
      <c r="AC157" s="262">
        <f t="shared" si="117"/>
        <v>43252</v>
      </c>
      <c r="AD157" s="262">
        <f t="shared" si="117"/>
        <v>43283</v>
      </c>
      <c r="AE157" s="262">
        <f t="shared" si="117"/>
        <v>43314</v>
      </c>
      <c r="AF157" s="262">
        <f t="shared" si="117"/>
        <v>43345</v>
      </c>
      <c r="AG157" s="262">
        <f t="shared" si="117"/>
        <v>43376</v>
      </c>
      <c r="AH157" s="262">
        <f t="shared" si="117"/>
        <v>43407</v>
      </c>
      <c r="AI157" s="262">
        <f t="shared" si="117"/>
        <v>43437</v>
      </c>
      <c r="AJ157" s="262">
        <f t="shared" si="117"/>
        <v>43468</v>
      </c>
      <c r="AK157" s="262">
        <f t="shared" ref="AK157:BS157" si="118">+AK$173</f>
        <v>43499</v>
      </c>
      <c r="AL157" s="262">
        <f t="shared" si="118"/>
        <v>43527</v>
      </c>
      <c r="AM157" s="262">
        <f t="shared" si="118"/>
        <v>43558</v>
      </c>
      <c r="AN157" s="262">
        <f t="shared" si="118"/>
        <v>43587</v>
      </c>
      <c r="AO157" s="262">
        <f t="shared" si="118"/>
        <v>43618</v>
      </c>
      <c r="AP157" s="262">
        <f t="shared" si="118"/>
        <v>43647</v>
      </c>
      <c r="AQ157" s="262">
        <f t="shared" si="118"/>
        <v>43678</v>
      </c>
      <c r="AR157" s="262">
        <f t="shared" si="118"/>
        <v>43709</v>
      </c>
      <c r="AS157" s="262">
        <f t="shared" si="118"/>
        <v>43739</v>
      </c>
      <c r="AT157" s="262">
        <f t="shared" si="118"/>
        <v>43770</v>
      </c>
      <c r="AU157" s="262">
        <f t="shared" si="118"/>
        <v>43800</v>
      </c>
      <c r="AV157" s="262">
        <f t="shared" si="118"/>
        <v>43831</v>
      </c>
      <c r="AW157" s="262">
        <f t="shared" si="118"/>
        <v>43862</v>
      </c>
      <c r="AX157" s="933">
        <f t="shared" si="118"/>
        <v>43891</v>
      </c>
      <c r="AY157" s="262">
        <f t="shared" si="118"/>
        <v>43922</v>
      </c>
      <c r="AZ157" s="262">
        <f t="shared" si="118"/>
        <v>43952</v>
      </c>
      <c r="BA157" s="262">
        <f t="shared" si="118"/>
        <v>43983</v>
      </c>
      <c r="BB157" s="262">
        <f t="shared" si="118"/>
        <v>44013</v>
      </c>
      <c r="BC157" s="262">
        <f t="shared" si="118"/>
        <v>44044</v>
      </c>
      <c r="BD157" s="262">
        <f t="shared" si="118"/>
        <v>44075</v>
      </c>
      <c r="BE157" s="262">
        <f t="shared" si="118"/>
        <v>44105</v>
      </c>
      <c r="BF157" s="262">
        <f t="shared" si="118"/>
        <v>44136</v>
      </c>
      <c r="BG157" s="262">
        <f t="shared" si="118"/>
        <v>44166</v>
      </c>
      <c r="BH157" s="262">
        <f t="shared" si="118"/>
        <v>44197</v>
      </c>
      <c r="BI157" s="262">
        <f t="shared" si="118"/>
        <v>44228</v>
      </c>
      <c r="BJ157" s="262">
        <f t="shared" si="118"/>
        <v>44256</v>
      </c>
      <c r="BK157" s="262">
        <f t="shared" si="118"/>
        <v>44287</v>
      </c>
      <c r="BL157" s="262">
        <f t="shared" si="118"/>
        <v>44317</v>
      </c>
      <c r="BM157" s="262">
        <f t="shared" si="118"/>
        <v>44348</v>
      </c>
      <c r="BN157" s="262">
        <f t="shared" si="118"/>
        <v>44378</v>
      </c>
      <c r="BO157" s="262">
        <f t="shared" si="118"/>
        <v>44409</v>
      </c>
      <c r="BP157" s="262">
        <f t="shared" si="118"/>
        <v>44440</v>
      </c>
      <c r="BQ157" s="262">
        <f t="shared" si="118"/>
        <v>44470</v>
      </c>
      <c r="BR157" s="262">
        <f t="shared" si="118"/>
        <v>44501</v>
      </c>
      <c r="BS157" s="262">
        <f t="shared" si="118"/>
        <v>44531</v>
      </c>
      <c r="DI157" s="1172"/>
      <c r="DJ157" s="1172"/>
      <c r="DK157" s="1172"/>
      <c r="DL157" s="1172"/>
      <c r="DM157" s="1172"/>
    </row>
    <row r="158" spans="1:117" customFormat="1" x14ac:dyDescent="0.25">
      <c r="A158" s="261" t="s">
        <v>542</v>
      </c>
      <c r="B158" s="261" t="s">
        <v>542</v>
      </c>
      <c r="C158" s="261"/>
      <c r="D158" s="117" t="str">
        <f>IF([1]RENAME!$H$3=1,B158,A158)</f>
        <v>SANTANDER</v>
      </c>
      <c r="E158" s="263" t="s">
        <v>160</v>
      </c>
      <c r="F158" s="263" t="s">
        <v>160</v>
      </c>
      <c r="G158" s="263" t="s">
        <v>160</v>
      </c>
      <c r="H158" s="264" t="s">
        <v>160</v>
      </c>
      <c r="I158" s="264" t="s">
        <v>160</v>
      </c>
      <c r="J158" s="264" t="s">
        <v>160</v>
      </c>
      <c r="K158" s="264" t="s">
        <v>160</v>
      </c>
      <c r="L158" s="264" t="s">
        <v>160</v>
      </c>
      <c r="M158" s="264" t="s">
        <v>160</v>
      </c>
      <c r="N158" s="592" t="s">
        <v>160</v>
      </c>
      <c r="O158" s="592" t="s">
        <v>160</v>
      </c>
      <c r="P158" s="592" t="s">
        <v>160</v>
      </c>
      <c r="Q158" s="592" t="s">
        <v>160</v>
      </c>
      <c r="R158" s="592" t="s">
        <v>160</v>
      </c>
      <c r="S158" s="592" t="s">
        <v>160</v>
      </c>
      <c r="T158" s="592" t="s">
        <v>160</v>
      </c>
      <c r="U158" s="592" t="s">
        <v>160</v>
      </c>
      <c r="V158" s="592" t="s">
        <v>160</v>
      </c>
      <c r="W158" s="591" t="s">
        <v>160</v>
      </c>
      <c r="X158" s="591" t="s">
        <v>160</v>
      </c>
      <c r="Y158" s="591" t="s">
        <v>160</v>
      </c>
      <c r="Z158" s="591" t="s">
        <v>160</v>
      </c>
      <c r="AA158" s="591" t="s">
        <v>160</v>
      </c>
      <c r="AB158" s="591" t="s">
        <v>160</v>
      </c>
      <c r="AC158" s="591" t="s">
        <v>160</v>
      </c>
      <c r="AD158" s="591" t="s">
        <v>160</v>
      </c>
      <c r="AE158" s="591" t="s">
        <v>160</v>
      </c>
      <c r="AF158" s="591" t="s">
        <v>160</v>
      </c>
      <c r="AG158" s="591" t="s">
        <v>160</v>
      </c>
      <c r="AH158" s="591" t="s">
        <v>160</v>
      </c>
      <c r="AI158" s="591" t="s">
        <v>160</v>
      </c>
      <c r="AJ158" s="591" t="s">
        <v>160</v>
      </c>
      <c r="AK158" s="591" t="s">
        <v>160</v>
      </c>
      <c r="AL158" s="591" t="s">
        <v>160</v>
      </c>
      <c r="AM158" s="591" t="s">
        <v>160</v>
      </c>
      <c r="AN158" s="591" t="s">
        <v>160</v>
      </c>
      <c r="AO158" s="591" t="s">
        <v>160</v>
      </c>
      <c r="AP158" s="591" t="s">
        <v>160</v>
      </c>
      <c r="AQ158" s="591" t="s">
        <v>160</v>
      </c>
      <c r="AR158" s="591" t="s">
        <v>160</v>
      </c>
      <c r="AS158" s="591" t="s">
        <v>160</v>
      </c>
      <c r="AT158" s="591" t="s">
        <v>160</v>
      </c>
      <c r="AU158" s="591">
        <f>342-36</f>
        <v>306</v>
      </c>
      <c r="AV158" s="591">
        <f>342-36</f>
        <v>306</v>
      </c>
      <c r="AW158" s="591">
        <f>342-36</f>
        <v>306</v>
      </c>
      <c r="AX158" s="935">
        <f>342-36</f>
        <v>306</v>
      </c>
      <c r="AY158" s="842" t="s">
        <v>160</v>
      </c>
      <c r="AZ158" s="842" t="s">
        <v>160</v>
      </c>
      <c r="BA158" s="340">
        <v>204</v>
      </c>
      <c r="BB158" s="591">
        <v>204</v>
      </c>
      <c r="BC158" s="591">
        <v>204</v>
      </c>
      <c r="BD158" s="591">
        <v>204</v>
      </c>
      <c r="BE158" s="591">
        <v>204</v>
      </c>
      <c r="BF158" s="591">
        <v>204</v>
      </c>
      <c r="BG158" s="341">
        <v>265</v>
      </c>
      <c r="BH158" s="591">
        <v>265</v>
      </c>
      <c r="BI158" s="591">
        <v>265</v>
      </c>
      <c r="BJ158" s="591">
        <v>265</v>
      </c>
      <c r="BK158" s="591">
        <v>265</v>
      </c>
      <c r="BL158" s="591">
        <v>265</v>
      </c>
      <c r="BM158" s="591">
        <v>266</v>
      </c>
      <c r="BN158" s="591">
        <v>266</v>
      </c>
      <c r="BO158" s="591">
        <v>266</v>
      </c>
      <c r="BP158" s="591" t="s">
        <v>160</v>
      </c>
      <c r="BQ158" s="591" t="s">
        <v>160</v>
      </c>
      <c r="BR158" s="591" t="s">
        <v>160</v>
      </c>
      <c r="BS158" s="591">
        <v>164</v>
      </c>
      <c r="DI158" s="1172"/>
      <c r="DJ158" s="1172"/>
      <c r="DK158" s="1172"/>
      <c r="DL158" s="1172"/>
      <c r="DM158" s="1172"/>
    </row>
    <row r="159" spans="1:117" x14ac:dyDescent="0.25">
      <c r="A159" s="261" t="s">
        <v>545</v>
      </c>
      <c r="B159" s="261" t="s">
        <v>545</v>
      </c>
      <c r="D159" s="117" t="str">
        <f>IF([1]RENAME!$H$3=1,B159,A159)</f>
        <v>BAML</v>
      </c>
      <c r="E159" s="263" t="s">
        <v>160</v>
      </c>
      <c r="F159" s="263" t="s">
        <v>160</v>
      </c>
      <c r="G159" s="263" t="s">
        <v>160</v>
      </c>
      <c r="H159" s="263" t="s">
        <v>160</v>
      </c>
      <c r="I159" s="263" t="s">
        <v>160</v>
      </c>
      <c r="J159" s="264" t="s">
        <v>160</v>
      </c>
      <c r="K159" s="264" t="s">
        <v>160</v>
      </c>
      <c r="L159" s="264" t="s">
        <v>160</v>
      </c>
      <c r="M159" s="264" t="s">
        <v>160</v>
      </c>
      <c r="N159" s="592" t="s">
        <v>160</v>
      </c>
      <c r="O159" s="592" t="s">
        <v>160</v>
      </c>
      <c r="P159" s="592" t="s">
        <v>160</v>
      </c>
      <c r="Q159" s="592" t="s">
        <v>160</v>
      </c>
      <c r="R159" s="592" t="s">
        <v>160</v>
      </c>
      <c r="S159" s="591" t="s">
        <v>160</v>
      </c>
      <c r="T159" s="591" t="s">
        <v>160</v>
      </c>
      <c r="U159" s="591" t="s">
        <v>160</v>
      </c>
      <c r="V159" s="591" t="s">
        <v>160</v>
      </c>
      <c r="W159" s="591" t="s">
        <v>160</v>
      </c>
      <c r="X159" s="591" t="s">
        <v>160</v>
      </c>
      <c r="Y159" s="591" t="s">
        <v>160</v>
      </c>
      <c r="Z159" s="591" t="s">
        <v>160</v>
      </c>
      <c r="AA159" s="591" t="s">
        <v>160</v>
      </c>
      <c r="AB159" s="591" t="s">
        <v>160</v>
      </c>
      <c r="AC159" s="591" t="s">
        <v>160</v>
      </c>
      <c r="AD159" s="591" t="s">
        <v>160</v>
      </c>
      <c r="AE159" s="591" t="s">
        <v>160</v>
      </c>
      <c r="AF159" s="591" t="s">
        <v>160</v>
      </c>
      <c r="AG159" s="591" t="s">
        <v>160</v>
      </c>
      <c r="AH159" s="591" t="s">
        <v>160</v>
      </c>
      <c r="AI159" s="592" t="s">
        <v>160</v>
      </c>
      <c r="AJ159" s="592" t="s">
        <v>160</v>
      </c>
      <c r="AK159" s="592" t="s">
        <v>160</v>
      </c>
      <c r="AL159" s="591">
        <v>267</v>
      </c>
      <c r="AM159" s="591">
        <v>267</v>
      </c>
      <c r="AN159" s="690">
        <v>275</v>
      </c>
      <c r="AO159" s="591">
        <v>275</v>
      </c>
      <c r="AP159" s="591">
        <v>275</v>
      </c>
      <c r="AQ159" s="591">
        <v>275</v>
      </c>
      <c r="AR159" s="591">
        <v>275</v>
      </c>
      <c r="AS159" s="591">
        <v>275</v>
      </c>
      <c r="AT159" s="591">
        <v>275</v>
      </c>
      <c r="AU159" s="340">
        <v>273</v>
      </c>
      <c r="AV159" s="591">
        <v>273</v>
      </c>
      <c r="AW159" s="591">
        <v>273</v>
      </c>
      <c r="AX159" s="935">
        <v>273</v>
      </c>
      <c r="AY159" s="842" t="s">
        <v>160</v>
      </c>
      <c r="AZ159" s="842" t="s">
        <v>160</v>
      </c>
      <c r="BA159" s="276" t="s">
        <v>160</v>
      </c>
      <c r="BB159" s="276" t="s">
        <v>160</v>
      </c>
      <c r="BC159" s="276" t="s">
        <v>160</v>
      </c>
      <c r="BD159" s="276" t="s">
        <v>160</v>
      </c>
      <c r="BE159" s="276" t="s">
        <v>160</v>
      </c>
      <c r="BF159" s="276" t="s">
        <v>160</v>
      </c>
      <c r="BG159" s="276" t="s">
        <v>160</v>
      </c>
      <c r="BH159" s="592" t="s">
        <v>160</v>
      </c>
      <c r="BI159" s="592" t="s">
        <v>160</v>
      </c>
      <c r="BJ159" s="592" t="s">
        <v>160</v>
      </c>
      <c r="BK159" s="592" t="s">
        <v>160</v>
      </c>
      <c r="BL159" s="592" t="s">
        <v>160</v>
      </c>
      <c r="BM159" s="592" t="s">
        <v>160</v>
      </c>
      <c r="BN159" s="592" t="s">
        <v>160</v>
      </c>
      <c r="BO159" s="592" t="s">
        <v>160</v>
      </c>
      <c r="BP159" s="592">
        <v>166</v>
      </c>
      <c r="BQ159" s="592">
        <v>166</v>
      </c>
      <c r="BR159" s="592">
        <v>166</v>
      </c>
      <c r="BS159" s="592">
        <v>166</v>
      </c>
      <c r="BT159"/>
      <c r="BU159"/>
      <c r="BV159"/>
      <c r="BW159"/>
    </row>
    <row r="160" spans="1:117" x14ac:dyDescent="0.25">
      <c r="A160" s="261" t="s">
        <v>546</v>
      </c>
      <c r="B160" s="261" t="s">
        <v>546</v>
      </c>
      <c r="D160" s="117" t="str">
        <f>IF([1]RENAME!$H$3=1,B160,A160)</f>
        <v>BTG PACTUAL</v>
      </c>
      <c r="E160" s="263" t="s">
        <v>160</v>
      </c>
      <c r="F160" s="263" t="s">
        <v>160</v>
      </c>
      <c r="G160" s="263" t="s">
        <v>160</v>
      </c>
      <c r="H160" s="263" t="s">
        <v>160</v>
      </c>
      <c r="I160" s="263" t="s">
        <v>160</v>
      </c>
      <c r="J160" s="264" t="s">
        <v>160</v>
      </c>
      <c r="K160" s="264" t="s">
        <v>160</v>
      </c>
      <c r="L160" s="264" t="s">
        <v>160</v>
      </c>
      <c r="M160" s="264" t="s">
        <v>160</v>
      </c>
      <c r="N160" s="592" t="s">
        <v>160</v>
      </c>
      <c r="O160" s="592" t="s">
        <v>160</v>
      </c>
      <c r="P160" s="592" t="s">
        <v>160</v>
      </c>
      <c r="Q160" s="592" t="s">
        <v>160</v>
      </c>
      <c r="R160" s="592" t="s">
        <v>160</v>
      </c>
      <c r="S160" s="592" t="s">
        <v>160</v>
      </c>
      <c r="T160" s="592" t="s">
        <v>160</v>
      </c>
      <c r="U160" s="592" t="s">
        <v>160</v>
      </c>
      <c r="V160" s="592" t="s">
        <v>160</v>
      </c>
      <c r="W160" s="592" t="s">
        <v>160</v>
      </c>
      <c r="X160" s="592" t="s">
        <v>160</v>
      </c>
      <c r="Y160" s="592" t="s">
        <v>160</v>
      </c>
      <c r="Z160" s="592" t="s">
        <v>160</v>
      </c>
      <c r="AA160" s="592" t="s">
        <v>160</v>
      </c>
      <c r="AB160" s="592" t="s">
        <v>160</v>
      </c>
      <c r="AC160" s="592" t="s">
        <v>160</v>
      </c>
      <c r="AD160" s="592" t="s">
        <v>160</v>
      </c>
      <c r="AE160" s="592" t="s">
        <v>160</v>
      </c>
      <c r="AF160" s="592" t="s">
        <v>160</v>
      </c>
      <c r="AG160" s="592" t="s">
        <v>160</v>
      </c>
      <c r="AH160" s="591" t="s">
        <v>160</v>
      </c>
      <c r="AI160" s="592" t="s">
        <v>160</v>
      </c>
      <c r="AJ160" s="592" t="s">
        <v>160</v>
      </c>
      <c r="AK160" s="592" t="s">
        <v>160</v>
      </c>
      <c r="AL160" s="591" t="s">
        <v>160</v>
      </c>
      <c r="AM160" s="591" t="s">
        <v>160</v>
      </c>
      <c r="AN160" s="591">
        <v>291</v>
      </c>
      <c r="AO160" s="591">
        <v>291</v>
      </c>
      <c r="AP160" s="591">
        <v>291</v>
      </c>
      <c r="AQ160" s="591">
        <v>291</v>
      </c>
      <c r="AR160" s="591">
        <v>291</v>
      </c>
      <c r="AS160" s="591">
        <v>291</v>
      </c>
      <c r="AT160" s="591">
        <v>291</v>
      </c>
      <c r="AU160" s="591">
        <v>291</v>
      </c>
      <c r="AV160" s="591">
        <v>291</v>
      </c>
      <c r="AW160" s="591">
        <v>291</v>
      </c>
      <c r="AX160" s="935">
        <v>291</v>
      </c>
      <c r="AY160" s="340">
        <v>208.65946703377631</v>
      </c>
      <c r="AZ160" s="591">
        <v>208.65946703377631</v>
      </c>
      <c r="BA160" s="591">
        <v>208.65946703377631</v>
      </c>
      <c r="BB160" s="591">
        <v>208.65946703377631</v>
      </c>
      <c r="BC160" s="591">
        <v>208.65946703377631</v>
      </c>
      <c r="BD160" s="591">
        <v>208.65946703377631</v>
      </c>
      <c r="BE160" s="591">
        <v>208.65946703377631</v>
      </c>
      <c r="BF160" s="341">
        <v>268</v>
      </c>
      <c r="BG160" s="591">
        <v>268</v>
      </c>
      <c r="BH160" s="591">
        <v>268</v>
      </c>
      <c r="BI160" s="591">
        <v>268</v>
      </c>
      <c r="BJ160" s="591">
        <v>268</v>
      </c>
      <c r="BK160" s="591">
        <v>268</v>
      </c>
      <c r="BL160" s="591">
        <v>268</v>
      </c>
      <c r="BM160" s="591">
        <v>268</v>
      </c>
      <c r="BN160" s="591">
        <v>268</v>
      </c>
      <c r="BO160" s="591">
        <v>268</v>
      </c>
      <c r="BP160" s="591" t="s">
        <v>160</v>
      </c>
      <c r="BQ160" s="591" t="s">
        <v>160</v>
      </c>
      <c r="BR160" s="591" t="s">
        <v>160</v>
      </c>
      <c r="BS160" s="591">
        <v>157</v>
      </c>
      <c r="BT160"/>
      <c r="BU160"/>
      <c r="BV160"/>
      <c r="BW160"/>
    </row>
    <row r="161" spans="1:117" x14ac:dyDescent="0.25">
      <c r="A161" s="261" t="s">
        <v>574</v>
      </c>
      <c r="B161" s="261" t="s">
        <v>574</v>
      </c>
      <c r="D161" s="117" t="str">
        <f>IF([1]RENAME!$H$3=1,B161,A161)</f>
        <v>SAFRA</v>
      </c>
      <c r="E161" s="263" t="s">
        <v>160</v>
      </c>
      <c r="F161" s="263" t="s">
        <v>160</v>
      </c>
      <c r="G161" s="263" t="s">
        <v>160</v>
      </c>
      <c r="H161" s="263" t="s">
        <v>160</v>
      </c>
      <c r="I161" s="263" t="s">
        <v>160</v>
      </c>
      <c r="J161" s="263" t="s">
        <v>160</v>
      </c>
      <c r="K161" s="263" t="s">
        <v>160</v>
      </c>
      <c r="L161" s="263" t="s">
        <v>160</v>
      </c>
      <c r="M161" s="263" t="s">
        <v>160</v>
      </c>
      <c r="N161" s="351" t="s">
        <v>160</v>
      </c>
      <c r="O161" s="351" t="s">
        <v>160</v>
      </c>
      <c r="P161" s="351" t="s">
        <v>160</v>
      </c>
      <c r="Q161" s="592" t="s">
        <v>160</v>
      </c>
      <c r="R161" s="592" t="s">
        <v>160</v>
      </c>
      <c r="S161" s="592" t="s">
        <v>160</v>
      </c>
      <c r="T161" s="592" t="s">
        <v>160</v>
      </c>
      <c r="U161" s="592" t="s">
        <v>160</v>
      </c>
      <c r="V161" s="592" t="s">
        <v>160</v>
      </c>
      <c r="W161" s="592" t="s">
        <v>160</v>
      </c>
      <c r="X161" s="592" t="s">
        <v>160</v>
      </c>
      <c r="Y161" s="591" t="s">
        <v>160</v>
      </c>
      <c r="Z161" s="591" t="s">
        <v>160</v>
      </c>
      <c r="AA161" s="591" t="s">
        <v>160</v>
      </c>
      <c r="AB161" s="591" t="s">
        <v>160</v>
      </c>
      <c r="AC161" s="591" t="s">
        <v>160</v>
      </c>
      <c r="AD161" s="591" t="s">
        <v>160</v>
      </c>
      <c r="AE161" s="591" t="s">
        <v>160</v>
      </c>
      <c r="AF161" s="591" t="s">
        <v>160</v>
      </c>
      <c r="AG161" s="591" t="s">
        <v>160</v>
      </c>
      <c r="AH161" s="591" t="s">
        <v>160</v>
      </c>
      <c r="AI161" s="592" t="s">
        <v>160</v>
      </c>
      <c r="AJ161" s="592" t="s">
        <v>160</v>
      </c>
      <c r="AK161" s="592" t="s">
        <v>160</v>
      </c>
      <c r="AL161" s="592" t="s">
        <v>160</v>
      </c>
      <c r="AM161" s="592" t="s">
        <v>160</v>
      </c>
      <c r="AN161" s="592" t="s">
        <v>160</v>
      </c>
      <c r="AO161" s="592" t="s">
        <v>160</v>
      </c>
      <c r="AP161" s="592" t="s">
        <v>160</v>
      </c>
      <c r="AQ161" s="592" t="s">
        <v>160</v>
      </c>
      <c r="AR161" s="592" t="s">
        <v>160</v>
      </c>
      <c r="AS161" s="592">
        <v>268</v>
      </c>
      <c r="AT161" s="592">
        <v>268</v>
      </c>
      <c r="AU161" s="592">
        <v>268</v>
      </c>
      <c r="AV161" s="592">
        <v>268</v>
      </c>
      <c r="AW161" s="592">
        <v>268</v>
      </c>
      <c r="AX161" s="938">
        <v>268</v>
      </c>
      <c r="AY161" s="276" t="s">
        <v>160</v>
      </c>
      <c r="AZ161" s="276" t="s">
        <v>160</v>
      </c>
      <c r="BA161" s="276" t="s">
        <v>160</v>
      </c>
      <c r="BB161" s="276" t="s">
        <v>160</v>
      </c>
      <c r="BC161" s="276" t="s">
        <v>160</v>
      </c>
      <c r="BD161" s="276" t="s">
        <v>160</v>
      </c>
      <c r="BE161" s="591">
        <v>235</v>
      </c>
      <c r="BF161" s="591">
        <v>235</v>
      </c>
      <c r="BG161" s="591">
        <v>235</v>
      </c>
      <c r="BH161" s="591">
        <v>235</v>
      </c>
      <c r="BI161" s="591">
        <v>235</v>
      </c>
      <c r="BJ161" s="591">
        <v>235</v>
      </c>
      <c r="BK161" s="591">
        <v>235</v>
      </c>
      <c r="BL161" s="591">
        <v>235</v>
      </c>
      <c r="BM161" s="591">
        <v>235</v>
      </c>
      <c r="BN161" s="591">
        <v>235</v>
      </c>
      <c r="BO161" s="591">
        <v>235</v>
      </c>
      <c r="BP161" s="591" t="s">
        <v>160</v>
      </c>
      <c r="BQ161" s="591" t="s">
        <v>160</v>
      </c>
      <c r="BR161" s="591" t="s">
        <v>160</v>
      </c>
      <c r="BS161" s="591" t="s">
        <v>160</v>
      </c>
      <c r="BT161"/>
      <c r="BU161"/>
      <c r="BV161"/>
      <c r="BW161"/>
    </row>
    <row r="162" spans="1:117" x14ac:dyDescent="0.25">
      <c r="A162" s="261" t="s">
        <v>547</v>
      </c>
      <c r="B162" s="261" t="s">
        <v>547</v>
      </c>
      <c r="D162" s="117" t="str">
        <f>IF([1]RENAME!$H$3=1,B162,A162)</f>
        <v>ITAÚ</v>
      </c>
      <c r="E162" s="263" t="s">
        <v>160</v>
      </c>
      <c r="F162" s="263" t="s">
        <v>160</v>
      </c>
      <c r="G162" s="263" t="s">
        <v>160</v>
      </c>
      <c r="H162" s="263" t="s">
        <v>160</v>
      </c>
      <c r="I162" s="264" t="s">
        <v>160</v>
      </c>
      <c r="J162" s="264" t="s">
        <v>160</v>
      </c>
      <c r="K162" s="264" t="s">
        <v>160</v>
      </c>
      <c r="L162" s="264" t="s">
        <v>160</v>
      </c>
      <c r="M162" s="264" t="s">
        <v>160</v>
      </c>
      <c r="N162" s="592" t="s">
        <v>160</v>
      </c>
      <c r="O162" s="592" t="s">
        <v>160</v>
      </c>
      <c r="P162" s="592" t="s">
        <v>160</v>
      </c>
      <c r="Q162" s="592" t="s">
        <v>160</v>
      </c>
      <c r="R162" s="592" t="s">
        <v>160</v>
      </c>
      <c r="S162" s="592" t="s">
        <v>160</v>
      </c>
      <c r="T162" s="592" t="s">
        <v>160</v>
      </c>
      <c r="U162" s="592" t="s">
        <v>160</v>
      </c>
      <c r="V162" s="592" t="s">
        <v>160</v>
      </c>
      <c r="W162" s="592" t="s">
        <v>160</v>
      </c>
      <c r="X162" s="591" t="s">
        <v>160</v>
      </c>
      <c r="Y162" s="592" t="s">
        <v>160</v>
      </c>
      <c r="Z162" s="592" t="s">
        <v>160</v>
      </c>
      <c r="AA162" s="592" t="s">
        <v>160</v>
      </c>
      <c r="AB162" s="592" t="s">
        <v>160</v>
      </c>
      <c r="AC162" s="592" t="s">
        <v>160</v>
      </c>
      <c r="AD162" s="592" t="s">
        <v>160</v>
      </c>
      <c r="AE162" s="592" t="s">
        <v>160</v>
      </c>
      <c r="AF162" s="591" t="s">
        <v>160</v>
      </c>
      <c r="AG162" s="592" t="s">
        <v>160</v>
      </c>
      <c r="AH162" s="592" t="s">
        <v>160</v>
      </c>
      <c r="AI162" s="592" t="s">
        <v>160</v>
      </c>
      <c r="AJ162" s="592" t="s">
        <v>160</v>
      </c>
      <c r="AK162" s="592" t="s">
        <v>160</v>
      </c>
      <c r="AL162" s="592" t="s">
        <v>160</v>
      </c>
      <c r="AM162" s="592" t="s">
        <v>160</v>
      </c>
      <c r="AN162" s="592" t="s">
        <v>160</v>
      </c>
      <c r="AO162" s="592" t="s">
        <v>160</v>
      </c>
      <c r="AP162" s="592" t="s">
        <v>160</v>
      </c>
      <c r="AQ162" s="592" t="s">
        <v>160</v>
      </c>
      <c r="AR162" s="592">
        <v>285</v>
      </c>
      <c r="AS162" s="592">
        <v>285</v>
      </c>
      <c r="AT162" s="592">
        <v>285</v>
      </c>
      <c r="AU162" s="592">
        <v>285</v>
      </c>
      <c r="AV162" s="592">
        <v>285</v>
      </c>
      <c r="AW162" s="592">
        <v>285</v>
      </c>
      <c r="AX162" s="938">
        <v>285</v>
      </c>
      <c r="AY162" s="842" t="s">
        <v>160</v>
      </c>
      <c r="AZ162" s="842" t="s">
        <v>160</v>
      </c>
      <c r="BA162" s="340">
        <v>180</v>
      </c>
      <c r="BB162" s="591">
        <v>180</v>
      </c>
      <c r="BC162" s="591">
        <v>180</v>
      </c>
      <c r="BD162" s="591">
        <v>180</v>
      </c>
      <c r="BE162" s="591">
        <v>180</v>
      </c>
      <c r="BF162" s="591">
        <v>180</v>
      </c>
      <c r="BG162" s="341">
        <v>234.8</v>
      </c>
      <c r="BH162" s="591">
        <v>234.8</v>
      </c>
      <c r="BI162" s="591">
        <v>234.8</v>
      </c>
      <c r="BJ162" s="591">
        <v>234.8</v>
      </c>
      <c r="BK162" s="591">
        <v>234.8</v>
      </c>
      <c r="BL162" s="591">
        <v>234.8</v>
      </c>
      <c r="BM162" s="591">
        <v>234.8</v>
      </c>
      <c r="BN162" s="591">
        <v>234.8</v>
      </c>
      <c r="BO162" s="591">
        <v>234.8</v>
      </c>
      <c r="BP162" s="591" t="s">
        <v>160</v>
      </c>
      <c r="BQ162" s="591" t="s">
        <v>160</v>
      </c>
      <c r="BR162" s="591" t="s">
        <v>160</v>
      </c>
      <c r="BS162" s="591">
        <v>163</v>
      </c>
      <c r="BT162"/>
      <c r="BU162"/>
      <c r="BV162"/>
      <c r="BW162"/>
    </row>
    <row r="163" spans="1:117" x14ac:dyDescent="0.25">
      <c r="A163" t="s">
        <v>557</v>
      </c>
      <c r="B163" t="s">
        <v>856</v>
      </c>
      <c r="C163"/>
      <c r="D163" s="277" t="str">
        <f>IF([1]RENAME!$H$3=1,B163,A163)</f>
        <v>Média</v>
      </c>
      <c r="E163" s="326" t="str">
        <f t="shared" ref="E163:M163" si="119">IFERROR(AVERAGE(E158:E162),"-")</f>
        <v>-</v>
      </c>
      <c r="F163" s="326" t="str">
        <f t="shared" si="119"/>
        <v>-</v>
      </c>
      <c r="G163" s="326" t="str">
        <f t="shared" si="119"/>
        <v>-</v>
      </c>
      <c r="H163" s="326" t="str">
        <f t="shared" si="119"/>
        <v>-</v>
      </c>
      <c r="I163" s="326" t="str">
        <f t="shared" si="119"/>
        <v>-</v>
      </c>
      <c r="J163" s="326" t="str">
        <f t="shared" si="119"/>
        <v>-</v>
      </c>
      <c r="K163" s="326" t="str">
        <f t="shared" si="119"/>
        <v>-</v>
      </c>
      <c r="L163" s="326" t="str">
        <f t="shared" si="119"/>
        <v>-</v>
      </c>
      <c r="M163" s="326" t="str">
        <f t="shared" si="119"/>
        <v>-</v>
      </c>
      <c r="N163" s="645" t="s">
        <v>160</v>
      </c>
      <c r="O163" s="645" t="s">
        <v>160</v>
      </c>
      <c r="P163" s="645" t="s">
        <v>160</v>
      </c>
      <c r="Q163" s="645" t="s">
        <v>160</v>
      </c>
      <c r="R163" s="645" t="s">
        <v>160</v>
      </c>
      <c r="S163" s="645" t="s">
        <v>160</v>
      </c>
      <c r="T163" s="645" t="s">
        <v>160</v>
      </c>
      <c r="U163" s="645" t="s">
        <v>160</v>
      </c>
      <c r="V163" s="645" t="s">
        <v>160</v>
      </c>
      <c r="W163" s="645" t="s">
        <v>160</v>
      </c>
      <c r="X163" s="349" t="str">
        <f t="shared" ref="X163:AH163" si="120">IFERROR(AVERAGE(X158:X162),"-")</f>
        <v>-</v>
      </c>
      <c r="Y163" s="349" t="str">
        <f t="shared" si="120"/>
        <v>-</v>
      </c>
      <c r="Z163" s="349" t="str">
        <f t="shared" si="120"/>
        <v>-</v>
      </c>
      <c r="AA163" s="349" t="str">
        <f t="shared" si="120"/>
        <v>-</v>
      </c>
      <c r="AB163" s="349" t="str">
        <f t="shared" si="120"/>
        <v>-</v>
      </c>
      <c r="AC163" s="349" t="str">
        <f t="shared" si="120"/>
        <v>-</v>
      </c>
      <c r="AD163" s="349" t="str">
        <f t="shared" si="120"/>
        <v>-</v>
      </c>
      <c r="AE163" s="349" t="str">
        <f t="shared" si="120"/>
        <v>-</v>
      </c>
      <c r="AF163" s="349" t="str">
        <f t="shared" si="120"/>
        <v>-</v>
      </c>
      <c r="AG163" s="349" t="str">
        <f t="shared" si="120"/>
        <v>-</v>
      </c>
      <c r="AH163" s="349" t="str">
        <f t="shared" si="120"/>
        <v>-</v>
      </c>
      <c r="AI163" s="349" t="str">
        <f t="shared" ref="AI163:AN163" si="121">IFERROR(AVERAGE(AI158:AI162),"-")</f>
        <v>-</v>
      </c>
      <c r="AJ163" s="349" t="str">
        <f t="shared" si="121"/>
        <v>-</v>
      </c>
      <c r="AK163" s="349" t="str">
        <f t="shared" si="121"/>
        <v>-</v>
      </c>
      <c r="AL163" s="349">
        <f t="shared" si="121"/>
        <v>267</v>
      </c>
      <c r="AM163" s="349">
        <f t="shared" si="121"/>
        <v>267</v>
      </c>
      <c r="AN163" s="349">
        <f t="shared" si="121"/>
        <v>283</v>
      </c>
      <c r="AO163" s="349">
        <f t="shared" ref="AO163:AT163" si="122">IFERROR(AVERAGE(AO158:AO162),"-")</f>
        <v>283</v>
      </c>
      <c r="AP163" s="349">
        <f t="shared" si="122"/>
        <v>283</v>
      </c>
      <c r="AQ163" s="349">
        <f t="shared" si="122"/>
        <v>283</v>
      </c>
      <c r="AR163" s="349">
        <f t="shared" si="122"/>
        <v>283.66666666666669</v>
      </c>
      <c r="AS163" s="349">
        <f t="shared" si="122"/>
        <v>279.75</v>
      </c>
      <c r="AT163" s="349">
        <f t="shared" si="122"/>
        <v>279.75</v>
      </c>
      <c r="AU163" s="349">
        <f t="shared" ref="AU163:BB163" si="123">IFERROR(AVERAGE(AU158:AU162),"-")</f>
        <v>284.60000000000002</v>
      </c>
      <c r="AV163" s="645">
        <f t="shared" si="123"/>
        <v>284.60000000000002</v>
      </c>
      <c r="AW163" s="645">
        <f t="shared" si="123"/>
        <v>284.60000000000002</v>
      </c>
      <c r="AX163" s="939">
        <f>IFERROR(AVERAGE(AX158:AX162),"-")</f>
        <v>284.60000000000002</v>
      </c>
      <c r="AY163" s="843">
        <f t="shared" si="123"/>
        <v>208.65946703377631</v>
      </c>
      <c r="AZ163" s="843">
        <f t="shared" si="123"/>
        <v>208.65946703377631</v>
      </c>
      <c r="BA163" s="843">
        <f t="shared" si="123"/>
        <v>197.55315567792545</v>
      </c>
      <c r="BB163" s="645">
        <f t="shared" si="123"/>
        <v>197.55315567792545</v>
      </c>
      <c r="BC163" s="645">
        <f t="shared" ref="BC163:BH163" si="124">IFERROR(AVERAGE(BC158:BC162),"-")</f>
        <v>197.55315567792545</v>
      </c>
      <c r="BD163" s="645">
        <f t="shared" si="124"/>
        <v>197.55315567792545</v>
      </c>
      <c r="BE163" s="645">
        <f t="shared" si="124"/>
        <v>206.91486675844408</v>
      </c>
      <c r="BF163" s="645">
        <f t="shared" si="124"/>
        <v>221.75</v>
      </c>
      <c r="BG163" s="645">
        <f t="shared" si="124"/>
        <v>250.7</v>
      </c>
      <c r="BH163" s="645">
        <f t="shared" si="124"/>
        <v>250.7</v>
      </c>
      <c r="BI163" s="645">
        <f t="shared" ref="BI163:BN163" si="125">IFERROR(AVERAGE(BI158:BI162),"-")</f>
        <v>250.7</v>
      </c>
      <c r="BJ163" s="645">
        <f t="shared" si="125"/>
        <v>250.7</v>
      </c>
      <c r="BK163" s="645">
        <f t="shared" si="125"/>
        <v>250.7</v>
      </c>
      <c r="BL163" s="645">
        <f t="shared" si="125"/>
        <v>250.7</v>
      </c>
      <c r="BM163" s="645">
        <f t="shared" si="125"/>
        <v>250.95</v>
      </c>
      <c r="BN163" s="645">
        <f t="shared" si="125"/>
        <v>250.95</v>
      </c>
      <c r="BO163" s="645">
        <f>IFERROR(AVERAGE(BO158:BO162),"-")</f>
        <v>250.95</v>
      </c>
      <c r="BP163" s="645">
        <f>IFERROR(AVERAGE(BP158:BP162),"-")</f>
        <v>166</v>
      </c>
      <c r="BQ163" s="645">
        <f>IFERROR(AVERAGE(BQ158:BQ162),"-")</f>
        <v>166</v>
      </c>
      <c r="BR163" s="645">
        <f>IFERROR(AVERAGE(BR158:BR162),"-")</f>
        <v>166</v>
      </c>
      <c r="BS163" s="645">
        <f>IFERROR(AVERAGE(BS158:BS162),"-")</f>
        <v>162.5</v>
      </c>
      <c r="BT163"/>
      <c r="BU163"/>
      <c r="BV163"/>
      <c r="BW163"/>
    </row>
    <row r="164" spans="1:117" x14ac:dyDescent="0.25">
      <c r="Z164" s="339"/>
      <c r="AA164" s="339"/>
      <c r="AB164" s="339"/>
      <c r="AC164" s="339"/>
      <c r="AD164" s="339"/>
      <c r="AE164" s="339"/>
      <c r="AF164" s="339"/>
      <c r="AG164" s="339"/>
      <c r="AH164" s="339"/>
      <c r="AI164" s="339"/>
      <c r="AJ164" s="339"/>
      <c r="AK164" s="339"/>
      <c r="AL164" s="339"/>
      <c r="AM164" s="339"/>
      <c r="AN164" s="339"/>
      <c r="AO164" s="339"/>
      <c r="AP164" s="339"/>
      <c r="AQ164" s="339"/>
      <c r="AR164" s="339"/>
      <c r="AS164" s="339"/>
      <c r="AT164" s="339"/>
      <c r="AU164" s="339"/>
      <c r="AV164" s="817"/>
      <c r="AW164" s="817"/>
      <c r="AX164" s="941"/>
      <c r="AY164" s="817"/>
      <c r="AZ164" s="817"/>
      <c r="BA164" s="817"/>
      <c r="BB164" s="817"/>
      <c r="BC164" s="817"/>
      <c r="BD164" s="817"/>
      <c r="BE164" s="817"/>
      <c r="BF164" s="817"/>
      <c r="BG164" s="817"/>
      <c r="BH164" s="817"/>
      <c r="BI164" s="817"/>
      <c r="BJ164" s="817"/>
      <c r="BK164" s="817"/>
      <c r="BL164" s="817"/>
      <c r="BM164" s="817"/>
      <c r="BN164" s="817"/>
      <c r="BO164" s="817"/>
      <c r="BP164" s="817"/>
      <c r="BQ164" s="817"/>
      <c r="BR164" s="817"/>
      <c r="BS164" s="817"/>
      <c r="BT164"/>
      <c r="BU164"/>
      <c r="BV164"/>
      <c r="BW164"/>
    </row>
    <row r="165" spans="1:117" x14ac:dyDescent="0.25">
      <c r="A165" s="261" t="s">
        <v>1418</v>
      </c>
      <c r="B165" s="261" t="s">
        <v>1419</v>
      </c>
      <c r="D165" s="113" t="str">
        <f>IF([1]RENAME!$H$3=1,B165,A165)</f>
        <v>Lucro Líquido 2021</v>
      </c>
      <c r="E165" s="262">
        <f t="shared" ref="E165:AJ165" si="126">+E$173</f>
        <v>42522</v>
      </c>
      <c r="F165" s="262">
        <f t="shared" si="126"/>
        <v>42552</v>
      </c>
      <c r="G165" s="262">
        <f t="shared" si="126"/>
        <v>42583</v>
      </c>
      <c r="H165" s="262">
        <f t="shared" si="126"/>
        <v>42614</v>
      </c>
      <c r="I165" s="262">
        <f t="shared" si="126"/>
        <v>42644</v>
      </c>
      <c r="J165" s="262">
        <f t="shared" si="126"/>
        <v>42675</v>
      </c>
      <c r="K165" s="262">
        <f t="shared" si="126"/>
        <v>42705</v>
      </c>
      <c r="L165" s="262">
        <f t="shared" si="126"/>
        <v>42736</v>
      </c>
      <c r="M165" s="262">
        <f t="shared" si="126"/>
        <v>42767</v>
      </c>
      <c r="N165" s="262">
        <f t="shared" si="126"/>
        <v>42795</v>
      </c>
      <c r="O165" s="262">
        <f t="shared" si="126"/>
        <v>42826</v>
      </c>
      <c r="P165" s="262">
        <f t="shared" si="126"/>
        <v>42856</v>
      </c>
      <c r="Q165" s="262">
        <f t="shared" si="126"/>
        <v>42887</v>
      </c>
      <c r="R165" s="262">
        <f t="shared" si="126"/>
        <v>42917</v>
      </c>
      <c r="S165" s="262">
        <f t="shared" si="126"/>
        <v>42948</v>
      </c>
      <c r="T165" s="262">
        <f t="shared" si="126"/>
        <v>42979</v>
      </c>
      <c r="U165" s="262">
        <f t="shared" si="126"/>
        <v>43009</v>
      </c>
      <c r="V165" s="262">
        <f t="shared" si="126"/>
        <v>43040</v>
      </c>
      <c r="W165" s="262">
        <f t="shared" si="126"/>
        <v>43070</v>
      </c>
      <c r="X165" s="262">
        <f t="shared" si="126"/>
        <v>43101</v>
      </c>
      <c r="Y165" s="262">
        <f t="shared" si="126"/>
        <v>43132</v>
      </c>
      <c r="Z165" s="262">
        <f t="shared" si="126"/>
        <v>43160</v>
      </c>
      <c r="AA165" s="262">
        <f t="shared" si="126"/>
        <v>43191</v>
      </c>
      <c r="AB165" s="262">
        <f t="shared" si="126"/>
        <v>43221</v>
      </c>
      <c r="AC165" s="262">
        <f t="shared" si="126"/>
        <v>43252</v>
      </c>
      <c r="AD165" s="262">
        <f t="shared" si="126"/>
        <v>43283</v>
      </c>
      <c r="AE165" s="262">
        <f t="shared" si="126"/>
        <v>43314</v>
      </c>
      <c r="AF165" s="262">
        <f t="shared" si="126"/>
        <v>43345</v>
      </c>
      <c r="AG165" s="262">
        <f t="shared" si="126"/>
        <v>43376</v>
      </c>
      <c r="AH165" s="262">
        <f t="shared" si="126"/>
        <v>43407</v>
      </c>
      <c r="AI165" s="262">
        <f t="shared" si="126"/>
        <v>43437</v>
      </c>
      <c r="AJ165" s="262">
        <f t="shared" si="126"/>
        <v>43468</v>
      </c>
      <c r="AK165" s="262">
        <f t="shared" ref="AK165:BS165" si="127">+AK$173</f>
        <v>43499</v>
      </c>
      <c r="AL165" s="262">
        <f t="shared" si="127"/>
        <v>43527</v>
      </c>
      <c r="AM165" s="262">
        <f t="shared" si="127"/>
        <v>43558</v>
      </c>
      <c r="AN165" s="262">
        <f t="shared" si="127"/>
        <v>43587</v>
      </c>
      <c r="AO165" s="262">
        <f t="shared" si="127"/>
        <v>43618</v>
      </c>
      <c r="AP165" s="262">
        <f t="shared" si="127"/>
        <v>43647</v>
      </c>
      <c r="AQ165" s="262">
        <f t="shared" si="127"/>
        <v>43678</v>
      </c>
      <c r="AR165" s="262">
        <f t="shared" si="127"/>
        <v>43709</v>
      </c>
      <c r="AS165" s="262">
        <f t="shared" si="127"/>
        <v>43739</v>
      </c>
      <c r="AT165" s="262">
        <f t="shared" si="127"/>
        <v>43770</v>
      </c>
      <c r="AU165" s="262">
        <f t="shared" si="127"/>
        <v>43800</v>
      </c>
      <c r="AV165" s="262">
        <f t="shared" si="127"/>
        <v>43831</v>
      </c>
      <c r="AW165" s="262">
        <f t="shared" si="127"/>
        <v>43862</v>
      </c>
      <c r="AX165" s="933">
        <f t="shared" si="127"/>
        <v>43891</v>
      </c>
      <c r="AY165" s="262">
        <f t="shared" si="127"/>
        <v>43922</v>
      </c>
      <c r="AZ165" s="262">
        <f t="shared" si="127"/>
        <v>43952</v>
      </c>
      <c r="BA165" s="262">
        <f t="shared" si="127"/>
        <v>43983</v>
      </c>
      <c r="BB165" s="262">
        <f t="shared" si="127"/>
        <v>44013</v>
      </c>
      <c r="BC165" s="262">
        <f t="shared" si="127"/>
        <v>44044</v>
      </c>
      <c r="BD165" s="262">
        <f t="shared" si="127"/>
        <v>44075</v>
      </c>
      <c r="BE165" s="262">
        <f t="shared" si="127"/>
        <v>44105</v>
      </c>
      <c r="BF165" s="262">
        <f t="shared" si="127"/>
        <v>44136</v>
      </c>
      <c r="BG165" s="262">
        <f t="shared" si="127"/>
        <v>44166</v>
      </c>
      <c r="BH165" s="262">
        <f t="shared" si="127"/>
        <v>44197</v>
      </c>
      <c r="BI165" s="262">
        <f t="shared" si="127"/>
        <v>44228</v>
      </c>
      <c r="BJ165" s="262">
        <f t="shared" si="127"/>
        <v>44256</v>
      </c>
      <c r="BK165" s="262">
        <f t="shared" si="127"/>
        <v>44287</v>
      </c>
      <c r="BL165" s="262">
        <f t="shared" si="127"/>
        <v>44317</v>
      </c>
      <c r="BM165" s="262">
        <f t="shared" si="127"/>
        <v>44348</v>
      </c>
      <c r="BN165" s="262">
        <f t="shared" si="127"/>
        <v>44378</v>
      </c>
      <c r="BO165" s="262">
        <f t="shared" si="127"/>
        <v>44409</v>
      </c>
      <c r="BP165" s="262">
        <f t="shared" si="127"/>
        <v>44440</v>
      </c>
      <c r="BQ165" s="262">
        <f t="shared" si="127"/>
        <v>44470</v>
      </c>
      <c r="BR165" s="262">
        <f t="shared" si="127"/>
        <v>44501</v>
      </c>
      <c r="BS165" s="262">
        <f t="shared" si="127"/>
        <v>44531</v>
      </c>
      <c r="BT165"/>
      <c r="BU165"/>
      <c r="BV165"/>
      <c r="BW165"/>
    </row>
    <row r="166" spans="1:117" customFormat="1" x14ac:dyDescent="0.25">
      <c r="A166" s="261" t="s">
        <v>542</v>
      </c>
      <c r="B166" s="261" t="s">
        <v>542</v>
      </c>
      <c r="C166" s="261"/>
      <c r="D166" s="117" t="str">
        <f>IF([1]RENAME!$H$3=1,B166,A166)</f>
        <v>SANTANDER</v>
      </c>
      <c r="E166" s="263" t="s">
        <v>160</v>
      </c>
      <c r="F166" s="263" t="s">
        <v>160</v>
      </c>
      <c r="G166" s="263" t="s">
        <v>160</v>
      </c>
      <c r="H166" s="264" t="s">
        <v>160</v>
      </c>
      <c r="I166" s="264" t="s">
        <v>160</v>
      </c>
      <c r="J166" s="264" t="s">
        <v>160</v>
      </c>
      <c r="K166" s="264" t="s">
        <v>160</v>
      </c>
      <c r="L166" s="264" t="s">
        <v>160</v>
      </c>
      <c r="M166" s="264" t="s">
        <v>160</v>
      </c>
      <c r="N166" s="592" t="s">
        <v>160</v>
      </c>
      <c r="O166" s="592" t="s">
        <v>160</v>
      </c>
      <c r="P166" s="592" t="s">
        <v>160</v>
      </c>
      <c r="Q166" s="592" t="s">
        <v>160</v>
      </c>
      <c r="R166" s="592" t="s">
        <v>160</v>
      </c>
      <c r="S166" s="592" t="s">
        <v>160</v>
      </c>
      <c r="T166" s="592" t="s">
        <v>160</v>
      </c>
      <c r="U166" s="592" t="s">
        <v>160</v>
      </c>
      <c r="V166" s="592" t="s">
        <v>160</v>
      </c>
      <c r="W166" s="591" t="s">
        <v>160</v>
      </c>
      <c r="X166" s="591" t="s">
        <v>160</v>
      </c>
      <c r="Y166" s="591" t="s">
        <v>160</v>
      </c>
      <c r="Z166" s="591" t="s">
        <v>160</v>
      </c>
      <c r="AA166" s="591" t="s">
        <v>160</v>
      </c>
      <c r="AB166" s="591" t="s">
        <v>160</v>
      </c>
      <c r="AC166" s="591" t="s">
        <v>160</v>
      </c>
      <c r="AD166" s="591" t="s">
        <v>160</v>
      </c>
      <c r="AE166" s="591" t="s">
        <v>160</v>
      </c>
      <c r="AF166" s="591" t="s">
        <v>160</v>
      </c>
      <c r="AG166" s="591" t="s">
        <v>160</v>
      </c>
      <c r="AH166" s="591" t="s">
        <v>160</v>
      </c>
      <c r="AI166" s="591" t="s">
        <v>160</v>
      </c>
      <c r="AJ166" s="591" t="s">
        <v>160</v>
      </c>
      <c r="AK166" s="591" t="s">
        <v>160</v>
      </c>
      <c r="AL166" s="591" t="s">
        <v>160</v>
      </c>
      <c r="AM166" s="591" t="s">
        <v>160</v>
      </c>
      <c r="AN166" s="591" t="s">
        <v>160</v>
      </c>
      <c r="AO166" s="591" t="s">
        <v>160</v>
      </c>
      <c r="AP166" s="591" t="s">
        <v>160</v>
      </c>
      <c r="AQ166" s="591" t="s">
        <v>160</v>
      </c>
      <c r="AR166" s="591" t="s">
        <v>160</v>
      </c>
      <c r="AS166" s="591" t="s">
        <v>160</v>
      </c>
      <c r="AT166" s="591" t="s">
        <v>160</v>
      </c>
      <c r="AU166" s="591">
        <v>196</v>
      </c>
      <c r="AV166" s="591">
        <v>196</v>
      </c>
      <c r="AW166" s="591">
        <v>196</v>
      </c>
      <c r="AX166" s="935">
        <v>196</v>
      </c>
      <c r="AY166" s="842" t="s">
        <v>160</v>
      </c>
      <c r="AZ166" s="842" t="s">
        <v>160</v>
      </c>
      <c r="BA166" s="340">
        <v>112</v>
      </c>
      <c r="BB166" s="591">
        <v>112</v>
      </c>
      <c r="BC166" s="591">
        <v>112</v>
      </c>
      <c r="BD166" s="591">
        <v>112</v>
      </c>
      <c r="BE166" s="591">
        <v>112</v>
      </c>
      <c r="BF166" s="591">
        <v>112</v>
      </c>
      <c r="BG166" s="341">
        <v>168</v>
      </c>
      <c r="BH166" s="591">
        <v>168</v>
      </c>
      <c r="BI166" s="591">
        <v>168</v>
      </c>
      <c r="BJ166" s="591">
        <v>168</v>
      </c>
      <c r="BK166" s="591">
        <v>168</v>
      </c>
      <c r="BL166" s="591">
        <v>168</v>
      </c>
      <c r="BM166" s="591">
        <v>169</v>
      </c>
      <c r="BN166" s="591">
        <v>169</v>
      </c>
      <c r="BO166" s="591">
        <v>169</v>
      </c>
      <c r="BP166" s="591" t="s">
        <v>160</v>
      </c>
      <c r="BQ166" s="591" t="s">
        <v>160</v>
      </c>
      <c r="BR166" s="591" t="s">
        <v>160</v>
      </c>
      <c r="BS166" s="591">
        <v>101</v>
      </c>
      <c r="DI166" s="1172"/>
      <c r="DJ166" s="1172"/>
      <c r="DK166" s="1172"/>
      <c r="DL166" s="1172"/>
      <c r="DM166" s="1172"/>
    </row>
    <row r="167" spans="1:117" customFormat="1" x14ac:dyDescent="0.25">
      <c r="A167" s="261" t="s">
        <v>545</v>
      </c>
      <c r="B167" s="261" t="s">
        <v>545</v>
      </c>
      <c r="C167" s="261"/>
      <c r="D167" s="117" t="str">
        <f>IF([1]RENAME!$H$3=1,B167,A167)</f>
        <v>BAML</v>
      </c>
      <c r="E167" s="263" t="s">
        <v>160</v>
      </c>
      <c r="F167" s="263" t="s">
        <v>160</v>
      </c>
      <c r="G167" s="263" t="s">
        <v>160</v>
      </c>
      <c r="H167" s="263" t="s">
        <v>160</v>
      </c>
      <c r="I167" s="263" t="s">
        <v>160</v>
      </c>
      <c r="J167" s="264" t="s">
        <v>160</v>
      </c>
      <c r="K167" s="264" t="s">
        <v>160</v>
      </c>
      <c r="L167" s="264" t="s">
        <v>160</v>
      </c>
      <c r="M167" s="264" t="s">
        <v>160</v>
      </c>
      <c r="N167" s="592" t="s">
        <v>160</v>
      </c>
      <c r="O167" s="592" t="s">
        <v>160</v>
      </c>
      <c r="P167" s="592" t="s">
        <v>160</v>
      </c>
      <c r="Q167" s="592" t="s">
        <v>160</v>
      </c>
      <c r="R167" s="592" t="s">
        <v>160</v>
      </c>
      <c r="S167" s="591" t="s">
        <v>160</v>
      </c>
      <c r="T167" s="591" t="s">
        <v>160</v>
      </c>
      <c r="U167" s="591" t="s">
        <v>160</v>
      </c>
      <c r="V167" s="591" t="s">
        <v>160</v>
      </c>
      <c r="W167" s="591" t="s">
        <v>160</v>
      </c>
      <c r="X167" s="591" t="s">
        <v>160</v>
      </c>
      <c r="Y167" s="591" t="s">
        <v>160</v>
      </c>
      <c r="Z167" s="591" t="s">
        <v>160</v>
      </c>
      <c r="AA167" s="591" t="s">
        <v>160</v>
      </c>
      <c r="AB167" s="591" t="s">
        <v>160</v>
      </c>
      <c r="AC167" s="591" t="s">
        <v>160</v>
      </c>
      <c r="AD167" s="591" t="s">
        <v>160</v>
      </c>
      <c r="AE167" s="591" t="s">
        <v>160</v>
      </c>
      <c r="AF167" s="591" t="s">
        <v>160</v>
      </c>
      <c r="AG167" s="591" t="s">
        <v>160</v>
      </c>
      <c r="AH167" s="591" t="s">
        <v>160</v>
      </c>
      <c r="AI167" s="591" t="s">
        <v>160</v>
      </c>
      <c r="AJ167" s="591" t="s">
        <v>160</v>
      </c>
      <c r="AK167" s="591" t="s">
        <v>160</v>
      </c>
      <c r="AL167" s="591">
        <v>146</v>
      </c>
      <c r="AM167" s="591">
        <v>146</v>
      </c>
      <c r="AN167" s="690">
        <v>155</v>
      </c>
      <c r="AO167" s="591">
        <v>155</v>
      </c>
      <c r="AP167" s="591">
        <v>155</v>
      </c>
      <c r="AQ167" s="591">
        <v>155</v>
      </c>
      <c r="AR167" s="591">
        <v>155</v>
      </c>
      <c r="AS167" s="591">
        <v>155</v>
      </c>
      <c r="AT167" s="591">
        <v>155</v>
      </c>
      <c r="AU167" s="341">
        <v>168</v>
      </c>
      <c r="AV167" s="591">
        <v>168</v>
      </c>
      <c r="AW167" s="591">
        <v>168</v>
      </c>
      <c r="AX167" s="935">
        <v>168</v>
      </c>
      <c r="AY167" s="842" t="s">
        <v>160</v>
      </c>
      <c r="AZ167" s="842" t="s">
        <v>160</v>
      </c>
      <c r="BA167" s="842" t="str">
        <f t="shared" ref="BA167:BN167" si="128">+AZ167</f>
        <v>-</v>
      </c>
      <c r="BB167" s="842" t="str">
        <f t="shared" si="128"/>
        <v>-</v>
      </c>
      <c r="BC167" s="842" t="str">
        <f t="shared" si="128"/>
        <v>-</v>
      </c>
      <c r="BD167" s="842" t="str">
        <f t="shared" si="128"/>
        <v>-</v>
      </c>
      <c r="BE167" s="842" t="str">
        <f t="shared" si="128"/>
        <v>-</v>
      </c>
      <c r="BF167" s="842" t="str">
        <f t="shared" si="128"/>
        <v>-</v>
      </c>
      <c r="BG167" s="842" t="str">
        <f t="shared" si="128"/>
        <v>-</v>
      </c>
      <c r="BH167" s="591" t="str">
        <f t="shared" si="128"/>
        <v>-</v>
      </c>
      <c r="BI167" s="591" t="str">
        <f t="shared" si="128"/>
        <v>-</v>
      </c>
      <c r="BJ167" s="591" t="str">
        <f t="shared" si="128"/>
        <v>-</v>
      </c>
      <c r="BK167" s="591" t="str">
        <f t="shared" si="128"/>
        <v>-</v>
      </c>
      <c r="BL167" s="591" t="str">
        <f t="shared" si="128"/>
        <v>-</v>
      </c>
      <c r="BM167" s="591" t="str">
        <f t="shared" si="128"/>
        <v>-</v>
      </c>
      <c r="BN167" s="591" t="str">
        <f t="shared" si="128"/>
        <v>-</v>
      </c>
      <c r="BO167" s="591" t="str">
        <f>+BN167</f>
        <v>-</v>
      </c>
      <c r="BP167" s="591">
        <v>83</v>
      </c>
      <c r="BQ167" s="591">
        <v>83</v>
      </c>
      <c r="BR167" s="591">
        <v>83</v>
      </c>
      <c r="BS167" s="591">
        <v>83</v>
      </c>
      <c r="DI167" s="1172"/>
      <c r="DJ167" s="1172"/>
      <c r="DK167" s="1172"/>
      <c r="DL167" s="1172"/>
      <c r="DM167" s="1172"/>
    </row>
    <row r="168" spans="1:117" customFormat="1" x14ac:dyDescent="0.25">
      <c r="A168" s="261" t="s">
        <v>546</v>
      </c>
      <c r="B168" s="261" t="s">
        <v>546</v>
      </c>
      <c r="C168" s="261"/>
      <c r="D168" s="117" t="str">
        <f>IF([1]RENAME!$H$3=1,B168,A168)</f>
        <v>BTG PACTUAL</v>
      </c>
      <c r="E168" s="263" t="s">
        <v>160</v>
      </c>
      <c r="F168" s="263" t="s">
        <v>160</v>
      </c>
      <c r="G168" s="263" t="s">
        <v>160</v>
      </c>
      <c r="H168" s="263" t="s">
        <v>160</v>
      </c>
      <c r="I168" s="263" t="s">
        <v>160</v>
      </c>
      <c r="J168" s="264" t="s">
        <v>160</v>
      </c>
      <c r="K168" s="264" t="s">
        <v>160</v>
      </c>
      <c r="L168" s="264" t="s">
        <v>160</v>
      </c>
      <c r="M168" s="264" t="s">
        <v>160</v>
      </c>
      <c r="N168" s="592" t="s">
        <v>160</v>
      </c>
      <c r="O168" s="592" t="s">
        <v>160</v>
      </c>
      <c r="P168" s="592" t="s">
        <v>160</v>
      </c>
      <c r="Q168" s="592" t="s">
        <v>160</v>
      </c>
      <c r="R168" s="592" t="s">
        <v>160</v>
      </c>
      <c r="S168" s="592" t="s">
        <v>160</v>
      </c>
      <c r="T168" s="592" t="s">
        <v>160</v>
      </c>
      <c r="U168" s="592" t="s">
        <v>160</v>
      </c>
      <c r="V168" s="592" t="s">
        <v>160</v>
      </c>
      <c r="W168" s="592" t="s">
        <v>160</v>
      </c>
      <c r="X168" s="592" t="s">
        <v>160</v>
      </c>
      <c r="Y168" s="592" t="s">
        <v>160</v>
      </c>
      <c r="Z168" s="592" t="s">
        <v>160</v>
      </c>
      <c r="AA168" s="592" t="s">
        <v>160</v>
      </c>
      <c r="AB168" s="592" t="s">
        <v>160</v>
      </c>
      <c r="AC168" s="592" t="s">
        <v>160</v>
      </c>
      <c r="AD168" s="592" t="s">
        <v>160</v>
      </c>
      <c r="AE168" s="592" t="s">
        <v>160</v>
      </c>
      <c r="AF168" s="592" t="s">
        <v>160</v>
      </c>
      <c r="AG168" s="592" t="s">
        <v>160</v>
      </c>
      <c r="AH168" s="591" t="s">
        <v>160</v>
      </c>
      <c r="AI168" s="591" t="s">
        <v>160</v>
      </c>
      <c r="AJ168" s="591" t="s">
        <v>160</v>
      </c>
      <c r="AK168" s="591" t="s">
        <v>160</v>
      </c>
      <c r="AL168" s="591" t="s">
        <v>160</v>
      </c>
      <c r="AM168" s="591" t="s">
        <v>160</v>
      </c>
      <c r="AN168" s="591">
        <v>163</v>
      </c>
      <c r="AO168" s="591">
        <v>163</v>
      </c>
      <c r="AP168" s="591">
        <v>163</v>
      </c>
      <c r="AQ168" s="591">
        <v>163</v>
      </c>
      <c r="AR168" s="591">
        <v>163</v>
      </c>
      <c r="AS168" s="591">
        <v>163</v>
      </c>
      <c r="AT168" s="591">
        <v>163</v>
      </c>
      <c r="AU168" s="591">
        <v>163</v>
      </c>
      <c r="AV168" s="591">
        <v>163</v>
      </c>
      <c r="AW168" s="591">
        <v>163</v>
      </c>
      <c r="AX168" s="935">
        <v>163</v>
      </c>
      <c r="AY168" s="340">
        <v>98.526928375997514</v>
      </c>
      <c r="AZ168" s="591">
        <v>98.526928375997514</v>
      </c>
      <c r="BA168" s="591">
        <v>98.526928375997514</v>
      </c>
      <c r="BB168" s="591">
        <v>98.526928375997514</v>
      </c>
      <c r="BC168" s="591">
        <v>98.526928375997514</v>
      </c>
      <c r="BD168" s="591">
        <v>98.526928375997514</v>
      </c>
      <c r="BE168" s="591">
        <v>98.526928375997514</v>
      </c>
      <c r="BF168" s="341">
        <v>159</v>
      </c>
      <c r="BG168" s="591">
        <v>159</v>
      </c>
      <c r="BH168" s="591">
        <v>159</v>
      </c>
      <c r="BI168" s="591">
        <v>159</v>
      </c>
      <c r="BJ168" s="591">
        <v>159</v>
      </c>
      <c r="BK168" s="591">
        <v>159</v>
      </c>
      <c r="BL168" s="591">
        <v>159</v>
      </c>
      <c r="BM168" s="591">
        <v>159</v>
      </c>
      <c r="BN168" s="591">
        <v>159</v>
      </c>
      <c r="BO168" s="591">
        <v>159</v>
      </c>
      <c r="BP168" s="591" t="s">
        <v>160</v>
      </c>
      <c r="BQ168" s="591" t="s">
        <v>160</v>
      </c>
      <c r="BR168" s="591" t="s">
        <v>160</v>
      </c>
      <c r="BS168" s="591">
        <v>101</v>
      </c>
      <c r="DI168" s="1172"/>
      <c r="DJ168" s="1172"/>
      <c r="DK168" s="1172"/>
      <c r="DL168" s="1172"/>
      <c r="DM168" s="1172"/>
    </row>
    <row r="169" spans="1:117" x14ac:dyDescent="0.25">
      <c r="A169" s="261" t="s">
        <v>574</v>
      </c>
      <c r="B169" s="261" t="s">
        <v>574</v>
      </c>
      <c r="D169" s="117" t="str">
        <f>IF([1]RENAME!$H$3=1,B169,A169)</f>
        <v>SAFRA</v>
      </c>
      <c r="E169" s="263" t="s">
        <v>160</v>
      </c>
      <c r="F169" s="263" t="s">
        <v>160</v>
      </c>
      <c r="G169" s="263" t="s">
        <v>160</v>
      </c>
      <c r="H169" s="263" t="s">
        <v>160</v>
      </c>
      <c r="I169" s="263" t="s">
        <v>160</v>
      </c>
      <c r="J169" s="263" t="s">
        <v>160</v>
      </c>
      <c r="K169" s="263" t="s">
        <v>160</v>
      </c>
      <c r="L169" s="263" t="s">
        <v>160</v>
      </c>
      <c r="M169" s="263" t="s">
        <v>160</v>
      </c>
      <c r="N169" s="351" t="s">
        <v>160</v>
      </c>
      <c r="O169" s="351" t="s">
        <v>160</v>
      </c>
      <c r="P169" s="351" t="s">
        <v>160</v>
      </c>
      <c r="Q169" s="592" t="s">
        <v>160</v>
      </c>
      <c r="R169" s="592" t="s">
        <v>160</v>
      </c>
      <c r="S169" s="592" t="s">
        <v>160</v>
      </c>
      <c r="T169" s="592" t="s">
        <v>160</v>
      </c>
      <c r="U169" s="592" t="s">
        <v>160</v>
      </c>
      <c r="V169" s="592" t="s">
        <v>160</v>
      </c>
      <c r="W169" s="592" t="s">
        <v>160</v>
      </c>
      <c r="X169" s="592" t="s">
        <v>160</v>
      </c>
      <c r="Y169" s="591" t="s">
        <v>160</v>
      </c>
      <c r="Z169" s="592" t="s">
        <v>160</v>
      </c>
      <c r="AA169" s="592" t="s">
        <v>160</v>
      </c>
      <c r="AB169" s="592" t="s">
        <v>160</v>
      </c>
      <c r="AC169" s="592" t="s">
        <v>160</v>
      </c>
      <c r="AD169" s="592" t="s">
        <v>160</v>
      </c>
      <c r="AE169" s="592" t="s">
        <v>160</v>
      </c>
      <c r="AF169" s="592" t="s">
        <v>160</v>
      </c>
      <c r="AG169" s="592" t="s">
        <v>160</v>
      </c>
      <c r="AH169" s="592" t="s">
        <v>160</v>
      </c>
      <c r="AI169" s="592" t="s">
        <v>160</v>
      </c>
      <c r="AJ169" s="592" t="s">
        <v>160</v>
      </c>
      <c r="AK169" s="592" t="s">
        <v>160</v>
      </c>
      <c r="AL169" s="592" t="s">
        <v>160</v>
      </c>
      <c r="AM169" s="592" t="s">
        <v>160</v>
      </c>
      <c r="AN169" s="592" t="s">
        <v>160</v>
      </c>
      <c r="AO169" s="592" t="s">
        <v>160</v>
      </c>
      <c r="AP169" s="592" t="s">
        <v>160</v>
      </c>
      <c r="AQ169" s="592" t="s">
        <v>160</v>
      </c>
      <c r="AR169" s="592" t="s">
        <v>160</v>
      </c>
      <c r="AS169" s="592">
        <v>182</v>
      </c>
      <c r="AT169" s="592">
        <v>182</v>
      </c>
      <c r="AU169" s="592">
        <v>182</v>
      </c>
      <c r="AV169" s="592">
        <v>182</v>
      </c>
      <c r="AW169" s="592">
        <v>182</v>
      </c>
      <c r="AX169" s="938">
        <v>182</v>
      </c>
      <c r="AY169" s="276" t="s">
        <v>160</v>
      </c>
      <c r="AZ169" s="276" t="s">
        <v>160</v>
      </c>
      <c r="BA169" s="276" t="s">
        <v>160</v>
      </c>
      <c r="BB169" s="276" t="s">
        <v>160</v>
      </c>
      <c r="BC169" s="276" t="s">
        <v>160</v>
      </c>
      <c r="BD169" s="276" t="s">
        <v>160</v>
      </c>
      <c r="BE169" s="591">
        <v>115</v>
      </c>
      <c r="BF169" s="591">
        <v>115</v>
      </c>
      <c r="BG169" s="591">
        <v>115</v>
      </c>
      <c r="BH169" s="591">
        <v>115</v>
      </c>
      <c r="BI169" s="591">
        <v>115</v>
      </c>
      <c r="BJ169" s="591">
        <v>115</v>
      </c>
      <c r="BK169" s="591">
        <v>115</v>
      </c>
      <c r="BL169" s="591">
        <v>115</v>
      </c>
      <c r="BM169" s="591">
        <v>115</v>
      </c>
      <c r="BN169" s="591">
        <v>115</v>
      </c>
      <c r="BO169" s="591">
        <v>115</v>
      </c>
      <c r="BP169" s="591" t="s">
        <v>160</v>
      </c>
      <c r="BQ169" s="591" t="s">
        <v>160</v>
      </c>
      <c r="BR169" s="591" t="s">
        <v>160</v>
      </c>
      <c r="BS169" s="591" t="s">
        <v>160</v>
      </c>
      <c r="BT169"/>
      <c r="BU169"/>
      <c r="BV169"/>
      <c r="BW169"/>
    </row>
    <row r="170" spans="1:117" x14ac:dyDescent="0.25">
      <c r="A170" s="261" t="s">
        <v>547</v>
      </c>
      <c r="B170" s="261" t="s">
        <v>547</v>
      </c>
      <c r="D170" s="117" t="str">
        <f>IF([1]RENAME!$H$3=1,B170,A170)</f>
        <v>ITAÚ</v>
      </c>
      <c r="E170" s="263" t="s">
        <v>160</v>
      </c>
      <c r="F170" s="263" t="s">
        <v>160</v>
      </c>
      <c r="G170" s="263" t="s">
        <v>160</v>
      </c>
      <c r="H170" s="263" t="s">
        <v>160</v>
      </c>
      <c r="I170" s="264" t="s">
        <v>160</v>
      </c>
      <c r="J170" s="264" t="s">
        <v>160</v>
      </c>
      <c r="K170" s="264" t="s">
        <v>160</v>
      </c>
      <c r="L170" s="264" t="s">
        <v>160</v>
      </c>
      <c r="M170" s="264" t="s">
        <v>160</v>
      </c>
      <c r="N170" s="592" t="s">
        <v>160</v>
      </c>
      <c r="O170" s="592" t="s">
        <v>160</v>
      </c>
      <c r="P170" s="592" t="s">
        <v>160</v>
      </c>
      <c r="Q170" s="592" t="s">
        <v>160</v>
      </c>
      <c r="R170" s="592" t="s">
        <v>160</v>
      </c>
      <c r="S170" s="591" t="s">
        <v>160</v>
      </c>
      <c r="T170" s="591" t="s">
        <v>160</v>
      </c>
      <c r="U170" s="591" t="s">
        <v>160</v>
      </c>
      <c r="V170" s="591" t="s">
        <v>160</v>
      </c>
      <c r="W170" s="591" t="s">
        <v>160</v>
      </c>
      <c r="X170" s="591" t="s">
        <v>160</v>
      </c>
      <c r="Y170" s="591" t="s">
        <v>160</v>
      </c>
      <c r="Z170" s="591" t="s">
        <v>160</v>
      </c>
      <c r="AA170" s="591" t="s">
        <v>160</v>
      </c>
      <c r="AB170" s="591" t="s">
        <v>160</v>
      </c>
      <c r="AC170" s="591" t="s">
        <v>160</v>
      </c>
      <c r="AD170" s="591" t="s">
        <v>160</v>
      </c>
      <c r="AE170" s="591" t="s">
        <v>160</v>
      </c>
      <c r="AF170" s="591" t="s">
        <v>160</v>
      </c>
      <c r="AG170" s="591" t="s">
        <v>160</v>
      </c>
      <c r="AH170" s="591" t="s">
        <v>160</v>
      </c>
      <c r="AI170" s="591" t="s">
        <v>160</v>
      </c>
      <c r="AJ170" s="591" t="s">
        <v>160</v>
      </c>
      <c r="AK170" s="591" t="s">
        <v>160</v>
      </c>
      <c r="AL170" s="591" t="s">
        <v>160</v>
      </c>
      <c r="AM170" s="591" t="s">
        <v>160</v>
      </c>
      <c r="AN170" s="591" t="s">
        <v>160</v>
      </c>
      <c r="AO170" s="591" t="s">
        <v>160</v>
      </c>
      <c r="AP170" s="591" t="s">
        <v>160</v>
      </c>
      <c r="AQ170" s="591" t="s">
        <v>160</v>
      </c>
      <c r="AR170" s="591">
        <v>179</v>
      </c>
      <c r="AS170" s="591">
        <v>179</v>
      </c>
      <c r="AT170" s="591">
        <v>179</v>
      </c>
      <c r="AU170" s="591">
        <v>179</v>
      </c>
      <c r="AV170" s="591">
        <v>179</v>
      </c>
      <c r="AW170" s="591">
        <v>179</v>
      </c>
      <c r="AX170" s="935">
        <v>179</v>
      </c>
      <c r="AY170" s="842" t="s">
        <v>160</v>
      </c>
      <c r="AZ170" s="842" t="s">
        <v>160</v>
      </c>
      <c r="BA170" s="340">
        <v>94</v>
      </c>
      <c r="BB170" s="591">
        <v>94</v>
      </c>
      <c r="BC170" s="591">
        <v>94</v>
      </c>
      <c r="BD170" s="591">
        <v>94</v>
      </c>
      <c r="BE170" s="591">
        <v>94</v>
      </c>
      <c r="BF170" s="591">
        <v>94</v>
      </c>
      <c r="BG170" s="341">
        <v>133.69999999999999</v>
      </c>
      <c r="BH170" s="591">
        <v>133.69999999999999</v>
      </c>
      <c r="BI170" s="591">
        <v>133.69999999999999</v>
      </c>
      <c r="BJ170" s="591">
        <v>133.69999999999999</v>
      </c>
      <c r="BK170" s="591">
        <v>133.69999999999999</v>
      </c>
      <c r="BL170" s="591">
        <v>133.69999999999999</v>
      </c>
      <c r="BM170" s="591">
        <v>133.69999999999999</v>
      </c>
      <c r="BN170" s="591">
        <v>133.69999999999999</v>
      </c>
      <c r="BO170" s="591">
        <v>133.69999999999999</v>
      </c>
      <c r="BP170" s="591" t="s">
        <v>160</v>
      </c>
      <c r="BQ170" s="591" t="s">
        <v>160</v>
      </c>
      <c r="BR170" s="591" t="s">
        <v>160</v>
      </c>
      <c r="BS170" s="591">
        <v>101</v>
      </c>
      <c r="BT170"/>
      <c r="BU170"/>
      <c r="BV170"/>
      <c r="BW170"/>
    </row>
    <row r="171" spans="1:117" x14ac:dyDescent="0.25">
      <c r="A171" t="s">
        <v>557</v>
      </c>
      <c r="B171" t="s">
        <v>856</v>
      </c>
      <c r="C171"/>
      <c r="D171" s="277" t="str">
        <f>IF([1]RENAME!$H$3=1,B171,A171)</f>
        <v>Média</v>
      </c>
      <c r="E171" s="326" t="str">
        <f t="shared" ref="E171:AH171" si="129">IFERROR(AVERAGE(E166:E170),"-")</f>
        <v>-</v>
      </c>
      <c r="F171" s="326" t="str">
        <f t="shared" si="129"/>
        <v>-</v>
      </c>
      <c r="G171" s="326" t="str">
        <f t="shared" si="129"/>
        <v>-</v>
      </c>
      <c r="H171" s="326" t="str">
        <f t="shared" si="129"/>
        <v>-</v>
      </c>
      <c r="I171" s="326" t="str">
        <f t="shared" si="129"/>
        <v>-</v>
      </c>
      <c r="J171" s="326" t="str">
        <f t="shared" si="129"/>
        <v>-</v>
      </c>
      <c r="K171" s="326" t="str">
        <f t="shared" si="129"/>
        <v>-</v>
      </c>
      <c r="L171" s="337" t="str">
        <f t="shared" si="129"/>
        <v>-</v>
      </c>
      <c r="M171" s="337" t="str">
        <f t="shared" si="129"/>
        <v>-</v>
      </c>
      <c r="N171" s="337" t="str">
        <f t="shared" si="129"/>
        <v>-</v>
      </c>
      <c r="O171" s="337" t="str">
        <f t="shared" si="129"/>
        <v>-</v>
      </c>
      <c r="P171" s="337" t="str">
        <f t="shared" si="129"/>
        <v>-</v>
      </c>
      <c r="Q171" s="337" t="str">
        <f t="shared" si="129"/>
        <v>-</v>
      </c>
      <c r="R171" s="337" t="str">
        <f t="shared" si="129"/>
        <v>-</v>
      </c>
      <c r="S171" s="337" t="str">
        <f t="shared" si="129"/>
        <v>-</v>
      </c>
      <c r="T171" s="347" t="str">
        <f t="shared" si="129"/>
        <v>-</v>
      </c>
      <c r="U171" s="347" t="str">
        <f t="shared" si="129"/>
        <v>-</v>
      </c>
      <c r="V171" s="347" t="str">
        <f t="shared" si="129"/>
        <v>-</v>
      </c>
      <c r="W171" s="347" t="str">
        <f t="shared" si="129"/>
        <v>-</v>
      </c>
      <c r="X171" s="347" t="str">
        <f t="shared" si="129"/>
        <v>-</v>
      </c>
      <c r="Y171" s="347" t="str">
        <f t="shared" si="129"/>
        <v>-</v>
      </c>
      <c r="Z171" s="347" t="str">
        <f t="shared" si="129"/>
        <v>-</v>
      </c>
      <c r="AA171" s="347" t="str">
        <f t="shared" si="129"/>
        <v>-</v>
      </c>
      <c r="AB171" s="347" t="str">
        <f t="shared" si="129"/>
        <v>-</v>
      </c>
      <c r="AC171" s="347" t="str">
        <f t="shared" si="129"/>
        <v>-</v>
      </c>
      <c r="AD171" s="347" t="str">
        <f t="shared" si="129"/>
        <v>-</v>
      </c>
      <c r="AE171" s="347" t="str">
        <f t="shared" si="129"/>
        <v>-</v>
      </c>
      <c r="AF171" s="347" t="str">
        <f t="shared" si="129"/>
        <v>-</v>
      </c>
      <c r="AG171" s="347" t="str">
        <f t="shared" si="129"/>
        <v>-</v>
      </c>
      <c r="AH171" s="347" t="str">
        <f t="shared" si="129"/>
        <v>-</v>
      </c>
      <c r="AI171" s="347" t="str">
        <f t="shared" ref="AI171:AN171" si="130">IFERROR(AVERAGE(AI166:AI170),"-")</f>
        <v>-</v>
      </c>
      <c r="AJ171" s="347" t="str">
        <f t="shared" si="130"/>
        <v>-</v>
      </c>
      <c r="AK171" s="347" t="str">
        <f t="shared" si="130"/>
        <v>-</v>
      </c>
      <c r="AL171" s="347">
        <f t="shared" si="130"/>
        <v>146</v>
      </c>
      <c r="AM171" s="347">
        <f t="shared" si="130"/>
        <v>146</v>
      </c>
      <c r="AN171" s="347">
        <f t="shared" si="130"/>
        <v>159</v>
      </c>
      <c r="AO171" s="347">
        <f t="shared" ref="AO171:AT171" si="131">IFERROR(AVERAGE(AO166:AO170),"-")</f>
        <v>159</v>
      </c>
      <c r="AP171" s="347">
        <f t="shared" si="131"/>
        <v>159</v>
      </c>
      <c r="AQ171" s="347">
        <f t="shared" si="131"/>
        <v>159</v>
      </c>
      <c r="AR171" s="347">
        <f t="shared" si="131"/>
        <v>165.66666666666666</v>
      </c>
      <c r="AS171" s="347">
        <f t="shared" si="131"/>
        <v>169.75</v>
      </c>
      <c r="AT171" s="347">
        <f t="shared" si="131"/>
        <v>169.75</v>
      </c>
      <c r="AU171" s="347">
        <f t="shared" ref="AU171:BB171" si="132">IFERROR(AVERAGE(AU166:AU170),"-")</f>
        <v>177.6</v>
      </c>
      <c r="AV171" s="816">
        <f t="shared" si="132"/>
        <v>177.6</v>
      </c>
      <c r="AW171" s="816">
        <f t="shared" si="132"/>
        <v>177.6</v>
      </c>
      <c r="AX171" s="936">
        <f>IFERROR(AVERAGE(AX166:AX170),"-")</f>
        <v>177.6</v>
      </c>
      <c r="AY171" s="645">
        <f t="shared" si="132"/>
        <v>98.526928375997514</v>
      </c>
      <c r="AZ171" s="645">
        <f t="shared" si="132"/>
        <v>98.526928375997514</v>
      </c>
      <c r="BA171" s="645">
        <f t="shared" si="132"/>
        <v>101.5089761253325</v>
      </c>
      <c r="BB171" s="645">
        <f t="shared" si="132"/>
        <v>101.5089761253325</v>
      </c>
      <c r="BC171" s="645">
        <f t="shared" ref="BC171:BH171" si="133">IFERROR(AVERAGE(BC166:BC170),"-")</f>
        <v>101.5089761253325</v>
      </c>
      <c r="BD171" s="645">
        <f t="shared" si="133"/>
        <v>101.5089761253325</v>
      </c>
      <c r="BE171" s="645">
        <f t="shared" si="133"/>
        <v>104.88173209399937</v>
      </c>
      <c r="BF171" s="645">
        <f t="shared" si="133"/>
        <v>120</v>
      </c>
      <c r="BG171" s="645">
        <f t="shared" si="133"/>
        <v>143.92500000000001</v>
      </c>
      <c r="BH171" s="645">
        <f t="shared" si="133"/>
        <v>143.92500000000001</v>
      </c>
      <c r="BI171" s="645">
        <f t="shared" ref="BI171:BN171" si="134">IFERROR(AVERAGE(BI166:BI170),"-")</f>
        <v>143.92500000000001</v>
      </c>
      <c r="BJ171" s="645">
        <f t="shared" si="134"/>
        <v>143.92500000000001</v>
      </c>
      <c r="BK171" s="645">
        <f t="shared" si="134"/>
        <v>143.92500000000001</v>
      </c>
      <c r="BL171" s="645">
        <f t="shared" si="134"/>
        <v>143.92500000000001</v>
      </c>
      <c r="BM171" s="645">
        <f t="shared" si="134"/>
        <v>144.17500000000001</v>
      </c>
      <c r="BN171" s="645">
        <f t="shared" si="134"/>
        <v>144.17500000000001</v>
      </c>
      <c r="BO171" s="645">
        <f>IFERROR(AVERAGE(BO166:BO170),"-")</f>
        <v>144.17500000000001</v>
      </c>
      <c r="BP171" s="645">
        <f>IFERROR(AVERAGE(BP166:BP170),"-")</f>
        <v>83</v>
      </c>
      <c r="BQ171" s="645">
        <f>IFERROR(AVERAGE(BQ166:BQ170),"-")</f>
        <v>83</v>
      </c>
      <c r="BR171" s="645">
        <f>IFERROR(AVERAGE(BR166:BR170),"-")</f>
        <v>83</v>
      </c>
      <c r="BS171" s="645">
        <f>IFERROR(AVERAGE(BS166:BS170),"-")</f>
        <v>96.5</v>
      </c>
      <c r="BT171"/>
      <c r="BU171"/>
      <c r="BV171"/>
      <c r="BW171"/>
    </row>
    <row r="172" spans="1:117" x14ac:dyDescent="0.25">
      <c r="S172" s="338"/>
      <c r="T172" s="338"/>
      <c r="U172" s="338"/>
      <c r="V172" s="338"/>
      <c r="W172" s="338"/>
      <c r="X172" s="338"/>
      <c r="Y172" s="338"/>
      <c r="AV172" s="775"/>
      <c r="BT172"/>
      <c r="BU172"/>
      <c r="BV172"/>
      <c r="BW172"/>
    </row>
    <row r="173" spans="1:117" x14ac:dyDescent="0.25">
      <c r="A173" s="261" t="s">
        <v>1795</v>
      </c>
      <c r="B173" s="261" t="s">
        <v>1796</v>
      </c>
      <c r="D173" s="113" t="str">
        <f>IF([1]RENAME!$H$3=1,B173,A173)</f>
        <v>PREÇO ALVO YE21</v>
      </c>
      <c r="E173" s="262">
        <f>IF([1]RENAME!$H$3=0,E1,TEXT(E1,"[$-en-US]mmm-AA;@"))</f>
        <v>42522</v>
      </c>
      <c r="F173" s="262">
        <f>IF([1]RENAME!$H$3=0,F1,TEXT(F1,"[$-en-US]mmm-AA;@"))</f>
        <v>42552</v>
      </c>
      <c r="G173" s="262">
        <f>IF([1]RENAME!$H$3=0,G1,TEXT(G1,"[$-en-US]mmm-AA;@"))</f>
        <v>42583</v>
      </c>
      <c r="H173" s="262">
        <f>IF([1]RENAME!$H$3=0,H1,TEXT(H1,"[$-en-US]mmm-AA;@"))</f>
        <v>42614</v>
      </c>
      <c r="I173" s="262">
        <f>IF([1]RENAME!$H$3=0,I1,TEXT(I1,"[$-en-US]mmm-AA;@"))</f>
        <v>42644</v>
      </c>
      <c r="J173" s="262">
        <f>IF([1]RENAME!$H$3=0,J1,TEXT(J1,"[$-en-US]mmm-AA;@"))</f>
        <v>42675</v>
      </c>
      <c r="K173" s="262">
        <f>IF([1]RENAME!$H$3=0,K1,TEXT(K1,"[$-en-US]mmm-AA;@"))</f>
        <v>42705</v>
      </c>
      <c r="L173" s="262">
        <f>IF([1]RENAME!$H$3=0,L1,TEXT(L1,"[$-en-US]mmm-AA;@"))</f>
        <v>42736</v>
      </c>
      <c r="M173" s="262">
        <f>IF([1]RENAME!$H$3=0,M1,TEXT(M1,"[$-en-US]mmm-AA;@"))</f>
        <v>42767</v>
      </c>
      <c r="N173" s="262">
        <f>IF([1]RENAME!$H$3=0,N1,TEXT(N1,"[$-en-US]mmm-AA;@"))</f>
        <v>42795</v>
      </c>
      <c r="O173" s="262">
        <f>IF([1]RENAME!$H$3=0,O1,TEXT(O1,"[$-en-US]mmm-AA;@"))</f>
        <v>42826</v>
      </c>
      <c r="P173" s="262">
        <f>IF([1]RENAME!$H$3=0,P1,TEXT(P1,"[$-en-US]mmm-AA;@"))</f>
        <v>42856</v>
      </c>
      <c r="Q173" s="262">
        <f>IF([1]RENAME!$H$3=0,Q1,TEXT(Q1,"[$-en-US]mmm-AA;@"))</f>
        <v>42887</v>
      </c>
      <c r="R173" s="262">
        <f>IF([1]RENAME!$H$3=0,R1,TEXT(R1,"[$-en-US]mmm-AA;@"))</f>
        <v>42917</v>
      </c>
      <c r="S173" s="262">
        <f>IF([1]RENAME!$H$3=0,S1,TEXT(S1,"[$-en-US]mmm-AA;@"))</f>
        <v>42948</v>
      </c>
      <c r="T173" s="262">
        <f>IF([1]RENAME!$H$3=0,T1,TEXT(T1,"[$-en-US]mmm-AA;@"))</f>
        <v>42979</v>
      </c>
      <c r="U173" s="262">
        <f>IF([1]RENAME!$H$3=0,U1,TEXT(U1,"[$-en-US]mmm-AA;@"))</f>
        <v>43009</v>
      </c>
      <c r="V173" s="262">
        <f>IF([1]RENAME!$H$3=0,V1,TEXT(V1,"[$-en-US]mmm-AA;@"))</f>
        <v>43040</v>
      </c>
      <c r="W173" s="262">
        <f>IF([1]RENAME!$H$3=0,W1,TEXT(W1,"[$-en-US]mmm-AA;@"))</f>
        <v>43070</v>
      </c>
      <c r="X173" s="262">
        <f>IF([1]RENAME!$H$3=0,X1,TEXT(X1,"[$-en-US]mmm-AA;@"))</f>
        <v>43101</v>
      </c>
      <c r="Y173" s="262">
        <f>IF([1]RENAME!$H$3=0,Y1,TEXT(Y1,"[$-en-US]mmm-AA;@"))</f>
        <v>43132</v>
      </c>
      <c r="Z173" s="262">
        <f>IF([1]RENAME!$H$3=0,Z1,TEXT(Z1,"[$-en-US]mmm-AA;@"))</f>
        <v>43160</v>
      </c>
      <c r="AA173" s="262">
        <f>IF([1]RENAME!$H$3=0,AA1,TEXT(AA1,"[$-en-US]mmm-AA;@"))</f>
        <v>43191</v>
      </c>
      <c r="AB173" s="262">
        <f>IF([1]RENAME!$H$3=0,AB1,TEXT(AB1,"[$-en-US]mmm-AA;@"))</f>
        <v>43221</v>
      </c>
      <c r="AC173" s="262">
        <f>IF([1]RENAME!$H$3=0,AC1,TEXT(AC1,"[$-en-US]mmm-AA;@"))</f>
        <v>43252</v>
      </c>
      <c r="AD173" s="262">
        <f>IF([1]RENAME!$H$3=0,AD1,TEXT(AD1,"[$-en-US]mmm-AA;@"))</f>
        <v>43283</v>
      </c>
      <c r="AE173" s="262">
        <f>IF([1]RENAME!$H$3=0,AE1,TEXT(AE1,"[$-en-US]mmm-AA;@"))</f>
        <v>43314</v>
      </c>
      <c r="AF173" s="262">
        <f>IF([1]RENAME!$H$3=0,AF1,TEXT(AF1,"[$-en-US]mmm-AA;@"))</f>
        <v>43345</v>
      </c>
      <c r="AG173" s="262">
        <f>IF([1]RENAME!$H$3=0,AG1,TEXT(AG1,"[$-en-US]mmm-AA;@"))</f>
        <v>43376</v>
      </c>
      <c r="AH173" s="262">
        <f>IF([1]RENAME!$H$3=0,AH1,TEXT(AH1,"[$-en-US]mmm-AA;@"))</f>
        <v>43407</v>
      </c>
      <c r="AI173" s="262">
        <f>IF([1]RENAME!$H$3=0,AI1,TEXT(AI1,"[$-en-US]mmm-AA;@"))</f>
        <v>43437</v>
      </c>
      <c r="AJ173" s="262">
        <f>IF([1]RENAME!$H$3=0,AJ1,TEXT(AJ1,"[$-en-US]mmm-AA;@"))</f>
        <v>43468</v>
      </c>
      <c r="AK173" s="262">
        <f>IF([1]RENAME!$H$3=0,AK1,TEXT(AK1,"[$-en-US]mmm-AA;@"))</f>
        <v>43499</v>
      </c>
      <c r="AL173" s="262">
        <f>IF([1]RENAME!$H$3=0,AL1,TEXT(AL1,"[$-en-US]mmm-AA;@"))</f>
        <v>43527</v>
      </c>
      <c r="AM173" s="262">
        <f>IF([1]RENAME!$H$3=0,AM1,TEXT(AM1,"[$-en-US]mmm-AA;@"))</f>
        <v>43558</v>
      </c>
      <c r="AN173" s="262">
        <f>IF([1]RENAME!$H$3=0,AN1,TEXT(AN1,"[$-en-US]mmm-AA;@"))</f>
        <v>43587</v>
      </c>
      <c r="AO173" s="262">
        <f>IF([1]RENAME!$H$3=0,AO1,TEXT(AO1,"[$-en-US]mmm-AA;@"))</f>
        <v>43618</v>
      </c>
      <c r="AP173" s="262">
        <f>IF([1]RENAME!$H$3=0,AP1,TEXT(AP1,"[$-en-US]mmm-AA;@"))</f>
        <v>43647</v>
      </c>
      <c r="AQ173" s="262">
        <f>IF([1]RENAME!$H$3=0,AQ1,TEXT(AQ1,"[$-en-US]mmm-AA;@"))</f>
        <v>43678</v>
      </c>
      <c r="AR173" s="262">
        <f>IF([1]RENAME!$H$3=0,AR1,TEXT(AR1,"[$-en-US]mmm-AA;@"))</f>
        <v>43709</v>
      </c>
      <c r="AS173" s="262">
        <f>IF([1]RENAME!$H$3=0,AS1,TEXT(AS1,"[$-en-US]mmm-AA;@"))</f>
        <v>43739</v>
      </c>
      <c r="AT173" s="262">
        <f>IF([1]RENAME!$H$3=0,AT1,TEXT(AT1,"[$-en-US]mmm-AA;@"))</f>
        <v>43770</v>
      </c>
      <c r="AU173" s="262">
        <f>IF([1]RENAME!$H$3=0,AU1,TEXT(AU1,"[$-en-US]mmm-AA;@"))</f>
        <v>43800</v>
      </c>
      <c r="AV173" s="262">
        <f>IF([1]RENAME!$H$3=0,AV1,TEXT(AV1,"[$-en-US]mmm-AA;@"))</f>
        <v>43831</v>
      </c>
      <c r="AW173" s="262">
        <f>IF([1]RENAME!$H$3=0,AW1,TEXT(AW1,"[$-en-US]mmm-AA;@"))</f>
        <v>43862</v>
      </c>
      <c r="AX173" s="933">
        <f>IF([1]RENAME!$H$3=0,AX1,TEXT(AX1,"[$-en-US]mmm-AA;@"))</f>
        <v>43891</v>
      </c>
      <c r="AY173" s="262">
        <f>IF([1]RENAME!$H$3=0,AY1,TEXT(AY1,"[$-en-US]mmm-AA;@"))</f>
        <v>43922</v>
      </c>
      <c r="AZ173" s="262">
        <f>IF([1]RENAME!$H$3=0,AZ1,TEXT(AZ1,"[$-en-US]mmm-AA;@"))</f>
        <v>43952</v>
      </c>
      <c r="BA173" s="262">
        <f>IF([1]RENAME!$H$3=0,BA1,TEXT(BA1,"[$-en-US]mmm-AA;@"))</f>
        <v>43983</v>
      </c>
      <c r="BB173" s="262">
        <f>IF([1]RENAME!$H$3=0,BB1,TEXT(BB1,"[$-en-US]mmm-AA;@"))</f>
        <v>44013</v>
      </c>
      <c r="BC173" s="262">
        <f>IF([1]RENAME!$H$3=0,BC1,TEXT(BC1,"[$-en-US]mmm-AA;@"))</f>
        <v>44044</v>
      </c>
      <c r="BD173" s="262">
        <f>IF([1]RENAME!$H$3=0,BD1,TEXT(BD1,"[$-en-US]mmm-AA;@"))</f>
        <v>44075</v>
      </c>
      <c r="BE173" s="262">
        <f>IF([1]RENAME!$H$3=0,BE1,TEXT(BE1,"[$-en-US]mmm-AA;@"))</f>
        <v>44105</v>
      </c>
      <c r="BF173" s="262">
        <f>IF([1]RENAME!$H$3=0,BF1,TEXT(BF1,"[$-en-US]mmm-AA;@"))</f>
        <v>44136</v>
      </c>
      <c r="BG173" s="262">
        <f>IF([1]RENAME!$H$3=0,BG1,TEXT(BG1,"[$-en-US]mmm-AA;@"))</f>
        <v>44166</v>
      </c>
      <c r="BH173" s="262">
        <f>IF([1]RENAME!$H$3=0,BH1,TEXT(BH1,"[$-en-US]mmm-AA;@"))</f>
        <v>44197</v>
      </c>
      <c r="BI173" s="262">
        <f>IF([1]RENAME!$H$3=0,BI1,TEXT(BI1,"[$-en-US]mmm-AA;@"))</f>
        <v>44228</v>
      </c>
      <c r="BJ173" s="262">
        <f>IF([1]RENAME!$H$3=0,BJ1,TEXT(BJ1,"[$-en-US]mmm-AA;@"))</f>
        <v>44256</v>
      </c>
      <c r="BK173" s="262">
        <f>IF([1]RENAME!$H$3=0,BK1,TEXT(BK1,"[$-en-US]mmm-AA;@"))</f>
        <v>44287</v>
      </c>
      <c r="BL173" s="262">
        <f>IF([1]RENAME!$H$3=0,BL1,TEXT(BL1,"[$-en-US]mmm-AA;@"))</f>
        <v>44317</v>
      </c>
      <c r="BM173" s="262">
        <f>IF([1]RENAME!$H$3=0,BM1,TEXT(BM1,"[$-en-US]mmm-AA;@"))</f>
        <v>44348</v>
      </c>
      <c r="BN173" s="262">
        <f>IF([1]RENAME!$H$3=0,BN1,TEXT(BN1,"[$-en-US]mmm-AA;@"))</f>
        <v>44378</v>
      </c>
      <c r="BO173" s="262">
        <f>IF([1]RENAME!$H$3=0,BO1,TEXT(BO1,"[$-en-US]mmm-AA;@"))</f>
        <v>44409</v>
      </c>
      <c r="BP173" s="262">
        <f>IF([1]RENAME!$H$3=0,BP1,TEXT(BP1,"[$-en-US]mmm-AA;@"))</f>
        <v>44440</v>
      </c>
      <c r="BQ173" s="262">
        <f>IF([1]RENAME!$H$3=0,BQ1,TEXT(BQ1,"[$-en-US]mmm-AA;@"))</f>
        <v>44470</v>
      </c>
      <c r="BR173" s="262">
        <f>IF([1]RENAME!$H$3=0,BR1,TEXT(BR1,"[$-en-US]mmm-AA;@"))</f>
        <v>44501</v>
      </c>
      <c r="BS173" s="262">
        <f>IF([1]RENAME!$H$3=0,BS1,TEXT(BS1,"[$-en-US]mmm-AA;@"))</f>
        <v>44531</v>
      </c>
      <c r="BT173"/>
      <c r="BU173"/>
      <c r="BV173"/>
      <c r="BW173"/>
    </row>
    <row r="174" spans="1:117" x14ac:dyDescent="0.25">
      <c r="A174" s="261" t="s">
        <v>542</v>
      </c>
      <c r="B174" s="261" t="s">
        <v>542</v>
      </c>
      <c r="D174" s="117" t="str">
        <f>IF([1]RENAME!$H$3=1,B174,A174)</f>
        <v>SANTANDER</v>
      </c>
      <c r="E174" s="263" t="s">
        <v>160</v>
      </c>
      <c r="F174" s="263" t="s">
        <v>160</v>
      </c>
      <c r="G174" s="263" t="s">
        <v>160</v>
      </c>
      <c r="H174" s="263" t="s">
        <v>160</v>
      </c>
      <c r="I174" s="263" t="s">
        <v>160</v>
      </c>
      <c r="J174" s="263" t="s">
        <v>160</v>
      </c>
      <c r="K174" s="263" t="s">
        <v>160</v>
      </c>
      <c r="L174" s="263" t="s">
        <v>160</v>
      </c>
      <c r="M174" s="263" t="s">
        <v>160</v>
      </c>
      <c r="N174" s="263" t="s">
        <v>160</v>
      </c>
      <c r="O174" s="263" t="s">
        <v>160</v>
      </c>
      <c r="P174" s="263" t="s">
        <v>160</v>
      </c>
      <c r="Q174" s="263" t="s">
        <v>160</v>
      </c>
      <c r="R174" s="263" t="s">
        <v>160</v>
      </c>
      <c r="S174" s="263" t="s">
        <v>160</v>
      </c>
      <c r="T174" s="263" t="s">
        <v>160</v>
      </c>
      <c r="U174" s="263" t="s">
        <v>160</v>
      </c>
      <c r="V174" s="263" t="s">
        <v>160</v>
      </c>
      <c r="W174" s="686" t="s">
        <v>160</v>
      </c>
      <c r="X174" s="686" t="s">
        <v>160</v>
      </c>
      <c r="Y174" s="686" t="s">
        <v>160</v>
      </c>
      <c r="Z174" s="686" t="s">
        <v>160</v>
      </c>
      <c r="AA174" s="686" t="s">
        <v>160</v>
      </c>
      <c r="AB174" s="686" t="s">
        <v>160</v>
      </c>
      <c r="AC174" s="686" t="s">
        <v>160</v>
      </c>
      <c r="AD174" s="686" t="s">
        <v>160</v>
      </c>
      <c r="AE174" s="686" t="s">
        <v>160</v>
      </c>
      <c r="AF174" s="686" t="s">
        <v>160</v>
      </c>
      <c r="AG174" s="686" t="s">
        <v>160</v>
      </c>
      <c r="AH174" s="686" t="s">
        <v>160</v>
      </c>
      <c r="AI174" s="686" t="s">
        <v>160</v>
      </c>
      <c r="AJ174" s="686" t="s">
        <v>160</v>
      </c>
      <c r="AK174" s="686" t="s">
        <v>160</v>
      </c>
      <c r="AL174" s="686" t="s">
        <v>160</v>
      </c>
      <c r="AM174" s="686" t="s">
        <v>160</v>
      </c>
      <c r="AN174" s="686" t="s">
        <v>160</v>
      </c>
      <c r="AO174" s="686" t="s">
        <v>160</v>
      </c>
      <c r="AP174" s="686" t="s">
        <v>160</v>
      </c>
      <c r="AQ174" s="686" t="s">
        <v>160</v>
      </c>
      <c r="AR174" s="949" t="s">
        <v>160</v>
      </c>
      <c r="AS174" s="949" t="s">
        <v>160</v>
      </c>
      <c r="AT174" s="949" t="s">
        <v>160</v>
      </c>
      <c r="AU174" s="949" t="s">
        <v>160</v>
      </c>
      <c r="AV174" s="949" t="s">
        <v>160</v>
      </c>
      <c r="AW174" s="949" t="s">
        <v>160</v>
      </c>
      <c r="AX174" s="949" t="s">
        <v>160</v>
      </c>
      <c r="AY174" s="950" t="s">
        <v>160</v>
      </c>
      <c r="AZ174" s="949" t="s">
        <v>160</v>
      </c>
      <c r="BA174" s="949" t="s">
        <v>160</v>
      </c>
      <c r="BB174" s="949" t="s">
        <v>160</v>
      </c>
      <c r="BC174" s="949" t="s">
        <v>160</v>
      </c>
      <c r="BD174" s="949" t="s">
        <v>160</v>
      </c>
      <c r="BE174" s="949" t="s">
        <v>160</v>
      </c>
      <c r="BF174" s="949" t="s">
        <v>160</v>
      </c>
      <c r="BG174" s="949">
        <v>34.299999999999997</v>
      </c>
      <c r="BH174" s="949">
        <v>34.299999999999997</v>
      </c>
      <c r="BI174" s="949">
        <v>34.299999999999997</v>
      </c>
      <c r="BJ174" s="949">
        <v>34.299999999999997</v>
      </c>
      <c r="BK174" s="949">
        <v>34.299999999999997</v>
      </c>
      <c r="BL174" s="949">
        <v>34.299999999999997</v>
      </c>
      <c r="BM174" s="949">
        <v>35.299999999999997</v>
      </c>
      <c r="BN174" s="949">
        <v>35.299999999999997</v>
      </c>
      <c r="BO174" s="949">
        <v>35.299999999999997</v>
      </c>
      <c r="BP174" s="949">
        <v>35.299999999999997</v>
      </c>
      <c r="BQ174" s="949">
        <v>35.299999999999997</v>
      </c>
      <c r="BR174" s="949">
        <v>35.299999999999997</v>
      </c>
      <c r="BS174" s="949" t="s">
        <v>160</v>
      </c>
      <c r="BT174"/>
      <c r="BU174"/>
      <c r="BV174"/>
      <c r="BW174"/>
    </row>
    <row r="175" spans="1:117" x14ac:dyDescent="0.25">
      <c r="A175" s="261" t="s">
        <v>545</v>
      </c>
      <c r="B175" s="261" t="s">
        <v>545</v>
      </c>
      <c r="D175" s="117" t="str">
        <f>IF([1]RENAME!$H$3=1,B175,A175)</f>
        <v>BAML</v>
      </c>
      <c r="E175" s="263" t="s">
        <v>160</v>
      </c>
      <c r="F175" s="263" t="s">
        <v>160</v>
      </c>
      <c r="G175" s="263" t="s">
        <v>160</v>
      </c>
      <c r="H175" s="263" t="s">
        <v>160</v>
      </c>
      <c r="I175" s="263" t="s">
        <v>160</v>
      </c>
      <c r="J175" s="263" t="s">
        <v>160</v>
      </c>
      <c r="K175" s="263" t="s">
        <v>160</v>
      </c>
      <c r="L175" s="263" t="s">
        <v>160</v>
      </c>
      <c r="M175" s="263" t="s">
        <v>160</v>
      </c>
      <c r="N175" s="263" t="s">
        <v>160</v>
      </c>
      <c r="O175" s="263" t="s">
        <v>160</v>
      </c>
      <c r="P175" s="263" t="s">
        <v>160</v>
      </c>
      <c r="Q175" s="263" t="s">
        <v>160</v>
      </c>
      <c r="R175" s="263" t="s">
        <v>160</v>
      </c>
      <c r="S175" s="263" t="s">
        <v>160</v>
      </c>
      <c r="T175" s="263" t="s">
        <v>160</v>
      </c>
      <c r="U175" s="263" t="s">
        <v>160</v>
      </c>
      <c r="V175" s="263" t="s">
        <v>160</v>
      </c>
      <c r="W175" s="263" t="s">
        <v>160</v>
      </c>
      <c r="X175" s="263" t="s">
        <v>160</v>
      </c>
      <c r="Y175" s="263" t="s">
        <v>160</v>
      </c>
      <c r="Z175" s="263" t="s">
        <v>160</v>
      </c>
      <c r="AA175" s="263" t="s">
        <v>160</v>
      </c>
      <c r="AB175" s="263" t="s">
        <v>160</v>
      </c>
      <c r="AC175" s="263" t="s">
        <v>160</v>
      </c>
      <c r="AD175" s="263" t="s">
        <v>160</v>
      </c>
      <c r="AE175" s="263" t="s">
        <v>160</v>
      </c>
      <c r="AF175" s="263" t="s">
        <v>160</v>
      </c>
      <c r="AG175" s="263" t="s">
        <v>160</v>
      </c>
      <c r="AH175" s="263" t="s">
        <v>160</v>
      </c>
      <c r="AI175" s="263" t="s">
        <v>160</v>
      </c>
      <c r="AJ175" s="263" t="s">
        <v>160</v>
      </c>
      <c r="AK175" s="263" t="s">
        <v>160</v>
      </c>
      <c r="AL175" s="263" t="s">
        <v>160</v>
      </c>
      <c r="AM175" s="263" t="s">
        <v>160</v>
      </c>
      <c r="AN175" s="686" t="s">
        <v>160</v>
      </c>
      <c r="AO175" s="263" t="s">
        <v>160</v>
      </c>
      <c r="AP175" s="263" t="s">
        <v>160</v>
      </c>
      <c r="AQ175" s="263" t="s">
        <v>160</v>
      </c>
      <c r="AR175" s="344" t="s">
        <v>160</v>
      </c>
      <c r="AS175" s="344" t="s">
        <v>160</v>
      </c>
      <c r="AT175" s="344" t="s">
        <v>160</v>
      </c>
      <c r="AU175" s="344" t="s">
        <v>160</v>
      </c>
      <c r="AV175" s="344" t="s">
        <v>160</v>
      </c>
      <c r="AW175" s="344" t="s">
        <v>160</v>
      </c>
      <c r="AX175" s="344" t="s">
        <v>160</v>
      </c>
      <c r="AY175" s="950" t="s">
        <v>160</v>
      </c>
      <c r="AZ175" s="949" t="s">
        <v>160</v>
      </c>
      <c r="BA175" s="949" t="s">
        <v>160</v>
      </c>
      <c r="BB175" s="949" t="s">
        <v>160</v>
      </c>
      <c r="BC175" s="949" t="s">
        <v>160</v>
      </c>
      <c r="BD175" s="949" t="s">
        <v>160</v>
      </c>
      <c r="BE175" s="949" t="s">
        <v>160</v>
      </c>
      <c r="BF175" s="949" t="s">
        <v>160</v>
      </c>
      <c r="BG175" s="949" t="s">
        <v>160</v>
      </c>
      <c r="BH175" s="949" t="s">
        <v>160</v>
      </c>
      <c r="BI175" s="949" t="s">
        <v>160</v>
      </c>
      <c r="BJ175" s="949" t="s">
        <v>160</v>
      </c>
      <c r="BK175" s="949" t="s">
        <v>160</v>
      </c>
      <c r="BL175" s="949" t="s">
        <v>160</v>
      </c>
      <c r="BM175" s="949" t="s">
        <v>160</v>
      </c>
      <c r="BN175" s="949" t="s">
        <v>160</v>
      </c>
      <c r="BO175" s="949" t="s">
        <v>160</v>
      </c>
      <c r="BP175" s="949" t="s">
        <v>160</v>
      </c>
      <c r="BQ175" s="949" t="s">
        <v>160</v>
      </c>
      <c r="BR175" s="949" t="s">
        <v>160</v>
      </c>
      <c r="BS175" s="949" t="s">
        <v>160</v>
      </c>
      <c r="BT175"/>
      <c r="BU175"/>
      <c r="BV175"/>
      <c r="BW175"/>
    </row>
    <row r="176" spans="1:117" x14ac:dyDescent="0.25">
      <c r="A176" s="261" t="s">
        <v>546</v>
      </c>
      <c r="B176" s="261" t="s">
        <v>546</v>
      </c>
      <c r="D176" s="117" t="str">
        <f>IF([1]RENAME!$H$3=1,B176,A176)</f>
        <v>BTG PACTUAL</v>
      </c>
      <c r="E176" s="263" t="s">
        <v>160</v>
      </c>
      <c r="F176" s="263" t="s">
        <v>160</v>
      </c>
      <c r="G176" s="263" t="s">
        <v>160</v>
      </c>
      <c r="H176" s="263" t="s">
        <v>160</v>
      </c>
      <c r="I176" s="263" t="s">
        <v>160</v>
      </c>
      <c r="J176" s="263" t="s">
        <v>160</v>
      </c>
      <c r="K176" s="263" t="s">
        <v>160</v>
      </c>
      <c r="L176" s="263" t="s">
        <v>160</v>
      </c>
      <c r="M176" s="263" t="s">
        <v>160</v>
      </c>
      <c r="N176" s="263" t="s">
        <v>160</v>
      </c>
      <c r="O176" s="263" t="s">
        <v>160</v>
      </c>
      <c r="P176" s="263" t="s">
        <v>160</v>
      </c>
      <c r="Q176" s="263" t="s">
        <v>160</v>
      </c>
      <c r="R176" s="263" t="s">
        <v>160</v>
      </c>
      <c r="S176" s="263" t="s">
        <v>160</v>
      </c>
      <c r="T176" s="263" t="s">
        <v>160</v>
      </c>
      <c r="U176" s="263" t="s">
        <v>160</v>
      </c>
      <c r="V176" s="263" t="s">
        <v>160</v>
      </c>
      <c r="W176" s="263" t="s">
        <v>160</v>
      </c>
      <c r="X176" s="263" t="s">
        <v>160</v>
      </c>
      <c r="Y176" s="263" t="s">
        <v>160</v>
      </c>
      <c r="Z176" s="263" t="s">
        <v>160</v>
      </c>
      <c r="AA176" s="263" t="s">
        <v>160</v>
      </c>
      <c r="AB176" s="686" t="s">
        <v>160</v>
      </c>
      <c r="AC176" s="263" t="s">
        <v>160</v>
      </c>
      <c r="AD176" s="263" t="s">
        <v>160</v>
      </c>
      <c r="AE176" s="263" t="s">
        <v>160</v>
      </c>
      <c r="AF176" s="263" t="s">
        <v>160</v>
      </c>
      <c r="AG176" s="263" t="s">
        <v>160</v>
      </c>
      <c r="AH176" s="263" t="s">
        <v>160</v>
      </c>
      <c r="AI176" s="263" t="s">
        <v>160</v>
      </c>
      <c r="AJ176" s="263" t="s">
        <v>160</v>
      </c>
      <c r="AK176" s="263" t="s">
        <v>160</v>
      </c>
      <c r="AL176" s="263" t="s">
        <v>160</v>
      </c>
      <c r="AM176" s="263" t="s">
        <v>160</v>
      </c>
      <c r="AN176" s="263" t="s">
        <v>160</v>
      </c>
      <c r="AO176" s="263" t="s">
        <v>160</v>
      </c>
      <c r="AP176" s="263" t="s">
        <v>160</v>
      </c>
      <c r="AQ176" s="263" t="s">
        <v>160</v>
      </c>
      <c r="AR176" s="344" t="s">
        <v>160</v>
      </c>
      <c r="AS176" s="344" t="s">
        <v>160</v>
      </c>
      <c r="AT176" s="344" t="s">
        <v>160</v>
      </c>
      <c r="AU176" s="344" t="s">
        <v>160</v>
      </c>
      <c r="AV176" s="344" t="s">
        <v>160</v>
      </c>
      <c r="AW176" s="344" t="s">
        <v>160</v>
      </c>
      <c r="AX176" s="344" t="s">
        <v>160</v>
      </c>
      <c r="AY176" s="950" t="s">
        <v>160</v>
      </c>
      <c r="AZ176" s="949" t="s">
        <v>160</v>
      </c>
      <c r="BA176" s="949" t="s">
        <v>160</v>
      </c>
      <c r="BB176" s="949" t="s">
        <v>160</v>
      </c>
      <c r="BC176" s="949" t="s">
        <v>160</v>
      </c>
      <c r="BD176" s="949" t="s">
        <v>160</v>
      </c>
      <c r="BE176" s="949" t="s">
        <v>160</v>
      </c>
      <c r="BF176" s="590">
        <v>33</v>
      </c>
      <c r="BG176" s="596">
        <v>33</v>
      </c>
      <c r="BH176" s="596">
        <v>33</v>
      </c>
      <c r="BI176" s="596">
        <v>33</v>
      </c>
      <c r="BJ176" s="596">
        <v>33</v>
      </c>
      <c r="BK176" s="596">
        <v>33</v>
      </c>
      <c r="BL176" s="596">
        <v>33</v>
      </c>
      <c r="BM176" s="596">
        <v>33</v>
      </c>
      <c r="BN176" s="596">
        <v>33</v>
      </c>
      <c r="BO176" s="596">
        <v>33</v>
      </c>
      <c r="BP176" s="596">
        <v>33</v>
      </c>
      <c r="BQ176" s="596">
        <v>33</v>
      </c>
      <c r="BR176" s="596">
        <v>33</v>
      </c>
      <c r="BS176" s="846" t="s">
        <v>160</v>
      </c>
      <c r="BT176"/>
      <c r="BU176"/>
      <c r="BV176"/>
      <c r="BW176"/>
    </row>
    <row r="177" spans="1:117" x14ac:dyDescent="0.25">
      <c r="A177" s="261" t="s">
        <v>574</v>
      </c>
      <c r="B177" s="261" t="s">
        <v>574</v>
      </c>
      <c r="D177" s="117" t="str">
        <f>IF([1]RENAME!$H$3=1,B177,A177)</f>
        <v>SAFRA</v>
      </c>
      <c r="E177" s="263" t="s">
        <v>160</v>
      </c>
      <c r="F177" s="263" t="s">
        <v>160</v>
      </c>
      <c r="G177" s="263" t="s">
        <v>160</v>
      </c>
      <c r="H177" s="263" t="s">
        <v>160</v>
      </c>
      <c r="I177" s="263" t="s">
        <v>160</v>
      </c>
      <c r="J177" s="263" t="s">
        <v>160</v>
      </c>
      <c r="K177" s="263" t="s">
        <v>160</v>
      </c>
      <c r="L177" s="263" t="s">
        <v>160</v>
      </c>
      <c r="M177" s="263" t="s">
        <v>160</v>
      </c>
      <c r="N177" s="263" t="s">
        <v>160</v>
      </c>
      <c r="O177" s="263" t="s">
        <v>160</v>
      </c>
      <c r="P177" s="263" t="s">
        <v>160</v>
      </c>
      <c r="Q177" s="263" t="s">
        <v>160</v>
      </c>
      <c r="R177" s="263" t="s">
        <v>160</v>
      </c>
      <c r="S177" s="263" t="s">
        <v>160</v>
      </c>
      <c r="T177" s="263" t="s">
        <v>160</v>
      </c>
      <c r="U177" s="263" t="s">
        <v>160</v>
      </c>
      <c r="V177" s="263" t="s">
        <v>160</v>
      </c>
      <c r="W177" s="263" t="s">
        <v>160</v>
      </c>
      <c r="X177" s="263" t="s">
        <v>160</v>
      </c>
      <c r="Y177" s="686" t="s">
        <v>160</v>
      </c>
      <c r="Z177" s="686" t="s">
        <v>160</v>
      </c>
      <c r="AA177" s="686" t="s">
        <v>160</v>
      </c>
      <c r="AB177" s="686" t="s">
        <v>160</v>
      </c>
      <c r="AC177" s="686" t="s">
        <v>160</v>
      </c>
      <c r="AD177" s="686" t="s">
        <v>160</v>
      </c>
      <c r="AE177" s="686" t="s">
        <v>160</v>
      </c>
      <c r="AF177" s="686" t="s">
        <v>160</v>
      </c>
      <c r="AG177" s="686" t="s">
        <v>160</v>
      </c>
      <c r="AH177" s="686" t="s">
        <v>160</v>
      </c>
      <c r="AI177" s="686" t="s">
        <v>160</v>
      </c>
      <c r="AJ177" s="686" t="s">
        <v>160</v>
      </c>
      <c r="AK177" s="686" t="s">
        <v>160</v>
      </c>
      <c r="AL177" s="686" t="s">
        <v>160</v>
      </c>
      <c r="AM177" s="686" t="s">
        <v>160</v>
      </c>
      <c r="AN177" s="686" t="s">
        <v>160</v>
      </c>
      <c r="AO177" s="686" t="s">
        <v>160</v>
      </c>
      <c r="AP177" s="686" t="s">
        <v>160</v>
      </c>
      <c r="AQ177" s="686" t="s">
        <v>160</v>
      </c>
      <c r="AR177" s="949" t="s">
        <v>160</v>
      </c>
      <c r="AS177" s="949" t="s">
        <v>160</v>
      </c>
      <c r="AT177" s="949" t="s">
        <v>160</v>
      </c>
      <c r="AU177" s="949" t="s">
        <v>160</v>
      </c>
      <c r="AV177" s="949" t="s">
        <v>160</v>
      </c>
      <c r="AW177" s="949" t="s">
        <v>160</v>
      </c>
      <c r="AX177" s="949" t="s">
        <v>160</v>
      </c>
      <c r="AY177" s="950" t="s">
        <v>160</v>
      </c>
      <c r="AZ177" s="949" t="s">
        <v>160</v>
      </c>
      <c r="BA177" s="949" t="s">
        <v>160</v>
      </c>
      <c r="BB177" s="949" t="s">
        <v>160</v>
      </c>
      <c r="BC177" s="949" t="s">
        <v>160</v>
      </c>
      <c r="BD177" s="949" t="s">
        <v>160</v>
      </c>
      <c r="BE177" s="590">
        <v>33.200000000000003</v>
      </c>
      <c r="BF177" s="596">
        <v>33.200000000000003</v>
      </c>
      <c r="BG177" s="596">
        <v>33.200000000000003</v>
      </c>
      <c r="BH177" s="596">
        <v>33.200000000000003</v>
      </c>
      <c r="BI177" s="596">
        <v>33.200000000000003</v>
      </c>
      <c r="BJ177" s="596">
        <v>33.200000000000003</v>
      </c>
      <c r="BK177" s="596">
        <v>33.200000000000003</v>
      </c>
      <c r="BL177" s="596">
        <v>33.200000000000003</v>
      </c>
      <c r="BM177" s="596">
        <v>33.200000000000003</v>
      </c>
      <c r="BN177" s="596">
        <v>33.200000000000003</v>
      </c>
      <c r="BO177" s="596">
        <v>33.200000000000003</v>
      </c>
      <c r="BP177" s="596">
        <v>33.200000000000003</v>
      </c>
      <c r="BQ177" s="596">
        <v>33.200000000000003</v>
      </c>
      <c r="BR177" s="596">
        <v>33.200000000000003</v>
      </c>
      <c r="BS177" s="596" t="s">
        <v>160</v>
      </c>
      <c r="BT177"/>
      <c r="BU177"/>
      <c r="BV177"/>
      <c r="BW177"/>
    </row>
    <row r="178" spans="1:117" x14ac:dyDescent="0.25">
      <c r="A178" s="261" t="s">
        <v>547</v>
      </c>
      <c r="B178" s="261" t="s">
        <v>547</v>
      </c>
      <c r="D178" s="117" t="str">
        <f>IF([1]RENAME!$H$3=1,B178,A178)</f>
        <v>ITAÚ</v>
      </c>
      <c r="E178" s="263" t="s">
        <v>160</v>
      </c>
      <c r="F178" s="263" t="s">
        <v>160</v>
      </c>
      <c r="G178" s="263" t="s">
        <v>160</v>
      </c>
      <c r="H178" s="263" t="s">
        <v>160</v>
      </c>
      <c r="I178" s="263" t="s">
        <v>160</v>
      </c>
      <c r="J178" s="263" t="s">
        <v>160</v>
      </c>
      <c r="K178" s="263" t="s">
        <v>160</v>
      </c>
      <c r="L178" s="263" t="s">
        <v>160</v>
      </c>
      <c r="M178" s="263" t="s">
        <v>160</v>
      </c>
      <c r="N178" s="263" t="s">
        <v>160</v>
      </c>
      <c r="O178" s="263" t="s">
        <v>160</v>
      </c>
      <c r="P178" s="263" t="s">
        <v>160</v>
      </c>
      <c r="Q178" s="263" t="s">
        <v>160</v>
      </c>
      <c r="R178" s="263" t="s">
        <v>160</v>
      </c>
      <c r="S178" s="263" t="s">
        <v>160</v>
      </c>
      <c r="T178" s="263" t="s">
        <v>160</v>
      </c>
      <c r="U178" s="263" t="s">
        <v>160</v>
      </c>
      <c r="V178" s="263" t="s">
        <v>160</v>
      </c>
      <c r="W178" s="263" t="s">
        <v>160</v>
      </c>
      <c r="X178" s="686" t="s">
        <v>160</v>
      </c>
      <c r="Y178" s="686" t="s">
        <v>160</v>
      </c>
      <c r="Z178" s="686" t="s">
        <v>160</v>
      </c>
      <c r="AA178" s="686" t="s">
        <v>160</v>
      </c>
      <c r="AB178" s="686" t="s">
        <v>160</v>
      </c>
      <c r="AC178" s="686" t="s">
        <v>160</v>
      </c>
      <c r="AD178" s="686" t="s">
        <v>160</v>
      </c>
      <c r="AE178" s="686" t="s">
        <v>160</v>
      </c>
      <c r="AF178" s="686" t="s">
        <v>160</v>
      </c>
      <c r="AG178" s="686" t="s">
        <v>160</v>
      </c>
      <c r="AH178" s="686" t="s">
        <v>160</v>
      </c>
      <c r="AI178" s="686" t="s">
        <v>160</v>
      </c>
      <c r="AJ178" s="686" t="s">
        <v>160</v>
      </c>
      <c r="AK178" s="686" t="s">
        <v>160</v>
      </c>
      <c r="AL178" s="686" t="s">
        <v>160</v>
      </c>
      <c r="AM178" s="686" t="s">
        <v>160</v>
      </c>
      <c r="AN178" s="686" t="s">
        <v>160</v>
      </c>
      <c r="AO178" s="686" t="s">
        <v>160</v>
      </c>
      <c r="AP178" s="686" t="s">
        <v>160</v>
      </c>
      <c r="AQ178" s="686" t="s">
        <v>160</v>
      </c>
      <c r="AR178" s="949" t="s">
        <v>160</v>
      </c>
      <c r="AS178" s="949" t="s">
        <v>160</v>
      </c>
      <c r="AT178" s="949" t="s">
        <v>160</v>
      </c>
      <c r="AU178" s="949" t="s">
        <v>160</v>
      </c>
      <c r="AV178" s="949" t="s">
        <v>160</v>
      </c>
      <c r="AW178" s="949" t="s">
        <v>160</v>
      </c>
      <c r="AX178" s="949" t="s">
        <v>160</v>
      </c>
      <c r="AY178" s="950" t="s">
        <v>160</v>
      </c>
      <c r="AZ178" s="949" t="s">
        <v>160</v>
      </c>
      <c r="BA178" s="949" t="s">
        <v>160</v>
      </c>
      <c r="BB178" s="949" t="s">
        <v>160</v>
      </c>
      <c r="BC178" s="949" t="s">
        <v>160</v>
      </c>
      <c r="BD178" s="949" t="s">
        <v>160</v>
      </c>
      <c r="BE178" s="949" t="s">
        <v>160</v>
      </c>
      <c r="BF178" s="949" t="s">
        <v>160</v>
      </c>
      <c r="BG178" s="949">
        <v>33</v>
      </c>
      <c r="BH178" s="949">
        <v>33</v>
      </c>
      <c r="BI178" s="949">
        <v>33</v>
      </c>
      <c r="BJ178" s="949">
        <v>33</v>
      </c>
      <c r="BK178" s="949">
        <v>33</v>
      </c>
      <c r="BL178" s="949">
        <v>33</v>
      </c>
      <c r="BM178" s="949">
        <v>33</v>
      </c>
      <c r="BN178" s="949">
        <v>33</v>
      </c>
      <c r="BO178" s="949">
        <v>33</v>
      </c>
      <c r="BP178" s="949">
        <v>33</v>
      </c>
      <c r="BQ178" s="949">
        <v>33</v>
      </c>
      <c r="BR178" s="949" t="s">
        <v>160</v>
      </c>
      <c r="BS178" s="949" t="s">
        <v>160</v>
      </c>
      <c r="BT178"/>
      <c r="BU178"/>
      <c r="BV178"/>
      <c r="BW178"/>
    </row>
    <row r="179" spans="1:117" customFormat="1" ht="12.75" x14ac:dyDescent="0.2">
      <c r="A179" t="s">
        <v>557</v>
      </c>
      <c r="B179" t="s">
        <v>856</v>
      </c>
      <c r="D179" s="277" t="str">
        <f>IF([1]RENAME!$H$3=1,B179,A179)</f>
        <v>Média</v>
      </c>
      <c r="E179" s="278" t="str">
        <f t="shared" ref="E179:AQ179" si="135">IFERROR(AVERAGE(E174:E178),"-")</f>
        <v>-</v>
      </c>
      <c r="F179" s="278" t="str">
        <f t="shared" si="135"/>
        <v>-</v>
      </c>
      <c r="G179" s="278" t="str">
        <f t="shared" si="135"/>
        <v>-</v>
      </c>
      <c r="H179" s="278" t="str">
        <f t="shared" si="135"/>
        <v>-</v>
      </c>
      <c r="I179" s="278" t="str">
        <f t="shared" si="135"/>
        <v>-</v>
      </c>
      <c r="J179" s="278" t="str">
        <f t="shared" si="135"/>
        <v>-</v>
      </c>
      <c r="K179" s="278" t="str">
        <f t="shared" si="135"/>
        <v>-</v>
      </c>
      <c r="L179" s="278" t="str">
        <f t="shared" si="135"/>
        <v>-</v>
      </c>
      <c r="M179" s="278" t="str">
        <f t="shared" si="135"/>
        <v>-</v>
      </c>
      <c r="N179" s="278" t="str">
        <f t="shared" si="135"/>
        <v>-</v>
      </c>
      <c r="O179" s="278" t="str">
        <f t="shared" si="135"/>
        <v>-</v>
      </c>
      <c r="P179" s="278" t="str">
        <f t="shared" si="135"/>
        <v>-</v>
      </c>
      <c r="Q179" s="278" t="str">
        <f t="shared" si="135"/>
        <v>-</v>
      </c>
      <c r="R179" s="278" t="str">
        <f t="shared" si="135"/>
        <v>-</v>
      </c>
      <c r="S179" s="278" t="str">
        <f t="shared" si="135"/>
        <v>-</v>
      </c>
      <c r="T179" s="345" t="str">
        <f t="shared" si="135"/>
        <v>-</v>
      </c>
      <c r="U179" s="345" t="str">
        <f t="shared" si="135"/>
        <v>-</v>
      </c>
      <c r="V179" s="345" t="str">
        <f t="shared" si="135"/>
        <v>-</v>
      </c>
      <c r="W179" s="345" t="str">
        <f t="shared" si="135"/>
        <v>-</v>
      </c>
      <c r="X179" s="345" t="str">
        <f t="shared" si="135"/>
        <v>-</v>
      </c>
      <c r="Y179" s="345" t="str">
        <f t="shared" si="135"/>
        <v>-</v>
      </c>
      <c r="Z179" s="345" t="str">
        <f t="shared" si="135"/>
        <v>-</v>
      </c>
      <c r="AA179" s="345" t="str">
        <f t="shared" si="135"/>
        <v>-</v>
      </c>
      <c r="AB179" s="345" t="str">
        <f t="shared" si="135"/>
        <v>-</v>
      </c>
      <c r="AC179" s="345" t="str">
        <f t="shared" si="135"/>
        <v>-</v>
      </c>
      <c r="AD179" s="345" t="str">
        <f t="shared" si="135"/>
        <v>-</v>
      </c>
      <c r="AE179" s="345" t="str">
        <f t="shared" si="135"/>
        <v>-</v>
      </c>
      <c r="AF179" s="345" t="str">
        <f t="shared" si="135"/>
        <v>-</v>
      </c>
      <c r="AG179" s="345" t="str">
        <f t="shared" si="135"/>
        <v>-</v>
      </c>
      <c r="AH179" s="345" t="str">
        <f t="shared" si="135"/>
        <v>-</v>
      </c>
      <c r="AI179" s="345" t="str">
        <f t="shared" si="135"/>
        <v>-</v>
      </c>
      <c r="AJ179" s="345" t="str">
        <f t="shared" si="135"/>
        <v>-</v>
      </c>
      <c r="AK179" s="345" t="str">
        <f t="shared" si="135"/>
        <v>-</v>
      </c>
      <c r="AL179" s="345" t="str">
        <f t="shared" si="135"/>
        <v>-</v>
      </c>
      <c r="AM179" s="345" t="str">
        <f t="shared" si="135"/>
        <v>-</v>
      </c>
      <c r="AN179" s="345" t="str">
        <f t="shared" si="135"/>
        <v>-</v>
      </c>
      <c r="AO179" s="345" t="str">
        <f t="shared" si="135"/>
        <v>-</v>
      </c>
      <c r="AP179" s="345" t="str">
        <f t="shared" si="135"/>
        <v>-</v>
      </c>
      <c r="AQ179" s="345" t="str">
        <f t="shared" si="135"/>
        <v>-</v>
      </c>
      <c r="AR179" s="345" t="str">
        <f t="shared" ref="AR179:AW179" si="136">IFERROR(AVERAGE(AR174:AR178),"-")</f>
        <v>-</v>
      </c>
      <c r="AS179" s="345" t="str">
        <f t="shared" si="136"/>
        <v>-</v>
      </c>
      <c r="AT179" s="345" t="str">
        <f t="shared" si="136"/>
        <v>-</v>
      </c>
      <c r="AU179" s="345" t="str">
        <f t="shared" si="136"/>
        <v>-</v>
      </c>
      <c r="AV179" s="814" t="str">
        <f t="shared" si="136"/>
        <v>-</v>
      </c>
      <c r="AW179" s="814" t="str">
        <f t="shared" si="136"/>
        <v>-</v>
      </c>
      <c r="AX179" s="814" t="str">
        <f t="shared" ref="AX179:BC179" si="137">IFERROR(AVERAGE(AX174:AX178),"-")</f>
        <v>-</v>
      </c>
      <c r="AY179" s="847" t="str">
        <f t="shared" si="137"/>
        <v>-</v>
      </c>
      <c r="AZ179" s="848" t="str">
        <f t="shared" si="137"/>
        <v>-</v>
      </c>
      <c r="BA179" s="848" t="str">
        <f t="shared" si="137"/>
        <v>-</v>
      </c>
      <c r="BB179" s="848" t="str">
        <f t="shared" si="137"/>
        <v>-</v>
      </c>
      <c r="BC179" s="848" t="str">
        <f t="shared" si="137"/>
        <v>-</v>
      </c>
      <c r="BD179" s="848" t="str">
        <f t="shared" ref="BD179:BI179" si="138">IFERROR(AVERAGE(BD174:BD178),"-")</f>
        <v>-</v>
      </c>
      <c r="BE179" s="848">
        <f t="shared" si="138"/>
        <v>33.200000000000003</v>
      </c>
      <c r="BF179" s="848">
        <f t="shared" si="138"/>
        <v>33.1</v>
      </c>
      <c r="BG179" s="848">
        <f t="shared" si="138"/>
        <v>33.375</v>
      </c>
      <c r="BH179" s="848">
        <f t="shared" si="138"/>
        <v>33.375</v>
      </c>
      <c r="BI179" s="848">
        <f t="shared" si="138"/>
        <v>33.375</v>
      </c>
      <c r="BJ179" s="848">
        <f t="shared" ref="BJ179:BS179" si="139">IFERROR(AVERAGE(BJ174:BJ178),"-")</f>
        <v>33.375</v>
      </c>
      <c r="BK179" s="848">
        <f t="shared" si="139"/>
        <v>33.375</v>
      </c>
      <c r="BL179" s="848">
        <f t="shared" si="139"/>
        <v>33.375</v>
      </c>
      <c r="BM179" s="848">
        <f t="shared" si="139"/>
        <v>33.625</v>
      </c>
      <c r="BN179" s="848">
        <f t="shared" si="139"/>
        <v>33.625</v>
      </c>
      <c r="BO179" s="848">
        <f t="shared" si="139"/>
        <v>33.625</v>
      </c>
      <c r="BP179" s="848">
        <f t="shared" si="139"/>
        <v>33.625</v>
      </c>
      <c r="BQ179" s="848">
        <f t="shared" si="139"/>
        <v>33.625</v>
      </c>
      <c r="BR179" s="848">
        <f t="shared" si="139"/>
        <v>33.833333333333336</v>
      </c>
      <c r="BS179" s="848" t="str">
        <f t="shared" si="139"/>
        <v>-</v>
      </c>
      <c r="DI179" s="1172"/>
      <c r="DJ179" s="1172"/>
      <c r="DK179" s="1172"/>
      <c r="DL179" s="1172"/>
      <c r="DM179" s="1172"/>
    </row>
    <row r="180" spans="1:117" x14ac:dyDescent="0.25">
      <c r="Z180" s="339"/>
      <c r="AA180" s="339"/>
      <c r="AB180" s="339"/>
      <c r="AC180" s="339"/>
      <c r="AD180" s="339"/>
      <c r="AE180" s="339"/>
      <c r="AF180" s="339"/>
      <c r="AG180" s="339"/>
      <c r="AH180" s="339"/>
      <c r="AI180" s="339"/>
      <c r="AJ180" s="339"/>
      <c r="AK180" s="339"/>
      <c r="AL180" s="339"/>
      <c r="AM180" s="339"/>
      <c r="AN180" s="339"/>
      <c r="AO180" s="339"/>
      <c r="AP180" s="339"/>
      <c r="AQ180" s="339"/>
      <c r="AR180" s="339"/>
      <c r="AS180" s="339"/>
      <c r="AT180" s="339"/>
      <c r="AU180" s="339"/>
      <c r="AV180" s="775"/>
      <c r="AX180" s="932"/>
    </row>
    <row r="181" spans="1:117" x14ac:dyDescent="0.25">
      <c r="A181" s="261" t="s">
        <v>1793</v>
      </c>
      <c r="B181" s="261" t="s">
        <v>1788</v>
      </c>
      <c r="D181" s="113" t="str">
        <f>IF([1]RENAME!$H$3=1,B181,A181)</f>
        <v>Receita líquida 2022</v>
      </c>
      <c r="E181" s="262">
        <f t="shared" ref="E181:BP181" si="140">E$11</f>
        <v>42522</v>
      </c>
      <c r="F181" s="262">
        <f t="shared" si="140"/>
        <v>42552</v>
      </c>
      <c r="G181" s="262">
        <f t="shared" si="140"/>
        <v>42583</v>
      </c>
      <c r="H181" s="262">
        <f t="shared" si="140"/>
        <v>42614</v>
      </c>
      <c r="I181" s="262">
        <f t="shared" si="140"/>
        <v>42644</v>
      </c>
      <c r="J181" s="262">
        <f t="shared" si="140"/>
        <v>42675</v>
      </c>
      <c r="K181" s="262">
        <f t="shared" si="140"/>
        <v>42705</v>
      </c>
      <c r="L181" s="262">
        <f t="shared" si="140"/>
        <v>42736</v>
      </c>
      <c r="M181" s="262">
        <f t="shared" si="140"/>
        <v>42767</v>
      </c>
      <c r="N181" s="262">
        <f t="shared" si="140"/>
        <v>42795</v>
      </c>
      <c r="O181" s="262">
        <f t="shared" si="140"/>
        <v>42826</v>
      </c>
      <c r="P181" s="262">
        <f t="shared" si="140"/>
        <v>42856</v>
      </c>
      <c r="Q181" s="262">
        <f t="shared" si="140"/>
        <v>42887</v>
      </c>
      <c r="R181" s="262">
        <f t="shared" si="140"/>
        <v>42917</v>
      </c>
      <c r="S181" s="262">
        <f t="shared" si="140"/>
        <v>42948</v>
      </c>
      <c r="T181" s="262">
        <f t="shared" si="140"/>
        <v>42979</v>
      </c>
      <c r="U181" s="262">
        <f t="shared" si="140"/>
        <v>43009</v>
      </c>
      <c r="V181" s="262">
        <f t="shared" si="140"/>
        <v>43040</v>
      </c>
      <c r="W181" s="262">
        <f t="shared" si="140"/>
        <v>43070</v>
      </c>
      <c r="X181" s="262">
        <f t="shared" si="140"/>
        <v>43101</v>
      </c>
      <c r="Y181" s="262">
        <f t="shared" si="140"/>
        <v>43132</v>
      </c>
      <c r="Z181" s="262">
        <f t="shared" si="140"/>
        <v>43160</v>
      </c>
      <c r="AA181" s="262">
        <f t="shared" si="140"/>
        <v>43191</v>
      </c>
      <c r="AB181" s="262">
        <f t="shared" si="140"/>
        <v>43221</v>
      </c>
      <c r="AC181" s="262">
        <f t="shared" si="140"/>
        <v>43252</v>
      </c>
      <c r="AD181" s="262">
        <f t="shared" si="140"/>
        <v>43283</v>
      </c>
      <c r="AE181" s="262">
        <f t="shared" si="140"/>
        <v>43314</v>
      </c>
      <c r="AF181" s="262">
        <f t="shared" si="140"/>
        <v>43345</v>
      </c>
      <c r="AG181" s="262">
        <f t="shared" si="140"/>
        <v>43376</v>
      </c>
      <c r="AH181" s="262">
        <f t="shared" si="140"/>
        <v>43407</v>
      </c>
      <c r="AI181" s="262">
        <f t="shared" si="140"/>
        <v>43437</v>
      </c>
      <c r="AJ181" s="262">
        <f t="shared" si="140"/>
        <v>43468</v>
      </c>
      <c r="AK181" s="262">
        <f t="shared" si="140"/>
        <v>43499</v>
      </c>
      <c r="AL181" s="262">
        <f t="shared" si="140"/>
        <v>43527</v>
      </c>
      <c r="AM181" s="262">
        <f t="shared" si="140"/>
        <v>43558</v>
      </c>
      <c r="AN181" s="262">
        <f t="shared" si="140"/>
        <v>43587</v>
      </c>
      <c r="AO181" s="262">
        <f t="shared" si="140"/>
        <v>43618</v>
      </c>
      <c r="AP181" s="262">
        <f t="shared" si="140"/>
        <v>43647</v>
      </c>
      <c r="AQ181" s="262">
        <f t="shared" si="140"/>
        <v>43678</v>
      </c>
      <c r="AR181" s="262">
        <f t="shared" si="140"/>
        <v>43709</v>
      </c>
      <c r="AS181" s="262">
        <f t="shared" si="140"/>
        <v>43739</v>
      </c>
      <c r="AT181" s="262">
        <f t="shared" si="140"/>
        <v>43770</v>
      </c>
      <c r="AU181" s="262">
        <f t="shared" si="140"/>
        <v>43800</v>
      </c>
      <c r="AV181" s="262">
        <f t="shared" si="140"/>
        <v>43831</v>
      </c>
      <c r="AW181" s="262">
        <f t="shared" si="140"/>
        <v>43862</v>
      </c>
      <c r="AX181" s="933">
        <f t="shared" si="140"/>
        <v>43891</v>
      </c>
      <c r="AY181" s="262">
        <f t="shared" si="140"/>
        <v>43922</v>
      </c>
      <c r="AZ181" s="262">
        <f t="shared" si="140"/>
        <v>43952</v>
      </c>
      <c r="BA181" s="262">
        <f t="shared" si="140"/>
        <v>43983</v>
      </c>
      <c r="BB181" s="262">
        <f t="shared" si="140"/>
        <v>44013</v>
      </c>
      <c r="BC181" s="262">
        <f t="shared" si="140"/>
        <v>44044</v>
      </c>
      <c r="BD181" s="262">
        <f t="shared" si="140"/>
        <v>44075</v>
      </c>
      <c r="BE181" s="262">
        <f t="shared" si="140"/>
        <v>44105</v>
      </c>
      <c r="BF181" s="262">
        <f t="shared" si="140"/>
        <v>44136</v>
      </c>
      <c r="BG181" s="262">
        <f t="shared" si="140"/>
        <v>44166</v>
      </c>
      <c r="BH181" s="262">
        <f t="shared" si="140"/>
        <v>44197</v>
      </c>
      <c r="BI181" s="262">
        <f t="shared" si="140"/>
        <v>44228</v>
      </c>
      <c r="BJ181" s="262">
        <f t="shared" si="140"/>
        <v>44256</v>
      </c>
      <c r="BK181" s="262">
        <f t="shared" si="140"/>
        <v>44287</v>
      </c>
      <c r="BL181" s="262">
        <f t="shared" si="140"/>
        <v>44317</v>
      </c>
      <c r="BM181" s="262">
        <f t="shared" si="140"/>
        <v>44348</v>
      </c>
      <c r="BN181" s="262">
        <f t="shared" si="140"/>
        <v>44378</v>
      </c>
      <c r="BO181" s="262">
        <f t="shared" si="140"/>
        <v>44409</v>
      </c>
      <c r="BP181" s="262">
        <f t="shared" si="140"/>
        <v>44440</v>
      </c>
      <c r="BQ181" s="262">
        <f t="shared" ref="BQ181:CD181" si="141">BQ$11</f>
        <v>44470</v>
      </c>
      <c r="BR181" s="262">
        <f t="shared" si="141"/>
        <v>44501</v>
      </c>
      <c r="BS181" s="262">
        <f t="shared" si="141"/>
        <v>44531</v>
      </c>
      <c r="BT181" s="262">
        <f t="shared" si="141"/>
        <v>44562</v>
      </c>
      <c r="BU181" s="262">
        <f t="shared" si="141"/>
        <v>44593</v>
      </c>
      <c r="BV181" s="262">
        <f t="shared" si="141"/>
        <v>44622</v>
      </c>
      <c r="BW181" s="262">
        <f t="shared" si="141"/>
        <v>44654</v>
      </c>
      <c r="BX181" s="262">
        <f t="shared" si="141"/>
        <v>44685</v>
      </c>
      <c r="BY181" s="262">
        <f t="shared" si="141"/>
        <v>44716</v>
      </c>
      <c r="BZ181" s="262">
        <f t="shared" si="141"/>
        <v>44746</v>
      </c>
      <c r="CA181" s="262">
        <f t="shared" si="141"/>
        <v>44774</v>
      </c>
      <c r="CB181" s="262">
        <f t="shared" si="141"/>
        <v>44805</v>
      </c>
      <c r="CC181" s="262">
        <f t="shared" si="141"/>
        <v>44835</v>
      </c>
      <c r="CD181" s="262">
        <f t="shared" si="141"/>
        <v>44866</v>
      </c>
      <c r="CE181" s="262">
        <f>CE$11</f>
        <v>44896</v>
      </c>
      <c r="CF181" s="262">
        <f>CF$11</f>
        <v>44927</v>
      </c>
      <c r="CG181"/>
      <c r="CH181"/>
      <c r="CI181"/>
      <c r="CJ181"/>
      <c r="CK181"/>
      <c r="CL181"/>
      <c r="CM181"/>
      <c r="CN181"/>
      <c r="CO181"/>
      <c r="CP181"/>
      <c r="CQ181"/>
      <c r="CR181"/>
      <c r="CS181"/>
      <c r="CT181"/>
      <c r="CU181"/>
      <c r="CV181"/>
      <c r="CW181"/>
      <c r="CX181"/>
      <c r="CY181"/>
      <c r="CZ181"/>
      <c r="DA181"/>
      <c r="DB181"/>
      <c r="DC181"/>
      <c r="DD181"/>
      <c r="DE181"/>
      <c r="DF181"/>
      <c r="DG181"/>
    </row>
    <row r="182" spans="1:117" x14ac:dyDescent="0.25">
      <c r="A182" s="261" t="s">
        <v>542</v>
      </c>
      <c r="B182" s="261" t="s">
        <v>542</v>
      </c>
      <c r="D182" s="117" t="str">
        <f>IF([1]RENAME!$H$3=1,B182,A182)</f>
        <v>SANTANDER</v>
      </c>
      <c r="E182" s="264" t="s">
        <v>160</v>
      </c>
      <c r="F182" s="264" t="s">
        <v>160</v>
      </c>
      <c r="G182" s="264" t="s">
        <v>160</v>
      </c>
      <c r="H182" s="264" t="s">
        <v>160</v>
      </c>
      <c r="I182" s="264" t="s">
        <v>160</v>
      </c>
      <c r="J182" s="264" t="s">
        <v>160</v>
      </c>
      <c r="K182" s="264" t="s">
        <v>160</v>
      </c>
      <c r="L182" s="336" t="s">
        <v>160</v>
      </c>
      <c r="M182" s="336" t="s">
        <v>160</v>
      </c>
      <c r="N182" s="591" t="s">
        <v>160</v>
      </c>
      <c r="O182" s="591" t="s">
        <v>160</v>
      </c>
      <c r="P182" s="591" t="s">
        <v>160</v>
      </c>
      <c r="Q182" s="591" t="s">
        <v>160</v>
      </c>
      <c r="R182" s="591" t="s">
        <v>160</v>
      </c>
      <c r="S182" s="591" t="s">
        <v>160</v>
      </c>
      <c r="T182" s="591" t="s">
        <v>160</v>
      </c>
      <c r="U182" s="591" t="s">
        <v>160</v>
      </c>
      <c r="V182" s="591" t="s">
        <v>160</v>
      </c>
      <c r="W182" s="591" t="s">
        <v>160</v>
      </c>
      <c r="X182" s="591" t="s">
        <v>160</v>
      </c>
      <c r="Y182" s="591" t="s">
        <v>160</v>
      </c>
      <c r="Z182" s="591" t="s">
        <v>160</v>
      </c>
      <c r="AA182" s="591" t="s">
        <v>160</v>
      </c>
      <c r="AB182" s="591" t="s">
        <v>160</v>
      </c>
      <c r="AC182" s="591" t="s">
        <v>160</v>
      </c>
      <c r="AD182" s="591" t="s">
        <v>160</v>
      </c>
      <c r="AE182" s="591" t="s">
        <v>160</v>
      </c>
      <c r="AF182" s="591" t="s">
        <v>160</v>
      </c>
      <c r="AG182" s="591" t="s">
        <v>160</v>
      </c>
      <c r="AH182" s="591" t="s">
        <v>160</v>
      </c>
      <c r="AI182" s="591" t="s">
        <v>160</v>
      </c>
      <c r="AJ182" s="591" t="s">
        <v>160</v>
      </c>
      <c r="AK182" s="591" t="s">
        <v>160</v>
      </c>
      <c r="AL182" s="346" t="s">
        <v>160</v>
      </c>
      <c r="AM182" s="346" t="s">
        <v>160</v>
      </c>
      <c r="AN182" s="346" t="s">
        <v>160</v>
      </c>
      <c r="AO182" s="346" t="s">
        <v>160</v>
      </c>
      <c r="AP182" s="346" t="s">
        <v>160</v>
      </c>
      <c r="AQ182" s="346" t="s">
        <v>160</v>
      </c>
      <c r="AR182" s="346" t="s">
        <v>160</v>
      </c>
      <c r="AS182" s="346" t="s">
        <v>160</v>
      </c>
      <c r="AT182" s="346" t="s">
        <v>160</v>
      </c>
      <c r="AU182" s="346" t="s">
        <v>160</v>
      </c>
      <c r="AV182" s="346" t="s">
        <v>160</v>
      </c>
      <c r="AW182" s="346" t="s">
        <v>160</v>
      </c>
      <c r="AX182" s="947" t="s">
        <v>160</v>
      </c>
      <c r="AY182" s="346" t="s">
        <v>160</v>
      </c>
      <c r="AZ182" s="346" t="s">
        <v>160</v>
      </c>
      <c r="BA182" s="346" t="s">
        <v>160</v>
      </c>
      <c r="BB182" s="346" t="s">
        <v>160</v>
      </c>
      <c r="BC182" s="346" t="s">
        <v>160</v>
      </c>
      <c r="BD182" s="346" t="s">
        <v>160</v>
      </c>
      <c r="BE182" s="346" t="s">
        <v>160</v>
      </c>
      <c r="BF182" s="346" t="s">
        <v>160</v>
      </c>
      <c r="BG182" s="346" t="s">
        <v>160</v>
      </c>
      <c r="BH182" s="591" t="s">
        <v>160</v>
      </c>
      <c r="BI182" s="591" t="s">
        <v>160</v>
      </c>
      <c r="BJ182" s="591" t="s">
        <v>160</v>
      </c>
      <c r="BK182" s="591" t="s">
        <v>160</v>
      </c>
      <c r="BL182" s="591" t="s">
        <v>160</v>
      </c>
      <c r="BM182" s="591" t="s">
        <v>160</v>
      </c>
      <c r="BN182" s="591" t="s">
        <v>160</v>
      </c>
      <c r="BO182" s="591" t="s">
        <v>160</v>
      </c>
      <c r="BP182" s="591" t="s">
        <v>160</v>
      </c>
      <c r="BQ182" s="591" t="s">
        <v>160</v>
      </c>
      <c r="BR182" s="591" t="s">
        <v>160</v>
      </c>
      <c r="BS182" s="591">
        <v>1174</v>
      </c>
      <c r="BT182" s="591">
        <v>1174</v>
      </c>
      <c r="BU182" s="591">
        <v>1174</v>
      </c>
      <c r="BV182" s="591">
        <v>1174</v>
      </c>
      <c r="BW182" s="591">
        <v>1174</v>
      </c>
      <c r="BX182" s="591">
        <v>1174</v>
      </c>
      <c r="BY182" s="591">
        <v>1174</v>
      </c>
      <c r="BZ182" s="591">
        <v>1174</v>
      </c>
      <c r="CA182" s="591">
        <v>1174</v>
      </c>
      <c r="CB182" s="591">
        <v>1174</v>
      </c>
      <c r="CC182" s="591">
        <v>1174</v>
      </c>
      <c r="CD182" s="591">
        <v>1174</v>
      </c>
      <c r="CE182" s="341">
        <v>1359</v>
      </c>
      <c r="CF182" s="591">
        <v>1359</v>
      </c>
      <c r="CG182"/>
      <c r="CH182"/>
      <c r="CI182"/>
      <c r="CJ182"/>
      <c r="CK182"/>
      <c r="CL182"/>
      <c r="CM182"/>
      <c r="CN182"/>
      <c r="CO182"/>
      <c r="CP182"/>
      <c r="CQ182"/>
      <c r="CR182"/>
      <c r="CS182"/>
      <c r="CT182"/>
      <c r="CU182"/>
      <c r="CV182"/>
      <c r="CW182"/>
      <c r="CX182"/>
      <c r="CY182"/>
      <c r="CZ182"/>
      <c r="DA182"/>
      <c r="DB182"/>
      <c r="DC182"/>
      <c r="DD182"/>
      <c r="DE182"/>
      <c r="DF182"/>
      <c r="DG182"/>
    </row>
    <row r="183" spans="1:117" x14ac:dyDescent="0.25">
      <c r="A183" s="261" t="s">
        <v>546</v>
      </c>
      <c r="B183" s="261" t="s">
        <v>546</v>
      </c>
      <c r="D183" s="117" t="str">
        <f>IF([1]RENAME!$H$3=1,B183,A183)</f>
        <v>BTG PACTUAL</v>
      </c>
      <c r="E183" s="264" t="s">
        <v>160</v>
      </c>
      <c r="F183" s="264" t="s">
        <v>160</v>
      </c>
      <c r="G183" s="264" t="s">
        <v>160</v>
      </c>
      <c r="H183" s="264" t="s">
        <v>160</v>
      </c>
      <c r="I183" s="264" t="s">
        <v>160</v>
      </c>
      <c r="J183" s="264" t="s">
        <v>160</v>
      </c>
      <c r="K183" s="264" t="s">
        <v>160</v>
      </c>
      <c r="L183" s="336" t="s">
        <v>160</v>
      </c>
      <c r="M183" s="336" t="s">
        <v>160</v>
      </c>
      <c r="N183" s="591" t="s">
        <v>160</v>
      </c>
      <c r="O183" s="591" t="s">
        <v>160</v>
      </c>
      <c r="P183" s="591" t="s">
        <v>160</v>
      </c>
      <c r="Q183" s="591" t="s">
        <v>160</v>
      </c>
      <c r="R183" s="591" t="s">
        <v>160</v>
      </c>
      <c r="S183" s="591" t="s">
        <v>160</v>
      </c>
      <c r="T183" s="591" t="s">
        <v>160</v>
      </c>
      <c r="U183" s="591" t="s">
        <v>160</v>
      </c>
      <c r="V183" s="591" t="s">
        <v>160</v>
      </c>
      <c r="W183" s="591" t="s">
        <v>160</v>
      </c>
      <c r="X183" s="591" t="s">
        <v>160</v>
      </c>
      <c r="Y183" s="591" t="s">
        <v>160</v>
      </c>
      <c r="Z183" s="591" t="s">
        <v>160</v>
      </c>
      <c r="AA183" s="591" t="s">
        <v>160</v>
      </c>
      <c r="AB183" s="591" t="s">
        <v>160</v>
      </c>
      <c r="AC183" s="591" t="s">
        <v>160</v>
      </c>
      <c r="AD183" s="591" t="s">
        <v>160</v>
      </c>
      <c r="AE183" s="591" t="s">
        <v>160</v>
      </c>
      <c r="AF183" s="591" t="s">
        <v>160</v>
      </c>
      <c r="AG183" s="591" t="s">
        <v>160</v>
      </c>
      <c r="AH183" s="591" t="s">
        <v>160</v>
      </c>
      <c r="AI183" s="591" t="s">
        <v>160</v>
      </c>
      <c r="AJ183" s="591" t="s">
        <v>160</v>
      </c>
      <c r="AK183" s="591" t="s">
        <v>160</v>
      </c>
      <c r="AL183" s="346" t="s">
        <v>160</v>
      </c>
      <c r="AM183" s="346" t="s">
        <v>160</v>
      </c>
      <c r="AN183" s="346" t="s">
        <v>160</v>
      </c>
      <c r="AO183" s="346" t="s">
        <v>160</v>
      </c>
      <c r="AP183" s="346" t="s">
        <v>160</v>
      </c>
      <c r="AQ183" s="346" t="s">
        <v>160</v>
      </c>
      <c r="AR183" s="346" t="s">
        <v>160</v>
      </c>
      <c r="AS183" s="346" t="s">
        <v>160</v>
      </c>
      <c r="AT183" s="346" t="s">
        <v>160</v>
      </c>
      <c r="AU183" s="346" t="s">
        <v>160</v>
      </c>
      <c r="AV183" s="346" t="s">
        <v>160</v>
      </c>
      <c r="AW183" s="346" t="s">
        <v>160</v>
      </c>
      <c r="AX183" s="947" t="s">
        <v>160</v>
      </c>
      <c r="AY183" s="346" t="s">
        <v>160</v>
      </c>
      <c r="AZ183" s="346" t="s">
        <v>160</v>
      </c>
      <c r="BA183" s="346" t="s">
        <v>160</v>
      </c>
      <c r="BB183" s="346" t="s">
        <v>160</v>
      </c>
      <c r="BC183" s="346" t="s">
        <v>160</v>
      </c>
      <c r="BD183" s="346" t="s">
        <v>160</v>
      </c>
      <c r="BE183" s="346" t="s">
        <v>160</v>
      </c>
      <c r="BF183" s="346">
        <v>1587</v>
      </c>
      <c r="BG183" s="346">
        <v>1587</v>
      </c>
      <c r="BH183" s="591">
        <v>1587</v>
      </c>
      <c r="BI183" s="591">
        <v>1587</v>
      </c>
      <c r="BJ183" s="591">
        <v>1587</v>
      </c>
      <c r="BK183" s="591">
        <v>1587</v>
      </c>
      <c r="BL183" s="591">
        <v>1587</v>
      </c>
      <c r="BM183" s="591">
        <v>1587</v>
      </c>
      <c r="BN183" s="591">
        <v>1587</v>
      </c>
      <c r="BO183" s="591">
        <v>1587</v>
      </c>
      <c r="BP183" s="591" t="s">
        <v>160</v>
      </c>
      <c r="BQ183" s="591" t="s">
        <v>160</v>
      </c>
      <c r="BR183" s="591" t="s">
        <v>160</v>
      </c>
      <c r="BS183" s="591">
        <v>1249</v>
      </c>
      <c r="BT183" s="591">
        <v>1249</v>
      </c>
      <c r="BU183" s="591">
        <v>1249</v>
      </c>
      <c r="BV183" s="591">
        <v>1249</v>
      </c>
      <c r="BW183" s="591">
        <v>1249</v>
      </c>
      <c r="BX183" s="591">
        <v>1249</v>
      </c>
      <c r="BY183" s="591">
        <v>1249</v>
      </c>
      <c r="BZ183" s="591">
        <v>1249</v>
      </c>
      <c r="CA183" s="591">
        <v>1249</v>
      </c>
      <c r="CB183" s="591">
        <v>1249</v>
      </c>
      <c r="CC183" s="591">
        <v>1249</v>
      </c>
      <c r="CD183" s="591">
        <v>1249</v>
      </c>
      <c r="CE183" s="591">
        <v>1249</v>
      </c>
      <c r="CF183" s="591">
        <v>1249</v>
      </c>
      <c r="CG183"/>
      <c r="CH183"/>
      <c r="CI183"/>
      <c r="CJ183"/>
      <c r="CK183"/>
      <c r="CL183"/>
      <c r="CM183"/>
      <c r="CN183"/>
      <c r="CO183"/>
      <c r="CP183"/>
      <c r="CQ183"/>
      <c r="CR183"/>
      <c r="CS183"/>
      <c r="CT183"/>
      <c r="CU183"/>
      <c r="CV183"/>
      <c r="CW183"/>
      <c r="CX183"/>
      <c r="CY183"/>
      <c r="CZ183"/>
      <c r="DA183"/>
      <c r="DB183"/>
      <c r="DC183"/>
      <c r="DD183"/>
      <c r="DE183"/>
      <c r="DF183"/>
      <c r="DG183"/>
    </row>
    <row r="184" spans="1:117" x14ac:dyDescent="0.25">
      <c r="A184" s="261" t="s">
        <v>574</v>
      </c>
      <c r="B184" s="261" t="s">
        <v>574</v>
      </c>
      <c r="D184" s="117" t="str">
        <f>IF([1]RENAME!$H$3=1,B184,A184)</f>
        <v>SAFRA</v>
      </c>
      <c r="E184" s="263" t="s">
        <v>160</v>
      </c>
      <c r="F184" s="263" t="s">
        <v>160</v>
      </c>
      <c r="G184" s="263" t="s">
        <v>160</v>
      </c>
      <c r="H184" s="263" t="s">
        <v>160</v>
      </c>
      <c r="I184" s="263" t="s">
        <v>160</v>
      </c>
      <c r="J184" s="263" t="s">
        <v>160</v>
      </c>
      <c r="K184" s="263" t="s">
        <v>160</v>
      </c>
      <c r="L184" s="336" t="s">
        <v>160</v>
      </c>
      <c r="M184" s="336" t="s">
        <v>160</v>
      </c>
      <c r="N184" s="591" t="s">
        <v>160</v>
      </c>
      <c r="O184" s="591" t="s">
        <v>160</v>
      </c>
      <c r="P184" s="591" t="s">
        <v>160</v>
      </c>
      <c r="Q184" s="591" t="s">
        <v>160</v>
      </c>
      <c r="R184" s="591" t="s">
        <v>160</v>
      </c>
      <c r="S184" s="591" t="s">
        <v>160</v>
      </c>
      <c r="T184" s="591" t="s">
        <v>160</v>
      </c>
      <c r="U184" s="591" t="s">
        <v>160</v>
      </c>
      <c r="V184" s="591" t="s">
        <v>160</v>
      </c>
      <c r="W184" s="591" t="s">
        <v>160</v>
      </c>
      <c r="X184" s="591" t="s">
        <v>160</v>
      </c>
      <c r="Y184" s="591" t="s">
        <v>160</v>
      </c>
      <c r="Z184" s="591" t="s">
        <v>160</v>
      </c>
      <c r="AA184" s="591" t="s">
        <v>160</v>
      </c>
      <c r="AB184" s="591" t="s">
        <v>160</v>
      </c>
      <c r="AC184" s="591" t="s">
        <v>160</v>
      </c>
      <c r="AD184" s="591" t="s">
        <v>160</v>
      </c>
      <c r="AE184" s="591" t="s">
        <v>160</v>
      </c>
      <c r="AF184" s="591" t="s">
        <v>160</v>
      </c>
      <c r="AG184" s="591" t="s">
        <v>160</v>
      </c>
      <c r="AH184" s="591" t="s">
        <v>160</v>
      </c>
      <c r="AI184" s="591" t="s">
        <v>160</v>
      </c>
      <c r="AJ184" s="591" t="s">
        <v>160</v>
      </c>
      <c r="AK184" s="591" t="s">
        <v>160</v>
      </c>
      <c r="AL184" s="346" t="s">
        <v>160</v>
      </c>
      <c r="AM184" s="346" t="s">
        <v>160</v>
      </c>
      <c r="AN184" s="346" t="s">
        <v>160</v>
      </c>
      <c r="AO184" s="346" t="s">
        <v>160</v>
      </c>
      <c r="AP184" s="346" t="s">
        <v>160</v>
      </c>
      <c r="AQ184" s="346" t="s">
        <v>160</v>
      </c>
      <c r="AR184" s="346" t="s">
        <v>160</v>
      </c>
      <c r="AS184" s="346" t="s">
        <v>160</v>
      </c>
      <c r="AT184" s="346" t="s">
        <v>160</v>
      </c>
      <c r="AU184" s="346" t="s">
        <v>160</v>
      </c>
      <c r="AV184" s="346" t="s">
        <v>160</v>
      </c>
      <c r="AW184" s="346" t="s">
        <v>160</v>
      </c>
      <c r="AX184" s="947" t="s">
        <v>160</v>
      </c>
      <c r="AY184" s="348" t="s">
        <v>160</v>
      </c>
      <c r="AZ184" s="348" t="s">
        <v>160</v>
      </c>
      <c r="BA184" s="346" t="s">
        <v>160</v>
      </c>
      <c r="BB184" s="346" t="s">
        <v>160</v>
      </c>
      <c r="BC184" s="346" t="s">
        <v>160</v>
      </c>
      <c r="BD184" s="346" t="s">
        <v>160</v>
      </c>
      <c r="BE184" s="346">
        <v>1390</v>
      </c>
      <c r="BF184" s="346">
        <v>1390</v>
      </c>
      <c r="BG184" s="346">
        <v>1390</v>
      </c>
      <c r="BH184" s="591">
        <v>1390</v>
      </c>
      <c r="BI184" s="591">
        <v>1390</v>
      </c>
      <c r="BJ184" s="591">
        <v>1390</v>
      </c>
      <c r="BK184" s="591">
        <v>1390</v>
      </c>
      <c r="BL184" s="591">
        <v>1390</v>
      </c>
      <c r="BM184" s="591">
        <v>1390</v>
      </c>
      <c r="BN184" s="591">
        <v>1390</v>
      </c>
      <c r="BO184" s="591">
        <v>1390</v>
      </c>
      <c r="BP184" s="591" t="s">
        <v>160</v>
      </c>
      <c r="BQ184" s="591" t="s">
        <v>160</v>
      </c>
      <c r="BR184" s="591" t="s">
        <v>160</v>
      </c>
      <c r="BS184" s="591" t="s">
        <v>160</v>
      </c>
      <c r="BT184" s="591" t="s">
        <v>160</v>
      </c>
      <c r="BU184" s="591" t="s">
        <v>160</v>
      </c>
      <c r="BV184" s="591" t="s">
        <v>160</v>
      </c>
      <c r="BW184" s="591" t="s">
        <v>160</v>
      </c>
      <c r="BX184" s="591" t="s">
        <v>160</v>
      </c>
      <c r="BY184" s="591" t="s">
        <v>160</v>
      </c>
      <c r="BZ184" s="591" t="s">
        <v>160</v>
      </c>
      <c r="CA184" s="341">
        <v>1275</v>
      </c>
      <c r="CB184" s="591">
        <v>1275</v>
      </c>
      <c r="CC184" s="591">
        <v>1275</v>
      </c>
      <c r="CD184" s="591">
        <v>1275</v>
      </c>
      <c r="CE184" s="591">
        <v>1275</v>
      </c>
      <c r="CF184" s="591">
        <v>1275</v>
      </c>
      <c r="CG184"/>
      <c r="CH184"/>
      <c r="CI184"/>
      <c r="CJ184"/>
      <c r="CK184"/>
      <c r="CL184"/>
      <c r="CM184"/>
      <c r="CN184"/>
      <c r="CO184"/>
      <c r="CP184"/>
      <c r="CQ184"/>
      <c r="CR184"/>
      <c r="CS184"/>
      <c r="CT184"/>
      <c r="CU184"/>
      <c r="CV184"/>
      <c r="CW184"/>
      <c r="CX184"/>
      <c r="CY184"/>
      <c r="CZ184"/>
      <c r="DA184"/>
      <c r="DB184"/>
      <c r="DC184"/>
      <c r="DD184"/>
      <c r="DE184"/>
      <c r="DF184"/>
      <c r="DG184"/>
    </row>
    <row r="185" spans="1:117" x14ac:dyDescent="0.25">
      <c r="A185" s="261" t="s">
        <v>547</v>
      </c>
      <c r="B185" s="261" t="s">
        <v>547</v>
      </c>
      <c r="D185" s="117" t="str">
        <f>IF([1]RENAME!$H$3=1,B185,A185)</f>
        <v>ITAÚ</v>
      </c>
      <c r="E185" s="264" t="s">
        <v>160</v>
      </c>
      <c r="F185" s="264" t="s">
        <v>160</v>
      </c>
      <c r="G185" s="264" t="s">
        <v>160</v>
      </c>
      <c r="H185" s="264" t="s">
        <v>160</v>
      </c>
      <c r="I185" s="264" t="s">
        <v>160</v>
      </c>
      <c r="J185" s="264" t="s">
        <v>160</v>
      </c>
      <c r="K185" s="264" t="s">
        <v>160</v>
      </c>
      <c r="L185" s="336" t="s">
        <v>160</v>
      </c>
      <c r="M185" s="336" t="s">
        <v>160</v>
      </c>
      <c r="N185" s="591" t="s">
        <v>160</v>
      </c>
      <c r="O185" s="591" t="s">
        <v>160</v>
      </c>
      <c r="P185" s="591" t="s">
        <v>160</v>
      </c>
      <c r="Q185" s="591" t="s">
        <v>160</v>
      </c>
      <c r="R185" s="591" t="s">
        <v>160</v>
      </c>
      <c r="S185" s="591" t="s">
        <v>160</v>
      </c>
      <c r="T185" s="591" t="s">
        <v>160</v>
      </c>
      <c r="U185" s="591" t="s">
        <v>160</v>
      </c>
      <c r="V185" s="591" t="s">
        <v>160</v>
      </c>
      <c r="W185" s="591" t="s">
        <v>160</v>
      </c>
      <c r="X185" s="591" t="s">
        <v>160</v>
      </c>
      <c r="Y185" s="591" t="s">
        <v>160</v>
      </c>
      <c r="Z185" s="591" t="s">
        <v>160</v>
      </c>
      <c r="AA185" s="591" t="s">
        <v>160</v>
      </c>
      <c r="AB185" s="591" t="s">
        <v>160</v>
      </c>
      <c r="AC185" s="591" t="s">
        <v>160</v>
      </c>
      <c r="AD185" s="591" t="s">
        <v>160</v>
      </c>
      <c r="AE185" s="591" t="s">
        <v>160</v>
      </c>
      <c r="AF185" s="591" t="s">
        <v>160</v>
      </c>
      <c r="AG185" s="591" t="s">
        <v>160</v>
      </c>
      <c r="AH185" s="591" t="s">
        <v>160</v>
      </c>
      <c r="AI185" s="591" t="s">
        <v>160</v>
      </c>
      <c r="AJ185" s="591" t="s">
        <v>160</v>
      </c>
      <c r="AK185" s="591" t="s">
        <v>160</v>
      </c>
      <c r="AL185" s="346" t="s">
        <v>160</v>
      </c>
      <c r="AM185" s="346" t="s">
        <v>160</v>
      </c>
      <c r="AN185" s="346" t="s">
        <v>160</v>
      </c>
      <c r="AO185" s="346" t="s">
        <v>160</v>
      </c>
      <c r="AP185" s="346" t="s">
        <v>160</v>
      </c>
      <c r="AQ185" s="346" t="s">
        <v>160</v>
      </c>
      <c r="AR185" s="346" t="s">
        <v>160</v>
      </c>
      <c r="AS185" s="346" t="s">
        <v>160</v>
      </c>
      <c r="AT185" s="346" t="s">
        <v>160</v>
      </c>
      <c r="AU185" s="346" t="s">
        <v>160</v>
      </c>
      <c r="AV185" s="346" t="s">
        <v>160</v>
      </c>
      <c r="AW185" s="346" t="s">
        <v>160</v>
      </c>
      <c r="AX185" s="947" t="s">
        <v>160</v>
      </c>
      <c r="AY185" s="346" t="s">
        <v>160</v>
      </c>
      <c r="AZ185" s="346" t="s">
        <v>160</v>
      </c>
      <c r="BA185" s="346" t="s">
        <v>160</v>
      </c>
      <c r="BB185" s="346" t="s">
        <v>160</v>
      </c>
      <c r="BC185" s="346" t="s">
        <v>160</v>
      </c>
      <c r="BD185" s="346" t="s">
        <v>160</v>
      </c>
      <c r="BE185" s="346" t="s">
        <v>160</v>
      </c>
      <c r="BF185" s="346" t="s">
        <v>160</v>
      </c>
      <c r="BG185" s="346">
        <v>1387.5</v>
      </c>
      <c r="BH185" s="591">
        <v>1387.5</v>
      </c>
      <c r="BI185" s="591">
        <v>1387.5</v>
      </c>
      <c r="BJ185" s="591">
        <v>1387.5</v>
      </c>
      <c r="BK185" s="591">
        <v>1387.5</v>
      </c>
      <c r="BL185" s="591">
        <v>1387.5</v>
      </c>
      <c r="BM185" s="591">
        <v>1387.5</v>
      </c>
      <c r="BN185" s="591">
        <v>1387.5</v>
      </c>
      <c r="BO185" s="591">
        <v>1387.5</v>
      </c>
      <c r="BP185" s="591" t="s">
        <v>160</v>
      </c>
      <c r="BQ185" s="591" t="s">
        <v>160</v>
      </c>
      <c r="BR185" s="591" t="s">
        <v>160</v>
      </c>
      <c r="BS185" s="591">
        <v>1148</v>
      </c>
      <c r="BT185" s="591">
        <v>1148</v>
      </c>
      <c r="BU185" s="591">
        <v>1148</v>
      </c>
      <c r="BV185" s="591">
        <v>1148</v>
      </c>
      <c r="BW185" s="591">
        <v>1148</v>
      </c>
      <c r="BX185" s="591">
        <v>1148</v>
      </c>
      <c r="BY185" s="591">
        <v>1148</v>
      </c>
      <c r="BZ185" s="591">
        <v>1148</v>
      </c>
      <c r="CA185" s="341">
        <v>1294</v>
      </c>
      <c r="CB185" s="591">
        <v>1294</v>
      </c>
      <c r="CC185" s="591">
        <v>1294</v>
      </c>
      <c r="CD185" s="591">
        <v>1294</v>
      </c>
      <c r="CE185" s="591">
        <v>1294</v>
      </c>
      <c r="CF185" s="341">
        <v>1362.4</v>
      </c>
      <c r="CG185"/>
      <c r="CH185"/>
      <c r="CI185"/>
      <c r="CJ185"/>
      <c r="CK185"/>
      <c r="CL185"/>
      <c r="CM185"/>
      <c r="CN185"/>
      <c r="CO185"/>
      <c r="CP185"/>
      <c r="CQ185"/>
      <c r="CR185"/>
      <c r="CS185"/>
      <c r="CT185"/>
      <c r="CU185"/>
      <c r="CV185"/>
      <c r="CW185"/>
      <c r="CX185"/>
      <c r="CY185"/>
      <c r="CZ185"/>
      <c r="DA185"/>
      <c r="DB185"/>
      <c r="DC185"/>
      <c r="DD185"/>
      <c r="DE185"/>
      <c r="DF185"/>
      <c r="DG185"/>
    </row>
    <row r="186" spans="1:117" x14ac:dyDescent="0.25">
      <c r="A186" s="261" t="s">
        <v>1985</v>
      </c>
      <c r="B186" s="261" t="s">
        <v>1985</v>
      </c>
      <c r="D186" s="117" t="str">
        <f>IF([1]RENAME!$H$3=1,B186,A186)</f>
        <v>ELEVEN RESEACH</v>
      </c>
      <c r="E186" s="264" t="s">
        <v>160</v>
      </c>
      <c r="F186" s="264" t="s">
        <v>160</v>
      </c>
      <c r="G186" s="264" t="s">
        <v>160</v>
      </c>
      <c r="H186" s="264" t="s">
        <v>160</v>
      </c>
      <c r="I186" s="264" t="s">
        <v>160</v>
      </c>
      <c r="J186" s="264" t="s">
        <v>160</v>
      </c>
      <c r="K186" s="264" t="s">
        <v>160</v>
      </c>
      <c r="L186" s="264" t="s">
        <v>160</v>
      </c>
      <c r="M186" s="264" t="s">
        <v>160</v>
      </c>
      <c r="N186" s="264" t="s">
        <v>160</v>
      </c>
      <c r="O186" s="264" t="s">
        <v>160</v>
      </c>
      <c r="P186" s="264" t="s">
        <v>160</v>
      </c>
      <c r="Q186" s="264" t="s">
        <v>160</v>
      </c>
      <c r="R186" s="264" t="s">
        <v>160</v>
      </c>
      <c r="S186" s="264" t="s">
        <v>160</v>
      </c>
      <c r="T186" s="264" t="s">
        <v>160</v>
      </c>
      <c r="U186" s="264" t="s">
        <v>160</v>
      </c>
      <c r="V186" s="264" t="s">
        <v>160</v>
      </c>
      <c r="W186" s="264" t="s">
        <v>160</v>
      </c>
      <c r="X186" s="264" t="s">
        <v>160</v>
      </c>
      <c r="Y186" s="264" t="s">
        <v>160</v>
      </c>
      <c r="Z186" s="264" t="s">
        <v>160</v>
      </c>
      <c r="AA186" s="264" t="s">
        <v>160</v>
      </c>
      <c r="AB186" s="264" t="s">
        <v>160</v>
      </c>
      <c r="AC186" s="264" t="s">
        <v>160</v>
      </c>
      <c r="AD186" s="264" t="s">
        <v>160</v>
      </c>
      <c r="AE186" s="264" t="s">
        <v>160</v>
      </c>
      <c r="AF186" s="264" t="s">
        <v>160</v>
      </c>
      <c r="AG186" s="264" t="s">
        <v>160</v>
      </c>
      <c r="AH186" s="264" t="s">
        <v>160</v>
      </c>
      <c r="AI186" s="264" t="s">
        <v>160</v>
      </c>
      <c r="AJ186" s="264" t="s">
        <v>160</v>
      </c>
      <c r="AK186" s="264" t="s">
        <v>160</v>
      </c>
      <c r="AL186" s="264" t="s">
        <v>160</v>
      </c>
      <c r="AM186" s="264" t="s">
        <v>160</v>
      </c>
      <c r="AN186" s="264" t="s">
        <v>160</v>
      </c>
      <c r="AO186" s="264" t="s">
        <v>160</v>
      </c>
      <c r="AP186" s="264" t="s">
        <v>160</v>
      </c>
      <c r="AQ186" s="264" t="s">
        <v>160</v>
      </c>
      <c r="AR186" s="264" t="s">
        <v>160</v>
      </c>
      <c r="AS186" s="264" t="s">
        <v>160</v>
      </c>
      <c r="AT186" s="264" t="s">
        <v>160</v>
      </c>
      <c r="AU186" s="264" t="s">
        <v>160</v>
      </c>
      <c r="AV186" s="264" t="s">
        <v>160</v>
      </c>
      <c r="AW186" s="264" t="s">
        <v>160</v>
      </c>
      <c r="AX186" s="264" t="s">
        <v>160</v>
      </c>
      <c r="AY186" s="264" t="s">
        <v>160</v>
      </c>
      <c r="AZ186" s="264" t="s">
        <v>160</v>
      </c>
      <c r="BA186" s="264" t="s">
        <v>160</v>
      </c>
      <c r="BB186" s="264" t="s">
        <v>160</v>
      </c>
      <c r="BC186" s="264" t="s">
        <v>160</v>
      </c>
      <c r="BD186" s="264" t="s">
        <v>160</v>
      </c>
      <c r="BE186" s="264" t="s">
        <v>160</v>
      </c>
      <c r="BF186" s="264" t="s">
        <v>160</v>
      </c>
      <c r="BG186" s="264" t="s">
        <v>160</v>
      </c>
      <c r="BH186" s="264" t="s">
        <v>160</v>
      </c>
      <c r="BI186" s="264" t="s">
        <v>160</v>
      </c>
      <c r="BJ186" s="264" t="s">
        <v>160</v>
      </c>
      <c r="BK186" s="264" t="s">
        <v>160</v>
      </c>
      <c r="BL186" s="264" t="s">
        <v>160</v>
      </c>
      <c r="BM186" s="264" t="s">
        <v>160</v>
      </c>
      <c r="BN186" s="264" t="s">
        <v>160</v>
      </c>
      <c r="BO186" s="264" t="s">
        <v>160</v>
      </c>
      <c r="BP186" s="591">
        <v>1267</v>
      </c>
      <c r="BQ186" s="591">
        <v>1267</v>
      </c>
      <c r="BR186" s="591">
        <v>1267</v>
      </c>
      <c r="BS186" s="340">
        <v>985</v>
      </c>
      <c r="BT186" s="264">
        <v>985</v>
      </c>
      <c r="BU186" s="264">
        <v>985</v>
      </c>
      <c r="BV186" s="341">
        <v>1072</v>
      </c>
      <c r="BW186" s="591">
        <v>1072</v>
      </c>
      <c r="BX186" s="591">
        <v>1072</v>
      </c>
      <c r="BY186" s="591">
        <v>1072</v>
      </c>
      <c r="BZ186" s="591">
        <v>1072</v>
      </c>
      <c r="CA186" s="591">
        <v>1072</v>
      </c>
      <c r="CB186" s="591">
        <v>1072</v>
      </c>
      <c r="CC186" s="591">
        <v>1072</v>
      </c>
      <c r="CD186" s="341">
        <v>1372</v>
      </c>
      <c r="CE186" s="591">
        <v>1372</v>
      </c>
      <c r="CF186" s="591">
        <v>1372</v>
      </c>
      <c r="CG186"/>
      <c r="CH186"/>
      <c r="CI186"/>
      <c r="CJ186"/>
      <c r="CK186"/>
      <c r="CL186"/>
      <c r="CM186"/>
      <c r="CN186"/>
      <c r="CO186"/>
      <c r="CP186"/>
      <c r="CQ186"/>
      <c r="CR186"/>
      <c r="CS186"/>
      <c r="CT186"/>
      <c r="CU186"/>
      <c r="CV186"/>
      <c r="CW186"/>
      <c r="CX186"/>
      <c r="CY186"/>
      <c r="CZ186"/>
      <c r="DA186"/>
      <c r="DB186"/>
      <c r="DC186"/>
      <c r="DD186"/>
      <c r="DE186"/>
      <c r="DF186"/>
      <c r="DG186"/>
    </row>
    <row r="187" spans="1:117" x14ac:dyDescent="0.25">
      <c r="A187" s="1088" t="s">
        <v>545</v>
      </c>
      <c r="B187" s="1088" t="s">
        <v>545</v>
      </c>
      <c r="C187" s="1088"/>
      <c r="D187" s="779" t="str">
        <f>IF([1]RENAME!$H$3=1,B187,A187)</f>
        <v>BAML</v>
      </c>
      <c r="E187" s="1101" t="s">
        <v>160</v>
      </c>
      <c r="F187" s="1101" t="s">
        <v>160</v>
      </c>
      <c r="G187" s="1101" t="s">
        <v>160</v>
      </c>
      <c r="H187" s="1101" t="s">
        <v>160</v>
      </c>
      <c r="I187" s="1101" t="s">
        <v>160</v>
      </c>
      <c r="J187" s="1101" t="s">
        <v>160</v>
      </c>
      <c r="K187" s="1101" t="s">
        <v>160</v>
      </c>
      <c r="L187" s="1102" t="s">
        <v>160</v>
      </c>
      <c r="M187" s="1102" t="s">
        <v>160</v>
      </c>
      <c r="N187" s="1102" t="s">
        <v>160</v>
      </c>
      <c r="O187" s="1102" t="s">
        <v>160</v>
      </c>
      <c r="P187" s="1102" t="s">
        <v>160</v>
      </c>
      <c r="Q187" s="1102" t="s">
        <v>160</v>
      </c>
      <c r="R187" s="1102" t="s">
        <v>160</v>
      </c>
      <c r="S187" s="1102" t="s">
        <v>160</v>
      </c>
      <c r="T187" s="1102" t="s">
        <v>160</v>
      </c>
      <c r="U187" s="1102" t="s">
        <v>160</v>
      </c>
      <c r="V187" s="1102" t="s">
        <v>160</v>
      </c>
      <c r="W187" s="1102" t="s">
        <v>160</v>
      </c>
      <c r="X187" s="1102" t="s">
        <v>160</v>
      </c>
      <c r="Y187" s="1102" t="s">
        <v>160</v>
      </c>
      <c r="Z187" s="1102" t="s">
        <v>160</v>
      </c>
      <c r="AA187" s="1102" t="s">
        <v>160</v>
      </c>
      <c r="AB187" s="1102" t="s">
        <v>160</v>
      </c>
      <c r="AC187" s="1102" t="s">
        <v>160</v>
      </c>
      <c r="AD187" s="1102" t="s">
        <v>160</v>
      </c>
      <c r="AE187" s="1102" t="s">
        <v>160</v>
      </c>
      <c r="AF187" s="1102" t="s">
        <v>160</v>
      </c>
      <c r="AG187" s="1102" t="s">
        <v>160</v>
      </c>
      <c r="AH187" s="1102" t="s">
        <v>160</v>
      </c>
      <c r="AI187" s="1102" t="s">
        <v>160</v>
      </c>
      <c r="AJ187" s="1102" t="s">
        <v>160</v>
      </c>
      <c r="AK187" s="1102" t="s">
        <v>160</v>
      </c>
      <c r="AL187" s="1102" t="s">
        <v>160</v>
      </c>
      <c r="AM187" s="1102" t="s">
        <v>160</v>
      </c>
      <c r="AN187" s="1102" t="s">
        <v>160</v>
      </c>
      <c r="AO187" s="1102" t="s">
        <v>160</v>
      </c>
      <c r="AP187" s="1102" t="s">
        <v>160</v>
      </c>
      <c r="AQ187" s="1102" t="s">
        <v>160</v>
      </c>
      <c r="AR187" s="1102" t="s">
        <v>160</v>
      </c>
      <c r="AS187" s="1102" t="s">
        <v>160</v>
      </c>
      <c r="AT187" s="1102" t="s">
        <v>160</v>
      </c>
      <c r="AU187" s="1102" t="s">
        <v>160</v>
      </c>
      <c r="AV187" s="1102" t="s">
        <v>160</v>
      </c>
      <c r="AW187" s="1102" t="s">
        <v>160</v>
      </c>
      <c r="AX187" s="1103" t="s">
        <v>160</v>
      </c>
      <c r="AY187" s="1102" t="s">
        <v>160</v>
      </c>
      <c r="AZ187" s="1102" t="s">
        <v>160</v>
      </c>
      <c r="BA187" s="1102" t="s">
        <v>160</v>
      </c>
      <c r="BB187" s="1102" t="s">
        <v>160</v>
      </c>
      <c r="BC187" s="1102" t="s">
        <v>160</v>
      </c>
      <c r="BD187" s="1102" t="s">
        <v>160</v>
      </c>
      <c r="BE187" s="1102" t="s">
        <v>160</v>
      </c>
      <c r="BF187" s="1102" t="s">
        <v>160</v>
      </c>
      <c r="BG187" s="1102" t="s">
        <v>160</v>
      </c>
      <c r="BH187" s="1102" t="s">
        <v>160</v>
      </c>
      <c r="BI187" s="1102" t="s">
        <v>160</v>
      </c>
      <c r="BJ187" s="1102" t="s">
        <v>160</v>
      </c>
      <c r="BK187" s="1102" t="s">
        <v>160</v>
      </c>
      <c r="BL187" s="1102" t="s">
        <v>160</v>
      </c>
      <c r="BM187" s="1102" t="s">
        <v>160</v>
      </c>
      <c r="BN187" s="1102" t="s">
        <v>160</v>
      </c>
      <c r="BO187" s="1102" t="s">
        <v>160</v>
      </c>
      <c r="BP187" s="1102">
        <v>1226</v>
      </c>
      <c r="BQ187" s="1102">
        <v>1226</v>
      </c>
      <c r="BR187" s="1102">
        <v>1226</v>
      </c>
      <c r="BS187" s="1102">
        <v>1226</v>
      </c>
      <c r="BT187" s="1102">
        <v>1280</v>
      </c>
      <c r="BU187" s="1102">
        <v>1280</v>
      </c>
      <c r="BV187" s="1102" t="s">
        <v>160</v>
      </c>
      <c r="BW187" s="1102" t="s">
        <v>160</v>
      </c>
      <c r="BX187" s="1102" t="s">
        <v>160</v>
      </c>
      <c r="BY187" s="1102" t="s">
        <v>160</v>
      </c>
      <c r="BZ187" s="1102" t="s">
        <v>160</v>
      </c>
      <c r="CA187" s="1102" t="s">
        <v>160</v>
      </c>
      <c r="CB187" s="1102" t="s">
        <v>160</v>
      </c>
      <c r="CC187" s="1102" t="s">
        <v>160</v>
      </c>
      <c r="CD187" s="1102" t="s">
        <v>160</v>
      </c>
      <c r="CE187" s="1102" t="s">
        <v>160</v>
      </c>
      <c r="CF187" s="1102" t="s">
        <v>160</v>
      </c>
      <c r="CG187"/>
      <c r="CH187"/>
      <c r="CI187"/>
      <c r="CJ187"/>
      <c r="CK187"/>
      <c r="CL187"/>
      <c r="CM187"/>
      <c r="CN187"/>
      <c r="CO187"/>
      <c r="CP187"/>
      <c r="CQ187"/>
      <c r="CR187"/>
      <c r="CS187"/>
      <c r="CT187"/>
      <c r="CU187"/>
      <c r="CV187"/>
      <c r="CW187"/>
      <c r="CX187"/>
      <c r="CY187"/>
      <c r="CZ187"/>
      <c r="DA187"/>
      <c r="DB187"/>
      <c r="DC187"/>
      <c r="DD187"/>
      <c r="DE187"/>
      <c r="DF187"/>
      <c r="DG187"/>
    </row>
    <row r="188" spans="1:117" x14ac:dyDescent="0.25">
      <c r="A188" t="s">
        <v>557</v>
      </c>
      <c r="B188" t="s">
        <v>856</v>
      </c>
      <c r="C188"/>
      <c r="D188" s="1092" t="str">
        <f>IF([1]RENAME!$H$3=1,B188,A188)</f>
        <v>Média</v>
      </c>
      <c r="E188" s="1093" t="str">
        <f t="shared" ref="E188:BM188" si="142">IFERROR(AVERAGE(E182:E187),"-")</f>
        <v>-</v>
      </c>
      <c r="F188" s="1093" t="str">
        <f t="shared" si="142"/>
        <v>-</v>
      </c>
      <c r="G188" s="1093" t="str">
        <f t="shared" si="142"/>
        <v>-</v>
      </c>
      <c r="H188" s="1093" t="str">
        <f t="shared" si="142"/>
        <v>-</v>
      </c>
      <c r="I188" s="1093" t="str">
        <f t="shared" si="142"/>
        <v>-</v>
      </c>
      <c r="J188" s="1093" t="str">
        <f t="shared" si="142"/>
        <v>-</v>
      </c>
      <c r="K188" s="1093" t="str">
        <f t="shared" si="142"/>
        <v>-</v>
      </c>
      <c r="L188" s="1093" t="str">
        <f t="shared" si="142"/>
        <v>-</v>
      </c>
      <c r="M188" s="1093" t="str">
        <f t="shared" si="142"/>
        <v>-</v>
      </c>
      <c r="N188" s="1093" t="str">
        <f t="shared" si="142"/>
        <v>-</v>
      </c>
      <c r="O188" s="1093" t="str">
        <f t="shared" si="142"/>
        <v>-</v>
      </c>
      <c r="P188" s="1093" t="str">
        <f t="shared" si="142"/>
        <v>-</v>
      </c>
      <c r="Q188" s="1093" t="str">
        <f t="shared" si="142"/>
        <v>-</v>
      </c>
      <c r="R188" s="1093" t="str">
        <f t="shared" si="142"/>
        <v>-</v>
      </c>
      <c r="S188" s="1093" t="str">
        <f t="shared" si="142"/>
        <v>-</v>
      </c>
      <c r="T188" s="1093" t="str">
        <f t="shared" si="142"/>
        <v>-</v>
      </c>
      <c r="U188" s="1093" t="str">
        <f t="shared" si="142"/>
        <v>-</v>
      </c>
      <c r="V188" s="1093" t="str">
        <f t="shared" si="142"/>
        <v>-</v>
      </c>
      <c r="W188" s="1093" t="str">
        <f t="shared" si="142"/>
        <v>-</v>
      </c>
      <c r="X188" s="1093" t="str">
        <f t="shared" si="142"/>
        <v>-</v>
      </c>
      <c r="Y188" s="1093" t="str">
        <f t="shared" si="142"/>
        <v>-</v>
      </c>
      <c r="Z188" s="1093" t="str">
        <f t="shared" si="142"/>
        <v>-</v>
      </c>
      <c r="AA188" s="1093" t="str">
        <f t="shared" si="142"/>
        <v>-</v>
      </c>
      <c r="AB188" s="1093" t="str">
        <f t="shared" si="142"/>
        <v>-</v>
      </c>
      <c r="AC188" s="1093" t="str">
        <f t="shared" si="142"/>
        <v>-</v>
      </c>
      <c r="AD188" s="1093" t="str">
        <f t="shared" si="142"/>
        <v>-</v>
      </c>
      <c r="AE188" s="1093" t="str">
        <f t="shared" si="142"/>
        <v>-</v>
      </c>
      <c r="AF188" s="1093" t="str">
        <f t="shared" si="142"/>
        <v>-</v>
      </c>
      <c r="AG188" s="1093" t="str">
        <f t="shared" si="142"/>
        <v>-</v>
      </c>
      <c r="AH188" s="1093" t="str">
        <f t="shared" si="142"/>
        <v>-</v>
      </c>
      <c r="AI188" s="1093" t="str">
        <f t="shared" si="142"/>
        <v>-</v>
      </c>
      <c r="AJ188" s="1093" t="str">
        <f t="shared" si="142"/>
        <v>-</v>
      </c>
      <c r="AK188" s="1093" t="str">
        <f t="shared" si="142"/>
        <v>-</v>
      </c>
      <c r="AL188" s="1093" t="str">
        <f t="shared" si="142"/>
        <v>-</v>
      </c>
      <c r="AM188" s="1093" t="str">
        <f t="shared" si="142"/>
        <v>-</v>
      </c>
      <c r="AN188" s="1093" t="str">
        <f t="shared" si="142"/>
        <v>-</v>
      </c>
      <c r="AO188" s="1093" t="str">
        <f t="shared" si="142"/>
        <v>-</v>
      </c>
      <c r="AP188" s="1093" t="str">
        <f t="shared" si="142"/>
        <v>-</v>
      </c>
      <c r="AQ188" s="1093" t="str">
        <f t="shared" si="142"/>
        <v>-</v>
      </c>
      <c r="AR188" s="1093" t="str">
        <f t="shared" si="142"/>
        <v>-</v>
      </c>
      <c r="AS188" s="1093" t="str">
        <f t="shared" si="142"/>
        <v>-</v>
      </c>
      <c r="AT188" s="1093" t="str">
        <f t="shared" si="142"/>
        <v>-</v>
      </c>
      <c r="AU188" s="1093" t="str">
        <f t="shared" si="142"/>
        <v>-</v>
      </c>
      <c r="AV188" s="1093" t="str">
        <f t="shared" si="142"/>
        <v>-</v>
      </c>
      <c r="AW188" s="1093" t="str">
        <f t="shared" si="142"/>
        <v>-</v>
      </c>
      <c r="AX188" s="1093" t="str">
        <f t="shared" si="142"/>
        <v>-</v>
      </c>
      <c r="AY188" s="1093" t="str">
        <f t="shared" si="142"/>
        <v>-</v>
      </c>
      <c r="AZ188" s="1093" t="str">
        <f t="shared" si="142"/>
        <v>-</v>
      </c>
      <c r="BA188" s="1093" t="str">
        <f t="shared" si="142"/>
        <v>-</v>
      </c>
      <c r="BB188" s="1093" t="str">
        <f t="shared" si="142"/>
        <v>-</v>
      </c>
      <c r="BC188" s="1093" t="str">
        <f t="shared" si="142"/>
        <v>-</v>
      </c>
      <c r="BD188" s="1093" t="str">
        <f t="shared" si="142"/>
        <v>-</v>
      </c>
      <c r="BE188" s="1094">
        <f t="shared" si="142"/>
        <v>1390</v>
      </c>
      <c r="BF188" s="1094">
        <f t="shared" si="142"/>
        <v>1488.5</v>
      </c>
      <c r="BG188" s="1094">
        <f t="shared" si="142"/>
        <v>1454.8333333333333</v>
      </c>
      <c r="BH188" s="1094">
        <f t="shared" si="142"/>
        <v>1454.8333333333333</v>
      </c>
      <c r="BI188" s="1094">
        <f t="shared" si="142"/>
        <v>1454.8333333333333</v>
      </c>
      <c r="BJ188" s="1094">
        <f t="shared" si="142"/>
        <v>1454.8333333333333</v>
      </c>
      <c r="BK188" s="1094">
        <f t="shared" si="142"/>
        <v>1454.8333333333333</v>
      </c>
      <c r="BL188" s="1094">
        <f t="shared" si="142"/>
        <v>1454.8333333333333</v>
      </c>
      <c r="BM188" s="1094">
        <f t="shared" si="142"/>
        <v>1454.8333333333333</v>
      </c>
      <c r="BN188" s="1094">
        <f>IFERROR(AVERAGE(BN182:BN187),"-")</f>
        <v>1454.8333333333333</v>
      </c>
      <c r="BO188" s="1094">
        <f t="shared" ref="BO188:CA188" si="143">IFERROR(AVERAGE(BO182:BO187),"-")</f>
        <v>1454.8333333333333</v>
      </c>
      <c r="BP188" s="1094">
        <f t="shared" si="143"/>
        <v>1246.5</v>
      </c>
      <c r="BQ188" s="1094">
        <f t="shared" si="143"/>
        <v>1246.5</v>
      </c>
      <c r="BR188" s="1094">
        <f t="shared" si="143"/>
        <v>1246.5</v>
      </c>
      <c r="BS188" s="1094">
        <f t="shared" si="143"/>
        <v>1156.4000000000001</v>
      </c>
      <c r="BT188" s="1094">
        <f t="shared" si="143"/>
        <v>1167.2</v>
      </c>
      <c r="BU188" s="1094">
        <f t="shared" si="143"/>
        <v>1167.2</v>
      </c>
      <c r="BV188" s="1094">
        <f t="shared" si="143"/>
        <v>1160.75</v>
      </c>
      <c r="BW188" s="1094">
        <f t="shared" si="143"/>
        <v>1160.75</v>
      </c>
      <c r="BX188" s="1094">
        <f t="shared" si="143"/>
        <v>1160.75</v>
      </c>
      <c r="BY188" s="1094">
        <f t="shared" si="143"/>
        <v>1160.75</v>
      </c>
      <c r="BZ188" s="1094">
        <f t="shared" si="143"/>
        <v>1160.75</v>
      </c>
      <c r="CA188" s="1094">
        <f t="shared" si="143"/>
        <v>1212.8</v>
      </c>
      <c r="CB188" s="1099">
        <f>IFERROR(AVERAGE(CB182:CB187),"-")</f>
        <v>1212.8</v>
      </c>
      <c r="CC188" s="1099">
        <f>IFERROR(AVERAGE(CC182:CC187),"-")</f>
        <v>1212.8</v>
      </c>
      <c r="CD188" s="1099">
        <f>IFERROR(AVERAGE(CD182:CD187),"-")</f>
        <v>1272.8</v>
      </c>
      <c r="CE188" s="1099">
        <f>IFERROR(AVERAGE(CE182:CE187),"-")</f>
        <v>1309.8</v>
      </c>
      <c r="CF188" s="1099">
        <f>IFERROR(AVERAGE(CF182:CF187),"-")</f>
        <v>1323.48</v>
      </c>
      <c r="CG188"/>
      <c r="CH188"/>
      <c r="CI188"/>
      <c r="CJ188"/>
      <c r="CK188"/>
      <c r="CL188"/>
      <c r="CM188"/>
      <c r="CN188"/>
      <c r="CO188"/>
      <c r="CP188"/>
      <c r="CQ188"/>
      <c r="CR188"/>
      <c r="CS188"/>
      <c r="CT188"/>
      <c r="CU188"/>
      <c r="CV188"/>
      <c r="CW188"/>
      <c r="CX188"/>
      <c r="CY188"/>
      <c r="CZ188"/>
      <c r="DA188"/>
      <c r="DB188"/>
      <c r="DC188"/>
      <c r="DD188"/>
      <c r="DE188"/>
      <c r="DF188"/>
      <c r="DG188"/>
    </row>
    <row r="189" spans="1:117" x14ac:dyDescent="0.25">
      <c r="Z189" s="339"/>
      <c r="AA189" s="339"/>
      <c r="AB189" s="339"/>
      <c r="AC189" s="339"/>
      <c r="AD189" s="339"/>
      <c r="AE189" s="339"/>
      <c r="AF189" s="339"/>
      <c r="AG189" s="339"/>
      <c r="AH189" s="339"/>
      <c r="AI189" s="339"/>
      <c r="AJ189" s="339"/>
      <c r="AK189" s="339"/>
      <c r="AL189" s="339"/>
      <c r="AM189" s="339"/>
      <c r="AN189" s="339"/>
      <c r="AO189" s="339"/>
      <c r="AP189" s="339"/>
      <c r="AQ189" s="339"/>
      <c r="AR189" s="339"/>
      <c r="AS189" s="339"/>
      <c r="AT189" s="339"/>
      <c r="AU189" s="339"/>
      <c r="AV189"/>
      <c r="AW189"/>
      <c r="AX189" s="937"/>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row>
    <row r="190" spans="1:117" x14ac:dyDescent="0.25">
      <c r="A190" s="261" t="s">
        <v>1790</v>
      </c>
      <c r="B190" s="261" t="s">
        <v>1789</v>
      </c>
      <c r="D190" s="113" t="str">
        <f>IF([1]RENAME!$H$3=1,B190,A190)</f>
        <v>EBITDA 2022</v>
      </c>
      <c r="E190" s="262">
        <f t="shared" ref="E190:BP190" si="144">E$11</f>
        <v>42522</v>
      </c>
      <c r="F190" s="262">
        <f t="shared" si="144"/>
        <v>42552</v>
      </c>
      <c r="G190" s="262">
        <f t="shared" si="144"/>
        <v>42583</v>
      </c>
      <c r="H190" s="262">
        <f t="shared" si="144"/>
        <v>42614</v>
      </c>
      <c r="I190" s="262">
        <f t="shared" si="144"/>
        <v>42644</v>
      </c>
      <c r="J190" s="262">
        <f t="shared" si="144"/>
        <v>42675</v>
      </c>
      <c r="K190" s="262">
        <f t="shared" si="144"/>
        <v>42705</v>
      </c>
      <c r="L190" s="262">
        <f t="shared" si="144"/>
        <v>42736</v>
      </c>
      <c r="M190" s="262">
        <f t="shared" si="144"/>
        <v>42767</v>
      </c>
      <c r="N190" s="262">
        <f t="shared" si="144"/>
        <v>42795</v>
      </c>
      <c r="O190" s="262">
        <f t="shared" si="144"/>
        <v>42826</v>
      </c>
      <c r="P190" s="262">
        <f t="shared" si="144"/>
        <v>42856</v>
      </c>
      <c r="Q190" s="262">
        <f t="shared" si="144"/>
        <v>42887</v>
      </c>
      <c r="R190" s="262">
        <f t="shared" si="144"/>
        <v>42917</v>
      </c>
      <c r="S190" s="262">
        <f t="shared" si="144"/>
        <v>42948</v>
      </c>
      <c r="T190" s="262">
        <f t="shared" si="144"/>
        <v>42979</v>
      </c>
      <c r="U190" s="262">
        <f t="shared" si="144"/>
        <v>43009</v>
      </c>
      <c r="V190" s="262">
        <f t="shared" si="144"/>
        <v>43040</v>
      </c>
      <c r="W190" s="262">
        <f t="shared" si="144"/>
        <v>43070</v>
      </c>
      <c r="X190" s="262">
        <f t="shared" si="144"/>
        <v>43101</v>
      </c>
      <c r="Y190" s="262">
        <f t="shared" si="144"/>
        <v>43132</v>
      </c>
      <c r="Z190" s="262">
        <f t="shared" si="144"/>
        <v>43160</v>
      </c>
      <c r="AA190" s="262">
        <f t="shared" si="144"/>
        <v>43191</v>
      </c>
      <c r="AB190" s="262">
        <f t="shared" si="144"/>
        <v>43221</v>
      </c>
      <c r="AC190" s="262">
        <f t="shared" si="144"/>
        <v>43252</v>
      </c>
      <c r="AD190" s="262">
        <f t="shared" si="144"/>
        <v>43283</v>
      </c>
      <c r="AE190" s="262">
        <f t="shared" si="144"/>
        <v>43314</v>
      </c>
      <c r="AF190" s="262">
        <f t="shared" si="144"/>
        <v>43345</v>
      </c>
      <c r="AG190" s="262">
        <f t="shared" si="144"/>
        <v>43376</v>
      </c>
      <c r="AH190" s="262">
        <f t="shared" si="144"/>
        <v>43407</v>
      </c>
      <c r="AI190" s="262">
        <f t="shared" si="144"/>
        <v>43437</v>
      </c>
      <c r="AJ190" s="262">
        <f t="shared" si="144"/>
        <v>43468</v>
      </c>
      <c r="AK190" s="262">
        <f t="shared" si="144"/>
        <v>43499</v>
      </c>
      <c r="AL190" s="262">
        <f t="shared" si="144"/>
        <v>43527</v>
      </c>
      <c r="AM190" s="262">
        <f t="shared" si="144"/>
        <v>43558</v>
      </c>
      <c r="AN190" s="262">
        <f t="shared" si="144"/>
        <v>43587</v>
      </c>
      <c r="AO190" s="262">
        <f t="shared" si="144"/>
        <v>43618</v>
      </c>
      <c r="AP190" s="262">
        <f t="shared" si="144"/>
        <v>43647</v>
      </c>
      <c r="AQ190" s="262">
        <f t="shared" si="144"/>
        <v>43678</v>
      </c>
      <c r="AR190" s="262">
        <f t="shared" si="144"/>
        <v>43709</v>
      </c>
      <c r="AS190" s="262">
        <f t="shared" si="144"/>
        <v>43739</v>
      </c>
      <c r="AT190" s="262">
        <f t="shared" si="144"/>
        <v>43770</v>
      </c>
      <c r="AU190" s="262">
        <f t="shared" si="144"/>
        <v>43800</v>
      </c>
      <c r="AV190" s="262">
        <f t="shared" si="144"/>
        <v>43831</v>
      </c>
      <c r="AW190" s="262">
        <f t="shared" si="144"/>
        <v>43862</v>
      </c>
      <c r="AX190" s="933">
        <f t="shared" si="144"/>
        <v>43891</v>
      </c>
      <c r="AY190" s="262">
        <f t="shared" si="144"/>
        <v>43922</v>
      </c>
      <c r="AZ190" s="262">
        <f t="shared" si="144"/>
        <v>43952</v>
      </c>
      <c r="BA190" s="262">
        <f t="shared" si="144"/>
        <v>43983</v>
      </c>
      <c r="BB190" s="262">
        <f t="shared" si="144"/>
        <v>44013</v>
      </c>
      <c r="BC190" s="262">
        <f t="shared" si="144"/>
        <v>44044</v>
      </c>
      <c r="BD190" s="262">
        <f t="shared" si="144"/>
        <v>44075</v>
      </c>
      <c r="BE190" s="262">
        <f t="shared" si="144"/>
        <v>44105</v>
      </c>
      <c r="BF190" s="262">
        <f t="shared" si="144"/>
        <v>44136</v>
      </c>
      <c r="BG190" s="262">
        <f t="shared" si="144"/>
        <v>44166</v>
      </c>
      <c r="BH190" s="262">
        <f t="shared" si="144"/>
        <v>44197</v>
      </c>
      <c r="BI190" s="262">
        <f t="shared" si="144"/>
        <v>44228</v>
      </c>
      <c r="BJ190" s="262">
        <f t="shared" si="144"/>
        <v>44256</v>
      </c>
      <c r="BK190" s="262">
        <f t="shared" si="144"/>
        <v>44287</v>
      </c>
      <c r="BL190" s="262">
        <f t="shared" si="144"/>
        <v>44317</v>
      </c>
      <c r="BM190" s="262">
        <f t="shared" si="144"/>
        <v>44348</v>
      </c>
      <c r="BN190" s="262">
        <f t="shared" si="144"/>
        <v>44378</v>
      </c>
      <c r="BO190" s="262">
        <f t="shared" si="144"/>
        <v>44409</v>
      </c>
      <c r="BP190" s="262">
        <f t="shared" si="144"/>
        <v>44440</v>
      </c>
      <c r="BQ190" s="262">
        <f t="shared" ref="BQ190:CD190" si="145">BQ$11</f>
        <v>44470</v>
      </c>
      <c r="BR190" s="262">
        <f t="shared" si="145"/>
        <v>44501</v>
      </c>
      <c r="BS190" s="262">
        <f t="shared" si="145"/>
        <v>44531</v>
      </c>
      <c r="BT190" s="262">
        <f t="shared" si="145"/>
        <v>44562</v>
      </c>
      <c r="BU190" s="262">
        <f t="shared" si="145"/>
        <v>44593</v>
      </c>
      <c r="BV190" s="262">
        <f t="shared" si="145"/>
        <v>44622</v>
      </c>
      <c r="BW190" s="262">
        <f t="shared" si="145"/>
        <v>44654</v>
      </c>
      <c r="BX190" s="262">
        <f t="shared" si="145"/>
        <v>44685</v>
      </c>
      <c r="BY190" s="262">
        <f t="shared" si="145"/>
        <v>44716</v>
      </c>
      <c r="BZ190" s="262">
        <f t="shared" si="145"/>
        <v>44746</v>
      </c>
      <c r="CA190" s="262">
        <f t="shared" si="145"/>
        <v>44774</v>
      </c>
      <c r="CB190" s="262">
        <f t="shared" si="145"/>
        <v>44805</v>
      </c>
      <c r="CC190" s="262">
        <f t="shared" si="145"/>
        <v>44835</v>
      </c>
      <c r="CD190" s="262">
        <f t="shared" si="145"/>
        <v>44866</v>
      </c>
      <c r="CE190" s="262">
        <f>CE$11</f>
        <v>44896</v>
      </c>
      <c r="CF190" s="262">
        <f>CF$11</f>
        <v>44927</v>
      </c>
      <c r="CG190"/>
      <c r="CH190"/>
      <c r="CI190"/>
      <c r="CJ190"/>
      <c r="CK190"/>
      <c r="CL190"/>
      <c r="CM190"/>
      <c r="CN190"/>
      <c r="CO190"/>
      <c r="CP190"/>
      <c r="CQ190"/>
      <c r="CR190"/>
      <c r="CS190"/>
      <c r="CT190"/>
      <c r="CU190"/>
      <c r="CV190"/>
      <c r="CW190"/>
      <c r="CX190"/>
      <c r="CY190"/>
      <c r="CZ190"/>
      <c r="DA190"/>
      <c r="DB190"/>
      <c r="DC190"/>
      <c r="DD190"/>
      <c r="DE190"/>
      <c r="DF190"/>
      <c r="DG190"/>
    </row>
    <row r="191" spans="1:117" x14ac:dyDescent="0.25">
      <c r="A191" s="261" t="s">
        <v>542</v>
      </c>
      <c r="B191" s="261" t="s">
        <v>542</v>
      </c>
      <c r="D191" s="117" t="str">
        <f>IF([1]RENAME!$H$3=1,B191,A191)</f>
        <v>SANTANDER</v>
      </c>
      <c r="E191" s="263" t="s">
        <v>160</v>
      </c>
      <c r="F191" s="263" t="s">
        <v>160</v>
      </c>
      <c r="G191" s="263" t="s">
        <v>160</v>
      </c>
      <c r="H191" s="264" t="s">
        <v>160</v>
      </c>
      <c r="I191" s="264" t="s">
        <v>160</v>
      </c>
      <c r="J191" s="264" t="s">
        <v>160</v>
      </c>
      <c r="K191" s="264" t="s">
        <v>160</v>
      </c>
      <c r="L191" s="264" t="s">
        <v>160</v>
      </c>
      <c r="M191" s="264" t="s">
        <v>160</v>
      </c>
      <c r="N191" s="592" t="s">
        <v>160</v>
      </c>
      <c r="O191" s="592" t="s">
        <v>160</v>
      </c>
      <c r="P191" s="592" t="s">
        <v>160</v>
      </c>
      <c r="Q191" s="592" t="s">
        <v>160</v>
      </c>
      <c r="R191" s="592" t="s">
        <v>160</v>
      </c>
      <c r="S191" s="592" t="s">
        <v>160</v>
      </c>
      <c r="T191" s="592" t="s">
        <v>160</v>
      </c>
      <c r="U191" s="592" t="s">
        <v>160</v>
      </c>
      <c r="V191" s="592" t="s">
        <v>160</v>
      </c>
      <c r="W191" s="591" t="s">
        <v>160</v>
      </c>
      <c r="X191" s="591" t="s">
        <v>160</v>
      </c>
      <c r="Y191" s="591" t="s">
        <v>160</v>
      </c>
      <c r="Z191" s="591" t="s">
        <v>160</v>
      </c>
      <c r="AA191" s="591" t="s">
        <v>160</v>
      </c>
      <c r="AB191" s="591" t="s">
        <v>160</v>
      </c>
      <c r="AC191" s="591" t="s">
        <v>160</v>
      </c>
      <c r="AD191" s="591" t="s">
        <v>160</v>
      </c>
      <c r="AE191" s="591" t="s">
        <v>160</v>
      </c>
      <c r="AF191" s="591" t="s">
        <v>160</v>
      </c>
      <c r="AG191" s="591" t="s">
        <v>160</v>
      </c>
      <c r="AH191" s="591" t="s">
        <v>160</v>
      </c>
      <c r="AI191" s="591" t="s">
        <v>160</v>
      </c>
      <c r="AJ191" s="591" t="s">
        <v>160</v>
      </c>
      <c r="AK191" s="591" t="s">
        <v>160</v>
      </c>
      <c r="AL191" s="346" t="s">
        <v>160</v>
      </c>
      <c r="AM191" s="346" t="s">
        <v>160</v>
      </c>
      <c r="AN191" s="346" t="s">
        <v>160</v>
      </c>
      <c r="AO191" s="346" t="s">
        <v>160</v>
      </c>
      <c r="AP191" s="346" t="s">
        <v>160</v>
      </c>
      <c r="AQ191" s="346" t="s">
        <v>160</v>
      </c>
      <c r="AR191" s="346" t="s">
        <v>160</v>
      </c>
      <c r="AS191" s="346" t="s">
        <v>160</v>
      </c>
      <c r="AT191" s="346" t="s">
        <v>160</v>
      </c>
      <c r="AU191" s="346" t="s">
        <v>160</v>
      </c>
      <c r="AV191" s="346" t="s">
        <v>160</v>
      </c>
      <c r="AW191" s="346" t="s">
        <v>160</v>
      </c>
      <c r="AX191" s="947" t="s">
        <v>160</v>
      </c>
      <c r="AY191" s="346" t="s">
        <v>160</v>
      </c>
      <c r="AZ191" s="346" t="s">
        <v>160</v>
      </c>
      <c r="BA191" s="346" t="s">
        <v>160</v>
      </c>
      <c r="BB191" s="346" t="s">
        <v>160</v>
      </c>
      <c r="BC191" s="346" t="s">
        <v>160</v>
      </c>
      <c r="BD191" s="346" t="s">
        <v>160</v>
      </c>
      <c r="BE191" s="346" t="s">
        <v>160</v>
      </c>
      <c r="BF191" s="346" t="s">
        <v>160</v>
      </c>
      <c r="BG191" s="346" t="s">
        <v>160</v>
      </c>
      <c r="BH191" s="591" t="s">
        <v>160</v>
      </c>
      <c r="BI191" s="591" t="s">
        <v>160</v>
      </c>
      <c r="BJ191" s="591" t="s">
        <v>160</v>
      </c>
      <c r="BK191" s="591" t="s">
        <v>160</v>
      </c>
      <c r="BL191" s="591" t="s">
        <v>160</v>
      </c>
      <c r="BM191" s="591" t="s">
        <v>160</v>
      </c>
      <c r="BN191" s="591" t="s">
        <v>160</v>
      </c>
      <c r="BO191" s="591" t="s">
        <v>160</v>
      </c>
      <c r="BP191" s="591" t="s">
        <v>160</v>
      </c>
      <c r="BQ191" s="591" t="s">
        <v>160</v>
      </c>
      <c r="BR191" s="591" t="s">
        <v>160</v>
      </c>
      <c r="BS191" s="591">
        <v>186</v>
      </c>
      <c r="BT191" s="591">
        <v>186</v>
      </c>
      <c r="BU191" s="591">
        <v>186</v>
      </c>
      <c r="BV191" s="591">
        <v>186</v>
      </c>
      <c r="BW191" s="591">
        <v>187</v>
      </c>
      <c r="BX191" s="591">
        <v>187</v>
      </c>
      <c r="BY191" s="591">
        <v>187</v>
      </c>
      <c r="BZ191" s="591">
        <v>187</v>
      </c>
      <c r="CA191" s="591">
        <v>187</v>
      </c>
      <c r="CB191" s="591">
        <v>187</v>
      </c>
      <c r="CC191" s="591">
        <v>187</v>
      </c>
      <c r="CD191" s="591">
        <v>187</v>
      </c>
      <c r="CE191" s="341">
        <v>244</v>
      </c>
      <c r="CF191" s="591">
        <v>244</v>
      </c>
      <c r="CG191"/>
      <c r="CH191"/>
      <c r="CI191"/>
      <c r="CJ191"/>
      <c r="CK191"/>
      <c r="CL191"/>
      <c r="CM191"/>
      <c r="CN191"/>
      <c r="CO191"/>
      <c r="CP191"/>
      <c r="CQ191"/>
      <c r="CR191"/>
      <c r="CS191"/>
      <c r="CT191"/>
      <c r="CU191"/>
      <c r="CV191"/>
      <c r="CW191"/>
      <c r="CX191"/>
      <c r="CY191"/>
      <c r="CZ191"/>
      <c r="DA191"/>
      <c r="DB191"/>
      <c r="DC191"/>
      <c r="DD191"/>
      <c r="DE191"/>
      <c r="DF191"/>
      <c r="DG191"/>
    </row>
    <row r="192" spans="1:117" x14ac:dyDescent="0.25">
      <c r="A192" s="261" t="s">
        <v>546</v>
      </c>
      <c r="B192" s="261" t="s">
        <v>546</v>
      </c>
      <c r="D192" s="117" t="str">
        <f>IF([1]RENAME!$H$3=1,B192,A192)</f>
        <v>BTG PACTUAL</v>
      </c>
      <c r="E192" s="263" t="s">
        <v>160</v>
      </c>
      <c r="F192" s="263" t="s">
        <v>160</v>
      </c>
      <c r="G192" s="263" t="s">
        <v>160</v>
      </c>
      <c r="H192" s="263" t="s">
        <v>160</v>
      </c>
      <c r="I192" s="263" t="s">
        <v>160</v>
      </c>
      <c r="J192" s="264" t="s">
        <v>160</v>
      </c>
      <c r="K192" s="264" t="s">
        <v>160</v>
      </c>
      <c r="L192" s="264" t="s">
        <v>160</v>
      </c>
      <c r="M192" s="264" t="s">
        <v>160</v>
      </c>
      <c r="N192" s="592" t="s">
        <v>160</v>
      </c>
      <c r="O192" s="592" t="s">
        <v>160</v>
      </c>
      <c r="P192" s="592" t="s">
        <v>160</v>
      </c>
      <c r="Q192" s="592" t="s">
        <v>160</v>
      </c>
      <c r="R192" s="592" t="s">
        <v>160</v>
      </c>
      <c r="S192" s="592" t="s">
        <v>160</v>
      </c>
      <c r="T192" s="592" t="s">
        <v>160</v>
      </c>
      <c r="U192" s="592" t="s">
        <v>160</v>
      </c>
      <c r="V192" s="592" t="s">
        <v>160</v>
      </c>
      <c r="W192" s="592" t="s">
        <v>160</v>
      </c>
      <c r="X192" s="592" t="s">
        <v>160</v>
      </c>
      <c r="Y192" s="592" t="s">
        <v>160</v>
      </c>
      <c r="Z192" s="592" t="s">
        <v>160</v>
      </c>
      <c r="AA192" s="592" t="s">
        <v>160</v>
      </c>
      <c r="AB192" s="592" t="s">
        <v>160</v>
      </c>
      <c r="AC192" s="592" t="s">
        <v>160</v>
      </c>
      <c r="AD192" s="592" t="s">
        <v>160</v>
      </c>
      <c r="AE192" s="592" t="s">
        <v>160</v>
      </c>
      <c r="AF192" s="592" t="s">
        <v>160</v>
      </c>
      <c r="AG192" s="592" t="s">
        <v>160</v>
      </c>
      <c r="AH192" s="591" t="s">
        <v>160</v>
      </c>
      <c r="AI192" s="592" t="s">
        <v>160</v>
      </c>
      <c r="AJ192" s="592" t="s">
        <v>160</v>
      </c>
      <c r="AK192" s="592" t="s">
        <v>160</v>
      </c>
      <c r="AL192" s="346" t="s">
        <v>160</v>
      </c>
      <c r="AM192" s="346" t="s">
        <v>160</v>
      </c>
      <c r="AN192" s="346" t="s">
        <v>160</v>
      </c>
      <c r="AO192" s="346" t="s">
        <v>160</v>
      </c>
      <c r="AP192" s="346" t="s">
        <v>160</v>
      </c>
      <c r="AQ192" s="346" t="s">
        <v>160</v>
      </c>
      <c r="AR192" s="346" t="s">
        <v>160</v>
      </c>
      <c r="AS192" s="346" t="s">
        <v>160</v>
      </c>
      <c r="AT192" s="346" t="s">
        <v>160</v>
      </c>
      <c r="AU192" s="346" t="s">
        <v>160</v>
      </c>
      <c r="AV192" s="346" t="s">
        <v>160</v>
      </c>
      <c r="AW192" s="346" t="s">
        <v>160</v>
      </c>
      <c r="AX192" s="947" t="s">
        <v>160</v>
      </c>
      <c r="AY192" s="346" t="s">
        <v>160</v>
      </c>
      <c r="AZ192" s="346" t="s">
        <v>160</v>
      </c>
      <c r="BA192" s="346" t="s">
        <v>160</v>
      </c>
      <c r="BB192" s="346" t="s">
        <v>160</v>
      </c>
      <c r="BC192" s="346" t="s">
        <v>160</v>
      </c>
      <c r="BD192" s="346" t="s">
        <v>160</v>
      </c>
      <c r="BE192" s="346" t="s">
        <v>160</v>
      </c>
      <c r="BF192" s="346">
        <v>288</v>
      </c>
      <c r="BG192" s="346">
        <v>288</v>
      </c>
      <c r="BH192" s="591">
        <v>288</v>
      </c>
      <c r="BI192" s="591">
        <v>288</v>
      </c>
      <c r="BJ192" s="591">
        <v>288</v>
      </c>
      <c r="BK192" s="591">
        <v>288</v>
      </c>
      <c r="BL192" s="591">
        <v>288</v>
      </c>
      <c r="BM192" s="591">
        <v>288</v>
      </c>
      <c r="BN192" s="591">
        <v>288</v>
      </c>
      <c r="BO192" s="591">
        <v>288</v>
      </c>
      <c r="BP192" s="591" t="s">
        <v>160</v>
      </c>
      <c r="BQ192" s="591" t="s">
        <v>160</v>
      </c>
      <c r="BR192" s="591" t="s">
        <v>160</v>
      </c>
      <c r="BS192" s="591">
        <v>202</v>
      </c>
      <c r="BT192" s="591">
        <v>202</v>
      </c>
      <c r="BU192" s="591">
        <v>202</v>
      </c>
      <c r="BV192" s="591">
        <v>202</v>
      </c>
      <c r="BW192" s="591">
        <v>202</v>
      </c>
      <c r="BX192" s="591">
        <v>202</v>
      </c>
      <c r="BY192" s="591">
        <v>202</v>
      </c>
      <c r="BZ192" s="591">
        <v>202</v>
      </c>
      <c r="CA192" s="591">
        <v>202</v>
      </c>
      <c r="CB192" s="591">
        <v>202</v>
      </c>
      <c r="CC192" s="591">
        <v>202</v>
      </c>
      <c r="CD192" s="591">
        <v>202</v>
      </c>
      <c r="CE192" s="591">
        <v>202</v>
      </c>
      <c r="CF192" s="591">
        <v>202</v>
      </c>
      <c r="CG192"/>
      <c r="CH192"/>
      <c r="CI192"/>
      <c r="CJ192"/>
      <c r="CK192"/>
      <c r="CL192"/>
      <c r="CM192"/>
      <c r="CN192"/>
      <c r="CO192"/>
      <c r="CP192"/>
      <c r="CQ192"/>
      <c r="CR192"/>
      <c r="CS192"/>
      <c r="CT192"/>
      <c r="CU192"/>
      <c r="CV192"/>
      <c r="CW192"/>
      <c r="CX192"/>
      <c r="CY192"/>
      <c r="CZ192"/>
      <c r="DA192"/>
      <c r="DB192"/>
      <c r="DC192"/>
      <c r="DD192"/>
      <c r="DE192"/>
      <c r="DF192"/>
      <c r="DG192"/>
    </row>
    <row r="193" spans="1:111" x14ac:dyDescent="0.25">
      <c r="A193" s="261" t="s">
        <v>574</v>
      </c>
      <c r="B193" s="261" t="s">
        <v>574</v>
      </c>
      <c r="D193" s="117" t="str">
        <f>IF([1]RENAME!$H$3=1,B193,A193)</f>
        <v>SAFRA</v>
      </c>
      <c r="E193" s="263" t="s">
        <v>160</v>
      </c>
      <c r="F193" s="263" t="s">
        <v>160</v>
      </c>
      <c r="G193" s="263" t="s">
        <v>160</v>
      </c>
      <c r="H193" s="263" t="s">
        <v>160</v>
      </c>
      <c r="I193" s="263" t="s">
        <v>160</v>
      </c>
      <c r="J193" s="263" t="s">
        <v>160</v>
      </c>
      <c r="K193" s="263" t="s">
        <v>160</v>
      </c>
      <c r="L193" s="263" t="s">
        <v>160</v>
      </c>
      <c r="M193" s="263" t="s">
        <v>160</v>
      </c>
      <c r="N193" s="351" t="s">
        <v>160</v>
      </c>
      <c r="O193" s="351" t="s">
        <v>160</v>
      </c>
      <c r="P193" s="351" t="s">
        <v>160</v>
      </c>
      <c r="Q193" s="592" t="s">
        <v>160</v>
      </c>
      <c r="R193" s="592" t="s">
        <v>160</v>
      </c>
      <c r="S193" s="592" t="s">
        <v>160</v>
      </c>
      <c r="T193" s="592" t="s">
        <v>160</v>
      </c>
      <c r="U193" s="592" t="s">
        <v>160</v>
      </c>
      <c r="V193" s="592" t="s">
        <v>160</v>
      </c>
      <c r="W193" s="592" t="s">
        <v>160</v>
      </c>
      <c r="X193" s="592" t="s">
        <v>160</v>
      </c>
      <c r="Y193" s="591" t="s">
        <v>160</v>
      </c>
      <c r="Z193" s="591" t="s">
        <v>160</v>
      </c>
      <c r="AA193" s="591" t="s">
        <v>160</v>
      </c>
      <c r="AB193" s="591" t="s">
        <v>160</v>
      </c>
      <c r="AC193" s="591" t="s">
        <v>160</v>
      </c>
      <c r="AD193" s="591" t="s">
        <v>160</v>
      </c>
      <c r="AE193" s="591" t="s">
        <v>160</v>
      </c>
      <c r="AF193" s="591" t="s">
        <v>160</v>
      </c>
      <c r="AG193" s="591" t="s">
        <v>160</v>
      </c>
      <c r="AH193" s="591" t="s">
        <v>160</v>
      </c>
      <c r="AI193" s="592" t="s">
        <v>160</v>
      </c>
      <c r="AJ193" s="592" t="s">
        <v>160</v>
      </c>
      <c r="AK193" s="592" t="s">
        <v>160</v>
      </c>
      <c r="AL193" s="346" t="s">
        <v>160</v>
      </c>
      <c r="AM193" s="346" t="s">
        <v>160</v>
      </c>
      <c r="AN193" s="346" t="s">
        <v>160</v>
      </c>
      <c r="AO193" s="346" t="s">
        <v>160</v>
      </c>
      <c r="AP193" s="346" t="s">
        <v>160</v>
      </c>
      <c r="AQ193" s="346" t="s">
        <v>160</v>
      </c>
      <c r="AR193" s="346" t="s">
        <v>160</v>
      </c>
      <c r="AS193" s="346" t="s">
        <v>160</v>
      </c>
      <c r="AT193" s="346" t="s">
        <v>160</v>
      </c>
      <c r="AU193" s="346" t="s">
        <v>160</v>
      </c>
      <c r="AV193" s="346" t="s">
        <v>160</v>
      </c>
      <c r="AW193" s="346" t="s">
        <v>160</v>
      </c>
      <c r="AX193" s="947" t="s">
        <v>160</v>
      </c>
      <c r="AY193" s="348" t="s">
        <v>160</v>
      </c>
      <c r="AZ193" s="348" t="s">
        <v>160</v>
      </c>
      <c r="BA193" s="346" t="s">
        <v>160</v>
      </c>
      <c r="BB193" s="346" t="s">
        <v>160</v>
      </c>
      <c r="BC193" s="346" t="s">
        <v>160</v>
      </c>
      <c r="BD193" s="346" t="s">
        <v>160</v>
      </c>
      <c r="BE193" s="346">
        <v>249</v>
      </c>
      <c r="BF193" s="346">
        <v>249</v>
      </c>
      <c r="BG193" s="346">
        <v>249</v>
      </c>
      <c r="BH193" s="591">
        <v>249</v>
      </c>
      <c r="BI193" s="591">
        <v>249</v>
      </c>
      <c r="BJ193" s="591">
        <v>249</v>
      </c>
      <c r="BK193" s="591">
        <v>249</v>
      </c>
      <c r="BL193" s="591">
        <v>249</v>
      </c>
      <c r="BM193" s="591">
        <v>249</v>
      </c>
      <c r="BN193" s="591">
        <v>249</v>
      </c>
      <c r="BO193" s="591">
        <v>249</v>
      </c>
      <c r="BP193" s="591" t="s">
        <v>160</v>
      </c>
      <c r="BQ193" s="591" t="s">
        <v>160</v>
      </c>
      <c r="BR193" s="591" t="s">
        <v>160</v>
      </c>
      <c r="BS193" s="591" t="s">
        <v>160</v>
      </c>
      <c r="BT193" s="591" t="s">
        <v>160</v>
      </c>
      <c r="BU193" s="591" t="s">
        <v>160</v>
      </c>
      <c r="BV193" s="591" t="s">
        <v>160</v>
      </c>
      <c r="BW193" s="591" t="s">
        <v>160</v>
      </c>
      <c r="BX193" s="591" t="s">
        <v>160</v>
      </c>
      <c r="BY193" s="591" t="s">
        <v>160</v>
      </c>
      <c r="BZ193" s="591" t="s">
        <v>160</v>
      </c>
      <c r="CA193" s="341">
        <v>214</v>
      </c>
      <c r="CB193" s="591">
        <v>214</v>
      </c>
      <c r="CC193" s="591">
        <v>214</v>
      </c>
      <c r="CD193" s="591">
        <v>214</v>
      </c>
      <c r="CE193" s="591">
        <v>214</v>
      </c>
      <c r="CF193" s="591">
        <v>214</v>
      </c>
      <c r="CG193"/>
      <c r="CH193"/>
      <c r="CI193"/>
      <c r="CJ193"/>
      <c r="CK193"/>
      <c r="CL193"/>
      <c r="CM193"/>
      <c r="CN193"/>
      <c r="CO193"/>
      <c r="CP193"/>
      <c r="CQ193"/>
      <c r="CR193"/>
      <c r="CS193"/>
      <c r="CT193"/>
      <c r="CU193"/>
      <c r="CV193"/>
      <c r="CW193"/>
      <c r="CX193"/>
      <c r="CY193"/>
      <c r="CZ193"/>
      <c r="DA193"/>
      <c r="DB193"/>
      <c r="DC193"/>
      <c r="DD193"/>
      <c r="DE193"/>
      <c r="DF193"/>
      <c r="DG193"/>
    </row>
    <row r="194" spans="1:111" x14ac:dyDescent="0.25">
      <c r="A194" s="261" t="s">
        <v>547</v>
      </c>
      <c r="B194" s="261" t="s">
        <v>547</v>
      </c>
      <c r="D194" s="117" t="str">
        <f>IF([1]RENAME!$H$3=1,B194,A194)</f>
        <v>ITAÚ</v>
      </c>
      <c r="E194" s="263" t="s">
        <v>160</v>
      </c>
      <c r="F194" s="263" t="s">
        <v>160</v>
      </c>
      <c r="G194" s="263" t="s">
        <v>160</v>
      </c>
      <c r="H194" s="263" t="s">
        <v>160</v>
      </c>
      <c r="I194" s="264" t="s">
        <v>160</v>
      </c>
      <c r="J194" s="264" t="s">
        <v>160</v>
      </c>
      <c r="K194" s="264" t="s">
        <v>160</v>
      </c>
      <c r="L194" s="264" t="s">
        <v>160</v>
      </c>
      <c r="M194" s="264" t="s">
        <v>160</v>
      </c>
      <c r="N194" s="592" t="s">
        <v>160</v>
      </c>
      <c r="O194" s="592" t="s">
        <v>160</v>
      </c>
      <c r="P194" s="592" t="s">
        <v>160</v>
      </c>
      <c r="Q194" s="592" t="s">
        <v>160</v>
      </c>
      <c r="R194" s="592" t="s">
        <v>160</v>
      </c>
      <c r="S194" s="592" t="s">
        <v>160</v>
      </c>
      <c r="T194" s="592" t="s">
        <v>160</v>
      </c>
      <c r="U194" s="592" t="s">
        <v>160</v>
      </c>
      <c r="V194" s="592" t="s">
        <v>160</v>
      </c>
      <c r="W194" s="592" t="s">
        <v>160</v>
      </c>
      <c r="X194" s="591" t="s">
        <v>160</v>
      </c>
      <c r="Y194" s="592" t="s">
        <v>160</v>
      </c>
      <c r="Z194" s="592" t="s">
        <v>160</v>
      </c>
      <c r="AA194" s="592" t="s">
        <v>160</v>
      </c>
      <c r="AB194" s="592" t="s">
        <v>160</v>
      </c>
      <c r="AC194" s="592" t="s">
        <v>160</v>
      </c>
      <c r="AD194" s="592" t="s">
        <v>160</v>
      </c>
      <c r="AE194" s="592" t="s">
        <v>160</v>
      </c>
      <c r="AF194" s="591" t="s">
        <v>160</v>
      </c>
      <c r="AG194" s="592" t="s">
        <v>160</v>
      </c>
      <c r="AH194" s="592" t="s">
        <v>160</v>
      </c>
      <c r="AI194" s="592" t="s">
        <v>160</v>
      </c>
      <c r="AJ194" s="592" t="s">
        <v>160</v>
      </c>
      <c r="AK194" s="592" t="s">
        <v>160</v>
      </c>
      <c r="AL194" s="346" t="s">
        <v>160</v>
      </c>
      <c r="AM194" s="346" t="s">
        <v>160</v>
      </c>
      <c r="AN194" s="346" t="s">
        <v>160</v>
      </c>
      <c r="AO194" s="346" t="s">
        <v>160</v>
      </c>
      <c r="AP194" s="346" t="s">
        <v>160</v>
      </c>
      <c r="AQ194" s="346" t="s">
        <v>160</v>
      </c>
      <c r="AR194" s="346" t="s">
        <v>160</v>
      </c>
      <c r="AS194" s="346" t="s">
        <v>160</v>
      </c>
      <c r="AT194" s="346" t="s">
        <v>160</v>
      </c>
      <c r="AU194" s="346" t="s">
        <v>160</v>
      </c>
      <c r="AV194" s="346" t="s">
        <v>160</v>
      </c>
      <c r="AW194" s="346" t="s">
        <v>160</v>
      </c>
      <c r="AX194" s="947" t="s">
        <v>160</v>
      </c>
      <c r="AY194" s="346" t="s">
        <v>160</v>
      </c>
      <c r="AZ194" s="346" t="s">
        <v>160</v>
      </c>
      <c r="BA194" s="346" t="s">
        <v>160</v>
      </c>
      <c r="BB194" s="346" t="s">
        <v>160</v>
      </c>
      <c r="BC194" s="346" t="s">
        <v>160</v>
      </c>
      <c r="BD194" s="346" t="s">
        <v>160</v>
      </c>
      <c r="BE194" s="346" t="s">
        <v>160</v>
      </c>
      <c r="BF194" s="346" t="s">
        <v>160</v>
      </c>
      <c r="BG194" s="346">
        <v>263.8</v>
      </c>
      <c r="BH194" s="591">
        <v>263.8</v>
      </c>
      <c r="BI194" s="591">
        <v>263.8</v>
      </c>
      <c r="BJ194" s="591">
        <v>263.8</v>
      </c>
      <c r="BK194" s="591">
        <v>263.8</v>
      </c>
      <c r="BL194" s="591">
        <v>263.8</v>
      </c>
      <c r="BM194" s="591">
        <v>263.8</v>
      </c>
      <c r="BN194" s="591">
        <v>263.8</v>
      </c>
      <c r="BO194" s="591">
        <v>263.8</v>
      </c>
      <c r="BP194" s="591" t="s">
        <v>160</v>
      </c>
      <c r="BQ194" s="591" t="s">
        <v>160</v>
      </c>
      <c r="BR194" s="591" t="s">
        <v>160</v>
      </c>
      <c r="BS194" s="591">
        <v>191</v>
      </c>
      <c r="BT194" s="591">
        <v>191</v>
      </c>
      <c r="BU194" s="591">
        <v>191</v>
      </c>
      <c r="BV194" s="591">
        <v>191</v>
      </c>
      <c r="BW194" s="591">
        <v>191</v>
      </c>
      <c r="BX194" s="591">
        <v>191</v>
      </c>
      <c r="BY194" s="591">
        <v>191</v>
      </c>
      <c r="BZ194" s="591">
        <v>191</v>
      </c>
      <c r="CA194" s="341">
        <v>200</v>
      </c>
      <c r="CB194" s="591">
        <v>200</v>
      </c>
      <c r="CC194" s="591">
        <v>200</v>
      </c>
      <c r="CD194" s="591">
        <v>200</v>
      </c>
      <c r="CE194" s="591">
        <v>200</v>
      </c>
      <c r="CF194" s="341">
        <v>236.5</v>
      </c>
      <c r="CG194"/>
      <c r="CH194"/>
      <c r="CI194"/>
      <c r="CJ194"/>
      <c r="CK194"/>
      <c r="CL194"/>
      <c r="CM194"/>
      <c r="CN194"/>
      <c r="CO194"/>
      <c r="CP194"/>
      <c r="CQ194"/>
      <c r="CR194"/>
      <c r="CS194"/>
      <c r="CT194"/>
      <c r="CU194"/>
      <c r="CV194"/>
      <c r="CW194"/>
      <c r="CX194"/>
      <c r="CY194"/>
      <c r="CZ194"/>
      <c r="DA194"/>
      <c r="DB194"/>
      <c r="DC194"/>
      <c r="DD194"/>
      <c r="DE194"/>
      <c r="DF194"/>
      <c r="DG194"/>
    </row>
    <row r="195" spans="1:111" x14ac:dyDescent="0.25">
      <c r="A195" s="261" t="s">
        <v>1985</v>
      </c>
      <c r="B195" s="261" t="s">
        <v>1985</v>
      </c>
      <c r="D195" s="117" t="str">
        <f>IF([1]RENAME!$H$3=1,B195,A195)</f>
        <v>ELEVEN RESEACH</v>
      </c>
      <c r="E195" s="263" t="s">
        <v>160</v>
      </c>
      <c r="F195" s="263" t="s">
        <v>160</v>
      </c>
      <c r="G195" s="263" t="s">
        <v>160</v>
      </c>
      <c r="H195" s="263" t="s">
        <v>160</v>
      </c>
      <c r="I195" s="263" t="s">
        <v>160</v>
      </c>
      <c r="J195" s="263" t="s">
        <v>160</v>
      </c>
      <c r="K195" s="263" t="s">
        <v>160</v>
      </c>
      <c r="L195" s="263" t="s">
        <v>160</v>
      </c>
      <c r="M195" s="263" t="s">
        <v>160</v>
      </c>
      <c r="N195" s="263" t="s">
        <v>160</v>
      </c>
      <c r="O195" s="263" t="s">
        <v>160</v>
      </c>
      <c r="P195" s="263" t="s">
        <v>160</v>
      </c>
      <c r="Q195" s="263" t="s">
        <v>160</v>
      </c>
      <c r="R195" s="263" t="s">
        <v>160</v>
      </c>
      <c r="S195" s="263" t="s">
        <v>160</v>
      </c>
      <c r="T195" s="263" t="s">
        <v>160</v>
      </c>
      <c r="U195" s="263" t="s">
        <v>160</v>
      </c>
      <c r="V195" s="263" t="s">
        <v>160</v>
      </c>
      <c r="W195" s="263" t="s">
        <v>160</v>
      </c>
      <c r="X195" s="263" t="s">
        <v>160</v>
      </c>
      <c r="Y195" s="263" t="s">
        <v>160</v>
      </c>
      <c r="Z195" s="263" t="s">
        <v>160</v>
      </c>
      <c r="AA195" s="263" t="s">
        <v>160</v>
      </c>
      <c r="AB195" s="263" t="s">
        <v>160</v>
      </c>
      <c r="AC195" s="263" t="s">
        <v>160</v>
      </c>
      <c r="AD195" s="263" t="s">
        <v>160</v>
      </c>
      <c r="AE195" s="263" t="s">
        <v>160</v>
      </c>
      <c r="AF195" s="263" t="s">
        <v>160</v>
      </c>
      <c r="AG195" s="263" t="s">
        <v>160</v>
      </c>
      <c r="AH195" s="263" t="s">
        <v>160</v>
      </c>
      <c r="AI195" s="263" t="s">
        <v>160</v>
      </c>
      <c r="AJ195" s="263" t="s">
        <v>160</v>
      </c>
      <c r="AK195" s="263" t="s">
        <v>160</v>
      </c>
      <c r="AL195" s="263" t="s">
        <v>160</v>
      </c>
      <c r="AM195" s="263" t="s">
        <v>160</v>
      </c>
      <c r="AN195" s="263" t="s">
        <v>160</v>
      </c>
      <c r="AO195" s="263" t="s">
        <v>160</v>
      </c>
      <c r="AP195" s="263" t="s">
        <v>160</v>
      </c>
      <c r="AQ195" s="263" t="s">
        <v>160</v>
      </c>
      <c r="AR195" s="263" t="s">
        <v>160</v>
      </c>
      <c r="AS195" s="263" t="s">
        <v>160</v>
      </c>
      <c r="AT195" s="263" t="s">
        <v>160</v>
      </c>
      <c r="AU195" s="263" t="s">
        <v>160</v>
      </c>
      <c r="AV195" s="263" t="s">
        <v>160</v>
      </c>
      <c r="AW195" s="263" t="s">
        <v>160</v>
      </c>
      <c r="AX195" s="263" t="s">
        <v>160</v>
      </c>
      <c r="AY195" s="263" t="s">
        <v>160</v>
      </c>
      <c r="AZ195" s="263" t="s">
        <v>160</v>
      </c>
      <c r="BA195" s="263" t="s">
        <v>160</v>
      </c>
      <c r="BB195" s="263" t="s">
        <v>160</v>
      </c>
      <c r="BC195" s="263" t="s">
        <v>160</v>
      </c>
      <c r="BD195" s="263" t="s">
        <v>160</v>
      </c>
      <c r="BE195" s="263" t="s">
        <v>160</v>
      </c>
      <c r="BF195" s="263" t="s">
        <v>160</v>
      </c>
      <c r="BG195" s="263" t="s">
        <v>160</v>
      </c>
      <c r="BH195" s="263" t="s">
        <v>160</v>
      </c>
      <c r="BI195" s="263" t="s">
        <v>160</v>
      </c>
      <c r="BJ195" s="263" t="s">
        <v>160</v>
      </c>
      <c r="BK195" s="263" t="s">
        <v>160</v>
      </c>
      <c r="BL195" s="263" t="s">
        <v>160</v>
      </c>
      <c r="BM195" s="263" t="s">
        <v>160</v>
      </c>
      <c r="BN195" s="263" t="s">
        <v>160</v>
      </c>
      <c r="BO195" s="263" t="s">
        <v>160</v>
      </c>
      <c r="BP195" s="591">
        <v>212</v>
      </c>
      <c r="BQ195" s="591">
        <v>212</v>
      </c>
      <c r="BR195" s="591">
        <v>212</v>
      </c>
      <c r="BS195" s="340">
        <v>168</v>
      </c>
      <c r="BT195" s="591">
        <v>168</v>
      </c>
      <c r="BU195" s="591">
        <v>168</v>
      </c>
      <c r="BV195" s="341">
        <v>172</v>
      </c>
      <c r="BW195" s="591">
        <v>172</v>
      </c>
      <c r="BX195" s="591">
        <v>172</v>
      </c>
      <c r="BY195" s="591">
        <v>172</v>
      </c>
      <c r="BZ195" s="591">
        <v>172</v>
      </c>
      <c r="CA195" s="591">
        <v>172</v>
      </c>
      <c r="CB195" s="591">
        <v>172</v>
      </c>
      <c r="CC195" s="591">
        <v>172</v>
      </c>
      <c r="CD195" s="341">
        <v>235</v>
      </c>
      <c r="CE195" s="591">
        <v>235</v>
      </c>
      <c r="CF195" s="591">
        <v>235</v>
      </c>
      <c r="CG195"/>
      <c r="CH195"/>
      <c r="CI195"/>
      <c r="CJ195"/>
      <c r="CK195"/>
      <c r="CL195"/>
      <c r="CM195"/>
      <c r="CN195"/>
      <c r="CO195"/>
      <c r="CP195"/>
      <c r="CQ195"/>
      <c r="CR195"/>
      <c r="CS195"/>
      <c r="CT195"/>
      <c r="CU195"/>
      <c r="CV195"/>
      <c r="CW195"/>
      <c r="CX195"/>
      <c r="CY195"/>
      <c r="CZ195"/>
      <c r="DA195"/>
      <c r="DB195"/>
      <c r="DC195"/>
      <c r="DD195"/>
      <c r="DE195"/>
      <c r="DF195"/>
      <c r="DG195"/>
    </row>
    <row r="196" spans="1:111" x14ac:dyDescent="0.25">
      <c r="A196" s="1088" t="s">
        <v>545</v>
      </c>
      <c r="B196" s="1088" t="s">
        <v>545</v>
      </c>
      <c r="C196" s="1088"/>
      <c r="D196" s="779" t="str">
        <f>IF([1]RENAME!$H$3=1,B196,A196)</f>
        <v>BAML</v>
      </c>
      <c r="E196" s="1100" t="s">
        <v>160</v>
      </c>
      <c r="F196" s="1100" t="s">
        <v>160</v>
      </c>
      <c r="G196" s="1100" t="s">
        <v>160</v>
      </c>
      <c r="H196" s="1100" t="s">
        <v>160</v>
      </c>
      <c r="I196" s="1100" t="s">
        <v>160</v>
      </c>
      <c r="J196" s="1101" t="s">
        <v>160</v>
      </c>
      <c r="K196" s="1101" t="s">
        <v>160</v>
      </c>
      <c r="L196" s="1101" t="s">
        <v>160</v>
      </c>
      <c r="M196" s="1101" t="s">
        <v>160</v>
      </c>
      <c r="N196" s="1101" t="s">
        <v>160</v>
      </c>
      <c r="O196" s="1101" t="s">
        <v>160</v>
      </c>
      <c r="P196" s="1101" t="s">
        <v>160</v>
      </c>
      <c r="Q196" s="1101" t="s">
        <v>160</v>
      </c>
      <c r="R196" s="1101" t="s">
        <v>160</v>
      </c>
      <c r="S196" s="1102" t="s">
        <v>160</v>
      </c>
      <c r="T196" s="1102" t="s">
        <v>160</v>
      </c>
      <c r="U196" s="1102" t="s">
        <v>160</v>
      </c>
      <c r="V196" s="1102" t="s">
        <v>160</v>
      </c>
      <c r="W196" s="1102" t="s">
        <v>160</v>
      </c>
      <c r="X196" s="1102" t="s">
        <v>160</v>
      </c>
      <c r="Y196" s="1102" t="s">
        <v>160</v>
      </c>
      <c r="Z196" s="1102" t="s">
        <v>160</v>
      </c>
      <c r="AA196" s="1102" t="s">
        <v>160</v>
      </c>
      <c r="AB196" s="1102" t="s">
        <v>160</v>
      </c>
      <c r="AC196" s="1102" t="s">
        <v>160</v>
      </c>
      <c r="AD196" s="1102" t="s">
        <v>160</v>
      </c>
      <c r="AE196" s="1102" t="s">
        <v>160</v>
      </c>
      <c r="AF196" s="1102" t="s">
        <v>160</v>
      </c>
      <c r="AG196" s="1102" t="s">
        <v>160</v>
      </c>
      <c r="AH196" s="1102" t="s">
        <v>160</v>
      </c>
      <c r="AI196" s="1101" t="s">
        <v>160</v>
      </c>
      <c r="AJ196" s="1101" t="s">
        <v>160</v>
      </c>
      <c r="AK196" s="1101" t="s">
        <v>160</v>
      </c>
      <c r="AL196" s="1102" t="s">
        <v>160</v>
      </c>
      <c r="AM196" s="1102" t="s">
        <v>160</v>
      </c>
      <c r="AN196" s="1102" t="s">
        <v>160</v>
      </c>
      <c r="AO196" s="1102" t="s">
        <v>160</v>
      </c>
      <c r="AP196" s="1102" t="s">
        <v>160</v>
      </c>
      <c r="AQ196" s="1102" t="s">
        <v>160</v>
      </c>
      <c r="AR196" s="1102" t="s">
        <v>160</v>
      </c>
      <c r="AS196" s="1102" t="s">
        <v>160</v>
      </c>
      <c r="AT196" s="1102" t="s">
        <v>160</v>
      </c>
      <c r="AU196" s="1102" t="s">
        <v>160</v>
      </c>
      <c r="AV196" s="1102" t="s">
        <v>160</v>
      </c>
      <c r="AW196" s="1102" t="s">
        <v>160</v>
      </c>
      <c r="AX196" s="1103" t="s">
        <v>160</v>
      </c>
      <c r="AY196" s="1102" t="s">
        <v>160</v>
      </c>
      <c r="AZ196" s="1102" t="s">
        <v>160</v>
      </c>
      <c r="BA196" s="1102" t="s">
        <v>160</v>
      </c>
      <c r="BB196" s="1102" t="s">
        <v>160</v>
      </c>
      <c r="BC196" s="1102" t="s">
        <v>160</v>
      </c>
      <c r="BD196" s="1102" t="s">
        <v>160</v>
      </c>
      <c r="BE196" s="1102" t="s">
        <v>160</v>
      </c>
      <c r="BF196" s="1102" t="s">
        <v>160</v>
      </c>
      <c r="BG196" s="1102" t="s">
        <v>160</v>
      </c>
      <c r="BH196" s="1102" t="s">
        <v>160</v>
      </c>
      <c r="BI196" s="1102" t="s">
        <v>160</v>
      </c>
      <c r="BJ196" s="1102" t="s">
        <v>160</v>
      </c>
      <c r="BK196" s="1102" t="s">
        <v>160</v>
      </c>
      <c r="BL196" s="1102" t="s">
        <v>160</v>
      </c>
      <c r="BM196" s="1102" t="s">
        <v>160</v>
      </c>
      <c r="BN196" s="1102" t="s">
        <v>160</v>
      </c>
      <c r="BO196" s="1102" t="s">
        <v>160</v>
      </c>
      <c r="BP196" s="1102">
        <v>206</v>
      </c>
      <c r="BQ196" s="1102">
        <v>206</v>
      </c>
      <c r="BR196" s="1102">
        <v>206</v>
      </c>
      <c r="BS196" s="1102">
        <v>206</v>
      </c>
      <c r="BT196" s="1102">
        <v>213</v>
      </c>
      <c r="BU196" s="1102">
        <v>213</v>
      </c>
      <c r="BV196" s="1102" t="s">
        <v>160</v>
      </c>
      <c r="BW196" s="1102" t="s">
        <v>160</v>
      </c>
      <c r="BX196" s="1102" t="s">
        <v>160</v>
      </c>
      <c r="BY196" s="1102" t="s">
        <v>160</v>
      </c>
      <c r="BZ196" s="1102" t="s">
        <v>160</v>
      </c>
      <c r="CA196" s="1102" t="s">
        <v>160</v>
      </c>
      <c r="CB196" s="591" t="s">
        <v>160</v>
      </c>
      <c r="CC196" s="591" t="s">
        <v>160</v>
      </c>
      <c r="CD196" s="591" t="s">
        <v>160</v>
      </c>
      <c r="CE196" s="591" t="s">
        <v>160</v>
      </c>
      <c r="CF196" s="591" t="s">
        <v>160</v>
      </c>
      <c r="CG196"/>
      <c r="CH196"/>
      <c r="CI196"/>
      <c r="CJ196"/>
      <c r="CK196"/>
      <c r="CL196"/>
      <c r="CM196"/>
      <c r="CN196"/>
      <c r="CO196"/>
      <c r="CP196"/>
      <c r="CQ196"/>
      <c r="CR196"/>
      <c r="CS196"/>
      <c r="CT196"/>
      <c r="CU196"/>
      <c r="CV196"/>
      <c r="CW196"/>
      <c r="CX196"/>
      <c r="CY196"/>
      <c r="CZ196"/>
      <c r="DA196"/>
      <c r="DB196"/>
      <c r="DC196"/>
      <c r="DD196"/>
      <c r="DE196"/>
      <c r="DF196"/>
      <c r="DG196"/>
    </row>
    <row r="197" spans="1:111" x14ac:dyDescent="0.25">
      <c r="A197" t="s">
        <v>557</v>
      </c>
      <c r="B197" t="s">
        <v>856</v>
      </c>
      <c r="C197"/>
      <c r="D197" s="1092" t="str">
        <f>IF([1]RENAME!$H$3=1,B197,A197)</f>
        <v>Média</v>
      </c>
      <c r="E197" s="1093" t="str">
        <f t="shared" ref="E197:BK197" si="146">IFERROR(AVERAGE(E191:E196),"-")</f>
        <v>-</v>
      </c>
      <c r="F197" s="1093" t="str">
        <f t="shared" si="146"/>
        <v>-</v>
      </c>
      <c r="G197" s="1093" t="str">
        <f t="shared" si="146"/>
        <v>-</v>
      </c>
      <c r="H197" s="1093" t="str">
        <f t="shared" si="146"/>
        <v>-</v>
      </c>
      <c r="I197" s="1093" t="str">
        <f t="shared" si="146"/>
        <v>-</v>
      </c>
      <c r="J197" s="1093" t="str">
        <f t="shared" si="146"/>
        <v>-</v>
      </c>
      <c r="K197" s="1093" t="str">
        <f t="shared" si="146"/>
        <v>-</v>
      </c>
      <c r="L197" s="1093" t="str">
        <f t="shared" si="146"/>
        <v>-</v>
      </c>
      <c r="M197" s="1093" t="str">
        <f t="shared" si="146"/>
        <v>-</v>
      </c>
      <c r="N197" s="1095" t="str">
        <f t="shared" si="146"/>
        <v>-</v>
      </c>
      <c r="O197" s="1095" t="str">
        <f t="shared" si="146"/>
        <v>-</v>
      </c>
      <c r="P197" s="1095" t="str">
        <f t="shared" si="146"/>
        <v>-</v>
      </c>
      <c r="Q197" s="1095" t="str">
        <f t="shared" si="146"/>
        <v>-</v>
      </c>
      <c r="R197" s="1095" t="str">
        <f t="shared" si="146"/>
        <v>-</v>
      </c>
      <c r="S197" s="1095" t="str">
        <f t="shared" si="146"/>
        <v>-</v>
      </c>
      <c r="T197" s="1095" t="str">
        <f t="shared" si="146"/>
        <v>-</v>
      </c>
      <c r="U197" s="1095" t="str">
        <f t="shared" si="146"/>
        <v>-</v>
      </c>
      <c r="V197" s="1095" t="str">
        <f t="shared" si="146"/>
        <v>-</v>
      </c>
      <c r="W197" s="1095" t="str">
        <f t="shared" si="146"/>
        <v>-</v>
      </c>
      <c r="X197" s="1096" t="str">
        <f t="shared" si="146"/>
        <v>-</v>
      </c>
      <c r="Y197" s="1096" t="str">
        <f t="shared" si="146"/>
        <v>-</v>
      </c>
      <c r="Z197" s="1096" t="str">
        <f t="shared" si="146"/>
        <v>-</v>
      </c>
      <c r="AA197" s="1096" t="str">
        <f t="shared" si="146"/>
        <v>-</v>
      </c>
      <c r="AB197" s="1096" t="str">
        <f t="shared" si="146"/>
        <v>-</v>
      </c>
      <c r="AC197" s="1096" t="str">
        <f t="shared" si="146"/>
        <v>-</v>
      </c>
      <c r="AD197" s="1096" t="str">
        <f t="shared" si="146"/>
        <v>-</v>
      </c>
      <c r="AE197" s="1096" t="str">
        <f t="shared" si="146"/>
        <v>-</v>
      </c>
      <c r="AF197" s="1096" t="str">
        <f t="shared" si="146"/>
        <v>-</v>
      </c>
      <c r="AG197" s="1096" t="str">
        <f t="shared" si="146"/>
        <v>-</v>
      </c>
      <c r="AH197" s="1096" t="str">
        <f t="shared" si="146"/>
        <v>-</v>
      </c>
      <c r="AI197" s="1096" t="str">
        <f t="shared" si="146"/>
        <v>-</v>
      </c>
      <c r="AJ197" s="1096" t="str">
        <f t="shared" si="146"/>
        <v>-</v>
      </c>
      <c r="AK197" s="1096" t="str">
        <f t="shared" si="146"/>
        <v>-</v>
      </c>
      <c r="AL197" s="1096" t="str">
        <f t="shared" si="146"/>
        <v>-</v>
      </c>
      <c r="AM197" s="1096" t="str">
        <f t="shared" si="146"/>
        <v>-</v>
      </c>
      <c r="AN197" s="1096" t="str">
        <f t="shared" si="146"/>
        <v>-</v>
      </c>
      <c r="AO197" s="1096" t="str">
        <f t="shared" si="146"/>
        <v>-</v>
      </c>
      <c r="AP197" s="1096" t="str">
        <f t="shared" si="146"/>
        <v>-</v>
      </c>
      <c r="AQ197" s="1096" t="str">
        <f t="shared" si="146"/>
        <v>-</v>
      </c>
      <c r="AR197" s="1096" t="str">
        <f t="shared" si="146"/>
        <v>-</v>
      </c>
      <c r="AS197" s="1096" t="str">
        <f t="shared" si="146"/>
        <v>-</v>
      </c>
      <c r="AT197" s="1096" t="str">
        <f t="shared" si="146"/>
        <v>-</v>
      </c>
      <c r="AU197" s="1096" t="str">
        <f t="shared" si="146"/>
        <v>-</v>
      </c>
      <c r="AV197" s="1095" t="str">
        <f t="shared" si="146"/>
        <v>-</v>
      </c>
      <c r="AW197" s="1095" t="str">
        <f t="shared" si="146"/>
        <v>-</v>
      </c>
      <c r="AX197" s="1097" t="str">
        <f t="shared" si="146"/>
        <v>-</v>
      </c>
      <c r="AY197" s="1098" t="str">
        <f t="shared" si="146"/>
        <v>-</v>
      </c>
      <c r="AZ197" s="1098" t="str">
        <f t="shared" si="146"/>
        <v>-</v>
      </c>
      <c r="BA197" s="1098" t="str">
        <f t="shared" si="146"/>
        <v>-</v>
      </c>
      <c r="BB197" s="1095" t="str">
        <f t="shared" si="146"/>
        <v>-</v>
      </c>
      <c r="BC197" s="1095" t="str">
        <f t="shared" si="146"/>
        <v>-</v>
      </c>
      <c r="BD197" s="1095" t="str">
        <f t="shared" si="146"/>
        <v>-</v>
      </c>
      <c r="BE197" s="1095">
        <f t="shared" si="146"/>
        <v>249</v>
      </c>
      <c r="BF197" s="1095">
        <f t="shared" si="146"/>
        <v>268.5</v>
      </c>
      <c r="BG197" s="1095">
        <f t="shared" si="146"/>
        <v>266.93333333333334</v>
      </c>
      <c r="BH197" s="1095">
        <f t="shared" si="146"/>
        <v>266.93333333333334</v>
      </c>
      <c r="BI197" s="1095">
        <f t="shared" si="146"/>
        <v>266.93333333333334</v>
      </c>
      <c r="BJ197" s="1095">
        <f t="shared" si="146"/>
        <v>266.93333333333334</v>
      </c>
      <c r="BK197" s="1095">
        <f t="shared" si="146"/>
        <v>266.93333333333334</v>
      </c>
      <c r="BL197" s="1095">
        <f>IFERROR(AVERAGE(BL191:BL196),"-")</f>
        <v>266.93333333333334</v>
      </c>
      <c r="BM197" s="1095">
        <f t="shared" ref="BM197:CA197" si="147">IFERROR(AVERAGE(BM191:BM196),"-")</f>
        <v>266.93333333333334</v>
      </c>
      <c r="BN197" s="1095">
        <f t="shared" si="147"/>
        <v>266.93333333333334</v>
      </c>
      <c r="BO197" s="1095">
        <f t="shared" si="147"/>
        <v>266.93333333333334</v>
      </c>
      <c r="BP197" s="1095">
        <f t="shared" si="147"/>
        <v>209</v>
      </c>
      <c r="BQ197" s="1095">
        <f t="shared" si="147"/>
        <v>209</v>
      </c>
      <c r="BR197" s="1095">
        <f t="shared" si="147"/>
        <v>209</v>
      </c>
      <c r="BS197" s="1095">
        <f t="shared" si="147"/>
        <v>190.6</v>
      </c>
      <c r="BT197" s="1095">
        <f t="shared" si="147"/>
        <v>192</v>
      </c>
      <c r="BU197" s="1095">
        <f t="shared" si="147"/>
        <v>192</v>
      </c>
      <c r="BV197" s="1095">
        <f t="shared" si="147"/>
        <v>187.75</v>
      </c>
      <c r="BW197" s="1095">
        <f t="shared" si="147"/>
        <v>188</v>
      </c>
      <c r="BX197" s="1095">
        <f t="shared" si="147"/>
        <v>188</v>
      </c>
      <c r="BY197" s="1095">
        <f t="shared" si="147"/>
        <v>188</v>
      </c>
      <c r="BZ197" s="1095">
        <f t="shared" si="147"/>
        <v>188</v>
      </c>
      <c r="CA197" s="1095">
        <f t="shared" si="147"/>
        <v>195</v>
      </c>
      <c r="CB197" s="1095">
        <f>IFERROR(AVERAGE(CB191:CB196),"-")</f>
        <v>195</v>
      </c>
      <c r="CC197" s="1095">
        <f>IFERROR(AVERAGE(CC191:CC196),"-")</f>
        <v>195</v>
      </c>
      <c r="CD197" s="1095">
        <f>IFERROR(AVERAGE(CD191:CD196),"-")</f>
        <v>207.6</v>
      </c>
      <c r="CE197" s="1095">
        <f>IFERROR(AVERAGE(CE191:CE196),"-")</f>
        <v>219</v>
      </c>
      <c r="CF197" s="1095">
        <f>IFERROR(AVERAGE(CF191:CF196),"-")</f>
        <v>226.3</v>
      </c>
      <c r="CG197"/>
      <c r="CH197"/>
      <c r="CI197"/>
      <c r="CJ197"/>
      <c r="CK197"/>
      <c r="CL197"/>
      <c r="CM197"/>
      <c r="CN197"/>
      <c r="CO197"/>
      <c r="CP197"/>
      <c r="CQ197"/>
      <c r="CR197"/>
      <c r="CS197"/>
      <c r="CT197"/>
      <c r="CU197"/>
      <c r="CV197"/>
      <c r="CW197"/>
      <c r="CX197"/>
      <c r="CY197"/>
      <c r="CZ197"/>
      <c r="DA197"/>
      <c r="DB197"/>
      <c r="DC197"/>
      <c r="DD197"/>
      <c r="DE197"/>
      <c r="DF197"/>
      <c r="DG197"/>
    </row>
    <row r="198" spans="1:111" x14ac:dyDescent="0.25">
      <c r="Z198" s="339"/>
      <c r="AA198" s="339"/>
      <c r="AB198" s="339"/>
      <c r="AC198" s="339"/>
      <c r="AD198" s="339"/>
      <c r="AE198" s="339"/>
      <c r="AF198" s="339"/>
      <c r="AG198" s="339"/>
      <c r="AH198" s="339"/>
      <c r="AI198" s="339"/>
      <c r="AJ198" s="339"/>
      <c r="AK198" s="339"/>
      <c r="AL198" s="339"/>
      <c r="AM198" s="339"/>
      <c r="AN198" s="339"/>
      <c r="AO198" s="339"/>
      <c r="AP198" s="339"/>
      <c r="AQ198" s="339"/>
      <c r="AR198" s="339"/>
      <c r="AS198" s="339"/>
      <c r="AT198" s="339"/>
      <c r="AU198" s="339"/>
      <c r="AV198" s="817"/>
      <c r="AW198" s="817"/>
      <c r="AX198" s="941"/>
      <c r="AY198" s="817"/>
      <c r="AZ198" s="817"/>
      <c r="BA198" s="817"/>
      <c r="BB198" s="817"/>
      <c r="BC198" s="817"/>
      <c r="BD198" s="817"/>
      <c r="BE198" s="817"/>
      <c r="BF198" s="817"/>
      <c r="BG198" s="817"/>
      <c r="BH198" s="817"/>
      <c r="BI198" s="817"/>
      <c r="BJ198" s="817"/>
      <c r="BK198" s="817"/>
      <c r="BL198" s="817"/>
      <c r="BM198" s="817"/>
      <c r="BN198" s="817"/>
      <c r="BO198" s="817"/>
      <c r="BP198" s="817"/>
      <c r="BQ198" s="817"/>
      <c r="BR198" s="817"/>
      <c r="BS198" s="817"/>
      <c r="BT198" s="817"/>
      <c r="BU198" s="817"/>
      <c r="BV198" s="817"/>
      <c r="BW198" s="817"/>
      <c r="BX198" s="817"/>
      <c r="BY198" s="817"/>
      <c r="BZ198" s="817"/>
      <c r="CA198" s="817"/>
      <c r="CB198" s="817"/>
      <c r="CC198" s="817"/>
      <c r="CD198" s="817"/>
      <c r="CE198" s="817"/>
      <c r="CF198" s="817"/>
      <c r="CG198"/>
      <c r="CH198"/>
      <c r="CI198"/>
      <c r="CJ198"/>
      <c r="CK198"/>
      <c r="CL198"/>
      <c r="CM198"/>
      <c r="CN198"/>
      <c r="CO198"/>
      <c r="CP198"/>
      <c r="CQ198"/>
      <c r="CR198"/>
      <c r="CS198"/>
      <c r="CT198"/>
      <c r="CU198"/>
      <c r="CV198"/>
      <c r="CW198"/>
      <c r="CX198"/>
      <c r="CY198"/>
      <c r="CZ198"/>
      <c r="DA198"/>
      <c r="DB198"/>
      <c r="DC198"/>
      <c r="DD198"/>
      <c r="DE198"/>
      <c r="DF198"/>
      <c r="DG198"/>
    </row>
    <row r="199" spans="1:111" x14ac:dyDescent="0.25">
      <c r="A199" s="261" t="s">
        <v>1791</v>
      </c>
      <c r="B199" s="261" t="s">
        <v>1792</v>
      </c>
      <c r="D199" s="113" t="str">
        <f>IF([1]RENAME!$H$3=1,B199,A199)</f>
        <v>Lucro Líquido 2022</v>
      </c>
      <c r="E199" s="262">
        <f t="shared" ref="E199:BP199" si="148">E$11</f>
        <v>42522</v>
      </c>
      <c r="F199" s="262">
        <f t="shared" si="148"/>
        <v>42552</v>
      </c>
      <c r="G199" s="262">
        <f t="shared" si="148"/>
        <v>42583</v>
      </c>
      <c r="H199" s="262">
        <f t="shared" si="148"/>
        <v>42614</v>
      </c>
      <c r="I199" s="262">
        <f t="shared" si="148"/>
        <v>42644</v>
      </c>
      <c r="J199" s="262">
        <f t="shared" si="148"/>
        <v>42675</v>
      </c>
      <c r="K199" s="262">
        <f t="shared" si="148"/>
        <v>42705</v>
      </c>
      <c r="L199" s="262">
        <f t="shared" si="148"/>
        <v>42736</v>
      </c>
      <c r="M199" s="262">
        <f t="shared" si="148"/>
        <v>42767</v>
      </c>
      <c r="N199" s="262">
        <f t="shared" si="148"/>
        <v>42795</v>
      </c>
      <c r="O199" s="262">
        <f t="shared" si="148"/>
        <v>42826</v>
      </c>
      <c r="P199" s="262">
        <f t="shared" si="148"/>
        <v>42856</v>
      </c>
      <c r="Q199" s="262">
        <f t="shared" si="148"/>
        <v>42887</v>
      </c>
      <c r="R199" s="262">
        <f t="shared" si="148"/>
        <v>42917</v>
      </c>
      <c r="S199" s="262">
        <f t="shared" si="148"/>
        <v>42948</v>
      </c>
      <c r="T199" s="262">
        <f t="shared" si="148"/>
        <v>42979</v>
      </c>
      <c r="U199" s="262">
        <f t="shared" si="148"/>
        <v>43009</v>
      </c>
      <c r="V199" s="262">
        <f t="shared" si="148"/>
        <v>43040</v>
      </c>
      <c r="W199" s="262">
        <f t="shared" si="148"/>
        <v>43070</v>
      </c>
      <c r="X199" s="262">
        <f t="shared" si="148"/>
        <v>43101</v>
      </c>
      <c r="Y199" s="262">
        <f t="shared" si="148"/>
        <v>43132</v>
      </c>
      <c r="Z199" s="262">
        <f t="shared" si="148"/>
        <v>43160</v>
      </c>
      <c r="AA199" s="262">
        <f t="shared" si="148"/>
        <v>43191</v>
      </c>
      <c r="AB199" s="262">
        <f t="shared" si="148"/>
        <v>43221</v>
      </c>
      <c r="AC199" s="262">
        <f t="shared" si="148"/>
        <v>43252</v>
      </c>
      <c r="AD199" s="262">
        <f t="shared" si="148"/>
        <v>43283</v>
      </c>
      <c r="AE199" s="262">
        <f t="shared" si="148"/>
        <v>43314</v>
      </c>
      <c r="AF199" s="262">
        <f t="shared" si="148"/>
        <v>43345</v>
      </c>
      <c r="AG199" s="262">
        <f t="shared" si="148"/>
        <v>43376</v>
      </c>
      <c r="AH199" s="262">
        <f t="shared" si="148"/>
        <v>43407</v>
      </c>
      <c r="AI199" s="262">
        <f t="shared" si="148"/>
        <v>43437</v>
      </c>
      <c r="AJ199" s="262">
        <f t="shared" si="148"/>
        <v>43468</v>
      </c>
      <c r="AK199" s="262">
        <f t="shared" si="148"/>
        <v>43499</v>
      </c>
      <c r="AL199" s="262">
        <f t="shared" si="148"/>
        <v>43527</v>
      </c>
      <c r="AM199" s="262">
        <f t="shared" si="148"/>
        <v>43558</v>
      </c>
      <c r="AN199" s="262">
        <f t="shared" si="148"/>
        <v>43587</v>
      </c>
      <c r="AO199" s="262">
        <f t="shared" si="148"/>
        <v>43618</v>
      </c>
      <c r="AP199" s="262">
        <f t="shared" si="148"/>
        <v>43647</v>
      </c>
      <c r="AQ199" s="262">
        <f t="shared" si="148"/>
        <v>43678</v>
      </c>
      <c r="AR199" s="262">
        <f t="shared" si="148"/>
        <v>43709</v>
      </c>
      <c r="AS199" s="262">
        <f t="shared" si="148"/>
        <v>43739</v>
      </c>
      <c r="AT199" s="262">
        <f t="shared" si="148"/>
        <v>43770</v>
      </c>
      <c r="AU199" s="262">
        <f t="shared" si="148"/>
        <v>43800</v>
      </c>
      <c r="AV199" s="262">
        <f t="shared" si="148"/>
        <v>43831</v>
      </c>
      <c r="AW199" s="262">
        <f t="shared" si="148"/>
        <v>43862</v>
      </c>
      <c r="AX199" s="933">
        <f t="shared" si="148"/>
        <v>43891</v>
      </c>
      <c r="AY199" s="262">
        <f t="shared" si="148"/>
        <v>43922</v>
      </c>
      <c r="AZ199" s="262">
        <f t="shared" si="148"/>
        <v>43952</v>
      </c>
      <c r="BA199" s="262">
        <f t="shared" si="148"/>
        <v>43983</v>
      </c>
      <c r="BB199" s="262">
        <f t="shared" si="148"/>
        <v>44013</v>
      </c>
      <c r="BC199" s="262">
        <f t="shared" si="148"/>
        <v>44044</v>
      </c>
      <c r="BD199" s="262">
        <f t="shared" si="148"/>
        <v>44075</v>
      </c>
      <c r="BE199" s="262">
        <f t="shared" si="148"/>
        <v>44105</v>
      </c>
      <c r="BF199" s="262">
        <f t="shared" si="148"/>
        <v>44136</v>
      </c>
      <c r="BG199" s="262">
        <f t="shared" si="148"/>
        <v>44166</v>
      </c>
      <c r="BH199" s="262">
        <f t="shared" si="148"/>
        <v>44197</v>
      </c>
      <c r="BI199" s="262">
        <f t="shared" si="148"/>
        <v>44228</v>
      </c>
      <c r="BJ199" s="262">
        <f t="shared" si="148"/>
        <v>44256</v>
      </c>
      <c r="BK199" s="262">
        <f t="shared" si="148"/>
        <v>44287</v>
      </c>
      <c r="BL199" s="262">
        <f t="shared" si="148"/>
        <v>44317</v>
      </c>
      <c r="BM199" s="262">
        <f t="shared" si="148"/>
        <v>44348</v>
      </c>
      <c r="BN199" s="262">
        <f t="shared" si="148"/>
        <v>44378</v>
      </c>
      <c r="BO199" s="262">
        <f t="shared" si="148"/>
        <v>44409</v>
      </c>
      <c r="BP199" s="262">
        <f t="shared" si="148"/>
        <v>44440</v>
      </c>
      <c r="BQ199" s="262">
        <f t="shared" ref="BQ199:CD199" si="149">BQ$11</f>
        <v>44470</v>
      </c>
      <c r="BR199" s="262">
        <f t="shared" si="149"/>
        <v>44501</v>
      </c>
      <c r="BS199" s="262">
        <f t="shared" si="149"/>
        <v>44531</v>
      </c>
      <c r="BT199" s="262">
        <f t="shared" si="149"/>
        <v>44562</v>
      </c>
      <c r="BU199" s="262">
        <f t="shared" si="149"/>
        <v>44593</v>
      </c>
      <c r="BV199" s="262">
        <f t="shared" si="149"/>
        <v>44622</v>
      </c>
      <c r="BW199" s="262">
        <f t="shared" si="149"/>
        <v>44654</v>
      </c>
      <c r="BX199" s="262">
        <f t="shared" si="149"/>
        <v>44685</v>
      </c>
      <c r="BY199" s="262">
        <f t="shared" si="149"/>
        <v>44716</v>
      </c>
      <c r="BZ199" s="262">
        <f t="shared" si="149"/>
        <v>44746</v>
      </c>
      <c r="CA199" s="262">
        <f t="shared" si="149"/>
        <v>44774</v>
      </c>
      <c r="CB199" s="262">
        <f t="shared" si="149"/>
        <v>44805</v>
      </c>
      <c r="CC199" s="262">
        <f t="shared" si="149"/>
        <v>44835</v>
      </c>
      <c r="CD199" s="262">
        <f t="shared" si="149"/>
        <v>44866</v>
      </c>
      <c r="CE199" s="262">
        <f>CE$11</f>
        <v>44896</v>
      </c>
      <c r="CF199" s="262">
        <f>CF$11</f>
        <v>44927</v>
      </c>
      <c r="CG199"/>
      <c r="CH199"/>
      <c r="CI199"/>
      <c r="CJ199"/>
      <c r="CK199"/>
      <c r="CL199"/>
      <c r="CM199"/>
      <c r="CN199"/>
      <c r="CO199"/>
      <c r="CP199"/>
      <c r="CQ199"/>
      <c r="CR199"/>
      <c r="CS199"/>
      <c r="CT199"/>
      <c r="CU199"/>
      <c r="CV199"/>
      <c r="CW199"/>
      <c r="CX199"/>
      <c r="CY199"/>
      <c r="CZ199"/>
      <c r="DA199"/>
      <c r="DB199"/>
      <c r="DC199"/>
      <c r="DD199"/>
      <c r="DE199"/>
      <c r="DF199"/>
      <c r="DG199"/>
    </row>
    <row r="200" spans="1:111" x14ac:dyDescent="0.25">
      <c r="A200" s="261" t="s">
        <v>542</v>
      </c>
      <c r="B200" s="261" t="s">
        <v>542</v>
      </c>
      <c r="D200" s="117" t="str">
        <f>IF([1]RENAME!$H$3=1,B200,A200)</f>
        <v>SANTANDER</v>
      </c>
      <c r="E200" s="263" t="s">
        <v>160</v>
      </c>
      <c r="F200" s="263" t="s">
        <v>160</v>
      </c>
      <c r="G200" s="263" t="s">
        <v>160</v>
      </c>
      <c r="H200" s="264" t="s">
        <v>160</v>
      </c>
      <c r="I200" s="264" t="s">
        <v>160</v>
      </c>
      <c r="J200" s="264" t="s">
        <v>160</v>
      </c>
      <c r="K200" s="264" t="s">
        <v>160</v>
      </c>
      <c r="L200" s="264" t="s">
        <v>160</v>
      </c>
      <c r="M200" s="264" t="s">
        <v>160</v>
      </c>
      <c r="N200" s="592" t="s">
        <v>160</v>
      </c>
      <c r="O200" s="592" t="s">
        <v>160</v>
      </c>
      <c r="P200" s="592" t="s">
        <v>160</v>
      </c>
      <c r="Q200" s="592" t="s">
        <v>160</v>
      </c>
      <c r="R200" s="592" t="s">
        <v>160</v>
      </c>
      <c r="S200" s="592" t="s">
        <v>160</v>
      </c>
      <c r="T200" s="592" t="s">
        <v>160</v>
      </c>
      <c r="U200" s="592" t="s">
        <v>160</v>
      </c>
      <c r="V200" s="592" t="s">
        <v>160</v>
      </c>
      <c r="W200" s="591" t="s">
        <v>160</v>
      </c>
      <c r="X200" s="591" t="s">
        <v>160</v>
      </c>
      <c r="Y200" s="591" t="s">
        <v>160</v>
      </c>
      <c r="Z200" s="591" t="s">
        <v>160</v>
      </c>
      <c r="AA200" s="591" t="s">
        <v>160</v>
      </c>
      <c r="AB200" s="591" t="s">
        <v>160</v>
      </c>
      <c r="AC200" s="591" t="s">
        <v>160</v>
      </c>
      <c r="AD200" s="591" t="s">
        <v>160</v>
      </c>
      <c r="AE200" s="591" t="s">
        <v>160</v>
      </c>
      <c r="AF200" s="591" t="s">
        <v>160</v>
      </c>
      <c r="AG200" s="591" t="s">
        <v>160</v>
      </c>
      <c r="AH200" s="591" t="s">
        <v>160</v>
      </c>
      <c r="AI200" s="591" t="s">
        <v>160</v>
      </c>
      <c r="AJ200" s="591" t="s">
        <v>160</v>
      </c>
      <c r="AK200" s="591" t="s">
        <v>160</v>
      </c>
      <c r="AL200" s="346" t="s">
        <v>160</v>
      </c>
      <c r="AM200" s="346" t="s">
        <v>160</v>
      </c>
      <c r="AN200" s="346" t="s">
        <v>160</v>
      </c>
      <c r="AO200" s="346" t="s">
        <v>160</v>
      </c>
      <c r="AP200" s="346" t="s">
        <v>160</v>
      </c>
      <c r="AQ200" s="346" t="s">
        <v>160</v>
      </c>
      <c r="AR200" s="346" t="s">
        <v>160</v>
      </c>
      <c r="AS200" s="346" t="s">
        <v>160</v>
      </c>
      <c r="AT200" s="346" t="s">
        <v>160</v>
      </c>
      <c r="AU200" s="346" t="s">
        <v>160</v>
      </c>
      <c r="AV200" s="346" t="s">
        <v>160</v>
      </c>
      <c r="AW200" s="346" t="s">
        <v>160</v>
      </c>
      <c r="AX200" s="947" t="s">
        <v>160</v>
      </c>
      <c r="AY200" s="346" t="s">
        <v>160</v>
      </c>
      <c r="AZ200" s="346" t="s">
        <v>160</v>
      </c>
      <c r="BA200" s="346" t="s">
        <v>160</v>
      </c>
      <c r="BB200" s="346" t="s">
        <v>160</v>
      </c>
      <c r="BC200" s="346" t="s">
        <v>160</v>
      </c>
      <c r="BD200" s="346" t="s">
        <v>160</v>
      </c>
      <c r="BE200" s="346" t="s">
        <v>160</v>
      </c>
      <c r="BF200" s="346" t="s">
        <v>160</v>
      </c>
      <c r="BG200" s="346" t="s">
        <v>160</v>
      </c>
      <c r="BH200" s="591" t="s">
        <v>160</v>
      </c>
      <c r="BI200" s="591" t="s">
        <v>160</v>
      </c>
      <c r="BJ200" s="591" t="s">
        <v>160</v>
      </c>
      <c r="BK200" s="591" t="s">
        <v>160</v>
      </c>
      <c r="BL200" s="591" t="s">
        <v>160</v>
      </c>
      <c r="BM200" s="591" t="s">
        <v>160</v>
      </c>
      <c r="BN200" s="591" t="s">
        <v>160</v>
      </c>
      <c r="BO200" s="591" t="s">
        <v>160</v>
      </c>
      <c r="BP200" s="591" t="s">
        <v>160</v>
      </c>
      <c r="BQ200" s="591" t="s">
        <v>160</v>
      </c>
      <c r="BR200" s="591" t="s">
        <v>160</v>
      </c>
      <c r="BS200" s="591">
        <v>100</v>
      </c>
      <c r="BT200" s="591">
        <v>100</v>
      </c>
      <c r="BU200" s="591">
        <v>100</v>
      </c>
      <c r="BV200" s="591">
        <v>100</v>
      </c>
      <c r="BW200" s="591">
        <v>100</v>
      </c>
      <c r="BX200" s="591">
        <v>100</v>
      </c>
      <c r="BY200" s="591">
        <v>100</v>
      </c>
      <c r="BZ200" s="591">
        <v>100</v>
      </c>
      <c r="CA200" s="591">
        <v>100</v>
      </c>
      <c r="CB200" s="591">
        <v>100</v>
      </c>
      <c r="CC200" s="591">
        <v>100</v>
      </c>
      <c r="CD200" s="591">
        <v>100</v>
      </c>
      <c r="CE200" s="341">
        <v>141</v>
      </c>
      <c r="CF200" s="591">
        <v>141</v>
      </c>
      <c r="CG200"/>
      <c r="CH200"/>
      <c r="CI200"/>
      <c r="CJ200"/>
      <c r="CK200"/>
      <c r="CL200"/>
      <c r="CM200"/>
      <c r="CN200"/>
      <c r="CO200"/>
      <c r="CP200"/>
      <c r="CQ200"/>
      <c r="CR200"/>
      <c r="CS200"/>
      <c r="CT200"/>
      <c r="CU200"/>
      <c r="CV200"/>
      <c r="CW200"/>
      <c r="CX200"/>
      <c r="CY200"/>
      <c r="CZ200"/>
      <c r="DA200"/>
      <c r="DB200"/>
      <c r="DC200"/>
      <c r="DD200"/>
      <c r="DE200"/>
      <c r="DF200"/>
      <c r="DG200"/>
    </row>
    <row r="201" spans="1:111" x14ac:dyDescent="0.25">
      <c r="A201" s="261" t="s">
        <v>546</v>
      </c>
      <c r="B201" s="261" t="s">
        <v>546</v>
      </c>
      <c r="D201" s="117" t="str">
        <f>IF([1]RENAME!$H$3=1,B201,A201)</f>
        <v>BTG PACTUAL</v>
      </c>
      <c r="E201" s="263" t="s">
        <v>160</v>
      </c>
      <c r="F201" s="263" t="s">
        <v>160</v>
      </c>
      <c r="G201" s="263" t="s">
        <v>160</v>
      </c>
      <c r="H201" s="263" t="s">
        <v>160</v>
      </c>
      <c r="I201" s="263" t="s">
        <v>160</v>
      </c>
      <c r="J201" s="264" t="s">
        <v>160</v>
      </c>
      <c r="K201" s="264" t="s">
        <v>160</v>
      </c>
      <c r="L201" s="264" t="s">
        <v>160</v>
      </c>
      <c r="M201" s="264" t="s">
        <v>160</v>
      </c>
      <c r="N201" s="592" t="s">
        <v>160</v>
      </c>
      <c r="O201" s="592" t="s">
        <v>160</v>
      </c>
      <c r="P201" s="592" t="s">
        <v>160</v>
      </c>
      <c r="Q201" s="592" t="s">
        <v>160</v>
      </c>
      <c r="R201" s="592" t="s">
        <v>160</v>
      </c>
      <c r="S201" s="592" t="s">
        <v>160</v>
      </c>
      <c r="T201" s="592" t="s">
        <v>160</v>
      </c>
      <c r="U201" s="592" t="s">
        <v>160</v>
      </c>
      <c r="V201" s="592" t="s">
        <v>160</v>
      </c>
      <c r="W201" s="592" t="s">
        <v>160</v>
      </c>
      <c r="X201" s="592" t="s">
        <v>160</v>
      </c>
      <c r="Y201" s="592" t="s">
        <v>160</v>
      </c>
      <c r="Z201" s="592" t="s">
        <v>160</v>
      </c>
      <c r="AA201" s="592" t="s">
        <v>160</v>
      </c>
      <c r="AB201" s="592" t="s">
        <v>160</v>
      </c>
      <c r="AC201" s="592" t="s">
        <v>160</v>
      </c>
      <c r="AD201" s="592" t="s">
        <v>160</v>
      </c>
      <c r="AE201" s="592" t="s">
        <v>160</v>
      </c>
      <c r="AF201" s="592" t="s">
        <v>160</v>
      </c>
      <c r="AG201" s="592" t="s">
        <v>160</v>
      </c>
      <c r="AH201" s="591" t="s">
        <v>160</v>
      </c>
      <c r="AI201" s="591" t="s">
        <v>160</v>
      </c>
      <c r="AJ201" s="591" t="s">
        <v>160</v>
      </c>
      <c r="AK201" s="591" t="s">
        <v>160</v>
      </c>
      <c r="AL201" s="346" t="s">
        <v>160</v>
      </c>
      <c r="AM201" s="346" t="s">
        <v>160</v>
      </c>
      <c r="AN201" s="346" t="s">
        <v>160</v>
      </c>
      <c r="AO201" s="346" t="s">
        <v>160</v>
      </c>
      <c r="AP201" s="346" t="s">
        <v>160</v>
      </c>
      <c r="AQ201" s="346" t="s">
        <v>160</v>
      </c>
      <c r="AR201" s="346" t="s">
        <v>160</v>
      </c>
      <c r="AS201" s="346" t="s">
        <v>160</v>
      </c>
      <c r="AT201" s="346" t="s">
        <v>160</v>
      </c>
      <c r="AU201" s="346" t="s">
        <v>160</v>
      </c>
      <c r="AV201" s="346" t="s">
        <v>160</v>
      </c>
      <c r="AW201" s="346" t="s">
        <v>160</v>
      </c>
      <c r="AX201" s="947" t="s">
        <v>160</v>
      </c>
      <c r="AY201" s="346" t="s">
        <v>160</v>
      </c>
      <c r="AZ201" s="346" t="s">
        <v>160</v>
      </c>
      <c r="BA201" s="346" t="s">
        <v>160</v>
      </c>
      <c r="BB201" s="346" t="s">
        <v>160</v>
      </c>
      <c r="BC201" s="346" t="s">
        <v>160</v>
      </c>
      <c r="BD201" s="346" t="s">
        <v>160</v>
      </c>
      <c r="BE201" s="346" t="s">
        <v>160</v>
      </c>
      <c r="BF201" s="346">
        <v>173</v>
      </c>
      <c r="BG201" s="346">
        <v>173</v>
      </c>
      <c r="BH201" s="591">
        <v>173</v>
      </c>
      <c r="BI201" s="591">
        <v>173</v>
      </c>
      <c r="BJ201" s="591">
        <v>173</v>
      </c>
      <c r="BK201" s="591">
        <v>173</v>
      </c>
      <c r="BL201" s="591">
        <v>173</v>
      </c>
      <c r="BM201" s="591">
        <v>173</v>
      </c>
      <c r="BN201" s="591">
        <v>173</v>
      </c>
      <c r="BO201" s="591">
        <v>173</v>
      </c>
      <c r="BP201" s="591" t="s">
        <v>160</v>
      </c>
      <c r="BQ201" s="591" t="s">
        <v>160</v>
      </c>
      <c r="BR201" s="591" t="s">
        <v>160</v>
      </c>
      <c r="BS201" s="591">
        <v>115</v>
      </c>
      <c r="BT201" s="591">
        <v>115</v>
      </c>
      <c r="BU201" s="591">
        <v>115</v>
      </c>
      <c r="BV201" s="591">
        <v>115</v>
      </c>
      <c r="BW201" s="591">
        <v>115</v>
      </c>
      <c r="BX201" s="591">
        <v>115</v>
      </c>
      <c r="BY201" s="591">
        <v>115</v>
      </c>
      <c r="BZ201" s="591">
        <v>115</v>
      </c>
      <c r="CA201" s="591">
        <v>115</v>
      </c>
      <c r="CB201" s="591">
        <v>115</v>
      </c>
      <c r="CC201" s="591">
        <v>115</v>
      </c>
      <c r="CD201" s="591">
        <v>115</v>
      </c>
      <c r="CE201" s="591">
        <v>115</v>
      </c>
      <c r="CF201" s="591">
        <v>115</v>
      </c>
      <c r="CG201"/>
      <c r="CH201"/>
      <c r="CI201"/>
      <c r="CJ201"/>
      <c r="CK201"/>
      <c r="CL201"/>
      <c r="CM201"/>
      <c r="CN201"/>
      <c r="CO201"/>
      <c r="CP201"/>
      <c r="CQ201"/>
      <c r="CR201"/>
      <c r="CS201"/>
      <c r="CT201"/>
      <c r="CU201"/>
      <c r="CV201"/>
      <c r="CW201"/>
      <c r="CX201"/>
      <c r="CY201"/>
      <c r="CZ201"/>
      <c r="DA201"/>
      <c r="DB201"/>
      <c r="DC201"/>
      <c r="DD201"/>
      <c r="DE201"/>
      <c r="DF201"/>
      <c r="DG201"/>
    </row>
    <row r="202" spans="1:111" x14ac:dyDescent="0.25">
      <c r="A202" s="261" t="s">
        <v>574</v>
      </c>
      <c r="B202" s="261" t="s">
        <v>574</v>
      </c>
      <c r="D202" s="117" t="str">
        <f>IF([1]RENAME!$H$3=1,B202,A202)</f>
        <v>SAFRA</v>
      </c>
      <c r="E202" s="263" t="s">
        <v>160</v>
      </c>
      <c r="F202" s="263" t="s">
        <v>160</v>
      </c>
      <c r="G202" s="263" t="s">
        <v>160</v>
      </c>
      <c r="H202" s="263" t="s">
        <v>160</v>
      </c>
      <c r="I202" s="263" t="s">
        <v>160</v>
      </c>
      <c r="J202" s="263" t="s">
        <v>160</v>
      </c>
      <c r="K202" s="263" t="s">
        <v>160</v>
      </c>
      <c r="L202" s="263" t="s">
        <v>160</v>
      </c>
      <c r="M202" s="263" t="s">
        <v>160</v>
      </c>
      <c r="N202" s="351" t="s">
        <v>160</v>
      </c>
      <c r="O202" s="351" t="s">
        <v>160</v>
      </c>
      <c r="P202" s="351" t="s">
        <v>160</v>
      </c>
      <c r="Q202" s="592" t="s">
        <v>160</v>
      </c>
      <c r="R202" s="592" t="s">
        <v>160</v>
      </c>
      <c r="S202" s="592" t="s">
        <v>160</v>
      </c>
      <c r="T202" s="592" t="s">
        <v>160</v>
      </c>
      <c r="U202" s="592" t="s">
        <v>160</v>
      </c>
      <c r="V202" s="592" t="s">
        <v>160</v>
      </c>
      <c r="W202" s="592" t="s">
        <v>160</v>
      </c>
      <c r="X202" s="592" t="s">
        <v>160</v>
      </c>
      <c r="Y202" s="591" t="s">
        <v>160</v>
      </c>
      <c r="Z202" s="592" t="s">
        <v>160</v>
      </c>
      <c r="AA202" s="592" t="s">
        <v>160</v>
      </c>
      <c r="AB202" s="592" t="s">
        <v>160</v>
      </c>
      <c r="AC202" s="592" t="s">
        <v>160</v>
      </c>
      <c r="AD202" s="592" t="s">
        <v>160</v>
      </c>
      <c r="AE202" s="592" t="s">
        <v>160</v>
      </c>
      <c r="AF202" s="592" t="s">
        <v>160</v>
      </c>
      <c r="AG202" s="592" t="s">
        <v>160</v>
      </c>
      <c r="AH202" s="592" t="s">
        <v>160</v>
      </c>
      <c r="AI202" s="592" t="s">
        <v>160</v>
      </c>
      <c r="AJ202" s="592" t="s">
        <v>160</v>
      </c>
      <c r="AK202" s="592" t="s">
        <v>160</v>
      </c>
      <c r="AL202" s="346" t="s">
        <v>160</v>
      </c>
      <c r="AM202" s="346" t="s">
        <v>160</v>
      </c>
      <c r="AN202" s="346" t="s">
        <v>160</v>
      </c>
      <c r="AO202" s="346" t="s">
        <v>160</v>
      </c>
      <c r="AP202" s="346" t="s">
        <v>160</v>
      </c>
      <c r="AQ202" s="346" t="s">
        <v>160</v>
      </c>
      <c r="AR202" s="346" t="s">
        <v>160</v>
      </c>
      <c r="AS202" s="346" t="s">
        <v>160</v>
      </c>
      <c r="AT202" s="346" t="s">
        <v>160</v>
      </c>
      <c r="AU202" s="346" t="s">
        <v>160</v>
      </c>
      <c r="AV202" s="346" t="s">
        <v>160</v>
      </c>
      <c r="AW202" s="346" t="s">
        <v>160</v>
      </c>
      <c r="AX202" s="947" t="s">
        <v>160</v>
      </c>
      <c r="AY202" s="348" t="s">
        <v>160</v>
      </c>
      <c r="AZ202" s="348" t="s">
        <v>160</v>
      </c>
      <c r="BA202" s="346" t="s">
        <v>160</v>
      </c>
      <c r="BB202" s="346" t="s">
        <v>160</v>
      </c>
      <c r="BC202" s="346" t="s">
        <v>160</v>
      </c>
      <c r="BD202" s="346" t="s">
        <v>160</v>
      </c>
      <c r="BE202" s="346">
        <v>123</v>
      </c>
      <c r="BF202" s="346">
        <v>123</v>
      </c>
      <c r="BG202" s="346">
        <v>123</v>
      </c>
      <c r="BH202" s="591">
        <v>123</v>
      </c>
      <c r="BI202" s="591">
        <v>123</v>
      </c>
      <c r="BJ202" s="591">
        <v>123</v>
      </c>
      <c r="BK202" s="591">
        <v>123</v>
      </c>
      <c r="BL202" s="591">
        <v>123</v>
      </c>
      <c r="BM202" s="591">
        <v>123</v>
      </c>
      <c r="BN202" s="591">
        <v>123</v>
      </c>
      <c r="BO202" s="591">
        <v>123</v>
      </c>
      <c r="BP202" s="591" t="s">
        <v>160</v>
      </c>
      <c r="BQ202" s="591" t="s">
        <v>160</v>
      </c>
      <c r="BR202" s="591" t="s">
        <v>160</v>
      </c>
      <c r="BS202" s="591" t="s">
        <v>160</v>
      </c>
      <c r="BT202" s="591" t="s">
        <v>160</v>
      </c>
      <c r="BU202" s="591" t="s">
        <v>160</v>
      </c>
      <c r="BV202" s="591" t="s">
        <v>160</v>
      </c>
      <c r="BW202" s="591" t="s">
        <v>160</v>
      </c>
      <c r="BX202" s="591" t="s">
        <v>160</v>
      </c>
      <c r="BY202" s="591" t="s">
        <v>160</v>
      </c>
      <c r="BZ202" s="591" t="s">
        <v>160</v>
      </c>
      <c r="CA202" s="341">
        <v>135</v>
      </c>
      <c r="CB202" s="591">
        <v>135</v>
      </c>
      <c r="CC202" s="591">
        <v>135</v>
      </c>
      <c r="CD202" s="591">
        <v>135</v>
      </c>
      <c r="CE202" s="591">
        <v>135</v>
      </c>
      <c r="CF202" s="591">
        <v>135</v>
      </c>
      <c r="CG202"/>
      <c r="CH202"/>
      <c r="CI202"/>
      <c r="CJ202"/>
      <c r="CK202"/>
      <c r="CL202"/>
      <c r="CM202"/>
      <c r="CN202"/>
      <c r="CO202"/>
      <c r="CP202"/>
      <c r="CQ202"/>
      <c r="CR202"/>
      <c r="CS202"/>
      <c r="CT202"/>
      <c r="CU202"/>
      <c r="CV202"/>
      <c r="CW202"/>
      <c r="CX202"/>
      <c r="CY202"/>
      <c r="CZ202"/>
      <c r="DA202"/>
      <c r="DB202"/>
      <c r="DC202"/>
      <c r="DD202"/>
      <c r="DE202"/>
      <c r="DF202"/>
      <c r="DG202"/>
    </row>
    <row r="203" spans="1:111" x14ac:dyDescent="0.25">
      <c r="A203" s="261" t="s">
        <v>547</v>
      </c>
      <c r="B203" s="261" t="s">
        <v>547</v>
      </c>
      <c r="D203" s="117" t="str">
        <f>IF([1]RENAME!$H$3=1,B203,A203)</f>
        <v>ITAÚ</v>
      </c>
      <c r="E203" s="263" t="s">
        <v>160</v>
      </c>
      <c r="F203" s="263" t="s">
        <v>160</v>
      </c>
      <c r="G203" s="263" t="s">
        <v>160</v>
      </c>
      <c r="H203" s="263" t="s">
        <v>160</v>
      </c>
      <c r="I203" s="264" t="s">
        <v>160</v>
      </c>
      <c r="J203" s="264" t="s">
        <v>160</v>
      </c>
      <c r="K203" s="264" t="s">
        <v>160</v>
      </c>
      <c r="L203" s="264" t="s">
        <v>160</v>
      </c>
      <c r="M203" s="264" t="s">
        <v>160</v>
      </c>
      <c r="N203" s="592" t="s">
        <v>160</v>
      </c>
      <c r="O203" s="592" t="s">
        <v>160</v>
      </c>
      <c r="P203" s="592" t="s">
        <v>160</v>
      </c>
      <c r="Q203" s="592" t="s">
        <v>160</v>
      </c>
      <c r="R203" s="592" t="s">
        <v>160</v>
      </c>
      <c r="S203" s="591" t="s">
        <v>160</v>
      </c>
      <c r="T203" s="591" t="s">
        <v>160</v>
      </c>
      <c r="U203" s="591" t="s">
        <v>160</v>
      </c>
      <c r="V203" s="591" t="s">
        <v>160</v>
      </c>
      <c r="W203" s="591" t="s">
        <v>160</v>
      </c>
      <c r="X203" s="591" t="s">
        <v>160</v>
      </c>
      <c r="Y203" s="591" t="s">
        <v>160</v>
      </c>
      <c r="Z203" s="591" t="s">
        <v>160</v>
      </c>
      <c r="AA203" s="591" t="s">
        <v>160</v>
      </c>
      <c r="AB203" s="591" t="s">
        <v>160</v>
      </c>
      <c r="AC203" s="591" t="s">
        <v>160</v>
      </c>
      <c r="AD203" s="591" t="s">
        <v>160</v>
      </c>
      <c r="AE203" s="591" t="s">
        <v>160</v>
      </c>
      <c r="AF203" s="591" t="s">
        <v>160</v>
      </c>
      <c r="AG203" s="591" t="s">
        <v>160</v>
      </c>
      <c r="AH203" s="591" t="s">
        <v>160</v>
      </c>
      <c r="AI203" s="591" t="s">
        <v>160</v>
      </c>
      <c r="AJ203" s="591" t="s">
        <v>160</v>
      </c>
      <c r="AK203" s="591" t="s">
        <v>160</v>
      </c>
      <c r="AL203" s="346" t="s">
        <v>160</v>
      </c>
      <c r="AM203" s="346" t="s">
        <v>160</v>
      </c>
      <c r="AN203" s="346" t="s">
        <v>160</v>
      </c>
      <c r="AO203" s="346" t="s">
        <v>160</v>
      </c>
      <c r="AP203" s="346" t="s">
        <v>160</v>
      </c>
      <c r="AQ203" s="346" t="s">
        <v>160</v>
      </c>
      <c r="AR203" s="346" t="s">
        <v>160</v>
      </c>
      <c r="AS203" s="346" t="s">
        <v>160</v>
      </c>
      <c r="AT203" s="346" t="s">
        <v>160</v>
      </c>
      <c r="AU203" s="346" t="s">
        <v>160</v>
      </c>
      <c r="AV203" s="346" t="s">
        <v>160</v>
      </c>
      <c r="AW203" s="346" t="s">
        <v>160</v>
      </c>
      <c r="AX203" s="947" t="s">
        <v>160</v>
      </c>
      <c r="AY203" s="346" t="s">
        <v>160</v>
      </c>
      <c r="AZ203" s="346" t="s">
        <v>160</v>
      </c>
      <c r="BA203" s="346" t="s">
        <v>160</v>
      </c>
      <c r="BB203" s="346" t="s">
        <v>160</v>
      </c>
      <c r="BC203" s="346" t="s">
        <v>160</v>
      </c>
      <c r="BD203" s="346" t="s">
        <v>160</v>
      </c>
      <c r="BE203" s="346" t="s">
        <v>160</v>
      </c>
      <c r="BF203" s="346" t="s">
        <v>160</v>
      </c>
      <c r="BG203" s="346">
        <v>155.19999999999999</v>
      </c>
      <c r="BH203" s="591">
        <v>155.19999999999999</v>
      </c>
      <c r="BI203" s="591">
        <v>155.19999999999999</v>
      </c>
      <c r="BJ203" s="591">
        <v>155.19999999999999</v>
      </c>
      <c r="BK203" s="591">
        <v>155.19999999999999</v>
      </c>
      <c r="BL203" s="591">
        <v>155.19999999999999</v>
      </c>
      <c r="BM203" s="591">
        <v>155.19999999999999</v>
      </c>
      <c r="BN203" s="591">
        <v>155.19999999999999</v>
      </c>
      <c r="BO203" s="591">
        <v>155.19999999999999</v>
      </c>
      <c r="BP203" s="591" t="s">
        <v>160</v>
      </c>
      <c r="BQ203" s="591" t="s">
        <v>160</v>
      </c>
      <c r="BR203" s="591" t="s">
        <v>160</v>
      </c>
      <c r="BS203" s="591">
        <v>111</v>
      </c>
      <c r="BT203" s="591">
        <v>111</v>
      </c>
      <c r="BU203" s="591">
        <v>111</v>
      </c>
      <c r="BV203" s="591">
        <v>111</v>
      </c>
      <c r="BW203" s="591">
        <v>111</v>
      </c>
      <c r="BX203" s="591">
        <v>111</v>
      </c>
      <c r="BY203" s="591">
        <v>111</v>
      </c>
      <c r="BZ203" s="591">
        <v>111</v>
      </c>
      <c r="CA203" s="341">
        <v>122</v>
      </c>
      <c r="CB203" s="591">
        <v>122</v>
      </c>
      <c r="CC203" s="591">
        <v>122</v>
      </c>
      <c r="CD203" s="591">
        <v>122</v>
      </c>
      <c r="CE203" s="591">
        <v>122</v>
      </c>
      <c r="CF203" s="341">
        <v>148.80000000000001</v>
      </c>
      <c r="CG203"/>
      <c r="CH203"/>
      <c r="CI203"/>
      <c r="CJ203"/>
      <c r="CK203"/>
      <c r="CL203"/>
      <c r="CM203"/>
      <c r="CN203"/>
      <c r="CO203"/>
      <c r="CP203"/>
      <c r="CQ203"/>
      <c r="CR203"/>
      <c r="CS203"/>
      <c r="CT203"/>
      <c r="CU203"/>
      <c r="CV203"/>
      <c r="CW203"/>
      <c r="CX203"/>
      <c r="CY203"/>
      <c r="CZ203"/>
      <c r="DA203"/>
      <c r="DB203"/>
      <c r="DC203"/>
      <c r="DD203"/>
      <c r="DE203"/>
      <c r="DF203"/>
      <c r="DG203"/>
    </row>
    <row r="204" spans="1:111" x14ac:dyDescent="0.25">
      <c r="A204" s="261" t="s">
        <v>1985</v>
      </c>
      <c r="B204" s="261" t="s">
        <v>1985</v>
      </c>
      <c r="D204" s="117" t="str">
        <f>IF([1]RENAME!$H$3=1,B204,A204)</f>
        <v>ELEVEN RESEACH</v>
      </c>
      <c r="E204" s="591" t="s">
        <v>160</v>
      </c>
      <c r="F204" s="591" t="s">
        <v>160</v>
      </c>
      <c r="G204" s="591" t="s">
        <v>160</v>
      </c>
      <c r="H204" s="591" t="s">
        <v>160</v>
      </c>
      <c r="I204" s="591" t="s">
        <v>160</v>
      </c>
      <c r="J204" s="591" t="s">
        <v>160</v>
      </c>
      <c r="K204" s="591" t="s">
        <v>160</v>
      </c>
      <c r="L204" s="591" t="s">
        <v>160</v>
      </c>
      <c r="M204" s="591" t="s">
        <v>160</v>
      </c>
      <c r="N204" s="591" t="s">
        <v>160</v>
      </c>
      <c r="O204" s="591" t="s">
        <v>160</v>
      </c>
      <c r="P204" s="591" t="s">
        <v>160</v>
      </c>
      <c r="Q204" s="591" t="s">
        <v>160</v>
      </c>
      <c r="R204" s="591" t="s">
        <v>160</v>
      </c>
      <c r="S204" s="591" t="s">
        <v>160</v>
      </c>
      <c r="T204" s="591" t="s">
        <v>160</v>
      </c>
      <c r="U204" s="591" t="s">
        <v>160</v>
      </c>
      <c r="V204" s="591" t="s">
        <v>160</v>
      </c>
      <c r="W204" s="591" t="s">
        <v>160</v>
      </c>
      <c r="X204" s="591" t="s">
        <v>160</v>
      </c>
      <c r="Y204" s="591" t="s">
        <v>160</v>
      </c>
      <c r="Z204" s="591" t="s">
        <v>160</v>
      </c>
      <c r="AA204" s="591" t="s">
        <v>160</v>
      </c>
      <c r="AB204" s="591" t="s">
        <v>160</v>
      </c>
      <c r="AC204" s="591" t="s">
        <v>160</v>
      </c>
      <c r="AD204" s="591" t="s">
        <v>160</v>
      </c>
      <c r="AE204" s="591" t="s">
        <v>160</v>
      </c>
      <c r="AF204" s="591" t="s">
        <v>160</v>
      </c>
      <c r="AG204" s="591" t="s">
        <v>160</v>
      </c>
      <c r="AH204" s="591" t="s">
        <v>160</v>
      </c>
      <c r="AI204" s="591" t="s">
        <v>160</v>
      </c>
      <c r="AJ204" s="591" t="s">
        <v>160</v>
      </c>
      <c r="AK204" s="591" t="s">
        <v>160</v>
      </c>
      <c r="AL204" s="591" t="s">
        <v>160</v>
      </c>
      <c r="AM204" s="591" t="s">
        <v>160</v>
      </c>
      <c r="AN204" s="591" t="s">
        <v>160</v>
      </c>
      <c r="AO204" s="591" t="s">
        <v>160</v>
      </c>
      <c r="AP204" s="591" t="s">
        <v>160</v>
      </c>
      <c r="AQ204" s="591" t="s">
        <v>160</v>
      </c>
      <c r="AR204" s="591" t="s">
        <v>160</v>
      </c>
      <c r="AS204" s="591" t="s">
        <v>160</v>
      </c>
      <c r="AT204" s="591" t="s">
        <v>160</v>
      </c>
      <c r="AU204" s="591" t="s">
        <v>160</v>
      </c>
      <c r="AV204" s="591" t="s">
        <v>160</v>
      </c>
      <c r="AW204" s="591" t="s">
        <v>160</v>
      </c>
      <c r="AX204" s="591" t="s">
        <v>160</v>
      </c>
      <c r="AY204" s="591" t="s">
        <v>160</v>
      </c>
      <c r="AZ204" s="591" t="s">
        <v>160</v>
      </c>
      <c r="BA204" s="591" t="s">
        <v>160</v>
      </c>
      <c r="BB204" s="591" t="s">
        <v>160</v>
      </c>
      <c r="BC204" s="591" t="s">
        <v>160</v>
      </c>
      <c r="BD204" s="591" t="s">
        <v>160</v>
      </c>
      <c r="BE204" s="591" t="s">
        <v>160</v>
      </c>
      <c r="BF204" s="591" t="s">
        <v>160</v>
      </c>
      <c r="BG204" s="591" t="s">
        <v>160</v>
      </c>
      <c r="BH204" s="591" t="s">
        <v>160</v>
      </c>
      <c r="BI204" s="591" t="s">
        <v>160</v>
      </c>
      <c r="BJ204" s="591" t="s">
        <v>160</v>
      </c>
      <c r="BK204" s="591" t="s">
        <v>160</v>
      </c>
      <c r="BL204" s="591" t="s">
        <v>160</v>
      </c>
      <c r="BM204" s="591" t="s">
        <v>160</v>
      </c>
      <c r="BN204" s="591" t="s">
        <v>160</v>
      </c>
      <c r="BO204" s="591" t="s">
        <v>160</v>
      </c>
      <c r="BP204" s="591">
        <v>129</v>
      </c>
      <c r="BQ204" s="591">
        <v>129</v>
      </c>
      <c r="BR204" s="591">
        <v>129</v>
      </c>
      <c r="BS204" s="340">
        <v>98</v>
      </c>
      <c r="BT204" s="591">
        <v>98</v>
      </c>
      <c r="BU204" s="591">
        <v>98</v>
      </c>
      <c r="BV204" s="591">
        <v>98</v>
      </c>
      <c r="BW204" s="591">
        <v>98</v>
      </c>
      <c r="BX204" s="591">
        <v>98</v>
      </c>
      <c r="BY204" s="591">
        <v>98</v>
      </c>
      <c r="BZ204" s="591">
        <v>98</v>
      </c>
      <c r="CA204" s="591">
        <v>98</v>
      </c>
      <c r="CB204" s="591">
        <v>98</v>
      </c>
      <c r="CC204" s="591">
        <v>98</v>
      </c>
      <c r="CD204" s="341">
        <v>147</v>
      </c>
      <c r="CE204" s="591">
        <v>147</v>
      </c>
      <c r="CF204" s="591">
        <v>147</v>
      </c>
      <c r="CG204"/>
      <c r="CH204"/>
      <c r="CI204"/>
      <c r="CJ204"/>
      <c r="CK204"/>
      <c r="CL204"/>
      <c r="CM204"/>
      <c r="CN204"/>
      <c r="CO204"/>
      <c r="CP204"/>
      <c r="CQ204"/>
      <c r="CR204"/>
      <c r="CS204"/>
      <c r="CT204"/>
      <c r="CU204"/>
      <c r="CV204"/>
      <c r="CW204"/>
      <c r="CX204"/>
      <c r="CY204"/>
      <c r="CZ204"/>
      <c r="DA204"/>
      <c r="DB204"/>
      <c r="DC204"/>
      <c r="DD204"/>
      <c r="DE204"/>
      <c r="DF204"/>
      <c r="DG204"/>
    </row>
    <row r="205" spans="1:111" x14ac:dyDescent="0.25">
      <c r="A205" s="1088" t="s">
        <v>545</v>
      </c>
      <c r="B205" s="1088" t="s">
        <v>545</v>
      </c>
      <c r="C205" s="1088"/>
      <c r="D205" s="779" t="str">
        <f>IF([1]RENAME!$H$3=1,B205,A205)</f>
        <v>BAML</v>
      </c>
      <c r="E205" s="1100" t="s">
        <v>160</v>
      </c>
      <c r="F205" s="1100" t="s">
        <v>160</v>
      </c>
      <c r="G205" s="1100" t="s">
        <v>160</v>
      </c>
      <c r="H205" s="1100" t="s">
        <v>160</v>
      </c>
      <c r="I205" s="1100" t="s">
        <v>160</v>
      </c>
      <c r="J205" s="1101" t="s">
        <v>160</v>
      </c>
      <c r="K205" s="1101" t="s">
        <v>160</v>
      </c>
      <c r="L205" s="1101" t="s">
        <v>160</v>
      </c>
      <c r="M205" s="1101" t="s">
        <v>160</v>
      </c>
      <c r="N205" s="1101" t="s">
        <v>160</v>
      </c>
      <c r="O205" s="1101" t="s">
        <v>160</v>
      </c>
      <c r="P205" s="1101" t="s">
        <v>160</v>
      </c>
      <c r="Q205" s="1101" t="s">
        <v>160</v>
      </c>
      <c r="R205" s="1101" t="s">
        <v>160</v>
      </c>
      <c r="S205" s="1102" t="s">
        <v>160</v>
      </c>
      <c r="T205" s="1102" t="s">
        <v>160</v>
      </c>
      <c r="U205" s="1102" t="s">
        <v>160</v>
      </c>
      <c r="V205" s="1102" t="s">
        <v>160</v>
      </c>
      <c r="W205" s="1102" t="s">
        <v>160</v>
      </c>
      <c r="X205" s="1102" t="s">
        <v>160</v>
      </c>
      <c r="Y205" s="1102" t="s">
        <v>160</v>
      </c>
      <c r="Z205" s="1102" t="s">
        <v>160</v>
      </c>
      <c r="AA205" s="1102" t="s">
        <v>160</v>
      </c>
      <c r="AB205" s="1102" t="s">
        <v>160</v>
      </c>
      <c r="AC205" s="1102" t="s">
        <v>160</v>
      </c>
      <c r="AD205" s="1102" t="s">
        <v>160</v>
      </c>
      <c r="AE205" s="1102" t="s">
        <v>160</v>
      </c>
      <c r="AF205" s="1102" t="s">
        <v>160</v>
      </c>
      <c r="AG205" s="1102" t="s">
        <v>160</v>
      </c>
      <c r="AH205" s="1102" t="s">
        <v>160</v>
      </c>
      <c r="AI205" s="1101" t="s">
        <v>160</v>
      </c>
      <c r="AJ205" s="1101" t="s">
        <v>160</v>
      </c>
      <c r="AK205" s="1101" t="s">
        <v>160</v>
      </c>
      <c r="AL205" s="1102" t="s">
        <v>160</v>
      </c>
      <c r="AM205" s="1102" t="s">
        <v>160</v>
      </c>
      <c r="AN205" s="1102" t="s">
        <v>160</v>
      </c>
      <c r="AO205" s="1102" t="s">
        <v>160</v>
      </c>
      <c r="AP205" s="1102" t="s">
        <v>160</v>
      </c>
      <c r="AQ205" s="1102" t="s">
        <v>160</v>
      </c>
      <c r="AR205" s="1102" t="s">
        <v>160</v>
      </c>
      <c r="AS205" s="1102" t="s">
        <v>160</v>
      </c>
      <c r="AT205" s="1102" t="s">
        <v>160</v>
      </c>
      <c r="AU205" s="1102" t="s">
        <v>160</v>
      </c>
      <c r="AV205" s="1102" t="s">
        <v>160</v>
      </c>
      <c r="AW205" s="1102" t="s">
        <v>160</v>
      </c>
      <c r="AX205" s="1103" t="s">
        <v>160</v>
      </c>
      <c r="AY205" s="1102" t="s">
        <v>160</v>
      </c>
      <c r="AZ205" s="1102" t="s">
        <v>160</v>
      </c>
      <c r="BA205" s="1102" t="s">
        <v>160</v>
      </c>
      <c r="BB205" s="1102" t="s">
        <v>160</v>
      </c>
      <c r="BC205" s="1102" t="s">
        <v>160</v>
      </c>
      <c r="BD205" s="1102" t="s">
        <v>160</v>
      </c>
      <c r="BE205" s="1102" t="s">
        <v>160</v>
      </c>
      <c r="BF205" s="1102" t="s">
        <v>160</v>
      </c>
      <c r="BG205" s="1102" t="s">
        <v>160</v>
      </c>
      <c r="BH205" s="1102" t="s">
        <v>160</v>
      </c>
      <c r="BI205" s="1102" t="s">
        <v>160</v>
      </c>
      <c r="BJ205" s="1102" t="s">
        <v>160</v>
      </c>
      <c r="BK205" s="1102" t="s">
        <v>160</v>
      </c>
      <c r="BL205" s="1102" t="s">
        <v>160</v>
      </c>
      <c r="BM205" s="1102" t="s">
        <v>160</v>
      </c>
      <c r="BN205" s="1102" t="s">
        <v>160</v>
      </c>
      <c r="BO205" s="1102" t="s">
        <v>160</v>
      </c>
      <c r="BP205" s="1102">
        <v>108</v>
      </c>
      <c r="BQ205" s="1102">
        <v>108</v>
      </c>
      <c r="BR205" s="1102">
        <v>108</v>
      </c>
      <c r="BS205" s="1102">
        <v>108</v>
      </c>
      <c r="BT205" s="1102">
        <v>114</v>
      </c>
      <c r="BU205" s="1102">
        <v>114</v>
      </c>
      <c r="BV205" s="1102" t="s">
        <v>160</v>
      </c>
      <c r="BW205" s="1102" t="s">
        <v>160</v>
      </c>
      <c r="BX205" s="1102" t="s">
        <v>160</v>
      </c>
      <c r="BY205" s="1102" t="s">
        <v>160</v>
      </c>
      <c r="BZ205" s="1102" t="s">
        <v>160</v>
      </c>
      <c r="CA205" s="1102" t="s">
        <v>160</v>
      </c>
      <c r="CB205" s="591" t="s">
        <v>160</v>
      </c>
      <c r="CC205" s="591" t="s">
        <v>160</v>
      </c>
      <c r="CD205" s="591" t="s">
        <v>160</v>
      </c>
      <c r="CE205" s="591" t="s">
        <v>160</v>
      </c>
      <c r="CF205" s="591" t="s">
        <v>160</v>
      </c>
      <c r="CG205"/>
      <c r="CH205"/>
      <c r="CI205"/>
      <c r="CJ205"/>
      <c r="CK205"/>
      <c r="CL205"/>
      <c r="CM205"/>
      <c r="CN205"/>
      <c r="CO205"/>
      <c r="CP205"/>
      <c r="CQ205"/>
      <c r="CR205"/>
      <c r="CS205"/>
      <c r="CT205"/>
      <c r="CU205"/>
      <c r="CV205"/>
      <c r="CW205"/>
      <c r="CX205"/>
      <c r="CY205"/>
      <c r="CZ205"/>
      <c r="DA205"/>
      <c r="DB205"/>
      <c r="DC205"/>
      <c r="DD205"/>
      <c r="DE205"/>
      <c r="DF205"/>
      <c r="DG205"/>
    </row>
    <row r="206" spans="1:111" x14ac:dyDescent="0.25">
      <c r="A206" t="s">
        <v>557</v>
      </c>
      <c r="B206" t="s">
        <v>856</v>
      </c>
      <c r="C206"/>
      <c r="D206" s="1092" t="str">
        <f>IF([1]RENAME!$H$3=1,B206,A206)</f>
        <v>Média</v>
      </c>
      <c r="E206" s="1093" t="str">
        <f t="shared" ref="E206:BP206" si="150">IFERROR(AVERAGE(E200:E205),"-")</f>
        <v>-</v>
      </c>
      <c r="F206" s="1093" t="str">
        <f t="shared" si="150"/>
        <v>-</v>
      </c>
      <c r="G206" s="1093" t="str">
        <f t="shared" si="150"/>
        <v>-</v>
      </c>
      <c r="H206" s="1093" t="str">
        <f t="shared" si="150"/>
        <v>-</v>
      </c>
      <c r="I206" s="1093" t="str">
        <f t="shared" si="150"/>
        <v>-</v>
      </c>
      <c r="J206" s="1093" t="str">
        <f t="shared" si="150"/>
        <v>-</v>
      </c>
      <c r="K206" s="1093" t="str">
        <f t="shared" si="150"/>
        <v>-</v>
      </c>
      <c r="L206" s="1093" t="str">
        <f t="shared" si="150"/>
        <v>-</v>
      </c>
      <c r="M206" s="1093" t="str">
        <f t="shared" si="150"/>
        <v>-</v>
      </c>
      <c r="N206" s="1095" t="str">
        <f t="shared" si="150"/>
        <v>-</v>
      </c>
      <c r="O206" s="1095" t="str">
        <f t="shared" si="150"/>
        <v>-</v>
      </c>
      <c r="P206" s="1095" t="str">
        <f t="shared" si="150"/>
        <v>-</v>
      </c>
      <c r="Q206" s="1095" t="str">
        <f t="shared" si="150"/>
        <v>-</v>
      </c>
      <c r="R206" s="1095" t="str">
        <f t="shared" si="150"/>
        <v>-</v>
      </c>
      <c r="S206" s="1095" t="str">
        <f t="shared" si="150"/>
        <v>-</v>
      </c>
      <c r="T206" s="1095" t="str">
        <f t="shared" si="150"/>
        <v>-</v>
      </c>
      <c r="U206" s="1095" t="str">
        <f t="shared" si="150"/>
        <v>-</v>
      </c>
      <c r="V206" s="1095" t="str">
        <f t="shared" si="150"/>
        <v>-</v>
      </c>
      <c r="W206" s="1095" t="str">
        <f t="shared" si="150"/>
        <v>-</v>
      </c>
      <c r="X206" s="1096" t="str">
        <f t="shared" si="150"/>
        <v>-</v>
      </c>
      <c r="Y206" s="1096" t="str">
        <f t="shared" si="150"/>
        <v>-</v>
      </c>
      <c r="Z206" s="1096" t="str">
        <f t="shared" si="150"/>
        <v>-</v>
      </c>
      <c r="AA206" s="1096" t="str">
        <f t="shared" si="150"/>
        <v>-</v>
      </c>
      <c r="AB206" s="1096" t="str">
        <f t="shared" si="150"/>
        <v>-</v>
      </c>
      <c r="AC206" s="1096" t="str">
        <f t="shared" si="150"/>
        <v>-</v>
      </c>
      <c r="AD206" s="1096" t="str">
        <f t="shared" si="150"/>
        <v>-</v>
      </c>
      <c r="AE206" s="1096" t="str">
        <f t="shared" si="150"/>
        <v>-</v>
      </c>
      <c r="AF206" s="1096" t="str">
        <f t="shared" si="150"/>
        <v>-</v>
      </c>
      <c r="AG206" s="1096" t="str">
        <f t="shared" si="150"/>
        <v>-</v>
      </c>
      <c r="AH206" s="1096" t="str">
        <f t="shared" si="150"/>
        <v>-</v>
      </c>
      <c r="AI206" s="1096" t="str">
        <f t="shared" si="150"/>
        <v>-</v>
      </c>
      <c r="AJ206" s="1096" t="str">
        <f t="shared" si="150"/>
        <v>-</v>
      </c>
      <c r="AK206" s="1096" t="str">
        <f t="shared" si="150"/>
        <v>-</v>
      </c>
      <c r="AL206" s="1096" t="str">
        <f t="shared" si="150"/>
        <v>-</v>
      </c>
      <c r="AM206" s="1096" t="str">
        <f t="shared" si="150"/>
        <v>-</v>
      </c>
      <c r="AN206" s="1096" t="str">
        <f t="shared" si="150"/>
        <v>-</v>
      </c>
      <c r="AO206" s="1096" t="str">
        <f t="shared" si="150"/>
        <v>-</v>
      </c>
      <c r="AP206" s="1096" t="str">
        <f t="shared" si="150"/>
        <v>-</v>
      </c>
      <c r="AQ206" s="1096" t="str">
        <f t="shared" si="150"/>
        <v>-</v>
      </c>
      <c r="AR206" s="1096" t="str">
        <f t="shared" si="150"/>
        <v>-</v>
      </c>
      <c r="AS206" s="1096" t="str">
        <f t="shared" si="150"/>
        <v>-</v>
      </c>
      <c r="AT206" s="1096" t="str">
        <f t="shared" si="150"/>
        <v>-</v>
      </c>
      <c r="AU206" s="1095" t="str">
        <f t="shared" si="150"/>
        <v>-</v>
      </c>
      <c r="AV206" s="1095" t="str">
        <f t="shared" si="150"/>
        <v>-</v>
      </c>
      <c r="AW206" s="1095" t="str">
        <f t="shared" si="150"/>
        <v>-</v>
      </c>
      <c r="AX206" s="1095" t="str">
        <f t="shared" si="150"/>
        <v>-</v>
      </c>
      <c r="AY206" s="1095" t="str">
        <f t="shared" si="150"/>
        <v>-</v>
      </c>
      <c r="AZ206" s="1095" t="str">
        <f t="shared" si="150"/>
        <v>-</v>
      </c>
      <c r="BA206" s="1095" t="str">
        <f t="shared" si="150"/>
        <v>-</v>
      </c>
      <c r="BB206" s="1095" t="str">
        <f t="shared" si="150"/>
        <v>-</v>
      </c>
      <c r="BC206" s="1095" t="str">
        <f t="shared" si="150"/>
        <v>-</v>
      </c>
      <c r="BD206" s="1095" t="str">
        <f t="shared" si="150"/>
        <v>-</v>
      </c>
      <c r="BE206" s="1095">
        <f t="shared" si="150"/>
        <v>123</v>
      </c>
      <c r="BF206" s="1095">
        <f t="shared" si="150"/>
        <v>148</v>
      </c>
      <c r="BG206" s="1095">
        <f t="shared" si="150"/>
        <v>150.4</v>
      </c>
      <c r="BH206" s="1095">
        <f t="shared" si="150"/>
        <v>150.4</v>
      </c>
      <c r="BI206" s="1095">
        <f t="shared" si="150"/>
        <v>150.4</v>
      </c>
      <c r="BJ206" s="1095">
        <f t="shared" si="150"/>
        <v>150.4</v>
      </c>
      <c r="BK206" s="1095">
        <f t="shared" si="150"/>
        <v>150.4</v>
      </c>
      <c r="BL206" s="1095">
        <f t="shared" si="150"/>
        <v>150.4</v>
      </c>
      <c r="BM206" s="1095">
        <f t="shared" si="150"/>
        <v>150.4</v>
      </c>
      <c r="BN206" s="1095">
        <f t="shared" si="150"/>
        <v>150.4</v>
      </c>
      <c r="BO206" s="1095">
        <f t="shared" si="150"/>
        <v>150.4</v>
      </c>
      <c r="BP206" s="1095">
        <f t="shared" si="150"/>
        <v>118.5</v>
      </c>
      <c r="BQ206" s="1095">
        <f>IFERROR(AVERAGE(BQ200:BQ205),"-")</f>
        <v>118.5</v>
      </c>
      <c r="BR206" s="1095">
        <f t="shared" ref="BR206:CA206" si="151">IFERROR(AVERAGE(BR200:BR205),"-")</f>
        <v>118.5</v>
      </c>
      <c r="BS206" s="1095">
        <f t="shared" si="151"/>
        <v>106.4</v>
      </c>
      <c r="BT206" s="1095">
        <f t="shared" si="151"/>
        <v>107.6</v>
      </c>
      <c r="BU206" s="1095">
        <f t="shared" si="151"/>
        <v>107.6</v>
      </c>
      <c r="BV206" s="1095">
        <f t="shared" si="151"/>
        <v>106</v>
      </c>
      <c r="BW206" s="1095">
        <f t="shared" si="151"/>
        <v>106</v>
      </c>
      <c r="BX206" s="1095">
        <f t="shared" si="151"/>
        <v>106</v>
      </c>
      <c r="BY206" s="1095">
        <f t="shared" si="151"/>
        <v>106</v>
      </c>
      <c r="BZ206" s="1095">
        <f t="shared" si="151"/>
        <v>106</v>
      </c>
      <c r="CA206" s="1095">
        <f t="shared" si="151"/>
        <v>114</v>
      </c>
      <c r="CB206" s="1095">
        <f>IFERROR(AVERAGE(CB200:CB205),"-")</f>
        <v>114</v>
      </c>
      <c r="CC206" s="1095">
        <f>IFERROR(AVERAGE(CC200:CC205),"-")</f>
        <v>114</v>
      </c>
      <c r="CD206" s="1095">
        <f>IFERROR(AVERAGE(CD200:CD205),"-")</f>
        <v>123.8</v>
      </c>
      <c r="CE206" s="1095">
        <f>IFERROR(AVERAGE(CE200:CE205),"-")</f>
        <v>132</v>
      </c>
      <c r="CF206" s="1095">
        <f>IFERROR(AVERAGE(CF200:CF205),"-")</f>
        <v>137.35999999999999</v>
      </c>
      <c r="CG206"/>
      <c r="CH206"/>
      <c r="CI206"/>
      <c r="CJ206"/>
      <c r="CK206"/>
      <c r="CL206"/>
      <c r="CM206"/>
      <c r="CN206"/>
      <c r="CO206"/>
      <c r="CP206"/>
      <c r="CQ206"/>
      <c r="CR206"/>
      <c r="CS206"/>
      <c r="CT206"/>
      <c r="CU206"/>
      <c r="CV206"/>
      <c r="CW206"/>
      <c r="CX206"/>
      <c r="CY206"/>
      <c r="CZ206"/>
      <c r="DA206"/>
      <c r="DB206"/>
      <c r="DC206"/>
      <c r="DD206"/>
      <c r="DE206"/>
      <c r="DF206"/>
      <c r="DG206"/>
    </row>
    <row r="207" spans="1:111" x14ac:dyDescent="0.25">
      <c r="Z207" s="339"/>
      <c r="AA207" s="339"/>
      <c r="AB207" s="339"/>
      <c r="AC207" s="339"/>
      <c r="AD207" s="339"/>
      <c r="AE207" s="339"/>
      <c r="AF207" s="339"/>
      <c r="AG207" s="339"/>
      <c r="AH207" s="339"/>
      <c r="AI207" s="339"/>
      <c r="AJ207" s="339"/>
      <c r="AK207" s="339"/>
      <c r="AL207" s="339"/>
      <c r="AM207" s="339"/>
      <c r="AN207" s="339"/>
      <c r="AO207" s="339"/>
      <c r="AP207" s="339"/>
      <c r="AQ207" s="339"/>
      <c r="AR207" s="339"/>
      <c r="AS207" s="339"/>
      <c r="AT207" s="339"/>
      <c r="AU207" s="339"/>
      <c r="AV207" s="775"/>
      <c r="CG207"/>
      <c r="CH207"/>
      <c r="CI207"/>
      <c r="CJ207"/>
      <c r="CK207"/>
      <c r="CL207"/>
      <c r="CM207"/>
      <c r="CN207"/>
      <c r="CO207"/>
      <c r="CP207"/>
      <c r="CQ207"/>
      <c r="CR207"/>
      <c r="CS207"/>
      <c r="CT207"/>
      <c r="CU207"/>
      <c r="CV207"/>
      <c r="CW207"/>
      <c r="CX207"/>
      <c r="CY207"/>
      <c r="CZ207"/>
      <c r="DA207"/>
      <c r="DB207"/>
      <c r="DC207"/>
      <c r="DD207"/>
      <c r="DE207"/>
      <c r="DF207"/>
      <c r="DG207"/>
    </row>
    <row r="208" spans="1:111" x14ac:dyDescent="0.25">
      <c r="A208" s="261" t="s">
        <v>1918</v>
      </c>
      <c r="B208" s="261" t="s">
        <v>1919</v>
      </c>
      <c r="D208" s="113" t="str">
        <f>IF([1]RENAME!$H$3=1,B208,A208)</f>
        <v>PREÇO ALVO YE22</v>
      </c>
      <c r="E208" s="262">
        <f>IF([1]RENAME!$H$3=0,E1,TEXT(E1,"[$-en-US]mmm-AA;@"))</f>
        <v>42522</v>
      </c>
      <c r="F208" s="262">
        <f>IF([1]RENAME!$H$3=0,F1,TEXT(F1,"[$-en-US]mmm-AA;@"))</f>
        <v>42552</v>
      </c>
      <c r="G208" s="262">
        <f>IF([1]RENAME!$H$3=0,G1,TEXT(G1,"[$-en-US]mmm-AA;@"))</f>
        <v>42583</v>
      </c>
      <c r="H208" s="262">
        <f>IF([1]RENAME!$H$3=0,H1,TEXT(H1,"[$-en-US]mmm-AA;@"))</f>
        <v>42614</v>
      </c>
      <c r="I208" s="262">
        <f>IF([1]RENAME!$H$3=0,I1,TEXT(I1,"[$-en-US]mmm-AA;@"))</f>
        <v>42644</v>
      </c>
      <c r="J208" s="262">
        <f>IF([1]RENAME!$H$3=0,J1,TEXT(J1,"[$-en-US]mmm-AA;@"))</f>
        <v>42675</v>
      </c>
      <c r="K208" s="262">
        <f>IF([1]RENAME!$H$3=0,K1,TEXT(K1,"[$-en-US]mmm-AA;@"))</f>
        <v>42705</v>
      </c>
      <c r="L208" s="262">
        <f>IF([1]RENAME!$H$3=0,L1,TEXT(L1,"[$-en-US]mmm-AA;@"))</f>
        <v>42736</v>
      </c>
      <c r="M208" s="262">
        <f>IF([1]RENAME!$H$3=0,M1,TEXT(M1,"[$-en-US]mmm-AA;@"))</f>
        <v>42767</v>
      </c>
      <c r="N208" s="262">
        <f>IF([1]RENAME!$H$3=0,N1,TEXT(N1,"[$-en-US]mmm-AA;@"))</f>
        <v>42795</v>
      </c>
      <c r="O208" s="262">
        <f>IF([1]RENAME!$H$3=0,O1,TEXT(O1,"[$-en-US]mmm-AA;@"))</f>
        <v>42826</v>
      </c>
      <c r="P208" s="262">
        <f>IF([1]RENAME!$H$3=0,P1,TEXT(P1,"[$-en-US]mmm-AA;@"))</f>
        <v>42856</v>
      </c>
      <c r="Q208" s="262">
        <f>IF([1]RENAME!$H$3=0,Q1,TEXT(Q1,"[$-en-US]mmm-AA;@"))</f>
        <v>42887</v>
      </c>
      <c r="R208" s="262">
        <f>IF([1]RENAME!$H$3=0,R1,TEXT(R1,"[$-en-US]mmm-AA;@"))</f>
        <v>42917</v>
      </c>
      <c r="S208" s="262">
        <f>IF([1]RENAME!$H$3=0,S1,TEXT(S1,"[$-en-US]mmm-AA;@"))</f>
        <v>42948</v>
      </c>
      <c r="T208" s="262">
        <f>IF([1]RENAME!$H$3=0,T1,TEXT(T1,"[$-en-US]mmm-AA;@"))</f>
        <v>42979</v>
      </c>
      <c r="U208" s="262">
        <f>IF([1]RENAME!$H$3=0,U1,TEXT(U1,"[$-en-US]mmm-AA;@"))</f>
        <v>43009</v>
      </c>
      <c r="V208" s="262">
        <f>IF([1]RENAME!$H$3=0,V1,TEXT(V1,"[$-en-US]mmm-AA;@"))</f>
        <v>43040</v>
      </c>
      <c r="W208" s="262">
        <f>IF([1]RENAME!$H$3=0,W1,TEXT(W1,"[$-en-US]mmm-AA;@"))</f>
        <v>43070</v>
      </c>
      <c r="X208" s="262">
        <f>IF([1]RENAME!$H$3=0,X1,TEXT(X1,"[$-en-US]mmm-AA;@"))</f>
        <v>43101</v>
      </c>
      <c r="Y208" s="262">
        <f>IF([1]RENAME!$H$3=0,Y1,TEXT(Y1,"[$-en-US]mmm-AA;@"))</f>
        <v>43132</v>
      </c>
      <c r="Z208" s="262">
        <f>IF([1]RENAME!$H$3=0,Z1,TEXT(Z1,"[$-en-US]mmm-AA;@"))</f>
        <v>43160</v>
      </c>
      <c r="AA208" s="262">
        <f>IF([1]RENAME!$H$3=0,AA1,TEXT(AA1,"[$-en-US]mmm-AA;@"))</f>
        <v>43191</v>
      </c>
      <c r="AB208" s="262">
        <f>IF([1]RENAME!$H$3=0,AB1,TEXT(AB1,"[$-en-US]mmm-AA;@"))</f>
        <v>43221</v>
      </c>
      <c r="AC208" s="262">
        <f>IF([1]RENAME!$H$3=0,AC1,TEXT(AC1,"[$-en-US]mmm-AA;@"))</f>
        <v>43252</v>
      </c>
      <c r="AD208" s="262">
        <f>IF([1]RENAME!$H$3=0,AD1,TEXT(AD1,"[$-en-US]mmm-AA;@"))</f>
        <v>43283</v>
      </c>
      <c r="AE208" s="262">
        <f>IF([1]RENAME!$H$3=0,AE1,TEXT(AE1,"[$-en-US]mmm-AA;@"))</f>
        <v>43314</v>
      </c>
      <c r="AF208" s="262">
        <f>IF([1]RENAME!$H$3=0,AF1,TEXT(AF1,"[$-en-US]mmm-AA;@"))</f>
        <v>43345</v>
      </c>
      <c r="AG208" s="262">
        <f>IF([1]RENAME!$H$3=0,AG1,TEXT(AG1,"[$-en-US]mmm-AA;@"))</f>
        <v>43376</v>
      </c>
      <c r="AH208" s="262">
        <f>IF([1]RENAME!$H$3=0,AH1,TEXT(AH1,"[$-en-US]mmm-AA;@"))</f>
        <v>43407</v>
      </c>
      <c r="AI208" s="262">
        <f>IF([1]RENAME!$H$3=0,AI1,TEXT(AI1,"[$-en-US]mmm-AA;@"))</f>
        <v>43437</v>
      </c>
      <c r="AJ208" s="262">
        <f>IF([1]RENAME!$H$3=0,AJ1,TEXT(AJ1,"[$-en-US]mmm-AA;@"))</f>
        <v>43468</v>
      </c>
      <c r="AK208" s="262">
        <f>IF([1]RENAME!$H$3=0,AK1,TEXT(AK1,"[$-en-US]mmm-AA;@"))</f>
        <v>43499</v>
      </c>
      <c r="AL208" s="262">
        <f>IF([1]RENAME!$H$3=0,AL1,TEXT(AL1,"[$-en-US]mmm-AA;@"))</f>
        <v>43527</v>
      </c>
      <c r="AM208" s="262">
        <f>IF([1]RENAME!$H$3=0,AM1,TEXT(AM1,"[$-en-US]mmm-AA;@"))</f>
        <v>43558</v>
      </c>
      <c r="AN208" s="262">
        <f>IF([1]RENAME!$H$3=0,AN1,TEXT(AN1,"[$-en-US]mmm-AA;@"))</f>
        <v>43587</v>
      </c>
      <c r="AO208" s="262">
        <f>IF([1]RENAME!$H$3=0,AO1,TEXT(AO1,"[$-en-US]mmm-AA;@"))</f>
        <v>43618</v>
      </c>
      <c r="AP208" s="262">
        <f>IF([1]RENAME!$H$3=0,AP1,TEXT(AP1,"[$-en-US]mmm-AA;@"))</f>
        <v>43647</v>
      </c>
      <c r="AQ208" s="262">
        <f>IF([1]RENAME!$H$3=0,AQ1,TEXT(AQ1,"[$-en-US]mmm-AA;@"))</f>
        <v>43678</v>
      </c>
      <c r="AR208" s="262">
        <f>IF([1]RENAME!$H$3=0,AR1,TEXT(AR1,"[$-en-US]mmm-AA;@"))</f>
        <v>43709</v>
      </c>
      <c r="AS208" s="262">
        <f>IF([1]RENAME!$H$3=0,AS1,TEXT(AS1,"[$-en-US]mmm-AA;@"))</f>
        <v>43739</v>
      </c>
      <c r="AT208" s="262">
        <f>IF([1]RENAME!$H$3=0,AT1,TEXT(AT1,"[$-en-US]mmm-AA;@"))</f>
        <v>43770</v>
      </c>
      <c r="AU208" s="262">
        <f>IF([1]RENAME!$H$3=0,AU1,TEXT(AU1,"[$-en-US]mmm-AA;@"))</f>
        <v>43800</v>
      </c>
      <c r="AV208" s="262">
        <f>IF([1]RENAME!$H$3=0,AV1,TEXT(AV1,"[$-en-US]mmm-AA;@"))</f>
        <v>43831</v>
      </c>
      <c r="AW208" s="262">
        <f>IF([1]RENAME!$H$3=0,AW1,TEXT(AW1,"[$-en-US]mmm-AA;@"))</f>
        <v>43862</v>
      </c>
      <c r="AX208" s="933">
        <f>IF([1]RENAME!$H$3=0,AX1,TEXT(AX1,"[$-en-US]mmm-AA;@"))</f>
        <v>43891</v>
      </c>
      <c r="AY208" s="262">
        <f>IF([1]RENAME!$H$3=0,AY1,TEXT(AY1,"[$-en-US]mmm-AA;@"))</f>
        <v>43922</v>
      </c>
      <c r="AZ208" s="262">
        <f>IF([1]RENAME!$H$3=0,AZ1,TEXT(AZ1,"[$-en-US]mmm-AA;@"))</f>
        <v>43952</v>
      </c>
      <c r="BA208" s="262">
        <f>IF([1]RENAME!$H$3=0,BA1,TEXT(BA1,"[$-en-US]mmm-AA;@"))</f>
        <v>43983</v>
      </c>
      <c r="BB208" s="262">
        <f>IF([1]RENAME!$H$3=0,BB1,TEXT(BB1,"[$-en-US]mmm-AA;@"))</f>
        <v>44013</v>
      </c>
      <c r="BC208" s="262">
        <f>IF([1]RENAME!$H$3=0,BC1,TEXT(BC1,"[$-en-US]mmm-AA;@"))</f>
        <v>44044</v>
      </c>
      <c r="BD208" s="262">
        <f>IF([1]RENAME!$H$3=0,BD1,TEXT(BD1,"[$-en-US]mmm-AA;@"))</f>
        <v>44075</v>
      </c>
      <c r="BE208" s="262">
        <f>IF([1]RENAME!$H$3=0,BE1,TEXT(BE1,"[$-en-US]mmm-AA;@"))</f>
        <v>44105</v>
      </c>
      <c r="BF208" s="262">
        <f>IF([1]RENAME!$H$3=0,BF1,TEXT(BF1,"[$-en-US]mmm-AA;@"))</f>
        <v>44136</v>
      </c>
      <c r="BG208" s="262">
        <f>IF([1]RENAME!$H$3=0,BG1,TEXT(BG1,"[$-en-US]mmm-AA;@"))</f>
        <v>44166</v>
      </c>
      <c r="BH208" s="262">
        <f>IF([1]RENAME!$H$3=0,BH1,TEXT(BH1,"[$-en-US]mmm-AA;@"))</f>
        <v>44197</v>
      </c>
      <c r="BI208" s="262">
        <f>IF([1]RENAME!$H$3=0,BI1,TEXT(BI1,"[$-en-US]mmm-AA;@"))</f>
        <v>44228</v>
      </c>
      <c r="BJ208" s="262">
        <f>IF([1]RENAME!$H$3=0,BJ1,TEXT(BJ1,"[$-en-US]mmm-AA;@"))</f>
        <v>44256</v>
      </c>
      <c r="BK208" s="262">
        <f>IF([1]RENAME!$H$3=0,BK1,TEXT(BK1,"[$-en-US]mmm-AA;@"))</f>
        <v>44287</v>
      </c>
      <c r="BL208" s="262">
        <f>IF([1]RENAME!$H$3=0,BL1,TEXT(BL1,"[$-en-US]mmm-AA;@"))</f>
        <v>44317</v>
      </c>
      <c r="BM208" s="262">
        <f>IF([1]RENAME!$H$3=0,BM1,TEXT(BM1,"[$-en-US]mmm-AA;@"))</f>
        <v>44348</v>
      </c>
      <c r="BN208" s="262">
        <f>IF([1]RENAME!$H$3=0,BN1,TEXT(BN1,"[$-en-US]mmm-AA;@"))</f>
        <v>44378</v>
      </c>
      <c r="BO208" s="262">
        <f>IF([1]RENAME!$H$3=0,BO1,TEXT(BO1,"[$-en-US]mmm-AA;@"))</f>
        <v>44409</v>
      </c>
      <c r="BP208" s="262">
        <f>IF([1]RENAME!$H$3=0,BP1,TEXT(BP1,"[$-en-US]mmm-AA;@"))</f>
        <v>44440</v>
      </c>
      <c r="BQ208" s="262">
        <f>IF([1]RENAME!$H$3=0,BQ1,TEXT(BQ1,"[$-en-US]mmm-AA;@"))</f>
        <v>44470</v>
      </c>
      <c r="BR208" s="262">
        <f>IF([1]RENAME!$H$3=0,BR1,TEXT(BR1,"[$-en-US]mmm-AA;@"))</f>
        <v>44501</v>
      </c>
      <c r="BS208" s="262">
        <f>IF([1]RENAME!$H$3=0,BS1,TEXT(BS1,"[$-en-US]mmm-AA;@"))</f>
        <v>44531</v>
      </c>
      <c r="BT208" s="262">
        <f>IF([1]RENAME!$H$3=0,BT1,TEXT(BT1,"[$-en-US]mmm-AA;@"))</f>
        <v>44562</v>
      </c>
      <c r="BU208" s="262">
        <f>IF([1]RENAME!$H$3=0,BU1,TEXT(BU1,"[$-en-US]mmm-AA;@"))</f>
        <v>44593</v>
      </c>
      <c r="BV208" s="262">
        <f>IF([1]RENAME!$H$3=0,BV1,TEXT(BV1,"[$-en-US]mmm-AA;@"))</f>
        <v>44622</v>
      </c>
      <c r="BW208" s="262">
        <f>IF([1]RENAME!$H$3=0,BW1,TEXT(BW1,"[$-en-US]mmm-AA;@"))</f>
        <v>44654</v>
      </c>
      <c r="BX208" s="262">
        <f>IF([1]RENAME!$H$3=0,BX1,TEXT(BX1,"[$-en-US]mmm-AA;@"))</f>
        <v>44685</v>
      </c>
      <c r="BY208" s="262">
        <f>IF([1]RENAME!$H$3=0,BY1,TEXT(BY1,"[$-en-US]mmm-AA;@"))</f>
        <v>44716</v>
      </c>
      <c r="BZ208" s="262">
        <f>IF([1]RENAME!$H$3=0,BZ1,TEXT(BZ1,"[$-en-US]mmm-AA;@"))</f>
        <v>44746</v>
      </c>
      <c r="CA208" s="262">
        <f>IF([1]RENAME!$H$3=0,CA1,TEXT(CA1,"[$-en-US]mmm-AA;@"))</f>
        <v>44774</v>
      </c>
      <c r="CB208" s="262">
        <f>IF([1]RENAME!$H$3=0,CB1,TEXT(CB1,"[$-en-US]mmm-AA;@"))</f>
        <v>44805</v>
      </c>
      <c r="CC208" s="262">
        <f>IF([1]RENAME!$H$3=0,CC1,TEXT(CC1,"[$-en-US]mmm-AA;@"))</f>
        <v>44835</v>
      </c>
      <c r="CD208" s="262">
        <f>IF([1]RENAME!$H$3=0,CD1,TEXT(CD1,"[$-en-US]mmm-AA;@"))</f>
        <v>44866</v>
      </c>
      <c r="CE208" s="262">
        <f>IF([1]RENAME!$H$3=0,CE1,TEXT(CE1,"[$-en-US]mmm-AA;@"))</f>
        <v>44896</v>
      </c>
      <c r="CF208" s="262">
        <f>IF([1]RENAME!$H$3=0,CF1,TEXT(CF1,"[$-en-US]mmm-AA;@"))</f>
        <v>44927</v>
      </c>
      <c r="CG208"/>
      <c r="CH208"/>
      <c r="CI208"/>
      <c r="CJ208"/>
      <c r="CK208"/>
      <c r="CL208"/>
      <c r="CM208"/>
      <c r="CN208"/>
      <c r="CO208"/>
      <c r="CP208"/>
      <c r="CQ208"/>
      <c r="CR208"/>
      <c r="CS208"/>
      <c r="CT208"/>
      <c r="CU208"/>
      <c r="CV208"/>
      <c r="CW208"/>
      <c r="CX208"/>
      <c r="CY208"/>
      <c r="CZ208"/>
      <c r="DA208"/>
      <c r="DB208"/>
      <c r="DC208"/>
      <c r="DD208"/>
      <c r="DE208"/>
      <c r="DF208"/>
      <c r="DG208"/>
    </row>
    <row r="209" spans="1:126" x14ac:dyDescent="0.25">
      <c r="A209" s="261" t="s">
        <v>542</v>
      </c>
      <c r="B209" s="261" t="s">
        <v>542</v>
      </c>
      <c r="D209" s="117" t="str">
        <f>IF([1]RENAME!$H$3=1,B209,A209)</f>
        <v>SANTANDER</v>
      </c>
      <c r="E209" s="344" t="s">
        <v>160</v>
      </c>
      <c r="F209" s="344" t="s">
        <v>160</v>
      </c>
      <c r="G209" s="344" t="s">
        <v>160</v>
      </c>
      <c r="H209" s="344" t="s">
        <v>160</v>
      </c>
      <c r="I209" s="344" t="s">
        <v>160</v>
      </c>
      <c r="J209" s="344" t="s">
        <v>160</v>
      </c>
      <c r="K209" s="344" t="s">
        <v>160</v>
      </c>
      <c r="L209" s="344" t="s">
        <v>160</v>
      </c>
      <c r="M209" s="344" t="s">
        <v>160</v>
      </c>
      <c r="N209" s="344" t="s">
        <v>160</v>
      </c>
      <c r="O209" s="344" t="s">
        <v>160</v>
      </c>
      <c r="P209" s="344" t="s">
        <v>160</v>
      </c>
      <c r="Q209" s="344" t="s">
        <v>160</v>
      </c>
      <c r="R209" s="344" t="s">
        <v>160</v>
      </c>
      <c r="S209" s="344" t="s">
        <v>160</v>
      </c>
      <c r="T209" s="344" t="s">
        <v>160</v>
      </c>
      <c r="U209" s="344" t="s">
        <v>160</v>
      </c>
      <c r="V209" s="344" t="s">
        <v>160</v>
      </c>
      <c r="W209" s="949" t="s">
        <v>160</v>
      </c>
      <c r="X209" s="949" t="s">
        <v>160</v>
      </c>
      <c r="Y209" s="949" t="s">
        <v>160</v>
      </c>
      <c r="Z209" s="949" t="s">
        <v>160</v>
      </c>
      <c r="AA209" s="949" t="s">
        <v>160</v>
      </c>
      <c r="AB209" s="949" t="s">
        <v>160</v>
      </c>
      <c r="AC209" s="949" t="s">
        <v>160</v>
      </c>
      <c r="AD209" s="949" t="s">
        <v>160</v>
      </c>
      <c r="AE209" s="949" t="s">
        <v>160</v>
      </c>
      <c r="AF209" s="949" t="s">
        <v>160</v>
      </c>
      <c r="AG209" s="949" t="s">
        <v>160</v>
      </c>
      <c r="AH209" s="949" t="s">
        <v>160</v>
      </c>
      <c r="AI209" s="949" t="s">
        <v>160</v>
      </c>
      <c r="AJ209" s="949" t="s">
        <v>160</v>
      </c>
      <c r="AK209" s="949" t="s">
        <v>160</v>
      </c>
      <c r="AL209" s="949" t="s">
        <v>160</v>
      </c>
      <c r="AM209" s="949" t="s">
        <v>160</v>
      </c>
      <c r="AN209" s="949" t="s">
        <v>160</v>
      </c>
      <c r="AO209" s="949" t="s">
        <v>160</v>
      </c>
      <c r="AP209" s="949" t="s">
        <v>160</v>
      </c>
      <c r="AQ209" s="949" t="s">
        <v>160</v>
      </c>
      <c r="AR209" s="949" t="s">
        <v>160</v>
      </c>
      <c r="AS209" s="949" t="s">
        <v>160</v>
      </c>
      <c r="AT209" s="949" t="s">
        <v>160</v>
      </c>
      <c r="AU209" s="949" t="s">
        <v>160</v>
      </c>
      <c r="AV209" s="949" t="s">
        <v>160</v>
      </c>
      <c r="AW209" s="949" t="s">
        <v>160</v>
      </c>
      <c r="AX209" s="949" t="s">
        <v>160</v>
      </c>
      <c r="AY209" s="950" t="s">
        <v>160</v>
      </c>
      <c r="AZ209" s="949" t="s">
        <v>160</v>
      </c>
      <c r="BA209" s="949" t="s">
        <v>160</v>
      </c>
      <c r="BB209" s="949" t="s">
        <v>160</v>
      </c>
      <c r="BC209" s="949" t="s">
        <v>160</v>
      </c>
      <c r="BD209" s="949" t="s">
        <v>160</v>
      </c>
      <c r="BE209" s="949" t="s">
        <v>160</v>
      </c>
      <c r="BF209" s="949" t="s">
        <v>160</v>
      </c>
      <c r="BG209" s="949" t="s">
        <v>160</v>
      </c>
      <c r="BH209" s="949" t="s">
        <v>160</v>
      </c>
      <c r="BI209" s="949" t="s">
        <v>160</v>
      </c>
      <c r="BJ209" s="949" t="s">
        <v>160</v>
      </c>
      <c r="BK209" s="949" t="s">
        <v>160</v>
      </c>
      <c r="BL209" s="949" t="s">
        <v>160</v>
      </c>
      <c r="BM209" s="949" t="s">
        <v>160</v>
      </c>
      <c r="BN209" s="949" t="s">
        <v>160</v>
      </c>
      <c r="BO209" s="949" t="s">
        <v>160</v>
      </c>
      <c r="BP209" s="949" t="s">
        <v>160</v>
      </c>
      <c r="BQ209" s="949" t="s">
        <v>160</v>
      </c>
      <c r="BR209" s="949" t="s">
        <v>160</v>
      </c>
      <c r="BS209" s="949">
        <v>18.5</v>
      </c>
      <c r="BT209" s="949">
        <v>18.5</v>
      </c>
      <c r="BU209" s="949">
        <v>18.5</v>
      </c>
      <c r="BV209" s="949">
        <v>18.5</v>
      </c>
      <c r="BW209" s="949">
        <v>19.5</v>
      </c>
      <c r="BX209" s="949">
        <v>19.5</v>
      </c>
      <c r="BY209" s="949">
        <v>19.5</v>
      </c>
      <c r="BZ209" s="949">
        <v>19.5</v>
      </c>
      <c r="CA209" s="949">
        <v>19.5</v>
      </c>
      <c r="CB209" s="596">
        <v>19.5</v>
      </c>
      <c r="CC209" s="596">
        <v>19.5</v>
      </c>
      <c r="CD209" s="596">
        <v>19.5</v>
      </c>
      <c r="CE209" s="596">
        <v>19.5</v>
      </c>
      <c r="CF209" s="596">
        <v>19.5</v>
      </c>
      <c r="CG209"/>
      <c r="CH209"/>
      <c r="CI209"/>
      <c r="CJ209"/>
      <c r="CK209"/>
      <c r="CL209"/>
      <c r="CM209"/>
      <c r="CN209"/>
      <c r="CO209"/>
      <c r="CP209"/>
      <c r="CQ209"/>
      <c r="CR209"/>
      <c r="CS209"/>
      <c r="CT209"/>
      <c r="CU209"/>
      <c r="CV209"/>
      <c r="CW209"/>
      <c r="CX209"/>
      <c r="CY209"/>
      <c r="CZ209"/>
      <c r="DA209"/>
      <c r="DB209"/>
      <c r="DC209"/>
      <c r="DD209"/>
      <c r="DE209"/>
      <c r="DF209"/>
      <c r="DG209"/>
    </row>
    <row r="210" spans="1:126" x14ac:dyDescent="0.25">
      <c r="A210" s="261" t="s">
        <v>546</v>
      </c>
      <c r="B210" s="261" t="s">
        <v>546</v>
      </c>
      <c r="D210" s="117" t="str">
        <f>IF([1]RENAME!$H$3=1,B210,A210)</f>
        <v>BTG PACTUAL</v>
      </c>
      <c r="E210" s="351" t="s">
        <v>160</v>
      </c>
      <c r="F210" s="351" t="s">
        <v>160</v>
      </c>
      <c r="G210" s="351" t="s">
        <v>160</v>
      </c>
      <c r="H210" s="351" t="s">
        <v>160</v>
      </c>
      <c r="I210" s="351" t="s">
        <v>160</v>
      </c>
      <c r="J210" s="351" t="s">
        <v>160</v>
      </c>
      <c r="K210" s="351" t="s">
        <v>160</v>
      </c>
      <c r="L210" s="351" t="s">
        <v>160</v>
      </c>
      <c r="M210" s="351" t="s">
        <v>160</v>
      </c>
      <c r="N210" s="351" t="s">
        <v>160</v>
      </c>
      <c r="O210" s="351" t="s">
        <v>160</v>
      </c>
      <c r="P210" s="351" t="s">
        <v>160</v>
      </c>
      <c r="Q210" s="351" t="s">
        <v>160</v>
      </c>
      <c r="R210" s="351" t="s">
        <v>160</v>
      </c>
      <c r="S210" s="351" t="s">
        <v>160</v>
      </c>
      <c r="T210" s="351" t="s">
        <v>160</v>
      </c>
      <c r="U210" s="351" t="s">
        <v>160</v>
      </c>
      <c r="V210" s="351" t="s">
        <v>160</v>
      </c>
      <c r="W210" s="351" t="s">
        <v>160</v>
      </c>
      <c r="X210" s="351" t="s">
        <v>160</v>
      </c>
      <c r="Y210" s="351" t="s">
        <v>160</v>
      </c>
      <c r="Z210" s="351" t="s">
        <v>160</v>
      </c>
      <c r="AA210" s="351" t="s">
        <v>160</v>
      </c>
      <c r="AB210" s="596" t="s">
        <v>160</v>
      </c>
      <c r="AC210" s="351" t="s">
        <v>160</v>
      </c>
      <c r="AD210" s="351" t="s">
        <v>160</v>
      </c>
      <c r="AE210" s="351" t="s">
        <v>160</v>
      </c>
      <c r="AF210" s="351" t="s">
        <v>160</v>
      </c>
      <c r="AG210" s="351" t="s">
        <v>160</v>
      </c>
      <c r="AH210" s="351" t="s">
        <v>160</v>
      </c>
      <c r="AI210" s="351" t="s">
        <v>160</v>
      </c>
      <c r="AJ210" s="351" t="s">
        <v>160</v>
      </c>
      <c r="AK210" s="351" t="s">
        <v>160</v>
      </c>
      <c r="AL210" s="351" t="s">
        <v>160</v>
      </c>
      <c r="AM210" s="351" t="s">
        <v>160</v>
      </c>
      <c r="AN210" s="351" t="s">
        <v>160</v>
      </c>
      <c r="AO210" s="351" t="s">
        <v>160</v>
      </c>
      <c r="AP210" s="351" t="s">
        <v>160</v>
      </c>
      <c r="AQ210" s="351" t="s">
        <v>160</v>
      </c>
      <c r="AR210" s="351" t="s">
        <v>160</v>
      </c>
      <c r="AS210" s="351" t="s">
        <v>160</v>
      </c>
      <c r="AT210" s="351" t="s">
        <v>160</v>
      </c>
      <c r="AU210" s="351" t="s">
        <v>160</v>
      </c>
      <c r="AV210" s="351" t="s">
        <v>160</v>
      </c>
      <c r="AW210" s="351" t="s">
        <v>160</v>
      </c>
      <c r="AX210" s="351" t="s">
        <v>160</v>
      </c>
      <c r="AY210" s="1020" t="s">
        <v>160</v>
      </c>
      <c r="AZ210" s="596" t="s">
        <v>160</v>
      </c>
      <c r="BA210" s="596" t="s">
        <v>160</v>
      </c>
      <c r="BB210" s="596" t="s">
        <v>160</v>
      </c>
      <c r="BC210" s="596" t="s">
        <v>160</v>
      </c>
      <c r="BD210" s="596" t="s">
        <v>160</v>
      </c>
      <c r="BE210" s="596" t="s">
        <v>160</v>
      </c>
      <c r="BF210" s="596" t="s">
        <v>160</v>
      </c>
      <c r="BG210" s="596" t="s">
        <v>160</v>
      </c>
      <c r="BH210" s="596" t="s">
        <v>160</v>
      </c>
      <c r="BI210" s="596" t="s">
        <v>160</v>
      </c>
      <c r="BJ210" s="596" t="s">
        <v>160</v>
      </c>
      <c r="BK210" s="596" t="s">
        <v>160</v>
      </c>
      <c r="BL210" s="596" t="s">
        <v>160</v>
      </c>
      <c r="BM210" s="596" t="s">
        <v>160</v>
      </c>
      <c r="BN210" s="596" t="s">
        <v>160</v>
      </c>
      <c r="BO210" s="596" t="s">
        <v>160</v>
      </c>
      <c r="BP210" s="596" t="s">
        <v>160</v>
      </c>
      <c r="BQ210" s="596" t="s">
        <v>160</v>
      </c>
      <c r="BR210" s="596" t="s">
        <v>160</v>
      </c>
      <c r="BS210" s="846">
        <v>23</v>
      </c>
      <c r="BT210" s="846">
        <v>23</v>
      </c>
      <c r="BU210" s="596">
        <v>23</v>
      </c>
      <c r="BV210" s="596">
        <v>23</v>
      </c>
      <c r="BW210" s="596">
        <v>24</v>
      </c>
      <c r="BX210" s="596">
        <v>24</v>
      </c>
      <c r="BY210" s="596">
        <v>24</v>
      </c>
      <c r="BZ210" s="596">
        <v>24</v>
      </c>
      <c r="CA210" s="596">
        <v>24</v>
      </c>
      <c r="CB210" s="596">
        <v>24</v>
      </c>
      <c r="CC210" s="596">
        <v>24</v>
      </c>
      <c r="CD210" s="596">
        <v>24</v>
      </c>
      <c r="CE210" s="596">
        <v>24</v>
      </c>
      <c r="CF210" s="596">
        <v>24</v>
      </c>
      <c r="CG210"/>
      <c r="CH210"/>
      <c r="CI210"/>
      <c r="CJ210"/>
      <c r="CK210"/>
      <c r="CL210"/>
      <c r="CM210"/>
      <c r="CN210"/>
      <c r="CO210"/>
      <c r="CP210"/>
      <c r="CQ210"/>
      <c r="CR210"/>
      <c r="CS210"/>
      <c r="CT210"/>
      <c r="CU210"/>
      <c r="CV210"/>
      <c r="CW210"/>
      <c r="CX210"/>
      <c r="CY210"/>
      <c r="CZ210"/>
      <c r="DA210"/>
      <c r="DB210"/>
      <c r="DC210"/>
      <c r="DD210"/>
      <c r="DE210"/>
      <c r="DF210"/>
      <c r="DG210"/>
    </row>
    <row r="211" spans="1:126" x14ac:dyDescent="0.25">
      <c r="A211" s="261" t="s">
        <v>574</v>
      </c>
      <c r="B211" s="261" t="s">
        <v>574</v>
      </c>
      <c r="D211" s="117" t="str">
        <f>IF([1]RENAME!$H$3=1,B211,A211)</f>
        <v>SAFRA</v>
      </c>
      <c r="E211" s="351" t="s">
        <v>160</v>
      </c>
      <c r="F211" s="351" t="s">
        <v>160</v>
      </c>
      <c r="G211" s="351" t="s">
        <v>160</v>
      </c>
      <c r="H211" s="351" t="s">
        <v>160</v>
      </c>
      <c r="I211" s="351" t="s">
        <v>160</v>
      </c>
      <c r="J211" s="351" t="s">
        <v>160</v>
      </c>
      <c r="K211" s="351" t="s">
        <v>160</v>
      </c>
      <c r="L211" s="351" t="s">
        <v>160</v>
      </c>
      <c r="M211" s="351" t="s">
        <v>160</v>
      </c>
      <c r="N211" s="351" t="s">
        <v>160</v>
      </c>
      <c r="O211" s="351" t="s">
        <v>160</v>
      </c>
      <c r="P211" s="351" t="s">
        <v>160</v>
      </c>
      <c r="Q211" s="351" t="s">
        <v>160</v>
      </c>
      <c r="R211" s="351" t="s">
        <v>160</v>
      </c>
      <c r="S211" s="351" t="s">
        <v>160</v>
      </c>
      <c r="T211" s="351" t="s">
        <v>160</v>
      </c>
      <c r="U211" s="351" t="s">
        <v>160</v>
      </c>
      <c r="V211" s="351" t="s">
        <v>160</v>
      </c>
      <c r="W211" s="351" t="s">
        <v>160</v>
      </c>
      <c r="X211" s="351" t="s">
        <v>160</v>
      </c>
      <c r="Y211" s="596" t="s">
        <v>160</v>
      </c>
      <c r="Z211" s="596" t="s">
        <v>160</v>
      </c>
      <c r="AA211" s="596" t="s">
        <v>160</v>
      </c>
      <c r="AB211" s="596" t="s">
        <v>160</v>
      </c>
      <c r="AC211" s="596" t="s">
        <v>160</v>
      </c>
      <c r="AD211" s="596" t="s">
        <v>160</v>
      </c>
      <c r="AE211" s="596" t="s">
        <v>160</v>
      </c>
      <c r="AF211" s="596" t="s">
        <v>160</v>
      </c>
      <c r="AG211" s="596" t="s">
        <v>160</v>
      </c>
      <c r="AH211" s="596" t="s">
        <v>160</v>
      </c>
      <c r="AI211" s="596" t="s">
        <v>160</v>
      </c>
      <c r="AJ211" s="596" t="s">
        <v>160</v>
      </c>
      <c r="AK211" s="596" t="s">
        <v>160</v>
      </c>
      <c r="AL211" s="596" t="s">
        <v>160</v>
      </c>
      <c r="AM211" s="596" t="s">
        <v>160</v>
      </c>
      <c r="AN211" s="596" t="s">
        <v>160</v>
      </c>
      <c r="AO211" s="596" t="s">
        <v>160</v>
      </c>
      <c r="AP211" s="596" t="s">
        <v>160</v>
      </c>
      <c r="AQ211" s="596" t="s">
        <v>160</v>
      </c>
      <c r="AR211" s="596" t="s">
        <v>160</v>
      </c>
      <c r="AS211" s="596" t="s">
        <v>160</v>
      </c>
      <c r="AT211" s="596" t="s">
        <v>160</v>
      </c>
      <c r="AU211" s="596" t="s">
        <v>160</v>
      </c>
      <c r="AV211" s="596" t="s">
        <v>160</v>
      </c>
      <c r="AW211" s="596" t="s">
        <v>160</v>
      </c>
      <c r="AX211" s="596" t="s">
        <v>160</v>
      </c>
      <c r="AY211" s="1020" t="s">
        <v>160</v>
      </c>
      <c r="AZ211" s="596" t="s">
        <v>160</v>
      </c>
      <c r="BA211" s="596" t="s">
        <v>160</v>
      </c>
      <c r="BB211" s="596" t="s">
        <v>160</v>
      </c>
      <c r="BC211" s="596" t="s">
        <v>160</v>
      </c>
      <c r="BD211" s="596" t="s">
        <v>160</v>
      </c>
      <c r="BE211" s="596" t="s">
        <v>160</v>
      </c>
      <c r="BF211" s="596" t="s">
        <v>160</v>
      </c>
      <c r="BG211" s="596" t="s">
        <v>160</v>
      </c>
      <c r="BH211" s="596" t="s">
        <v>160</v>
      </c>
      <c r="BI211" s="596" t="s">
        <v>160</v>
      </c>
      <c r="BJ211" s="596" t="s">
        <v>160</v>
      </c>
      <c r="BK211" s="596" t="s">
        <v>160</v>
      </c>
      <c r="BL211" s="596" t="s">
        <v>160</v>
      </c>
      <c r="BM211" s="596" t="s">
        <v>160</v>
      </c>
      <c r="BN211" s="596" t="s">
        <v>160</v>
      </c>
      <c r="BO211" s="596" t="s">
        <v>160</v>
      </c>
      <c r="BP211" s="596" t="s">
        <v>160</v>
      </c>
      <c r="BQ211" s="596" t="s">
        <v>160</v>
      </c>
      <c r="BR211" s="596" t="s">
        <v>160</v>
      </c>
      <c r="BS211" s="596" t="s">
        <v>160</v>
      </c>
      <c r="BT211" s="596" t="s">
        <v>160</v>
      </c>
      <c r="BU211" s="596" t="s">
        <v>160</v>
      </c>
      <c r="BV211" s="596" t="s">
        <v>160</v>
      </c>
      <c r="BW211" s="596" t="s">
        <v>160</v>
      </c>
      <c r="BX211" s="596" t="s">
        <v>160</v>
      </c>
      <c r="BY211" s="596" t="s">
        <v>160</v>
      </c>
      <c r="BZ211" s="596" t="s">
        <v>160</v>
      </c>
      <c r="CA211" s="596" t="s">
        <v>160</v>
      </c>
      <c r="CB211" s="596" t="s">
        <v>160</v>
      </c>
      <c r="CC211" s="596" t="s">
        <v>160</v>
      </c>
      <c r="CD211" s="596" t="s">
        <v>160</v>
      </c>
      <c r="CE211" s="596" t="s">
        <v>160</v>
      </c>
      <c r="CF211" s="596" t="s">
        <v>160</v>
      </c>
      <c r="CG211"/>
      <c r="CH211"/>
      <c r="CI211"/>
      <c r="CJ211"/>
      <c r="CK211"/>
      <c r="CL211"/>
      <c r="CM211"/>
      <c r="CN211"/>
      <c r="CO211"/>
      <c r="CP211"/>
      <c r="CQ211"/>
      <c r="CR211"/>
      <c r="CS211"/>
      <c r="CT211"/>
      <c r="CU211"/>
      <c r="CV211"/>
      <c r="CW211"/>
      <c r="CX211"/>
      <c r="CY211"/>
      <c r="CZ211"/>
      <c r="DA211"/>
      <c r="DB211"/>
      <c r="DC211"/>
      <c r="DD211"/>
      <c r="DE211"/>
      <c r="DF211"/>
      <c r="DG211"/>
    </row>
    <row r="212" spans="1:126" x14ac:dyDescent="0.25">
      <c r="A212" s="261" t="s">
        <v>547</v>
      </c>
      <c r="B212" s="261" t="s">
        <v>547</v>
      </c>
      <c r="D212" s="117" t="str">
        <f>IF([1]RENAME!$H$3=1,B212,A212)</f>
        <v>ITAÚ</v>
      </c>
      <c r="E212" s="344" t="s">
        <v>160</v>
      </c>
      <c r="F212" s="344" t="s">
        <v>160</v>
      </c>
      <c r="G212" s="344" t="s">
        <v>160</v>
      </c>
      <c r="H212" s="344" t="s">
        <v>160</v>
      </c>
      <c r="I212" s="344" t="s">
        <v>160</v>
      </c>
      <c r="J212" s="344" t="s">
        <v>160</v>
      </c>
      <c r="K212" s="344" t="s">
        <v>160</v>
      </c>
      <c r="L212" s="344" t="s">
        <v>160</v>
      </c>
      <c r="M212" s="344" t="s">
        <v>160</v>
      </c>
      <c r="N212" s="344" t="s">
        <v>160</v>
      </c>
      <c r="O212" s="344" t="s">
        <v>160</v>
      </c>
      <c r="P212" s="344" t="s">
        <v>160</v>
      </c>
      <c r="Q212" s="344" t="s">
        <v>160</v>
      </c>
      <c r="R212" s="344" t="s">
        <v>160</v>
      </c>
      <c r="S212" s="344" t="s">
        <v>160</v>
      </c>
      <c r="T212" s="344" t="s">
        <v>160</v>
      </c>
      <c r="U212" s="344" t="s">
        <v>160</v>
      </c>
      <c r="V212" s="344" t="s">
        <v>160</v>
      </c>
      <c r="W212" s="344" t="s">
        <v>160</v>
      </c>
      <c r="X212" s="949" t="s">
        <v>160</v>
      </c>
      <c r="Y212" s="949" t="s">
        <v>160</v>
      </c>
      <c r="Z212" s="949" t="s">
        <v>160</v>
      </c>
      <c r="AA212" s="949" t="s">
        <v>160</v>
      </c>
      <c r="AB212" s="949" t="s">
        <v>160</v>
      </c>
      <c r="AC212" s="949" t="s">
        <v>160</v>
      </c>
      <c r="AD212" s="949" t="s">
        <v>160</v>
      </c>
      <c r="AE212" s="949" t="s">
        <v>160</v>
      </c>
      <c r="AF212" s="949" t="s">
        <v>160</v>
      </c>
      <c r="AG212" s="949" t="s">
        <v>160</v>
      </c>
      <c r="AH212" s="949" t="s">
        <v>160</v>
      </c>
      <c r="AI212" s="949" t="s">
        <v>160</v>
      </c>
      <c r="AJ212" s="949" t="s">
        <v>160</v>
      </c>
      <c r="AK212" s="949" t="s">
        <v>160</v>
      </c>
      <c r="AL212" s="949" t="s">
        <v>160</v>
      </c>
      <c r="AM212" s="949" t="s">
        <v>160</v>
      </c>
      <c r="AN212" s="949" t="s">
        <v>160</v>
      </c>
      <c r="AO212" s="949" t="s">
        <v>160</v>
      </c>
      <c r="AP212" s="949" t="s">
        <v>160</v>
      </c>
      <c r="AQ212" s="949" t="s">
        <v>160</v>
      </c>
      <c r="AR212" s="949" t="s">
        <v>160</v>
      </c>
      <c r="AS212" s="949" t="s">
        <v>160</v>
      </c>
      <c r="AT212" s="949" t="s">
        <v>160</v>
      </c>
      <c r="AU212" s="949" t="s">
        <v>160</v>
      </c>
      <c r="AV212" s="949" t="s">
        <v>160</v>
      </c>
      <c r="AW212" s="949" t="s">
        <v>160</v>
      </c>
      <c r="AX212" s="949" t="s">
        <v>160</v>
      </c>
      <c r="AY212" s="950" t="s">
        <v>160</v>
      </c>
      <c r="AZ212" s="949" t="s">
        <v>160</v>
      </c>
      <c r="BA212" s="949" t="s">
        <v>160</v>
      </c>
      <c r="BB212" s="949" t="s">
        <v>160</v>
      </c>
      <c r="BC212" s="949" t="s">
        <v>160</v>
      </c>
      <c r="BD212" s="949" t="s">
        <v>160</v>
      </c>
      <c r="BE212" s="949" t="s">
        <v>160</v>
      </c>
      <c r="BF212" s="949" t="s">
        <v>160</v>
      </c>
      <c r="BG212" s="949" t="s">
        <v>160</v>
      </c>
      <c r="BH212" s="949" t="s">
        <v>160</v>
      </c>
      <c r="BI212" s="949" t="s">
        <v>160</v>
      </c>
      <c r="BJ212" s="949" t="s">
        <v>160</v>
      </c>
      <c r="BK212" s="949" t="s">
        <v>160</v>
      </c>
      <c r="BL212" s="949" t="s">
        <v>160</v>
      </c>
      <c r="BM212" s="949" t="s">
        <v>160</v>
      </c>
      <c r="BN212" s="949" t="s">
        <v>160</v>
      </c>
      <c r="BO212" s="949" t="s">
        <v>160</v>
      </c>
      <c r="BP212" s="949" t="s">
        <v>160</v>
      </c>
      <c r="BQ212" s="949" t="s">
        <v>160</v>
      </c>
      <c r="BR212" s="846">
        <v>22</v>
      </c>
      <c r="BS212" s="949">
        <v>22</v>
      </c>
      <c r="BT212" s="949">
        <v>22</v>
      </c>
      <c r="BU212" s="949">
        <v>22</v>
      </c>
      <c r="BV212" s="949">
        <v>22</v>
      </c>
      <c r="BW212" s="949">
        <v>23</v>
      </c>
      <c r="BX212" s="949">
        <v>23</v>
      </c>
      <c r="BY212" s="949">
        <v>23</v>
      </c>
      <c r="BZ212" s="949">
        <v>23</v>
      </c>
      <c r="CA212" s="949" t="s">
        <v>160</v>
      </c>
      <c r="CB212" s="596" t="s">
        <v>160</v>
      </c>
      <c r="CC212" s="596" t="s">
        <v>160</v>
      </c>
      <c r="CD212" s="596" t="s">
        <v>160</v>
      </c>
      <c r="CE212" s="596" t="s">
        <v>160</v>
      </c>
      <c r="CF212" s="596" t="s">
        <v>160</v>
      </c>
      <c r="CG212"/>
      <c r="CH212"/>
      <c r="CI212"/>
      <c r="CJ212"/>
      <c r="CK212"/>
      <c r="CL212"/>
      <c r="CM212"/>
      <c r="CN212"/>
      <c r="CO212"/>
      <c r="CP212"/>
      <c r="CQ212"/>
      <c r="CR212"/>
      <c r="CS212"/>
      <c r="CT212"/>
      <c r="CU212"/>
      <c r="CV212"/>
      <c r="CW212"/>
      <c r="CX212"/>
      <c r="CY212"/>
      <c r="CZ212"/>
      <c r="DA212"/>
      <c r="DB212"/>
      <c r="DC212"/>
      <c r="DD212"/>
      <c r="DE212"/>
      <c r="DF212"/>
      <c r="DG212"/>
    </row>
    <row r="213" spans="1:126" x14ac:dyDescent="0.25">
      <c r="D213" s="117" t="s">
        <v>1390</v>
      </c>
      <c r="E213" s="351" t="s">
        <v>160</v>
      </c>
      <c r="F213" s="351" t="s">
        <v>160</v>
      </c>
      <c r="G213" s="351" t="s">
        <v>160</v>
      </c>
      <c r="H213" s="351" t="s">
        <v>160</v>
      </c>
      <c r="I213" s="351" t="s">
        <v>160</v>
      </c>
      <c r="J213" s="351" t="s">
        <v>160</v>
      </c>
      <c r="K213" s="351" t="s">
        <v>160</v>
      </c>
      <c r="L213" s="351" t="s">
        <v>160</v>
      </c>
      <c r="M213" s="351" t="s">
        <v>160</v>
      </c>
      <c r="N213" s="351" t="s">
        <v>160</v>
      </c>
      <c r="O213" s="351" t="s">
        <v>160</v>
      </c>
      <c r="P213" s="351" t="s">
        <v>160</v>
      </c>
      <c r="Q213" s="351" t="s">
        <v>160</v>
      </c>
      <c r="R213" s="351" t="s">
        <v>160</v>
      </c>
      <c r="S213" s="351" t="s">
        <v>160</v>
      </c>
      <c r="T213" s="351" t="s">
        <v>160</v>
      </c>
      <c r="U213" s="351" t="s">
        <v>160</v>
      </c>
      <c r="V213" s="351" t="s">
        <v>160</v>
      </c>
      <c r="W213" s="351" t="s">
        <v>160</v>
      </c>
      <c r="X213" s="351" t="s">
        <v>160</v>
      </c>
      <c r="Y213" s="596" t="s">
        <v>160</v>
      </c>
      <c r="Z213" s="596" t="s">
        <v>160</v>
      </c>
      <c r="AA213" s="596" t="s">
        <v>160</v>
      </c>
      <c r="AB213" s="596" t="s">
        <v>160</v>
      </c>
      <c r="AC213" s="596" t="s">
        <v>160</v>
      </c>
      <c r="AD213" s="596" t="s">
        <v>160</v>
      </c>
      <c r="AE213" s="596" t="s">
        <v>160</v>
      </c>
      <c r="AF213" s="596" t="s">
        <v>160</v>
      </c>
      <c r="AG213" s="596" t="s">
        <v>160</v>
      </c>
      <c r="AH213" s="596" t="s">
        <v>160</v>
      </c>
      <c r="AI213" s="596" t="s">
        <v>160</v>
      </c>
      <c r="AJ213" s="596" t="s">
        <v>160</v>
      </c>
      <c r="AK213" s="596" t="s">
        <v>160</v>
      </c>
      <c r="AL213" s="596" t="s">
        <v>160</v>
      </c>
      <c r="AM213" s="596" t="s">
        <v>160</v>
      </c>
      <c r="AN213" s="596" t="s">
        <v>160</v>
      </c>
      <c r="AO213" s="596" t="s">
        <v>160</v>
      </c>
      <c r="AP213" s="596" t="s">
        <v>160</v>
      </c>
      <c r="AQ213" s="596" t="s">
        <v>160</v>
      </c>
      <c r="AR213" s="596" t="s">
        <v>160</v>
      </c>
      <c r="AS213" s="596" t="s">
        <v>160</v>
      </c>
      <c r="AT213" s="596" t="s">
        <v>160</v>
      </c>
      <c r="AU213" s="596" t="s">
        <v>160</v>
      </c>
      <c r="AV213" s="596" t="s">
        <v>160</v>
      </c>
      <c r="AW213" s="596" t="s">
        <v>160</v>
      </c>
      <c r="AX213" s="596" t="s">
        <v>160</v>
      </c>
      <c r="AY213" s="1020" t="s">
        <v>160</v>
      </c>
      <c r="AZ213" s="596" t="s">
        <v>160</v>
      </c>
      <c r="BA213" s="596" t="s">
        <v>160</v>
      </c>
      <c r="BB213" s="596" t="s">
        <v>160</v>
      </c>
      <c r="BC213" s="596" t="s">
        <v>160</v>
      </c>
      <c r="BD213" s="596" t="s">
        <v>160</v>
      </c>
      <c r="BE213" s="596" t="s">
        <v>160</v>
      </c>
      <c r="BF213" s="596" t="s">
        <v>160</v>
      </c>
      <c r="BG213" s="596" t="s">
        <v>160</v>
      </c>
      <c r="BH213" s="596" t="s">
        <v>160</v>
      </c>
      <c r="BI213" s="596" t="s">
        <v>160</v>
      </c>
      <c r="BJ213" s="596" t="s">
        <v>160</v>
      </c>
      <c r="BK213" s="596" t="s">
        <v>160</v>
      </c>
      <c r="BL213" s="596" t="s">
        <v>160</v>
      </c>
      <c r="BM213" s="596" t="s">
        <v>160</v>
      </c>
      <c r="BN213" s="596" t="s">
        <v>160</v>
      </c>
      <c r="BO213" s="596" t="s">
        <v>160</v>
      </c>
      <c r="BP213" s="596">
        <v>25</v>
      </c>
      <c r="BQ213" s="596">
        <v>25</v>
      </c>
      <c r="BR213" s="596">
        <v>25</v>
      </c>
      <c r="BS213" s="596">
        <v>25</v>
      </c>
      <c r="BT213" s="596">
        <v>25</v>
      </c>
      <c r="BU213" s="596">
        <v>25</v>
      </c>
      <c r="BV213" s="596">
        <v>20</v>
      </c>
      <c r="BW213" s="596">
        <v>21</v>
      </c>
      <c r="BX213" s="596">
        <v>21</v>
      </c>
      <c r="BY213" s="596">
        <v>21</v>
      </c>
      <c r="BZ213" s="596">
        <v>21</v>
      </c>
      <c r="CA213" s="596">
        <v>21</v>
      </c>
      <c r="CB213" s="596">
        <v>21</v>
      </c>
      <c r="CC213" s="596">
        <v>21</v>
      </c>
      <c r="CD213" s="596">
        <v>21</v>
      </c>
      <c r="CE213" s="596">
        <v>21</v>
      </c>
      <c r="CF213" s="596">
        <v>21</v>
      </c>
      <c r="CG213"/>
      <c r="CH213"/>
      <c r="CI213"/>
      <c r="CJ213"/>
      <c r="CK213"/>
      <c r="CL213"/>
      <c r="CM213"/>
      <c r="CN213"/>
      <c r="CO213"/>
      <c r="CP213"/>
      <c r="CQ213"/>
      <c r="CR213"/>
      <c r="CS213"/>
      <c r="CT213"/>
      <c r="CU213"/>
      <c r="CV213"/>
      <c r="CW213"/>
      <c r="CX213"/>
      <c r="CY213"/>
      <c r="CZ213"/>
      <c r="DA213"/>
      <c r="DB213"/>
      <c r="DC213"/>
      <c r="DD213"/>
      <c r="DE213"/>
      <c r="DF213"/>
      <c r="DG213"/>
    </row>
    <row r="214" spans="1:126" x14ac:dyDescent="0.25">
      <c r="A214" s="1088" t="s">
        <v>545</v>
      </c>
      <c r="B214" s="1088" t="s">
        <v>545</v>
      </c>
      <c r="C214" s="1088"/>
      <c r="D214" s="779" t="str">
        <f>IF([1]RENAME!$H$3=1,B214,A214)</f>
        <v>BAML</v>
      </c>
      <c r="E214" s="1101" t="s">
        <v>160</v>
      </c>
      <c r="F214" s="1101" t="s">
        <v>160</v>
      </c>
      <c r="G214" s="1101" t="s">
        <v>160</v>
      </c>
      <c r="H214" s="1101" t="s">
        <v>160</v>
      </c>
      <c r="I214" s="1101" t="s">
        <v>160</v>
      </c>
      <c r="J214" s="1101" t="s">
        <v>160</v>
      </c>
      <c r="K214" s="1101" t="s">
        <v>160</v>
      </c>
      <c r="L214" s="1102" t="s">
        <v>160</v>
      </c>
      <c r="M214" s="1102" t="s">
        <v>160</v>
      </c>
      <c r="N214" s="1102" t="s">
        <v>160</v>
      </c>
      <c r="O214" s="1102" t="s">
        <v>160</v>
      </c>
      <c r="P214" s="1102" t="s">
        <v>160</v>
      </c>
      <c r="Q214" s="1102" t="s">
        <v>160</v>
      </c>
      <c r="R214" s="1102" t="s">
        <v>160</v>
      </c>
      <c r="S214" s="1102" t="s">
        <v>160</v>
      </c>
      <c r="T214" s="1102" t="s">
        <v>160</v>
      </c>
      <c r="U214" s="1102" t="s">
        <v>160</v>
      </c>
      <c r="V214" s="1102" t="s">
        <v>160</v>
      </c>
      <c r="W214" s="1102" t="s">
        <v>160</v>
      </c>
      <c r="X214" s="1102" t="s">
        <v>160</v>
      </c>
      <c r="Y214" s="1102" t="s">
        <v>160</v>
      </c>
      <c r="Z214" s="1102" t="s">
        <v>160</v>
      </c>
      <c r="AA214" s="1102" t="s">
        <v>160</v>
      </c>
      <c r="AB214" s="1102" t="s">
        <v>160</v>
      </c>
      <c r="AC214" s="1102" t="s">
        <v>160</v>
      </c>
      <c r="AD214" s="1102" t="s">
        <v>160</v>
      </c>
      <c r="AE214" s="1102" t="s">
        <v>160</v>
      </c>
      <c r="AF214" s="1102" t="s">
        <v>160</v>
      </c>
      <c r="AG214" s="1102" t="s">
        <v>160</v>
      </c>
      <c r="AH214" s="1102" t="s">
        <v>160</v>
      </c>
      <c r="AI214" s="1102" t="s">
        <v>160</v>
      </c>
      <c r="AJ214" s="1102" t="s">
        <v>160</v>
      </c>
      <c r="AK214" s="1102" t="s">
        <v>160</v>
      </c>
      <c r="AL214" s="1102" t="s">
        <v>160</v>
      </c>
      <c r="AM214" s="1102" t="s">
        <v>160</v>
      </c>
      <c r="AN214" s="1102" t="s">
        <v>160</v>
      </c>
      <c r="AO214" s="1102" t="s">
        <v>160</v>
      </c>
      <c r="AP214" s="1102" t="s">
        <v>160</v>
      </c>
      <c r="AQ214" s="1102" t="s">
        <v>160</v>
      </c>
      <c r="AR214" s="1102" t="s">
        <v>160</v>
      </c>
      <c r="AS214" s="1102" t="s">
        <v>160</v>
      </c>
      <c r="AT214" s="1102" t="s">
        <v>160</v>
      </c>
      <c r="AU214" s="1102" t="s">
        <v>160</v>
      </c>
      <c r="AV214" s="1102" t="s">
        <v>160</v>
      </c>
      <c r="AW214" s="1102" t="s">
        <v>160</v>
      </c>
      <c r="AX214" s="1103" t="s">
        <v>160</v>
      </c>
      <c r="AY214" s="1102" t="s">
        <v>160</v>
      </c>
      <c r="AZ214" s="1102" t="s">
        <v>160</v>
      </c>
      <c r="BA214" s="1102" t="s">
        <v>160</v>
      </c>
      <c r="BB214" s="1102" t="s">
        <v>160</v>
      </c>
      <c r="BC214" s="1102" t="s">
        <v>160</v>
      </c>
      <c r="BD214" s="1102" t="s">
        <v>160</v>
      </c>
      <c r="BE214" s="1102" t="s">
        <v>160</v>
      </c>
      <c r="BF214" s="1102" t="s">
        <v>160</v>
      </c>
      <c r="BG214" s="1102" t="s">
        <v>160</v>
      </c>
      <c r="BH214" s="1102" t="s">
        <v>160</v>
      </c>
      <c r="BI214" s="1102" t="s">
        <v>160</v>
      </c>
      <c r="BJ214" s="1102" t="s">
        <v>160</v>
      </c>
      <c r="BK214" s="1102" t="s">
        <v>160</v>
      </c>
      <c r="BL214" s="1102" t="s">
        <v>160</v>
      </c>
      <c r="BM214" s="1102" t="s">
        <v>160</v>
      </c>
      <c r="BN214" s="1102" t="s">
        <v>160</v>
      </c>
      <c r="BO214" s="1102" t="s">
        <v>160</v>
      </c>
      <c r="BP214" s="1102">
        <v>21</v>
      </c>
      <c r="BQ214" s="1102">
        <v>21</v>
      </c>
      <c r="BR214" s="1102">
        <v>21</v>
      </c>
      <c r="BS214" s="1102">
        <v>21</v>
      </c>
      <c r="BT214" s="1102">
        <v>18</v>
      </c>
      <c r="BU214" s="1102">
        <v>18</v>
      </c>
      <c r="BV214" s="1102" t="s">
        <v>160</v>
      </c>
      <c r="BW214" s="1102" t="s">
        <v>160</v>
      </c>
      <c r="BX214" s="1102" t="s">
        <v>160</v>
      </c>
      <c r="BY214" s="1102" t="s">
        <v>160</v>
      </c>
      <c r="BZ214" s="1102" t="s">
        <v>160</v>
      </c>
      <c r="CA214" s="1102" t="s">
        <v>160</v>
      </c>
      <c r="CB214" s="1102" t="s">
        <v>160</v>
      </c>
      <c r="CC214" s="1102" t="s">
        <v>160</v>
      </c>
      <c r="CD214" s="1102" t="s">
        <v>160</v>
      </c>
      <c r="CE214" s="1102" t="s">
        <v>160</v>
      </c>
      <c r="CF214" s="1102" t="s">
        <v>160</v>
      </c>
      <c r="CG214"/>
      <c r="CH214"/>
      <c r="CI214"/>
      <c r="CJ214"/>
      <c r="CK214"/>
      <c r="CL214"/>
      <c r="CM214"/>
      <c r="CN214"/>
      <c r="CO214"/>
      <c r="CP214"/>
      <c r="CQ214"/>
      <c r="CR214"/>
      <c r="CS214"/>
      <c r="CT214"/>
      <c r="CU214"/>
      <c r="CV214"/>
      <c r="CW214"/>
      <c r="CX214"/>
      <c r="CY214"/>
      <c r="CZ214"/>
      <c r="DA214"/>
      <c r="DB214"/>
      <c r="DC214"/>
      <c r="DD214"/>
      <c r="DE214"/>
      <c r="DF214"/>
      <c r="DG214"/>
    </row>
    <row r="215" spans="1:126" x14ac:dyDescent="0.25">
      <c r="A215" t="s">
        <v>557</v>
      </c>
      <c r="B215" t="s">
        <v>856</v>
      </c>
      <c r="C215"/>
      <c r="D215" s="277" t="str">
        <f>IF([1]RENAME!$H$3=1,B215,A215)</f>
        <v>Média</v>
      </c>
      <c r="E215" s="278" t="str">
        <f t="shared" ref="E215:AJ215" si="152">IFERROR(AVERAGE(E209:E213),"-")</f>
        <v>-</v>
      </c>
      <c r="F215" s="278" t="str">
        <f t="shared" si="152"/>
        <v>-</v>
      </c>
      <c r="G215" s="278" t="str">
        <f t="shared" si="152"/>
        <v>-</v>
      </c>
      <c r="H215" s="278" t="str">
        <f t="shared" si="152"/>
        <v>-</v>
      </c>
      <c r="I215" s="278" t="str">
        <f t="shared" si="152"/>
        <v>-</v>
      </c>
      <c r="J215" s="278" t="str">
        <f t="shared" si="152"/>
        <v>-</v>
      </c>
      <c r="K215" s="278" t="str">
        <f t="shared" si="152"/>
        <v>-</v>
      </c>
      <c r="L215" s="278" t="str">
        <f t="shared" si="152"/>
        <v>-</v>
      </c>
      <c r="M215" s="278" t="str">
        <f t="shared" si="152"/>
        <v>-</v>
      </c>
      <c r="N215" s="278" t="str">
        <f t="shared" si="152"/>
        <v>-</v>
      </c>
      <c r="O215" s="278" t="str">
        <f t="shared" si="152"/>
        <v>-</v>
      </c>
      <c r="P215" s="278" t="str">
        <f t="shared" si="152"/>
        <v>-</v>
      </c>
      <c r="Q215" s="278" t="str">
        <f t="shared" si="152"/>
        <v>-</v>
      </c>
      <c r="R215" s="278" t="str">
        <f t="shared" si="152"/>
        <v>-</v>
      </c>
      <c r="S215" s="278" t="str">
        <f t="shared" si="152"/>
        <v>-</v>
      </c>
      <c r="T215" s="278" t="str">
        <f t="shared" si="152"/>
        <v>-</v>
      </c>
      <c r="U215" s="278" t="str">
        <f t="shared" si="152"/>
        <v>-</v>
      </c>
      <c r="V215" s="278" t="str">
        <f t="shared" si="152"/>
        <v>-</v>
      </c>
      <c r="W215" s="278" t="str">
        <f t="shared" si="152"/>
        <v>-</v>
      </c>
      <c r="X215" s="278" t="str">
        <f t="shared" si="152"/>
        <v>-</v>
      </c>
      <c r="Y215" s="278" t="str">
        <f t="shared" si="152"/>
        <v>-</v>
      </c>
      <c r="Z215" s="278" t="str">
        <f t="shared" si="152"/>
        <v>-</v>
      </c>
      <c r="AA215" s="278" t="str">
        <f t="shared" si="152"/>
        <v>-</v>
      </c>
      <c r="AB215" s="278" t="str">
        <f t="shared" si="152"/>
        <v>-</v>
      </c>
      <c r="AC215" s="278" t="str">
        <f t="shared" si="152"/>
        <v>-</v>
      </c>
      <c r="AD215" s="278" t="str">
        <f t="shared" si="152"/>
        <v>-</v>
      </c>
      <c r="AE215" s="278" t="str">
        <f t="shared" si="152"/>
        <v>-</v>
      </c>
      <c r="AF215" s="278" t="str">
        <f t="shared" si="152"/>
        <v>-</v>
      </c>
      <c r="AG215" s="278" t="str">
        <f t="shared" si="152"/>
        <v>-</v>
      </c>
      <c r="AH215" s="278" t="str">
        <f t="shared" si="152"/>
        <v>-</v>
      </c>
      <c r="AI215" s="278" t="str">
        <f t="shared" si="152"/>
        <v>-</v>
      </c>
      <c r="AJ215" s="278" t="str">
        <f t="shared" si="152"/>
        <v>-</v>
      </c>
      <c r="AK215" s="278" t="str">
        <f t="shared" ref="AK215:BO215" si="153">IFERROR(AVERAGE(AK209:AK213),"-")</f>
        <v>-</v>
      </c>
      <c r="AL215" s="278" t="str">
        <f t="shared" si="153"/>
        <v>-</v>
      </c>
      <c r="AM215" s="278" t="str">
        <f t="shared" si="153"/>
        <v>-</v>
      </c>
      <c r="AN215" s="278" t="str">
        <f t="shared" si="153"/>
        <v>-</v>
      </c>
      <c r="AO215" s="278" t="str">
        <f t="shared" si="153"/>
        <v>-</v>
      </c>
      <c r="AP215" s="278" t="str">
        <f t="shared" si="153"/>
        <v>-</v>
      </c>
      <c r="AQ215" s="278" t="str">
        <f t="shared" si="153"/>
        <v>-</v>
      </c>
      <c r="AR215" s="278" t="str">
        <f t="shared" si="153"/>
        <v>-</v>
      </c>
      <c r="AS215" s="278" t="str">
        <f t="shared" si="153"/>
        <v>-</v>
      </c>
      <c r="AT215" s="278" t="str">
        <f t="shared" si="153"/>
        <v>-</v>
      </c>
      <c r="AU215" s="278" t="str">
        <f t="shared" si="153"/>
        <v>-</v>
      </c>
      <c r="AV215" s="278" t="str">
        <f t="shared" si="153"/>
        <v>-</v>
      </c>
      <c r="AW215" s="278" t="str">
        <f t="shared" si="153"/>
        <v>-</v>
      </c>
      <c r="AX215" s="278" t="str">
        <f t="shared" si="153"/>
        <v>-</v>
      </c>
      <c r="AY215" s="278" t="str">
        <f t="shared" si="153"/>
        <v>-</v>
      </c>
      <c r="AZ215" s="278" t="str">
        <f t="shared" si="153"/>
        <v>-</v>
      </c>
      <c r="BA215" s="278" t="str">
        <f t="shared" si="153"/>
        <v>-</v>
      </c>
      <c r="BB215" s="278" t="str">
        <f t="shared" si="153"/>
        <v>-</v>
      </c>
      <c r="BC215" s="278" t="str">
        <f t="shared" si="153"/>
        <v>-</v>
      </c>
      <c r="BD215" s="278" t="str">
        <f t="shared" si="153"/>
        <v>-</v>
      </c>
      <c r="BE215" s="278" t="str">
        <f t="shared" si="153"/>
        <v>-</v>
      </c>
      <c r="BF215" s="278" t="str">
        <f t="shared" si="153"/>
        <v>-</v>
      </c>
      <c r="BG215" s="278" t="str">
        <f t="shared" si="153"/>
        <v>-</v>
      </c>
      <c r="BH215" s="278" t="str">
        <f t="shared" si="153"/>
        <v>-</v>
      </c>
      <c r="BI215" s="278" t="str">
        <f t="shared" si="153"/>
        <v>-</v>
      </c>
      <c r="BJ215" s="278" t="str">
        <f t="shared" si="153"/>
        <v>-</v>
      </c>
      <c r="BK215" s="278" t="str">
        <f t="shared" si="153"/>
        <v>-</v>
      </c>
      <c r="BL215" s="278" t="str">
        <f t="shared" si="153"/>
        <v>-</v>
      </c>
      <c r="BM215" s="278" t="str">
        <f t="shared" si="153"/>
        <v>-</v>
      </c>
      <c r="BN215" s="278" t="str">
        <f t="shared" si="153"/>
        <v>-</v>
      </c>
      <c r="BO215" s="278" t="str">
        <f t="shared" si="153"/>
        <v>-</v>
      </c>
      <c r="BP215" s="278">
        <f>IFERROR(AVERAGE(BP209:BP214),"-")</f>
        <v>23</v>
      </c>
      <c r="BQ215" s="278">
        <f>IFERROR(AVERAGE(BQ209:BQ214),"-")</f>
        <v>23</v>
      </c>
      <c r="BR215" s="278">
        <f>IFERROR(AVERAGE(BR209:BR214),"-")</f>
        <v>22.666666666666668</v>
      </c>
      <c r="BS215" s="278">
        <f>IFERROR(AVERAGE(BS209:BS214),"-")</f>
        <v>21.9</v>
      </c>
      <c r="BT215" s="278">
        <f t="shared" ref="BT215:CE215" si="154">IFERROR(AVERAGE(BT209:BT214),"-")</f>
        <v>21.3</v>
      </c>
      <c r="BU215" s="278">
        <f t="shared" si="154"/>
        <v>21.3</v>
      </c>
      <c r="BV215" s="278">
        <f t="shared" si="154"/>
        <v>20.875</v>
      </c>
      <c r="BW215" s="278">
        <f t="shared" si="154"/>
        <v>21.875</v>
      </c>
      <c r="BX215" s="278">
        <f t="shared" si="154"/>
        <v>21.875</v>
      </c>
      <c r="BY215" s="278">
        <f t="shared" si="154"/>
        <v>21.875</v>
      </c>
      <c r="BZ215" s="278">
        <f t="shared" si="154"/>
        <v>21.875</v>
      </c>
      <c r="CA215" s="278">
        <f t="shared" si="154"/>
        <v>21.5</v>
      </c>
      <c r="CB215" s="814">
        <f t="shared" si="154"/>
        <v>21.5</v>
      </c>
      <c r="CC215" s="814">
        <f t="shared" si="154"/>
        <v>21.5</v>
      </c>
      <c r="CD215" s="814">
        <f t="shared" si="154"/>
        <v>21.5</v>
      </c>
      <c r="CE215" s="814">
        <f t="shared" si="154"/>
        <v>21.5</v>
      </c>
      <c r="CF215" s="814">
        <f>IFERROR(AVERAGE(CF209:CF214),"-")</f>
        <v>21.5</v>
      </c>
      <c r="CG215"/>
      <c r="CH215"/>
      <c r="CI215"/>
      <c r="CJ215"/>
      <c r="CK215"/>
      <c r="CL215"/>
      <c r="CM215"/>
      <c r="CN215"/>
      <c r="CO215"/>
      <c r="CP215"/>
      <c r="CQ215"/>
      <c r="CR215"/>
      <c r="CS215"/>
      <c r="CT215"/>
      <c r="CU215"/>
      <c r="CV215"/>
      <c r="CW215"/>
      <c r="CX215"/>
      <c r="CY215"/>
      <c r="CZ215"/>
      <c r="DA215"/>
      <c r="DB215"/>
      <c r="DC215"/>
      <c r="DD215"/>
      <c r="DE215"/>
      <c r="DF215"/>
      <c r="DG215"/>
    </row>
    <row r="216" spans="1:126" x14ac:dyDescent="0.25">
      <c r="Z216" s="339"/>
      <c r="AA216" s="339"/>
      <c r="AB216" s="339"/>
      <c r="AC216" s="339"/>
      <c r="AD216" s="339"/>
      <c r="AE216" s="339"/>
      <c r="AF216" s="339"/>
      <c r="AG216" s="339"/>
      <c r="AH216" s="339"/>
      <c r="AI216" s="339"/>
      <c r="AJ216" s="339"/>
      <c r="AK216" s="339"/>
      <c r="AL216" s="339"/>
      <c r="AM216" s="339"/>
      <c r="AN216" s="339"/>
      <c r="AO216" s="339"/>
      <c r="AP216" s="339"/>
      <c r="AQ216" s="339"/>
      <c r="AR216" s="339"/>
      <c r="AS216" s="339"/>
      <c r="AT216" s="339"/>
      <c r="AU216" s="339"/>
      <c r="AX216" s="932"/>
    </row>
    <row r="217" spans="1:126" x14ac:dyDescent="0.25">
      <c r="A217" s="261" t="s">
        <v>2126</v>
      </c>
      <c r="B217" s="261" t="s">
        <v>2127</v>
      </c>
      <c r="D217" s="113" t="str">
        <f>IF([1]RENAME!$H$3=1,B217,A217)</f>
        <v>PREÇO ALVO YE24</v>
      </c>
      <c r="E217" s="262">
        <f>E$4</f>
        <v>42522</v>
      </c>
      <c r="F217" s="262">
        <f t="shared" ref="F217:BQ217" si="155">F$4</f>
        <v>42552</v>
      </c>
      <c r="G217" s="262">
        <f t="shared" si="155"/>
        <v>42583</v>
      </c>
      <c r="H217" s="262">
        <f t="shared" si="155"/>
        <v>42614</v>
      </c>
      <c r="I217" s="262">
        <f t="shared" si="155"/>
        <v>42644</v>
      </c>
      <c r="J217" s="262">
        <f t="shared" si="155"/>
        <v>42675</v>
      </c>
      <c r="K217" s="262">
        <f t="shared" si="155"/>
        <v>42705</v>
      </c>
      <c r="L217" s="262">
        <f t="shared" si="155"/>
        <v>42736</v>
      </c>
      <c r="M217" s="262">
        <f t="shared" si="155"/>
        <v>42767</v>
      </c>
      <c r="N217" s="262">
        <f t="shared" si="155"/>
        <v>42795</v>
      </c>
      <c r="O217" s="262">
        <f t="shared" si="155"/>
        <v>42826</v>
      </c>
      <c r="P217" s="262">
        <f t="shared" si="155"/>
        <v>42856</v>
      </c>
      <c r="Q217" s="262">
        <f t="shared" si="155"/>
        <v>42887</v>
      </c>
      <c r="R217" s="262">
        <f t="shared" si="155"/>
        <v>42917</v>
      </c>
      <c r="S217" s="262">
        <f t="shared" si="155"/>
        <v>42948</v>
      </c>
      <c r="T217" s="262">
        <f t="shared" si="155"/>
        <v>42979</v>
      </c>
      <c r="U217" s="262">
        <f t="shared" si="155"/>
        <v>43009</v>
      </c>
      <c r="V217" s="262">
        <f t="shared" si="155"/>
        <v>43040</v>
      </c>
      <c r="W217" s="262">
        <f t="shared" si="155"/>
        <v>43070</v>
      </c>
      <c r="X217" s="262">
        <f t="shared" si="155"/>
        <v>43101</v>
      </c>
      <c r="Y217" s="262">
        <f t="shared" si="155"/>
        <v>43132</v>
      </c>
      <c r="Z217" s="262">
        <f t="shared" si="155"/>
        <v>43160</v>
      </c>
      <c r="AA217" s="262">
        <f t="shared" si="155"/>
        <v>43191</v>
      </c>
      <c r="AB217" s="262">
        <f t="shared" si="155"/>
        <v>43221</v>
      </c>
      <c r="AC217" s="262">
        <f t="shared" si="155"/>
        <v>43252</v>
      </c>
      <c r="AD217" s="262">
        <f t="shared" si="155"/>
        <v>43283</v>
      </c>
      <c r="AE217" s="262">
        <f t="shared" si="155"/>
        <v>43314</v>
      </c>
      <c r="AF217" s="262">
        <f t="shared" si="155"/>
        <v>43345</v>
      </c>
      <c r="AG217" s="262">
        <f t="shared" si="155"/>
        <v>43376</v>
      </c>
      <c r="AH217" s="262">
        <f t="shared" si="155"/>
        <v>43407</v>
      </c>
      <c r="AI217" s="262">
        <f t="shared" si="155"/>
        <v>43437</v>
      </c>
      <c r="AJ217" s="262">
        <f t="shared" si="155"/>
        <v>43468</v>
      </c>
      <c r="AK217" s="262">
        <f t="shared" si="155"/>
        <v>43499</v>
      </c>
      <c r="AL217" s="262">
        <f t="shared" si="155"/>
        <v>43527</v>
      </c>
      <c r="AM217" s="262">
        <f t="shared" si="155"/>
        <v>43558</v>
      </c>
      <c r="AN217" s="262">
        <f t="shared" si="155"/>
        <v>43587</v>
      </c>
      <c r="AO217" s="262">
        <f t="shared" si="155"/>
        <v>43618</v>
      </c>
      <c r="AP217" s="262">
        <f t="shared" si="155"/>
        <v>43647</v>
      </c>
      <c r="AQ217" s="262">
        <f t="shared" si="155"/>
        <v>43678</v>
      </c>
      <c r="AR217" s="262">
        <f t="shared" si="155"/>
        <v>43709</v>
      </c>
      <c r="AS217" s="262">
        <f t="shared" si="155"/>
        <v>43739</v>
      </c>
      <c r="AT217" s="262">
        <f t="shared" si="155"/>
        <v>43770</v>
      </c>
      <c r="AU217" s="262">
        <f t="shared" si="155"/>
        <v>43800</v>
      </c>
      <c r="AV217" s="262">
        <f t="shared" si="155"/>
        <v>43831</v>
      </c>
      <c r="AW217" s="262">
        <f t="shared" si="155"/>
        <v>43862</v>
      </c>
      <c r="AX217" s="262">
        <f t="shared" si="155"/>
        <v>43891</v>
      </c>
      <c r="AY217" s="262">
        <f t="shared" si="155"/>
        <v>43922</v>
      </c>
      <c r="AZ217" s="262">
        <f t="shared" si="155"/>
        <v>43952</v>
      </c>
      <c r="BA217" s="262">
        <f t="shared" si="155"/>
        <v>43983</v>
      </c>
      <c r="BB217" s="262">
        <f t="shared" si="155"/>
        <v>44013</v>
      </c>
      <c r="BC217" s="262">
        <f t="shared" si="155"/>
        <v>44044</v>
      </c>
      <c r="BD217" s="262">
        <f t="shared" si="155"/>
        <v>44075</v>
      </c>
      <c r="BE217" s="262">
        <f t="shared" si="155"/>
        <v>44105</v>
      </c>
      <c r="BF217" s="262">
        <f t="shared" si="155"/>
        <v>44136</v>
      </c>
      <c r="BG217" s="262">
        <f t="shared" si="155"/>
        <v>44166</v>
      </c>
      <c r="BH217" s="262">
        <f t="shared" si="155"/>
        <v>44197</v>
      </c>
      <c r="BI217" s="262">
        <f t="shared" si="155"/>
        <v>44228</v>
      </c>
      <c r="BJ217" s="262">
        <f t="shared" si="155"/>
        <v>44256</v>
      </c>
      <c r="BK217" s="262">
        <f t="shared" si="155"/>
        <v>44287</v>
      </c>
      <c r="BL217" s="262">
        <f t="shared" si="155"/>
        <v>44317</v>
      </c>
      <c r="BM217" s="262">
        <f t="shared" si="155"/>
        <v>44348</v>
      </c>
      <c r="BN217" s="262">
        <f t="shared" si="155"/>
        <v>44378</v>
      </c>
      <c r="BO217" s="262">
        <f t="shared" si="155"/>
        <v>44409</v>
      </c>
      <c r="BP217" s="262">
        <f t="shared" si="155"/>
        <v>44440</v>
      </c>
      <c r="BQ217" s="262">
        <f t="shared" si="155"/>
        <v>44470</v>
      </c>
      <c r="BR217" s="262">
        <f t="shared" ref="BR217:DC217" si="156">BR$4</f>
        <v>44501</v>
      </c>
      <c r="BS217" s="262">
        <f t="shared" si="156"/>
        <v>44531</v>
      </c>
      <c r="BT217" s="262">
        <f t="shared" si="156"/>
        <v>44562</v>
      </c>
      <c r="BU217" s="262">
        <f t="shared" si="156"/>
        <v>44593</v>
      </c>
      <c r="BV217" s="262">
        <f t="shared" si="156"/>
        <v>44622</v>
      </c>
      <c r="BW217" s="262">
        <f t="shared" si="156"/>
        <v>44654</v>
      </c>
      <c r="BX217" s="262">
        <f t="shared" si="156"/>
        <v>44685</v>
      </c>
      <c r="BY217" s="262">
        <f t="shared" si="156"/>
        <v>44716</v>
      </c>
      <c r="BZ217" s="262">
        <f t="shared" si="156"/>
        <v>44746</v>
      </c>
      <c r="CA217" s="262">
        <f t="shared" si="156"/>
        <v>44774</v>
      </c>
      <c r="CB217" s="262">
        <f t="shared" si="156"/>
        <v>44805</v>
      </c>
      <c r="CC217" s="262">
        <f t="shared" si="156"/>
        <v>44835</v>
      </c>
      <c r="CD217" s="262">
        <f t="shared" si="156"/>
        <v>44866</v>
      </c>
      <c r="CE217" s="262">
        <f t="shared" si="156"/>
        <v>44896</v>
      </c>
      <c r="CF217" s="262">
        <f t="shared" si="156"/>
        <v>44927</v>
      </c>
      <c r="CG217" s="262">
        <f t="shared" si="156"/>
        <v>44958</v>
      </c>
      <c r="CH217" s="262">
        <f t="shared" si="156"/>
        <v>44986</v>
      </c>
      <c r="CI217" s="262">
        <f t="shared" si="156"/>
        <v>45017</v>
      </c>
      <c r="CJ217" s="262">
        <f t="shared" si="156"/>
        <v>45047</v>
      </c>
      <c r="CK217" s="262">
        <f t="shared" si="156"/>
        <v>45078</v>
      </c>
      <c r="CL217" s="262">
        <f t="shared" si="156"/>
        <v>45108</v>
      </c>
      <c r="CM217" s="262">
        <f t="shared" si="156"/>
        <v>45139</v>
      </c>
      <c r="CN217" s="262">
        <f t="shared" si="156"/>
        <v>45170</v>
      </c>
      <c r="CO217" s="262">
        <f t="shared" si="156"/>
        <v>45200</v>
      </c>
      <c r="CP217" s="262">
        <f t="shared" si="156"/>
        <v>45231</v>
      </c>
      <c r="CQ217" s="262">
        <f t="shared" si="156"/>
        <v>45261</v>
      </c>
      <c r="CR217" s="262">
        <f t="shared" si="156"/>
        <v>45292</v>
      </c>
      <c r="CS217" s="262">
        <f t="shared" si="156"/>
        <v>45323</v>
      </c>
      <c r="CT217" s="262">
        <f t="shared" si="156"/>
        <v>45352</v>
      </c>
      <c r="CU217" s="262">
        <f t="shared" si="156"/>
        <v>45383</v>
      </c>
      <c r="CV217" s="262">
        <f t="shared" si="156"/>
        <v>45413</v>
      </c>
      <c r="CW217" s="262">
        <f t="shared" si="156"/>
        <v>45444</v>
      </c>
      <c r="CX217" s="262">
        <f t="shared" si="156"/>
        <v>45474</v>
      </c>
      <c r="CY217" s="262">
        <f t="shared" si="156"/>
        <v>45505</v>
      </c>
      <c r="CZ217" s="262">
        <f t="shared" si="156"/>
        <v>45536</v>
      </c>
      <c r="DA217" s="262">
        <f t="shared" si="156"/>
        <v>45566</v>
      </c>
      <c r="DB217" s="262">
        <f t="shared" si="156"/>
        <v>45597</v>
      </c>
      <c r="DC217" s="262">
        <f t="shared" si="156"/>
        <v>45627</v>
      </c>
      <c r="DD217"/>
      <c r="DE217"/>
      <c r="DF217"/>
      <c r="DG217"/>
    </row>
    <row r="218" spans="1:126" x14ac:dyDescent="0.25">
      <c r="A218" s="261" t="s">
        <v>542</v>
      </c>
      <c r="B218" s="261" t="s">
        <v>542</v>
      </c>
      <c r="D218" s="117" t="str">
        <f>IF([1]RENAME!$H$3=1,B218,A218)</f>
        <v>SANTANDER</v>
      </c>
      <c r="E218" s="351" t="s">
        <v>160</v>
      </c>
      <c r="F218" s="351" t="s">
        <v>160</v>
      </c>
      <c r="G218" s="351" t="s">
        <v>160</v>
      </c>
      <c r="H218" s="351" t="s">
        <v>160</v>
      </c>
      <c r="I218" s="351" t="s">
        <v>160</v>
      </c>
      <c r="J218" s="351" t="s">
        <v>160</v>
      </c>
      <c r="K218" s="351" t="s">
        <v>160</v>
      </c>
      <c r="L218" s="351" t="s">
        <v>160</v>
      </c>
      <c r="M218" s="351" t="s">
        <v>160</v>
      </c>
      <c r="N218" s="351" t="s">
        <v>160</v>
      </c>
      <c r="O218" s="351" t="s">
        <v>160</v>
      </c>
      <c r="P218" s="351" t="s">
        <v>160</v>
      </c>
      <c r="Q218" s="351" t="s">
        <v>160</v>
      </c>
      <c r="R218" s="351" t="s">
        <v>160</v>
      </c>
      <c r="S218" s="351" t="s">
        <v>160</v>
      </c>
      <c r="T218" s="351" t="s">
        <v>160</v>
      </c>
      <c r="U218" s="351" t="s">
        <v>160</v>
      </c>
      <c r="V218" s="351" t="s">
        <v>160</v>
      </c>
      <c r="W218" s="596" t="s">
        <v>160</v>
      </c>
      <c r="X218" s="596" t="s">
        <v>160</v>
      </c>
      <c r="Y218" s="596" t="s">
        <v>160</v>
      </c>
      <c r="Z218" s="596" t="s">
        <v>160</v>
      </c>
      <c r="AA218" s="596" t="s">
        <v>160</v>
      </c>
      <c r="AB218" s="596" t="s">
        <v>160</v>
      </c>
      <c r="AC218" s="596" t="s">
        <v>160</v>
      </c>
      <c r="AD218" s="596" t="s">
        <v>160</v>
      </c>
      <c r="AE218" s="596" t="s">
        <v>160</v>
      </c>
      <c r="AF218" s="596" t="s">
        <v>160</v>
      </c>
      <c r="AG218" s="596" t="s">
        <v>160</v>
      </c>
      <c r="AH218" s="596" t="s">
        <v>160</v>
      </c>
      <c r="AI218" s="596" t="s">
        <v>160</v>
      </c>
      <c r="AJ218" s="596" t="s">
        <v>160</v>
      </c>
      <c r="AK218" s="596" t="s">
        <v>160</v>
      </c>
      <c r="AL218" s="596" t="s">
        <v>160</v>
      </c>
      <c r="AM218" s="596" t="s">
        <v>160</v>
      </c>
      <c r="AN218" s="596" t="s">
        <v>160</v>
      </c>
      <c r="AO218" s="596" t="s">
        <v>160</v>
      </c>
      <c r="AP218" s="596" t="s">
        <v>160</v>
      </c>
      <c r="AQ218" s="596" t="s">
        <v>160</v>
      </c>
      <c r="AR218" s="596" t="s">
        <v>160</v>
      </c>
      <c r="AS218" s="596" t="s">
        <v>160</v>
      </c>
      <c r="AT218" s="596" t="s">
        <v>160</v>
      </c>
      <c r="AU218" s="596" t="s">
        <v>160</v>
      </c>
      <c r="AV218" s="596" t="s">
        <v>160</v>
      </c>
      <c r="AW218" s="596" t="s">
        <v>160</v>
      </c>
      <c r="AX218" s="596" t="s">
        <v>160</v>
      </c>
      <c r="AY218" s="1020" t="s">
        <v>160</v>
      </c>
      <c r="AZ218" s="596" t="s">
        <v>160</v>
      </c>
      <c r="BA218" s="596" t="s">
        <v>160</v>
      </c>
      <c r="BB218" s="596" t="s">
        <v>160</v>
      </c>
      <c r="BC218" s="596" t="s">
        <v>160</v>
      </c>
      <c r="BD218" s="596" t="s">
        <v>160</v>
      </c>
      <c r="BE218" s="596" t="s">
        <v>160</v>
      </c>
      <c r="BF218" s="596" t="s">
        <v>160</v>
      </c>
      <c r="BG218" s="596" t="s">
        <v>160</v>
      </c>
      <c r="BH218" s="596" t="s">
        <v>160</v>
      </c>
      <c r="BI218" s="596" t="s">
        <v>160</v>
      </c>
      <c r="BJ218" s="596" t="s">
        <v>160</v>
      </c>
      <c r="BK218" s="596" t="s">
        <v>160</v>
      </c>
      <c r="BL218" s="596" t="s">
        <v>160</v>
      </c>
      <c r="BM218" s="596" t="s">
        <v>160</v>
      </c>
      <c r="BN218" s="596" t="s">
        <v>160</v>
      </c>
      <c r="BO218" s="596" t="s">
        <v>160</v>
      </c>
      <c r="BP218" s="596" t="s">
        <v>160</v>
      </c>
      <c r="BQ218" s="596" t="s">
        <v>160</v>
      </c>
      <c r="BR218" s="596" t="s">
        <v>160</v>
      </c>
      <c r="BS218" s="596" t="s">
        <v>160</v>
      </c>
      <c r="BT218" s="596" t="s">
        <v>160</v>
      </c>
      <c r="BU218" s="596" t="s">
        <v>160</v>
      </c>
      <c r="BV218" s="596" t="s">
        <v>160</v>
      </c>
      <c r="BW218" s="596" t="s">
        <v>160</v>
      </c>
      <c r="BX218" s="596" t="s">
        <v>160</v>
      </c>
      <c r="BY218" s="596" t="s">
        <v>160</v>
      </c>
      <c r="BZ218" s="596" t="s">
        <v>160</v>
      </c>
      <c r="CA218" s="596" t="s">
        <v>160</v>
      </c>
      <c r="CB218" s="596" t="s">
        <v>160</v>
      </c>
      <c r="CC218" s="596" t="s">
        <v>160</v>
      </c>
      <c r="CD218" s="596" t="s">
        <v>160</v>
      </c>
      <c r="CE218" s="596" t="s">
        <v>160</v>
      </c>
      <c r="CF218" s="596" t="s">
        <v>160</v>
      </c>
      <c r="CG218" s="596" t="s">
        <v>160</v>
      </c>
      <c r="CH218" s="596" t="s">
        <v>160</v>
      </c>
      <c r="CI218" s="596" t="s">
        <v>160</v>
      </c>
      <c r="CJ218" s="596" t="s">
        <v>160</v>
      </c>
      <c r="CK218" s="596" t="s">
        <v>160</v>
      </c>
      <c r="CL218" s="596" t="s">
        <v>160</v>
      </c>
      <c r="CM218" s="596" t="s">
        <v>160</v>
      </c>
      <c r="CN218" s="596" t="s">
        <v>160</v>
      </c>
      <c r="CO218" s="596" t="s">
        <v>160</v>
      </c>
      <c r="CP218" s="596" t="s">
        <v>160</v>
      </c>
      <c r="CQ218" s="596" t="s">
        <v>160</v>
      </c>
      <c r="CR218" s="596">
        <v>31</v>
      </c>
      <c r="CS218" s="596">
        <v>31</v>
      </c>
      <c r="CT218" s="596">
        <v>31</v>
      </c>
      <c r="CU218" s="596">
        <v>31</v>
      </c>
      <c r="CV218" s="596">
        <v>31</v>
      </c>
      <c r="CW218" s="596">
        <v>31</v>
      </c>
      <c r="CX218" s="596">
        <v>31</v>
      </c>
      <c r="CY218" s="596">
        <v>31</v>
      </c>
      <c r="CZ218" s="596">
        <v>31</v>
      </c>
      <c r="DA218" s="596">
        <v>31</v>
      </c>
      <c r="DB218" s="596">
        <v>31</v>
      </c>
      <c r="DC218" s="596">
        <v>31</v>
      </c>
      <c r="DD218"/>
      <c r="DE218"/>
      <c r="DF218"/>
      <c r="DG218"/>
    </row>
    <row r="219" spans="1:126" x14ac:dyDescent="0.25">
      <c r="A219" s="261" t="s">
        <v>546</v>
      </c>
      <c r="B219" s="261" t="s">
        <v>546</v>
      </c>
      <c r="D219" s="117" t="str">
        <f>IF([1]RENAME!$H$3=1,B219,A219)</f>
        <v>BTG PACTUAL</v>
      </c>
      <c r="E219" s="351" t="s">
        <v>160</v>
      </c>
      <c r="F219" s="351" t="s">
        <v>160</v>
      </c>
      <c r="G219" s="351" t="s">
        <v>160</v>
      </c>
      <c r="H219" s="351" t="s">
        <v>160</v>
      </c>
      <c r="I219" s="351" t="s">
        <v>160</v>
      </c>
      <c r="J219" s="351" t="s">
        <v>160</v>
      </c>
      <c r="K219" s="351" t="s">
        <v>160</v>
      </c>
      <c r="L219" s="351" t="s">
        <v>160</v>
      </c>
      <c r="M219" s="351" t="s">
        <v>160</v>
      </c>
      <c r="N219" s="351" t="s">
        <v>160</v>
      </c>
      <c r="O219" s="351" t="s">
        <v>160</v>
      </c>
      <c r="P219" s="351" t="s">
        <v>160</v>
      </c>
      <c r="Q219" s="351" t="s">
        <v>160</v>
      </c>
      <c r="R219" s="351" t="s">
        <v>160</v>
      </c>
      <c r="S219" s="351" t="s">
        <v>160</v>
      </c>
      <c r="T219" s="351" t="s">
        <v>160</v>
      </c>
      <c r="U219" s="351" t="s">
        <v>160</v>
      </c>
      <c r="V219" s="351" t="s">
        <v>160</v>
      </c>
      <c r="W219" s="351" t="s">
        <v>160</v>
      </c>
      <c r="X219" s="351" t="s">
        <v>160</v>
      </c>
      <c r="Y219" s="351" t="s">
        <v>160</v>
      </c>
      <c r="Z219" s="351" t="s">
        <v>160</v>
      </c>
      <c r="AA219" s="351" t="s">
        <v>160</v>
      </c>
      <c r="AB219" s="596" t="s">
        <v>160</v>
      </c>
      <c r="AC219" s="351" t="s">
        <v>160</v>
      </c>
      <c r="AD219" s="351" t="s">
        <v>160</v>
      </c>
      <c r="AE219" s="351" t="s">
        <v>160</v>
      </c>
      <c r="AF219" s="351" t="s">
        <v>160</v>
      </c>
      <c r="AG219" s="351" t="s">
        <v>160</v>
      </c>
      <c r="AH219" s="351" t="s">
        <v>160</v>
      </c>
      <c r="AI219" s="351" t="s">
        <v>160</v>
      </c>
      <c r="AJ219" s="351" t="s">
        <v>160</v>
      </c>
      <c r="AK219" s="351" t="s">
        <v>160</v>
      </c>
      <c r="AL219" s="351" t="s">
        <v>160</v>
      </c>
      <c r="AM219" s="351" t="s">
        <v>160</v>
      </c>
      <c r="AN219" s="351" t="s">
        <v>160</v>
      </c>
      <c r="AO219" s="351" t="s">
        <v>160</v>
      </c>
      <c r="AP219" s="351" t="s">
        <v>160</v>
      </c>
      <c r="AQ219" s="351" t="s">
        <v>160</v>
      </c>
      <c r="AR219" s="351" t="s">
        <v>160</v>
      </c>
      <c r="AS219" s="351" t="s">
        <v>160</v>
      </c>
      <c r="AT219" s="351" t="s">
        <v>160</v>
      </c>
      <c r="AU219" s="351" t="s">
        <v>160</v>
      </c>
      <c r="AV219" s="351" t="s">
        <v>160</v>
      </c>
      <c r="AW219" s="351" t="s">
        <v>160</v>
      </c>
      <c r="AX219" s="351" t="s">
        <v>160</v>
      </c>
      <c r="AY219" s="1020" t="s">
        <v>160</v>
      </c>
      <c r="AZ219" s="596" t="s">
        <v>160</v>
      </c>
      <c r="BA219" s="596" t="s">
        <v>160</v>
      </c>
      <c r="BB219" s="596" t="s">
        <v>160</v>
      </c>
      <c r="BC219" s="596" t="s">
        <v>160</v>
      </c>
      <c r="BD219" s="596" t="s">
        <v>160</v>
      </c>
      <c r="BE219" s="596" t="s">
        <v>160</v>
      </c>
      <c r="BF219" s="596" t="s">
        <v>160</v>
      </c>
      <c r="BG219" s="596" t="s">
        <v>160</v>
      </c>
      <c r="BH219" s="596" t="s">
        <v>160</v>
      </c>
      <c r="BI219" s="596" t="s">
        <v>160</v>
      </c>
      <c r="BJ219" s="596" t="s">
        <v>160</v>
      </c>
      <c r="BK219" s="596" t="s">
        <v>160</v>
      </c>
      <c r="BL219" s="596" t="s">
        <v>160</v>
      </c>
      <c r="BM219" s="596" t="s">
        <v>160</v>
      </c>
      <c r="BN219" s="596" t="s">
        <v>160</v>
      </c>
      <c r="BO219" s="596" t="s">
        <v>160</v>
      </c>
      <c r="BP219" s="596" t="s">
        <v>160</v>
      </c>
      <c r="BQ219" s="596" t="s">
        <v>160</v>
      </c>
      <c r="BR219" s="596" t="s">
        <v>160</v>
      </c>
      <c r="BS219" s="596" t="s">
        <v>160</v>
      </c>
      <c r="BT219" s="596" t="s">
        <v>160</v>
      </c>
      <c r="BU219" s="596" t="s">
        <v>160</v>
      </c>
      <c r="BV219" s="596" t="s">
        <v>160</v>
      </c>
      <c r="BW219" s="596" t="s">
        <v>160</v>
      </c>
      <c r="BX219" s="596" t="s">
        <v>160</v>
      </c>
      <c r="BY219" s="596" t="s">
        <v>160</v>
      </c>
      <c r="BZ219" s="596" t="s">
        <v>160</v>
      </c>
      <c r="CA219" s="596" t="s">
        <v>160</v>
      </c>
      <c r="CB219" s="596" t="s">
        <v>160</v>
      </c>
      <c r="CC219" s="596" t="s">
        <v>160</v>
      </c>
      <c r="CD219" s="596" t="s">
        <v>160</v>
      </c>
      <c r="CE219" s="596" t="s">
        <v>160</v>
      </c>
      <c r="CF219" s="596" t="s">
        <v>160</v>
      </c>
      <c r="CG219" s="596" t="s">
        <v>160</v>
      </c>
      <c r="CH219" s="596" t="s">
        <v>160</v>
      </c>
      <c r="CI219" s="596" t="s">
        <v>160</v>
      </c>
      <c r="CJ219" s="596" t="s">
        <v>160</v>
      </c>
      <c r="CK219" s="596" t="s">
        <v>160</v>
      </c>
      <c r="CL219" s="596" t="s">
        <v>160</v>
      </c>
      <c r="CM219" s="596" t="s">
        <v>160</v>
      </c>
      <c r="CN219" s="596" t="s">
        <v>160</v>
      </c>
      <c r="CO219" s="596" t="s">
        <v>160</v>
      </c>
      <c r="CP219" s="596" t="s">
        <v>160</v>
      </c>
      <c r="CQ219" s="596" t="s">
        <v>160</v>
      </c>
      <c r="CR219" s="596" t="s">
        <v>160</v>
      </c>
      <c r="CS219" s="596" t="s">
        <v>160</v>
      </c>
      <c r="CT219" s="596" t="s">
        <v>160</v>
      </c>
      <c r="CU219" s="596" t="s">
        <v>160</v>
      </c>
      <c r="CV219" s="596" t="s">
        <v>160</v>
      </c>
      <c r="CW219" s="596" t="s">
        <v>160</v>
      </c>
      <c r="CX219" s="596" t="s">
        <v>160</v>
      </c>
      <c r="CY219" s="596" t="s">
        <v>160</v>
      </c>
      <c r="CZ219" s="596" t="s">
        <v>160</v>
      </c>
      <c r="DA219" s="596" t="s">
        <v>160</v>
      </c>
      <c r="DB219" s="596" t="s">
        <v>160</v>
      </c>
      <c r="DC219" s="596" t="s">
        <v>160</v>
      </c>
      <c r="DD219"/>
      <c r="DE219"/>
      <c r="DF219"/>
      <c r="DG219"/>
    </row>
    <row r="220" spans="1:126" x14ac:dyDescent="0.25">
      <c r="A220" s="261" t="s">
        <v>547</v>
      </c>
      <c r="B220" s="261" t="s">
        <v>547</v>
      </c>
      <c r="D220" s="117" t="str">
        <f>IF([1]RENAME!$H$3=1,B220,A220)</f>
        <v>ITAÚ</v>
      </c>
      <c r="E220" s="351" t="s">
        <v>160</v>
      </c>
      <c r="F220" s="351" t="s">
        <v>160</v>
      </c>
      <c r="G220" s="351" t="s">
        <v>160</v>
      </c>
      <c r="H220" s="351" t="s">
        <v>160</v>
      </c>
      <c r="I220" s="351" t="s">
        <v>160</v>
      </c>
      <c r="J220" s="351" t="s">
        <v>160</v>
      </c>
      <c r="K220" s="351" t="s">
        <v>160</v>
      </c>
      <c r="L220" s="351" t="s">
        <v>160</v>
      </c>
      <c r="M220" s="351" t="s">
        <v>160</v>
      </c>
      <c r="N220" s="351" t="s">
        <v>160</v>
      </c>
      <c r="O220" s="351" t="s">
        <v>160</v>
      </c>
      <c r="P220" s="351" t="s">
        <v>160</v>
      </c>
      <c r="Q220" s="351" t="s">
        <v>160</v>
      </c>
      <c r="R220" s="351" t="s">
        <v>160</v>
      </c>
      <c r="S220" s="351" t="s">
        <v>160</v>
      </c>
      <c r="T220" s="351" t="s">
        <v>160</v>
      </c>
      <c r="U220" s="351" t="s">
        <v>160</v>
      </c>
      <c r="V220" s="351" t="s">
        <v>160</v>
      </c>
      <c r="W220" s="351" t="s">
        <v>160</v>
      </c>
      <c r="X220" s="596" t="s">
        <v>160</v>
      </c>
      <c r="Y220" s="596" t="s">
        <v>160</v>
      </c>
      <c r="Z220" s="596" t="s">
        <v>160</v>
      </c>
      <c r="AA220" s="596" t="s">
        <v>160</v>
      </c>
      <c r="AB220" s="596" t="s">
        <v>160</v>
      </c>
      <c r="AC220" s="596" t="s">
        <v>160</v>
      </c>
      <c r="AD220" s="596" t="s">
        <v>160</v>
      </c>
      <c r="AE220" s="596" t="s">
        <v>160</v>
      </c>
      <c r="AF220" s="596" t="s">
        <v>160</v>
      </c>
      <c r="AG220" s="596" t="s">
        <v>160</v>
      </c>
      <c r="AH220" s="596" t="s">
        <v>160</v>
      </c>
      <c r="AI220" s="596" t="s">
        <v>160</v>
      </c>
      <c r="AJ220" s="596" t="s">
        <v>160</v>
      </c>
      <c r="AK220" s="596" t="s">
        <v>160</v>
      </c>
      <c r="AL220" s="596" t="s">
        <v>160</v>
      </c>
      <c r="AM220" s="596" t="s">
        <v>160</v>
      </c>
      <c r="AN220" s="596" t="s">
        <v>160</v>
      </c>
      <c r="AO220" s="596" t="s">
        <v>160</v>
      </c>
      <c r="AP220" s="596" t="s">
        <v>160</v>
      </c>
      <c r="AQ220" s="596" t="s">
        <v>160</v>
      </c>
      <c r="AR220" s="596" t="s">
        <v>160</v>
      </c>
      <c r="AS220" s="596" t="s">
        <v>160</v>
      </c>
      <c r="AT220" s="596" t="s">
        <v>160</v>
      </c>
      <c r="AU220" s="596" t="s">
        <v>160</v>
      </c>
      <c r="AV220" s="596" t="s">
        <v>160</v>
      </c>
      <c r="AW220" s="596" t="s">
        <v>160</v>
      </c>
      <c r="AX220" s="596" t="s">
        <v>160</v>
      </c>
      <c r="AY220" s="1020" t="s">
        <v>160</v>
      </c>
      <c r="AZ220" s="596" t="s">
        <v>160</v>
      </c>
      <c r="BA220" s="596" t="s">
        <v>160</v>
      </c>
      <c r="BB220" s="596" t="s">
        <v>160</v>
      </c>
      <c r="BC220" s="596" t="s">
        <v>160</v>
      </c>
      <c r="BD220" s="596" t="s">
        <v>160</v>
      </c>
      <c r="BE220" s="596" t="s">
        <v>160</v>
      </c>
      <c r="BF220" s="596" t="s">
        <v>160</v>
      </c>
      <c r="BG220" s="596" t="s">
        <v>160</v>
      </c>
      <c r="BH220" s="596" t="s">
        <v>160</v>
      </c>
      <c r="BI220" s="596" t="s">
        <v>160</v>
      </c>
      <c r="BJ220" s="596" t="s">
        <v>160</v>
      </c>
      <c r="BK220" s="596" t="s">
        <v>160</v>
      </c>
      <c r="BL220" s="596" t="s">
        <v>160</v>
      </c>
      <c r="BM220" s="596" t="s">
        <v>160</v>
      </c>
      <c r="BN220" s="596" t="s">
        <v>160</v>
      </c>
      <c r="BO220" s="596" t="s">
        <v>160</v>
      </c>
      <c r="BP220" s="596" t="s">
        <v>160</v>
      </c>
      <c r="BQ220" s="596" t="s">
        <v>160</v>
      </c>
      <c r="BR220" s="596" t="s">
        <v>160</v>
      </c>
      <c r="BS220" s="596" t="s">
        <v>160</v>
      </c>
      <c r="BT220" s="596" t="s">
        <v>160</v>
      </c>
      <c r="BU220" s="596" t="s">
        <v>160</v>
      </c>
      <c r="BV220" s="596" t="s">
        <v>160</v>
      </c>
      <c r="BW220" s="596" t="s">
        <v>160</v>
      </c>
      <c r="BX220" s="596" t="s">
        <v>160</v>
      </c>
      <c r="BY220" s="596" t="s">
        <v>160</v>
      </c>
      <c r="BZ220" s="596" t="s">
        <v>160</v>
      </c>
      <c r="CA220" s="596" t="s">
        <v>160</v>
      </c>
      <c r="CB220" s="596" t="s">
        <v>160</v>
      </c>
      <c r="CC220" s="596" t="s">
        <v>160</v>
      </c>
      <c r="CD220" s="596" t="s">
        <v>160</v>
      </c>
      <c r="CE220" s="596" t="s">
        <v>160</v>
      </c>
      <c r="CF220" s="596" t="s">
        <v>160</v>
      </c>
      <c r="CG220" s="596" t="s">
        <v>160</v>
      </c>
      <c r="CH220" s="596" t="s">
        <v>160</v>
      </c>
      <c r="CI220" s="596" t="s">
        <v>160</v>
      </c>
      <c r="CJ220" s="596" t="s">
        <v>160</v>
      </c>
      <c r="CK220" s="596" t="s">
        <v>160</v>
      </c>
      <c r="CL220" s="596" t="s">
        <v>160</v>
      </c>
      <c r="CM220" s="596" t="s">
        <v>160</v>
      </c>
      <c r="CN220" s="596" t="s">
        <v>160</v>
      </c>
      <c r="CO220" s="596" t="s">
        <v>160</v>
      </c>
      <c r="CP220" s="596" t="s">
        <v>160</v>
      </c>
      <c r="CQ220" s="596">
        <v>33</v>
      </c>
      <c r="CR220" s="596">
        <v>33</v>
      </c>
      <c r="CS220" s="596">
        <v>33</v>
      </c>
      <c r="CT220" s="596">
        <v>33</v>
      </c>
      <c r="CU220" s="596">
        <v>33</v>
      </c>
      <c r="CV220" s="596">
        <v>33</v>
      </c>
      <c r="CW220" s="596">
        <v>33</v>
      </c>
      <c r="CX220" s="596">
        <v>33</v>
      </c>
      <c r="CY220" s="596">
        <v>33</v>
      </c>
      <c r="CZ220" s="596">
        <v>33</v>
      </c>
      <c r="DA220" s="596" t="s">
        <v>160</v>
      </c>
      <c r="DB220" s="596" t="s">
        <v>160</v>
      </c>
      <c r="DC220" s="596" t="s">
        <v>160</v>
      </c>
      <c r="DD220"/>
      <c r="DE220"/>
      <c r="DF220"/>
      <c r="DG220"/>
    </row>
    <row r="221" spans="1:126" customFormat="1" ht="12.75" x14ac:dyDescent="0.2">
      <c r="A221" t="s">
        <v>557</v>
      </c>
      <c r="B221" t="s">
        <v>856</v>
      </c>
      <c r="D221" s="277" t="str">
        <f>IF([1]RENAME!$H$3=1,B221,A221)</f>
        <v>Média</v>
      </c>
      <c r="E221" s="278" t="str">
        <f t="shared" ref="E221:AJ221" si="157">IFERROR(AVERAGE(E218:E220),"-")</f>
        <v>-</v>
      </c>
      <c r="F221" s="278" t="str">
        <f t="shared" si="157"/>
        <v>-</v>
      </c>
      <c r="G221" s="278" t="str">
        <f t="shared" si="157"/>
        <v>-</v>
      </c>
      <c r="H221" s="278" t="str">
        <f t="shared" si="157"/>
        <v>-</v>
      </c>
      <c r="I221" s="278" t="str">
        <f t="shared" si="157"/>
        <v>-</v>
      </c>
      <c r="J221" s="278" t="str">
        <f t="shared" si="157"/>
        <v>-</v>
      </c>
      <c r="K221" s="278" t="str">
        <f t="shared" si="157"/>
        <v>-</v>
      </c>
      <c r="L221" s="278" t="str">
        <f t="shared" si="157"/>
        <v>-</v>
      </c>
      <c r="M221" s="278" t="str">
        <f t="shared" si="157"/>
        <v>-</v>
      </c>
      <c r="N221" s="278" t="str">
        <f t="shared" si="157"/>
        <v>-</v>
      </c>
      <c r="O221" s="278" t="str">
        <f t="shared" si="157"/>
        <v>-</v>
      </c>
      <c r="P221" s="278" t="str">
        <f t="shared" si="157"/>
        <v>-</v>
      </c>
      <c r="Q221" s="278" t="str">
        <f t="shared" si="157"/>
        <v>-</v>
      </c>
      <c r="R221" s="278" t="str">
        <f t="shared" si="157"/>
        <v>-</v>
      </c>
      <c r="S221" s="278" t="str">
        <f t="shared" si="157"/>
        <v>-</v>
      </c>
      <c r="T221" s="278" t="str">
        <f t="shared" si="157"/>
        <v>-</v>
      </c>
      <c r="U221" s="278" t="str">
        <f t="shared" si="157"/>
        <v>-</v>
      </c>
      <c r="V221" s="278" t="str">
        <f t="shared" si="157"/>
        <v>-</v>
      </c>
      <c r="W221" s="278" t="str">
        <f t="shared" si="157"/>
        <v>-</v>
      </c>
      <c r="X221" s="278" t="str">
        <f t="shared" si="157"/>
        <v>-</v>
      </c>
      <c r="Y221" s="278" t="str">
        <f t="shared" si="157"/>
        <v>-</v>
      </c>
      <c r="Z221" s="278" t="str">
        <f t="shared" si="157"/>
        <v>-</v>
      </c>
      <c r="AA221" s="278" t="str">
        <f t="shared" si="157"/>
        <v>-</v>
      </c>
      <c r="AB221" s="278" t="str">
        <f t="shared" si="157"/>
        <v>-</v>
      </c>
      <c r="AC221" s="278" t="str">
        <f t="shared" si="157"/>
        <v>-</v>
      </c>
      <c r="AD221" s="278" t="str">
        <f t="shared" si="157"/>
        <v>-</v>
      </c>
      <c r="AE221" s="278" t="str">
        <f t="shared" si="157"/>
        <v>-</v>
      </c>
      <c r="AF221" s="278" t="str">
        <f t="shared" si="157"/>
        <v>-</v>
      </c>
      <c r="AG221" s="278" t="str">
        <f t="shared" si="157"/>
        <v>-</v>
      </c>
      <c r="AH221" s="278" t="str">
        <f t="shared" si="157"/>
        <v>-</v>
      </c>
      <c r="AI221" s="278" t="str">
        <f t="shared" si="157"/>
        <v>-</v>
      </c>
      <c r="AJ221" s="278" t="str">
        <f t="shared" si="157"/>
        <v>-</v>
      </c>
      <c r="AK221" s="278" t="str">
        <f t="shared" ref="AK221:BP221" si="158">IFERROR(AVERAGE(AK218:AK220),"-")</f>
        <v>-</v>
      </c>
      <c r="AL221" s="278" t="str">
        <f t="shared" si="158"/>
        <v>-</v>
      </c>
      <c r="AM221" s="278" t="str">
        <f t="shared" si="158"/>
        <v>-</v>
      </c>
      <c r="AN221" s="278" t="str">
        <f t="shared" si="158"/>
        <v>-</v>
      </c>
      <c r="AO221" s="278" t="str">
        <f t="shared" si="158"/>
        <v>-</v>
      </c>
      <c r="AP221" s="278" t="str">
        <f t="shared" si="158"/>
        <v>-</v>
      </c>
      <c r="AQ221" s="278" t="str">
        <f t="shared" si="158"/>
        <v>-</v>
      </c>
      <c r="AR221" s="278" t="str">
        <f t="shared" si="158"/>
        <v>-</v>
      </c>
      <c r="AS221" s="278" t="str">
        <f t="shared" si="158"/>
        <v>-</v>
      </c>
      <c r="AT221" s="278" t="str">
        <f t="shared" si="158"/>
        <v>-</v>
      </c>
      <c r="AU221" s="278" t="str">
        <f t="shared" si="158"/>
        <v>-</v>
      </c>
      <c r="AV221" s="278" t="str">
        <f t="shared" si="158"/>
        <v>-</v>
      </c>
      <c r="AW221" s="278" t="str">
        <f t="shared" si="158"/>
        <v>-</v>
      </c>
      <c r="AX221" s="278" t="str">
        <f t="shared" si="158"/>
        <v>-</v>
      </c>
      <c r="AY221" s="278" t="str">
        <f t="shared" si="158"/>
        <v>-</v>
      </c>
      <c r="AZ221" s="278" t="str">
        <f t="shared" si="158"/>
        <v>-</v>
      </c>
      <c r="BA221" s="278" t="str">
        <f t="shared" si="158"/>
        <v>-</v>
      </c>
      <c r="BB221" s="278" t="str">
        <f t="shared" si="158"/>
        <v>-</v>
      </c>
      <c r="BC221" s="278" t="str">
        <f t="shared" si="158"/>
        <v>-</v>
      </c>
      <c r="BD221" s="278" t="str">
        <f t="shared" si="158"/>
        <v>-</v>
      </c>
      <c r="BE221" s="278" t="str">
        <f t="shared" si="158"/>
        <v>-</v>
      </c>
      <c r="BF221" s="278" t="str">
        <f t="shared" si="158"/>
        <v>-</v>
      </c>
      <c r="BG221" s="278" t="str">
        <f t="shared" si="158"/>
        <v>-</v>
      </c>
      <c r="BH221" s="278" t="str">
        <f t="shared" si="158"/>
        <v>-</v>
      </c>
      <c r="BI221" s="278" t="str">
        <f t="shared" si="158"/>
        <v>-</v>
      </c>
      <c r="BJ221" s="278" t="str">
        <f t="shared" si="158"/>
        <v>-</v>
      </c>
      <c r="BK221" s="278" t="str">
        <f t="shared" si="158"/>
        <v>-</v>
      </c>
      <c r="BL221" s="278" t="str">
        <f t="shared" si="158"/>
        <v>-</v>
      </c>
      <c r="BM221" s="278" t="str">
        <f t="shared" si="158"/>
        <v>-</v>
      </c>
      <c r="BN221" s="278" t="str">
        <f t="shared" si="158"/>
        <v>-</v>
      </c>
      <c r="BO221" s="278" t="str">
        <f t="shared" si="158"/>
        <v>-</v>
      </c>
      <c r="BP221" s="278" t="str">
        <f t="shared" si="158"/>
        <v>-</v>
      </c>
      <c r="BQ221" s="278" t="str">
        <f t="shared" ref="BQ221:CQ221" si="159">IFERROR(AVERAGE(BQ218:BQ220),"-")</f>
        <v>-</v>
      </c>
      <c r="BR221" s="278" t="str">
        <f t="shared" si="159"/>
        <v>-</v>
      </c>
      <c r="BS221" s="278" t="str">
        <f t="shared" si="159"/>
        <v>-</v>
      </c>
      <c r="BT221" s="278" t="str">
        <f t="shared" si="159"/>
        <v>-</v>
      </c>
      <c r="BU221" s="278" t="str">
        <f t="shared" si="159"/>
        <v>-</v>
      </c>
      <c r="BV221" s="278" t="str">
        <f t="shared" si="159"/>
        <v>-</v>
      </c>
      <c r="BW221" s="278" t="str">
        <f t="shared" si="159"/>
        <v>-</v>
      </c>
      <c r="BX221" s="278" t="str">
        <f t="shared" si="159"/>
        <v>-</v>
      </c>
      <c r="BY221" s="278" t="str">
        <f t="shared" si="159"/>
        <v>-</v>
      </c>
      <c r="BZ221" s="278" t="str">
        <f t="shared" si="159"/>
        <v>-</v>
      </c>
      <c r="CA221" s="278" t="str">
        <f t="shared" si="159"/>
        <v>-</v>
      </c>
      <c r="CB221" s="814" t="str">
        <f t="shared" si="159"/>
        <v>-</v>
      </c>
      <c r="CC221" s="814" t="str">
        <f t="shared" si="159"/>
        <v>-</v>
      </c>
      <c r="CD221" s="814" t="str">
        <f t="shared" si="159"/>
        <v>-</v>
      </c>
      <c r="CE221" s="814" t="str">
        <f t="shared" si="159"/>
        <v>-</v>
      </c>
      <c r="CF221" s="814" t="str">
        <f t="shared" si="159"/>
        <v>-</v>
      </c>
      <c r="CG221" s="814" t="str">
        <f t="shared" si="159"/>
        <v>-</v>
      </c>
      <c r="CH221" s="814" t="str">
        <f t="shared" si="159"/>
        <v>-</v>
      </c>
      <c r="CI221" s="814" t="str">
        <f t="shared" si="159"/>
        <v>-</v>
      </c>
      <c r="CJ221" s="814" t="str">
        <f t="shared" si="159"/>
        <v>-</v>
      </c>
      <c r="CK221" s="814" t="str">
        <f t="shared" si="159"/>
        <v>-</v>
      </c>
      <c r="CL221" s="814" t="str">
        <f t="shared" si="159"/>
        <v>-</v>
      </c>
      <c r="CM221" s="814" t="str">
        <f t="shared" si="159"/>
        <v>-</v>
      </c>
      <c r="CN221" s="814" t="str">
        <f t="shared" si="159"/>
        <v>-</v>
      </c>
      <c r="CO221" s="814" t="str">
        <f t="shared" si="159"/>
        <v>-</v>
      </c>
      <c r="CP221" s="814" t="str">
        <f t="shared" si="159"/>
        <v>-</v>
      </c>
      <c r="CQ221" s="814">
        <f t="shared" si="159"/>
        <v>33</v>
      </c>
      <c r="CR221" s="814">
        <f t="shared" ref="CR221:CX221" si="160">IFERROR(AVERAGE(CR218:CR220),"-")</f>
        <v>32</v>
      </c>
      <c r="CS221" s="814">
        <f t="shared" si="160"/>
        <v>32</v>
      </c>
      <c r="CT221" s="814">
        <f t="shared" si="160"/>
        <v>32</v>
      </c>
      <c r="CU221" s="814">
        <f t="shared" si="160"/>
        <v>32</v>
      </c>
      <c r="CV221" s="814">
        <f t="shared" si="160"/>
        <v>32</v>
      </c>
      <c r="CW221" s="814">
        <f t="shared" si="160"/>
        <v>32</v>
      </c>
      <c r="CX221" s="814">
        <f t="shared" si="160"/>
        <v>32</v>
      </c>
      <c r="CY221" s="814">
        <f>IFERROR(AVERAGE(CY218:CY220),"-")</f>
        <v>32</v>
      </c>
      <c r="CZ221" s="814">
        <f>IFERROR(AVERAGE(CZ218:CZ220),"-")</f>
        <v>32</v>
      </c>
      <c r="DA221" s="814">
        <f>IFERROR(AVERAGE(DA218:DA220),"-")</f>
        <v>31</v>
      </c>
      <c r="DB221" s="814">
        <f>IFERROR(AVERAGE(DB218:DB220),"-")</f>
        <v>31</v>
      </c>
      <c r="DC221" s="814">
        <f>IFERROR(AVERAGE(DC218:DC220),"-")</f>
        <v>31</v>
      </c>
      <c r="DI221" s="1172"/>
      <c r="DJ221" s="1172"/>
      <c r="DK221" s="1172"/>
      <c r="DL221" s="1172"/>
      <c r="DM221" s="1172"/>
    </row>
    <row r="222" spans="1:126" x14ac:dyDescent="0.25">
      <c r="Z222" s="339"/>
      <c r="AA222" s="339"/>
      <c r="AB222" s="339"/>
      <c r="AC222" s="339"/>
      <c r="AD222" s="339"/>
      <c r="AE222" s="339"/>
      <c r="AF222" s="339"/>
      <c r="AG222" s="339"/>
      <c r="AH222" s="339"/>
      <c r="AI222" s="339"/>
      <c r="AJ222" s="339"/>
      <c r="AK222" s="339"/>
      <c r="AL222" s="339"/>
      <c r="AM222" s="339"/>
      <c r="AN222" s="339"/>
      <c r="AO222" s="339"/>
      <c r="AP222" s="339"/>
      <c r="AQ222" s="339"/>
      <c r="AR222" s="339"/>
      <c r="AS222" s="339"/>
      <c r="AT222" s="339"/>
      <c r="AU222" s="339"/>
      <c r="AV222" s="775"/>
      <c r="CQ222"/>
      <c r="CR222"/>
      <c r="CS222"/>
      <c r="CT222"/>
      <c r="CU222"/>
      <c r="CV222"/>
      <c r="CW222"/>
      <c r="CX222"/>
      <c r="CY222"/>
      <c r="CZ222"/>
      <c r="DA222"/>
      <c r="DB222"/>
      <c r="DC222"/>
      <c r="DD222"/>
      <c r="DE222"/>
      <c r="DF222"/>
      <c r="DG222"/>
    </row>
    <row r="223" spans="1:126" x14ac:dyDescent="0.25">
      <c r="A223" s="261" t="s">
        <v>2220</v>
      </c>
      <c r="B223" s="261" t="s">
        <v>2221</v>
      </c>
      <c r="D223" s="113" t="str">
        <f>IF([1]RENAME!$H$3=1,B223,A223)</f>
        <v>PREÇO ALVO YE25</v>
      </c>
      <c r="E223" s="262">
        <f>E$4</f>
        <v>42522</v>
      </c>
      <c r="F223" s="262">
        <f t="shared" ref="F223:BQ223" si="161">F$4</f>
        <v>42552</v>
      </c>
      <c r="G223" s="262">
        <f t="shared" si="161"/>
        <v>42583</v>
      </c>
      <c r="H223" s="262">
        <f t="shared" si="161"/>
        <v>42614</v>
      </c>
      <c r="I223" s="262">
        <f t="shared" si="161"/>
        <v>42644</v>
      </c>
      <c r="J223" s="262">
        <f t="shared" si="161"/>
        <v>42675</v>
      </c>
      <c r="K223" s="262">
        <f t="shared" si="161"/>
        <v>42705</v>
      </c>
      <c r="L223" s="262">
        <f t="shared" si="161"/>
        <v>42736</v>
      </c>
      <c r="M223" s="262">
        <f t="shared" si="161"/>
        <v>42767</v>
      </c>
      <c r="N223" s="262">
        <f t="shared" si="161"/>
        <v>42795</v>
      </c>
      <c r="O223" s="262">
        <f t="shared" si="161"/>
        <v>42826</v>
      </c>
      <c r="P223" s="262">
        <f t="shared" si="161"/>
        <v>42856</v>
      </c>
      <c r="Q223" s="262">
        <f t="shared" si="161"/>
        <v>42887</v>
      </c>
      <c r="R223" s="262">
        <f t="shared" si="161"/>
        <v>42917</v>
      </c>
      <c r="S223" s="262">
        <f t="shared" si="161"/>
        <v>42948</v>
      </c>
      <c r="T223" s="262">
        <f t="shared" si="161"/>
        <v>42979</v>
      </c>
      <c r="U223" s="262">
        <f t="shared" si="161"/>
        <v>43009</v>
      </c>
      <c r="V223" s="262">
        <f t="shared" si="161"/>
        <v>43040</v>
      </c>
      <c r="W223" s="262">
        <f t="shared" si="161"/>
        <v>43070</v>
      </c>
      <c r="X223" s="262">
        <f t="shared" si="161"/>
        <v>43101</v>
      </c>
      <c r="Y223" s="262">
        <f t="shared" si="161"/>
        <v>43132</v>
      </c>
      <c r="Z223" s="262">
        <f t="shared" si="161"/>
        <v>43160</v>
      </c>
      <c r="AA223" s="262">
        <f t="shared" si="161"/>
        <v>43191</v>
      </c>
      <c r="AB223" s="262">
        <f t="shared" si="161"/>
        <v>43221</v>
      </c>
      <c r="AC223" s="262">
        <f t="shared" si="161"/>
        <v>43252</v>
      </c>
      <c r="AD223" s="262">
        <f t="shared" si="161"/>
        <v>43283</v>
      </c>
      <c r="AE223" s="262">
        <f t="shared" si="161"/>
        <v>43314</v>
      </c>
      <c r="AF223" s="262">
        <f t="shared" si="161"/>
        <v>43345</v>
      </c>
      <c r="AG223" s="262">
        <f t="shared" si="161"/>
        <v>43376</v>
      </c>
      <c r="AH223" s="262">
        <f t="shared" si="161"/>
        <v>43407</v>
      </c>
      <c r="AI223" s="262">
        <f t="shared" si="161"/>
        <v>43437</v>
      </c>
      <c r="AJ223" s="262">
        <f t="shared" si="161"/>
        <v>43468</v>
      </c>
      <c r="AK223" s="262">
        <f t="shared" si="161"/>
        <v>43499</v>
      </c>
      <c r="AL223" s="262">
        <f t="shared" si="161"/>
        <v>43527</v>
      </c>
      <c r="AM223" s="262">
        <f t="shared" si="161"/>
        <v>43558</v>
      </c>
      <c r="AN223" s="262">
        <f t="shared" si="161"/>
        <v>43587</v>
      </c>
      <c r="AO223" s="262">
        <f t="shared" si="161"/>
        <v>43618</v>
      </c>
      <c r="AP223" s="262">
        <f t="shared" si="161"/>
        <v>43647</v>
      </c>
      <c r="AQ223" s="262">
        <f t="shared" si="161"/>
        <v>43678</v>
      </c>
      <c r="AR223" s="262">
        <f t="shared" si="161"/>
        <v>43709</v>
      </c>
      <c r="AS223" s="262">
        <f t="shared" si="161"/>
        <v>43739</v>
      </c>
      <c r="AT223" s="262">
        <f t="shared" si="161"/>
        <v>43770</v>
      </c>
      <c r="AU223" s="262">
        <f t="shared" si="161"/>
        <v>43800</v>
      </c>
      <c r="AV223" s="262">
        <f t="shared" si="161"/>
        <v>43831</v>
      </c>
      <c r="AW223" s="262">
        <f t="shared" si="161"/>
        <v>43862</v>
      </c>
      <c r="AX223" s="262">
        <f t="shared" si="161"/>
        <v>43891</v>
      </c>
      <c r="AY223" s="262">
        <f t="shared" si="161"/>
        <v>43922</v>
      </c>
      <c r="AZ223" s="262">
        <f t="shared" si="161"/>
        <v>43952</v>
      </c>
      <c r="BA223" s="262">
        <f t="shared" si="161"/>
        <v>43983</v>
      </c>
      <c r="BB223" s="262">
        <f t="shared" si="161"/>
        <v>44013</v>
      </c>
      <c r="BC223" s="262">
        <f t="shared" si="161"/>
        <v>44044</v>
      </c>
      <c r="BD223" s="262">
        <f t="shared" si="161"/>
        <v>44075</v>
      </c>
      <c r="BE223" s="262">
        <f t="shared" si="161"/>
        <v>44105</v>
      </c>
      <c r="BF223" s="262">
        <f t="shared" si="161"/>
        <v>44136</v>
      </c>
      <c r="BG223" s="262">
        <f t="shared" si="161"/>
        <v>44166</v>
      </c>
      <c r="BH223" s="262">
        <f t="shared" si="161"/>
        <v>44197</v>
      </c>
      <c r="BI223" s="262">
        <f t="shared" si="161"/>
        <v>44228</v>
      </c>
      <c r="BJ223" s="262">
        <f t="shared" si="161"/>
        <v>44256</v>
      </c>
      <c r="BK223" s="262">
        <f t="shared" si="161"/>
        <v>44287</v>
      </c>
      <c r="BL223" s="262">
        <f t="shared" si="161"/>
        <v>44317</v>
      </c>
      <c r="BM223" s="262">
        <f t="shared" si="161"/>
        <v>44348</v>
      </c>
      <c r="BN223" s="262">
        <f t="shared" si="161"/>
        <v>44378</v>
      </c>
      <c r="BO223" s="262">
        <f t="shared" si="161"/>
        <v>44409</v>
      </c>
      <c r="BP223" s="262">
        <f t="shared" si="161"/>
        <v>44440</v>
      </c>
      <c r="BQ223" s="262">
        <f t="shared" si="161"/>
        <v>44470</v>
      </c>
      <c r="BR223" s="262">
        <f t="shared" ref="BR223:DO223" si="162">BR$4</f>
        <v>44501</v>
      </c>
      <c r="BS223" s="262">
        <f t="shared" si="162"/>
        <v>44531</v>
      </c>
      <c r="BT223" s="262">
        <f t="shared" si="162"/>
        <v>44562</v>
      </c>
      <c r="BU223" s="262">
        <f t="shared" si="162"/>
        <v>44593</v>
      </c>
      <c r="BV223" s="262">
        <f t="shared" si="162"/>
        <v>44622</v>
      </c>
      <c r="BW223" s="262">
        <f t="shared" si="162"/>
        <v>44654</v>
      </c>
      <c r="BX223" s="262">
        <f t="shared" si="162"/>
        <v>44685</v>
      </c>
      <c r="BY223" s="262">
        <f t="shared" si="162"/>
        <v>44716</v>
      </c>
      <c r="BZ223" s="262">
        <f t="shared" si="162"/>
        <v>44746</v>
      </c>
      <c r="CA223" s="262">
        <f t="shared" si="162"/>
        <v>44774</v>
      </c>
      <c r="CB223" s="262">
        <f t="shared" si="162"/>
        <v>44805</v>
      </c>
      <c r="CC223" s="262">
        <f t="shared" si="162"/>
        <v>44835</v>
      </c>
      <c r="CD223" s="262">
        <f t="shared" si="162"/>
        <v>44866</v>
      </c>
      <c r="CE223" s="262">
        <f t="shared" si="162"/>
        <v>44896</v>
      </c>
      <c r="CF223" s="262">
        <f t="shared" si="162"/>
        <v>44927</v>
      </c>
      <c r="CG223" s="262">
        <f t="shared" si="162"/>
        <v>44958</v>
      </c>
      <c r="CH223" s="262">
        <f t="shared" si="162"/>
        <v>44986</v>
      </c>
      <c r="CI223" s="262">
        <f t="shared" si="162"/>
        <v>45017</v>
      </c>
      <c r="CJ223" s="262">
        <f t="shared" si="162"/>
        <v>45047</v>
      </c>
      <c r="CK223" s="262">
        <f t="shared" si="162"/>
        <v>45078</v>
      </c>
      <c r="CL223" s="262">
        <f t="shared" si="162"/>
        <v>45108</v>
      </c>
      <c r="CM223" s="262">
        <f t="shared" si="162"/>
        <v>45139</v>
      </c>
      <c r="CN223" s="262">
        <f t="shared" si="162"/>
        <v>45170</v>
      </c>
      <c r="CO223" s="262">
        <f t="shared" si="162"/>
        <v>45200</v>
      </c>
      <c r="CP223" s="262">
        <f t="shared" si="162"/>
        <v>45231</v>
      </c>
      <c r="CQ223" s="262">
        <f t="shared" si="162"/>
        <v>45261</v>
      </c>
      <c r="CR223" s="262">
        <f t="shared" si="162"/>
        <v>45292</v>
      </c>
      <c r="CS223" s="262">
        <f t="shared" si="162"/>
        <v>45323</v>
      </c>
      <c r="CT223" s="262">
        <f t="shared" si="162"/>
        <v>45352</v>
      </c>
      <c r="CU223" s="262">
        <f t="shared" si="162"/>
        <v>45383</v>
      </c>
      <c r="CV223" s="262">
        <f t="shared" si="162"/>
        <v>45413</v>
      </c>
      <c r="CW223" s="262">
        <f t="shared" si="162"/>
        <v>45444</v>
      </c>
      <c r="CX223" s="262">
        <f t="shared" si="162"/>
        <v>45474</v>
      </c>
      <c r="CY223" s="262">
        <f t="shared" si="162"/>
        <v>45505</v>
      </c>
      <c r="CZ223" s="262">
        <f t="shared" si="162"/>
        <v>45536</v>
      </c>
      <c r="DA223" s="262">
        <f t="shared" si="162"/>
        <v>45566</v>
      </c>
      <c r="DB223" s="262">
        <f t="shared" si="162"/>
        <v>45597</v>
      </c>
      <c r="DC223" s="262">
        <f t="shared" si="162"/>
        <v>45627</v>
      </c>
      <c r="DD223" s="262">
        <f t="shared" si="162"/>
        <v>45658</v>
      </c>
      <c r="DE223" s="262">
        <f t="shared" si="162"/>
        <v>45689</v>
      </c>
      <c r="DF223" s="262">
        <f t="shared" si="162"/>
        <v>45717</v>
      </c>
      <c r="DG223" s="262">
        <f t="shared" si="162"/>
        <v>45748</v>
      </c>
      <c r="DH223" s="262">
        <f t="shared" si="162"/>
        <v>45778</v>
      </c>
      <c r="DI223" s="262">
        <f t="shared" si="162"/>
        <v>45809</v>
      </c>
      <c r="DJ223" s="262">
        <v>45839</v>
      </c>
      <c r="DK223" s="262">
        <f t="shared" si="162"/>
        <v>45870</v>
      </c>
      <c r="DL223" s="262">
        <f t="shared" si="162"/>
        <v>45901</v>
      </c>
      <c r="DM223" s="262">
        <f t="shared" si="162"/>
        <v>45931</v>
      </c>
      <c r="DN223" s="262">
        <f t="shared" si="162"/>
        <v>45962</v>
      </c>
      <c r="DO223" s="262">
        <f t="shared" si="162"/>
        <v>45992</v>
      </c>
      <c r="DP223"/>
      <c r="DQ223"/>
      <c r="DR223"/>
      <c r="DS223"/>
      <c r="DT223"/>
      <c r="DU223"/>
      <c r="DV223"/>
    </row>
    <row r="224" spans="1:126" x14ac:dyDescent="0.25">
      <c r="A224" s="261" t="s">
        <v>542</v>
      </c>
      <c r="B224" s="261" t="s">
        <v>542</v>
      </c>
      <c r="D224" s="117" t="str">
        <f>IF([1]RENAME!$H$3=1,B224,A224)</f>
        <v>SANTANDER</v>
      </c>
      <c r="E224" s="351" t="s">
        <v>160</v>
      </c>
      <c r="F224" s="351" t="s">
        <v>160</v>
      </c>
      <c r="G224" s="351" t="s">
        <v>160</v>
      </c>
      <c r="H224" s="351" t="s">
        <v>160</v>
      </c>
      <c r="I224" s="351" t="s">
        <v>160</v>
      </c>
      <c r="J224" s="351" t="s">
        <v>160</v>
      </c>
      <c r="K224" s="351" t="s">
        <v>160</v>
      </c>
      <c r="L224" s="351" t="s">
        <v>160</v>
      </c>
      <c r="M224" s="351" t="s">
        <v>160</v>
      </c>
      <c r="N224" s="351" t="s">
        <v>160</v>
      </c>
      <c r="O224" s="351" t="s">
        <v>160</v>
      </c>
      <c r="P224" s="351" t="s">
        <v>160</v>
      </c>
      <c r="Q224" s="351" t="s">
        <v>160</v>
      </c>
      <c r="R224" s="351" t="s">
        <v>160</v>
      </c>
      <c r="S224" s="351" t="s">
        <v>160</v>
      </c>
      <c r="T224" s="351" t="s">
        <v>160</v>
      </c>
      <c r="U224" s="351" t="s">
        <v>160</v>
      </c>
      <c r="V224" s="351" t="s">
        <v>160</v>
      </c>
      <c r="W224" s="596" t="s">
        <v>160</v>
      </c>
      <c r="X224" s="596" t="s">
        <v>160</v>
      </c>
      <c r="Y224" s="596" t="s">
        <v>160</v>
      </c>
      <c r="Z224" s="596" t="s">
        <v>160</v>
      </c>
      <c r="AA224" s="596" t="s">
        <v>160</v>
      </c>
      <c r="AB224" s="596" t="s">
        <v>160</v>
      </c>
      <c r="AC224" s="596" t="s">
        <v>160</v>
      </c>
      <c r="AD224" s="596" t="s">
        <v>160</v>
      </c>
      <c r="AE224" s="596" t="s">
        <v>160</v>
      </c>
      <c r="AF224" s="596" t="s">
        <v>160</v>
      </c>
      <c r="AG224" s="596" t="s">
        <v>160</v>
      </c>
      <c r="AH224" s="596" t="s">
        <v>160</v>
      </c>
      <c r="AI224" s="596" t="s">
        <v>160</v>
      </c>
      <c r="AJ224" s="596" t="s">
        <v>160</v>
      </c>
      <c r="AK224" s="596" t="s">
        <v>160</v>
      </c>
      <c r="AL224" s="596" t="s">
        <v>160</v>
      </c>
      <c r="AM224" s="596" t="s">
        <v>160</v>
      </c>
      <c r="AN224" s="596" t="s">
        <v>160</v>
      </c>
      <c r="AO224" s="596" t="s">
        <v>160</v>
      </c>
      <c r="AP224" s="596" t="s">
        <v>160</v>
      </c>
      <c r="AQ224" s="596" t="s">
        <v>160</v>
      </c>
      <c r="AR224" s="596" t="s">
        <v>160</v>
      </c>
      <c r="AS224" s="596" t="s">
        <v>160</v>
      </c>
      <c r="AT224" s="596" t="s">
        <v>160</v>
      </c>
      <c r="AU224" s="596" t="s">
        <v>160</v>
      </c>
      <c r="AV224" s="596" t="s">
        <v>160</v>
      </c>
      <c r="AW224" s="596" t="s">
        <v>160</v>
      </c>
      <c r="AX224" s="596" t="s">
        <v>160</v>
      </c>
      <c r="AY224" s="1020" t="s">
        <v>160</v>
      </c>
      <c r="AZ224" s="596" t="s">
        <v>160</v>
      </c>
      <c r="BA224" s="596" t="s">
        <v>160</v>
      </c>
      <c r="BB224" s="596" t="s">
        <v>160</v>
      </c>
      <c r="BC224" s="596" t="s">
        <v>160</v>
      </c>
      <c r="BD224" s="596" t="s">
        <v>160</v>
      </c>
      <c r="BE224" s="596" t="s">
        <v>160</v>
      </c>
      <c r="BF224" s="596" t="s">
        <v>160</v>
      </c>
      <c r="BG224" s="596" t="s">
        <v>160</v>
      </c>
      <c r="BH224" s="596" t="s">
        <v>160</v>
      </c>
      <c r="BI224" s="596" t="s">
        <v>160</v>
      </c>
      <c r="BJ224" s="596" t="s">
        <v>160</v>
      </c>
      <c r="BK224" s="596" t="s">
        <v>160</v>
      </c>
      <c r="BL224" s="596" t="s">
        <v>160</v>
      </c>
      <c r="BM224" s="596" t="s">
        <v>160</v>
      </c>
      <c r="BN224" s="596" t="s">
        <v>160</v>
      </c>
      <c r="BO224" s="596" t="s">
        <v>160</v>
      </c>
      <c r="BP224" s="596" t="s">
        <v>160</v>
      </c>
      <c r="BQ224" s="596" t="s">
        <v>160</v>
      </c>
      <c r="BR224" s="596" t="s">
        <v>160</v>
      </c>
      <c r="BS224" s="596" t="s">
        <v>160</v>
      </c>
      <c r="BT224" s="596" t="s">
        <v>160</v>
      </c>
      <c r="BU224" s="596" t="s">
        <v>160</v>
      </c>
      <c r="BV224" s="596" t="s">
        <v>160</v>
      </c>
      <c r="BW224" s="596" t="s">
        <v>160</v>
      </c>
      <c r="BX224" s="596" t="s">
        <v>160</v>
      </c>
      <c r="BY224" s="596" t="s">
        <v>160</v>
      </c>
      <c r="BZ224" s="596" t="s">
        <v>160</v>
      </c>
      <c r="CA224" s="596" t="s">
        <v>160</v>
      </c>
      <c r="CB224" s="596" t="s">
        <v>160</v>
      </c>
      <c r="CC224" s="596" t="s">
        <v>160</v>
      </c>
      <c r="CD224" s="596" t="s">
        <v>160</v>
      </c>
      <c r="CE224" s="596" t="s">
        <v>160</v>
      </c>
      <c r="CF224" s="596" t="s">
        <v>160</v>
      </c>
      <c r="CG224" s="596" t="s">
        <v>160</v>
      </c>
      <c r="CH224" s="596" t="s">
        <v>160</v>
      </c>
      <c r="CI224" s="596" t="s">
        <v>160</v>
      </c>
      <c r="CJ224" s="596" t="s">
        <v>160</v>
      </c>
      <c r="CK224" s="596" t="s">
        <v>160</v>
      </c>
      <c r="CL224" s="596" t="s">
        <v>160</v>
      </c>
      <c r="CM224" s="596" t="s">
        <v>160</v>
      </c>
      <c r="CN224" s="596" t="s">
        <v>160</v>
      </c>
      <c r="CO224" s="596" t="s">
        <v>160</v>
      </c>
      <c r="CP224" s="596" t="s">
        <v>160</v>
      </c>
      <c r="CQ224" s="596" t="s">
        <v>160</v>
      </c>
      <c r="CR224" s="596" t="s">
        <v>160</v>
      </c>
      <c r="CS224" s="596" t="s">
        <v>160</v>
      </c>
      <c r="CT224" s="596" t="s">
        <v>160</v>
      </c>
      <c r="CU224" s="596" t="s">
        <v>160</v>
      </c>
      <c r="CV224" s="596" t="s">
        <v>160</v>
      </c>
      <c r="CW224" s="596" t="s">
        <v>160</v>
      </c>
      <c r="CX224" s="596" t="s">
        <v>160</v>
      </c>
      <c r="CY224" s="596" t="s">
        <v>160</v>
      </c>
      <c r="CZ224" s="596" t="s">
        <v>160</v>
      </c>
      <c r="DA224" s="596" t="s">
        <v>160</v>
      </c>
      <c r="DB224" s="596" t="s">
        <v>160</v>
      </c>
      <c r="DC224" s="596" t="s">
        <v>160</v>
      </c>
      <c r="DD224" s="596" t="s">
        <v>160</v>
      </c>
      <c r="DE224" s="596" t="s">
        <v>160</v>
      </c>
      <c r="DF224" s="596" t="s">
        <v>160</v>
      </c>
      <c r="DG224" s="596" t="s">
        <v>160</v>
      </c>
      <c r="DH224" s="691">
        <v>35.700000000000003</v>
      </c>
      <c r="DI224" s="596">
        <v>35.700000000000003</v>
      </c>
      <c r="DJ224" s="596">
        <v>35.700000000000003</v>
      </c>
      <c r="DK224" s="596">
        <v>35.700000000000003</v>
      </c>
      <c r="DL224" s="596">
        <v>35.700000000000003</v>
      </c>
      <c r="DM224" s="596">
        <v>35.700000000000003</v>
      </c>
      <c r="DN224" s="596">
        <v>35.700000000000003</v>
      </c>
      <c r="DO224" s="596">
        <v>35.700000000000003</v>
      </c>
      <c r="DP224"/>
      <c r="DQ224"/>
      <c r="DR224"/>
      <c r="DS224"/>
      <c r="DT224"/>
      <c r="DU224"/>
      <c r="DV224"/>
    </row>
    <row r="225" spans="1:126" x14ac:dyDescent="0.25">
      <c r="A225" s="261" t="s">
        <v>546</v>
      </c>
      <c r="B225" s="261" t="s">
        <v>546</v>
      </c>
      <c r="D225" s="117" t="str">
        <f>IF([1]RENAME!$H$3=1,B225,A225)</f>
        <v>BTG PACTUAL</v>
      </c>
      <c r="E225" s="351" t="s">
        <v>160</v>
      </c>
      <c r="F225" s="351" t="s">
        <v>160</v>
      </c>
      <c r="G225" s="351" t="s">
        <v>160</v>
      </c>
      <c r="H225" s="351" t="s">
        <v>160</v>
      </c>
      <c r="I225" s="351" t="s">
        <v>160</v>
      </c>
      <c r="J225" s="351" t="s">
        <v>160</v>
      </c>
      <c r="K225" s="351" t="s">
        <v>160</v>
      </c>
      <c r="L225" s="351" t="s">
        <v>160</v>
      </c>
      <c r="M225" s="351" t="s">
        <v>160</v>
      </c>
      <c r="N225" s="351" t="s">
        <v>160</v>
      </c>
      <c r="O225" s="351" t="s">
        <v>160</v>
      </c>
      <c r="P225" s="351" t="s">
        <v>160</v>
      </c>
      <c r="Q225" s="351" t="s">
        <v>160</v>
      </c>
      <c r="R225" s="351" t="s">
        <v>160</v>
      </c>
      <c r="S225" s="351" t="s">
        <v>160</v>
      </c>
      <c r="T225" s="351" t="s">
        <v>160</v>
      </c>
      <c r="U225" s="351" t="s">
        <v>160</v>
      </c>
      <c r="V225" s="351" t="s">
        <v>160</v>
      </c>
      <c r="W225" s="351" t="s">
        <v>160</v>
      </c>
      <c r="X225" s="351" t="s">
        <v>160</v>
      </c>
      <c r="Y225" s="351" t="s">
        <v>160</v>
      </c>
      <c r="Z225" s="351" t="s">
        <v>160</v>
      </c>
      <c r="AA225" s="351" t="s">
        <v>160</v>
      </c>
      <c r="AB225" s="596" t="s">
        <v>160</v>
      </c>
      <c r="AC225" s="351" t="s">
        <v>160</v>
      </c>
      <c r="AD225" s="351" t="s">
        <v>160</v>
      </c>
      <c r="AE225" s="351" t="s">
        <v>160</v>
      </c>
      <c r="AF225" s="351" t="s">
        <v>160</v>
      </c>
      <c r="AG225" s="351" t="s">
        <v>160</v>
      </c>
      <c r="AH225" s="351" t="s">
        <v>160</v>
      </c>
      <c r="AI225" s="351" t="s">
        <v>160</v>
      </c>
      <c r="AJ225" s="351" t="s">
        <v>160</v>
      </c>
      <c r="AK225" s="351" t="s">
        <v>160</v>
      </c>
      <c r="AL225" s="351" t="s">
        <v>160</v>
      </c>
      <c r="AM225" s="351" t="s">
        <v>160</v>
      </c>
      <c r="AN225" s="351" t="s">
        <v>160</v>
      </c>
      <c r="AO225" s="351" t="s">
        <v>160</v>
      </c>
      <c r="AP225" s="351" t="s">
        <v>160</v>
      </c>
      <c r="AQ225" s="351" t="s">
        <v>160</v>
      </c>
      <c r="AR225" s="351" t="s">
        <v>160</v>
      </c>
      <c r="AS225" s="351" t="s">
        <v>160</v>
      </c>
      <c r="AT225" s="351" t="s">
        <v>160</v>
      </c>
      <c r="AU225" s="351" t="s">
        <v>160</v>
      </c>
      <c r="AV225" s="351" t="s">
        <v>160</v>
      </c>
      <c r="AW225" s="351" t="s">
        <v>160</v>
      </c>
      <c r="AX225" s="351" t="s">
        <v>160</v>
      </c>
      <c r="AY225" s="1020" t="s">
        <v>160</v>
      </c>
      <c r="AZ225" s="596" t="s">
        <v>160</v>
      </c>
      <c r="BA225" s="596" t="s">
        <v>160</v>
      </c>
      <c r="BB225" s="596" t="s">
        <v>160</v>
      </c>
      <c r="BC225" s="596" t="s">
        <v>160</v>
      </c>
      <c r="BD225" s="596" t="s">
        <v>160</v>
      </c>
      <c r="BE225" s="596" t="s">
        <v>160</v>
      </c>
      <c r="BF225" s="596" t="s">
        <v>160</v>
      </c>
      <c r="BG225" s="596" t="s">
        <v>160</v>
      </c>
      <c r="BH225" s="596" t="s">
        <v>160</v>
      </c>
      <c r="BI225" s="596" t="s">
        <v>160</v>
      </c>
      <c r="BJ225" s="596" t="s">
        <v>160</v>
      </c>
      <c r="BK225" s="596" t="s">
        <v>160</v>
      </c>
      <c r="BL225" s="596" t="s">
        <v>160</v>
      </c>
      <c r="BM225" s="596" t="s">
        <v>160</v>
      </c>
      <c r="BN225" s="596" t="s">
        <v>160</v>
      </c>
      <c r="BO225" s="596" t="s">
        <v>160</v>
      </c>
      <c r="BP225" s="596" t="s">
        <v>160</v>
      </c>
      <c r="BQ225" s="596" t="s">
        <v>160</v>
      </c>
      <c r="BR225" s="596" t="s">
        <v>160</v>
      </c>
      <c r="BS225" s="596" t="s">
        <v>160</v>
      </c>
      <c r="BT225" s="596" t="s">
        <v>160</v>
      </c>
      <c r="BU225" s="596" t="s">
        <v>160</v>
      </c>
      <c r="BV225" s="596" t="s">
        <v>160</v>
      </c>
      <c r="BW225" s="596" t="s">
        <v>160</v>
      </c>
      <c r="BX225" s="596" t="s">
        <v>160</v>
      </c>
      <c r="BY225" s="596" t="s">
        <v>160</v>
      </c>
      <c r="BZ225" s="596" t="s">
        <v>160</v>
      </c>
      <c r="CA225" s="596" t="s">
        <v>160</v>
      </c>
      <c r="CB225" s="596" t="s">
        <v>160</v>
      </c>
      <c r="CC225" s="596" t="s">
        <v>160</v>
      </c>
      <c r="CD225" s="596" t="s">
        <v>160</v>
      </c>
      <c r="CE225" s="596" t="s">
        <v>160</v>
      </c>
      <c r="CF225" s="596" t="s">
        <v>160</v>
      </c>
      <c r="CG225" s="596" t="s">
        <v>160</v>
      </c>
      <c r="CH225" s="596" t="s">
        <v>160</v>
      </c>
      <c r="CI225" s="596" t="s">
        <v>160</v>
      </c>
      <c r="CJ225" s="596" t="s">
        <v>160</v>
      </c>
      <c r="CK225" s="596" t="s">
        <v>160</v>
      </c>
      <c r="CL225" s="596" t="s">
        <v>160</v>
      </c>
      <c r="CM225" s="596" t="s">
        <v>160</v>
      </c>
      <c r="CN225" s="596" t="s">
        <v>160</v>
      </c>
      <c r="CO225" s="596" t="s">
        <v>160</v>
      </c>
      <c r="CP225" s="596" t="s">
        <v>160</v>
      </c>
      <c r="CQ225" s="596" t="s">
        <v>160</v>
      </c>
      <c r="CR225" s="596" t="s">
        <v>160</v>
      </c>
      <c r="CS225" s="596" t="s">
        <v>160</v>
      </c>
      <c r="CT225" s="596" t="s">
        <v>160</v>
      </c>
      <c r="CU225" s="596" t="s">
        <v>160</v>
      </c>
      <c r="CV225" s="596" t="s">
        <v>160</v>
      </c>
      <c r="CW225" s="596" t="s">
        <v>160</v>
      </c>
      <c r="CX225" s="596" t="s">
        <v>160</v>
      </c>
      <c r="CY225" s="596" t="s">
        <v>160</v>
      </c>
      <c r="CZ225" s="596" t="s">
        <v>160</v>
      </c>
      <c r="DA225" s="596" t="s">
        <v>160</v>
      </c>
      <c r="DB225" s="596" t="s">
        <v>160</v>
      </c>
      <c r="DC225" s="596" t="s">
        <v>160</v>
      </c>
      <c r="DD225" s="596" t="s">
        <v>160</v>
      </c>
      <c r="DE225" s="596" t="s">
        <v>160</v>
      </c>
      <c r="DF225" s="596" t="s">
        <v>160</v>
      </c>
      <c r="DG225" s="596" t="s">
        <v>160</v>
      </c>
      <c r="DH225" s="596" t="s">
        <v>160</v>
      </c>
      <c r="DI225" s="596" t="s">
        <v>160</v>
      </c>
      <c r="DJ225" s="596" t="s">
        <v>160</v>
      </c>
      <c r="DK225" s="596" t="s">
        <v>160</v>
      </c>
      <c r="DL225" s="596" t="s">
        <v>160</v>
      </c>
      <c r="DM225" s="596" t="s">
        <v>160</v>
      </c>
      <c r="DN225" s="596" t="s">
        <v>160</v>
      </c>
      <c r="DO225" s="596" t="s">
        <v>160</v>
      </c>
      <c r="DP225"/>
      <c r="DQ225"/>
      <c r="DR225"/>
      <c r="DS225"/>
      <c r="DT225"/>
      <c r="DU225"/>
      <c r="DV225"/>
    </row>
    <row r="226" spans="1:126" x14ac:dyDescent="0.25">
      <c r="A226" s="261" t="s">
        <v>547</v>
      </c>
      <c r="B226" s="261" t="s">
        <v>547</v>
      </c>
      <c r="D226" s="117" t="str">
        <f>IF([1]RENAME!$H$3=1,B226,A226)</f>
        <v>ITAÚ</v>
      </c>
      <c r="E226" s="351" t="s">
        <v>160</v>
      </c>
      <c r="F226" s="351" t="s">
        <v>160</v>
      </c>
      <c r="G226" s="351" t="s">
        <v>160</v>
      </c>
      <c r="H226" s="351" t="s">
        <v>160</v>
      </c>
      <c r="I226" s="351" t="s">
        <v>160</v>
      </c>
      <c r="J226" s="351" t="s">
        <v>160</v>
      </c>
      <c r="K226" s="351" t="s">
        <v>160</v>
      </c>
      <c r="L226" s="351" t="s">
        <v>160</v>
      </c>
      <c r="M226" s="351" t="s">
        <v>160</v>
      </c>
      <c r="N226" s="351" t="s">
        <v>160</v>
      </c>
      <c r="O226" s="351" t="s">
        <v>160</v>
      </c>
      <c r="P226" s="351" t="s">
        <v>160</v>
      </c>
      <c r="Q226" s="351" t="s">
        <v>160</v>
      </c>
      <c r="R226" s="351" t="s">
        <v>160</v>
      </c>
      <c r="S226" s="351" t="s">
        <v>160</v>
      </c>
      <c r="T226" s="351" t="s">
        <v>160</v>
      </c>
      <c r="U226" s="351" t="s">
        <v>160</v>
      </c>
      <c r="V226" s="351" t="s">
        <v>160</v>
      </c>
      <c r="W226" s="351" t="s">
        <v>160</v>
      </c>
      <c r="X226" s="596" t="s">
        <v>160</v>
      </c>
      <c r="Y226" s="596" t="s">
        <v>160</v>
      </c>
      <c r="Z226" s="596" t="s">
        <v>160</v>
      </c>
      <c r="AA226" s="596" t="s">
        <v>160</v>
      </c>
      <c r="AB226" s="596" t="s">
        <v>160</v>
      </c>
      <c r="AC226" s="596" t="s">
        <v>160</v>
      </c>
      <c r="AD226" s="596" t="s">
        <v>160</v>
      </c>
      <c r="AE226" s="596" t="s">
        <v>160</v>
      </c>
      <c r="AF226" s="596" t="s">
        <v>160</v>
      </c>
      <c r="AG226" s="596" t="s">
        <v>160</v>
      </c>
      <c r="AH226" s="596" t="s">
        <v>160</v>
      </c>
      <c r="AI226" s="596" t="s">
        <v>160</v>
      </c>
      <c r="AJ226" s="596" t="s">
        <v>160</v>
      </c>
      <c r="AK226" s="596" t="s">
        <v>160</v>
      </c>
      <c r="AL226" s="596" t="s">
        <v>160</v>
      </c>
      <c r="AM226" s="596" t="s">
        <v>160</v>
      </c>
      <c r="AN226" s="596" t="s">
        <v>160</v>
      </c>
      <c r="AO226" s="596" t="s">
        <v>160</v>
      </c>
      <c r="AP226" s="596" t="s">
        <v>160</v>
      </c>
      <c r="AQ226" s="596" t="s">
        <v>160</v>
      </c>
      <c r="AR226" s="596" t="s">
        <v>160</v>
      </c>
      <c r="AS226" s="596" t="s">
        <v>160</v>
      </c>
      <c r="AT226" s="596" t="s">
        <v>160</v>
      </c>
      <c r="AU226" s="596" t="s">
        <v>160</v>
      </c>
      <c r="AV226" s="596" t="s">
        <v>160</v>
      </c>
      <c r="AW226" s="596" t="s">
        <v>160</v>
      </c>
      <c r="AX226" s="596" t="s">
        <v>160</v>
      </c>
      <c r="AY226" s="1020" t="s">
        <v>160</v>
      </c>
      <c r="AZ226" s="596" t="s">
        <v>160</v>
      </c>
      <c r="BA226" s="596" t="s">
        <v>160</v>
      </c>
      <c r="BB226" s="596" t="s">
        <v>160</v>
      </c>
      <c r="BC226" s="596" t="s">
        <v>160</v>
      </c>
      <c r="BD226" s="596" t="s">
        <v>160</v>
      </c>
      <c r="BE226" s="596" t="s">
        <v>160</v>
      </c>
      <c r="BF226" s="596" t="s">
        <v>160</v>
      </c>
      <c r="BG226" s="596" t="s">
        <v>160</v>
      </c>
      <c r="BH226" s="596" t="s">
        <v>160</v>
      </c>
      <c r="BI226" s="596" t="s">
        <v>160</v>
      </c>
      <c r="BJ226" s="596" t="s">
        <v>160</v>
      </c>
      <c r="BK226" s="596" t="s">
        <v>160</v>
      </c>
      <c r="BL226" s="596" t="s">
        <v>160</v>
      </c>
      <c r="BM226" s="596" t="s">
        <v>160</v>
      </c>
      <c r="BN226" s="596" t="s">
        <v>160</v>
      </c>
      <c r="BO226" s="596" t="s">
        <v>160</v>
      </c>
      <c r="BP226" s="596" t="s">
        <v>160</v>
      </c>
      <c r="BQ226" s="596" t="s">
        <v>160</v>
      </c>
      <c r="BR226" s="596" t="s">
        <v>160</v>
      </c>
      <c r="BS226" s="596" t="s">
        <v>160</v>
      </c>
      <c r="BT226" s="596" t="s">
        <v>160</v>
      </c>
      <c r="BU226" s="596" t="s">
        <v>160</v>
      </c>
      <c r="BV226" s="596" t="s">
        <v>160</v>
      </c>
      <c r="BW226" s="596" t="s">
        <v>160</v>
      </c>
      <c r="BX226" s="596" t="s">
        <v>160</v>
      </c>
      <c r="BY226" s="596" t="s">
        <v>160</v>
      </c>
      <c r="BZ226" s="596" t="s">
        <v>160</v>
      </c>
      <c r="CA226" s="596" t="s">
        <v>160</v>
      </c>
      <c r="CB226" s="596" t="s">
        <v>160</v>
      </c>
      <c r="CC226" s="596" t="s">
        <v>160</v>
      </c>
      <c r="CD226" s="596" t="s">
        <v>160</v>
      </c>
      <c r="CE226" s="596" t="s">
        <v>160</v>
      </c>
      <c r="CF226" s="596" t="s">
        <v>160</v>
      </c>
      <c r="CG226" s="596" t="s">
        <v>160</v>
      </c>
      <c r="CH226" s="596" t="s">
        <v>160</v>
      </c>
      <c r="CI226" s="596" t="s">
        <v>160</v>
      </c>
      <c r="CJ226" s="596" t="s">
        <v>160</v>
      </c>
      <c r="CK226" s="596" t="s">
        <v>160</v>
      </c>
      <c r="CL226" s="596" t="s">
        <v>160</v>
      </c>
      <c r="CM226" s="596" t="s">
        <v>160</v>
      </c>
      <c r="CN226" s="596" t="s">
        <v>160</v>
      </c>
      <c r="CO226" s="596" t="s">
        <v>160</v>
      </c>
      <c r="CP226" s="596" t="s">
        <v>160</v>
      </c>
      <c r="CQ226" s="596" t="s">
        <v>160</v>
      </c>
      <c r="CR226" s="596" t="s">
        <v>160</v>
      </c>
      <c r="CS226" s="596" t="s">
        <v>160</v>
      </c>
      <c r="CT226" s="596" t="s">
        <v>160</v>
      </c>
      <c r="CU226" s="596" t="s">
        <v>160</v>
      </c>
      <c r="CV226" s="596" t="s">
        <v>160</v>
      </c>
      <c r="CW226" s="596" t="s">
        <v>160</v>
      </c>
      <c r="CX226" s="596" t="s">
        <v>160</v>
      </c>
      <c r="CY226" s="596" t="s">
        <v>160</v>
      </c>
      <c r="CZ226" s="596" t="s">
        <v>160</v>
      </c>
      <c r="DA226" s="596">
        <v>42</v>
      </c>
      <c r="DB226" s="596">
        <v>42</v>
      </c>
      <c r="DC226" s="596">
        <v>42</v>
      </c>
      <c r="DD226" s="691">
        <v>44</v>
      </c>
      <c r="DE226" s="596">
        <v>44</v>
      </c>
      <c r="DF226" s="596">
        <v>44</v>
      </c>
      <c r="DG226" s="596">
        <v>44</v>
      </c>
      <c r="DH226" s="596">
        <v>44</v>
      </c>
      <c r="DI226" s="596">
        <v>44</v>
      </c>
      <c r="DJ226" s="596">
        <v>44</v>
      </c>
      <c r="DK226" s="596">
        <v>44</v>
      </c>
      <c r="DL226" s="596">
        <v>44</v>
      </c>
      <c r="DM226" s="596">
        <v>44</v>
      </c>
      <c r="DN226" s="596">
        <v>44</v>
      </c>
      <c r="DO226" s="596">
        <v>44</v>
      </c>
      <c r="DP226"/>
      <c r="DQ226"/>
      <c r="DR226"/>
      <c r="DS226"/>
      <c r="DT226"/>
      <c r="DU226"/>
      <c r="DV226"/>
    </row>
    <row r="227" spans="1:126" customFormat="1" ht="12.75" x14ac:dyDescent="0.2">
      <c r="A227" t="s">
        <v>557</v>
      </c>
      <c r="B227" t="s">
        <v>856</v>
      </c>
      <c r="D227" s="277" t="str">
        <f>IF([1]RENAME!$H$3=1,B227,A227)</f>
        <v>Média</v>
      </c>
      <c r="E227" s="278" t="str">
        <f t="shared" ref="E227:BP227" si="163">IFERROR(AVERAGE(E224:E226),"-")</f>
        <v>-</v>
      </c>
      <c r="F227" s="278" t="str">
        <f t="shared" si="163"/>
        <v>-</v>
      </c>
      <c r="G227" s="278" t="str">
        <f t="shared" si="163"/>
        <v>-</v>
      </c>
      <c r="H227" s="278" t="str">
        <f t="shared" si="163"/>
        <v>-</v>
      </c>
      <c r="I227" s="278" t="str">
        <f t="shared" si="163"/>
        <v>-</v>
      </c>
      <c r="J227" s="278" t="str">
        <f t="shared" si="163"/>
        <v>-</v>
      </c>
      <c r="K227" s="278" t="str">
        <f t="shared" si="163"/>
        <v>-</v>
      </c>
      <c r="L227" s="278" t="str">
        <f t="shared" si="163"/>
        <v>-</v>
      </c>
      <c r="M227" s="278" t="str">
        <f t="shared" si="163"/>
        <v>-</v>
      </c>
      <c r="N227" s="278" t="str">
        <f t="shared" si="163"/>
        <v>-</v>
      </c>
      <c r="O227" s="278" t="str">
        <f t="shared" si="163"/>
        <v>-</v>
      </c>
      <c r="P227" s="278" t="str">
        <f t="shared" si="163"/>
        <v>-</v>
      </c>
      <c r="Q227" s="278" t="str">
        <f t="shared" si="163"/>
        <v>-</v>
      </c>
      <c r="R227" s="278" t="str">
        <f t="shared" si="163"/>
        <v>-</v>
      </c>
      <c r="S227" s="278" t="str">
        <f t="shared" si="163"/>
        <v>-</v>
      </c>
      <c r="T227" s="278" t="str">
        <f t="shared" si="163"/>
        <v>-</v>
      </c>
      <c r="U227" s="278" t="str">
        <f t="shared" si="163"/>
        <v>-</v>
      </c>
      <c r="V227" s="278" t="str">
        <f t="shared" si="163"/>
        <v>-</v>
      </c>
      <c r="W227" s="278" t="str">
        <f t="shared" si="163"/>
        <v>-</v>
      </c>
      <c r="X227" s="278" t="str">
        <f t="shared" si="163"/>
        <v>-</v>
      </c>
      <c r="Y227" s="278" t="str">
        <f t="shared" si="163"/>
        <v>-</v>
      </c>
      <c r="Z227" s="278" t="str">
        <f t="shared" si="163"/>
        <v>-</v>
      </c>
      <c r="AA227" s="278" t="str">
        <f t="shared" si="163"/>
        <v>-</v>
      </c>
      <c r="AB227" s="278" t="str">
        <f t="shared" si="163"/>
        <v>-</v>
      </c>
      <c r="AC227" s="278" t="str">
        <f t="shared" si="163"/>
        <v>-</v>
      </c>
      <c r="AD227" s="278" t="str">
        <f t="shared" si="163"/>
        <v>-</v>
      </c>
      <c r="AE227" s="278" t="str">
        <f t="shared" si="163"/>
        <v>-</v>
      </c>
      <c r="AF227" s="278" t="str">
        <f t="shared" si="163"/>
        <v>-</v>
      </c>
      <c r="AG227" s="278" t="str">
        <f t="shared" si="163"/>
        <v>-</v>
      </c>
      <c r="AH227" s="278" t="str">
        <f t="shared" si="163"/>
        <v>-</v>
      </c>
      <c r="AI227" s="278" t="str">
        <f t="shared" si="163"/>
        <v>-</v>
      </c>
      <c r="AJ227" s="278" t="str">
        <f t="shared" si="163"/>
        <v>-</v>
      </c>
      <c r="AK227" s="278" t="str">
        <f t="shared" si="163"/>
        <v>-</v>
      </c>
      <c r="AL227" s="278" t="str">
        <f t="shared" si="163"/>
        <v>-</v>
      </c>
      <c r="AM227" s="278" t="str">
        <f t="shared" si="163"/>
        <v>-</v>
      </c>
      <c r="AN227" s="278" t="str">
        <f t="shared" si="163"/>
        <v>-</v>
      </c>
      <c r="AO227" s="278" t="str">
        <f t="shared" si="163"/>
        <v>-</v>
      </c>
      <c r="AP227" s="278" t="str">
        <f t="shared" si="163"/>
        <v>-</v>
      </c>
      <c r="AQ227" s="278" t="str">
        <f t="shared" si="163"/>
        <v>-</v>
      </c>
      <c r="AR227" s="278" t="str">
        <f t="shared" si="163"/>
        <v>-</v>
      </c>
      <c r="AS227" s="278" t="str">
        <f t="shared" si="163"/>
        <v>-</v>
      </c>
      <c r="AT227" s="278" t="str">
        <f t="shared" si="163"/>
        <v>-</v>
      </c>
      <c r="AU227" s="278" t="str">
        <f t="shared" si="163"/>
        <v>-</v>
      </c>
      <c r="AV227" s="278" t="str">
        <f t="shared" si="163"/>
        <v>-</v>
      </c>
      <c r="AW227" s="278" t="str">
        <f t="shared" si="163"/>
        <v>-</v>
      </c>
      <c r="AX227" s="278" t="str">
        <f t="shared" si="163"/>
        <v>-</v>
      </c>
      <c r="AY227" s="278" t="str">
        <f t="shared" si="163"/>
        <v>-</v>
      </c>
      <c r="AZ227" s="278" t="str">
        <f t="shared" si="163"/>
        <v>-</v>
      </c>
      <c r="BA227" s="278" t="str">
        <f t="shared" si="163"/>
        <v>-</v>
      </c>
      <c r="BB227" s="278" t="str">
        <f t="shared" si="163"/>
        <v>-</v>
      </c>
      <c r="BC227" s="278" t="str">
        <f t="shared" si="163"/>
        <v>-</v>
      </c>
      <c r="BD227" s="278" t="str">
        <f t="shared" si="163"/>
        <v>-</v>
      </c>
      <c r="BE227" s="278" t="str">
        <f t="shared" si="163"/>
        <v>-</v>
      </c>
      <c r="BF227" s="278" t="str">
        <f t="shared" si="163"/>
        <v>-</v>
      </c>
      <c r="BG227" s="278" t="str">
        <f t="shared" si="163"/>
        <v>-</v>
      </c>
      <c r="BH227" s="278" t="str">
        <f t="shared" si="163"/>
        <v>-</v>
      </c>
      <c r="BI227" s="278" t="str">
        <f t="shared" si="163"/>
        <v>-</v>
      </c>
      <c r="BJ227" s="278" t="str">
        <f t="shared" si="163"/>
        <v>-</v>
      </c>
      <c r="BK227" s="278" t="str">
        <f t="shared" si="163"/>
        <v>-</v>
      </c>
      <c r="BL227" s="278" t="str">
        <f t="shared" si="163"/>
        <v>-</v>
      </c>
      <c r="BM227" s="278" t="str">
        <f t="shared" si="163"/>
        <v>-</v>
      </c>
      <c r="BN227" s="278" t="str">
        <f t="shared" si="163"/>
        <v>-</v>
      </c>
      <c r="BO227" s="278" t="str">
        <f t="shared" si="163"/>
        <v>-</v>
      </c>
      <c r="BP227" s="278" t="str">
        <f t="shared" si="163"/>
        <v>-</v>
      </c>
      <c r="BQ227" s="278" t="str">
        <f t="shared" ref="BQ227:DI227" si="164">IFERROR(AVERAGE(BQ224:BQ226),"-")</f>
        <v>-</v>
      </c>
      <c r="BR227" s="278" t="str">
        <f t="shared" si="164"/>
        <v>-</v>
      </c>
      <c r="BS227" s="278" t="str">
        <f t="shared" si="164"/>
        <v>-</v>
      </c>
      <c r="BT227" s="278" t="str">
        <f t="shared" si="164"/>
        <v>-</v>
      </c>
      <c r="BU227" s="278" t="str">
        <f t="shared" si="164"/>
        <v>-</v>
      </c>
      <c r="BV227" s="278" t="str">
        <f t="shared" si="164"/>
        <v>-</v>
      </c>
      <c r="BW227" s="278" t="str">
        <f t="shared" si="164"/>
        <v>-</v>
      </c>
      <c r="BX227" s="278" t="str">
        <f t="shared" si="164"/>
        <v>-</v>
      </c>
      <c r="BY227" s="278" t="str">
        <f t="shared" si="164"/>
        <v>-</v>
      </c>
      <c r="BZ227" s="278" t="str">
        <f t="shared" si="164"/>
        <v>-</v>
      </c>
      <c r="CA227" s="278" t="str">
        <f t="shared" si="164"/>
        <v>-</v>
      </c>
      <c r="CB227" s="814" t="str">
        <f t="shared" si="164"/>
        <v>-</v>
      </c>
      <c r="CC227" s="814" t="str">
        <f t="shared" si="164"/>
        <v>-</v>
      </c>
      <c r="CD227" s="814" t="str">
        <f t="shared" si="164"/>
        <v>-</v>
      </c>
      <c r="CE227" s="814" t="str">
        <f t="shared" si="164"/>
        <v>-</v>
      </c>
      <c r="CF227" s="814" t="str">
        <f t="shared" si="164"/>
        <v>-</v>
      </c>
      <c r="CG227" s="814" t="str">
        <f t="shared" si="164"/>
        <v>-</v>
      </c>
      <c r="CH227" s="814" t="str">
        <f t="shared" si="164"/>
        <v>-</v>
      </c>
      <c r="CI227" s="814" t="str">
        <f t="shared" si="164"/>
        <v>-</v>
      </c>
      <c r="CJ227" s="814" t="str">
        <f t="shared" si="164"/>
        <v>-</v>
      </c>
      <c r="CK227" s="814" t="str">
        <f t="shared" si="164"/>
        <v>-</v>
      </c>
      <c r="CL227" s="814" t="str">
        <f t="shared" si="164"/>
        <v>-</v>
      </c>
      <c r="CM227" s="814" t="str">
        <f t="shared" si="164"/>
        <v>-</v>
      </c>
      <c r="CN227" s="814" t="str">
        <f t="shared" si="164"/>
        <v>-</v>
      </c>
      <c r="CO227" s="814" t="str">
        <f t="shared" si="164"/>
        <v>-</v>
      </c>
      <c r="CP227" s="814" t="str">
        <f t="shared" si="164"/>
        <v>-</v>
      </c>
      <c r="CQ227" s="814" t="str">
        <f t="shared" si="164"/>
        <v>-</v>
      </c>
      <c r="CR227" s="814" t="str">
        <f t="shared" si="164"/>
        <v>-</v>
      </c>
      <c r="CS227" s="814" t="str">
        <f t="shared" si="164"/>
        <v>-</v>
      </c>
      <c r="CT227" s="814" t="str">
        <f t="shared" si="164"/>
        <v>-</v>
      </c>
      <c r="CU227" s="814" t="str">
        <f t="shared" si="164"/>
        <v>-</v>
      </c>
      <c r="CV227" s="814" t="str">
        <f t="shared" si="164"/>
        <v>-</v>
      </c>
      <c r="CW227" s="814" t="str">
        <f t="shared" si="164"/>
        <v>-</v>
      </c>
      <c r="CX227" s="814" t="str">
        <f t="shared" si="164"/>
        <v>-</v>
      </c>
      <c r="CY227" s="814" t="str">
        <f t="shared" si="164"/>
        <v>-</v>
      </c>
      <c r="CZ227" s="814" t="str">
        <f t="shared" si="164"/>
        <v>-</v>
      </c>
      <c r="DA227" s="814">
        <f t="shared" si="164"/>
        <v>42</v>
      </c>
      <c r="DB227" s="814">
        <f t="shared" si="164"/>
        <v>42</v>
      </c>
      <c r="DC227" s="814">
        <f t="shared" si="164"/>
        <v>42</v>
      </c>
      <c r="DD227" s="814">
        <f t="shared" si="164"/>
        <v>44</v>
      </c>
      <c r="DE227" s="814">
        <f t="shared" si="164"/>
        <v>44</v>
      </c>
      <c r="DF227" s="814">
        <f t="shared" si="164"/>
        <v>44</v>
      </c>
      <c r="DG227" s="814">
        <f t="shared" si="164"/>
        <v>44</v>
      </c>
      <c r="DH227" s="814">
        <f t="shared" si="164"/>
        <v>39.85</v>
      </c>
      <c r="DI227" s="814">
        <f t="shared" si="164"/>
        <v>39.85</v>
      </c>
      <c r="DJ227" s="814">
        <v>39.85</v>
      </c>
      <c r="DK227" s="814">
        <f>IFERROR(AVERAGE(DK224:DK226),"-")</f>
        <v>39.85</v>
      </c>
      <c r="DL227" s="814">
        <f>IFERROR(AVERAGE(DL224:DL226),"-")</f>
        <v>39.85</v>
      </c>
      <c r="DM227" s="814">
        <f>IFERROR(AVERAGE(DM224:DM226),"-")</f>
        <v>39.85</v>
      </c>
      <c r="DN227" s="814">
        <f>IFERROR(AVERAGE(DN224:DN226),"-")</f>
        <v>39.85</v>
      </c>
      <c r="DO227" s="814">
        <f>IFERROR(AVERAGE(DO224:DO226),"-")</f>
        <v>39.85</v>
      </c>
    </row>
    <row r="228" spans="1:126" x14ac:dyDescent="0.25">
      <c r="Z228" s="339"/>
      <c r="AA228" s="339"/>
      <c r="AB228" s="339"/>
      <c r="AC228" s="339"/>
      <c r="AD228" s="339"/>
      <c r="AE228" s="339"/>
      <c r="AF228" s="339"/>
      <c r="AG228" s="339"/>
      <c r="AH228" s="339"/>
      <c r="AI228" s="339"/>
      <c r="AJ228" s="339"/>
      <c r="AK228" s="339"/>
      <c r="AL228" s="339"/>
      <c r="AM228" s="339"/>
      <c r="AN228" s="339"/>
      <c r="AO228" s="339"/>
      <c r="AP228" s="339"/>
      <c r="AQ228" s="339"/>
      <c r="AR228" s="339"/>
      <c r="AS228" s="339"/>
      <c r="AT228" s="339"/>
      <c r="AU228" s="339"/>
      <c r="AV228" s="775"/>
      <c r="CQ228"/>
      <c r="CR228"/>
      <c r="CS228"/>
      <c r="CT228"/>
      <c r="CU228"/>
      <c r="CV228"/>
      <c r="CW228"/>
      <c r="CX228"/>
      <c r="CY228"/>
      <c r="CZ228"/>
      <c r="DA228"/>
      <c r="DB228"/>
      <c r="DC228"/>
      <c r="DD228"/>
      <c r="DE228"/>
      <c r="DF228"/>
      <c r="DG228"/>
    </row>
    <row r="229" spans="1:126" x14ac:dyDescent="0.25">
      <c r="A229" s="261" t="s">
        <v>1977</v>
      </c>
      <c r="B229" s="261" t="s">
        <v>1978</v>
      </c>
      <c r="D229" s="113" t="str">
        <f>IF([1]RENAME!$H$3=1,B229,A229)</f>
        <v>PREÇO ALVO YE23</v>
      </c>
      <c r="E229" s="262">
        <f>E$4</f>
        <v>42522</v>
      </c>
      <c r="F229" s="262">
        <f t="shared" ref="F229:BQ229" si="165">F$4</f>
        <v>42552</v>
      </c>
      <c r="G229" s="262">
        <f t="shared" si="165"/>
        <v>42583</v>
      </c>
      <c r="H229" s="262">
        <f t="shared" si="165"/>
        <v>42614</v>
      </c>
      <c r="I229" s="262">
        <f t="shared" si="165"/>
        <v>42644</v>
      </c>
      <c r="J229" s="262">
        <f t="shared" si="165"/>
        <v>42675</v>
      </c>
      <c r="K229" s="262">
        <f t="shared" si="165"/>
        <v>42705</v>
      </c>
      <c r="L229" s="262">
        <f t="shared" si="165"/>
        <v>42736</v>
      </c>
      <c r="M229" s="262">
        <f t="shared" si="165"/>
        <v>42767</v>
      </c>
      <c r="N229" s="262">
        <f t="shared" si="165"/>
        <v>42795</v>
      </c>
      <c r="O229" s="262">
        <f t="shared" si="165"/>
        <v>42826</v>
      </c>
      <c r="P229" s="262">
        <f t="shared" si="165"/>
        <v>42856</v>
      </c>
      <c r="Q229" s="262">
        <f t="shared" si="165"/>
        <v>42887</v>
      </c>
      <c r="R229" s="262">
        <f t="shared" si="165"/>
        <v>42917</v>
      </c>
      <c r="S229" s="262">
        <f t="shared" si="165"/>
        <v>42948</v>
      </c>
      <c r="T229" s="262">
        <f t="shared" si="165"/>
        <v>42979</v>
      </c>
      <c r="U229" s="262">
        <f t="shared" si="165"/>
        <v>43009</v>
      </c>
      <c r="V229" s="262">
        <f t="shared" si="165"/>
        <v>43040</v>
      </c>
      <c r="W229" s="262">
        <f t="shared" si="165"/>
        <v>43070</v>
      </c>
      <c r="X229" s="262">
        <f t="shared" si="165"/>
        <v>43101</v>
      </c>
      <c r="Y229" s="262">
        <f t="shared" si="165"/>
        <v>43132</v>
      </c>
      <c r="Z229" s="262">
        <f t="shared" si="165"/>
        <v>43160</v>
      </c>
      <c r="AA229" s="262">
        <f t="shared" si="165"/>
        <v>43191</v>
      </c>
      <c r="AB229" s="262">
        <f t="shared" si="165"/>
        <v>43221</v>
      </c>
      <c r="AC229" s="262">
        <f t="shared" si="165"/>
        <v>43252</v>
      </c>
      <c r="AD229" s="262">
        <f t="shared" si="165"/>
        <v>43283</v>
      </c>
      <c r="AE229" s="262">
        <f t="shared" si="165"/>
        <v>43314</v>
      </c>
      <c r="AF229" s="262">
        <f t="shared" si="165"/>
        <v>43345</v>
      </c>
      <c r="AG229" s="262">
        <f t="shared" si="165"/>
        <v>43376</v>
      </c>
      <c r="AH229" s="262">
        <f t="shared" si="165"/>
        <v>43407</v>
      </c>
      <c r="AI229" s="262">
        <f t="shared" si="165"/>
        <v>43437</v>
      </c>
      <c r="AJ229" s="262">
        <f t="shared" si="165"/>
        <v>43468</v>
      </c>
      <c r="AK229" s="262">
        <f t="shared" si="165"/>
        <v>43499</v>
      </c>
      <c r="AL229" s="262">
        <f t="shared" si="165"/>
        <v>43527</v>
      </c>
      <c r="AM229" s="262">
        <f t="shared" si="165"/>
        <v>43558</v>
      </c>
      <c r="AN229" s="262">
        <f t="shared" si="165"/>
        <v>43587</v>
      </c>
      <c r="AO229" s="262">
        <f t="shared" si="165"/>
        <v>43618</v>
      </c>
      <c r="AP229" s="262">
        <f t="shared" si="165"/>
        <v>43647</v>
      </c>
      <c r="AQ229" s="262">
        <f t="shared" si="165"/>
        <v>43678</v>
      </c>
      <c r="AR229" s="262">
        <f t="shared" si="165"/>
        <v>43709</v>
      </c>
      <c r="AS229" s="262">
        <f t="shared" si="165"/>
        <v>43739</v>
      </c>
      <c r="AT229" s="262">
        <f t="shared" si="165"/>
        <v>43770</v>
      </c>
      <c r="AU229" s="262">
        <f t="shared" si="165"/>
        <v>43800</v>
      </c>
      <c r="AV229" s="262">
        <f t="shared" si="165"/>
        <v>43831</v>
      </c>
      <c r="AW229" s="262">
        <f t="shared" si="165"/>
        <v>43862</v>
      </c>
      <c r="AX229" s="262">
        <f t="shared" si="165"/>
        <v>43891</v>
      </c>
      <c r="AY229" s="262">
        <f t="shared" si="165"/>
        <v>43922</v>
      </c>
      <c r="AZ229" s="262">
        <f t="shared" si="165"/>
        <v>43952</v>
      </c>
      <c r="BA229" s="262">
        <f t="shared" si="165"/>
        <v>43983</v>
      </c>
      <c r="BB229" s="262">
        <f t="shared" si="165"/>
        <v>44013</v>
      </c>
      <c r="BC229" s="262">
        <f t="shared" si="165"/>
        <v>44044</v>
      </c>
      <c r="BD229" s="262">
        <f t="shared" si="165"/>
        <v>44075</v>
      </c>
      <c r="BE229" s="262">
        <f t="shared" si="165"/>
        <v>44105</v>
      </c>
      <c r="BF229" s="262">
        <f t="shared" si="165"/>
        <v>44136</v>
      </c>
      <c r="BG229" s="262">
        <f t="shared" si="165"/>
        <v>44166</v>
      </c>
      <c r="BH229" s="262">
        <f t="shared" si="165"/>
        <v>44197</v>
      </c>
      <c r="BI229" s="262">
        <f t="shared" si="165"/>
        <v>44228</v>
      </c>
      <c r="BJ229" s="262">
        <f t="shared" si="165"/>
        <v>44256</v>
      </c>
      <c r="BK229" s="262">
        <f t="shared" si="165"/>
        <v>44287</v>
      </c>
      <c r="BL229" s="262">
        <f t="shared" si="165"/>
        <v>44317</v>
      </c>
      <c r="BM229" s="262">
        <f t="shared" si="165"/>
        <v>44348</v>
      </c>
      <c r="BN229" s="262">
        <f t="shared" si="165"/>
        <v>44378</v>
      </c>
      <c r="BO229" s="262">
        <f t="shared" si="165"/>
        <v>44409</v>
      </c>
      <c r="BP229" s="262">
        <f t="shared" si="165"/>
        <v>44440</v>
      </c>
      <c r="BQ229" s="262">
        <f t="shared" si="165"/>
        <v>44470</v>
      </c>
      <c r="BR229" s="262">
        <f t="shared" ref="BR229:CP229" si="166">BR$4</f>
        <v>44501</v>
      </c>
      <c r="BS229" s="262">
        <f t="shared" si="166"/>
        <v>44531</v>
      </c>
      <c r="BT229" s="262">
        <f t="shared" si="166"/>
        <v>44562</v>
      </c>
      <c r="BU229" s="262">
        <f t="shared" si="166"/>
        <v>44593</v>
      </c>
      <c r="BV229" s="262">
        <f t="shared" si="166"/>
        <v>44622</v>
      </c>
      <c r="BW229" s="262">
        <f t="shared" si="166"/>
        <v>44654</v>
      </c>
      <c r="BX229" s="262">
        <f t="shared" si="166"/>
        <v>44685</v>
      </c>
      <c r="BY229" s="262">
        <f t="shared" si="166"/>
        <v>44716</v>
      </c>
      <c r="BZ229" s="262">
        <f t="shared" si="166"/>
        <v>44746</v>
      </c>
      <c r="CA229" s="262">
        <f t="shared" si="166"/>
        <v>44774</v>
      </c>
      <c r="CB229" s="262">
        <f t="shared" si="166"/>
        <v>44805</v>
      </c>
      <c r="CC229" s="262">
        <f t="shared" si="166"/>
        <v>44835</v>
      </c>
      <c r="CD229" s="262">
        <f t="shared" si="166"/>
        <v>44866</v>
      </c>
      <c r="CE229" s="262">
        <f t="shared" si="166"/>
        <v>44896</v>
      </c>
      <c r="CF229" s="262">
        <f t="shared" si="166"/>
        <v>44927</v>
      </c>
      <c r="CG229" s="262">
        <f t="shared" si="166"/>
        <v>44958</v>
      </c>
      <c r="CH229" s="262">
        <f t="shared" si="166"/>
        <v>44986</v>
      </c>
      <c r="CI229" s="262">
        <f t="shared" si="166"/>
        <v>45017</v>
      </c>
      <c r="CJ229" s="262">
        <f t="shared" si="166"/>
        <v>45047</v>
      </c>
      <c r="CK229" s="262">
        <f t="shared" si="166"/>
        <v>45078</v>
      </c>
      <c r="CL229" s="262">
        <f t="shared" si="166"/>
        <v>45108</v>
      </c>
      <c r="CM229" s="262">
        <f t="shared" si="166"/>
        <v>45139</v>
      </c>
      <c r="CN229" s="262">
        <f t="shared" si="166"/>
        <v>45170</v>
      </c>
      <c r="CO229" s="262">
        <f t="shared" si="166"/>
        <v>45200</v>
      </c>
      <c r="CP229" s="262">
        <f t="shared" si="166"/>
        <v>45231</v>
      </c>
      <c r="CQ229"/>
      <c r="CR229"/>
      <c r="CS229"/>
      <c r="CT229"/>
      <c r="CU229"/>
      <c r="CV229"/>
      <c r="CW229"/>
      <c r="CX229"/>
      <c r="CY229"/>
      <c r="CZ229"/>
      <c r="DA229"/>
      <c r="DB229"/>
      <c r="DC229"/>
      <c r="DD229"/>
      <c r="DE229"/>
      <c r="DF229"/>
      <c r="DG229"/>
    </row>
    <row r="230" spans="1:126" x14ac:dyDescent="0.25">
      <c r="A230" s="261" t="s">
        <v>542</v>
      </c>
      <c r="B230" s="261" t="s">
        <v>542</v>
      </c>
      <c r="D230" s="117" t="str">
        <f>IF([1]RENAME!$H$3=1,B230,A230)</f>
        <v>SANTANDER</v>
      </c>
      <c r="E230" s="344" t="s">
        <v>160</v>
      </c>
      <c r="F230" s="344" t="s">
        <v>160</v>
      </c>
      <c r="G230" s="344" t="s">
        <v>160</v>
      </c>
      <c r="H230" s="344" t="s">
        <v>160</v>
      </c>
      <c r="I230" s="344" t="s">
        <v>160</v>
      </c>
      <c r="J230" s="344" t="s">
        <v>160</v>
      </c>
      <c r="K230" s="344" t="s">
        <v>160</v>
      </c>
      <c r="L230" s="344" t="s">
        <v>160</v>
      </c>
      <c r="M230" s="344" t="s">
        <v>160</v>
      </c>
      <c r="N230" s="344" t="s">
        <v>160</v>
      </c>
      <c r="O230" s="344" t="s">
        <v>160</v>
      </c>
      <c r="P230" s="344" t="s">
        <v>160</v>
      </c>
      <c r="Q230" s="344" t="s">
        <v>160</v>
      </c>
      <c r="R230" s="344" t="s">
        <v>160</v>
      </c>
      <c r="S230" s="344" t="s">
        <v>160</v>
      </c>
      <c r="T230" s="344" t="s">
        <v>160</v>
      </c>
      <c r="U230" s="344" t="s">
        <v>160</v>
      </c>
      <c r="V230" s="344" t="s">
        <v>160</v>
      </c>
      <c r="W230" s="949" t="s">
        <v>160</v>
      </c>
      <c r="X230" s="949" t="s">
        <v>160</v>
      </c>
      <c r="Y230" s="949" t="s">
        <v>160</v>
      </c>
      <c r="Z230" s="949" t="s">
        <v>160</v>
      </c>
      <c r="AA230" s="949" t="s">
        <v>160</v>
      </c>
      <c r="AB230" s="949" t="s">
        <v>160</v>
      </c>
      <c r="AC230" s="949" t="s">
        <v>160</v>
      </c>
      <c r="AD230" s="949" t="s">
        <v>160</v>
      </c>
      <c r="AE230" s="949" t="s">
        <v>160</v>
      </c>
      <c r="AF230" s="949" t="s">
        <v>160</v>
      </c>
      <c r="AG230" s="949" t="s">
        <v>160</v>
      </c>
      <c r="AH230" s="949" t="s">
        <v>160</v>
      </c>
      <c r="AI230" s="949" t="s">
        <v>160</v>
      </c>
      <c r="AJ230" s="949" t="s">
        <v>160</v>
      </c>
      <c r="AK230" s="949" t="s">
        <v>160</v>
      </c>
      <c r="AL230" s="949" t="s">
        <v>160</v>
      </c>
      <c r="AM230" s="949" t="s">
        <v>160</v>
      </c>
      <c r="AN230" s="949" t="s">
        <v>160</v>
      </c>
      <c r="AO230" s="949" t="s">
        <v>160</v>
      </c>
      <c r="AP230" s="949" t="s">
        <v>160</v>
      </c>
      <c r="AQ230" s="949" t="s">
        <v>160</v>
      </c>
      <c r="AR230" s="949" t="s">
        <v>160</v>
      </c>
      <c r="AS230" s="949" t="s">
        <v>160</v>
      </c>
      <c r="AT230" s="949" t="s">
        <v>160</v>
      </c>
      <c r="AU230" s="949" t="s">
        <v>160</v>
      </c>
      <c r="AV230" s="949" t="s">
        <v>160</v>
      </c>
      <c r="AW230" s="949" t="s">
        <v>160</v>
      </c>
      <c r="AX230" s="949" t="s">
        <v>160</v>
      </c>
      <c r="AY230" s="950" t="s">
        <v>160</v>
      </c>
      <c r="AZ230" s="949" t="s">
        <v>160</v>
      </c>
      <c r="BA230" s="949" t="s">
        <v>160</v>
      </c>
      <c r="BB230" s="949" t="s">
        <v>160</v>
      </c>
      <c r="BC230" s="949" t="s">
        <v>160</v>
      </c>
      <c r="BD230" s="949" t="s">
        <v>160</v>
      </c>
      <c r="BE230" s="949" t="s">
        <v>160</v>
      </c>
      <c r="BF230" s="949" t="s">
        <v>160</v>
      </c>
      <c r="BG230" s="949" t="s">
        <v>160</v>
      </c>
      <c r="BH230" s="949" t="s">
        <v>160</v>
      </c>
      <c r="BI230" s="949" t="s">
        <v>160</v>
      </c>
      <c r="BJ230" s="949" t="s">
        <v>160</v>
      </c>
      <c r="BK230" s="949" t="s">
        <v>160</v>
      </c>
      <c r="BL230" s="949" t="s">
        <v>160</v>
      </c>
      <c r="BM230" s="949" t="s">
        <v>160</v>
      </c>
      <c r="BN230" s="949" t="s">
        <v>160</v>
      </c>
      <c r="BO230" s="949" t="s">
        <v>160</v>
      </c>
      <c r="BP230" s="596" t="s">
        <v>160</v>
      </c>
      <c r="BQ230" s="596" t="s">
        <v>160</v>
      </c>
      <c r="BR230" s="596" t="s">
        <v>160</v>
      </c>
      <c r="BS230" s="596" t="s">
        <v>160</v>
      </c>
      <c r="BT230" s="596" t="s">
        <v>160</v>
      </c>
      <c r="BU230" s="596" t="s">
        <v>160</v>
      </c>
      <c r="BV230" s="596" t="s">
        <v>160</v>
      </c>
      <c r="BW230" s="596" t="s">
        <v>160</v>
      </c>
      <c r="BX230" s="596" t="s">
        <v>160</v>
      </c>
      <c r="BY230" s="596" t="s">
        <v>160</v>
      </c>
      <c r="BZ230" s="596" t="s">
        <v>160</v>
      </c>
      <c r="CA230" s="596" t="s">
        <v>160</v>
      </c>
      <c r="CB230" s="596" t="s">
        <v>160</v>
      </c>
      <c r="CC230" s="596" t="s">
        <v>160</v>
      </c>
      <c r="CD230" s="596" t="s">
        <v>160</v>
      </c>
      <c r="CE230" s="596">
        <v>25</v>
      </c>
      <c r="CF230" s="596">
        <v>25</v>
      </c>
      <c r="CG230" s="596">
        <v>25</v>
      </c>
      <c r="CH230" s="596">
        <v>25</v>
      </c>
      <c r="CI230" s="596">
        <v>25</v>
      </c>
      <c r="CJ230" s="596">
        <v>25</v>
      </c>
      <c r="CK230" s="596">
        <v>25</v>
      </c>
      <c r="CL230" s="596">
        <v>25</v>
      </c>
      <c r="CM230" s="596">
        <v>25</v>
      </c>
      <c r="CN230" s="596">
        <v>25</v>
      </c>
      <c r="CO230" s="596">
        <v>25</v>
      </c>
      <c r="CP230" s="596">
        <v>25</v>
      </c>
      <c r="CQ230"/>
      <c r="CR230"/>
      <c r="CS230"/>
      <c r="CT230"/>
      <c r="CU230"/>
      <c r="CV230"/>
      <c r="CW230"/>
      <c r="CX230"/>
      <c r="CY230"/>
      <c r="CZ230"/>
      <c r="DA230"/>
      <c r="DB230"/>
      <c r="DC230"/>
      <c r="DD230"/>
      <c r="DE230"/>
      <c r="DF230"/>
      <c r="DG230"/>
    </row>
    <row r="231" spans="1:126" x14ac:dyDescent="0.25">
      <c r="A231" s="261" t="s">
        <v>546</v>
      </c>
      <c r="B231" s="261" t="s">
        <v>546</v>
      </c>
      <c r="D231" s="117" t="str">
        <f>IF([1]RENAME!$H$3=1,B231,A231)</f>
        <v>BTG PACTUAL</v>
      </c>
      <c r="E231" s="351" t="s">
        <v>160</v>
      </c>
      <c r="F231" s="351" t="s">
        <v>160</v>
      </c>
      <c r="G231" s="351" t="s">
        <v>160</v>
      </c>
      <c r="H231" s="351" t="s">
        <v>160</v>
      </c>
      <c r="I231" s="351" t="s">
        <v>160</v>
      </c>
      <c r="J231" s="351" t="s">
        <v>160</v>
      </c>
      <c r="K231" s="351" t="s">
        <v>160</v>
      </c>
      <c r="L231" s="351" t="s">
        <v>160</v>
      </c>
      <c r="M231" s="351" t="s">
        <v>160</v>
      </c>
      <c r="N231" s="351" t="s">
        <v>160</v>
      </c>
      <c r="O231" s="351" t="s">
        <v>160</v>
      </c>
      <c r="P231" s="351" t="s">
        <v>160</v>
      </c>
      <c r="Q231" s="351" t="s">
        <v>160</v>
      </c>
      <c r="R231" s="351" t="s">
        <v>160</v>
      </c>
      <c r="S231" s="351" t="s">
        <v>160</v>
      </c>
      <c r="T231" s="351" t="s">
        <v>160</v>
      </c>
      <c r="U231" s="351" t="s">
        <v>160</v>
      </c>
      <c r="V231" s="351" t="s">
        <v>160</v>
      </c>
      <c r="W231" s="351" t="s">
        <v>160</v>
      </c>
      <c r="X231" s="351" t="s">
        <v>160</v>
      </c>
      <c r="Y231" s="351" t="s">
        <v>160</v>
      </c>
      <c r="Z231" s="351" t="s">
        <v>160</v>
      </c>
      <c r="AA231" s="351" t="s">
        <v>160</v>
      </c>
      <c r="AB231" s="596" t="s">
        <v>160</v>
      </c>
      <c r="AC231" s="351" t="s">
        <v>160</v>
      </c>
      <c r="AD231" s="351" t="s">
        <v>160</v>
      </c>
      <c r="AE231" s="351" t="s">
        <v>160</v>
      </c>
      <c r="AF231" s="351" t="s">
        <v>160</v>
      </c>
      <c r="AG231" s="351" t="s">
        <v>160</v>
      </c>
      <c r="AH231" s="351" t="s">
        <v>160</v>
      </c>
      <c r="AI231" s="351" t="s">
        <v>160</v>
      </c>
      <c r="AJ231" s="351" t="s">
        <v>160</v>
      </c>
      <c r="AK231" s="351" t="s">
        <v>160</v>
      </c>
      <c r="AL231" s="351" t="s">
        <v>160</v>
      </c>
      <c r="AM231" s="351" t="s">
        <v>160</v>
      </c>
      <c r="AN231" s="351" t="s">
        <v>160</v>
      </c>
      <c r="AO231" s="351" t="s">
        <v>160</v>
      </c>
      <c r="AP231" s="351" t="s">
        <v>160</v>
      </c>
      <c r="AQ231" s="351" t="s">
        <v>160</v>
      </c>
      <c r="AR231" s="351" t="s">
        <v>160</v>
      </c>
      <c r="AS231" s="351" t="s">
        <v>160</v>
      </c>
      <c r="AT231" s="351" t="s">
        <v>160</v>
      </c>
      <c r="AU231" s="351" t="s">
        <v>160</v>
      </c>
      <c r="AV231" s="351" t="s">
        <v>160</v>
      </c>
      <c r="AW231" s="351" t="s">
        <v>160</v>
      </c>
      <c r="AX231" s="351" t="s">
        <v>160</v>
      </c>
      <c r="AY231" s="1020" t="s">
        <v>160</v>
      </c>
      <c r="AZ231" s="596" t="s">
        <v>160</v>
      </c>
      <c r="BA231" s="596" t="s">
        <v>160</v>
      </c>
      <c r="BB231" s="596" t="s">
        <v>160</v>
      </c>
      <c r="BC231" s="596" t="s">
        <v>160</v>
      </c>
      <c r="BD231" s="596" t="s">
        <v>160</v>
      </c>
      <c r="BE231" s="596" t="s">
        <v>160</v>
      </c>
      <c r="BF231" s="596" t="s">
        <v>160</v>
      </c>
      <c r="BG231" s="596" t="s">
        <v>160</v>
      </c>
      <c r="BH231" s="596" t="s">
        <v>160</v>
      </c>
      <c r="BI231" s="596" t="s">
        <v>160</v>
      </c>
      <c r="BJ231" s="596" t="s">
        <v>160</v>
      </c>
      <c r="BK231" s="596" t="s">
        <v>160</v>
      </c>
      <c r="BL231" s="596" t="s">
        <v>160</v>
      </c>
      <c r="BM231" s="596" t="s">
        <v>160</v>
      </c>
      <c r="BN231" s="596" t="s">
        <v>160</v>
      </c>
      <c r="BO231" s="596" t="s">
        <v>160</v>
      </c>
      <c r="BP231" s="596" t="s">
        <v>160</v>
      </c>
      <c r="BQ231" s="596" t="s">
        <v>160</v>
      </c>
      <c r="BR231" s="596" t="s">
        <v>160</v>
      </c>
      <c r="BS231" s="596" t="s">
        <v>160</v>
      </c>
      <c r="BT231" s="596" t="s">
        <v>160</v>
      </c>
      <c r="BU231" s="596" t="s">
        <v>160</v>
      </c>
      <c r="BV231" s="596" t="s">
        <v>160</v>
      </c>
      <c r="BW231" s="596" t="s">
        <v>160</v>
      </c>
      <c r="BX231" s="596" t="s">
        <v>160</v>
      </c>
      <c r="BY231" s="596" t="s">
        <v>160</v>
      </c>
      <c r="BZ231" s="596" t="s">
        <v>160</v>
      </c>
      <c r="CA231" s="596">
        <v>23</v>
      </c>
      <c r="CB231" s="596">
        <v>23</v>
      </c>
      <c r="CC231" s="596">
        <v>23</v>
      </c>
      <c r="CD231" s="596">
        <v>23</v>
      </c>
      <c r="CE231" s="596">
        <v>23</v>
      </c>
      <c r="CF231" s="596">
        <v>23</v>
      </c>
      <c r="CG231" s="596">
        <v>23</v>
      </c>
      <c r="CH231" s="596">
        <v>23</v>
      </c>
      <c r="CI231" s="596">
        <v>23</v>
      </c>
      <c r="CJ231" s="596">
        <v>23</v>
      </c>
      <c r="CK231" s="596">
        <v>23</v>
      </c>
      <c r="CL231" s="596">
        <v>23</v>
      </c>
      <c r="CM231" s="596">
        <v>23</v>
      </c>
      <c r="CN231" s="596">
        <v>23</v>
      </c>
      <c r="CO231" s="596">
        <v>23</v>
      </c>
      <c r="CP231" s="596">
        <v>23</v>
      </c>
      <c r="CQ231"/>
      <c r="CR231"/>
      <c r="CS231"/>
      <c r="CT231"/>
      <c r="CU231"/>
      <c r="CV231"/>
      <c r="CW231"/>
      <c r="CX231"/>
      <c r="CY231"/>
      <c r="CZ231"/>
      <c r="DA231"/>
      <c r="DB231"/>
      <c r="DC231"/>
      <c r="DD231"/>
      <c r="DE231"/>
      <c r="DF231"/>
      <c r="DG231"/>
    </row>
    <row r="232" spans="1:126" x14ac:dyDescent="0.25">
      <c r="A232" s="261" t="s">
        <v>574</v>
      </c>
      <c r="B232" s="261" t="s">
        <v>574</v>
      </c>
      <c r="D232" s="117" t="str">
        <f>IF([1]RENAME!$H$3=1,B232,A232)</f>
        <v>SAFRA</v>
      </c>
      <c r="E232" s="351" t="s">
        <v>160</v>
      </c>
      <c r="F232" s="351" t="s">
        <v>160</v>
      </c>
      <c r="G232" s="351" t="s">
        <v>160</v>
      </c>
      <c r="H232" s="351" t="s">
        <v>160</v>
      </c>
      <c r="I232" s="351" t="s">
        <v>160</v>
      </c>
      <c r="J232" s="351" t="s">
        <v>160</v>
      </c>
      <c r="K232" s="351" t="s">
        <v>160</v>
      </c>
      <c r="L232" s="351" t="s">
        <v>160</v>
      </c>
      <c r="M232" s="351" t="s">
        <v>160</v>
      </c>
      <c r="N232" s="351" t="s">
        <v>160</v>
      </c>
      <c r="O232" s="351" t="s">
        <v>160</v>
      </c>
      <c r="P232" s="351" t="s">
        <v>160</v>
      </c>
      <c r="Q232" s="351" t="s">
        <v>160</v>
      </c>
      <c r="R232" s="351" t="s">
        <v>160</v>
      </c>
      <c r="S232" s="351" t="s">
        <v>160</v>
      </c>
      <c r="T232" s="351" t="s">
        <v>160</v>
      </c>
      <c r="U232" s="351" t="s">
        <v>160</v>
      </c>
      <c r="V232" s="351" t="s">
        <v>160</v>
      </c>
      <c r="W232" s="351" t="s">
        <v>160</v>
      </c>
      <c r="X232" s="351" t="s">
        <v>160</v>
      </c>
      <c r="Y232" s="596" t="s">
        <v>160</v>
      </c>
      <c r="Z232" s="596" t="s">
        <v>160</v>
      </c>
      <c r="AA232" s="596" t="s">
        <v>160</v>
      </c>
      <c r="AB232" s="596" t="s">
        <v>160</v>
      </c>
      <c r="AC232" s="596" t="s">
        <v>160</v>
      </c>
      <c r="AD232" s="596" t="s">
        <v>160</v>
      </c>
      <c r="AE232" s="596" t="s">
        <v>160</v>
      </c>
      <c r="AF232" s="596" t="s">
        <v>160</v>
      </c>
      <c r="AG232" s="596" t="s">
        <v>160</v>
      </c>
      <c r="AH232" s="596" t="s">
        <v>160</v>
      </c>
      <c r="AI232" s="596" t="s">
        <v>160</v>
      </c>
      <c r="AJ232" s="596" t="s">
        <v>160</v>
      </c>
      <c r="AK232" s="596" t="s">
        <v>160</v>
      </c>
      <c r="AL232" s="596" t="s">
        <v>160</v>
      </c>
      <c r="AM232" s="596" t="s">
        <v>160</v>
      </c>
      <c r="AN232" s="596" t="s">
        <v>160</v>
      </c>
      <c r="AO232" s="596" t="s">
        <v>160</v>
      </c>
      <c r="AP232" s="596" t="s">
        <v>160</v>
      </c>
      <c r="AQ232" s="596" t="s">
        <v>160</v>
      </c>
      <c r="AR232" s="596" t="s">
        <v>160</v>
      </c>
      <c r="AS232" s="596" t="s">
        <v>160</v>
      </c>
      <c r="AT232" s="596" t="s">
        <v>160</v>
      </c>
      <c r="AU232" s="596" t="s">
        <v>160</v>
      </c>
      <c r="AV232" s="596" t="s">
        <v>160</v>
      </c>
      <c r="AW232" s="596" t="s">
        <v>160</v>
      </c>
      <c r="AX232" s="596" t="s">
        <v>160</v>
      </c>
      <c r="AY232" s="1020" t="s">
        <v>160</v>
      </c>
      <c r="AZ232" s="596" t="s">
        <v>160</v>
      </c>
      <c r="BA232" s="596" t="s">
        <v>160</v>
      </c>
      <c r="BB232" s="596" t="s">
        <v>160</v>
      </c>
      <c r="BC232" s="596" t="s">
        <v>160</v>
      </c>
      <c r="BD232" s="596" t="s">
        <v>160</v>
      </c>
      <c r="BE232" s="596" t="s">
        <v>160</v>
      </c>
      <c r="BF232" s="596" t="s">
        <v>160</v>
      </c>
      <c r="BG232" s="596" t="s">
        <v>160</v>
      </c>
      <c r="BH232" s="596" t="s">
        <v>160</v>
      </c>
      <c r="BI232" s="596" t="s">
        <v>160</v>
      </c>
      <c r="BJ232" s="596" t="s">
        <v>160</v>
      </c>
      <c r="BK232" s="596" t="s">
        <v>160</v>
      </c>
      <c r="BL232" s="596" t="s">
        <v>160</v>
      </c>
      <c r="BM232" s="596" t="s">
        <v>160</v>
      </c>
      <c r="BN232" s="596" t="s">
        <v>160</v>
      </c>
      <c r="BO232" s="596" t="s">
        <v>160</v>
      </c>
      <c r="BP232" s="596" t="s">
        <v>160</v>
      </c>
      <c r="BQ232" s="596" t="s">
        <v>160</v>
      </c>
      <c r="BR232" s="596" t="s">
        <v>160</v>
      </c>
      <c r="BS232" s="596" t="s">
        <v>160</v>
      </c>
      <c r="BT232" s="596" t="s">
        <v>160</v>
      </c>
      <c r="BU232" s="596" t="s">
        <v>160</v>
      </c>
      <c r="BV232" s="596" t="s">
        <v>160</v>
      </c>
      <c r="BW232" s="596" t="s">
        <v>160</v>
      </c>
      <c r="BX232" s="596" t="s">
        <v>160</v>
      </c>
      <c r="BY232" s="596" t="s">
        <v>160</v>
      </c>
      <c r="BZ232" s="596" t="s">
        <v>160</v>
      </c>
      <c r="CA232" s="596">
        <v>32.799999999999997</v>
      </c>
      <c r="CB232" s="596">
        <v>32.799999999999997</v>
      </c>
      <c r="CC232" s="596">
        <v>32.799999999999997</v>
      </c>
      <c r="CD232" s="596">
        <v>32.799999999999997</v>
      </c>
      <c r="CE232" s="596">
        <v>32.799999999999997</v>
      </c>
      <c r="CF232" s="596">
        <v>32.799999999999997</v>
      </c>
      <c r="CG232" s="596">
        <v>32.799999999999997</v>
      </c>
      <c r="CH232" s="596">
        <v>32.799999999999997</v>
      </c>
      <c r="CI232" s="596">
        <v>32.799999999999997</v>
      </c>
      <c r="CJ232" s="596">
        <v>32.799999999999997</v>
      </c>
      <c r="CK232" s="596">
        <v>32.799999999999997</v>
      </c>
      <c r="CL232" s="596" t="s">
        <v>160</v>
      </c>
      <c r="CM232" s="596" t="s">
        <v>160</v>
      </c>
      <c r="CN232" s="596" t="s">
        <v>160</v>
      </c>
      <c r="CO232" s="596" t="s">
        <v>160</v>
      </c>
      <c r="CP232" s="596" t="s">
        <v>160</v>
      </c>
      <c r="CQ232"/>
      <c r="CR232"/>
      <c r="CS232"/>
      <c r="CT232"/>
      <c r="CU232"/>
      <c r="CV232"/>
      <c r="CW232"/>
      <c r="CX232"/>
      <c r="CY232"/>
      <c r="CZ232"/>
      <c r="DA232"/>
      <c r="DB232"/>
      <c r="DC232"/>
      <c r="DD232"/>
      <c r="DE232"/>
      <c r="DF232"/>
      <c r="DG232"/>
    </row>
    <row r="233" spans="1:126" x14ac:dyDescent="0.25">
      <c r="A233" s="261" t="s">
        <v>547</v>
      </c>
      <c r="B233" s="261" t="s">
        <v>547</v>
      </c>
      <c r="D233" s="117" t="str">
        <f>IF([1]RENAME!$H$3=1,B233,A233)</f>
        <v>ITAÚ</v>
      </c>
      <c r="E233" s="344" t="s">
        <v>160</v>
      </c>
      <c r="F233" s="344" t="s">
        <v>160</v>
      </c>
      <c r="G233" s="344" t="s">
        <v>160</v>
      </c>
      <c r="H233" s="344" t="s">
        <v>160</v>
      </c>
      <c r="I233" s="344" t="s">
        <v>160</v>
      </c>
      <c r="J233" s="344" t="s">
        <v>160</v>
      </c>
      <c r="K233" s="344" t="s">
        <v>160</v>
      </c>
      <c r="L233" s="344" t="s">
        <v>160</v>
      </c>
      <c r="M233" s="344" t="s">
        <v>160</v>
      </c>
      <c r="N233" s="344" t="s">
        <v>160</v>
      </c>
      <c r="O233" s="344" t="s">
        <v>160</v>
      </c>
      <c r="P233" s="344" t="s">
        <v>160</v>
      </c>
      <c r="Q233" s="344" t="s">
        <v>160</v>
      </c>
      <c r="R233" s="344" t="s">
        <v>160</v>
      </c>
      <c r="S233" s="344" t="s">
        <v>160</v>
      </c>
      <c r="T233" s="344" t="s">
        <v>160</v>
      </c>
      <c r="U233" s="344" t="s">
        <v>160</v>
      </c>
      <c r="V233" s="344" t="s">
        <v>160</v>
      </c>
      <c r="W233" s="344" t="s">
        <v>160</v>
      </c>
      <c r="X233" s="949" t="s">
        <v>160</v>
      </c>
      <c r="Y233" s="949" t="s">
        <v>160</v>
      </c>
      <c r="Z233" s="949" t="s">
        <v>160</v>
      </c>
      <c r="AA233" s="949" t="s">
        <v>160</v>
      </c>
      <c r="AB233" s="949" t="s">
        <v>160</v>
      </c>
      <c r="AC233" s="949" t="s">
        <v>160</v>
      </c>
      <c r="AD233" s="949" t="s">
        <v>160</v>
      </c>
      <c r="AE233" s="949" t="s">
        <v>160</v>
      </c>
      <c r="AF233" s="949" t="s">
        <v>160</v>
      </c>
      <c r="AG233" s="949" t="s">
        <v>160</v>
      </c>
      <c r="AH233" s="949" t="s">
        <v>160</v>
      </c>
      <c r="AI233" s="949" t="s">
        <v>160</v>
      </c>
      <c r="AJ233" s="949" t="s">
        <v>160</v>
      </c>
      <c r="AK233" s="949" t="s">
        <v>160</v>
      </c>
      <c r="AL233" s="949" t="s">
        <v>160</v>
      </c>
      <c r="AM233" s="949" t="s">
        <v>160</v>
      </c>
      <c r="AN233" s="949" t="s">
        <v>160</v>
      </c>
      <c r="AO233" s="949" t="s">
        <v>160</v>
      </c>
      <c r="AP233" s="949" t="s">
        <v>160</v>
      </c>
      <c r="AQ233" s="949" t="s">
        <v>160</v>
      </c>
      <c r="AR233" s="949" t="s">
        <v>160</v>
      </c>
      <c r="AS233" s="949" t="s">
        <v>160</v>
      </c>
      <c r="AT233" s="949" t="s">
        <v>160</v>
      </c>
      <c r="AU233" s="949" t="s">
        <v>160</v>
      </c>
      <c r="AV233" s="949" t="s">
        <v>160</v>
      </c>
      <c r="AW233" s="949" t="s">
        <v>160</v>
      </c>
      <c r="AX233" s="949" t="s">
        <v>160</v>
      </c>
      <c r="AY233" s="950" t="s">
        <v>160</v>
      </c>
      <c r="AZ233" s="949" t="s">
        <v>160</v>
      </c>
      <c r="BA233" s="949" t="s">
        <v>160</v>
      </c>
      <c r="BB233" s="949" t="s">
        <v>160</v>
      </c>
      <c r="BC233" s="949" t="s">
        <v>160</v>
      </c>
      <c r="BD233" s="949" t="s">
        <v>160</v>
      </c>
      <c r="BE233" s="949" t="s">
        <v>160</v>
      </c>
      <c r="BF233" s="949" t="s">
        <v>160</v>
      </c>
      <c r="BG233" s="949" t="s">
        <v>160</v>
      </c>
      <c r="BH233" s="949" t="s">
        <v>160</v>
      </c>
      <c r="BI233" s="949" t="s">
        <v>160</v>
      </c>
      <c r="BJ233" s="949" t="s">
        <v>160</v>
      </c>
      <c r="BK233" s="949" t="s">
        <v>160</v>
      </c>
      <c r="BL233" s="949" t="s">
        <v>160</v>
      </c>
      <c r="BM233" s="949" t="s">
        <v>160</v>
      </c>
      <c r="BN233" s="949" t="s">
        <v>160</v>
      </c>
      <c r="BO233" s="949" t="s">
        <v>160</v>
      </c>
      <c r="BP233" s="596" t="s">
        <v>160</v>
      </c>
      <c r="BQ233" s="596" t="s">
        <v>160</v>
      </c>
      <c r="BR233" s="596" t="s">
        <v>160</v>
      </c>
      <c r="BS233" s="596" t="s">
        <v>160</v>
      </c>
      <c r="BT233" s="596" t="s">
        <v>160</v>
      </c>
      <c r="BU233" s="596" t="s">
        <v>160</v>
      </c>
      <c r="BV233" s="596" t="s">
        <v>160</v>
      </c>
      <c r="BW233" s="596" t="s">
        <v>160</v>
      </c>
      <c r="BX233" s="596" t="s">
        <v>160</v>
      </c>
      <c r="BY233" s="596" t="s">
        <v>160</v>
      </c>
      <c r="BZ233" s="596" t="s">
        <v>160</v>
      </c>
      <c r="CA233" s="596">
        <v>22</v>
      </c>
      <c r="CB233" s="596">
        <v>22</v>
      </c>
      <c r="CC233" s="596">
        <v>22</v>
      </c>
      <c r="CD233" s="596">
        <v>22</v>
      </c>
      <c r="CE233" s="596">
        <v>22</v>
      </c>
      <c r="CF233" s="596">
        <v>22</v>
      </c>
      <c r="CG233" s="596">
        <v>24</v>
      </c>
      <c r="CH233" s="596">
        <v>24</v>
      </c>
      <c r="CI233" s="596">
        <v>24</v>
      </c>
      <c r="CJ233" s="596">
        <v>24</v>
      </c>
      <c r="CK233" s="596">
        <v>24</v>
      </c>
      <c r="CL233" s="596">
        <v>24</v>
      </c>
      <c r="CM233" s="596">
        <v>24</v>
      </c>
      <c r="CN233" s="596">
        <v>24</v>
      </c>
      <c r="CO233" s="596">
        <v>24</v>
      </c>
      <c r="CP233" s="596">
        <v>24</v>
      </c>
      <c r="CQ233"/>
      <c r="CR233"/>
      <c r="CS233"/>
      <c r="CT233"/>
      <c r="CU233"/>
      <c r="CV233"/>
      <c r="CW233"/>
      <c r="CX233"/>
      <c r="CY233"/>
      <c r="CZ233"/>
      <c r="DA233"/>
      <c r="DB233"/>
      <c r="DC233"/>
      <c r="DD233"/>
      <c r="DE233"/>
      <c r="DF233"/>
      <c r="DG233"/>
    </row>
    <row r="234" spans="1:126" x14ac:dyDescent="0.25">
      <c r="D234" s="117" t="s">
        <v>1390</v>
      </c>
      <c r="E234" s="351" t="s">
        <v>160</v>
      </c>
      <c r="F234" s="351" t="s">
        <v>160</v>
      </c>
      <c r="G234" s="351" t="s">
        <v>160</v>
      </c>
      <c r="H234" s="351" t="s">
        <v>160</v>
      </c>
      <c r="I234" s="351" t="s">
        <v>160</v>
      </c>
      <c r="J234" s="351" t="s">
        <v>160</v>
      </c>
      <c r="K234" s="351" t="s">
        <v>160</v>
      </c>
      <c r="L234" s="351" t="s">
        <v>160</v>
      </c>
      <c r="M234" s="351" t="s">
        <v>160</v>
      </c>
      <c r="N234" s="351" t="s">
        <v>160</v>
      </c>
      <c r="O234" s="351" t="s">
        <v>160</v>
      </c>
      <c r="P234" s="351" t="s">
        <v>160</v>
      </c>
      <c r="Q234" s="351" t="s">
        <v>160</v>
      </c>
      <c r="R234" s="351" t="s">
        <v>160</v>
      </c>
      <c r="S234" s="351" t="s">
        <v>160</v>
      </c>
      <c r="T234" s="351" t="s">
        <v>160</v>
      </c>
      <c r="U234" s="351" t="s">
        <v>160</v>
      </c>
      <c r="V234" s="351" t="s">
        <v>160</v>
      </c>
      <c r="W234" s="351" t="s">
        <v>160</v>
      </c>
      <c r="X234" s="351" t="s">
        <v>160</v>
      </c>
      <c r="Y234" s="596" t="s">
        <v>160</v>
      </c>
      <c r="Z234" s="596" t="s">
        <v>160</v>
      </c>
      <c r="AA234" s="596" t="s">
        <v>160</v>
      </c>
      <c r="AB234" s="596" t="s">
        <v>160</v>
      </c>
      <c r="AC234" s="596" t="s">
        <v>160</v>
      </c>
      <c r="AD234" s="596" t="s">
        <v>160</v>
      </c>
      <c r="AE234" s="596" t="s">
        <v>160</v>
      </c>
      <c r="AF234" s="596" t="s">
        <v>160</v>
      </c>
      <c r="AG234" s="596" t="s">
        <v>160</v>
      </c>
      <c r="AH234" s="596" t="s">
        <v>160</v>
      </c>
      <c r="AI234" s="596" t="s">
        <v>160</v>
      </c>
      <c r="AJ234" s="596" t="s">
        <v>160</v>
      </c>
      <c r="AK234" s="596" t="s">
        <v>160</v>
      </c>
      <c r="AL234" s="596" t="s">
        <v>160</v>
      </c>
      <c r="AM234" s="596" t="s">
        <v>160</v>
      </c>
      <c r="AN234" s="596" t="s">
        <v>160</v>
      </c>
      <c r="AO234" s="596" t="s">
        <v>160</v>
      </c>
      <c r="AP234" s="596" t="s">
        <v>160</v>
      </c>
      <c r="AQ234" s="596" t="s">
        <v>160</v>
      </c>
      <c r="AR234" s="596" t="s">
        <v>160</v>
      </c>
      <c r="AS234" s="596" t="s">
        <v>160</v>
      </c>
      <c r="AT234" s="596" t="s">
        <v>160</v>
      </c>
      <c r="AU234" s="596" t="s">
        <v>160</v>
      </c>
      <c r="AV234" s="596" t="s">
        <v>160</v>
      </c>
      <c r="AW234" s="596" t="s">
        <v>160</v>
      </c>
      <c r="AX234" s="596" t="s">
        <v>160</v>
      </c>
      <c r="AY234" s="1020" t="s">
        <v>160</v>
      </c>
      <c r="AZ234" s="596" t="s">
        <v>160</v>
      </c>
      <c r="BA234" s="596" t="s">
        <v>160</v>
      </c>
      <c r="BB234" s="596" t="s">
        <v>160</v>
      </c>
      <c r="BC234" s="596" t="s">
        <v>160</v>
      </c>
      <c r="BD234" s="596" t="s">
        <v>160</v>
      </c>
      <c r="BE234" s="596" t="s">
        <v>160</v>
      </c>
      <c r="BF234" s="596" t="s">
        <v>160</v>
      </c>
      <c r="BG234" s="596" t="s">
        <v>160</v>
      </c>
      <c r="BH234" s="596" t="s">
        <v>160</v>
      </c>
      <c r="BI234" s="596" t="s">
        <v>160</v>
      </c>
      <c r="BJ234" s="596" t="s">
        <v>160</v>
      </c>
      <c r="BK234" s="596" t="s">
        <v>160</v>
      </c>
      <c r="BL234" s="596" t="s">
        <v>160</v>
      </c>
      <c r="BM234" s="596" t="s">
        <v>160</v>
      </c>
      <c r="BN234" s="596" t="s">
        <v>160</v>
      </c>
      <c r="BO234" s="596" t="s">
        <v>160</v>
      </c>
      <c r="BP234" s="596" t="s">
        <v>160</v>
      </c>
      <c r="BQ234" s="596" t="s">
        <v>160</v>
      </c>
      <c r="BR234" s="596" t="s">
        <v>160</v>
      </c>
      <c r="BS234" s="596" t="s">
        <v>160</v>
      </c>
      <c r="BT234" s="596" t="s">
        <v>160</v>
      </c>
      <c r="BU234" s="596" t="s">
        <v>160</v>
      </c>
      <c r="BV234" s="596" t="s">
        <v>160</v>
      </c>
      <c r="BW234" s="596" t="s">
        <v>160</v>
      </c>
      <c r="BX234" s="596" t="s">
        <v>160</v>
      </c>
      <c r="BY234" s="596" t="s">
        <v>160</v>
      </c>
      <c r="BZ234" s="596" t="s">
        <v>160</v>
      </c>
      <c r="CA234" s="596" t="s">
        <v>160</v>
      </c>
      <c r="CB234" s="596" t="s">
        <v>160</v>
      </c>
      <c r="CC234" s="596" t="s">
        <v>160</v>
      </c>
      <c r="CD234" s="596">
        <v>30</v>
      </c>
      <c r="CE234" s="596">
        <v>30</v>
      </c>
      <c r="CF234" s="596">
        <v>30</v>
      </c>
      <c r="CG234" s="596">
        <v>30</v>
      </c>
      <c r="CH234" s="596">
        <v>30</v>
      </c>
      <c r="CI234" s="596">
        <v>30</v>
      </c>
      <c r="CJ234" s="596">
        <v>30</v>
      </c>
      <c r="CK234" s="596" t="s">
        <v>160</v>
      </c>
      <c r="CL234" s="596" t="s">
        <v>160</v>
      </c>
      <c r="CM234" s="596" t="s">
        <v>160</v>
      </c>
      <c r="CN234" s="596" t="s">
        <v>160</v>
      </c>
      <c r="CO234" s="596" t="s">
        <v>160</v>
      </c>
      <c r="CP234" s="596" t="s">
        <v>160</v>
      </c>
      <c r="CQ234"/>
      <c r="CR234"/>
      <c r="CS234"/>
      <c r="CT234"/>
      <c r="CU234"/>
      <c r="CV234"/>
      <c r="CW234"/>
      <c r="CX234"/>
      <c r="CY234"/>
      <c r="CZ234"/>
      <c r="DA234"/>
      <c r="DB234"/>
      <c r="DC234"/>
      <c r="DD234"/>
      <c r="DE234"/>
      <c r="DF234"/>
      <c r="DG234"/>
    </row>
    <row r="235" spans="1:126" customFormat="1" ht="12.75" x14ac:dyDescent="0.2">
      <c r="A235" t="s">
        <v>557</v>
      </c>
      <c r="B235" t="s">
        <v>856</v>
      </c>
      <c r="D235" s="277" t="str">
        <f>IF([1]RENAME!$H$3=1,B235,A235)</f>
        <v>Média</v>
      </c>
      <c r="E235" s="278" t="str">
        <f t="shared" ref="E235:AJ235" si="167">IFERROR(AVERAGE(E230:E234),"-")</f>
        <v>-</v>
      </c>
      <c r="F235" s="278" t="str">
        <f t="shared" si="167"/>
        <v>-</v>
      </c>
      <c r="G235" s="278" t="str">
        <f t="shared" si="167"/>
        <v>-</v>
      </c>
      <c r="H235" s="278" t="str">
        <f t="shared" si="167"/>
        <v>-</v>
      </c>
      <c r="I235" s="278" t="str">
        <f t="shared" si="167"/>
        <v>-</v>
      </c>
      <c r="J235" s="278" t="str">
        <f t="shared" si="167"/>
        <v>-</v>
      </c>
      <c r="K235" s="278" t="str">
        <f t="shared" si="167"/>
        <v>-</v>
      </c>
      <c r="L235" s="278" t="str">
        <f t="shared" si="167"/>
        <v>-</v>
      </c>
      <c r="M235" s="278" t="str">
        <f t="shared" si="167"/>
        <v>-</v>
      </c>
      <c r="N235" s="278" t="str">
        <f t="shared" si="167"/>
        <v>-</v>
      </c>
      <c r="O235" s="278" t="str">
        <f t="shared" si="167"/>
        <v>-</v>
      </c>
      <c r="P235" s="278" t="str">
        <f t="shared" si="167"/>
        <v>-</v>
      </c>
      <c r="Q235" s="278" t="str">
        <f t="shared" si="167"/>
        <v>-</v>
      </c>
      <c r="R235" s="278" t="str">
        <f t="shared" si="167"/>
        <v>-</v>
      </c>
      <c r="S235" s="278" t="str">
        <f t="shared" si="167"/>
        <v>-</v>
      </c>
      <c r="T235" s="278" t="str">
        <f t="shared" si="167"/>
        <v>-</v>
      </c>
      <c r="U235" s="278" t="str">
        <f t="shared" si="167"/>
        <v>-</v>
      </c>
      <c r="V235" s="278" t="str">
        <f t="shared" si="167"/>
        <v>-</v>
      </c>
      <c r="W235" s="278" t="str">
        <f t="shared" si="167"/>
        <v>-</v>
      </c>
      <c r="X235" s="278" t="str">
        <f t="shared" si="167"/>
        <v>-</v>
      </c>
      <c r="Y235" s="278" t="str">
        <f t="shared" si="167"/>
        <v>-</v>
      </c>
      <c r="Z235" s="278" t="str">
        <f t="shared" si="167"/>
        <v>-</v>
      </c>
      <c r="AA235" s="278" t="str">
        <f t="shared" si="167"/>
        <v>-</v>
      </c>
      <c r="AB235" s="278" t="str">
        <f t="shared" si="167"/>
        <v>-</v>
      </c>
      <c r="AC235" s="278" t="str">
        <f t="shared" si="167"/>
        <v>-</v>
      </c>
      <c r="AD235" s="278" t="str">
        <f t="shared" si="167"/>
        <v>-</v>
      </c>
      <c r="AE235" s="278" t="str">
        <f t="shared" si="167"/>
        <v>-</v>
      </c>
      <c r="AF235" s="278" t="str">
        <f t="shared" si="167"/>
        <v>-</v>
      </c>
      <c r="AG235" s="278" t="str">
        <f t="shared" si="167"/>
        <v>-</v>
      </c>
      <c r="AH235" s="278" t="str">
        <f t="shared" si="167"/>
        <v>-</v>
      </c>
      <c r="AI235" s="278" t="str">
        <f t="shared" si="167"/>
        <v>-</v>
      </c>
      <c r="AJ235" s="278" t="str">
        <f t="shared" si="167"/>
        <v>-</v>
      </c>
      <c r="AK235" s="278" t="str">
        <f t="shared" ref="AK235:BP235" si="168">IFERROR(AVERAGE(AK230:AK234),"-")</f>
        <v>-</v>
      </c>
      <c r="AL235" s="278" t="str">
        <f t="shared" si="168"/>
        <v>-</v>
      </c>
      <c r="AM235" s="278" t="str">
        <f t="shared" si="168"/>
        <v>-</v>
      </c>
      <c r="AN235" s="278" t="str">
        <f t="shared" si="168"/>
        <v>-</v>
      </c>
      <c r="AO235" s="278" t="str">
        <f t="shared" si="168"/>
        <v>-</v>
      </c>
      <c r="AP235" s="278" t="str">
        <f t="shared" si="168"/>
        <v>-</v>
      </c>
      <c r="AQ235" s="278" t="str">
        <f t="shared" si="168"/>
        <v>-</v>
      </c>
      <c r="AR235" s="278" t="str">
        <f t="shared" si="168"/>
        <v>-</v>
      </c>
      <c r="AS235" s="278" t="str">
        <f t="shared" si="168"/>
        <v>-</v>
      </c>
      <c r="AT235" s="278" t="str">
        <f t="shared" si="168"/>
        <v>-</v>
      </c>
      <c r="AU235" s="278" t="str">
        <f t="shared" si="168"/>
        <v>-</v>
      </c>
      <c r="AV235" s="278" t="str">
        <f t="shared" si="168"/>
        <v>-</v>
      </c>
      <c r="AW235" s="278" t="str">
        <f t="shared" si="168"/>
        <v>-</v>
      </c>
      <c r="AX235" s="278" t="str">
        <f t="shared" si="168"/>
        <v>-</v>
      </c>
      <c r="AY235" s="278" t="str">
        <f t="shared" si="168"/>
        <v>-</v>
      </c>
      <c r="AZ235" s="278" t="str">
        <f t="shared" si="168"/>
        <v>-</v>
      </c>
      <c r="BA235" s="278" t="str">
        <f t="shared" si="168"/>
        <v>-</v>
      </c>
      <c r="BB235" s="278" t="str">
        <f t="shared" si="168"/>
        <v>-</v>
      </c>
      <c r="BC235" s="278" t="str">
        <f t="shared" si="168"/>
        <v>-</v>
      </c>
      <c r="BD235" s="278" t="str">
        <f t="shared" si="168"/>
        <v>-</v>
      </c>
      <c r="BE235" s="278" t="str">
        <f t="shared" si="168"/>
        <v>-</v>
      </c>
      <c r="BF235" s="278" t="str">
        <f t="shared" si="168"/>
        <v>-</v>
      </c>
      <c r="BG235" s="278" t="str">
        <f t="shared" si="168"/>
        <v>-</v>
      </c>
      <c r="BH235" s="278" t="str">
        <f t="shared" si="168"/>
        <v>-</v>
      </c>
      <c r="BI235" s="278" t="str">
        <f t="shared" si="168"/>
        <v>-</v>
      </c>
      <c r="BJ235" s="278" t="str">
        <f t="shared" si="168"/>
        <v>-</v>
      </c>
      <c r="BK235" s="278" t="str">
        <f t="shared" si="168"/>
        <v>-</v>
      </c>
      <c r="BL235" s="278" t="str">
        <f t="shared" si="168"/>
        <v>-</v>
      </c>
      <c r="BM235" s="278" t="str">
        <f t="shared" si="168"/>
        <v>-</v>
      </c>
      <c r="BN235" s="278" t="str">
        <f t="shared" si="168"/>
        <v>-</v>
      </c>
      <c r="BO235" s="278" t="str">
        <f t="shared" si="168"/>
        <v>-</v>
      </c>
      <c r="BP235" s="278" t="str">
        <f t="shared" si="168"/>
        <v>-</v>
      </c>
      <c r="BQ235" s="278" t="str">
        <f t="shared" ref="BQ235:CE235" si="169">IFERROR(AVERAGE(BQ230:BQ234),"-")</f>
        <v>-</v>
      </c>
      <c r="BR235" s="278" t="str">
        <f t="shared" si="169"/>
        <v>-</v>
      </c>
      <c r="BS235" s="278" t="str">
        <f t="shared" si="169"/>
        <v>-</v>
      </c>
      <c r="BT235" s="278" t="str">
        <f t="shared" si="169"/>
        <v>-</v>
      </c>
      <c r="BU235" s="278" t="str">
        <f t="shared" si="169"/>
        <v>-</v>
      </c>
      <c r="BV235" s="278" t="str">
        <f t="shared" si="169"/>
        <v>-</v>
      </c>
      <c r="BW235" s="278" t="str">
        <f t="shared" si="169"/>
        <v>-</v>
      </c>
      <c r="BX235" s="278" t="str">
        <f t="shared" si="169"/>
        <v>-</v>
      </c>
      <c r="BY235" s="278" t="str">
        <f t="shared" si="169"/>
        <v>-</v>
      </c>
      <c r="BZ235" s="278" t="str">
        <f t="shared" si="169"/>
        <v>-</v>
      </c>
      <c r="CA235" s="278">
        <f t="shared" si="169"/>
        <v>25.933333333333334</v>
      </c>
      <c r="CB235" s="814">
        <f t="shared" si="169"/>
        <v>25.933333333333334</v>
      </c>
      <c r="CC235" s="814">
        <f t="shared" si="169"/>
        <v>25.933333333333334</v>
      </c>
      <c r="CD235" s="814">
        <f t="shared" si="169"/>
        <v>26.95</v>
      </c>
      <c r="CE235" s="814">
        <f t="shared" si="169"/>
        <v>26.560000000000002</v>
      </c>
      <c r="CF235" s="814">
        <f t="shared" ref="CF235:CP235" si="170">IFERROR(AVERAGE(CF230:CF234),"-")</f>
        <v>26.560000000000002</v>
      </c>
      <c r="CG235" s="814">
        <f t="shared" si="170"/>
        <v>26.96</v>
      </c>
      <c r="CH235" s="814">
        <f t="shared" si="170"/>
        <v>26.96</v>
      </c>
      <c r="CI235" s="814">
        <f t="shared" si="170"/>
        <v>26.96</v>
      </c>
      <c r="CJ235" s="814">
        <f t="shared" si="170"/>
        <v>26.96</v>
      </c>
      <c r="CK235" s="814">
        <f t="shared" si="170"/>
        <v>26.2</v>
      </c>
      <c r="CL235" s="814">
        <f t="shared" si="170"/>
        <v>24</v>
      </c>
      <c r="CM235" s="814">
        <f t="shared" si="170"/>
        <v>24</v>
      </c>
      <c r="CN235" s="814">
        <f t="shared" si="170"/>
        <v>24</v>
      </c>
      <c r="CO235" s="814">
        <f t="shared" si="170"/>
        <v>24</v>
      </c>
      <c r="CP235" s="814">
        <f t="shared" si="170"/>
        <v>24</v>
      </c>
      <c r="DI235" s="1172"/>
      <c r="DJ235" s="1172"/>
      <c r="DK235" s="1172"/>
      <c r="DL235" s="1172"/>
      <c r="DM235" s="1172"/>
    </row>
    <row r="236" spans="1:126" x14ac:dyDescent="0.25">
      <c r="A236"/>
      <c r="B236"/>
      <c r="C236"/>
      <c r="D236" s="1010"/>
      <c r="E236" s="1011"/>
      <c r="F236" s="1011"/>
      <c r="G236" s="1011"/>
      <c r="H236" s="1011"/>
      <c r="I236" s="1011"/>
      <c r="J236" s="1011"/>
      <c r="K236" s="1011"/>
      <c r="L236" s="1011"/>
      <c r="M236" s="1011"/>
      <c r="N236" s="1012"/>
      <c r="O236" s="1012"/>
      <c r="P236" s="1012"/>
      <c r="Q236" s="1012"/>
      <c r="R236" s="1012"/>
      <c r="S236" s="1012"/>
      <c r="T236" s="1012"/>
      <c r="U236" s="1012"/>
      <c r="V236" s="1012"/>
      <c r="W236" s="1012"/>
      <c r="X236" s="1013"/>
      <c r="Y236" s="1013"/>
      <c r="Z236" s="1013"/>
      <c r="AA236" s="1013"/>
      <c r="AB236" s="1013"/>
      <c r="AC236" s="1013"/>
      <c r="AD236" s="1013"/>
      <c r="AE236" s="1013"/>
      <c r="AF236" s="1013"/>
      <c r="AG236" s="1013"/>
      <c r="AH236" s="1013"/>
      <c r="AI236" s="1013"/>
      <c r="AJ236" s="1013"/>
      <c r="AK236" s="1013"/>
      <c r="AL236" s="1013"/>
      <c r="AM236" s="1013"/>
      <c r="AN236" s="1013"/>
      <c r="AO236" s="1013"/>
      <c r="AP236" s="1013"/>
      <c r="AQ236" s="1013"/>
      <c r="AR236" s="1013"/>
      <c r="AS236" s="1013"/>
      <c r="AT236" s="1013"/>
      <c r="AU236" s="1013"/>
      <c r="AV236" s="1012"/>
      <c r="AW236" s="1012"/>
      <c r="AX236" s="1014"/>
      <c r="AY236" s="1015"/>
      <c r="AZ236" s="1015"/>
      <c r="BA236" s="1015"/>
      <c r="BB236" s="1012"/>
      <c r="BC236" s="1012"/>
      <c r="BD236" s="1012"/>
      <c r="BE236" s="1012"/>
      <c r="BF236" s="1012"/>
      <c r="BG236" s="1012"/>
      <c r="BH236" s="1012"/>
      <c r="BI236" s="1012"/>
      <c r="BJ236" s="1012"/>
      <c r="BK236" s="1012"/>
      <c r="BL236" s="1012"/>
      <c r="BM236" s="1012"/>
      <c r="BN236" s="1012"/>
      <c r="BO236" s="1012"/>
      <c r="BP236" s="1012"/>
      <c r="BQ236" s="1012"/>
      <c r="BR236" s="1012"/>
      <c r="BS236" s="1012"/>
      <c r="BT236" s="1012"/>
      <c r="BU236" s="1012"/>
      <c r="BV236" s="1012"/>
      <c r="BW236" s="1012"/>
      <c r="BX236" s="1012"/>
      <c r="BY236" s="1012"/>
      <c r="BZ236" s="1012"/>
      <c r="CA236" s="1012"/>
      <c r="CB236" s="1012"/>
      <c r="CC236" s="1012"/>
      <c r="CD236" s="1012"/>
      <c r="CE236" s="1012"/>
      <c r="CF236" s="1012"/>
      <c r="CG236" s="1012"/>
      <c r="CH236" s="1012"/>
      <c r="CI236" s="1012"/>
      <c r="CJ236" s="1012"/>
      <c r="CK236" s="1012"/>
      <c r="CL236" s="1012"/>
      <c r="CM236" s="1012"/>
      <c r="CN236" s="1012"/>
      <c r="CO236" s="1012"/>
      <c r="CP236" s="1012"/>
      <c r="CQ236"/>
      <c r="CR236"/>
      <c r="CS236"/>
      <c r="CT236"/>
      <c r="CU236"/>
      <c r="CV236"/>
      <c r="CW236"/>
      <c r="CX236"/>
      <c r="CY236"/>
      <c r="CZ236"/>
      <c r="DA236"/>
      <c r="DB236"/>
      <c r="DC236"/>
      <c r="DD236"/>
      <c r="DE236"/>
      <c r="DF236"/>
      <c r="DG236"/>
    </row>
    <row r="237" spans="1:126" x14ac:dyDescent="0.25">
      <c r="A237" s="261" t="s">
        <v>1899</v>
      </c>
      <c r="B237" s="261" t="s">
        <v>1900</v>
      </c>
      <c r="D237" s="113" t="str">
        <f>IF([1]RENAME!$H$3=1,B237,A237)</f>
        <v>Receita líquida 2023</v>
      </c>
      <c r="E237" s="262">
        <f>E$4</f>
        <v>42522</v>
      </c>
      <c r="F237" s="262">
        <f t="shared" ref="F237:BQ237" si="171">F$4</f>
        <v>42552</v>
      </c>
      <c r="G237" s="262">
        <f t="shared" si="171"/>
        <v>42583</v>
      </c>
      <c r="H237" s="262">
        <f t="shared" si="171"/>
        <v>42614</v>
      </c>
      <c r="I237" s="262">
        <f t="shared" si="171"/>
        <v>42644</v>
      </c>
      <c r="J237" s="262">
        <f t="shared" si="171"/>
        <v>42675</v>
      </c>
      <c r="K237" s="262">
        <f t="shared" si="171"/>
        <v>42705</v>
      </c>
      <c r="L237" s="262">
        <f t="shared" si="171"/>
        <v>42736</v>
      </c>
      <c r="M237" s="262">
        <f t="shared" si="171"/>
        <v>42767</v>
      </c>
      <c r="N237" s="262">
        <f t="shared" si="171"/>
        <v>42795</v>
      </c>
      <c r="O237" s="262">
        <f t="shared" si="171"/>
        <v>42826</v>
      </c>
      <c r="P237" s="262">
        <f t="shared" si="171"/>
        <v>42856</v>
      </c>
      <c r="Q237" s="262">
        <f t="shared" si="171"/>
        <v>42887</v>
      </c>
      <c r="R237" s="262">
        <f t="shared" si="171"/>
        <v>42917</v>
      </c>
      <c r="S237" s="262">
        <f t="shared" si="171"/>
        <v>42948</v>
      </c>
      <c r="T237" s="262">
        <f t="shared" si="171"/>
        <v>42979</v>
      </c>
      <c r="U237" s="262">
        <f t="shared" si="171"/>
        <v>43009</v>
      </c>
      <c r="V237" s="262">
        <f t="shared" si="171"/>
        <v>43040</v>
      </c>
      <c r="W237" s="262">
        <f t="shared" si="171"/>
        <v>43070</v>
      </c>
      <c r="X237" s="262">
        <f t="shared" si="171"/>
        <v>43101</v>
      </c>
      <c r="Y237" s="262">
        <f t="shared" si="171"/>
        <v>43132</v>
      </c>
      <c r="Z237" s="262">
        <f t="shared" si="171"/>
        <v>43160</v>
      </c>
      <c r="AA237" s="262">
        <f t="shared" si="171"/>
        <v>43191</v>
      </c>
      <c r="AB237" s="262">
        <f t="shared" si="171"/>
        <v>43221</v>
      </c>
      <c r="AC237" s="262">
        <f t="shared" si="171"/>
        <v>43252</v>
      </c>
      <c r="AD237" s="262">
        <f t="shared" si="171"/>
        <v>43283</v>
      </c>
      <c r="AE237" s="262">
        <f t="shared" si="171"/>
        <v>43314</v>
      </c>
      <c r="AF237" s="262">
        <f t="shared" si="171"/>
        <v>43345</v>
      </c>
      <c r="AG237" s="262">
        <f t="shared" si="171"/>
        <v>43376</v>
      </c>
      <c r="AH237" s="262">
        <f t="shared" si="171"/>
        <v>43407</v>
      </c>
      <c r="AI237" s="262">
        <f t="shared" si="171"/>
        <v>43437</v>
      </c>
      <c r="AJ237" s="262">
        <f t="shared" si="171"/>
        <v>43468</v>
      </c>
      <c r="AK237" s="262">
        <f t="shared" si="171"/>
        <v>43499</v>
      </c>
      <c r="AL237" s="262">
        <f t="shared" si="171"/>
        <v>43527</v>
      </c>
      <c r="AM237" s="262">
        <f t="shared" si="171"/>
        <v>43558</v>
      </c>
      <c r="AN237" s="262">
        <f t="shared" si="171"/>
        <v>43587</v>
      </c>
      <c r="AO237" s="262">
        <f t="shared" si="171"/>
        <v>43618</v>
      </c>
      <c r="AP237" s="262">
        <f t="shared" si="171"/>
        <v>43647</v>
      </c>
      <c r="AQ237" s="262">
        <f t="shared" si="171"/>
        <v>43678</v>
      </c>
      <c r="AR237" s="262">
        <f t="shared" si="171"/>
        <v>43709</v>
      </c>
      <c r="AS237" s="262">
        <f t="shared" si="171"/>
        <v>43739</v>
      </c>
      <c r="AT237" s="262">
        <f t="shared" si="171"/>
        <v>43770</v>
      </c>
      <c r="AU237" s="262">
        <f t="shared" si="171"/>
        <v>43800</v>
      </c>
      <c r="AV237" s="262">
        <f t="shared" si="171"/>
        <v>43831</v>
      </c>
      <c r="AW237" s="262">
        <f t="shared" si="171"/>
        <v>43862</v>
      </c>
      <c r="AX237" s="262">
        <f t="shared" si="171"/>
        <v>43891</v>
      </c>
      <c r="AY237" s="262">
        <f t="shared" si="171"/>
        <v>43922</v>
      </c>
      <c r="AZ237" s="262">
        <f t="shared" si="171"/>
        <v>43952</v>
      </c>
      <c r="BA237" s="262">
        <f t="shared" si="171"/>
        <v>43983</v>
      </c>
      <c r="BB237" s="262">
        <f t="shared" si="171"/>
        <v>44013</v>
      </c>
      <c r="BC237" s="262">
        <f t="shared" si="171"/>
        <v>44044</v>
      </c>
      <c r="BD237" s="262">
        <f t="shared" si="171"/>
        <v>44075</v>
      </c>
      <c r="BE237" s="262">
        <f t="shared" si="171"/>
        <v>44105</v>
      </c>
      <c r="BF237" s="262">
        <f t="shared" si="171"/>
        <v>44136</v>
      </c>
      <c r="BG237" s="262">
        <f t="shared" si="171"/>
        <v>44166</v>
      </c>
      <c r="BH237" s="262">
        <f t="shared" si="171"/>
        <v>44197</v>
      </c>
      <c r="BI237" s="262">
        <f t="shared" si="171"/>
        <v>44228</v>
      </c>
      <c r="BJ237" s="262">
        <f t="shared" si="171"/>
        <v>44256</v>
      </c>
      <c r="BK237" s="262">
        <f t="shared" si="171"/>
        <v>44287</v>
      </c>
      <c r="BL237" s="262">
        <f t="shared" si="171"/>
        <v>44317</v>
      </c>
      <c r="BM237" s="262">
        <f t="shared" si="171"/>
        <v>44348</v>
      </c>
      <c r="BN237" s="262">
        <f t="shared" si="171"/>
        <v>44378</v>
      </c>
      <c r="BO237" s="262">
        <f t="shared" si="171"/>
        <v>44409</v>
      </c>
      <c r="BP237" s="262">
        <f t="shared" si="171"/>
        <v>44440</v>
      </c>
      <c r="BQ237" s="262">
        <f t="shared" si="171"/>
        <v>44470</v>
      </c>
      <c r="BR237" s="262">
        <f t="shared" ref="BR237:CP237" si="172">BR$4</f>
        <v>44501</v>
      </c>
      <c r="BS237" s="262">
        <f t="shared" si="172"/>
        <v>44531</v>
      </c>
      <c r="BT237" s="262">
        <f t="shared" si="172"/>
        <v>44562</v>
      </c>
      <c r="BU237" s="262">
        <f t="shared" si="172"/>
        <v>44593</v>
      </c>
      <c r="BV237" s="262">
        <f t="shared" si="172"/>
        <v>44622</v>
      </c>
      <c r="BW237" s="262">
        <f t="shared" si="172"/>
        <v>44654</v>
      </c>
      <c r="BX237" s="262">
        <f t="shared" si="172"/>
        <v>44685</v>
      </c>
      <c r="BY237" s="262">
        <f t="shared" si="172"/>
        <v>44716</v>
      </c>
      <c r="BZ237" s="262">
        <f t="shared" si="172"/>
        <v>44746</v>
      </c>
      <c r="CA237" s="262">
        <f t="shared" si="172"/>
        <v>44774</v>
      </c>
      <c r="CB237" s="262">
        <f t="shared" si="172"/>
        <v>44805</v>
      </c>
      <c r="CC237" s="262">
        <f t="shared" si="172"/>
        <v>44835</v>
      </c>
      <c r="CD237" s="262">
        <f t="shared" si="172"/>
        <v>44866</v>
      </c>
      <c r="CE237" s="262">
        <f t="shared" si="172"/>
        <v>44896</v>
      </c>
      <c r="CF237" s="262">
        <f t="shared" si="172"/>
        <v>44927</v>
      </c>
      <c r="CG237" s="262">
        <f t="shared" si="172"/>
        <v>44958</v>
      </c>
      <c r="CH237" s="262">
        <f t="shared" si="172"/>
        <v>44986</v>
      </c>
      <c r="CI237" s="262">
        <f t="shared" si="172"/>
        <v>45017</v>
      </c>
      <c r="CJ237" s="262">
        <f t="shared" si="172"/>
        <v>45047</v>
      </c>
      <c r="CK237" s="262">
        <f t="shared" si="172"/>
        <v>45078</v>
      </c>
      <c r="CL237" s="262">
        <f t="shared" si="172"/>
        <v>45108</v>
      </c>
      <c r="CM237" s="262">
        <f t="shared" si="172"/>
        <v>45139</v>
      </c>
      <c r="CN237" s="262">
        <f t="shared" si="172"/>
        <v>45170</v>
      </c>
      <c r="CO237" s="262">
        <f t="shared" si="172"/>
        <v>45200</v>
      </c>
      <c r="CP237" s="262">
        <f t="shared" si="172"/>
        <v>45231</v>
      </c>
      <c r="CQ237"/>
      <c r="CR237"/>
      <c r="CS237"/>
      <c r="CT237"/>
      <c r="CU237"/>
      <c r="CV237"/>
      <c r="CW237"/>
      <c r="CX237"/>
      <c r="CY237"/>
      <c r="CZ237"/>
      <c r="DA237"/>
      <c r="DB237"/>
      <c r="DC237"/>
      <c r="DD237"/>
      <c r="DE237"/>
      <c r="DF237"/>
      <c r="DG237"/>
    </row>
    <row r="238" spans="1:126" x14ac:dyDescent="0.25">
      <c r="A238" s="261" t="s">
        <v>542</v>
      </c>
      <c r="B238" s="261" t="s">
        <v>542</v>
      </c>
      <c r="D238" s="117" t="str">
        <f>IF([1]RENAME!$H$3=1,B238,A238)</f>
        <v>SANTANDER</v>
      </c>
      <c r="E238" s="264" t="s">
        <v>160</v>
      </c>
      <c r="F238" s="264" t="s">
        <v>160</v>
      </c>
      <c r="G238" s="264" t="s">
        <v>160</v>
      </c>
      <c r="H238" s="264" t="s">
        <v>160</v>
      </c>
      <c r="I238" s="264" t="s">
        <v>160</v>
      </c>
      <c r="J238" s="264" t="s">
        <v>160</v>
      </c>
      <c r="K238" s="264" t="s">
        <v>160</v>
      </c>
      <c r="L238" s="336" t="s">
        <v>160</v>
      </c>
      <c r="M238" s="336" t="s">
        <v>160</v>
      </c>
      <c r="N238" s="591" t="s">
        <v>160</v>
      </c>
      <c r="O238" s="591" t="s">
        <v>160</v>
      </c>
      <c r="P238" s="591" t="s">
        <v>160</v>
      </c>
      <c r="Q238" s="591" t="s">
        <v>160</v>
      </c>
      <c r="R238" s="591" t="s">
        <v>160</v>
      </c>
      <c r="S238" s="591" t="s">
        <v>160</v>
      </c>
      <c r="T238" s="591" t="s">
        <v>160</v>
      </c>
      <c r="U238" s="591" t="s">
        <v>160</v>
      </c>
      <c r="V238" s="591" t="s">
        <v>160</v>
      </c>
      <c r="W238" s="591" t="s">
        <v>160</v>
      </c>
      <c r="X238" s="591" t="s">
        <v>160</v>
      </c>
      <c r="Y238" s="591" t="s">
        <v>160</v>
      </c>
      <c r="Z238" s="591" t="s">
        <v>160</v>
      </c>
      <c r="AA238" s="591" t="s">
        <v>160</v>
      </c>
      <c r="AB238" s="591" t="s">
        <v>160</v>
      </c>
      <c r="AC238" s="591" t="s">
        <v>160</v>
      </c>
      <c r="AD238" s="591" t="s">
        <v>160</v>
      </c>
      <c r="AE238" s="591" t="s">
        <v>160</v>
      </c>
      <c r="AF238" s="591" t="s">
        <v>160</v>
      </c>
      <c r="AG238" s="591" t="s">
        <v>160</v>
      </c>
      <c r="AH238" s="591" t="s">
        <v>160</v>
      </c>
      <c r="AI238" s="591" t="s">
        <v>160</v>
      </c>
      <c r="AJ238" s="591" t="s">
        <v>160</v>
      </c>
      <c r="AK238" s="591" t="s">
        <v>160</v>
      </c>
      <c r="AL238" s="346" t="s">
        <v>160</v>
      </c>
      <c r="AM238" s="346" t="s">
        <v>160</v>
      </c>
      <c r="AN238" s="346" t="s">
        <v>160</v>
      </c>
      <c r="AO238" s="346" t="s">
        <v>160</v>
      </c>
      <c r="AP238" s="346" t="s">
        <v>160</v>
      </c>
      <c r="AQ238" s="346" t="s">
        <v>160</v>
      </c>
      <c r="AR238" s="346" t="s">
        <v>160</v>
      </c>
      <c r="AS238" s="346" t="s">
        <v>160</v>
      </c>
      <c r="AT238" s="346" t="s">
        <v>160</v>
      </c>
      <c r="AU238" s="346" t="s">
        <v>160</v>
      </c>
      <c r="AV238" s="346" t="s">
        <v>160</v>
      </c>
      <c r="AW238" s="346" t="s">
        <v>160</v>
      </c>
      <c r="AX238" s="947" t="s">
        <v>160</v>
      </c>
      <c r="AY238" s="346" t="s">
        <v>160</v>
      </c>
      <c r="AZ238" s="346" t="s">
        <v>160</v>
      </c>
      <c r="BA238" s="346" t="s">
        <v>160</v>
      </c>
      <c r="BB238" s="346" t="s">
        <v>160</v>
      </c>
      <c r="BC238" s="346" t="s">
        <v>160</v>
      </c>
      <c r="BD238" s="346" t="s">
        <v>160</v>
      </c>
      <c r="BE238" s="346" t="s">
        <v>160</v>
      </c>
      <c r="BF238" s="346" t="s">
        <v>160</v>
      </c>
      <c r="BG238" s="346" t="s">
        <v>160</v>
      </c>
      <c r="BH238" s="591" t="s">
        <v>160</v>
      </c>
      <c r="BI238" s="591" t="s">
        <v>160</v>
      </c>
      <c r="BJ238" s="591" t="s">
        <v>160</v>
      </c>
      <c r="BK238" s="591" t="s">
        <v>160</v>
      </c>
      <c r="BL238" s="591" t="s">
        <v>160</v>
      </c>
      <c r="BM238" s="591" t="s">
        <v>160</v>
      </c>
      <c r="BN238" s="591" t="s">
        <v>160</v>
      </c>
      <c r="BO238" s="591" t="s">
        <v>160</v>
      </c>
      <c r="BP238" s="591" t="s">
        <v>160</v>
      </c>
      <c r="BQ238" s="591" t="s">
        <v>160</v>
      </c>
      <c r="BR238" s="591" t="s">
        <v>160</v>
      </c>
      <c r="BS238" s="591">
        <v>1296</v>
      </c>
      <c r="BT238" s="591">
        <v>1296</v>
      </c>
      <c r="BU238" s="591">
        <v>1296</v>
      </c>
      <c r="BV238" s="591">
        <v>1296</v>
      </c>
      <c r="BW238" s="591">
        <v>1296</v>
      </c>
      <c r="BX238" s="591">
        <v>1296</v>
      </c>
      <c r="BY238" s="591">
        <v>1296</v>
      </c>
      <c r="BZ238" s="591">
        <v>1296</v>
      </c>
      <c r="CA238" s="591">
        <v>1296</v>
      </c>
      <c r="CB238" s="591">
        <v>1296</v>
      </c>
      <c r="CC238" s="591">
        <v>1296</v>
      </c>
      <c r="CD238" s="591">
        <v>1296</v>
      </c>
      <c r="CE238" s="341">
        <v>1478</v>
      </c>
      <c r="CF238" s="591">
        <v>1478</v>
      </c>
      <c r="CG238" s="591">
        <v>1478</v>
      </c>
      <c r="CH238" s="591">
        <v>1478</v>
      </c>
      <c r="CI238" s="591">
        <v>1478</v>
      </c>
      <c r="CJ238" s="591">
        <v>1478</v>
      </c>
      <c r="CK238" s="591">
        <v>1478</v>
      </c>
      <c r="CL238" s="591">
        <v>1478</v>
      </c>
      <c r="CM238" s="591">
        <v>1478</v>
      </c>
      <c r="CN238" s="591">
        <v>1478</v>
      </c>
      <c r="CO238" s="591">
        <v>1478</v>
      </c>
      <c r="CP238" s="591">
        <v>1478</v>
      </c>
      <c r="CQ238"/>
      <c r="CR238"/>
      <c r="CS238"/>
      <c r="CT238"/>
      <c r="CU238"/>
      <c r="CV238"/>
      <c r="CW238"/>
      <c r="CX238"/>
      <c r="CY238"/>
      <c r="CZ238"/>
      <c r="DA238"/>
      <c r="DB238"/>
      <c r="DC238"/>
      <c r="DD238"/>
      <c r="DE238"/>
      <c r="DF238"/>
      <c r="DG238"/>
    </row>
    <row r="239" spans="1:126" x14ac:dyDescent="0.25">
      <c r="A239" s="261" t="s">
        <v>546</v>
      </c>
      <c r="B239" s="261" t="s">
        <v>546</v>
      </c>
      <c r="D239" s="117" t="str">
        <f>IF([1]RENAME!$H$3=1,B239,A239)</f>
        <v>BTG PACTUAL</v>
      </c>
      <c r="E239" s="264" t="s">
        <v>160</v>
      </c>
      <c r="F239" s="264" t="s">
        <v>160</v>
      </c>
      <c r="G239" s="264" t="s">
        <v>160</v>
      </c>
      <c r="H239" s="264" t="s">
        <v>160</v>
      </c>
      <c r="I239" s="264" t="s">
        <v>160</v>
      </c>
      <c r="J239" s="264" t="s">
        <v>160</v>
      </c>
      <c r="K239" s="264" t="s">
        <v>160</v>
      </c>
      <c r="L239" s="336" t="s">
        <v>160</v>
      </c>
      <c r="M239" s="336" t="s">
        <v>160</v>
      </c>
      <c r="N239" s="591" t="s">
        <v>160</v>
      </c>
      <c r="O239" s="591" t="s">
        <v>160</v>
      </c>
      <c r="P239" s="591" t="s">
        <v>160</v>
      </c>
      <c r="Q239" s="591" t="s">
        <v>160</v>
      </c>
      <c r="R239" s="591" t="s">
        <v>160</v>
      </c>
      <c r="S239" s="591" t="s">
        <v>160</v>
      </c>
      <c r="T239" s="591" t="s">
        <v>160</v>
      </c>
      <c r="U239" s="591" t="s">
        <v>160</v>
      </c>
      <c r="V239" s="591" t="s">
        <v>160</v>
      </c>
      <c r="W239" s="591" t="s">
        <v>160</v>
      </c>
      <c r="X239" s="591" t="s">
        <v>160</v>
      </c>
      <c r="Y239" s="591" t="s">
        <v>160</v>
      </c>
      <c r="Z239" s="591" t="s">
        <v>160</v>
      </c>
      <c r="AA239" s="591" t="s">
        <v>160</v>
      </c>
      <c r="AB239" s="591" t="s">
        <v>160</v>
      </c>
      <c r="AC239" s="591" t="s">
        <v>160</v>
      </c>
      <c r="AD239" s="591" t="s">
        <v>160</v>
      </c>
      <c r="AE239" s="591" t="s">
        <v>160</v>
      </c>
      <c r="AF239" s="591" t="s">
        <v>160</v>
      </c>
      <c r="AG239" s="591" t="s">
        <v>160</v>
      </c>
      <c r="AH239" s="591" t="s">
        <v>160</v>
      </c>
      <c r="AI239" s="591" t="s">
        <v>160</v>
      </c>
      <c r="AJ239" s="591" t="s">
        <v>160</v>
      </c>
      <c r="AK239" s="591" t="s">
        <v>160</v>
      </c>
      <c r="AL239" s="346" t="s">
        <v>160</v>
      </c>
      <c r="AM239" s="346" t="s">
        <v>160</v>
      </c>
      <c r="AN239" s="346" t="s">
        <v>160</v>
      </c>
      <c r="AO239" s="346" t="s">
        <v>160</v>
      </c>
      <c r="AP239" s="346" t="s">
        <v>160</v>
      </c>
      <c r="AQ239" s="346" t="s">
        <v>160</v>
      </c>
      <c r="AR239" s="346" t="s">
        <v>160</v>
      </c>
      <c r="AS239" s="346" t="s">
        <v>160</v>
      </c>
      <c r="AT239" s="346" t="s">
        <v>160</v>
      </c>
      <c r="AU239" s="346" t="s">
        <v>160</v>
      </c>
      <c r="AV239" s="346" t="s">
        <v>160</v>
      </c>
      <c r="AW239" s="346" t="s">
        <v>160</v>
      </c>
      <c r="AX239" s="947" t="s">
        <v>160</v>
      </c>
      <c r="AY239" s="346" t="s">
        <v>160</v>
      </c>
      <c r="AZ239" s="346" t="s">
        <v>160</v>
      </c>
      <c r="BA239" s="346" t="s">
        <v>160</v>
      </c>
      <c r="BB239" s="346" t="s">
        <v>160</v>
      </c>
      <c r="BC239" s="346" t="s">
        <v>160</v>
      </c>
      <c r="BD239" s="346" t="s">
        <v>160</v>
      </c>
      <c r="BE239" s="346" t="s">
        <v>160</v>
      </c>
      <c r="BF239" s="346" t="s">
        <v>160</v>
      </c>
      <c r="BG239" s="346" t="s">
        <v>160</v>
      </c>
      <c r="BH239" s="346" t="s">
        <v>160</v>
      </c>
      <c r="BI239" s="346" t="s">
        <v>160</v>
      </c>
      <c r="BJ239" s="346" t="s">
        <v>160</v>
      </c>
      <c r="BK239" s="346" t="s">
        <v>160</v>
      </c>
      <c r="BL239" s="346" t="s">
        <v>160</v>
      </c>
      <c r="BM239" s="346" t="s">
        <v>160</v>
      </c>
      <c r="BN239" s="346" t="s">
        <v>160</v>
      </c>
      <c r="BO239" s="346" t="s">
        <v>160</v>
      </c>
      <c r="BP239" s="346" t="s">
        <v>160</v>
      </c>
      <c r="BQ239" s="346" t="s">
        <v>160</v>
      </c>
      <c r="BR239" s="346" t="s">
        <v>160</v>
      </c>
      <c r="BS239" s="346">
        <v>1478</v>
      </c>
      <c r="BT239" s="346">
        <v>1478</v>
      </c>
      <c r="BU239" s="346">
        <v>1478</v>
      </c>
      <c r="BV239" s="346">
        <v>1478</v>
      </c>
      <c r="BW239" s="346">
        <v>1478</v>
      </c>
      <c r="BX239" s="346">
        <v>1478</v>
      </c>
      <c r="BY239" s="346">
        <v>1478</v>
      </c>
      <c r="BZ239" s="346">
        <v>1478</v>
      </c>
      <c r="CA239" s="346">
        <v>1478</v>
      </c>
      <c r="CB239" s="591">
        <v>1478</v>
      </c>
      <c r="CC239" s="591">
        <v>1478</v>
      </c>
      <c r="CD239" s="591">
        <v>1478</v>
      </c>
      <c r="CE239" s="591">
        <v>1478</v>
      </c>
      <c r="CF239" s="591">
        <v>1478</v>
      </c>
      <c r="CG239" s="591">
        <v>1478</v>
      </c>
      <c r="CH239" s="591">
        <v>1478</v>
      </c>
      <c r="CI239" s="591">
        <v>1478</v>
      </c>
      <c r="CJ239" s="591">
        <v>1478</v>
      </c>
      <c r="CK239" s="591">
        <v>1478</v>
      </c>
      <c r="CL239" s="591">
        <v>1478</v>
      </c>
      <c r="CM239" s="591">
        <v>1478</v>
      </c>
      <c r="CN239" s="591">
        <v>1478</v>
      </c>
      <c r="CO239" s="591">
        <v>1478</v>
      </c>
      <c r="CP239" s="591">
        <v>1478</v>
      </c>
      <c r="CQ239"/>
      <c r="CR239"/>
      <c r="CS239"/>
      <c r="CT239"/>
      <c r="CU239"/>
      <c r="CV239"/>
      <c r="CW239"/>
      <c r="CX239"/>
      <c r="CY239"/>
      <c r="CZ239"/>
      <c r="DA239"/>
      <c r="DB239"/>
      <c r="DC239"/>
      <c r="DD239"/>
      <c r="DE239"/>
      <c r="DF239"/>
      <c r="DG239"/>
    </row>
    <row r="240" spans="1:126" x14ac:dyDescent="0.25">
      <c r="A240" s="261" t="s">
        <v>574</v>
      </c>
      <c r="B240" s="261" t="s">
        <v>574</v>
      </c>
      <c r="D240" s="117" t="str">
        <f>IF([1]RENAME!$H$3=1,B240,A240)</f>
        <v>SAFRA</v>
      </c>
      <c r="E240" s="263" t="s">
        <v>160</v>
      </c>
      <c r="F240" s="263" t="s">
        <v>160</v>
      </c>
      <c r="G240" s="263" t="s">
        <v>160</v>
      </c>
      <c r="H240" s="263" t="s">
        <v>160</v>
      </c>
      <c r="I240" s="263" t="s">
        <v>160</v>
      </c>
      <c r="J240" s="263" t="s">
        <v>160</v>
      </c>
      <c r="K240" s="263" t="s">
        <v>160</v>
      </c>
      <c r="L240" s="336" t="s">
        <v>160</v>
      </c>
      <c r="M240" s="336" t="s">
        <v>160</v>
      </c>
      <c r="N240" s="591" t="s">
        <v>160</v>
      </c>
      <c r="O240" s="591" t="s">
        <v>160</v>
      </c>
      <c r="P240" s="591" t="s">
        <v>160</v>
      </c>
      <c r="Q240" s="591" t="s">
        <v>160</v>
      </c>
      <c r="R240" s="591" t="s">
        <v>160</v>
      </c>
      <c r="S240" s="591" t="s">
        <v>160</v>
      </c>
      <c r="T240" s="591" t="s">
        <v>160</v>
      </c>
      <c r="U240" s="591" t="s">
        <v>160</v>
      </c>
      <c r="V240" s="591" t="s">
        <v>160</v>
      </c>
      <c r="W240" s="591" t="s">
        <v>160</v>
      </c>
      <c r="X240" s="591" t="s">
        <v>160</v>
      </c>
      <c r="Y240" s="591" t="s">
        <v>160</v>
      </c>
      <c r="Z240" s="591" t="s">
        <v>160</v>
      </c>
      <c r="AA240" s="591" t="s">
        <v>160</v>
      </c>
      <c r="AB240" s="591" t="s">
        <v>160</v>
      </c>
      <c r="AC240" s="591" t="s">
        <v>160</v>
      </c>
      <c r="AD240" s="591" t="s">
        <v>160</v>
      </c>
      <c r="AE240" s="591" t="s">
        <v>160</v>
      </c>
      <c r="AF240" s="591" t="s">
        <v>160</v>
      </c>
      <c r="AG240" s="591" t="s">
        <v>160</v>
      </c>
      <c r="AH240" s="591" t="s">
        <v>160</v>
      </c>
      <c r="AI240" s="591" t="s">
        <v>160</v>
      </c>
      <c r="AJ240" s="591" t="s">
        <v>160</v>
      </c>
      <c r="AK240" s="591" t="s">
        <v>160</v>
      </c>
      <c r="AL240" s="346" t="s">
        <v>160</v>
      </c>
      <c r="AM240" s="346" t="s">
        <v>160</v>
      </c>
      <c r="AN240" s="346" t="s">
        <v>160</v>
      </c>
      <c r="AO240" s="346" t="s">
        <v>160</v>
      </c>
      <c r="AP240" s="346" t="s">
        <v>160</v>
      </c>
      <c r="AQ240" s="346" t="s">
        <v>160</v>
      </c>
      <c r="AR240" s="346" t="s">
        <v>160</v>
      </c>
      <c r="AS240" s="346" t="s">
        <v>160</v>
      </c>
      <c r="AT240" s="346" t="s">
        <v>160</v>
      </c>
      <c r="AU240" s="346" t="s">
        <v>160</v>
      </c>
      <c r="AV240" s="346" t="s">
        <v>160</v>
      </c>
      <c r="AW240" s="346" t="s">
        <v>160</v>
      </c>
      <c r="AX240" s="947" t="s">
        <v>160</v>
      </c>
      <c r="AY240" s="348" t="s">
        <v>160</v>
      </c>
      <c r="AZ240" s="348" t="s">
        <v>160</v>
      </c>
      <c r="BA240" s="346" t="s">
        <v>160</v>
      </c>
      <c r="BB240" s="346" t="s">
        <v>160</v>
      </c>
      <c r="BC240" s="346" t="s">
        <v>160</v>
      </c>
      <c r="BD240" s="346" t="s">
        <v>160</v>
      </c>
      <c r="BE240" s="346" t="s">
        <v>160</v>
      </c>
      <c r="BF240" s="346" t="s">
        <v>160</v>
      </c>
      <c r="BG240" s="346" t="s">
        <v>160</v>
      </c>
      <c r="BH240" s="346" t="s">
        <v>160</v>
      </c>
      <c r="BI240" s="346" t="s">
        <v>160</v>
      </c>
      <c r="BJ240" s="346" t="s">
        <v>160</v>
      </c>
      <c r="BK240" s="346" t="s">
        <v>160</v>
      </c>
      <c r="BL240" s="346" t="s">
        <v>160</v>
      </c>
      <c r="BM240" s="346" t="s">
        <v>160</v>
      </c>
      <c r="BN240" s="346" t="s">
        <v>160</v>
      </c>
      <c r="BO240" s="346" t="s">
        <v>160</v>
      </c>
      <c r="BP240" s="346" t="s">
        <v>160</v>
      </c>
      <c r="BQ240" s="346" t="s">
        <v>160</v>
      </c>
      <c r="BR240" s="346" t="s">
        <v>160</v>
      </c>
      <c r="BS240" s="346" t="s">
        <v>160</v>
      </c>
      <c r="BT240" s="346" t="s">
        <v>160</v>
      </c>
      <c r="BU240" s="346" t="s">
        <v>160</v>
      </c>
      <c r="BV240" s="346" t="s">
        <v>160</v>
      </c>
      <c r="BW240" s="346" t="s">
        <v>160</v>
      </c>
      <c r="BX240" s="346" t="s">
        <v>160</v>
      </c>
      <c r="BY240" s="346" t="s">
        <v>160</v>
      </c>
      <c r="BZ240" s="346" t="s">
        <v>160</v>
      </c>
      <c r="CA240" s="341">
        <v>1699</v>
      </c>
      <c r="CB240" s="591">
        <v>1699</v>
      </c>
      <c r="CC240" s="591">
        <v>1699</v>
      </c>
      <c r="CD240" s="591">
        <v>1699</v>
      </c>
      <c r="CE240" s="591">
        <v>1699</v>
      </c>
      <c r="CF240" s="591">
        <v>1699</v>
      </c>
      <c r="CG240" s="591">
        <v>1699</v>
      </c>
      <c r="CH240" s="591">
        <v>1699</v>
      </c>
      <c r="CI240" s="591">
        <v>1699</v>
      </c>
      <c r="CJ240" s="591">
        <v>1699</v>
      </c>
      <c r="CK240" s="591">
        <v>1699</v>
      </c>
      <c r="CL240" s="591" t="s">
        <v>160</v>
      </c>
      <c r="CM240" s="591" t="s">
        <v>160</v>
      </c>
      <c r="CN240" s="591" t="s">
        <v>160</v>
      </c>
      <c r="CO240" s="591" t="s">
        <v>160</v>
      </c>
      <c r="CP240" s="591" t="s">
        <v>160</v>
      </c>
      <c r="CQ240"/>
      <c r="CR240"/>
      <c r="CS240"/>
      <c r="CT240"/>
      <c r="CU240"/>
      <c r="CV240"/>
      <c r="CW240"/>
      <c r="CX240"/>
      <c r="CY240"/>
      <c r="CZ240"/>
      <c r="DA240"/>
      <c r="DB240"/>
      <c r="DC240"/>
      <c r="DD240"/>
      <c r="DE240"/>
      <c r="DF240"/>
      <c r="DG240"/>
    </row>
    <row r="241" spans="1:117" x14ac:dyDescent="0.25">
      <c r="A241" s="261" t="s">
        <v>547</v>
      </c>
      <c r="B241" s="261" t="s">
        <v>547</v>
      </c>
      <c r="D241" s="117" t="str">
        <f>IF([1]RENAME!$H$3=1,B241,A241)</f>
        <v>ITAÚ</v>
      </c>
      <c r="E241" s="264" t="s">
        <v>160</v>
      </c>
      <c r="F241" s="264" t="s">
        <v>160</v>
      </c>
      <c r="G241" s="264" t="s">
        <v>160</v>
      </c>
      <c r="H241" s="264" t="s">
        <v>160</v>
      </c>
      <c r="I241" s="264" t="s">
        <v>160</v>
      </c>
      <c r="J241" s="264" t="s">
        <v>160</v>
      </c>
      <c r="K241" s="264" t="s">
        <v>160</v>
      </c>
      <c r="L241" s="336" t="s">
        <v>160</v>
      </c>
      <c r="M241" s="336" t="s">
        <v>160</v>
      </c>
      <c r="N241" s="591" t="s">
        <v>160</v>
      </c>
      <c r="O241" s="591" t="s">
        <v>160</v>
      </c>
      <c r="P241" s="591" t="s">
        <v>160</v>
      </c>
      <c r="Q241" s="591" t="s">
        <v>160</v>
      </c>
      <c r="R241" s="591" t="s">
        <v>160</v>
      </c>
      <c r="S241" s="591" t="s">
        <v>160</v>
      </c>
      <c r="T241" s="591" t="s">
        <v>160</v>
      </c>
      <c r="U241" s="591" t="s">
        <v>160</v>
      </c>
      <c r="V241" s="591" t="s">
        <v>160</v>
      </c>
      <c r="W241" s="591" t="s">
        <v>160</v>
      </c>
      <c r="X241" s="591" t="s">
        <v>160</v>
      </c>
      <c r="Y241" s="591" t="s">
        <v>160</v>
      </c>
      <c r="Z241" s="591" t="s">
        <v>160</v>
      </c>
      <c r="AA241" s="591" t="s">
        <v>160</v>
      </c>
      <c r="AB241" s="591" t="s">
        <v>160</v>
      </c>
      <c r="AC241" s="591" t="s">
        <v>160</v>
      </c>
      <c r="AD241" s="591" t="s">
        <v>160</v>
      </c>
      <c r="AE241" s="591" t="s">
        <v>160</v>
      </c>
      <c r="AF241" s="591" t="s">
        <v>160</v>
      </c>
      <c r="AG241" s="591" t="s">
        <v>160</v>
      </c>
      <c r="AH241" s="591" t="s">
        <v>160</v>
      </c>
      <c r="AI241" s="591" t="s">
        <v>160</v>
      </c>
      <c r="AJ241" s="591" t="s">
        <v>160</v>
      </c>
      <c r="AK241" s="591" t="s">
        <v>160</v>
      </c>
      <c r="AL241" s="346" t="s">
        <v>160</v>
      </c>
      <c r="AM241" s="346" t="s">
        <v>160</v>
      </c>
      <c r="AN241" s="346" t="s">
        <v>160</v>
      </c>
      <c r="AO241" s="346" t="s">
        <v>160</v>
      </c>
      <c r="AP241" s="346" t="s">
        <v>160</v>
      </c>
      <c r="AQ241" s="346" t="s">
        <v>160</v>
      </c>
      <c r="AR241" s="346" t="s">
        <v>160</v>
      </c>
      <c r="AS241" s="346" t="s">
        <v>160</v>
      </c>
      <c r="AT241" s="346" t="s">
        <v>160</v>
      </c>
      <c r="AU241" s="346" t="s">
        <v>160</v>
      </c>
      <c r="AV241" s="346" t="s">
        <v>160</v>
      </c>
      <c r="AW241" s="346" t="s">
        <v>160</v>
      </c>
      <c r="AX241" s="947" t="s">
        <v>160</v>
      </c>
      <c r="AY241" s="346" t="s">
        <v>160</v>
      </c>
      <c r="AZ241" s="346" t="s">
        <v>160</v>
      </c>
      <c r="BA241" s="346" t="s">
        <v>160</v>
      </c>
      <c r="BB241" s="346" t="s">
        <v>160</v>
      </c>
      <c r="BC241" s="346" t="s">
        <v>160</v>
      </c>
      <c r="BD241" s="346" t="s">
        <v>160</v>
      </c>
      <c r="BE241" s="346" t="s">
        <v>160</v>
      </c>
      <c r="BF241" s="346" t="s">
        <v>160</v>
      </c>
      <c r="BG241" s="346" t="s">
        <v>160</v>
      </c>
      <c r="BH241" s="346" t="s">
        <v>160</v>
      </c>
      <c r="BI241" s="346" t="s">
        <v>160</v>
      </c>
      <c r="BJ241" s="346" t="s">
        <v>160</v>
      </c>
      <c r="BK241" s="346" t="s">
        <v>160</v>
      </c>
      <c r="BL241" s="346" t="s">
        <v>160</v>
      </c>
      <c r="BM241" s="346" t="s">
        <v>160</v>
      </c>
      <c r="BN241" s="346" t="s">
        <v>160</v>
      </c>
      <c r="BO241" s="346" t="s">
        <v>160</v>
      </c>
      <c r="BP241" s="346" t="s">
        <v>160</v>
      </c>
      <c r="BQ241" s="346" t="s">
        <v>160</v>
      </c>
      <c r="BR241" s="346" t="s">
        <v>160</v>
      </c>
      <c r="BS241" s="346">
        <v>1296</v>
      </c>
      <c r="BT241" s="346">
        <v>1296</v>
      </c>
      <c r="BU241" s="346">
        <v>1296</v>
      </c>
      <c r="BV241" s="346">
        <v>1296</v>
      </c>
      <c r="BW241" s="346">
        <v>1297</v>
      </c>
      <c r="BX241" s="346">
        <v>1297</v>
      </c>
      <c r="BY241" s="346">
        <v>1297</v>
      </c>
      <c r="BZ241" s="346">
        <v>1297</v>
      </c>
      <c r="CA241" s="341">
        <v>1552</v>
      </c>
      <c r="CB241" s="591">
        <v>1552</v>
      </c>
      <c r="CC241" s="591">
        <v>1552</v>
      </c>
      <c r="CD241" s="591">
        <v>1552</v>
      </c>
      <c r="CE241" s="591">
        <v>1552</v>
      </c>
      <c r="CF241" s="341">
        <v>1573.5</v>
      </c>
      <c r="CG241" s="591">
        <v>1573.5</v>
      </c>
      <c r="CH241" s="591">
        <v>1573.5</v>
      </c>
      <c r="CI241" s="591">
        <v>1573.5</v>
      </c>
      <c r="CJ241" s="591">
        <v>1573.5</v>
      </c>
      <c r="CK241" s="591">
        <v>1573.5</v>
      </c>
      <c r="CL241" s="591">
        <v>1573.5</v>
      </c>
      <c r="CM241" s="591">
        <v>1573.5</v>
      </c>
      <c r="CN241" s="591">
        <v>1573.5</v>
      </c>
      <c r="CO241" s="591">
        <v>1573.5</v>
      </c>
      <c r="CP241" s="591">
        <v>1573.5</v>
      </c>
      <c r="CQ241"/>
      <c r="CR241"/>
      <c r="CS241"/>
      <c r="CT241"/>
      <c r="CU241"/>
      <c r="CV241"/>
      <c r="CW241"/>
      <c r="CX241"/>
      <c r="CY241"/>
      <c r="CZ241"/>
      <c r="DA241"/>
      <c r="DB241"/>
      <c r="DC241"/>
      <c r="DD241"/>
      <c r="DE241"/>
      <c r="DF241"/>
      <c r="DG241"/>
    </row>
    <row r="242" spans="1:117" x14ac:dyDescent="0.25">
      <c r="A242" s="261" t="s">
        <v>1985</v>
      </c>
      <c r="B242" s="261" t="s">
        <v>1985</v>
      </c>
      <c r="D242" s="117" t="str">
        <f>IF([1]RENAME!$H$3=1,B242,A242)</f>
        <v>ELEVEN RESEACH</v>
      </c>
      <c r="E242" s="264" t="s">
        <v>160</v>
      </c>
      <c r="F242" s="264" t="s">
        <v>160</v>
      </c>
      <c r="G242" s="264" t="s">
        <v>160</v>
      </c>
      <c r="H242" s="264" t="s">
        <v>160</v>
      </c>
      <c r="I242" s="264" t="s">
        <v>160</v>
      </c>
      <c r="J242" s="264" t="s">
        <v>160</v>
      </c>
      <c r="K242" s="264" t="s">
        <v>160</v>
      </c>
      <c r="L242" s="264" t="s">
        <v>160</v>
      </c>
      <c r="M242" s="264" t="s">
        <v>160</v>
      </c>
      <c r="N242" s="264" t="s">
        <v>160</v>
      </c>
      <c r="O242" s="264" t="s">
        <v>160</v>
      </c>
      <c r="P242" s="264" t="s">
        <v>160</v>
      </c>
      <c r="Q242" s="264" t="s">
        <v>160</v>
      </c>
      <c r="R242" s="264" t="s">
        <v>160</v>
      </c>
      <c r="S242" s="264" t="s">
        <v>160</v>
      </c>
      <c r="T242" s="264" t="s">
        <v>160</v>
      </c>
      <c r="U242" s="264" t="s">
        <v>160</v>
      </c>
      <c r="V242" s="264" t="s">
        <v>160</v>
      </c>
      <c r="W242" s="264" t="s">
        <v>160</v>
      </c>
      <c r="X242" s="264" t="s">
        <v>160</v>
      </c>
      <c r="Y242" s="264" t="s">
        <v>160</v>
      </c>
      <c r="Z242" s="264" t="s">
        <v>160</v>
      </c>
      <c r="AA242" s="264" t="s">
        <v>160</v>
      </c>
      <c r="AB242" s="264" t="s">
        <v>160</v>
      </c>
      <c r="AC242" s="264" t="s">
        <v>160</v>
      </c>
      <c r="AD242" s="264" t="s">
        <v>160</v>
      </c>
      <c r="AE242" s="264" t="s">
        <v>160</v>
      </c>
      <c r="AF242" s="264" t="s">
        <v>160</v>
      </c>
      <c r="AG242" s="264" t="s">
        <v>160</v>
      </c>
      <c r="AH242" s="264" t="s">
        <v>160</v>
      </c>
      <c r="AI242" s="264" t="s">
        <v>160</v>
      </c>
      <c r="AJ242" s="264" t="s">
        <v>160</v>
      </c>
      <c r="AK242" s="264" t="s">
        <v>160</v>
      </c>
      <c r="AL242" s="264" t="s">
        <v>160</v>
      </c>
      <c r="AM242" s="264" t="s">
        <v>160</v>
      </c>
      <c r="AN242" s="264" t="s">
        <v>160</v>
      </c>
      <c r="AO242" s="264" t="s">
        <v>160</v>
      </c>
      <c r="AP242" s="264" t="s">
        <v>160</v>
      </c>
      <c r="AQ242" s="264" t="s">
        <v>160</v>
      </c>
      <c r="AR242" s="264" t="s">
        <v>160</v>
      </c>
      <c r="AS242" s="264" t="s">
        <v>160</v>
      </c>
      <c r="AT242" s="264" t="s">
        <v>160</v>
      </c>
      <c r="AU242" s="264" t="s">
        <v>160</v>
      </c>
      <c r="AV242" s="264" t="s">
        <v>160</v>
      </c>
      <c r="AW242" s="264" t="s">
        <v>160</v>
      </c>
      <c r="AX242" s="264" t="s">
        <v>160</v>
      </c>
      <c r="AY242" s="264" t="s">
        <v>160</v>
      </c>
      <c r="AZ242" s="264" t="s">
        <v>160</v>
      </c>
      <c r="BA242" s="264" t="s">
        <v>160</v>
      </c>
      <c r="BB242" s="264" t="s">
        <v>160</v>
      </c>
      <c r="BC242" s="264" t="s">
        <v>160</v>
      </c>
      <c r="BD242" s="264" t="s">
        <v>160</v>
      </c>
      <c r="BE242" s="264" t="s">
        <v>160</v>
      </c>
      <c r="BF242" s="264" t="s">
        <v>160</v>
      </c>
      <c r="BG242" s="264" t="s">
        <v>160</v>
      </c>
      <c r="BH242" s="264" t="s">
        <v>160</v>
      </c>
      <c r="BI242" s="264" t="s">
        <v>160</v>
      </c>
      <c r="BJ242" s="264" t="s">
        <v>160</v>
      </c>
      <c r="BK242" s="264" t="s">
        <v>160</v>
      </c>
      <c r="BL242" s="264" t="s">
        <v>160</v>
      </c>
      <c r="BM242" s="264" t="s">
        <v>160</v>
      </c>
      <c r="BN242" s="264" t="s">
        <v>160</v>
      </c>
      <c r="BO242" s="264" t="s">
        <v>160</v>
      </c>
      <c r="BP242" s="346">
        <v>1513</v>
      </c>
      <c r="BQ242" s="346">
        <v>1513</v>
      </c>
      <c r="BR242" s="346">
        <v>1513</v>
      </c>
      <c r="BS242" s="341">
        <v>1396</v>
      </c>
      <c r="BT242" s="346">
        <v>1396</v>
      </c>
      <c r="BU242" s="346">
        <v>1396</v>
      </c>
      <c r="BV242" s="346">
        <v>1387</v>
      </c>
      <c r="BW242" s="346">
        <v>1387</v>
      </c>
      <c r="BX242" s="346">
        <v>1387</v>
      </c>
      <c r="BY242" s="346">
        <v>1387</v>
      </c>
      <c r="BZ242" s="346">
        <v>1387</v>
      </c>
      <c r="CA242" s="346">
        <v>1387</v>
      </c>
      <c r="CB242" s="591">
        <v>1387</v>
      </c>
      <c r="CC242" s="591">
        <v>1387</v>
      </c>
      <c r="CD242" s="341">
        <v>1624</v>
      </c>
      <c r="CE242" s="591">
        <v>1624</v>
      </c>
      <c r="CF242" s="591">
        <v>1624</v>
      </c>
      <c r="CG242" s="591">
        <v>1624</v>
      </c>
      <c r="CH242" s="591">
        <v>1624</v>
      </c>
      <c r="CI242" s="591">
        <v>1624</v>
      </c>
      <c r="CJ242" s="591">
        <v>1624</v>
      </c>
      <c r="CK242" s="591" t="s">
        <v>160</v>
      </c>
      <c r="CL242" s="591" t="s">
        <v>160</v>
      </c>
      <c r="CM242" s="591" t="s">
        <v>160</v>
      </c>
      <c r="CN242" s="591" t="s">
        <v>160</v>
      </c>
      <c r="CO242" s="591" t="s">
        <v>160</v>
      </c>
      <c r="CP242" s="591" t="s">
        <v>160</v>
      </c>
      <c r="CQ242"/>
      <c r="CR242"/>
      <c r="CS242"/>
      <c r="CT242"/>
      <c r="CU242"/>
      <c r="CV242"/>
      <c r="CW242"/>
      <c r="CX242"/>
      <c r="CY242"/>
      <c r="CZ242"/>
      <c r="DA242"/>
      <c r="DB242"/>
      <c r="DC242"/>
      <c r="DD242"/>
      <c r="DE242"/>
      <c r="DF242"/>
      <c r="DG242"/>
    </row>
    <row r="243" spans="1:117" x14ac:dyDescent="0.25">
      <c r="A243" t="s">
        <v>557</v>
      </c>
      <c r="B243" t="s">
        <v>856</v>
      </c>
      <c r="C243"/>
      <c r="D243" s="1092" t="str">
        <f>IF([1]RENAME!$H$3=1,B243,A243)</f>
        <v>Média</v>
      </c>
      <c r="E243" s="1099" t="str">
        <f t="shared" ref="E243:AJ243" si="173">IFERROR(AVERAGE(E238:E242),"-")</f>
        <v>-</v>
      </c>
      <c r="F243" s="1099" t="str">
        <f t="shared" si="173"/>
        <v>-</v>
      </c>
      <c r="G243" s="1099" t="str">
        <f t="shared" si="173"/>
        <v>-</v>
      </c>
      <c r="H243" s="1099" t="str">
        <f t="shared" si="173"/>
        <v>-</v>
      </c>
      <c r="I243" s="1099" t="str">
        <f t="shared" si="173"/>
        <v>-</v>
      </c>
      <c r="J243" s="1099" t="str">
        <f t="shared" si="173"/>
        <v>-</v>
      </c>
      <c r="K243" s="1099" t="str">
        <f t="shared" si="173"/>
        <v>-</v>
      </c>
      <c r="L243" s="1099" t="str">
        <f t="shared" si="173"/>
        <v>-</v>
      </c>
      <c r="M243" s="1099" t="str">
        <f t="shared" si="173"/>
        <v>-</v>
      </c>
      <c r="N243" s="1099" t="str">
        <f t="shared" si="173"/>
        <v>-</v>
      </c>
      <c r="O243" s="1099" t="str">
        <f t="shared" si="173"/>
        <v>-</v>
      </c>
      <c r="P243" s="1099" t="str">
        <f t="shared" si="173"/>
        <v>-</v>
      </c>
      <c r="Q243" s="1099" t="str">
        <f t="shared" si="173"/>
        <v>-</v>
      </c>
      <c r="R243" s="1099" t="str">
        <f t="shared" si="173"/>
        <v>-</v>
      </c>
      <c r="S243" s="1099" t="str">
        <f t="shared" si="173"/>
        <v>-</v>
      </c>
      <c r="T243" s="1099" t="str">
        <f t="shared" si="173"/>
        <v>-</v>
      </c>
      <c r="U243" s="1099" t="str">
        <f t="shared" si="173"/>
        <v>-</v>
      </c>
      <c r="V243" s="1099" t="str">
        <f t="shared" si="173"/>
        <v>-</v>
      </c>
      <c r="W243" s="1099" t="str">
        <f t="shared" si="173"/>
        <v>-</v>
      </c>
      <c r="X243" s="1099" t="str">
        <f t="shared" si="173"/>
        <v>-</v>
      </c>
      <c r="Y243" s="1099" t="str">
        <f t="shared" si="173"/>
        <v>-</v>
      </c>
      <c r="Z243" s="1099" t="str">
        <f t="shared" si="173"/>
        <v>-</v>
      </c>
      <c r="AA243" s="1099" t="str">
        <f t="shared" si="173"/>
        <v>-</v>
      </c>
      <c r="AB243" s="1099" t="str">
        <f t="shared" si="173"/>
        <v>-</v>
      </c>
      <c r="AC243" s="1099" t="str">
        <f t="shared" si="173"/>
        <v>-</v>
      </c>
      <c r="AD243" s="1099" t="str">
        <f t="shared" si="173"/>
        <v>-</v>
      </c>
      <c r="AE243" s="1099" t="str">
        <f t="shared" si="173"/>
        <v>-</v>
      </c>
      <c r="AF243" s="1099" t="str">
        <f t="shared" si="173"/>
        <v>-</v>
      </c>
      <c r="AG243" s="1099" t="str">
        <f t="shared" si="173"/>
        <v>-</v>
      </c>
      <c r="AH243" s="1099" t="str">
        <f t="shared" si="173"/>
        <v>-</v>
      </c>
      <c r="AI243" s="1099" t="str">
        <f t="shared" si="173"/>
        <v>-</v>
      </c>
      <c r="AJ243" s="1099" t="str">
        <f t="shared" si="173"/>
        <v>-</v>
      </c>
      <c r="AK243" s="1099" t="str">
        <f t="shared" ref="AK243:BP243" si="174">IFERROR(AVERAGE(AK238:AK242),"-")</f>
        <v>-</v>
      </c>
      <c r="AL243" s="1099" t="str">
        <f t="shared" si="174"/>
        <v>-</v>
      </c>
      <c r="AM243" s="1099" t="str">
        <f t="shared" si="174"/>
        <v>-</v>
      </c>
      <c r="AN243" s="1099" t="str">
        <f t="shared" si="174"/>
        <v>-</v>
      </c>
      <c r="AO243" s="1099" t="str">
        <f t="shared" si="174"/>
        <v>-</v>
      </c>
      <c r="AP243" s="1099" t="str">
        <f t="shared" si="174"/>
        <v>-</v>
      </c>
      <c r="AQ243" s="1099" t="str">
        <f t="shared" si="174"/>
        <v>-</v>
      </c>
      <c r="AR243" s="1099" t="str">
        <f t="shared" si="174"/>
        <v>-</v>
      </c>
      <c r="AS243" s="1099" t="str">
        <f t="shared" si="174"/>
        <v>-</v>
      </c>
      <c r="AT243" s="1099" t="str">
        <f t="shared" si="174"/>
        <v>-</v>
      </c>
      <c r="AU243" s="1099" t="str">
        <f t="shared" si="174"/>
        <v>-</v>
      </c>
      <c r="AV243" s="1099" t="str">
        <f t="shared" si="174"/>
        <v>-</v>
      </c>
      <c r="AW243" s="1099" t="str">
        <f t="shared" si="174"/>
        <v>-</v>
      </c>
      <c r="AX243" s="1099" t="str">
        <f t="shared" si="174"/>
        <v>-</v>
      </c>
      <c r="AY243" s="1099" t="str">
        <f t="shared" si="174"/>
        <v>-</v>
      </c>
      <c r="AZ243" s="1099" t="str">
        <f t="shared" si="174"/>
        <v>-</v>
      </c>
      <c r="BA243" s="1099" t="str">
        <f t="shared" si="174"/>
        <v>-</v>
      </c>
      <c r="BB243" s="1099" t="str">
        <f t="shared" si="174"/>
        <v>-</v>
      </c>
      <c r="BC243" s="1099" t="str">
        <f t="shared" si="174"/>
        <v>-</v>
      </c>
      <c r="BD243" s="1099" t="str">
        <f t="shared" si="174"/>
        <v>-</v>
      </c>
      <c r="BE243" s="1099" t="str">
        <f t="shared" si="174"/>
        <v>-</v>
      </c>
      <c r="BF243" s="1099" t="str">
        <f t="shared" si="174"/>
        <v>-</v>
      </c>
      <c r="BG243" s="1099" t="str">
        <f t="shared" si="174"/>
        <v>-</v>
      </c>
      <c r="BH243" s="1099" t="str">
        <f t="shared" si="174"/>
        <v>-</v>
      </c>
      <c r="BI243" s="1099" t="str">
        <f t="shared" si="174"/>
        <v>-</v>
      </c>
      <c r="BJ243" s="1099" t="str">
        <f t="shared" si="174"/>
        <v>-</v>
      </c>
      <c r="BK243" s="1099" t="str">
        <f t="shared" si="174"/>
        <v>-</v>
      </c>
      <c r="BL243" s="1099" t="str">
        <f t="shared" si="174"/>
        <v>-</v>
      </c>
      <c r="BM243" s="1099" t="str">
        <f t="shared" si="174"/>
        <v>-</v>
      </c>
      <c r="BN243" s="1099" t="str">
        <f t="shared" si="174"/>
        <v>-</v>
      </c>
      <c r="BO243" s="1099" t="str">
        <f t="shared" si="174"/>
        <v>-</v>
      </c>
      <c r="BP243" s="1099">
        <f t="shared" si="174"/>
        <v>1513</v>
      </c>
      <c r="BQ243" s="1099">
        <f t="shared" ref="BQ243:CP243" si="175">IFERROR(AVERAGE(BQ238:BQ242),"-")</f>
        <v>1513</v>
      </c>
      <c r="BR243" s="1099">
        <f t="shared" si="175"/>
        <v>1513</v>
      </c>
      <c r="BS243" s="1099">
        <f t="shared" si="175"/>
        <v>1366.5</v>
      </c>
      <c r="BT243" s="1099">
        <f t="shared" si="175"/>
        <v>1366.5</v>
      </c>
      <c r="BU243" s="1099">
        <f t="shared" si="175"/>
        <v>1366.5</v>
      </c>
      <c r="BV243" s="1099">
        <f t="shared" si="175"/>
        <v>1364.25</v>
      </c>
      <c r="BW243" s="1099">
        <f t="shared" si="175"/>
        <v>1364.5</v>
      </c>
      <c r="BX243" s="1099">
        <f t="shared" si="175"/>
        <v>1364.5</v>
      </c>
      <c r="BY243" s="1099">
        <f t="shared" si="175"/>
        <v>1364.5</v>
      </c>
      <c r="BZ243" s="1099">
        <f t="shared" si="175"/>
        <v>1364.5</v>
      </c>
      <c r="CA243" s="1099">
        <f t="shared" si="175"/>
        <v>1482.4</v>
      </c>
      <c r="CB243" s="1099">
        <f t="shared" si="175"/>
        <v>1482.4</v>
      </c>
      <c r="CC243" s="1099">
        <f t="shared" si="175"/>
        <v>1482.4</v>
      </c>
      <c r="CD243" s="1099">
        <f t="shared" si="175"/>
        <v>1529.8</v>
      </c>
      <c r="CE243" s="1099">
        <f t="shared" si="175"/>
        <v>1566.2</v>
      </c>
      <c r="CF243" s="1099">
        <f t="shared" si="175"/>
        <v>1570.5</v>
      </c>
      <c r="CG243" s="1099">
        <f t="shared" si="175"/>
        <v>1570.5</v>
      </c>
      <c r="CH243" s="1099">
        <f t="shared" si="175"/>
        <v>1570.5</v>
      </c>
      <c r="CI243" s="1099">
        <f t="shared" si="175"/>
        <v>1570.5</v>
      </c>
      <c r="CJ243" s="1099">
        <f t="shared" si="175"/>
        <v>1570.5</v>
      </c>
      <c r="CK243" s="1099">
        <f t="shared" si="175"/>
        <v>1557.125</v>
      </c>
      <c r="CL243" s="1099">
        <f t="shared" si="175"/>
        <v>1509.8333333333333</v>
      </c>
      <c r="CM243" s="1099">
        <f t="shared" si="175"/>
        <v>1509.8333333333333</v>
      </c>
      <c r="CN243" s="1099">
        <f t="shared" si="175"/>
        <v>1509.8333333333333</v>
      </c>
      <c r="CO243" s="1099">
        <f t="shared" si="175"/>
        <v>1509.8333333333333</v>
      </c>
      <c r="CP243" s="1099">
        <f t="shared" si="175"/>
        <v>1509.8333333333333</v>
      </c>
      <c r="CQ243"/>
      <c r="CR243"/>
      <c r="CS243"/>
      <c r="CT243"/>
      <c r="CU243"/>
      <c r="CV243"/>
      <c r="CW243"/>
      <c r="CX243"/>
      <c r="CY243"/>
      <c r="CZ243"/>
      <c r="DA243"/>
      <c r="DB243"/>
      <c r="DC243"/>
      <c r="DD243"/>
      <c r="DE243"/>
      <c r="DF243"/>
      <c r="DG243"/>
    </row>
    <row r="244" spans="1:117" customFormat="1" x14ac:dyDescent="0.25">
      <c r="A244" s="261"/>
      <c r="B244" s="261"/>
      <c r="C244" s="261"/>
      <c r="D244" s="261"/>
      <c r="E244" s="261"/>
      <c r="F244" s="261"/>
      <c r="G244" s="261"/>
      <c r="H244" s="261"/>
      <c r="I244" s="261"/>
      <c r="J244" s="261"/>
      <c r="K244" s="261"/>
      <c r="L244" s="261"/>
      <c r="M244" s="261"/>
      <c r="N244" s="261"/>
      <c r="O244" s="261"/>
      <c r="P244" s="261"/>
      <c r="Q244" s="261"/>
      <c r="R244" s="261"/>
      <c r="S244" s="339"/>
      <c r="T244" s="339"/>
      <c r="U244" s="339"/>
      <c r="V244" s="339"/>
      <c r="W244" s="339"/>
      <c r="X244" s="339"/>
      <c r="Y244" s="339"/>
      <c r="Z244" s="339"/>
      <c r="AA244" s="339"/>
      <c r="AB244" s="339"/>
      <c r="AC244" s="339"/>
      <c r="AD244" s="339"/>
      <c r="AE244" s="339"/>
      <c r="AF244" s="339"/>
      <c r="AG244" s="339"/>
      <c r="AH244" s="339"/>
      <c r="AI244" s="339"/>
      <c r="AJ244" s="339"/>
      <c r="AK244" s="339"/>
      <c r="AL244" s="339"/>
      <c r="AM244" s="339"/>
      <c r="AN244" s="339"/>
      <c r="AO244" s="339"/>
      <c r="AP244" s="339"/>
      <c r="AQ244" s="339"/>
      <c r="AR244" s="339"/>
      <c r="AS244" s="339"/>
      <c r="AT244" s="339"/>
      <c r="AU244" s="339"/>
      <c r="AX244" s="937"/>
      <c r="DI244" s="1172"/>
      <c r="DJ244" s="1172"/>
      <c r="DK244" s="1172"/>
      <c r="DL244" s="1172"/>
      <c r="DM244" s="1172"/>
    </row>
    <row r="245" spans="1:117" customFormat="1" x14ac:dyDescent="0.25">
      <c r="A245" s="261" t="s">
        <v>1902</v>
      </c>
      <c r="B245" s="261" t="s">
        <v>1901</v>
      </c>
      <c r="C245" s="261"/>
      <c r="D245" s="113" t="str">
        <f>IF([1]RENAME!$H$3=1,B245,A245)</f>
        <v>EBITDA 2023</v>
      </c>
      <c r="E245" s="262">
        <f>E$4</f>
        <v>42522</v>
      </c>
      <c r="F245" s="262">
        <f t="shared" ref="F245:BQ245" si="176">F$4</f>
        <v>42552</v>
      </c>
      <c r="G245" s="262">
        <f t="shared" si="176"/>
        <v>42583</v>
      </c>
      <c r="H245" s="262">
        <f t="shared" si="176"/>
        <v>42614</v>
      </c>
      <c r="I245" s="262">
        <f t="shared" si="176"/>
        <v>42644</v>
      </c>
      <c r="J245" s="262">
        <f t="shared" si="176"/>
        <v>42675</v>
      </c>
      <c r="K245" s="262">
        <f t="shared" si="176"/>
        <v>42705</v>
      </c>
      <c r="L245" s="262">
        <f t="shared" si="176"/>
        <v>42736</v>
      </c>
      <c r="M245" s="262">
        <f t="shared" si="176"/>
        <v>42767</v>
      </c>
      <c r="N245" s="262">
        <f t="shared" si="176"/>
        <v>42795</v>
      </c>
      <c r="O245" s="262">
        <f t="shared" si="176"/>
        <v>42826</v>
      </c>
      <c r="P245" s="262">
        <f t="shared" si="176"/>
        <v>42856</v>
      </c>
      <c r="Q245" s="262">
        <f t="shared" si="176"/>
        <v>42887</v>
      </c>
      <c r="R245" s="262">
        <f t="shared" si="176"/>
        <v>42917</v>
      </c>
      <c r="S245" s="262">
        <f t="shared" si="176"/>
        <v>42948</v>
      </c>
      <c r="T245" s="262">
        <f t="shared" si="176"/>
        <v>42979</v>
      </c>
      <c r="U245" s="262">
        <f t="shared" si="176"/>
        <v>43009</v>
      </c>
      <c r="V245" s="262">
        <f t="shared" si="176"/>
        <v>43040</v>
      </c>
      <c r="W245" s="262">
        <f t="shared" si="176"/>
        <v>43070</v>
      </c>
      <c r="X245" s="262">
        <f t="shared" si="176"/>
        <v>43101</v>
      </c>
      <c r="Y245" s="262">
        <f t="shared" si="176"/>
        <v>43132</v>
      </c>
      <c r="Z245" s="262">
        <f t="shared" si="176"/>
        <v>43160</v>
      </c>
      <c r="AA245" s="262">
        <f t="shared" si="176"/>
        <v>43191</v>
      </c>
      <c r="AB245" s="262">
        <f t="shared" si="176"/>
        <v>43221</v>
      </c>
      <c r="AC245" s="262">
        <f t="shared" si="176"/>
        <v>43252</v>
      </c>
      <c r="AD245" s="262">
        <f t="shared" si="176"/>
        <v>43283</v>
      </c>
      <c r="AE245" s="262">
        <f t="shared" si="176"/>
        <v>43314</v>
      </c>
      <c r="AF245" s="262">
        <f t="shared" si="176"/>
        <v>43345</v>
      </c>
      <c r="AG245" s="262">
        <f t="shared" si="176"/>
        <v>43376</v>
      </c>
      <c r="AH245" s="262">
        <f t="shared" si="176"/>
        <v>43407</v>
      </c>
      <c r="AI245" s="262">
        <f t="shared" si="176"/>
        <v>43437</v>
      </c>
      <c r="AJ245" s="262">
        <f t="shared" si="176"/>
        <v>43468</v>
      </c>
      <c r="AK245" s="262">
        <f t="shared" si="176"/>
        <v>43499</v>
      </c>
      <c r="AL245" s="262">
        <f t="shared" si="176"/>
        <v>43527</v>
      </c>
      <c r="AM245" s="262">
        <f t="shared" si="176"/>
        <v>43558</v>
      </c>
      <c r="AN245" s="262">
        <f t="shared" si="176"/>
        <v>43587</v>
      </c>
      <c r="AO245" s="262">
        <f t="shared" si="176"/>
        <v>43618</v>
      </c>
      <c r="AP245" s="262">
        <f t="shared" si="176"/>
        <v>43647</v>
      </c>
      <c r="AQ245" s="262">
        <f t="shared" si="176"/>
        <v>43678</v>
      </c>
      <c r="AR245" s="262">
        <f t="shared" si="176"/>
        <v>43709</v>
      </c>
      <c r="AS245" s="262">
        <f t="shared" si="176"/>
        <v>43739</v>
      </c>
      <c r="AT245" s="262">
        <f t="shared" si="176"/>
        <v>43770</v>
      </c>
      <c r="AU245" s="262">
        <f t="shared" si="176"/>
        <v>43800</v>
      </c>
      <c r="AV245" s="262">
        <f t="shared" si="176"/>
        <v>43831</v>
      </c>
      <c r="AW245" s="262">
        <f t="shared" si="176"/>
        <v>43862</v>
      </c>
      <c r="AX245" s="262">
        <f t="shared" si="176"/>
        <v>43891</v>
      </c>
      <c r="AY245" s="262">
        <f t="shared" si="176"/>
        <v>43922</v>
      </c>
      <c r="AZ245" s="262">
        <f t="shared" si="176"/>
        <v>43952</v>
      </c>
      <c r="BA245" s="262">
        <f t="shared" si="176"/>
        <v>43983</v>
      </c>
      <c r="BB245" s="262">
        <f t="shared" si="176"/>
        <v>44013</v>
      </c>
      <c r="BC245" s="262">
        <f t="shared" si="176"/>
        <v>44044</v>
      </c>
      <c r="BD245" s="262">
        <f t="shared" si="176"/>
        <v>44075</v>
      </c>
      <c r="BE245" s="262">
        <f t="shared" si="176"/>
        <v>44105</v>
      </c>
      <c r="BF245" s="262">
        <f t="shared" si="176"/>
        <v>44136</v>
      </c>
      <c r="BG245" s="262">
        <f t="shared" si="176"/>
        <v>44166</v>
      </c>
      <c r="BH245" s="262">
        <f t="shared" si="176"/>
        <v>44197</v>
      </c>
      <c r="BI245" s="262">
        <f t="shared" si="176"/>
        <v>44228</v>
      </c>
      <c r="BJ245" s="262">
        <f t="shared" si="176"/>
        <v>44256</v>
      </c>
      <c r="BK245" s="262">
        <f t="shared" si="176"/>
        <v>44287</v>
      </c>
      <c r="BL245" s="262">
        <f t="shared" si="176"/>
        <v>44317</v>
      </c>
      <c r="BM245" s="262">
        <f t="shared" si="176"/>
        <v>44348</v>
      </c>
      <c r="BN245" s="262">
        <f t="shared" si="176"/>
        <v>44378</v>
      </c>
      <c r="BO245" s="262">
        <f t="shared" si="176"/>
        <v>44409</v>
      </c>
      <c r="BP245" s="262">
        <f t="shared" si="176"/>
        <v>44440</v>
      </c>
      <c r="BQ245" s="262">
        <f t="shared" si="176"/>
        <v>44470</v>
      </c>
      <c r="BR245" s="262">
        <f t="shared" ref="BR245:CP245" si="177">BR$4</f>
        <v>44501</v>
      </c>
      <c r="BS245" s="262">
        <f t="shared" si="177"/>
        <v>44531</v>
      </c>
      <c r="BT245" s="262">
        <f t="shared" si="177"/>
        <v>44562</v>
      </c>
      <c r="BU245" s="262">
        <f t="shared" si="177"/>
        <v>44593</v>
      </c>
      <c r="BV245" s="262">
        <f t="shared" si="177"/>
        <v>44622</v>
      </c>
      <c r="BW245" s="262">
        <f t="shared" si="177"/>
        <v>44654</v>
      </c>
      <c r="BX245" s="262">
        <f t="shared" si="177"/>
        <v>44685</v>
      </c>
      <c r="BY245" s="262">
        <f t="shared" si="177"/>
        <v>44716</v>
      </c>
      <c r="BZ245" s="262">
        <f t="shared" si="177"/>
        <v>44746</v>
      </c>
      <c r="CA245" s="262">
        <f t="shared" si="177"/>
        <v>44774</v>
      </c>
      <c r="CB245" s="262">
        <f t="shared" si="177"/>
        <v>44805</v>
      </c>
      <c r="CC245" s="262">
        <f t="shared" si="177"/>
        <v>44835</v>
      </c>
      <c r="CD245" s="262">
        <f t="shared" si="177"/>
        <v>44866</v>
      </c>
      <c r="CE245" s="262">
        <f t="shared" si="177"/>
        <v>44896</v>
      </c>
      <c r="CF245" s="262">
        <f t="shared" si="177"/>
        <v>44927</v>
      </c>
      <c r="CG245" s="262">
        <f t="shared" si="177"/>
        <v>44958</v>
      </c>
      <c r="CH245" s="262">
        <f t="shared" si="177"/>
        <v>44986</v>
      </c>
      <c r="CI245" s="262">
        <f t="shared" si="177"/>
        <v>45017</v>
      </c>
      <c r="CJ245" s="262">
        <f t="shared" si="177"/>
        <v>45047</v>
      </c>
      <c r="CK245" s="262">
        <f t="shared" si="177"/>
        <v>45078</v>
      </c>
      <c r="CL245" s="262">
        <f t="shared" si="177"/>
        <v>45108</v>
      </c>
      <c r="CM245" s="262">
        <f t="shared" si="177"/>
        <v>45139</v>
      </c>
      <c r="CN245" s="262">
        <f t="shared" si="177"/>
        <v>45170</v>
      </c>
      <c r="CO245" s="262">
        <f t="shared" si="177"/>
        <v>45200</v>
      </c>
      <c r="CP245" s="262">
        <f t="shared" si="177"/>
        <v>45231</v>
      </c>
      <c r="DI245" s="1172"/>
      <c r="DJ245" s="1172"/>
      <c r="DK245" s="1172"/>
      <c r="DL245" s="1172"/>
      <c r="DM245" s="1172"/>
    </row>
    <row r="246" spans="1:117" customFormat="1" x14ac:dyDescent="0.25">
      <c r="A246" s="261" t="s">
        <v>542</v>
      </c>
      <c r="B246" s="261" t="s">
        <v>542</v>
      </c>
      <c r="C246" s="261"/>
      <c r="D246" s="117" t="str">
        <f>IF([1]RENAME!$H$3=1,B246,A246)</f>
        <v>SANTANDER</v>
      </c>
      <c r="E246" s="263" t="s">
        <v>160</v>
      </c>
      <c r="F246" s="263" t="s">
        <v>160</v>
      </c>
      <c r="G246" s="263" t="s">
        <v>160</v>
      </c>
      <c r="H246" s="264" t="s">
        <v>160</v>
      </c>
      <c r="I246" s="264" t="s">
        <v>160</v>
      </c>
      <c r="J246" s="264" t="s">
        <v>160</v>
      </c>
      <c r="K246" s="264" t="s">
        <v>160</v>
      </c>
      <c r="L246" s="264" t="s">
        <v>160</v>
      </c>
      <c r="M246" s="264" t="s">
        <v>160</v>
      </c>
      <c r="N246" s="592" t="s">
        <v>160</v>
      </c>
      <c r="O246" s="592" t="s">
        <v>160</v>
      </c>
      <c r="P246" s="592" t="s">
        <v>160</v>
      </c>
      <c r="Q246" s="592" t="s">
        <v>160</v>
      </c>
      <c r="R246" s="592" t="s">
        <v>160</v>
      </c>
      <c r="S246" s="592" t="s">
        <v>160</v>
      </c>
      <c r="T246" s="592" t="s">
        <v>160</v>
      </c>
      <c r="U246" s="592" t="s">
        <v>160</v>
      </c>
      <c r="V246" s="592" t="s">
        <v>160</v>
      </c>
      <c r="W246" s="591" t="s">
        <v>160</v>
      </c>
      <c r="X246" s="591" t="s">
        <v>160</v>
      </c>
      <c r="Y246" s="591" t="s">
        <v>160</v>
      </c>
      <c r="Z246" s="591" t="s">
        <v>160</v>
      </c>
      <c r="AA246" s="591" t="s">
        <v>160</v>
      </c>
      <c r="AB246" s="591" t="s">
        <v>160</v>
      </c>
      <c r="AC246" s="591" t="s">
        <v>160</v>
      </c>
      <c r="AD246" s="591" t="s">
        <v>160</v>
      </c>
      <c r="AE246" s="591" t="s">
        <v>160</v>
      </c>
      <c r="AF246" s="591" t="s">
        <v>160</v>
      </c>
      <c r="AG246" s="591" t="s">
        <v>160</v>
      </c>
      <c r="AH246" s="591" t="s">
        <v>160</v>
      </c>
      <c r="AI246" s="591" t="s">
        <v>160</v>
      </c>
      <c r="AJ246" s="591" t="s">
        <v>160</v>
      </c>
      <c r="AK246" s="591" t="s">
        <v>160</v>
      </c>
      <c r="AL246" s="346" t="s">
        <v>160</v>
      </c>
      <c r="AM246" s="346" t="s">
        <v>160</v>
      </c>
      <c r="AN246" s="346" t="s">
        <v>160</v>
      </c>
      <c r="AO246" s="346" t="s">
        <v>160</v>
      </c>
      <c r="AP246" s="346" t="s">
        <v>160</v>
      </c>
      <c r="AQ246" s="346" t="s">
        <v>160</v>
      </c>
      <c r="AR246" s="346" t="s">
        <v>160</v>
      </c>
      <c r="AS246" s="346" t="s">
        <v>160</v>
      </c>
      <c r="AT246" s="346" t="s">
        <v>160</v>
      </c>
      <c r="AU246" s="346" t="s">
        <v>160</v>
      </c>
      <c r="AV246" s="346" t="s">
        <v>160</v>
      </c>
      <c r="AW246" s="346" t="s">
        <v>160</v>
      </c>
      <c r="AX246" s="947" t="s">
        <v>160</v>
      </c>
      <c r="AY246" s="346" t="s">
        <v>160</v>
      </c>
      <c r="AZ246" s="346" t="s">
        <v>160</v>
      </c>
      <c r="BA246" s="346" t="s">
        <v>160</v>
      </c>
      <c r="BB246" s="346" t="s">
        <v>160</v>
      </c>
      <c r="BC246" s="346" t="s">
        <v>160</v>
      </c>
      <c r="BD246" s="346" t="s">
        <v>160</v>
      </c>
      <c r="BE246" s="346" t="s">
        <v>160</v>
      </c>
      <c r="BF246" s="346" t="s">
        <v>160</v>
      </c>
      <c r="BG246" s="346" t="s">
        <v>160</v>
      </c>
      <c r="BH246" s="591" t="s">
        <v>160</v>
      </c>
      <c r="BI246" s="591" t="s">
        <v>160</v>
      </c>
      <c r="BJ246" s="591" t="s">
        <v>160</v>
      </c>
      <c r="BK246" s="591" t="s">
        <v>160</v>
      </c>
      <c r="BL246" s="591" t="s">
        <v>160</v>
      </c>
      <c r="BM246" s="591" t="s">
        <v>160</v>
      </c>
      <c r="BN246" s="591" t="s">
        <v>160</v>
      </c>
      <c r="BO246" s="591" t="s">
        <v>160</v>
      </c>
      <c r="BP246" s="591" t="s">
        <v>160</v>
      </c>
      <c r="BQ246" s="591" t="s">
        <v>160</v>
      </c>
      <c r="BR246" s="591" t="s">
        <v>160</v>
      </c>
      <c r="BS246" s="591">
        <v>208</v>
      </c>
      <c r="BT246" s="591">
        <v>208</v>
      </c>
      <c r="BU246" s="591">
        <v>208</v>
      </c>
      <c r="BV246" s="591">
        <v>208</v>
      </c>
      <c r="BW246" s="591">
        <v>208</v>
      </c>
      <c r="BX246" s="591">
        <v>208</v>
      </c>
      <c r="BY246" s="591">
        <v>208</v>
      </c>
      <c r="BZ246" s="591">
        <v>208</v>
      </c>
      <c r="CA246" s="591">
        <v>208</v>
      </c>
      <c r="CB246" s="591">
        <v>208</v>
      </c>
      <c r="CC246" s="591">
        <v>208</v>
      </c>
      <c r="CD246" s="591">
        <v>208</v>
      </c>
      <c r="CE246" s="341">
        <v>242</v>
      </c>
      <c r="CF246" s="591">
        <v>242</v>
      </c>
      <c r="CG246" s="591">
        <v>242</v>
      </c>
      <c r="CH246" s="591">
        <v>242</v>
      </c>
      <c r="CI246" s="591">
        <v>242</v>
      </c>
      <c r="CJ246" s="591">
        <v>242</v>
      </c>
      <c r="CK246" s="591">
        <v>242</v>
      </c>
      <c r="CL246" s="591">
        <v>242</v>
      </c>
      <c r="CM246" s="591">
        <v>242</v>
      </c>
      <c r="CN246" s="591">
        <v>242</v>
      </c>
      <c r="CO246" s="591">
        <v>242</v>
      </c>
      <c r="CP246" s="591">
        <v>242</v>
      </c>
      <c r="DI246" s="1172"/>
      <c r="DJ246" s="1172"/>
      <c r="DK246" s="1172"/>
      <c r="DL246" s="1172"/>
      <c r="DM246" s="1172"/>
    </row>
    <row r="247" spans="1:117" x14ac:dyDescent="0.25">
      <c r="A247" s="261" t="s">
        <v>546</v>
      </c>
      <c r="B247" s="261" t="s">
        <v>546</v>
      </c>
      <c r="D247" s="117" t="str">
        <f>IF([1]RENAME!$H$3=1,B247,A247)</f>
        <v>BTG PACTUAL</v>
      </c>
      <c r="E247" s="263" t="s">
        <v>160</v>
      </c>
      <c r="F247" s="263" t="s">
        <v>160</v>
      </c>
      <c r="G247" s="263" t="s">
        <v>160</v>
      </c>
      <c r="H247" s="263" t="s">
        <v>160</v>
      </c>
      <c r="I247" s="263" t="s">
        <v>160</v>
      </c>
      <c r="J247" s="264" t="s">
        <v>160</v>
      </c>
      <c r="K247" s="264" t="s">
        <v>160</v>
      </c>
      <c r="L247" s="264" t="s">
        <v>160</v>
      </c>
      <c r="M247" s="264" t="s">
        <v>160</v>
      </c>
      <c r="N247" s="592" t="s">
        <v>160</v>
      </c>
      <c r="O247" s="592" t="s">
        <v>160</v>
      </c>
      <c r="P247" s="592" t="s">
        <v>160</v>
      </c>
      <c r="Q247" s="592" t="s">
        <v>160</v>
      </c>
      <c r="R247" s="592" t="s">
        <v>160</v>
      </c>
      <c r="S247" s="592" t="s">
        <v>160</v>
      </c>
      <c r="T247" s="592" t="s">
        <v>160</v>
      </c>
      <c r="U247" s="592" t="s">
        <v>160</v>
      </c>
      <c r="V247" s="592" t="s">
        <v>160</v>
      </c>
      <c r="W247" s="592" t="s">
        <v>160</v>
      </c>
      <c r="X247" s="592" t="s">
        <v>160</v>
      </c>
      <c r="Y247" s="592" t="s">
        <v>160</v>
      </c>
      <c r="Z247" s="592" t="s">
        <v>160</v>
      </c>
      <c r="AA247" s="592" t="s">
        <v>160</v>
      </c>
      <c r="AB247" s="592" t="s">
        <v>160</v>
      </c>
      <c r="AC247" s="592" t="s">
        <v>160</v>
      </c>
      <c r="AD247" s="592" t="s">
        <v>160</v>
      </c>
      <c r="AE247" s="592" t="s">
        <v>160</v>
      </c>
      <c r="AF247" s="592" t="s">
        <v>160</v>
      </c>
      <c r="AG247" s="592" t="s">
        <v>160</v>
      </c>
      <c r="AH247" s="591" t="s">
        <v>160</v>
      </c>
      <c r="AI247" s="592" t="s">
        <v>160</v>
      </c>
      <c r="AJ247" s="592" t="s">
        <v>160</v>
      </c>
      <c r="AK247" s="592" t="s">
        <v>160</v>
      </c>
      <c r="AL247" s="346" t="s">
        <v>160</v>
      </c>
      <c r="AM247" s="346" t="s">
        <v>160</v>
      </c>
      <c r="AN247" s="346" t="s">
        <v>160</v>
      </c>
      <c r="AO247" s="346" t="s">
        <v>160</v>
      </c>
      <c r="AP247" s="346" t="s">
        <v>160</v>
      </c>
      <c r="AQ247" s="346" t="s">
        <v>160</v>
      </c>
      <c r="AR247" s="346" t="s">
        <v>160</v>
      </c>
      <c r="AS247" s="346" t="s">
        <v>160</v>
      </c>
      <c r="AT247" s="346" t="s">
        <v>160</v>
      </c>
      <c r="AU247" s="346" t="s">
        <v>160</v>
      </c>
      <c r="AV247" s="346" t="s">
        <v>160</v>
      </c>
      <c r="AW247" s="346" t="s">
        <v>160</v>
      </c>
      <c r="AX247" s="947" t="s">
        <v>160</v>
      </c>
      <c r="AY247" s="346" t="s">
        <v>160</v>
      </c>
      <c r="AZ247" s="346" t="s">
        <v>160</v>
      </c>
      <c r="BA247" s="346" t="s">
        <v>160</v>
      </c>
      <c r="BB247" s="346" t="s">
        <v>160</v>
      </c>
      <c r="BC247" s="346" t="s">
        <v>160</v>
      </c>
      <c r="BD247" s="346" t="s">
        <v>160</v>
      </c>
      <c r="BE247" s="346" t="s">
        <v>160</v>
      </c>
      <c r="BF247" s="346" t="s">
        <v>160</v>
      </c>
      <c r="BG247" s="346" t="s">
        <v>160</v>
      </c>
      <c r="BH247" s="346" t="s">
        <v>160</v>
      </c>
      <c r="BI247" s="346" t="s">
        <v>160</v>
      </c>
      <c r="BJ247" s="346" t="s">
        <v>160</v>
      </c>
      <c r="BK247" s="346" t="s">
        <v>160</v>
      </c>
      <c r="BL247" s="346" t="s">
        <v>160</v>
      </c>
      <c r="BM247" s="346" t="s">
        <v>160</v>
      </c>
      <c r="BN247" s="346" t="s">
        <v>160</v>
      </c>
      <c r="BO247" s="346" t="s">
        <v>160</v>
      </c>
      <c r="BP247" s="346" t="s">
        <v>160</v>
      </c>
      <c r="BQ247" s="346" t="s">
        <v>160</v>
      </c>
      <c r="BR247" s="346" t="s">
        <v>160</v>
      </c>
      <c r="BS247" s="346">
        <v>243</v>
      </c>
      <c r="BT247" s="346">
        <v>243</v>
      </c>
      <c r="BU247" s="346">
        <v>243</v>
      </c>
      <c r="BV247" s="346">
        <v>243</v>
      </c>
      <c r="BW247" s="346">
        <v>243</v>
      </c>
      <c r="BX247" s="346">
        <v>243</v>
      </c>
      <c r="BY247" s="346">
        <v>243</v>
      </c>
      <c r="BZ247" s="346">
        <v>243</v>
      </c>
      <c r="CA247" s="346">
        <v>243</v>
      </c>
      <c r="CB247" s="591">
        <v>243</v>
      </c>
      <c r="CC247" s="591">
        <v>243</v>
      </c>
      <c r="CD247" s="591">
        <v>243</v>
      </c>
      <c r="CE247" s="591">
        <v>243</v>
      </c>
      <c r="CF247" s="591">
        <v>243</v>
      </c>
      <c r="CG247" s="591">
        <v>243</v>
      </c>
      <c r="CH247" s="591">
        <v>243</v>
      </c>
      <c r="CI247" s="591">
        <v>243</v>
      </c>
      <c r="CJ247" s="591">
        <v>243</v>
      </c>
      <c r="CK247" s="591">
        <v>243</v>
      </c>
      <c r="CL247" s="591">
        <v>243</v>
      </c>
      <c r="CM247" s="591">
        <v>243</v>
      </c>
      <c r="CN247" s="591">
        <v>243</v>
      </c>
      <c r="CO247" s="591">
        <v>243</v>
      </c>
      <c r="CP247" s="591">
        <v>243</v>
      </c>
      <c r="CQ247"/>
      <c r="CR247"/>
      <c r="CS247"/>
      <c r="CT247"/>
      <c r="CU247"/>
      <c r="CV247"/>
      <c r="CW247"/>
      <c r="CX247"/>
      <c r="CY247"/>
      <c r="CZ247"/>
      <c r="DA247"/>
      <c r="DB247"/>
      <c r="DC247"/>
      <c r="DD247"/>
      <c r="DE247"/>
      <c r="DF247"/>
      <c r="DG247"/>
    </row>
    <row r="248" spans="1:117" x14ac:dyDescent="0.25">
      <c r="A248" s="261" t="s">
        <v>574</v>
      </c>
      <c r="B248" s="261" t="s">
        <v>574</v>
      </c>
      <c r="D248" s="117" t="str">
        <f>IF([1]RENAME!$H$3=1,B248,A248)</f>
        <v>SAFRA</v>
      </c>
      <c r="E248" s="263" t="s">
        <v>160</v>
      </c>
      <c r="F248" s="263" t="s">
        <v>160</v>
      </c>
      <c r="G248" s="263" t="s">
        <v>160</v>
      </c>
      <c r="H248" s="263" t="s">
        <v>160</v>
      </c>
      <c r="I248" s="263" t="s">
        <v>160</v>
      </c>
      <c r="J248" s="263" t="s">
        <v>160</v>
      </c>
      <c r="K248" s="263" t="s">
        <v>160</v>
      </c>
      <c r="L248" s="263" t="s">
        <v>160</v>
      </c>
      <c r="M248" s="263" t="s">
        <v>160</v>
      </c>
      <c r="N248" s="351" t="s">
        <v>160</v>
      </c>
      <c r="O248" s="351" t="s">
        <v>160</v>
      </c>
      <c r="P248" s="351" t="s">
        <v>160</v>
      </c>
      <c r="Q248" s="592" t="s">
        <v>160</v>
      </c>
      <c r="R248" s="592" t="s">
        <v>160</v>
      </c>
      <c r="S248" s="592" t="s">
        <v>160</v>
      </c>
      <c r="T248" s="592" t="s">
        <v>160</v>
      </c>
      <c r="U248" s="592" t="s">
        <v>160</v>
      </c>
      <c r="V248" s="592" t="s">
        <v>160</v>
      </c>
      <c r="W248" s="592" t="s">
        <v>160</v>
      </c>
      <c r="X248" s="592" t="s">
        <v>160</v>
      </c>
      <c r="Y248" s="591" t="s">
        <v>160</v>
      </c>
      <c r="Z248" s="591" t="s">
        <v>160</v>
      </c>
      <c r="AA248" s="591" t="s">
        <v>160</v>
      </c>
      <c r="AB248" s="591" t="s">
        <v>160</v>
      </c>
      <c r="AC248" s="591" t="s">
        <v>160</v>
      </c>
      <c r="AD248" s="591" t="s">
        <v>160</v>
      </c>
      <c r="AE248" s="591" t="s">
        <v>160</v>
      </c>
      <c r="AF248" s="591" t="s">
        <v>160</v>
      </c>
      <c r="AG248" s="591" t="s">
        <v>160</v>
      </c>
      <c r="AH248" s="591" t="s">
        <v>160</v>
      </c>
      <c r="AI248" s="592" t="s">
        <v>160</v>
      </c>
      <c r="AJ248" s="592" t="s">
        <v>160</v>
      </c>
      <c r="AK248" s="592" t="s">
        <v>160</v>
      </c>
      <c r="AL248" s="346" t="s">
        <v>160</v>
      </c>
      <c r="AM248" s="346" t="s">
        <v>160</v>
      </c>
      <c r="AN248" s="346" t="s">
        <v>160</v>
      </c>
      <c r="AO248" s="346" t="s">
        <v>160</v>
      </c>
      <c r="AP248" s="346" t="s">
        <v>160</v>
      </c>
      <c r="AQ248" s="346" t="s">
        <v>160</v>
      </c>
      <c r="AR248" s="346" t="s">
        <v>160</v>
      </c>
      <c r="AS248" s="346" t="s">
        <v>160</v>
      </c>
      <c r="AT248" s="346" t="s">
        <v>160</v>
      </c>
      <c r="AU248" s="346" t="s">
        <v>160</v>
      </c>
      <c r="AV248" s="346" t="s">
        <v>160</v>
      </c>
      <c r="AW248" s="346" t="s">
        <v>160</v>
      </c>
      <c r="AX248" s="947" t="s">
        <v>160</v>
      </c>
      <c r="AY248" s="348" t="s">
        <v>160</v>
      </c>
      <c r="AZ248" s="348" t="s">
        <v>160</v>
      </c>
      <c r="BA248" s="346" t="s">
        <v>160</v>
      </c>
      <c r="BB248" s="346" t="s">
        <v>160</v>
      </c>
      <c r="BC248" s="346" t="s">
        <v>160</v>
      </c>
      <c r="BD248" s="346" t="s">
        <v>160</v>
      </c>
      <c r="BE248" s="346" t="s">
        <v>160</v>
      </c>
      <c r="BF248" s="346" t="s">
        <v>160</v>
      </c>
      <c r="BG248" s="346" t="s">
        <v>160</v>
      </c>
      <c r="BH248" s="346" t="s">
        <v>160</v>
      </c>
      <c r="BI248" s="346" t="s">
        <v>160</v>
      </c>
      <c r="BJ248" s="346" t="s">
        <v>160</v>
      </c>
      <c r="BK248" s="346" t="s">
        <v>160</v>
      </c>
      <c r="BL248" s="346" t="s">
        <v>160</v>
      </c>
      <c r="BM248" s="346" t="s">
        <v>160</v>
      </c>
      <c r="BN248" s="346" t="s">
        <v>160</v>
      </c>
      <c r="BO248" s="346" t="s">
        <v>160</v>
      </c>
      <c r="BP248" s="346" t="s">
        <v>160</v>
      </c>
      <c r="BQ248" s="346" t="s">
        <v>160</v>
      </c>
      <c r="BR248" s="346" t="s">
        <v>160</v>
      </c>
      <c r="BS248" s="346" t="s">
        <v>160</v>
      </c>
      <c r="BT248" s="346" t="s">
        <v>160</v>
      </c>
      <c r="BU248" s="346" t="s">
        <v>160</v>
      </c>
      <c r="BV248" s="346" t="s">
        <v>160</v>
      </c>
      <c r="BW248" s="346" t="s">
        <v>160</v>
      </c>
      <c r="BX248" s="346" t="s">
        <v>160</v>
      </c>
      <c r="BY248" s="346" t="s">
        <v>160</v>
      </c>
      <c r="BZ248" s="346" t="s">
        <v>160</v>
      </c>
      <c r="CA248" s="341">
        <v>290</v>
      </c>
      <c r="CB248" s="591">
        <v>290</v>
      </c>
      <c r="CC248" s="591">
        <v>290</v>
      </c>
      <c r="CD248" s="591">
        <v>290</v>
      </c>
      <c r="CE248" s="591">
        <v>290</v>
      </c>
      <c r="CF248" s="591">
        <v>290</v>
      </c>
      <c r="CG248" s="591">
        <v>290</v>
      </c>
      <c r="CH248" s="591">
        <v>290</v>
      </c>
      <c r="CI248" s="591">
        <v>290</v>
      </c>
      <c r="CJ248" s="591">
        <v>290</v>
      </c>
      <c r="CK248" s="591">
        <v>290</v>
      </c>
      <c r="CL248" s="591" t="s">
        <v>160</v>
      </c>
      <c r="CM248" s="591" t="s">
        <v>160</v>
      </c>
      <c r="CN248" s="591" t="s">
        <v>160</v>
      </c>
      <c r="CO248" s="591" t="s">
        <v>160</v>
      </c>
      <c r="CP248" s="591" t="s">
        <v>160</v>
      </c>
      <c r="CQ248"/>
      <c r="CR248"/>
      <c r="CS248"/>
      <c r="CT248"/>
      <c r="CU248"/>
      <c r="CV248"/>
      <c r="CW248"/>
      <c r="CX248"/>
      <c r="CY248"/>
      <c r="CZ248"/>
      <c r="DA248"/>
      <c r="DB248"/>
      <c r="DC248"/>
      <c r="DD248"/>
      <c r="DE248"/>
      <c r="DF248"/>
      <c r="DG248"/>
    </row>
    <row r="249" spans="1:117" x14ac:dyDescent="0.25">
      <c r="A249" s="261" t="s">
        <v>547</v>
      </c>
      <c r="B249" s="261" t="s">
        <v>547</v>
      </c>
      <c r="D249" s="117" t="str">
        <f>IF([1]RENAME!$H$3=1,B249,A249)</f>
        <v>ITAÚ</v>
      </c>
      <c r="E249" s="263" t="s">
        <v>160</v>
      </c>
      <c r="F249" s="263" t="s">
        <v>160</v>
      </c>
      <c r="G249" s="263" t="s">
        <v>160</v>
      </c>
      <c r="H249" s="263" t="s">
        <v>160</v>
      </c>
      <c r="I249" s="264" t="s">
        <v>160</v>
      </c>
      <c r="J249" s="264" t="s">
        <v>160</v>
      </c>
      <c r="K249" s="264" t="s">
        <v>160</v>
      </c>
      <c r="L249" s="264" t="s">
        <v>160</v>
      </c>
      <c r="M249" s="264" t="s">
        <v>160</v>
      </c>
      <c r="N249" s="592" t="s">
        <v>160</v>
      </c>
      <c r="O249" s="592" t="s">
        <v>160</v>
      </c>
      <c r="P249" s="592" t="s">
        <v>160</v>
      </c>
      <c r="Q249" s="592" t="s">
        <v>160</v>
      </c>
      <c r="R249" s="592" t="s">
        <v>160</v>
      </c>
      <c r="S249" s="592" t="s">
        <v>160</v>
      </c>
      <c r="T249" s="592" t="s">
        <v>160</v>
      </c>
      <c r="U249" s="592" t="s">
        <v>160</v>
      </c>
      <c r="V249" s="592" t="s">
        <v>160</v>
      </c>
      <c r="W249" s="592" t="s">
        <v>160</v>
      </c>
      <c r="X249" s="591" t="s">
        <v>160</v>
      </c>
      <c r="Y249" s="592" t="s">
        <v>160</v>
      </c>
      <c r="Z249" s="592" t="s">
        <v>160</v>
      </c>
      <c r="AA249" s="592" t="s">
        <v>160</v>
      </c>
      <c r="AB249" s="592" t="s">
        <v>160</v>
      </c>
      <c r="AC249" s="592" t="s">
        <v>160</v>
      </c>
      <c r="AD249" s="592" t="s">
        <v>160</v>
      </c>
      <c r="AE249" s="592" t="s">
        <v>160</v>
      </c>
      <c r="AF249" s="591" t="s">
        <v>160</v>
      </c>
      <c r="AG249" s="592" t="s">
        <v>160</v>
      </c>
      <c r="AH249" s="592" t="s">
        <v>160</v>
      </c>
      <c r="AI249" s="592" t="s">
        <v>160</v>
      </c>
      <c r="AJ249" s="592" t="s">
        <v>160</v>
      </c>
      <c r="AK249" s="592" t="s">
        <v>160</v>
      </c>
      <c r="AL249" s="346" t="s">
        <v>160</v>
      </c>
      <c r="AM249" s="346" t="s">
        <v>160</v>
      </c>
      <c r="AN249" s="346" t="s">
        <v>160</v>
      </c>
      <c r="AO249" s="346" t="s">
        <v>160</v>
      </c>
      <c r="AP249" s="346" t="s">
        <v>160</v>
      </c>
      <c r="AQ249" s="346" t="s">
        <v>160</v>
      </c>
      <c r="AR249" s="346" t="s">
        <v>160</v>
      </c>
      <c r="AS249" s="346" t="s">
        <v>160</v>
      </c>
      <c r="AT249" s="346" t="s">
        <v>160</v>
      </c>
      <c r="AU249" s="346" t="s">
        <v>160</v>
      </c>
      <c r="AV249" s="346" t="s">
        <v>160</v>
      </c>
      <c r="AW249" s="346" t="s">
        <v>160</v>
      </c>
      <c r="AX249" s="947" t="s">
        <v>160</v>
      </c>
      <c r="AY249" s="346" t="s">
        <v>160</v>
      </c>
      <c r="AZ249" s="346" t="s">
        <v>160</v>
      </c>
      <c r="BA249" s="346" t="s">
        <v>160</v>
      </c>
      <c r="BB249" s="346" t="s">
        <v>160</v>
      </c>
      <c r="BC249" s="346" t="s">
        <v>160</v>
      </c>
      <c r="BD249" s="346" t="s">
        <v>160</v>
      </c>
      <c r="BE249" s="346" t="s">
        <v>160</v>
      </c>
      <c r="BF249" s="346" t="s">
        <v>160</v>
      </c>
      <c r="BG249" s="346" t="s">
        <v>160</v>
      </c>
      <c r="BH249" s="346" t="s">
        <v>160</v>
      </c>
      <c r="BI249" s="346" t="s">
        <v>160</v>
      </c>
      <c r="BJ249" s="346" t="s">
        <v>160</v>
      </c>
      <c r="BK249" s="346" t="s">
        <v>160</v>
      </c>
      <c r="BL249" s="346" t="s">
        <v>160</v>
      </c>
      <c r="BM249" s="346" t="s">
        <v>160</v>
      </c>
      <c r="BN249" s="346" t="s">
        <v>160</v>
      </c>
      <c r="BO249" s="346" t="s">
        <v>160</v>
      </c>
      <c r="BP249" s="346" t="s">
        <v>160</v>
      </c>
      <c r="BQ249" s="346" t="s">
        <v>160</v>
      </c>
      <c r="BR249" s="346" t="s">
        <v>160</v>
      </c>
      <c r="BS249" s="346">
        <v>217</v>
      </c>
      <c r="BT249" s="346">
        <v>217</v>
      </c>
      <c r="BU249" s="346">
        <v>217</v>
      </c>
      <c r="BV249" s="346">
        <v>217</v>
      </c>
      <c r="BW249" s="346">
        <v>217</v>
      </c>
      <c r="BX249" s="346">
        <v>217</v>
      </c>
      <c r="BY249" s="346">
        <v>217</v>
      </c>
      <c r="BZ249" s="346">
        <v>217</v>
      </c>
      <c r="CA249" s="341">
        <v>247</v>
      </c>
      <c r="CB249" s="591">
        <v>247</v>
      </c>
      <c r="CC249" s="591">
        <v>247</v>
      </c>
      <c r="CD249" s="591">
        <v>247</v>
      </c>
      <c r="CE249" s="591">
        <v>247</v>
      </c>
      <c r="CF249" s="341">
        <v>267.7</v>
      </c>
      <c r="CG249" s="591">
        <v>267.7</v>
      </c>
      <c r="CH249" s="591">
        <v>267.7</v>
      </c>
      <c r="CI249" s="591">
        <v>267.7</v>
      </c>
      <c r="CJ249" s="591">
        <v>267.7</v>
      </c>
      <c r="CK249" s="591">
        <v>267.7</v>
      </c>
      <c r="CL249" s="591">
        <v>267.7</v>
      </c>
      <c r="CM249" s="591">
        <v>267.7</v>
      </c>
      <c r="CN249" s="591">
        <v>267.7</v>
      </c>
      <c r="CO249" s="591">
        <v>267.7</v>
      </c>
      <c r="CP249" s="591">
        <v>267.7</v>
      </c>
      <c r="CQ249"/>
      <c r="CR249"/>
      <c r="CS249"/>
      <c r="CT249"/>
      <c r="CU249"/>
      <c r="CV249"/>
      <c r="CW249"/>
      <c r="CX249"/>
      <c r="CY249"/>
      <c r="CZ249"/>
      <c r="DA249"/>
      <c r="DB249"/>
      <c r="DC249"/>
      <c r="DD249"/>
      <c r="DE249"/>
      <c r="DF249"/>
      <c r="DG249"/>
    </row>
    <row r="250" spans="1:117" x14ac:dyDescent="0.25">
      <c r="A250" s="261" t="s">
        <v>1985</v>
      </c>
      <c r="B250" s="261" t="s">
        <v>1985</v>
      </c>
      <c r="D250" s="117" t="str">
        <f>IF([1]RENAME!$H$3=1,B250,A250)</f>
        <v>ELEVEN RESEACH</v>
      </c>
      <c r="E250" s="346" t="s">
        <v>160</v>
      </c>
      <c r="F250" s="346" t="s">
        <v>160</v>
      </c>
      <c r="G250" s="346" t="s">
        <v>160</v>
      </c>
      <c r="H250" s="346" t="s">
        <v>160</v>
      </c>
      <c r="I250" s="346" t="s">
        <v>160</v>
      </c>
      <c r="J250" s="346" t="s">
        <v>160</v>
      </c>
      <c r="K250" s="346" t="s">
        <v>160</v>
      </c>
      <c r="L250" s="346" t="s">
        <v>160</v>
      </c>
      <c r="M250" s="346" t="s">
        <v>160</v>
      </c>
      <c r="N250" s="346" t="s">
        <v>160</v>
      </c>
      <c r="O250" s="346" t="s">
        <v>160</v>
      </c>
      <c r="P250" s="346" t="s">
        <v>160</v>
      </c>
      <c r="Q250" s="346" t="s">
        <v>160</v>
      </c>
      <c r="R250" s="346" t="s">
        <v>160</v>
      </c>
      <c r="S250" s="346" t="s">
        <v>160</v>
      </c>
      <c r="T250" s="346" t="s">
        <v>160</v>
      </c>
      <c r="U250" s="346" t="s">
        <v>160</v>
      </c>
      <c r="V250" s="346" t="s">
        <v>160</v>
      </c>
      <c r="W250" s="346" t="s">
        <v>160</v>
      </c>
      <c r="X250" s="346" t="s">
        <v>160</v>
      </c>
      <c r="Y250" s="346" t="s">
        <v>160</v>
      </c>
      <c r="Z250" s="346" t="s">
        <v>160</v>
      </c>
      <c r="AA250" s="346" t="s">
        <v>160</v>
      </c>
      <c r="AB250" s="346" t="s">
        <v>160</v>
      </c>
      <c r="AC250" s="346" t="s">
        <v>160</v>
      </c>
      <c r="AD250" s="346" t="s">
        <v>160</v>
      </c>
      <c r="AE250" s="346" t="s">
        <v>160</v>
      </c>
      <c r="AF250" s="346" t="s">
        <v>160</v>
      </c>
      <c r="AG250" s="346" t="s">
        <v>160</v>
      </c>
      <c r="AH250" s="346" t="s">
        <v>160</v>
      </c>
      <c r="AI250" s="346" t="s">
        <v>160</v>
      </c>
      <c r="AJ250" s="346" t="s">
        <v>160</v>
      </c>
      <c r="AK250" s="346" t="s">
        <v>160</v>
      </c>
      <c r="AL250" s="346" t="s">
        <v>160</v>
      </c>
      <c r="AM250" s="346" t="s">
        <v>160</v>
      </c>
      <c r="AN250" s="346" t="s">
        <v>160</v>
      </c>
      <c r="AO250" s="346" t="s">
        <v>160</v>
      </c>
      <c r="AP250" s="346" t="s">
        <v>160</v>
      </c>
      <c r="AQ250" s="346" t="s">
        <v>160</v>
      </c>
      <c r="AR250" s="346" t="s">
        <v>160</v>
      </c>
      <c r="AS250" s="346" t="s">
        <v>160</v>
      </c>
      <c r="AT250" s="346" t="s">
        <v>160</v>
      </c>
      <c r="AU250" s="346" t="s">
        <v>160</v>
      </c>
      <c r="AV250" s="346" t="s">
        <v>160</v>
      </c>
      <c r="AW250" s="346" t="s">
        <v>160</v>
      </c>
      <c r="AX250" s="346" t="s">
        <v>160</v>
      </c>
      <c r="AY250" s="346" t="s">
        <v>160</v>
      </c>
      <c r="AZ250" s="346" t="s">
        <v>160</v>
      </c>
      <c r="BA250" s="346" t="s">
        <v>160</v>
      </c>
      <c r="BB250" s="346" t="s">
        <v>160</v>
      </c>
      <c r="BC250" s="346" t="s">
        <v>160</v>
      </c>
      <c r="BD250" s="346" t="s">
        <v>160</v>
      </c>
      <c r="BE250" s="346" t="s">
        <v>160</v>
      </c>
      <c r="BF250" s="346" t="s">
        <v>160</v>
      </c>
      <c r="BG250" s="346" t="s">
        <v>160</v>
      </c>
      <c r="BH250" s="346" t="s">
        <v>160</v>
      </c>
      <c r="BI250" s="346" t="s">
        <v>160</v>
      </c>
      <c r="BJ250" s="346" t="s">
        <v>160</v>
      </c>
      <c r="BK250" s="346" t="s">
        <v>160</v>
      </c>
      <c r="BL250" s="346" t="s">
        <v>160</v>
      </c>
      <c r="BM250" s="346" t="s">
        <v>160</v>
      </c>
      <c r="BN250" s="346" t="s">
        <v>160</v>
      </c>
      <c r="BO250" s="346" t="s">
        <v>160</v>
      </c>
      <c r="BP250" s="346">
        <v>263</v>
      </c>
      <c r="BQ250" s="346">
        <v>263</v>
      </c>
      <c r="BR250" s="346">
        <v>263</v>
      </c>
      <c r="BS250" s="341">
        <v>256</v>
      </c>
      <c r="BT250" s="346">
        <v>256</v>
      </c>
      <c r="BU250" s="346">
        <v>256</v>
      </c>
      <c r="BV250" s="346">
        <v>233</v>
      </c>
      <c r="BW250" s="346">
        <v>233</v>
      </c>
      <c r="BX250" s="346">
        <v>233</v>
      </c>
      <c r="BY250" s="346">
        <v>233</v>
      </c>
      <c r="BZ250" s="346">
        <v>233</v>
      </c>
      <c r="CA250" s="346">
        <v>233</v>
      </c>
      <c r="CB250" s="591">
        <v>233</v>
      </c>
      <c r="CC250" s="591">
        <v>233</v>
      </c>
      <c r="CD250" s="341">
        <v>264</v>
      </c>
      <c r="CE250" s="591">
        <v>264</v>
      </c>
      <c r="CF250" s="591">
        <v>264</v>
      </c>
      <c r="CG250" s="591">
        <v>264</v>
      </c>
      <c r="CH250" s="591">
        <v>264</v>
      </c>
      <c r="CI250" s="591">
        <v>264</v>
      </c>
      <c r="CJ250" s="591">
        <v>264</v>
      </c>
      <c r="CK250" s="591" t="s">
        <v>160</v>
      </c>
      <c r="CL250" s="591" t="s">
        <v>160</v>
      </c>
      <c r="CM250" s="591" t="s">
        <v>160</v>
      </c>
      <c r="CN250" s="591" t="s">
        <v>160</v>
      </c>
      <c r="CO250" s="591" t="s">
        <v>160</v>
      </c>
      <c r="CP250" s="591" t="s">
        <v>160</v>
      </c>
      <c r="CQ250"/>
      <c r="CR250"/>
      <c r="CS250"/>
      <c r="CT250"/>
      <c r="CU250"/>
      <c r="CV250"/>
      <c r="CW250"/>
      <c r="CX250"/>
      <c r="CY250"/>
      <c r="CZ250"/>
      <c r="DA250"/>
      <c r="DB250"/>
      <c r="DC250"/>
      <c r="DD250"/>
      <c r="DE250"/>
      <c r="DF250"/>
      <c r="DG250"/>
    </row>
    <row r="251" spans="1:117" x14ac:dyDescent="0.25">
      <c r="A251" t="s">
        <v>557</v>
      </c>
      <c r="B251" t="s">
        <v>856</v>
      </c>
      <c r="C251"/>
      <c r="D251" s="1092" t="str">
        <f>IF([1]RENAME!$H$3=1,B251,A251)</f>
        <v>Média</v>
      </c>
      <c r="E251" s="1093" t="str">
        <f t="shared" ref="E251:AJ251" si="178">IFERROR(AVERAGE(E246:E250),"-")</f>
        <v>-</v>
      </c>
      <c r="F251" s="1093" t="str">
        <f t="shared" si="178"/>
        <v>-</v>
      </c>
      <c r="G251" s="1093" t="str">
        <f t="shared" si="178"/>
        <v>-</v>
      </c>
      <c r="H251" s="1093" t="str">
        <f t="shared" si="178"/>
        <v>-</v>
      </c>
      <c r="I251" s="1093" t="str">
        <f t="shared" si="178"/>
        <v>-</v>
      </c>
      <c r="J251" s="1093" t="str">
        <f t="shared" si="178"/>
        <v>-</v>
      </c>
      <c r="K251" s="1093" t="str">
        <f t="shared" si="178"/>
        <v>-</v>
      </c>
      <c r="L251" s="1093" t="str">
        <f t="shared" si="178"/>
        <v>-</v>
      </c>
      <c r="M251" s="1093" t="str">
        <f t="shared" si="178"/>
        <v>-</v>
      </c>
      <c r="N251" s="1095" t="str">
        <f t="shared" si="178"/>
        <v>-</v>
      </c>
      <c r="O251" s="1095" t="str">
        <f t="shared" si="178"/>
        <v>-</v>
      </c>
      <c r="P251" s="1095" t="str">
        <f t="shared" si="178"/>
        <v>-</v>
      </c>
      <c r="Q251" s="1095" t="str">
        <f t="shared" si="178"/>
        <v>-</v>
      </c>
      <c r="R251" s="1095" t="str">
        <f t="shared" si="178"/>
        <v>-</v>
      </c>
      <c r="S251" s="1095" t="str">
        <f t="shared" si="178"/>
        <v>-</v>
      </c>
      <c r="T251" s="1095" t="str">
        <f t="shared" si="178"/>
        <v>-</v>
      </c>
      <c r="U251" s="1095" t="str">
        <f t="shared" si="178"/>
        <v>-</v>
      </c>
      <c r="V251" s="1095" t="str">
        <f t="shared" si="178"/>
        <v>-</v>
      </c>
      <c r="W251" s="1095" t="str">
        <f t="shared" si="178"/>
        <v>-</v>
      </c>
      <c r="X251" s="1096" t="str">
        <f t="shared" si="178"/>
        <v>-</v>
      </c>
      <c r="Y251" s="1096" t="str">
        <f t="shared" si="178"/>
        <v>-</v>
      </c>
      <c r="Z251" s="1096" t="str">
        <f t="shared" si="178"/>
        <v>-</v>
      </c>
      <c r="AA251" s="1096" t="str">
        <f t="shared" si="178"/>
        <v>-</v>
      </c>
      <c r="AB251" s="1096" t="str">
        <f t="shared" si="178"/>
        <v>-</v>
      </c>
      <c r="AC251" s="1096" t="str">
        <f t="shared" si="178"/>
        <v>-</v>
      </c>
      <c r="AD251" s="1096" t="str">
        <f t="shared" si="178"/>
        <v>-</v>
      </c>
      <c r="AE251" s="1096" t="str">
        <f t="shared" si="178"/>
        <v>-</v>
      </c>
      <c r="AF251" s="1096" t="str">
        <f t="shared" si="178"/>
        <v>-</v>
      </c>
      <c r="AG251" s="1096" t="str">
        <f t="shared" si="178"/>
        <v>-</v>
      </c>
      <c r="AH251" s="1096" t="str">
        <f t="shared" si="178"/>
        <v>-</v>
      </c>
      <c r="AI251" s="1096" t="str">
        <f t="shared" si="178"/>
        <v>-</v>
      </c>
      <c r="AJ251" s="1096" t="str">
        <f t="shared" si="178"/>
        <v>-</v>
      </c>
      <c r="AK251" s="1096" t="str">
        <f t="shared" ref="AK251:BP251" si="179">IFERROR(AVERAGE(AK246:AK250),"-")</f>
        <v>-</v>
      </c>
      <c r="AL251" s="1096" t="str">
        <f t="shared" si="179"/>
        <v>-</v>
      </c>
      <c r="AM251" s="1096" t="str">
        <f t="shared" si="179"/>
        <v>-</v>
      </c>
      <c r="AN251" s="1096" t="str">
        <f t="shared" si="179"/>
        <v>-</v>
      </c>
      <c r="AO251" s="1096" t="str">
        <f t="shared" si="179"/>
        <v>-</v>
      </c>
      <c r="AP251" s="1096" t="str">
        <f t="shared" si="179"/>
        <v>-</v>
      </c>
      <c r="AQ251" s="1096" t="str">
        <f t="shared" si="179"/>
        <v>-</v>
      </c>
      <c r="AR251" s="1096" t="str">
        <f t="shared" si="179"/>
        <v>-</v>
      </c>
      <c r="AS251" s="1096" t="str">
        <f t="shared" si="179"/>
        <v>-</v>
      </c>
      <c r="AT251" s="1096" t="str">
        <f t="shared" si="179"/>
        <v>-</v>
      </c>
      <c r="AU251" s="1095" t="str">
        <f t="shared" si="179"/>
        <v>-</v>
      </c>
      <c r="AV251" s="1095" t="str">
        <f t="shared" si="179"/>
        <v>-</v>
      </c>
      <c r="AW251" s="1095" t="str">
        <f t="shared" si="179"/>
        <v>-</v>
      </c>
      <c r="AX251" s="1095" t="str">
        <f t="shared" si="179"/>
        <v>-</v>
      </c>
      <c r="AY251" s="1095" t="str">
        <f t="shared" si="179"/>
        <v>-</v>
      </c>
      <c r="AZ251" s="1095" t="str">
        <f t="shared" si="179"/>
        <v>-</v>
      </c>
      <c r="BA251" s="1095" t="str">
        <f t="shared" si="179"/>
        <v>-</v>
      </c>
      <c r="BB251" s="1095" t="str">
        <f t="shared" si="179"/>
        <v>-</v>
      </c>
      <c r="BC251" s="1095" t="str">
        <f t="shared" si="179"/>
        <v>-</v>
      </c>
      <c r="BD251" s="1095" t="str">
        <f t="shared" si="179"/>
        <v>-</v>
      </c>
      <c r="BE251" s="1095" t="str">
        <f t="shared" si="179"/>
        <v>-</v>
      </c>
      <c r="BF251" s="1095" t="str">
        <f t="shared" si="179"/>
        <v>-</v>
      </c>
      <c r="BG251" s="1095" t="str">
        <f t="shared" si="179"/>
        <v>-</v>
      </c>
      <c r="BH251" s="1095" t="str">
        <f t="shared" si="179"/>
        <v>-</v>
      </c>
      <c r="BI251" s="1095" t="str">
        <f t="shared" si="179"/>
        <v>-</v>
      </c>
      <c r="BJ251" s="1095" t="str">
        <f t="shared" si="179"/>
        <v>-</v>
      </c>
      <c r="BK251" s="1095" t="str">
        <f t="shared" si="179"/>
        <v>-</v>
      </c>
      <c r="BL251" s="1095" t="str">
        <f t="shared" si="179"/>
        <v>-</v>
      </c>
      <c r="BM251" s="1095" t="str">
        <f t="shared" si="179"/>
        <v>-</v>
      </c>
      <c r="BN251" s="1095" t="str">
        <f t="shared" si="179"/>
        <v>-</v>
      </c>
      <c r="BO251" s="1095" t="str">
        <f t="shared" si="179"/>
        <v>-</v>
      </c>
      <c r="BP251" s="1095">
        <f t="shared" si="179"/>
        <v>263</v>
      </c>
      <c r="BQ251" s="1095">
        <f t="shared" ref="BQ251:CP251" si="180">IFERROR(AVERAGE(BQ246:BQ250),"-")</f>
        <v>263</v>
      </c>
      <c r="BR251" s="1095">
        <f t="shared" si="180"/>
        <v>263</v>
      </c>
      <c r="BS251" s="1095">
        <f t="shared" si="180"/>
        <v>231</v>
      </c>
      <c r="BT251" s="1095">
        <f t="shared" si="180"/>
        <v>231</v>
      </c>
      <c r="BU251" s="1095">
        <f t="shared" si="180"/>
        <v>231</v>
      </c>
      <c r="BV251" s="1095">
        <f t="shared" si="180"/>
        <v>225.25</v>
      </c>
      <c r="BW251" s="1095">
        <f t="shared" si="180"/>
        <v>225.25</v>
      </c>
      <c r="BX251" s="1095">
        <f t="shared" si="180"/>
        <v>225.25</v>
      </c>
      <c r="BY251" s="1095">
        <f t="shared" si="180"/>
        <v>225.25</v>
      </c>
      <c r="BZ251" s="1095">
        <f t="shared" si="180"/>
        <v>225.25</v>
      </c>
      <c r="CA251" s="1095">
        <f t="shared" si="180"/>
        <v>244.2</v>
      </c>
      <c r="CB251" s="1095">
        <f t="shared" si="180"/>
        <v>244.2</v>
      </c>
      <c r="CC251" s="1095">
        <f t="shared" si="180"/>
        <v>244.2</v>
      </c>
      <c r="CD251" s="1095">
        <f t="shared" si="180"/>
        <v>250.4</v>
      </c>
      <c r="CE251" s="1095">
        <f t="shared" si="180"/>
        <v>257.2</v>
      </c>
      <c r="CF251" s="1095">
        <f t="shared" si="180"/>
        <v>261.34000000000003</v>
      </c>
      <c r="CG251" s="1095">
        <f t="shared" si="180"/>
        <v>261.34000000000003</v>
      </c>
      <c r="CH251" s="1095">
        <f t="shared" si="180"/>
        <v>261.34000000000003</v>
      </c>
      <c r="CI251" s="1095">
        <f t="shared" si="180"/>
        <v>261.34000000000003</v>
      </c>
      <c r="CJ251" s="1095">
        <f t="shared" si="180"/>
        <v>261.34000000000003</v>
      </c>
      <c r="CK251" s="1095">
        <f t="shared" si="180"/>
        <v>260.67500000000001</v>
      </c>
      <c r="CL251" s="1095">
        <f t="shared" si="180"/>
        <v>250.9</v>
      </c>
      <c r="CM251" s="1095">
        <f t="shared" si="180"/>
        <v>250.9</v>
      </c>
      <c r="CN251" s="1095">
        <f t="shared" si="180"/>
        <v>250.9</v>
      </c>
      <c r="CO251" s="1095">
        <f t="shared" si="180"/>
        <v>250.9</v>
      </c>
      <c r="CP251" s="1095">
        <f t="shared" si="180"/>
        <v>250.9</v>
      </c>
      <c r="CQ251"/>
      <c r="CR251"/>
      <c r="CS251"/>
      <c r="CT251"/>
      <c r="CU251"/>
      <c r="CV251"/>
      <c r="CW251"/>
      <c r="CX251"/>
      <c r="CY251"/>
      <c r="CZ251"/>
      <c r="DA251"/>
      <c r="DB251"/>
      <c r="DC251"/>
      <c r="DD251"/>
      <c r="DE251"/>
      <c r="DF251"/>
      <c r="DG251"/>
    </row>
    <row r="252" spans="1:117" x14ac:dyDescent="0.25">
      <c r="Z252" s="339"/>
      <c r="AA252" s="339"/>
      <c r="AB252" s="339"/>
      <c r="AC252" s="339"/>
      <c r="AD252" s="339"/>
      <c r="AE252" s="339"/>
      <c r="AF252" s="339"/>
      <c r="AG252" s="339"/>
      <c r="AH252" s="339"/>
      <c r="AI252" s="339"/>
      <c r="AJ252" s="339"/>
      <c r="AK252" s="339"/>
      <c r="AL252" s="339"/>
      <c r="AM252" s="339"/>
      <c r="AN252" s="339"/>
      <c r="AO252" s="339"/>
      <c r="AP252" s="339"/>
      <c r="AQ252" s="339"/>
      <c r="AR252" s="339"/>
      <c r="AS252" s="339"/>
      <c r="AT252" s="339"/>
      <c r="AU252" s="339"/>
      <c r="AV252" s="817"/>
      <c r="AW252" s="817"/>
      <c r="AX252" s="941"/>
      <c r="AY252" s="817"/>
      <c r="AZ252" s="817"/>
      <c r="BA252" s="817"/>
      <c r="BB252" s="817"/>
      <c r="BC252" s="817"/>
      <c r="BD252" s="817"/>
      <c r="BE252" s="817"/>
      <c r="BF252" s="817"/>
      <c r="BG252" s="817"/>
      <c r="BH252" s="817"/>
      <c r="BI252" s="817"/>
      <c r="BJ252" s="817"/>
      <c r="BK252" s="817"/>
      <c r="BL252" s="817"/>
      <c r="BM252" s="817"/>
      <c r="BN252" s="817"/>
      <c r="BO252" s="817"/>
      <c r="BP252" s="817"/>
      <c r="BQ252" s="817"/>
      <c r="BR252" s="817"/>
      <c r="BS252" s="817"/>
      <c r="BT252" s="817"/>
      <c r="BU252" s="817"/>
      <c r="BV252" s="817"/>
      <c r="BW252" s="817"/>
      <c r="BX252" s="817"/>
      <c r="BY252" s="817"/>
      <c r="BZ252" s="817"/>
      <c r="CA252" s="817"/>
      <c r="CB252" s="817"/>
      <c r="CC252" s="817"/>
      <c r="CD252" s="817"/>
      <c r="CE252" s="817"/>
      <c r="CF252" s="817"/>
      <c r="CG252" s="817"/>
      <c r="CH252" s="817"/>
      <c r="CI252" s="817"/>
      <c r="CJ252" s="817"/>
      <c r="CK252" s="817"/>
      <c r="CL252" s="817"/>
      <c r="CM252" s="817"/>
      <c r="CN252" s="817"/>
      <c r="CO252" s="817"/>
      <c r="CP252" s="817"/>
      <c r="CQ252"/>
      <c r="CR252"/>
      <c r="CS252"/>
      <c r="CT252"/>
      <c r="CU252"/>
      <c r="CV252"/>
      <c r="CW252"/>
      <c r="CX252"/>
      <c r="CY252"/>
      <c r="CZ252"/>
      <c r="DA252"/>
      <c r="DB252"/>
      <c r="DC252"/>
      <c r="DD252"/>
      <c r="DE252"/>
      <c r="DF252"/>
      <c r="DG252"/>
    </row>
    <row r="253" spans="1:117" x14ac:dyDescent="0.25">
      <c r="A253" s="261" t="s">
        <v>1904</v>
      </c>
      <c r="B253" s="261" t="s">
        <v>1903</v>
      </c>
      <c r="D253" s="113" t="str">
        <f>IF([1]RENAME!$H$3=1,B253,A253)</f>
        <v>Lucro Líquido 2023</v>
      </c>
      <c r="E253" s="262">
        <f>E$4</f>
        <v>42522</v>
      </c>
      <c r="F253" s="262">
        <f t="shared" ref="F253:BQ253" si="181">F$4</f>
        <v>42552</v>
      </c>
      <c r="G253" s="262">
        <f t="shared" si="181"/>
        <v>42583</v>
      </c>
      <c r="H253" s="262">
        <f t="shared" si="181"/>
        <v>42614</v>
      </c>
      <c r="I253" s="262">
        <f t="shared" si="181"/>
        <v>42644</v>
      </c>
      <c r="J253" s="262">
        <f t="shared" si="181"/>
        <v>42675</v>
      </c>
      <c r="K253" s="262">
        <f t="shared" si="181"/>
        <v>42705</v>
      </c>
      <c r="L253" s="262">
        <f t="shared" si="181"/>
        <v>42736</v>
      </c>
      <c r="M253" s="262">
        <f t="shared" si="181"/>
        <v>42767</v>
      </c>
      <c r="N253" s="262">
        <f t="shared" si="181"/>
        <v>42795</v>
      </c>
      <c r="O253" s="262">
        <f t="shared" si="181"/>
        <v>42826</v>
      </c>
      <c r="P253" s="262">
        <f t="shared" si="181"/>
        <v>42856</v>
      </c>
      <c r="Q253" s="262">
        <f t="shared" si="181"/>
        <v>42887</v>
      </c>
      <c r="R253" s="262">
        <f t="shared" si="181"/>
        <v>42917</v>
      </c>
      <c r="S253" s="262">
        <f t="shared" si="181"/>
        <v>42948</v>
      </c>
      <c r="T253" s="262">
        <f t="shared" si="181"/>
        <v>42979</v>
      </c>
      <c r="U253" s="262">
        <f t="shared" si="181"/>
        <v>43009</v>
      </c>
      <c r="V253" s="262">
        <f t="shared" si="181"/>
        <v>43040</v>
      </c>
      <c r="W253" s="262">
        <f t="shared" si="181"/>
        <v>43070</v>
      </c>
      <c r="X253" s="262">
        <f t="shared" si="181"/>
        <v>43101</v>
      </c>
      <c r="Y253" s="262">
        <f t="shared" si="181"/>
        <v>43132</v>
      </c>
      <c r="Z253" s="262">
        <f t="shared" si="181"/>
        <v>43160</v>
      </c>
      <c r="AA253" s="262">
        <f t="shared" si="181"/>
        <v>43191</v>
      </c>
      <c r="AB253" s="262">
        <f t="shared" si="181"/>
        <v>43221</v>
      </c>
      <c r="AC253" s="262">
        <f t="shared" si="181"/>
        <v>43252</v>
      </c>
      <c r="AD253" s="262">
        <f t="shared" si="181"/>
        <v>43283</v>
      </c>
      <c r="AE253" s="262">
        <f t="shared" si="181"/>
        <v>43314</v>
      </c>
      <c r="AF253" s="262">
        <f t="shared" si="181"/>
        <v>43345</v>
      </c>
      <c r="AG253" s="262">
        <f t="shared" si="181"/>
        <v>43376</v>
      </c>
      <c r="AH253" s="262">
        <f t="shared" si="181"/>
        <v>43407</v>
      </c>
      <c r="AI253" s="262">
        <f t="shared" si="181"/>
        <v>43437</v>
      </c>
      <c r="AJ253" s="262">
        <f t="shared" si="181"/>
        <v>43468</v>
      </c>
      <c r="AK253" s="262">
        <f t="shared" si="181"/>
        <v>43499</v>
      </c>
      <c r="AL253" s="262">
        <f t="shared" si="181"/>
        <v>43527</v>
      </c>
      <c r="AM253" s="262">
        <f t="shared" si="181"/>
        <v>43558</v>
      </c>
      <c r="AN253" s="262">
        <f t="shared" si="181"/>
        <v>43587</v>
      </c>
      <c r="AO253" s="262">
        <f t="shared" si="181"/>
        <v>43618</v>
      </c>
      <c r="AP253" s="262">
        <f t="shared" si="181"/>
        <v>43647</v>
      </c>
      <c r="AQ253" s="262">
        <f t="shared" si="181"/>
        <v>43678</v>
      </c>
      <c r="AR253" s="262">
        <f t="shared" si="181"/>
        <v>43709</v>
      </c>
      <c r="AS253" s="262">
        <f t="shared" si="181"/>
        <v>43739</v>
      </c>
      <c r="AT253" s="262">
        <f t="shared" si="181"/>
        <v>43770</v>
      </c>
      <c r="AU253" s="262">
        <f t="shared" si="181"/>
        <v>43800</v>
      </c>
      <c r="AV253" s="262">
        <f t="shared" si="181"/>
        <v>43831</v>
      </c>
      <c r="AW253" s="262">
        <f t="shared" si="181"/>
        <v>43862</v>
      </c>
      <c r="AX253" s="262">
        <f t="shared" si="181"/>
        <v>43891</v>
      </c>
      <c r="AY253" s="262">
        <f t="shared" si="181"/>
        <v>43922</v>
      </c>
      <c r="AZ253" s="262">
        <f t="shared" si="181"/>
        <v>43952</v>
      </c>
      <c r="BA253" s="262">
        <f t="shared" si="181"/>
        <v>43983</v>
      </c>
      <c r="BB253" s="262">
        <f t="shared" si="181"/>
        <v>44013</v>
      </c>
      <c r="BC253" s="262">
        <f t="shared" si="181"/>
        <v>44044</v>
      </c>
      <c r="BD253" s="262">
        <f t="shared" si="181"/>
        <v>44075</v>
      </c>
      <c r="BE253" s="262">
        <f t="shared" si="181"/>
        <v>44105</v>
      </c>
      <c r="BF253" s="262">
        <f t="shared" si="181"/>
        <v>44136</v>
      </c>
      <c r="BG253" s="262">
        <f t="shared" si="181"/>
        <v>44166</v>
      </c>
      <c r="BH253" s="262">
        <f t="shared" si="181"/>
        <v>44197</v>
      </c>
      <c r="BI253" s="262">
        <f t="shared" si="181"/>
        <v>44228</v>
      </c>
      <c r="BJ253" s="262">
        <f t="shared" si="181"/>
        <v>44256</v>
      </c>
      <c r="BK253" s="262">
        <f t="shared" si="181"/>
        <v>44287</v>
      </c>
      <c r="BL253" s="262">
        <f t="shared" si="181"/>
        <v>44317</v>
      </c>
      <c r="BM253" s="262">
        <f t="shared" si="181"/>
        <v>44348</v>
      </c>
      <c r="BN253" s="262">
        <f t="shared" si="181"/>
        <v>44378</v>
      </c>
      <c r="BO253" s="262">
        <f t="shared" si="181"/>
        <v>44409</v>
      </c>
      <c r="BP253" s="262">
        <f t="shared" si="181"/>
        <v>44440</v>
      </c>
      <c r="BQ253" s="262">
        <f t="shared" si="181"/>
        <v>44470</v>
      </c>
      <c r="BR253" s="262">
        <f t="shared" ref="BR253:CP253" si="182">BR$4</f>
        <v>44501</v>
      </c>
      <c r="BS253" s="262">
        <f t="shared" si="182"/>
        <v>44531</v>
      </c>
      <c r="BT253" s="262">
        <f t="shared" si="182"/>
        <v>44562</v>
      </c>
      <c r="BU253" s="262">
        <f t="shared" si="182"/>
        <v>44593</v>
      </c>
      <c r="BV253" s="262">
        <f t="shared" si="182"/>
        <v>44622</v>
      </c>
      <c r="BW253" s="262">
        <f t="shared" si="182"/>
        <v>44654</v>
      </c>
      <c r="BX253" s="262">
        <f t="shared" si="182"/>
        <v>44685</v>
      </c>
      <c r="BY253" s="262">
        <f t="shared" si="182"/>
        <v>44716</v>
      </c>
      <c r="BZ253" s="262">
        <f t="shared" si="182"/>
        <v>44746</v>
      </c>
      <c r="CA253" s="262">
        <f t="shared" si="182"/>
        <v>44774</v>
      </c>
      <c r="CB253" s="262">
        <f t="shared" si="182"/>
        <v>44805</v>
      </c>
      <c r="CC253" s="262">
        <f t="shared" si="182"/>
        <v>44835</v>
      </c>
      <c r="CD253" s="262">
        <f t="shared" si="182"/>
        <v>44866</v>
      </c>
      <c r="CE253" s="262">
        <f t="shared" si="182"/>
        <v>44896</v>
      </c>
      <c r="CF253" s="262">
        <f t="shared" si="182"/>
        <v>44927</v>
      </c>
      <c r="CG253" s="262">
        <f t="shared" si="182"/>
        <v>44958</v>
      </c>
      <c r="CH253" s="262">
        <f t="shared" si="182"/>
        <v>44986</v>
      </c>
      <c r="CI253" s="262">
        <f t="shared" si="182"/>
        <v>45017</v>
      </c>
      <c r="CJ253" s="262">
        <f t="shared" si="182"/>
        <v>45047</v>
      </c>
      <c r="CK253" s="262">
        <f t="shared" si="182"/>
        <v>45078</v>
      </c>
      <c r="CL253" s="262">
        <f t="shared" si="182"/>
        <v>45108</v>
      </c>
      <c r="CM253" s="262">
        <f t="shared" si="182"/>
        <v>45139</v>
      </c>
      <c r="CN253" s="262">
        <f t="shared" si="182"/>
        <v>45170</v>
      </c>
      <c r="CO253" s="262">
        <f t="shared" si="182"/>
        <v>45200</v>
      </c>
      <c r="CP253" s="262">
        <f t="shared" si="182"/>
        <v>45231</v>
      </c>
      <c r="CQ253"/>
      <c r="CR253"/>
      <c r="CS253"/>
      <c r="CT253"/>
      <c r="CU253"/>
      <c r="CV253"/>
      <c r="CW253"/>
      <c r="CX253"/>
      <c r="CY253"/>
      <c r="CZ253"/>
      <c r="DA253"/>
      <c r="DB253"/>
      <c r="DC253"/>
      <c r="DD253"/>
      <c r="DE253"/>
      <c r="DF253"/>
      <c r="DG253"/>
    </row>
    <row r="254" spans="1:117" customFormat="1" x14ac:dyDescent="0.25">
      <c r="A254" s="261" t="s">
        <v>542</v>
      </c>
      <c r="B254" s="261" t="s">
        <v>542</v>
      </c>
      <c r="C254" s="261"/>
      <c r="D254" s="117" t="str">
        <f>IF([1]RENAME!$H$3=1,B254,A254)</f>
        <v>SANTANDER</v>
      </c>
      <c r="E254" s="263" t="s">
        <v>160</v>
      </c>
      <c r="F254" s="263" t="s">
        <v>160</v>
      </c>
      <c r="G254" s="263" t="s">
        <v>160</v>
      </c>
      <c r="H254" s="264" t="s">
        <v>160</v>
      </c>
      <c r="I254" s="264" t="s">
        <v>160</v>
      </c>
      <c r="J254" s="264" t="s">
        <v>160</v>
      </c>
      <c r="K254" s="264" t="s">
        <v>160</v>
      </c>
      <c r="L254" s="264" t="s">
        <v>160</v>
      </c>
      <c r="M254" s="264" t="s">
        <v>160</v>
      </c>
      <c r="N254" s="592" t="s">
        <v>160</v>
      </c>
      <c r="O254" s="592" t="s">
        <v>160</v>
      </c>
      <c r="P254" s="592" t="s">
        <v>160</v>
      </c>
      <c r="Q254" s="592" t="s">
        <v>160</v>
      </c>
      <c r="R254" s="592" t="s">
        <v>160</v>
      </c>
      <c r="S254" s="592" t="s">
        <v>160</v>
      </c>
      <c r="T254" s="592" t="s">
        <v>160</v>
      </c>
      <c r="U254" s="592" t="s">
        <v>160</v>
      </c>
      <c r="V254" s="592" t="s">
        <v>160</v>
      </c>
      <c r="W254" s="591" t="s">
        <v>160</v>
      </c>
      <c r="X254" s="591" t="s">
        <v>160</v>
      </c>
      <c r="Y254" s="591" t="s">
        <v>160</v>
      </c>
      <c r="Z254" s="591" t="s">
        <v>160</v>
      </c>
      <c r="AA254" s="591" t="s">
        <v>160</v>
      </c>
      <c r="AB254" s="591" t="s">
        <v>160</v>
      </c>
      <c r="AC254" s="591" t="s">
        <v>160</v>
      </c>
      <c r="AD254" s="591" t="s">
        <v>160</v>
      </c>
      <c r="AE254" s="591" t="s">
        <v>160</v>
      </c>
      <c r="AF254" s="591" t="s">
        <v>160</v>
      </c>
      <c r="AG254" s="591" t="s">
        <v>160</v>
      </c>
      <c r="AH254" s="591" t="s">
        <v>160</v>
      </c>
      <c r="AI254" s="591" t="s">
        <v>160</v>
      </c>
      <c r="AJ254" s="591" t="s">
        <v>160</v>
      </c>
      <c r="AK254" s="591" t="s">
        <v>160</v>
      </c>
      <c r="AL254" s="346" t="s">
        <v>160</v>
      </c>
      <c r="AM254" s="346" t="s">
        <v>160</v>
      </c>
      <c r="AN254" s="346" t="s">
        <v>160</v>
      </c>
      <c r="AO254" s="346" t="s">
        <v>160</v>
      </c>
      <c r="AP254" s="346" t="s">
        <v>160</v>
      </c>
      <c r="AQ254" s="346" t="s">
        <v>160</v>
      </c>
      <c r="AR254" s="346" t="s">
        <v>160</v>
      </c>
      <c r="AS254" s="346" t="s">
        <v>160</v>
      </c>
      <c r="AT254" s="346" t="s">
        <v>160</v>
      </c>
      <c r="AU254" s="346" t="s">
        <v>160</v>
      </c>
      <c r="AV254" s="346" t="s">
        <v>160</v>
      </c>
      <c r="AW254" s="346" t="s">
        <v>160</v>
      </c>
      <c r="AX254" s="947" t="s">
        <v>160</v>
      </c>
      <c r="AY254" s="346" t="s">
        <v>160</v>
      </c>
      <c r="AZ254" s="346" t="s">
        <v>160</v>
      </c>
      <c r="BA254" s="346" t="s">
        <v>160</v>
      </c>
      <c r="BB254" s="346" t="s">
        <v>160</v>
      </c>
      <c r="BC254" s="346" t="s">
        <v>160</v>
      </c>
      <c r="BD254" s="346" t="s">
        <v>160</v>
      </c>
      <c r="BE254" s="346" t="s">
        <v>160</v>
      </c>
      <c r="BF254" s="346" t="s">
        <v>160</v>
      </c>
      <c r="BG254" s="346" t="s">
        <v>160</v>
      </c>
      <c r="BH254" s="591" t="s">
        <v>160</v>
      </c>
      <c r="BI254" s="591" t="s">
        <v>160</v>
      </c>
      <c r="BJ254" s="591" t="s">
        <v>160</v>
      </c>
      <c r="BK254" s="591" t="s">
        <v>160</v>
      </c>
      <c r="BL254" s="591" t="s">
        <v>160</v>
      </c>
      <c r="BM254" s="591" t="s">
        <v>160</v>
      </c>
      <c r="BN254" s="591" t="s">
        <v>160</v>
      </c>
      <c r="BO254" s="591" t="s">
        <v>160</v>
      </c>
      <c r="BP254" s="591" t="s">
        <v>160</v>
      </c>
      <c r="BQ254" s="591" t="s">
        <v>160</v>
      </c>
      <c r="BR254" s="591" t="s">
        <v>160</v>
      </c>
      <c r="BS254" s="591">
        <v>117</v>
      </c>
      <c r="BT254" s="591">
        <v>117</v>
      </c>
      <c r="BU254" s="591">
        <v>117</v>
      </c>
      <c r="BV254" s="591">
        <v>117</v>
      </c>
      <c r="BW254" s="591">
        <v>117</v>
      </c>
      <c r="BX254" s="591">
        <v>117</v>
      </c>
      <c r="BY254" s="591">
        <v>117</v>
      </c>
      <c r="BZ254" s="591">
        <v>117</v>
      </c>
      <c r="CA254" s="591">
        <v>117</v>
      </c>
      <c r="CB254" s="591">
        <v>117</v>
      </c>
      <c r="CC254" s="591">
        <v>117</v>
      </c>
      <c r="CD254" s="591">
        <v>117</v>
      </c>
      <c r="CE254" s="341">
        <v>144</v>
      </c>
      <c r="CF254" s="591">
        <v>144</v>
      </c>
      <c r="CG254" s="591">
        <v>144</v>
      </c>
      <c r="CH254" s="591">
        <v>144</v>
      </c>
      <c r="CI254" s="591">
        <v>144</v>
      </c>
      <c r="CJ254" s="591">
        <v>144</v>
      </c>
      <c r="CK254" s="591">
        <v>144</v>
      </c>
      <c r="CL254" s="591">
        <v>144</v>
      </c>
      <c r="CM254" s="591">
        <v>144</v>
      </c>
      <c r="CN254" s="591">
        <v>144</v>
      </c>
      <c r="CO254" s="591">
        <v>144</v>
      </c>
      <c r="CP254" s="591">
        <v>144</v>
      </c>
      <c r="DI254" s="1172"/>
      <c r="DJ254" s="1172"/>
      <c r="DK254" s="1172"/>
      <c r="DL254" s="1172"/>
      <c r="DM254" s="1172"/>
    </row>
    <row r="255" spans="1:117" customFormat="1" x14ac:dyDescent="0.25">
      <c r="A255" s="261" t="s">
        <v>546</v>
      </c>
      <c r="B255" s="261" t="s">
        <v>546</v>
      </c>
      <c r="C255" s="261"/>
      <c r="D255" s="117" t="str">
        <f>IF([1]RENAME!$H$3=1,B255,A255)</f>
        <v>BTG PACTUAL</v>
      </c>
      <c r="E255" s="263" t="s">
        <v>160</v>
      </c>
      <c r="F255" s="263" t="s">
        <v>160</v>
      </c>
      <c r="G255" s="263" t="s">
        <v>160</v>
      </c>
      <c r="H255" s="263" t="s">
        <v>160</v>
      </c>
      <c r="I255" s="263" t="s">
        <v>160</v>
      </c>
      <c r="J255" s="264" t="s">
        <v>160</v>
      </c>
      <c r="K255" s="264" t="s">
        <v>160</v>
      </c>
      <c r="L255" s="264" t="s">
        <v>160</v>
      </c>
      <c r="M255" s="264" t="s">
        <v>160</v>
      </c>
      <c r="N255" s="592" t="s">
        <v>160</v>
      </c>
      <c r="O255" s="592" t="s">
        <v>160</v>
      </c>
      <c r="P255" s="592" t="s">
        <v>160</v>
      </c>
      <c r="Q255" s="592" t="s">
        <v>160</v>
      </c>
      <c r="R255" s="592" t="s">
        <v>160</v>
      </c>
      <c r="S255" s="592" t="s">
        <v>160</v>
      </c>
      <c r="T255" s="592" t="s">
        <v>160</v>
      </c>
      <c r="U255" s="592" t="s">
        <v>160</v>
      </c>
      <c r="V255" s="592" t="s">
        <v>160</v>
      </c>
      <c r="W255" s="592" t="s">
        <v>160</v>
      </c>
      <c r="X255" s="592" t="s">
        <v>160</v>
      </c>
      <c r="Y255" s="592" t="s">
        <v>160</v>
      </c>
      <c r="Z255" s="592" t="s">
        <v>160</v>
      </c>
      <c r="AA255" s="592" t="s">
        <v>160</v>
      </c>
      <c r="AB255" s="592" t="s">
        <v>160</v>
      </c>
      <c r="AC255" s="592" t="s">
        <v>160</v>
      </c>
      <c r="AD255" s="592" t="s">
        <v>160</v>
      </c>
      <c r="AE255" s="592" t="s">
        <v>160</v>
      </c>
      <c r="AF255" s="592" t="s">
        <v>160</v>
      </c>
      <c r="AG255" s="592" t="s">
        <v>160</v>
      </c>
      <c r="AH255" s="591" t="s">
        <v>160</v>
      </c>
      <c r="AI255" s="591" t="s">
        <v>160</v>
      </c>
      <c r="AJ255" s="591" t="s">
        <v>160</v>
      </c>
      <c r="AK255" s="591" t="s">
        <v>160</v>
      </c>
      <c r="AL255" s="346" t="s">
        <v>160</v>
      </c>
      <c r="AM255" s="346" t="s">
        <v>160</v>
      </c>
      <c r="AN255" s="346" t="s">
        <v>160</v>
      </c>
      <c r="AO255" s="346" t="s">
        <v>160</v>
      </c>
      <c r="AP255" s="346" t="s">
        <v>160</v>
      </c>
      <c r="AQ255" s="346" t="s">
        <v>160</v>
      </c>
      <c r="AR255" s="346" t="s">
        <v>160</v>
      </c>
      <c r="AS255" s="346" t="s">
        <v>160</v>
      </c>
      <c r="AT255" s="346" t="s">
        <v>160</v>
      </c>
      <c r="AU255" s="346" t="s">
        <v>160</v>
      </c>
      <c r="AV255" s="346" t="s">
        <v>160</v>
      </c>
      <c r="AW255" s="346" t="s">
        <v>160</v>
      </c>
      <c r="AX255" s="947" t="s">
        <v>160</v>
      </c>
      <c r="AY255" s="346" t="s">
        <v>160</v>
      </c>
      <c r="AZ255" s="346" t="s">
        <v>160</v>
      </c>
      <c r="BA255" s="346" t="s">
        <v>160</v>
      </c>
      <c r="BB255" s="346" t="s">
        <v>160</v>
      </c>
      <c r="BC255" s="346" t="s">
        <v>160</v>
      </c>
      <c r="BD255" s="346" t="s">
        <v>160</v>
      </c>
      <c r="BE255" s="346" t="s">
        <v>160</v>
      </c>
      <c r="BF255" s="346" t="s">
        <v>160</v>
      </c>
      <c r="BG255" s="346" t="s">
        <v>160</v>
      </c>
      <c r="BH255" s="346" t="s">
        <v>160</v>
      </c>
      <c r="BI255" s="346" t="s">
        <v>160</v>
      </c>
      <c r="BJ255" s="346" t="s">
        <v>160</v>
      </c>
      <c r="BK255" s="346" t="s">
        <v>160</v>
      </c>
      <c r="BL255" s="346" t="s">
        <v>160</v>
      </c>
      <c r="BM255" s="346" t="s">
        <v>160</v>
      </c>
      <c r="BN255" s="346" t="s">
        <v>160</v>
      </c>
      <c r="BO255" s="346" t="s">
        <v>160</v>
      </c>
      <c r="BP255" s="346" t="s">
        <v>160</v>
      </c>
      <c r="BQ255" s="346" t="s">
        <v>160</v>
      </c>
      <c r="BR255" s="346" t="s">
        <v>160</v>
      </c>
      <c r="BS255" s="346">
        <v>147</v>
      </c>
      <c r="BT255" s="346">
        <v>147</v>
      </c>
      <c r="BU255" s="346">
        <v>147</v>
      </c>
      <c r="BV255" s="346">
        <v>147</v>
      </c>
      <c r="BW255" s="346">
        <v>147</v>
      </c>
      <c r="BX255" s="346">
        <v>147</v>
      </c>
      <c r="BY255" s="346">
        <v>147</v>
      </c>
      <c r="BZ255" s="346">
        <v>147</v>
      </c>
      <c r="CA255" s="346">
        <v>147</v>
      </c>
      <c r="CB255" s="591">
        <v>147</v>
      </c>
      <c r="CC255" s="591">
        <v>147</v>
      </c>
      <c r="CD255" s="591">
        <v>147</v>
      </c>
      <c r="CE255" s="591">
        <v>147</v>
      </c>
      <c r="CF255" s="591">
        <v>147</v>
      </c>
      <c r="CG255" s="591">
        <v>147</v>
      </c>
      <c r="CH255" s="591">
        <v>147</v>
      </c>
      <c r="CI255" s="591">
        <v>147</v>
      </c>
      <c r="CJ255" s="591">
        <v>147</v>
      </c>
      <c r="CK255" s="591">
        <v>147</v>
      </c>
      <c r="CL255" s="591">
        <v>147</v>
      </c>
      <c r="CM255" s="591">
        <v>147</v>
      </c>
      <c r="CN255" s="591">
        <v>147</v>
      </c>
      <c r="CO255" s="591">
        <v>147</v>
      </c>
      <c r="CP255" s="591">
        <v>147</v>
      </c>
      <c r="DI255" s="1172"/>
      <c r="DJ255" s="1172"/>
      <c r="DK255" s="1172"/>
      <c r="DL255" s="1172"/>
      <c r="DM255" s="1172"/>
    </row>
    <row r="256" spans="1:117" x14ac:dyDescent="0.25">
      <c r="A256" s="261" t="s">
        <v>574</v>
      </c>
      <c r="B256" s="261" t="s">
        <v>574</v>
      </c>
      <c r="D256" s="117" t="str">
        <f>IF([1]RENAME!$H$3=1,B256,A256)</f>
        <v>SAFRA</v>
      </c>
      <c r="E256" s="263" t="s">
        <v>160</v>
      </c>
      <c r="F256" s="263" t="s">
        <v>160</v>
      </c>
      <c r="G256" s="263" t="s">
        <v>160</v>
      </c>
      <c r="H256" s="263" t="s">
        <v>160</v>
      </c>
      <c r="I256" s="263" t="s">
        <v>160</v>
      </c>
      <c r="J256" s="263" t="s">
        <v>160</v>
      </c>
      <c r="K256" s="263" t="s">
        <v>160</v>
      </c>
      <c r="L256" s="263" t="s">
        <v>160</v>
      </c>
      <c r="M256" s="263" t="s">
        <v>160</v>
      </c>
      <c r="N256" s="351" t="s">
        <v>160</v>
      </c>
      <c r="O256" s="351" t="s">
        <v>160</v>
      </c>
      <c r="P256" s="351" t="s">
        <v>160</v>
      </c>
      <c r="Q256" s="592" t="s">
        <v>160</v>
      </c>
      <c r="R256" s="592" t="s">
        <v>160</v>
      </c>
      <c r="S256" s="592" t="s">
        <v>160</v>
      </c>
      <c r="T256" s="592" t="s">
        <v>160</v>
      </c>
      <c r="U256" s="592" t="s">
        <v>160</v>
      </c>
      <c r="V256" s="592" t="s">
        <v>160</v>
      </c>
      <c r="W256" s="592" t="s">
        <v>160</v>
      </c>
      <c r="X256" s="592" t="s">
        <v>160</v>
      </c>
      <c r="Y256" s="591" t="s">
        <v>160</v>
      </c>
      <c r="Z256" s="592" t="s">
        <v>160</v>
      </c>
      <c r="AA256" s="592" t="s">
        <v>160</v>
      </c>
      <c r="AB256" s="592" t="s">
        <v>160</v>
      </c>
      <c r="AC256" s="592" t="s">
        <v>160</v>
      </c>
      <c r="AD256" s="592" t="s">
        <v>160</v>
      </c>
      <c r="AE256" s="592" t="s">
        <v>160</v>
      </c>
      <c r="AF256" s="592" t="s">
        <v>160</v>
      </c>
      <c r="AG256" s="592" t="s">
        <v>160</v>
      </c>
      <c r="AH256" s="592" t="s">
        <v>160</v>
      </c>
      <c r="AI256" s="592" t="s">
        <v>160</v>
      </c>
      <c r="AJ256" s="592" t="s">
        <v>160</v>
      </c>
      <c r="AK256" s="592" t="s">
        <v>160</v>
      </c>
      <c r="AL256" s="346" t="s">
        <v>160</v>
      </c>
      <c r="AM256" s="346" t="s">
        <v>160</v>
      </c>
      <c r="AN256" s="346" t="s">
        <v>160</v>
      </c>
      <c r="AO256" s="346" t="s">
        <v>160</v>
      </c>
      <c r="AP256" s="346" t="s">
        <v>160</v>
      </c>
      <c r="AQ256" s="346" t="s">
        <v>160</v>
      </c>
      <c r="AR256" s="346" t="s">
        <v>160</v>
      </c>
      <c r="AS256" s="346" t="s">
        <v>160</v>
      </c>
      <c r="AT256" s="346" t="s">
        <v>160</v>
      </c>
      <c r="AU256" s="346" t="s">
        <v>160</v>
      </c>
      <c r="AV256" s="346" t="s">
        <v>160</v>
      </c>
      <c r="AW256" s="346" t="s">
        <v>160</v>
      </c>
      <c r="AX256" s="947" t="s">
        <v>160</v>
      </c>
      <c r="AY256" s="348" t="s">
        <v>160</v>
      </c>
      <c r="AZ256" s="348" t="s">
        <v>160</v>
      </c>
      <c r="BA256" s="346" t="s">
        <v>160</v>
      </c>
      <c r="BB256" s="346" t="s">
        <v>160</v>
      </c>
      <c r="BC256" s="346" t="s">
        <v>160</v>
      </c>
      <c r="BD256" s="346" t="s">
        <v>160</v>
      </c>
      <c r="BE256" s="346" t="s">
        <v>160</v>
      </c>
      <c r="BF256" s="346" t="s">
        <v>160</v>
      </c>
      <c r="BG256" s="346" t="s">
        <v>160</v>
      </c>
      <c r="BH256" s="346" t="s">
        <v>160</v>
      </c>
      <c r="BI256" s="346" t="s">
        <v>160</v>
      </c>
      <c r="BJ256" s="346" t="s">
        <v>160</v>
      </c>
      <c r="BK256" s="346" t="s">
        <v>160</v>
      </c>
      <c r="BL256" s="346" t="s">
        <v>160</v>
      </c>
      <c r="BM256" s="346" t="s">
        <v>160</v>
      </c>
      <c r="BN256" s="346" t="s">
        <v>160</v>
      </c>
      <c r="BO256" s="346" t="s">
        <v>160</v>
      </c>
      <c r="BP256" s="346" t="s">
        <v>160</v>
      </c>
      <c r="BQ256" s="346" t="s">
        <v>160</v>
      </c>
      <c r="BR256" s="346" t="s">
        <v>160</v>
      </c>
      <c r="BS256" s="346" t="s">
        <v>160</v>
      </c>
      <c r="BT256" s="346" t="s">
        <v>160</v>
      </c>
      <c r="BU256" s="346" t="s">
        <v>160</v>
      </c>
      <c r="BV256" s="346" t="s">
        <v>160</v>
      </c>
      <c r="BW256" s="346" t="s">
        <v>160</v>
      </c>
      <c r="BX256" s="346" t="s">
        <v>160</v>
      </c>
      <c r="BY256" s="346" t="s">
        <v>160</v>
      </c>
      <c r="BZ256" s="346" t="s">
        <v>160</v>
      </c>
      <c r="CA256" s="341">
        <v>205</v>
      </c>
      <c r="CB256" s="591">
        <v>205</v>
      </c>
      <c r="CC256" s="591">
        <v>205</v>
      </c>
      <c r="CD256" s="591">
        <v>205</v>
      </c>
      <c r="CE256" s="591">
        <v>205</v>
      </c>
      <c r="CF256" s="591">
        <v>205</v>
      </c>
      <c r="CG256" s="591">
        <v>205</v>
      </c>
      <c r="CH256" s="591">
        <v>205</v>
      </c>
      <c r="CI256" s="591">
        <v>205</v>
      </c>
      <c r="CJ256" s="591">
        <v>205</v>
      </c>
      <c r="CK256" s="591">
        <v>205</v>
      </c>
      <c r="CL256" s="591" t="s">
        <v>160</v>
      </c>
      <c r="CM256" s="591" t="s">
        <v>160</v>
      </c>
      <c r="CN256" s="591" t="s">
        <v>160</v>
      </c>
      <c r="CO256" s="591" t="s">
        <v>160</v>
      </c>
      <c r="CP256" s="591" t="s">
        <v>160</v>
      </c>
      <c r="CQ256"/>
      <c r="CR256"/>
      <c r="CS256"/>
      <c r="CT256"/>
      <c r="CU256"/>
      <c r="CV256"/>
      <c r="CW256"/>
      <c r="CX256"/>
      <c r="CY256"/>
      <c r="CZ256"/>
      <c r="DA256"/>
      <c r="DB256"/>
      <c r="DC256"/>
      <c r="DD256"/>
      <c r="DE256"/>
      <c r="DF256"/>
      <c r="DG256"/>
    </row>
    <row r="257" spans="1:117" x14ac:dyDescent="0.25">
      <c r="A257" s="261" t="s">
        <v>547</v>
      </c>
      <c r="B257" s="261" t="s">
        <v>547</v>
      </c>
      <c r="D257" s="117" t="str">
        <f>IF([1]RENAME!$H$3=1,B257,A257)</f>
        <v>ITAÚ</v>
      </c>
      <c r="E257" s="263" t="s">
        <v>160</v>
      </c>
      <c r="F257" s="263" t="s">
        <v>160</v>
      </c>
      <c r="G257" s="263" t="s">
        <v>160</v>
      </c>
      <c r="H257" s="263" t="s">
        <v>160</v>
      </c>
      <c r="I257" s="264" t="s">
        <v>160</v>
      </c>
      <c r="J257" s="264" t="s">
        <v>160</v>
      </c>
      <c r="K257" s="264" t="s">
        <v>160</v>
      </c>
      <c r="L257" s="264" t="s">
        <v>160</v>
      </c>
      <c r="M257" s="264" t="s">
        <v>160</v>
      </c>
      <c r="N257" s="592" t="s">
        <v>160</v>
      </c>
      <c r="O257" s="592" t="s">
        <v>160</v>
      </c>
      <c r="P257" s="592" t="s">
        <v>160</v>
      </c>
      <c r="Q257" s="592" t="s">
        <v>160</v>
      </c>
      <c r="R257" s="592" t="s">
        <v>160</v>
      </c>
      <c r="S257" s="591" t="s">
        <v>160</v>
      </c>
      <c r="T257" s="591" t="s">
        <v>160</v>
      </c>
      <c r="U257" s="591" t="s">
        <v>160</v>
      </c>
      <c r="V257" s="591" t="s">
        <v>160</v>
      </c>
      <c r="W257" s="591" t="s">
        <v>160</v>
      </c>
      <c r="X257" s="591" t="s">
        <v>160</v>
      </c>
      <c r="Y257" s="591" t="s">
        <v>160</v>
      </c>
      <c r="Z257" s="591" t="s">
        <v>160</v>
      </c>
      <c r="AA257" s="591" t="s">
        <v>160</v>
      </c>
      <c r="AB257" s="591" t="s">
        <v>160</v>
      </c>
      <c r="AC257" s="591" t="s">
        <v>160</v>
      </c>
      <c r="AD257" s="591" t="s">
        <v>160</v>
      </c>
      <c r="AE257" s="591" t="s">
        <v>160</v>
      </c>
      <c r="AF257" s="591" t="s">
        <v>160</v>
      </c>
      <c r="AG257" s="591" t="s">
        <v>160</v>
      </c>
      <c r="AH257" s="591" t="s">
        <v>160</v>
      </c>
      <c r="AI257" s="591" t="s">
        <v>160</v>
      </c>
      <c r="AJ257" s="591" t="s">
        <v>160</v>
      </c>
      <c r="AK257" s="591" t="s">
        <v>160</v>
      </c>
      <c r="AL257" s="346" t="s">
        <v>160</v>
      </c>
      <c r="AM257" s="346" t="s">
        <v>160</v>
      </c>
      <c r="AN257" s="346" t="s">
        <v>160</v>
      </c>
      <c r="AO257" s="346" t="s">
        <v>160</v>
      </c>
      <c r="AP257" s="346" t="s">
        <v>160</v>
      </c>
      <c r="AQ257" s="346" t="s">
        <v>160</v>
      </c>
      <c r="AR257" s="346" t="s">
        <v>160</v>
      </c>
      <c r="AS257" s="346" t="s">
        <v>160</v>
      </c>
      <c r="AT257" s="346" t="s">
        <v>160</v>
      </c>
      <c r="AU257" s="346" t="s">
        <v>160</v>
      </c>
      <c r="AV257" s="346" t="s">
        <v>160</v>
      </c>
      <c r="AW257" s="346" t="s">
        <v>160</v>
      </c>
      <c r="AX257" s="947" t="s">
        <v>160</v>
      </c>
      <c r="AY257" s="346" t="s">
        <v>160</v>
      </c>
      <c r="AZ257" s="346" t="s">
        <v>160</v>
      </c>
      <c r="BA257" s="346" t="s">
        <v>160</v>
      </c>
      <c r="BB257" s="346" t="s">
        <v>160</v>
      </c>
      <c r="BC257" s="346" t="s">
        <v>160</v>
      </c>
      <c r="BD257" s="346" t="s">
        <v>160</v>
      </c>
      <c r="BE257" s="346" t="s">
        <v>160</v>
      </c>
      <c r="BF257" s="346" t="s">
        <v>160</v>
      </c>
      <c r="BG257" s="346" t="s">
        <v>160</v>
      </c>
      <c r="BH257" s="346" t="s">
        <v>160</v>
      </c>
      <c r="BI257" s="346" t="s">
        <v>160</v>
      </c>
      <c r="BJ257" s="346" t="s">
        <v>160</v>
      </c>
      <c r="BK257" s="346" t="s">
        <v>160</v>
      </c>
      <c r="BL257" s="346" t="s">
        <v>160</v>
      </c>
      <c r="BM257" s="346" t="s">
        <v>160</v>
      </c>
      <c r="BN257" s="346" t="s">
        <v>160</v>
      </c>
      <c r="BO257" s="346" t="s">
        <v>160</v>
      </c>
      <c r="BP257" s="346" t="s">
        <v>160</v>
      </c>
      <c r="BQ257" s="346" t="s">
        <v>160</v>
      </c>
      <c r="BR257" s="346">
        <v>128</v>
      </c>
      <c r="BS257" s="346">
        <v>128</v>
      </c>
      <c r="BT257" s="346">
        <v>128</v>
      </c>
      <c r="BU257" s="346">
        <v>128</v>
      </c>
      <c r="BV257" s="346">
        <v>128</v>
      </c>
      <c r="BW257" s="346">
        <v>129</v>
      </c>
      <c r="BX257" s="346">
        <v>129</v>
      </c>
      <c r="BY257" s="346">
        <v>129</v>
      </c>
      <c r="BZ257" s="346">
        <v>129</v>
      </c>
      <c r="CA257" s="341">
        <v>153</v>
      </c>
      <c r="CB257" s="591">
        <v>153</v>
      </c>
      <c r="CC257" s="591">
        <v>153</v>
      </c>
      <c r="CD257" s="591">
        <v>153</v>
      </c>
      <c r="CE257" s="591">
        <v>153</v>
      </c>
      <c r="CF257" s="341">
        <v>174.3</v>
      </c>
      <c r="CG257" s="591">
        <v>174.3</v>
      </c>
      <c r="CH257" s="591">
        <v>174.3</v>
      </c>
      <c r="CI257" s="591">
        <v>174.3</v>
      </c>
      <c r="CJ257" s="591">
        <v>174.3</v>
      </c>
      <c r="CK257" s="591">
        <v>174.3</v>
      </c>
      <c r="CL257" s="591">
        <v>174.3</v>
      </c>
      <c r="CM257" s="591">
        <v>174.3</v>
      </c>
      <c r="CN257" s="591">
        <v>174.3</v>
      </c>
      <c r="CO257" s="591">
        <v>174.3</v>
      </c>
      <c r="CP257" s="591">
        <v>174.3</v>
      </c>
      <c r="CQ257"/>
      <c r="CR257"/>
      <c r="CS257"/>
      <c r="CT257"/>
      <c r="CU257"/>
      <c r="CV257"/>
      <c r="CW257"/>
      <c r="CX257"/>
      <c r="CY257"/>
      <c r="CZ257"/>
      <c r="DA257"/>
      <c r="DB257"/>
      <c r="DC257"/>
      <c r="DD257"/>
      <c r="DE257"/>
      <c r="DF257"/>
      <c r="DG257"/>
    </row>
    <row r="258" spans="1:117" x14ac:dyDescent="0.25">
      <c r="A258" s="261" t="s">
        <v>1985</v>
      </c>
      <c r="B258" s="261" t="s">
        <v>1985</v>
      </c>
      <c r="D258" s="117" t="str">
        <f>IF([1]RENAME!$H$3=1,B258,A258)</f>
        <v>ELEVEN RESEACH</v>
      </c>
      <c r="E258" s="346" t="s">
        <v>160</v>
      </c>
      <c r="F258" s="346" t="s">
        <v>160</v>
      </c>
      <c r="G258" s="346" t="s">
        <v>160</v>
      </c>
      <c r="H258" s="346" t="s">
        <v>160</v>
      </c>
      <c r="I258" s="346" t="s">
        <v>160</v>
      </c>
      <c r="J258" s="346" t="s">
        <v>160</v>
      </c>
      <c r="K258" s="346" t="s">
        <v>160</v>
      </c>
      <c r="L258" s="346" t="s">
        <v>160</v>
      </c>
      <c r="M258" s="346" t="s">
        <v>160</v>
      </c>
      <c r="N258" s="346" t="s">
        <v>160</v>
      </c>
      <c r="O258" s="346" t="s">
        <v>160</v>
      </c>
      <c r="P258" s="346" t="s">
        <v>160</v>
      </c>
      <c r="Q258" s="346" t="s">
        <v>160</v>
      </c>
      <c r="R258" s="346" t="s">
        <v>160</v>
      </c>
      <c r="S258" s="346" t="s">
        <v>160</v>
      </c>
      <c r="T258" s="346" t="s">
        <v>160</v>
      </c>
      <c r="U258" s="346" t="s">
        <v>160</v>
      </c>
      <c r="V258" s="346" t="s">
        <v>160</v>
      </c>
      <c r="W258" s="346" t="s">
        <v>160</v>
      </c>
      <c r="X258" s="346" t="s">
        <v>160</v>
      </c>
      <c r="Y258" s="346" t="s">
        <v>160</v>
      </c>
      <c r="Z258" s="346" t="s">
        <v>160</v>
      </c>
      <c r="AA258" s="346" t="s">
        <v>160</v>
      </c>
      <c r="AB258" s="346" t="s">
        <v>160</v>
      </c>
      <c r="AC258" s="346" t="s">
        <v>160</v>
      </c>
      <c r="AD258" s="346" t="s">
        <v>160</v>
      </c>
      <c r="AE258" s="346" t="s">
        <v>160</v>
      </c>
      <c r="AF258" s="346" t="s">
        <v>160</v>
      </c>
      <c r="AG258" s="346" t="s">
        <v>160</v>
      </c>
      <c r="AH258" s="346" t="s">
        <v>160</v>
      </c>
      <c r="AI258" s="346" t="s">
        <v>160</v>
      </c>
      <c r="AJ258" s="346" t="s">
        <v>160</v>
      </c>
      <c r="AK258" s="346" t="s">
        <v>160</v>
      </c>
      <c r="AL258" s="346" t="s">
        <v>160</v>
      </c>
      <c r="AM258" s="346" t="s">
        <v>160</v>
      </c>
      <c r="AN258" s="346" t="s">
        <v>160</v>
      </c>
      <c r="AO258" s="346" t="s">
        <v>160</v>
      </c>
      <c r="AP258" s="346" t="s">
        <v>160</v>
      </c>
      <c r="AQ258" s="346" t="s">
        <v>160</v>
      </c>
      <c r="AR258" s="346" t="s">
        <v>160</v>
      </c>
      <c r="AS258" s="346" t="s">
        <v>160</v>
      </c>
      <c r="AT258" s="346" t="s">
        <v>160</v>
      </c>
      <c r="AU258" s="346" t="s">
        <v>160</v>
      </c>
      <c r="AV258" s="346" t="s">
        <v>160</v>
      </c>
      <c r="AW258" s="346" t="s">
        <v>160</v>
      </c>
      <c r="AX258" s="346" t="s">
        <v>160</v>
      </c>
      <c r="AY258" s="346" t="s">
        <v>160</v>
      </c>
      <c r="AZ258" s="346" t="s">
        <v>160</v>
      </c>
      <c r="BA258" s="346" t="s">
        <v>160</v>
      </c>
      <c r="BB258" s="346" t="s">
        <v>160</v>
      </c>
      <c r="BC258" s="346" t="s">
        <v>160</v>
      </c>
      <c r="BD258" s="346" t="s">
        <v>160</v>
      </c>
      <c r="BE258" s="346" t="s">
        <v>160</v>
      </c>
      <c r="BF258" s="346" t="s">
        <v>160</v>
      </c>
      <c r="BG258" s="346" t="s">
        <v>160</v>
      </c>
      <c r="BH258" s="346" t="s">
        <v>160</v>
      </c>
      <c r="BI258" s="346" t="s">
        <v>160</v>
      </c>
      <c r="BJ258" s="346" t="s">
        <v>160</v>
      </c>
      <c r="BK258" s="346" t="s">
        <v>160</v>
      </c>
      <c r="BL258" s="346" t="s">
        <v>160</v>
      </c>
      <c r="BM258" s="346" t="s">
        <v>160</v>
      </c>
      <c r="BN258" s="346" t="s">
        <v>160</v>
      </c>
      <c r="BO258" s="346" t="s">
        <v>160</v>
      </c>
      <c r="BP258" s="346">
        <v>179</v>
      </c>
      <c r="BQ258" s="346">
        <v>179</v>
      </c>
      <c r="BR258" s="346">
        <v>179</v>
      </c>
      <c r="BS258" s="341">
        <v>174</v>
      </c>
      <c r="BT258" s="346">
        <v>174</v>
      </c>
      <c r="BU258" s="346">
        <v>174</v>
      </c>
      <c r="BV258" s="346">
        <v>150</v>
      </c>
      <c r="BW258" s="346">
        <v>150</v>
      </c>
      <c r="BX258" s="346">
        <v>150</v>
      </c>
      <c r="BY258" s="346">
        <v>150</v>
      </c>
      <c r="BZ258" s="346">
        <v>150</v>
      </c>
      <c r="CA258" s="346">
        <v>150</v>
      </c>
      <c r="CB258" s="591">
        <v>150</v>
      </c>
      <c r="CC258" s="591">
        <v>150</v>
      </c>
      <c r="CD258" s="341">
        <v>169</v>
      </c>
      <c r="CE258" s="591">
        <v>169</v>
      </c>
      <c r="CF258" s="591">
        <v>169</v>
      </c>
      <c r="CG258" s="591">
        <v>169</v>
      </c>
      <c r="CH258" s="591">
        <v>169</v>
      </c>
      <c r="CI258" s="591">
        <v>169</v>
      </c>
      <c r="CJ258" s="591">
        <v>169</v>
      </c>
      <c r="CK258" s="591" t="s">
        <v>160</v>
      </c>
      <c r="CL258" s="591" t="s">
        <v>160</v>
      </c>
      <c r="CM258" s="591" t="s">
        <v>160</v>
      </c>
      <c r="CN258" s="591" t="s">
        <v>160</v>
      </c>
      <c r="CO258" s="591" t="s">
        <v>160</v>
      </c>
      <c r="CP258" s="591" t="s">
        <v>160</v>
      </c>
      <c r="CQ258"/>
      <c r="CR258"/>
      <c r="CS258"/>
      <c r="CT258"/>
      <c r="CU258"/>
      <c r="CV258"/>
      <c r="CW258"/>
      <c r="CX258"/>
      <c r="CY258"/>
      <c r="CZ258"/>
      <c r="DA258"/>
      <c r="DB258"/>
      <c r="DC258"/>
      <c r="DD258"/>
      <c r="DE258"/>
      <c r="DF258"/>
      <c r="DG258"/>
    </row>
    <row r="259" spans="1:117" x14ac:dyDescent="0.25">
      <c r="A259" t="s">
        <v>557</v>
      </c>
      <c r="B259" t="s">
        <v>856</v>
      </c>
      <c r="C259"/>
      <c r="D259" s="1092" t="str">
        <f>IF([1]RENAME!$H$3=1,B259,A259)</f>
        <v>Média</v>
      </c>
      <c r="E259" s="1095" t="str">
        <f t="shared" ref="E259:AJ259" si="183">IFERROR(AVERAGE(E254:E258),"-")</f>
        <v>-</v>
      </c>
      <c r="F259" s="1095" t="str">
        <f t="shared" si="183"/>
        <v>-</v>
      </c>
      <c r="G259" s="1095" t="str">
        <f t="shared" si="183"/>
        <v>-</v>
      </c>
      <c r="H259" s="1095" t="str">
        <f t="shared" si="183"/>
        <v>-</v>
      </c>
      <c r="I259" s="1095" t="str">
        <f t="shared" si="183"/>
        <v>-</v>
      </c>
      <c r="J259" s="1095" t="str">
        <f t="shared" si="183"/>
        <v>-</v>
      </c>
      <c r="K259" s="1095" t="str">
        <f t="shared" si="183"/>
        <v>-</v>
      </c>
      <c r="L259" s="1095" t="str">
        <f t="shared" si="183"/>
        <v>-</v>
      </c>
      <c r="M259" s="1095" t="str">
        <f t="shared" si="183"/>
        <v>-</v>
      </c>
      <c r="N259" s="1095" t="str">
        <f t="shared" si="183"/>
        <v>-</v>
      </c>
      <c r="O259" s="1095" t="str">
        <f t="shared" si="183"/>
        <v>-</v>
      </c>
      <c r="P259" s="1095" t="str">
        <f t="shared" si="183"/>
        <v>-</v>
      </c>
      <c r="Q259" s="1095" t="str">
        <f t="shared" si="183"/>
        <v>-</v>
      </c>
      <c r="R259" s="1095" t="str">
        <f t="shared" si="183"/>
        <v>-</v>
      </c>
      <c r="S259" s="1095" t="str">
        <f t="shared" si="183"/>
        <v>-</v>
      </c>
      <c r="T259" s="1095" t="str">
        <f t="shared" si="183"/>
        <v>-</v>
      </c>
      <c r="U259" s="1095" t="str">
        <f t="shared" si="183"/>
        <v>-</v>
      </c>
      <c r="V259" s="1095" t="str">
        <f t="shared" si="183"/>
        <v>-</v>
      </c>
      <c r="W259" s="1095" t="str">
        <f t="shared" si="183"/>
        <v>-</v>
      </c>
      <c r="X259" s="1095" t="str">
        <f t="shared" si="183"/>
        <v>-</v>
      </c>
      <c r="Y259" s="1095" t="str">
        <f t="shared" si="183"/>
        <v>-</v>
      </c>
      <c r="Z259" s="1095" t="str">
        <f t="shared" si="183"/>
        <v>-</v>
      </c>
      <c r="AA259" s="1095" t="str">
        <f t="shared" si="183"/>
        <v>-</v>
      </c>
      <c r="AB259" s="1095" t="str">
        <f t="shared" si="183"/>
        <v>-</v>
      </c>
      <c r="AC259" s="1095" t="str">
        <f t="shared" si="183"/>
        <v>-</v>
      </c>
      <c r="AD259" s="1095" t="str">
        <f t="shared" si="183"/>
        <v>-</v>
      </c>
      <c r="AE259" s="1095" t="str">
        <f t="shared" si="183"/>
        <v>-</v>
      </c>
      <c r="AF259" s="1095" t="str">
        <f t="shared" si="183"/>
        <v>-</v>
      </c>
      <c r="AG259" s="1095" t="str">
        <f t="shared" si="183"/>
        <v>-</v>
      </c>
      <c r="AH259" s="1095" t="str">
        <f t="shared" si="183"/>
        <v>-</v>
      </c>
      <c r="AI259" s="1095" t="str">
        <f t="shared" si="183"/>
        <v>-</v>
      </c>
      <c r="AJ259" s="1095" t="str">
        <f t="shared" si="183"/>
        <v>-</v>
      </c>
      <c r="AK259" s="1095" t="str">
        <f t="shared" ref="AK259:BP259" si="184">IFERROR(AVERAGE(AK254:AK258),"-")</f>
        <v>-</v>
      </c>
      <c r="AL259" s="1095" t="str">
        <f t="shared" si="184"/>
        <v>-</v>
      </c>
      <c r="AM259" s="1095" t="str">
        <f t="shared" si="184"/>
        <v>-</v>
      </c>
      <c r="AN259" s="1095" t="str">
        <f t="shared" si="184"/>
        <v>-</v>
      </c>
      <c r="AO259" s="1095" t="str">
        <f t="shared" si="184"/>
        <v>-</v>
      </c>
      <c r="AP259" s="1095" t="str">
        <f t="shared" si="184"/>
        <v>-</v>
      </c>
      <c r="AQ259" s="1095" t="str">
        <f t="shared" si="184"/>
        <v>-</v>
      </c>
      <c r="AR259" s="1095" t="str">
        <f t="shared" si="184"/>
        <v>-</v>
      </c>
      <c r="AS259" s="1095" t="str">
        <f t="shared" si="184"/>
        <v>-</v>
      </c>
      <c r="AT259" s="1095" t="str">
        <f t="shared" si="184"/>
        <v>-</v>
      </c>
      <c r="AU259" s="1095" t="str">
        <f t="shared" si="184"/>
        <v>-</v>
      </c>
      <c r="AV259" s="1095" t="str">
        <f t="shared" si="184"/>
        <v>-</v>
      </c>
      <c r="AW259" s="1095" t="str">
        <f t="shared" si="184"/>
        <v>-</v>
      </c>
      <c r="AX259" s="1095" t="str">
        <f t="shared" si="184"/>
        <v>-</v>
      </c>
      <c r="AY259" s="1095" t="str">
        <f t="shared" si="184"/>
        <v>-</v>
      </c>
      <c r="AZ259" s="1095" t="str">
        <f t="shared" si="184"/>
        <v>-</v>
      </c>
      <c r="BA259" s="1095" t="str">
        <f t="shared" si="184"/>
        <v>-</v>
      </c>
      <c r="BB259" s="1095" t="str">
        <f t="shared" si="184"/>
        <v>-</v>
      </c>
      <c r="BC259" s="1095" t="str">
        <f t="shared" si="184"/>
        <v>-</v>
      </c>
      <c r="BD259" s="1095" t="str">
        <f t="shared" si="184"/>
        <v>-</v>
      </c>
      <c r="BE259" s="1095" t="str">
        <f t="shared" si="184"/>
        <v>-</v>
      </c>
      <c r="BF259" s="1095" t="str">
        <f t="shared" si="184"/>
        <v>-</v>
      </c>
      <c r="BG259" s="1095" t="str">
        <f t="shared" si="184"/>
        <v>-</v>
      </c>
      <c r="BH259" s="1095" t="str">
        <f t="shared" si="184"/>
        <v>-</v>
      </c>
      <c r="BI259" s="1095" t="str">
        <f t="shared" si="184"/>
        <v>-</v>
      </c>
      <c r="BJ259" s="1095" t="str">
        <f t="shared" si="184"/>
        <v>-</v>
      </c>
      <c r="BK259" s="1095" t="str">
        <f t="shared" si="184"/>
        <v>-</v>
      </c>
      <c r="BL259" s="1095" t="str">
        <f t="shared" si="184"/>
        <v>-</v>
      </c>
      <c r="BM259" s="1095" t="str">
        <f t="shared" si="184"/>
        <v>-</v>
      </c>
      <c r="BN259" s="1095" t="str">
        <f t="shared" si="184"/>
        <v>-</v>
      </c>
      <c r="BO259" s="1095" t="str">
        <f t="shared" si="184"/>
        <v>-</v>
      </c>
      <c r="BP259" s="1095">
        <f t="shared" si="184"/>
        <v>179</v>
      </c>
      <c r="BQ259" s="1095">
        <f t="shared" ref="BQ259:CP259" si="185">IFERROR(AVERAGE(BQ254:BQ258),"-")</f>
        <v>179</v>
      </c>
      <c r="BR259" s="1095">
        <f t="shared" si="185"/>
        <v>153.5</v>
      </c>
      <c r="BS259" s="1095">
        <f t="shared" si="185"/>
        <v>141.5</v>
      </c>
      <c r="BT259" s="1095">
        <f t="shared" si="185"/>
        <v>141.5</v>
      </c>
      <c r="BU259" s="1095">
        <f t="shared" si="185"/>
        <v>141.5</v>
      </c>
      <c r="BV259" s="1095">
        <f t="shared" si="185"/>
        <v>135.5</v>
      </c>
      <c r="BW259" s="1095">
        <f t="shared" si="185"/>
        <v>135.75</v>
      </c>
      <c r="BX259" s="1095">
        <f t="shared" si="185"/>
        <v>135.75</v>
      </c>
      <c r="BY259" s="1095">
        <f t="shared" si="185"/>
        <v>135.75</v>
      </c>
      <c r="BZ259" s="1095">
        <f t="shared" si="185"/>
        <v>135.75</v>
      </c>
      <c r="CA259" s="1095">
        <f t="shared" si="185"/>
        <v>154.4</v>
      </c>
      <c r="CB259" s="1095">
        <f t="shared" si="185"/>
        <v>154.4</v>
      </c>
      <c r="CC259" s="1095">
        <f t="shared" si="185"/>
        <v>154.4</v>
      </c>
      <c r="CD259" s="1095">
        <f t="shared" si="185"/>
        <v>158.19999999999999</v>
      </c>
      <c r="CE259" s="1095">
        <f t="shared" si="185"/>
        <v>163.6</v>
      </c>
      <c r="CF259" s="1095">
        <f t="shared" si="185"/>
        <v>167.85999999999999</v>
      </c>
      <c r="CG259" s="1095">
        <f t="shared" si="185"/>
        <v>167.85999999999999</v>
      </c>
      <c r="CH259" s="1095">
        <f t="shared" si="185"/>
        <v>167.85999999999999</v>
      </c>
      <c r="CI259" s="1095">
        <f t="shared" si="185"/>
        <v>167.85999999999999</v>
      </c>
      <c r="CJ259" s="1095">
        <f t="shared" si="185"/>
        <v>167.85999999999999</v>
      </c>
      <c r="CK259" s="1095">
        <f t="shared" si="185"/>
        <v>167.57499999999999</v>
      </c>
      <c r="CL259" s="1095">
        <f t="shared" si="185"/>
        <v>155.1</v>
      </c>
      <c r="CM259" s="1095">
        <f t="shared" si="185"/>
        <v>155.1</v>
      </c>
      <c r="CN259" s="1095">
        <f t="shared" si="185"/>
        <v>155.1</v>
      </c>
      <c r="CO259" s="1095">
        <f t="shared" si="185"/>
        <v>155.1</v>
      </c>
      <c r="CP259" s="1095">
        <f t="shared" si="185"/>
        <v>155.1</v>
      </c>
      <c r="CQ259"/>
      <c r="CR259"/>
      <c r="CS259"/>
      <c r="CT259"/>
      <c r="CU259"/>
      <c r="CV259"/>
      <c r="CW259"/>
      <c r="CX259"/>
      <c r="CY259"/>
      <c r="CZ259"/>
      <c r="DA259"/>
      <c r="DB259"/>
      <c r="DC259"/>
      <c r="DD259"/>
      <c r="DE259"/>
      <c r="DF259"/>
      <c r="DG259"/>
    </row>
    <row r="260" spans="1:117" x14ac:dyDescent="0.25">
      <c r="Z260" s="339"/>
      <c r="AA260" s="339"/>
      <c r="AB260" s="339"/>
      <c r="AC260" s="339"/>
      <c r="AD260" s="339"/>
      <c r="AE260" s="339"/>
      <c r="AF260" s="339"/>
      <c r="AG260" s="339"/>
      <c r="AH260" s="339"/>
      <c r="AI260" s="339"/>
      <c r="AJ260" s="339"/>
      <c r="AK260" s="339"/>
      <c r="AL260" s="339"/>
      <c r="AM260" s="339"/>
      <c r="AN260" s="339"/>
      <c r="AO260" s="339"/>
      <c r="AP260" s="339"/>
      <c r="AQ260" s="339"/>
      <c r="AR260" s="339"/>
      <c r="AS260" s="339"/>
      <c r="AT260" s="339"/>
      <c r="AU260" s="339"/>
      <c r="AV260" s="775"/>
      <c r="AX260" s="932"/>
      <c r="CB260" s="775"/>
      <c r="CC260" s="775"/>
      <c r="CD260" s="775"/>
      <c r="CE260" s="775"/>
      <c r="CF260" s="775"/>
      <c r="CG260" s="775"/>
      <c r="CH260" s="775"/>
      <c r="CI260" s="775"/>
      <c r="CJ260" s="775"/>
      <c r="CK260" s="775"/>
      <c r="CL260" s="775"/>
      <c r="CM260" s="775"/>
      <c r="CN260" s="775"/>
      <c r="CO260" s="775"/>
      <c r="CP260" s="775"/>
      <c r="CQ260"/>
      <c r="CR260"/>
      <c r="CS260"/>
      <c r="CT260"/>
      <c r="CU260"/>
      <c r="CV260"/>
      <c r="CW260"/>
      <c r="CX260"/>
      <c r="CY260"/>
      <c r="CZ260"/>
      <c r="DA260"/>
      <c r="DB260"/>
      <c r="DC260"/>
      <c r="DD260"/>
      <c r="DE260"/>
      <c r="DF260"/>
      <c r="DG260"/>
    </row>
    <row r="261" spans="1:117" x14ac:dyDescent="0.25">
      <c r="D261" s="113" t="s">
        <v>1982</v>
      </c>
      <c r="E261" s="262">
        <v>42522</v>
      </c>
      <c r="F261" s="262">
        <v>42552</v>
      </c>
      <c r="G261" s="262">
        <v>42583</v>
      </c>
      <c r="H261" s="262">
        <v>42614</v>
      </c>
      <c r="I261" s="262">
        <v>42644</v>
      </c>
      <c r="J261" s="262">
        <v>42675</v>
      </c>
      <c r="K261" s="262">
        <v>42705</v>
      </c>
      <c r="L261" s="262">
        <v>42736</v>
      </c>
      <c r="M261" s="262">
        <v>42767</v>
      </c>
      <c r="N261" s="262">
        <v>42795</v>
      </c>
      <c r="O261" s="262">
        <v>42826</v>
      </c>
      <c r="P261" s="262">
        <v>42856</v>
      </c>
      <c r="Q261" s="262">
        <v>42887</v>
      </c>
      <c r="R261" s="262">
        <v>42917</v>
      </c>
      <c r="S261" s="262">
        <v>42948</v>
      </c>
      <c r="T261" s="262">
        <v>42979</v>
      </c>
      <c r="U261" s="262">
        <v>43009</v>
      </c>
      <c r="V261" s="262">
        <v>43040</v>
      </c>
      <c r="W261" s="262">
        <v>43070</v>
      </c>
      <c r="X261" s="262">
        <v>43101</v>
      </c>
      <c r="Y261" s="262">
        <v>43132</v>
      </c>
      <c r="Z261" s="262">
        <v>43160</v>
      </c>
      <c r="AA261" s="262">
        <v>43191</v>
      </c>
      <c r="AB261" s="262">
        <v>43221</v>
      </c>
      <c r="AC261" s="262">
        <v>43252</v>
      </c>
      <c r="AD261" s="262">
        <v>43283</v>
      </c>
      <c r="AE261" s="262">
        <v>43314</v>
      </c>
      <c r="AF261" s="262">
        <v>43345</v>
      </c>
      <c r="AG261" s="262">
        <v>43376</v>
      </c>
      <c r="AH261" s="262">
        <v>43407</v>
      </c>
      <c r="AI261" s="262">
        <v>43437</v>
      </c>
      <c r="AJ261" s="262">
        <v>43468</v>
      </c>
      <c r="AK261" s="262">
        <v>43499</v>
      </c>
      <c r="AL261" s="262">
        <v>43527</v>
      </c>
      <c r="AM261" s="262">
        <v>43558</v>
      </c>
      <c r="AN261" s="262">
        <v>43587</v>
      </c>
      <c r="AO261" s="262">
        <v>43618</v>
      </c>
      <c r="AP261" s="262">
        <v>43647</v>
      </c>
      <c r="AQ261" s="262">
        <v>43678</v>
      </c>
      <c r="AR261" s="262">
        <v>43709</v>
      </c>
      <c r="AS261" s="262">
        <v>43739</v>
      </c>
      <c r="AT261" s="262">
        <v>43770</v>
      </c>
      <c r="AU261" s="262">
        <v>43800</v>
      </c>
      <c r="AV261" s="262">
        <v>43831</v>
      </c>
      <c r="AW261" s="262">
        <v>43862</v>
      </c>
      <c r="AX261" s="933">
        <v>43891</v>
      </c>
      <c r="AY261" s="262">
        <v>43922</v>
      </c>
      <c r="AZ261" s="262">
        <v>43952</v>
      </c>
      <c r="BA261" s="262">
        <v>43983</v>
      </c>
      <c r="BB261" s="262">
        <v>44013</v>
      </c>
      <c r="BC261" s="262">
        <v>44044</v>
      </c>
      <c r="BD261" s="262">
        <v>44075</v>
      </c>
      <c r="BE261" s="262">
        <v>44105</v>
      </c>
      <c r="BF261" s="262">
        <v>44136</v>
      </c>
      <c r="BG261" s="262">
        <v>44166</v>
      </c>
      <c r="BH261" s="262">
        <v>44197</v>
      </c>
      <c r="BI261" s="262">
        <v>44228</v>
      </c>
      <c r="BJ261" s="262">
        <v>44256</v>
      </c>
      <c r="BK261" s="262">
        <v>44287</v>
      </c>
      <c r="BL261" s="262">
        <v>44317</v>
      </c>
      <c r="BM261" s="262">
        <v>44348</v>
      </c>
      <c r="BN261" s="262">
        <v>44378</v>
      </c>
      <c r="BO261" s="262">
        <v>44409</v>
      </c>
      <c r="BP261" s="262">
        <v>44440</v>
      </c>
      <c r="BQ261" s="262">
        <v>44470</v>
      </c>
      <c r="BR261" s="262">
        <v>44501</v>
      </c>
      <c r="BS261" s="262">
        <v>44531</v>
      </c>
      <c r="BT261" s="262">
        <v>44562</v>
      </c>
      <c r="BU261" s="262">
        <v>44593</v>
      </c>
      <c r="BV261" s="262">
        <v>44622</v>
      </c>
      <c r="BW261" s="262">
        <v>44654</v>
      </c>
      <c r="BX261" s="262">
        <v>44685</v>
      </c>
      <c r="BY261" s="262">
        <v>44716</v>
      </c>
      <c r="BZ261" s="262">
        <v>44746</v>
      </c>
      <c r="CA261" s="262">
        <v>44774</v>
      </c>
      <c r="CB261" s="262">
        <v>44805</v>
      </c>
      <c r="CC261" s="262">
        <v>44835</v>
      </c>
      <c r="CD261" s="262">
        <v>44866</v>
      </c>
      <c r="CE261" s="262">
        <v>44896</v>
      </c>
      <c r="CF261" s="262">
        <v>44927</v>
      </c>
      <c r="CG261" s="262">
        <v>44958</v>
      </c>
      <c r="CH261" s="262">
        <v>44986</v>
      </c>
      <c r="CI261" s="262">
        <v>45017</v>
      </c>
      <c r="CJ261" s="262">
        <v>45047</v>
      </c>
      <c r="CK261" s="262">
        <v>45078</v>
      </c>
      <c r="CL261" s="262">
        <v>45108</v>
      </c>
      <c r="CM261" s="262">
        <v>45139</v>
      </c>
      <c r="CN261" s="262">
        <v>45170</v>
      </c>
      <c r="CO261" s="262">
        <v>45200</v>
      </c>
      <c r="CP261" s="262">
        <v>45231</v>
      </c>
      <c r="CQ261" s="262">
        <v>45261</v>
      </c>
      <c r="CR261" s="262">
        <v>45292</v>
      </c>
      <c r="CS261" s="262">
        <v>45323</v>
      </c>
      <c r="CT261" s="262">
        <v>45352</v>
      </c>
      <c r="CU261" s="262">
        <v>45383</v>
      </c>
      <c r="CV261" s="262">
        <v>45413</v>
      </c>
      <c r="CW261" s="262">
        <v>45444</v>
      </c>
      <c r="CX261" s="262">
        <v>45474</v>
      </c>
      <c r="CY261" s="262">
        <v>45505</v>
      </c>
      <c r="CZ261" s="262">
        <v>45536</v>
      </c>
      <c r="DA261" s="262">
        <v>45566</v>
      </c>
      <c r="DB261" s="262">
        <v>45597</v>
      </c>
      <c r="DC261" s="262">
        <v>45627</v>
      </c>
      <c r="DD261"/>
      <c r="DE261"/>
      <c r="DF261"/>
      <c r="DG261"/>
      <c r="DH261"/>
      <c r="DI261"/>
      <c r="DJ261"/>
      <c r="DK261"/>
      <c r="DL261"/>
      <c r="DM261"/>
    </row>
    <row r="262" spans="1:117" x14ac:dyDescent="0.25">
      <c r="D262" s="117" t="s">
        <v>542</v>
      </c>
      <c r="E262" s="264" t="s">
        <v>160</v>
      </c>
      <c r="F262" s="264" t="s">
        <v>160</v>
      </c>
      <c r="G262" s="264" t="s">
        <v>160</v>
      </c>
      <c r="H262" s="264" t="s">
        <v>160</v>
      </c>
      <c r="I262" s="264" t="s">
        <v>160</v>
      </c>
      <c r="J262" s="264" t="s">
        <v>160</v>
      </c>
      <c r="K262" s="264" t="s">
        <v>160</v>
      </c>
      <c r="L262" s="336" t="s">
        <v>160</v>
      </c>
      <c r="M262" s="336" t="s">
        <v>160</v>
      </c>
      <c r="N262" s="591" t="s">
        <v>160</v>
      </c>
      <c r="O262" s="591" t="s">
        <v>160</v>
      </c>
      <c r="P262" s="591" t="s">
        <v>160</v>
      </c>
      <c r="Q262" s="591" t="s">
        <v>160</v>
      </c>
      <c r="R262" s="591" t="s">
        <v>160</v>
      </c>
      <c r="S262" s="591" t="s">
        <v>160</v>
      </c>
      <c r="T262" s="591" t="s">
        <v>160</v>
      </c>
      <c r="U262" s="591" t="s">
        <v>160</v>
      </c>
      <c r="V262" s="591" t="s">
        <v>160</v>
      </c>
      <c r="W262" s="591" t="s">
        <v>160</v>
      </c>
      <c r="X262" s="591" t="s">
        <v>160</v>
      </c>
      <c r="Y262" s="591" t="s">
        <v>160</v>
      </c>
      <c r="Z262" s="591" t="s">
        <v>160</v>
      </c>
      <c r="AA262" s="591" t="s">
        <v>160</v>
      </c>
      <c r="AB262" s="591" t="s">
        <v>160</v>
      </c>
      <c r="AC262" s="591" t="s">
        <v>160</v>
      </c>
      <c r="AD262" s="591" t="s">
        <v>160</v>
      </c>
      <c r="AE262" s="591" t="s">
        <v>160</v>
      </c>
      <c r="AF262" s="591" t="s">
        <v>160</v>
      </c>
      <c r="AG262" s="591" t="s">
        <v>160</v>
      </c>
      <c r="AH262" s="591" t="s">
        <v>160</v>
      </c>
      <c r="AI262" s="591" t="s">
        <v>160</v>
      </c>
      <c r="AJ262" s="591" t="s">
        <v>160</v>
      </c>
      <c r="AK262" s="591" t="s">
        <v>160</v>
      </c>
      <c r="AL262" s="346" t="s">
        <v>160</v>
      </c>
      <c r="AM262" s="346" t="s">
        <v>160</v>
      </c>
      <c r="AN262" s="346" t="s">
        <v>160</v>
      </c>
      <c r="AO262" s="346" t="s">
        <v>160</v>
      </c>
      <c r="AP262" s="346" t="s">
        <v>160</v>
      </c>
      <c r="AQ262" s="346" t="s">
        <v>160</v>
      </c>
      <c r="AR262" s="346" t="s">
        <v>160</v>
      </c>
      <c r="AS262" s="346" t="s">
        <v>160</v>
      </c>
      <c r="AT262" s="346" t="s">
        <v>160</v>
      </c>
      <c r="AU262" s="346" t="s">
        <v>160</v>
      </c>
      <c r="AV262" s="346" t="s">
        <v>160</v>
      </c>
      <c r="AW262" s="346" t="s">
        <v>160</v>
      </c>
      <c r="AX262" s="947" t="s">
        <v>160</v>
      </c>
      <c r="AY262" s="346" t="s">
        <v>160</v>
      </c>
      <c r="AZ262" s="346" t="s">
        <v>160</v>
      </c>
      <c r="BA262" s="346" t="s">
        <v>160</v>
      </c>
      <c r="BB262" s="346" t="s">
        <v>160</v>
      </c>
      <c r="BC262" s="346" t="s">
        <v>160</v>
      </c>
      <c r="BD262" s="346" t="s">
        <v>160</v>
      </c>
      <c r="BE262" s="346" t="s">
        <v>160</v>
      </c>
      <c r="BF262" s="346" t="s">
        <v>160</v>
      </c>
      <c r="BG262" s="346" t="s">
        <v>160</v>
      </c>
      <c r="BH262" s="591" t="s">
        <v>160</v>
      </c>
      <c r="BI262" s="591" t="s">
        <v>160</v>
      </c>
      <c r="BJ262" s="591" t="s">
        <v>160</v>
      </c>
      <c r="BK262" s="591" t="s">
        <v>160</v>
      </c>
      <c r="BL262" s="591" t="s">
        <v>160</v>
      </c>
      <c r="BM262" s="591" t="s">
        <v>160</v>
      </c>
      <c r="BN262" s="591" t="s">
        <v>160</v>
      </c>
      <c r="BO262" s="591" t="s">
        <v>160</v>
      </c>
      <c r="BP262" s="591" t="s">
        <v>160</v>
      </c>
      <c r="BQ262" s="591" t="s">
        <v>160</v>
      </c>
      <c r="BR262" s="591" t="s">
        <v>160</v>
      </c>
      <c r="BS262" s="591" t="s">
        <v>160</v>
      </c>
      <c r="BT262" s="591" t="s">
        <v>160</v>
      </c>
      <c r="BU262" s="591" t="s">
        <v>160</v>
      </c>
      <c r="BV262" s="591" t="s">
        <v>160</v>
      </c>
      <c r="BW262" s="591" t="s">
        <v>160</v>
      </c>
      <c r="BX262" s="591" t="s">
        <v>160</v>
      </c>
      <c r="BY262" s="591" t="s">
        <v>160</v>
      </c>
      <c r="BZ262" s="591" t="s">
        <v>160</v>
      </c>
      <c r="CA262" s="591" t="s">
        <v>160</v>
      </c>
      <c r="CB262" s="591" t="s">
        <v>160</v>
      </c>
      <c r="CC262" s="591" t="s">
        <v>160</v>
      </c>
      <c r="CD262" s="591" t="s">
        <v>160</v>
      </c>
      <c r="CE262" s="341">
        <v>1614</v>
      </c>
      <c r="CF262" s="591">
        <v>1614</v>
      </c>
      <c r="CG262" s="591">
        <v>1614</v>
      </c>
      <c r="CH262" s="591">
        <v>1614</v>
      </c>
      <c r="CI262" s="591">
        <v>1614</v>
      </c>
      <c r="CJ262" s="591">
        <v>1614</v>
      </c>
      <c r="CK262" s="591">
        <v>1614</v>
      </c>
      <c r="CL262" s="591">
        <v>1614</v>
      </c>
      <c r="CM262" s="591">
        <v>1614</v>
      </c>
      <c r="CN262" s="591">
        <v>1614</v>
      </c>
      <c r="CO262" s="591">
        <v>1614</v>
      </c>
      <c r="CP262" s="591">
        <v>1614</v>
      </c>
      <c r="CQ262" s="591">
        <v>1614</v>
      </c>
      <c r="CR262" s="591">
        <v>1631</v>
      </c>
      <c r="CS262" s="591">
        <v>1631</v>
      </c>
      <c r="CT262" s="591">
        <v>1631</v>
      </c>
      <c r="CU262" s="591">
        <v>1631</v>
      </c>
      <c r="CV262" s="591">
        <v>1631</v>
      </c>
      <c r="CW262" s="591">
        <v>1631</v>
      </c>
      <c r="CX262" s="591">
        <v>1631</v>
      </c>
      <c r="CY262" s="591">
        <v>1631</v>
      </c>
      <c r="CZ262" s="591">
        <v>1631</v>
      </c>
      <c r="DA262" s="591">
        <v>1631</v>
      </c>
      <c r="DB262" s="591">
        <v>1631</v>
      </c>
      <c r="DC262" s="591">
        <v>1631</v>
      </c>
      <c r="DD262"/>
      <c r="DE262"/>
      <c r="DF262"/>
      <c r="DG262"/>
      <c r="DH262"/>
      <c r="DI262"/>
      <c r="DJ262"/>
      <c r="DK262"/>
      <c r="DL262"/>
      <c r="DM262"/>
    </row>
    <row r="263" spans="1:117" x14ac:dyDescent="0.25">
      <c r="D263" s="117" t="s">
        <v>546</v>
      </c>
      <c r="E263" s="264" t="s">
        <v>160</v>
      </c>
      <c r="F263" s="264" t="s">
        <v>160</v>
      </c>
      <c r="G263" s="264" t="s">
        <v>160</v>
      </c>
      <c r="H263" s="264" t="s">
        <v>160</v>
      </c>
      <c r="I263" s="264" t="s">
        <v>160</v>
      </c>
      <c r="J263" s="264" t="s">
        <v>160</v>
      </c>
      <c r="K263" s="264" t="s">
        <v>160</v>
      </c>
      <c r="L263" s="336" t="s">
        <v>160</v>
      </c>
      <c r="M263" s="336" t="s">
        <v>160</v>
      </c>
      <c r="N263" s="591" t="s">
        <v>160</v>
      </c>
      <c r="O263" s="591" t="s">
        <v>160</v>
      </c>
      <c r="P263" s="591" t="s">
        <v>160</v>
      </c>
      <c r="Q263" s="591" t="s">
        <v>160</v>
      </c>
      <c r="R263" s="591" t="s">
        <v>160</v>
      </c>
      <c r="S263" s="591" t="s">
        <v>160</v>
      </c>
      <c r="T263" s="591" t="s">
        <v>160</v>
      </c>
      <c r="U263" s="591" t="s">
        <v>160</v>
      </c>
      <c r="V263" s="591" t="s">
        <v>160</v>
      </c>
      <c r="W263" s="591" t="s">
        <v>160</v>
      </c>
      <c r="X263" s="591" t="s">
        <v>160</v>
      </c>
      <c r="Y263" s="591" t="s">
        <v>160</v>
      </c>
      <c r="Z263" s="591" t="s">
        <v>160</v>
      </c>
      <c r="AA263" s="591" t="s">
        <v>160</v>
      </c>
      <c r="AB263" s="591" t="s">
        <v>160</v>
      </c>
      <c r="AC263" s="591" t="s">
        <v>160</v>
      </c>
      <c r="AD263" s="591" t="s">
        <v>160</v>
      </c>
      <c r="AE263" s="591" t="s">
        <v>160</v>
      </c>
      <c r="AF263" s="591" t="s">
        <v>160</v>
      </c>
      <c r="AG263" s="591" t="s">
        <v>160</v>
      </c>
      <c r="AH263" s="591" t="s">
        <v>160</v>
      </c>
      <c r="AI263" s="591" t="s">
        <v>160</v>
      </c>
      <c r="AJ263" s="591" t="s">
        <v>160</v>
      </c>
      <c r="AK263" s="591" t="s">
        <v>160</v>
      </c>
      <c r="AL263" s="346" t="s">
        <v>160</v>
      </c>
      <c r="AM263" s="346" t="s">
        <v>160</v>
      </c>
      <c r="AN263" s="346" t="s">
        <v>160</v>
      </c>
      <c r="AO263" s="346" t="s">
        <v>160</v>
      </c>
      <c r="AP263" s="346" t="s">
        <v>160</v>
      </c>
      <c r="AQ263" s="346" t="s">
        <v>160</v>
      </c>
      <c r="AR263" s="346" t="s">
        <v>160</v>
      </c>
      <c r="AS263" s="346" t="s">
        <v>160</v>
      </c>
      <c r="AT263" s="346" t="s">
        <v>160</v>
      </c>
      <c r="AU263" s="346" t="s">
        <v>160</v>
      </c>
      <c r="AV263" s="346" t="s">
        <v>160</v>
      </c>
      <c r="AW263" s="346" t="s">
        <v>160</v>
      </c>
      <c r="AX263" s="947" t="s">
        <v>160</v>
      </c>
      <c r="AY263" s="346" t="s">
        <v>160</v>
      </c>
      <c r="AZ263" s="346" t="s">
        <v>160</v>
      </c>
      <c r="BA263" s="346" t="s">
        <v>160</v>
      </c>
      <c r="BB263" s="346" t="s">
        <v>160</v>
      </c>
      <c r="BC263" s="346" t="s">
        <v>160</v>
      </c>
      <c r="BD263" s="346" t="s">
        <v>160</v>
      </c>
      <c r="BE263" s="346" t="s">
        <v>160</v>
      </c>
      <c r="BF263" s="346" t="s">
        <v>160</v>
      </c>
      <c r="BG263" s="346" t="s">
        <v>160</v>
      </c>
      <c r="BH263" s="346" t="s">
        <v>160</v>
      </c>
      <c r="BI263" s="346" t="s">
        <v>160</v>
      </c>
      <c r="BJ263" s="346" t="s">
        <v>160</v>
      </c>
      <c r="BK263" s="346" t="s">
        <v>160</v>
      </c>
      <c r="BL263" s="346" t="s">
        <v>160</v>
      </c>
      <c r="BM263" s="346" t="s">
        <v>160</v>
      </c>
      <c r="BN263" s="346" t="s">
        <v>160</v>
      </c>
      <c r="BO263" s="346" t="s">
        <v>160</v>
      </c>
      <c r="BP263" s="591" t="s">
        <v>160</v>
      </c>
      <c r="BQ263" s="591" t="s">
        <v>160</v>
      </c>
      <c r="BR263" s="591" t="s">
        <v>160</v>
      </c>
      <c r="BS263" s="591" t="s">
        <v>160</v>
      </c>
      <c r="BT263" s="591" t="s">
        <v>160</v>
      </c>
      <c r="BU263" s="591" t="s">
        <v>160</v>
      </c>
      <c r="BV263" s="591" t="s">
        <v>160</v>
      </c>
      <c r="BW263" s="591" t="s">
        <v>160</v>
      </c>
      <c r="BX263" s="591" t="s">
        <v>160</v>
      </c>
      <c r="BY263" s="591" t="s">
        <v>160</v>
      </c>
      <c r="BZ263" s="591" t="s">
        <v>160</v>
      </c>
      <c r="CA263" s="591" t="s">
        <v>160</v>
      </c>
      <c r="CB263" s="591" t="s">
        <v>160</v>
      </c>
      <c r="CC263" s="591" t="s">
        <v>160</v>
      </c>
      <c r="CD263" s="591" t="s">
        <v>160</v>
      </c>
      <c r="CE263" s="591" t="s">
        <v>160</v>
      </c>
      <c r="CF263" s="591" t="s">
        <v>160</v>
      </c>
      <c r="CG263" s="591" t="s">
        <v>160</v>
      </c>
      <c r="CH263" s="591" t="s">
        <v>160</v>
      </c>
      <c r="CI263" s="591" t="s">
        <v>160</v>
      </c>
      <c r="CJ263" s="591" t="s">
        <v>160</v>
      </c>
      <c r="CK263" s="591" t="s">
        <v>160</v>
      </c>
      <c r="CL263" s="591" t="s">
        <v>160</v>
      </c>
      <c r="CM263" s="591" t="s">
        <v>160</v>
      </c>
      <c r="CN263" s="591" t="s">
        <v>160</v>
      </c>
      <c r="CO263" s="591" t="s">
        <v>160</v>
      </c>
      <c r="CP263" s="591" t="s">
        <v>160</v>
      </c>
      <c r="CQ263" s="591" t="s">
        <v>160</v>
      </c>
      <c r="CR263" s="591" t="s">
        <v>160</v>
      </c>
      <c r="CS263" s="591" t="s">
        <v>160</v>
      </c>
      <c r="CT263" s="591" t="s">
        <v>160</v>
      </c>
      <c r="CU263" s="591" t="s">
        <v>160</v>
      </c>
      <c r="CV263" s="591" t="s">
        <v>160</v>
      </c>
      <c r="CW263" s="591" t="s">
        <v>160</v>
      </c>
      <c r="CX263" s="591" t="s">
        <v>160</v>
      </c>
      <c r="CY263" s="591" t="s">
        <v>160</v>
      </c>
      <c r="CZ263" s="591" t="s">
        <v>160</v>
      </c>
      <c r="DA263" s="591" t="s">
        <v>160</v>
      </c>
      <c r="DB263" s="591" t="s">
        <v>160</v>
      </c>
      <c r="DC263" s="591" t="s">
        <v>160</v>
      </c>
      <c r="DD263"/>
      <c r="DE263"/>
      <c r="DF263"/>
      <c r="DG263"/>
      <c r="DH263"/>
      <c r="DI263"/>
      <c r="DJ263"/>
      <c r="DK263"/>
      <c r="DL263"/>
      <c r="DM263"/>
    </row>
    <row r="264" spans="1:117" x14ac:dyDescent="0.25">
      <c r="D264" s="117" t="s">
        <v>574</v>
      </c>
      <c r="E264" s="263" t="s">
        <v>160</v>
      </c>
      <c r="F264" s="263" t="s">
        <v>160</v>
      </c>
      <c r="G264" s="263" t="s">
        <v>160</v>
      </c>
      <c r="H264" s="263" t="s">
        <v>160</v>
      </c>
      <c r="I264" s="263" t="s">
        <v>160</v>
      </c>
      <c r="J264" s="263" t="s">
        <v>160</v>
      </c>
      <c r="K264" s="263" t="s">
        <v>160</v>
      </c>
      <c r="L264" s="336" t="s">
        <v>160</v>
      </c>
      <c r="M264" s="336" t="s">
        <v>160</v>
      </c>
      <c r="N264" s="591" t="s">
        <v>160</v>
      </c>
      <c r="O264" s="591" t="s">
        <v>160</v>
      </c>
      <c r="P264" s="591" t="s">
        <v>160</v>
      </c>
      <c r="Q264" s="591" t="s">
        <v>160</v>
      </c>
      <c r="R264" s="591" t="s">
        <v>160</v>
      </c>
      <c r="S264" s="591" t="s">
        <v>160</v>
      </c>
      <c r="T264" s="591" t="s">
        <v>160</v>
      </c>
      <c r="U264" s="591" t="s">
        <v>160</v>
      </c>
      <c r="V264" s="591" t="s">
        <v>160</v>
      </c>
      <c r="W264" s="591" t="s">
        <v>160</v>
      </c>
      <c r="X264" s="591" t="s">
        <v>160</v>
      </c>
      <c r="Y264" s="591" t="s">
        <v>160</v>
      </c>
      <c r="Z264" s="591" t="s">
        <v>160</v>
      </c>
      <c r="AA264" s="591" t="s">
        <v>160</v>
      </c>
      <c r="AB264" s="591" t="s">
        <v>160</v>
      </c>
      <c r="AC264" s="591" t="s">
        <v>160</v>
      </c>
      <c r="AD264" s="591" t="s">
        <v>160</v>
      </c>
      <c r="AE264" s="591" t="s">
        <v>160</v>
      </c>
      <c r="AF264" s="591" t="s">
        <v>160</v>
      </c>
      <c r="AG264" s="591" t="s">
        <v>160</v>
      </c>
      <c r="AH264" s="591" t="s">
        <v>160</v>
      </c>
      <c r="AI264" s="591" t="s">
        <v>160</v>
      </c>
      <c r="AJ264" s="591" t="s">
        <v>160</v>
      </c>
      <c r="AK264" s="591" t="s">
        <v>160</v>
      </c>
      <c r="AL264" s="346" t="s">
        <v>160</v>
      </c>
      <c r="AM264" s="346" t="s">
        <v>160</v>
      </c>
      <c r="AN264" s="346" t="s">
        <v>160</v>
      </c>
      <c r="AO264" s="346" t="s">
        <v>160</v>
      </c>
      <c r="AP264" s="346" t="s">
        <v>160</v>
      </c>
      <c r="AQ264" s="346" t="s">
        <v>160</v>
      </c>
      <c r="AR264" s="346" t="s">
        <v>160</v>
      </c>
      <c r="AS264" s="346" t="s">
        <v>160</v>
      </c>
      <c r="AT264" s="346" t="s">
        <v>160</v>
      </c>
      <c r="AU264" s="346" t="s">
        <v>160</v>
      </c>
      <c r="AV264" s="346" t="s">
        <v>160</v>
      </c>
      <c r="AW264" s="346" t="s">
        <v>160</v>
      </c>
      <c r="AX264" s="947" t="s">
        <v>160</v>
      </c>
      <c r="AY264" s="348" t="s">
        <v>160</v>
      </c>
      <c r="AZ264" s="348" t="s">
        <v>160</v>
      </c>
      <c r="BA264" s="346" t="s">
        <v>160</v>
      </c>
      <c r="BB264" s="346" t="s">
        <v>160</v>
      </c>
      <c r="BC264" s="346" t="s">
        <v>160</v>
      </c>
      <c r="BD264" s="346" t="s">
        <v>160</v>
      </c>
      <c r="BE264" s="346" t="s">
        <v>160</v>
      </c>
      <c r="BF264" s="346" t="s">
        <v>160</v>
      </c>
      <c r="BG264" s="346" t="s">
        <v>160</v>
      </c>
      <c r="BH264" s="346" t="s">
        <v>160</v>
      </c>
      <c r="BI264" s="346" t="s">
        <v>160</v>
      </c>
      <c r="BJ264" s="346" t="s">
        <v>160</v>
      </c>
      <c r="BK264" s="346" t="s">
        <v>160</v>
      </c>
      <c r="BL264" s="346" t="s">
        <v>160</v>
      </c>
      <c r="BM264" s="346" t="s">
        <v>160</v>
      </c>
      <c r="BN264" s="346" t="s">
        <v>160</v>
      </c>
      <c r="BO264" s="346" t="s">
        <v>160</v>
      </c>
      <c r="BP264" s="591" t="s">
        <v>160</v>
      </c>
      <c r="BQ264" s="591" t="s">
        <v>160</v>
      </c>
      <c r="BR264" s="591" t="s">
        <v>160</v>
      </c>
      <c r="BS264" s="591" t="s">
        <v>160</v>
      </c>
      <c r="BT264" s="591" t="s">
        <v>160</v>
      </c>
      <c r="BU264" s="591" t="s">
        <v>160</v>
      </c>
      <c r="BV264" s="591" t="s">
        <v>160</v>
      </c>
      <c r="BW264" s="591" t="s">
        <v>160</v>
      </c>
      <c r="BX264" s="591" t="s">
        <v>160</v>
      </c>
      <c r="BY264" s="591" t="s">
        <v>160</v>
      </c>
      <c r="BZ264" s="591" t="s">
        <v>160</v>
      </c>
      <c r="CA264" s="591">
        <v>1784</v>
      </c>
      <c r="CB264" s="591">
        <v>1784</v>
      </c>
      <c r="CC264" s="591">
        <v>1784</v>
      </c>
      <c r="CD264" s="591">
        <v>1784</v>
      </c>
      <c r="CE264" s="591">
        <v>1784</v>
      </c>
      <c r="CF264" s="591">
        <v>1784</v>
      </c>
      <c r="CG264" s="591">
        <v>1784</v>
      </c>
      <c r="CH264" s="591">
        <v>1784</v>
      </c>
      <c r="CI264" s="591">
        <v>1784</v>
      </c>
      <c r="CJ264" s="591">
        <v>1784</v>
      </c>
      <c r="CK264" s="591">
        <v>1784</v>
      </c>
      <c r="CL264" s="591" t="s">
        <v>160</v>
      </c>
      <c r="CM264" s="591" t="s">
        <v>160</v>
      </c>
      <c r="CN264" s="591" t="s">
        <v>160</v>
      </c>
      <c r="CO264" s="591" t="s">
        <v>160</v>
      </c>
      <c r="CP264" s="591" t="s">
        <v>160</v>
      </c>
      <c r="CQ264" s="591" t="s">
        <v>160</v>
      </c>
      <c r="CR264" s="591" t="s">
        <v>160</v>
      </c>
      <c r="CS264" s="591" t="s">
        <v>160</v>
      </c>
      <c r="CT264" s="591" t="s">
        <v>160</v>
      </c>
      <c r="CU264" s="591" t="s">
        <v>160</v>
      </c>
      <c r="CV264" s="591" t="s">
        <v>160</v>
      </c>
      <c r="CW264" s="591" t="s">
        <v>160</v>
      </c>
      <c r="CX264" s="591" t="s">
        <v>160</v>
      </c>
      <c r="CY264" s="591" t="s">
        <v>160</v>
      </c>
      <c r="CZ264" s="591" t="s">
        <v>160</v>
      </c>
      <c r="DA264" s="591" t="s">
        <v>160</v>
      </c>
      <c r="DB264" s="591" t="s">
        <v>160</v>
      </c>
      <c r="DC264" s="591" t="s">
        <v>160</v>
      </c>
      <c r="DD264"/>
      <c r="DE264"/>
      <c r="DF264"/>
      <c r="DG264"/>
      <c r="DH264"/>
      <c r="DI264"/>
      <c r="DJ264"/>
      <c r="DK264"/>
      <c r="DL264"/>
      <c r="DM264"/>
    </row>
    <row r="265" spans="1:117" x14ac:dyDescent="0.25">
      <c r="D265" s="117" t="s">
        <v>547</v>
      </c>
      <c r="E265" s="264" t="s">
        <v>160</v>
      </c>
      <c r="F265" s="264" t="s">
        <v>160</v>
      </c>
      <c r="G265" s="264" t="s">
        <v>160</v>
      </c>
      <c r="H265" s="264" t="s">
        <v>160</v>
      </c>
      <c r="I265" s="264" t="s">
        <v>160</v>
      </c>
      <c r="J265" s="264" t="s">
        <v>160</v>
      </c>
      <c r="K265" s="264" t="s">
        <v>160</v>
      </c>
      <c r="L265" s="336" t="s">
        <v>160</v>
      </c>
      <c r="M265" s="336" t="s">
        <v>160</v>
      </c>
      <c r="N265" s="591" t="s">
        <v>160</v>
      </c>
      <c r="O265" s="591" t="s">
        <v>160</v>
      </c>
      <c r="P265" s="591" t="s">
        <v>160</v>
      </c>
      <c r="Q265" s="591" t="s">
        <v>160</v>
      </c>
      <c r="R265" s="591" t="s">
        <v>160</v>
      </c>
      <c r="S265" s="591" t="s">
        <v>160</v>
      </c>
      <c r="T265" s="591" t="s">
        <v>160</v>
      </c>
      <c r="U265" s="591" t="s">
        <v>160</v>
      </c>
      <c r="V265" s="591" t="s">
        <v>160</v>
      </c>
      <c r="W265" s="591" t="s">
        <v>160</v>
      </c>
      <c r="X265" s="591" t="s">
        <v>160</v>
      </c>
      <c r="Y265" s="591" t="s">
        <v>160</v>
      </c>
      <c r="Z265" s="591" t="s">
        <v>160</v>
      </c>
      <c r="AA265" s="591" t="s">
        <v>160</v>
      </c>
      <c r="AB265" s="591" t="s">
        <v>160</v>
      </c>
      <c r="AC265" s="591" t="s">
        <v>160</v>
      </c>
      <c r="AD265" s="591" t="s">
        <v>160</v>
      </c>
      <c r="AE265" s="591" t="s">
        <v>160</v>
      </c>
      <c r="AF265" s="591" t="s">
        <v>160</v>
      </c>
      <c r="AG265" s="591" t="s">
        <v>160</v>
      </c>
      <c r="AH265" s="591" t="s">
        <v>160</v>
      </c>
      <c r="AI265" s="591" t="s">
        <v>160</v>
      </c>
      <c r="AJ265" s="591" t="s">
        <v>160</v>
      </c>
      <c r="AK265" s="591" t="s">
        <v>160</v>
      </c>
      <c r="AL265" s="346" t="s">
        <v>160</v>
      </c>
      <c r="AM265" s="346" t="s">
        <v>160</v>
      </c>
      <c r="AN265" s="346" t="s">
        <v>160</v>
      </c>
      <c r="AO265" s="346" t="s">
        <v>160</v>
      </c>
      <c r="AP265" s="346" t="s">
        <v>160</v>
      </c>
      <c r="AQ265" s="346" t="s">
        <v>160</v>
      </c>
      <c r="AR265" s="346" t="s">
        <v>160</v>
      </c>
      <c r="AS265" s="346" t="s">
        <v>160</v>
      </c>
      <c r="AT265" s="346" t="s">
        <v>160</v>
      </c>
      <c r="AU265" s="346" t="s">
        <v>160</v>
      </c>
      <c r="AV265" s="346" t="s">
        <v>160</v>
      </c>
      <c r="AW265" s="346" t="s">
        <v>160</v>
      </c>
      <c r="AX265" s="947" t="s">
        <v>160</v>
      </c>
      <c r="AY265" s="346" t="s">
        <v>160</v>
      </c>
      <c r="AZ265" s="346" t="s">
        <v>160</v>
      </c>
      <c r="BA265" s="346" t="s">
        <v>160</v>
      </c>
      <c r="BB265" s="346" t="s">
        <v>160</v>
      </c>
      <c r="BC265" s="346" t="s">
        <v>160</v>
      </c>
      <c r="BD265" s="346" t="s">
        <v>160</v>
      </c>
      <c r="BE265" s="346" t="s">
        <v>160</v>
      </c>
      <c r="BF265" s="346" t="s">
        <v>160</v>
      </c>
      <c r="BG265" s="346" t="s">
        <v>160</v>
      </c>
      <c r="BH265" s="346" t="s">
        <v>160</v>
      </c>
      <c r="BI265" s="346" t="s">
        <v>160</v>
      </c>
      <c r="BJ265" s="346" t="s">
        <v>160</v>
      </c>
      <c r="BK265" s="346" t="s">
        <v>160</v>
      </c>
      <c r="BL265" s="346" t="s">
        <v>160</v>
      </c>
      <c r="BM265" s="346" t="s">
        <v>160</v>
      </c>
      <c r="BN265" s="346" t="s">
        <v>160</v>
      </c>
      <c r="BO265" s="346" t="s">
        <v>160</v>
      </c>
      <c r="BP265" s="591" t="s">
        <v>160</v>
      </c>
      <c r="BQ265" s="591" t="s">
        <v>160</v>
      </c>
      <c r="BR265" s="591" t="s">
        <v>160</v>
      </c>
      <c r="BS265" s="591" t="s">
        <v>160</v>
      </c>
      <c r="BT265" s="591" t="s">
        <v>160</v>
      </c>
      <c r="BU265" s="591" t="s">
        <v>160</v>
      </c>
      <c r="BV265" s="591" t="s">
        <v>160</v>
      </c>
      <c r="BW265" s="591" t="s">
        <v>160</v>
      </c>
      <c r="BX265" s="591" t="s">
        <v>160</v>
      </c>
      <c r="BY265" s="591" t="s">
        <v>160</v>
      </c>
      <c r="BZ265" s="591" t="s">
        <v>160</v>
      </c>
      <c r="CA265" s="591">
        <v>1728</v>
      </c>
      <c r="CB265" s="591">
        <v>1728</v>
      </c>
      <c r="CC265" s="591">
        <v>1728</v>
      </c>
      <c r="CD265" s="591">
        <v>1728</v>
      </c>
      <c r="CE265" s="591">
        <v>1728</v>
      </c>
      <c r="CF265" s="340">
        <v>1661.1</v>
      </c>
      <c r="CG265" s="591">
        <v>1661.1</v>
      </c>
      <c r="CH265" s="591">
        <v>1661.1</v>
      </c>
      <c r="CI265" s="591">
        <v>1661.1</v>
      </c>
      <c r="CJ265" s="591">
        <v>1661.1</v>
      </c>
      <c r="CK265" s="591">
        <v>1661.1</v>
      </c>
      <c r="CL265" s="591">
        <v>1661.1</v>
      </c>
      <c r="CM265" s="591">
        <v>1661.1</v>
      </c>
      <c r="CN265" s="591">
        <v>1661.1</v>
      </c>
      <c r="CO265" s="591">
        <v>1661.1</v>
      </c>
      <c r="CP265" s="591">
        <v>1661.1</v>
      </c>
      <c r="CQ265" s="591">
        <v>1712</v>
      </c>
      <c r="CR265" s="591">
        <v>1712</v>
      </c>
      <c r="CS265" s="591">
        <v>1712</v>
      </c>
      <c r="CT265" s="591">
        <v>1712</v>
      </c>
      <c r="CU265" s="591">
        <v>1712</v>
      </c>
      <c r="CV265" s="591">
        <v>1712</v>
      </c>
      <c r="CW265" s="591">
        <v>1712</v>
      </c>
      <c r="CX265" s="591">
        <v>1712</v>
      </c>
      <c r="CY265" s="591">
        <v>1712</v>
      </c>
      <c r="CZ265" s="591">
        <v>1712</v>
      </c>
      <c r="DA265" s="690">
        <v>1923</v>
      </c>
      <c r="DB265" s="591">
        <v>1923</v>
      </c>
      <c r="DC265" s="591">
        <v>1923</v>
      </c>
      <c r="DD265"/>
      <c r="DE265"/>
      <c r="DF265"/>
      <c r="DG265"/>
      <c r="DH265"/>
      <c r="DI265"/>
      <c r="DJ265"/>
      <c r="DK265"/>
      <c r="DL265"/>
      <c r="DM265"/>
    </row>
    <row r="266" spans="1:117" x14ac:dyDescent="0.25">
      <c r="D266" s="117" t="s">
        <v>1985</v>
      </c>
      <c r="E266" s="264" t="s">
        <v>160</v>
      </c>
      <c r="F266" s="264" t="s">
        <v>160</v>
      </c>
      <c r="G266" s="264" t="s">
        <v>160</v>
      </c>
      <c r="H266" s="264" t="s">
        <v>160</v>
      </c>
      <c r="I266" s="264" t="s">
        <v>160</v>
      </c>
      <c r="J266" s="264" t="s">
        <v>160</v>
      </c>
      <c r="K266" s="264" t="s">
        <v>160</v>
      </c>
      <c r="L266" s="264" t="s">
        <v>160</v>
      </c>
      <c r="M266" s="264" t="s">
        <v>160</v>
      </c>
      <c r="N266" s="264" t="s">
        <v>160</v>
      </c>
      <c r="O266" s="264" t="s">
        <v>160</v>
      </c>
      <c r="P266" s="264" t="s">
        <v>160</v>
      </c>
      <c r="Q266" s="264" t="s">
        <v>160</v>
      </c>
      <c r="R266" s="264" t="s">
        <v>160</v>
      </c>
      <c r="S266" s="264" t="s">
        <v>160</v>
      </c>
      <c r="T266" s="264" t="s">
        <v>160</v>
      </c>
      <c r="U266" s="264" t="s">
        <v>160</v>
      </c>
      <c r="V266" s="264" t="s">
        <v>160</v>
      </c>
      <c r="W266" s="264" t="s">
        <v>160</v>
      </c>
      <c r="X266" s="264" t="s">
        <v>160</v>
      </c>
      <c r="Y266" s="264" t="s">
        <v>160</v>
      </c>
      <c r="Z266" s="264" t="s">
        <v>160</v>
      </c>
      <c r="AA266" s="264" t="s">
        <v>160</v>
      </c>
      <c r="AB266" s="264" t="s">
        <v>160</v>
      </c>
      <c r="AC266" s="264" t="s">
        <v>160</v>
      </c>
      <c r="AD266" s="264" t="s">
        <v>160</v>
      </c>
      <c r="AE266" s="264" t="s">
        <v>160</v>
      </c>
      <c r="AF266" s="264" t="s">
        <v>160</v>
      </c>
      <c r="AG266" s="264" t="s">
        <v>160</v>
      </c>
      <c r="AH266" s="264" t="s">
        <v>160</v>
      </c>
      <c r="AI266" s="264" t="s">
        <v>160</v>
      </c>
      <c r="AJ266" s="264" t="s">
        <v>160</v>
      </c>
      <c r="AK266" s="264" t="s">
        <v>160</v>
      </c>
      <c r="AL266" s="264" t="s">
        <v>160</v>
      </c>
      <c r="AM266" s="264" t="s">
        <v>160</v>
      </c>
      <c r="AN266" s="264" t="s">
        <v>160</v>
      </c>
      <c r="AO266" s="264" t="s">
        <v>160</v>
      </c>
      <c r="AP266" s="264" t="s">
        <v>160</v>
      </c>
      <c r="AQ266" s="264" t="s">
        <v>160</v>
      </c>
      <c r="AR266" s="264" t="s">
        <v>160</v>
      </c>
      <c r="AS266" s="264" t="s">
        <v>160</v>
      </c>
      <c r="AT266" s="264" t="s">
        <v>160</v>
      </c>
      <c r="AU266" s="264" t="s">
        <v>160</v>
      </c>
      <c r="AV266" s="264" t="s">
        <v>160</v>
      </c>
      <c r="AW266" s="264" t="s">
        <v>160</v>
      </c>
      <c r="AX266" s="264" t="s">
        <v>160</v>
      </c>
      <c r="AY266" s="264" t="s">
        <v>160</v>
      </c>
      <c r="AZ266" s="264" t="s">
        <v>160</v>
      </c>
      <c r="BA266" s="264" t="s">
        <v>160</v>
      </c>
      <c r="BB266" s="264" t="s">
        <v>160</v>
      </c>
      <c r="BC266" s="264" t="s">
        <v>160</v>
      </c>
      <c r="BD266" s="264" t="s">
        <v>160</v>
      </c>
      <c r="BE266" s="264" t="s">
        <v>160</v>
      </c>
      <c r="BF266" s="264" t="s">
        <v>160</v>
      </c>
      <c r="BG266" s="264" t="s">
        <v>160</v>
      </c>
      <c r="BH266" s="264" t="s">
        <v>160</v>
      </c>
      <c r="BI266" s="264" t="s">
        <v>160</v>
      </c>
      <c r="BJ266" s="264" t="s">
        <v>160</v>
      </c>
      <c r="BK266" s="264" t="s">
        <v>160</v>
      </c>
      <c r="BL266" s="264" t="s">
        <v>160</v>
      </c>
      <c r="BM266" s="264" t="s">
        <v>160</v>
      </c>
      <c r="BN266" s="264" t="s">
        <v>160</v>
      </c>
      <c r="BO266" s="264" t="s">
        <v>160</v>
      </c>
      <c r="BP266" s="591" t="s">
        <v>160</v>
      </c>
      <c r="BQ266" s="591" t="s">
        <v>160</v>
      </c>
      <c r="BR266" s="591" t="s">
        <v>160</v>
      </c>
      <c r="BS266" s="591" t="s">
        <v>160</v>
      </c>
      <c r="BT266" s="591" t="s">
        <v>160</v>
      </c>
      <c r="BU266" s="591" t="s">
        <v>160</v>
      </c>
      <c r="BV266" s="591" t="s">
        <v>160</v>
      </c>
      <c r="BW266" s="591" t="s">
        <v>160</v>
      </c>
      <c r="BX266" s="591" t="s">
        <v>160</v>
      </c>
      <c r="BY266" s="591" t="s">
        <v>160</v>
      </c>
      <c r="BZ266" s="591" t="s">
        <v>160</v>
      </c>
      <c r="CA266" s="591" t="s">
        <v>160</v>
      </c>
      <c r="CB266" s="591" t="s">
        <v>160</v>
      </c>
      <c r="CC266" s="591" t="s">
        <v>160</v>
      </c>
      <c r="CD266" s="591">
        <v>1759</v>
      </c>
      <c r="CE266" s="591">
        <v>1759</v>
      </c>
      <c r="CF266" s="591">
        <v>1759</v>
      </c>
      <c r="CG266" s="591">
        <v>1759</v>
      </c>
      <c r="CH266" s="591">
        <v>1759</v>
      </c>
      <c r="CI266" s="591">
        <v>1759</v>
      </c>
      <c r="CJ266" s="591">
        <v>1759</v>
      </c>
      <c r="CK266" s="591" t="s">
        <v>160</v>
      </c>
      <c r="CL266" s="591" t="s">
        <v>160</v>
      </c>
      <c r="CM266" s="591" t="s">
        <v>160</v>
      </c>
      <c r="CN266" s="591" t="s">
        <v>160</v>
      </c>
      <c r="CO266" s="591" t="s">
        <v>160</v>
      </c>
      <c r="CP266" s="591" t="s">
        <v>160</v>
      </c>
      <c r="CQ266" s="591" t="s">
        <v>160</v>
      </c>
      <c r="CR266" s="591" t="s">
        <v>160</v>
      </c>
      <c r="CS266" s="591" t="s">
        <v>160</v>
      </c>
      <c r="CT266" s="591" t="s">
        <v>160</v>
      </c>
      <c r="CU266" s="591" t="s">
        <v>160</v>
      </c>
      <c r="CV266" s="591" t="s">
        <v>160</v>
      </c>
      <c r="CW266" s="591" t="s">
        <v>160</v>
      </c>
      <c r="CX266" s="591" t="s">
        <v>160</v>
      </c>
      <c r="CY266" s="591" t="s">
        <v>160</v>
      </c>
      <c r="CZ266" s="591" t="s">
        <v>160</v>
      </c>
      <c r="DA266" s="591" t="s">
        <v>160</v>
      </c>
      <c r="DB266" s="591" t="s">
        <v>160</v>
      </c>
      <c r="DC266" s="591" t="s">
        <v>160</v>
      </c>
      <c r="DD266"/>
      <c r="DE266"/>
      <c r="DF266"/>
      <c r="DG266"/>
      <c r="DH266"/>
      <c r="DI266"/>
      <c r="DJ266"/>
      <c r="DK266"/>
      <c r="DL266"/>
      <c r="DM266"/>
    </row>
    <row r="267" spans="1:117" x14ac:dyDescent="0.25">
      <c r="D267" s="1092" t="s">
        <v>557</v>
      </c>
      <c r="E267" s="1099" t="s">
        <v>160</v>
      </c>
      <c r="F267" s="1099" t="s">
        <v>160</v>
      </c>
      <c r="G267" s="1099" t="s">
        <v>160</v>
      </c>
      <c r="H267" s="1099" t="s">
        <v>160</v>
      </c>
      <c r="I267" s="1099" t="s">
        <v>160</v>
      </c>
      <c r="J267" s="1099" t="s">
        <v>160</v>
      </c>
      <c r="K267" s="1099" t="s">
        <v>160</v>
      </c>
      <c r="L267" s="1099" t="s">
        <v>160</v>
      </c>
      <c r="M267" s="1099" t="s">
        <v>160</v>
      </c>
      <c r="N267" s="1099" t="s">
        <v>160</v>
      </c>
      <c r="O267" s="1099" t="s">
        <v>160</v>
      </c>
      <c r="P267" s="1099" t="s">
        <v>160</v>
      </c>
      <c r="Q267" s="1099" t="s">
        <v>160</v>
      </c>
      <c r="R267" s="1099" t="s">
        <v>160</v>
      </c>
      <c r="S267" s="1099" t="s">
        <v>160</v>
      </c>
      <c r="T267" s="1099" t="s">
        <v>160</v>
      </c>
      <c r="U267" s="1099" t="s">
        <v>160</v>
      </c>
      <c r="V267" s="1099" t="s">
        <v>160</v>
      </c>
      <c r="W267" s="1099" t="s">
        <v>160</v>
      </c>
      <c r="X267" s="1099" t="s">
        <v>160</v>
      </c>
      <c r="Y267" s="1099" t="s">
        <v>160</v>
      </c>
      <c r="Z267" s="1099" t="s">
        <v>160</v>
      </c>
      <c r="AA267" s="1099" t="s">
        <v>160</v>
      </c>
      <c r="AB267" s="1099" t="s">
        <v>160</v>
      </c>
      <c r="AC267" s="1099" t="s">
        <v>160</v>
      </c>
      <c r="AD267" s="1099" t="s">
        <v>160</v>
      </c>
      <c r="AE267" s="1099" t="s">
        <v>160</v>
      </c>
      <c r="AF267" s="1099" t="s">
        <v>160</v>
      </c>
      <c r="AG267" s="1099" t="s">
        <v>160</v>
      </c>
      <c r="AH267" s="1099" t="s">
        <v>160</v>
      </c>
      <c r="AI267" s="1099" t="s">
        <v>160</v>
      </c>
      <c r="AJ267" s="1099" t="s">
        <v>160</v>
      </c>
      <c r="AK267" s="1099" t="s">
        <v>160</v>
      </c>
      <c r="AL267" s="1099" t="s">
        <v>160</v>
      </c>
      <c r="AM267" s="1099" t="s">
        <v>160</v>
      </c>
      <c r="AN267" s="1099" t="s">
        <v>160</v>
      </c>
      <c r="AO267" s="1099" t="s">
        <v>160</v>
      </c>
      <c r="AP267" s="1099" t="s">
        <v>160</v>
      </c>
      <c r="AQ267" s="1099" t="s">
        <v>160</v>
      </c>
      <c r="AR267" s="1099" t="s">
        <v>160</v>
      </c>
      <c r="AS267" s="1099" t="s">
        <v>160</v>
      </c>
      <c r="AT267" s="1099" t="s">
        <v>160</v>
      </c>
      <c r="AU267" s="1099" t="s">
        <v>160</v>
      </c>
      <c r="AV267" s="1099" t="s">
        <v>160</v>
      </c>
      <c r="AW267" s="1099" t="s">
        <v>160</v>
      </c>
      <c r="AX267" s="1099" t="s">
        <v>160</v>
      </c>
      <c r="AY267" s="1099" t="s">
        <v>160</v>
      </c>
      <c r="AZ267" s="1099" t="s">
        <v>160</v>
      </c>
      <c r="BA267" s="1099" t="s">
        <v>160</v>
      </c>
      <c r="BB267" s="1099" t="s">
        <v>160</v>
      </c>
      <c r="BC267" s="1099" t="s">
        <v>160</v>
      </c>
      <c r="BD267" s="1099" t="s">
        <v>160</v>
      </c>
      <c r="BE267" s="1099" t="s">
        <v>160</v>
      </c>
      <c r="BF267" s="1099" t="s">
        <v>160</v>
      </c>
      <c r="BG267" s="1099" t="s">
        <v>160</v>
      </c>
      <c r="BH267" s="1099" t="s">
        <v>160</v>
      </c>
      <c r="BI267" s="1099" t="s">
        <v>160</v>
      </c>
      <c r="BJ267" s="1099" t="s">
        <v>160</v>
      </c>
      <c r="BK267" s="1099" t="s">
        <v>160</v>
      </c>
      <c r="BL267" s="1099" t="s">
        <v>160</v>
      </c>
      <c r="BM267" s="1099" t="s">
        <v>160</v>
      </c>
      <c r="BN267" s="1099" t="s">
        <v>160</v>
      </c>
      <c r="BO267" s="1099" t="s">
        <v>160</v>
      </c>
      <c r="BP267" s="1099" t="s">
        <v>160</v>
      </c>
      <c r="BQ267" s="1099" t="s">
        <v>160</v>
      </c>
      <c r="BR267" s="1099" t="s">
        <v>160</v>
      </c>
      <c r="BS267" s="1099" t="s">
        <v>160</v>
      </c>
      <c r="BT267" s="1099" t="s">
        <v>160</v>
      </c>
      <c r="BU267" s="1099" t="s">
        <v>160</v>
      </c>
      <c r="BV267" s="1099" t="s">
        <v>160</v>
      </c>
      <c r="BW267" s="1099" t="s">
        <v>160</v>
      </c>
      <c r="BX267" s="1099" t="s">
        <v>160</v>
      </c>
      <c r="BY267" s="1099" t="s">
        <v>160</v>
      </c>
      <c r="BZ267" s="1099" t="s">
        <v>160</v>
      </c>
      <c r="CA267" s="1099">
        <v>1756</v>
      </c>
      <c r="CB267" s="1099">
        <v>1756</v>
      </c>
      <c r="CC267" s="1099">
        <v>1756</v>
      </c>
      <c r="CD267" s="1099">
        <v>1757</v>
      </c>
      <c r="CE267" s="1099">
        <v>1721.25</v>
      </c>
      <c r="CF267" s="1099">
        <v>1704.5250000000001</v>
      </c>
      <c r="CG267" s="1099">
        <v>1704.5250000000001</v>
      </c>
      <c r="CH267" s="1099">
        <v>1704.5250000000001</v>
      </c>
      <c r="CI267" s="1099">
        <v>1704.5250000000001</v>
      </c>
      <c r="CJ267" s="1099">
        <v>1704.5250000000001</v>
      </c>
      <c r="CK267" s="1099">
        <v>1686.3666666666668</v>
      </c>
      <c r="CL267" s="1099">
        <v>1637.55</v>
      </c>
      <c r="CM267" s="1099">
        <v>1637.55</v>
      </c>
      <c r="CN267" s="1099">
        <v>1637.55</v>
      </c>
      <c r="CO267" s="1099">
        <v>1637.55</v>
      </c>
      <c r="CP267" s="1099">
        <v>1637.55</v>
      </c>
      <c r="CQ267" s="1099">
        <v>1663</v>
      </c>
      <c r="CR267" s="1099">
        <v>1671.5</v>
      </c>
      <c r="CS267" s="1099">
        <v>1671.5</v>
      </c>
      <c r="CT267" s="1099">
        <v>1671.5</v>
      </c>
      <c r="CU267" s="1099">
        <v>1671.5</v>
      </c>
      <c r="CV267" s="1099">
        <v>1671.5</v>
      </c>
      <c r="CW267" s="1099">
        <v>1671.5</v>
      </c>
      <c r="CX267" s="1099">
        <v>1671.5</v>
      </c>
      <c r="CY267" s="1099">
        <v>1671.5</v>
      </c>
      <c r="CZ267" s="1099">
        <v>1671.5</v>
      </c>
      <c r="DA267" s="1099">
        <v>1777</v>
      </c>
      <c r="DB267" s="1099">
        <v>1777</v>
      </c>
      <c r="DC267" s="1099">
        <v>1777</v>
      </c>
      <c r="DD267"/>
      <c r="DE267"/>
      <c r="DF267"/>
      <c r="DG267"/>
      <c r="DH267"/>
      <c r="DI267"/>
      <c r="DJ267"/>
      <c r="DK267"/>
      <c r="DL267"/>
      <c r="DM267"/>
    </row>
    <row r="268" spans="1:117" x14ac:dyDescent="0.25">
      <c r="Z268" s="339"/>
      <c r="AA268" s="339"/>
      <c r="AB268" s="339"/>
      <c r="AC268" s="339"/>
      <c r="AD268" s="339"/>
      <c r="AE268" s="339"/>
      <c r="AF268" s="339"/>
      <c r="AG268" s="339"/>
      <c r="AH268" s="339"/>
      <c r="AI268" s="339"/>
      <c r="AJ268" s="339"/>
      <c r="AK268" s="339"/>
      <c r="AL268" s="339"/>
      <c r="AM268" s="339"/>
      <c r="AN268" s="339"/>
      <c r="AO268" s="339"/>
      <c r="AP268" s="339"/>
      <c r="AQ268" s="339"/>
      <c r="AR268" s="339"/>
      <c r="AS268" s="339"/>
      <c r="AT268" s="339"/>
      <c r="AU268" s="339"/>
      <c r="AV268"/>
      <c r="AW268"/>
      <c r="AX268" s="937"/>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row>
    <row r="269" spans="1:117" x14ac:dyDescent="0.25">
      <c r="D269" s="113" t="s">
        <v>1983</v>
      </c>
      <c r="E269" s="262">
        <v>42522</v>
      </c>
      <c r="F269" s="262">
        <v>42552</v>
      </c>
      <c r="G269" s="262">
        <v>42583</v>
      </c>
      <c r="H269" s="262">
        <v>42614</v>
      </c>
      <c r="I269" s="262">
        <v>42644</v>
      </c>
      <c r="J269" s="262">
        <v>42675</v>
      </c>
      <c r="K269" s="262">
        <v>42705</v>
      </c>
      <c r="L269" s="262">
        <v>42736</v>
      </c>
      <c r="M269" s="262">
        <v>42767</v>
      </c>
      <c r="N269" s="262">
        <v>42795</v>
      </c>
      <c r="O269" s="262">
        <v>42826</v>
      </c>
      <c r="P269" s="262">
        <v>42856</v>
      </c>
      <c r="Q269" s="262">
        <v>42887</v>
      </c>
      <c r="R269" s="262">
        <v>42917</v>
      </c>
      <c r="S269" s="262">
        <v>42948</v>
      </c>
      <c r="T269" s="262">
        <v>42979</v>
      </c>
      <c r="U269" s="262">
        <v>43009</v>
      </c>
      <c r="V269" s="262">
        <v>43040</v>
      </c>
      <c r="W269" s="262">
        <v>43070</v>
      </c>
      <c r="X269" s="262">
        <v>43101</v>
      </c>
      <c r="Y269" s="262">
        <v>43132</v>
      </c>
      <c r="Z269" s="262">
        <v>43160</v>
      </c>
      <c r="AA269" s="262">
        <v>43191</v>
      </c>
      <c r="AB269" s="262">
        <v>43221</v>
      </c>
      <c r="AC269" s="262">
        <v>43252</v>
      </c>
      <c r="AD269" s="262">
        <v>43283</v>
      </c>
      <c r="AE269" s="262">
        <v>43314</v>
      </c>
      <c r="AF269" s="262">
        <v>43345</v>
      </c>
      <c r="AG269" s="262">
        <v>43376</v>
      </c>
      <c r="AH269" s="262">
        <v>43407</v>
      </c>
      <c r="AI269" s="262">
        <v>43437</v>
      </c>
      <c r="AJ269" s="262">
        <v>43468</v>
      </c>
      <c r="AK269" s="262">
        <v>43499</v>
      </c>
      <c r="AL269" s="262">
        <v>43527</v>
      </c>
      <c r="AM269" s="262">
        <v>43558</v>
      </c>
      <c r="AN269" s="262">
        <v>43587</v>
      </c>
      <c r="AO269" s="262">
        <v>43618</v>
      </c>
      <c r="AP269" s="262">
        <v>43647</v>
      </c>
      <c r="AQ269" s="262">
        <v>43678</v>
      </c>
      <c r="AR269" s="262">
        <v>43709</v>
      </c>
      <c r="AS269" s="262">
        <v>43739</v>
      </c>
      <c r="AT269" s="262">
        <v>43770</v>
      </c>
      <c r="AU269" s="262">
        <v>43800</v>
      </c>
      <c r="AV269" s="262">
        <v>43831</v>
      </c>
      <c r="AW269" s="262">
        <v>43862</v>
      </c>
      <c r="AX269" s="933">
        <v>43891</v>
      </c>
      <c r="AY269" s="262">
        <v>43922</v>
      </c>
      <c r="AZ269" s="262">
        <v>43952</v>
      </c>
      <c r="BA269" s="262">
        <v>43983</v>
      </c>
      <c r="BB269" s="262">
        <v>44013</v>
      </c>
      <c r="BC269" s="262">
        <v>44044</v>
      </c>
      <c r="BD269" s="262">
        <v>44075</v>
      </c>
      <c r="BE269" s="262">
        <v>44105</v>
      </c>
      <c r="BF269" s="262">
        <v>44136</v>
      </c>
      <c r="BG269" s="262">
        <v>44166</v>
      </c>
      <c r="BH269" s="262">
        <v>44197</v>
      </c>
      <c r="BI269" s="262">
        <v>44228</v>
      </c>
      <c r="BJ269" s="262">
        <v>44256</v>
      </c>
      <c r="BK269" s="262">
        <v>44287</v>
      </c>
      <c r="BL269" s="262">
        <v>44317</v>
      </c>
      <c r="BM269" s="262">
        <v>44348</v>
      </c>
      <c r="BN269" s="262">
        <v>44378</v>
      </c>
      <c r="BO269" s="262">
        <v>44409</v>
      </c>
      <c r="BP269" s="262">
        <v>44440</v>
      </c>
      <c r="BQ269" s="262">
        <v>44470</v>
      </c>
      <c r="BR269" s="262">
        <v>44501</v>
      </c>
      <c r="BS269" s="262">
        <v>44531</v>
      </c>
      <c r="BT269" s="262">
        <v>44562</v>
      </c>
      <c r="BU269" s="262">
        <v>44593</v>
      </c>
      <c r="BV269" s="262">
        <v>44622</v>
      </c>
      <c r="BW269" s="262">
        <v>44654</v>
      </c>
      <c r="BX269" s="262">
        <v>44685</v>
      </c>
      <c r="BY269" s="262">
        <v>44716</v>
      </c>
      <c r="BZ269" s="262">
        <v>44746</v>
      </c>
      <c r="CA269" s="262">
        <v>44774</v>
      </c>
      <c r="CB269" s="262">
        <v>44805</v>
      </c>
      <c r="CC269" s="262">
        <v>44835</v>
      </c>
      <c r="CD269" s="262">
        <v>44866</v>
      </c>
      <c r="CE269" s="262">
        <v>44896</v>
      </c>
      <c r="CF269" s="262">
        <v>44927</v>
      </c>
      <c r="CG269" s="262">
        <v>44958</v>
      </c>
      <c r="CH269" s="262">
        <v>44986</v>
      </c>
      <c r="CI269" s="262">
        <v>45017</v>
      </c>
      <c r="CJ269" s="262">
        <v>45047</v>
      </c>
      <c r="CK269" s="262">
        <v>45078</v>
      </c>
      <c r="CL269" s="262">
        <v>45108</v>
      </c>
      <c r="CM269" s="262">
        <v>45139</v>
      </c>
      <c r="CN269" s="262">
        <v>45170</v>
      </c>
      <c r="CO269" s="262">
        <v>45200</v>
      </c>
      <c r="CP269" s="262">
        <v>45231</v>
      </c>
      <c r="CQ269" s="262">
        <v>45261</v>
      </c>
      <c r="CR269" s="262">
        <v>45292</v>
      </c>
      <c r="CS269" s="262">
        <v>45323</v>
      </c>
      <c r="CT269" s="262">
        <v>45352</v>
      </c>
      <c r="CU269" s="262">
        <v>45383</v>
      </c>
      <c r="CV269" s="262">
        <v>45413</v>
      </c>
      <c r="CW269" s="262">
        <v>45444</v>
      </c>
      <c r="CX269" s="262">
        <v>45474</v>
      </c>
      <c r="CY269" s="262">
        <v>45505</v>
      </c>
      <c r="CZ269" s="262">
        <v>45536</v>
      </c>
      <c r="DA269" s="262">
        <v>45566</v>
      </c>
      <c r="DB269" s="262">
        <v>45597</v>
      </c>
      <c r="DC269" s="262">
        <v>45627</v>
      </c>
      <c r="DD269"/>
      <c r="DE269"/>
      <c r="DF269"/>
      <c r="DG269"/>
      <c r="DH269"/>
      <c r="DI269"/>
      <c r="DJ269"/>
      <c r="DK269"/>
      <c r="DL269"/>
      <c r="DM269"/>
    </row>
    <row r="270" spans="1:117" x14ac:dyDescent="0.25">
      <c r="D270" s="117" t="s">
        <v>542</v>
      </c>
      <c r="E270" s="263" t="s">
        <v>160</v>
      </c>
      <c r="F270" s="263" t="s">
        <v>160</v>
      </c>
      <c r="G270" s="263" t="s">
        <v>160</v>
      </c>
      <c r="H270" s="264" t="s">
        <v>160</v>
      </c>
      <c r="I270" s="264" t="s">
        <v>160</v>
      </c>
      <c r="J270" s="264" t="s">
        <v>160</v>
      </c>
      <c r="K270" s="264" t="s">
        <v>160</v>
      </c>
      <c r="L270" s="264" t="s">
        <v>160</v>
      </c>
      <c r="M270" s="264" t="s">
        <v>160</v>
      </c>
      <c r="N270" s="592" t="s">
        <v>160</v>
      </c>
      <c r="O270" s="592" t="s">
        <v>160</v>
      </c>
      <c r="P270" s="592" t="s">
        <v>160</v>
      </c>
      <c r="Q270" s="592" t="s">
        <v>160</v>
      </c>
      <c r="R270" s="592" t="s">
        <v>160</v>
      </c>
      <c r="S270" s="592" t="s">
        <v>160</v>
      </c>
      <c r="T270" s="592" t="s">
        <v>160</v>
      </c>
      <c r="U270" s="592" t="s">
        <v>160</v>
      </c>
      <c r="V270" s="592" t="s">
        <v>160</v>
      </c>
      <c r="W270" s="591" t="s">
        <v>160</v>
      </c>
      <c r="X270" s="591" t="s">
        <v>160</v>
      </c>
      <c r="Y270" s="591" t="s">
        <v>160</v>
      </c>
      <c r="Z270" s="591" t="s">
        <v>160</v>
      </c>
      <c r="AA270" s="591" t="s">
        <v>160</v>
      </c>
      <c r="AB270" s="591" t="s">
        <v>160</v>
      </c>
      <c r="AC270" s="591" t="s">
        <v>160</v>
      </c>
      <c r="AD270" s="591" t="s">
        <v>160</v>
      </c>
      <c r="AE270" s="591" t="s">
        <v>160</v>
      </c>
      <c r="AF270" s="591" t="s">
        <v>160</v>
      </c>
      <c r="AG270" s="591" t="s">
        <v>160</v>
      </c>
      <c r="AH270" s="591" t="s">
        <v>160</v>
      </c>
      <c r="AI270" s="591" t="s">
        <v>160</v>
      </c>
      <c r="AJ270" s="591" t="s">
        <v>160</v>
      </c>
      <c r="AK270" s="591" t="s">
        <v>160</v>
      </c>
      <c r="AL270" s="346" t="s">
        <v>160</v>
      </c>
      <c r="AM270" s="346" t="s">
        <v>160</v>
      </c>
      <c r="AN270" s="346" t="s">
        <v>160</v>
      </c>
      <c r="AO270" s="346" t="s">
        <v>160</v>
      </c>
      <c r="AP270" s="346" t="s">
        <v>160</v>
      </c>
      <c r="AQ270" s="346" t="s">
        <v>160</v>
      </c>
      <c r="AR270" s="346" t="s">
        <v>160</v>
      </c>
      <c r="AS270" s="346" t="s">
        <v>160</v>
      </c>
      <c r="AT270" s="346" t="s">
        <v>160</v>
      </c>
      <c r="AU270" s="346" t="s">
        <v>160</v>
      </c>
      <c r="AV270" s="346" t="s">
        <v>160</v>
      </c>
      <c r="AW270" s="346" t="s">
        <v>160</v>
      </c>
      <c r="AX270" s="947" t="s">
        <v>160</v>
      </c>
      <c r="AY270" s="346" t="s">
        <v>160</v>
      </c>
      <c r="AZ270" s="346" t="s">
        <v>160</v>
      </c>
      <c r="BA270" s="346" t="s">
        <v>160</v>
      </c>
      <c r="BB270" s="346" t="s">
        <v>160</v>
      </c>
      <c r="BC270" s="346" t="s">
        <v>160</v>
      </c>
      <c r="BD270" s="346" t="s">
        <v>160</v>
      </c>
      <c r="BE270" s="346" t="s">
        <v>160</v>
      </c>
      <c r="BF270" s="346" t="s">
        <v>160</v>
      </c>
      <c r="BG270" s="346" t="s">
        <v>160</v>
      </c>
      <c r="BH270" s="591" t="s">
        <v>160</v>
      </c>
      <c r="BI270" s="591" t="s">
        <v>160</v>
      </c>
      <c r="BJ270" s="591" t="s">
        <v>160</v>
      </c>
      <c r="BK270" s="591" t="s">
        <v>160</v>
      </c>
      <c r="BL270" s="591" t="s">
        <v>160</v>
      </c>
      <c r="BM270" s="591" t="s">
        <v>160</v>
      </c>
      <c r="BN270" s="591" t="s">
        <v>160</v>
      </c>
      <c r="BO270" s="591" t="s">
        <v>160</v>
      </c>
      <c r="BP270" s="591" t="s">
        <v>160</v>
      </c>
      <c r="BQ270" s="591" t="s">
        <v>160</v>
      </c>
      <c r="BR270" s="591" t="s">
        <v>160</v>
      </c>
      <c r="BS270" s="591" t="s">
        <v>160</v>
      </c>
      <c r="BT270" s="591" t="s">
        <v>160</v>
      </c>
      <c r="BU270" s="591" t="s">
        <v>160</v>
      </c>
      <c r="BV270" s="591" t="s">
        <v>160</v>
      </c>
      <c r="BW270" s="591" t="s">
        <v>160</v>
      </c>
      <c r="BX270" s="591" t="s">
        <v>160</v>
      </c>
      <c r="BY270" s="591" t="s">
        <v>160</v>
      </c>
      <c r="BZ270" s="591" t="s">
        <v>160</v>
      </c>
      <c r="CA270" s="591" t="s">
        <v>160</v>
      </c>
      <c r="CB270" s="591" t="s">
        <v>160</v>
      </c>
      <c r="CC270" s="591" t="s">
        <v>160</v>
      </c>
      <c r="CD270" s="591" t="s">
        <v>160</v>
      </c>
      <c r="CE270" s="341">
        <v>265</v>
      </c>
      <c r="CF270" s="591">
        <v>265</v>
      </c>
      <c r="CG270" s="591">
        <v>265</v>
      </c>
      <c r="CH270" s="591">
        <v>265</v>
      </c>
      <c r="CI270" s="591">
        <v>265</v>
      </c>
      <c r="CJ270" s="591">
        <v>265</v>
      </c>
      <c r="CK270" s="591">
        <v>265</v>
      </c>
      <c r="CL270" s="591">
        <v>265</v>
      </c>
      <c r="CM270" s="591">
        <v>265</v>
      </c>
      <c r="CN270" s="591">
        <v>265</v>
      </c>
      <c r="CO270" s="591">
        <v>265</v>
      </c>
      <c r="CP270" s="591">
        <v>265</v>
      </c>
      <c r="CQ270" s="591">
        <v>265</v>
      </c>
      <c r="CR270" s="690">
        <v>278</v>
      </c>
      <c r="CS270" s="591">
        <v>278</v>
      </c>
      <c r="CT270" s="591">
        <v>278</v>
      </c>
      <c r="CU270" s="591">
        <v>278</v>
      </c>
      <c r="CV270" s="591">
        <v>278</v>
      </c>
      <c r="CW270" s="591">
        <v>278</v>
      </c>
      <c r="CX270" s="591">
        <v>278</v>
      </c>
      <c r="CY270" s="591">
        <v>278</v>
      </c>
      <c r="CZ270" s="591">
        <v>278</v>
      </c>
      <c r="DA270" s="591">
        <v>278</v>
      </c>
      <c r="DB270" s="591">
        <v>278</v>
      </c>
      <c r="DC270" s="591">
        <v>278</v>
      </c>
      <c r="DD270"/>
      <c r="DE270"/>
      <c r="DF270"/>
      <c r="DG270"/>
      <c r="DH270"/>
      <c r="DI270"/>
      <c r="DJ270"/>
      <c r="DK270"/>
      <c r="DL270"/>
      <c r="DM270"/>
    </row>
    <row r="271" spans="1:117" x14ac:dyDescent="0.25">
      <c r="D271" s="117" t="s">
        <v>546</v>
      </c>
      <c r="E271" s="263" t="s">
        <v>160</v>
      </c>
      <c r="F271" s="263" t="s">
        <v>160</v>
      </c>
      <c r="G271" s="263" t="s">
        <v>160</v>
      </c>
      <c r="H271" s="263" t="s">
        <v>160</v>
      </c>
      <c r="I271" s="263" t="s">
        <v>160</v>
      </c>
      <c r="J271" s="264" t="s">
        <v>160</v>
      </c>
      <c r="K271" s="264" t="s">
        <v>160</v>
      </c>
      <c r="L271" s="264" t="s">
        <v>160</v>
      </c>
      <c r="M271" s="264" t="s">
        <v>160</v>
      </c>
      <c r="N271" s="592" t="s">
        <v>160</v>
      </c>
      <c r="O271" s="592" t="s">
        <v>160</v>
      </c>
      <c r="P271" s="592" t="s">
        <v>160</v>
      </c>
      <c r="Q271" s="592" t="s">
        <v>160</v>
      </c>
      <c r="R271" s="592" t="s">
        <v>160</v>
      </c>
      <c r="S271" s="592" t="s">
        <v>160</v>
      </c>
      <c r="T271" s="592" t="s">
        <v>160</v>
      </c>
      <c r="U271" s="592" t="s">
        <v>160</v>
      </c>
      <c r="V271" s="592" t="s">
        <v>160</v>
      </c>
      <c r="W271" s="592" t="s">
        <v>160</v>
      </c>
      <c r="X271" s="592" t="s">
        <v>160</v>
      </c>
      <c r="Y271" s="592" t="s">
        <v>160</v>
      </c>
      <c r="Z271" s="592" t="s">
        <v>160</v>
      </c>
      <c r="AA271" s="592" t="s">
        <v>160</v>
      </c>
      <c r="AB271" s="592" t="s">
        <v>160</v>
      </c>
      <c r="AC271" s="592" t="s">
        <v>160</v>
      </c>
      <c r="AD271" s="592" t="s">
        <v>160</v>
      </c>
      <c r="AE271" s="592" t="s">
        <v>160</v>
      </c>
      <c r="AF271" s="592" t="s">
        <v>160</v>
      </c>
      <c r="AG271" s="592" t="s">
        <v>160</v>
      </c>
      <c r="AH271" s="591" t="s">
        <v>160</v>
      </c>
      <c r="AI271" s="592" t="s">
        <v>160</v>
      </c>
      <c r="AJ271" s="592" t="s">
        <v>160</v>
      </c>
      <c r="AK271" s="592" t="s">
        <v>160</v>
      </c>
      <c r="AL271" s="346" t="s">
        <v>160</v>
      </c>
      <c r="AM271" s="346" t="s">
        <v>160</v>
      </c>
      <c r="AN271" s="346" t="s">
        <v>160</v>
      </c>
      <c r="AO271" s="346" t="s">
        <v>160</v>
      </c>
      <c r="AP271" s="346" t="s">
        <v>160</v>
      </c>
      <c r="AQ271" s="346" t="s">
        <v>160</v>
      </c>
      <c r="AR271" s="346" t="s">
        <v>160</v>
      </c>
      <c r="AS271" s="346" t="s">
        <v>160</v>
      </c>
      <c r="AT271" s="346" t="s">
        <v>160</v>
      </c>
      <c r="AU271" s="346" t="s">
        <v>160</v>
      </c>
      <c r="AV271" s="346" t="s">
        <v>160</v>
      </c>
      <c r="AW271" s="346" t="s">
        <v>160</v>
      </c>
      <c r="AX271" s="947" t="s">
        <v>160</v>
      </c>
      <c r="AY271" s="346" t="s">
        <v>160</v>
      </c>
      <c r="AZ271" s="346" t="s">
        <v>160</v>
      </c>
      <c r="BA271" s="346" t="s">
        <v>160</v>
      </c>
      <c r="BB271" s="346" t="s">
        <v>160</v>
      </c>
      <c r="BC271" s="346" t="s">
        <v>160</v>
      </c>
      <c r="BD271" s="346" t="s">
        <v>160</v>
      </c>
      <c r="BE271" s="346" t="s">
        <v>160</v>
      </c>
      <c r="BF271" s="346" t="s">
        <v>160</v>
      </c>
      <c r="BG271" s="346" t="s">
        <v>160</v>
      </c>
      <c r="BH271" s="346" t="s">
        <v>160</v>
      </c>
      <c r="BI271" s="346" t="s">
        <v>160</v>
      </c>
      <c r="BJ271" s="346" t="s">
        <v>160</v>
      </c>
      <c r="BK271" s="346" t="s">
        <v>160</v>
      </c>
      <c r="BL271" s="346" t="s">
        <v>160</v>
      </c>
      <c r="BM271" s="346" t="s">
        <v>160</v>
      </c>
      <c r="BN271" s="346" t="s">
        <v>160</v>
      </c>
      <c r="BO271" s="346" t="s">
        <v>160</v>
      </c>
      <c r="BP271" s="591" t="s">
        <v>160</v>
      </c>
      <c r="BQ271" s="591" t="s">
        <v>160</v>
      </c>
      <c r="BR271" s="591" t="s">
        <v>160</v>
      </c>
      <c r="BS271" s="591" t="s">
        <v>160</v>
      </c>
      <c r="BT271" s="591" t="s">
        <v>160</v>
      </c>
      <c r="BU271" s="591" t="s">
        <v>160</v>
      </c>
      <c r="BV271" s="591" t="s">
        <v>160</v>
      </c>
      <c r="BW271" s="591" t="s">
        <v>160</v>
      </c>
      <c r="BX271" s="591" t="s">
        <v>160</v>
      </c>
      <c r="BY271" s="591" t="s">
        <v>160</v>
      </c>
      <c r="BZ271" s="591" t="s">
        <v>160</v>
      </c>
      <c r="CA271" s="591" t="s">
        <v>160</v>
      </c>
      <c r="CB271" s="591" t="s">
        <v>160</v>
      </c>
      <c r="CC271" s="591" t="s">
        <v>160</v>
      </c>
      <c r="CD271" s="591" t="s">
        <v>160</v>
      </c>
      <c r="CE271" s="591" t="s">
        <v>160</v>
      </c>
      <c r="CF271" s="591" t="s">
        <v>160</v>
      </c>
      <c r="CG271" s="591" t="s">
        <v>160</v>
      </c>
      <c r="CH271" s="591" t="s">
        <v>160</v>
      </c>
      <c r="CI271" s="591" t="s">
        <v>160</v>
      </c>
      <c r="CJ271" s="591" t="s">
        <v>160</v>
      </c>
      <c r="CK271" s="591" t="s">
        <v>160</v>
      </c>
      <c r="CL271" s="591" t="s">
        <v>160</v>
      </c>
      <c r="CM271" s="591" t="s">
        <v>160</v>
      </c>
      <c r="CN271" s="591" t="s">
        <v>160</v>
      </c>
      <c r="CO271" s="591" t="s">
        <v>160</v>
      </c>
      <c r="CP271" s="591" t="s">
        <v>160</v>
      </c>
      <c r="CQ271" s="591" t="s">
        <v>160</v>
      </c>
      <c r="CR271" s="591" t="s">
        <v>160</v>
      </c>
      <c r="CS271" s="591" t="s">
        <v>160</v>
      </c>
      <c r="CT271" s="591" t="s">
        <v>160</v>
      </c>
      <c r="CU271" s="591" t="s">
        <v>160</v>
      </c>
      <c r="CV271" s="591" t="s">
        <v>160</v>
      </c>
      <c r="CW271" s="591" t="s">
        <v>160</v>
      </c>
      <c r="CX271" s="591" t="s">
        <v>160</v>
      </c>
      <c r="CY271" s="591" t="s">
        <v>160</v>
      </c>
      <c r="CZ271" s="591" t="s">
        <v>160</v>
      </c>
      <c r="DA271" s="591" t="s">
        <v>160</v>
      </c>
      <c r="DB271" s="591" t="s">
        <v>160</v>
      </c>
      <c r="DC271" s="591" t="s">
        <v>160</v>
      </c>
      <c r="DD271"/>
      <c r="DE271"/>
      <c r="DF271"/>
      <c r="DG271"/>
      <c r="DH271"/>
      <c r="DI271"/>
      <c r="DJ271"/>
      <c r="DK271"/>
      <c r="DL271"/>
      <c r="DM271"/>
    </row>
    <row r="272" spans="1:117" x14ac:dyDescent="0.25">
      <c r="D272" s="117" t="s">
        <v>574</v>
      </c>
      <c r="E272" s="263" t="s">
        <v>160</v>
      </c>
      <c r="F272" s="263" t="s">
        <v>160</v>
      </c>
      <c r="G272" s="263" t="s">
        <v>160</v>
      </c>
      <c r="H272" s="263" t="s">
        <v>160</v>
      </c>
      <c r="I272" s="263" t="s">
        <v>160</v>
      </c>
      <c r="J272" s="263" t="s">
        <v>160</v>
      </c>
      <c r="K272" s="263" t="s">
        <v>160</v>
      </c>
      <c r="L272" s="263" t="s">
        <v>160</v>
      </c>
      <c r="M272" s="263" t="s">
        <v>160</v>
      </c>
      <c r="N272" s="351" t="s">
        <v>160</v>
      </c>
      <c r="O272" s="351" t="s">
        <v>160</v>
      </c>
      <c r="P272" s="351" t="s">
        <v>160</v>
      </c>
      <c r="Q272" s="592" t="s">
        <v>160</v>
      </c>
      <c r="R272" s="592" t="s">
        <v>160</v>
      </c>
      <c r="S272" s="592" t="s">
        <v>160</v>
      </c>
      <c r="T272" s="592" t="s">
        <v>160</v>
      </c>
      <c r="U272" s="592" t="s">
        <v>160</v>
      </c>
      <c r="V272" s="592" t="s">
        <v>160</v>
      </c>
      <c r="W272" s="592" t="s">
        <v>160</v>
      </c>
      <c r="X272" s="592" t="s">
        <v>160</v>
      </c>
      <c r="Y272" s="591" t="s">
        <v>160</v>
      </c>
      <c r="Z272" s="591" t="s">
        <v>160</v>
      </c>
      <c r="AA272" s="591" t="s">
        <v>160</v>
      </c>
      <c r="AB272" s="591" t="s">
        <v>160</v>
      </c>
      <c r="AC272" s="591" t="s">
        <v>160</v>
      </c>
      <c r="AD272" s="591" t="s">
        <v>160</v>
      </c>
      <c r="AE272" s="591" t="s">
        <v>160</v>
      </c>
      <c r="AF272" s="591" t="s">
        <v>160</v>
      </c>
      <c r="AG272" s="591" t="s">
        <v>160</v>
      </c>
      <c r="AH272" s="591" t="s">
        <v>160</v>
      </c>
      <c r="AI272" s="592" t="s">
        <v>160</v>
      </c>
      <c r="AJ272" s="592" t="s">
        <v>160</v>
      </c>
      <c r="AK272" s="592" t="s">
        <v>160</v>
      </c>
      <c r="AL272" s="346" t="s">
        <v>160</v>
      </c>
      <c r="AM272" s="346" t="s">
        <v>160</v>
      </c>
      <c r="AN272" s="346" t="s">
        <v>160</v>
      </c>
      <c r="AO272" s="346" t="s">
        <v>160</v>
      </c>
      <c r="AP272" s="346" t="s">
        <v>160</v>
      </c>
      <c r="AQ272" s="346" t="s">
        <v>160</v>
      </c>
      <c r="AR272" s="346" t="s">
        <v>160</v>
      </c>
      <c r="AS272" s="346" t="s">
        <v>160</v>
      </c>
      <c r="AT272" s="346" t="s">
        <v>160</v>
      </c>
      <c r="AU272" s="346" t="s">
        <v>160</v>
      </c>
      <c r="AV272" s="346" t="s">
        <v>160</v>
      </c>
      <c r="AW272" s="346" t="s">
        <v>160</v>
      </c>
      <c r="AX272" s="947" t="s">
        <v>160</v>
      </c>
      <c r="AY272" s="348" t="s">
        <v>160</v>
      </c>
      <c r="AZ272" s="348" t="s">
        <v>160</v>
      </c>
      <c r="BA272" s="346" t="s">
        <v>160</v>
      </c>
      <c r="BB272" s="346" t="s">
        <v>160</v>
      </c>
      <c r="BC272" s="346" t="s">
        <v>160</v>
      </c>
      <c r="BD272" s="346" t="s">
        <v>160</v>
      </c>
      <c r="BE272" s="346" t="s">
        <v>160</v>
      </c>
      <c r="BF272" s="346" t="s">
        <v>160</v>
      </c>
      <c r="BG272" s="346" t="s">
        <v>160</v>
      </c>
      <c r="BH272" s="346" t="s">
        <v>160</v>
      </c>
      <c r="BI272" s="346" t="s">
        <v>160</v>
      </c>
      <c r="BJ272" s="346" t="s">
        <v>160</v>
      </c>
      <c r="BK272" s="346" t="s">
        <v>160</v>
      </c>
      <c r="BL272" s="346" t="s">
        <v>160</v>
      </c>
      <c r="BM272" s="346" t="s">
        <v>160</v>
      </c>
      <c r="BN272" s="346" t="s">
        <v>160</v>
      </c>
      <c r="BO272" s="346" t="s">
        <v>160</v>
      </c>
      <c r="BP272" s="591" t="s">
        <v>160</v>
      </c>
      <c r="BQ272" s="591" t="s">
        <v>160</v>
      </c>
      <c r="BR272" s="591" t="s">
        <v>160</v>
      </c>
      <c r="BS272" s="591" t="s">
        <v>160</v>
      </c>
      <c r="BT272" s="591" t="s">
        <v>160</v>
      </c>
      <c r="BU272" s="591" t="s">
        <v>160</v>
      </c>
      <c r="BV272" s="591" t="s">
        <v>160</v>
      </c>
      <c r="BW272" s="591" t="s">
        <v>160</v>
      </c>
      <c r="BX272" s="591" t="s">
        <v>160</v>
      </c>
      <c r="BY272" s="591" t="s">
        <v>160</v>
      </c>
      <c r="BZ272" s="591" t="s">
        <v>160</v>
      </c>
      <c r="CA272" s="591">
        <v>304</v>
      </c>
      <c r="CB272" s="591">
        <v>304</v>
      </c>
      <c r="CC272" s="591">
        <v>304</v>
      </c>
      <c r="CD272" s="591">
        <v>304</v>
      </c>
      <c r="CE272" s="591">
        <v>304</v>
      </c>
      <c r="CF272" s="591">
        <v>304</v>
      </c>
      <c r="CG272" s="591">
        <v>304</v>
      </c>
      <c r="CH272" s="591">
        <v>304</v>
      </c>
      <c r="CI272" s="591">
        <v>304</v>
      </c>
      <c r="CJ272" s="591">
        <v>304</v>
      </c>
      <c r="CK272" s="591">
        <v>304</v>
      </c>
      <c r="CL272" s="591" t="s">
        <v>160</v>
      </c>
      <c r="CM272" s="591" t="s">
        <v>160</v>
      </c>
      <c r="CN272" s="591" t="s">
        <v>160</v>
      </c>
      <c r="CO272" s="591" t="s">
        <v>160</v>
      </c>
      <c r="CP272" s="591" t="s">
        <v>160</v>
      </c>
      <c r="CQ272" s="591" t="s">
        <v>160</v>
      </c>
      <c r="CR272" s="591" t="s">
        <v>160</v>
      </c>
      <c r="CS272" s="591" t="s">
        <v>160</v>
      </c>
      <c r="CT272" s="591" t="s">
        <v>160</v>
      </c>
      <c r="CU272" s="591" t="s">
        <v>160</v>
      </c>
      <c r="CV272" s="591" t="s">
        <v>160</v>
      </c>
      <c r="CW272" s="591" t="s">
        <v>160</v>
      </c>
      <c r="CX272" s="591" t="s">
        <v>160</v>
      </c>
      <c r="CY272" s="591" t="s">
        <v>160</v>
      </c>
      <c r="CZ272" s="591" t="s">
        <v>160</v>
      </c>
      <c r="DA272" s="591" t="s">
        <v>160</v>
      </c>
      <c r="DB272" s="591" t="s">
        <v>160</v>
      </c>
      <c r="DC272" s="591" t="s">
        <v>160</v>
      </c>
      <c r="DD272"/>
      <c r="DE272"/>
      <c r="DF272"/>
      <c r="DG272"/>
      <c r="DH272"/>
      <c r="DI272"/>
      <c r="DJ272"/>
      <c r="DK272"/>
      <c r="DL272"/>
      <c r="DM272"/>
    </row>
    <row r="273" spans="1:126" x14ac:dyDescent="0.25">
      <c r="D273" s="117" t="s">
        <v>547</v>
      </c>
      <c r="E273" s="263" t="s">
        <v>160</v>
      </c>
      <c r="F273" s="263" t="s">
        <v>160</v>
      </c>
      <c r="G273" s="263" t="s">
        <v>160</v>
      </c>
      <c r="H273" s="263" t="s">
        <v>160</v>
      </c>
      <c r="I273" s="264" t="s">
        <v>160</v>
      </c>
      <c r="J273" s="264" t="s">
        <v>160</v>
      </c>
      <c r="K273" s="264" t="s">
        <v>160</v>
      </c>
      <c r="L273" s="264" t="s">
        <v>160</v>
      </c>
      <c r="M273" s="264" t="s">
        <v>160</v>
      </c>
      <c r="N273" s="592" t="s">
        <v>160</v>
      </c>
      <c r="O273" s="592" t="s">
        <v>160</v>
      </c>
      <c r="P273" s="592" t="s">
        <v>160</v>
      </c>
      <c r="Q273" s="592" t="s">
        <v>160</v>
      </c>
      <c r="R273" s="592" t="s">
        <v>160</v>
      </c>
      <c r="S273" s="592" t="s">
        <v>160</v>
      </c>
      <c r="T273" s="592" t="s">
        <v>160</v>
      </c>
      <c r="U273" s="592" t="s">
        <v>160</v>
      </c>
      <c r="V273" s="592" t="s">
        <v>160</v>
      </c>
      <c r="W273" s="592" t="s">
        <v>160</v>
      </c>
      <c r="X273" s="591" t="s">
        <v>160</v>
      </c>
      <c r="Y273" s="592" t="s">
        <v>160</v>
      </c>
      <c r="Z273" s="592" t="s">
        <v>160</v>
      </c>
      <c r="AA273" s="592" t="s">
        <v>160</v>
      </c>
      <c r="AB273" s="592" t="s">
        <v>160</v>
      </c>
      <c r="AC273" s="592" t="s">
        <v>160</v>
      </c>
      <c r="AD273" s="592" t="s">
        <v>160</v>
      </c>
      <c r="AE273" s="592" t="s">
        <v>160</v>
      </c>
      <c r="AF273" s="591" t="s">
        <v>160</v>
      </c>
      <c r="AG273" s="592" t="s">
        <v>160</v>
      </c>
      <c r="AH273" s="592" t="s">
        <v>160</v>
      </c>
      <c r="AI273" s="592" t="s">
        <v>160</v>
      </c>
      <c r="AJ273" s="592" t="s">
        <v>160</v>
      </c>
      <c r="AK273" s="592" t="s">
        <v>160</v>
      </c>
      <c r="AL273" s="346" t="s">
        <v>160</v>
      </c>
      <c r="AM273" s="346" t="s">
        <v>160</v>
      </c>
      <c r="AN273" s="346" t="s">
        <v>160</v>
      </c>
      <c r="AO273" s="346" t="s">
        <v>160</v>
      </c>
      <c r="AP273" s="346" t="s">
        <v>160</v>
      </c>
      <c r="AQ273" s="346" t="s">
        <v>160</v>
      </c>
      <c r="AR273" s="346" t="s">
        <v>160</v>
      </c>
      <c r="AS273" s="346" t="s">
        <v>160</v>
      </c>
      <c r="AT273" s="346" t="s">
        <v>160</v>
      </c>
      <c r="AU273" s="346" t="s">
        <v>160</v>
      </c>
      <c r="AV273" s="346" t="s">
        <v>160</v>
      </c>
      <c r="AW273" s="346" t="s">
        <v>160</v>
      </c>
      <c r="AX273" s="947" t="s">
        <v>160</v>
      </c>
      <c r="AY273" s="346" t="s">
        <v>160</v>
      </c>
      <c r="AZ273" s="346" t="s">
        <v>160</v>
      </c>
      <c r="BA273" s="346" t="s">
        <v>160</v>
      </c>
      <c r="BB273" s="346" t="s">
        <v>160</v>
      </c>
      <c r="BC273" s="346" t="s">
        <v>160</v>
      </c>
      <c r="BD273" s="346" t="s">
        <v>160</v>
      </c>
      <c r="BE273" s="346" t="s">
        <v>160</v>
      </c>
      <c r="BF273" s="346" t="s">
        <v>160</v>
      </c>
      <c r="BG273" s="346" t="s">
        <v>160</v>
      </c>
      <c r="BH273" s="346" t="s">
        <v>160</v>
      </c>
      <c r="BI273" s="346" t="s">
        <v>160</v>
      </c>
      <c r="BJ273" s="346" t="s">
        <v>160</v>
      </c>
      <c r="BK273" s="346" t="s">
        <v>160</v>
      </c>
      <c r="BL273" s="346" t="s">
        <v>160</v>
      </c>
      <c r="BM273" s="346" t="s">
        <v>160</v>
      </c>
      <c r="BN273" s="346" t="s">
        <v>160</v>
      </c>
      <c r="BO273" s="346" t="s">
        <v>160</v>
      </c>
      <c r="BP273" s="591" t="s">
        <v>160</v>
      </c>
      <c r="BQ273" s="591" t="s">
        <v>160</v>
      </c>
      <c r="BR273" s="591" t="s">
        <v>160</v>
      </c>
      <c r="BS273" s="591" t="s">
        <v>160</v>
      </c>
      <c r="BT273" s="591" t="s">
        <v>160</v>
      </c>
      <c r="BU273" s="591" t="s">
        <v>160</v>
      </c>
      <c r="BV273" s="591" t="s">
        <v>160</v>
      </c>
      <c r="BW273" s="591" t="s">
        <v>160</v>
      </c>
      <c r="BX273" s="591" t="s">
        <v>160</v>
      </c>
      <c r="BY273" s="591" t="s">
        <v>160</v>
      </c>
      <c r="BZ273" s="591" t="s">
        <v>160</v>
      </c>
      <c r="CA273" s="591">
        <v>285</v>
      </c>
      <c r="CB273" s="591">
        <v>285</v>
      </c>
      <c r="CC273" s="591">
        <v>285</v>
      </c>
      <c r="CD273" s="591">
        <v>285</v>
      </c>
      <c r="CE273" s="591">
        <v>285</v>
      </c>
      <c r="CF273" s="341">
        <v>286.2</v>
      </c>
      <c r="CG273" s="591">
        <v>286.2</v>
      </c>
      <c r="CH273" s="591">
        <v>286.2</v>
      </c>
      <c r="CI273" s="591">
        <v>286.2</v>
      </c>
      <c r="CJ273" s="591">
        <v>286.2</v>
      </c>
      <c r="CK273" s="591">
        <v>286.2</v>
      </c>
      <c r="CL273" s="591">
        <v>286.2</v>
      </c>
      <c r="CM273" s="591">
        <v>286.2</v>
      </c>
      <c r="CN273" s="591">
        <v>286.2</v>
      </c>
      <c r="CO273" s="591">
        <v>286.2</v>
      </c>
      <c r="CP273" s="591">
        <v>286.2</v>
      </c>
      <c r="CQ273" s="591">
        <v>299</v>
      </c>
      <c r="CR273" s="591">
        <v>299</v>
      </c>
      <c r="CS273" s="591">
        <v>299</v>
      </c>
      <c r="CT273" s="591">
        <v>299</v>
      </c>
      <c r="CU273" s="591">
        <v>299</v>
      </c>
      <c r="CV273" s="591">
        <v>299</v>
      </c>
      <c r="CW273" s="591">
        <v>299</v>
      </c>
      <c r="CX273" s="591">
        <v>299</v>
      </c>
      <c r="CY273" s="591">
        <v>299</v>
      </c>
      <c r="CZ273" s="591">
        <v>299</v>
      </c>
      <c r="DA273" s="690">
        <v>352</v>
      </c>
      <c r="DB273" s="591">
        <v>352</v>
      </c>
      <c r="DC273" s="591">
        <v>352</v>
      </c>
      <c r="DD273"/>
      <c r="DE273"/>
      <c r="DF273"/>
      <c r="DG273"/>
      <c r="DH273"/>
      <c r="DI273"/>
      <c r="DJ273"/>
      <c r="DK273"/>
      <c r="DL273"/>
      <c r="DM273"/>
    </row>
    <row r="274" spans="1:126" x14ac:dyDescent="0.25">
      <c r="D274" s="117" t="s">
        <v>1985</v>
      </c>
      <c r="E274" s="346" t="s">
        <v>160</v>
      </c>
      <c r="F274" s="346" t="s">
        <v>160</v>
      </c>
      <c r="G274" s="346" t="s">
        <v>160</v>
      </c>
      <c r="H274" s="346" t="s">
        <v>160</v>
      </c>
      <c r="I274" s="346" t="s">
        <v>160</v>
      </c>
      <c r="J274" s="346" t="s">
        <v>160</v>
      </c>
      <c r="K274" s="346" t="s">
        <v>160</v>
      </c>
      <c r="L274" s="346" t="s">
        <v>160</v>
      </c>
      <c r="M274" s="346" t="s">
        <v>160</v>
      </c>
      <c r="N274" s="346" t="s">
        <v>160</v>
      </c>
      <c r="O274" s="346" t="s">
        <v>160</v>
      </c>
      <c r="P274" s="346" t="s">
        <v>160</v>
      </c>
      <c r="Q274" s="346" t="s">
        <v>160</v>
      </c>
      <c r="R274" s="346" t="s">
        <v>160</v>
      </c>
      <c r="S274" s="346" t="s">
        <v>160</v>
      </c>
      <c r="T274" s="346" t="s">
        <v>160</v>
      </c>
      <c r="U274" s="346" t="s">
        <v>160</v>
      </c>
      <c r="V274" s="346" t="s">
        <v>160</v>
      </c>
      <c r="W274" s="346" t="s">
        <v>160</v>
      </c>
      <c r="X274" s="346" t="s">
        <v>160</v>
      </c>
      <c r="Y274" s="346" t="s">
        <v>160</v>
      </c>
      <c r="Z274" s="346" t="s">
        <v>160</v>
      </c>
      <c r="AA274" s="346" t="s">
        <v>160</v>
      </c>
      <c r="AB274" s="346" t="s">
        <v>160</v>
      </c>
      <c r="AC274" s="346" t="s">
        <v>160</v>
      </c>
      <c r="AD274" s="346" t="s">
        <v>160</v>
      </c>
      <c r="AE274" s="346" t="s">
        <v>160</v>
      </c>
      <c r="AF274" s="346" t="s">
        <v>160</v>
      </c>
      <c r="AG274" s="346" t="s">
        <v>160</v>
      </c>
      <c r="AH274" s="346" t="s">
        <v>160</v>
      </c>
      <c r="AI274" s="346" t="s">
        <v>160</v>
      </c>
      <c r="AJ274" s="346" t="s">
        <v>160</v>
      </c>
      <c r="AK274" s="346" t="s">
        <v>160</v>
      </c>
      <c r="AL274" s="346" t="s">
        <v>160</v>
      </c>
      <c r="AM274" s="346" t="s">
        <v>160</v>
      </c>
      <c r="AN274" s="346" t="s">
        <v>160</v>
      </c>
      <c r="AO274" s="346" t="s">
        <v>160</v>
      </c>
      <c r="AP274" s="346" t="s">
        <v>160</v>
      </c>
      <c r="AQ274" s="346" t="s">
        <v>160</v>
      </c>
      <c r="AR274" s="346" t="s">
        <v>160</v>
      </c>
      <c r="AS274" s="346" t="s">
        <v>160</v>
      </c>
      <c r="AT274" s="346" t="s">
        <v>160</v>
      </c>
      <c r="AU274" s="346" t="s">
        <v>160</v>
      </c>
      <c r="AV274" s="346" t="s">
        <v>160</v>
      </c>
      <c r="AW274" s="346" t="s">
        <v>160</v>
      </c>
      <c r="AX274" s="346" t="s">
        <v>160</v>
      </c>
      <c r="AY274" s="346" t="s">
        <v>160</v>
      </c>
      <c r="AZ274" s="346" t="s">
        <v>160</v>
      </c>
      <c r="BA274" s="346" t="s">
        <v>160</v>
      </c>
      <c r="BB274" s="346" t="s">
        <v>160</v>
      </c>
      <c r="BC274" s="346" t="s">
        <v>160</v>
      </c>
      <c r="BD274" s="346" t="s">
        <v>160</v>
      </c>
      <c r="BE274" s="346" t="s">
        <v>160</v>
      </c>
      <c r="BF274" s="346" t="s">
        <v>160</v>
      </c>
      <c r="BG274" s="346" t="s">
        <v>160</v>
      </c>
      <c r="BH274" s="346" t="s">
        <v>160</v>
      </c>
      <c r="BI274" s="346" t="s">
        <v>160</v>
      </c>
      <c r="BJ274" s="346" t="s">
        <v>160</v>
      </c>
      <c r="BK274" s="346" t="s">
        <v>160</v>
      </c>
      <c r="BL274" s="346" t="s">
        <v>160</v>
      </c>
      <c r="BM274" s="346" t="s">
        <v>160</v>
      </c>
      <c r="BN274" s="346" t="s">
        <v>160</v>
      </c>
      <c r="BO274" s="346" t="s">
        <v>160</v>
      </c>
      <c r="BP274" s="591" t="s">
        <v>160</v>
      </c>
      <c r="BQ274" s="591" t="s">
        <v>160</v>
      </c>
      <c r="BR274" s="591" t="s">
        <v>160</v>
      </c>
      <c r="BS274" s="591" t="s">
        <v>160</v>
      </c>
      <c r="BT274" s="591" t="s">
        <v>160</v>
      </c>
      <c r="BU274" s="591" t="s">
        <v>160</v>
      </c>
      <c r="BV274" s="591" t="s">
        <v>160</v>
      </c>
      <c r="BW274" s="591" t="s">
        <v>160</v>
      </c>
      <c r="BX274" s="591" t="s">
        <v>160</v>
      </c>
      <c r="BY274" s="591" t="s">
        <v>160</v>
      </c>
      <c r="BZ274" s="591" t="s">
        <v>160</v>
      </c>
      <c r="CA274" s="591" t="s">
        <v>160</v>
      </c>
      <c r="CB274" s="591" t="s">
        <v>160</v>
      </c>
      <c r="CC274" s="591" t="s">
        <v>160</v>
      </c>
      <c r="CD274" s="591">
        <v>293</v>
      </c>
      <c r="CE274" s="591">
        <v>293</v>
      </c>
      <c r="CF274" s="591">
        <v>293</v>
      </c>
      <c r="CG274" s="591">
        <v>293</v>
      </c>
      <c r="CH274" s="591">
        <v>293</v>
      </c>
      <c r="CI274" s="591">
        <v>293</v>
      </c>
      <c r="CJ274" s="591">
        <v>293</v>
      </c>
      <c r="CK274" s="591" t="s">
        <v>160</v>
      </c>
      <c r="CL274" s="591" t="s">
        <v>160</v>
      </c>
      <c r="CM274" s="591" t="s">
        <v>160</v>
      </c>
      <c r="CN274" s="591" t="s">
        <v>160</v>
      </c>
      <c r="CO274" s="591" t="s">
        <v>160</v>
      </c>
      <c r="CP274" s="591" t="s">
        <v>160</v>
      </c>
      <c r="CQ274" s="591" t="s">
        <v>160</v>
      </c>
      <c r="CR274" s="591" t="s">
        <v>160</v>
      </c>
      <c r="CS274" s="591" t="s">
        <v>160</v>
      </c>
      <c r="CT274" s="591" t="s">
        <v>160</v>
      </c>
      <c r="CU274" s="591" t="s">
        <v>160</v>
      </c>
      <c r="CV274" s="591" t="s">
        <v>160</v>
      </c>
      <c r="CW274" s="591" t="s">
        <v>160</v>
      </c>
      <c r="CX274" s="591" t="s">
        <v>160</v>
      </c>
      <c r="CY274" s="591" t="s">
        <v>160</v>
      </c>
      <c r="CZ274" s="591" t="s">
        <v>160</v>
      </c>
      <c r="DA274" s="591" t="s">
        <v>160</v>
      </c>
      <c r="DB274" s="591" t="s">
        <v>160</v>
      </c>
      <c r="DC274" s="591" t="s">
        <v>160</v>
      </c>
      <c r="DD274"/>
      <c r="DE274"/>
      <c r="DF274"/>
      <c r="DG274"/>
      <c r="DH274"/>
      <c r="DI274"/>
      <c r="DJ274"/>
      <c r="DK274"/>
      <c r="DL274"/>
      <c r="DM274"/>
    </row>
    <row r="275" spans="1:126" x14ac:dyDescent="0.25">
      <c r="D275" s="1092" t="s">
        <v>557</v>
      </c>
      <c r="E275" s="1093" t="s">
        <v>160</v>
      </c>
      <c r="F275" s="1093" t="s">
        <v>160</v>
      </c>
      <c r="G275" s="1093" t="s">
        <v>160</v>
      </c>
      <c r="H275" s="1093" t="s">
        <v>160</v>
      </c>
      <c r="I275" s="1093" t="s">
        <v>160</v>
      </c>
      <c r="J275" s="1093" t="s">
        <v>160</v>
      </c>
      <c r="K275" s="1093" t="s">
        <v>160</v>
      </c>
      <c r="L275" s="1093" t="s">
        <v>160</v>
      </c>
      <c r="M275" s="1093" t="s">
        <v>160</v>
      </c>
      <c r="N275" s="1095" t="s">
        <v>160</v>
      </c>
      <c r="O275" s="1095" t="s">
        <v>160</v>
      </c>
      <c r="P275" s="1095" t="s">
        <v>160</v>
      </c>
      <c r="Q275" s="1095" t="s">
        <v>160</v>
      </c>
      <c r="R275" s="1095" t="s">
        <v>160</v>
      </c>
      <c r="S275" s="1095" t="s">
        <v>160</v>
      </c>
      <c r="T275" s="1095" t="s">
        <v>160</v>
      </c>
      <c r="U275" s="1095" t="s">
        <v>160</v>
      </c>
      <c r="V275" s="1095" t="s">
        <v>160</v>
      </c>
      <c r="W275" s="1095" t="s">
        <v>160</v>
      </c>
      <c r="X275" s="1096" t="s">
        <v>160</v>
      </c>
      <c r="Y275" s="1096" t="s">
        <v>160</v>
      </c>
      <c r="Z275" s="1096" t="s">
        <v>160</v>
      </c>
      <c r="AA275" s="1096" t="s">
        <v>160</v>
      </c>
      <c r="AB275" s="1096" t="s">
        <v>160</v>
      </c>
      <c r="AC275" s="1096" t="s">
        <v>160</v>
      </c>
      <c r="AD275" s="1096" t="s">
        <v>160</v>
      </c>
      <c r="AE275" s="1096" t="s">
        <v>160</v>
      </c>
      <c r="AF275" s="1096" t="s">
        <v>160</v>
      </c>
      <c r="AG275" s="1096" t="s">
        <v>160</v>
      </c>
      <c r="AH275" s="1096" t="s">
        <v>160</v>
      </c>
      <c r="AI275" s="1096" t="s">
        <v>160</v>
      </c>
      <c r="AJ275" s="1096" t="s">
        <v>160</v>
      </c>
      <c r="AK275" s="1096" t="s">
        <v>160</v>
      </c>
      <c r="AL275" s="1096" t="s">
        <v>160</v>
      </c>
      <c r="AM275" s="1096" t="s">
        <v>160</v>
      </c>
      <c r="AN275" s="1096" t="s">
        <v>160</v>
      </c>
      <c r="AO275" s="1096" t="s">
        <v>160</v>
      </c>
      <c r="AP275" s="1096" t="s">
        <v>160</v>
      </c>
      <c r="AQ275" s="1096" t="s">
        <v>160</v>
      </c>
      <c r="AR275" s="1096" t="s">
        <v>160</v>
      </c>
      <c r="AS275" s="1096" t="s">
        <v>160</v>
      </c>
      <c r="AT275" s="1096" t="s">
        <v>160</v>
      </c>
      <c r="AU275" s="1095" t="s">
        <v>160</v>
      </c>
      <c r="AV275" s="1095" t="s">
        <v>160</v>
      </c>
      <c r="AW275" s="1095" t="s">
        <v>160</v>
      </c>
      <c r="AX275" s="1095" t="s">
        <v>160</v>
      </c>
      <c r="AY275" s="1095" t="s">
        <v>160</v>
      </c>
      <c r="AZ275" s="1095" t="s">
        <v>160</v>
      </c>
      <c r="BA275" s="1095" t="s">
        <v>160</v>
      </c>
      <c r="BB275" s="1095" t="s">
        <v>160</v>
      </c>
      <c r="BC275" s="1095" t="s">
        <v>160</v>
      </c>
      <c r="BD275" s="1095" t="s">
        <v>160</v>
      </c>
      <c r="BE275" s="1095" t="s">
        <v>160</v>
      </c>
      <c r="BF275" s="1095" t="s">
        <v>160</v>
      </c>
      <c r="BG275" s="1095" t="s">
        <v>160</v>
      </c>
      <c r="BH275" s="1095" t="s">
        <v>160</v>
      </c>
      <c r="BI275" s="1095" t="s">
        <v>160</v>
      </c>
      <c r="BJ275" s="1095" t="s">
        <v>160</v>
      </c>
      <c r="BK275" s="1095" t="s">
        <v>160</v>
      </c>
      <c r="BL275" s="1095" t="s">
        <v>160</v>
      </c>
      <c r="BM275" s="1095" t="s">
        <v>160</v>
      </c>
      <c r="BN275" s="1095" t="s">
        <v>160</v>
      </c>
      <c r="BO275" s="1095" t="s">
        <v>160</v>
      </c>
      <c r="BP275" s="1095" t="s">
        <v>160</v>
      </c>
      <c r="BQ275" s="1095" t="s">
        <v>160</v>
      </c>
      <c r="BR275" s="1095" t="s">
        <v>160</v>
      </c>
      <c r="BS275" s="1095" t="s">
        <v>160</v>
      </c>
      <c r="BT275" s="1095" t="s">
        <v>160</v>
      </c>
      <c r="BU275" s="1095" t="s">
        <v>160</v>
      </c>
      <c r="BV275" s="1095" t="s">
        <v>160</v>
      </c>
      <c r="BW275" s="1095" t="s">
        <v>160</v>
      </c>
      <c r="BX275" s="1095" t="s">
        <v>160</v>
      </c>
      <c r="BY275" s="1095" t="s">
        <v>160</v>
      </c>
      <c r="BZ275" s="1095" t="s">
        <v>160</v>
      </c>
      <c r="CA275" s="1095">
        <v>294.5</v>
      </c>
      <c r="CB275" s="1095">
        <v>294.5</v>
      </c>
      <c r="CC275" s="1095">
        <v>294.5</v>
      </c>
      <c r="CD275" s="1095">
        <v>294</v>
      </c>
      <c r="CE275" s="1095">
        <v>286.75</v>
      </c>
      <c r="CF275" s="1095">
        <v>287.05</v>
      </c>
      <c r="CG275" s="1095">
        <v>287.05</v>
      </c>
      <c r="CH275" s="1095">
        <v>287.05</v>
      </c>
      <c r="CI275" s="1095">
        <v>287.05</v>
      </c>
      <c r="CJ275" s="1095">
        <v>287.05</v>
      </c>
      <c r="CK275" s="1095">
        <v>285.06666666666666</v>
      </c>
      <c r="CL275" s="1095">
        <v>275.60000000000002</v>
      </c>
      <c r="CM275" s="1095">
        <v>275.60000000000002</v>
      </c>
      <c r="CN275" s="1095">
        <v>275.60000000000002</v>
      </c>
      <c r="CO275" s="1095">
        <v>275.60000000000002</v>
      </c>
      <c r="CP275" s="1095">
        <v>275.60000000000002</v>
      </c>
      <c r="CQ275" s="1095">
        <v>282</v>
      </c>
      <c r="CR275" s="1095">
        <v>288.5</v>
      </c>
      <c r="CS275" s="1095">
        <v>288.5</v>
      </c>
      <c r="CT275" s="1095">
        <v>288.5</v>
      </c>
      <c r="CU275" s="1095">
        <v>288.5</v>
      </c>
      <c r="CV275" s="1095">
        <v>288.5</v>
      </c>
      <c r="CW275" s="1095">
        <v>288.5</v>
      </c>
      <c r="CX275" s="1095">
        <v>288.5</v>
      </c>
      <c r="CY275" s="1095">
        <v>288.5</v>
      </c>
      <c r="CZ275" s="1095">
        <v>288.5</v>
      </c>
      <c r="DA275" s="1095">
        <v>315</v>
      </c>
      <c r="DB275" s="1095">
        <v>315</v>
      </c>
      <c r="DC275" s="1095">
        <v>315</v>
      </c>
      <c r="DD275"/>
      <c r="DE275"/>
      <c r="DF275"/>
      <c r="DG275"/>
      <c r="DH275"/>
      <c r="DI275"/>
      <c r="DJ275"/>
      <c r="DK275"/>
      <c r="DL275"/>
      <c r="DM275"/>
    </row>
    <row r="276" spans="1:126" x14ac:dyDescent="0.25">
      <c r="Z276" s="339"/>
      <c r="AA276" s="339"/>
      <c r="AB276" s="339"/>
      <c r="AC276" s="339"/>
      <c r="AD276" s="339"/>
      <c r="AE276" s="339"/>
      <c r="AF276" s="339"/>
      <c r="AG276" s="339"/>
      <c r="AH276" s="339"/>
      <c r="AI276" s="339"/>
      <c r="AJ276" s="339"/>
      <c r="AK276" s="339"/>
      <c r="AL276" s="339"/>
      <c r="AM276" s="339"/>
      <c r="AN276" s="339"/>
      <c r="AO276" s="339"/>
      <c r="AP276" s="339"/>
      <c r="AQ276" s="339"/>
      <c r="AR276" s="339"/>
      <c r="AS276" s="339"/>
      <c r="AT276" s="339"/>
      <c r="AU276" s="339"/>
      <c r="AV276" s="817"/>
      <c r="AW276" s="817"/>
      <c r="AX276" s="941"/>
      <c r="AY276" s="817"/>
      <c r="AZ276" s="817"/>
      <c r="BA276" s="817"/>
      <c r="BB276" s="817"/>
      <c r="BC276" s="817"/>
      <c r="BD276" s="817"/>
      <c r="BE276" s="817"/>
      <c r="BF276" s="817"/>
      <c r="BG276" s="817"/>
      <c r="BH276" s="817"/>
      <c r="BI276" s="817"/>
      <c r="BJ276" s="817"/>
      <c r="BK276" s="817"/>
      <c r="BL276" s="817"/>
      <c r="BM276" s="817"/>
      <c r="BN276" s="817"/>
      <c r="BO276" s="817"/>
      <c r="BP276" s="817"/>
      <c r="BQ276" s="817"/>
      <c r="BR276" s="817"/>
      <c r="BS276" s="817"/>
      <c r="BT276" s="817"/>
      <c r="BU276" s="817"/>
      <c r="BV276" s="817"/>
      <c r="BW276" s="817"/>
      <c r="BX276" s="817"/>
      <c r="BY276" s="817"/>
      <c r="BZ276" s="817"/>
      <c r="CA276" s="817"/>
      <c r="CB276" s="817"/>
      <c r="CC276" s="817"/>
      <c r="CD276" s="817"/>
      <c r="CE276" s="817"/>
      <c r="CF276" s="817"/>
      <c r="CG276" s="817"/>
      <c r="CH276" s="817"/>
      <c r="CI276" s="817"/>
      <c r="CJ276" s="817"/>
      <c r="CK276" s="817"/>
      <c r="CL276" s="817"/>
      <c r="CM276" s="817"/>
      <c r="CN276" s="817"/>
      <c r="CO276" s="817"/>
      <c r="CP276" s="817"/>
      <c r="CQ276" s="817"/>
      <c r="CR276" s="817"/>
      <c r="CS276" s="817"/>
      <c r="CT276" s="817"/>
      <c r="CU276" s="817"/>
      <c r="CV276" s="817"/>
      <c r="CW276" s="817"/>
      <c r="CX276" s="817"/>
      <c r="CY276" s="817"/>
      <c r="CZ276" s="817"/>
      <c r="DA276" s="817"/>
      <c r="DB276" s="817"/>
      <c r="DC276" s="817"/>
      <c r="DD276"/>
      <c r="DE276"/>
      <c r="DF276"/>
      <c r="DG276"/>
      <c r="DH276"/>
      <c r="DI276"/>
      <c r="DJ276"/>
      <c r="DK276"/>
      <c r="DL276"/>
      <c r="DM276"/>
    </row>
    <row r="277" spans="1:126" x14ac:dyDescent="0.25">
      <c r="D277" s="113" t="s">
        <v>1984</v>
      </c>
      <c r="E277" s="262">
        <v>42522</v>
      </c>
      <c r="F277" s="262">
        <v>42552</v>
      </c>
      <c r="G277" s="262">
        <v>42583</v>
      </c>
      <c r="H277" s="262">
        <v>42614</v>
      </c>
      <c r="I277" s="262">
        <v>42644</v>
      </c>
      <c r="J277" s="262">
        <v>42675</v>
      </c>
      <c r="K277" s="262">
        <v>42705</v>
      </c>
      <c r="L277" s="262">
        <v>42736</v>
      </c>
      <c r="M277" s="262">
        <v>42767</v>
      </c>
      <c r="N277" s="262">
        <v>42795</v>
      </c>
      <c r="O277" s="262">
        <v>42826</v>
      </c>
      <c r="P277" s="262">
        <v>42856</v>
      </c>
      <c r="Q277" s="262">
        <v>42887</v>
      </c>
      <c r="R277" s="262">
        <v>42917</v>
      </c>
      <c r="S277" s="262">
        <v>42948</v>
      </c>
      <c r="T277" s="262">
        <v>42979</v>
      </c>
      <c r="U277" s="262">
        <v>43009</v>
      </c>
      <c r="V277" s="262">
        <v>43040</v>
      </c>
      <c r="W277" s="262">
        <v>43070</v>
      </c>
      <c r="X277" s="262">
        <v>43101</v>
      </c>
      <c r="Y277" s="262">
        <v>43132</v>
      </c>
      <c r="Z277" s="262">
        <v>43160</v>
      </c>
      <c r="AA277" s="262">
        <v>43191</v>
      </c>
      <c r="AB277" s="262">
        <v>43221</v>
      </c>
      <c r="AC277" s="262">
        <v>43252</v>
      </c>
      <c r="AD277" s="262">
        <v>43283</v>
      </c>
      <c r="AE277" s="262">
        <v>43314</v>
      </c>
      <c r="AF277" s="262">
        <v>43345</v>
      </c>
      <c r="AG277" s="262">
        <v>43376</v>
      </c>
      <c r="AH277" s="262">
        <v>43407</v>
      </c>
      <c r="AI277" s="262">
        <v>43437</v>
      </c>
      <c r="AJ277" s="262">
        <v>43468</v>
      </c>
      <c r="AK277" s="262">
        <v>43499</v>
      </c>
      <c r="AL277" s="262">
        <v>43527</v>
      </c>
      <c r="AM277" s="262">
        <v>43558</v>
      </c>
      <c r="AN277" s="262">
        <v>43587</v>
      </c>
      <c r="AO277" s="262">
        <v>43618</v>
      </c>
      <c r="AP277" s="262">
        <v>43647</v>
      </c>
      <c r="AQ277" s="262">
        <v>43678</v>
      </c>
      <c r="AR277" s="262">
        <v>43709</v>
      </c>
      <c r="AS277" s="262">
        <v>43739</v>
      </c>
      <c r="AT277" s="262">
        <v>43770</v>
      </c>
      <c r="AU277" s="262">
        <v>43800</v>
      </c>
      <c r="AV277" s="262">
        <v>43831</v>
      </c>
      <c r="AW277" s="262">
        <v>43862</v>
      </c>
      <c r="AX277" s="933">
        <v>43891</v>
      </c>
      <c r="AY277" s="262">
        <v>43922</v>
      </c>
      <c r="AZ277" s="262">
        <v>43952</v>
      </c>
      <c r="BA277" s="262">
        <v>43983</v>
      </c>
      <c r="BB277" s="262">
        <v>44013</v>
      </c>
      <c r="BC277" s="262">
        <v>44044</v>
      </c>
      <c r="BD277" s="262">
        <v>44075</v>
      </c>
      <c r="BE277" s="262">
        <v>44105</v>
      </c>
      <c r="BF277" s="262">
        <v>44136</v>
      </c>
      <c r="BG277" s="262">
        <v>44166</v>
      </c>
      <c r="BH277" s="262">
        <v>44197</v>
      </c>
      <c r="BI277" s="262">
        <v>44228</v>
      </c>
      <c r="BJ277" s="262">
        <v>44256</v>
      </c>
      <c r="BK277" s="262">
        <v>44287</v>
      </c>
      <c r="BL277" s="262">
        <v>44317</v>
      </c>
      <c r="BM277" s="262">
        <v>44348</v>
      </c>
      <c r="BN277" s="262">
        <v>44378</v>
      </c>
      <c r="BO277" s="262">
        <v>44409</v>
      </c>
      <c r="BP277" s="262">
        <v>44440</v>
      </c>
      <c r="BQ277" s="262">
        <v>44470</v>
      </c>
      <c r="BR277" s="262">
        <v>44501</v>
      </c>
      <c r="BS277" s="262">
        <v>44531</v>
      </c>
      <c r="BT277" s="262">
        <v>44562</v>
      </c>
      <c r="BU277" s="262">
        <v>44593</v>
      </c>
      <c r="BV277" s="262">
        <v>44622</v>
      </c>
      <c r="BW277" s="262">
        <v>44654</v>
      </c>
      <c r="BX277" s="262">
        <v>44685</v>
      </c>
      <c r="BY277" s="262">
        <v>44716</v>
      </c>
      <c r="BZ277" s="262">
        <v>44746</v>
      </c>
      <c r="CA277" s="262">
        <v>44774</v>
      </c>
      <c r="CB277" s="262">
        <v>44805</v>
      </c>
      <c r="CC277" s="262">
        <v>44835</v>
      </c>
      <c r="CD277" s="262">
        <v>44866</v>
      </c>
      <c r="CE277" s="262">
        <v>44896</v>
      </c>
      <c r="CF277" s="262">
        <v>44927</v>
      </c>
      <c r="CG277" s="262">
        <v>44958</v>
      </c>
      <c r="CH277" s="262">
        <v>44986</v>
      </c>
      <c r="CI277" s="262">
        <v>45017</v>
      </c>
      <c r="CJ277" s="262">
        <v>45047</v>
      </c>
      <c r="CK277" s="262">
        <v>45078</v>
      </c>
      <c r="CL277" s="262">
        <v>45108</v>
      </c>
      <c r="CM277" s="262">
        <v>45139</v>
      </c>
      <c r="CN277" s="262">
        <v>45170</v>
      </c>
      <c r="CO277" s="262">
        <v>45200</v>
      </c>
      <c r="CP277" s="262">
        <v>45231</v>
      </c>
      <c r="CQ277" s="262">
        <v>45261</v>
      </c>
      <c r="CR277" s="262">
        <v>45292</v>
      </c>
      <c r="CS277" s="262">
        <v>45323</v>
      </c>
      <c r="CT277" s="262">
        <v>45352</v>
      </c>
      <c r="CU277" s="262">
        <v>45383</v>
      </c>
      <c r="CV277" s="262">
        <v>45413</v>
      </c>
      <c r="CW277" s="262">
        <v>45444</v>
      </c>
      <c r="CX277" s="262">
        <v>45474</v>
      </c>
      <c r="CY277" s="262">
        <v>45505</v>
      </c>
      <c r="CZ277" s="262">
        <v>45536</v>
      </c>
      <c r="DA277" s="262">
        <v>45566</v>
      </c>
      <c r="DB277" s="262">
        <v>45597</v>
      </c>
      <c r="DC277" s="262">
        <v>45627</v>
      </c>
      <c r="DD277"/>
      <c r="DE277"/>
      <c r="DF277"/>
      <c r="DG277"/>
      <c r="DH277"/>
      <c r="DI277"/>
      <c r="DJ277"/>
      <c r="DK277"/>
      <c r="DL277"/>
      <c r="DM277"/>
    </row>
    <row r="278" spans="1:126" x14ac:dyDescent="0.25">
      <c r="D278" s="117" t="s">
        <v>542</v>
      </c>
      <c r="E278" s="263" t="s">
        <v>160</v>
      </c>
      <c r="F278" s="263" t="s">
        <v>160</v>
      </c>
      <c r="G278" s="263" t="s">
        <v>160</v>
      </c>
      <c r="H278" s="264" t="s">
        <v>160</v>
      </c>
      <c r="I278" s="264" t="s">
        <v>160</v>
      </c>
      <c r="J278" s="264" t="s">
        <v>160</v>
      </c>
      <c r="K278" s="264" t="s">
        <v>160</v>
      </c>
      <c r="L278" s="264" t="s">
        <v>160</v>
      </c>
      <c r="M278" s="264" t="s">
        <v>160</v>
      </c>
      <c r="N278" s="592" t="s">
        <v>160</v>
      </c>
      <c r="O278" s="592" t="s">
        <v>160</v>
      </c>
      <c r="P278" s="592" t="s">
        <v>160</v>
      </c>
      <c r="Q278" s="592" t="s">
        <v>160</v>
      </c>
      <c r="R278" s="592" t="s">
        <v>160</v>
      </c>
      <c r="S278" s="592" t="s">
        <v>160</v>
      </c>
      <c r="T278" s="592" t="s">
        <v>160</v>
      </c>
      <c r="U278" s="592" t="s">
        <v>160</v>
      </c>
      <c r="V278" s="592" t="s">
        <v>160</v>
      </c>
      <c r="W278" s="591" t="s">
        <v>160</v>
      </c>
      <c r="X278" s="591" t="s">
        <v>160</v>
      </c>
      <c r="Y278" s="591" t="s">
        <v>160</v>
      </c>
      <c r="Z278" s="591" t="s">
        <v>160</v>
      </c>
      <c r="AA278" s="591" t="s">
        <v>160</v>
      </c>
      <c r="AB278" s="591" t="s">
        <v>160</v>
      </c>
      <c r="AC278" s="591" t="s">
        <v>160</v>
      </c>
      <c r="AD278" s="591" t="s">
        <v>160</v>
      </c>
      <c r="AE278" s="591" t="s">
        <v>160</v>
      </c>
      <c r="AF278" s="591" t="s">
        <v>160</v>
      </c>
      <c r="AG278" s="591" t="s">
        <v>160</v>
      </c>
      <c r="AH278" s="591" t="s">
        <v>160</v>
      </c>
      <c r="AI278" s="591" t="s">
        <v>160</v>
      </c>
      <c r="AJ278" s="591" t="s">
        <v>160</v>
      </c>
      <c r="AK278" s="591" t="s">
        <v>160</v>
      </c>
      <c r="AL278" s="346" t="s">
        <v>160</v>
      </c>
      <c r="AM278" s="346" t="s">
        <v>160</v>
      </c>
      <c r="AN278" s="346" t="s">
        <v>160</v>
      </c>
      <c r="AO278" s="346" t="s">
        <v>160</v>
      </c>
      <c r="AP278" s="346" t="s">
        <v>160</v>
      </c>
      <c r="AQ278" s="346" t="s">
        <v>160</v>
      </c>
      <c r="AR278" s="346" t="s">
        <v>160</v>
      </c>
      <c r="AS278" s="346" t="s">
        <v>160</v>
      </c>
      <c r="AT278" s="346" t="s">
        <v>160</v>
      </c>
      <c r="AU278" s="346" t="s">
        <v>160</v>
      </c>
      <c r="AV278" s="346" t="s">
        <v>160</v>
      </c>
      <c r="AW278" s="346" t="s">
        <v>160</v>
      </c>
      <c r="AX278" s="947" t="s">
        <v>160</v>
      </c>
      <c r="AY278" s="346" t="s">
        <v>160</v>
      </c>
      <c r="AZ278" s="346" t="s">
        <v>160</v>
      </c>
      <c r="BA278" s="346" t="s">
        <v>160</v>
      </c>
      <c r="BB278" s="346" t="s">
        <v>160</v>
      </c>
      <c r="BC278" s="346" t="s">
        <v>160</v>
      </c>
      <c r="BD278" s="346" t="s">
        <v>160</v>
      </c>
      <c r="BE278" s="346" t="s">
        <v>160</v>
      </c>
      <c r="BF278" s="346" t="s">
        <v>160</v>
      </c>
      <c r="BG278" s="346" t="s">
        <v>160</v>
      </c>
      <c r="BH278" s="591" t="s">
        <v>160</v>
      </c>
      <c r="BI278" s="591" t="s">
        <v>160</v>
      </c>
      <c r="BJ278" s="591" t="s">
        <v>160</v>
      </c>
      <c r="BK278" s="591" t="s">
        <v>160</v>
      </c>
      <c r="BL278" s="591" t="s">
        <v>160</v>
      </c>
      <c r="BM278" s="591" t="s">
        <v>160</v>
      </c>
      <c r="BN278" s="591" t="s">
        <v>160</v>
      </c>
      <c r="BO278" s="591" t="s">
        <v>160</v>
      </c>
      <c r="BP278" s="591" t="s">
        <v>160</v>
      </c>
      <c r="BQ278" s="591" t="s">
        <v>160</v>
      </c>
      <c r="BR278" s="591" t="s">
        <v>160</v>
      </c>
      <c r="BS278" s="591" t="s">
        <v>160</v>
      </c>
      <c r="BT278" s="591" t="s">
        <v>160</v>
      </c>
      <c r="BU278" s="591" t="s">
        <v>160</v>
      </c>
      <c r="BV278" s="591" t="s">
        <v>160</v>
      </c>
      <c r="BW278" s="591" t="s">
        <v>160</v>
      </c>
      <c r="BX278" s="591" t="s">
        <v>160</v>
      </c>
      <c r="BY278" s="591" t="s">
        <v>160</v>
      </c>
      <c r="BZ278" s="591" t="s">
        <v>160</v>
      </c>
      <c r="CA278" s="591" t="s">
        <v>160</v>
      </c>
      <c r="CB278" s="591" t="s">
        <v>160</v>
      </c>
      <c r="CC278" s="591" t="s">
        <v>160</v>
      </c>
      <c r="CD278" s="591" t="s">
        <v>160</v>
      </c>
      <c r="CE278" s="341">
        <v>166</v>
      </c>
      <c r="CF278" s="591">
        <v>166</v>
      </c>
      <c r="CG278" s="591">
        <v>166</v>
      </c>
      <c r="CH278" s="591">
        <v>166</v>
      </c>
      <c r="CI278" s="591">
        <v>166</v>
      </c>
      <c r="CJ278" s="591">
        <v>166</v>
      </c>
      <c r="CK278" s="591">
        <v>166</v>
      </c>
      <c r="CL278" s="591">
        <v>166</v>
      </c>
      <c r="CM278" s="591">
        <v>166</v>
      </c>
      <c r="CN278" s="591">
        <v>166</v>
      </c>
      <c r="CO278" s="591">
        <v>166</v>
      </c>
      <c r="CP278" s="591">
        <v>166</v>
      </c>
      <c r="CQ278" s="591">
        <v>166</v>
      </c>
      <c r="CR278" s="591">
        <v>181</v>
      </c>
      <c r="CS278" s="591">
        <v>181</v>
      </c>
      <c r="CT278" s="591">
        <v>181</v>
      </c>
      <c r="CU278" s="591">
        <v>181</v>
      </c>
      <c r="CV278" s="591">
        <v>181</v>
      </c>
      <c r="CW278" s="591">
        <v>181</v>
      </c>
      <c r="CX278" s="591">
        <v>181</v>
      </c>
      <c r="CY278" s="591">
        <v>181</v>
      </c>
      <c r="CZ278" s="591">
        <v>181</v>
      </c>
      <c r="DA278" s="591">
        <v>181</v>
      </c>
      <c r="DB278" s="591">
        <v>181</v>
      </c>
      <c r="DC278" s="591">
        <v>181</v>
      </c>
      <c r="DD278"/>
      <c r="DE278"/>
      <c r="DF278"/>
      <c r="DG278"/>
      <c r="DH278"/>
      <c r="DI278"/>
      <c r="DJ278"/>
      <c r="DK278"/>
      <c r="DL278"/>
      <c r="DM278"/>
    </row>
    <row r="279" spans="1:126" x14ac:dyDescent="0.25">
      <c r="D279" s="117" t="s">
        <v>546</v>
      </c>
      <c r="E279" s="263" t="s">
        <v>160</v>
      </c>
      <c r="F279" s="263" t="s">
        <v>160</v>
      </c>
      <c r="G279" s="263" t="s">
        <v>160</v>
      </c>
      <c r="H279" s="263" t="s">
        <v>160</v>
      </c>
      <c r="I279" s="263" t="s">
        <v>160</v>
      </c>
      <c r="J279" s="264" t="s">
        <v>160</v>
      </c>
      <c r="K279" s="264" t="s">
        <v>160</v>
      </c>
      <c r="L279" s="264" t="s">
        <v>160</v>
      </c>
      <c r="M279" s="264" t="s">
        <v>160</v>
      </c>
      <c r="N279" s="592" t="s">
        <v>160</v>
      </c>
      <c r="O279" s="592" t="s">
        <v>160</v>
      </c>
      <c r="P279" s="592" t="s">
        <v>160</v>
      </c>
      <c r="Q279" s="592" t="s">
        <v>160</v>
      </c>
      <c r="R279" s="592" t="s">
        <v>160</v>
      </c>
      <c r="S279" s="592" t="s">
        <v>160</v>
      </c>
      <c r="T279" s="592" t="s">
        <v>160</v>
      </c>
      <c r="U279" s="592" t="s">
        <v>160</v>
      </c>
      <c r="V279" s="592" t="s">
        <v>160</v>
      </c>
      <c r="W279" s="592" t="s">
        <v>160</v>
      </c>
      <c r="X279" s="592" t="s">
        <v>160</v>
      </c>
      <c r="Y279" s="592" t="s">
        <v>160</v>
      </c>
      <c r="Z279" s="592" t="s">
        <v>160</v>
      </c>
      <c r="AA279" s="592" t="s">
        <v>160</v>
      </c>
      <c r="AB279" s="592" t="s">
        <v>160</v>
      </c>
      <c r="AC279" s="592" t="s">
        <v>160</v>
      </c>
      <c r="AD279" s="592" t="s">
        <v>160</v>
      </c>
      <c r="AE279" s="592" t="s">
        <v>160</v>
      </c>
      <c r="AF279" s="592" t="s">
        <v>160</v>
      </c>
      <c r="AG279" s="592" t="s">
        <v>160</v>
      </c>
      <c r="AH279" s="591" t="s">
        <v>160</v>
      </c>
      <c r="AI279" s="591" t="s">
        <v>160</v>
      </c>
      <c r="AJ279" s="591" t="s">
        <v>160</v>
      </c>
      <c r="AK279" s="591" t="s">
        <v>160</v>
      </c>
      <c r="AL279" s="346" t="s">
        <v>160</v>
      </c>
      <c r="AM279" s="346" t="s">
        <v>160</v>
      </c>
      <c r="AN279" s="346" t="s">
        <v>160</v>
      </c>
      <c r="AO279" s="346" t="s">
        <v>160</v>
      </c>
      <c r="AP279" s="346" t="s">
        <v>160</v>
      </c>
      <c r="AQ279" s="346" t="s">
        <v>160</v>
      </c>
      <c r="AR279" s="346" t="s">
        <v>160</v>
      </c>
      <c r="AS279" s="346" t="s">
        <v>160</v>
      </c>
      <c r="AT279" s="346" t="s">
        <v>160</v>
      </c>
      <c r="AU279" s="346" t="s">
        <v>160</v>
      </c>
      <c r="AV279" s="346" t="s">
        <v>160</v>
      </c>
      <c r="AW279" s="346" t="s">
        <v>160</v>
      </c>
      <c r="AX279" s="947" t="s">
        <v>160</v>
      </c>
      <c r="AY279" s="346" t="s">
        <v>160</v>
      </c>
      <c r="AZ279" s="346" t="s">
        <v>160</v>
      </c>
      <c r="BA279" s="346" t="s">
        <v>160</v>
      </c>
      <c r="BB279" s="346" t="s">
        <v>160</v>
      </c>
      <c r="BC279" s="346" t="s">
        <v>160</v>
      </c>
      <c r="BD279" s="346" t="s">
        <v>160</v>
      </c>
      <c r="BE279" s="346" t="s">
        <v>160</v>
      </c>
      <c r="BF279" s="346" t="s">
        <v>160</v>
      </c>
      <c r="BG279" s="346" t="s">
        <v>160</v>
      </c>
      <c r="BH279" s="346" t="s">
        <v>160</v>
      </c>
      <c r="BI279" s="346" t="s">
        <v>160</v>
      </c>
      <c r="BJ279" s="346" t="s">
        <v>160</v>
      </c>
      <c r="BK279" s="346" t="s">
        <v>160</v>
      </c>
      <c r="BL279" s="346" t="s">
        <v>160</v>
      </c>
      <c r="BM279" s="346" t="s">
        <v>160</v>
      </c>
      <c r="BN279" s="346" t="s">
        <v>160</v>
      </c>
      <c r="BO279" s="346" t="s">
        <v>160</v>
      </c>
      <c r="BP279" s="591" t="s">
        <v>160</v>
      </c>
      <c r="BQ279" s="591" t="s">
        <v>160</v>
      </c>
      <c r="BR279" s="591" t="s">
        <v>160</v>
      </c>
      <c r="BS279" s="591" t="s">
        <v>160</v>
      </c>
      <c r="BT279" s="591" t="s">
        <v>160</v>
      </c>
      <c r="BU279" s="591" t="s">
        <v>160</v>
      </c>
      <c r="BV279" s="591" t="s">
        <v>160</v>
      </c>
      <c r="BW279" s="591" t="s">
        <v>160</v>
      </c>
      <c r="BX279" s="591" t="s">
        <v>160</v>
      </c>
      <c r="BY279" s="591" t="s">
        <v>160</v>
      </c>
      <c r="BZ279" s="591" t="s">
        <v>160</v>
      </c>
      <c r="CA279" s="591" t="s">
        <v>160</v>
      </c>
      <c r="CB279" s="591" t="s">
        <v>160</v>
      </c>
      <c r="CC279" s="591" t="s">
        <v>160</v>
      </c>
      <c r="CD279" s="591" t="s">
        <v>160</v>
      </c>
      <c r="CE279" s="591" t="s">
        <v>160</v>
      </c>
      <c r="CF279" s="591" t="s">
        <v>160</v>
      </c>
      <c r="CG279" s="591" t="s">
        <v>160</v>
      </c>
      <c r="CH279" s="591" t="s">
        <v>160</v>
      </c>
      <c r="CI279" s="591" t="s">
        <v>160</v>
      </c>
      <c r="CJ279" s="591" t="s">
        <v>160</v>
      </c>
      <c r="CK279" s="591" t="s">
        <v>160</v>
      </c>
      <c r="CL279" s="591" t="s">
        <v>160</v>
      </c>
      <c r="CM279" s="591" t="s">
        <v>160</v>
      </c>
      <c r="CN279" s="591" t="s">
        <v>160</v>
      </c>
      <c r="CO279" s="591" t="s">
        <v>160</v>
      </c>
      <c r="CP279" s="591" t="s">
        <v>160</v>
      </c>
      <c r="CQ279" s="591" t="s">
        <v>160</v>
      </c>
      <c r="CR279" s="591" t="s">
        <v>160</v>
      </c>
      <c r="CS279" s="591" t="s">
        <v>160</v>
      </c>
      <c r="CT279" s="591" t="s">
        <v>160</v>
      </c>
      <c r="CU279" s="591" t="s">
        <v>160</v>
      </c>
      <c r="CV279" s="591" t="s">
        <v>160</v>
      </c>
      <c r="CW279" s="591" t="s">
        <v>160</v>
      </c>
      <c r="CX279" s="591" t="s">
        <v>160</v>
      </c>
      <c r="CY279" s="591" t="s">
        <v>160</v>
      </c>
      <c r="CZ279" s="591" t="s">
        <v>160</v>
      </c>
      <c r="DA279" s="591" t="s">
        <v>160</v>
      </c>
      <c r="DB279" s="591" t="s">
        <v>160</v>
      </c>
      <c r="DC279" s="591" t="s">
        <v>160</v>
      </c>
      <c r="DD279"/>
      <c r="DE279"/>
      <c r="DF279"/>
      <c r="DG279"/>
      <c r="DH279"/>
      <c r="DI279"/>
      <c r="DJ279"/>
      <c r="DK279"/>
      <c r="DL279"/>
      <c r="DM279"/>
    </row>
    <row r="280" spans="1:126" x14ac:dyDescent="0.25">
      <c r="D280" s="117" t="s">
        <v>574</v>
      </c>
      <c r="E280" s="263" t="s">
        <v>160</v>
      </c>
      <c r="F280" s="263" t="s">
        <v>160</v>
      </c>
      <c r="G280" s="263" t="s">
        <v>160</v>
      </c>
      <c r="H280" s="263" t="s">
        <v>160</v>
      </c>
      <c r="I280" s="263" t="s">
        <v>160</v>
      </c>
      <c r="J280" s="263" t="s">
        <v>160</v>
      </c>
      <c r="K280" s="263" t="s">
        <v>160</v>
      </c>
      <c r="L280" s="263" t="s">
        <v>160</v>
      </c>
      <c r="M280" s="263" t="s">
        <v>160</v>
      </c>
      <c r="N280" s="351" t="s">
        <v>160</v>
      </c>
      <c r="O280" s="351" t="s">
        <v>160</v>
      </c>
      <c r="P280" s="351" t="s">
        <v>160</v>
      </c>
      <c r="Q280" s="592" t="s">
        <v>160</v>
      </c>
      <c r="R280" s="592" t="s">
        <v>160</v>
      </c>
      <c r="S280" s="592" t="s">
        <v>160</v>
      </c>
      <c r="T280" s="592" t="s">
        <v>160</v>
      </c>
      <c r="U280" s="592" t="s">
        <v>160</v>
      </c>
      <c r="V280" s="592" t="s">
        <v>160</v>
      </c>
      <c r="W280" s="592" t="s">
        <v>160</v>
      </c>
      <c r="X280" s="592" t="s">
        <v>160</v>
      </c>
      <c r="Y280" s="591" t="s">
        <v>160</v>
      </c>
      <c r="Z280" s="592" t="s">
        <v>160</v>
      </c>
      <c r="AA280" s="592" t="s">
        <v>160</v>
      </c>
      <c r="AB280" s="592" t="s">
        <v>160</v>
      </c>
      <c r="AC280" s="592" t="s">
        <v>160</v>
      </c>
      <c r="AD280" s="592" t="s">
        <v>160</v>
      </c>
      <c r="AE280" s="592" t="s">
        <v>160</v>
      </c>
      <c r="AF280" s="592" t="s">
        <v>160</v>
      </c>
      <c r="AG280" s="592" t="s">
        <v>160</v>
      </c>
      <c r="AH280" s="592" t="s">
        <v>160</v>
      </c>
      <c r="AI280" s="592" t="s">
        <v>160</v>
      </c>
      <c r="AJ280" s="592" t="s">
        <v>160</v>
      </c>
      <c r="AK280" s="592" t="s">
        <v>160</v>
      </c>
      <c r="AL280" s="346" t="s">
        <v>160</v>
      </c>
      <c r="AM280" s="346" t="s">
        <v>160</v>
      </c>
      <c r="AN280" s="346" t="s">
        <v>160</v>
      </c>
      <c r="AO280" s="346" t="s">
        <v>160</v>
      </c>
      <c r="AP280" s="346" t="s">
        <v>160</v>
      </c>
      <c r="AQ280" s="346" t="s">
        <v>160</v>
      </c>
      <c r="AR280" s="346" t="s">
        <v>160</v>
      </c>
      <c r="AS280" s="346" t="s">
        <v>160</v>
      </c>
      <c r="AT280" s="346" t="s">
        <v>160</v>
      </c>
      <c r="AU280" s="346" t="s">
        <v>160</v>
      </c>
      <c r="AV280" s="346" t="s">
        <v>160</v>
      </c>
      <c r="AW280" s="346" t="s">
        <v>160</v>
      </c>
      <c r="AX280" s="947" t="s">
        <v>160</v>
      </c>
      <c r="AY280" s="348" t="s">
        <v>160</v>
      </c>
      <c r="AZ280" s="348" t="s">
        <v>160</v>
      </c>
      <c r="BA280" s="346" t="s">
        <v>160</v>
      </c>
      <c r="BB280" s="346" t="s">
        <v>160</v>
      </c>
      <c r="BC280" s="346" t="s">
        <v>160</v>
      </c>
      <c r="BD280" s="346" t="s">
        <v>160</v>
      </c>
      <c r="BE280" s="346" t="s">
        <v>160</v>
      </c>
      <c r="BF280" s="346" t="s">
        <v>160</v>
      </c>
      <c r="BG280" s="346" t="s">
        <v>160</v>
      </c>
      <c r="BH280" s="346" t="s">
        <v>160</v>
      </c>
      <c r="BI280" s="346" t="s">
        <v>160</v>
      </c>
      <c r="BJ280" s="346" t="s">
        <v>160</v>
      </c>
      <c r="BK280" s="346" t="s">
        <v>160</v>
      </c>
      <c r="BL280" s="346" t="s">
        <v>160</v>
      </c>
      <c r="BM280" s="346" t="s">
        <v>160</v>
      </c>
      <c r="BN280" s="346" t="s">
        <v>160</v>
      </c>
      <c r="BO280" s="346" t="s">
        <v>160</v>
      </c>
      <c r="BP280" s="591" t="s">
        <v>160</v>
      </c>
      <c r="BQ280" s="591" t="s">
        <v>160</v>
      </c>
      <c r="BR280" s="591" t="s">
        <v>160</v>
      </c>
      <c r="BS280" s="591" t="s">
        <v>160</v>
      </c>
      <c r="BT280" s="591" t="s">
        <v>160</v>
      </c>
      <c r="BU280" s="591" t="s">
        <v>160</v>
      </c>
      <c r="BV280" s="591" t="s">
        <v>160</v>
      </c>
      <c r="BW280" s="591" t="s">
        <v>160</v>
      </c>
      <c r="BX280" s="591" t="s">
        <v>160</v>
      </c>
      <c r="BY280" s="591" t="s">
        <v>160</v>
      </c>
      <c r="BZ280" s="591" t="s">
        <v>160</v>
      </c>
      <c r="CA280" s="591">
        <v>205</v>
      </c>
      <c r="CB280" s="591">
        <v>205</v>
      </c>
      <c r="CC280" s="591">
        <v>205</v>
      </c>
      <c r="CD280" s="591">
        <v>205</v>
      </c>
      <c r="CE280" s="591">
        <v>205</v>
      </c>
      <c r="CF280" s="591">
        <v>205</v>
      </c>
      <c r="CG280" s="591">
        <v>205</v>
      </c>
      <c r="CH280" s="591">
        <v>205</v>
      </c>
      <c r="CI280" s="591">
        <v>205</v>
      </c>
      <c r="CJ280" s="591">
        <v>205</v>
      </c>
      <c r="CK280" s="591">
        <v>205</v>
      </c>
      <c r="CL280" s="591" t="s">
        <v>160</v>
      </c>
      <c r="CM280" s="591" t="s">
        <v>160</v>
      </c>
      <c r="CN280" s="591" t="s">
        <v>160</v>
      </c>
      <c r="CO280" s="591" t="s">
        <v>160</v>
      </c>
      <c r="CP280" s="591" t="s">
        <v>160</v>
      </c>
      <c r="CQ280" s="591" t="s">
        <v>160</v>
      </c>
      <c r="CR280" s="591" t="s">
        <v>160</v>
      </c>
      <c r="CS280" s="591" t="s">
        <v>160</v>
      </c>
      <c r="CT280" s="591" t="s">
        <v>160</v>
      </c>
      <c r="CU280" s="591" t="s">
        <v>160</v>
      </c>
      <c r="CV280" s="591" t="s">
        <v>160</v>
      </c>
      <c r="CW280" s="591" t="s">
        <v>160</v>
      </c>
      <c r="CX280" s="591" t="s">
        <v>160</v>
      </c>
      <c r="CY280" s="591" t="s">
        <v>160</v>
      </c>
      <c r="CZ280" s="591" t="s">
        <v>160</v>
      </c>
      <c r="DA280" s="591" t="s">
        <v>160</v>
      </c>
      <c r="DB280" s="591" t="s">
        <v>160</v>
      </c>
      <c r="DC280" s="591" t="s">
        <v>160</v>
      </c>
      <c r="DD280"/>
      <c r="DE280"/>
      <c r="DF280"/>
      <c r="DG280"/>
      <c r="DH280"/>
      <c r="DI280"/>
      <c r="DJ280"/>
      <c r="DK280"/>
      <c r="DL280"/>
      <c r="DM280"/>
    </row>
    <row r="281" spans="1:126" x14ac:dyDescent="0.25">
      <c r="D281" s="117" t="s">
        <v>547</v>
      </c>
      <c r="E281" s="263" t="s">
        <v>160</v>
      </c>
      <c r="F281" s="263" t="s">
        <v>160</v>
      </c>
      <c r="G281" s="263" t="s">
        <v>160</v>
      </c>
      <c r="H281" s="263" t="s">
        <v>160</v>
      </c>
      <c r="I281" s="264" t="s">
        <v>160</v>
      </c>
      <c r="J281" s="264" t="s">
        <v>160</v>
      </c>
      <c r="K281" s="264" t="s">
        <v>160</v>
      </c>
      <c r="L281" s="264" t="s">
        <v>160</v>
      </c>
      <c r="M281" s="264" t="s">
        <v>160</v>
      </c>
      <c r="N281" s="592" t="s">
        <v>160</v>
      </c>
      <c r="O281" s="592" t="s">
        <v>160</v>
      </c>
      <c r="P281" s="592" t="s">
        <v>160</v>
      </c>
      <c r="Q281" s="592" t="s">
        <v>160</v>
      </c>
      <c r="R281" s="592" t="s">
        <v>160</v>
      </c>
      <c r="S281" s="591" t="s">
        <v>160</v>
      </c>
      <c r="T281" s="591" t="s">
        <v>160</v>
      </c>
      <c r="U281" s="591" t="s">
        <v>160</v>
      </c>
      <c r="V281" s="591" t="s">
        <v>160</v>
      </c>
      <c r="W281" s="591" t="s">
        <v>160</v>
      </c>
      <c r="X281" s="591" t="s">
        <v>160</v>
      </c>
      <c r="Y281" s="591" t="s">
        <v>160</v>
      </c>
      <c r="Z281" s="591" t="s">
        <v>160</v>
      </c>
      <c r="AA281" s="591" t="s">
        <v>160</v>
      </c>
      <c r="AB281" s="591" t="s">
        <v>160</v>
      </c>
      <c r="AC281" s="591" t="s">
        <v>160</v>
      </c>
      <c r="AD281" s="591" t="s">
        <v>160</v>
      </c>
      <c r="AE281" s="591" t="s">
        <v>160</v>
      </c>
      <c r="AF281" s="591" t="s">
        <v>160</v>
      </c>
      <c r="AG281" s="591" t="s">
        <v>160</v>
      </c>
      <c r="AH281" s="591" t="s">
        <v>160</v>
      </c>
      <c r="AI281" s="591" t="s">
        <v>160</v>
      </c>
      <c r="AJ281" s="591" t="s">
        <v>160</v>
      </c>
      <c r="AK281" s="591" t="s">
        <v>160</v>
      </c>
      <c r="AL281" s="346" t="s">
        <v>160</v>
      </c>
      <c r="AM281" s="346" t="s">
        <v>160</v>
      </c>
      <c r="AN281" s="346" t="s">
        <v>160</v>
      </c>
      <c r="AO281" s="346" t="s">
        <v>160</v>
      </c>
      <c r="AP281" s="346" t="s">
        <v>160</v>
      </c>
      <c r="AQ281" s="346" t="s">
        <v>160</v>
      </c>
      <c r="AR281" s="346" t="s">
        <v>160</v>
      </c>
      <c r="AS281" s="346" t="s">
        <v>160</v>
      </c>
      <c r="AT281" s="346" t="s">
        <v>160</v>
      </c>
      <c r="AU281" s="346" t="s">
        <v>160</v>
      </c>
      <c r="AV281" s="346" t="s">
        <v>160</v>
      </c>
      <c r="AW281" s="346" t="s">
        <v>160</v>
      </c>
      <c r="AX281" s="947" t="s">
        <v>160</v>
      </c>
      <c r="AY281" s="346" t="s">
        <v>160</v>
      </c>
      <c r="AZ281" s="346" t="s">
        <v>160</v>
      </c>
      <c r="BA281" s="346" t="s">
        <v>160</v>
      </c>
      <c r="BB281" s="346" t="s">
        <v>160</v>
      </c>
      <c r="BC281" s="346" t="s">
        <v>160</v>
      </c>
      <c r="BD281" s="346" t="s">
        <v>160</v>
      </c>
      <c r="BE281" s="346" t="s">
        <v>160</v>
      </c>
      <c r="BF281" s="346" t="s">
        <v>160</v>
      </c>
      <c r="BG281" s="346" t="s">
        <v>160</v>
      </c>
      <c r="BH281" s="346" t="s">
        <v>160</v>
      </c>
      <c r="BI281" s="346" t="s">
        <v>160</v>
      </c>
      <c r="BJ281" s="346" t="s">
        <v>160</v>
      </c>
      <c r="BK281" s="346" t="s">
        <v>160</v>
      </c>
      <c r="BL281" s="346" t="s">
        <v>160</v>
      </c>
      <c r="BM281" s="346" t="s">
        <v>160</v>
      </c>
      <c r="BN281" s="346" t="s">
        <v>160</v>
      </c>
      <c r="BO281" s="346" t="s">
        <v>160</v>
      </c>
      <c r="BP281" s="591" t="s">
        <v>160</v>
      </c>
      <c r="BQ281" s="591" t="s">
        <v>160</v>
      </c>
      <c r="BR281" s="591" t="s">
        <v>160</v>
      </c>
      <c r="BS281" s="591" t="s">
        <v>160</v>
      </c>
      <c r="BT281" s="591" t="s">
        <v>160</v>
      </c>
      <c r="BU281" s="591" t="s">
        <v>160</v>
      </c>
      <c r="BV281" s="591" t="s">
        <v>160</v>
      </c>
      <c r="BW281" s="591" t="s">
        <v>160</v>
      </c>
      <c r="BX281" s="591" t="s">
        <v>160</v>
      </c>
      <c r="BY281" s="591" t="s">
        <v>160</v>
      </c>
      <c r="BZ281" s="591" t="s">
        <v>160</v>
      </c>
      <c r="CA281" s="591">
        <v>173</v>
      </c>
      <c r="CB281" s="591">
        <v>173</v>
      </c>
      <c r="CC281" s="591">
        <v>173</v>
      </c>
      <c r="CD281" s="591">
        <v>173</v>
      </c>
      <c r="CE281" s="591">
        <v>173</v>
      </c>
      <c r="CF281" s="341">
        <v>183.1</v>
      </c>
      <c r="CG281" s="591">
        <v>183.1</v>
      </c>
      <c r="CH281" s="591">
        <v>183.1</v>
      </c>
      <c r="CI281" s="591">
        <v>183.1</v>
      </c>
      <c r="CJ281" s="591">
        <v>183.1</v>
      </c>
      <c r="CK281" s="591">
        <v>183.1</v>
      </c>
      <c r="CL281" s="591">
        <v>183.1</v>
      </c>
      <c r="CM281" s="591">
        <v>183.1</v>
      </c>
      <c r="CN281" s="591">
        <v>183.1</v>
      </c>
      <c r="CO281" s="591">
        <v>183.1</v>
      </c>
      <c r="CP281" s="591">
        <v>183.1</v>
      </c>
      <c r="CQ281" s="591">
        <v>202</v>
      </c>
      <c r="CR281" s="591">
        <v>202</v>
      </c>
      <c r="CS281" s="591">
        <v>202</v>
      </c>
      <c r="CT281" s="591">
        <v>202</v>
      </c>
      <c r="CU281" s="591">
        <v>202</v>
      </c>
      <c r="CV281" s="591">
        <v>202</v>
      </c>
      <c r="CW281" s="591">
        <v>202</v>
      </c>
      <c r="CX281" s="591">
        <v>202</v>
      </c>
      <c r="CY281" s="591">
        <v>202</v>
      </c>
      <c r="CZ281" s="591">
        <v>202</v>
      </c>
      <c r="DA281" s="690">
        <v>249</v>
      </c>
      <c r="DB281" s="591">
        <v>249</v>
      </c>
      <c r="DC281" s="591">
        <v>249</v>
      </c>
      <c r="DD281"/>
      <c r="DE281"/>
      <c r="DF281"/>
      <c r="DG281"/>
      <c r="DH281"/>
      <c r="DI281"/>
      <c r="DJ281"/>
      <c r="DK281"/>
      <c r="DL281"/>
      <c r="DM281"/>
    </row>
    <row r="282" spans="1:126" x14ac:dyDescent="0.25">
      <c r="D282" s="117" t="s">
        <v>1985</v>
      </c>
      <c r="E282" s="346" t="s">
        <v>160</v>
      </c>
      <c r="F282" s="346" t="s">
        <v>160</v>
      </c>
      <c r="G282" s="346" t="s">
        <v>160</v>
      </c>
      <c r="H282" s="346" t="s">
        <v>160</v>
      </c>
      <c r="I282" s="346" t="s">
        <v>160</v>
      </c>
      <c r="J282" s="346" t="s">
        <v>160</v>
      </c>
      <c r="K282" s="346" t="s">
        <v>160</v>
      </c>
      <c r="L282" s="346" t="s">
        <v>160</v>
      </c>
      <c r="M282" s="346" t="s">
        <v>160</v>
      </c>
      <c r="N282" s="346" t="s">
        <v>160</v>
      </c>
      <c r="O282" s="346" t="s">
        <v>160</v>
      </c>
      <c r="P282" s="346" t="s">
        <v>160</v>
      </c>
      <c r="Q282" s="346" t="s">
        <v>160</v>
      </c>
      <c r="R282" s="346" t="s">
        <v>160</v>
      </c>
      <c r="S282" s="346" t="s">
        <v>160</v>
      </c>
      <c r="T282" s="346" t="s">
        <v>160</v>
      </c>
      <c r="U282" s="346" t="s">
        <v>160</v>
      </c>
      <c r="V282" s="346" t="s">
        <v>160</v>
      </c>
      <c r="W282" s="346" t="s">
        <v>160</v>
      </c>
      <c r="X282" s="346" t="s">
        <v>160</v>
      </c>
      <c r="Y282" s="346" t="s">
        <v>160</v>
      </c>
      <c r="Z282" s="346" t="s">
        <v>160</v>
      </c>
      <c r="AA282" s="346" t="s">
        <v>160</v>
      </c>
      <c r="AB282" s="346" t="s">
        <v>160</v>
      </c>
      <c r="AC282" s="346" t="s">
        <v>160</v>
      </c>
      <c r="AD282" s="346" t="s">
        <v>160</v>
      </c>
      <c r="AE282" s="346" t="s">
        <v>160</v>
      </c>
      <c r="AF282" s="346" t="s">
        <v>160</v>
      </c>
      <c r="AG282" s="346" t="s">
        <v>160</v>
      </c>
      <c r="AH282" s="346" t="s">
        <v>160</v>
      </c>
      <c r="AI282" s="346" t="s">
        <v>160</v>
      </c>
      <c r="AJ282" s="346" t="s">
        <v>160</v>
      </c>
      <c r="AK282" s="346" t="s">
        <v>160</v>
      </c>
      <c r="AL282" s="346" t="s">
        <v>160</v>
      </c>
      <c r="AM282" s="346" t="s">
        <v>160</v>
      </c>
      <c r="AN282" s="346" t="s">
        <v>160</v>
      </c>
      <c r="AO282" s="346" t="s">
        <v>160</v>
      </c>
      <c r="AP282" s="346" t="s">
        <v>160</v>
      </c>
      <c r="AQ282" s="346" t="s">
        <v>160</v>
      </c>
      <c r="AR282" s="346" t="s">
        <v>160</v>
      </c>
      <c r="AS282" s="346" t="s">
        <v>160</v>
      </c>
      <c r="AT282" s="346" t="s">
        <v>160</v>
      </c>
      <c r="AU282" s="346" t="s">
        <v>160</v>
      </c>
      <c r="AV282" s="346" t="s">
        <v>160</v>
      </c>
      <c r="AW282" s="346" t="s">
        <v>160</v>
      </c>
      <c r="AX282" s="346" t="s">
        <v>160</v>
      </c>
      <c r="AY282" s="346" t="s">
        <v>160</v>
      </c>
      <c r="AZ282" s="346" t="s">
        <v>160</v>
      </c>
      <c r="BA282" s="346" t="s">
        <v>160</v>
      </c>
      <c r="BB282" s="346" t="s">
        <v>160</v>
      </c>
      <c r="BC282" s="346" t="s">
        <v>160</v>
      </c>
      <c r="BD282" s="346" t="s">
        <v>160</v>
      </c>
      <c r="BE282" s="346" t="s">
        <v>160</v>
      </c>
      <c r="BF282" s="346" t="s">
        <v>160</v>
      </c>
      <c r="BG282" s="346" t="s">
        <v>160</v>
      </c>
      <c r="BH282" s="346" t="s">
        <v>160</v>
      </c>
      <c r="BI282" s="346" t="s">
        <v>160</v>
      </c>
      <c r="BJ282" s="346" t="s">
        <v>160</v>
      </c>
      <c r="BK282" s="346" t="s">
        <v>160</v>
      </c>
      <c r="BL282" s="346" t="s">
        <v>160</v>
      </c>
      <c r="BM282" s="346" t="s">
        <v>160</v>
      </c>
      <c r="BN282" s="346" t="s">
        <v>160</v>
      </c>
      <c r="BO282" s="346" t="s">
        <v>160</v>
      </c>
      <c r="BP282" s="591" t="s">
        <v>160</v>
      </c>
      <c r="BQ282" s="591" t="s">
        <v>160</v>
      </c>
      <c r="BR282" s="591" t="s">
        <v>160</v>
      </c>
      <c r="BS282" s="591" t="s">
        <v>160</v>
      </c>
      <c r="BT282" s="591" t="s">
        <v>160</v>
      </c>
      <c r="BU282" s="591" t="s">
        <v>160</v>
      </c>
      <c r="BV282" s="591" t="s">
        <v>160</v>
      </c>
      <c r="BW282" s="591" t="s">
        <v>160</v>
      </c>
      <c r="BX282" s="591" t="s">
        <v>160</v>
      </c>
      <c r="BY282" s="591" t="s">
        <v>160</v>
      </c>
      <c r="BZ282" s="591" t="s">
        <v>160</v>
      </c>
      <c r="CA282" s="591" t="s">
        <v>160</v>
      </c>
      <c r="CB282" s="591" t="s">
        <v>160</v>
      </c>
      <c r="CC282" s="591" t="s">
        <v>160</v>
      </c>
      <c r="CD282" s="591">
        <v>195</v>
      </c>
      <c r="CE282" s="591">
        <v>195</v>
      </c>
      <c r="CF282" s="591">
        <v>195</v>
      </c>
      <c r="CG282" s="591">
        <v>195</v>
      </c>
      <c r="CH282" s="591">
        <v>195</v>
      </c>
      <c r="CI282" s="591">
        <v>195</v>
      </c>
      <c r="CJ282" s="591">
        <v>195</v>
      </c>
      <c r="CK282" s="591" t="s">
        <v>160</v>
      </c>
      <c r="CL282" s="591" t="s">
        <v>160</v>
      </c>
      <c r="CM282" s="591" t="s">
        <v>160</v>
      </c>
      <c r="CN282" s="591" t="s">
        <v>160</v>
      </c>
      <c r="CO282" s="591" t="s">
        <v>160</v>
      </c>
      <c r="CP282" s="591" t="s">
        <v>160</v>
      </c>
      <c r="CQ282" s="591" t="s">
        <v>160</v>
      </c>
      <c r="CR282" s="591" t="s">
        <v>160</v>
      </c>
      <c r="CS282" s="591" t="s">
        <v>160</v>
      </c>
      <c r="CT282" s="591" t="s">
        <v>160</v>
      </c>
      <c r="CU282" s="591" t="s">
        <v>160</v>
      </c>
      <c r="CV282" s="591" t="s">
        <v>160</v>
      </c>
      <c r="CW282" s="591" t="s">
        <v>160</v>
      </c>
      <c r="CX282" s="591" t="s">
        <v>160</v>
      </c>
      <c r="CY282" s="591" t="s">
        <v>160</v>
      </c>
      <c r="CZ282" s="591" t="s">
        <v>160</v>
      </c>
      <c r="DA282" s="591" t="s">
        <v>160</v>
      </c>
      <c r="DB282" s="591" t="s">
        <v>160</v>
      </c>
      <c r="DC282" s="591" t="s">
        <v>160</v>
      </c>
      <c r="DD282"/>
      <c r="DE282"/>
      <c r="DF282"/>
      <c r="DG282"/>
      <c r="DH282"/>
      <c r="DI282"/>
      <c r="DJ282"/>
      <c r="DK282"/>
      <c r="DL282"/>
      <c r="DM282"/>
    </row>
    <row r="283" spans="1:126" x14ac:dyDescent="0.25">
      <c r="D283" s="1092" t="s">
        <v>557</v>
      </c>
      <c r="E283" s="1095" t="s">
        <v>160</v>
      </c>
      <c r="F283" s="1095" t="s">
        <v>160</v>
      </c>
      <c r="G283" s="1095" t="s">
        <v>160</v>
      </c>
      <c r="H283" s="1095" t="s">
        <v>160</v>
      </c>
      <c r="I283" s="1095" t="s">
        <v>160</v>
      </c>
      <c r="J283" s="1095" t="s">
        <v>160</v>
      </c>
      <c r="K283" s="1095" t="s">
        <v>160</v>
      </c>
      <c r="L283" s="1095" t="s">
        <v>160</v>
      </c>
      <c r="M283" s="1095" t="s">
        <v>160</v>
      </c>
      <c r="N283" s="1095" t="s">
        <v>160</v>
      </c>
      <c r="O283" s="1095" t="s">
        <v>160</v>
      </c>
      <c r="P283" s="1095" t="s">
        <v>160</v>
      </c>
      <c r="Q283" s="1095" t="s">
        <v>160</v>
      </c>
      <c r="R283" s="1095" t="s">
        <v>160</v>
      </c>
      <c r="S283" s="1095" t="s">
        <v>160</v>
      </c>
      <c r="T283" s="1095" t="s">
        <v>160</v>
      </c>
      <c r="U283" s="1095" t="s">
        <v>160</v>
      </c>
      <c r="V283" s="1095" t="s">
        <v>160</v>
      </c>
      <c r="W283" s="1095" t="s">
        <v>160</v>
      </c>
      <c r="X283" s="1095" t="s">
        <v>160</v>
      </c>
      <c r="Y283" s="1095" t="s">
        <v>160</v>
      </c>
      <c r="Z283" s="1095" t="s">
        <v>160</v>
      </c>
      <c r="AA283" s="1095" t="s">
        <v>160</v>
      </c>
      <c r="AB283" s="1095" t="s">
        <v>160</v>
      </c>
      <c r="AC283" s="1095" t="s">
        <v>160</v>
      </c>
      <c r="AD283" s="1095" t="s">
        <v>160</v>
      </c>
      <c r="AE283" s="1095" t="s">
        <v>160</v>
      </c>
      <c r="AF283" s="1095" t="s">
        <v>160</v>
      </c>
      <c r="AG283" s="1095" t="s">
        <v>160</v>
      </c>
      <c r="AH283" s="1095" t="s">
        <v>160</v>
      </c>
      <c r="AI283" s="1095" t="s">
        <v>160</v>
      </c>
      <c r="AJ283" s="1095" t="s">
        <v>160</v>
      </c>
      <c r="AK283" s="1095" t="s">
        <v>160</v>
      </c>
      <c r="AL283" s="1095" t="s">
        <v>160</v>
      </c>
      <c r="AM283" s="1095" t="s">
        <v>160</v>
      </c>
      <c r="AN283" s="1095" t="s">
        <v>160</v>
      </c>
      <c r="AO283" s="1095" t="s">
        <v>160</v>
      </c>
      <c r="AP283" s="1095" t="s">
        <v>160</v>
      </c>
      <c r="AQ283" s="1095" t="s">
        <v>160</v>
      </c>
      <c r="AR283" s="1095" t="s">
        <v>160</v>
      </c>
      <c r="AS283" s="1095" t="s">
        <v>160</v>
      </c>
      <c r="AT283" s="1095" t="s">
        <v>160</v>
      </c>
      <c r="AU283" s="1095" t="s">
        <v>160</v>
      </c>
      <c r="AV283" s="1095" t="s">
        <v>160</v>
      </c>
      <c r="AW283" s="1095" t="s">
        <v>160</v>
      </c>
      <c r="AX283" s="1095" t="s">
        <v>160</v>
      </c>
      <c r="AY283" s="1095" t="s">
        <v>160</v>
      </c>
      <c r="AZ283" s="1095" t="s">
        <v>160</v>
      </c>
      <c r="BA283" s="1095" t="s">
        <v>160</v>
      </c>
      <c r="BB283" s="1095" t="s">
        <v>160</v>
      </c>
      <c r="BC283" s="1095" t="s">
        <v>160</v>
      </c>
      <c r="BD283" s="1095" t="s">
        <v>160</v>
      </c>
      <c r="BE283" s="1095" t="s">
        <v>160</v>
      </c>
      <c r="BF283" s="1095" t="s">
        <v>160</v>
      </c>
      <c r="BG283" s="1095" t="s">
        <v>160</v>
      </c>
      <c r="BH283" s="1095" t="s">
        <v>160</v>
      </c>
      <c r="BI283" s="1095" t="s">
        <v>160</v>
      </c>
      <c r="BJ283" s="1095" t="s">
        <v>160</v>
      </c>
      <c r="BK283" s="1095" t="s">
        <v>160</v>
      </c>
      <c r="BL283" s="1095" t="s">
        <v>160</v>
      </c>
      <c r="BM283" s="1095" t="s">
        <v>160</v>
      </c>
      <c r="BN283" s="1095" t="s">
        <v>160</v>
      </c>
      <c r="BO283" s="1095" t="s">
        <v>160</v>
      </c>
      <c r="BP283" s="1095" t="s">
        <v>160</v>
      </c>
      <c r="BQ283" s="1095" t="s">
        <v>160</v>
      </c>
      <c r="BR283" s="1095" t="s">
        <v>160</v>
      </c>
      <c r="BS283" s="1095" t="s">
        <v>160</v>
      </c>
      <c r="BT283" s="1095" t="s">
        <v>160</v>
      </c>
      <c r="BU283" s="1095" t="s">
        <v>160</v>
      </c>
      <c r="BV283" s="1095" t="s">
        <v>160</v>
      </c>
      <c r="BW283" s="1095" t="s">
        <v>160</v>
      </c>
      <c r="BX283" s="1095" t="s">
        <v>160</v>
      </c>
      <c r="BY283" s="1095" t="s">
        <v>160</v>
      </c>
      <c r="BZ283" s="1095" t="s">
        <v>160</v>
      </c>
      <c r="CA283" s="1095">
        <v>189</v>
      </c>
      <c r="CB283" s="1095">
        <v>189</v>
      </c>
      <c r="CC283" s="1095">
        <v>189</v>
      </c>
      <c r="CD283" s="1095">
        <v>191</v>
      </c>
      <c r="CE283" s="1095">
        <v>184.75</v>
      </c>
      <c r="CF283" s="1095">
        <v>187.27500000000001</v>
      </c>
      <c r="CG283" s="1095">
        <v>187.27500000000001</v>
      </c>
      <c r="CH283" s="1095">
        <v>187.27500000000001</v>
      </c>
      <c r="CI283" s="1095">
        <v>187.27500000000001</v>
      </c>
      <c r="CJ283" s="1095">
        <v>187.27500000000001</v>
      </c>
      <c r="CK283" s="1095">
        <v>184.70000000000002</v>
      </c>
      <c r="CL283" s="1095">
        <v>174.55</v>
      </c>
      <c r="CM283" s="1095">
        <v>174.55</v>
      </c>
      <c r="CN283" s="1095">
        <v>174.55</v>
      </c>
      <c r="CO283" s="1095">
        <v>174.55</v>
      </c>
      <c r="CP283" s="1095">
        <v>174.55</v>
      </c>
      <c r="CQ283" s="1095">
        <v>184</v>
      </c>
      <c r="CR283" s="1095">
        <v>191.5</v>
      </c>
      <c r="CS283" s="1095">
        <v>191.5</v>
      </c>
      <c r="CT283" s="1095">
        <v>191.5</v>
      </c>
      <c r="CU283" s="1095">
        <v>191.5</v>
      </c>
      <c r="CV283" s="1095">
        <v>191.5</v>
      </c>
      <c r="CW283" s="1095">
        <v>191.5</v>
      </c>
      <c r="CX283" s="1095">
        <v>191.5</v>
      </c>
      <c r="CY283" s="1095">
        <v>191.5</v>
      </c>
      <c r="CZ283" s="1095">
        <v>191.5</v>
      </c>
      <c r="DA283" s="1095">
        <v>215</v>
      </c>
      <c r="DB283" s="1095">
        <v>215</v>
      </c>
      <c r="DC283" s="1095">
        <v>215</v>
      </c>
      <c r="DD283"/>
      <c r="DE283"/>
      <c r="DF283"/>
      <c r="DG283"/>
      <c r="DH283"/>
      <c r="DI283"/>
      <c r="DJ283"/>
      <c r="DK283"/>
      <c r="DL283"/>
      <c r="DM283"/>
    </row>
    <row r="284" spans="1:126" x14ac:dyDescent="0.25">
      <c r="Z284" s="339"/>
      <c r="AA284" s="339"/>
      <c r="AB284" s="339"/>
      <c r="AC284" s="339"/>
      <c r="AD284" s="339"/>
      <c r="AE284" s="339"/>
      <c r="AF284" s="339"/>
      <c r="AG284" s="339"/>
      <c r="AH284" s="339"/>
      <c r="AI284" s="339"/>
      <c r="AJ284" s="339"/>
      <c r="AK284" s="339"/>
      <c r="AL284" s="339"/>
      <c r="AM284" s="339"/>
      <c r="AN284" s="339"/>
      <c r="AO284" s="339"/>
      <c r="AP284" s="339"/>
      <c r="AQ284" s="339"/>
      <c r="AR284" s="339"/>
      <c r="AS284" s="339"/>
      <c r="AT284" s="339"/>
      <c r="AU284" s="339"/>
      <c r="AV284" s="775"/>
    </row>
    <row r="285" spans="1:126" x14ac:dyDescent="0.25">
      <c r="A285" s="261" t="s">
        <v>2214</v>
      </c>
      <c r="B285" s="261" t="s">
        <v>2215</v>
      </c>
      <c r="D285" s="113" t="str">
        <f>IF([1]RENAME!$H$3=1,B285,A285)</f>
        <v>Receita líquida 2025</v>
      </c>
      <c r="E285" s="262">
        <f t="shared" ref="E285:BP285" si="186">E$11</f>
        <v>42522</v>
      </c>
      <c r="F285" s="262">
        <f t="shared" si="186"/>
        <v>42552</v>
      </c>
      <c r="G285" s="262">
        <f t="shared" si="186"/>
        <v>42583</v>
      </c>
      <c r="H285" s="262">
        <f t="shared" si="186"/>
        <v>42614</v>
      </c>
      <c r="I285" s="262">
        <f t="shared" si="186"/>
        <v>42644</v>
      </c>
      <c r="J285" s="262">
        <f t="shared" si="186"/>
        <v>42675</v>
      </c>
      <c r="K285" s="262">
        <f t="shared" si="186"/>
        <v>42705</v>
      </c>
      <c r="L285" s="262">
        <f t="shared" si="186"/>
        <v>42736</v>
      </c>
      <c r="M285" s="262">
        <f t="shared" si="186"/>
        <v>42767</v>
      </c>
      <c r="N285" s="262">
        <f t="shared" si="186"/>
        <v>42795</v>
      </c>
      <c r="O285" s="262">
        <f t="shared" si="186"/>
        <v>42826</v>
      </c>
      <c r="P285" s="262">
        <f t="shared" si="186"/>
        <v>42856</v>
      </c>
      <c r="Q285" s="262">
        <f t="shared" si="186"/>
        <v>42887</v>
      </c>
      <c r="R285" s="262">
        <f t="shared" si="186"/>
        <v>42917</v>
      </c>
      <c r="S285" s="262">
        <f t="shared" si="186"/>
        <v>42948</v>
      </c>
      <c r="T285" s="262">
        <f t="shared" si="186"/>
        <v>42979</v>
      </c>
      <c r="U285" s="262">
        <f t="shared" si="186"/>
        <v>43009</v>
      </c>
      <c r="V285" s="262">
        <f t="shared" si="186"/>
        <v>43040</v>
      </c>
      <c r="W285" s="262">
        <f t="shared" si="186"/>
        <v>43070</v>
      </c>
      <c r="X285" s="262">
        <f t="shared" si="186"/>
        <v>43101</v>
      </c>
      <c r="Y285" s="262">
        <f t="shared" si="186"/>
        <v>43132</v>
      </c>
      <c r="Z285" s="262">
        <f t="shared" si="186"/>
        <v>43160</v>
      </c>
      <c r="AA285" s="262">
        <f t="shared" si="186"/>
        <v>43191</v>
      </c>
      <c r="AB285" s="262">
        <f t="shared" si="186"/>
        <v>43221</v>
      </c>
      <c r="AC285" s="262">
        <f t="shared" si="186"/>
        <v>43252</v>
      </c>
      <c r="AD285" s="262">
        <f t="shared" si="186"/>
        <v>43283</v>
      </c>
      <c r="AE285" s="262">
        <f t="shared" si="186"/>
        <v>43314</v>
      </c>
      <c r="AF285" s="262">
        <f t="shared" si="186"/>
        <v>43345</v>
      </c>
      <c r="AG285" s="262">
        <f t="shared" si="186"/>
        <v>43376</v>
      </c>
      <c r="AH285" s="262">
        <f t="shared" si="186"/>
        <v>43407</v>
      </c>
      <c r="AI285" s="262">
        <f t="shared" si="186"/>
        <v>43437</v>
      </c>
      <c r="AJ285" s="262">
        <f t="shared" si="186"/>
        <v>43468</v>
      </c>
      <c r="AK285" s="262">
        <f t="shared" si="186"/>
        <v>43499</v>
      </c>
      <c r="AL285" s="262">
        <f t="shared" si="186"/>
        <v>43527</v>
      </c>
      <c r="AM285" s="262">
        <f t="shared" si="186"/>
        <v>43558</v>
      </c>
      <c r="AN285" s="262">
        <f t="shared" si="186"/>
        <v>43587</v>
      </c>
      <c r="AO285" s="262">
        <f t="shared" si="186"/>
        <v>43618</v>
      </c>
      <c r="AP285" s="262">
        <f t="shared" si="186"/>
        <v>43647</v>
      </c>
      <c r="AQ285" s="262">
        <f t="shared" si="186"/>
        <v>43678</v>
      </c>
      <c r="AR285" s="262">
        <f t="shared" si="186"/>
        <v>43709</v>
      </c>
      <c r="AS285" s="262">
        <f t="shared" si="186"/>
        <v>43739</v>
      </c>
      <c r="AT285" s="262">
        <f t="shared" si="186"/>
        <v>43770</v>
      </c>
      <c r="AU285" s="262">
        <f t="shared" si="186"/>
        <v>43800</v>
      </c>
      <c r="AV285" s="262">
        <f t="shared" si="186"/>
        <v>43831</v>
      </c>
      <c r="AW285" s="262">
        <f t="shared" si="186"/>
        <v>43862</v>
      </c>
      <c r="AX285" s="933">
        <f t="shared" si="186"/>
        <v>43891</v>
      </c>
      <c r="AY285" s="262">
        <f t="shared" si="186"/>
        <v>43922</v>
      </c>
      <c r="AZ285" s="262">
        <f t="shared" si="186"/>
        <v>43952</v>
      </c>
      <c r="BA285" s="262">
        <f t="shared" si="186"/>
        <v>43983</v>
      </c>
      <c r="BB285" s="262">
        <f t="shared" si="186"/>
        <v>44013</v>
      </c>
      <c r="BC285" s="262">
        <f t="shared" si="186"/>
        <v>44044</v>
      </c>
      <c r="BD285" s="262">
        <f t="shared" si="186"/>
        <v>44075</v>
      </c>
      <c r="BE285" s="262">
        <f t="shared" si="186"/>
        <v>44105</v>
      </c>
      <c r="BF285" s="262">
        <f t="shared" si="186"/>
        <v>44136</v>
      </c>
      <c r="BG285" s="262">
        <f t="shared" si="186"/>
        <v>44166</v>
      </c>
      <c r="BH285" s="262">
        <f t="shared" si="186"/>
        <v>44197</v>
      </c>
      <c r="BI285" s="262">
        <f t="shared" si="186"/>
        <v>44228</v>
      </c>
      <c r="BJ285" s="262">
        <f t="shared" si="186"/>
        <v>44256</v>
      </c>
      <c r="BK285" s="262">
        <f t="shared" si="186"/>
        <v>44287</v>
      </c>
      <c r="BL285" s="262">
        <f t="shared" si="186"/>
        <v>44317</v>
      </c>
      <c r="BM285" s="262">
        <f t="shared" si="186"/>
        <v>44348</v>
      </c>
      <c r="BN285" s="262">
        <f t="shared" si="186"/>
        <v>44378</v>
      </c>
      <c r="BO285" s="262">
        <f t="shared" si="186"/>
        <v>44409</v>
      </c>
      <c r="BP285" s="262">
        <f t="shared" si="186"/>
        <v>44440</v>
      </c>
      <c r="BQ285" s="262">
        <f t="shared" ref="BQ285:DO285" si="187">BQ$11</f>
        <v>44470</v>
      </c>
      <c r="BR285" s="262">
        <f t="shared" si="187"/>
        <v>44501</v>
      </c>
      <c r="BS285" s="262">
        <f t="shared" si="187"/>
        <v>44531</v>
      </c>
      <c r="BT285" s="262">
        <f t="shared" si="187"/>
        <v>44562</v>
      </c>
      <c r="BU285" s="262">
        <f t="shared" si="187"/>
        <v>44593</v>
      </c>
      <c r="BV285" s="262">
        <f t="shared" si="187"/>
        <v>44622</v>
      </c>
      <c r="BW285" s="262">
        <f t="shared" si="187"/>
        <v>44654</v>
      </c>
      <c r="BX285" s="262">
        <f t="shared" si="187"/>
        <v>44685</v>
      </c>
      <c r="BY285" s="262">
        <f t="shared" si="187"/>
        <v>44716</v>
      </c>
      <c r="BZ285" s="262">
        <f t="shared" si="187"/>
        <v>44746</v>
      </c>
      <c r="CA285" s="262">
        <f t="shared" si="187"/>
        <v>44774</v>
      </c>
      <c r="CB285" s="262">
        <f t="shared" si="187"/>
        <v>44805</v>
      </c>
      <c r="CC285" s="262">
        <f t="shared" si="187"/>
        <v>44835</v>
      </c>
      <c r="CD285" s="262">
        <f t="shared" si="187"/>
        <v>44866</v>
      </c>
      <c r="CE285" s="262">
        <f t="shared" si="187"/>
        <v>44896</v>
      </c>
      <c r="CF285" s="262">
        <f t="shared" si="187"/>
        <v>44927</v>
      </c>
      <c r="CG285" s="262">
        <f t="shared" si="187"/>
        <v>44958</v>
      </c>
      <c r="CH285" s="262">
        <f t="shared" si="187"/>
        <v>44986</v>
      </c>
      <c r="CI285" s="262">
        <f t="shared" si="187"/>
        <v>45017</v>
      </c>
      <c r="CJ285" s="262">
        <f t="shared" si="187"/>
        <v>45047</v>
      </c>
      <c r="CK285" s="262">
        <f t="shared" si="187"/>
        <v>45078</v>
      </c>
      <c r="CL285" s="262">
        <f t="shared" si="187"/>
        <v>45108</v>
      </c>
      <c r="CM285" s="262">
        <f t="shared" si="187"/>
        <v>45139</v>
      </c>
      <c r="CN285" s="262">
        <f t="shared" si="187"/>
        <v>45170</v>
      </c>
      <c r="CO285" s="262">
        <f t="shared" si="187"/>
        <v>45200</v>
      </c>
      <c r="CP285" s="262">
        <f t="shared" si="187"/>
        <v>45231</v>
      </c>
      <c r="CQ285" s="262">
        <f t="shared" si="187"/>
        <v>45261</v>
      </c>
      <c r="CR285" s="262">
        <f t="shared" si="187"/>
        <v>45292</v>
      </c>
      <c r="CS285" s="262">
        <f t="shared" si="187"/>
        <v>45323</v>
      </c>
      <c r="CT285" s="262">
        <f t="shared" si="187"/>
        <v>45352</v>
      </c>
      <c r="CU285" s="262">
        <f t="shared" si="187"/>
        <v>45383</v>
      </c>
      <c r="CV285" s="262">
        <f t="shared" si="187"/>
        <v>45413</v>
      </c>
      <c r="CW285" s="262">
        <f t="shared" si="187"/>
        <v>45444</v>
      </c>
      <c r="CX285" s="262">
        <f t="shared" si="187"/>
        <v>45474</v>
      </c>
      <c r="CY285" s="262">
        <f t="shared" si="187"/>
        <v>45505</v>
      </c>
      <c r="CZ285" s="262">
        <f t="shared" si="187"/>
        <v>45536</v>
      </c>
      <c r="DA285" s="262">
        <f t="shared" si="187"/>
        <v>45566</v>
      </c>
      <c r="DB285" s="262">
        <f t="shared" si="187"/>
        <v>45597</v>
      </c>
      <c r="DC285" s="262">
        <f t="shared" si="187"/>
        <v>45627</v>
      </c>
      <c r="DD285" s="262">
        <f t="shared" si="187"/>
        <v>45658</v>
      </c>
      <c r="DE285" s="262">
        <f t="shared" si="187"/>
        <v>45689</v>
      </c>
      <c r="DF285" s="262">
        <f t="shared" si="187"/>
        <v>45717</v>
      </c>
      <c r="DG285" s="262">
        <f t="shared" si="187"/>
        <v>45748</v>
      </c>
      <c r="DH285" s="262">
        <f t="shared" si="187"/>
        <v>45778</v>
      </c>
      <c r="DI285" s="262">
        <f t="shared" si="187"/>
        <v>45809</v>
      </c>
      <c r="DJ285" s="262">
        <v>45839</v>
      </c>
      <c r="DK285" s="262">
        <f t="shared" si="187"/>
        <v>45870</v>
      </c>
      <c r="DL285" s="262">
        <f t="shared" si="187"/>
        <v>45901</v>
      </c>
      <c r="DM285" s="262">
        <f t="shared" si="187"/>
        <v>45931</v>
      </c>
      <c r="DN285" s="262">
        <f t="shared" si="187"/>
        <v>45962</v>
      </c>
      <c r="DO285" s="262">
        <f t="shared" si="187"/>
        <v>45992</v>
      </c>
      <c r="DP285"/>
      <c r="DQ285"/>
      <c r="DR285"/>
      <c r="DS285"/>
      <c r="DT285"/>
      <c r="DU285"/>
      <c r="DV285"/>
    </row>
    <row r="286" spans="1:126" x14ac:dyDescent="0.25">
      <c r="A286" s="261" t="s">
        <v>542</v>
      </c>
      <c r="B286" s="261" t="s">
        <v>542</v>
      </c>
      <c r="D286" s="117" t="str">
        <f>IF([1]RENAME!$H$3=1,B286,A286)</f>
        <v>SANTANDER</v>
      </c>
      <c r="E286" s="592" t="s">
        <v>160</v>
      </c>
      <c r="F286" s="592" t="s">
        <v>160</v>
      </c>
      <c r="G286" s="592" t="s">
        <v>160</v>
      </c>
      <c r="H286" s="592" t="s">
        <v>160</v>
      </c>
      <c r="I286" s="592" t="s">
        <v>160</v>
      </c>
      <c r="J286" s="592" t="s">
        <v>160</v>
      </c>
      <c r="K286" s="592" t="s">
        <v>160</v>
      </c>
      <c r="L286" s="591" t="s">
        <v>160</v>
      </c>
      <c r="M286" s="591" t="s">
        <v>160</v>
      </c>
      <c r="N286" s="591" t="s">
        <v>160</v>
      </c>
      <c r="O286" s="591" t="s">
        <v>160</v>
      </c>
      <c r="P286" s="591" t="s">
        <v>160</v>
      </c>
      <c r="Q286" s="591" t="s">
        <v>160</v>
      </c>
      <c r="R286" s="591" t="s">
        <v>160</v>
      </c>
      <c r="S286" s="591" t="s">
        <v>160</v>
      </c>
      <c r="T286" s="591" t="s">
        <v>160</v>
      </c>
      <c r="U286" s="591" t="s">
        <v>160</v>
      </c>
      <c r="V286" s="591" t="s">
        <v>160</v>
      </c>
      <c r="W286" s="591" t="s">
        <v>160</v>
      </c>
      <c r="X286" s="591" t="s">
        <v>160</v>
      </c>
      <c r="Y286" s="591" t="s">
        <v>160</v>
      </c>
      <c r="Z286" s="591" t="s">
        <v>160</v>
      </c>
      <c r="AA286" s="591" t="s">
        <v>160</v>
      </c>
      <c r="AB286" s="591" t="s">
        <v>160</v>
      </c>
      <c r="AC286" s="591" t="s">
        <v>160</v>
      </c>
      <c r="AD286" s="591" t="s">
        <v>160</v>
      </c>
      <c r="AE286" s="591" t="s">
        <v>160</v>
      </c>
      <c r="AF286" s="591" t="s">
        <v>160</v>
      </c>
      <c r="AG286" s="591" t="s">
        <v>160</v>
      </c>
      <c r="AH286" s="591" t="s">
        <v>160</v>
      </c>
      <c r="AI286" s="591" t="s">
        <v>160</v>
      </c>
      <c r="AJ286" s="591" t="s">
        <v>160</v>
      </c>
      <c r="AK286" s="591" t="s">
        <v>160</v>
      </c>
      <c r="AL286" s="591" t="s">
        <v>160</v>
      </c>
      <c r="AM286" s="591" t="s">
        <v>160</v>
      </c>
      <c r="AN286" s="591" t="s">
        <v>160</v>
      </c>
      <c r="AO286" s="591" t="s">
        <v>160</v>
      </c>
      <c r="AP286" s="591" t="s">
        <v>160</v>
      </c>
      <c r="AQ286" s="591" t="s">
        <v>160</v>
      </c>
      <c r="AR286" s="591" t="s">
        <v>160</v>
      </c>
      <c r="AS286" s="591" t="s">
        <v>160</v>
      </c>
      <c r="AT286" s="591" t="s">
        <v>160</v>
      </c>
      <c r="AU286" s="591" t="s">
        <v>160</v>
      </c>
      <c r="AV286" s="591" t="s">
        <v>160</v>
      </c>
      <c r="AW286" s="591" t="s">
        <v>160</v>
      </c>
      <c r="AX286" s="935" t="s">
        <v>160</v>
      </c>
      <c r="AY286" s="591" t="s">
        <v>160</v>
      </c>
      <c r="AZ286" s="591" t="s">
        <v>160</v>
      </c>
      <c r="BA286" s="591" t="s">
        <v>160</v>
      </c>
      <c r="BB286" s="591" t="s">
        <v>160</v>
      </c>
      <c r="BC286" s="591" t="s">
        <v>160</v>
      </c>
      <c r="BD286" s="591" t="s">
        <v>160</v>
      </c>
      <c r="BE286" s="591" t="s">
        <v>160</v>
      </c>
      <c r="BF286" s="591" t="s">
        <v>160</v>
      </c>
      <c r="BG286" s="591" t="s">
        <v>160</v>
      </c>
      <c r="BH286" s="591" t="s">
        <v>160</v>
      </c>
      <c r="BI286" s="591" t="s">
        <v>160</v>
      </c>
      <c r="BJ286" s="591" t="s">
        <v>160</v>
      </c>
      <c r="BK286" s="591" t="s">
        <v>160</v>
      </c>
      <c r="BL286" s="591" t="s">
        <v>160</v>
      </c>
      <c r="BM286" s="591" t="s">
        <v>160</v>
      </c>
      <c r="BN286" s="591" t="s">
        <v>160</v>
      </c>
      <c r="BO286" s="591" t="s">
        <v>160</v>
      </c>
      <c r="BP286" s="591" t="s">
        <v>160</v>
      </c>
      <c r="BQ286" s="591" t="s">
        <v>160</v>
      </c>
      <c r="BR286" s="591" t="s">
        <v>160</v>
      </c>
      <c r="BS286" s="591" t="s">
        <v>160</v>
      </c>
      <c r="BT286" s="591" t="s">
        <v>160</v>
      </c>
      <c r="BU286" s="591" t="s">
        <v>160</v>
      </c>
      <c r="BV286" s="591" t="s">
        <v>160</v>
      </c>
      <c r="BW286" s="591" t="s">
        <v>160</v>
      </c>
      <c r="BX286" s="591" t="s">
        <v>160</v>
      </c>
      <c r="BY286" s="591" t="s">
        <v>160</v>
      </c>
      <c r="BZ286" s="591" t="s">
        <v>160</v>
      </c>
      <c r="CA286" s="591" t="s">
        <v>160</v>
      </c>
      <c r="CB286" s="591" t="s">
        <v>160</v>
      </c>
      <c r="CC286" s="591" t="s">
        <v>160</v>
      </c>
      <c r="CD286" s="591" t="s">
        <v>160</v>
      </c>
      <c r="CE286" s="591" t="s">
        <v>160</v>
      </c>
      <c r="CF286" s="591" t="s">
        <v>160</v>
      </c>
      <c r="CG286" s="591" t="s">
        <v>160</v>
      </c>
      <c r="CH286" s="591" t="s">
        <v>160</v>
      </c>
      <c r="CI286" s="591" t="s">
        <v>160</v>
      </c>
      <c r="CJ286" s="591" t="s">
        <v>160</v>
      </c>
      <c r="CK286" s="591" t="s">
        <v>160</v>
      </c>
      <c r="CL286" s="591" t="s">
        <v>160</v>
      </c>
      <c r="CM286" s="591" t="s">
        <v>160</v>
      </c>
      <c r="CN286" s="591" t="s">
        <v>160</v>
      </c>
      <c r="CO286" s="591" t="s">
        <v>160</v>
      </c>
      <c r="CP286" s="591" t="s">
        <v>160</v>
      </c>
      <c r="CQ286" s="591" t="s">
        <v>160</v>
      </c>
      <c r="CR286" s="591" t="s">
        <v>160</v>
      </c>
      <c r="CS286" s="591" t="s">
        <v>160</v>
      </c>
      <c r="CT286" s="591" t="s">
        <v>160</v>
      </c>
      <c r="CU286" s="591" t="s">
        <v>160</v>
      </c>
      <c r="CV286" s="591" t="s">
        <v>160</v>
      </c>
      <c r="CW286" s="591" t="s">
        <v>160</v>
      </c>
      <c r="CX286" s="591" t="s">
        <v>160</v>
      </c>
      <c r="CY286" s="591" t="s">
        <v>160</v>
      </c>
      <c r="CZ286" s="591" t="s">
        <v>160</v>
      </c>
      <c r="DA286" s="591" t="s">
        <v>160</v>
      </c>
      <c r="DB286" s="591" t="s">
        <v>160</v>
      </c>
      <c r="DC286" s="591" t="s">
        <v>160</v>
      </c>
      <c r="DD286" s="591" t="s">
        <v>160</v>
      </c>
      <c r="DE286" s="591" t="s">
        <v>160</v>
      </c>
      <c r="DF286" s="591" t="s">
        <v>160</v>
      </c>
      <c r="DG286" s="591" t="s">
        <v>160</v>
      </c>
      <c r="DH286" s="690">
        <v>2217</v>
      </c>
      <c r="DI286" s="591">
        <v>2217</v>
      </c>
      <c r="DJ286" s="591">
        <v>2217</v>
      </c>
      <c r="DK286" s="591">
        <v>2217</v>
      </c>
      <c r="DL286" s="591">
        <v>2217</v>
      </c>
      <c r="DM286" s="591">
        <v>2217</v>
      </c>
      <c r="DN286" s="591">
        <v>2217</v>
      </c>
      <c r="DO286" s="591">
        <v>2217</v>
      </c>
      <c r="DP286"/>
      <c r="DQ286"/>
      <c r="DR286"/>
      <c r="DS286"/>
      <c r="DT286"/>
      <c r="DU286"/>
      <c r="DV286"/>
    </row>
    <row r="287" spans="1:126" x14ac:dyDescent="0.25">
      <c r="A287" s="261" t="s">
        <v>546</v>
      </c>
      <c r="B287" s="261" t="s">
        <v>546</v>
      </c>
      <c r="D287" s="117" t="str">
        <f>IF([1]RENAME!$H$3=1,B287,A287)</f>
        <v>BTG PACTUAL</v>
      </c>
      <c r="E287" s="264" t="s">
        <v>160</v>
      </c>
      <c r="F287" s="264" t="s">
        <v>160</v>
      </c>
      <c r="G287" s="264" t="s">
        <v>160</v>
      </c>
      <c r="H287" s="264" t="s">
        <v>160</v>
      </c>
      <c r="I287" s="264" t="s">
        <v>160</v>
      </c>
      <c r="J287" s="264" t="s">
        <v>160</v>
      </c>
      <c r="K287" s="264" t="s">
        <v>160</v>
      </c>
      <c r="L287" s="336" t="s">
        <v>160</v>
      </c>
      <c r="M287" s="336" t="s">
        <v>160</v>
      </c>
      <c r="N287" s="591" t="s">
        <v>160</v>
      </c>
      <c r="O287" s="591" t="s">
        <v>160</v>
      </c>
      <c r="P287" s="591" t="s">
        <v>160</v>
      </c>
      <c r="Q287" s="591" t="s">
        <v>160</v>
      </c>
      <c r="R287" s="591" t="s">
        <v>160</v>
      </c>
      <c r="S287" s="591" t="s">
        <v>160</v>
      </c>
      <c r="T287" s="591" t="s">
        <v>160</v>
      </c>
      <c r="U287" s="591" t="s">
        <v>160</v>
      </c>
      <c r="V287" s="591" t="s">
        <v>160</v>
      </c>
      <c r="W287" s="591" t="s">
        <v>160</v>
      </c>
      <c r="X287" s="591" t="s">
        <v>160</v>
      </c>
      <c r="Y287" s="591" t="s">
        <v>160</v>
      </c>
      <c r="Z287" s="591" t="s">
        <v>160</v>
      </c>
      <c r="AA287" s="591" t="s">
        <v>160</v>
      </c>
      <c r="AB287" s="591" t="s">
        <v>160</v>
      </c>
      <c r="AC287" s="591" t="s">
        <v>160</v>
      </c>
      <c r="AD287" s="591" t="s">
        <v>160</v>
      </c>
      <c r="AE287" s="591" t="s">
        <v>160</v>
      </c>
      <c r="AF287" s="591" t="s">
        <v>160</v>
      </c>
      <c r="AG287" s="591" t="s">
        <v>160</v>
      </c>
      <c r="AH287" s="591" t="s">
        <v>160</v>
      </c>
      <c r="AI287" s="591" t="s">
        <v>160</v>
      </c>
      <c r="AJ287" s="591" t="s">
        <v>160</v>
      </c>
      <c r="AK287" s="591" t="s">
        <v>160</v>
      </c>
      <c r="AL287" s="346" t="s">
        <v>160</v>
      </c>
      <c r="AM287" s="346" t="s">
        <v>160</v>
      </c>
      <c r="AN287" s="346" t="s">
        <v>160</v>
      </c>
      <c r="AO287" s="346" t="s">
        <v>160</v>
      </c>
      <c r="AP287" s="346" t="s">
        <v>160</v>
      </c>
      <c r="AQ287" s="346" t="s">
        <v>160</v>
      </c>
      <c r="AR287" s="346" t="s">
        <v>160</v>
      </c>
      <c r="AS287" s="346" t="s">
        <v>160</v>
      </c>
      <c r="AT287" s="346" t="s">
        <v>160</v>
      </c>
      <c r="AU287" s="346" t="s">
        <v>160</v>
      </c>
      <c r="AV287" s="346" t="s">
        <v>160</v>
      </c>
      <c r="AW287" s="346" t="s">
        <v>160</v>
      </c>
      <c r="AX287" s="947" t="s">
        <v>160</v>
      </c>
      <c r="AY287" s="346" t="s">
        <v>160</v>
      </c>
      <c r="AZ287" s="346" t="s">
        <v>160</v>
      </c>
      <c r="BA287" s="346" t="s">
        <v>160</v>
      </c>
      <c r="BB287" s="346" t="s">
        <v>160</v>
      </c>
      <c r="BC287" s="346" t="s">
        <v>160</v>
      </c>
      <c r="BD287" s="346" t="s">
        <v>160</v>
      </c>
      <c r="BE287" s="346" t="s">
        <v>160</v>
      </c>
      <c r="BF287" s="346" t="s">
        <v>160</v>
      </c>
      <c r="BG287" s="346" t="s">
        <v>160</v>
      </c>
      <c r="BH287" s="346" t="s">
        <v>160</v>
      </c>
      <c r="BI287" s="346" t="s">
        <v>160</v>
      </c>
      <c r="BJ287" s="346" t="s">
        <v>160</v>
      </c>
      <c r="BK287" s="346" t="s">
        <v>160</v>
      </c>
      <c r="BL287" s="346" t="s">
        <v>160</v>
      </c>
      <c r="BM287" s="346" t="s">
        <v>160</v>
      </c>
      <c r="BN287" s="346" t="s">
        <v>160</v>
      </c>
      <c r="BO287" s="346" t="s">
        <v>160</v>
      </c>
      <c r="BP287" s="591" t="s">
        <v>160</v>
      </c>
      <c r="BQ287" s="591" t="s">
        <v>160</v>
      </c>
      <c r="BR287" s="591" t="s">
        <v>160</v>
      </c>
      <c r="BS287" s="591" t="s">
        <v>160</v>
      </c>
      <c r="BT287" s="591" t="s">
        <v>160</v>
      </c>
      <c r="BU287" s="591" t="s">
        <v>160</v>
      </c>
      <c r="BV287" s="591" t="s">
        <v>160</v>
      </c>
      <c r="BW287" s="591" t="s">
        <v>160</v>
      </c>
      <c r="BX287" s="591" t="s">
        <v>160</v>
      </c>
      <c r="BY287" s="591" t="s">
        <v>160</v>
      </c>
      <c r="BZ287" s="591" t="s">
        <v>160</v>
      </c>
      <c r="CA287" s="591" t="s">
        <v>160</v>
      </c>
      <c r="CB287" s="591" t="s">
        <v>160</v>
      </c>
      <c r="CC287" s="591" t="s">
        <v>160</v>
      </c>
      <c r="CD287" s="591" t="s">
        <v>160</v>
      </c>
      <c r="CE287" s="591" t="s">
        <v>160</v>
      </c>
      <c r="CF287" s="591" t="s">
        <v>160</v>
      </c>
      <c r="CG287" s="591" t="s">
        <v>160</v>
      </c>
      <c r="CH287" s="591" t="s">
        <v>160</v>
      </c>
      <c r="CI287" s="591" t="s">
        <v>160</v>
      </c>
      <c r="CJ287" s="591" t="s">
        <v>160</v>
      </c>
      <c r="CK287" s="591" t="s">
        <v>160</v>
      </c>
      <c r="CL287" s="591" t="s">
        <v>160</v>
      </c>
      <c r="CM287" s="591" t="s">
        <v>160</v>
      </c>
      <c r="CN287" s="591" t="s">
        <v>160</v>
      </c>
      <c r="CO287" s="591" t="s">
        <v>160</v>
      </c>
      <c r="CP287" s="591" t="s">
        <v>160</v>
      </c>
      <c r="CQ287" s="591" t="s">
        <v>160</v>
      </c>
      <c r="CR287" s="591" t="s">
        <v>160</v>
      </c>
      <c r="CS287" s="591" t="s">
        <v>160</v>
      </c>
      <c r="CT287" s="591" t="s">
        <v>160</v>
      </c>
      <c r="CU287" s="591" t="s">
        <v>160</v>
      </c>
      <c r="CV287" s="591" t="s">
        <v>160</v>
      </c>
      <c r="CW287" s="591" t="s">
        <v>160</v>
      </c>
      <c r="CX287" s="591" t="s">
        <v>160</v>
      </c>
      <c r="CY287" s="591" t="s">
        <v>160</v>
      </c>
      <c r="CZ287" s="591" t="s">
        <v>160</v>
      </c>
      <c r="DA287" s="591" t="s">
        <v>160</v>
      </c>
      <c r="DB287" s="591" t="s">
        <v>160</v>
      </c>
      <c r="DC287" s="591" t="s">
        <v>160</v>
      </c>
      <c r="DD287" s="591" t="s">
        <v>160</v>
      </c>
      <c r="DE287" s="591" t="s">
        <v>160</v>
      </c>
      <c r="DF287" s="591" t="s">
        <v>160</v>
      </c>
      <c r="DG287" s="591" t="s">
        <v>160</v>
      </c>
      <c r="DH287" s="591" t="s">
        <v>160</v>
      </c>
      <c r="DI287" s="591" t="s">
        <v>160</v>
      </c>
      <c r="DJ287" s="591" t="s">
        <v>160</v>
      </c>
      <c r="DK287" s="591" t="s">
        <v>160</v>
      </c>
      <c r="DL287" s="591" t="s">
        <v>160</v>
      </c>
      <c r="DM287" s="591" t="s">
        <v>160</v>
      </c>
      <c r="DN287" s="591" t="s">
        <v>160</v>
      </c>
      <c r="DO287" s="591" t="s">
        <v>160</v>
      </c>
      <c r="DP287"/>
      <c r="DQ287"/>
      <c r="DR287"/>
      <c r="DS287"/>
      <c r="DT287"/>
      <c r="DU287"/>
      <c r="DV287"/>
    </row>
    <row r="288" spans="1:126" x14ac:dyDescent="0.25">
      <c r="A288" s="261" t="s">
        <v>547</v>
      </c>
      <c r="B288" s="261" t="s">
        <v>547</v>
      </c>
      <c r="D288" s="117" t="str">
        <f>IF([1]RENAME!$H$3=1,B288,A288)</f>
        <v>ITAÚ</v>
      </c>
      <c r="E288" s="264" t="s">
        <v>160</v>
      </c>
      <c r="F288" s="264" t="s">
        <v>160</v>
      </c>
      <c r="G288" s="264" t="s">
        <v>160</v>
      </c>
      <c r="H288" s="264" t="s">
        <v>160</v>
      </c>
      <c r="I288" s="264" t="s">
        <v>160</v>
      </c>
      <c r="J288" s="264" t="s">
        <v>160</v>
      </c>
      <c r="K288" s="264" t="s">
        <v>160</v>
      </c>
      <c r="L288" s="336" t="s">
        <v>160</v>
      </c>
      <c r="M288" s="336" t="s">
        <v>160</v>
      </c>
      <c r="N288" s="336" t="s">
        <v>160</v>
      </c>
      <c r="O288" s="336" t="s">
        <v>160</v>
      </c>
      <c r="P288" s="336" t="s">
        <v>160</v>
      </c>
      <c r="Q288" s="336" t="s">
        <v>160</v>
      </c>
      <c r="R288" s="336" t="s">
        <v>160</v>
      </c>
      <c r="S288" s="336" t="s">
        <v>160</v>
      </c>
      <c r="T288" s="336" t="s">
        <v>160</v>
      </c>
      <c r="U288" s="336" t="s">
        <v>160</v>
      </c>
      <c r="V288" s="336" t="s">
        <v>160</v>
      </c>
      <c r="W288" s="336" t="s">
        <v>160</v>
      </c>
      <c r="X288" s="336" t="s">
        <v>160</v>
      </c>
      <c r="Y288" s="336" t="s">
        <v>160</v>
      </c>
      <c r="Z288" s="336" t="s">
        <v>160</v>
      </c>
      <c r="AA288" s="336" t="s">
        <v>160</v>
      </c>
      <c r="AB288" s="336" t="s">
        <v>160</v>
      </c>
      <c r="AC288" s="336" t="s">
        <v>160</v>
      </c>
      <c r="AD288" s="336" t="s">
        <v>160</v>
      </c>
      <c r="AE288" s="336" t="s">
        <v>160</v>
      </c>
      <c r="AF288" s="336" t="s">
        <v>160</v>
      </c>
      <c r="AG288" s="336" t="s">
        <v>160</v>
      </c>
      <c r="AH288" s="336" t="s">
        <v>160</v>
      </c>
      <c r="AI288" s="336" t="s">
        <v>160</v>
      </c>
      <c r="AJ288" s="336" t="s">
        <v>160</v>
      </c>
      <c r="AK288" s="336" t="s">
        <v>160</v>
      </c>
      <c r="AL288" s="336" t="s">
        <v>160</v>
      </c>
      <c r="AM288" s="336" t="s">
        <v>160</v>
      </c>
      <c r="AN288" s="336" t="s">
        <v>160</v>
      </c>
      <c r="AO288" s="336" t="s">
        <v>160</v>
      </c>
      <c r="AP288" s="336" t="s">
        <v>160</v>
      </c>
      <c r="AQ288" s="336" t="s">
        <v>160</v>
      </c>
      <c r="AR288" s="336" t="s">
        <v>160</v>
      </c>
      <c r="AS288" s="336" t="s">
        <v>160</v>
      </c>
      <c r="AT288" s="336" t="s">
        <v>160</v>
      </c>
      <c r="AU288" s="336" t="s">
        <v>160</v>
      </c>
      <c r="AV288" s="336" t="s">
        <v>160</v>
      </c>
      <c r="AW288" s="336" t="s">
        <v>160</v>
      </c>
      <c r="AX288" s="1181" t="s">
        <v>160</v>
      </c>
      <c r="AY288" s="336" t="s">
        <v>160</v>
      </c>
      <c r="AZ288" s="336" t="s">
        <v>160</v>
      </c>
      <c r="BA288" s="336" t="s">
        <v>160</v>
      </c>
      <c r="BB288" s="336" t="s">
        <v>160</v>
      </c>
      <c r="BC288" s="336" t="s">
        <v>160</v>
      </c>
      <c r="BD288" s="336" t="s">
        <v>160</v>
      </c>
      <c r="BE288" s="336" t="s">
        <v>160</v>
      </c>
      <c r="BF288" s="336" t="s">
        <v>160</v>
      </c>
      <c r="BG288" s="336" t="s">
        <v>160</v>
      </c>
      <c r="BH288" s="336" t="s">
        <v>160</v>
      </c>
      <c r="BI288" s="336" t="s">
        <v>160</v>
      </c>
      <c r="BJ288" s="336" t="s">
        <v>160</v>
      </c>
      <c r="BK288" s="336" t="s">
        <v>160</v>
      </c>
      <c r="BL288" s="336" t="s">
        <v>160</v>
      </c>
      <c r="BM288" s="336" t="s">
        <v>160</v>
      </c>
      <c r="BN288" s="336" t="s">
        <v>160</v>
      </c>
      <c r="BO288" s="336" t="s">
        <v>160</v>
      </c>
      <c r="BP288" s="336" t="s">
        <v>160</v>
      </c>
      <c r="BQ288" s="336" t="s">
        <v>160</v>
      </c>
      <c r="BR288" s="336" t="s">
        <v>160</v>
      </c>
      <c r="BS288" s="336" t="s">
        <v>160</v>
      </c>
      <c r="BT288" s="336" t="s">
        <v>160</v>
      </c>
      <c r="BU288" s="336" t="s">
        <v>160</v>
      </c>
      <c r="BV288" s="336" t="s">
        <v>160</v>
      </c>
      <c r="BW288" s="336" t="s">
        <v>160</v>
      </c>
      <c r="BX288" s="336" t="s">
        <v>160</v>
      </c>
      <c r="BY288" s="336" t="s">
        <v>160</v>
      </c>
      <c r="BZ288" s="336" t="s">
        <v>160</v>
      </c>
      <c r="CA288" s="336" t="s">
        <v>160</v>
      </c>
      <c r="CB288" s="336" t="s">
        <v>160</v>
      </c>
      <c r="CC288" s="336" t="s">
        <v>160</v>
      </c>
      <c r="CD288" s="336" t="s">
        <v>160</v>
      </c>
      <c r="CE288" s="336" t="s">
        <v>160</v>
      </c>
      <c r="CF288" s="336" t="s">
        <v>160</v>
      </c>
      <c r="CG288" s="336" t="s">
        <v>160</v>
      </c>
      <c r="CH288" s="336" t="s">
        <v>160</v>
      </c>
      <c r="CI288" s="336" t="s">
        <v>160</v>
      </c>
      <c r="CJ288" s="336" t="s">
        <v>160</v>
      </c>
      <c r="CK288" s="336" t="s">
        <v>160</v>
      </c>
      <c r="CL288" s="336" t="s">
        <v>160</v>
      </c>
      <c r="CM288" s="336" t="s">
        <v>160</v>
      </c>
      <c r="CN288" s="336" t="s">
        <v>160</v>
      </c>
      <c r="CO288" s="336" t="s">
        <v>160</v>
      </c>
      <c r="CP288" s="336" t="s">
        <v>160</v>
      </c>
      <c r="CQ288" s="336" t="s">
        <v>160</v>
      </c>
      <c r="CR288" s="336" t="s">
        <v>160</v>
      </c>
      <c r="CS288" s="336" t="s">
        <v>160</v>
      </c>
      <c r="CT288" s="336" t="s">
        <v>160</v>
      </c>
      <c r="CU288" s="336" t="s">
        <v>160</v>
      </c>
      <c r="CV288" s="336" t="s">
        <v>160</v>
      </c>
      <c r="CW288" s="336" t="s">
        <v>160</v>
      </c>
      <c r="CX288" s="336" t="s">
        <v>160</v>
      </c>
      <c r="CY288" s="336" t="s">
        <v>160</v>
      </c>
      <c r="CZ288" s="336" t="s">
        <v>160</v>
      </c>
      <c r="DA288" s="336">
        <v>2039</v>
      </c>
      <c r="DB288" s="336">
        <v>2039</v>
      </c>
      <c r="DC288" s="336">
        <v>2039</v>
      </c>
      <c r="DD288" s="690">
        <v>2267</v>
      </c>
      <c r="DE288" s="591">
        <v>2267</v>
      </c>
      <c r="DF288" s="591">
        <v>2267</v>
      </c>
      <c r="DG288" s="591">
        <v>2267</v>
      </c>
      <c r="DH288" s="591">
        <v>2267</v>
      </c>
      <c r="DI288" s="591">
        <v>2267</v>
      </c>
      <c r="DJ288" s="591">
        <v>2267</v>
      </c>
      <c r="DK288" s="591">
        <v>2267</v>
      </c>
      <c r="DL288" s="591">
        <v>2267</v>
      </c>
      <c r="DM288" s="591">
        <v>2267</v>
      </c>
      <c r="DN288" s="591">
        <v>2267</v>
      </c>
      <c r="DO288" s="591">
        <v>2234</v>
      </c>
      <c r="DP288"/>
      <c r="DQ288"/>
      <c r="DR288"/>
      <c r="DS288"/>
      <c r="DT288"/>
      <c r="DU288"/>
      <c r="DV288"/>
    </row>
    <row r="289" spans="1:126" x14ac:dyDescent="0.25">
      <c r="A289" t="s">
        <v>557</v>
      </c>
      <c r="B289" t="s">
        <v>856</v>
      </c>
      <c r="C289"/>
      <c r="D289" s="1092" t="str">
        <f>IF([1]RENAME!$H$3=1,B289,A289)</f>
        <v>Média</v>
      </c>
      <c r="E289" s="1099" t="str">
        <f t="shared" ref="E289:AJ289" si="188">IFERROR(AVERAGE(E286:E288),"-")</f>
        <v>-</v>
      </c>
      <c r="F289" s="1099" t="str">
        <f t="shared" si="188"/>
        <v>-</v>
      </c>
      <c r="G289" s="1099" t="str">
        <f t="shared" si="188"/>
        <v>-</v>
      </c>
      <c r="H289" s="1099" t="str">
        <f t="shared" si="188"/>
        <v>-</v>
      </c>
      <c r="I289" s="1099" t="str">
        <f t="shared" si="188"/>
        <v>-</v>
      </c>
      <c r="J289" s="1099" t="str">
        <f t="shared" si="188"/>
        <v>-</v>
      </c>
      <c r="K289" s="1099" t="str">
        <f t="shared" si="188"/>
        <v>-</v>
      </c>
      <c r="L289" s="1099" t="str">
        <f t="shared" si="188"/>
        <v>-</v>
      </c>
      <c r="M289" s="1099" t="str">
        <f t="shared" si="188"/>
        <v>-</v>
      </c>
      <c r="N289" s="1099" t="str">
        <f t="shared" si="188"/>
        <v>-</v>
      </c>
      <c r="O289" s="1099" t="str">
        <f t="shared" si="188"/>
        <v>-</v>
      </c>
      <c r="P289" s="1099" t="str">
        <f t="shared" si="188"/>
        <v>-</v>
      </c>
      <c r="Q289" s="1099" t="str">
        <f t="shared" si="188"/>
        <v>-</v>
      </c>
      <c r="R289" s="1099" t="str">
        <f t="shared" si="188"/>
        <v>-</v>
      </c>
      <c r="S289" s="1099" t="str">
        <f t="shared" si="188"/>
        <v>-</v>
      </c>
      <c r="T289" s="1099" t="str">
        <f t="shared" si="188"/>
        <v>-</v>
      </c>
      <c r="U289" s="1099" t="str">
        <f t="shared" si="188"/>
        <v>-</v>
      </c>
      <c r="V289" s="1099" t="str">
        <f t="shared" si="188"/>
        <v>-</v>
      </c>
      <c r="W289" s="1099" t="str">
        <f t="shared" si="188"/>
        <v>-</v>
      </c>
      <c r="X289" s="1099" t="str">
        <f t="shared" si="188"/>
        <v>-</v>
      </c>
      <c r="Y289" s="1099" t="str">
        <f t="shared" si="188"/>
        <v>-</v>
      </c>
      <c r="Z289" s="1099" t="str">
        <f t="shared" si="188"/>
        <v>-</v>
      </c>
      <c r="AA289" s="1099" t="str">
        <f t="shared" si="188"/>
        <v>-</v>
      </c>
      <c r="AB289" s="1099" t="str">
        <f t="shared" si="188"/>
        <v>-</v>
      </c>
      <c r="AC289" s="1099" t="str">
        <f t="shared" si="188"/>
        <v>-</v>
      </c>
      <c r="AD289" s="1099" t="str">
        <f t="shared" si="188"/>
        <v>-</v>
      </c>
      <c r="AE289" s="1099" t="str">
        <f t="shared" si="188"/>
        <v>-</v>
      </c>
      <c r="AF289" s="1099" t="str">
        <f t="shared" si="188"/>
        <v>-</v>
      </c>
      <c r="AG289" s="1099" t="str">
        <f t="shared" si="188"/>
        <v>-</v>
      </c>
      <c r="AH289" s="1099" t="str">
        <f t="shared" si="188"/>
        <v>-</v>
      </c>
      <c r="AI289" s="1099" t="str">
        <f t="shared" si="188"/>
        <v>-</v>
      </c>
      <c r="AJ289" s="1099" t="str">
        <f t="shared" si="188"/>
        <v>-</v>
      </c>
      <c r="AK289" s="1099" t="str">
        <f t="shared" ref="AK289:BP289" si="189">IFERROR(AVERAGE(AK286:AK288),"-")</f>
        <v>-</v>
      </c>
      <c r="AL289" s="1099" t="str">
        <f t="shared" si="189"/>
        <v>-</v>
      </c>
      <c r="AM289" s="1099" t="str">
        <f t="shared" si="189"/>
        <v>-</v>
      </c>
      <c r="AN289" s="1099" t="str">
        <f t="shared" si="189"/>
        <v>-</v>
      </c>
      <c r="AO289" s="1099" t="str">
        <f t="shared" si="189"/>
        <v>-</v>
      </c>
      <c r="AP289" s="1099" t="str">
        <f t="shared" si="189"/>
        <v>-</v>
      </c>
      <c r="AQ289" s="1099" t="str">
        <f t="shared" si="189"/>
        <v>-</v>
      </c>
      <c r="AR289" s="1099" t="str">
        <f t="shared" si="189"/>
        <v>-</v>
      </c>
      <c r="AS289" s="1099" t="str">
        <f t="shared" si="189"/>
        <v>-</v>
      </c>
      <c r="AT289" s="1099" t="str">
        <f t="shared" si="189"/>
        <v>-</v>
      </c>
      <c r="AU289" s="1099" t="str">
        <f t="shared" si="189"/>
        <v>-</v>
      </c>
      <c r="AV289" s="1099" t="str">
        <f t="shared" si="189"/>
        <v>-</v>
      </c>
      <c r="AW289" s="1099" t="str">
        <f t="shared" si="189"/>
        <v>-</v>
      </c>
      <c r="AX289" s="1099" t="str">
        <f t="shared" si="189"/>
        <v>-</v>
      </c>
      <c r="AY289" s="1099" t="str">
        <f t="shared" si="189"/>
        <v>-</v>
      </c>
      <c r="AZ289" s="1099" t="str">
        <f t="shared" si="189"/>
        <v>-</v>
      </c>
      <c r="BA289" s="1099" t="str">
        <f t="shared" si="189"/>
        <v>-</v>
      </c>
      <c r="BB289" s="1099" t="str">
        <f t="shared" si="189"/>
        <v>-</v>
      </c>
      <c r="BC289" s="1099" t="str">
        <f t="shared" si="189"/>
        <v>-</v>
      </c>
      <c r="BD289" s="1099" t="str">
        <f t="shared" si="189"/>
        <v>-</v>
      </c>
      <c r="BE289" s="1099" t="str">
        <f t="shared" si="189"/>
        <v>-</v>
      </c>
      <c r="BF289" s="1099" t="str">
        <f t="shared" si="189"/>
        <v>-</v>
      </c>
      <c r="BG289" s="1099" t="str">
        <f t="shared" si="189"/>
        <v>-</v>
      </c>
      <c r="BH289" s="1099" t="str">
        <f t="shared" si="189"/>
        <v>-</v>
      </c>
      <c r="BI289" s="1099" t="str">
        <f t="shared" si="189"/>
        <v>-</v>
      </c>
      <c r="BJ289" s="1099" t="str">
        <f t="shared" si="189"/>
        <v>-</v>
      </c>
      <c r="BK289" s="1099" t="str">
        <f t="shared" si="189"/>
        <v>-</v>
      </c>
      <c r="BL289" s="1099" t="str">
        <f t="shared" si="189"/>
        <v>-</v>
      </c>
      <c r="BM289" s="1099" t="str">
        <f t="shared" si="189"/>
        <v>-</v>
      </c>
      <c r="BN289" s="1099" t="str">
        <f t="shared" si="189"/>
        <v>-</v>
      </c>
      <c r="BO289" s="1099" t="str">
        <f t="shared" si="189"/>
        <v>-</v>
      </c>
      <c r="BP289" s="1099" t="str">
        <f t="shared" si="189"/>
        <v>-</v>
      </c>
      <c r="BQ289" s="1099" t="str">
        <f t="shared" ref="BQ289:CV289" si="190">IFERROR(AVERAGE(BQ286:BQ288),"-")</f>
        <v>-</v>
      </c>
      <c r="BR289" s="1099" t="str">
        <f t="shared" si="190"/>
        <v>-</v>
      </c>
      <c r="BS289" s="1099" t="str">
        <f t="shared" si="190"/>
        <v>-</v>
      </c>
      <c r="BT289" s="1099" t="str">
        <f t="shared" si="190"/>
        <v>-</v>
      </c>
      <c r="BU289" s="1099" t="str">
        <f t="shared" si="190"/>
        <v>-</v>
      </c>
      <c r="BV289" s="1099" t="str">
        <f t="shared" si="190"/>
        <v>-</v>
      </c>
      <c r="BW289" s="1099" t="str">
        <f t="shared" si="190"/>
        <v>-</v>
      </c>
      <c r="BX289" s="1099" t="str">
        <f t="shared" si="190"/>
        <v>-</v>
      </c>
      <c r="BY289" s="1099" t="str">
        <f t="shared" si="190"/>
        <v>-</v>
      </c>
      <c r="BZ289" s="1099" t="str">
        <f t="shared" si="190"/>
        <v>-</v>
      </c>
      <c r="CA289" s="1099" t="str">
        <f t="shared" si="190"/>
        <v>-</v>
      </c>
      <c r="CB289" s="1099" t="str">
        <f t="shared" si="190"/>
        <v>-</v>
      </c>
      <c r="CC289" s="1099" t="str">
        <f t="shared" si="190"/>
        <v>-</v>
      </c>
      <c r="CD289" s="1099" t="str">
        <f t="shared" si="190"/>
        <v>-</v>
      </c>
      <c r="CE289" s="1099" t="str">
        <f t="shared" si="190"/>
        <v>-</v>
      </c>
      <c r="CF289" s="1099" t="str">
        <f t="shared" si="190"/>
        <v>-</v>
      </c>
      <c r="CG289" s="1099" t="str">
        <f t="shared" si="190"/>
        <v>-</v>
      </c>
      <c r="CH289" s="1099" t="str">
        <f t="shared" si="190"/>
        <v>-</v>
      </c>
      <c r="CI289" s="1099" t="str">
        <f t="shared" si="190"/>
        <v>-</v>
      </c>
      <c r="CJ289" s="1099" t="str">
        <f t="shared" si="190"/>
        <v>-</v>
      </c>
      <c r="CK289" s="1099" t="str">
        <f t="shared" si="190"/>
        <v>-</v>
      </c>
      <c r="CL289" s="1099" t="str">
        <f t="shared" si="190"/>
        <v>-</v>
      </c>
      <c r="CM289" s="1099" t="str">
        <f t="shared" si="190"/>
        <v>-</v>
      </c>
      <c r="CN289" s="1099" t="str">
        <f t="shared" si="190"/>
        <v>-</v>
      </c>
      <c r="CO289" s="1099" t="str">
        <f t="shared" si="190"/>
        <v>-</v>
      </c>
      <c r="CP289" s="1099" t="str">
        <f t="shared" si="190"/>
        <v>-</v>
      </c>
      <c r="CQ289" s="1099" t="str">
        <f t="shared" si="190"/>
        <v>-</v>
      </c>
      <c r="CR289" s="1099" t="str">
        <f t="shared" si="190"/>
        <v>-</v>
      </c>
      <c r="CS289" s="1099" t="str">
        <f t="shared" si="190"/>
        <v>-</v>
      </c>
      <c r="CT289" s="1099" t="str">
        <f t="shared" si="190"/>
        <v>-</v>
      </c>
      <c r="CU289" s="1099" t="str">
        <f t="shared" si="190"/>
        <v>-</v>
      </c>
      <c r="CV289" s="1099" t="str">
        <f t="shared" si="190"/>
        <v>-</v>
      </c>
      <c r="CW289" s="1099" t="str">
        <f t="shared" ref="CW289:DI289" si="191">IFERROR(AVERAGE(CW286:CW288),"-")</f>
        <v>-</v>
      </c>
      <c r="CX289" s="1099" t="str">
        <f t="shared" si="191"/>
        <v>-</v>
      </c>
      <c r="CY289" s="1099" t="str">
        <f t="shared" si="191"/>
        <v>-</v>
      </c>
      <c r="CZ289" s="1099" t="str">
        <f t="shared" si="191"/>
        <v>-</v>
      </c>
      <c r="DA289" s="1099">
        <f t="shared" si="191"/>
        <v>2039</v>
      </c>
      <c r="DB289" s="1099">
        <f t="shared" si="191"/>
        <v>2039</v>
      </c>
      <c r="DC289" s="1099">
        <f t="shared" si="191"/>
        <v>2039</v>
      </c>
      <c r="DD289" s="1099">
        <f t="shared" si="191"/>
        <v>2267</v>
      </c>
      <c r="DE289" s="1099">
        <f t="shared" si="191"/>
        <v>2267</v>
      </c>
      <c r="DF289" s="1099">
        <f t="shared" si="191"/>
        <v>2267</v>
      </c>
      <c r="DG289" s="1099">
        <f t="shared" si="191"/>
        <v>2267</v>
      </c>
      <c r="DH289" s="1099">
        <f t="shared" si="191"/>
        <v>2242</v>
      </c>
      <c r="DI289" s="1099">
        <f t="shared" si="191"/>
        <v>2242</v>
      </c>
      <c r="DJ289" s="1099">
        <v>2242</v>
      </c>
      <c r="DK289" s="1099">
        <f>IFERROR(AVERAGE(DK286:DK288),"-")</f>
        <v>2242</v>
      </c>
      <c r="DL289" s="1099">
        <f>IFERROR(AVERAGE(DL286:DL288),"-")</f>
        <v>2242</v>
      </c>
      <c r="DM289" s="1099">
        <f>IFERROR(AVERAGE(DM286:DM288),"-")</f>
        <v>2242</v>
      </c>
      <c r="DN289" s="1099">
        <f>IFERROR(AVERAGE(DN286:DN288),"-")</f>
        <v>2242</v>
      </c>
      <c r="DO289" s="1099">
        <f>IFERROR(AVERAGE(DO286:DO288),"-")</f>
        <v>2225.5</v>
      </c>
      <c r="DP289"/>
      <c r="DQ289"/>
      <c r="DR289"/>
      <c r="DS289"/>
      <c r="DT289"/>
      <c r="DU289"/>
      <c r="DV289"/>
    </row>
    <row r="290" spans="1:126" customFormat="1" x14ac:dyDescent="0.25">
      <c r="A290" s="261"/>
      <c r="B290" s="261"/>
      <c r="C290" s="261"/>
      <c r="D290" s="261"/>
      <c r="E290" s="261"/>
      <c r="F290" s="261"/>
      <c r="G290" s="261"/>
      <c r="H290" s="261"/>
      <c r="I290" s="261"/>
      <c r="J290" s="261"/>
      <c r="K290" s="261"/>
      <c r="L290" s="261"/>
      <c r="M290" s="261"/>
      <c r="N290" s="261"/>
      <c r="O290" s="261"/>
      <c r="P290" s="261"/>
      <c r="Q290" s="261"/>
      <c r="R290" s="261"/>
      <c r="S290" s="339"/>
      <c r="T290" s="339"/>
      <c r="U290" s="339"/>
      <c r="V290" s="339"/>
      <c r="W290" s="339"/>
      <c r="X290" s="339"/>
      <c r="Y290" s="339"/>
      <c r="Z290" s="339"/>
      <c r="AA290" s="339"/>
      <c r="AB290" s="339"/>
      <c r="AC290" s="339"/>
      <c r="AD290" s="339"/>
      <c r="AE290" s="339"/>
      <c r="AF290" s="339"/>
      <c r="AG290" s="339"/>
      <c r="AH290" s="339"/>
      <c r="AI290" s="339"/>
      <c r="AJ290" s="339"/>
      <c r="AK290" s="339"/>
      <c r="AL290" s="339"/>
      <c r="AM290" s="339"/>
      <c r="AN290" s="339"/>
      <c r="AO290" s="339"/>
      <c r="AP290" s="339"/>
      <c r="AQ290" s="339"/>
      <c r="AR290" s="339"/>
      <c r="AS290" s="339"/>
      <c r="AT290" s="339"/>
      <c r="AU290" s="339"/>
      <c r="AX290" s="937"/>
      <c r="DI290" s="1172"/>
      <c r="DJ290" s="1172"/>
      <c r="DK290" s="1172"/>
      <c r="DL290" s="1172"/>
      <c r="DM290" s="1172"/>
      <c r="DN290" s="1172"/>
      <c r="DO290" s="1172"/>
    </row>
    <row r="291" spans="1:126" customFormat="1" x14ac:dyDescent="0.25">
      <c r="A291" s="261" t="s">
        <v>2216</v>
      </c>
      <c r="B291" s="261" t="s">
        <v>2217</v>
      </c>
      <c r="C291" s="261"/>
      <c r="D291" s="113" t="str">
        <f>IF([1]RENAME!$H$3=1,B291,A291)</f>
        <v>EBITDA 2025</v>
      </c>
      <c r="E291" s="262">
        <f t="shared" ref="E291:BP291" si="192">E$11</f>
        <v>42522</v>
      </c>
      <c r="F291" s="262">
        <f t="shared" si="192"/>
        <v>42552</v>
      </c>
      <c r="G291" s="262">
        <f t="shared" si="192"/>
        <v>42583</v>
      </c>
      <c r="H291" s="262">
        <f t="shared" si="192"/>
        <v>42614</v>
      </c>
      <c r="I291" s="262">
        <f t="shared" si="192"/>
        <v>42644</v>
      </c>
      <c r="J291" s="262">
        <f t="shared" si="192"/>
        <v>42675</v>
      </c>
      <c r="K291" s="262">
        <f t="shared" si="192"/>
        <v>42705</v>
      </c>
      <c r="L291" s="262">
        <f t="shared" si="192"/>
        <v>42736</v>
      </c>
      <c r="M291" s="262">
        <f t="shared" si="192"/>
        <v>42767</v>
      </c>
      <c r="N291" s="262">
        <f t="shared" si="192"/>
        <v>42795</v>
      </c>
      <c r="O291" s="262">
        <f t="shared" si="192"/>
        <v>42826</v>
      </c>
      <c r="P291" s="262">
        <f t="shared" si="192"/>
        <v>42856</v>
      </c>
      <c r="Q291" s="262">
        <f t="shared" si="192"/>
        <v>42887</v>
      </c>
      <c r="R291" s="262">
        <f t="shared" si="192"/>
        <v>42917</v>
      </c>
      <c r="S291" s="262">
        <f t="shared" si="192"/>
        <v>42948</v>
      </c>
      <c r="T291" s="262">
        <f t="shared" si="192"/>
        <v>42979</v>
      </c>
      <c r="U291" s="262">
        <f t="shared" si="192"/>
        <v>43009</v>
      </c>
      <c r="V291" s="262">
        <f t="shared" si="192"/>
        <v>43040</v>
      </c>
      <c r="W291" s="262">
        <f t="shared" si="192"/>
        <v>43070</v>
      </c>
      <c r="X291" s="262">
        <f t="shared" si="192"/>
        <v>43101</v>
      </c>
      <c r="Y291" s="262">
        <f t="shared" si="192"/>
        <v>43132</v>
      </c>
      <c r="Z291" s="262">
        <f t="shared" si="192"/>
        <v>43160</v>
      </c>
      <c r="AA291" s="262">
        <f t="shared" si="192"/>
        <v>43191</v>
      </c>
      <c r="AB291" s="262">
        <f t="shared" si="192"/>
        <v>43221</v>
      </c>
      <c r="AC291" s="262">
        <f t="shared" si="192"/>
        <v>43252</v>
      </c>
      <c r="AD291" s="262">
        <f t="shared" si="192"/>
        <v>43283</v>
      </c>
      <c r="AE291" s="262">
        <f t="shared" si="192"/>
        <v>43314</v>
      </c>
      <c r="AF291" s="262">
        <f t="shared" si="192"/>
        <v>43345</v>
      </c>
      <c r="AG291" s="262">
        <f t="shared" si="192"/>
        <v>43376</v>
      </c>
      <c r="AH291" s="262">
        <f t="shared" si="192"/>
        <v>43407</v>
      </c>
      <c r="AI291" s="262">
        <f t="shared" si="192"/>
        <v>43437</v>
      </c>
      <c r="AJ291" s="262">
        <f t="shared" si="192"/>
        <v>43468</v>
      </c>
      <c r="AK291" s="262">
        <f t="shared" si="192"/>
        <v>43499</v>
      </c>
      <c r="AL291" s="262">
        <f t="shared" si="192"/>
        <v>43527</v>
      </c>
      <c r="AM291" s="262">
        <f t="shared" si="192"/>
        <v>43558</v>
      </c>
      <c r="AN291" s="262">
        <f t="shared" si="192"/>
        <v>43587</v>
      </c>
      <c r="AO291" s="262">
        <f t="shared" si="192"/>
        <v>43618</v>
      </c>
      <c r="AP291" s="262">
        <f t="shared" si="192"/>
        <v>43647</v>
      </c>
      <c r="AQ291" s="262">
        <f t="shared" si="192"/>
        <v>43678</v>
      </c>
      <c r="AR291" s="262">
        <f t="shared" si="192"/>
        <v>43709</v>
      </c>
      <c r="AS291" s="262">
        <f t="shared" si="192"/>
        <v>43739</v>
      </c>
      <c r="AT291" s="262">
        <f t="shared" si="192"/>
        <v>43770</v>
      </c>
      <c r="AU291" s="262">
        <f t="shared" si="192"/>
        <v>43800</v>
      </c>
      <c r="AV291" s="262">
        <f t="shared" si="192"/>
        <v>43831</v>
      </c>
      <c r="AW291" s="262">
        <f t="shared" si="192"/>
        <v>43862</v>
      </c>
      <c r="AX291" s="933">
        <f t="shared" si="192"/>
        <v>43891</v>
      </c>
      <c r="AY291" s="262">
        <f t="shared" si="192"/>
        <v>43922</v>
      </c>
      <c r="AZ291" s="262">
        <f t="shared" si="192"/>
        <v>43952</v>
      </c>
      <c r="BA291" s="262">
        <f t="shared" si="192"/>
        <v>43983</v>
      </c>
      <c r="BB291" s="262">
        <f t="shared" si="192"/>
        <v>44013</v>
      </c>
      <c r="BC291" s="262">
        <f t="shared" si="192"/>
        <v>44044</v>
      </c>
      <c r="BD291" s="262">
        <f t="shared" si="192"/>
        <v>44075</v>
      </c>
      <c r="BE291" s="262">
        <f t="shared" si="192"/>
        <v>44105</v>
      </c>
      <c r="BF291" s="262">
        <f t="shared" si="192"/>
        <v>44136</v>
      </c>
      <c r="BG291" s="262">
        <f t="shared" si="192"/>
        <v>44166</v>
      </c>
      <c r="BH291" s="262">
        <f t="shared" si="192"/>
        <v>44197</v>
      </c>
      <c r="BI291" s="262">
        <f t="shared" si="192"/>
        <v>44228</v>
      </c>
      <c r="BJ291" s="262">
        <f t="shared" si="192"/>
        <v>44256</v>
      </c>
      <c r="BK291" s="262">
        <f t="shared" si="192"/>
        <v>44287</v>
      </c>
      <c r="BL291" s="262">
        <f t="shared" si="192"/>
        <v>44317</v>
      </c>
      <c r="BM291" s="262">
        <f t="shared" si="192"/>
        <v>44348</v>
      </c>
      <c r="BN291" s="262">
        <f t="shared" si="192"/>
        <v>44378</v>
      </c>
      <c r="BO291" s="262">
        <f t="shared" si="192"/>
        <v>44409</v>
      </c>
      <c r="BP291" s="262">
        <f t="shared" si="192"/>
        <v>44440</v>
      </c>
      <c r="BQ291" s="262">
        <f t="shared" ref="BQ291:DO291" si="193">BQ$11</f>
        <v>44470</v>
      </c>
      <c r="BR291" s="262">
        <f t="shared" si="193"/>
        <v>44501</v>
      </c>
      <c r="BS291" s="262">
        <f t="shared" si="193"/>
        <v>44531</v>
      </c>
      <c r="BT291" s="262">
        <f t="shared" si="193"/>
        <v>44562</v>
      </c>
      <c r="BU291" s="262">
        <f t="shared" si="193"/>
        <v>44593</v>
      </c>
      <c r="BV291" s="262">
        <f t="shared" si="193"/>
        <v>44622</v>
      </c>
      <c r="BW291" s="262">
        <f t="shared" si="193"/>
        <v>44654</v>
      </c>
      <c r="BX291" s="262">
        <f t="shared" si="193"/>
        <v>44685</v>
      </c>
      <c r="BY291" s="262">
        <f t="shared" si="193"/>
        <v>44716</v>
      </c>
      <c r="BZ291" s="262">
        <f t="shared" si="193"/>
        <v>44746</v>
      </c>
      <c r="CA291" s="262">
        <f t="shared" si="193"/>
        <v>44774</v>
      </c>
      <c r="CB291" s="262">
        <f t="shared" si="193"/>
        <v>44805</v>
      </c>
      <c r="CC291" s="262">
        <f t="shared" si="193"/>
        <v>44835</v>
      </c>
      <c r="CD291" s="262">
        <f t="shared" si="193"/>
        <v>44866</v>
      </c>
      <c r="CE291" s="262">
        <f t="shared" si="193"/>
        <v>44896</v>
      </c>
      <c r="CF291" s="262">
        <f t="shared" si="193"/>
        <v>44927</v>
      </c>
      <c r="CG291" s="262">
        <f t="shared" si="193"/>
        <v>44958</v>
      </c>
      <c r="CH291" s="262">
        <f t="shared" si="193"/>
        <v>44986</v>
      </c>
      <c r="CI291" s="262">
        <f t="shared" si="193"/>
        <v>45017</v>
      </c>
      <c r="CJ291" s="262">
        <f t="shared" si="193"/>
        <v>45047</v>
      </c>
      <c r="CK291" s="262">
        <f t="shared" si="193"/>
        <v>45078</v>
      </c>
      <c r="CL291" s="262">
        <f t="shared" si="193"/>
        <v>45108</v>
      </c>
      <c r="CM291" s="262">
        <f t="shared" si="193"/>
        <v>45139</v>
      </c>
      <c r="CN291" s="262">
        <f t="shared" si="193"/>
        <v>45170</v>
      </c>
      <c r="CO291" s="262">
        <f t="shared" si="193"/>
        <v>45200</v>
      </c>
      <c r="CP291" s="262">
        <f t="shared" si="193"/>
        <v>45231</v>
      </c>
      <c r="CQ291" s="262">
        <f t="shared" si="193"/>
        <v>45261</v>
      </c>
      <c r="CR291" s="262">
        <f t="shared" si="193"/>
        <v>45292</v>
      </c>
      <c r="CS291" s="262">
        <f t="shared" si="193"/>
        <v>45323</v>
      </c>
      <c r="CT291" s="262">
        <f t="shared" si="193"/>
        <v>45352</v>
      </c>
      <c r="CU291" s="262">
        <f t="shared" si="193"/>
        <v>45383</v>
      </c>
      <c r="CV291" s="262">
        <f t="shared" si="193"/>
        <v>45413</v>
      </c>
      <c r="CW291" s="262">
        <f t="shared" si="193"/>
        <v>45444</v>
      </c>
      <c r="CX291" s="262">
        <f t="shared" si="193"/>
        <v>45474</v>
      </c>
      <c r="CY291" s="262">
        <f t="shared" si="193"/>
        <v>45505</v>
      </c>
      <c r="CZ291" s="262">
        <f t="shared" si="193"/>
        <v>45536</v>
      </c>
      <c r="DA291" s="262">
        <f t="shared" si="193"/>
        <v>45566</v>
      </c>
      <c r="DB291" s="262">
        <f t="shared" si="193"/>
        <v>45597</v>
      </c>
      <c r="DC291" s="262">
        <f t="shared" si="193"/>
        <v>45627</v>
      </c>
      <c r="DD291" s="262">
        <f t="shared" si="193"/>
        <v>45658</v>
      </c>
      <c r="DE291" s="262">
        <f t="shared" si="193"/>
        <v>45689</v>
      </c>
      <c r="DF291" s="262">
        <f t="shared" si="193"/>
        <v>45717</v>
      </c>
      <c r="DG291" s="262">
        <f t="shared" si="193"/>
        <v>45748</v>
      </c>
      <c r="DH291" s="262">
        <f t="shared" si="193"/>
        <v>45778</v>
      </c>
      <c r="DI291" s="262">
        <f t="shared" si="193"/>
        <v>45809</v>
      </c>
      <c r="DJ291" s="262">
        <v>45839</v>
      </c>
      <c r="DK291" s="262">
        <f t="shared" si="193"/>
        <v>45870</v>
      </c>
      <c r="DL291" s="262">
        <f t="shared" si="193"/>
        <v>45901</v>
      </c>
      <c r="DM291" s="262">
        <f t="shared" si="193"/>
        <v>45931</v>
      </c>
      <c r="DN291" s="262">
        <f t="shared" si="193"/>
        <v>45962</v>
      </c>
      <c r="DO291" s="262">
        <f t="shared" si="193"/>
        <v>45992</v>
      </c>
    </row>
    <row r="292" spans="1:126" customFormat="1" x14ac:dyDescent="0.25">
      <c r="A292" s="261" t="s">
        <v>542</v>
      </c>
      <c r="B292" s="261" t="s">
        <v>542</v>
      </c>
      <c r="C292" s="261"/>
      <c r="D292" s="117" t="str">
        <f>IF([1]RENAME!$H$3=1,B292,A292)</f>
        <v>SANTANDER</v>
      </c>
      <c r="E292" s="263" t="s">
        <v>160</v>
      </c>
      <c r="F292" s="263" t="s">
        <v>160</v>
      </c>
      <c r="G292" s="263" t="s">
        <v>160</v>
      </c>
      <c r="H292" s="264" t="s">
        <v>160</v>
      </c>
      <c r="I292" s="264" t="s">
        <v>160</v>
      </c>
      <c r="J292" s="264" t="s">
        <v>160</v>
      </c>
      <c r="K292" s="264" t="s">
        <v>160</v>
      </c>
      <c r="L292" s="264" t="s">
        <v>160</v>
      </c>
      <c r="M292" s="264" t="s">
        <v>160</v>
      </c>
      <c r="N292" s="264" t="s">
        <v>160</v>
      </c>
      <c r="O292" s="264" t="s">
        <v>160</v>
      </c>
      <c r="P292" s="264" t="s">
        <v>160</v>
      </c>
      <c r="Q292" s="264" t="s">
        <v>160</v>
      </c>
      <c r="R292" s="264" t="s">
        <v>160</v>
      </c>
      <c r="S292" s="264" t="s">
        <v>160</v>
      </c>
      <c r="T292" s="264" t="s">
        <v>160</v>
      </c>
      <c r="U292" s="264" t="s">
        <v>160</v>
      </c>
      <c r="V292" s="264" t="s">
        <v>160</v>
      </c>
      <c r="W292" s="336" t="s">
        <v>160</v>
      </c>
      <c r="X292" s="336" t="s">
        <v>160</v>
      </c>
      <c r="Y292" s="336" t="s">
        <v>160</v>
      </c>
      <c r="Z292" s="336" t="s">
        <v>160</v>
      </c>
      <c r="AA292" s="336" t="s">
        <v>160</v>
      </c>
      <c r="AB292" s="336" t="s">
        <v>160</v>
      </c>
      <c r="AC292" s="336" t="s">
        <v>160</v>
      </c>
      <c r="AD292" s="336" t="s">
        <v>160</v>
      </c>
      <c r="AE292" s="336" t="s">
        <v>160</v>
      </c>
      <c r="AF292" s="336" t="s">
        <v>160</v>
      </c>
      <c r="AG292" s="336" t="s">
        <v>160</v>
      </c>
      <c r="AH292" s="336" t="s">
        <v>160</v>
      </c>
      <c r="AI292" s="336" t="s">
        <v>160</v>
      </c>
      <c r="AJ292" s="336" t="s">
        <v>160</v>
      </c>
      <c r="AK292" s="336" t="s">
        <v>160</v>
      </c>
      <c r="AL292" s="336" t="s">
        <v>160</v>
      </c>
      <c r="AM292" s="336" t="s">
        <v>160</v>
      </c>
      <c r="AN292" s="336" t="s">
        <v>160</v>
      </c>
      <c r="AO292" s="336" t="s">
        <v>160</v>
      </c>
      <c r="AP292" s="336" t="s">
        <v>160</v>
      </c>
      <c r="AQ292" s="336" t="s">
        <v>160</v>
      </c>
      <c r="AR292" s="336" t="s">
        <v>160</v>
      </c>
      <c r="AS292" s="336" t="s">
        <v>160</v>
      </c>
      <c r="AT292" s="336" t="s">
        <v>160</v>
      </c>
      <c r="AU292" s="336" t="s">
        <v>160</v>
      </c>
      <c r="AV292" s="336" t="s">
        <v>160</v>
      </c>
      <c r="AW292" s="336" t="s">
        <v>160</v>
      </c>
      <c r="AX292" s="1181" t="s">
        <v>160</v>
      </c>
      <c r="AY292" s="336" t="s">
        <v>160</v>
      </c>
      <c r="AZ292" s="336" t="s">
        <v>160</v>
      </c>
      <c r="BA292" s="336" t="s">
        <v>160</v>
      </c>
      <c r="BB292" s="336" t="s">
        <v>160</v>
      </c>
      <c r="BC292" s="336" t="s">
        <v>160</v>
      </c>
      <c r="BD292" s="336" t="s">
        <v>160</v>
      </c>
      <c r="BE292" s="336" t="s">
        <v>160</v>
      </c>
      <c r="BF292" s="336" t="s">
        <v>160</v>
      </c>
      <c r="BG292" s="336" t="s">
        <v>160</v>
      </c>
      <c r="BH292" s="336" t="s">
        <v>160</v>
      </c>
      <c r="BI292" s="336" t="s">
        <v>160</v>
      </c>
      <c r="BJ292" s="336" t="s">
        <v>160</v>
      </c>
      <c r="BK292" s="336" t="s">
        <v>160</v>
      </c>
      <c r="BL292" s="336" t="s">
        <v>160</v>
      </c>
      <c r="BM292" s="336" t="s">
        <v>160</v>
      </c>
      <c r="BN292" s="336" t="s">
        <v>160</v>
      </c>
      <c r="BO292" s="336" t="s">
        <v>160</v>
      </c>
      <c r="BP292" s="336" t="s">
        <v>160</v>
      </c>
      <c r="BQ292" s="336" t="s">
        <v>160</v>
      </c>
      <c r="BR292" s="336" t="s">
        <v>160</v>
      </c>
      <c r="BS292" s="336" t="s">
        <v>160</v>
      </c>
      <c r="BT292" s="336" t="s">
        <v>160</v>
      </c>
      <c r="BU292" s="336" t="s">
        <v>160</v>
      </c>
      <c r="BV292" s="336" t="s">
        <v>160</v>
      </c>
      <c r="BW292" s="336" t="s">
        <v>160</v>
      </c>
      <c r="BX292" s="336" t="s">
        <v>160</v>
      </c>
      <c r="BY292" s="336" t="s">
        <v>160</v>
      </c>
      <c r="BZ292" s="336" t="s">
        <v>160</v>
      </c>
      <c r="CA292" s="336" t="s">
        <v>160</v>
      </c>
      <c r="CB292" s="336" t="s">
        <v>160</v>
      </c>
      <c r="CC292" s="336" t="s">
        <v>160</v>
      </c>
      <c r="CD292" s="336" t="s">
        <v>160</v>
      </c>
      <c r="CE292" s="336" t="s">
        <v>160</v>
      </c>
      <c r="CF292" s="336" t="s">
        <v>160</v>
      </c>
      <c r="CG292" s="336" t="s">
        <v>160</v>
      </c>
      <c r="CH292" s="336" t="s">
        <v>160</v>
      </c>
      <c r="CI292" s="336" t="s">
        <v>160</v>
      </c>
      <c r="CJ292" s="336" t="s">
        <v>160</v>
      </c>
      <c r="CK292" s="336" t="s">
        <v>160</v>
      </c>
      <c r="CL292" s="336" t="s">
        <v>160</v>
      </c>
      <c r="CM292" s="336" t="s">
        <v>160</v>
      </c>
      <c r="CN292" s="336" t="s">
        <v>160</v>
      </c>
      <c r="CO292" s="336" t="s">
        <v>160</v>
      </c>
      <c r="CP292" s="336" t="s">
        <v>160</v>
      </c>
      <c r="CQ292" s="336" t="s">
        <v>160</v>
      </c>
      <c r="CR292" s="336" t="s">
        <v>160</v>
      </c>
      <c r="CS292" s="336" t="s">
        <v>160</v>
      </c>
      <c r="CT292" s="336" t="s">
        <v>160</v>
      </c>
      <c r="CU292" s="336" t="s">
        <v>160</v>
      </c>
      <c r="CV292" s="336" t="s">
        <v>160</v>
      </c>
      <c r="CW292" s="336" t="s">
        <v>160</v>
      </c>
      <c r="CX292" s="336" t="s">
        <v>160</v>
      </c>
      <c r="CY292" s="336" t="s">
        <v>160</v>
      </c>
      <c r="CZ292" s="336" t="s">
        <v>160</v>
      </c>
      <c r="DA292" s="336" t="s">
        <v>160</v>
      </c>
      <c r="DB292" s="336" t="s">
        <v>160</v>
      </c>
      <c r="DC292" s="336" t="s">
        <v>160</v>
      </c>
      <c r="DD292" s="336" t="s">
        <v>160</v>
      </c>
      <c r="DE292" s="336" t="s">
        <v>160</v>
      </c>
      <c r="DF292" s="336" t="s">
        <v>160</v>
      </c>
      <c r="DG292" s="336" t="s">
        <v>160</v>
      </c>
      <c r="DH292" s="690">
        <v>407</v>
      </c>
      <c r="DI292" s="591">
        <v>407</v>
      </c>
      <c r="DJ292" s="591">
        <v>407</v>
      </c>
      <c r="DK292" s="591">
        <v>407</v>
      </c>
      <c r="DL292" s="591">
        <v>407</v>
      </c>
      <c r="DM292" s="591">
        <v>407</v>
      </c>
      <c r="DN292" s="591">
        <v>407</v>
      </c>
      <c r="DO292" s="591">
        <v>407</v>
      </c>
    </row>
    <row r="293" spans="1:126" x14ac:dyDescent="0.25">
      <c r="A293" s="261" t="s">
        <v>546</v>
      </c>
      <c r="B293" s="261" t="s">
        <v>546</v>
      </c>
      <c r="D293" s="117" t="str">
        <f>IF([1]RENAME!$H$3=1,B293,A293)</f>
        <v>BTG PACTUAL</v>
      </c>
      <c r="E293" s="263" t="s">
        <v>160</v>
      </c>
      <c r="F293" s="263" t="s">
        <v>160</v>
      </c>
      <c r="G293" s="263" t="s">
        <v>160</v>
      </c>
      <c r="H293" s="263" t="s">
        <v>160</v>
      </c>
      <c r="I293" s="263" t="s">
        <v>160</v>
      </c>
      <c r="J293" s="264" t="s">
        <v>160</v>
      </c>
      <c r="K293" s="264" t="s">
        <v>160</v>
      </c>
      <c r="L293" s="264" t="s">
        <v>160</v>
      </c>
      <c r="M293" s="264" t="s">
        <v>160</v>
      </c>
      <c r="N293" s="592" t="s">
        <v>160</v>
      </c>
      <c r="O293" s="592" t="s">
        <v>160</v>
      </c>
      <c r="P293" s="592" t="s">
        <v>160</v>
      </c>
      <c r="Q293" s="592" t="s">
        <v>160</v>
      </c>
      <c r="R293" s="592" t="s">
        <v>160</v>
      </c>
      <c r="S293" s="592" t="s">
        <v>160</v>
      </c>
      <c r="T293" s="592" t="s">
        <v>160</v>
      </c>
      <c r="U293" s="592" t="s">
        <v>160</v>
      </c>
      <c r="V293" s="592" t="s">
        <v>160</v>
      </c>
      <c r="W293" s="592" t="s">
        <v>160</v>
      </c>
      <c r="X293" s="592" t="s">
        <v>160</v>
      </c>
      <c r="Y293" s="592" t="s">
        <v>160</v>
      </c>
      <c r="Z293" s="592" t="s">
        <v>160</v>
      </c>
      <c r="AA293" s="592" t="s">
        <v>160</v>
      </c>
      <c r="AB293" s="592" t="s">
        <v>160</v>
      </c>
      <c r="AC293" s="592" t="s">
        <v>160</v>
      </c>
      <c r="AD293" s="592" t="s">
        <v>160</v>
      </c>
      <c r="AE293" s="592" t="s">
        <v>160</v>
      </c>
      <c r="AF293" s="592" t="s">
        <v>160</v>
      </c>
      <c r="AG293" s="592" t="s">
        <v>160</v>
      </c>
      <c r="AH293" s="591" t="s">
        <v>160</v>
      </c>
      <c r="AI293" s="592" t="s">
        <v>160</v>
      </c>
      <c r="AJ293" s="592" t="s">
        <v>160</v>
      </c>
      <c r="AK293" s="592" t="s">
        <v>160</v>
      </c>
      <c r="AL293" s="346" t="s">
        <v>160</v>
      </c>
      <c r="AM293" s="346" t="s">
        <v>160</v>
      </c>
      <c r="AN293" s="346" t="s">
        <v>160</v>
      </c>
      <c r="AO293" s="346" t="s">
        <v>160</v>
      </c>
      <c r="AP293" s="346" t="s">
        <v>160</v>
      </c>
      <c r="AQ293" s="346" t="s">
        <v>160</v>
      </c>
      <c r="AR293" s="346" t="s">
        <v>160</v>
      </c>
      <c r="AS293" s="346" t="s">
        <v>160</v>
      </c>
      <c r="AT293" s="346" t="s">
        <v>160</v>
      </c>
      <c r="AU293" s="346" t="s">
        <v>160</v>
      </c>
      <c r="AV293" s="346" t="s">
        <v>160</v>
      </c>
      <c r="AW293" s="346" t="s">
        <v>160</v>
      </c>
      <c r="AX293" s="947" t="s">
        <v>160</v>
      </c>
      <c r="AY293" s="346" t="s">
        <v>160</v>
      </c>
      <c r="AZ293" s="346" t="s">
        <v>160</v>
      </c>
      <c r="BA293" s="346" t="s">
        <v>160</v>
      </c>
      <c r="BB293" s="346" t="s">
        <v>160</v>
      </c>
      <c r="BC293" s="346" t="s">
        <v>160</v>
      </c>
      <c r="BD293" s="346" t="s">
        <v>160</v>
      </c>
      <c r="BE293" s="346" t="s">
        <v>160</v>
      </c>
      <c r="BF293" s="346" t="s">
        <v>160</v>
      </c>
      <c r="BG293" s="346" t="s">
        <v>160</v>
      </c>
      <c r="BH293" s="346" t="s">
        <v>160</v>
      </c>
      <c r="BI293" s="346" t="s">
        <v>160</v>
      </c>
      <c r="BJ293" s="346" t="s">
        <v>160</v>
      </c>
      <c r="BK293" s="346" t="s">
        <v>160</v>
      </c>
      <c r="BL293" s="346" t="s">
        <v>160</v>
      </c>
      <c r="BM293" s="346" t="s">
        <v>160</v>
      </c>
      <c r="BN293" s="346" t="s">
        <v>160</v>
      </c>
      <c r="BO293" s="346" t="s">
        <v>160</v>
      </c>
      <c r="BP293" s="591" t="s">
        <v>160</v>
      </c>
      <c r="BQ293" s="591" t="s">
        <v>160</v>
      </c>
      <c r="BR293" s="591" t="s">
        <v>160</v>
      </c>
      <c r="BS293" s="591" t="s">
        <v>160</v>
      </c>
      <c r="BT293" s="591" t="s">
        <v>160</v>
      </c>
      <c r="BU293" s="591" t="s">
        <v>160</v>
      </c>
      <c r="BV293" s="591" t="s">
        <v>160</v>
      </c>
      <c r="BW293" s="591" t="s">
        <v>160</v>
      </c>
      <c r="BX293" s="591" t="s">
        <v>160</v>
      </c>
      <c r="BY293" s="591" t="s">
        <v>160</v>
      </c>
      <c r="BZ293" s="591" t="s">
        <v>160</v>
      </c>
      <c r="CA293" s="591" t="s">
        <v>160</v>
      </c>
      <c r="CB293" s="591" t="s">
        <v>160</v>
      </c>
      <c r="CC293" s="591" t="s">
        <v>160</v>
      </c>
      <c r="CD293" s="591" t="s">
        <v>160</v>
      </c>
      <c r="CE293" s="591" t="s">
        <v>160</v>
      </c>
      <c r="CF293" s="591" t="s">
        <v>160</v>
      </c>
      <c r="CG293" s="591" t="s">
        <v>160</v>
      </c>
      <c r="CH293" s="591" t="s">
        <v>160</v>
      </c>
      <c r="CI293" s="591" t="s">
        <v>160</v>
      </c>
      <c r="CJ293" s="591" t="s">
        <v>160</v>
      </c>
      <c r="CK293" s="591" t="s">
        <v>160</v>
      </c>
      <c r="CL293" s="591" t="s">
        <v>160</v>
      </c>
      <c r="CM293" s="591" t="s">
        <v>160</v>
      </c>
      <c r="CN293" s="591" t="s">
        <v>160</v>
      </c>
      <c r="CO293" s="591" t="s">
        <v>160</v>
      </c>
      <c r="CP293" s="591" t="s">
        <v>160</v>
      </c>
      <c r="CQ293" s="591" t="s">
        <v>160</v>
      </c>
      <c r="CR293" s="591" t="s">
        <v>160</v>
      </c>
      <c r="CS293" s="591" t="s">
        <v>160</v>
      </c>
      <c r="CT293" s="591" t="s">
        <v>160</v>
      </c>
      <c r="CU293" s="591" t="s">
        <v>160</v>
      </c>
      <c r="CV293" s="591" t="s">
        <v>160</v>
      </c>
      <c r="CW293" s="591" t="s">
        <v>160</v>
      </c>
      <c r="CX293" s="591" t="s">
        <v>160</v>
      </c>
      <c r="CY293" s="591" t="s">
        <v>160</v>
      </c>
      <c r="CZ293" s="591" t="s">
        <v>160</v>
      </c>
      <c r="DA293" s="591" t="s">
        <v>160</v>
      </c>
      <c r="DB293" s="591" t="s">
        <v>160</v>
      </c>
      <c r="DC293" s="591" t="s">
        <v>160</v>
      </c>
      <c r="DD293" s="591" t="s">
        <v>160</v>
      </c>
      <c r="DE293" s="591" t="s">
        <v>160</v>
      </c>
      <c r="DF293" s="591" t="s">
        <v>160</v>
      </c>
      <c r="DG293" s="591" t="s">
        <v>160</v>
      </c>
      <c r="DH293" s="591" t="s">
        <v>160</v>
      </c>
      <c r="DI293" s="591" t="s">
        <v>160</v>
      </c>
      <c r="DJ293" s="591" t="s">
        <v>160</v>
      </c>
      <c r="DK293" s="591" t="s">
        <v>160</v>
      </c>
      <c r="DL293" s="591" t="s">
        <v>160</v>
      </c>
      <c r="DM293" s="591" t="s">
        <v>160</v>
      </c>
      <c r="DN293" s="591" t="s">
        <v>160</v>
      </c>
      <c r="DO293" s="591" t="s">
        <v>160</v>
      </c>
      <c r="DP293"/>
      <c r="DQ293"/>
      <c r="DR293"/>
      <c r="DS293"/>
      <c r="DT293"/>
      <c r="DU293"/>
      <c r="DV293"/>
    </row>
    <row r="294" spans="1:126" x14ac:dyDescent="0.25">
      <c r="A294" s="261" t="s">
        <v>547</v>
      </c>
      <c r="B294" s="261" t="s">
        <v>547</v>
      </c>
      <c r="D294" s="117" t="str">
        <f>IF([1]RENAME!$H$3=1,B294,A294)</f>
        <v>ITAÚ</v>
      </c>
      <c r="E294" s="263" t="s">
        <v>160</v>
      </c>
      <c r="F294" s="263" t="s">
        <v>160</v>
      </c>
      <c r="G294" s="263" t="s">
        <v>160</v>
      </c>
      <c r="H294" s="263" t="s">
        <v>160</v>
      </c>
      <c r="I294" s="264" t="s">
        <v>160</v>
      </c>
      <c r="J294" s="264" t="s">
        <v>160</v>
      </c>
      <c r="K294" s="264" t="s">
        <v>160</v>
      </c>
      <c r="L294" s="264" t="s">
        <v>160</v>
      </c>
      <c r="M294" s="264" t="s">
        <v>160</v>
      </c>
      <c r="N294" s="264" t="s">
        <v>160</v>
      </c>
      <c r="O294" s="264" t="s">
        <v>160</v>
      </c>
      <c r="P294" s="264" t="s">
        <v>160</v>
      </c>
      <c r="Q294" s="264" t="s">
        <v>160</v>
      </c>
      <c r="R294" s="264" t="s">
        <v>160</v>
      </c>
      <c r="S294" s="264" t="s">
        <v>160</v>
      </c>
      <c r="T294" s="264" t="s">
        <v>160</v>
      </c>
      <c r="U294" s="264" t="s">
        <v>160</v>
      </c>
      <c r="V294" s="264" t="s">
        <v>160</v>
      </c>
      <c r="W294" s="264" t="s">
        <v>160</v>
      </c>
      <c r="X294" s="336" t="s">
        <v>160</v>
      </c>
      <c r="Y294" s="264" t="s">
        <v>160</v>
      </c>
      <c r="Z294" s="264" t="s">
        <v>160</v>
      </c>
      <c r="AA294" s="264" t="s">
        <v>160</v>
      </c>
      <c r="AB294" s="264" t="s">
        <v>160</v>
      </c>
      <c r="AC294" s="264" t="s">
        <v>160</v>
      </c>
      <c r="AD294" s="264" t="s">
        <v>160</v>
      </c>
      <c r="AE294" s="264" t="s">
        <v>160</v>
      </c>
      <c r="AF294" s="336" t="s">
        <v>160</v>
      </c>
      <c r="AG294" s="264" t="s">
        <v>160</v>
      </c>
      <c r="AH294" s="264" t="s">
        <v>160</v>
      </c>
      <c r="AI294" s="264" t="s">
        <v>160</v>
      </c>
      <c r="AJ294" s="264" t="s">
        <v>160</v>
      </c>
      <c r="AK294" s="264" t="s">
        <v>160</v>
      </c>
      <c r="AL294" s="336" t="s">
        <v>160</v>
      </c>
      <c r="AM294" s="336" t="s">
        <v>160</v>
      </c>
      <c r="AN294" s="336" t="s">
        <v>160</v>
      </c>
      <c r="AO294" s="336" t="s">
        <v>160</v>
      </c>
      <c r="AP294" s="336" t="s">
        <v>160</v>
      </c>
      <c r="AQ294" s="336" t="s">
        <v>160</v>
      </c>
      <c r="AR294" s="336" t="s">
        <v>160</v>
      </c>
      <c r="AS294" s="336" t="s">
        <v>160</v>
      </c>
      <c r="AT294" s="336" t="s">
        <v>160</v>
      </c>
      <c r="AU294" s="336" t="s">
        <v>160</v>
      </c>
      <c r="AV294" s="336" t="s">
        <v>160</v>
      </c>
      <c r="AW294" s="336" t="s">
        <v>160</v>
      </c>
      <c r="AX294" s="1181" t="s">
        <v>160</v>
      </c>
      <c r="AY294" s="336" t="s">
        <v>160</v>
      </c>
      <c r="AZ294" s="336" t="s">
        <v>160</v>
      </c>
      <c r="BA294" s="336" t="s">
        <v>160</v>
      </c>
      <c r="BB294" s="336" t="s">
        <v>160</v>
      </c>
      <c r="BC294" s="336" t="s">
        <v>160</v>
      </c>
      <c r="BD294" s="336" t="s">
        <v>160</v>
      </c>
      <c r="BE294" s="336" t="s">
        <v>160</v>
      </c>
      <c r="BF294" s="336" t="s">
        <v>160</v>
      </c>
      <c r="BG294" s="336" t="s">
        <v>160</v>
      </c>
      <c r="BH294" s="336" t="s">
        <v>160</v>
      </c>
      <c r="BI294" s="336" t="s">
        <v>160</v>
      </c>
      <c r="BJ294" s="336" t="s">
        <v>160</v>
      </c>
      <c r="BK294" s="336" t="s">
        <v>160</v>
      </c>
      <c r="BL294" s="336" t="s">
        <v>160</v>
      </c>
      <c r="BM294" s="336" t="s">
        <v>160</v>
      </c>
      <c r="BN294" s="336" t="s">
        <v>160</v>
      </c>
      <c r="BO294" s="336" t="s">
        <v>160</v>
      </c>
      <c r="BP294" s="336" t="s">
        <v>160</v>
      </c>
      <c r="BQ294" s="336" t="s">
        <v>160</v>
      </c>
      <c r="BR294" s="336" t="s">
        <v>160</v>
      </c>
      <c r="BS294" s="336" t="s">
        <v>160</v>
      </c>
      <c r="BT294" s="336" t="s">
        <v>160</v>
      </c>
      <c r="BU294" s="336" t="s">
        <v>160</v>
      </c>
      <c r="BV294" s="336" t="s">
        <v>160</v>
      </c>
      <c r="BW294" s="336" t="s">
        <v>160</v>
      </c>
      <c r="BX294" s="336" t="s">
        <v>160</v>
      </c>
      <c r="BY294" s="336" t="s">
        <v>160</v>
      </c>
      <c r="BZ294" s="336" t="s">
        <v>160</v>
      </c>
      <c r="CA294" s="336" t="s">
        <v>160</v>
      </c>
      <c r="CB294" s="336" t="s">
        <v>160</v>
      </c>
      <c r="CC294" s="336" t="s">
        <v>160</v>
      </c>
      <c r="CD294" s="336" t="s">
        <v>160</v>
      </c>
      <c r="CE294" s="336" t="s">
        <v>160</v>
      </c>
      <c r="CF294" s="336" t="s">
        <v>160</v>
      </c>
      <c r="CG294" s="336" t="s">
        <v>160</v>
      </c>
      <c r="CH294" s="336" t="s">
        <v>160</v>
      </c>
      <c r="CI294" s="336" t="s">
        <v>160</v>
      </c>
      <c r="CJ294" s="336" t="s">
        <v>160</v>
      </c>
      <c r="CK294" s="336" t="s">
        <v>160</v>
      </c>
      <c r="CL294" s="336" t="s">
        <v>160</v>
      </c>
      <c r="CM294" s="336" t="s">
        <v>160</v>
      </c>
      <c r="CN294" s="336" t="s">
        <v>160</v>
      </c>
      <c r="CO294" s="336" t="s">
        <v>160</v>
      </c>
      <c r="CP294" s="336" t="s">
        <v>160</v>
      </c>
      <c r="CQ294" s="336" t="s">
        <v>160</v>
      </c>
      <c r="CR294" s="336" t="s">
        <v>160</v>
      </c>
      <c r="CS294" s="336" t="s">
        <v>160</v>
      </c>
      <c r="CT294" s="336" t="s">
        <v>160</v>
      </c>
      <c r="CU294" s="336" t="s">
        <v>160</v>
      </c>
      <c r="CV294" s="336" t="s">
        <v>160</v>
      </c>
      <c r="CW294" s="336" t="s">
        <v>160</v>
      </c>
      <c r="CX294" s="336" t="s">
        <v>160</v>
      </c>
      <c r="CY294" s="336" t="s">
        <v>160</v>
      </c>
      <c r="CZ294" s="336" t="s">
        <v>160</v>
      </c>
      <c r="DA294" s="336">
        <v>378</v>
      </c>
      <c r="DB294" s="336">
        <v>378</v>
      </c>
      <c r="DC294" s="336">
        <v>378</v>
      </c>
      <c r="DD294" s="690">
        <v>443</v>
      </c>
      <c r="DE294" s="591">
        <v>443</v>
      </c>
      <c r="DF294" s="591">
        <v>443</v>
      </c>
      <c r="DG294" s="591">
        <v>443</v>
      </c>
      <c r="DH294" s="591">
        <v>443</v>
      </c>
      <c r="DI294" s="591">
        <v>443</v>
      </c>
      <c r="DJ294" s="591">
        <v>443</v>
      </c>
      <c r="DK294" s="591">
        <v>443</v>
      </c>
      <c r="DL294" s="591">
        <v>443</v>
      </c>
      <c r="DM294" s="591">
        <v>443</v>
      </c>
      <c r="DN294" s="591">
        <v>443</v>
      </c>
      <c r="DO294" s="591">
        <v>399</v>
      </c>
      <c r="DP294"/>
      <c r="DQ294"/>
      <c r="DR294"/>
      <c r="DS294"/>
      <c r="DT294"/>
      <c r="DU294"/>
      <c r="DV294"/>
    </row>
    <row r="295" spans="1:126" x14ac:dyDescent="0.25">
      <c r="A295" t="s">
        <v>557</v>
      </c>
      <c r="B295" t="s">
        <v>856</v>
      </c>
      <c r="C295"/>
      <c r="D295" s="1092" t="str">
        <f>IF([1]RENAME!$H$3=1,B295,A295)</f>
        <v>Média</v>
      </c>
      <c r="E295" s="1093" t="str">
        <f t="shared" ref="E295:M295" si="194">IFERROR(AVERAGE(E292:E294),"-")</f>
        <v>-</v>
      </c>
      <c r="F295" s="1093" t="str">
        <f t="shared" si="194"/>
        <v>-</v>
      </c>
      <c r="G295" s="1093" t="str">
        <f t="shared" si="194"/>
        <v>-</v>
      </c>
      <c r="H295" s="1093" t="str">
        <f t="shared" si="194"/>
        <v>-</v>
      </c>
      <c r="I295" s="1093" t="str">
        <f t="shared" si="194"/>
        <v>-</v>
      </c>
      <c r="J295" s="1093" t="str">
        <f t="shared" si="194"/>
        <v>-</v>
      </c>
      <c r="K295" s="1093" t="str">
        <f t="shared" si="194"/>
        <v>-</v>
      </c>
      <c r="L295" s="1093" t="str">
        <f t="shared" si="194"/>
        <v>-</v>
      </c>
      <c r="M295" s="1093" t="str">
        <f t="shared" si="194"/>
        <v>-</v>
      </c>
      <c r="N295" s="1095" t="s">
        <v>160</v>
      </c>
      <c r="O295" s="1095" t="s">
        <v>160</v>
      </c>
      <c r="P295" s="1095" t="s">
        <v>160</v>
      </c>
      <c r="Q295" s="1095" t="s">
        <v>160</v>
      </c>
      <c r="R295" s="1095" t="s">
        <v>160</v>
      </c>
      <c r="S295" s="1095" t="s">
        <v>160</v>
      </c>
      <c r="T295" s="1095" t="s">
        <v>160</v>
      </c>
      <c r="U295" s="1095" t="s">
        <v>160</v>
      </c>
      <c r="V295" s="1095" t="s">
        <v>160</v>
      </c>
      <c r="W295" s="1095" t="s">
        <v>160</v>
      </c>
      <c r="X295" s="1096" t="str">
        <f t="shared" ref="X295:BC295" si="195">IFERROR(AVERAGE(X292:X294),"-")</f>
        <v>-</v>
      </c>
      <c r="Y295" s="1096" t="str">
        <f t="shared" si="195"/>
        <v>-</v>
      </c>
      <c r="Z295" s="1096" t="str">
        <f t="shared" si="195"/>
        <v>-</v>
      </c>
      <c r="AA295" s="1096" t="str">
        <f t="shared" si="195"/>
        <v>-</v>
      </c>
      <c r="AB295" s="1096" t="str">
        <f t="shared" si="195"/>
        <v>-</v>
      </c>
      <c r="AC295" s="1096" t="str">
        <f t="shared" si="195"/>
        <v>-</v>
      </c>
      <c r="AD295" s="1096" t="str">
        <f t="shared" si="195"/>
        <v>-</v>
      </c>
      <c r="AE295" s="1096" t="str">
        <f t="shared" si="195"/>
        <v>-</v>
      </c>
      <c r="AF295" s="1096" t="str">
        <f t="shared" si="195"/>
        <v>-</v>
      </c>
      <c r="AG295" s="1096" t="str">
        <f t="shared" si="195"/>
        <v>-</v>
      </c>
      <c r="AH295" s="1096" t="str">
        <f t="shared" si="195"/>
        <v>-</v>
      </c>
      <c r="AI295" s="1096" t="str">
        <f t="shared" si="195"/>
        <v>-</v>
      </c>
      <c r="AJ295" s="1096" t="str">
        <f t="shared" si="195"/>
        <v>-</v>
      </c>
      <c r="AK295" s="1096" t="str">
        <f t="shared" si="195"/>
        <v>-</v>
      </c>
      <c r="AL295" s="1096" t="str">
        <f t="shared" si="195"/>
        <v>-</v>
      </c>
      <c r="AM295" s="1096" t="str">
        <f t="shared" si="195"/>
        <v>-</v>
      </c>
      <c r="AN295" s="1096" t="str">
        <f t="shared" si="195"/>
        <v>-</v>
      </c>
      <c r="AO295" s="1096" t="str">
        <f t="shared" si="195"/>
        <v>-</v>
      </c>
      <c r="AP295" s="1096" t="str">
        <f t="shared" si="195"/>
        <v>-</v>
      </c>
      <c r="AQ295" s="1096" t="str">
        <f t="shared" si="195"/>
        <v>-</v>
      </c>
      <c r="AR295" s="1096" t="str">
        <f t="shared" si="195"/>
        <v>-</v>
      </c>
      <c r="AS295" s="1096" t="str">
        <f t="shared" si="195"/>
        <v>-</v>
      </c>
      <c r="AT295" s="1096" t="str">
        <f t="shared" si="195"/>
        <v>-</v>
      </c>
      <c r="AU295" s="1095" t="str">
        <f t="shared" si="195"/>
        <v>-</v>
      </c>
      <c r="AV295" s="1095" t="str">
        <f t="shared" si="195"/>
        <v>-</v>
      </c>
      <c r="AW295" s="1095" t="str">
        <f t="shared" si="195"/>
        <v>-</v>
      </c>
      <c r="AX295" s="1095" t="str">
        <f t="shared" si="195"/>
        <v>-</v>
      </c>
      <c r="AY295" s="1095" t="str">
        <f t="shared" si="195"/>
        <v>-</v>
      </c>
      <c r="AZ295" s="1095" t="str">
        <f t="shared" si="195"/>
        <v>-</v>
      </c>
      <c r="BA295" s="1095" t="str">
        <f t="shared" si="195"/>
        <v>-</v>
      </c>
      <c r="BB295" s="1095" t="str">
        <f t="shared" si="195"/>
        <v>-</v>
      </c>
      <c r="BC295" s="1095" t="str">
        <f t="shared" si="195"/>
        <v>-</v>
      </c>
      <c r="BD295" s="1095" t="str">
        <f t="shared" ref="BD295:CI295" si="196">IFERROR(AVERAGE(BD292:BD294),"-")</f>
        <v>-</v>
      </c>
      <c r="BE295" s="1095" t="str">
        <f t="shared" si="196"/>
        <v>-</v>
      </c>
      <c r="BF295" s="1095" t="str">
        <f t="shared" si="196"/>
        <v>-</v>
      </c>
      <c r="BG295" s="1095" t="str">
        <f t="shared" si="196"/>
        <v>-</v>
      </c>
      <c r="BH295" s="1095" t="str">
        <f t="shared" si="196"/>
        <v>-</v>
      </c>
      <c r="BI295" s="1095" t="str">
        <f t="shared" si="196"/>
        <v>-</v>
      </c>
      <c r="BJ295" s="1095" t="str">
        <f t="shared" si="196"/>
        <v>-</v>
      </c>
      <c r="BK295" s="1095" t="str">
        <f t="shared" si="196"/>
        <v>-</v>
      </c>
      <c r="BL295" s="1095" t="str">
        <f t="shared" si="196"/>
        <v>-</v>
      </c>
      <c r="BM295" s="1095" t="str">
        <f t="shared" si="196"/>
        <v>-</v>
      </c>
      <c r="BN295" s="1095" t="str">
        <f t="shared" si="196"/>
        <v>-</v>
      </c>
      <c r="BO295" s="1095" t="str">
        <f t="shared" si="196"/>
        <v>-</v>
      </c>
      <c r="BP295" s="1095" t="str">
        <f t="shared" si="196"/>
        <v>-</v>
      </c>
      <c r="BQ295" s="1095" t="str">
        <f t="shared" si="196"/>
        <v>-</v>
      </c>
      <c r="BR295" s="1095" t="str">
        <f t="shared" si="196"/>
        <v>-</v>
      </c>
      <c r="BS295" s="1095" t="str">
        <f t="shared" si="196"/>
        <v>-</v>
      </c>
      <c r="BT295" s="1095" t="str">
        <f t="shared" si="196"/>
        <v>-</v>
      </c>
      <c r="BU295" s="1095" t="str">
        <f t="shared" si="196"/>
        <v>-</v>
      </c>
      <c r="BV295" s="1095" t="str">
        <f t="shared" si="196"/>
        <v>-</v>
      </c>
      <c r="BW295" s="1095" t="str">
        <f t="shared" si="196"/>
        <v>-</v>
      </c>
      <c r="BX295" s="1095" t="str">
        <f t="shared" si="196"/>
        <v>-</v>
      </c>
      <c r="BY295" s="1095" t="str">
        <f t="shared" si="196"/>
        <v>-</v>
      </c>
      <c r="BZ295" s="1095" t="str">
        <f t="shared" si="196"/>
        <v>-</v>
      </c>
      <c r="CA295" s="1095" t="str">
        <f t="shared" si="196"/>
        <v>-</v>
      </c>
      <c r="CB295" s="1095" t="str">
        <f t="shared" si="196"/>
        <v>-</v>
      </c>
      <c r="CC295" s="1095" t="str">
        <f t="shared" si="196"/>
        <v>-</v>
      </c>
      <c r="CD295" s="1095" t="str">
        <f t="shared" si="196"/>
        <v>-</v>
      </c>
      <c r="CE295" s="1095" t="str">
        <f t="shared" si="196"/>
        <v>-</v>
      </c>
      <c r="CF295" s="1095" t="str">
        <f t="shared" si="196"/>
        <v>-</v>
      </c>
      <c r="CG295" s="1095" t="str">
        <f t="shared" si="196"/>
        <v>-</v>
      </c>
      <c r="CH295" s="1095" t="str">
        <f t="shared" si="196"/>
        <v>-</v>
      </c>
      <c r="CI295" s="1095" t="str">
        <f t="shared" si="196"/>
        <v>-</v>
      </c>
      <c r="CJ295" s="1095" t="str">
        <f t="shared" ref="CJ295:DA295" si="197">IFERROR(AVERAGE(CJ292:CJ294),"-")</f>
        <v>-</v>
      </c>
      <c r="CK295" s="1095" t="str">
        <f t="shared" si="197"/>
        <v>-</v>
      </c>
      <c r="CL295" s="1095" t="str">
        <f t="shared" si="197"/>
        <v>-</v>
      </c>
      <c r="CM295" s="1095" t="str">
        <f t="shared" si="197"/>
        <v>-</v>
      </c>
      <c r="CN295" s="1095" t="str">
        <f t="shared" si="197"/>
        <v>-</v>
      </c>
      <c r="CO295" s="1095" t="str">
        <f t="shared" si="197"/>
        <v>-</v>
      </c>
      <c r="CP295" s="1095" t="str">
        <f t="shared" si="197"/>
        <v>-</v>
      </c>
      <c r="CQ295" s="1095" t="str">
        <f t="shared" si="197"/>
        <v>-</v>
      </c>
      <c r="CR295" s="1095" t="str">
        <f t="shared" si="197"/>
        <v>-</v>
      </c>
      <c r="CS295" s="1095" t="str">
        <f t="shared" si="197"/>
        <v>-</v>
      </c>
      <c r="CT295" s="1095" t="str">
        <f t="shared" si="197"/>
        <v>-</v>
      </c>
      <c r="CU295" s="1095" t="str">
        <f t="shared" si="197"/>
        <v>-</v>
      </c>
      <c r="CV295" s="1095" t="str">
        <f t="shared" si="197"/>
        <v>-</v>
      </c>
      <c r="CW295" s="1095" t="str">
        <f t="shared" si="197"/>
        <v>-</v>
      </c>
      <c r="CX295" s="1095" t="str">
        <f t="shared" si="197"/>
        <v>-</v>
      </c>
      <c r="CY295" s="1095" t="str">
        <f t="shared" si="197"/>
        <v>-</v>
      </c>
      <c r="CZ295" s="1095" t="str">
        <f t="shared" si="197"/>
        <v>-</v>
      </c>
      <c r="DA295" s="1095">
        <f t="shared" si="197"/>
        <v>378</v>
      </c>
      <c r="DB295" s="1095">
        <f t="shared" ref="DB295:DI295" si="198">IFERROR(AVERAGE(DB292:DB294),"-")</f>
        <v>378</v>
      </c>
      <c r="DC295" s="1095">
        <f t="shared" si="198"/>
        <v>378</v>
      </c>
      <c r="DD295" s="1095">
        <f t="shared" si="198"/>
        <v>443</v>
      </c>
      <c r="DE295" s="1095">
        <f t="shared" si="198"/>
        <v>443</v>
      </c>
      <c r="DF295" s="1095">
        <f t="shared" si="198"/>
        <v>443</v>
      </c>
      <c r="DG295" s="1095">
        <f t="shared" si="198"/>
        <v>443</v>
      </c>
      <c r="DH295" s="1095">
        <f t="shared" si="198"/>
        <v>425</v>
      </c>
      <c r="DI295" s="1095">
        <f t="shared" si="198"/>
        <v>425</v>
      </c>
      <c r="DJ295" s="1095">
        <v>425</v>
      </c>
      <c r="DK295" s="1095">
        <f>IFERROR(AVERAGE(DK292:DK294),"-")</f>
        <v>425</v>
      </c>
      <c r="DL295" s="1095">
        <f>IFERROR(AVERAGE(DL292:DL294),"-")</f>
        <v>425</v>
      </c>
      <c r="DM295" s="1095">
        <f>IFERROR(AVERAGE(DM292:DM294),"-")</f>
        <v>425</v>
      </c>
      <c r="DN295" s="1095">
        <f>IFERROR(AVERAGE(DN292:DN294),"-")</f>
        <v>425</v>
      </c>
      <c r="DO295" s="1095">
        <f>IFERROR(AVERAGE(DO292:DO294),"-")</f>
        <v>403</v>
      </c>
      <c r="DP295"/>
      <c r="DQ295"/>
      <c r="DR295"/>
      <c r="DS295"/>
      <c r="DT295"/>
      <c r="DU295"/>
      <c r="DV295"/>
    </row>
    <row r="296" spans="1:126" x14ac:dyDescent="0.25">
      <c r="Z296" s="339"/>
      <c r="AA296" s="339"/>
      <c r="AB296" s="339"/>
      <c r="AC296" s="339"/>
      <c r="AD296" s="339"/>
      <c r="AE296" s="339"/>
      <c r="AF296" s="339"/>
      <c r="AG296" s="339"/>
      <c r="AH296" s="339"/>
      <c r="AI296" s="339"/>
      <c r="AJ296" s="339"/>
      <c r="AK296" s="339"/>
      <c r="AL296" s="339"/>
      <c r="AM296" s="339"/>
      <c r="AN296" s="339"/>
      <c r="AO296" s="339"/>
      <c r="AP296" s="339"/>
      <c r="AQ296" s="339"/>
      <c r="AR296" s="339"/>
      <c r="AS296" s="339"/>
      <c r="AT296" s="339"/>
      <c r="AU296" s="339"/>
      <c r="AV296" s="817"/>
      <c r="AW296" s="817"/>
      <c r="AX296" s="941"/>
      <c r="AY296" s="817"/>
      <c r="AZ296" s="817"/>
      <c r="BA296" s="817"/>
      <c r="BB296" s="817"/>
      <c r="BC296" s="817"/>
      <c r="BD296" s="817"/>
      <c r="BE296" s="817"/>
      <c r="BF296" s="817"/>
      <c r="BG296" s="817"/>
      <c r="BH296" s="817"/>
      <c r="BI296" s="817"/>
      <c r="BJ296" s="817"/>
      <c r="BK296" s="817"/>
      <c r="BL296" s="817"/>
      <c r="BM296" s="817"/>
      <c r="BN296" s="817"/>
      <c r="BO296" s="817"/>
      <c r="BP296" s="817"/>
      <c r="BQ296" s="817"/>
      <c r="BR296" s="817"/>
      <c r="BS296" s="817"/>
      <c r="BT296" s="817"/>
      <c r="BU296" s="817"/>
      <c r="BV296" s="817"/>
      <c r="BW296" s="817"/>
      <c r="BX296" s="817"/>
      <c r="BY296" s="817"/>
      <c r="BZ296" s="817"/>
      <c r="CA296" s="817"/>
      <c r="CB296" s="817"/>
      <c r="CC296" s="817"/>
      <c r="CD296" s="817"/>
      <c r="CE296" s="817"/>
      <c r="CF296" s="817"/>
      <c r="CG296" s="817"/>
      <c r="CH296" s="817"/>
      <c r="CI296" s="817"/>
      <c r="CJ296" s="817"/>
      <c r="CK296" s="817"/>
      <c r="CL296" s="817"/>
      <c r="CM296" s="817"/>
      <c r="CN296" s="817"/>
      <c r="CO296" s="817"/>
      <c r="CP296" s="817"/>
      <c r="CQ296" s="817"/>
      <c r="CR296" s="817"/>
      <c r="CS296" s="817"/>
      <c r="CT296" s="817"/>
      <c r="CU296" s="817"/>
      <c r="CV296" s="817"/>
      <c r="CW296" s="817"/>
      <c r="CX296" s="817"/>
      <c r="CY296" s="817"/>
      <c r="CZ296" s="817"/>
      <c r="DA296" s="817"/>
      <c r="DB296" s="817"/>
      <c r="DC296" s="817"/>
      <c r="DD296" s="817"/>
      <c r="DE296" s="817"/>
      <c r="DF296" s="817"/>
      <c r="DG296" s="817"/>
      <c r="DH296" s="817"/>
      <c r="DI296" s="817"/>
      <c r="DJ296" s="817"/>
      <c r="DK296" s="817"/>
      <c r="DL296" s="817"/>
      <c r="DM296" s="817"/>
      <c r="DN296" s="817"/>
      <c r="DO296" s="817"/>
      <c r="DP296"/>
      <c r="DQ296"/>
      <c r="DR296"/>
      <c r="DS296"/>
      <c r="DT296"/>
      <c r="DU296"/>
      <c r="DV296"/>
    </row>
    <row r="297" spans="1:126" x14ac:dyDescent="0.25">
      <c r="A297" s="261" t="s">
        <v>2219</v>
      </c>
      <c r="B297" s="261" t="s">
        <v>2218</v>
      </c>
      <c r="D297" s="113" t="str">
        <f>IF([1]RENAME!$H$3=1,B297,A297)</f>
        <v>Lucro Líquido 2025</v>
      </c>
      <c r="E297" s="262">
        <f t="shared" ref="E297:BP297" si="199">E$11</f>
        <v>42522</v>
      </c>
      <c r="F297" s="262">
        <f t="shared" si="199"/>
        <v>42552</v>
      </c>
      <c r="G297" s="262">
        <f t="shared" si="199"/>
        <v>42583</v>
      </c>
      <c r="H297" s="262">
        <f t="shared" si="199"/>
        <v>42614</v>
      </c>
      <c r="I297" s="262">
        <f t="shared" si="199"/>
        <v>42644</v>
      </c>
      <c r="J297" s="262">
        <f t="shared" si="199"/>
        <v>42675</v>
      </c>
      <c r="K297" s="262">
        <f t="shared" si="199"/>
        <v>42705</v>
      </c>
      <c r="L297" s="262">
        <f t="shared" si="199"/>
        <v>42736</v>
      </c>
      <c r="M297" s="262">
        <f t="shared" si="199"/>
        <v>42767</v>
      </c>
      <c r="N297" s="262">
        <f t="shared" si="199"/>
        <v>42795</v>
      </c>
      <c r="O297" s="262">
        <f t="shared" si="199"/>
        <v>42826</v>
      </c>
      <c r="P297" s="262">
        <f t="shared" si="199"/>
        <v>42856</v>
      </c>
      <c r="Q297" s="262">
        <f t="shared" si="199"/>
        <v>42887</v>
      </c>
      <c r="R297" s="262">
        <f t="shared" si="199"/>
        <v>42917</v>
      </c>
      <c r="S297" s="262">
        <f t="shared" si="199"/>
        <v>42948</v>
      </c>
      <c r="T297" s="262">
        <f t="shared" si="199"/>
        <v>42979</v>
      </c>
      <c r="U297" s="262">
        <f t="shared" si="199"/>
        <v>43009</v>
      </c>
      <c r="V297" s="262">
        <f t="shared" si="199"/>
        <v>43040</v>
      </c>
      <c r="W297" s="262">
        <f t="shared" si="199"/>
        <v>43070</v>
      </c>
      <c r="X297" s="262">
        <f t="shared" si="199"/>
        <v>43101</v>
      </c>
      <c r="Y297" s="262">
        <f t="shared" si="199"/>
        <v>43132</v>
      </c>
      <c r="Z297" s="262">
        <f t="shared" si="199"/>
        <v>43160</v>
      </c>
      <c r="AA297" s="262">
        <f t="shared" si="199"/>
        <v>43191</v>
      </c>
      <c r="AB297" s="262">
        <f t="shared" si="199"/>
        <v>43221</v>
      </c>
      <c r="AC297" s="262">
        <f t="shared" si="199"/>
        <v>43252</v>
      </c>
      <c r="AD297" s="262">
        <f t="shared" si="199"/>
        <v>43283</v>
      </c>
      <c r="AE297" s="262">
        <f t="shared" si="199"/>
        <v>43314</v>
      </c>
      <c r="AF297" s="262">
        <f t="shared" si="199"/>
        <v>43345</v>
      </c>
      <c r="AG297" s="262">
        <f t="shared" si="199"/>
        <v>43376</v>
      </c>
      <c r="AH297" s="262">
        <f t="shared" si="199"/>
        <v>43407</v>
      </c>
      <c r="AI297" s="262">
        <f t="shared" si="199"/>
        <v>43437</v>
      </c>
      <c r="AJ297" s="262">
        <f t="shared" si="199"/>
        <v>43468</v>
      </c>
      <c r="AK297" s="262">
        <f t="shared" si="199"/>
        <v>43499</v>
      </c>
      <c r="AL297" s="262">
        <f t="shared" si="199"/>
        <v>43527</v>
      </c>
      <c r="AM297" s="262">
        <f t="shared" si="199"/>
        <v>43558</v>
      </c>
      <c r="AN297" s="262">
        <f t="shared" si="199"/>
        <v>43587</v>
      </c>
      <c r="AO297" s="262">
        <f t="shared" si="199"/>
        <v>43618</v>
      </c>
      <c r="AP297" s="262">
        <f t="shared" si="199"/>
        <v>43647</v>
      </c>
      <c r="AQ297" s="262">
        <f t="shared" si="199"/>
        <v>43678</v>
      </c>
      <c r="AR297" s="262">
        <f t="shared" si="199"/>
        <v>43709</v>
      </c>
      <c r="AS297" s="262">
        <f t="shared" si="199"/>
        <v>43739</v>
      </c>
      <c r="AT297" s="262">
        <f t="shared" si="199"/>
        <v>43770</v>
      </c>
      <c r="AU297" s="262">
        <f t="shared" si="199"/>
        <v>43800</v>
      </c>
      <c r="AV297" s="262">
        <f t="shared" si="199"/>
        <v>43831</v>
      </c>
      <c r="AW297" s="262">
        <f t="shared" si="199"/>
        <v>43862</v>
      </c>
      <c r="AX297" s="933">
        <f t="shared" si="199"/>
        <v>43891</v>
      </c>
      <c r="AY297" s="262">
        <f t="shared" si="199"/>
        <v>43922</v>
      </c>
      <c r="AZ297" s="262">
        <f t="shared" si="199"/>
        <v>43952</v>
      </c>
      <c r="BA297" s="262">
        <f t="shared" si="199"/>
        <v>43983</v>
      </c>
      <c r="BB297" s="262">
        <f t="shared" si="199"/>
        <v>44013</v>
      </c>
      <c r="BC297" s="262">
        <f t="shared" si="199"/>
        <v>44044</v>
      </c>
      <c r="BD297" s="262">
        <f t="shared" si="199"/>
        <v>44075</v>
      </c>
      <c r="BE297" s="262">
        <f t="shared" si="199"/>
        <v>44105</v>
      </c>
      <c r="BF297" s="262">
        <f t="shared" si="199"/>
        <v>44136</v>
      </c>
      <c r="BG297" s="262">
        <f t="shared" si="199"/>
        <v>44166</v>
      </c>
      <c r="BH297" s="262">
        <f t="shared" si="199"/>
        <v>44197</v>
      </c>
      <c r="BI297" s="262">
        <f t="shared" si="199"/>
        <v>44228</v>
      </c>
      <c r="BJ297" s="262">
        <f t="shared" si="199"/>
        <v>44256</v>
      </c>
      <c r="BK297" s="262">
        <f t="shared" si="199"/>
        <v>44287</v>
      </c>
      <c r="BL297" s="262">
        <f t="shared" si="199"/>
        <v>44317</v>
      </c>
      <c r="BM297" s="262">
        <f t="shared" si="199"/>
        <v>44348</v>
      </c>
      <c r="BN297" s="262">
        <f t="shared" si="199"/>
        <v>44378</v>
      </c>
      <c r="BO297" s="262">
        <f t="shared" si="199"/>
        <v>44409</v>
      </c>
      <c r="BP297" s="262">
        <f t="shared" si="199"/>
        <v>44440</v>
      </c>
      <c r="BQ297" s="262">
        <f t="shared" ref="BQ297:DO297" si="200">BQ$11</f>
        <v>44470</v>
      </c>
      <c r="BR297" s="262">
        <f t="shared" si="200"/>
        <v>44501</v>
      </c>
      <c r="BS297" s="262">
        <f t="shared" si="200"/>
        <v>44531</v>
      </c>
      <c r="BT297" s="262">
        <f t="shared" si="200"/>
        <v>44562</v>
      </c>
      <c r="BU297" s="262">
        <f t="shared" si="200"/>
        <v>44593</v>
      </c>
      <c r="BV297" s="262">
        <f t="shared" si="200"/>
        <v>44622</v>
      </c>
      <c r="BW297" s="262">
        <f t="shared" si="200"/>
        <v>44654</v>
      </c>
      <c r="BX297" s="262">
        <f t="shared" si="200"/>
        <v>44685</v>
      </c>
      <c r="BY297" s="262">
        <f t="shared" si="200"/>
        <v>44716</v>
      </c>
      <c r="BZ297" s="262">
        <f t="shared" si="200"/>
        <v>44746</v>
      </c>
      <c r="CA297" s="262">
        <f t="shared" si="200"/>
        <v>44774</v>
      </c>
      <c r="CB297" s="262">
        <f t="shared" si="200"/>
        <v>44805</v>
      </c>
      <c r="CC297" s="262">
        <f t="shared" si="200"/>
        <v>44835</v>
      </c>
      <c r="CD297" s="262">
        <f t="shared" si="200"/>
        <v>44866</v>
      </c>
      <c r="CE297" s="262">
        <f t="shared" si="200"/>
        <v>44896</v>
      </c>
      <c r="CF297" s="262">
        <f t="shared" si="200"/>
        <v>44927</v>
      </c>
      <c r="CG297" s="262">
        <f t="shared" si="200"/>
        <v>44958</v>
      </c>
      <c r="CH297" s="262">
        <f t="shared" si="200"/>
        <v>44986</v>
      </c>
      <c r="CI297" s="262">
        <f t="shared" si="200"/>
        <v>45017</v>
      </c>
      <c r="CJ297" s="262">
        <f t="shared" si="200"/>
        <v>45047</v>
      </c>
      <c r="CK297" s="262">
        <f t="shared" si="200"/>
        <v>45078</v>
      </c>
      <c r="CL297" s="262">
        <f t="shared" si="200"/>
        <v>45108</v>
      </c>
      <c r="CM297" s="262">
        <f t="shared" si="200"/>
        <v>45139</v>
      </c>
      <c r="CN297" s="262">
        <f t="shared" si="200"/>
        <v>45170</v>
      </c>
      <c r="CO297" s="262">
        <f t="shared" si="200"/>
        <v>45200</v>
      </c>
      <c r="CP297" s="262">
        <f t="shared" si="200"/>
        <v>45231</v>
      </c>
      <c r="CQ297" s="262">
        <f t="shared" si="200"/>
        <v>45261</v>
      </c>
      <c r="CR297" s="262">
        <f t="shared" si="200"/>
        <v>45292</v>
      </c>
      <c r="CS297" s="262">
        <f t="shared" si="200"/>
        <v>45323</v>
      </c>
      <c r="CT297" s="262">
        <f t="shared" si="200"/>
        <v>45352</v>
      </c>
      <c r="CU297" s="262">
        <f t="shared" si="200"/>
        <v>45383</v>
      </c>
      <c r="CV297" s="262">
        <f t="shared" si="200"/>
        <v>45413</v>
      </c>
      <c r="CW297" s="262">
        <f t="shared" si="200"/>
        <v>45444</v>
      </c>
      <c r="CX297" s="262">
        <f t="shared" si="200"/>
        <v>45474</v>
      </c>
      <c r="CY297" s="262">
        <f t="shared" si="200"/>
        <v>45505</v>
      </c>
      <c r="CZ297" s="262">
        <f t="shared" si="200"/>
        <v>45536</v>
      </c>
      <c r="DA297" s="262">
        <f t="shared" si="200"/>
        <v>45566</v>
      </c>
      <c r="DB297" s="262">
        <f t="shared" si="200"/>
        <v>45597</v>
      </c>
      <c r="DC297" s="262">
        <f t="shared" si="200"/>
        <v>45627</v>
      </c>
      <c r="DD297" s="262">
        <f t="shared" si="200"/>
        <v>45658</v>
      </c>
      <c r="DE297" s="262">
        <f t="shared" si="200"/>
        <v>45689</v>
      </c>
      <c r="DF297" s="262">
        <f t="shared" si="200"/>
        <v>45717</v>
      </c>
      <c r="DG297" s="262">
        <f t="shared" si="200"/>
        <v>45748</v>
      </c>
      <c r="DH297" s="262">
        <f t="shared" si="200"/>
        <v>45778</v>
      </c>
      <c r="DI297" s="262">
        <f t="shared" si="200"/>
        <v>45809</v>
      </c>
      <c r="DJ297" s="262">
        <v>45839</v>
      </c>
      <c r="DK297" s="262">
        <f t="shared" si="200"/>
        <v>45870</v>
      </c>
      <c r="DL297" s="262">
        <f t="shared" si="200"/>
        <v>45901</v>
      </c>
      <c r="DM297" s="262">
        <f t="shared" si="200"/>
        <v>45931</v>
      </c>
      <c r="DN297" s="262">
        <f t="shared" si="200"/>
        <v>45962</v>
      </c>
      <c r="DO297" s="262">
        <f t="shared" si="200"/>
        <v>45992</v>
      </c>
      <c r="DP297"/>
      <c r="DQ297"/>
      <c r="DR297"/>
      <c r="DS297"/>
      <c r="DT297"/>
      <c r="DU297"/>
      <c r="DV297"/>
    </row>
    <row r="298" spans="1:126" customFormat="1" x14ac:dyDescent="0.25">
      <c r="A298" s="261" t="s">
        <v>542</v>
      </c>
      <c r="B298" s="261" t="s">
        <v>542</v>
      </c>
      <c r="C298" s="261"/>
      <c r="D298" s="117" t="str">
        <f>IF([1]RENAME!$H$3=1,B298,A298)</f>
        <v>SANTANDER</v>
      </c>
      <c r="E298" s="263" t="s">
        <v>160</v>
      </c>
      <c r="F298" s="263" t="s">
        <v>160</v>
      </c>
      <c r="G298" s="263" t="s">
        <v>160</v>
      </c>
      <c r="H298" s="264" t="s">
        <v>160</v>
      </c>
      <c r="I298" s="264" t="s">
        <v>160</v>
      </c>
      <c r="J298" s="264" t="s">
        <v>160</v>
      </c>
      <c r="K298" s="264" t="s">
        <v>160</v>
      </c>
      <c r="L298" s="264" t="s">
        <v>160</v>
      </c>
      <c r="M298" s="264" t="s">
        <v>160</v>
      </c>
      <c r="N298" s="592" t="s">
        <v>160</v>
      </c>
      <c r="O298" s="592" t="s">
        <v>160</v>
      </c>
      <c r="P298" s="592" t="s">
        <v>160</v>
      </c>
      <c r="Q298" s="592" t="s">
        <v>160</v>
      </c>
      <c r="R298" s="592" t="s">
        <v>160</v>
      </c>
      <c r="S298" s="592" t="s">
        <v>160</v>
      </c>
      <c r="T298" s="592" t="s">
        <v>160</v>
      </c>
      <c r="U298" s="592" t="s">
        <v>160</v>
      </c>
      <c r="V298" s="592" t="s">
        <v>160</v>
      </c>
      <c r="W298" s="591" t="s">
        <v>160</v>
      </c>
      <c r="X298" s="591" t="s">
        <v>160</v>
      </c>
      <c r="Y298" s="591" t="s">
        <v>160</v>
      </c>
      <c r="Z298" s="591" t="s">
        <v>160</v>
      </c>
      <c r="AA298" s="591" t="s">
        <v>160</v>
      </c>
      <c r="AB298" s="591" t="s">
        <v>160</v>
      </c>
      <c r="AC298" s="591" t="s">
        <v>160</v>
      </c>
      <c r="AD298" s="591" t="s">
        <v>160</v>
      </c>
      <c r="AE298" s="591" t="s">
        <v>160</v>
      </c>
      <c r="AF298" s="591" t="s">
        <v>160</v>
      </c>
      <c r="AG298" s="591" t="s">
        <v>160</v>
      </c>
      <c r="AH298" s="591" t="s">
        <v>160</v>
      </c>
      <c r="AI298" s="591" t="s">
        <v>160</v>
      </c>
      <c r="AJ298" s="591" t="s">
        <v>160</v>
      </c>
      <c r="AK298" s="591" t="s">
        <v>160</v>
      </c>
      <c r="AL298" s="346" t="s">
        <v>160</v>
      </c>
      <c r="AM298" s="346" t="s">
        <v>160</v>
      </c>
      <c r="AN298" s="346" t="s">
        <v>160</v>
      </c>
      <c r="AO298" s="346" t="s">
        <v>160</v>
      </c>
      <c r="AP298" s="346" t="s">
        <v>160</v>
      </c>
      <c r="AQ298" s="346" t="s">
        <v>160</v>
      </c>
      <c r="AR298" s="346" t="s">
        <v>160</v>
      </c>
      <c r="AS298" s="346" t="s">
        <v>160</v>
      </c>
      <c r="AT298" s="346" t="s">
        <v>160</v>
      </c>
      <c r="AU298" s="346" t="s">
        <v>160</v>
      </c>
      <c r="AV298" s="346" t="s">
        <v>160</v>
      </c>
      <c r="AW298" s="346" t="s">
        <v>160</v>
      </c>
      <c r="AX298" s="947" t="s">
        <v>160</v>
      </c>
      <c r="AY298" s="346" t="s">
        <v>160</v>
      </c>
      <c r="AZ298" s="346" t="s">
        <v>160</v>
      </c>
      <c r="BA298" s="346" t="s">
        <v>160</v>
      </c>
      <c r="BB298" s="346" t="s">
        <v>160</v>
      </c>
      <c r="BC298" s="346" t="s">
        <v>160</v>
      </c>
      <c r="BD298" s="346" t="s">
        <v>160</v>
      </c>
      <c r="BE298" s="346" t="s">
        <v>160</v>
      </c>
      <c r="BF298" s="346" t="s">
        <v>160</v>
      </c>
      <c r="BG298" s="346" t="s">
        <v>160</v>
      </c>
      <c r="BH298" s="591" t="s">
        <v>160</v>
      </c>
      <c r="BI298" s="591" t="s">
        <v>160</v>
      </c>
      <c r="BJ298" s="591" t="s">
        <v>160</v>
      </c>
      <c r="BK298" s="591" t="s">
        <v>160</v>
      </c>
      <c r="BL298" s="591" t="s">
        <v>160</v>
      </c>
      <c r="BM298" s="591" t="s">
        <v>160</v>
      </c>
      <c r="BN298" s="591" t="s">
        <v>160</v>
      </c>
      <c r="BO298" s="591" t="s">
        <v>160</v>
      </c>
      <c r="BP298" s="591" t="s">
        <v>160</v>
      </c>
      <c r="BQ298" s="591" t="s">
        <v>160</v>
      </c>
      <c r="BR298" s="591" t="s">
        <v>160</v>
      </c>
      <c r="BS298" s="591" t="s">
        <v>160</v>
      </c>
      <c r="BT298" s="591" t="s">
        <v>160</v>
      </c>
      <c r="BU298" s="591" t="s">
        <v>160</v>
      </c>
      <c r="BV298" s="591" t="s">
        <v>160</v>
      </c>
      <c r="BW298" s="591" t="s">
        <v>160</v>
      </c>
      <c r="BX298" s="591" t="s">
        <v>160</v>
      </c>
      <c r="BY298" s="591" t="s">
        <v>160</v>
      </c>
      <c r="BZ298" s="591" t="s">
        <v>160</v>
      </c>
      <c r="CA298" s="591" t="s">
        <v>160</v>
      </c>
      <c r="CB298" s="591" t="s">
        <v>160</v>
      </c>
      <c r="CC298" s="591" t="s">
        <v>160</v>
      </c>
      <c r="CD298" s="591" t="s">
        <v>160</v>
      </c>
      <c r="CE298" s="591" t="s">
        <v>160</v>
      </c>
      <c r="CF298" s="591" t="s">
        <v>160</v>
      </c>
      <c r="CG298" s="591" t="s">
        <v>160</v>
      </c>
      <c r="CH298" s="591" t="s">
        <v>160</v>
      </c>
      <c r="CI298" s="591" t="s">
        <v>160</v>
      </c>
      <c r="CJ298" s="591" t="s">
        <v>160</v>
      </c>
      <c r="CK298" s="591" t="s">
        <v>160</v>
      </c>
      <c r="CL298" s="591" t="s">
        <v>160</v>
      </c>
      <c r="CM298" s="591" t="s">
        <v>160</v>
      </c>
      <c r="CN298" s="591" t="s">
        <v>160</v>
      </c>
      <c r="CO298" s="591" t="s">
        <v>160</v>
      </c>
      <c r="CP298" s="591" t="s">
        <v>160</v>
      </c>
      <c r="CQ298" s="591" t="s">
        <v>160</v>
      </c>
      <c r="CR298" s="591" t="s">
        <v>160</v>
      </c>
      <c r="CS298" s="591" t="s">
        <v>160</v>
      </c>
      <c r="CT298" s="591" t="s">
        <v>160</v>
      </c>
      <c r="CU298" s="591" t="s">
        <v>160</v>
      </c>
      <c r="CV298" s="591" t="s">
        <v>160</v>
      </c>
      <c r="CW298" s="591" t="s">
        <v>160</v>
      </c>
      <c r="CX298" s="591" t="s">
        <v>160</v>
      </c>
      <c r="CY298" s="591" t="s">
        <v>160</v>
      </c>
      <c r="CZ298" s="591" t="s">
        <v>160</v>
      </c>
      <c r="DA298" s="591" t="s">
        <v>160</v>
      </c>
      <c r="DB298" s="591" t="s">
        <v>160</v>
      </c>
      <c r="DC298" s="591" t="s">
        <v>160</v>
      </c>
      <c r="DD298" s="591" t="s">
        <v>160</v>
      </c>
      <c r="DE298" s="591" t="s">
        <v>160</v>
      </c>
      <c r="DF298" s="591" t="s">
        <v>160</v>
      </c>
      <c r="DG298" s="591" t="s">
        <v>160</v>
      </c>
      <c r="DH298" s="690">
        <v>276</v>
      </c>
      <c r="DI298" s="591">
        <v>276</v>
      </c>
      <c r="DJ298" s="591">
        <v>276</v>
      </c>
      <c r="DK298" s="591">
        <v>276</v>
      </c>
      <c r="DL298" s="591">
        <v>276</v>
      </c>
      <c r="DM298" s="591">
        <v>276</v>
      </c>
      <c r="DN298" s="591">
        <v>276</v>
      </c>
      <c r="DO298" s="591">
        <v>276</v>
      </c>
    </row>
    <row r="299" spans="1:126" customFormat="1" x14ac:dyDescent="0.25">
      <c r="A299" s="261" t="s">
        <v>546</v>
      </c>
      <c r="B299" s="261" t="s">
        <v>546</v>
      </c>
      <c r="C299" s="261"/>
      <c r="D299" s="117" t="str">
        <f>IF([1]RENAME!$H$3=1,B299,A299)</f>
        <v>BTG PACTUAL</v>
      </c>
      <c r="E299" s="263" t="s">
        <v>160</v>
      </c>
      <c r="F299" s="263" t="s">
        <v>160</v>
      </c>
      <c r="G299" s="263" t="s">
        <v>160</v>
      </c>
      <c r="H299" s="263" t="s">
        <v>160</v>
      </c>
      <c r="I299" s="263" t="s">
        <v>160</v>
      </c>
      <c r="J299" s="264" t="s">
        <v>160</v>
      </c>
      <c r="K299" s="264" t="s">
        <v>160</v>
      </c>
      <c r="L299" s="264" t="s">
        <v>160</v>
      </c>
      <c r="M299" s="264" t="s">
        <v>160</v>
      </c>
      <c r="N299" s="592" t="s">
        <v>160</v>
      </c>
      <c r="O299" s="592" t="s">
        <v>160</v>
      </c>
      <c r="P299" s="592" t="s">
        <v>160</v>
      </c>
      <c r="Q299" s="592" t="s">
        <v>160</v>
      </c>
      <c r="R299" s="592" t="s">
        <v>160</v>
      </c>
      <c r="S299" s="592" t="s">
        <v>160</v>
      </c>
      <c r="T299" s="592" t="s">
        <v>160</v>
      </c>
      <c r="U299" s="592" t="s">
        <v>160</v>
      </c>
      <c r="V299" s="592" t="s">
        <v>160</v>
      </c>
      <c r="W299" s="592" t="s">
        <v>160</v>
      </c>
      <c r="X299" s="592" t="s">
        <v>160</v>
      </c>
      <c r="Y299" s="592" t="s">
        <v>160</v>
      </c>
      <c r="Z299" s="592" t="s">
        <v>160</v>
      </c>
      <c r="AA299" s="592" t="s">
        <v>160</v>
      </c>
      <c r="AB299" s="592" t="s">
        <v>160</v>
      </c>
      <c r="AC299" s="592" t="s">
        <v>160</v>
      </c>
      <c r="AD299" s="592" t="s">
        <v>160</v>
      </c>
      <c r="AE299" s="592" t="s">
        <v>160</v>
      </c>
      <c r="AF299" s="592" t="s">
        <v>160</v>
      </c>
      <c r="AG299" s="592" t="s">
        <v>160</v>
      </c>
      <c r="AH299" s="591" t="s">
        <v>160</v>
      </c>
      <c r="AI299" s="591" t="s">
        <v>160</v>
      </c>
      <c r="AJ299" s="591" t="s">
        <v>160</v>
      </c>
      <c r="AK299" s="591" t="s">
        <v>160</v>
      </c>
      <c r="AL299" s="346" t="s">
        <v>160</v>
      </c>
      <c r="AM299" s="346" t="s">
        <v>160</v>
      </c>
      <c r="AN299" s="346" t="s">
        <v>160</v>
      </c>
      <c r="AO299" s="346" t="s">
        <v>160</v>
      </c>
      <c r="AP299" s="346" t="s">
        <v>160</v>
      </c>
      <c r="AQ299" s="346" t="s">
        <v>160</v>
      </c>
      <c r="AR299" s="346" t="s">
        <v>160</v>
      </c>
      <c r="AS299" s="346" t="s">
        <v>160</v>
      </c>
      <c r="AT299" s="346" t="s">
        <v>160</v>
      </c>
      <c r="AU299" s="346" t="s">
        <v>160</v>
      </c>
      <c r="AV299" s="346" t="s">
        <v>160</v>
      </c>
      <c r="AW299" s="346" t="s">
        <v>160</v>
      </c>
      <c r="AX299" s="947" t="s">
        <v>160</v>
      </c>
      <c r="AY299" s="346" t="s">
        <v>160</v>
      </c>
      <c r="AZ299" s="346" t="s">
        <v>160</v>
      </c>
      <c r="BA299" s="346" t="s">
        <v>160</v>
      </c>
      <c r="BB299" s="346" t="s">
        <v>160</v>
      </c>
      <c r="BC299" s="346" t="s">
        <v>160</v>
      </c>
      <c r="BD299" s="346" t="s">
        <v>160</v>
      </c>
      <c r="BE299" s="346" t="s">
        <v>160</v>
      </c>
      <c r="BF299" s="346" t="s">
        <v>160</v>
      </c>
      <c r="BG299" s="346" t="s">
        <v>160</v>
      </c>
      <c r="BH299" s="346" t="s">
        <v>160</v>
      </c>
      <c r="BI299" s="346" t="s">
        <v>160</v>
      </c>
      <c r="BJ299" s="346" t="s">
        <v>160</v>
      </c>
      <c r="BK299" s="346" t="s">
        <v>160</v>
      </c>
      <c r="BL299" s="346" t="s">
        <v>160</v>
      </c>
      <c r="BM299" s="346" t="s">
        <v>160</v>
      </c>
      <c r="BN299" s="346" t="s">
        <v>160</v>
      </c>
      <c r="BO299" s="346" t="s">
        <v>160</v>
      </c>
      <c r="BP299" s="591" t="s">
        <v>160</v>
      </c>
      <c r="BQ299" s="591" t="s">
        <v>160</v>
      </c>
      <c r="BR299" s="591" t="s">
        <v>160</v>
      </c>
      <c r="BS299" s="591" t="s">
        <v>160</v>
      </c>
      <c r="BT299" s="591" t="s">
        <v>160</v>
      </c>
      <c r="BU299" s="591" t="s">
        <v>160</v>
      </c>
      <c r="BV299" s="591" t="s">
        <v>160</v>
      </c>
      <c r="BW299" s="591" t="s">
        <v>160</v>
      </c>
      <c r="BX299" s="591" t="s">
        <v>160</v>
      </c>
      <c r="BY299" s="591" t="s">
        <v>160</v>
      </c>
      <c r="BZ299" s="591" t="s">
        <v>160</v>
      </c>
      <c r="CA299" s="591" t="s">
        <v>160</v>
      </c>
      <c r="CB299" s="591" t="s">
        <v>160</v>
      </c>
      <c r="CC299" s="591" t="s">
        <v>160</v>
      </c>
      <c r="CD299" s="591" t="s">
        <v>160</v>
      </c>
      <c r="CE299" s="591" t="s">
        <v>160</v>
      </c>
      <c r="CF299" s="591" t="s">
        <v>160</v>
      </c>
      <c r="CG299" s="591" t="s">
        <v>160</v>
      </c>
      <c r="CH299" s="591" t="s">
        <v>160</v>
      </c>
      <c r="CI299" s="591" t="s">
        <v>160</v>
      </c>
      <c r="CJ299" s="591" t="s">
        <v>160</v>
      </c>
      <c r="CK299" s="591" t="s">
        <v>160</v>
      </c>
      <c r="CL299" s="591" t="s">
        <v>160</v>
      </c>
      <c r="CM299" s="591" t="s">
        <v>160</v>
      </c>
      <c r="CN299" s="591" t="s">
        <v>160</v>
      </c>
      <c r="CO299" s="591" t="s">
        <v>160</v>
      </c>
      <c r="CP299" s="591" t="s">
        <v>160</v>
      </c>
      <c r="CQ299" s="591" t="s">
        <v>160</v>
      </c>
      <c r="CR299" s="591" t="s">
        <v>160</v>
      </c>
      <c r="CS299" s="591" t="s">
        <v>160</v>
      </c>
      <c r="CT299" s="591" t="s">
        <v>160</v>
      </c>
      <c r="CU299" s="591" t="s">
        <v>160</v>
      </c>
      <c r="CV299" s="591" t="s">
        <v>160</v>
      </c>
      <c r="CW299" s="591" t="s">
        <v>160</v>
      </c>
      <c r="CX299" s="591" t="s">
        <v>160</v>
      </c>
      <c r="CY299" s="591" t="s">
        <v>160</v>
      </c>
      <c r="CZ299" s="591" t="s">
        <v>160</v>
      </c>
      <c r="DA299" s="591" t="s">
        <v>160</v>
      </c>
      <c r="DB299" s="591" t="s">
        <v>160</v>
      </c>
      <c r="DC299" s="591" t="s">
        <v>160</v>
      </c>
      <c r="DD299" s="591" t="s">
        <v>160</v>
      </c>
      <c r="DE299" s="591" t="s">
        <v>160</v>
      </c>
      <c r="DF299" s="591" t="s">
        <v>160</v>
      </c>
      <c r="DG299" s="591" t="s">
        <v>160</v>
      </c>
      <c r="DH299" s="591" t="s">
        <v>160</v>
      </c>
      <c r="DI299" s="591" t="s">
        <v>160</v>
      </c>
      <c r="DJ299" s="591" t="s">
        <v>160</v>
      </c>
      <c r="DK299" s="591" t="s">
        <v>160</v>
      </c>
      <c r="DL299" s="591" t="s">
        <v>160</v>
      </c>
      <c r="DM299" s="591" t="s">
        <v>160</v>
      </c>
      <c r="DN299" s="591" t="s">
        <v>160</v>
      </c>
      <c r="DO299" s="591" t="s">
        <v>160</v>
      </c>
    </row>
    <row r="300" spans="1:126" x14ac:dyDescent="0.25">
      <c r="A300" s="261" t="s">
        <v>547</v>
      </c>
      <c r="B300" s="261" t="s">
        <v>547</v>
      </c>
      <c r="D300" s="117" t="str">
        <f>IF([1]RENAME!$H$3=1,B300,A300)</f>
        <v>ITAÚ</v>
      </c>
      <c r="E300" s="263" t="s">
        <v>160</v>
      </c>
      <c r="F300" s="263" t="s">
        <v>160</v>
      </c>
      <c r="G300" s="263" t="s">
        <v>160</v>
      </c>
      <c r="H300" s="263" t="s">
        <v>160</v>
      </c>
      <c r="I300" s="264" t="s">
        <v>160</v>
      </c>
      <c r="J300" s="264" t="s">
        <v>160</v>
      </c>
      <c r="K300" s="264" t="s">
        <v>160</v>
      </c>
      <c r="L300" s="264" t="s">
        <v>160</v>
      </c>
      <c r="M300" s="264" t="s">
        <v>160</v>
      </c>
      <c r="N300" s="592" t="s">
        <v>160</v>
      </c>
      <c r="O300" s="592" t="s">
        <v>160</v>
      </c>
      <c r="P300" s="592" t="s">
        <v>160</v>
      </c>
      <c r="Q300" s="592" t="s">
        <v>160</v>
      </c>
      <c r="R300" s="592" t="s">
        <v>160</v>
      </c>
      <c r="S300" s="591" t="s">
        <v>160</v>
      </c>
      <c r="T300" s="591" t="s">
        <v>160</v>
      </c>
      <c r="U300" s="591" t="s">
        <v>160</v>
      </c>
      <c r="V300" s="591" t="s">
        <v>160</v>
      </c>
      <c r="W300" s="591" t="s">
        <v>160</v>
      </c>
      <c r="X300" s="591" t="s">
        <v>160</v>
      </c>
      <c r="Y300" s="591" t="s">
        <v>160</v>
      </c>
      <c r="Z300" s="591" t="s">
        <v>160</v>
      </c>
      <c r="AA300" s="591" t="s">
        <v>160</v>
      </c>
      <c r="AB300" s="591" t="s">
        <v>160</v>
      </c>
      <c r="AC300" s="591" t="s">
        <v>160</v>
      </c>
      <c r="AD300" s="591" t="s">
        <v>160</v>
      </c>
      <c r="AE300" s="591" t="s">
        <v>160</v>
      </c>
      <c r="AF300" s="591" t="s">
        <v>160</v>
      </c>
      <c r="AG300" s="591" t="s">
        <v>160</v>
      </c>
      <c r="AH300" s="591" t="s">
        <v>160</v>
      </c>
      <c r="AI300" s="591" t="s">
        <v>160</v>
      </c>
      <c r="AJ300" s="591" t="s">
        <v>160</v>
      </c>
      <c r="AK300" s="591" t="s">
        <v>160</v>
      </c>
      <c r="AL300" s="346" t="s">
        <v>160</v>
      </c>
      <c r="AM300" s="346" t="s">
        <v>160</v>
      </c>
      <c r="AN300" s="346" t="s">
        <v>160</v>
      </c>
      <c r="AO300" s="346" t="s">
        <v>160</v>
      </c>
      <c r="AP300" s="346" t="s">
        <v>160</v>
      </c>
      <c r="AQ300" s="346" t="s">
        <v>160</v>
      </c>
      <c r="AR300" s="346" t="s">
        <v>160</v>
      </c>
      <c r="AS300" s="346" t="s">
        <v>160</v>
      </c>
      <c r="AT300" s="346" t="s">
        <v>160</v>
      </c>
      <c r="AU300" s="346" t="s">
        <v>160</v>
      </c>
      <c r="AV300" s="346" t="s">
        <v>160</v>
      </c>
      <c r="AW300" s="346" t="s">
        <v>160</v>
      </c>
      <c r="AX300" s="947" t="s">
        <v>160</v>
      </c>
      <c r="AY300" s="346" t="s">
        <v>160</v>
      </c>
      <c r="AZ300" s="346" t="s">
        <v>160</v>
      </c>
      <c r="BA300" s="346" t="s">
        <v>160</v>
      </c>
      <c r="BB300" s="346" t="s">
        <v>160</v>
      </c>
      <c r="BC300" s="346" t="s">
        <v>160</v>
      </c>
      <c r="BD300" s="346" t="s">
        <v>160</v>
      </c>
      <c r="BE300" s="346" t="s">
        <v>160</v>
      </c>
      <c r="BF300" s="346" t="s">
        <v>160</v>
      </c>
      <c r="BG300" s="346" t="s">
        <v>160</v>
      </c>
      <c r="BH300" s="346" t="s">
        <v>160</v>
      </c>
      <c r="BI300" s="346" t="s">
        <v>160</v>
      </c>
      <c r="BJ300" s="346" t="s">
        <v>160</v>
      </c>
      <c r="BK300" s="346" t="s">
        <v>160</v>
      </c>
      <c r="BL300" s="346" t="s">
        <v>160</v>
      </c>
      <c r="BM300" s="346" t="s">
        <v>160</v>
      </c>
      <c r="BN300" s="346" t="s">
        <v>160</v>
      </c>
      <c r="BO300" s="346" t="s">
        <v>160</v>
      </c>
      <c r="BP300" s="591" t="s">
        <v>160</v>
      </c>
      <c r="BQ300" s="591" t="s">
        <v>160</v>
      </c>
      <c r="BR300" s="591" t="s">
        <v>160</v>
      </c>
      <c r="BS300" s="591" t="s">
        <v>160</v>
      </c>
      <c r="BT300" s="591" t="s">
        <v>160</v>
      </c>
      <c r="BU300" s="591" t="s">
        <v>160</v>
      </c>
      <c r="BV300" s="591" t="s">
        <v>160</v>
      </c>
      <c r="BW300" s="591" t="s">
        <v>160</v>
      </c>
      <c r="BX300" s="591" t="s">
        <v>160</v>
      </c>
      <c r="BY300" s="591" t="s">
        <v>160</v>
      </c>
      <c r="BZ300" s="591" t="s">
        <v>160</v>
      </c>
      <c r="CA300" s="591" t="s">
        <v>160</v>
      </c>
      <c r="CB300" s="591" t="s">
        <v>160</v>
      </c>
      <c r="CC300" s="591" t="s">
        <v>160</v>
      </c>
      <c r="CD300" s="591" t="s">
        <v>160</v>
      </c>
      <c r="CE300" s="591" t="s">
        <v>160</v>
      </c>
      <c r="CF300" s="591" t="s">
        <v>160</v>
      </c>
      <c r="CG300" s="591" t="s">
        <v>160</v>
      </c>
      <c r="CH300" s="591" t="s">
        <v>160</v>
      </c>
      <c r="CI300" s="591" t="s">
        <v>160</v>
      </c>
      <c r="CJ300" s="591" t="s">
        <v>160</v>
      </c>
      <c r="CK300" s="591" t="s">
        <v>160</v>
      </c>
      <c r="CL300" s="591" t="s">
        <v>160</v>
      </c>
      <c r="CM300" s="591" t="s">
        <v>160</v>
      </c>
      <c r="CN300" s="591" t="s">
        <v>160</v>
      </c>
      <c r="CO300" s="591" t="s">
        <v>160</v>
      </c>
      <c r="CP300" s="591" t="s">
        <v>160</v>
      </c>
      <c r="CQ300" s="591" t="s">
        <v>160</v>
      </c>
      <c r="CR300" s="591" t="s">
        <v>160</v>
      </c>
      <c r="CS300" s="591" t="s">
        <v>160</v>
      </c>
      <c r="CT300" s="591" t="s">
        <v>160</v>
      </c>
      <c r="CU300" s="591" t="s">
        <v>160</v>
      </c>
      <c r="CV300" s="591" t="s">
        <v>160</v>
      </c>
      <c r="CW300" s="591" t="s">
        <v>160</v>
      </c>
      <c r="CX300" s="591" t="s">
        <v>160</v>
      </c>
      <c r="CY300" s="591" t="s">
        <v>160</v>
      </c>
      <c r="CZ300" s="591" t="s">
        <v>160</v>
      </c>
      <c r="DA300" s="591">
        <v>270</v>
      </c>
      <c r="DB300" s="591">
        <v>270</v>
      </c>
      <c r="DC300" s="591">
        <v>270</v>
      </c>
      <c r="DD300" s="690">
        <v>303</v>
      </c>
      <c r="DE300" s="591">
        <v>303</v>
      </c>
      <c r="DF300" s="591">
        <v>303</v>
      </c>
      <c r="DG300" s="591">
        <v>303</v>
      </c>
      <c r="DH300" s="591">
        <v>303</v>
      </c>
      <c r="DI300" s="591">
        <v>303</v>
      </c>
      <c r="DJ300" s="591">
        <v>303</v>
      </c>
      <c r="DK300" s="591">
        <v>303</v>
      </c>
      <c r="DL300" s="591">
        <v>303</v>
      </c>
      <c r="DM300" s="591">
        <v>303</v>
      </c>
      <c r="DN300" s="591">
        <v>303</v>
      </c>
      <c r="DO300" s="591">
        <v>270</v>
      </c>
      <c r="DP300"/>
      <c r="DQ300"/>
      <c r="DR300"/>
      <c r="DS300"/>
      <c r="DT300"/>
      <c r="DU300"/>
      <c r="DV300"/>
    </row>
    <row r="301" spans="1:126" x14ac:dyDescent="0.25">
      <c r="A301" t="s">
        <v>557</v>
      </c>
      <c r="B301" t="s">
        <v>856</v>
      </c>
      <c r="C301"/>
      <c r="D301" s="1092" t="str">
        <f>IF([1]RENAME!$H$3=1,B301,A301)</f>
        <v>Média</v>
      </c>
      <c r="E301" s="1095" t="str">
        <f t="shared" ref="E301:AJ301" si="201">IFERROR(AVERAGE(E298:E300),"-")</f>
        <v>-</v>
      </c>
      <c r="F301" s="1095" t="str">
        <f t="shared" si="201"/>
        <v>-</v>
      </c>
      <c r="G301" s="1095" t="str">
        <f t="shared" si="201"/>
        <v>-</v>
      </c>
      <c r="H301" s="1095" t="str">
        <f t="shared" si="201"/>
        <v>-</v>
      </c>
      <c r="I301" s="1095" t="str">
        <f t="shared" si="201"/>
        <v>-</v>
      </c>
      <c r="J301" s="1095" t="str">
        <f t="shared" si="201"/>
        <v>-</v>
      </c>
      <c r="K301" s="1095" t="str">
        <f t="shared" si="201"/>
        <v>-</v>
      </c>
      <c r="L301" s="1095" t="str">
        <f t="shared" si="201"/>
        <v>-</v>
      </c>
      <c r="M301" s="1095" t="str">
        <f t="shared" si="201"/>
        <v>-</v>
      </c>
      <c r="N301" s="1095" t="str">
        <f t="shared" si="201"/>
        <v>-</v>
      </c>
      <c r="O301" s="1095" t="str">
        <f t="shared" si="201"/>
        <v>-</v>
      </c>
      <c r="P301" s="1095" t="str">
        <f t="shared" si="201"/>
        <v>-</v>
      </c>
      <c r="Q301" s="1095" t="str">
        <f t="shared" si="201"/>
        <v>-</v>
      </c>
      <c r="R301" s="1095" t="str">
        <f t="shared" si="201"/>
        <v>-</v>
      </c>
      <c r="S301" s="1095" t="str">
        <f t="shared" si="201"/>
        <v>-</v>
      </c>
      <c r="T301" s="1095" t="str">
        <f t="shared" si="201"/>
        <v>-</v>
      </c>
      <c r="U301" s="1095" t="str">
        <f t="shared" si="201"/>
        <v>-</v>
      </c>
      <c r="V301" s="1095" t="str">
        <f t="shared" si="201"/>
        <v>-</v>
      </c>
      <c r="W301" s="1095" t="str">
        <f t="shared" si="201"/>
        <v>-</v>
      </c>
      <c r="X301" s="1095" t="str">
        <f t="shared" si="201"/>
        <v>-</v>
      </c>
      <c r="Y301" s="1095" t="str">
        <f t="shared" si="201"/>
        <v>-</v>
      </c>
      <c r="Z301" s="1095" t="str">
        <f t="shared" si="201"/>
        <v>-</v>
      </c>
      <c r="AA301" s="1095" t="str">
        <f t="shared" si="201"/>
        <v>-</v>
      </c>
      <c r="AB301" s="1095" t="str">
        <f t="shared" si="201"/>
        <v>-</v>
      </c>
      <c r="AC301" s="1095" t="str">
        <f t="shared" si="201"/>
        <v>-</v>
      </c>
      <c r="AD301" s="1095" t="str">
        <f t="shared" si="201"/>
        <v>-</v>
      </c>
      <c r="AE301" s="1095" t="str">
        <f t="shared" si="201"/>
        <v>-</v>
      </c>
      <c r="AF301" s="1095" t="str">
        <f t="shared" si="201"/>
        <v>-</v>
      </c>
      <c r="AG301" s="1095" t="str">
        <f t="shared" si="201"/>
        <v>-</v>
      </c>
      <c r="AH301" s="1095" t="str">
        <f t="shared" si="201"/>
        <v>-</v>
      </c>
      <c r="AI301" s="1095" t="str">
        <f t="shared" si="201"/>
        <v>-</v>
      </c>
      <c r="AJ301" s="1095" t="str">
        <f t="shared" si="201"/>
        <v>-</v>
      </c>
      <c r="AK301" s="1095" t="str">
        <f t="shared" ref="AK301:BP301" si="202">IFERROR(AVERAGE(AK298:AK300),"-")</f>
        <v>-</v>
      </c>
      <c r="AL301" s="1095" t="str">
        <f t="shared" si="202"/>
        <v>-</v>
      </c>
      <c r="AM301" s="1095" t="str">
        <f t="shared" si="202"/>
        <v>-</v>
      </c>
      <c r="AN301" s="1095" t="str">
        <f t="shared" si="202"/>
        <v>-</v>
      </c>
      <c r="AO301" s="1095" t="str">
        <f t="shared" si="202"/>
        <v>-</v>
      </c>
      <c r="AP301" s="1095" t="str">
        <f t="shared" si="202"/>
        <v>-</v>
      </c>
      <c r="AQ301" s="1095" t="str">
        <f t="shared" si="202"/>
        <v>-</v>
      </c>
      <c r="AR301" s="1095" t="str">
        <f t="shared" si="202"/>
        <v>-</v>
      </c>
      <c r="AS301" s="1095" t="str">
        <f t="shared" si="202"/>
        <v>-</v>
      </c>
      <c r="AT301" s="1095" t="str">
        <f t="shared" si="202"/>
        <v>-</v>
      </c>
      <c r="AU301" s="1095" t="str">
        <f t="shared" si="202"/>
        <v>-</v>
      </c>
      <c r="AV301" s="1095" t="str">
        <f t="shared" si="202"/>
        <v>-</v>
      </c>
      <c r="AW301" s="1095" t="str">
        <f t="shared" si="202"/>
        <v>-</v>
      </c>
      <c r="AX301" s="1095" t="str">
        <f t="shared" si="202"/>
        <v>-</v>
      </c>
      <c r="AY301" s="1095" t="str">
        <f t="shared" si="202"/>
        <v>-</v>
      </c>
      <c r="AZ301" s="1095" t="str">
        <f t="shared" si="202"/>
        <v>-</v>
      </c>
      <c r="BA301" s="1095" t="str">
        <f t="shared" si="202"/>
        <v>-</v>
      </c>
      <c r="BB301" s="1095" t="str">
        <f t="shared" si="202"/>
        <v>-</v>
      </c>
      <c r="BC301" s="1095" t="str">
        <f t="shared" si="202"/>
        <v>-</v>
      </c>
      <c r="BD301" s="1095" t="str">
        <f t="shared" si="202"/>
        <v>-</v>
      </c>
      <c r="BE301" s="1095" t="str">
        <f t="shared" si="202"/>
        <v>-</v>
      </c>
      <c r="BF301" s="1095" t="str">
        <f t="shared" si="202"/>
        <v>-</v>
      </c>
      <c r="BG301" s="1095" t="str">
        <f t="shared" si="202"/>
        <v>-</v>
      </c>
      <c r="BH301" s="1095" t="str">
        <f t="shared" si="202"/>
        <v>-</v>
      </c>
      <c r="BI301" s="1095" t="str">
        <f t="shared" si="202"/>
        <v>-</v>
      </c>
      <c r="BJ301" s="1095" t="str">
        <f t="shared" si="202"/>
        <v>-</v>
      </c>
      <c r="BK301" s="1095" t="str">
        <f t="shared" si="202"/>
        <v>-</v>
      </c>
      <c r="BL301" s="1095" t="str">
        <f t="shared" si="202"/>
        <v>-</v>
      </c>
      <c r="BM301" s="1095" t="str">
        <f t="shared" si="202"/>
        <v>-</v>
      </c>
      <c r="BN301" s="1095" t="str">
        <f t="shared" si="202"/>
        <v>-</v>
      </c>
      <c r="BO301" s="1095" t="str">
        <f t="shared" si="202"/>
        <v>-</v>
      </c>
      <c r="BP301" s="1095" t="str">
        <f t="shared" si="202"/>
        <v>-</v>
      </c>
      <c r="BQ301" s="1095" t="str">
        <f t="shared" ref="BQ301:CV301" si="203">IFERROR(AVERAGE(BQ298:BQ300),"-")</f>
        <v>-</v>
      </c>
      <c r="BR301" s="1095" t="str">
        <f t="shared" si="203"/>
        <v>-</v>
      </c>
      <c r="BS301" s="1095" t="str">
        <f t="shared" si="203"/>
        <v>-</v>
      </c>
      <c r="BT301" s="1095" t="str">
        <f t="shared" si="203"/>
        <v>-</v>
      </c>
      <c r="BU301" s="1095" t="str">
        <f t="shared" si="203"/>
        <v>-</v>
      </c>
      <c r="BV301" s="1095" t="str">
        <f t="shared" si="203"/>
        <v>-</v>
      </c>
      <c r="BW301" s="1095" t="str">
        <f t="shared" si="203"/>
        <v>-</v>
      </c>
      <c r="BX301" s="1095" t="str">
        <f t="shared" si="203"/>
        <v>-</v>
      </c>
      <c r="BY301" s="1095" t="str">
        <f t="shared" si="203"/>
        <v>-</v>
      </c>
      <c r="BZ301" s="1095" t="str">
        <f t="shared" si="203"/>
        <v>-</v>
      </c>
      <c r="CA301" s="1095" t="str">
        <f t="shared" si="203"/>
        <v>-</v>
      </c>
      <c r="CB301" s="1095" t="str">
        <f t="shared" si="203"/>
        <v>-</v>
      </c>
      <c r="CC301" s="1095" t="str">
        <f t="shared" si="203"/>
        <v>-</v>
      </c>
      <c r="CD301" s="1095" t="str">
        <f t="shared" si="203"/>
        <v>-</v>
      </c>
      <c r="CE301" s="1095" t="str">
        <f t="shared" si="203"/>
        <v>-</v>
      </c>
      <c r="CF301" s="1095" t="str">
        <f t="shared" si="203"/>
        <v>-</v>
      </c>
      <c r="CG301" s="1095" t="str">
        <f t="shared" si="203"/>
        <v>-</v>
      </c>
      <c r="CH301" s="1095" t="str">
        <f t="shared" si="203"/>
        <v>-</v>
      </c>
      <c r="CI301" s="1095" t="str">
        <f t="shared" si="203"/>
        <v>-</v>
      </c>
      <c r="CJ301" s="1095" t="str">
        <f t="shared" si="203"/>
        <v>-</v>
      </c>
      <c r="CK301" s="1095" t="str">
        <f t="shared" si="203"/>
        <v>-</v>
      </c>
      <c r="CL301" s="1095" t="str">
        <f t="shared" si="203"/>
        <v>-</v>
      </c>
      <c r="CM301" s="1095" t="str">
        <f t="shared" si="203"/>
        <v>-</v>
      </c>
      <c r="CN301" s="1095" t="str">
        <f t="shared" si="203"/>
        <v>-</v>
      </c>
      <c r="CO301" s="1095" t="str">
        <f t="shared" si="203"/>
        <v>-</v>
      </c>
      <c r="CP301" s="1095" t="str">
        <f t="shared" si="203"/>
        <v>-</v>
      </c>
      <c r="CQ301" s="1095" t="str">
        <f t="shared" si="203"/>
        <v>-</v>
      </c>
      <c r="CR301" s="1095" t="str">
        <f t="shared" si="203"/>
        <v>-</v>
      </c>
      <c r="CS301" s="1095" t="str">
        <f t="shared" si="203"/>
        <v>-</v>
      </c>
      <c r="CT301" s="1095" t="str">
        <f t="shared" si="203"/>
        <v>-</v>
      </c>
      <c r="CU301" s="1095" t="str">
        <f t="shared" si="203"/>
        <v>-</v>
      </c>
      <c r="CV301" s="1095" t="str">
        <f t="shared" si="203"/>
        <v>-</v>
      </c>
      <c r="CW301" s="1095" t="str">
        <f t="shared" ref="CW301:DI301" si="204">IFERROR(AVERAGE(CW298:CW300),"-")</f>
        <v>-</v>
      </c>
      <c r="CX301" s="1095" t="str">
        <f t="shared" si="204"/>
        <v>-</v>
      </c>
      <c r="CY301" s="1095" t="str">
        <f t="shared" si="204"/>
        <v>-</v>
      </c>
      <c r="CZ301" s="1095" t="str">
        <f t="shared" si="204"/>
        <v>-</v>
      </c>
      <c r="DA301" s="1095">
        <f t="shared" si="204"/>
        <v>270</v>
      </c>
      <c r="DB301" s="1095">
        <f t="shared" si="204"/>
        <v>270</v>
      </c>
      <c r="DC301" s="1095">
        <f t="shared" si="204"/>
        <v>270</v>
      </c>
      <c r="DD301" s="1095">
        <f t="shared" si="204"/>
        <v>303</v>
      </c>
      <c r="DE301" s="1095">
        <f t="shared" si="204"/>
        <v>303</v>
      </c>
      <c r="DF301" s="1095">
        <f t="shared" si="204"/>
        <v>303</v>
      </c>
      <c r="DG301" s="1095">
        <f t="shared" si="204"/>
        <v>303</v>
      </c>
      <c r="DH301" s="1095">
        <f t="shared" si="204"/>
        <v>289.5</v>
      </c>
      <c r="DI301" s="1095">
        <f t="shared" si="204"/>
        <v>289.5</v>
      </c>
      <c r="DJ301" s="1095">
        <v>289.5</v>
      </c>
      <c r="DK301" s="1095">
        <f>IFERROR(AVERAGE(DK298:DK300),"-")</f>
        <v>289.5</v>
      </c>
      <c r="DL301" s="1095">
        <f>IFERROR(AVERAGE(DL298:DL300),"-")</f>
        <v>289.5</v>
      </c>
      <c r="DM301" s="1095">
        <f>IFERROR(AVERAGE(DM298:DM300),"-")</f>
        <v>289.5</v>
      </c>
      <c r="DN301" s="1095">
        <f>IFERROR(AVERAGE(DN298:DN300),"-")</f>
        <v>289.5</v>
      </c>
      <c r="DO301" s="1095">
        <f>IFERROR(AVERAGE(DO298:DO300),"-")</f>
        <v>273</v>
      </c>
      <c r="DP301"/>
      <c r="DQ301"/>
      <c r="DR301"/>
      <c r="DS301"/>
      <c r="DT301"/>
      <c r="DU301"/>
      <c r="DV301"/>
    </row>
    <row r="302" spans="1:126" x14ac:dyDescent="0.25">
      <c r="Z302" s="339"/>
      <c r="AA302" s="339"/>
      <c r="AB302" s="339"/>
      <c r="AC302" s="339"/>
      <c r="AD302" s="339"/>
      <c r="AE302" s="339"/>
      <c r="AF302" s="339"/>
      <c r="AG302" s="339"/>
      <c r="AH302" s="339"/>
      <c r="AI302" s="339"/>
      <c r="AJ302" s="339"/>
      <c r="AK302" s="339"/>
      <c r="AL302" s="339"/>
      <c r="AM302" s="339"/>
      <c r="AN302" s="339"/>
      <c r="AO302" s="339"/>
      <c r="AP302" s="339"/>
      <c r="AQ302" s="339"/>
      <c r="AR302" s="339"/>
      <c r="AS302" s="339"/>
      <c r="AT302" s="339"/>
      <c r="AU302" s="339"/>
      <c r="AV302" s="775"/>
    </row>
    <row r="303" spans="1:126" x14ac:dyDescent="0.25">
      <c r="Z303" s="339"/>
      <c r="AA303" s="339"/>
      <c r="AB303" s="339"/>
      <c r="AC303" s="339"/>
      <c r="AD303" s="339"/>
      <c r="AE303" s="339"/>
      <c r="AF303" s="339"/>
      <c r="AG303" s="339"/>
      <c r="AH303" s="339"/>
      <c r="AI303" s="339"/>
      <c r="AJ303" s="339"/>
      <c r="AK303" s="339"/>
      <c r="AL303" s="339"/>
      <c r="AM303" s="339"/>
      <c r="AN303" s="339"/>
      <c r="AO303" s="339"/>
      <c r="AP303" s="339"/>
      <c r="AQ303" s="339"/>
      <c r="AR303" s="339"/>
      <c r="AS303" s="339"/>
      <c r="AT303" s="339"/>
      <c r="AU303" s="339"/>
      <c r="AV303" s="775"/>
    </row>
    <row r="304" spans="1:126" x14ac:dyDescent="0.25">
      <c r="Z304" s="339"/>
      <c r="AA304" s="339"/>
      <c r="AB304" s="339"/>
      <c r="AC304" s="339"/>
      <c r="AD304" s="339"/>
      <c r="AE304" s="339"/>
      <c r="AF304" s="339"/>
      <c r="AG304" s="339"/>
      <c r="AH304" s="339"/>
      <c r="AI304" s="339"/>
      <c r="AJ304" s="339"/>
      <c r="AK304" s="339"/>
      <c r="AL304" s="339"/>
      <c r="AM304" s="339"/>
      <c r="AN304" s="339"/>
      <c r="AO304" s="339"/>
      <c r="AP304" s="339"/>
      <c r="AQ304" s="339"/>
      <c r="AR304" s="339"/>
      <c r="AS304" s="339"/>
      <c r="AT304" s="339"/>
      <c r="AU304" s="339"/>
      <c r="AV304" s="775"/>
    </row>
    <row r="305" spans="4:126" x14ac:dyDescent="0.25">
      <c r="Z305" s="339"/>
      <c r="AA305" s="339"/>
      <c r="AB305" s="339"/>
      <c r="AC305" s="339"/>
      <c r="AD305" s="339"/>
      <c r="AE305" s="339"/>
      <c r="AF305" s="339"/>
      <c r="AG305" s="339"/>
      <c r="AH305" s="339"/>
      <c r="AI305" s="339"/>
      <c r="AJ305" s="339"/>
      <c r="AK305" s="339"/>
      <c r="AL305" s="339"/>
      <c r="AM305" s="339"/>
      <c r="AN305" s="339"/>
      <c r="AO305" s="339"/>
      <c r="AP305" s="339"/>
      <c r="AQ305" s="339"/>
      <c r="AR305" s="339"/>
      <c r="AS305" s="339"/>
      <c r="AT305" s="339"/>
      <c r="AU305" s="339"/>
      <c r="AV305" s="775"/>
    </row>
    <row r="306" spans="4:126" x14ac:dyDescent="0.25">
      <c r="Z306" s="339"/>
      <c r="AA306" s="339"/>
      <c r="AB306" s="339"/>
      <c r="AC306" s="339"/>
      <c r="AD306" s="339"/>
      <c r="AE306" s="339"/>
      <c r="AF306" s="339"/>
      <c r="AG306" s="339"/>
      <c r="AH306" s="339"/>
      <c r="AI306" s="339"/>
      <c r="AJ306" s="339"/>
      <c r="AK306" s="339"/>
      <c r="AL306" s="339"/>
      <c r="AM306" s="339"/>
      <c r="AN306" s="339"/>
      <c r="AO306" s="339"/>
      <c r="AP306" s="339"/>
      <c r="AQ306" s="339"/>
      <c r="AR306" s="339"/>
      <c r="AS306" s="339"/>
      <c r="AT306" s="339"/>
      <c r="AU306" s="339"/>
      <c r="AV306" s="775"/>
    </row>
    <row r="307" spans="4:126" x14ac:dyDescent="0.25">
      <c r="Z307" s="339"/>
      <c r="AA307" s="339"/>
      <c r="AB307" s="339"/>
      <c r="AC307" s="339"/>
      <c r="AD307" s="339"/>
      <c r="AE307" s="339"/>
      <c r="AF307" s="339"/>
      <c r="AG307" s="339"/>
      <c r="AH307" s="339"/>
      <c r="AI307" s="339"/>
      <c r="AJ307" s="339"/>
      <c r="AK307" s="339"/>
      <c r="AL307" s="339"/>
      <c r="AM307" s="339"/>
      <c r="AN307" s="339"/>
      <c r="AO307" s="339"/>
      <c r="AP307" s="339"/>
      <c r="AQ307" s="339"/>
      <c r="AR307" s="339"/>
      <c r="AS307" s="339"/>
      <c r="AT307" s="339"/>
      <c r="AU307" s="339"/>
      <c r="AV307" s="775"/>
    </row>
    <row r="308" spans="4:126" x14ac:dyDescent="0.25">
      <c r="Z308" s="339"/>
      <c r="AA308" s="339"/>
      <c r="AB308" s="339"/>
      <c r="AC308" s="339"/>
      <c r="AD308" s="339"/>
      <c r="AE308" s="339"/>
      <c r="AF308" s="339"/>
      <c r="AG308" s="339"/>
      <c r="AH308" s="339"/>
      <c r="AI308" s="339"/>
      <c r="AJ308" s="339"/>
      <c r="AK308" s="339"/>
      <c r="AL308" s="339"/>
      <c r="AM308" s="339"/>
      <c r="AN308" s="339"/>
      <c r="AO308" s="339"/>
      <c r="AP308" s="339"/>
      <c r="AQ308" s="339"/>
      <c r="AR308" s="339"/>
      <c r="AS308" s="339"/>
      <c r="AT308" s="339"/>
      <c r="AU308" s="339"/>
      <c r="AV308" s="775"/>
    </row>
    <row r="309" spans="4:126" x14ac:dyDescent="0.25">
      <c r="Z309" s="339"/>
      <c r="AA309" s="339"/>
      <c r="AB309" s="339"/>
      <c r="AC309" s="339"/>
      <c r="AD309" s="339"/>
      <c r="AE309" s="339"/>
      <c r="AF309" s="339"/>
      <c r="AG309" s="339"/>
      <c r="AH309" s="339"/>
      <c r="AI309" s="339"/>
      <c r="AJ309" s="339"/>
      <c r="AK309" s="339"/>
      <c r="AL309" s="339"/>
      <c r="AM309" s="339"/>
      <c r="AN309" s="339"/>
      <c r="AO309" s="339"/>
      <c r="AP309" s="339"/>
      <c r="AQ309" s="339"/>
      <c r="AR309" s="339"/>
      <c r="AS309" s="339"/>
      <c r="AT309" s="339"/>
      <c r="AU309" s="339"/>
      <c r="AV309" s="775"/>
    </row>
    <row r="310" spans="4:126" x14ac:dyDescent="0.25">
      <c r="Z310" s="339"/>
      <c r="AA310" s="339"/>
      <c r="AB310" s="339"/>
      <c r="AC310" s="339"/>
      <c r="AD310" s="339"/>
      <c r="AE310" s="339"/>
      <c r="AF310" s="339"/>
      <c r="AG310" s="339"/>
      <c r="AH310" s="339"/>
      <c r="AI310" s="339"/>
      <c r="AJ310" s="339"/>
      <c r="AK310" s="339"/>
      <c r="AL310" s="339"/>
      <c r="AM310" s="339"/>
      <c r="AN310" s="339"/>
      <c r="AO310" s="339"/>
      <c r="AP310" s="339"/>
      <c r="AQ310" s="339"/>
      <c r="AR310" s="339"/>
      <c r="AS310" s="339"/>
      <c r="AT310" s="339"/>
      <c r="AU310" s="339"/>
      <c r="AV310" s="775"/>
    </row>
    <row r="311" spans="4:126" x14ac:dyDescent="0.25">
      <c r="Z311" s="339"/>
      <c r="AA311" s="339"/>
      <c r="AB311" s="339"/>
      <c r="AC311" s="339"/>
      <c r="AD311" s="339"/>
      <c r="AE311" s="339"/>
      <c r="AF311" s="339"/>
      <c r="AG311" s="339"/>
      <c r="AH311" s="339"/>
      <c r="AI311" s="339"/>
      <c r="AJ311" s="339"/>
      <c r="AK311" s="339"/>
      <c r="AL311" s="339"/>
      <c r="AM311" s="339"/>
      <c r="AN311" s="339"/>
      <c r="AO311" s="339"/>
      <c r="AP311" s="339"/>
      <c r="AQ311" s="339"/>
      <c r="AR311" s="339"/>
      <c r="AS311" s="339"/>
      <c r="AT311" s="339"/>
      <c r="AU311" s="339"/>
      <c r="AV311" s="775"/>
    </row>
    <row r="312" spans="4:126" x14ac:dyDescent="0.25">
      <c r="Z312" s="339"/>
      <c r="AA312" s="339"/>
      <c r="AB312" s="339"/>
      <c r="AC312" s="339"/>
      <c r="AD312" s="339"/>
      <c r="AE312" s="339"/>
      <c r="AF312" s="339"/>
      <c r="AG312" s="339"/>
      <c r="AH312" s="339"/>
      <c r="AI312" s="339"/>
      <c r="AJ312" s="339"/>
      <c r="AK312" s="339"/>
      <c r="AL312" s="339"/>
      <c r="AM312" s="339"/>
      <c r="AN312" s="339"/>
      <c r="AO312" s="339"/>
      <c r="AP312" s="339"/>
      <c r="AQ312" s="339"/>
      <c r="AR312" s="339"/>
      <c r="AS312" s="339"/>
      <c r="AT312" s="339"/>
      <c r="AU312" s="339"/>
      <c r="AV312" s="775"/>
    </row>
    <row r="313" spans="4:126" x14ac:dyDescent="0.25">
      <c r="S313" s="261"/>
      <c r="T313" s="261"/>
      <c r="U313" s="261"/>
      <c r="V313" s="261"/>
      <c r="W313" s="261"/>
      <c r="X313" s="261"/>
      <c r="Y313" s="261"/>
      <c r="BH313" s="1120" t="str">
        <f>+DRE!AT5</f>
        <v>1T21</v>
      </c>
      <c r="BP313" s="1120"/>
      <c r="BQ313" s="1120"/>
      <c r="BR313" s="1120"/>
      <c r="BS313" s="1120"/>
      <c r="BT313" s="1120"/>
      <c r="BU313" s="1120"/>
      <c r="BV313" s="1120"/>
    </row>
    <row r="314" spans="4:126" s="982" customFormat="1" x14ac:dyDescent="0.25">
      <c r="E314" s="1083"/>
      <c r="F314" s="1083" t="str">
        <f t="shared" ref="F314:BQ314" si="205">SUBSTITUTE(F315,"T","Q")</f>
        <v>3Q16</v>
      </c>
      <c r="G314" s="1083" t="str">
        <f t="shared" si="205"/>
        <v>3Q16</v>
      </c>
      <c r="H314" s="1083" t="str">
        <f t="shared" si="205"/>
        <v>3Q16</v>
      </c>
      <c r="I314" s="1083" t="str">
        <f t="shared" si="205"/>
        <v>4Q16</v>
      </c>
      <c r="J314" s="1083" t="str">
        <f t="shared" si="205"/>
        <v>4Q16</v>
      </c>
      <c r="K314" s="1083" t="str">
        <f t="shared" si="205"/>
        <v>4Q16</v>
      </c>
      <c r="L314" s="1083" t="str">
        <f t="shared" si="205"/>
        <v>1Q17</v>
      </c>
      <c r="M314" s="1083" t="str">
        <f t="shared" si="205"/>
        <v>1Q17</v>
      </c>
      <c r="N314" s="1083" t="str">
        <f t="shared" si="205"/>
        <v>1Q17</v>
      </c>
      <c r="O314" s="1083" t="str">
        <f t="shared" si="205"/>
        <v>2Q17</v>
      </c>
      <c r="P314" s="1083" t="str">
        <f t="shared" si="205"/>
        <v>2Q17</v>
      </c>
      <c r="Q314" s="1083" t="str">
        <f t="shared" si="205"/>
        <v>2Q17</v>
      </c>
      <c r="R314" s="1083" t="str">
        <f t="shared" si="205"/>
        <v>3Q17</v>
      </c>
      <c r="S314" s="1083" t="str">
        <f t="shared" si="205"/>
        <v>3Q17</v>
      </c>
      <c r="T314" s="1083" t="str">
        <f t="shared" si="205"/>
        <v>3Q17</v>
      </c>
      <c r="U314" s="1083" t="str">
        <f t="shared" si="205"/>
        <v>4Q17</v>
      </c>
      <c r="V314" s="1083" t="str">
        <f t="shared" si="205"/>
        <v>4Q17</v>
      </c>
      <c r="W314" s="1083" t="str">
        <f t="shared" si="205"/>
        <v>4Q17</v>
      </c>
      <c r="X314" s="1083" t="str">
        <f t="shared" si="205"/>
        <v>1Q18</v>
      </c>
      <c r="Y314" s="1083" t="str">
        <f t="shared" si="205"/>
        <v>1Q18</v>
      </c>
      <c r="Z314" s="1083" t="str">
        <f t="shared" si="205"/>
        <v>1Q18</v>
      </c>
      <c r="AA314" s="1083" t="str">
        <f t="shared" si="205"/>
        <v>2Q18</v>
      </c>
      <c r="AB314" s="1083" t="str">
        <f t="shared" si="205"/>
        <v>2Q18</v>
      </c>
      <c r="AC314" s="1083" t="str">
        <f t="shared" si="205"/>
        <v>2Q18</v>
      </c>
      <c r="AD314" s="1083" t="str">
        <f t="shared" si="205"/>
        <v>3Q18</v>
      </c>
      <c r="AE314" s="1083" t="str">
        <f t="shared" si="205"/>
        <v>3Q18</v>
      </c>
      <c r="AF314" s="1083" t="str">
        <f t="shared" si="205"/>
        <v>3Q18</v>
      </c>
      <c r="AG314" s="1083" t="str">
        <f t="shared" si="205"/>
        <v>4Q18</v>
      </c>
      <c r="AH314" s="1083" t="str">
        <f t="shared" si="205"/>
        <v>4Q18</v>
      </c>
      <c r="AI314" s="1083" t="str">
        <f t="shared" si="205"/>
        <v>4Q18</v>
      </c>
      <c r="AJ314" s="1083" t="str">
        <f t="shared" si="205"/>
        <v>1Q19</v>
      </c>
      <c r="AK314" s="1083" t="str">
        <f t="shared" si="205"/>
        <v>1Q19</v>
      </c>
      <c r="AL314" s="1083" t="str">
        <f t="shared" si="205"/>
        <v>1Q19</v>
      </c>
      <c r="AM314" s="1083" t="str">
        <f t="shared" si="205"/>
        <v>2Q19</v>
      </c>
      <c r="AN314" s="1083" t="str">
        <f t="shared" si="205"/>
        <v>2Q19</v>
      </c>
      <c r="AO314" s="1083" t="str">
        <f t="shared" si="205"/>
        <v>2Q19</v>
      </c>
      <c r="AP314" s="1083" t="str">
        <f t="shared" si="205"/>
        <v>3Q19</v>
      </c>
      <c r="AQ314" s="1083" t="str">
        <f t="shared" si="205"/>
        <v>3Q19</v>
      </c>
      <c r="AR314" s="1083" t="str">
        <f t="shared" si="205"/>
        <v>3Q19</v>
      </c>
      <c r="AS314" s="1083" t="str">
        <f t="shared" si="205"/>
        <v>4Q19</v>
      </c>
      <c r="AT314" s="1083" t="str">
        <f t="shared" si="205"/>
        <v>4Q19</v>
      </c>
      <c r="AU314" s="1083" t="str">
        <f t="shared" si="205"/>
        <v>4Q19</v>
      </c>
      <c r="AV314" s="1083" t="str">
        <f t="shared" si="205"/>
        <v>1Q20</v>
      </c>
      <c r="AW314" s="1083" t="str">
        <f t="shared" si="205"/>
        <v>1Q20</v>
      </c>
      <c r="AX314" s="1083" t="str">
        <f t="shared" si="205"/>
        <v>1Q20</v>
      </c>
      <c r="AY314" s="1083" t="str">
        <f t="shared" si="205"/>
        <v>2Q20</v>
      </c>
      <c r="AZ314" s="1083" t="str">
        <f t="shared" si="205"/>
        <v>2Q20</v>
      </c>
      <c r="BA314" s="1083" t="str">
        <f t="shared" si="205"/>
        <v>2Q20</v>
      </c>
      <c r="BB314" s="1083" t="str">
        <f t="shared" si="205"/>
        <v>3Q20</v>
      </c>
      <c r="BC314" s="1083" t="str">
        <f t="shared" si="205"/>
        <v>3Q20</v>
      </c>
      <c r="BD314" s="1083" t="str">
        <f t="shared" si="205"/>
        <v>3Q20</v>
      </c>
      <c r="BE314" s="1083" t="str">
        <f t="shared" si="205"/>
        <v>4Q20</v>
      </c>
      <c r="BF314" s="1083" t="str">
        <f t="shared" si="205"/>
        <v>4Q20</v>
      </c>
      <c r="BG314" s="1083" t="str">
        <f t="shared" si="205"/>
        <v>4Q20</v>
      </c>
      <c r="BH314" s="1083" t="str">
        <f t="shared" si="205"/>
        <v>1Q21</v>
      </c>
      <c r="BI314" s="1083" t="str">
        <f t="shared" si="205"/>
        <v>1Q21</v>
      </c>
      <c r="BJ314" s="1083" t="str">
        <f t="shared" si="205"/>
        <v>1Q21</v>
      </c>
      <c r="BK314" s="1083" t="str">
        <f t="shared" si="205"/>
        <v>2Q21</v>
      </c>
      <c r="BL314" s="1083" t="str">
        <f t="shared" si="205"/>
        <v>2Q21</v>
      </c>
      <c r="BM314" s="1083" t="str">
        <f t="shared" si="205"/>
        <v>2Q21</v>
      </c>
      <c r="BN314" s="1083" t="str">
        <f t="shared" si="205"/>
        <v>3Q21</v>
      </c>
      <c r="BO314" s="1083" t="str">
        <f t="shared" si="205"/>
        <v>3Q21</v>
      </c>
      <c r="BP314" s="1083" t="str">
        <f t="shared" si="205"/>
        <v>3Q21</v>
      </c>
      <c r="BQ314" s="1083" t="str">
        <f t="shared" si="205"/>
        <v>4Q21</v>
      </c>
      <c r="BR314" s="1083" t="str">
        <f t="shared" ref="BR314:DI314" si="206">SUBSTITUTE(BR315,"T","Q")</f>
        <v>4Q21</v>
      </c>
      <c r="BS314" s="1083" t="str">
        <f t="shared" si="206"/>
        <v>4Q21</v>
      </c>
      <c r="BT314" s="1083" t="str">
        <f t="shared" si="206"/>
        <v>1Q22</v>
      </c>
      <c r="BU314" s="1083" t="str">
        <f t="shared" si="206"/>
        <v>1Q22</v>
      </c>
      <c r="BV314" s="1083" t="str">
        <f t="shared" si="206"/>
        <v>1Q22</v>
      </c>
      <c r="BW314" s="1083" t="str">
        <f t="shared" si="206"/>
        <v>2Q22</v>
      </c>
      <c r="BX314" s="1083" t="str">
        <f t="shared" si="206"/>
        <v>2Q22</v>
      </c>
      <c r="BY314" s="1083" t="str">
        <f t="shared" si="206"/>
        <v>2Q22</v>
      </c>
      <c r="BZ314" s="1083" t="str">
        <f t="shared" si="206"/>
        <v>3Q22</v>
      </c>
      <c r="CA314" s="1083" t="str">
        <f t="shared" si="206"/>
        <v>3Q22</v>
      </c>
      <c r="CB314" s="1083" t="str">
        <f t="shared" si="206"/>
        <v>3Q22</v>
      </c>
      <c r="CC314" s="1083" t="str">
        <f t="shared" si="206"/>
        <v>4Q22</v>
      </c>
      <c r="CD314" s="1083" t="str">
        <f t="shared" si="206"/>
        <v>4Q22</v>
      </c>
      <c r="CE314" s="1083" t="str">
        <f t="shared" si="206"/>
        <v>4Q22</v>
      </c>
      <c r="CF314" s="1083" t="str">
        <f t="shared" si="206"/>
        <v>1Q23</v>
      </c>
      <c r="CG314" s="1083" t="str">
        <f t="shared" si="206"/>
        <v>1Q23</v>
      </c>
      <c r="CH314" s="1083" t="str">
        <f t="shared" si="206"/>
        <v>1Q23</v>
      </c>
      <c r="CI314" s="1083" t="str">
        <f t="shared" si="206"/>
        <v>2Q23</v>
      </c>
      <c r="CJ314" s="1083" t="str">
        <f t="shared" si="206"/>
        <v>2Q23</v>
      </c>
      <c r="CK314" s="1083" t="str">
        <f t="shared" si="206"/>
        <v>2Q23</v>
      </c>
      <c r="CL314" s="1083" t="str">
        <f t="shared" si="206"/>
        <v>3Q23</v>
      </c>
      <c r="CM314" s="1083" t="str">
        <f t="shared" si="206"/>
        <v>3Q23</v>
      </c>
      <c r="CN314" s="1083" t="str">
        <f t="shared" si="206"/>
        <v>3Q23</v>
      </c>
      <c r="CO314" s="1083" t="str">
        <f t="shared" si="206"/>
        <v>4Q23</v>
      </c>
      <c r="CP314" s="1083" t="str">
        <f t="shared" si="206"/>
        <v>4Q23</v>
      </c>
      <c r="CQ314" s="1083" t="str">
        <f t="shared" si="206"/>
        <v>4Q23</v>
      </c>
      <c r="CR314" s="1083" t="str">
        <f t="shared" si="206"/>
        <v>1Q24</v>
      </c>
      <c r="CS314" s="1083" t="str">
        <f t="shared" si="206"/>
        <v>1Q24</v>
      </c>
      <c r="CT314" s="1083" t="str">
        <f t="shared" si="206"/>
        <v>1Q24</v>
      </c>
      <c r="CU314" s="1083" t="str">
        <f t="shared" si="206"/>
        <v>2Q24</v>
      </c>
      <c r="CV314" s="1083" t="str">
        <f t="shared" si="206"/>
        <v>2Q24</v>
      </c>
      <c r="CW314" s="1083" t="str">
        <f t="shared" si="206"/>
        <v>2Q24</v>
      </c>
      <c r="CX314" s="1083" t="str">
        <f t="shared" si="206"/>
        <v>3Q24</v>
      </c>
      <c r="CY314" s="1083" t="str">
        <f t="shared" si="206"/>
        <v>3Q24</v>
      </c>
      <c r="CZ314" s="1083" t="str">
        <f t="shared" si="206"/>
        <v>3Q24</v>
      </c>
      <c r="DA314" s="1083" t="str">
        <f>SUBSTITUTE(DA315,"T","Q")</f>
        <v>4Q24</v>
      </c>
      <c r="DB314" s="1083" t="str">
        <f t="shared" si="206"/>
        <v>4Q24</v>
      </c>
      <c r="DC314" s="1083" t="str">
        <f t="shared" si="206"/>
        <v>4Q24</v>
      </c>
      <c r="DD314" s="1083" t="str">
        <f t="shared" si="206"/>
        <v>1Q25</v>
      </c>
      <c r="DE314" s="1083" t="str">
        <f t="shared" si="206"/>
        <v>1Q25</v>
      </c>
      <c r="DF314" s="1083" t="str">
        <f t="shared" si="206"/>
        <v>1Q25</v>
      </c>
      <c r="DG314" s="1083" t="str">
        <f t="shared" si="206"/>
        <v>2Q25</v>
      </c>
      <c r="DH314" s="1083" t="str">
        <f t="shared" si="206"/>
        <v>2Q25</v>
      </c>
      <c r="DI314" s="1210" t="str">
        <f t="shared" si="206"/>
        <v>2Q25</v>
      </c>
      <c r="DJ314" s="1210" t="s">
        <v>2241</v>
      </c>
      <c r="DK314" s="1210" t="str">
        <f t="shared" ref="DK314:DV314" si="207">SUBSTITUTE(DK315,"T","Q")</f>
        <v>3Q25</v>
      </c>
      <c r="DL314" s="1210" t="str">
        <f t="shared" si="207"/>
        <v>3Q25</v>
      </c>
      <c r="DM314" s="1210" t="str">
        <f t="shared" si="207"/>
        <v>4Q25</v>
      </c>
      <c r="DN314" s="1210" t="str">
        <f t="shared" si="207"/>
        <v>4Q25</v>
      </c>
      <c r="DO314" s="1210" t="str">
        <f t="shared" si="207"/>
        <v>4Q25</v>
      </c>
      <c r="DP314" s="1210" t="str">
        <f t="shared" si="207"/>
        <v>1Q26</v>
      </c>
      <c r="DQ314" s="1210" t="str">
        <f t="shared" si="207"/>
        <v>1Q26</v>
      </c>
      <c r="DR314" s="1210" t="str">
        <f t="shared" si="207"/>
        <v>1Q26</v>
      </c>
      <c r="DS314" s="1210" t="str">
        <f t="shared" si="207"/>
        <v>2Q26</v>
      </c>
      <c r="DT314" s="1210" t="str">
        <f t="shared" si="207"/>
        <v>2Q26</v>
      </c>
      <c r="DU314" s="1210" t="str">
        <f t="shared" si="207"/>
        <v>2Q26</v>
      </c>
      <c r="DV314" s="1210" t="str">
        <f t="shared" si="207"/>
        <v>3Q26</v>
      </c>
    </row>
    <row r="315" spans="4:126" s="982" customFormat="1" x14ac:dyDescent="0.25">
      <c r="E315" s="1083"/>
      <c r="F315" s="1121" t="s">
        <v>847</v>
      </c>
      <c r="G315" s="1083" t="str">
        <f>+F315</f>
        <v>3Q16</v>
      </c>
      <c r="H315" s="1083" t="str">
        <f>+G315</f>
        <v>3Q16</v>
      </c>
      <c r="I315" s="1083" t="str">
        <f>IF(LEFT(H315,1)="4","1T"&amp;RIGHT(H315,2)+1,LEFT(H315,1)+1&amp;RIGHT(H315,3))</f>
        <v>4Q16</v>
      </c>
      <c r="J315" s="1083" t="str">
        <f>+I315</f>
        <v>4Q16</v>
      </c>
      <c r="K315" s="1083" t="str">
        <f>+J315</f>
        <v>4Q16</v>
      </c>
      <c r="L315" s="1083" t="str">
        <f>IF(LEFT(K315,1)="4","1T"&amp;RIGHT(K315,2)+1,LEFT(K315,1)+1&amp;RIGHT(K315,3))</f>
        <v>1T17</v>
      </c>
      <c r="M315" s="1083" t="str">
        <f>+L315</f>
        <v>1T17</v>
      </c>
      <c r="N315" s="1083" t="str">
        <f>+M315</f>
        <v>1T17</v>
      </c>
      <c r="O315" s="1083" t="str">
        <f>IF(LEFT(N315,1)="4","1T"&amp;RIGHT(N315,2)+1,LEFT(N315,1)+1&amp;RIGHT(N315,3))</f>
        <v>2T17</v>
      </c>
      <c r="P315" s="1083" t="str">
        <f>+O315</f>
        <v>2T17</v>
      </c>
      <c r="Q315" s="1083" t="str">
        <f>+P315</f>
        <v>2T17</v>
      </c>
      <c r="R315" s="1083" t="str">
        <f>IF(LEFT(Q315,1)="4","1T"&amp;RIGHT(Q315,2)+1,LEFT(Q315,1)+1&amp;RIGHT(Q315,3))</f>
        <v>3T17</v>
      </c>
      <c r="S315" s="1083" t="str">
        <f>+R315</f>
        <v>3T17</v>
      </c>
      <c r="T315" s="1083" t="str">
        <f>+S315</f>
        <v>3T17</v>
      </c>
      <c r="U315" s="1083" t="str">
        <f>IF(LEFT(T315,1)="4","1T"&amp;RIGHT(T315,2)+1,LEFT(T315,1)+1&amp;RIGHT(T315,3))</f>
        <v>4T17</v>
      </c>
      <c r="V315" s="1083" t="str">
        <f>+U315</f>
        <v>4T17</v>
      </c>
      <c r="W315" s="1083" t="str">
        <f>+V315</f>
        <v>4T17</v>
      </c>
      <c r="X315" s="1083" t="str">
        <f>IF(LEFT(W315,1)="4","1T"&amp;RIGHT(W315,2)+1,LEFT(W315,1)+1&amp;RIGHT(W315,3))</f>
        <v>1T18</v>
      </c>
      <c r="Y315" s="1083" t="str">
        <f>+X315</f>
        <v>1T18</v>
      </c>
      <c r="Z315" s="1083" t="str">
        <f>+Y315</f>
        <v>1T18</v>
      </c>
      <c r="AA315" s="1083" t="str">
        <f>IF(LEFT(Z315,1)="4","1T"&amp;RIGHT(Z315,2)+1,LEFT(Z315,1)+1&amp;RIGHT(Z315,3))</f>
        <v>2T18</v>
      </c>
      <c r="AB315" s="1083" t="str">
        <f>+AA315</f>
        <v>2T18</v>
      </c>
      <c r="AC315" s="1083" t="str">
        <f>+AB315</f>
        <v>2T18</v>
      </c>
      <c r="AD315" s="1083" t="str">
        <f>IF(LEFT(AC315,1)="4","1T"&amp;RIGHT(AC315,2)+1,LEFT(AC315,1)+1&amp;RIGHT(AC315,3))</f>
        <v>3T18</v>
      </c>
      <c r="AE315" s="1083" t="str">
        <f>+AD315</f>
        <v>3T18</v>
      </c>
      <c r="AF315" s="1083" t="str">
        <f>+AE315</f>
        <v>3T18</v>
      </c>
      <c r="AG315" s="1083" t="str">
        <f>IF(LEFT(AF315,1)="4","1T"&amp;RIGHT(AF315,2)+1,LEFT(AF315,1)+1&amp;RIGHT(AF315,3))</f>
        <v>4T18</v>
      </c>
      <c r="AH315" s="1083" t="str">
        <f>+AG315</f>
        <v>4T18</v>
      </c>
      <c r="AI315" s="1083" t="str">
        <f>+AH315</f>
        <v>4T18</v>
      </c>
      <c r="AJ315" s="1083" t="str">
        <f>IF(LEFT(AI315,1)="4","1T"&amp;RIGHT(AI315,2)+1,LEFT(AI315,1)+1&amp;RIGHT(AI315,3))</f>
        <v>1T19</v>
      </c>
      <c r="AK315" s="1083" t="str">
        <f>+AJ315</f>
        <v>1T19</v>
      </c>
      <c r="AL315" s="1083" t="str">
        <f>+AK315</f>
        <v>1T19</v>
      </c>
      <c r="AM315" s="1083" t="str">
        <f>IF(LEFT(AL315,1)="4","1T"&amp;RIGHT(AL315,2)+1,LEFT(AL315,1)+1&amp;RIGHT(AL315,3))</f>
        <v>2T19</v>
      </c>
      <c r="AN315" s="1083" t="str">
        <f>+AM315</f>
        <v>2T19</v>
      </c>
      <c r="AO315" s="1083" t="str">
        <f>+AN315</f>
        <v>2T19</v>
      </c>
      <c r="AP315" s="1083" t="str">
        <f>IF(LEFT(AO315,1)="4","1T"&amp;RIGHT(AO315,2)+1,LEFT(AO315,1)+1&amp;RIGHT(AO315,3))</f>
        <v>3T19</v>
      </c>
      <c r="AQ315" s="1083" t="str">
        <f>+AP315</f>
        <v>3T19</v>
      </c>
      <c r="AR315" s="1083" t="str">
        <f>+AQ315</f>
        <v>3T19</v>
      </c>
      <c r="AS315" s="1083" t="str">
        <f>IF(LEFT(AR315,1)="4","1T"&amp;RIGHT(AR315,2)+1,LEFT(AR315,1)+1&amp;RIGHT(AR315,3))</f>
        <v>4T19</v>
      </c>
      <c r="AT315" s="1083" t="str">
        <f>+AS315</f>
        <v>4T19</v>
      </c>
      <c r="AU315" s="1083" t="str">
        <f>+AT315</f>
        <v>4T19</v>
      </c>
      <c r="AV315" s="1083" t="str">
        <f>IF(LEFT(AU315,1)="4","1T"&amp;RIGHT(AU315,2)+1,LEFT(AU315,1)+1&amp;RIGHT(AU315,3))</f>
        <v>1T20</v>
      </c>
      <c r="AW315" s="1083" t="str">
        <f>+AV315</f>
        <v>1T20</v>
      </c>
      <c r="AX315" s="1083" t="str">
        <f>+AW315</f>
        <v>1T20</v>
      </c>
      <c r="AY315" s="1083" t="str">
        <f>IF(LEFT(AX315,1)="4","1T"&amp;RIGHT(AX315,2)+1,LEFT(AX315,1)+1&amp;RIGHT(AX315,3))</f>
        <v>2T20</v>
      </c>
      <c r="AZ315" s="1083" t="str">
        <f>+AY315</f>
        <v>2T20</v>
      </c>
      <c r="BA315" s="1083" t="str">
        <f>+AZ315</f>
        <v>2T20</v>
      </c>
      <c r="BB315" s="1083" t="str">
        <f>IF(LEFT(BA315,1)="4","1T"&amp;RIGHT(BA315,2)+1,LEFT(BA315,1)+1&amp;RIGHT(BA315,3))</f>
        <v>3T20</v>
      </c>
      <c r="BC315" s="1083" t="str">
        <f>+BB315</f>
        <v>3T20</v>
      </c>
      <c r="BD315" s="1083" t="str">
        <f>+BC315</f>
        <v>3T20</v>
      </c>
      <c r="BE315" s="1083" t="str">
        <f>IF(LEFT(BD315,1)="4","1T"&amp;RIGHT(BD315,2)+1,LEFT(BD315,1)+1&amp;RIGHT(BD315,3))</f>
        <v>4T20</v>
      </c>
      <c r="BF315" s="1083" t="str">
        <f t="shared" ref="BF315:BG317" si="208">+BE315</f>
        <v>4T20</v>
      </c>
      <c r="BG315" s="1083" t="str">
        <f t="shared" si="208"/>
        <v>4T20</v>
      </c>
      <c r="BH315" s="1083" t="str">
        <f>IF(LEFT(BG315,1)="4","1T"&amp;RIGHT(BG315,2)+1,LEFT(BG315,1)+1&amp;RIGHT(BG315,3))</f>
        <v>1T21</v>
      </c>
      <c r="BI315" s="1083" t="str">
        <f>+BH315</f>
        <v>1T21</v>
      </c>
      <c r="BJ315" s="1083" t="str">
        <f>+BI315</f>
        <v>1T21</v>
      </c>
      <c r="BK315" s="1083" t="str">
        <f>IF(LEFT(BJ315,1)="4","1T"&amp;RIGHT(BJ315,2)+1,LEFT(BJ315,1)+1&amp;RIGHT(BJ315,3))</f>
        <v>2T21</v>
      </c>
      <c r="BL315" s="1083" t="str">
        <f>+BK315</f>
        <v>2T21</v>
      </c>
      <c r="BM315" s="1083" t="str">
        <f>+BL315</f>
        <v>2T21</v>
      </c>
      <c r="BN315" s="1083" t="str">
        <f>IF(LEFT(BM315,1)="4","1T"&amp;RIGHT(BM315,2)+1,LEFT(BM315,1)+1&amp;RIGHT(BM315,3))</f>
        <v>3T21</v>
      </c>
      <c r="BO315" s="1083" t="str">
        <f>+BN315</f>
        <v>3T21</v>
      </c>
      <c r="BP315" s="1083" t="str">
        <f>+BO315</f>
        <v>3T21</v>
      </c>
      <c r="BQ315" s="1083" t="str">
        <f>IF(LEFT(BP315,1)="4","1T"&amp;RIGHT(BP315,2)+1,LEFT(BP315,1)+1&amp;RIGHT(BP315,3))</f>
        <v>4T21</v>
      </c>
      <c r="BR315" s="1083" t="str">
        <f t="shared" ref="BR315:BS317" si="209">+BQ315</f>
        <v>4T21</v>
      </c>
      <c r="BS315" s="1083" t="str">
        <f t="shared" si="209"/>
        <v>4T21</v>
      </c>
      <c r="BT315" s="1083" t="str">
        <f>IF(LEFT(BS315,1)="4","1T"&amp;RIGHT(BS315,2)+1,LEFT(BS315,1)+1&amp;RIGHT(BS315,3))</f>
        <v>1T22</v>
      </c>
      <c r="BU315" s="1083" t="str">
        <f>+BT315</f>
        <v>1T22</v>
      </c>
      <c r="BV315" s="1083" t="str">
        <f>+BU315</f>
        <v>1T22</v>
      </c>
      <c r="BW315" s="1083" t="str">
        <f>IF(LEFT(BV315,1)="4","1T"&amp;RIGHT(BV315,2)+1,LEFT(BV315,1)+1&amp;RIGHT(BV315,3))</f>
        <v>2T22</v>
      </c>
      <c r="BX315" s="1083" t="str">
        <f>+BW315</f>
        <v>2T22</v>
      </c>
      <c r="BY315" s="1083" t="str">
        <f>+BX315</f>
        <v>2T22</v>
      </c>
      <c r="BZ315" s="1083" t="str">
        <f>IF(LEFT(BY315,1)="4","1T"&amp;RIGHT(BY315,2)+1,LEFT(BY315,1)+1&amp;RIGHT(BY315,3))</f>
        <v>3T22</v>
      </c>
      <c r="CA315" s="1083" t="str">
        <f>+BZ315</f>
        <v>3T22</v>
      </c>
      <c r="CB315" s="1083" t="str">
        <f>+CA315</f>
        <v>3T22</v>
      </c>
      <c r="CC315" s="1083" t="str">
        <f>IF(LEFT(CB315,1)="4","1T"&amp;RIGHT(CB315,2)+1,LEFT(CB315,1)+1&amp;RIGHT(CB315,3))</f>
        <v>4T22</v>
      </c>
      <c r="CD315" s="1083" t="str">
        <f>+CC315</f>
        <v>4T22</v>
      </c>
      <c r="CE315" s="1083" t="str">
        <f>+CD315</f>
        <v>4T22</v>
      </c>
      <c r="CF315" s="1083" t="str">
        <f>IF(LEFT(CE315,1)="4","1T"&amp;RIGHT(CE315,2)+1,LEFT(CE315,1)+1&amp;RIGHT(CE315,3))</f>
        <v>1T23</v>
      </c>
      <c r="CG315" s="1083" t="str">
        <f>+CF315</f>
        <v>1T23</v>
      </c>
      <c r="CH315" s="1083" t="str">
        <f>+CG315</f>
        <v>1T23</v>
      </c>
      <c r="CI315" s="1083" t="str">
        <f>IF(LEFT(CH315,1)="4","1T"&amp;RIGHT(CH315,2)+1,LEFT(CH315,1)+1&amp;RIGHT(CH315,3))</f>
        <v>2T23</v>
      </c>
      <c r="CJ315" s="1083" t="str">
        <f>+CI315</f>
        <v>2T23</v>
      </c>
      <c r="CK315" s="1083" t="str">
        <f>+CJ315</f>
        <v>2T23</v>
      </c>
      <c r="CL315" s="1083" t="str">
        <f>IF(LEFT(CK315,1)="4","1T"&amp;RIGHT(CK315,2)+1,LEFT(CK315,1)+1&amp;RIGHT(CK315,3))</f>
        <v>3T23</v>
      </c>
      <c r="CM315" s="1083" t="str">
        <f>+CL315</f>
        <v>3T23</v>
      </c>
      <c r="CN315" s="1083" t="str">
        <f>+CM315</f>
        <v>3T23</v>
      </c>
      <c r="CO315" s="1083" t="str">
        <f>IF(LEFT(CN315,1)="4","1T"&amp;RIGHT(CN315,2)+1,LEFT(CN315,1)+1&amp;RIGHT(CN315,3))</f>
        <v>4T23</v>
      </c>
      <c r="CP315" s="1083" t="str">
        <f>+CO315</f>
        <v>4T23</v>
      </c>
      <c r="CQ315" s="1083" t="str">
        <f>+CP315</f>
        <v>4T23</v>
      </c>
      <c r="CR315" s="1083" t="str">
        <f>IF(LEFT(CQ315,1)="4","1T"&amp;RIGHT(CQ315,2)+1,LEFT(CQ315,1)+1&amp;RIGHT(CQ315,3))</f>
        <v>1T24</v>
      </c>
      <c r="CS315" s="1083" t="str">
        <f>+CR315</f>
        <v>1T24</v>
      </c>
      <c r="CT315" s="1083" t="str">
        <f>+CS315</f>
        <v>1T24</v>
      </c>
      <c r="CU315" s="1083" t="str">
        <f>IF(LEFT(CT315,1)="4","1T"&amp;RIGHT(CT315,2)+1,LEFT(CT315,1)+1&amp;RIGHT(CT315,3))</f>
        <v>2T24</v>
      </c>
      <c r="CV315" s="1083" t="str">
        <f>+CU315</f>
        <v>2T24</v>
      </c>
      <c r="CW315" s="1083" t="str">
        <f>+CV315</f>
        <v>2T24</v>
      </c>
      <c r="CX315" s="1083" t="str">
        <f>IF(LEFT(CW315,1)="4","1T"&amp;RIGHT(CW315,2)+1,LEFT(CW315,1)+1&amp;RIGHT(CW315,3))</f>
        <v>3T24</v>
      </c>
      <c r="CY315" s="1083" t="str">
        <f>+CX315</f>
        <v>3T24</v>
      </c>
      <c r="CZ315" s="1083" t="str">
        <f>+CY315</f>
        <v>3T24</v>
      </c>
      <c r="DA315" s="1083" t="str">
        <f>IF(LEFT(CZ315,1)="4","1T"&amp;RIGHT(CZ315,2)+1,LEFT(CZ315,1)+1&amp;RIGHT(CZ315,3))</f>
        <v>4T24</v>
      </c>
      <c r="DB315" s="1083" t="str">
        <f>+DA315</f>
        <v>4T24</v>
      </c>
      <c r="DC315" s="1083" t="str">
        <f>+DB315</f>
        <v>4T24</v>
      </c>
      <c r="DD315" s="1083" t="str">
        <f>IF(LEFT(DC315,1)="4","1T"&amp;RIGHT(DC315,2)+1,LEFT(DC315,1)+1&amp;RIGHT(DC315,3))</f>
        <v>1T25</v>
      </c>
      <c r="DE315" s="1083" t="str">
        <f>+DD315</f>
        <v>1T25</v>
      </c>
      <c r="DF315" s="1083" t="str">
        <f>+DE315</f>
        <v>1T25</v>
      </c>
      <c r="DG315" s="1083" t="str">
        <f>IF(LEFT(DF315,1)="4","1T"&amp;RIGHT(DF315,2)+1,LEFT(DF315,1)+1&amp;RIGHT(DF315,3))</f>
        <v>2T25</v>
      </c>
      <c r="DH315" s="1083" t="str">
        <f>+DG315</f>
        <v>2T25</v>
      </c>
      <c r="DI315" s="1210" t="str">
        <f>+DH315</f>
        <v>2T25</v>
      </c>
      <c r="DJ315" s="1083" t="str">
        <f>IF(LEFT(DI315,1)="4","1T"&amp;RIGHT(DI315,2)+1,LEFT(DI315,1)+1&amp;RIGHT(DI315,3))</f>
        <v>3T25</v>
      </c>
      <c r="DK315" s="1210" t="str">
        <f>+DJ315</f>
        <v>3T25</v>
      </c>
      <c r="DL315" s="1210" t="str">
        <f>+DJ315</f>
        <v>3T25</v>
      </c>
      <c r="DM315" s="1083" t="str">
        <f>IF(LEFT(DL315,1)="4","1T"&amp;RIGHT(DL315,2)+1,LEFT(DL315,1)+1&amp;RIGHT(DL315,3))</f>
        <v>4T25</v>
      </c>
      <c r="DN315" s="1210" t="str">
        <f>+DM315</f>
        <v>4T25</v>
      </c>
      <c r="DO315" s="1210" t="str">
        <f>+DM315</f>
        <v>4T25</v>
      </c>
      <c r="DP315" s="1210" t="s">
        <v>2284</v>
      </c>
      <c r="DQ315" s="1210" t="s">
        <v>2284</v>
      </c>
      <c r="DR315" s="1210" t="s">
        <v>2284</v>
      </c>
      <c r="DS315" s="1210" t="s">
        <v>2285</v>
      </c>
      <c r="DT315" s="1210" t="s">
        <v>2285</v>
      </c>
      <c r="DU315" s="1210" t="s">
        <v>2285</v>
      </c>
      <c r="DV315" s="1210" t="s">
        <v>2286</v>
      </c>
    </row>
    <row r="316" spans="4:126" s="982" customFormat="1" x14ac:dyDescent="0.25">
      <c r="E316" s="1083">
        <f t="shared" ref="E316:BP316" si="210">+E314</f>
        <v>0</v>
      </c>
      <c r="F316" s="1083" t="str">
        <f t="shared" si="210"/>
        <v>3Q16</v>
      </c>
      <c r="G316" s="1083" t="str">
        <f t="shared" si="210"/>
        <v>3Q16</v>
      </c>
      <c r="H316" s="1083" t="str">
        <f t="shared" si="210"/>
        <v>3Q16</v>
      </c>
      <c r="I316" s="1083" t="str">
        <f t="shared" si="210"/>
        <v>4Q16</v>
      </c>
      <c r="J316" s="1083" t="str">
        <f t="shared" si="210"/>
        <v>4Q16</v>
      </c>
      <c r="K316" s="1083" t="str">
        <f t="shared" si="210"/>
        <v>4Q16</v>
      </c>
      <c r="L316" s="1083" t="str">
        <f t="shared" si="210"/>
        <v>1Q17</v>
      </c>
      <c r="M316" s="1083" t="str">
        <f t="shared" si="210"/>
        <v>1Q17</v>
      </c>
      <c r="N316" s="1083" t="str">
        <f t="shared" si="210"/>
        <v>1Q17</v>
      </c>
      <c r="O316" s="1083" t="str">
        <f t="shared" si="210"/>
        <v>2Q17</v>
      </c>
      <c r="P316" s="1083" t="str">
        <f t="shared" si="210"/>
        <v>2Q17</v>
      </c>
      <c r="Q316" s="1083" t="str">
        <f t="shared" si="210"/>
        <v>2Q17</v>
      </c>
      <c r="R316" s="1083" t="str">
        <f t="shared" si="210"/>
        <v>3Q17</v>
      </c>
      <c r="S316" s="1083" t="str">
        <f t="shared" si="210"/>
        <v>3Q17</v>
      </c>
      <c r="T316" s="1083" t="str">
        <f t="shared" si="210"/>
        <v>3Q17</v>
      </c>
      <c r="U316" s="1083" t="str">
        <f t="shared" si="210"/>
        <v>4Q17</v>
      </c>
      <c r="V316" s="1083" t="str">
        <f t="shared" si="210"/>
        <v>4Q17</v>
      </c>
      <c r="W316" s="1083" t="str">
        <f t="shared" si="210"/>
        <v>4Q17</v>
      </c>
      <c r="X316" s="1083" t="str">
        <f t="shared" si="210"/>
        <v>1Q18</v>
      </c>
      <c r="Y316" s="1083" t="str">
        <f t="shared" si="210"/>
        <v>1Q18</v>
      </c>
      <c r="Z316" s="1083" t="str">
        <f t="shared" si="210"/>
        <v>1Q18</v>
      </c>
      <c r="AA316" s="1083" t="str">
        <f t="shared" si="210"/>
        <v>2Q18</v>
      </c>
      <c r="AB316" s="1083" t="str">
        <f t="shared" si="210"/>
        <v>2Q18</v>
      </c>
      <c r="AC316" s="1083" t="str">
        <f t="shared" si="210"/>
        <v>2Q18</v>
      </c>
      <c r="AD316" s="1083" t="str">
        <f t="shared" si="210"/>
        <v>3Q18</v>
      </c>
      <c r="AE316" s="1083" t="str">
        <f t="shared" si="210"/>
        <v>3Q18</v>
      </c>
      <c r="AF316" s="1083" t="str">
        <f t="shared" si="210"/>
        <v>3Q18</v>
      </c>
      <c r="AG316" s="1083" t="str">
        <f t="shared" si="210"/>
        <v>4Q18</v>
      </c>
      <c r="AH316" s="1083" t="str">
        <f t="shared" si="210"/>
        <v>4Q18</v>
      </c>
      <c r="AI316" s="1083" t="str">
        <f t="shared" si="210"/>
        <v>4Q18</v>
      </c>
      <c r="AJ316" s="1083" t="str">
        <f t="shared" si="210"/>
        <v>1Q19</v>
      </c>
      <c r="AK316" s="1083" t="str">
        <f t="shared" si="210"/>
        <v>1Q19</v>
      </c>
      <c r="AL316" s="1083" t="str">
        <f t="shared" si="210"/>
        <v>1Q19</v>
      </c>
      <c r="AM316" s="1083" t="str">
        <f t="shared" si="210"/>
        <v>2Q19</v>
      </c>
      <c r="AN316" s="1083" t="str">
        <f t="shared" si="210"/>
        <v>2Q19</v>
      </c>
      <c r="AO316" s="1083" t="str">
        <f t="shared" si="210"/>
        <v>2Q19</v>
      </c>
      <c r="AP316" s="1083" t="str">
        <f t="shared" si="210"/>
        <v>3Q19</v>
      </c>
      <c r="AQ316" s="1083" t="str">
        <f t="shared" si="210"/>
        <v>3Q19</v>
      </c>
      <c r="AR316" s="1083" t="str">
        <f t="shared" si="210"/>
        <v>3Q19</v>
      </c>
      <c r="AS316" s="1083" t="str">
        <f t="shared" si="210"/>
        <v>4Q19</v>
      </c>
      <c r="AT316" s="1083" t="str">
        <f t="shared" si="210"/>
        <v>4Q19</v>
      </c>
      <c r="AU316" s="1083" t="str">
        <f t="shared" si="210"/>
        <v>4Q19</v>
      </c>
      <c r="AV316" s="1083" t="str">
        <f t="shared" si="210"/>
        <v>1Q20</v>
      </c>
      <c r="AW316" s="1083" t="str">
        <f t="shared" si="210"/>
        <v>1Q20</v>
      </c>
      <c r="AX316" s="1083" t="str">
        <f t="shared" si="210"/>
        <v>1Q20</v>
      </c>
      <c r="AY316" s="1083" t="str">
        <f t="shared" si="210"/>
        <v>2Q20</v>
      </c>
      <c r="AZ316" s="1083" t="str">
        <f t="shared" si="210"/>
        <v>2Q20</v>
      </c>
      <c r="BA316" s="1083" t="str">
        <f t="shared" si="210"/>
        <v>2Q20</v>
      </c>
      <c r="BB316" s="1083" t="str">
        <f t="shared" si="210"/>
        <v>3Q20</v>
      </c>
      <c r="BC316" s="1083" t="str">
        <f t="shared" si="210"/>
        <v>3Q20</v>
      </c>
      <c r="BD316" s="1083" t="str">
        <f t="shared" si="210"/>
        <v>3Q20</v>
      </c>
      <c r="BE316" s="1083" t="str">
        <f t="shared" si="210"/>
        <v>4Q20</v>
      </c>
      <c r="BF316" s="1083" t="str">
        <f t="shared" si="210"/>
        <v>4Q20</v>
      </c>
      <c r="BG316" s="1083" t="str">
        <f t="shared" si="210"/>
        <v>4Q20</v>
      </c>
      <c r="BH316" s="1083" t="str">
        <f t="shared" si="210"/>
        <v>1Q21</v>
      </c>
      <c r="BI316" s="1083" t="str">
        <f t="shared" si="210"/>
        <v>1Q21</v>
      </c>
      <c r="BJ316" s="1083" t="str">
        <f t="shared" si="210"/>
        <v>1Q21</v>
      </c>
      <c r="BK316" s="1083" t="str">
        <f t="shared" si="210"/>
        <v>2Q21</v>
      </c>
      <c r="BL316" s="1083" t="str">
        <f t="shared" si="210"/>
        <v>2Q21</v>
      </c>
      <c r="BM316" s="1083" t="str">
        <f t="shared" si="210"/>
        <v>2Q21</v>
      </c>
      <c r="BN316" s="1083" t="str">
        <f t="shared" si="210"/>
        <v>3Q21</v>
      </c>
      <c r="BO316" s="1083" t="str">
        <f t="shared" si="210"/>
        <v>3Q21</v>
      </c>
      <c r="BP316" s="1083" t="str">
        <f t="shared" si="210"/>
        <v>3Q21</v>
      </c>
      <c r="BQ316" s="1083" t="str">
        <f t="shared" ref="BQ316:CZ316" si="211">+BQ314</f>
        <v>4Q21</v>
      </c>
      <c r="BR316" s="1083" t="str">
        <f t="shared" si="211"/>
        <v>4Q21</v>
      </c>
      <c r="BS316" s="1083" t="str">
        <f t="shared" si="211"/>
        <v>4Q21</v>
      </c>
      <c r="BT316" s="1083" t="str">
        <f t="shared" si="211"/>
        <v>1Q22</v>
      </c>
      <c r="BU316" s="1083" t="str">
        <f t="shared" si="211"/>
        <v>1Q22</v>
      </c>
      <c r="BV316" s="1083" t="str">
        <f t="shared" si="211"/>
        <v>1Q22</v>
      </c>
      <c r="BW316" s="1083" t="str">
        <f t="shared" si="211"/>
        <v>2Q22</v>
      </c>
      <c r="BX316" s="1083" t="str">
        <f t="shared" si="211"/>
        <v>2Q22</v>
      </c>
      <c r="BY316" s="1083" t="str">
        <f t="shared" si="211"/>
        <v>2Q22</v>
      </c>
      <c r="BZ316" s="1083" t="str">
        <f t="shared" si="211"/>
        <v>3Q22</v>
      </c>
      <c r="CA316" s="1083" t="str">
        <f t="shared" si="211"/>
        <v>3Q22</v>
      </c>
      <c r="CB316" s="1083" t="str">
        <f t="shared" si="211"/>
        <v>3Q22</v>
      </c>
      <c r="CC316" s="1083" t="str">
        <f t="shared" si="211"/>
        <v>4Q22</v>
      </c>
      <c r="CD316" s="1083" t="str">
        <f t="shared" si="211"/>
        <v>4Q22</v>
      </c>
      <c r="CE316" s="1083" t="str">
        <f t="shared" si="211"/>
        <v>4Q22</v>
      </c>
      <c r="CF316" s="1083" t="str">
        <f t="shared" si="211"/>
        <v>1Q23</v>
      </c>
      <c r="CG316" s="1083" t="str">
        <f t="shared" si="211"/>
        <v>1Q23</v>
      </c>
      <c r="CH316" s="1083" t="str">
        <f t="shared" si="211"/>
        <v>1Q23</v>
      </c>
      <c r="CI316" s="1083" t="str">
        <f t="shared" si="211"/>
        <v>2Q23</v>
      </c>
      <c r="CJ316" s="1083" t="str">
        <f t="shared" si="211"/>
        <v>2Q23</v>
      </c>
      <c r="CK316" s="1083" t="str">
        <f t="shared" si="211"/>
        <v>2Q23</v>
      </c>
      <c r="CL316" s="1083" t="str">
        <f t="shared" si="211"/>
        <v>3Q23</v>
      </c>
      <c r="CM316" s="1083" t="str">
        <f t="shared" si="211"/>
        <v>3Q23</v>
      </c>
      <c r="CN316" s="1083" t="str">
        <f t="shared" si="211"/>
        <v>3Q23</v>
      </c>
      <c r="CO316" s="1083" t="str">
        <f t="shared" si="211"/>
        <v>4Q23</v>
      </c>
      <c r="CP316" s="1083" t="str">
        <f t="shared" si="211"/>
        <v>4Q23</v>
      </c>
      <c r="CQ316" s="1083" t="str">
        <f t="shared" si="211"/>
        <v>4Q23</v>
      </c>
      <c r="CR316" s="1083" t="str">
        <f t="shared" si="211"/>
        <v>1Q24</v>
      </c>
      <c r="CS316" s="1083" t="str">
        <f t="shared" si="211"/>
        <v>1Q24</v>
      </c>
      <c r="CT316" s="1083" t="str">
        <f t="shared" si="211"/>
        <v>1Q24</v>
      </c>
      <c r="CU316" s="1083" t="str">
        <f t="shared" si="211"/>
        <v>2Q24</v>
      </c>
      <c r="CV316" s="1083" t="str">
        <f t="shared" si="211"/>
        <v>2Q24</v>
      </c>
      <c r="CW316" s="1083" t="str">
        <f t="shared" si="211"/>
        <v>2Q24</v>
      </c>
      <c r="CX316" s="1083" t="str">
        <f t="shared" si="211"/>
        <v>3Q24</v>
      </c>
      <c r="CY316" s="1083" t="str">
        <f t="shared" si="211"/>
        <v>3Q24</v>
      </c>
      <c r="CZ316" s="1083" t="str">
        <f t="shared" si="211"/>
        <v>3Q24</v>
      </c>
      <c r="DA316" s="1083" t="str">
        <f t="shared" ref="DA316:DI316" si="212">+DA314</f>
        <v>4Q24</v>
      </c>
      <c r="DB316" s="1083" t="str">
        <f t="shared" si="212"/>
        <v>4Q24</v>
      </c>
      <c r="DC316" s="1083" t="str">
        <f t="shared" si="212"/>
        <v>4Q24</v>
      </c>
      <c r="DD316" s="1083" t="str">
        <f t="shared" si="212"/>
        <v>1Q25</v>
      </c>
      <c r="DE316" s="1083" t="str">
        <f t="shared" si="212"/>
        <v>1Q25</v>
      </c>
      <c r="DF316" s="1083" t="str">
        <f t="shared" si="212"/>
        <v>1Q25</v>
      </c>
      <c r="DG316" s="1083" t="str">
        <f t="shared" si="212"/>
        <v>2Q25</v>
      </c>
      <c r="DH316" s="1083" t="str">
        <f t="shared" si="212"/>
        <v>2Q25</v>
      </c>
      <c r="DI316" s="1210" t="str">
        <f t="shared" si="212"/>
        <v>2Q25</v>
      </c>
      <c r="DJ316" s="1210" t="s">
        <v>2241</v>
      </c>
      <c r="DK316" s="1210" t="str">
        <f t="shared" ref="DK316:DS316" si="213">+DK314</f>
        <v>3Q25</v>
      </c>
      <c r="DL316" s="1210" t="str">
        <f t="shared" si="213"/>
        <v>3Q25</v>
      </c>
      <c r="DM316" s="1210" t="str">
        <f t="shared" si="213"/>
        <v>4Q25</v>
      </c>
      <c r="DN316" s="1210" t="str">
        <f t="shared" si="213"/>
        <v>4Q25</v>
      </c>
      <c r="DO316" s="1210" t="str">
        <f t="shared" si="213"/>
        <v>4Q25</v>
      </c>
      <c r="DP316" s="1210" t="str">
        <f t="shared" si="213"/>
        <v>1Q26</v>
      </c>
      <c r="DQ316" s="1210" t="str">
        <f t="shared" si="213"/>
        <v>1Q26</v>
      </c>
      <c r="DR316" s="1210" t="str">
        <f t="shared" si="213"/>
        <v>1Q26</v>
      </c>
      <c r="DS316" s="1210" t="str">
        <f t="shared" si="213"/>
        <v>2Q26</v>
      </c>
      <c r="DT316" s="1210" t="str">
        <f>+DT314</f>
        <v>2Q26</v>
      </c>
      <c r="DU316" s="1210" t="str">
        <f>+DU314</f>
        <v>2Q26</v>
      </c>
      <c r="DV316" s="1210" t="str">
        <f>+DV314</f>
        <v>3Q26</v>
      </c>
    </row>
    <row r="317" spans="4:126" s="817" customFormat="1" x14ac:dyDescent="0.25">
      <c r="E317" s="1082">
        <v>2016</v>
      </c>
      <c r="F317" s="1082">
        <v>2016</v>
      </c>
      <c r="G317" s="1082">
        <v>2016</v>
      </c>
      <c r="H317" s="1082">
        <v>2016</v>
      </c>
      <c r="I317" s="1082">
        <v>2016</v>
      </c>
      <c r="J317" s="1082">
        <v>2016</v>
      </c>
      <c r="K317" s="1082">
        <v>2016</v>
      </c>
      <c r="L317" s="1082">
        <f>+K317+1</f>
        <v>2017</v>
      </c>
      <c r="M317" s="1082">
        <f t="shared" ref="M317:W317" si="214">+L317</f>
        <v>2017</v>
      </c>
      <c r="N317" s="1082">
        <f t="shared" si="214"/>
        <v>2017</v>
      </c>
      <c r="O317" s="1082">
        <f t="shared" si="214"/>
        <v>2017</v>
      </c>
      <c r="P317" s="1082">
        <f t="shared" si="214"/>
        <v>2017</v>
      </c>
      <c r="Q317" s="1082">
        <f t="shared" si="214"/>
        <v>2017</v>
      </c>
      <c r="R317" s="1082">
        <f t="shared" si="214"/>
        <v>2017</v>
      </c>
      <c r="S317" s="1082">
        <f t="shared" si="214"/>
        <v>2017</v>
      </c>
      <c r="T317" s="1082">
        <f t="shared" si="214"/>
        <v>2017</v>
      </c>
      <c r="U317" s="1082">
        <f t="shared" si="214"/>
        <v>2017</v>
      </c>
      <c r="V317" s="1082">
        <f t="shared" si="214"/>
        <v>2017</v>
      </c>
      <c r="W317" s="1082">
        <f t="shared" si="214"/>
        <v>2017</v>
      </c>
      <c r="X317" s="1082">
        <f>+W317+1</f>
        <v>2018</v>
      </c>
      <c r="Y317" s="1082">
        <f t="shared" ref="Y317:AI317" si="215">+X317</f>
        <v>2018</v>
      </c>
      <c r="Z317" s="1082">
        <f t="shared" si="215"/>
        <v>2018</v>
      </c>
      <c r="AA317" s="1082">
        <f t="shared" si="215"/>
        <v>2018</v>
      </c>
      <c r="AB317" s="1082">
        <f t="shared" si="215"/>
        <v>2018</v>
      </c>
      <c r="AC317" s="1082">
        <f t="shared" si="215"/>
        <v>2018</v>
      </c>
      <c r="AD317" s="1082">
        <f t="shared" si="215"/>
        <v>2018</v>
      </c>
      <c r="AE317" s="1082">
        <f t="shared" si="215"/>
        <v>2018</v>
      </c>
      <c r="AF317" s="1082">
        <f t="shared" si="215"/>
        <v>2018</v>
      </c>
      <c r="AG317" s="1082">
        <f t="shared" si="215"/>
        <v>2018</v>
      </c>
      <c r="AH317" s="1082">
        <f t="shared" si="215"/>
        <v>2018</v>
      </c>
      <c r="AI317" s="1082">
        <f t="shared" si="215"/>
        <v>2018</v>
      </c>
      <c r="AJ317" s="1082">
        <f>+AI317+1</f>
        <v>2019</v>
      </c>
      <c r="AK317" s="1082">
        <f t="shared" ref="AK317:AU317" si="216">+AJ317</f>
        <v>2019</v>
      </c>
      <c r="AL317" s="1082">
        <f t="shared" si="216"/>
        <v>2019</v>
      </c>
      <c r="AM317" s="1082">
        <f t="shared" si="216"/>
        <v>2019</v>
      </c>
      <c r="AN317" s="1082">
        <f t="shared" si="216"/>
        <v>2019</v>
      </c>
      <c r="AO317" s="1082">
        <f t="shared" si="216"/>
        <v>2019</v>
      </c>
      <c r="AP317" s="1082">
        <f t="shared" si="216"/>
        <v>2019</v>
      </c>
      <c r="AQ317" s="1082">
        <f t="shared" si="216"/>
        <v>2019</v>
      </c>
      <c r="AR317" s="1082">
        <f t="shared" si="216"/>
        <v>2019</v>
      </c>
      <c r="AS317" s="1082">
        <f t="shared" si="216"/>
        <v>2019</v>
      </c>
      <c r="AT317" s="1082">
        <f t="shared" si="216"/>
        <v>2019</v>
      </c>
      <c r="AU317" s="1082">
        <f t="shared" si="216"/>
        <v>2019</v>
      </c>
      <c r="AV317" s="1082">
        <f>+AU317+1</f>
        <v>2020</v>
      </c>
      <c r="AW317" s="1082">
        <f t="shared" ref="AW317:BE317" si="217">+AV317</f>
        <v>2020</v>
      </c>
      <c r="AX317" s="1082">
        <f t="shared" si="217"/>
        <v>2020</v>
      </c>
      <c r="AY317" s="1082">
        <f t="shared" si="217"/>
        <v>2020</v>
      </c>
      <c r="AZ317" s="1082">
        <f t="shared" si="217"/>
        <v>2020</v>
      </c>
      <c r="BA317" s="1082">
        <f t="shared" si="217"/>
        <v>2020</v>
      </c>
      <c r="BB317" s="1082">
        <f t="shared" si="217"/>
        <v>2020</v>
      </c>
      <c r="BC317" s="1082">
        <f t="shared" si="217"/>
        <v>2020</v>
      </c>
      <c r="BD317" s="1082">
        <f t="shared" si="217"/>
        <v>2020</v>
      </c>
      <c r="BE317" s="1082">
        <f t="shared" si="217"/>
        <v>2020</v>
      </c>
      <c r="BF317" s="1082">
        <f t="shared" si="208"/>
        <v>2020</v>
      </c>
      <c r="BG317" s="1082">
        <f t="shared" si="208"/>
        <v>2020</v>
      </c>
      <c r="BH317" s="1082">
        <f>+BG317+1</f>
        <v>2021</v>
      </c>
      <c r="BI317" s="1082">
        <f t="shared" ref="BI317:BN317" si="218">+BH317</f>
        <v>2021</v>
      </c>
      <c r="BJ317" s="1082">
        <f t="shared" si="218"/>
        <v>2021</v>
      </c>
      <c r="BK317" s="1082">
        <f t="shared" si="218"/>
        <v>2021</v>
      </c>
      <c r="BL317" s="1082">
        <f t="shared" si="218"/>
        <v>2021</v>
      </c>
      <c r="BM317" s="1082">
        <f t="shared" si="218"/>
        <v>2021</v>
      </c>
      <c r="BN317" s="1082">
        <f t="shared" si="218"/>
        <v>2021</v>
      </c>
      <c r="BO317" s="1082">
        <f>+BN317</f>
        <v>2021</v>
      </c>
      <c r="BP317" s="1082">
        <f>+BO317</f>
        <v>2021</v>
      </c>
      <c r="BQ317" s="1082">
        <f>+BP317</f>
        <v>2021</v>
      </c>
      <c r="BR317" s="1082">
        <f t="shared" si="209"/>
        <v>2021</v>
      </c>
      <c r="BS317" s="1082">
        <f t="shared" si="209"/>
        <v>2021</v>
      </c>
      <c r="BT317" s="1082">
        <v>2022</v>
      </c>
      <c r="BU317" s="1082">
        <v>2022</v>
      </c>
      <c r="BV317" s="1082">
        <v>2022</v>
      </c>
      <c r="BW317" s="1082">
        <v>2022</v>
      </c>
      <c r="BX317" s="1082">
        <v>2022</v>
      </c>
      <c r="BY317" s="1082">
        <v>2022</v>
      </c>
      <c r="BZ317" s="1082">
        <v>2022</v>
      </c>
      <c r="CA317" s="1082">
        <v>2022</v>
      </c>
      <c r="CB317" s="1082">
        <v>2022</v>
      </c>
      <c r="CC317" s="1082">
        <v>2022</v>
      </c>
      <c r="CD317" s="1082">
        <v>2022</v>
      </c>
      <c r="CE317" s="1082">
        <v>2022</v>
      </c>
      <c r="CF317" s="1082">
        <v>2023</v>
      </c>
      <c r="CG317" s="1082">
        <v>2023</v>
      </c>
      <c r="CH317" s="1082">
        <v>2023</v>
      </c>
      <c r="CI317" s="1082">
        <v>2023</v>
      </c>
      <c r="CJ317" s="1082">
        <v>2023</v>
      </c>
      <c r="CK317" s="1082">
        <v>2023</v>
      </c>
      <c r="CL317" s="1082">
        <v>2023</v>
      </c>
      <c r="CM317" s="1082">
        <v>2023</v>
      </c>
      <c r="CN317" s="1082">
        <v>2023</v>
      </c>
      <c r="CO317" s="1082">
        <v>2023</v>
      </c>
      <c r="CP317" s="1082">
        <v>2023</v>
      </c>
      <c r="CQ317" s="1082">
        <v>2023</v>
      </c>
      <c r="CR317" s="1082">
        <v>2024</v>
      </c>
      <c r="CS317" s="1082">
        <v>2024</v>
      </c>
      <c r="CT317" s="1082">
        <v>2024</v>
      </c>
      <c r="CU317" s="1082">
        <v>2024</v>
      </c>
      <c r="CV317" s="1082">
        <v>2024</v>
      </c>
      <c r="CW317" s="1082">
        <v>2024</v>
      </c>
      <c r="CX317" s="1082">
        <v>2024</v>
      </c>
      <c r="CY317" s="1082">
        <v>2024</v>
      </c>
      <c r="CZ317" s="1082">
        <v>2024</v>
      </c>
      <c r="DA317" s="1082">
        <v>2024</v>
      </c>
      <c r="DB317" s="1082">
        <v>2024</v>
      </c>
      <c r="DC317" s="1082">
        <v>2024</v>
      </c>
      <c r="DD317" s="1082">
        <v>2025</v>
      </c>
      <c r="DE317" s="1082">
        <v>2025</v>
      </c>
      <c r="DF317" s="1082">
        <v>2025</v>
      </c>
      <c r="DG317" s="1082">
        <v>2025</v>
      </c>
      <c r="DH317" s="1082">
        <v>2025</v>
      </c>
      <c r="DI317" s="817">
        <v>2025</v>
      </c>
      <c r="DJ317" s="817">
        <v>2025</v>
      </c>
      <c r="DK317" s="817">
        <v>2025</v>
      </c>
      <c r="DL317" s="817">
        <v>2025</v>
      </c>
      <c r="DM317" s="817">
        <v>2025</v>
      </c>
      <c r="DN317" s="817">
        <v>2025</v>
      </c>
      <c r="DO317" s="817">
        <v>2025</v>
      </c>
      <c r="DP317" s="817">
        <v>2026</v>
      </c>
      <c r="DQ317" s="817">
        <v>2026</v>
      </c>
      <c r="DR317" s="817">
        <v>2026</v>
      </c>
      <c r="DS317" s="817">
        <v>2026</v>
      </c>
      <c r="DT317" s="817">
        <v>2026</v>
      </c>
      <c r="DU317" s="817">
        <v>2026</v>
      </c>
      <c r="DV317" s="817">
        <v>2026</v>
      </c>
    </row>
    <row r="318" spans="4:126" s="775" customFormat="1" x14ac:dyDescent="0.25">
      <c r="S318" s="817"/>
      <c r="T318" s="817"/>
      <c r="U318" s="817"/>
      <c r="V318" s="817"/>
      <c r="W318" s="817"/>
      <c r="X318" s="817"/>
      <c r="Y318" s="817"/>
    </row>
    <row r="319" spans="4:126" s="775" customFormat="1" x14ac:dyDescent="0.25"/>
    <row r="320" spans="4:126" s="1088" customFormat="1" x14ac:dyDescent="0.25">
      <c r="D320" s="1088" t="s">
        <v>8</v>
      </c>
      <c r="N320" s="1089"/>
      <c r="O320" s="1089"/>
      <c r="P320" s="1089"/>
      <c r="Q320" s="1089"/>
      <c r="R320" s="1089"/>
      <c r="S320" s="1090">
        <f t="shared" ref="S320:AD320" si="219">+S107</f>
        <v>160.33333333333334</v>
      </c>
      <c r="T320" s="1090">
        <f t="shared" si="219"/>
        <v>160.33333333333334</v>
      </c>
      <c r="U320" s="1090">
        <f t="shared" si="219"/>
        <v>160.33333333333334</v>
      </c>
      <c r="V320" s="1090">
        <f t="shared" si="219"/>
        <v>170.5</v>
      </c>
      <c r="W320" s="1090">
        <f t="shared" si="219"/>
        <v>182.25</v>
      </c>
      <c r="X320" s="1090">
        <f t="shared" si="219"/>
        <v>189.5</v>
      </c>
      <c r="Y320" s="1090">
        <f t="shared" si="219"/>
        <v>197.66</v>
      </c>
      <c r="Z320" s="1090">
        <f t="shared" si="219"/>
        <v>197.66</v>
      </c>
      <c r="AA320" s="1090">
        <f t="shared" si="219"/>
        <v>197.66</v>
      </c>
      <c r="AB320" s="1090">
        <f t="shared" si="219"/>
        <v>197.06</v>
      </c>
      <c r="AC320" s="1090">
        <f t="shared" si="219"/>
        <v>197.06</v>
      </c>
      <c r="AD320" s="1090">
        <f t="shared" si="219"/>
        <v>197.06</v>
      </c>
      <c r="AE320" s="1090">
        <f>+AE107</f>
        <v>197.06</v>
      </c>
      <c r="AF320" s="1090">
        <f t="shared" ref="AF320:AP320" si="220">+AF107</f>
        <v>198.66</v>
      </c>
      <c r="AG320" s="1090">
        <f t="shared" si="220"/>
        <v>198.66</v>
      </c>
      <c r="AH320" s="1090">
        <f t="shared" si="220"/>
        <v>206.06</v>
      </c>
      <c r="AI320" s="1090">
        <f t="shared" si="220"/>
        <v>212.85999999999999</v>
      </c>
      <c r="AJ320" s="1090">
        <f t="shared" si="220"/>
        <v>212.85999999999999</v>
      </c>
      <c r="AK320" s="1090">
        <f t="shared" si="220"/>
        <v>217.07499999999999</v>
      </c>
      <c r="AL320" s="1090">
        <f t="shared" si="220"/>
        <v>224.82499999999999</v>
      </c>
      <c r="AM320" s="1090">
        <f t="shared" si="220"/>
        <v>230.77500000000001</v>
      </c>
      <c r="AN320" s="1090">
        <f t="shared" si="220"/>
        <v>233.27500000000001</v>
      </c>
      <c r="AO320" s="1090">
        <f t="shared" si="220"/>
        <v>233.27500000000001</v>
      </c>
      <c r="AP320" s="1090">
        <f t="shared" si="220"/>
        <v>235.66666666666666</v>
      </c>
      <c r="AQ320" s="1089">
        <f>+AQ139</f>
        <v>268.33333333333331</v>
      </c>
      <c r="AR320" s="1089">
        <f>+AR139</f>
        <v>264.75</v>
      </c>
      <c r="AS320" s="1089">
        <f>+AS139</f>
        <v>263.2</v>
      </c>
      <c r="AT320" s="1089">
        <f>+AT139</f>
        <v>263.2</v>
      </c>
      <c r="AU320" s="1089">
        <f>+AU139</f>
        <v>261.2</v>
      </c>
      <c r="AV320" s="1089">
        <f t="shared" ref="AV320:BB320" si="221">+AV163</f>
        <v>284.60000000000002</v>
      </c>
      <c r="AW320" s="1089">
        <f t="shared" si="221"/>
        <v>284.60000000000002</v>
      </c>
      <c r="AX320" s="1089">
        <f t="shared" si="221"/>
        <v>284.60000000000002</v>
      </c>
      <c r="AY320" s="1089">
        <f t="shared" si="221"/>
        <v>208.65946703377631</v>
      </c>
      <c r="AZ320" s="1089">
        <f t="shared" si="221"/>
        <v>208.65946703377631</v>
      </c>
      <c r="BA320" s="1089">
        <f t="shared" si="221"/>
        <v>197.55315567792545</v>
      </c>
      <c r="BB320" s="1089">
        <f t="shared" si="221"/>
        <v>197.55315567792545</v>
      </c>
      <c r="BC320" s="1089">
        <f t="shared" ref="BC320:BN320" si="222">+BC163</f>
        <v>197.55315567792545</v>
      </c>
      <c r="BD320" s="1089">
        <f t="shared" si="222"/>
        <v>197.55315567792545</v>
      </c>
      <c r="BE320" s="1089">
        <f t="shared" si="222"/>
        <v>206.91486675844408</v>
      </c>
      <c r="BF320" s="1089">
        <f t="shared" si="222"/>
        <v>221.75</v>
      </c>
      <c r="BG320" s="1089">
        <f t="shared" si="222"/>
        <v>250.7</v>
      </c>
      <c r="BH320" s="1089">
        <f t="shared" si="222"/>
        <v>250.7</v>
      </c>
      <c r="BI320" s="1089">
        <f t="shared" si="222"/>
        <v>250.7</v>
      </c>
      <c r="BJ320" s="1089">
        <f t="shared" si="222"/>
        <v>250.7</v>
      </c>
      <c r="BK320" s="1089">
        <f t="shared" si="222"/>
        <v>250.7</v>
      </c>
      <c r="BL320" s="1089">
        <f t="shared" si="222"/>
        <v>250.7</v>
      </c>
      <c r="BM320" s="1089">
        <f t="shared" si="222"/>
        <v>250.95</v>
      </c>
      <c r="BN320" s="1089">
        <f t="shared" si="222"/>
        <v>250.95</v>
      </c>
      <c r="BO320" s="1089">
        <f t="shared" ref="BO320:BZ320" si="223">+BO197</f>
        <v>266.93333333333334</v>
      </c>
      <c r="BP320" s="1089">
        <f t="shared" si="223"/>
        <v>209</v>
      </c>
      <c r="BQ320" s="1089">
        <f t="shared" si="223"/>
        <v>209</v>
      </c>
      <c r="BR320" s="1089">
        <f t="shared" si="223"/>
        <v>209</v>
      </c>
      <c r="BS320" s="1089">
        <f t="shared" si="223"/>
        <v>190.6</v>
      </c>
      <c r="BT320" s="1089">
        <f t="shared" si="223"/>
        <v>192</v>
      </c>
      <c r="BU320" s="1089">
        <f t="shared" si="223"/>
        <v>192</v>
      </c>
      <c r="BV320" s="1089">
        <f t="shared" si="223"/>
        <v>187.75</v>
      </c>
      <c r="BW320" s="1089">
        <f t="shared" si="223"/>
        <v>188</v>
      </c>
      <c r="BX320" s="1089">
        <f t="shared" si="223"/>
        <v>188</v>
      </c>
      <c r="BY320" s="1089">
        <f t="shared" si="223"/>
        <v>188</v>
      </c>
      <c r="BZ320" s="1089">
        <f t="shared" si="223"/>
        <v>188</v>
      </c>
      <c r="CA320" s="1089">
        <f t="shared" ref="CA320:CL320" si="224">+CA251</f>
        <v>244.2</v>
      </c>
      <c r="CB320" s="1089">
        <f t="shared" si="224"/>
        <v>244.2</v>
      </c>
      <c r="CC320" s="1089">
        <f t="shared" si="224"/>
        <v>244.2</v>
      </c>
      <c r="CD320" s="1089">
        <f t="shared" si="224"/>
        <v>250.4</v>
      </c>
      <c r="CE320" s="1089">
        <f t="shared" si="224"/>
        <v>257.2</v>
      </c>
      <c r="CF320" s="1089">
        <f t="shared" si="224"/>
        <v>261.34000000000003</v>
      </c>
      <c r="CG320" s="1089">
        <f t="shared" si="224"/>
        <v>261.34000000000003</v>
      </c>
      <c r="CH320" s="1089">
        <f t="shared" si="224"/>
        <v>261.34000000000003</v>
      </c>
      <c r="CI320" s="1089">
        <f t="shared" si="224"/>
        <v>261.34000000000003</v>
      </c>
      <c r="CJ320" s="1089">
        <f t="shared" si="224"/>
        <v>261.34000000000003</v>
      </c>
      <c r="CK320" s="1089">
        <f t="shared" si="224"/>
        <v>260.67500000000001</v>
      </c>
      <c r="CL320" s="1089">
        <f t="shared" si="224"/>
        <v>250.9</v>
      </c>
      <c r="CM320" s="1089">
        <f>+CM275</f>
        <v>275.60000000000002</v>
      </c>
      <c r="CN320" s="1089">
        <f t="shared" ref="CN320:CZ320" si="225">+CN275</f>
        <v>275.60000000000002</v>
      </c>
      <c r="CO320" s="1089">
        <f t="shared" si="225"/>
        <v>275.60000000000002</v>
      </c>
      <c r="CP320" s="1089">
        <f t="shared" si="225"/>
        <v>275.60000000000002</v>
      </c>
      <c r="CQ320" s="1089">
        <f t="shared" si="225"/>
        <v>282</v>
      </c>
      <c r="CR320" s="1089">
        <f t="shared" si="225"/>
        <v>288.5</v>
      </c>
      <c r="CS320" s="1089">
        <f t="shared" si="225"/>
        <v>288.5</v>
      </c>
      <c r="CT320" s="1089">
        <f t="shared" si="225"/>
        <v>288.5</v>
      </c>
      <c r="CU320" s="1089">
        <f t="shared" si="225"/>
        <v>288.5</v>
      </c>
      <c r="CV320" s="1089">
        <f t="shared" si="225"/>
        <v>288.5</v>
      </c>
      <c r="CW320" s="1089">
        <f t="shared" si="225"/>
        <v>288.5</v>
      </c>
      <c r="CX320" s="1089">
        <f t="shared" si="225"/>
        <v>288.5</v>
      </c>
      <c r="CY320" s="1089">
        <f t="shared" si="225"/>
        <v>288.5</v>
      </c>
      <c r="CZ320" s="1089">
        <f t="shared" si="225"/>
        <v>288.5</v>
      </c>
      <c r="DA320" s="1089">
        <f t="shared" ref="DA320:DI320" si="226">+DA295</f>
        <v>378</v>
      </c>
      <c r="DB320" s="1089">
        <f t="shared" si="226"/>
        <v>378</v>
      </c>
      <c r="DC320" s="1089">
        <f t="shared" si="226"/>
        <v>378</v>
      </c>
      <c r="DD320" s="1089">
        <f t="shared" si="226"/>
        <v>443</v>
      </c>
      <c r="DE320" s="1089">
        <f t="shared" si="226"/>
        <v>443</v>
      </c>
      <c r="DF320" s="1089">
        <f t="shared" si="226"/>
        <v>443</v>
      </c>
      <c r="DG320" s="1089">
        <f t="shared" si="226"/>
        <v>443</v>
      </c>
      <c r="DH320" s="1089">
        <f t="shared" si="226"/>
        <v>425</v>
      </c>
      <c r="DI320" s="1211">
        <f t="shared" si="226"/>
        <v>425</v>
      </c>
      <c r="DJ320" s="1211">
        <v>425</v>
      </c>
      <c r="DK320" s="1211">
        <f>+DK295</f>
        <v>425</v>
      </c>
      <c r="DL320" s="1211">
        <f>+DL295</f>
        <v>425</v>
      </c>
      <c r="DM320" s="1211">
        <f>+DM295</f>
        <v>425</v>
      </c>
      <c r="DN320" s="1211">
        <f>+DN295</f>
        <v>425</v>
      </c>
      <c r="DO320" s="1211">
        <f>+DO295</f>
        <v>403</v>
      </c>
      <c r="DP320" s="1211">
        <f t="shared" ref="DP320:DU320" si="227">DP27</f>
        <v>418</v>
      </c>
      <c r="DQ320" s="1211">
        <f t="shared" si="227"/>
        <v>418</v>
      </c>
      <c r="DR320" s="1211">
        <f t="shared" si="227"/>
        <v>418</v>
      </c>
      <c r="DS320" s="1211">
        <f t="shared" si="227"/>
        <v>418</v>
      </c>
      <c r="DT320" s="1211">
        <f t="shared" si="227"/>
        <v>418</v>
      </c>
      <c r="DU320" s="1211">
        <f t="shared" si="227"/>
        <v>418</v>
      </c>
      <c r="DV320" s="1211">
        <f>DV27</f>
        <v>418</v>
      </c>
    </row>
    <row r="321" spans="4:126" s="1088" customFormat="1" x14ac:dyDescent="0.25">
      <c r="D321" s="1088" t="s">
        <v>1979</v>
      </c>
      <c r="N321" s="1089"/>
      <c r="O321" s="1089"/>
      <c r="P321" s="1089"/>
      <c r="Q321" s="1089"/>
      <c r="R321" s="1089"/>
      <c r="S321" s="1090">
        <f>+S83</f>
        <v>57.8</v>
      </c>
      <c r="T321" s="1090">
        <f>+T83</f>
        <v>60.4</v>
      </c>
      <c r="U321" s="1090">
        <f>+U83</f>
        <v>60.4</v>
      </c>
      <c r="V321" s="1090">
        <f>+V83</f>
        <v>67.400000000000006</v>
      </c>
      <c r="W321" s="1090">
        <f>+W83</f>
        <v>72.599999999999994</v>
      </c>
      <c r="X321" s="1090">
        <f t="shared" ref="X321:AD321" si="228">+X115</f>
        <v>96.5</v>
      </c>
      <c r="Y321" s="1090">
        <f t="shared" si="228"/>
        <v>101.2</v>
      </c>
      <c r="Z321" s="1090">
        <f t="shared" si="228"/>
        <v>101.2</v>
      </c>
      <c r="AA321" s="1090">
        <f t="shared" si="228"/>
        <v>101.2</v>
      </c>
      <c r="AB321" s="1090">
        <f t="shared" si="228"/>
        <v>101.4</v>
      </c>
      <c r="AC321" s="1090">
        <f t="shared" si="228"/>
        <v>101.4</v>
      </c>
      <c r="AD321" s="1090">
        <f t="shared" si="228"/>
        <v>101.4</v>
      </c>
      <c r="AE321" s="1090">
        <f>+AE115</f>
        <v>101.4</v>
      </c>
      <c r="AF321" s="1090">
        <f t="shared" ref="AF321:AP321" si="229">+AF115</f>
        <v>105.6</v>
      </c>
      <c r="AG321" s="1090">
        <f t="shared" si="229"/>
        <v>105.6</v>
      </c>
      <c r="AH321" s="1090">
        <f t="shared" si="229"/>
        <v>111.4</v>
      </c>
      <c r="AI321" s="1090">
        <f t="shared" si="229"/>
        <v>118</v>
      </c>
      <c r="AJ321" s="1090">
        <f t="shared" si="229"/>
        <v>118</v>
      </c>
      <c r="AK321" s="1090">
        <f t="shared" si="229"/>
        <v>117.5</v>
      </c>
      <c r="AL321" s="1090">
        <f t="shared" si="229"/>
        <v>122.5</v>
      </c>
      <c r="AM321" s="1090">
        <f t="shared" si="229"/>
        <v>133.25</v>
      </c>
      <c r="AN321" s="1090">
        <f t="shared" si="229"/>
        <v>136.5</v>
      </c>
      <c r="AO321" s="1090">
        <f t="shared" si="229"/>
        <v>136.5</v>
      </c>
      <c r="AP321" s="1090">
        <f t="shared" si="229"/>
        <v>136</v>
      </c>
      <c r="AQ321" s="1089">
        <f>+AQ147</f>
        <v>151</v>
      </c>
      <c r="AR321" s="1089">
        <f>+AR147</f>
        <v>153</v>
      </c>
      <c r="AS321" s="1089">
        <f>+AS147</f>
        <v>157.19999999999999</v>
      </c>
      <c r="AT321" s="1089">
        <f>+AT147</f>
        <v>157.19999999999999</v>
      </c>
      <c r="AU321" s="1089">
        <f>+AU147</f>
        <v>163</v>
      </c>
      <c r="AV321" s="1091">
        <f t="shared" ref="AV321:BB321" si="230">+AV171</f>
        <v>177.6</v>
      </c>
      <c r="AW321" s="1091">
        <f t="shared" si="230"/>
        <v>177.6</v>
      </c>
      <c r="AX321" s="1091">
        <f t="shared" si="230"/>
        <v>177.6</v>
      </c>
      <c r="AY321" s="1091">
        <f t="shared" si="230"/>
        <v>98.526928375997514</v>
      </c>
      <c r="AZ321" s="1091">
        <f t="shared" si="230"/>
        <v>98.526928375997514</v>
      </c>
      <c r="BA321" s="1091">
        <f t="shared" si="230"/>
        <v>101.5089761253325</v>
      </c>
      <c r="BB321" s="1091">
        <f t="shared" si="230"/>
        <v>101.5089761253325</v>
      </c>
      <c r="BC321" s="1091">
        <f t="shared" ref="BC321:BN321" si="231">+BC171</f>
        <v>101.5089761253325</v>
      </c>
      <c r="BD321" s="1091">
        <f t="shared" si="231"/>
        <v>101.5089761253325</v>
      </c>
      <c r="BE321" s="1091">
        <f t="shared" si="231"/>
        <v>104.88173209399937</v>
      </c>
      <c r="BF321" s="1091">
        <f t="shared" si="231"/>
        <v>120</v>
      </c>
      <c r="BG321" s="1091">
        <f t="shared" si="231"/>
        <v>143.92500000000001</v>
      </c>
      <c r="BH321" s="1091">
        <f t="shared" si="231"/>
        <v>143.92500000000001</v>
      </c>
      <c r="BI321" s="1091">
        <f t="shared" si="231"/>
        <v>143.92500000000001</v>
      </c>
      <c r="BJ321" s="1091">
        <f t="shared" si="231"/>
        <v>143.92500000000001</v>
      </c>
      <c r="BK321" s="1091">
        <f t="shared" si="231"/>
        <v>143.92500000000001</v>
      </c>
      <c r="BL321" s="1091">
        <f t="shared" si="231"/>
        <v>143.92500000000001</v>
      </c>
      <c r="BM321" s="1091">
        <f t="shared" si="231"/>
        <v>144.17500000000001</v>
      </c>
      <c r="BN321" s="1091">
        <f t="shared" si="231"/>
        <v>144.17500000000001</v>
      </c>
      <c r="BO321" s="1089">
        <f t="shared" ref="BO321:BZ321" si="232">+BO206</f>
        <v>150.4</v>
      </c>
      <c r="BP321" s="1089">
        <f t="shared" si="232"/>
        <v>118.5</v>
      </c>
      <c r="BQ321" s="1089">
        <f t="shared" si="232"/>
        <v>118.5</v>
      </c>
      <c r="BR321" s="1089">
        <f t="shared" si="232"/>
        <v>118.5</v>
      </c>
      <c r="BS321" s="1089">
        <f t="shared" si="232"/>
        <v>106.4</v>
      </c>
      <c r="BT321" s="1089">
        <f t="shared" si="232"/>
        <v>107.6</v>
      </c>
      <c r="BU321" s="1089">
        <f t="shared" si="232"/>
        <v>107.6</v>
      </c>
      <c r="BV321" s="1089">
        <f t="shared" si="232"/>
        <v>106</v>
      </c>
      <c r="BW321" s="1089">
        <f t="shared" si="232"/>
        <v>106</v>
      </c>
      <c r="BX321" s="1089">
        <f t="shared" si="232"/>
        <v>106</v>
      </c>
      <c r="BY321" s="1089">
        <f t="shared" si="232"/>
        <v>106</v>
      </c>
      <c r="BZ321" s="1089">
        <f t="shared" si="232"/>
        <v>106</v>
      </c>
      <c r="CA321" s="1089">
        <f t="shared" ref="CA321:CM321" si="233">+CA259</f>
        <v>154.4</v>
      </c>
      <c r="CB321" s="1089">
        <f t="shared" si="233"/>
        <v>154.4</v>
      </c>
      <c r="CC321" s="1089">
        <f t="shared" si="233"/>
        <v>154.4</v>
      </c>
      <c r="CD321" s="1089">
        <f t="shared" si="233"/>
        <v>158.19999999999999</v>
      </c>
      <c r="CE321" s="1089">
        <f t="shared" si="233"/>
        <v>163.6</v>
      </c>
      <c r="CF321" s="1089">
        <f t="shared" si="233"/>
        <v>167.85999999999999</v>
      </c>
      <c r="CG321" s="1089">
        <f t="shared" si="233"/>
        <v>167.85999999999999</v>
      </c>
      <c r="CH321" s="1089">
        <f t="shared" si="233"/>
        <v>167.85999999999999</v>
      </c>
      <c r="CI321" s="1089">
        <f t="shared" si="233"/>
        <v>167.85999999999999</v>
      </c>
      <c r="CJ321" s="1089">
        <f t="shared" si="233"/>
        <v>167.85999999999999</v>
      </c>
      <c r="CK321" s="1089">
        <f t="shared" si="233"/>
        <v>167.57499999999999</v>
      </c>
      <c r="CL321" s="1089">
        <f t="shared" si="233"/>
        <v>155.1</v>
      </c>
      <c r="CM321" s="1089">
        <f t="shared" si="233"/>
        <v>155.1</v>
      </c>
      <c r="CN321" s="1089">
        <f>+CN283</f>
        <v>174.55</v>
      </c>
      <c r="CO321" s="1089">
        <f t="shared" ref="CO321:CZ321" si="234">+CO283</f>
        <v>174.55</v>
      </c>
      <c r="CP321" s="1089">
        <f t="shared" si="234"/>
        <v>174.55</v>
      </c>
      <c r="CQ321" s="1089">
        <f t="shared" si="234"/>
        <v>184</v>
      </c>
      <c r="CR321" s="1089">
        <f t="shared" si="234"/>
        <v>191.5</v>
      </c>
      <c r="CS321" s="1089">
        <f t="shared" si="234"/>
        <v>191.5</v>
      </c>
      <c r="CT321" s="1089">
        <f t="shared" si="234"/>
        <v>191.5</v>
      </c>
      <c r="CU321" s="1089">
        <f t="shared" si="234"/>
        <v>191.5</v>
      </c>
      <c r="CV321" s="1089">
        <f t="shared" si="234"/>
        <v>191.5</v>
      </c>
      <c r="CW321" s="1089">
        <f t="shared" si="234"/>
        <v>191.5</v>
      </c>
      <c r="CX321" s="1089">
        <f t="shared" si="234"/>
        <v>191.5</v>
      </c>
      <c r="CY321" s="1089">
        <f t="shared" si="234"/>
        <v>191.5</v>
      </c>
      <c r="CZ321" s="1089">
        <f t="shared" si="234"/>
        <v>191.5</v>
      </c>
      <c r="DA321" s="1089">
        <f t="shared" ref="DA321:DI321" si="235">+DA301</f>
        <v>270</v>
      </c>
      <c r="DB321" s="1089">
        <f t="shared" si="235"/>
        <v>270</v>
      </c>
      <c r="DC321" s="1089">
        <f t="shared" si="235"/>
        <v>270</v>
      </c>
      <c r="DD321" s="1089">
        <f t="shared" si="235"/>
        <v>303</v>
      </c>
      <c r="DE321" s="1089">
        <f t="shared" si="235"/>
        <v>303</v>
      </c>
      <c r="DF321" s="1089">
        <f t="shared" si="235"/>
        <v>303</v>
      </c>
      <c r="DG321" s="1089">
        <f t="shared" si="235"/>
        <v>303</v>
      </c>
      <c r="DH321" s="1089">
        <f t="shared" si="235"/>
        <v>289.5</v>
      </c>
      <c r="DI321" s="1211">
        <f t="shared" si="235"/>
        <v>289.5</v>
      </c>
      <c r="DJ321" s="1211">
        <v>289.5</v>
      </c>
      <c r="DK321" s="1211">
        <f>+DK301</f>
        <v>289.5</v>
      </c>
      <c r="DL321" s="1211">
        <f>+DL301</f>
        <v>289.5</v>
      </c>
      <c r="DM321" s="1211">
        <f>+DM301</f>
        <v>289.5</v>
      </c>
      <c r="DN321" s="1211">
        <f>+DN301</f>
        <v>289.5</v>
      </c>
      <c r="DO321" s="1211">
        <f>+DO301</f>
        <v>273</v>
      </c>
      <c r="DP321" s="1211">
        <f t="shared" ref="DP321:DU321" si="236">DP32</f>
        <v>271</v>
      </c>
      <c r="DQ321" s="1211">
        <f t="shared" si="236"/>
        <v>271</v>
      </c>
      <c r="DR321" s="1211">
        <f t="shared" si="236"/>
        <v>271</v>
      </c>
      <c r="DS321" s="1211">
        <f t="shared" si="236"/>
        <v>271</v>
      </c>
      <c r="DT321" s="1211">
        <f t="shared" si="236"/>
        <v>271</v>
      </c>
      <c r="DU321" s="1211">
        <f t="shared" si="236"/>
        <v>271</v>
      </c>
      <c r="DV321" s="1211">
        <f>DV32</f>
        <v>271</v>
      </c>
    </row>
    <row r="322" spans="4:126" s="1088" customFormat="1" x14ac:dyDescent="0.25">
      <c r="D322" s="1088" t="s">
        <v>1980</v>
      </c>
      <c r="S322" s="1088">
        <f t="shared" ref="S322:AX322" si="237">+MONTH(S1)</f>
        <v>8</v>
      </c>
      <c r="T322" s="1088">
        <f t="shared" si="237"/>
        <v>9</v>
      </c>
      <c r="U322" s="1088">
        <f t="shared" si="237"/>
        <v>10</v>
      </c>
      <c r="V322" s="1088">
        <f t="shared" si="237"/>
        <v>11</v>
      </c>
      <c r="W322" s="1088">
        <f t="shared" si="237"/>
        <v>12</v>
      </c>
      <c r="X322" s="1088">
        <f t="shared" si="237"/>
        <v>1</v>
      </c>
      <c r="Y322" s="1088">
        <f t="shared" si="237"/>
        <v>2</v>
      </c>
      <c r="Z322" s="1088">
        <f t="shared" si="237"/>
        <v>3</v>
      </c>
      <c r="AA322" s="1088">
        <f t="shared" si="237"/>
        <v>4</v>
      </c>
      <c r="AB322" s="1088">
        <f t="shared" si="237"/>
        <v>5</v>
      </c>
      <c r="AC322" s="1088">
        <f t="shared" si="237"/>
        <v>6</v>
      </c>
      <c r="AD322" s="1088">
        <f t="shared" si="237"/>
        <v>7</v>
      </c>
      <c r="AE322" s="1088">
        <f t="shared" si="237"/>
        <v>8</v>
      </c>
      <c r="AF322" s="1088">
        <f t="shared" si="237"/>
        <v>9</v>
      </c>
      <c r="AG322" s="1088">
        <f t="shared" si="237"/>
        <v>10</v>
      </c>
      <c r="AH322" s="1088">
        <f t="shared" si="237"/>
        <v>11</v>
      </c>
      <c r="AI322" s="1088">
        <f t="shared" si="237"/>
        <v>12</v>
      </c>
      <c r="AJ322" s="1088">
        <f t="shared" si="237"/>
        <v>1</v>
      </c>
      <c r="AK322" s="1088">
        <f t="shared" si="237"/>
        <v>2</v>
      </c>
      <c r="AL322" s="1088">
        <f t="shared" si="237"/>
        <v>3</v>
      </c>
      <c r="AM322" s="1088">
        <f t="shared" si="237"/>
        <v>4</v>
      </c>
      <c r="AN322" s="1088">
        <f t="shared" si="237"/>
        <v>5</v>
      </c>
      <c r="AO322" s="1088">
        <f t="shared" si="237"/>
        <v>6</v>
      </c>
      <c r="AP322" s="1088">
        <f t="shared" si="237"/>
        <v>7</v>
      </c>
      <c r="AQ322" s="1088">
        <f t="shared" si="237"/>
        <v>8</v>
      </c>
      <c r="AR322" s="1088">
        <f t="shared" si="237"/>
        <v>9</v>
      </c>
      <c r="AS322" s="1088">
        <f t="shared" si="237"/>
        <v>10</v>
      </c>
      <c r="AT322" s="1088">
        <f t="shared" si="237"/>
        <v>11</v>
      </c>
      <c r="AU322" s="1088">
        <f t="shared" si="237"/>
        <v>12</v>
      </c>
      <c r="AV322" s="1088">
        <f t="shared" si="237"/>
        <v>1</v>
      </c>
      <c r="AW322" s="1088">
        <f t="shared" si="237"/>
        <v>2</v>
      </c>
      <c r="AX322" s="1088">
        <f t="shared" si="237"/>
        <v>3</v>
      </c>
      <c r="AY322" s="1088">
        <f t="shared" ref="AY322:CD322" si="238">+MONTH(AY1)</f>
        <v>4</v>
      </c>
      <c r="AZ322" s="1088">
        <f t="shared" si="238"/>
        <v>5</v>
      </c>
      <c r="BA322" s="1088">
        <f t="shared" si="238"/>
        <v>6</v>
      </c>
      <c r="BB322" s="1088">
        <f t="shared" si="238"/>
        <v>7</v>
      </c>
      <c r="BC322" s="1088">
        <f t="shared" si="238"/>
        <v>8</v>
      </c>
      <c r="BD322" s="1088">
        <f t="shared" si="238"/>
        <v>9</v>
      </c>
      <c r="BE322" s="1088">
        <f t="shared" si="238"/>
        <v>10</v>
      </c>
      <c r="BF322" s="1088">
        <f t="shared" si="238"/>
        <v>11</v>
      </c>
      <c r="BG322" s="1088">
        <f t="shared" si="238"/>
        <v>12</v>
      </c>
      <c r="BH322" s="1088">
        <f t="shared" si="238"/>
        <v>1</v>
      </c>
      <c r="BI322" s="1088">
        <f t="shared" si="238"/>
        <v>2</v>
      </c>
      <c r="BJ322" s="1088">
        <f t="shared" si="238"/>
        <v>3</v>
      </c>
      <c r="BK322" s="1088">
        <f t="shared" si="238"/>
        <v>4</v>
      </c>
      <c r="BL322" s="1088">
        <f t="shared" si="238"/>
        <v>5</v>
      </c>
      <c r="BM322" s="1088">
        <f t="shared" si="238"/>
        <v>6</v>
      </c>
      <c r="BN322" s="1088">
        <f t="shared" si="238"/>
        <v>7</v>
      </c>
      <c r="BO322" s="1088">
        <f t="shared" si="238"/>
        <v>8</v>
      </c>
      <c r="BP322" s="1088">
        <f t="shared" si="238"/>
        <v>9</v>
      </c>
      <c r="BQ322" s="1088">
        <f t="shared" si="238"/>
        <v>10</v>
      </c>
      <c r="BR322" s="1088">
        <f t="shared" si="238"/>
        <v>11</v>
      </c>
      <c r="BS322" s="1088">
        <f t="shared" si="238"/>
        <v>12</v>
      </c>
      <c r="BT322" s="1088">
        <f t="shared" si="238"/>
        <v>1</v>
      </c>
      <c r="BU322" s="1088">
        <f t="shared" si="238"/>
        <v>2</v>
      </c>
      <c r="BV322" s="1088">
        <f t="shared" si="238"/>
        <v>3</v>
      </c>
      <c r="BW322" s="1088">
        <f t="shared" si="238"/>
        <v>4</v>
      </c>
      <c r="BX322" s="1088">
        <f t="shared" si="238"/>
        <v>5</v>
      </c>
      <c r="BY322" s="1088">
        <f t="shared" si="238"/>
        <v>6</v>
      </c>
      <c r="BZ322" s="1088">
        <f t="shared" si="238"/>
        <v>7</v>
      </c>
      <c r="CA322" s="1088">
        <f t="shared" si="238"/>
        <v>8</v>
      </c>
      <c r="CB322" s="1088">
        <f t="shared" si="238"/>
        <v>9</v>
      </c>
      <c r="CC322" s="1088">
        <f t="shared" si="238"/>
        <v>10</v>
      </c>
      <c r="CD322" s="1088">
        <f t="shared" si="238"/>
        <v>11</v>
      </c>
      <c r="CE322" s="1088">
        <f t="shared" ref="CE322:CZ322" si="239">+MONTH(CE1)</f>
        <v>12</v>
      </c>
      <c r="CF322" s="1088">
        <f t="shared" si="239"/>
        <v>1</v>
      </c>
      <c r="CG322" s="1088">
        <f t="shared" si="239"/>
        <v>2</v>
      </c>
      <c r="CH322" s="1088">
        <f t="shared" si="239"/>
        <v>3</v>
      </c>
      <c r="CI322" s="1088">
        <f t="shared" si="239"/>
        <v>4</v>
      </c>
      <c r="CJ322" s="1088">
        <f t="shared" si="239"/>
        <v>5</v>
      </c>
      <c r="CK322" s="1088">
        <f t="shared" si="239"/>
        <v>6</v>
      </c>
      <c r="CL322" s="1088">
        <f t="shared" si="239"/>
        <v>7</v>
      </c>
      <c r="CM322" s="1088">
        <f t="shared" si="239"/>
        <v>8</v>
      </c>
      <c r="CN322" s="1088">
        <f t="shared" si="239"/>
        <v>9</v>
      </c>
      <c r="CO322" s="1088">
        <f t="shared" si="239"/>
        <v>10</v>
      </c>
      <c r="CP322" s="1088">
        <f t="shared" si="239"/>
        <v>11</v>
      </c>
      <c r="CQ322" s="1088">
        <f t="shared" si="239"/>
        <v>12</v>
      </c>
      <c r="CR322" s="1088">
        <f t="shared" si="239"/>
        <v>1</v>
      </c>
      <c r="CS322" s="1088">
        <f t="shared" si="239"/>
        <v>2</v>
      </c>
      <c r="CT322" s="1088">
        <f t="shared" si="239"/>
        <v>3</v>
      </c>
      <c r="CU322" s="1088">
        <f t="shared" si="239"/>
        <v>4</v>
      </c>
      <c r="CV322" s="1088">
        <f t="shared" si="239"/>
        <v>5</v>
      </c>
      <c r="CW322" s="1088">
        <f t="shared" si="239"/>
        <v>6</v>
      </c>
      <c r="CX322" s="1088">
        <f t="shared" si="239"/>
        <v>7</v>
      </c>
      <c r="CY322" s="1088">
        <f t="shared" si="239"/>
        <v>8</v>
      </c>
      <c r="CZ322" s="1088">
        <f t="shared" si="239"/>
        <v>9</v>
      </c>
      <c r="DA322" s="1088">
        <v>10</v>
      </c>
      <c r="DB322" s="1088">
        <v>11</v>
      </c>
      <c r="DC322" s="1088">
        <v>12</v>
      </c>
      <c r="DD322" s="1088">
        <v>1</v>
      </c>
      <c r="DE322" s="1088">
        <f>DD322+1</f>
        <v>2</v>
      </c>
      <c r="DF322" s="1088">
        <f>DE322+1</f>
        <v>3</v>
      </c>
      <c r="DG322" s="1088">
        <f>DF322+1</f>
        <v>4</v>
      </c>
      <c r="DH322" s="1088">
        <f>DG322+1</f>
        <v>5</v>
      </c>
      <c r="DI322" s="775">
        <f>DH322+1</f>
        <v>6</v>
      </c>
      <c r="DJ322" s="775">
        <v>7</v>
      </c>
      <c r="DK322" s="775">
        <v>8</v>
      </c>
      <c r="DL322" s="775">
        <v>9</v>
      </c>
      <c r="DM322" s="775">
        <v>10</v>
      </c>
      <c r="DN322" s="775">
        <v>11</v>
      </c>
      <c r="DO322" s="775">
        <v>12</v>
      </c>
      <c r="DP322" s="775">
        <v>1</v>
      </c>
      <c r="DQ322" s="775">
        <v>2</v>
      </c>
      <c r="DR322" s="775">
        <v>3</v>
      </c>
      <c r="DS322" s="775">
        <v>4</v>
      </c>
      <c r="DT322" s="775">
        <v>5</v>
      </c>
      <c r="DU322" s="775">
        <v>6</v>
      </c>
      <c r="DV322" s="775">
        <v>7</v>
      </c>
    </row>
    <row r="323" spans="4:126" s="1088" customFormat="1" x14ac:dyDescent="0.25">
      <c r="D323" s="1088" t="s">
        <v>1981</v>
      </c>
      <c r="S323" s="1088">
        <f t="shared" ref="S323:AX323" si="240">+YEAR(S1)</f>
        <v>2017</v>
      </c>
      <c r="T323" s="1088">
        <f t="shared" si="240"/>
        <v>2017</v>
      </c>
      <c r="U323" s="1088">
        <f t="shared" si="240"/>
        <v>2017</v>
      </c>
      <c r="V323" s="1088">
        <f t="shared" si="240"/>
        <v>2017</v>
      </c>
      <c r="W323" s="1088">
        <f t="shared" si="240"/>
        <v>2017</v>
      </c>
      <c r="X323" s="1088">
        <f t="shared" si="240"/>
        <v>2018</v>
      </c>
      <c r="Y323" s="1088">
        <f t="shared" si="240"/>
        <v>2018</v>
      </c>
      <c r="Z323" s="1088">
        <f t="shared" si="240"/>
        <v>2018</v>
      </c>
      <c r="AA323" s="1088">
        <f t="shared" si="240"/>
        <v>2018</v>
      </c>
      <c r="AB323" s="1088">
        <f t="shared" si="240"/>
        <v>2018</v>
      </c>
      <c r="AC323" s="1088">
        <f t="shared" si="240"/>
        <v>2018</v>
      </c>
      <c r="AD323" s="1088">
        <f t="shared" si="240"/>
        <v>2018</v>
      </c>
      <c r="AE323" s="1088">
        <f t="shared" si="240"/>
        <v>2018</v>
      </c>
      <c r="AF323" s="1088">
        <f t="shared" si="240"/>
        <v>2018</v>
      </c>
      <c r="AG323" s="1088">
        <f t="shared" si="240"/>
        <v>2018</v>
      </c>
      <c r="AH323" s="1088">
        <f t="shared" si="240"/>
        <v>2018</v>
      </c>
      <c r="AI323" s="1088">
        <f t="shared" si="240"/>
        <v>2018</v>
      </c>
      <c r="AJ323" s="1088">
        <f t="shared" si="240"/>
        <v>2019</v>
      </c>
      <c r="AK323" s="1088">
        <f t="shared" si="240"/>
        <v>2019</v>
      </c>
      <c r="AL323" s="1088">
        <f t="shared" si="240"/>
        <v>2019</v>
      </c>
      <c r="AM323" s="1088">
        <f t="shared" si="240"/>
        <v>2019</v>
      </c>
      <c r="AN323" s="1088">
        <f t="shared" si="240"/>
        <v>2019</v>
      </c>
      <c r="AO323" s="1088">
        <f t="shared" si="240"/>
        <v>2019</v>
      </c>
      <c r="AP323" s="1088">
        <f t="shared" si="240"/>
        <v>2019</v>
      </c>
      <c r="AQ323" s="1088">
        <f t="shared" si="240"/>
        <v>2019</v>
      </c>
      <c r="AR323" s="1088">
        <f t="shared" si="240"/>
        <v>2019</v>
      </c>
      <c r="AS323" s="1088">
        <f t="shared" si="240"/>
        <v>2019</v>
      </c>
      <c r="AT323" s="1088">
        <f t="shared" si="240"/>
        <v>2019</v>
      </c>
      <c r="AU323" s="1088">
        <f t="shared" si="240"/>
        <v>2019</v>
      </c>
      <c r="AV323" s="1088">
        <f t="shared" si="240"/>
        <v>2020</v>
      </c>
      <c r="AW323" s="1088">
        <f t="shared" si="240"/>
        <v>2020</v>
      </c>
      <c r="AX323" s="1088">
        <f t="shared" si="240"/>
        <v>2020</v>
      </c>
      <c r="AY323" s="1088">
        <f t="shared" ref="AY323:CD323" si="241">+YEAR(AY1)</f>
        <v>2020</v>
      </c>
      <c r="AZ323" s="1088">
        <f t="shared" si="241"/>
        <v>2020</v>
      </c>
      <c r="BA323" s="1088">
        <f t="shared" si="241"/>
        <v>2020</v>
      </c>
      <c r="BB323" s="1088">
        <f t="shared" si="241"/>
        <v>2020</v>
      </c>
      <c r="BC323" s="1088">
        <f t="shared" si="241"/>
        <v>2020</v>
      </c>
      <c r="BD323" s="1088">
        <f t="shared" si="241"/>
        <v>2020</v>
      </c>
      <c r="BE323" s="1088">
        <f t="shared" si="241"/>
        <v>2020</v>
      </c>
      <c r="BF323" s="1088">
        <f t="shared" si="241"/>
        <v>2020</v>
      </c>
      <c r="BG323" s="1088">
        <f t="shared" si="241"/>
        <v>2020</v>
      </c>
      <c r="BH323" s="1088">
        <f t="shared" si="241"/>
        <v>2021</v>
      </c>
      <c r="BI323" s="1088">
        <f t="shared" si="241"/>
        <v>2021</v>
      </c>
      <c r="BJ323" s="1088">
        <f t="shared" si="241"/>
        <v>2021</v>
      </c>
      <c r="BK323" s="1088">
        <f t="shared" si="241"/>
        <v>2021</v>
      </c>
      <c r="BL323" s="1088">
        <f t="shared" si="241"/>
        <v>2021</v>
      </c>
      <c r="BM323" s="1088">
        <f t="shared" si="241"/>
        <v>2021</v>
      </c>
      <c r="BN323" s="1088">
        <f t="shared" si="241"/>
        <v>2021</v>
      </c>
      <c r="BO323" s="1088">
        <f t="shared" si="241"/>
        <v>2021</v>
      </c>
      <c r="BP323" s="1088">
        <f t="shared" si="241"/>
        <v>2021</v>
      </c>
      <c r="BQ323" s="1088">
        <f t="shared" si="241"/>
        <v>2021</v>
      </c>
      <c r="BR323" s="1088">
        <f t="shared" si="241"/>
        <v>2021</v>
      </c>
      <c r="BS323" s="1088">
        <f t="shared" si="241"/>
        <v>2021</v>
      </c>
      <c r="BT323" s="1088">
        <f t="shared" si="241"/>
        <v>2022</v>
      </c>
      <c r="BU323" s="1088">
        <f t="shared" si="241"/>
        <v>2022</v>
      </c>
      <c r="BV323" s="1088">
        <f t="shared" si="241"/>
        <v>2022</v>
      </c>
      <c r="BW323" s="1088">
        <f t="shared" si="241"/>
        <v>2022</v>
      </c>
      <c r="BX323" s="1088">
        <f t="shared" si="241"/>
        <v>2022</v>
      </c>
      <c r="BY323" s="1088">
        <f t="shared" si="241"/>
        <v>2022</v>
      </c>
      <c r="BZ323" s="1088">
        <f t="shared" si="241"/>
        <v>2022</v>
      </c>
      <c r="CA323" s="1088">
        <f t="shared" si="241"/>
        <v>2022</v>
      </c>
      <c r="CB323" s="1088">
        <f t="shared" si="241"/>
        <v>2022</v>
      </c>
      <c r="CC323" s="1088">
        <f t="shared" si="241"/>
        <v>2022</v>
      </c>
      <c r="CD323" s="1088">
        <f t="shared" si="241"/>
        <v>2022</v>
      </c>
      <c r="CE323" s="1088">
        <f t="shared" ref="CE323:DG323" si="242">+YEAR(CE1)</f>
        <v>2022</v>
      </c>
      <c r="CF323" s="1088">
        <f t="shared" si="242"/>
        <v>2023</v>
      </c>
      <c r="CG323" s="1088">
        <f t="shared" si="242"/>
        <v>2023</v>
      </c>
      <c r="CH323" s="1088">
        <f t="shared" si="242"/>
        <v>2023</v>
      </c>
      <c r="CI323" s="1088">
        <f t="shared" si="242"/>
        <v>2023</v>
      </c>
      <c r="CJ323" s="1088">
        <f t="shared" si="242"/>
        <v>2023</v>
      </c>
      <c r="CK323" s="1088">
        <f t="shared" si="242"/>
        <v>2023</v>
      </c>
      <c r="CL323" s="1088">
        <f t="shared" si="242"/>
        <v>2023</v>
      </c>
      <c r="CM323" s="1088">
        <f t="shared" si="242"/>
        <v>2023</v>
      </c>
      <c r="CN323" s="1088">
        <f t="shared" si="242"/>
        <v>2023</v>
      </c>
      <c r="CO323" s="1088">
        <f t="shared" si="242"/>
        <v>2023</v>
      </c>
      <c r="CP323" s="1088">
        <f t="shared" si="242"/>
        <v>2023</v>
      </c>
      <c r="CQ323" s="1088">
        <f t="shared" si="242"/>
        <v>2023</v>
      </c>
      <c r="CR323" s="1088">
        <f t="shared" si="242"/>
        <v>2024</v>
      </c>
      <c r="CS323" s="1088">
        <f t="shared" si="242"/>
        <v>2024</v>
      </c>
      <c r="CT323" s="1088">
        <f t="shared" si="242"/>
        <v>2024</v>
      </c>
      <c r="CU323" s="1088">
        <f t="shared" si="242"/>
        <v>2024</v>
      </c>
      <c r="CV323" s="1088">
        <f t="shared" si="242"/>
        <v>2024</v>
      </c>
      <c r="CW323" s="1088">
        <f t="shared" si="242"/>
        <v>2024</v>
      </c>
      <c r="CX323" s="1088">
        <f t="shared" si="242"/>
        <v>2024</v>
      </c>
      <c r="CY323" s="1088">
        <f t="shared" si="242"/>
        <v>2024</v>
      </c>
      <c r="CZ323" s="1088">
        <f t="shared" si="242"/>
        <v>2024</v>
      </c>
      <c r="DA323" s="1088">
        <f t="shared" si="242"/>
        <v>2024</v>
      </c>
      <c r="DB323" s="1088">
        <f t="shared" si="242"/>
        <v>2024</v>
      </c>
      <c r="DC323" s="1088">
        <f t="shared" si="242"/>
        <v>2024</v>
      </c>
      <c r="DD323" s="1088">
        <f t="shared" si="242"/>
        <v>2025</v>
      </c>
      <c r="DE323" s="1088">
        <f t="shared" si="242"/>
        <v>2025</v>
      </c>
      <c r="DF323" s="1088">
        <f t="shared" si="242"/>
        <v>2025</v>
      </c>
      <c r="DG323" s="1088">
        <f t="shared" si="242"/>
        <v>2025</v>
      </c>
      <c r="DH323" s="1088">
        <f>+YEAR(DF1)</f>
        <v>2025</v>
      </c>
      <c r="DI323" s="775">
        <f>+YEAR(DG1)</f>
        <v>2025</v>
      </c>
      <c r="DJ323" s="775">
        <v>2025</v>
      </c>
      <c r="DK323" s="775">
        <v>2025</v>
      </c>
      <c r="DL323" s="775">
        <v>2025</v>
      </c>
      <c r="DM323" s="775">
        <v>2025</v>
      </c>
      <c r="DN323" s="775">
        <v>2025</v>
      </c>
      <c r="DO323" s="775">
        <v>2025</v>
      </c>
      <c r="DP323" s="775">
        <v>2026</v>
      </c>
      <c r="DQ323" s="775">
        <v>2026</v>
      </c>
      <c r="DR323" s="775">
        <v>2026</v>
      </c>
      <c r="DS323" s="775">
        <v>2026</v>
      </c>
      <c r="DT323" s="775">
        <v>2026</v>
      </c>
      <c r="DU323" s="775">
        <v>2026</v>
      </c>
      <c r="DV323" s="775">
        <v>2026</v>
      </c>
    </row>
  </sheetData>
  <conditionalFormatting sqref="E49:AU49">
    <cfRule type="expression" dxfId="13" priority="2747">
      <formula>"[RENAME.xlsm]RENAME!$H$3=1"</formula>
    </cfRule>
  </conditionalFormatting>
  <conditionalFormatting sqref="E85:AU85">
    <cfRule type="expression" dxfId="12" priority="2740">
      <formula>"[RENAME.xlsm]RENAME!$H$3=1"</formula>
    </cfRule>
  </conditionalFormatting>
  <conditionalFormatting sqref="E117:BF117">
    <cfRule type="expression" dxfId="11" priority="2622">
      <formula>"[RENAME.xlsm]RENAME!$H$3=1"</formula>
    </cfRule>
  </conditionalFormatting>
  <conditionalFormatting sqref="E173:BS173">
    <cfRule type="expression" dxfId="10" priority="2333">
      <formula>"[RENAME.xlsm]RENAME!$H$3=1"</formula>
    </cfRule>
  </conditionalFormatting>
  <conditionalFormatting sqref="E208:CF208">
    <cfRule type="expression" dxfId="9" priority="1886">
      <formula>"[RENAME.xlsm]RENAME!$H$3=1"</formula>
    </cfRule>
  </conditionalFormatting>
  <conditionalFormatting sqref="E229:CP229">
    <cfRule type="expression" dxfId="8" priority="47">
      <formula>"[RENAME.xlsm]RENAME!$H$3=1"</formula>
    </cfRule>
  </conditionalFormatting>
  <conditionalFormatting sqref="E237:CP237">
    <cfRule type="expression" dxfId="7" priority="44">
      <formula>"[RENAME.xlsm]RENAME!$H$3=1"</formula>
    </cfRule>
  </conditionalFormatting>
  <conditionalFormatting sqref="E245:CP245">
    <cfRule type="expression" dxfId="6" priority="43">
      <formula>"[RENAME.xlsm]RENAME!$H$3=1"</formula>
    </cfRule>
  </conditionalFormatting>
  <conditionalFormatting sqref="E253:CP253">
    <cfRule type="expression" dxfId="5" priority="42">
      <formula>"[RENAME.xlsm]RENAME!$H$3=1"</formula>
    </cfRule>
  </conditionalFormatting>
  <conditionalFormatting sqref="E217:DC217">
    <cfRule type="expression" dxfId="4" priority="37">
      <formula>"[RENAME.xlsm]RENAME!$H$3=1"</formula>
    </cfRule>
  </conditionalFormatting>
  <conditionalFormatting sqref="E223:DO223">
    <cfRule type="expression" dxfId="3" priority="4">
      <formula>"[RENAME.xlsm]RENAME!$H$3=1"</formula>
    </cfRule>
  </conditionalFormatting>
  <conditionalFormatting sqref="E4:DV4">
    <cfRule type="expression" dxfId="2" priority="3">
      <formula>"[RENAME.xlsm]RENAME!$H$3=1"</formula>
    </cfRule>
  </conditionalFormatting>
  <conditionalFormatting sqref="E6:DV6">
    <cfRule type="expression" dxfId="1" priority="2">
      <formula>"[RENAME.xlsm]RENAME!$H$3=1"</formula>
    </cfRule>
  </conditionalFormatting>
  <conditionalFormatting sqref="E11:DV11">
    <cfRule type="expression" dxfId="0" priority="1">
      <formula>"[RENAME.xlsm]RENAME!$H$3=1"</formula>
    </cfRule>
  </conditionalFormatting>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3">
    <tabColor theme="8"/>
    <pageSetUpPr autoPageBreaks="0"/>
  </sheetPr>
  <dimension ref="A1:BH292"/>
  <sheetViews>
    <sheetView showGridLines="0" tabSelected="1" topLeftCell="A3" zoomScaleNormal="100" workbookViewId="0">
      <pane xSplit="4" ySplit="2" topLeftCell="E203" activePane="bottomRight" state="frozen"/>
      <selection activeCell="D3" sqref="D3"/>
      <selection pane="topRight" activeCell="E3" sqref="E3"/>
      <selection pane="bottomLeft" activeCell="D5" sqref="D5"/>
      <selection pane="bottomRight" activeCell="X215" sqref="X215"/>
    </sheetView>
  </sheetViews>
  <sheetFormatPr defaultColWidth="38" defaultRowHeight="12.75" customHeight="1" outlineLevelRow="1" x14ac:dyDescent="0.2"/>
  <cols>
    <col min="1" max="1" width="11.85546875" hidden="1" customWidth="1"/>
    <col min="2" max="2" width="10" hidden="1" customWidth="1"/>
    <col min="3" max="3" width="4.85546875" hidden="1" customWidth="1"/>
    <col min="4" max="4" width="9.5703125" customWidth="1"/>
    <col min="5" max="5" width="8.85546875" bestFit="1" customWidth="1"/>
    <col min="6" max="6" width="9.85546875" customWidth="1"/>
    <col min="7" max="7" width="11.140625" bestFit="1" customWidth="1"/>
    <col min="8" max="8" width="3.42578125" customWidth="1"/>
    <col min="9" max="9" width="7.85546875" bestFit="1" customWidth="1"/>
    <col min="10" max="10" width="8.140625" bestFit="1" customWidth="1"/>
    <col min="11" max="11" width="8.85546875" bestFit="1" customWidth="1"/>
    <col min="12" max="12" width="3.42578125" customWidth="1"/>
    <col min="13" max="13" width="7.85546875" bestFit="1" customWidth="1"/>
    <col min="14" max="14" width="10.42578125" customWidth="1"/>
    <col min="15" max="15" width="4.140625" customWidth="1"/>
    <col min="16" max="17" width="7.85546875" bestFit="1" customWidth="1"/>
    <col min="18" max="18" width="4.140625" customWidth="1"/>
    <col min="19" max="19" width="8.85546875" customWidth="1"/>
    <col min="20" max="20" width="7.5703125" customWidth="1"/>
    <col min="21" max="21" width="3.42578125" customWidth="1"/>
    <col min="22" max="30" width="10" customWidth="1"/>
    <col min="31" max="31" width="2.140625" customWidth="1"/>
    <col min="32" max="32" width="6.140625" bestFit="1" customWidth="1"/>
    <col min="33" max="41" width="9.85546875" customWidth="1"/>
    <col min="42" max="42" width="3.42578125" customWidth="1"/>
    <col min="43" max="43" width="7" bestFit="1" customWidth="1"/>
    <col min="44" max="44" width="8.85546875" bestFit="1" customWidth="1"/>
    <col min="45" max="45" width="10.5703125" bestFit="1" customWidth="1"/>
    <col min="46" max="47" width="7.85546875" bestFit="1" customWidth="1"/>
    <col min="48" max="48" width="3.42578125" customWidth="1"/>
    <col min="49" max="49" width="5.5703125" bestFit="1" customWidth="1"/>
    <col min="50" max="50" width="8" bestFit="1" customWidth="1"/>
    <col min="51" max="51" width="6.5703125" bestFit="1" customWidth="1"/>
    <col min="52" max="52" width="7.140625" bestFit="1" customWidth="1"/>
    <col min="53" max="53" width="6.5703125" bestFit="1" customWidth="1"/>
    <col min="54" max="54" width="3.42578125" customWidth="1"/>
    <col min="55" max="55" width="10" customWidth="1"/>
    <col min="56" max="56" width="10.140625" bestFit="1" customWidth="1"/>
    <col min="57" max="57" width="3.42578125" customWidth="1"/>
    <col min="58" max="58" width="33.5703125" customWidth="1"/>
    <col min="59" max="59" width="4.85546875" bestFit="1" customWidth="1"/>
    <col min="60" max="60" width="4.85546875" customWidth="1"/>
  </cols>
  <sheetData>
    <row r="1" spans="1:60" s="365" customFormat="1" ht="12.75" hidden="1" customHeight="1" x14ac:dyDescent="0.2">
      <c r="A1" s="570"/>
      <c r="B1" s="376"/>
      <c r="D1" s="366" t="s">
        <v>1079</v>
      </c>
      <c r="E1" s="434" t="s">
        <v>112</v>
      </c>
      <c r="F1" s="365" t="s">
        <v>1081</v>
      </c>
      <c r="G1" s="435" t="s">
        <v>1082</v>
      </c>
      <c r="I1" s="434" t="s">
        <v>1083</v>
      </c>
      <c r="J1" s="365" t="s">
        <v>1084</v>
      </c>
      <c r="K1" s="435" t="s">
        <v>1085</v>
      </c>
      <c r="M1" s="436" t="s">
        <v>2172</v>
      </c>
      <c r="N1" s="365" t="s">
        <v>2173</v>
      </c>
      <c r="P1" s="436" t="s">
        <v>1406</v>
      </c>
      <c r="Q1" s="435" t="s">
        <v>2168</v>
      </c>
      <c r="S1" s="436" t="s">
        <v>2167</v>
      </c>
      <c r="T1" s="435" t="s">
        <v>1086</v>
      </c>
      <c r="V1" s="436" t="s">
        <v>467</v>
      </c>
      <c r="W1" s="365" t="s">
        <v>468</v>
      </c>
      <c r="X1" s="365" t="s">
        <v>607</v>
      </c>
      <c r="Y1" s="365" t="s">
        <v>469</v>
      </c>
      <c r="Z1" s="365" t="s">
        <v>470</v>
      </c>
      <c r="AA1" s="365" t="s">
        <v>472</v>
      </c>
      <c r="AB1" s="365" t="s">
        <v>471</v>
      </c>
      <c r="AD1" s="435" t="s">
        <v>2175</v>
      </c>
      <c r="AF1" s="366"/>
      <c r="AG1" s="437" t="s">
        <v>467</v>
      </c>
      <c r="AH1" s="438" t="s">
        <v>468</v>
      </c>
      <c r="AI1" s="438" t="s">
        <v>607</v>
      </c>
      <c r="AJ1" s="438" t="s">
        <v>469</v>
      </c>
      <c r="AK1" s="438" t="s">
        <v>470</v>
      </c>
      <c r="AL1" s="438" t="s">
        <v>472</v>
      </c>
      <c r="AM1" s="438" t="s">
        <v>471</v>
      </c>
      <c r="AN1" s="438"/>
      <c r="AO1" s="435" t="s">
        <v>2175</v>
      </c>
      <c r="AQ1" s="436" t="s">
        <v>1087</v>
      </c>
      <c r="AR1" s="365" t="s">
        <v>1088</v>
      </c>
      <c r="AS1" s="365" t="s">
        <v>1089</v>
      </c>
      <c r="AT1" s="365" t="s">
        <v>1090</v>
      </c>
      <c r="AU1" s="435" t="s">
        <v>1091</v>
      </c>
      <c r="AW1" s="436" t="s">
        <v>1087</v>
      </c>
      <c r="AX1" s="365" t="s">
        <v>1088</v>
      </c>
      <c r="AY1" s="365" t="s">
        <v>1089</v>
      </c>
      <c r="AZ1" s="365" t="s">
        <v>1090</v>
      </c>
      <c r="BA1" s="435" t="s">
        <v>1091</v>
      </c>
      <c r="BC1" s="436" t="s">
        <v>1092</v>
      </c>
      <c r="BD1" s="435" t="s">
        <v>1093</v>
      </c>
      <c r="BG1" s="966"/>
      <c r="BH1" s="966"/>
    </row>
    <row r="2" spans="1:60" s="365" customFormat="1" ht="12.75" hidden="1" customHeight="1" x14ac:dyDescent="0.2">
      <c r="A2" s="570"/>
      <c r="B2" s="376"/>
      <c r="D2" s="366" t="s">
        <v>602</v>
      </c>
      <c r="E2" s="434" t="s">
        <v>112</v>
      </c>
      <c r="F2" s="365" t="s">
        <v>2170</v>
      </c>
      <c r="G2" s="435" t="s">
        <v>1681</v>
      </c>
      <c r="I2" s="434" t="s">
        <v>603</v>
      </c>
      <c r="J2" s="365" t="s">
        <v>604</v>
      </c>
      <c r="K2" s="435" t="s">
        <v>605</v>
      </c>
      <c r="M2" s="436" t="s">
        <v>2171</v>
      </c>
      <c r="N2" s="365" t="s">
        <v>2174</v>
      </c>
      <c r="P2" s="436" t="s">
        <v>1407</v>
      </c>
      <c r="Q2" s="435" t="s">
        <v>2169</v>
      </c>
      <c r="S2" s="436" t="s">
        <v>2166</v>
      </c>
      <c r="T2" s="435" t="s">
        <v>606</v>
      </c>
      <c r="V2" s="436" t="s">
        <v>467</v>
      </c>
      <c r="W2" s="365" t="s">
        <v>468</v>
      </c>
      <c r="X2" s="365" t="s">
        <v>607</v>
      </c>
      <c r="Y2" s="365" t="s">
        <v>469</v>
      </c>
      <c r="Z2" s="365" t="s">
        <v>470</v>
      </c>
      <c r="AA2" s="365" t="s">
        <v>472</v>
      </c>
      <c r="AB2" s="365" t="s">
        <v>471</v>
      </c>
      <c r="AD2" s="435" t="s">
        <v>473</v>
      </c>
      <c r="AF2" s="366"/>
      <c r="AG2" s="437" t="s">
        <v>467</v>
      </c>
      <c r="AH2" s="438" t="s">
        <v>468</v>
      </c>
      <c r="AI2" s="438" t="s">
        <v>607</v>
      </c>
      <c r="AJ2" s="438" t="s">
        <v>469</v>
      </c>
      <c r="AK2" s="438" t="s">
        <v>470</v>
      </c>
      <c r="AL2" s="438" t="s">
        <v>472</v>
      </c>
      <c r="AM2" s="438" t="s">
        <v>471</v>
      </c>
      <c r="AN2" s="438"/>
      <c r="AO2" s="439" t="s">
        <v>473</v>
      </c>
      <c r="AQ2" s="436" t="s">
        <v>608</v>
      </c>
      <c r="AR2" s="365" t="s">
        <v>609</v>
      </c>
      <c r="AS2" s="365" t="s">
        <v>610</v>
      </c>
      <c r="AT2" s="365" t="s">
        <v>611</v>
      </c>
      <c r="AU2" s="435" t="s">
        <v>612</v>
      </c>
      <c r="AW2" s="436" t="s">
        <v>608</v>
      </c>
      <c r="AX2" s="365" t="s">
        <v>609</v>
      </c>
      <c r="AY2" s="365" t="s">
        <v>610</v>
      </c>
      <c r="AZ2" s="365" t="s">
        <v>611</v>
      </c>
      <c r="BA2" s="435" t="s">
        <v>612</v>
      </c>
      <c r="BC2" s="436" t="s">
        <v>613</v>
      </c>
      <c r="BD2" s="435" t="s">
        <v>614</v>
      </c>
      <c r="BG2" s="966"/>
      <c r="BH2" s="966"/>
    </row>
    <row r="3" spans="1:60" ht="38.25" customHeight="1" x14ac:dyDescent="0.25">
      <c r="A3" s="571"/>
      <c r="B3" s="355"/>
      <c r="C3" s="353"/>
      <c r="D3" s="354"/>
      <c r="E3" s="1264" t="str">
        <f>IF([1]RENAME!$H$3=1,"Sales (Domestic &amp; Exports)","Vendas (Domésticas e Exportação)")</f>
        <v>Vendas (Domésticas e Exportação)</v>
      </c>
      <c r="F3" s="1265"/>
      <c r="G3" s="1266"/>
      <c r="H3" s="353"/>
      <c r="I3" s="1264" t="str">
        <f>IF([1]RENAME!$H$3=1,"Inventory","Estoques")</f>
        <v>Estoques</v>
      </c>
      <c r="J3" s="1265"/>
      <c r="K3" s="1266"/>
      <c r="L3" s="353"/>
      <c r="M3" s="1264" t="str">
        <f>IF([1]RENAME!$H$3=1,"Production and sales of imported vehicles","Produção e venda de veículos importados")</f>
        <v>Produção e venda de veículos importados</v>
      </c>
      <c r="N3" s="1266"/>
      <c r="O3" s="353"/>
      <c r="P3" s="1264" t="str">
        <f>IF([1]RENAME!$H$3=1,"Sales category","Categoria das vendas")</f>
        <v>Categoria das vendas</v>
      </c>
      <c r="Q3" s="1266"/>
      <c r="R3" s="353"/>
      <c r="S3" s="1264" t="str">
        <f>IF([1]RENAME!$H$3=1,"Used cars sales","Venda de veiculos usados")</f>
        <v>Venda de veiculos usados</v>
      </c>
      <c r="T3" s="1266"/>
      <c r="U3" s="353"/>
      <c r="V3" s="1164" t="str">
        <f>IF([1]RENAME!$H$3=1,"Market Sales per brand","Licenciamento Doméstico por montadora")</f>
        <v>Licenciamento Doméstico por montadora</v>
      </c>
      <c r="W3" s="1165"/>
      <c r="X3" s="1165"/>
      <c r="Y3" s="1165"/>
      <c r="Z3" s="1165"/>
      <c r="AA3" s="1165"/>
      <c r="AB3" s="1165"/>
      <c r="AC3" s="1165"/>
      <c r="AD3" s="1166"/>
      <c r="AE3" s="353"/>
      <c r="AF3" s="354"/>
      <c r="AG3" s="1161" t="str">
        <f>IF([1]RENAME!$H$3=1,"Market share Car assemblers","Market share montadoras")</f>
        <v>Market share montadoras</v>
      </c>
      <c r="AH3" s="1162"/>
      <c r="AI3" s="1162"/>
      <c r="AJ3" s="1162"/>
      <c r="AK3" s="1162"/>
      <c r="AL3" s="1162"/>
      <c r="AM3" s="1162"/>
      <c r="AN3" s="1162"/>
      <c r="AO3" s="1163"/>
      <c r="AP3" s="353"/>
      <c r="AQ3" s="1264" t="str">
        <f>IF([1]RENAME!$H$3=1,"Sales by region","Vendas por região")</f>
        <v>Vendas por região</v>
      </c>
      <c r="AR3" s="1265"/>
      <c r="AS3" s="1265"/>
      <c r="AT3" s="1265"/>
      <c r="AU3" s="1266"/>
      <c r="AV3" s="353"/>
      <c r="AW3" s="1264" t="str">
        <f>IF([1]RENAME!$H$3=1,"Mkt share by region","Mkt share por região")</f>
        <v>Mkt share por região</v>
      </c>
      <c r="AX3" s="1265"/>
      <c r="AY3" s="1265"/>
      <c r="AZ3" s="1265"/>
      <c r="BA3" s="1266"/>
      <c r="BB3" s="353"/>
      <c r="BC3" s="1267" t="str">
        <f>IF([1]RENAME!$H$3=1,"Destination","Destino")</f>
        <v>Destino</v>
      </c>
      <c r="BD3" s="1268"/>
    </row>
    <row r="4" spans="1:60" ht="38.25" x14ac:dyDescent="0.2">
      <c r="A4" s="572" t="s">
        <v>1079</v>
      </c>
      <c r="B4" s="364"/>
      <c r="C4" s="356"/>
      <c r="D4" s="357" t="str">
        <f>IF([1]RENAME!$H$3=1,D1,D2)</f>
        <v>Período</v>
      </c>
      <c r="E4" s="358" t="str">
        <f>IF([1]RENAME!$H$3=1,E1,E2)</f>
        <v>Total</v>
      </c>
      <c r="F4" s="356" t="str">
        <f>IF([1]RENAME!$H$3=1,F1,F2)</f>
        <v>Licenciamento doméstico</v>
      </c>
      <c r="G4" s="359" t="str">
        <f>IF([1]RENAME!$H$3=1,G1,G2)</f>
        <v>Exportação</v>
      </c>
      <c r="H4" s="356"/>
      <c r="I4" s="358" t="str">
        <f>IF([1]RENAME!$H$3=1,I1,I2)</f>
        <v>Estoques total</v>
      </c>
      <c r="J4" s="356" t="str">
        <f>IF([1]RENAME!$H$3=1,J1,J2)</f>
        <v>Estoques Conces</v>
      </c>
      <c r="K4" s="359" t="str">
        <f>IF([1]RENAME!$H$3=1,K1,K2)</f>
        <v>Estoques Fábrica</v>
      </c>
      <c r="L4" s="356"/>
      <c r="M4" s="360" t="str">
        <f>IF([1]RENAME!$H$3=1,M1,M2)</f>
        <v>Produção</v>
      </c>
      <c r="N4" s="359" t="str">
        <f>IF([1]RENAME!$H$3=1,N1,N2)</f>
        <v>Importados</v>
      </c>
      <c r="O4" s="356"/>
      <c r="P4" s="360" t="str">
        <f>IF([1]RENAME!$H$3=1,P1,P2)</f>
        <v>Vendas Diretas</v>
      </c>
      <c r="Q4" s="359" t="str">
        <f>IF([1]RENAME!$H$3=1,Q1,Q2)</f>
        <v>Consumidor final</v>
      </c>
      <c r="R4" s="356"/>
      <c r="S4" s="360" t="str">
        <f>IF([1]RENAME!$H$3=1,S1,S2)</f>
        <v>Quantidade</v>
      </c>
      <c r="T4" s="359" t="str">
        <f>IF([1]RENAME!$H$3=1,T1,T2)</f>
        <v>Vendas usados / novos</v>
      </c>
      <c r="U4" s="356"/>
      <c r="V4" s="360" t="str">
        <f>IF([1]RENAME!$H$3=1,V1,V2)</f>
        <v>GENERAL MOTORS</v>
      </c>
      <c r="W4" s="356" t="str">
        <f>IF([1]RENAME!$H$3=1,W1,W2)</f>
        <v>VOLKSWAGEN</v>
      </c>
      <c r="X4" s="356" t="str">
        <f>IF([1]RENAME!$H$3=1,X1,X2)</f>
        <v>Fiat FCA</v>
      </c>
      <c r="Y4" s="356" t="str">
        <f>IF([1]RENAME!$H$3=1,Y1,Y2)</f>
        <v>TOYOTA</v>
      </c>
      <c r="Z4" s="356" t="str">
        <f>IF([1]RENAME!$H$3=1,Z1,Z2)</f>
        <v>RENAULT/NISSAN</v>
      </c>
      <c r="AA4" s="356" t="str">
        <f>IF([1]RENAME!$H$3=1,AA1,AA2)</f>
        <v>HYUNDAI</v>
      </c>
      <c r="AB4" s="356" t="str">
        <f>IF([1]RENAME!$H$3=1,AB1,AB2)</f>
        <v>HONDA</v>
      </c>
      <c r="AC4" s="356" t="s">
        <v>2165</v>
      </c>
      <c r="AD4" s="359" t="str">
        <f>IF([1]RENAME!$H$3=1,AD1,AD2)</f>
        <v>OUTROS</v>
      </c>
      <c r="AE4" s="356"/>
      <c r="AF4" s="357"/>
      <c r="AG4" s="361" t="str">
        <f>IF([1]RENAME!$H$3=1,AG1,AG2)</f>
        <v>GENERAL MOTORS</v>
      </c>
      <c r="AH4" s="362" t="str">
        <f>IF([1]RENAME!$H$3=1,AH1,AH2)</f>
        <v>VOLKSWAGEN</v>
      </c>
      <c r="AI4" s="362" t="str">
        <f>IF([1]RENAME!$H$3=1,AI1,AI2)</f>
        <v>Fiat FCA</v>
      </c>
      <c r="AJ4" s="362" t="str">
        <f>IF([1]RENAME!$H$3=1,AJ1,AJ2)</f>
        <v>TOYOTA</v>
      </c>
      <c r="AK4" s="362" t="str">
        <f>IF([1]RENAME!$H$3=1,AK1,AK2)</f>
        <v>RENAULT/NISSAN</v>
      </c>
      <c r="AL4" s="362" t="str">
        <f>IF([1]RENAME!$H$3=1,AL1,AL2)</f>
        <v>HYUNDAI</v>
      </c>
      <c r="AM4" s="362" t="str">
        <f>IF([1]RENAME!$H$3=1,AM1,AM2)</f>
        <v>HONDA</v>
      </c>
      <c r="AN4" s="362" t="s">
        <v>2165</v>
      </c>
      <c r="AO4" s="363" t="str">
        <f>IF([1]RENAME!$H$3=1,AO1,AO2)</f>
        <v>OUTROS</v>
      </c>
      <c r="AP4" s="356"/>
      <c r="AQ4" s="360" t="str">
        <f>IF([1]RENAME!$H$3=1,AQ1,AQ2)</f>
        <v xml:space="preserve">Norte </v>
      </c>
      <c r="AR4" s="356" t="str">
        <f>IF([1]RENAME!$H$3=1,AR1,AR2)</f>
        <v>Nordeste</v>
      </c>
      <c r="AS4" s="356" t="str">
        <f>IF([1]RENAME!$H$3=1,AS1,AS2)</f>
        <v>CO</v>
      </c>
      <c r="AT4" s="356" t="str">
        <f>IF([1]RENAME!$H$3=1,AT1,AT2)</f>
        <v>Sudeste</v>
      </c>
      <c r="AU4" s="359" t="str">
        <f>IF([1]RENAME!$H$3=1,AU1,AU2)</f>
        <v>Sul</v>
      </c>
      <c r="AV4" s="356"/>
      <c r="AW4" s="360" t="str">
        <f>IF([1]RENAME!$H$3=1,AW1,AW2)</f>
        <v xml:space="preserve">Norte </v>
      </c>
      <c r="AX4" s="356" t="str">
        <f>IF([1]RENAME!$H$3=1,AX1,AX2)</f>
        <v>Nordeste</v>
      </c>
      <c r="AY4" s="356" t="str">
        <f>IF([1]RENAME!$H$3=1,AY1,AY2)</f>
        <v>CO</v>
      </c>
      <c r="AZ4" s="356" t="str">
        <f>IF([1]RENAME!$H$3=1,AZ1,AZ2)</f>
        <v>Sudeste</v>
      </c>
      <c r="BA4" s="359" t="str">
        <f>IF([1]RENAME!$H$3=1,BA1,BA2)</f>
        <v>Sul</v>
      </c>
      <c r="BB4" s="356"/>
      <c r="BC4" s="360" t="str">
        <f>IF([1]RENAME!$H$3=1,BC1,BC2)</f>
        <v>Exportação/produção</v>
      </c>
      <c r="BD4" s="359" t="str">
        <f>IF([1]RENAME!$H$3=1,BD1,BD2)</f>
        <v>Importação/vendas domésticas</v>
      </c>
    </row>
    <row r="5" spans="1:60" ht="12.75" customHeight="1" outlineLevel="1" x14ac:dyDescent="0.2">
      <c r="A5" s="570">
        <v>39814</v>
      </c>
      <c r="B5" s="708">
        <f>IF([1]RENAME!$H$3=0,A5,TEXT(A5,"[$-em-US] mmm-aa;@"))</f>
        <v>39814</v>
      </c>
      <c r="C5" s="365" t="str">
        <f>IF([1]RENAME!$H$3=0,BG5,BH5)</f>
        <v>1T09</v>
      </c>
      <c r="D5" s="366">
        <v>39814</v>
      </c>
      <c r="E5" s="367">
        <f t="shared" ref="E5:E68" si="0">+F5+G5</f>
        <v>233012</v>
      </c>
      <c r="F5" s="368">
        <v>189722</v>
      </c>
      <c r="G5" s="370">
        <v>43290</v>
      </c>
      <c r="H5" s="368"/>
      <c r="I5" s="367" t="s">
        <v>160</v>
      </c>
      <c r="J5" s="369" t="s">
        <v>160</v>
      </c>
      <c r="K5" s="371" t="s">
        <v>160</v>
      </c>
      <c r="L5" s="368"/>
      <c r="M5" s="372" t="s">
        <v>160</v>
      </c>
      <c r="N5" s="370" t="s">
        <v>160</v>
      </c>
      <c r="O5" s="368"/>
      <c r="P5" s="372" t="s">
        <v>160</v>
      </c>
      <c r="Q5" s="370" t="s">
        <v>160</v>
      </c>
      <c r="R5" s="368"/>
      <c r="S5" s="372" t="s">
        <v>160</v>
      </c>
      <c r="T5" s="370" t="s">
        <v>160</v>
      </c>
      <c r="U5" s="368"/>
      <c r="V5" s="372" t="s">
        <v>160</v>
      </c>
      <c r="W5" s="368" t="s">
        <v>160</v>
      </c>
      <c r="X5" s="368" t="s">
        <v>160</v>
      </c>
      <c r="Y5" s="368" t="s">
        <v>160</v>
      </c>
      <c r="Z5" s="368" t="s">
        <v>160</v>
      </c>
      <c r="AA5" s="368" t="s">
        <v>160</v>
      </c>
      <c r="AB5" s="368" t="s">
        <v>160</v>
      </c>
      <c r="AC5" s="368" t="s">
        <v>160</v>
      </c>
      <c r="AD5" s="370" t="s">
        <v>160</v>
      </c>
      <c r="AE5" s="368"/>
      <c r="AF5" s="366">
        <f t="shared" ref="AF5:AF36" si="1">+D5</f>
        <v>39814</v>
      </c>
      <c r="AG5" s="373"/>
      <c r="AH5" s="374"/>
      <c r="AI5" s="374"/>
      <c r="AJ5" s="374"/>
      <c r="AK5" s="374"/>
      <c r="AL5" s="374"/>
      <c r="AM5" s="374"/>
      <c r="AN5" s="374"/>
      <c r="AO5" s="375"/>
      <c r="AP5" s="368"/>
      <c r="AQ5" s="372"/>
      <c r="AR5" s="368"/>
      <c r="AS5" s="368"/>
      <c r="AT5" s="368"/>
      <c r="AU5" s="370"/>
      <c r="AV5" s="368"/>
      <c r="AW5" s="372"/>
      <c r="AX5" s="368"/>
      <c r="AY5" s="368"/>
      <c r="AZ5" s="368"/>
      <c r="BA5" s="370"/>
      <c r="BB5" s="368"/>
      <c r="BC5" s="372"/>
      <c r="BD5" s="370"/>
      <c r="BG5" t="s">
        <v>615</v>
      </c>
      <c r="BH5" t="s">
        <v>1651</v>
      </c>
    </row>
    <row r="6" spans="1:60" ht="12.75" customHeight="1" outlineLevel="1" x14ac:dyDescent="0.2">
      <c r="A6" s="570">
        <v>39845</v>
      </c>
      <c r="B6" s="708">
        <f>IF([1]RENAME!$H$3=0,A6,TEXT(A6,"[$-em-US] mmm-aa;@"))</f>
        <v>39845</v>
      </c>
      <c r="C6" s="365" t="str">
        <f>IF([1]RENAME!$H$3=0,BG6,BH6)</f>
        <v>1T09</v>
      </c>
      <c r="D6" s="366">
        <v>39845</v>
      </c>
      <c r="E6" s="367">
        <f t="shared" si="0"/>
        <v>232071</v>
      </c>
      <c r="F6" s="368">
        <v>191352</v>
      </c>
      <c r="G6" s="370">
        <v>40719</v>
      </c>
      <c r="H6" s="368"/>
      <c r="I6" s="367" t="s">
        <v>160</v>
      </c>
      <c r="J6" s="369" t="s">
        <v>160</v>
      </c>
      <c r="K6" s="371" t="s">
        <v>160</v>
      </c>
      <c r="L6" s="368"/>
      <c r="M6" s="372" t="s">
        <v>160</v>
      </c>
      <c r="N6" s="370" t="s">
        <v>160</v>
      </c>
      <c r="O6" s="368"/>
      <c r="P6" s="372" t="s">
        <v>160</v>
      </c>
      <c r="Q6" s="370" t="s">
        <v>160</v>
      </c>
      <c r="R6" s="368"/>
      <c r="S6" s="372" t="s">
        <v>160</v>
      </c>
      <c r="T6" s="370" t="str">
        <f>[2]Base!AF4</f>
        <v>-</v>
      </c>
      <c r="U6" s="368"/>
      <c r="V6" s="372" t="s">
        <v>160</v>
      </c>
      <c r="W6" s="368" t="s">
        <v>160</v>
      </c>
      <c r="X6" s="368" t="s">
        <v>160</v>
      </c>
      <c r="Y6" s="368" t="s">
        <v>160</v>
      </c>
      <c r="Z6" s="368" t="s">
        <v>160</v>
      </c>
      <c r="AA6" s="368" t="s">
        <v>160</v>
      </c>
      <c r="AB6" s="368" t="s">
        <v>160</v>
      </c>
      <c r="AC6" s="368" t="s">
        <v>160</v>
      </c>
      <c r="AD6" s="370" t="s">
        <v>160</v>
      </c>
      <c r="AE6" s="368"/>
      <c r="AF6" s="366">
        <f t="shared" si="1"/>
        <v>39845</v>
      </c>
      <c r="AG6" s="373"/>
      <c r="AH6" s="374"/>
      <c r="AI6" s="374"/>
      <c r="AJ6" s="374"/>
      <c r="AK6" s="374"/>
      <c r="AL6" s="374"/>
      <c r="AM6" s="374"/>
      <c r="AN6" s="374"/>
      <c r="AO6" s="375"/>
      <c r="AP6" s="368"/>
      <c r="AQ6" s="372"/>
      <c r="AR6" s="368"/>
      <c r="AS6" s="368"/>
      <c r="AT6" s="368"/>
      <c r="AU6" s="370"/>
      <c r="AV6" s="368"/>
      <c r="AW6" s="372"/>
      <c r="AX6" s="368"/>
      <c r="AY6" s="368"/>
      <c r="AZ6" s="368"/>
      <c r="BA6" s="370"/>
      <c r="BB6" s="368"/>
      <c r="BC6" s="372"/>
      <c r="BD6" s="370"/>
      <c r="BG6" t="s">
        <v>615</v>
      </c>
      <c r="BH6" t="s">
        <v>1651</v>
      </c>
    </row>
    <row r="7" spans="1:60" ht="12.75" customHeight="1" outlineLevel="1" x14ac:dyDescent="0.2">
      <c r="A7" s="570">
        <v>39873</v>
      </c>
      <c r="B7" s="708">
        <f>IF([1]RENAME!$H$3=0,A7,TEXT(A7,"[$-em-US] mmm-aa;@"))</f>
        <v>39873</v>
      </c>
      <c r="C7" s="365" t="str">
        <f>IF([1]RENAME!$H$3=0,BG7,BH7)</f>
        <v>1T09</v>
      </c>
      <c r="D7" s="366">
        <v>39873</v>
      </c>
      <c r="E7" s="367">
        <f t="shared" si="0"/>
        <v>306862</v>
      </c>
      <c r="F7" s="368">
        <v>260929</v>
      </c>
      <c r="G7" s="370">
        <v>45933</v>
      </c>
      <c r="H7" s="368"/>
      <c r="I7" s="367" t="s">
        <v>160</v>
      </c>
      <c r="J7" s="369" t="s">
        <v>160</v>
      </c>
      <c r="K7" s="371" t="s">
        <v>160</v>
      </c>
      <c r="L7" s="368"/>
      <c r="M7" s="372" t="s">
        <v>160</v>
      </c>
      <c r="N7" s="370" t="s">
        <v>160</v>
      </c>
      <c r="O7" s="368"/>
      <c r="P7" s="372" t="s">
        <v>160</v>
      </c>
      <c r="Q7" s="370" t="s">
        <v>160</v>
      </c>
      <c r="R7" s="368"/>
      <c r="S7" s="372" t="s">
        <v>160</v>
      </c>
      <c r="T7" s="370" t="str">
        <f>[2]Base!AF5</f>
        <v>-</v>
      </c>
      <c r="U7" s="368"/>
      <c r="V7" s="372" t="s">
        <v>160</v>
      </c>
      <c r="W7" s="368" t="s">
        <v>160</v>
      </c>
      <c r="X7" s="368" t="s">
        <v>160</v>
      </c>
      <c r="Y7" s="368" t="s">
        <v>160</v>
      </c>
      <c r="Z7" s="368" t="s">
        <v>160</v>
      </c>
      <c r="AA7" s="368" t="s">
        <v>160</v>
      </c>
      <c r="AB7" s="368" t="s">
        <v>160</v>
      </c>
      <c r="AC7" s="368" t="s">
        <v>160</v>
      </c>
      <c r="AD7" s="370" t="s">
        <v>160</v>
      </c>
      <c r="AE7" s="368"/>
      <c r="AF7" s="366">
        <f t="shared" si="1"/>
        <v>39873</v>
      </c>
      <c r="AG7" s="373"/>
      <c r="AH7" s="374"/>
      <c r="AI7" s="374"/>
      <c r="AJ7" s="374"/>
      <c r="AK7" s="374"/>
      <c r="AL7" s="374"/>
      <c r="AM7" s="374"/>
      <c r="AN7" s="374"/>
      <c r="AO7" s="375"/>
      <c r="AP7" s="368"/>
      <c r="AQ7" s="372"/>
      <c r="AR7" s="368"/>
      <c r="AS7" s="368"/>
      <c r="AT7" s="368"/>
      <c r="AU7" s="370"/>
      <c r="AV7" s="368"/>
      <c r="AW7" s="372"/>
      <c r="AX7" s="368"/>
      <c r="AY7" s="368"/>
      <c r="AZ7" s="368"/>
      <c r="BA7" s="370"/>
      <c r="BB7" s="368"/>
      <c r="BC7" s="372"/>
      <c r="BD7" s="370"/>
      <c r="BG7" t="s">
        <v>615</v>
      </c>
      <c r="BH7" t="s">
        <v>1651</v>
      </c>
    </row>
    <row r="8" spans="1:60" ht="12.75" customHeight="1" outlineLevel="1" x14ac:dyDescent="0.2">
      <c r="A8" s="570">
        <v>39904</v>
      </c>
      <c r="B8" s="708">
        <f>IF([1]RENAME!$H$3=0,A8,TEXT(A8,"[$-em-US] mmm-aa;@"))</f>
        <v>39904</v>
      </c>
      <c r="C8" s="365" t="str">
        <f>IF([1]RENAME!$H$3=0,BG8,BH8)</f>
        <v>2T09</v>
      </c>
      <c r="D8" s="366">
        <v>39904</v>
      </c>
      <c r="E8" s="367">
        <f t="shared" si="0"/>
        <v>269608</v>
      </c>
      <c r="F8" s="368">
        <v>224385</v>
      </c>
      <c r="G8" s="370">
        <v>45223</v>
      </c>
      <c r="H8" s="368"/>
      <c r="I8" s="367" t="s">
        <v>160</v>
      </c>
      <c r="J8" s="369" t="s">
        <v>160</v>
      </c>
      <c r="K8" s="371" t="s">
        <v>160</v>
      </c>
      <c r="L8" s="368"/>
      <c r="M8" s="372" t="s">
        <v>160</v>
      </c>
      <c r="N8" s="370" t="s">
        <v>160</v>
      </c>
      <c r="O8" s="368"/>
      <c r="P8" s="372" t="s">
        <v>160</v>
      </c>
      <c r="Q8" s="370" t="s">
        <v>160</v>
      </c>
      <c r="R8" s="368"/>
      <c r="S8" s="372" t="s">
        <v>160</v>
      </c>
      <c r="T8" s="370" t="str">
        <f>[2]Base!AF6</f>
        <v>-</v>
      </c>
      <c r="U8" s="368"/>
      <c r="V8" s="372" t="s">
        <v>160</v>
      </c>
      <c r="W8" s="368" t="s">
        <v>160</v>
      </c>
      <c r="X8" s="368" t="s">
        <v>160</v>
      </c>
      <c r="Y8" s="368" t="s">
        <v>160</v>
      </c>
      <c r="Z8" s="368" t="s">
        <v>160</v>
      </c>
      <c r="AA8" s="368" t="s">
        <v>160</v>
      </c>
      <c r="AB8" s="368" t="s">
        <v>160</v>
      </c>
      <c r="AC8" s="368" t="s">
        <v>160</v>
      </c>
      <c r="AD8" s="370" t="s">
        <v>160</v>
      </c>
      <c r="AE8" s="368"/>
      <c r="AF8" s="366">
        <f t="shared" si="1"/>
        <v>39904</v>
      </c>
      <c r="AG8" s="373"/>
      <c r="AH8" s="374"/>
      <c r="AI8" s="374"/>
      <c r="AJ8" s="374"/>
      <c r="AK8" s="374"/>
      <c r="AL8" s="374"/>
      <c r="AM8" s="374"/>
      <c r="AN8" s="374"/>
      <c r="AO8" s="375"/>
      <c r="AP8" s="368"/>
      <c r="AQ8" s="372"/>
      <c r="AR8" s="368"/>
      <c r="AS8" s="368"/>
      <c r="AT8" s="368"/>
      <c r="AU8" s="370"/>
      <c r="AV8" s="368"/>
      <c r="AW8" s="372"/>
      <c r="AX8" s="368"/>
      <c r="AY8" s="368"/>
      <c r="AZ8" s="368"/>
      <c r="BA8" s="370"/>
      <c r="BB8" s="368"/>
      <c r="BC8" s="372"/>
      <c r="BD8" s="370"/>
      <c r="BG8" t="s">
        <v>616</v>
      </c>
      <c r="BH8" t="s">
        <v>1652</v>
      </c>
    </row>
    <row r="9" spans="1:60" ht="12.75" customHeight="1" outlineLevel="1" x14ac:dyDescent="0.2">
      <c r="A9" s="570">
        <v>39934</v>
      </c>
      <c r="B9" s="708">
        <f>IF([1]RENAME!$H$3=0,A9,TEXT(A9,"[$-em-US] mmm-aa;@"))</f>
        <v>39934</v>
      </c>
      <c r="C9" s="365" t="str">
        <f>IF([1]RENAME!$H$3=0,BG9,BH9)</f>
        <v>2T09</v>
      </c>
      <c r="D9" s="366">
        <v>39934</v>
      </c>
      <c r="E9" s="367">
        <f t="shared" si="0"/>
        <v>276850</v>
      </c>
      <c r="F9" s="368">
        <v>237394</v>
      </c>
      <c r="G9" s="370">
        <v>39456</v>
      </c>
      <c r="H9" s="368"/>
      <c r="I9" s="367" t="s">
        <v>160</v>
      </c>
      <c r="J9" s="369" t="s">
        <v>160</v>
      </c>
      <c r="K9" s="371" t="s">
        <v>160</v>
      </c>
      <c r="L9" s="368"/>
      <c r="M9" s="372" t="s">
        <v>160</v>
      </c>
      <c r="N9" s="370" t="s">
        <v>160</v>
      </c>
      <c r="O9" s="368"/>
      <c r="P9" s="372" t="s">
        <v>160</v>
      </c>
      <c r="Q9" s="370" t="s">
        <v>160</v>
      </c>
      <c r="R9" s="368"/>
      <c r="S9" s="372" t="s">
        <v>160</v>
      </c>
      <c r="T9" s="370" t="str">
        <f>[2]Base!AF7</f>
        <v>-</v>
      </c>
      <c r="U9" s="368"/>
      <c r="V9" s="372" t="s">
        <v>160</v>
      </c>
      <c r="W9" s="368" t="s">
        <v>160</v>
      </c>
      <c r="X9" s="368" t="s">
        <v>160</v>
      </c>
      <c r="Y9" s="368" t="s">
        <v>160</v>
      </c>
      <c r="Z9" s="368" t="s">
        <v>160</v>
      </c>
      <c r="AA9" s="368" t="s">
        <v>160</v>
      </c>
      <c r="AB9" s="368" t="s">
        <v>160</v>
      </c>
      <c r="AC9" s="368" t="s">
        <v>160</v>
      </c>
      <c r="AD9" s="370" t="s">
        <v>160</v>
      </c>
      <c r="AE9" s="368"/>
      <c r="AF9" s="366">
        <f t="shared" si="1"/>
        <v>39934</v>
      </c>
      <c r="AG9" s="373"/>
      <c r="AH9" s="374"/>
      <c r="AI9" s="374"/>
      <c r="AJ9" s="374"/>
      <c r="AK9" s="374"/>
      <c r="AL9" s="374"/>
      <c r="AM9" s="374"/>
      <c r="AN9" s="374"/>
      <c r="AO9" s="375"/>
      <c r="AP9" s="368"/>
      <c r="AQ9" s="372"/>
      <c r="AR9" s="368"/>
      <c r="AS9" s="368"/>
      <c r="AT9" s="368"/>
      <c r="AU9" s="370"/>
      <c r="AV9" s="368"/>
      <c r="AW9" s="372"/>
      <c r="AX9" s="368"/>
      <c r="AY9" s="368"/>
      <c r="AZ9" s="368"/>
      <c r="BA9" s="370"/>
      <c r="BB9" s="368"/>
      <c r="BC9" s="372"/>
      <c r="BD9" s="370"/>
      <c r="BG9" t="s">
        <v>616</v>
      </c>
      <c r="BH9" t="s">
        <v>1652</v>
      </c>
    </row>
    <row r="10" spans="1:60" ht="12.75" customHeight="1" outlineLevel="1" x14ac:dyDescent="0.2">
      <c r="A10" s="570">
        <v>39965</v>
      </c>
      <c r="B10" s="708">
        <f>IF([1]RENAME!$H$3=0,A10,TEXT(A10,"[$-em-US] mmm-aa;@"))</f>
        <v>39965</v>
      </c>
      <c r="C10" s="365" t="str">
        <f>IF([1]RENAME!$H$3=0,BG10,BH10)</f>
        <v>2T09</v>
      </c>
      <c r="D10" s="366">
        <v>39965</v>
      </c>
      <c r="E10" s="367">
        <f t="shared" si="0"/>
        <v>341440</v>
      </c>
      <c r="F10" s="368">
        <v>289788</v>
      </c>
      <c r="G10" s="370">
        <v>51652</v>
      </c>
      <c r="H10" s="368"/>
      <c r="I10" s="367" t="s">
        <v>160</v>
      </c>
      <c r="J10" s="369" t="s">
        <v>160</v>
      </c>
      <c r="K10" s="371" t="s">
        <v>160</v>
      </c>
      <c r="L10" s="368"/>
      <c r="M10" s="372" t="s">
        <v>160</v>
      </c>
      <c r="N10" s="370" t="s">
        <v>160</v>
      </c>
      <c r="O10" s="368"/>
      <c r="P10" s="372" t="s">
        <v>160</v>
      </c>
      <c r="Q10" s="370" t="s">
        <v>160</v>
      </c>
      <c r="R10" s="368"/>
      <c r="S10" s="372" t="s">
        <v>160</v>
      </c>
      <c r="T10" s="370" t="str">
        <f>[2]Base!AF8</f>
        <v>-</v>
      </c>
      <c r="U10" s="368"/>
      <c r="V10" s="372" t="s">
        <v>160</v>
      </c>
      <c r="W10" s="368" t="s">
        <v>160</v>
      </c>
      <c r="X10" s="368" t="s">
        <v>160</v>
      </c>
      <c r="Y10" s="368" t="s">
        <v>160</v>
      </c>
      <c r="Z10" s="368" t="s">
        <v>160</v>
      </c>
      <c r="AA10" s="368" t="s">
        <v>160</v>
      </c>
      <c r="AB10" s="368" t="s">
        <v>160</v>
      </c>
      <c r="AC10" s="368" t="s">
        <v>160</v>
      </c>
      <c r="AD10" s="370" t="s">
        <v>160</v>
      </c>
      <c r="AE10" s="368"/>
      <c r="AF10" s="366">
        <f t="shared" si="1"/>
        <v>39965</v>
      </c>
      <c r="AG10" s="373"/>
      <c r="AH10" s="374"/>
      <c r="AI10" s="374"/>
      <c r="AJ10" s="374"/>
      <c r="AK10" s="374"/>
      <c r="AL10" s="374"/>
      <c r="AM10" s="374"/>
      <c r="AN10" s="374"/>
      <c r="AO10" s="375"/>
      <c r="AP10" s="368"/>
      <c r="AQ10" s="372"/>
      <c r="AR10" s="368"/>
      <c r="AS10" s="368"/>
      <c r="AT10" s="368"/>
      <c r="AU10" s="370"/>
      <c r="AV10" s="368"/>
      <c r="AW10" s="372"/>
      <c r="AX10" s="368"/>
      <c r="AY10" s="368"/>
      <c r="AZ10" s="368"/>
      <c r="BA10" s="370"/>
      <c r="BB10" s="368"/>
      <c r="BC10" s="372"/>
      <c r="BD10" s="370"/>
      <c r="BG10" t="s">
        <v>616</v>
      </c>
      <c r="BH10" t="s">
        <v>1652</v>
      </c>
    </row>
    <row r="11" spans="1:60" ht="12.75" customHeight="1" outlineLevel="1" x14ac:dyDescent="0.2">
      <c r="A11" s="570">
        <v>39995</v>
      </c>
      <c r="B11" s="708">
        <f>IF([1]RENAME!$H$3=0,A11,TEXT(A11,"[$-em-US] mmm-aa;@"))</f>
        <v>39995</v>
      </c>
      <c r="C11" s="365" t="str">
        <f>IF([1]RENAME!$H$3=0,BG11,BH11)</f>
        <v>3T09</v>
      </c>
      <c r="D11" s="366">
        <v>39995</v>
      </c>
      <c r="E11" s="367">
        <f t="shared" si="0"/>
        <v>320236</v>
      </c>
      <c r="F11" s="368">
        <v>273597</v>
      </c>
      <c r="G11" s="370">
        <v>46639</v>
      </c>
      <c r="H11" s="368"/>
      <c r="I11" s="367" t="s">
        <v>160</v>
      </c>
      <c r="J11" s="369" t="s">
        <v>160</v>
      </c>
      <c r="K11" s="371" t="s">
        <v>160</v>
      </c>
      <c r="L11" s="368"/>
      <c r="M11" s="372" t="s">
        <v>160</v>
      </c>
      <c r="N11" s="370" t="s">
        <v>160</v>
      </c>
      <c r="O11" s="368"/>
      <c r="P11" s="372" t="s">
        <v>160</v>
      </c>
      <c r="Q11" s="370" t="s">
        <v>160</v>
      </c>
      <c r="R11" s="368"/>
      <c r="S11" s="372" t="s">
        <v>160</v>
      </c>
      <c r="T11" s="370" t="str">
        <f>[2]Base!AF9</f>
        <v>-</v>
      </c>
      <c r="U11" s="368"/>
      <c r="V11" s="372" t="s">
        <v>160</v>
      </c>
      <c r="W11" s="368" t="s">
        <v>160</v>
      </c>
      <c r="X11" s="368" t="s">
        <v>160</v>
      </c>
      <c r="Y11" s="368" t="s">
        <v>160</v>
      </c>
      <c r="Z11" s="368" t="s">
        <v>160</v>
      </c>
      <c r="AA11" s="368" t="s">
        <v>160</v>
      </c>
      <c r="AB11" s="368" t="s">
        <v>160</v>
      </c>
      <c r="AC11" s="368" t="s">
        <v>160</v>
      </c>
      <c r="AD11" s="370" t="s">
        <v>160</v>
      </c>
      <c r="AE11" s="368"/>
      <c r="AF11" s="366">
        <f t="shared" si="1"/>
        <v>39995</v>
      </c>
      <c r="AG11" s="373"/>
      <c r="AH11" s="374"/>
      <c r="AI11" s="374"/>
      <c r="AJ11" s="374"/>
      <c r="AK11" s="374"/>
      <c r="AL11" s="374"/>
      <c r="AM11" s="374"/>
      <c r="AN11" s="374"/>
      <c r="AO11" s="375"/>
      <c r="AP11" s="368"/>
      <c r="AQ11" s="372"/>
      <c r="AR11" s="368"/>
      <c r="AS11" s="368"/>
      <c r="AT11" s="368"/>
      <c r="AU11" s="370"/>
      <c r="AV11" s="368"/>
      <c r="AW11" s="372"/>
      <c r="AX11" s="368"/>
      <c r="AY11" s="368"/>
      <c r="AZ11" s="368"/>
      <c r="BA11" s="370"/>
      <c r="BB11" s="368"/>
      <c r="BC11" s="372"/>
      <c r="BD11" s="370"/>
      <c r="BG11" t="s">
        <v>617</v>
      </c>
      <c r="BH11" t="s">
        <v>1653</v>
      </c>
    </row>
    <row r="12" spans="1:60" ht="12.75" customHeight="1" outlineLevel="1" x14ac:dyDescent="0.2">
      <c r="A12" s="570">
        <v>40026</v>
      </c>
      <c r="B12" s="708">
        <f>IF([1]RENAME!$H$3=0,A12,TEXT(A12,"[$-em-US] mmm-aa;@"))</f>
        <v>40026</v>
      </c>
      <c r="C12" s="365" t="str">
        <f>IF([1]RENAME!$H$3=0,BG12,BH12)</f>
        <v>3T09</v>
      </c>
      <c r="D12" s="366">
        <v>40026</v>
      </c>
      <c r="E12" s="367">
        <f t="shared" si="0"/>
        <v>295373</v>
      </c>
      <c r="F12" s="368">
        <v>247514</v>
      </c>
      <c r="G12" s="370">
        <v>47859</v>
      </c>
      <c r="H12" s="368"/>
      <c r="I12" s="367" t="s">
        <v>160</v>
      </c>
      <c r="J12" s="369" t="s">
        <v>160</v>
      </c>
      <c r="K12" s="371" t="s">
        <v>160</v>
      </c>
      <c r="L12" s="368"/>
      <c r="M12" s="372" t="s">
        <v>160</v>
      </c>
      <c r="N12" s="370" t="s">
        <v>160</v>
      </c>
      <c r="O12" s="368"/>
      <c r="P12" s="372" t="s">
        <v>160</v>
      </c>
      <c r="Q12" s="370" t="s">
        <v>160</v>
      </c>
      <c r="R12" s="368"/>
      <c r="S12" s="372" t="s">
        <v>160</v>
      </c>
      <c r="T12" s="370" t="str">
        <f>[2]Base!AF10</f>
        <v>-</v>
      </c>
      <c r="U12" s="368"/>
      <c r="V12" s="372" t="s">
        <v>160</v>
      </c>
      <c r="W12" s="368" t="s">
        <v>160</v>
      </c>
      <c r="X12" s="368" t="s">
        <v>160</v>
      </c>
      <c r="Y12" s="368" t="s">
        <v>160</v>
      </c>
      <c r="Z12" s="368" t="s">
        <v>160</v>
      </c>
      <c r="AA12" s="368" t="s">
        <v>160</v>
      </c>
      <c r="AB12" s="368" t="s">
        <v>160</v>
      </c>
      <c r="AC12" s="368" t="s">
        <v>160</v>
      </c>
      <c r="AD12" s="370" t="s">
        <v>160</v>
      </c>
      <c r="AE12" s="368"/>
      <c r="AF12" s="366">
        <f t="shared" si="1"/>
        <v>40026</v>
      </c>
      <c r="AG12" s="373"/>
      <c r="AH12" s="374"/>
      <c r="AI12" s="374"/>
      <c r="AJ12" s="374"/>
      <c r="AK12" s="374"/>
      <c r="AL12" s="374"/>
      <c r="AM12" s="374"/>
      <c r="AN12" s="374"/>
      <c r="AO12" s="375"/>
      <c r="AP12" s="368"/>
      <c r="AQ12" s="372"/>
      <c r="AR12" s="368"/>
      <c r="AS12" s="368"/>
      <c r="AT12" s="368"/>
      <c r="AU12" s="370"/>
      <c r="AV12" s="368"/>
      <c r="AW12" s="372"/>
      <c r="AX12" s="368"/>
      <c r="AY12" s="368"/>
      <c r="AZ12" s="368"/>
      <c r="BA12" s="370"/>
      <c r="BB12" s="368"/>
      <c r="BC12" s="372"/>
      <c r="BD12" s="370"/>
      <c r="BG12" t="s">
        <v>617</v>
      </c>
      <c r="BH12" t="s">
        <v>1653</v>
      </c>
    </row>
    <row r="13" spans="1:60" ht="12.75" customHeight="1" outlineLevel="1" x14ac:dyDescent="0.2">
      <c r="A13" s="570">
        <v>40057</v>
      </c>
      <c r="B13" s="708">
        <f>IF([1]RENAME!$H$3=0,A13,TEXT(A13,"[$-em-US] mmm-aa;@"))</f>
        <v>40057</v>
      </c>
      <c r="C13" s="365" t="str">
        <f>IF([1]RENAME!$H$3=0,BG13,BH13)</f>
        <v>3T09</v>
      </c>
      <c r="D13" s="366">
        <v>40057</v>
      </c>
      <c r="E13" s="367">
        <f t="shared" si="0"/>
        <v>340295</v>
      </c>
      <c r="F13" s="368">
        <v>296661</v>
      </c>
      <c r="G13" s="370">
        <v>43634</v>
      </c>
      <c r="H13" s="368"/>
      <c r="I13" s="367" t="s">
        <v>160</v>
      </c>
      <c r="J13" s="369" t="s">
        <v>160</v>
      </c>
      <c r="K13" s="371" t="s">
        <v>160</v>
      </c>
      <c r="L13" s="368"/>
      <c r="M13" s="372" t="s">
        <v>160</v>
      </c>
      <c r="N13" s="370" t="s">
        <v>160</v>
      </c>
      <c r="O13" s="368"/>
      <c r="P13" s="372" t="s">
        <v>160</v>
      </c>
      <c r="Q13" s="370" t="s">
        <v>160</v>
      </c>
      <c r="R13" s="368"/>
      <c r="S13" s="372" t="s">
        <v>160</v>
      </c>
      <c r="T13" s="370" t="str">
        <f>[2]Base!AF11</f>
        <v>-</v>
      </c>
      <c r="U13" s="368"/>
      <c r="V13" s="372" t="s">
        <v>160</v>
      </c>
      <c r="W13" s="368" t="s">
        <v>160</v>
      </c>
      <c r="X13" s="368" t="s">
        <v>160</v>
      </c>
      <c r="Y13" s="368" t="s">
        <v>160</v>
      </c>
      <c r="Z13" s="368" t="s">
        <v>160</v>
      </c>
      <c r="AA13" s="368" t="s">
        <v>160</v>
      </c>
      <c r="AB13" s="368" t="s">
        <v>160</v>
      </c>
      <c r="AC13" s="368" t="s">
        <v>160</v>
      </c>
      <c r="AD13" s="370" t="s">
        <v>160</v>
      </c>
      <c r="AE13" s="368"/>
      <c r="AF13" s="366">
        <f t="shared" si="1"/>
        <v>40057</v>
      </c>
      <c r="AG13" s="373"/>
      <c r="AH13" s="374"/>
      <c r="AI13" s="374"/>
      <c r="AJ13" s="374"/>
      <c r="AK13" s="374"/>
      <c r="AL13" s="374"/>
      <c r="AM13" s="374"/>
      <c r="AN13" s="374"/>
      <c r="AO13" s="375"/>
      <c r="AP13" s="368"/>
      <c r="AQ13" s="372"/>
      <c r="AR13" s="368"/>
      <c r="AS13" s="368"/>
      <c r="AT13" s="368"/>
      <c r="AU13" s="370"/>
      <c r="AV13" s="368"/>
      <c r="AW13" s="372"/>
      <c r="AX13" s="368"/>
      <c r="AY13" s="368"/>
      <c r="AZ13" s="368"/>
      <c r="BA13" s="370"/>
      <c r="BB13" s="368"/>
      <c r="BC13" s="372"/>
      <c r="BD13" s="370"/>
      <c r="BG13" t="s">
        <v>617</v>
      </c>
      <c r="BH13" t="s">
        <v>1653</v>
      </c>
    </row>
    <row r="14" spans="1:60" ht="12.75" customHeight="1" outlineLevel="1" x14ac:dyDescent="0.2">
      <c r="A14" s="570">
        <v>40087</v>
      </c>
      <c r="B14" s="708">
        <f>IF([1]RENAME!$H$3=0,A14,TEXT(A14,"[$-em-US] mmm-aa;@"))</f>
        <v>40087</v>
      </c>
      <c r="C14" s="365" t="str">
        <f>IF([1]RENAME!$H$3=0,BG14,BH14)</f>
        <v>4T09</v>
      </c>
      <c r="D14" s="366">
        <v>40087</v>
      </c>
      <c r="E14" s="367">
        <f t="shared" si="0"/>
        <v>327884</v>
      </c>
      <c r="F14" s="368">
        <v>281279</v>
      </c>
      <c r="G14" s="370">
        <v>46605</v>
      </c>
      <c r="H14" s="368"/>
      <c r="I14" s="367" t="s">
        <v>160</v>
      </c>
      <c r="J14" s="369" t="s">
        <v>160</v>
      </c>
      <c r="K14" s="371" t="s">
        <v>160</v>
      </c>
      <c r="L14" s="368"/>
      <c r="M14" s="372" t="s">
        <v>160</v>
      </c>
      <c r="N14" s="370" t="s">
        <v>160</v>
      </c>
      <c r="O14" s="368"/>
      <c r="P14" s="372" t="s">
        <v>160</v>
      </c>
      <c r="Q14" s="370" t="s">
        <v>160</v>
      </c>
      <c r="R14" s="368"/>
      <c r="S14" s="372" t="s">
        <v>160</v>
      </c>
      <c r="T14" s="370" t="str">
        <f>[2]Base!AF12</f>
        <v>-</v>
      </c>
      <c r="U14" s="368"/>
      <c r="V14" s="372" t="s">
        <v>160</v>
      </c>
      <c r="W14" s="368" t="s">
        <v>160</v>
      </c>
      <c r="X14" s="368" t="s">
        <v>160</v>
      </c>
      <c r="Y14" s="368" t="s">
        <v>160</v>
      </c>
      <c r="Z14" s="368" t="s">
        <v>160</v>
      </c>
      <c r="AA14" s="368" t="s">
        <v>160</v>
      </c>
      <c r="AB14" s="368" t="s">
        <v>160</v>
      </c>
      <c r="AC14" s="368" t="s">
        <v>160</v>
      </c>
      <c r="AD14" s="370" t="s">
        <v>160</v>
      </c>
      <c r="AE14" s="368"/>
      <c r="AF14" s="366">
        <f t="shared" si="1"/>
        <v>40087</v>
      </c>
      <c r="AG14" s="373"/>
      <c r="AH14" s="374"/>
      <c r="AI14" s="374"/>
      <c r="AJ14" s="374"/>
      <c r="AK14" s="374"/>
      <c r="AL14" s="374"/>
      <c r="AM14" s="374"/>
      <c r="AN14" s="374"/>
      <c r="AO14" s="375"/>
      <c r="AP14" s="368"/>
      <c r="AQ14" s="372"/>
      <c r="AR14" s="368"/>
      <c r="AS14" s="368"/>
      <c r="AT14" s="368"/>
      <c r="AU14" s="370"/>
      <c r="AV14" s="368"/>
      <c r="AW14" s="372"/>
      <c r="AX14" s="368"/>
      <c r="AY14" s="368"/>
      <c r="AZ14" s="368"/>
      <c r="BA14" s="370"/>
      <c r="BB14" s="368"/>
      <c r="BC14" s="372"/>
      <c r="BD14" s="370"/>
      <c r="BG14" t="s">
        <v>618</v>
      </c>
      <c r="BH14" t="s">
        <v>1654</v>
      </c>
    </row>
    <row r="15" spans="1:60" ht="12.75" customHeight="1" outlineLevel="1" x14ac:dyDescent="0.2">
      <c r="A15" s="570">
        <v>40118</v>
      </c>
      <c r="B15" s="708">
        <f>IF([1]RENAME!$H$3=0,A15,TEXT(A15,"[$-em-US] mmm-aa;@"))</f>
        <v>40118</v>
      </c>
      <c r="C15" s="365" t="str">
        <f>IF([1]RENAME!$H$3=0,BG15,BH15)</f>
        <v>4T09</v>
      </c>
      <c r="D15" s="366">
        <v>40118</v>
      </c>
      <c r="E15" s="367">
        <f t="shared" si="0"/>
        <v>275505</v>
      </c>
      <c r="F15" s="368">
        <v>238424</v>
      </c>
      <c r="G15" s="370">
        <v>37081</v>
      </c>
      <c r="H15" s="368"/>
      <c r="I15" s="367" t="s">
        <v>160</v>
      </c>
      <c r="J15" s="369" t="s">
        <v>160</v>
      </c>
      <c r="K15" s="371" t="s">
        <v>160</v>
      </c>
      <c r="L15" s="368"/>
      <c r="M15" s="372" t="s">
        <v>160</v>
      </c>
      <c r="N15" s="370" t="s">
        <v>160</v>
      </c>
      <c r="O15" s="368"/>
      <c r="P15" s="372" t="s">
        <v>160</v>
      </c>
      <c r="Q15" s="370" t="s">
        <v>160</v>
      </c>
      <c r="R15" s="368"/>
      <c r="S15" s="372" t="s">
        <v>160</v>
      </c>
      <c r="T15" s="370" t="str">
        <f>[2]Base!AF13</f>
        <v>-</v>
      </c>
      <c r="U15" s="368"/>
      <c r="V15" s="372" t="s">
        <v>160</v>
      </c>
      <c r="W15" s="368" t="s">
        <v>160</v>
      </c>
      <c r="X15" s="368" t="s">
        <v>160</v>
      </c>
      <c r="Y15" s="368" t="s">
        <v>160</v>
      </c>
      <c r="Z15" s="368" t="s">
        <v>160</v>
      </c>
      <c r="AA15" s="368" t="s">
        <v>160</v>
      </c>
      <c r="AB15" s="368" t="s">
        <v>160</v>
      </c>
      <c r="AC15" s="368" t="s">
        <v>160</v>
      </c>
      <c r="AD15" s="370" t="s">
        <v>160</v>
      </c>
      <c r="AE15" s="368"/>
      <c r="AF15" s="366">
        <f t="shared" si="1"/>
        <v>40118</v>
      </c>
      <c r="AG15" s="373"/>
      <c r="AH15" s="374"/>
      <c r="AI15" s="374"/>
      <c r="AJ15" s="374"/>
      <c r="AK15" s="374"/>
      <c r="AL15" s="374"/>
      <c r="AM15" s="374"/>
      <c r="AN15" s="374"/>
      <c r="AO15" s="375"/>
      <c r="AP15" s="368"/>
      <c r="AQ15" s="372"/>
      <c r="AR15" s="368"/>
      <c r="AS15" s="368"/>
      <c r="AT15" s="368"/>
      <c r="AU15" s="370"/>
      <c r="AV15" s="368"/>
      <c r="AW15" s="372"/>
      <c r="AX15" s="368"/>
      <c r="AY15" s="368"/>
      <c r="AZ15" s="368"/>
      <c r="BA15" s="370"/>
      <c r="BB15" s="368"/>
      <c r="BC15" s="372"/>
      <c r="BD15" s="370"/>
      <c r="BG15" t="s">
        <v>618</v>
      </c>
      <c r="BH15" t="s">
        <v>1654</v>
      </c>
    </row>
    <row r="16" spans="1:60" ht="12.75" customHeight="1" outlineLevel="1" x14ac:dyDescent="0.2">
      <c r="A16" s="570">
        <v>40148</v>
      </c>
      <c r="B16" s="708">
        <f>IF([1]RENAME!$H$3=0,A16,TEXT(A16,"[$-em-US] mmm-aa;@"))</f>
        <v>40148</v>
      </c>
      <c r="C16" s="365" t="str">
        <f>IF([1]RENAME!$H$3=0,BG16,BH16)</f>
        <v>4T09</v>
      </c>
      <c r="D16" s="366">
        <v>40148</v>
      </c>
      <c r="E16" s="367">
        <f t="shared" si="0"/>
        <v>313765</v>
      </c>
      <c r="F16" s="368">
        <v>277822</v>
      </c>
      <c r="G16" s="370">
        <v>35943</v>
      </c>
      <c r="H16" s="368"/>
      <c r="I16" s="367" t="s">
        <v>160</v>
      </c>
      <c r="J16" s="369" t="s">
        <v>160</v>
      </c>
      <c r="K16" s="371" t="s">
        <v>160</v>
      </c>
      <c r="L16" s="368"/>
      <c r="M16" s="372" t="s">
        <v>160</v>
      </c>
      <c r="N16" s="370" t="s">
        <v>160</v>
      </c>
      <c r="O16" s="368"/>
      <c r="P16" s="372" t="s">
        <v>160</v>
      </c>
      <c r="Q16" s="370" t="s">
        <v>160</v>
      </c>
      <c r="R16" s="368"/>
      <c r="S16" s="372" t="s">
        <v>160</v>
      </c>
      <c r="T16" s="370" t="str">
        <f>[2]Base!AF14</f>
        <v>-</v>
      </c>
      <c r="U16" s="368"/>
      <c r="V16" s="372" t="s">
        <v>160</v>
      </c>
      <c r="W16" s="368" t="s">
        <v>160</v>
      </c>
      <c r="X16" s="368" t="s">
        <v>160</v>
      </c>
      <c r="Y16" s="368" t="s">
        <v>160</v>
      </c>
      <c r="Z16" s="368" t="s">
        <v>160</v>
      </c>
      <c r="AA16" s="368" t="s">
        <v>160</v>
      </c>
      <c r="AB16" s="368" t="s">
        <v>160</v>
      </c>
      <c r="AC16" s="368" t="s">
        <v>160</v>
      </c>
      <c r="AD16" s="370" t="s">
        <v>160</v>
      </c>
      <c r="AE16" s="368"/>
      <c r="AF16" s="366">
        <f t="shared" si="1"/>
        <v>40148</v>
      </c>
      <c r="AG16" s="373"/>
      <c r="AH16" s="374"/>
      <c r="AI16" s="374"/>
      <c r="AJ16" s="374"/>
      <c r="AK16" s="374"/>
      <c r="AL16" s="374"/>
      <c r="AM16" s="374"/>
      <c r="AN16" s="374"/>
      <c r="AO16" s="375"/>
      <c r="AP16" s="368"/>
      <c r="AQ16" s="372"/>
      <c r="AR16" s="368"/>
      <c r="AS16" s="368"/>
      <c r="AT16" s="368"/>
      <c r="AU16" s="370"/>
      <c r="AV16" s="368"/>
      <c r="AW16" s="372"/>
      <c r="AX16" s="368"/>
      <c r="AY16" s="368"/>
      <c r="AZ16" s="368"/>
      <c r="BA16" s="370"/>
      <c r="BB16" s="368"/>
      <c r="BC16" s="372"/>
      <c r="BD16" s="370"/>
      <c r="BG16" t="s">
        <v>618</v>
      </c>
      <c r="BH16" t="s">
        <v>1654</v>
      </c>
    </row>
    <row r="17" spans="1:60" ht="12.75" customHeight="1" outlineLevel="1" x14ac:dyDescent="0.2">
      <c r="A17" s="570">
        <v>40179</v>
      </c>
      <c r="B17" s="708">
        <f>IF([1]RENAME!$H$3=0,A17,TEXT(A17,"[$-em-US] mmm-aa;@"))</f>
        <v>40179</v>
      </c>
      <c r="C17" s="365" t="str">
        <f>IF([1]RENAME!$H$3=0,BG17,BH17)</f>
        <v>1T10</v>
      </c>
      <c r="D17" s="366">
        <v>40179</v>
      </c>
      <c r="E17" s="367">
        <f t="shared" si="0"/>
        <v>218346</v>
      </c>
      <c r="F17" s="368">
        <v>201709</v>
      </c>
      <c r="G17" s="370">
        <v>16637</v>
      </c>
      <c r="H17" s="368"/>
      <c r="I17" s="367" t="s">
        <v>160</v>
      </c>
      <c r="J17" s="369" t="s">
        <v>160</v>
      </c>
      <c r="K17" s="371" t="s">
        <v>160</v>
      </c>
      <c r="L17" s="368"/>
      <c r="M17" s="372">
        <v>218952</v>
      </c>
      <c r="N17" s="370"/>
      <c r="O17" s="368"/>
      <c r="P17" s="372" t="s">
        <v>160</v>
      </c>
      <c r="Q17" s="370" t="s">
        <v>160</v>
      </c>
      <c r="R17" s="368"/>
      <c r="S17" s="372" t="s">
        <v>160</v>
      </c>
      <c r="T17" s="370" t="str">
        <f>[2]Base!AF15</f>
        <v>-</v>
      </c>
      <c r="U17" s="368"/>
      <c r="V17" s="372" t="s">
        <v>160</v>
      </c>
      <c r="W17" s="368" t="s">
        <v>160</v>
      </c>
      <c r="X17" s="368" t="s">
        <v>160</v>
      </c>
      <c r="Y17" s="368" t="s">
        <v>160</v>
      </c>
      <c r="Z17" s="368" t="s">
        <v>160</v>
      </c>
      <c r="AA17" s="368" t="s">
        <v>160</v>
      </c>
      <c r="AB17" s="368" t="s">
        <v>160</v>
      </c>
      <c r="AC17" s="368" t="s">
        <v>160</v>
      </c>
      <c r="AD17" s="370" t="s">
        <v>160</v>
      </c>
      <c r="AE17" s="368"/>
      <c r="AF17" s="366">
        <f t="shared" si="1"/>
        <v>40179</v>
      </c>
      <c r="AG17" s="373"/>
      <c r="AH17" s="374"/>
      <c r="AI17" s="374"/>
      <c r="AJ17" s="374"/>
      <c r="AK17" s="374"/>
      <c r="AL17" s="374"/>
      <c r="AM17" s="374"/>
      <c r="AN17" s="374"/>
      <c r="AO17" s="375"/>
      <c r="AP17" s="368"/>
      <c r="AQ17" s="372"/>
      <c r="AR17" s="368"/>
      <c r="AS17" s="368"/>
      <c r="AT17" s="368"/>
      <c r="AU17" s="370"/>
      <c r="AV17" s="368"/>
      <c r="AW17" s="372"/>
      <c r="AX17" s="368"/>
      <c r="AY17" s="368"/>
      <c r="AZ17" s="368"/>
      <c r="BA17" s="370"/>
      <c r="BB17" s="368"/>
      <c r="BC17" s="372"/>
      <c r="BD17" s="370"/>
      <c r="BG17" t="s">
        <v>619</v>
      </c>
      <c r="BH17" t="s">
        <v>1655</v>
      </c>
    </row>
    <row r="18" spans="1:60" ht="12.75" customHeight="1" outlineLevel="1" x14ac:dyDescent="0.2">
      <c r="A18" s="570">
        <v>40210</v>
      </c>
      <c r="B18" s="708">
        <f>IF([1]RENAME!$H$3=0,A18,TEXT(A18,"[$-em-US] mmm-aa;@"))</f>
        <v>40210</v>
      </c>
      <c r="C18" s="365" t="str">
        <f>IF([1]RENAME!$H$3=0,BG18,BH18)</f>
        <v>1T10</v>
      </c>
      <c r="D18" s="366">
        <v>40210</v>
      </c>
      <c r="E18" s="367">
        <f t="shared" si="0"/>
        <v>232812</v>
      </c>
      <c r="F18" s="368">
        <v>211358</v>
      </c>
      <c r="G18" s="370">
        <v>21454</v>
      </c>
      <c r="H18" s="368"/>
      <c r="I18" s="367" t="s">
        <v>160</v>
      </c>
      <c r="J18" s="369" t="s">
        <v>160</v>
      </c>
      <c r="K18" s="371" t="s">
        <v>160</v>
      </c>
      <c r="L18" s="368"/>
      <c r="M18" s="372">
        <v>220416</v>
      </c>
      <c r="N18" s="370"/>
      <c r="O18" s="368"/>
      <c r="P18" s="372" t="s">
        <v>160</v>
      </c>
      <c r="Q18" s="370" t="s">
        <v>160</v>
      </c>
      <c r="R18" s="368"/>
      <c r="S18" s="372" t="s">
        <v>160</v>
      </c>
      <c r="T18" s="370" t="str">
        <f>[2]Base!AF16</f>
        <v>-</v>
      </c>
      <c r="U18" s="368"/>
      <c r="V18" s="372" t="s">
        <v>160</v>
      </c>
      <c r="W18" s="368" t="s">
        <v>160</v>
      </c>
      <c r="X18" s="368" t="s">
        <v>160</v>
      </c>
      <c r="Y18" s="368" t="s">
        <v>160</v>
      </c>
      <c r="Z18" s="368" t="s">
        <v>160</v>
      </c>
      <c r="AA18" s="368" t="s">
        <v>160</v>
      </c>
      <c r="AB18" s="368" t="s">
        <v>160</v>
      </c>
      <c r="AC18" s="368" t="s">
        <v>160</v>
      </c>
      <c r="AD18" s="370" t="s">
        <v>160</v>
      </c>
      <c r="AE18" s="368"/>
      <c r="AF18" s="366">
        <f t="shared" si="1"/>
        <v>40210</v>
      </c>
      <c r="AG18" s="373"/>
      <c r="AH18" s="374"/>
      <c r="AI18" s="374"/>
      <c r="AJ18" s="374"/>
      <c r="AK18" s="374"/>
      <c r="AL18" s="374"/>
      <c r="AM18" s="374"/>
      <c r="AN18" s="374"/>
      <c r="AO18" s="375"/>
      <c r="AP18" s="368"/>
      <c r="AQ18" s="372"/>
      <c r="AR18" s="368"/>
      <c r="AS18" s="368"/>
      <c r="AT18" s="368"/>
      <c r="AU18" s="370"/>
      <c r="AV18" s="368"/>
      <c r="AW18" s="372"/>
      <c r="AX18" s="368"/>
      <c r="AY18" s="368"/>
      <c r="AZ18" s="368"/>
      <c r="BA18" s="370"/>
      <c r="BB18" s="368"/>
      <c r="BC18" s="372"/>
      <c r="BD18" s="370"/>
      <c r="BG18" t="s">
        <v>619</v>
      </c>
      <c r="BH18" t="s">
        <v>1655</v>
      </c>
    </row>
    <row r="19" spans="1:60" ht="12.75" customHeight="1" outlineLevel="1" x14ac:dyDescent="0.2">
      <c r="A19" s="570">
        <v>40238</v>
      </c>
      <c r="B19" s="708">
        <f>IF([1]RENAME!$H$3=0,A19,TEXT(A19,"[$-em-US] mmm-aa;@"))</f>
        <v>40238</v>
      </c>
      <c r="C19" s="365" t="str">
        <f>IF([1]RENAME!$H$3=0,BG19,BH19)</f>
        <v>1T10</v>
      </c>
      <c r="D19" s="366">
        <v>40238</v>
      </c>
      <c r="E19" s="367">
        <f t="shared" si="0"/>
        <v>362171</v>
      </c>
      <c r="F19" s="368">
        <v>337352</v>
      </c>
      <c r="G19" s="370">
        <v>24819</v>
      </c>
      <c r="H19" s="368"/>
      <c r="I19" s="367" t="s">
        <v>160</v>
      </c>
      <c r="J19" s="369" t="s">
        <v>160</v>
      </c>
      <c r="K19" s="371" t="s">
        <v>160</v>
      </c>
      <c r="L19" s="368"/>
      <c r="M19" s="372">
        <v>297384</v>
      </c>
      <c r="N19" s="370"/>
      <c r="O19" s="368"/>
      <c r="P19" s="372" t="s">
        <v>160</v>
      </c>
      <c r="Q19" s="370" t="s">
        <v>160</v>
      </c>
      <c r="R19" s="368"/>
      <c r="S19" s="372" t="s">
        <v>160</v>
      </c>
      <c r="T19" s="370" t="str">
        <f>[2]Base!AF17</f>
        <v>-</v>
      </c>
      <c r="U19" s="368"/>
      <c r="V19" s="372" t="s">
        <v>160</v>
      </c>
      <c r="W19" s="368" t="s">
        <v>160</v>
      </c>
      <c r="X19" s="368" t="s">
        <v>160</v>
      </c>
      <c r="Y19" s="368" t="s">
        <v>160</v>
      </c>
      <c r="Z19" s="368" t="s">
        <v>160</v>
      </c>
      <c r="AA19" s="368" t="s">
        <v>160</v>
      </c>
      <c r="AB19" s="368" t="s">
        <v>160</v>
      </c>
      <c r="AC19" s="368" t="s">
        <v>160</v>
      </c>
      <c r="AD19" s="370" t="s">
        <v>160</v>
      </c>
      <c r="AE19" s="368"/>
      <c r="AF19" s="366">
        <f t="shared" si="1"/>
        <v>40238</v>
      </c>
      <c r="AG19" s="373"/>
      <c r="AH19" s="374"/>
      <c r="AI19" s="374"/>
      <c r="AJ19" s="374"/>
      <c r="AK19" s="374"/>
      <c r="AL19" s="374"/>
      <c r="AM19" s="374"/>
      <c r="AN19" s="374"/>
      <c r="AO19" s="375"/>
      <c r="AP19" s="368"/>
      <c r="AQ19" s="372"/>
      <c r="AR19" s="368"/>
      <c r="AS19" s="368"/>
      <c r="AT19" s="368"/>
      <c r="AU19" s="370"/>
      <c r="AV19" s="368"/>
      <c r="AW19" s="372"/>
      <c r="AX19" s="368"/>
      <c r="AY19" s="368"/>
      <c r="AZ19" s="368"/>
      <c r="BA19" s="370"/>
      <c r="BB19" s="368"/>
      <c r="BC19" s="372"/>
      <c r="BD19" s="370"/>
      <c r="BG19" t="s">
        <v>619</v>
      </c>
      <c r="BH19" t="s">
        <v>1655</v>
      </c>
    </row>
    <row r="20" spans="1:60" ht="12.75" customHeight="1" outlineLevel="1" x14ac:dyDescent="0.2">
      <c r="A20" s="570">
        <v>40269</v>
      </c>
      <c r="B20" s="708">
        <f>IF([1]RENAME!$H$3=0,A20,TEXT(A20,"[$-em-US] mmm-aa;@"))</f>
        <v>40269</v>
      </c>
      <c r="C20" s="365" t="str">
        <f>IF([1]RENAME!$H$3=0,BG20,BH20)</f>
        <v>2T10</v>
      </c>
      <c r="D20" s="366">
        <v>40269</v>
      </c>
      <c r="E20" s="367">
        <f t="shared" si="0"/>
        <v>286518</v>
      </c>
      <c r="F20" s="368">
        <v>261877</v>
      </c>
      <c r="G20" s="370">
        <v>24641</v>
      </c>
      <c r="H20" s="368"/>
      <c r="I20" s="367" t="s">
        <v>160</v>
      </c>
      <c r="J20" s="369" t="s">
        <v>160</v>
      </c>
      <c r="K20" s="371" t="s">
        <v>160</v>
      </c>
      <c r="L20" s="368"/>
      <c r="M20" s="372">
        <v>255727</v>
      </c>
      <c r="N20" s="370"/>
      <c r="O20" s="368"/>
      <c r="P20" s="372" t="s">
        <v>160</v>
      </c>
      <c r="Q20" s="370" t="s">
        <v>160</v>
      </c>
      <c r="R20" s="368"/>
      <c r="S20" s="372" t="s">
        <v>160</v>
      </c>
      <c r="T20" s="370" t="str">
        <f>[2]Base!AF18</f>
        <v>-</v>
      </c>
      <c r="U20" s="368"/>
      <c r="V20" s="372" t="s">
        <v>160</v>
      </c>
      <c r="W20" s="368" t="s">
        <v>160</v>
      </c>
      <c r="X20" s="368" t="s">
        <v>160</v>
      </c>
      <c r="Y20" s="368" t="s">
        <v>160</v>
      </c>
      <c r="Z20" s="368" t="s">
        <v>160</v>
      </c>
      <c r="AA20" s="368" t="s">
        <v>160</v>
      </c>
      <c r="AB20" s="368" t="s">
        <v>160</v>
      </c>
      <c r="AC20" s="368" t="s">
        <v>160</v>
      </c>
      <c r="AD20" s="370" t="s">
        <v>160</v>
      </c>
      <c r="AE20" s="368"/>
      <c r="AF20" s="366">
        <f t="shared" si="1"/>
        <v>40269</v>
      </c>
      <c r="AG20" s="373"/>
      <c r="AH20" s="374"/>
      <c r="AI20" s="374"/>
      <c r="AJ20" s="374"/>
      <c r="AK20" s="374"/>
      <c r="AL20" s="374"/>
      <c r="AM20" s="374"/>
      <c r="AN20" s="374"/>
      <c r="AO20" s="375"/>
      <c r="AP20" s="368"/>
      <c r="AQ20" s="372"/>
      <c r="AR20" s="368"/>
      <c r="AS20" s="368"/>
      <c r="AT20" s="368"/>
      <c r="AU20" s="370"/>
      <c r="AV20" s="368"/>
      <c r="AW20" s="372"/>
      <c r="AX20" s="368"/>
      <c r="AY20" s="368"/>
      <c r="AZ20" s="368"/>
      <c r="BA20" s="370"/>
      <c r="BB20" s="368"/>
      <c r="BC20" s="372"/>
      <c r="BD20" s="370"/>
      <c r="BG20" t="s">
        <v>620</v>
      </c>
      <c r="BH20" t="s">
        <v>1656</v>
      </c>
    </row>
    <row r="21" spans="1:60" ht="12.75" customHeight="1" outlineLevel="1" x14ac:dyDescent="0.2">
      <c r="A21" s="570">
        <v>40299</v>
      </c>
      <c r="B21" s="708">
        <f>IF([1]RENAME!$H$3=0,A21,TEXT(A21,"[$-em-US] mmm-aa;@"))</f>
        <v>40299</v>
      </c>
      <c r="C21" s="365" t="str">
        <f>IF([1]RENAME!$H$3=0,BG21,BH21)</f>
        <v>2T10</v>
      </c>
      <c r="D21" s="366">
        <v>40299</v>
      </c>
      <c r="E21" s="367">
        <f t="shared" si="0"/>
        <v>267235</v>
      </c>
      <c r="F21" s="368">
        <v>235743</v>
      </c>
      <c r="G21" s="370">
        <v>31492</v>
      </c>
      <c r="H21" s="368"/>
      <c r="I21" s="367" t="s">
        <v>160</v>
      </c>
      <c r="J21" s="369" t="s">
        <v>160</v>
      </c>
      <c r="K21" s="371" t="s">
        <v>160</v>
      </c>
      <c r="L21" s="368"/>
      <c r="M21" s="372">
        <v>277885</v>
      </c>
      <c r="N21" s="370"/>
      <c r="O21" s="368"/>
      <c r="P21" s="372" t="s">
        <v>160</v>
      </c>
      <c r="Q21" s="370" t="s">
        <v>160</v>
      </c>
      <c r="R21" s="368"/>
      <c r="S21" s="372" t="s">
        <v>160</v>
      </c>
      <c r="T21" s="370" t="str">
        <f>[2]Base!AF19</f>
        <v>-</v>
      </c>
      <c r="U21" s="368"/>
      <c r="V21" s="372" t="s">
        <v>160</v>
      </c>
      <c r="W21" s="368" t="s">
        <v>160</v>
      </c>
      <c r="X21" s="368" t="s">
        <v>160</v>
      </c>
      <c r="Y21" s="368" t="s">
        <v>160</v>
      </c>
      <c r="Z21" s="368" t="s">
        <v>160</v>
      </c>
      <c r="AA21" s="368" t="s">
        <v>160</v>
      </c>
      <c r="AB21" s="368" t="s">
        <v>160</v>
      </c>
      <c r="AC21" s="368" t="s">
        <v>160</v>
      </c>
      <c r="AD21" s="370" t="s">
        <v>160</v>
      </c>
      <c r="AE21" s="368"/>
      <c r="AF21" s="366">
        <f t="shared" si="1"/>
        <v>40299</v>
      </c>
      <c r="AG21" s="373"/>
      <c r="AH21" s="374"/>
      <c r="AI21" s="374"/>
      <c r="AJ21" s="374"/>
      <c r="AK21" s="374"/>
      <c r="AL21" s="374"/>
      <c r="AM21" s="374"/>
      <c r="AN21" s="374"/>
      <c r="AO21" s="375"/>
      <c r="AP21" s="368"/>
      <c r="AQ21" s="372"/>
      <c r="AR21" s="368"/>
      <c r="AS21" s="368"/>
      <c r="AT21" s="368"/>
      <c r="AU21" s="370"/>
      <c r="AV21" s="368"/>
      <c r="AW21" s="372"/>
      <c r="AX21" s="368"/>
      <c r="AY21" s="368"/>
      <c r="AZ21" s="368"/>
      <c r="BA21" s="370"/>
      <c r="BB21" s="368"/>
      <c r="BC21" s="372"/>
      <c r="BD21" s="370"/>
      <c r="BG21" t="s">
        <v>620</v>
      </c>
      <c r="BH21" t="s">
        <v>1656</v>
      </c>
    </row>
    <row r="22" spans="1:60" ht="12.75" customHeight="1" outlineLevel="1" x14ac:dyDescent="0.2">
      <c r="A22" s="570">
        <v>40330</v>
      </c>
      <c r="B22" s="708">
        <f>IF([1]RENAME!$H$3=0,A22,TEXT(A22,"[$-em-US] mmm-aa;@"))</f>
        <v>40330</v>
      </c>
      <c r="C22" s="365" t="str">
        <f>IF([1]RENAME!$H$3=0,BG22,BH22)</f>
        <v>2T10</v>
      </c>
      <c r="D22" s="366">
        <v>40330</v>
      </c>
      <c r="E22" s="367">
        <f t="shared" si="0"/>
        <v>277620</v>
      </c>
      <c r="F22" s="368">
        <v>247489</v>
      </c>
      <c r="G22" s="370">
        <v>30131</v>
      </c>
      <c r="H22" s="368"/>
      <c r="I22" s="367" t="s">
        <v>160</v>
      </c>
      <c r="J22" s="369" t="s">
        <v>160</v>
      </c>
      <c r="K22" s="371" t="s">
        <v>160</v>
      </c>
      <c r="L22" s="368"/>
      <c r="M22" s="372">
        <v>264028</v>
      </c>
      <c r="N22" s="370"/>
      <c r="O22" s="368"/>
      <c r="P22" s="372" t="s">
        <v>160</v>
      </c>
      <c r="Q22" s="370" t="s">
        <v>160</v>
      </c>
      <c r="R22" s="368"/>
      <c r="S22" s="372" t="s">
        <v>160</v>
      </c>
      <c r="T22" s="370" t="str">
        <f>[2]Base!AF20</f>
        <v>-</v>
      </c>
      <c r="U22" s="368"/>
      <c r="V22" s="372" t="s">
        <v>160</v>
      </c>
      <c r="W22" s="368" t="s">
        <v>160</v>
      </c>
      <c r="X22" s="368" t="s">
        <v>160</v>
      </c>
      <c r="Y22" s="368" t="s">
        <v>160</v>
      </c>
      <c r="Z22" s="368" t="s">
        <v>160</v>
      </c>
      <c r="AA22" s="368" t="s">
        <v>160</v>
      </c>
      <c r="AB22" s="368" t="s">
        <v>160</v>
      </c>
      <c r="AC22" s="368" t="s">
        <v>160</v>
      </c>
      <c r="AD22" s="370" t="s">
        <v>160</v>
      </c>
      <c r="AE22" s="368"/>
      <c r="AF22" s="366">
        <f t="shared" si="1"/>
        <v>40330</v>
      </c>
      <c r="AG22" s="373"/>
      <c r="AH22" s="374"/>
      <c r="AI22" s="374"/>
      <c r="AJ22" s="374"/>
      <c r="AK22" s="374"/>
      <c r="AL22" s="374"/>
      <c r="AM22" s="374"/>
      <c r="AN22" s="374"/>
      <c r="AO22" s="375"/>
      <c r="AP22" s="368"/>
      <c r="AQ22" s="372"/>
      <c r="AR22" s="368"/>
      <c r="AS22" s="368"/>
      <c r="AT22" s="368"/>
      <c r="AU22" s="370"/>
      <c r="AV22" s="368"/>
      <c r="AW22" s="372"/>
      <c r="AX22" s="368"/>
      <c r="AY22" s="368"/>
      <c r="AZ22" s="368"/>
      <c r="BA22" s="370"/>
      <c r="BB22" s="368"/>
      <c r="BC22" s="372"/>
      <c r="BD22" s="370"/>
      <c r="BG22" t="s">
        <v>620</v>
      </c>
      <c r="BH22" t="s">
        <v>1656</v>
      </c>
    </row>
    <row r="23" spans="1:60" ht="12.75" customHeight="1" outlineLevel="1" x14ac:dyDescent="0.2">
      <c r="A23" s="570">
        <v>40360</v>
      </c>
      <c r="B23" s="708">
        <f>IF([1]RENAME!$H$3=0,A23,TEXT(A23,"[$-em-US] mmm-aa;@"))</f>
        <v>40360</v>
      </c>
      <c r="C23" s="365" t="str">
        <f>IF([1]RENAME!$H$3=0,BG23,BH23)</f>
        <v>3T10</v>
      </c>
      <c r="D23" s="366">
        <v>40360</v>
      </c>
      <c r="E23" s="367">
        <f t="shared" si="0"/>
        <v>309363</v>
      </c>
      <c r="F23" s="368">
        <v>285224</v>
      </c>
      <c r="G23" s="370">
        <v>24139</v>
      </c>
      <c r="H23" s="368"/>
      <c r="I23" s="367" t="s">
        <v>160</v>
      </c>
      <c r="J23" s="369" t="s">
        <v>160</v>
      </c>
      <c r="K23" s="371" t="s">
        <v>160</v>
      </c>
      <c r="L23" s="368"/>
      <c r="M23" s="372">
        <v>269833</v>
      </c>
      <c r="N23" s="370"/>
      <c r="O23" s="368"/>
      <c r="P23" s="372" t="s">
        <v>160</v>
      </c>
      <c r="Q23" s="370" t="s">
        <v>160</v>
      </c>
      <c r="R23" s="368"/>
      <c r="S23" s="372" t="s">
        <v>160</v>
      </c>
      <c r="T23" s="370" t="str">
        <f>[2]Base!AF21</f>
        <v>-</v>
      </c>
      <c r="U23" s="368"/>
      <c r="V23" s="372" t="s">
        <v>160</v>
      </c>
      <c r="W23" s="368" t="s">
        <v>160</v>
      </c>
      <c r="X23" s="368" t="s">
        <v>160</v>
      </c>
      <c r="Y23" s="368" t="s">
        <v>160</v>
      </c>
      <c r="Z23" s="368" t="s">
        <v>160</v>
      </c>
      <c r="AA23" s="368" t="s">
        <v>160</v>
      </c>
      <c r="AB23" s="368" t="s">
        <v>160</v>
      </c>
      <c r="AC23" s="368" t="s">
        <v>160</v>
      </c>
      <c r="AD23" s="370" t="s">
        <v>160</v>
      </c>
      <c r="AE23" s="368"/>
      <c r="AF23" s="366">
        <f t="shared" si="1"/>
        <v>40360</v>
      </c>
      <c r="AG23" s="373"/>
      <c r="AH23" s="374"/>
      <c r="AI23" s="374"/>
      <c r="AJ23" s="374"/>
      <c r="AK23" s="374"/>
      <c r="AL23" s="374"/>
      <c r="AM23" s="374"/>
      <c r="AN23" s="374"/>
      <c r="AO23" s="375"/>
      <c r="AP23" s="368"/>
      <c r="AQ23" s="372"/>
      <c r="AR23" s="368"/>
      <c r="AS23" s="368"/>
      <c r="AT23" s="368"/>
      <c r="AU23" s="370"/>
      <c r="AV23" s="368"/>
      <c r="AW23" s="372"/>
      <c r="AX23" s="368"/>
      <c r="AY23" s="368"/>
      <c r="AZ23" s="368"/>
      <c r="BA23" s="370"/>
      <c r="BB23" s="368"/>
      <c r="BC23" s="372"/>
      <c r="BD23" s="370"/>
      <c r="BG23" t="s">
        <v>621</v>
      </c>
      <c r="BH23" t="s">
        <v>1657</v>
      </c>
    </row>
    <row r="24" spans="1:60" ht="12.75" customHeight="1" outlineLevel="1" x14ac:dyDescent="0.2">
      <c r="A24" s="570">
        <v>40391</v>
      </c>
      <c r="B24" s="708">
        <f>IF([1]RENAME!$H$3=0,A24,TEXT(A24,"[$-em-US] mmm-aa;@"))</f>
        <v>40391</v>
      </c>
      <c r="C24" s="365" t="str">
        <f>IF([1]RENAME!$H$3=0,BG24,BH24)</f>
        <v>3T10</v>
      </c>
      <c r="D24" s="366">
        <v>40391</v>
      </c>
      <c r="E24" s="367">
        <f t="shared" si="0"/>
        <v>330850</v>
      </c>
      <c r="F24" s="368">
        <v>296605</v>
      </c>
      <c r="G24" s="370">
        <v>34245</v>
      </c>
      <c r="H24" s="368"/>
      <c r="I24" s="367" t="s">
        <v>160</v>
      </c>
      <c r="J24" s="369" t="s">
        <v>160</v>
      </c>
      <c r="K24" s="371" t="s">
        <v>160</v>
      </c>
      <c r="L24" s="368"/>
      <c r="M24" s="372">
        <v>286241</v>
      </c>
      <c r="N24" s="370"/>
      <c r="O24" s="368"/>
      <c r="P24" s="372" t="s">
        <v>160</v>
      </c>
      <c r="Q24" s="370" t="s">
        <v>160</v>
      </c>
      <c r="R24" s="368"/>
      <c r="S24" s="372" t="s">
        <v>160</v>
      </c>
      <c r="T24" s="370" t="str">
        <f>[2]Base!AF22</f>
        <v>-</v>
      </c>
      <c r="U24" s="368"/>
      <c r="V24" s="372" t="s">
        <v>160</v>
      </c>
      <c r="W24" s="368" t="s">
        <v>160</v>
      </c>
      <c r="X24" s="368" t="s">
        <v>160</v>
      </c>
      <c r="Y24" s="368" t="s">
        <v>160</v>
      </c>
      <c r="Z24" s="368" t="s">
        <v>160</v>
      </c>
      <c r="AA24" s="368" t="s">
        <v>160</v>
      </c>
      <c r="AB24" s="368" t="s">
        <v>160</v>
      </c>
      <c r="AC24" s="368" t="s">
        <v>160</v>
      </c>
      <c r="AD24" s="370" t="s">
        <v>160</v>
      </c>
      <c r="AE24" s="368"/>
      <c r="AF24" s="366">
        <f t="shared" si="1"/>
        <v>40391</v>
      </c>
      <c r="AG24" s="373"/>
      <c r="AH24" s="374"/>
      <c r="AI24" s="374"/>
      <c r="AJ24" s="374"/>
      <c r="AK24" s="374"/>
      <c r="AL24" s="374"/>
      <c r="AM24" s="374"/>
      <c r="AN24" s="374"/>
      <c r="AO24" s="375"/>
      <c r="AP24" s="368"/>
      <c r="AQ24" s="372"/>
      <c r="AR24" s="368"/>
      <c r="AS24" s="368"/>
      <c r="AT24" s="368"/>
      <c r="AU24" s="370"/>
      <c r="AV24" s="368"/>
      <c r="AW24" s="372"/>
      <c r="AX24" s="368"/>
      <c r="AY24" s="368"/>
      <c r="AZ24" s="368"/>
      <c r="BA24" s="370"/>
      <c r="BB24" s="368"/>
      <c r="BC24" s="372"/>
      <c r="BD24" s="370"/>
      <c r="BG24" t="s">
        <v>621</v>
      </c>
      <c r="BH24" t="s">
        <v>1657</v>
      </c>
    </row>
    <row r="25" spans="1:60" ht="12.75" customHeight="1" outlineLevel="1" x14ac:dyDescent="0.2">
      <c r="A25" s="570">
        <v>40422</v>
      </c>
      <c r="B25" s="708">
        <f>IF([1]RENAME!$H$3=0,A25,TEXT(A25,"[$-em-US] mmm-aa;@"))</f>
        <v>40422</v>
      </c>
      <c r="C25" s="365" t="str">
        <f>IF([1]RENAME!$H$3=0,BG25,BH25)</f>
        <v>3T10</v>
      </c>
      <c r="D25" s="366">
        <v>40422</v>
      </c>
      <c r="E25" s="367">
        <f t="shared" si="0"/>
        <v>320854</v>
      </c>
      <c r="F25" s="368">
        <v>291436</v>
      </c>
      <c r="G25" s="370">
        <v>29418</v>
      </c>
      <c r="H25" s="368"/>
      <c r="I25" s="367" t="s">
        <v>160</v>
      </c>
      <c r="J25" s="369" t="s">
        <v>160</v>
      </c>
      <c r="K25" s="371" t="s">
        <v>160</v>
      </c>
      <c r="L25" s="368"/>
      <c r="M25" s="372">
        <v>258473</v>
      </c>
      <c r="N25" s="370"/>
      <c r="O25" s="368"/>
      <c r="P25" s="372" t="s">
        <v>160</v>
      </c>
      <c r="Q25" s="370" t="s">
        <v>160</v>
      </c>
      <c r="R25" s="368"/>
      <c r="S25" s="372" t="s">
        <v>160</v>
      </c>
      <c r="T25" s="370" t="str">
        <f>[2]Base!AF23</f>
        <v>-</v>
      </c>
      <c r="U25" s="368"/>
      <c r="V25" s="372" t="s">
        <v>160</v>
      </c>
      <c r="W25" s="368" t="s">
        <v>160</v>
      </c>
      <c r="X25" s="368" t="s">
        <v>160</v>
      </c>
      <c r="Y25" s="368" t="s">
        <v>160</v>
      </c>
      <c r="Z25" s="368" t="s">
        <v>160</v>
      </c>
      <c r="AA25" s="368" t="s">
        <v>160</v>
      </c>
      <c r="AB25" s="368" t="s">
        <v>160</v>
      </c>
      <c r="AC25" s="368" t="s">
        <v>160</v>
      </c>
      <c r="AD25" s="370" t="s">
        <v>160</v>
      </c>
      <c r="AE25" s="368"/>
      <c r="AF25" s="366">
        <f t="shared" si="1"/>
        <v>40422</v>
      </c>
      <c r="AG25" s="373"/>
      <c r="AH25" s="374"/>
      <c r="AI25" s="374"/>
      <c r="AJ25" s="374"/>
      <c r="AK25" s="374"/>
      <c r="AL25" s="374"/>
      <c r="AM25" s="374"/>
      <c r="AN25" s="374"/>
      <c r="AO25" s="375"/>
      <c r="AP25" s="368"/>
      <c r="AQ25" s="372"/>
      <c r="AR25" s="368"/>
      <c r="AS25" s="368"/>
      <c r="AT25" s="368"/>
      <c r="AU25" s="370"/>
      <c r="AV25" s="368"/>
      <c r="AW25" s="372"/>
      <c r="AX25" s="368"/>
      <c r="AY25" s="368"/>
      <c r="AZ25" s="368"/>
      <c r="BA25" s="370"/>
      <c r="BB25" s="368"/>
      <c r="BC25" s="372"/>
      <c r="BD25" s="370"/>
      <c r="BG25" t="s">
        <v>621</v>
      </c>
      <c r="BH25" t="s">
        <v>1657</v>
      </c>
    </row>
    <row r="26" spans="1:60" ht="12.75" customHeight="1" outlineLevel="1" x14ac:dyDescent="0.2">
      <c r="A26" s="570">
        <v>40452</v>
      </c>
      <c r="B26" s="708">
        <f>IF([1]RENAME!$H$3=0,A26,TEXT(A26,"[$-em-US] mmm-aa;@"))</f>
        <v>40452</v>
      </c>
      <c r="C26" s="365" t="str">
        <f>IF([1]RENAME!$H$3=0,BG26,BH26)</f>
        <v>4T10</v>
      </c>
      <c r="D26" s="366">
        <v>40452</v>
      </c>
      <c r="E26" s="367">
        <f t="shared" si="0"/>
        <v>323489</v>
      </c>
      <c r="F26" s="368">
        <v>287596</v>
      </c>
      <c r="G26" s="370">
        <v>35893</v>
      </c>
      <c r="H26" s="368"/>
      <c r="I26" s="367" t="s">
        <v>160</v>
      </c>
      <c r="J26" s="369" t="s">
        <v>160</v>
      </c>
      <c r="K26" s="371" t="s">
        <v>160</v>
      </c>
      <c r="L26" s="368"/>
      <c r="M26" s="372">
        <v>273487</v>
      </c>
      <c r="N26" s="370"/>
      <c r="O26" s="368"/>
      <c r="P26" s="372" t="s">
        <v>160</v>
      </c>
      <c r="Q26" s="370" t="s">
        <v>160</v>
      </c>
      <c r="R26" s="368"/>
      <c r="S26" s="372" t="s">
        <v>160</v>
      </c>
      <c r="T26" s="370" t="str">
        <f>[2]Base!AF24</f>
        <v>-</v>
      </c>
      <c r="U26" s="368"/>
      <c r="V26" s="372" t="s">
        <v>160</v>
      </c>
      <c r="W26" s="368" t="s">
        <v>160</v>
      </c>
      <c r="X26" s="368" t="s">
        <v>160</v>
      </c>
      <c r="Y26" s="368" t="s">
        <v>160</v>
      </c>
      <c r="Z26" s="368" t="s">
        <v>160</v>
      </c>
      <c r="AA26" s="368" t="s">
        <v>160</v>
      </c>
      <c r="AB26" s="368" t="s">
        <v>160</v>
      </c>
      <c r="AC26" s="368" t="s">
        <v>160</v>
      </c>
      <c r="AD26" s="370" t="s">
        <v>160</v>
      </c>
      <c r="AE26" s="368"/>
      <c r="AF26" s="366">
        <f t="shared" si="1"/>
        <v>40452</v>
      </c>
      <c r="AG26" s="373"/>
      <c r="AH26" s="374"/>
      <c r="AI26" s="374"/>
      <c r="AJ26" s="374"/>
      <c r="AK26" s="374"/>
      <c r="AL26" s="374"/>
      <c r="AM26" s="374"/>
      <c r="AN26" s="374"/>
      <c r="AO26" s="375"/>
      <c r="AP26" s="368"/>
      <c r="AQ26" s="372"/>
      <c r="AR26" s="368"/>
      <c r="AS26" s="368"/>
      <c r="AT26" s="368"/>
      <c r="AU26" s="370"/>
      <c r="AV26" s="368"/>
      <c r="AW26" s="372"/>
      <c r="AX26" s="368"/>
      <c r="AY26" s="368"/>
      <c r="AZ26" s="368"/>
      <c r="BA26" s="370"/>
      <c r="BB26" s="368"/>
      <c r="BC26" s="372"/>
      <c r="BD26" s="370"/>
      <c r="BG26" t="s">
        <v>622</v>
      </c>
      <c r="BH26" t="s">
        <v>1658</v>
      </c>
    </row>
    <row r="27" spans="1:60" ht="12.75" customHeight="1" outlineLevel="1" x14ac:dyDescent="0.2">
      <c r="A27" s="570">
        <v>40483</v>
      </c>
      <c r="B27" s="708">
        <f>IF([1]RENAME!$H$3=0,A27,TEXT(A27,"[$-em-US] mmm-aa;@"))</f>
        <v>40483</v>
      </c>
      <c r="C27" s="365" t="str">
        <f>IF([1]RENAME!$H$3=0,BG27,BH27)</f>
        <v>4T10</v>
      </c>
      <c r="D27" s="366">
        <v>40483</v>
      </c>
      <c r="E27" s="367">
        <f t="shared" si="0"/>
        <v>350243</v>
      </c>
      <c r="F27" s="368">
        <v>311407</v>
      </c>
      <c r="G27" s="370">
        <v>38836</v>
      </c>
      <c r="H27" s="368"/>
      <c r="I27" s="367" t="s">
        <v>160</v>
      </c>
      <c r="J27" s="369" t="s">
        <v>160</v>
      </c>
      <c r="K27" s="371" t="s">
        <v>160</v>
      </c>
      <c r="L27" s="368"/>
      <c r="M27" s="372">
        <v>282002</v>
      </c>
      <c r="N27" s="370"/>
      <c r="O27" s="368"/>
      <c r="P27" s="372" t="s">
        <v>160</v>
      </c>
      <c r="Q27" s="370" t="s">
        <v>160</v>
      </c>
      <c r="R27" s="368"/>
      <c r="S27" s="372" t="s">
        <v>160</v>
      </c>
      <c r="T27" s="370" t="str">
        <f>[2]Base!AF25</f>
        <v>-</v>
      </c>
      <c r="U27" s="368"/>
      <c r="V27" s="372" t="s">
        <v>160</v>
      </c>
      <c r="W27" s="368" t="s">
        <v>160</v>
      </c>
      <c r="X27" s="368" t="s">
        <v>160</v>
      </c>
      <c r="Y27" s="368" t="s">
        <v>160</v>
      </c>
      <c r="Z27" s="368" t="s">
        <v>160</v>
      </c>
      <c r="AA27" s="368" t="s">
        <v>160</v>
      </c>
      <c r="AB27" s="368" t="s">
        <v>160</v>
      </c>
      <c r="AC27" s="368" t="s">
        <v>160</v>
      </c>
      <c r="AD27" s="370" t="s">
        <v>160</v>
      </c>
      <c r="AE27" s="368"/>
      <c r="AF27" s="366">
        <f t="shared" si="1"/>
        <v>40483</v>
      </c>
      <c r="AG27" s="373"/>
      <c r="AH27" s="374"/>
      <c r="AI27" s="374"/>
      <c r="AJ27" s="374"/>
      <c r="AK27" s="374"/>
      <c r="AL27" s="374"/>
      <c r="AM27" s="374"/>
      <c r="AN27" s="374"/>
      <c r="AO27" s="375"/>
      <c r="AP27" s="368"/>
      <c r="AQ27" s="372"/>
      <c r="AR27" s="368"/>
      <c r="AS27" s="368"/>
      <c r="AT27" s="368"/>
      <c r="AU27" s="370"/>
      <c r="AV27" s="368"/>
      <c r="AW27" s="372"/>
      <c r="AX27" s="368"/>
      <c r="AY27" s="368"/>
      <c r="AZ27" s="368"/>
      <c r="BA27" s="370"/>
      <c r="BB27" s="368"/>
      <c r="BC27" s="372"/>
      <c r="BD27" s="370"/>
      <c r="BG27" t="s">
        <v>622</v>
      </c>
      <c r="BH27" t="s">
        <v>1658</v>
      </c>
    </row>
    <row r="28" spans="1:60" ht="12.75" customHeight="1" outlineLevel="1" x14ac:dyDescent="0.2">
      <c r="A28" s="570">
        <v>40513</v>
      </c>
      <c r="B28" s="708">
        <f>IF([1]RENAME!$H$3=0,A28,TEXT(A28,"[$-em-US] mmm-aa;@"))</f>
        <v>40513</v>
      </c>
      <c r="C28" s="365" t="str">
        <f>IF([1]RENAME!$H$3=0,BG28,BH28)</f>
        <v>4T10</v>
      </c>
      <c r="D28" s="366">
        <v>40513</v>
      </c>
      <c r="E28" s="367">
        <f t="shared" si="0"/>
        <v>401172</v>
      </c>
      <c r="F28" s="368">
        <v>361233</v>
      </c>
      <c r="G28" s="370">
        <v>39939</v>
      </c>
      <c r="H28" s="368"/>
      <c r="I28" s="367" t="s">
        <v>160</v>
      </c>
      <c r="J28" s="369" t="s">
        <v>160</v>
      </c>
      <c r="K28" s="371" t="s">
        <v>160</v>
      </c>
      <c r="L28" s="368"/>
      <c r="M28" s="372">
        <v>247243</v>
      </c>
      <c r="N28" s="370"/>
      <c r="O28" s="368"/>
      <c r="P28" s="372" t="s">
        <v>160</v>
      </c>
      <c r="Q28" s="370" t="s">
        <v>160</v>
      </c>
      <c r="R28" s="368"/>
      <c r="S28" s="372" t="s">
        <v>160</v>
      </c>
      <c r="T28" s="370" t="str">
        <f>[2]Base!AF26</f>
        <v>-</v>
      </c>
      <c r="U28" s="368"/>
      <c r="V28" s="372" t="s">
        <v>160</v>
      </c>
      <c r="W28" s="368" t="s">
        <v>160</v>
      </c>
      <c r="X28" s="368" t="s">
        <v>160</v>
      </c>
      <c r="Y28" s="368" t="s">
        <v>160</v>
      </c>
      <c r="Z28" s="368" t="s">
        <v>160</v>
      </c>
      <c r="AA28" s="368" t="s">
        <v>160</v>
      </c>
      <c r="AB28" s="368" t="s">
        <v>160</v>
      </c>
      <c r="AC28" s="368" t="s">
        <v>160</v>
      </c>
      <c r="AD28" s="370" t="s">
        <v>160</v>
      </c>
      <c r="AE28" s="368"/>
      <c r="AF28" s="366">
        <f t="shared" si="1"/>
        <v>40513</v>
      </c>
      <c r="AG28" s="373"/>
      <c r="AH28" s="374"/>
      <c r="AI28" s="374"/>
      <c r="AJ28" s="374"/>
      <c r="AK28" s="374"/>
      <c r="AL28" s="374"/>
      <c r="AM28" s="374"/>
      <c r="AN28" s="374"/>
      <c r="AO28" s="375"/>
      <c r="AP28" s="368"/>
      <c r="AQ28" s="372"/>
      <c r="AR28" s="368"/>
      <c r="AS28" s="368"/>
      <c r="AT28" s="368"/>
      <c r="AU28" s="370"/>
      <c r="AV28" s="368"/>
      <c r="AW28" s="372"/>
      <c r="AX28" s="368"/>
      <c r="AY28" s="368"/>
      <c r="AZ28" s="368"/>
      <c r="BA28" s="370"/>
      <c r="BB28" s="368"/>
      <c r="BC28" s="372"/>
      <c r="BD28" s="370"/>
      <c r="BG28" t="s">
        <v>622</v>
      </c>
      <c r="BH28" t="s">
        <v>1658</v>
      </c>
    </row>
    <row r="29" spans="1:60" ht="12.75" customHeight="1" outlineLevel="1" x14ac:dyDescent="0.2">
      <c r="A29" s="570">
        <v>40544</v>
      </c>
      <c r="B29" s="708">
        <f>IF([1]RENAME!$H$3=0,A29,TEXT(A29,"[$-em-US] mmm-aa;@"))</f>
        <v>40544</v>
      </c>
      <c r="C29" s="365" t="str">
        <f>IF([1]RENAME!$H$3=0,BG29,BH29)</f>
        <v>1T11</v>
      </c>
      <c r="D29" s="366">
        <v>40544</v>
      </c>
      <c r="E29" s="367">
        <f t="shared" si="0"/>
        <v>264499</v>
      </c>
      <c r="F29" s="368">
        <v>230162</v>
      </c>
      <c r="G29" s="370">
        <v>34337</v>
      </c>
      <c r="H29" s="368"/>
      <c r="I29" s="367" t="s">
        <v>160</v>
      </c>
      <c r="J29" s="369" t="s">
        <v>160</v>
      </c>
      <c r="K29" s="371" t="s">
        <v>160</v>
      </c>
      <c r="L29" s="368"/>
      <c r="M29" s="372">
        <v>222634</v>
      </c>
      <c r="N29" s="370">
        <v>57319</v>
      </c>
      <c r="O29" s="368"/>
      <c r="P29" s="372" t="s">
        <v>160</v>
      </c>
      <c r="Q29" s="370" t="s">
        <v>160</v>
      </c>
      <c r="R29" s="368"/>
      <c r="S29" s="372" t="s">
        <v>160</v>
      </c>
      <c r="T29" s="370" t="str">
        <f>[2]Base!AF27</f>
        <v>-</v>
      </c>
      <c r="U29" s="368"/>
      <c r="V29" s="372" t="s">
        <v>160</v>
      </c>
      <c r="W29" s="368" t="s">
        <v>160</v>
      </c>
      <c r="X29" s="368" t="s">
        <v>160</v>
      </c>
      <c r="Y29" s="368" t="s">
        <v>160</v>
      </c>
      <c r="Z29" s="368" t="s">
        <v>160</v>
      </c>
      <c r="AA29" s="368" t="s">
        <v>160</v>
      </c>
      <c r="AB29" s="368" t="s">
        <v>160</v>
      </c>
      <c r="AC29" s="368" t="s">
        <v>160</v>
      </c>
      <c r="AD29" s="370" t="s">
        <v>160</v>
      </c>
      <c r="AE29" s="368"/>
      <c r="AF29" s="366">
        <f t="shared" si="1"/>
        <v>40544</v>
      </c>
      <c r="AG29" s="373"/>
      <c r="AH29" s="374"/>
      <c r="AI29" s="374"/>
      <c r="AJ29" s="374"/>
      <c r="AK29" s="374"/>
      <c r="AL29" s="374"/>
      <c r="AM29" s="374"/>
      <c r="AN29" s="374"/>
      <c r="AO29" s="375"/>
      <c r="AP29" s="368"/>
      <c r="AQ29" s="372"/>
      <c r="AR29" s="368"/>
      <c r="AS29" s="368"/>
      <c r="AT29" s="368"/>
      <c r="AU29" s="370"/>
      <c r="AV29" s="368"/>
      <c r="AW29" s="372"/>
      <c r="AX29" s="368"/>
      <c r="AY29" s="368"/>
      <c r="AZ29" s="368"/>
      <c r="BA29" s="370"/>
      <c r="BB29" s="368"/>
      <c r="BC29" s="372"/>
      <c r="BD29" s="370"/>
      <c r="BG29" t="s">
        <v>60</v>
      </c>
      <c r="BH29" t="s">
        <v>1659</v>
      </c>
    </row>
    <row r="30" spans="1:60" ht="12.75" customHeight="1" outlineLevel="1" x14ac:dyDescent="0.2">
      <c r="A30" s="570">
        <v>40575</v>
      </c>
      <c r="B30" s="708">
        <f>IF([1]RENAME!$H$3=0,A30,TEXT(A30,"[$-em-US] mmm-aa;@"))</f>
        <v>40575</v>
      </c>
      <c r="C30" s="365" t="str">
        <f>IF([1]RENAME!$H$3=0,BG30,BH30)</f>
        <v>1T11</v>
      </c>
      <c r="D30" s="366">
        <v>40575</v>
      </c>
      <c r="E30" s="367">
        <f t="shared" si="0"/>
        <v>295918</v>
      </c>
      <c r="F30" s="368">
        <v>258813</v>
      </c>
      <c r="G30" s="370">
        <v>37105</v>
      </c>
      <c r="H30" s="368"/>
      <c r="I30" s="367" t="s">
        <v>160</v>
      </c>
      <c r="J30" s="369" t="s">
        <v>160</v>
      </c>
      <c r="K30" s="371" t="s">
        <v>160</v>
      </c>
      <c r="L30" s="368"/>
      <c r="M30" s="372">
        <v>274486</v>
      </c>
      <c r="N30" s="370">
        <v>61704</v>
      </c>
      <c r="O30" s="368"/>
      <c r="P30" s="372" t="s">
        <v>160</v>
      </c>
      <c r="Q30" s="370" t="s">
        <v>160</v>
      </c>
      <c r="R30" s="368"/>
      <c r="S30" s="372" t="s">
        <v>160</v>
      </c>
      <c r="T30" s="370" t="str">
        <f>[2]Base!AF28</f>
        <v>-</v>
      </c>
      <c r="U30" s="368"/>
      <c r="V30" s="372" t="s">
        <v>160</v>
      </c>
      <c r="W30" s="368" t="s">
        <v>160</v>
      </c>
      <c r="X30" s="368" t="s">
        <v>160</v>
      </c>
      <c r="Y30" s="368" t="s">
        <v>160</v>
      </c>
      <c r="Z30" s="368" t="s">
        <v>160</v>
      </c>
      <c r="AA30" s="368" t="s">
        <v>160</v>
      </c>
      <c r="AB30" s="368" t="s">
        <v>160</v>
      </c>
      <c r="AC30" s="368" t="s">
        <v>160</v>
      </c>
      <c r="AD30" s="370" t="s">
        <v>160</v>
      </c>
      <c r="AE30" s="368"/>
      <c r="AF30" s="366">
        <f t="shared" si="1"/>
        <v>40575</v>
      </c>
      <c r="AG30" s="373"/>
      <c r="AH30" s="374"/>
      <c r="AI30" s="374"/>
      <c r="AJ30" s="374"/>
      <c r="AK30" s="374"/>
      <c r="AL30" s="374"/>
      <c r="AM30" s="374"/>
      <c r="AN30" s="374"/>
      <c r="AO30" s="375"/>
      <c r="AP30" s="368"/>
      <c r="AQ30" s="372"/>
      <c r="AR30" s="368"/>
      <c r="AS30" s="368"/>
      <c r="AT30" s="368"/>
      <c r="AU30" s="370"/>
      <c r="AV30" s="368"/>
      <c r="AW30" s="372"/>
      <c r="AX30" s="368"/>
      <c r="AY30" s="368"/>
      <c r="AZ30" s="368"/>
      <c r="BA30" s="370"/>
      <c r="BB30" s="368"/>
      <c r="BC30" s="372"/>
      <c r="BD30" s="370"/>
      <c r="BG30" t="s">
        <v>60</v>
      </c>
      <c r="BH30" t="s">
        <v>1659</v>
      </c>
    </row>
    <row r="31" spans="1:60" ht="12.75" customHeight="1" outlineLevel="1" x14ac:dyDescent="0.2">
      <c r="A31" s="570">
        <v>40603</v>
      </c>
      <c r="B31" s="708">
        <f>IF([1]RENAME!$H$3=0,A31,TEXT(A31,"[$-em-US] mmm-aa;@"))</f>
        <v>40603</v>
      </c>
      <c r="C31" s="365" t="str">
        <f>IF([1]RENAME!$H$3=0,BG31,BH31)</f>
        <v>1T11</v>
      </c>
      <c r="D31" s="366">
        <v>40603</v>
      </c>
      <c r="E31" s="367">
        <f t="shared" si="0"/>
        <v>333290</v>
      </c>
      <c r="F31" s="368">
        <v>288733</v>
      </c>
      <c r="G31" s="370">
        <v>44557</v>
      </c>
      <c r="H31" s="368"/>
      <c r="I31" s="367" t="s">
        <v>160</v>
      </c>
      <c r="J31" s="369" t="s">
        <v>160</v>
      </c>
      <c r="K31" s="371" t="s">
        <v>160</v>
      </c>
      <c r="L31" s="368"/>
      <c r="M31" s="372">
        <v>275588</v>
      </c>
      <c r="N31" s="370">
        <v>61983</v>
      </c>
      <c r="O31" s="368"/>
      <c r="P31" s="372" t="s">
        <v>160</v>
      </c>
      <c r="Q31" s="370" t="s">
        <v>160</v>
      </c>
      <c r="R31" s="368"/>
      <c r="S31" s="372" t="s">
        <v>160</v>
      </c>
      <c r="T31" s="370" t="str">
        <f>[2]Base!AF29</f>
        <v>-</v>
      </c>
      <c r="U31" s="368"/>
      <c r="V31" s="372" t="s">
        <v>160</v>
      </c>
      <c r="W31" s="368" t="s">
        <v>160</v>
      </c>
      <c r="X31" s="368" t="s">
        <v>160</v>
      </c>
      <c r="Y31" s="368" t="s">
        <v>160</v>
      </c>
      <c r="Z31" s="368" t="s">
        <v>160</v>
      </c>
      <c r="AA31" s="368" t="s">
        <v>160</v>
      </c>
      <c r="AB31" s="368" t="s">
        <v>160</v>
      </c>
      <c r="AC31" s="368" t="s">
        <v>160</v>
      </c>
      <c r="AD31" s="370" t="s">
        <v>160</v>
      </c>
      <c r="AE31" s="368"/>
      <c r="AF31" s="366">
        <f t="shared" si="1"/>
        <v>40603</v>
      </c>
      <c r="AG31" s="373"/>
      <c r="AH31" s="374"/>
      <c r="AI31" s="374"/>
      <c r="AJ31" s="374"/>
      <c r="AK31" s="374"/>
      <c r="AL31" s="374"/>
      <c r="AM31" s="374"/>
      <c r="AN31" s="374"/>
      <c r="AO31" s="375"/>
      <c r="AP31" s="368"/>
      <c r="AQ31" s="372"/>
      <c r="AR31" s="368"/>
      <c r="AS31" s="368"/>
      <c r="AT31" s="368"/>
      <c r="AU31" s="370"/>
      <c r="AV31" s="368"/>
      <c r="AW31" s="372"/>
      <c r="AX31" s="368"/>
      <c r="AY31" s="368"/>
      <c r="AZ31" s="368"/>
      <c r="BA31" s="370"/>
      <c r="BB31" s="368"/>
      <c r="BC31" s="372"/>
      <c r="BD31" s="370"/>
      <c r="BG31" t="s">
        <v>60</v>
      </c>
      <c r="BH31" t="s">
        <v>1659</v>
      </c>
    </row>
    <row r="32" spans="1:60" ht="12.75" customHeight="1" outlineLevel="1" x14ac:dyDescent="0.2">
      <c r="A32" s="570">
        <v>40634</v>
      </c>
      <c r="B32" s="708">
        <f>IF([1]RENAME!$H$3=0,A32,TEXT(A32,"[$-em-US] mmm-aa;@"))</f>
        <v>40634</v>
      </c>
      <c r="C32" s="365" t="str">
        <f>IF([1]RENAME!$H$3=0,BG32,BH32)</f>
        <v>2T11</v>
      </c>
      <c r="D32" s="366">
        <v>40634</v>
      </c>
      <c r="E32" s="367">
        <f t="shared" si="0"/>
        <v>303253</v>
      </c>
      <c r="F32" s="368">
        <v>272916</v>
      </c>
      <c r="G32" s="370">
        <v>30337</v>
      </c>
      <c r="H32" s="368"/>
      <c r="I32" s="367" t="s">
        <v>160</v>
      </c>
      <c r="J32" s="369" t="s">
        <v>160</v>
      </c>
      <c r="K32" s="371" t="s">
        <v>160</v>
      </c>
      <c r="L32" s="368"/>
      <c r="M32" s="372">
        <v>263292</v>
      </c>
      <c r="N32" s="370">
        <v>63795</v>
      </c>
      <c r="O32" s="368"/>
      <c r="P32" s="372" t="s">
        <v>160</v>
      </c>
      <c r="Q32" s="370" t="s">
        <v>160</v>
      </c>
      <c r="R32" s="368"/>
      <c r="S32" s="372" t="s">
        <v>160</v>
      </c>
      <c r="T32" s="370" t="str">
        <f>[2]Base!AF30</f>
        <v>-</v>
      </c>
      <c r="U32" s="368"/>
      <c r="V32" s="372" t="s">
        <v>160</v>
      </c>
      <c r="W32" s="368" t="s">
        <v>160</v>
      </c>
      <c r="X32" s="368" t="s">
        <v>160</v>
      </c>
      <c r="Y32" s="368" t="s">
        <v>160</v>
      </c>
      <c r="Z32" s="368" t="s">
        <v>160</v>
      </c>
      <c r="AA32" s="368" t="s">
        <v>160</v>
      </c>
      <c r="AB32" s="368" t="s">
        <v>160</v>
      </c>
      <c r="AC32" s="368" t="s">
        <v>160</v>
      </c>
      <c r="AD32" s="370" t="s">
        <v>160</v>
      </c>
      <c r="AE32" s="368"/>
      <c r="AF32" s="366">
        <f t="shared" si="1"/>
        <v>40634</v>
      </c>
      <c r="AG32" s="373"/>
      <c r="AH32" s="374"/>
      <c r="AI32" s="374"/>
      <c r="AJ32" s="374"/>
      <c r="AK32" s="374"/>
      <c r="AL32" s="374"/>
      <c r="AM32" s="374"/>
      <c r="AN32" s="374"/>
      <c r="AO32" s="375"/>
      <c r="AP32" s="368"/>
      <c r="AQ32" s="372"/>
      <c r="AR32" s="368"/>
      <c r="AS32" s="368"/>
      <c r="AT32" s="368"/>
      <c r="AU32" s="370"/>
      <c r="AV32" s="368"/>
      <c r="AW32" s="372"/>
      <c r="AX32" s="368"/>
      <c r="AY32" s="368"/>
      <c r="AZ32" s="368"/>
      <c r="BA32" s="370"/>
      <c r="BB32" s="368"/>
      <c r="BC32" s="372"/>
      <c r="BD32" s="370"/>
      <c r="BG32" t="s">
        <v>61</v>
      </c>
      <c r="BH32" t="s">
        <v>1660</v>
      </c>
    </row>
    <row r="33" spans="1:60" ht="12.75" customHeight="1" outlineLevel="1" x14ac:dyDescent="0.2">
      <c r="A33" s="570">
        <v>40664</v>
      </c>
      <c r="B33" s="708">
        <f>IF([1]RENAME!$H$3=0,A33,TEXT(A33,"[$-em-US] mmm-aa;@"))</f>
        <v>40664</v>
      </c>
      <c r="C33" s="365" t="str">
        <f>IF([1]RENAME!$H$3=0,BG33,BH33)</f>
        <v>2T11</v>
      </c>
      <c r="D33" s="366">
        <v>40664</v>
      </c>
      <c r="E33" s="367">
        <f t="shared" si="0"/>
        <v>345134</v>
      </c>
      <c r="F33" s="368">
        <v>300529</v>
      </c>
      <c r="G33" s="370">
        <v>44605</v>
      </c>
      <c r="H33" s="368"/>
      <c r="I33" s="367" t="s">
        <v>160</v>
      </c>
      <c r="J33" s="369" t="s">
        <v>160</v>
      </c>
      <c r="K33" s="371" t="s">
        <v>160</v>
      </c>
      <c r="L33" s="368"/>
      <c r="M33" s="372">
        <v>280536</v>
      </c>
      <c r="N33" s="370">
        <v>74490</v>
      </c>
      <c r="O33" s="368"/>
      <c r="P33" s="372" t="s">
        <v>160</v>
      </c>
      <c r="Q33" s="370" t="s">
        <v>160</v>
      </c>
      <c r="R33" s="368"/>
      <c r="S33" s="372" t="s">
        <v>160</v>
      </c>
      <c r="T33" s="370" t="str">
        <f>[2]Base!AF31</f>
        <v>-</v>
      </c>
      <c r="U33" s="368"/>
      <c r="V33" s="372" t="s">
        <v>160</v>
      </c>
      <c r="W33" s="368" t="s">
        <v>160</v>
      </c>
      <c r="X33" s="368" t="s">
        <v>160</v>
      </c>
      <c r="Y33" s="368" t="s">
        <v>160</v>
      </c>
      <c r="Z33" s="368" t="s">
        <v>160</v>
      </c>
      <c r="AA33" s="368" t="s">
        <v>160</v>
      </c>
      <c r="AB33" s="368" t="s">
        <v>160</v>
      </c>
      <c r="AC33" s="368" t="s">
        <v>160</v>
      </c>
      <c r="AD33" s="370" t="s">
        <v>160</v>
      </c>
      <c r="AE33" s="368"/>
      <c r="AF33" s="366">
        <f t="shared" si="1"/>
        <v>40664</v>
      </c>
      <c r="AG33" s="373"/>
      <c r="AH33" s="374"/>
      <c r="AI33" s="374"/>
      <c r="AJ33" s="374"/>
      <c r="AK33" s="374"/>
      <c r="AL33" s="374"/>
      <c r="AM33" s="374"/>
      <c r="AN33" s="374"/>
      <c r="AO33" s="375"/>
      <c r="AP33" s="368"/>
      <c r="AQ33" s="372"/>
      <c r="AR33" s="368"/>
      <c r="AS33" s="368"/>
      <c r="AT33" s="368"/>
      <c r="AU33" s="370"/>
      <c r="AV33" s="368"/>
      <c r="AW33" s="372"/>
      <c r="AX33" s="368"/>
      <c r="AY33" s="368"/>
      <c r="AZ33" s="368"/>
      <c r="BA33" s="370"/>
      <c r="BB33" s="368"/>
      <c r="BC33" s="372"/>
      <c r="BD33" s="370"/>
      <c r="BG33" t="s">
        <v>61</v>
      </c>
      <c r="BH33" t="s">
        <v>1660</v>
      </c>
    </row>
    <row r="34" spans="1:60" ht="12.75" customHeight="1" outlineLevel="1" x14ac:dyDescent="0.2">
      <c r="A34" s="570">
        <v>40695</v>
      </c>
      <c r="B34" s="708">
        <f>IF([1]RENAME!$H$3=0,A34,TEXT(A34,"[$-em-US] mmm-aa;@"))</f>
        <v>40695</v>
      </c>
      <c r="C34" s="365" t="str">
        <f>IF([1]RENAME!$H$3=0,BG34,BH34)</f>
        <v>2T11</v>
      </c>
      <c r="D34" s="366">
        <v>40695</v>
      </c>
      <c r="E34" s="367">
        <f t="shared" si="0"/>
        <v>325590</v>
      </c>
      <c r="F34" s="368">
        <v>286924</v>
      </c>
      <c r="G34" s="370">
        <v>38666</v>
      </c>
      <c r="H34" s="368"/>
      <c r="I34" s="367" t="s">
        <v>160</v>
      </c>
      <c r="J34" s="369" t="s">
        <v>160</v>
      </c>
      <c r="K34" s="371" t="s">
        <v>160</v>
      </c>
      <c r="L34" s="368"/>
      <c r="M34" s="372">
        <v>272103</v>
      </c>
      <c r="N34" s="370">
        <v>69022</v>
      </c>
      <c r="O34" s="368"/>
      <c r="P34" s="372" t="s">
        <v>160</v>
      </c>
      <c r="Q34" s="370" t="s">
        <v>160</v>
      </c>
      <c r="R34" s="368"/>
      <c r="S34" s="372" t="s">
        <v>160</v>
      </c>
      <c r="T34" s="370" t="str">
        <f>[2]Base!AF32</f>
        <v>-</v>
      </c>
      <c r="U34" s="368"/>
      <c r="V34" s="372" t="s">
        <v>160</v>
      </c>
      <c r="W34" s="368" t="s">
        <v>160</v>
      </c>
      <c r="X34" s="368" t="s">
        <v>160</v>
      </c>
      <c r="Y34" s="368" t="s">
        <v>160</v>
      </c>
      <c r="Z34" s="368" t="s">
        <v>160</v>
      </c>
      <c r="AA34" s="368" t="s">
        <v>160</v>
      </c>
      <c r="AB34" s="368" t="s">
        <v>160</v>
      </c>
      <c r="AC34" s="368" t="s">
        <v>160</v>
      </c>
      <c r="AD34" s="370" t="s">
        <v>160</v>
      </c>
      <c r="AE34" s="368"/>
      <c r="AF34" s="366">
        <f t="shared" si="1"/>
        <v>40695</v>
      </c>
      <c r="AG34" s="373"/>
      <c r="AH34" s="374"/>
      <c r="AI34" s="374"/>
      <c r="AJ34" s="374"/>
      <c r="AK34" s="374"/>
      <c r="AL34" s="374"/>
      <c r="AM34" s="374"/>
      <c r="AN34" s="374"/>
      <c r="AO34" s="375"/>
      <c r="AP34" s="368"/>
      <c r="AQ34" s="372"/>
      <c r="AR34" s="368"/>
      <c r="AS34" s="368"/>
      <c r="AT34" s="368"/>
      <c r="AU34" s="370"/>
      <c r="AV34" s="368"/>
      <c r="AW34" s="372"/>
      <c r="AX34" s="368"/>
      <c r="AY34" s="368"/>
      <c r="AZ34" s="368"/>
      <c r="BA34" s="370"/>
      <c r="BB34" s="368"/>
      <c r="BC34" s="372"/>
      <c r="BD34" s="370"/>
      <c r="BG34" t="s">
        <v>61</v>
      </c>
      <c r="BH34" t="s">
        <v>1660</v>
      </c>
    </row>
    <row r="35" spans="1:60" ht="12.75" customHeight="1" outlineLevel="1" x14ac:dyDescent="0.2">
      <c r="A35" s="570">
        <v>40725</v>
      </c>
      <c r="B35" s="708">
        <f>IF([1]RENAME!$H$3=0,A35,TEXT(A35,"[$-em-US] mmm-aa;@"))</f>
        <v>40725</v>
      </c>
      <c r="C35" s="365" t="str">
        <f>IF([1]RENAME!$H$3=0,BG35,BH35)</f>
        <v>3T11</v>
      </c>
      <c r="D35" s="366">
        <v>40725</v>
      </c>
      <c r="E35" s="367">
        <f t="shared" si="0"/>
        <v>323210</v>
      </c>
      <c r="F35" s="368">
        <v>287966</v>
      </c>
      <c r="G35" s="370">
        <v>35244</v>
      </c>
      <c r="H35" s="368"/>
      <c r="I35" s="367" t="s">
        <v>160</v>
      </c>
      <c r="J35" s="369" t="s">
        <v>160</v>
      </c>
      <c r="K35" s="371" t="s">
        <v>160</v>
      </c>
      <c r="L35" s="368"/>
      <c r="M35" s="372">
        <v>284585</v>
      </c>
      <c r="N35" s="370">
        <v>67060</v>
      </c>
      <c r="O35" s="368"/>
      <c r="P35" s="372" t="s">
        <v>160</v>
      </c>
      <c r="Q35" s="370" t="s">
        <v>160</v>
      </c>
      <c r="R35" s="368"/>
      <c r="S35" s="372" t="s">
        <v>160</v>
      </c>
      <c r="T35" s="370" t="str">
        <f>[2]Base!AF33</f>
        <v>-</v>
      </c>
      <c r="U35" s="368"/>
      <c r="V35" s="372" t="s">
        <v>160</v>
      </c>
      <c r="W35" s="368" t="s">
        <v>160</v>
      </c>
      <c r="X35" s="368" t="s">
        <v>160</v>
      </c>
      <c r="Y35" s="368" t="s">
        <v>160</v>
      </c>
      <c r="Z35" s="368" t="s">
        <v>160</v>
      </c>
      <c r="AA35" s="368" t="s">
        <v>160</v>
      </c>
      <c r="AB35" s="368" t="s">
        <v>160</v>
      </c>
      <c r="AC35" s="368" t="s">
        <v>160</v>
      </c>
      <c r="AD35" s="370" t="s">
        <v>160</v>
      </c>
      <c r="AE35" s="368"/>
      <c r="AF35" s="366">
        <f t="shared" si="1"/>
        <v>40725</v>
      </c>
      <c r="AG35" s="373"/>
      <c r="AH35" s="374"/>
      <c r="AI35" s="374"/>
      <c r="AJ35" s="374"/>
      <c r="AK35" s="374"/>
      <c r="AL35" s="374"/>
      <c r="AM35" s="374"/>
      <c r="AN35" s="374"/>
      <c r="AO35" s="375"/>
      <c r="AP35" s="368"/>
      <c r="AQ35" s="372"/>
      <c r="AR35" s="368"/>
      <c r="AS35" s="368"/>
      <c r="AT35" s="368"/>
      <c r="AU35" s="370"/>
      <c r="AV35" s="368"/>
      <c r="AW35" s="372"/>
      <c r="AX35" s="368"/>
      <c r="AY35" s="368"/>
      <c r="AZ35" s="368"/>
      <c r="BA35" s="370"/>
      <c r="BB35" s="368"/>
      <c r="BC35" s="372"/>
      <c r="BD35" s="370"/>
      <c r="BG35" t="s">
        <v>62</v>
      </c>
      <c r="BH35" t="s">
        <v>1661</v>
      </c>
    </row>
    <row r="36" spans="1:60" ht="12.75" customHeight="1" outlineLevel="1" x14ac:dyDescent="0.2">
      <c r="A36" s="570">
        <v>40756</v>
      </c>
      <c r="B36" s="708">
        <f>IF([1]RENAME!$H$3=0,A36,TEXT(A36,"[$-em-US] mmm-aa;@"))</f>
        <v>40756</v>
      </c>
      <c r="C36" s="365" t="str">
        <f>IF([1]RENAME!$H$3=0,BG36,BH36)</f>
        <v>3T11</v>
      </c>
      <c r="D36" s="366">
        <v>40756</v>
      </c>
      <c r="E36" s="367">
        <f t="shared" si="0"/>
        <v>348264</v>
      </c>
      <c r="F36" s="368">
        <v>308035</v>
      </c>
      <c r="G36" s="370">
        <v>40229</v>
      </c>
      <c r="H36" s="368"/>
      <c r="I36" s="367" t="s">
        <v>160</v>
      </c>
      <c r="J36" s="369" t="s">
        <v>160</v>
      </c>
      <c r="K36" s="371" t="s">
        <v>160</v>
      </c>
      <c r="L36" s="368"/>
      <c r="M36" s="372">
        <v>299156</v>
      </c>
      <c r="N36" s="370">
        <v>73249</v>
      </c>
      <c r="O36" s="368"/>
      <c r="P36" s="372" t="s">
        <v>160</v>
      </c>
      <c r="Q36" s="370" t="s">
        <v>160</v>
      </c>
      <c r="R36" s="368"/>
      <c r="S36" s="372" t="s">
        <v>160</v>
      </c>
      <c r="T36" s="370" t="str">
        <f>[2]Base!AF34</f>
        <v>-</v>
      </c>
      <c r="U36" s="368"/>
      <c r="V36" s="372" t="s">
        <v>160</v>
      </c>
      <c r="W36" s="368" t="s">
        <v>160</v>
      </c>
      <c r="X36" s="368" t="s">
        <v>160</v>
      </c>
      <c r="Y36" s="368" t="s">
        <v>160</v>
      </c>
      <c r="Z36" s="368" t="s">
        <v>160</v>
      </c>
      <c r="AA36" s="368" t="s">
        <v>160</v>
      </c>
      <c r="AB36" s="368" t="s">
        <v>160</v>
      </c>
      <c r="AC36" s="368" t="s">
        <v>160</v>
      </c>
      <c r="AD36" s="370" t="s">
        <v>160</v>
      </c>
      <c r="AE36" s="368"/>
      <c r="AF36" s="366">
        <f t="shared" si="1"/>
        <v>40756</v>
      </c>
      <c r="AG36" s="373"/>
      <c r="AH36" s="374"/>
      <c r="AI36" s="374"/>
      <c r="AJ36" s="374"/>
      <c r="AK36" s="374"/>
      <c r="AL36" s="374"/>
      <c r="AM36" s="374"/>
      <c r="AN36" s="374"/>
      <c r="AO36" s="375"/>
      <c r="AP36" s="368"/>
      <c r="AQ36" s="372"/>
      <c r="AR36" s="368"/>
      <c r="AS36" s="368"/>
      <c r="AT36" s="368"/>
      <c r="AU36" s="370"/>
      <c r="AV36" s="368"/>
      <c r="AW36" s="372"/>
      <c r="AX36" s="368"/>
      <c r="AY36" s="368"/>
      <c r="AZ36" s="368"/>
      <c r="BA36" s="370"/>
      <c r="BB36" s="368"/>
      <c r="BC36" s="372"/>
      <c r="BD36" s="370"/>
      <c r="BG36" t="s">
        <v>62</v>
      </c>
      <c r="BH36" t="s">
        <v>1661</v>
      </c>
    </row>
    <row r="37" spans="1:60" ht="12.75" customHeight="1" outlineLevel="1" x14ac:dyDescent="0.2">
      <c r="A37" s="570">
        <v>40787</v>
      </c>
      <c r="B37" s="708">
        <f>IF([1]RENAME!$H$3=0,A37,TEXT(A37,"[$-em-US] mmm-aa;@"))</f>
        <v>40787</v>
      </c>
      <c r="C37" s="365" t="str">
        <f>IF([1]RENAME!$H$3=0,BG37,BH37)</f>
        <v>3T11</v>
      </c>
      <c r="D37" s="366">
        <v>40787</v>
      </c>
      <c r="E37" s="367">
        <f t="shared" si="0"/>
        <v>336175</v>
      </c>
      <c r="F37" s="368">
        <v>293585</v>
      </c>
      <c r="G37" s="370">
        <v>42590</v>
      </c>
      <c r="H37" s="368"/>
      <c r="I37" s="367" t="s">
        <v>160</v>
      </c>
      <c r="J37" s="369" t="s">
        <v>160</v>
      </c>
      <c r="K37" s="371" t="s">
        <v>160</v>
      </c>
      <c r="L37" s="368"/>
      <c r="M37" s="372">
        <v>238312</v>
      </c>
      <c r="N37" s="370">
        <v>78679</v>
      </c>
      <c r="O37" s="368"/>
      <c r="P37" s="372" t="s">
        <v>160</v>
      </c>
      <c r="Q37" s="370" t="s">
        <v>160</v>
      </c>
      <c r="R37" s="368"/>
      <c r="S37" s="372" t="s">
        <v>160</v>
      </c>
      <c r="T37" s="370" t="str">
        <f>[2]Base!AF35</f>
        <v>-</v>
      </c>
      <c r="U37" s="368"/>
      <c r="V37" s="372" t="s">
        <v>160</v>
      </c>
      <c r="W37" s="368" t="s">
        <v>160</v>
      </c>
      <c r="X37" s="368" t="s">
        <v>160</v>
      </c>
      <c r="Y37" s="368" t="s">
        <v>160</v>
      </c>
      <c r="Z37" s="368" t="s">
        <v>160</v>
      </c>
      <c r="AA37" s="368" t="s">
        <v>160</v>
      </c>
      <c r="AB37" s="368" t="s">
        <v>160</v>
      </c>
      <c r="AC37" s="368" t="s">
        <v>160</v>
      </c>
      <c r="AD37" s="370" t="s">
        <v>160</v>
      </c>
      <c r="AE37" s="368"/>
      <c r="AF37" s="366">
        <f t="shared" ref="AF37:AF68" si="2">+D37</f>
        <v>40787</v>
      </c>
      <c r="AG37" s="373"/>
      <c r="AH37" s="374"/>
      <c r="AI37" s="374"/>
      <c r="AJ37" s="374"/>
      <c r="AK37" s="374"/>
      <c r="AL37" s="374"/>
      <c r="AM37" s="374"/>
      <c r="AN37" s="374"/>
      <c r="AO37" s="375"/>
      <c r="AP37" s="368"/>
      <c r="AQ37" s="372"/>
      <c r="AR37" s="368"/>
      <c r="AS37" s="368"/>
      <c r="AT37" s="368"/>
      <c r="AU37" s="370"/>
      <c r="AV37" s="368"/>
      <c r="AW37" s="372"/>
      <c r="AX37" s="368"/>
      <c r="AY37" s="368"/>
      <c r="AZ37" s="368"/>
      <c r="BA37" s="370"/>
      <c r="BB37" s="368"/>
      <c r="BC37" s="372"/>
      <c r="BD37" s="370"/>
      <c r="BG37" t="s">
        <v>62</v>
      </c>
      <c r="BH37" t="s">
        <v>1661</v>
      </c>
    </row>
    <row r="38" spans="1:60" ht="12.75" customHeight="1" outlineLevel="1" x14ac:dyDescent="0.2">
      <c r="A38" s="570">
        <v>40817</v>
      </c>
      <c r="B38" s="708">
        <f>IF([1]RENAME!$H$3=0,A38,TEXT(A38,"[$-em-US] mmm-aa;@"))</f>
        <v>40817</v>
      </c>
      <c r="C38" s="365" t="str">
        <f>IF([1]RENAME!$H$3=0,BG38,BH38)</f>
        <v>4T11</v>
      </c>
      <c r="D38" s="366">
        <v>40817</v>
      </c>
      <c r="E38" s="367">
        <f t="shared" si="0"/>
        <v>311680</v>
      </c>
      <c r="F38" s="368">
        <v>263770</v>
      </c>
      <c r="G38" s="370">
        <v>47910</v>
      </c>
      <c r="H38" s="368"/>
      <c r="I38" s="367" t="s">
        <v>160</v>
      </c>
      <c r="J38" s="369" t="s">
        <v>160</v>
      </c>
      <c r="K38" s="371" t="s">
        <v>160</v>
      </c>
      <c r="L38" s="368"/>
      <c r="M38" s="372">
        <v>246745</v>
      </c>
      <c r="N38" s="370">
        <v>70657</v>
      </c>
      <c r="O38" s="368"/>
      <c r="P38" s="372" t="s">
        <v>160</v>
      </c>
      <c r="Q38" s="370" t="s">
        <v>160</v>
      </c>
      <c r="R38" s="368"/>
      <c r="S38" s="372" t="s">
        <v>160</v>
      </c>
      <c r="T38" s="370" t="str">
        <f>[2]Base!AF36</f>
        <v>-</v>
      </c>
      <c r="U38" s="368"/>
      <c r="V38" s="372" t="s">
        <v>160</v>
      </c>
      <c r="W38" s="368" t="s">
        <v>160</v>
      </c>
      <c r="X38" s="368" t="s">
        <v>160</v>
      </c>
      <c r="Y38" s="368" t="s">
        <v>160</v>
      </c>
      <c r="Z38" s="368" t="s">
        <v>160</v>
      </c>
      <c r="AA38" s="368" t="s">
        <v>160</v>
      </c>
      <c r="AB38" s="368" t="s">
        <v>160</v>
      </c>
      <c r="AC38" s="368" t="s">
        <v>160</v>
      </c>
      <c r="AD38" s="370" t="s">
        <v>160</v>
      </c>
      <c r="AE38" s="368"/>
      <c r="AF38" s="366">
        <f t="shared" si="2"/>
        <v>40817</v>
      </c>
      <c r="AG38" s="373"/>
      <c r="AH38" s="374"/>
      <c r="AI38" s="374"/>
      <c r="AJ38" s="374"/>
      <c r="AK38" s="374"/>
      <c r="AL38" s="374"/>
      <c r="AM38" s="374"/>
      <c r="AN38" s="374"/>
      <c r="AO38" s="375"/>
      <c r="AP38" s="368"/>
      <c r="AQ38" s="372"/>
      <c r="AR38" s="368"/>
      <c r="AS38" s="368"/>
      <c r="AT38" s="368"/>
      <c r="AU38" s="370"/>
      <c r="AV38" s="368"/>
      <c r="AW38" s="372"/>
      <c r="AX38" s="368"/>
      <c r="AY38" s="368"/>
      <c r="AZ38" s="368"/>
      <c r="BA38" s="370"/>
      <c r="BB38" s="368"/>
      <c r="BC38" s="372"/>
      <c r="BD38" s="370"/>
      <c r="BG38" t="s">
        <v>63</v>
      </c>
      <c r="BH38" t="s">
        <v>1662</v>
      </c>
    </row>
    <row r="39" spans="1:60" ht="12.75" customHeight="1" outlineLevel="1" x14ac:dyDescent="0.2">
      <c r="A39" s="570">
        <v>40848</v>
      </c>
      <c r="B39" s="708">
        <f>IF([1]RENAME!$H$3=0,A39,TEXT(A39,"[$-em-US] mmm-aa;@"))</f>
        <v>40848</v>
      </c>
      <c r="C39" s="365" t="str">
        <f>IF([1]RENAME!$H$3=0,BG39,BH39)</f>
        <v>4T11</v>
      </c>
      <c r="D39" s="366">
        <v>40848</v>
      </c>
      <c r="E39" s="367">
        <f t="shared" si="0"/>
        <v>352885</v>
      </c>
      <c r="F39" s="368">
        <v>305194</v>
      </c>
      <c r="G39" s="370">
        <v>47691</v>
      </c>
      <c r="H39" s="368"/>
      <c r="I39" s="367" t="s">
        <v>160</v>
      </c>
      <c r="J39" s="369" t="s">
        <v>160</v>
      </c>
      <c r="K39" s="371" t="s">
        <v>160</v>
      </c>
      <c r="L39" s="368"/>
      <c r="M39" s="372">
        <v>249369</v>
      </c>
      <c r="N39" s="370">
        <v>82217</v>
      </c>
      <c r="O39" s="368"/>
      <c r="P39" s="372" t="s">
        <v>160</v>
      </c>
      <c r="Q39" s="370" t="s">
        <v>160</v>
      </c>
      <c r="R39" s="368"/>
      <c r="S39" s="372" t="s">
        <v>160</v>
      </c>
      <c r="T39" s="370" t="str">
        <f>[2]Base!AF37</f>
        <v>-</v>
      </c>
      <c r="U39" s="368"/>
      <c r="V39" s="372" t="s">
        <v>160</v>
      </c>
      <c r="W39" s="368" t="s">
        <v>160</v>
      </c>
      <c r="X39" s="368" t="s">
        <v>160</v>
      </c>
      <c r="Y39" s="368" t="s">
        <v>160</v>
      </c>
      <c r="Z39" s="368" t="s">
        <v>160</v>
      </c>
      <c r="AA39" s="368" t="s">
        <v>160</v>
      </c>
      <c r="AB39" s="368" t="s">
        <v>160</v>
      </c>
      <c r="AC39" s="368" t="s">
        <v>160</v>
      </c>
      <c r="AD39" s="370" t="s">
        <v>160</v>
      </c>
      <c r="AE39" s="368"/>
      <c r="AF39" s="366">
        <f t="shared" si="2"/>
        <v>40848</v>
      </c>
      <c r="AG39" s="373"/>
      <c r="AH39" s="374"/>
      <c r="AI39" s="374"/>
      <c r="AJ39" s="374"/>
      <c r="AK39" s="374"/>
      <c r="AL39" s="374"/>
      <c r="AM39" s="374"/>
      <c r="AN39" s="374"/>
      <c r="AO39" s="375"/>
      <c r="AP39" s="368"/>
      <c r="AQ39" s="372"/>
      <c r="AR39" s="368"/>
      <c r="AS39" s="368"/>
      <c r="AT39" s="368"/>
      <c r="AU39" s="370"/>
      <c r="AV39" s="368"/>
      <c r="AW39" s="372"/>
      <c r="AX39" s="368"/>
      <c r="AY39" s="368"/>
      <c r="AZ39" s="368"/>
      <c r="BA39" s="370"/>
      <c r="BB39" s="368"/>
      <c r="BC39" s="372"/>
      <c r="BD39" s="370"/>
      <c r="BG39" t="s">
        <v>63</v>
      </c>
      <c r="BH39" t="s">
        <v>1662</v>
      </c>
    </row>
    <row r="40" spans="1:60" ht="12.75" customHeight="1" outlineLevel="1" x14ac:dyDescent="0.2">
      <c r="A40" s="570">
        <v>40878</v>
      </c>
      <c r="B40" s="708">
        <f>IF([1]RENAME!$H$3=0,A40,TEXT(A40,"[$-em-US] mmm-aa;@"))</f>
        <v>40878</v>
      </c>
      <c r="C40" s="365" t="str">
        <f>IF([1]RENAME!$H$3=0,BG40,BH40)</f>
        <v>4T11</v>
      </c>
      <c r="D40" s="366">
        <v>40878</v>
      </c>
      <c r="E40" s="367">
        <f t="shared" si="0"/>
        <v>358303</v>
      </c>
      <c r="F40" s="368">
        <v>329204</v>
      </c>
      <c r="G40" s="370">
        <v>29099</v>
      </c>
      <c r="H40" s="368"/>
      <c r="I40" s="367" t="s">
        <v>160</v>
      </c>
      <c r="J40" s="369" t="s">
        <v>160</v>
      </c>
      <c r="K40" s="371" t="s">
        <v>160</v>
      </c>
      <c r="L40" s="368"/>
      <c r="M40" s="372">
        <v>238005</v>
      </c>
      <c r="N40" s="370">
        <v>93778</v>
      </c>
      <c r="O40" s="368"/>
      <c r="P40" s="372" t="s">
        <v>160</v>
      </c>
      <c r="Q40" s="370" t="s">
        <v>160</v>
      </c>
      <c r="R40" s="368"/>
      <c r="S40" s="372" t="s">
        <v>160</v>
      </c>
      <c r="T40" s="370" t="str">
        <f>[2]Base!AF38</f>
        <v>-</v>
      </c>
      <c r="U40" s="368"/>
      <c r="V40" s="372" t="s">
        <v>160</v>
      </c>
      <c r="W40" s="368" t="s">
        <v>160</v>
      </c>
      <c r="X40" s="368" t="s">
        <v>160</v>
      </c>
      <c r="Y40" s="368" t="s">
        <v>160</v>
      </c>
      <c r="Z40" s="368" t="s">
        <v>160</v>
      </c>
      <c r="AA40" s="368" t="s">
        <v>160</v>
      </c>
      <c r="AB40" s="368" t="s">
        <v>160</v>
      </c>
      <c r="AC40" s="368" t="s">
        <v>160</v>
      </c>
      <c r="AD40" s="370" t="s">
        <v>160</v>
      </c>
      <c r="AE40" s="368"/>
      <c r="AF40" s="366">
        <f t="shared" si="2"/>
        <v>40878</v>
      </c>
      <c r="AG40" s="373"/>
      <c r="AH40" s="374"/>
      <c r="AI40" s="374"/>
      <c r="AJ40" s="374"/>
      <c r="AK40" s="374"/>
      <c r="AL40" s="374"/>
      <c r="AM40" s="374"/>
      <c r="AN40" s="374"/>
      <c r="AO40" s="375"/>
      <c r="AP40" s="368"/>
      <c r="AQ40" s="372"/>
      <c r="AR40" s="368"/>
      <c r="AS40" s="368"/>
      <c r="AT40" s="368"/>
      <c r="AU40" s="370"/>
      <c r="AV40" s="368"/>
      <c r="AW40" s="372"/>
      <c r="AX40" s="368"/>
      <c r="AY40" s="368"/>
      <c r="AZ40" s="368"/>
      <c r="BA40" s="370"/>
      <c r="BB40" s="368"/>
      <c r="BC40" s="372"/>
      <c r="BD40" s="370"/>
      <c r="BG40" t="s">
        <v>63</v>
      </c>
      <c r="BH40" t="s">
        <v>1662</v>
      </c>
    </row>
    <row r="41" spans="1:60" ht="12.75" customHeight="1" outlineLevel="1" x14ac:dyDescent="0.2">
      <c r="A41" s="570">
        <v>40909</v>
      </c>
      <c r="B41" s="708">
        <f>IF([1]RENAME!$H$3=0,A41,TEXT(A41,"[$-em-US] mmm-aa;@"))</f>
        <v>40909</v>
      </c>
      <c r="C41" s="365" t="str">
        <f>IF([1]RENAME!$H$3=0,BG41,BH41)</f>
        <v>1T12</v>
      </c>
      <c r="D41" s="366">
        <v>40909</v>
      </c>
      <c r="E41" s="367">
        <f t="shared" si="0"/>
        <v>284661</v>
      </c>
      <c r="F41" s="368">
        <v>252661</v>
      </c>
      <c r="G41" s="370">
        <v>32000</v>
      </c>
      <c r="H41" s="368"/>
      <c r="I41" s="367" t="s">
        <v>160</v>
      </c>
      <c r="J41" s="369" t="s">
        <v>160</v>
      </c>
      <c r="K41" s="371" t="s">
        <v>160</v>
      </c>
      <c r="L41" s="368"/>
      <c r="M41" s="372">
        <v>205995</v>
      </c>
      <c r="N41" s="370">
        <v>67449</v>
      </c>
      <c r="O41" s="368"/>
      <c r="P41" s="372" t="s">
        <v>160</v>
      </c>
      <c r="Q41" s="370" t="s">
        <v>160</v>
      </c>
      <c r="R41" s="368"/>
      <c r="S41" s="372" t="s">
        <v>160</v>
      </c>
      <c r="T41" s="370" t="str">
        <f>[2]Base!AF39</f>
        <v>-</v>
      </c>
      <c r="U41" s="368"/>
      <c r="V41" s="372" t="s">
        <v>160</v>
      </c>
      <c r="W41" s="368" t="s">
        <v>160</v>
      </c>
      <c r="X41" s="368" t="s">
        <v>160</v>
      </c>
      <c r="Y41" s="368" t="s">
        <v>160</v>
      </c>
      <c r="Z41" s="368" t="s">
        <v>160</v>
      </c>
      <c r="AA41" s="377" t="s">
        <v>160</v>
      </c>
      <c r="AB41" s="377" t="s">
        <v>160</v>
      </c>
      <c r="AC41" s="377" t="s">
        <v>160</v>
      </c>
      <c r="AD41" s="370" t="s">
        <v>160</v>
      </c>
      <c r="AE41" s="368"/>
      <c r="AF41" s="366">
        <f t="shared" si="2"/>
        <v>40909</v>
      </c>
      <c r="AG41" s="373"/>
      <c r="AH41" s="374"/>
      <c r="AI41" s="374"/>
      <c r="AJ41" s="374"/>
      <c r="AK41" s="374"/>
      <c r="AL41" s="378"/>
      <c r="AM41" s="378"/>
      <c r="AN41" s="378"/>
      <c r="AO41" s="375"/>
      <c r="AP41" s="368"/>
      <c r="AQ41" s="372"/>
      <c r="AR41" s="368"/>
      <c r="AS41" s="377"/>
      <c r="AT41" s="377"/>
      <c r="AU41" s="370"/>
      <c r="AV41" s="368"/>
      <c r="AW41" s="372"/>
      <c r="AX41" s="368"/>
      <c r="AY41" s="377"/>
      <c r="AZ41" s="377"/>
      <c r="BA41" s="370"/>
      <c r="BB41" s="368"/>
      <c r="BC41" s="372"/>
      <c r="BD41" s="370"/>
      <c r="BG41" t="s">
        <v>7</v>
      </c>
      <c r="BH41" t="s">
        <v>1663</v>
      </c>
    </row>
    <row r="42" spans="1:60" ht="12.75" customHeight="1" outlineLevel="1" x14ac:dyDescent="0.2">
      <c r="A42" s="570">
        <v>40940</v>
      </c>
      <c r="B42" s="708">
        <f>IF([1]RENAME!$H$3=0,A42,TEXT(A42,"[$-em-US] mmm-aa;@"))</f>
        <v>40940</v>
      </c>
      <c r="C42" s="365" t="str">
        <f>IF([1]RENAME!$H$3=0,BG42,BH42)</f>
        <v>1T12</v>
      </c>
      <c r="D42" s="366">
        <v>40940</v>
      </c>
      <c r="E42" s="367">
        <f t="shared" si="0"/>
        <v>269538</v>
      </c>
      <c r="F42" s="368">
        <v>235836</v>
      </c>
      <c r="G42" s="370">
        <v>33702</v>
      </c>
      <c r="H42" s="368"/>
      <c r="I42" s="367" t="s">
        <v>160</v>
      </c>
      <c r="J42" s="369" t="s">
        <v>160</v>
      </c>
      <c r="K42" s="371" t="s">
        <v>160</v>
      </c>
      <c r="L42" s="368"/>
      <c r="M42" s="372">
        <v>204486</v>
      </c>
      <c r="N42" s="370">
        <v>60880</v>
      </c>
      <c r="O42" s="368"/>
      <c r="P42" s="372" t="s">
        <v>160</v>
      </c>
      <c r="Q42" s="370" t="s">
        <v>160</v>
      </c>
      <c r="R42" s="368"/>
      <c r="S42" s="372" t="s">
        <v>160</v>
      </c>
      <c r="T42" s="370" t="str">
        <f>[2]Base!AF40</f>
        <v>-</v>
      </c>
      <c r="U42" s="368"/>
      <c r="V42" s="372" t="s">
        <v>160</v>
      </c>
      <c r="W42" s="368" t="s">
        <v>160</v>
      </c>
      <c r="X42" s="368" t="s">
        <v>160</v>
      </c>
      <c r="Y42" s="368" t="s">
        <v>160</v>
      </c>
      <c r="Z42" s="368" t="s">
        <v>160</v>
      </c>
      <c r="AA42" s="377" t="s">
        <v>160</v>
      </c>
      <c r="AB42" s="377" t="s">
        <v>160</v>
      </c>
      <c r="AC42" s="377" t="s">
        <v>160</v>
      </c>
      <c r="AD42" s="370" t="s">
        <v>160</v>
      </c>
      <c r="AE42" s="368"/>
      <c r="AF42" s="366">
        <f t="shared" si="2"/>
        <v>40940</v>
      </c>
      <c r="AG42" s="373"/>
      <c r="AH42" s="374"/>
      <c r="AI42" s="374"/>
      <c r="AJ42" s="374"/>
      <c r="AK42" s="374"/>
      <c r="AL42" s="378"/>
      <c r="AM42" s="378"/>
      <c r="AN42" s="378"/>
      <c r="AO42" s="375"/>
      <c r="AP42" s="368"/>
      <c r="AQ42" s="372"/>
      <c r="AR42" s="368"/>
      <c r="AS42" s="377"/>
      <c r="AT42" s="377"/>
      <c r="AU42" s="370"/>
      <c r="AV42" s="368"/>
      <c r="AW42" s="372"/>
      <c r="AX42" s="368"/>
      <c r="AY42" s="377"/>
      <c r="AZ42" s="377"/>
      <c r="BA42" s="370"/>
      <c r="BB42" s="368"/>
      <c r="BC42" s="372"/>
      <c r="BD42" s="370"/>
      <c r="BG42" t="s">
        <v>7</v>
      </c>
      <c r="BH42" t="s">
        <v>1663</v>
      </c>
    </row>
    <row r="43" spans="1:60" ht="12.75" customHeight="1" outlineLevel="1" x14ac:dyDescent="0.2">
      <c r="A43" s="570">
        <v>40969</v>
      </c>
      <c r="B43" s="708">
        <f>IF([1]RENAME!$H$3=0,A43,TEXT(A43,"[$-em-US] mmm-aa;@"))</f>
        <v>40969</v>
      </c>
      <c r="C43" s="365" t="str">
        <f>IF([1]RENAME!$H$3=0,BG43,BH43)</f>
        <v>1T12</v>
      </c>
      <c r="D43" s="366">
        <v>40969</v>
      </c>
      <c r="E43" s="367">
        <f t="shared" si="0"/>
        <v>322745</v>
      </c>
      <c r="F43" s="368">
        <v>283788</v>
      </c>
      <c r="G43" s="370">
        <v>38957</v>
      </c>
      <c r="H43" s="368"/>
      <c r="I43" s="367" t="s">
        <v>160</v>
      </c>
      <c r="J43" s="369" t="s">
        <v>160</v>
      </c>
      <c r="K43" s="371" t="s">
        <v>160</v>
      </c>
      <c r="L43" s="368"/>
      <c r="M43" s="372">
        <v>294811</v>
      </c>
      <c r="N43" s="370">
        <v>70208</v>
      </c>
      <c r="O43" s="368"/>
      <c r="P43" s="372" t="s">
        <v>160</v>
      </c>
      <c r="Q43" s="370" t="s">
        <v>160</v>
      </c>
      <c r="R43" s="368"/>
      <c r="S43" s="372" t="s">
        <v>160</v>
      </c>
      <c r="T43" s="370" t="str">
        <f>[2]Base!AF41</f>
        <v>-</v>
      </c>
      <c r="U43" s="368"/>
      <c r="V43" s="372" t="s">
        <v>160</v>
      </c>
      <c r="W43" s="368" t="s">
        <v>160</v>
      </c>
      <c r="X43" s="368" t="s">
        <v>160</v>
      </c>
      <c r="Y43" s="368" t="s">
        <v>160</v>
      </c>
      <c r="Z43" s="368" t="s">
        <v>160</v>
      </c>
      <c r="AA43" s="377" t="s">
        <v>160</v>
      </c>
      <c r="AB43" s="377" t="s">
        <v>160</v>
      </c>
      <c r="AC43" s="377" t="s">
        <v>160</v>
      </c>
      <c r="AD43" s="370" t="s">
        <v>160</v>
      </c>
      <c r="AE43" s="368"/>
      <c r="AF43" s="366">
        <f t="shared" si="2"/>
        <v>40969</v>
      </c>
      <c r="AG43" s="373"/>
      <c r="AH43" s="374"/>
      <c r="AI43" s="374"/>
      <c r="AJ43" s="374"/>
      <c r="AK43" s="374"/>
      <c r="AL43" s="378"/>
      <c r="AM43" s="378"/>
      <c r="AN43" s="378"/>
      <c r="AO43" s="375"/>
      <c r="AP43" s="368"/>
      <c r="AQ43" s="372"/>
      <c r="AR43" s="368"/>
      <c r="AS43" s="377"/>
      <c r="AT43" s="377"/>
      <c r="AU43" s="370"/>
      <c r="AV43" s="368"/>
      <c r="AW43" s="372"/>
      <c r="AX43" s="368"/>
      <c r="AY43" s="377"/>
      <c r="AZ43" s="377"/>
      <c r="BA43" s="370"/>
      <c r="BB43" s="368"/>
      <c r="BC43" s="372"/>
      <c r="BD43" s="370"/>
      <c r="BG43" t="s">
        <v>7</v>
      </c>
      <c r="BH43" t="s">
        <v>1663</v>
      </c>
    </row>
    <row r="44" spans="1:60" ht="12.75" customHeight="1" outlineLevel="1" x14ac:dyDescent="0.2">
      <c r="A44" s="570">
        <v>41000</v>
      </c>
      <c r="B44" s="708">
        <f>IF([1]RENAME!$H$3=0,A44,TEXT(A44,"[$-em-US] mmm-aa;@"))</f>
        <v>41000</v>
      </c>
      <c r="C44" s="365" t="str">
        <f>IF([1]RENAME!$H$3=0,BG44,BH44)</f>
        <v>2T12</v>
      </c>
      <c r="D44" s="366">
        <v>41000</v>
      </c>
      <c r="E44" s="367">
        <f t="shared" si="0"/>
        <v>292760</v>
      </c>
      <c r="F44" s="368">
        <v>244576</v>
      </c>
      <c r="G44" s="370">
        <v>48184</v>
      </c>
      <c r="H44" s="368"/>
      <c r="I44" s="367" t="s">
        <v>160</v>
      </c>
      <c r="J44" s="369" t="s">
        <v>160</v>
      </c>
      <c r="K44" s="371" t="s">
        <v>160</v>
      </c>
      <c r="L44" s="368"/>
      <c r="M44" s="372">
        <v>252594</v>
      </c>
      <c r="N44" s="370">
        <v>57850</v>
      </c>
      <c r="O44" s="368"/>
      <c r="P44" s="372" t="s">
        <v>160</v>
      </c>
      <c r="Q44" s="370" t="s">
        <v>160</v>
      </c>
      <c r="R44" s="368"/>
      <c r="S44" s="372" t="s">
        <v>160</v>
      </c>
      <c r="T44" s="370" t="str">
        <f>[2]Base!AF42</f>
        <v>-</v>
      </c>
      <c r="U44" s="368"/>
      <c r="V44" s="372" t="s">
        <v>160</v>
      </c>
      <c r="W44" s="368" t="s">
        <v>160</v>
      </c>
      <c r="X44" s="368" t="s">
        <v>160</v>
      </c>
      <c r="Y44" s="368" t="s">
        <v>160</v>
      </c>
      <c r="Z44" s="368" t="s">
        <v>160</v>
      </c>
      <c r="AA44" s="377" t="s">
        <v>160</v>
      </c>
      <c r="AB44" s="377" t="s">
        <v>160</v>
      </c>
      <c r="AC44" s="377" t="s">
        <v>160</v>
      </c>
      <c r="AD44" s="370" t="s">
        <v>160</v>
      </c>
      <c r="AE44" s="368"/>
      <c r="AF44" s="366">
        <f t="shared" si="2"/>
        <v>41000</v>
      </c>
      <c r="AG44" s="373"/>
      <c r="AH44" s="374"/>
      <c r="AI44" s="374"/>
      <c r="AJ44" s="374"/>
      <c r="AK44" s="374"/>
      <c r="AL44" s="378"/>
      <c r="AM44" s="378"/>
      <c r="AN44" s="378"/>
      <c r="AO44" s="375"/>
      <c r="AP44" s="368"/>
      <c r="AQ44" s="372"/>
      <c r="AR44" s="368"/>
      <c r="AS44" s="377"/>
      <c r="AT44" s="377"/>
      <c r="AU44" s="370"/>
      <c r="AV44" s="368"/>
      <c r="AW44" s="372"/>
      <c r="AX44" s="368"/>
      <c r="AY44" s="377"/>
      <c r="AZ44" s="377"/>
      <c r="BA44" s="370"/>
      <c r="BB44" s="368"/>
      <c r="BC44" s="372"/>
      <c r="BD44" s="370"/>
      <c r="BG44" t="s">
        <v>6</v>
      </c>
      <c r="BH44" t="s">
        <v>1664</v>
      </c>
    </row>
    <row r="45" spans="1:60" ht="12.75" customHeight="1" outlineLevel="1" x14ac:dyDescent="0.2">
      <c r="A45" s="570">
        <v>41030</v>
      </c>
      <c r="B45" s="708">
        <f>IF([1]RENAME!$H$3=0,A45,TEXT(A45,"[$-em-US] mmm-aa;@"))</f>
        <v>41030</v>
      </c>
      <c r="C45" s="365" t="str">
        <f>IF([1]RENAME!$H$3=0,BG45,BH45)</f>
        <v>2T12</v>
      </c>
      <c r="D45" s="366">
        <v>41030</v>
      </c>
      <c r="E45" s="367">
        <f t="shared" si="0"/>
        <v>298328</v>
      </c>
      <c r="F45" s="368">
        <v>274280</v>
      </c>
      <c r="G45" s="370">
        <v>24048</v>
      </c>
      <c r="H45" s="368"/>
      <c r="I45" s="367" t="s">
        <v>160</v>
      </c>
      <c r="J45" s="369" t="s">
        <v>160</v>
      </c>
      <c r="K45" s="371" t="s">
        <v>160</v>
      </c>
      <c r="L45" s="368"/>
      <c r="M45" s="372">
        <v>270885</v>
      </c>
      <c r="N45" s="370">
        <v>63376</v>
      </c>
      <c r="O45" s="368"/>
      <c r="P45" s="372" t="s">
        <v>160</v>
      </c>
      <c r="Q45" s="370" t="s">
        <v>160</v>
      </c>
      <c r="R45" s="368"/>
      <c r="S45" s="372" t="s">
        <v>160</v>
      </c>
      <c r="T45" s="370" t="str">
        <f>[2]Base!AF43</f>
        <v>-</v>
      </c>
      <c r="U45" s="368"/>
      <c r="V45" s="372" t="s">
        <v>160</v>
      </c>
      <c r="W45" s="368" t="s">
        <v>160</v>
      </c>
      <c r="X45" s="368" t="s">
        <v>160</v>
      </c>
      <c r="Y45" s="368" t="s">
        <v>160</v>
      </c>
      <c r="Z45" s="368" t="s">
        <v>160</v>
      </c>
      <c r="AA45" s="377" t="s">
        <v>160</v>
      </c>
      <c r="AB45" s="377" t="s">
        <v>160</v>
      </c>
      <c r="AC45" s="377" t="s">
        <v>160</v>
      </c>
      <c r="AD45" s="370" t="s">
        <v>160</v>
      </c>
      <c r="AE45" s="368"/>
      <c r="AF45" s="366">
        <f t="shared" si="2"/>
        <v>41030</v>
      </c>
      <c r="AG45" s="373"/>
      <c r="AH45" s="374"/>
      <c r="AI45" s="374"/>
      <c r="AJ45" s="374"/>
      <c r="AK45" s="374"/>
      <c r="AL45" s="378"/>
      <c r="AM45" s="378"/>
      <c r="AN45" s="378"/>
      <c r="AO45" s="375"/>
      <c r="AP45" s="368"/>
      <c r="AQ45" s="372"/>
      <c r="AR45" s="368"/>
      <c r="AS45" s="377"/>
      <c r="AT45" s="377"/>
      <c r="AU45" s="370"/>
      <c r="AV45" s="368"/>
      <c r="AW45" s="372"/>
      <c r="AX45" s="368"/>
      <c r="AY45" s="377"/>
      <c r="AZ45" s="377"/>
      <c r="BA45" s="370"/>
      <c r="BB45" s="368"/>
      <c r="BC45" s="372"/>
      <c r="BD45" s="370"/>
      <c r="BG45" t="s">
        <v>6</v>
      </c>
      <c r="BH45" t="s">
        <v>1664</v>
      </c>
    </row>
    <row r="46" spans="1:60" ht="12.75" customHeight="1" outlineLevel="1" x14ac:dyDescent="0.2">
      <c r="A46" s="570">
        <v>41061</v>
      </c>
      <c r="B46" s="708">
        <f>IF([1]RENAME!$H$3=0,A46,TEXT(A46,"[$-em-US] mmm-aa;@"))</f>
        <v>41061</v>
      </c>
      <c r="C46" s="365" t="str">
        <f>IF([1]RENAME!$H$3=0,BG46,BH46)</f>
        <v>2T12</v>
      </c>
      <c r="D46" s="366">
        <v>41061</v>
      </c>
      <c r="E46" s="367">
        <f t="shared" si="0"/>
        <v>373419</v>
      </c>
      <c r="F46" s="368">
        <v>340612</v>
      </c>
      <c r="G46" s="370">
        <v>32807</v>
      </c>
      <c r="H46" s="368"/>
      <c r="I46" s="367" t="s">
        <v>160</v>
      </c>
      <c r="J46" s="369" t="s">
        <v>160</v>
      </c>
      <c r="K46" s="371" t="s">
        <v>160</v>
      </c>
      <c r="L46" s="368"/>
      <c r="M46" s="372">
        <v>265547</v>
      </c>
      <c r="N46" s="370">
        <v>71195</v>
      </c>
      <c r="O46" s="368"/>
      <c r="P46" s="372" t="s">
        <v>160</v>
      </c>
      <c r="Q46" s="370" t="s">
        <v>160</v>
      </c>
      <c r="R46" s="368"/>
      <c r="S46" s="372" t="s">
        <v>160</v>
      </c>
      <c r="T46" s="370" t="str">
        <f>[2]Base!AF44</f>
        <v>-</v>
      </c>
      <c r="U46" s="368"/>
      <c r="V46" s="372" t="s">
        <v>160</v>
      </c>
      <c r="W46" s="368" t="s">
        <v>160</v>
      </c>
      <c r="X46" s="368" t="s">
        <v>160</v>
      </c>
      <c r="Y46" s="368" t="s">
        <v>160</v>
      </c>
      <c r="Z46" s="368" t="s">
        <v>160</v>
      </c>
      <c r="AA46" s="377" t="s">
        <v>160</v>
      </c>
      <c r="AB46" s="377" t="s">
        <v>160</v>
      </c>
      <c r="AC46" s="377" t="s">
        <v>160</v>
      </c>
      <c r="AD46" s="370" t="s">
        <v>160</v>
      </c>
      <c r="AE46" s="368"/>
      <c r="AF46" s="366">
        <f t="shared" si="2"/>
        <v>41061</v>
      </c>
      <c r="AG46" s="373"/>
      <c r="AH46" s="374"/>
      <c r="AI46" s="374"/>
      <c r="AJ46" s="374"/>
      <c r="AK46" s="374"/>
      <c r="AL46" s="378"/>
      <c r="AM46" s="378"/>
      <c r="AN46" s="378"/>
      <c r="AO46" s="375"/>
      <c r="AP46" s="368"/>
      <c r="AQ46" s="372"/>
      <c r="AR46" s="368"/>
      <c r="AS46" s="377"/>
      <c r="AT46" s="377"/>
      <c r="AU46" s="370"/>
      <c r="AV46" s="368"/>
      <c r="AW46" s="372"/>
      <c r="AX46" s="368"/>
      <c r="AY46" s="377"/>
      <c r="AZ46" s="377"/>
      <c r="BA46" s="370"/>
      <c r="BB46" s="368"/>
      <c r="BC46" s="372"/>
      <c r="BD46" s="370"/>
      <c r="BG46" t="s">
        <v>6</v>
      </c>
      <c r="BH46" t="s">
        <v>1664</v>
      </c>
    </row>
    <row r="47" spans="1:60" ht="12.75" customHeight="1" outlineLevel="1" x14ac:dyDescent="0.2">
      <c r="A47" s="570">
        <v>41091</v>
      </c>
      <c r="B47" s="708">
        <f>IF([1]RENAME!$H$3=0,A47,TEXT(A47,"[$-em-US] mmm-aa;@"))</f>
        <v>41091</v>
      </c>
      <c r="C47" s="365" t="str">
        <f>IF([1]RENAME!$H$3=0,BG47,BH47)</f>
        <v>3T12</v>
      </c>
      <c r="D47" s="366">
        <v>41091</v>
      </c>
      <c r="E47" s="367">
        <f t="shared" si="0"/>
        <v>377993</v>
      </c>
      <c r="F47" s="368">
        <v>351224</v>
      </c>
      <c r="G47" s="370">
        <v>26769</v>
      </c>
      <c r="H47" s="368"/>
      <c r="I47" s="367" t="s">
        <v>160</v>
      </c>
      <c r="J47" s="369" t="s">
        <v>160</v>
      </c>
      <c r="K47" s="371" t="s">
        <v>160</v>
      </c>
      <c r="L47" s="368"/>
      <c r="M47" s="372">
        <v>285527</v>
      </c>
      <c r="N47" s="370">
        <v>69651</v>
      </c>
      <c r="O47" s="368"/>
      <c r="P47" s="372" t="s">
        <v>160</v>
      </c>
      <c r="Q47" s="370" t="s">
        <v>160</v>
      </c>
      <c r="R47" s="368"/>
      <c r="S47" s="372" t="s">
        <v>160</v>
      </c>
      <c r="T47" s="370" t="str">
        <f>[2]Base!AF45</f>
        <v>-</v>
      </c>
      <c r="U47" s="368"/>
      <c r="V47" s="372" t="s">
        <v>160</v>
      </c>
      <c r="W47" s="368" t="s">
        <v>160</v>
      </c>
      <c r="X47" s="368" t="s">
        <v>160</v>
      </c>
      <c r="Y47" s="368" t="s">
        <v>160</v>
      </c>
      <c r="Z47" s="368" t="s">
        <v>160</v>
      </c>
      <c r="AA47" s="377" t="s">
        <v>160</v>
      </c>
      <c r="AB47" s="377" t="s">
        <v>160</v>
      </c>
      <c r="AC47" s="377" t="s">
        <v>160</v>
      </c>
      <c r="AD47" s="370" t="s">
        <v>160</v>
      </c>
      <c r="AE47" s="368"/>
      <c r="AF47" s="366">
        <f t="shared" si="2"/>
        <v>41091</v>
      </c>
      <c r="AG47" s="373"/>
      <c r="AH47" s="374"/>
      <c r="AI47" s="374"/>
      <c r="AJ47" s="374"/>
      <c r="AK47" s="374"/>
      <c r="AL47" s="378"/>
      <c r="AM47" s="378"/>
      <c r="AN47" s="378"/>
      <c r="AO47" s="375"/>
      <c r="AP47" s="368"/>
      <c r="AQ47" s="372"/>
      <c r="AR47" s="368"/>
      <c r="AS47" s="377"/>
      <c r="AT47" s="377"/>
      <c r="AU47" s="370"/>
      <c r="AV47" s="368"/>
      <c r="AW47" s="372"/>
      <c r="AX47" s="368"/>
      <c r="AY47" s="377"/>
      <c r="AZ47" s="377"/>
      <c r="BA47" s="370"/>
      <c r="BB47" s="368"/>
      <c r="BC47" s="372"/>
      <c r="BD47" s="370"/>
      <c r="BG47" t="s">
        <v>5</v>
      </c>
      <c r="BH47" t="s">
        <v>1665</v>
      </c>
    </row>
    <row r="48" spans="1:60" ht="12.75" customHeight="1" outlineLevel="1" x14ac:dyDescent="0.2">
      <c r="A48" s="570">
        <v>41122</v>
      </c>
      <c r="B48" s="708">
        <f>IF([1]RENAME!$H$3=0,A48,TEXT(A48,"[$-em-US] mmm-aa;@"))</f>
        <v>41122</v>
      </c>
      <c r="C48" s="365" t="str">
        <f>IF([1]RENAME!$H$3=0,BG48,BH48)</f>
        <v>3T12</v>
      </c>
      <c r="D48" s="366">
        <v>41122</v>
      </c>
      <c r="E48" s="367">
        <f t="shared" si="0"/>
        <v>444744</v>
      </c>
      <c r="F48" s="368">
        <v>405480</v>
      </c>
      <c r="G48" s="370">
        <v>39264</v>
      </c>
      <c r="H48" s="368"/>
      <c r="I48" s="367" t="s">
        <v>160</v>
      </c>
      <c r="J48" s="369" t="s">
        <v>160</v>
      </c>
      <c r="K48" s="371" t="s">
        <v>160</v>
      </c>
      <c r="L48" s="368"/>
      <c r="M48" s="372">
        <v>316730</v>
      </c>
      <c r="N48" s="370">
        <v>78875</v>
      </c>
      <c r="O48" s="368"/>
      <c r="P48" s="372" t="s">
        <v>160</v>
      </c>
      <c r="Q48" s="370" t="s">
        <v>160</v>
      </c>
      <c r="R48" s="368"/>
      <c r="S48" s="372" t="s">
        <v>160</v>
      </c>
      <c r="T48" s="370" t="str">
        <f>[2]Base!AF46</f>
        <v>-</v>
      </c>
      <c r="U48" s="368"/>
      <c r="V48" s="372" t="s">
        <v>160</v>
      </c>
      <c r="W48" s="368" t="s">
        <v>160</v>
      </c>
      <c r="X48" s="368" t="s">
        <v>160</v>
      </c>
      <c r="Y48" s="368" t="s">
        <v>160</v>
      </c>
      <c r="Z48" s="368" t="s">
        <v>160</v>
      </c>
      <c r="AA48" s="377" t="s">
        <v>160</v>
      </c>
      <c r="AB48" s="377" t="s">
        <v>160</v>
      </c>
      <c r="AC48" s="377" t="s">
        <v>160</v>
      </c>
      <c r="AD48" s="370" t="s">
        <v>160</v>
      </c>
      <c r="AE48" s="368"/>
      <c r="AF48" s="366">
        <f t="shared" si="2"/>
        <v>41122</v>
      </c>
      <c r="AG48" s="373"/>
      <c r="AH48" s="374"/>
      <c r="AI48" s="374"/>
      <c r="AJ48" s="374"/>
      <c r="AK48" s="374"/>
      <c r="AL48" s="378"/>
      <c r="AM48" s="378"/>
      <c r="AN48" s="378"/>
      <c r="AO48" s="375"/>
      <c r="AP48" s="368"/>
      <c r="AQ48" s="372"/>
      <c r="AR48" s="368"/>
      <c r="AS48" s="377"/>
      <c r="AT48" s="377"/>
      <c r="AU48" s="370"/>
      <c r="AV48" s="368"/>
      <c r="AW48" s="372"/>
      <c r="AX48" s="368"/>
      <c r="AY48" s="377"/>
      <c r="AZ48" s="377"/>
      <c r="BA48" s="370"/>
      <c r="BB48" s="368"/>
      <c r="BC48" s="372"/>
      <c r="BD48" s="370"/>
      <c r="BG48" t="s">
        <v>5</v>
      </c>
      <c r="BH48" t="s">
        <v>1665</v>
      </c>
    </row>
    <row r="49" spans="1:60" ht="12.75" customHeight="1" outlineLevel="1" x14ac:dyDescent="0.2">
      <c r="A49" s="570">
        <v>41153</v>
      </c>
      <c r="B49" s="708">
        <f>IF([1]RENAME!$H$3=0,A49,TEXT(A49,"[$-em-US] mmm-aa;@"))</f>
        <v>41153</v>
      </c>
      <c r="C49" s="365" t="str">
        <f>IF([1]RENAME!$H$3=0,BG49,BH49)</f>
        <v>3T12</v>
      </c>
      <c r="D49" s="366">
        <v>41153</v>
      </c>
      <c r="E49" s="367">
        <f t="shared" si="0"/>
        <v>302249</v>
      </c>
      <c r="F49" s="368">
        <v>277694</v>
      </c>
      <c r="G49" s="370">
        <v>24555</v>
      </c>
      <c r="H49" s="368"/>
      <c r="I49" s="367" t="s">
        <v>160</v>
      </c>
      <c r="J49" s="369" t="s">
        <v>160</v>
      </c>
      <c r="K49" s="371" t="s">
        <v>160</v>
      </c>
      <c r="L49" s="368"/>
      <c r="M49" s="372">
        <v>273840</v>
      </c>
      <c r="N49" s="370">
        <v>53761</v>
      </c>
      <c r="O49" s="368"/>
      <c r="P49" s="372" t="s">
        <v>160</v>
      </c>
      <c r="Q49" s="370" t="s">
        <v>160</v>
      </c>
      <c r="R49" s="368"/>
      <c r="S49" s="372" t="s">
        <v>160</v>
      </c>
      <c r="T49" s="370" t="str">
        <f>[2]Base!AF47</f>
        <v>-</v>
      </c>
      <c r="U49" s="368"/>
      <c r="V49" s="372" t="s">
        <v>160</v>
      </c>
      <c r="W49" s="368" t="s">
        <v>160</v>
      </c>
      <c r="X49" s="368" t="s">
        <v>160</v>
      </c>
      <c r="Y49" s="368" t="s">
        <v>160</v>
      </c>
      <c r="Z49" s="368" t="s">
        <v>160</v>
      </c>
      <c r="AA49" s="377" t="s">
        <v>160</v>
      </c>
      <c r="AB49" s="377" t="s">
        <v>160</v>
      </c>
      <c r="AC49" s="377" t="s">
        <v>160</v>
      </c>
      <c r="AD49" s="370" t="s">
        <v>160</v>
      </c>
      <c r="AE49" s="368"/>
      <c r="AF49" s="366">
        <f t="shared" si="2"/>
        <v>41153</v>
      </c>
      <c r="AG49" s="373"/>
      <c r="AH49" s="374"/>
      <c r="AI49" s="374"/>
      <c r="AJ49" s="374"/>
      <c r="AK49" s="374"/>
      <c r="AL49" s="378"/>
      <c r="AM49" s="378"/>
      <c r="AN49" s="378"/>
      <c r="AO49" s="375"/>
      <c r="AP49" s="368"/>
      <c r="AQ49" s="372"/>
      <c r="AR49" s="368"/>
      <c r="AS49" s="377"/>
      <c r="AT49" s="377"/>
      <c r="AU49" s="370"/>
      <c r="AV49" s="368"/>
      <c r="AW49" s="372"/>
      <c r="AX49" s="368"/>
      <c r="AY49" s="377"/>
      <c r="AZ49" s="377"/>
      <c r="BA49" s="370"/>
      <c r="BB49" s="368"/>
      <c r="BC49" s="372"/>
      <c r="BD49" s="370"/>
      <c r="BG49" t="s">
        <v>5</v>
      </c>
      <c r="BH49" t="s">
        <v>1665</v>
      </c>
    </row>
    <row r="50" spans="1:60" ht="12.75" customHeight="1" outlineLevel="1" x14ac:dyDescent="0.2">
      <c r="A50" s="570">
        <v>41183</v>
      </c>
      <c r="B50" s="708">
        <f>IF([1]RENAME!$H$3=0,A50,TEXT(A50,"[$-em-US] mmm-aa;@"))</f>
        <v>41183</v>
      </c>
      <c r="C50" s="365" t="str">
        <f>IF([1]RENAME!$H$3=0,BG50,BH50)</f>
        <v>4T12</v>
      </c>
      <c r="D50" s="366">
        <v>41183</v>
      </c>
      <c r="E50" s="367">
        <f t="shared" si="0"/>
        <v>366015</v>
      </c>
      <c r="F50" s="368">
        <v>327027</v>
      </c>
      <c r="G50" s="370">
        <v>38988</v>
      </c>
      <c r="H50" s="368"/>
      <c r="I50" s="367" t="s">
        <v>160</v>
      </c>
      <c r="J50" s="369" t="s">
        <v>160</v>
      </c>
      <c r="K50" s="371" t="s">
        <v>160</v>
      </c>
      <c r="L50" s="368"/>
      <c r="M50" s="372">
        <v>307303</v>
      </c>
      <c r="N50" s="370">
        <v>59675</v>
      </c>
      <c r="O50" s="368"/>
      <c r="P50" s="372" t="s">
        <v>160</v>
      </c>
      <c r="Q50" s="370" t="s">
        <v>160</v>
      </c>
      <c r="R50" s="368"/>
      <c r="S50" s="372" t="s">
        <v>160</v>
      </c>
      <c r="T50" s="370" t="str">
        <f>[2]Base!AF48</f>
        <v>-</v>
      </c>
      <c r="U50" s="368"/>
      <c r="V50" s="372" t="s">
        <v>160</v>
      </c>
      <c r="W50" s="368" t="s">
        <v>160</v>
      </c>
      <c r="X50" s="368" t="s">
        <v>160</v>
      </c>
      <c r="Y50" s="368" t="s">
        <v>160</v>
      </c>
      <c r="Z50" s="368" t="s">
        <v>160</v>
      </c>
      <c r="AA50" s="377" t="s">
        <v>160</v>
      </c>
      <c r="AB50" s="377" t="s">
        <v>160</v>
      </c>
      <c r="AC50" s="377" t="s">
        <v>160</v>
      </c>
      <c r="AD50" s="370" t="s">
        <v>160</v>
      </c>
      <c r="AE50" s="368"/>
      <c r="AF50" s="366">
        <f t="shared" si="2"/>
        <v>41183</v>
      </c>
      <c r="AG50" s="373"/>
      <c r="AH50" s="374"/>
      <c r="AI50" s="374"/>
      <c r="AJ50" s="374"/>
      <c r="AK50" s="374"/>
      <c r="AL50" s="378"/>
      <c r="AM50" s="378"/>
      <c r="AN50" s="378"/>
      <c r="AO50" s="375"/>
      <c r="AP50" s="368"/>
      <c r="AQ50" s="372"/>
      <c r="AR50" s="368"/>
      <c r="AS50" s="377"/>
      <c r="AT50" s="377"/>
      <c r="AU50" s="370"/>
      <c r="AV50" s="368"/>
      <c r="AW50" s="372"/>
      <c r="AX50" s="368"/>
      <c r="AY50" s="377"/>
      <c r="AZ50" s="377"/>
      <c r="BA50" s="370"/>
      <c r="BB50" s="368"/>
      <c r="BC50" s="372"/>
      <c r="BD50" s="370"/>
      <c r="BG50" t="s">
        <v>4</v>
      </c>
      <c r="BH50" t="s">
        <v>1666</v>
      </c>
    </row>
    <row r="51" spans="1:60" ht="12.75" customHeight="1" outlineLevel="1" x14ac:dyDescent="0.2">
      <c r="A51" s="570">
        <v>41214</v>
      </c>
      <c r="B51" s="708">
        <f>IF([1]RENAME!$H$3=0,A51,TEXT(A51,"[$-em-US] mmm-aa;@"))</f>
        <v>41214</v>
      </c>
      <c r="C51" s="365" t="str">
        <f>IF([1]RENAME!$H$3=0,BG51,BH51)</f>
        <v>4T12</v>
      </c>
      <c r="D51" s="366">
        <v>41214</v>
      </c>
      <c r="E51" s="367">
        <f t="shared" si="0"/>
        <v>331054</v>
      </c>
      <c r="F51" s="368">
        <v>297076</v>
      </c>
      <c r="G51" s="370">
        <v>33978</v>
      </c>
      <c r="H51" s="368"/>
      <c r="I51" s="367" t="s">
        <v>160</v>
      </c>
      <c r="J51" s="369" t="s">
        <v>160</v>
      </c>
      <c r="K51" s="371" t="s">
        <v>160</v>
      </c>
      <c r="L51" s="368"/>
      <c r="M51" s="372">
        <v>298431</v>
      </c>
      <c r="N51" s="370">
        <v>58045</v>
      </c>
      <c r="O51" s="368"/>
      <c r="P51" s="372" t="s">
        <v>160</v>
      </c>
      <c r="Q51" s="370" t="s">
        <v>160</v>
      </c>
      <c r="R51" s="368"/>
      <c r="S51" s="372" t="s">
        <v>160</v>
      </c>
      <c r="T51" s="370" t="str">
        <f>[2]Base!AF49</f>
        <v>-</v>
      </c>
      <c r="U51" s="368"/>
      <c r="V51" s="372" t="s">
        <v>160</v>
      </c>
      <c r="W51" s="368" t="s">
        <v>160</v>
      </c>
      <c r="X51" s="368" t="s">
        <v>160</v>
      </c>
      <c r="Y51" s="368" t="s">
        <v>160</v>
      </c>
      <c r="Z51" s="368" t="s">
        <v>160</v>
      </c>
      <c r="AA51" s="377" t="s">
        <v>160</v>
      </c>
      <c r="AB51" s="377" t="s">
        <v>160</v>
      </c>
      <c r="AC51" s="377" t="s">
        <v>160</v>
      </c>
      <c r="AD51" s="370" t="s">
        <v>160</v>
      </c>
      <c r="AE51" s="368"/>
      <c r="AF51" s="366">
        <f t="shared" si="2"/>
        <v>41214</v>
      </c>
      <c r="AG51" s="373"/>
      <c r="AH51" s="374"/>
      <c r="AI51" s="374"/>
      <c r="AJ51" s="374"/>
      <c r="AK51" s="374"/>
      <c r="AL51" s="378"/>
      <c r="AM51" s="378"/>
      <c r="AN51" s="378"/>
      <c r="AO51" s="375"/>
      <c r="AP51" s="368"/>
      <c r="AQ51" s="372"/>
      <c r="AR51" s="368"/>
      <c r="AS51" s="377"/>
      <c r="AT51" s="377"/>
      <c r="AU51" s="370"/>
      <c r="AV51" s="368"/>
      <c r="AW51" s="372"/>
      <c r="AX51" s="368"/>
      <c r="AY51" s="377"/>
      <c r="AZ51" s="377"/>
      <c r="BA51" s="370"/>
      <c r="BB51" s="368"/>
      <c r="BC51" s="372"/>
      <c r="BD51" s="370"/>
      <c r="BG51" t="s">
        <v>4</v>
      </c>
      <c r="BH51" t="s">
        <v>1666</v>
      </c>
    </row>
    <row r="52" spans="1:60" ht="12.75" customHeight="1" outlineLevel="1" x14ac:dyDescent="0.2">
      <c r="A52" s="570">
        <v>41244</v>
      </c>
      <c r="B52" s="708">
        <f>IF([1]RENAME!$H$3=0,A52,TEXT(A52,"[$-em-US] mmm-aa;@"))</f>
        <v>41244</v>
      </c>
      <c r="C52" s="365" t="str">
        <f>IF([1]RENAME!$H$3=0,BG52,BH52)</f>
        <v>4T12</v>
      </c>
      <c r="D52" s="366">
        <v>41244</v>
      </c>
      <c r="E52" s="367">
        <f t="shared" si="0"/>
        <v>383211</v>
      </c>
      <c r="F52" s="368">
        <v>343865</v>
      </c>
      <c r="G52" s="370">
        <v>39346</v>
      </c>
      <c r="H52" s="368"/>
      <c r="I52" s="367">
        <f t="shared" ref="I52:I106" si="3">+J52+K52</f>
        <v>295.2</v>
      </c>
      <c r="J52" s="662">
        <v>243.6</v>
      </c>
      <c r="K52" s="663">
        <v>51.6</v>
      </c>
      <c r="L52" s="368"/>
      <c r="M52" s="372">
        <v>256776</v>
      </c>
      <c r="N52" s="370">
        <v>72703</v>
      </c>
      <c r="O52" s="368"/>
      <c r="P52" s="372" t="s">
        <v>160</v>
      </c>
      <c r="Q52" s="370" t="s">
        <v>160</v>
      </c>
      <c r="R52" s="368"/>
      <c r="S52" s="372" t="s">
        <v>160</v>
      </c>
      <c r="T52" s="370" t="str">
        <f>[2]Base!AF50</f>
        <v>-</v>
      </c>
      <c r="U52" s="368"/>
      <c r="V52" s="372" t="s">
        <v>160</v>
      </c>
      <c r="W52" s="368" t="s">
        <v>160</v>
      </c>
      <c r="X52" s="368" t="s">
        <v>160</v>
      </c>
      <c r="Y52" s="368" t="s">
        <v>160</v>
      </c>
      <c r="Z52" s="368" t="s">
        <v>160</v>
      </c>
      <c r="AA52" s="377" t="s">
        <v>160</v>
      </c>
      <c r="AB52" s="377" t="s">
        <v>160</v>
      </c>
      <c r="AC52" s="377" t="s">
        <v>160</v>
      </c>
      <c r="AD52" s="370" t="s">
        <v>160</v>
      </c>
      <c r="AE52" s="368"/>
      <c r="AF52" s="366">
        <f t="shared" si="2"/>
        <v>41244</v>
      </c>
      <c r="AG52" s="373"/>
      <c r="AH52" s="374"/>
      <c r="AI52" s="374"/>
      <c r="AJ52" s="374"/>
      <c r="AK52" s="374"/>
      <c r="AL52" s="378"/>
      <c r="AM52" s="378"/>
      <c r="AN52" s="378"/>
      <c r="AO52" s="375"/>
      <c r="AP52" s="368"/>
      <c r="AQ52" s="372"/>
      <c r="AR52" s="368"/>
      <c r="AS52" s="377"/>
      <c r="AT52" s="377"/>
      <c r="AU52" s="370"/>
      <c r="AV52" s="368"/>
      <c r="AW52" s="372"/>
      <c r="AX52" s="368"/>
      <c r="AY52" s="377"/>
      <c r="AZ52" s="377"/>
      <c r="BA52" s="370"/>
      <c r="BB52" s="368"/>
      <c r="BC52" s="372"/>
      <c r="BD52" s="370"/>
      <c r="BG52" t="s">
        <v>4</v>
      </c>
      <c r="BH52" t="s">
        <v>1666</v>
      </c>
    </row>
    <row r="53" spans="1:60" ht="12.75" customHeight="1" outlineLevel="1" collapsed="1" x14ac:dyDescent="0.2">
      <c r="A53" s="570">
        <v>41275</v>
      </c>
      <c r="B53" s="708">
        <f>IF([1]RENAME!$H$3=0,A53,TEXT(A53,"[$-em-US] mmm-aa;@"))</f>
        <v>41275</v>
      </c>
      <c r="C53" s="365" t="str">
        <f>IF([1]RENAME!$H$3=0,BG53,BH53)</f>
        <v>1T13</v>
      </c>
      <c r="D53" s="366">
        <v>41275</v>
      </c>
      <c r="E53" s="379">
        <f t="shared" si="0"/>
        <v>331527</v>
      </c>
      <c r="F53" s="380">
        <v>297188</v>
      </c>
      <c r="G53" s="381">
        <v>34339</v>
      </c>
      <c r="H53" s="368"/>
      <c r="I53" s="379">
        <f t="shared" si="3"/>
        <v>298</v>
      </c>
      <c r="J53" s="664">
        <v>237.9</v>
      </c>
      <c r="K53" s="665">
        <v>60.1</v>
      </c>
      <c r="L53" s="368"/>
      <c r="M53" s="382">
        <v>276493</v>
      </c>
      <c r="N53" s="381">
        <v>46648</v>
      </c>
      <c r="O53" s="368"/>
      <c r="P53" s="382" t="s">
        <v>160</v>
      </c>
      <c r="Q53" s="381" t="s">
        <v>160</v>
      </c>
      <c r="R53" s="368"/>
      <c r="S53" s="382" t="str">
        <f>[2]Base!AE51</f>
        <v>-</v>
      </c>
      <c r="T53" s="381" t="str">
        <f>[2]Base!AF51</f>
        <v>-</v>
      </c>
      <c r="U53" s="368"/>
      <c r="V53" s="382" t="str">
        <f>[2]Base!AR51</f>
        <v>-</v>
      </c>
      <c r="W53" s="380" t="str">
        <f>[2]Base!AS51</f>
        <v>-</v>
      </c>
      <c r="X53" s="380" t="str">
        <f>[2]Base!AT51</f>
        <v>-</v>
      </c>
      <c r="Y53" s="380" t="str">
        <f>[2]Base!AU51</f>
        <v>-</v>
      </c>
      <c r="Z53" s="380" t="str">
        <f>[2]Base!AV51</f>
        <v>-</v>
      </c>
      <c r="AA53" s="380" t="str">
        <f>[2]Base!AW51</f>
        <v>-</v>
      </c>
      <c r="AB53" s="380" t="str">
        <f>[2]Base!AX51</f>
        <v>-</v>
      </c>
      <c r="AC53" s="380" t="s">
        <v>160</v>
      </c>
      <c r="AD53" s="381" t="str">
        <f>[2]Base!AZ51</f>
        <v>-</v>
      </c>
      <c r="AE53" s="368"/>
      <c r="AF53" s="366">
        <f t="shared" si="2"/>
        <v>41275</v>
      </c>
      <c r="AG53" s="385" t="s">
        <v>160</v>
      </c>
      <c r="AH53" s="386" t="s">
        <v>160</v>
      </c>
      <c r="AI53" s="386" t="s">
        <v>160</v>
      </c>
      <c r="AJ53" s="386" t="s">
        <v>160</v>
      </c>
      <c r="AK53" s="386" t="s">
        <v>160</v>
      </c>
      <c r="AL53" s="386" t="s">
        <v>160</v>
      </c>
      <c r="AM53" s="386" t="s">
        <v>160</v>
      </c>
      <c r="AN53" s="383" t="s">
        <v>160</v>
      </c>
      <c r="AO53" s="387" t="s">
        <v>160</v>
      </c>
      <c r="AP53" s="368"/>
      <c r="AQ53" s="388" t="str">
        <f>+[2]Base!CS51</f>
        <v>-</v>
      </c>
      <c r="AR53" s="383" t="str">
        <f>+[2]Base!CT51</f>
        <v>-</v>
      </c>
      <c r="AS53" s="383" t="str">
        <f>+[2]Base!CU51</f>
        <v>-</v>
      </c>
      <c r="AT53" s="383" t="str">
        <f>+[2]Base!CV51</f>
        <v>-</v>
      </c>
      <c r="AU53" s="384" t="str">
        <f>+[2]Base!CW51</f>
        <v>-</v>
      </c>
      <c r="AV53" s="368"/>
      <c r="AW53" s="382" t="s">
        <v>160</v>
      </c>
      <c r="AX53" s="383" t="s">
        <v>160</v>
      </c>
      <c r="AY53" s="383" t="s">
        <v>160</v>
      </c>
      <c r="AZ53" s="383" t="s">
        <v>160</v>
      </c>
      <c r="BA53" s="384" t="s">
        <v>160</v>
      </c>
      <c r="BB53" s="368"/>
      <c r="BC53" s="389">
        <f t="shared" ref="BC53:BC84" si="4">+G53/M53</f>
        <v>0.12419482590879335</v>
      </c>
      <c r="BD53" s="390">
        <f t="shared" ref="BD53:BD84" si="5">+N53/F53</f>
        <v>0.15696461499118403</v>
      </c>
      <c r="BG53" t="s">
        <v>3</v>
      </c>
      <c r="BH53" t="s">
        <v>942</v>
      </c>
    </row>
    <row r="54" spans="1:60" ht="12.75" customHeight="1" outlineLevel="1" x14ac:dyDescent="0.2">
      <c r="A54" s="570">
        <v>41306</v>
      </c>
      <c r="B54" s="708">
        <f>IF([1]RENAME!$H$3=0,A54,TEXT(A54,"[$-em-US] mmm-aa;@"))</f>
        <v>41306</v>
      </c>
      <c r="C54" s="365" t="str">
        <f>IF([1]RENAME!$H$3=0,BG54,BH54)</f>
        <v>1T13</v>
      </c>
      <c r="D54" s="366">
        <v>41306</v>
      </c>
      <c r="E54" s="379">
        <f t="shared" si="0"/>
        <v>252916</v>
      </c>
      <c r="F54" s="380">
        <v>222731</v>
      </c>
      <c r="G54" s="381">
        <v>30185</v>
      </c>
      <c r="H54" s="368"/>
      <c r="I54" s="379">
        <f t="shared" si="3"/>
        <v>310.3</v>
      </c>
      <c r="J54" s="664">
        <v>243.9</v>
      </c>
      <c r="K54" s="665">
        <v>66.400000000000006</v>
      </c>
      <c r="L54" s="368"/>
      <c r="M54" s="382">
        <v>223926</v>
      </c>
      <c r="N54" s="381">
        <v>37129</v>
      </c>
      <c r="O54" s="368"/>
      <c r="P54" s="382" t="s">
        <v>160</v>
      </c>
      <c r="Q54" s="381" t="s">
        <v>160</v>
      </c>
      <c r="R54" s="368"/>
      <c r="S54" s="382" t="str">
        <f>[2]Base!AE52</f>
        <v>-</v>
      </c>
      <c r="T54" s="381" t="str">
        <f>[2]Base!AF52</f>
        <v>-</v>
      </c>
      <c r="U54" s="368"/>
      <c r="V54" s="382" t="str">
        <f>[2]Base!AR52</f>
        <v>-</v>
      </c>
      <c r="W54" s="380" t="str">
        <f>[2]Base!AS52</f>
        <v>-</v>
      </c>
      <c r="X54" s="380" t="str">
        <f>[2]Base!AT52</f>
        <v>-</v>
      </c>
      <c r="Y54" s="380" t="str">
        <f>[2]Base!AU52</f>
        <v>-</v>
      </c>
      <c r="Z54" s="380" t="str">
        <f>[2]Base!AV52</f>
        <v>-</v>
      </c>
      <c r="AA54" s="380" t="str">
        <f>[2]Base!AW52</f>
        <v>-</v>
      </c>
      <c r="AB54" s="380" t="str">
        <f>[2]Base!AX52</f>
        <v>-</v>
      </c>
      <c r="AC54" s="380" t="s">
        <v>160</v>
      </c>
      <c r="AD54" s="381" t="str">
        <f>[2]Base!AZ52</f>
        <v>-</v>
      </c>
      <c r="AE54" s="368"/>
      <c r="AF54" s="366">
        <f t="shared" si="2"/>
        <v>41306</v>
      </c>
      <c r="AG54" s="385" t="s">
        <v>160</v>
      </c>
      <c r="AH54" s="386" t="s">
        <v>160</v>
      </c>
      <c r="AI54" s="386" t="s">
        <v>160</v>
      </c>
      <c r="AJ54" s="386" t="s">
        <v>160</v>
      </c>
      <c r="AK54" s="386" t="s">
        <v>160</v>
      </c>
      <c r="AL54" s="386" t="s">
        <v>160</v>
      </c>
      <c r="AM54" s="386" t="s">
        <v>160</v>
      </c>
      <c r="AN54" s="383" t="s">
        <v>160</v>
      </c>
      <c r="AO54" s="387" t="s">
        <v>160</v>
      </c>
      <c r="AP54" s="368"/>
      <c r="AQ54" s="388" t="str">
        <f>+[2]Base!CS52</f>
        <v>-</v>
      </c>
      <c r="AR54" s="383" t="str">
        <f>+[2]Base!CT52</f>
        <v>-</v>
      </c>
      <c r="AS54" s="383" t="str">
        <f>+[2]Base!CU52</f>
        <v>-</v>
      </c>
      <c r="AT54" s="383" t="str">
        <f>+[2]Base!CV52</f>
        <v>-</v>
      </c>
      <c r="AU54" s="384" t="str">
        <f>+[2]Base!CW52</f>
        <v>-</v>
      </c>
      <c r="AV54" s="368"/>
      <c r="AW54" s="382" t="s">
        <v>160</v>
      </c>
      <c r="AX54" s="383" t="s">
        <v>160</v>
      </c>
      <c r="AY54" s="383" t="s">
        <v>160</v>
      </c>
      <c r="AZ54" s="383" t="s">
        <v>160</v>
      </c>
      <c r="BA54" s="384" t="s">
        <v>160</v>
      </c>
      <c r="BB54" s="368"/>
      <c r="BC54" s="389">
        <f t="shared" si="4"/>
        <v>0.13479899609692489</v>
      </c>
      <c r="BD54" s="390">
        <f t="shared" si="5"/>
        <v>0.16669884299895391</v>
      </c>
      <c r="BG54" t="s">
        <v>3</v>
      </c>
      <c r="BH54" t="s">
        <v>942</v>
      </c>
    </row>
    <row r="55" spans="1:60" ht="12.75" customHeight="1" outlineLevel="1" x14ac:dyDescent="0.2">
      <c r="A55" s="570">
        <v>41334</v>
      </c>
      <c r="B55" s="708">
        <f>IF([1]RENAME!$H$3=0,A55,TEXT(A55,"[$-em-US] mmm-aa;@"))</f>
        <v>41334</v>
      </c>
      <c r="C55" s="365" t="str">
        <f>IF([1]RENAME!$H$3=0,BG55,BH55)</f>
        <v>1T13</v>
      </c>
      <c r="D55" s="366">
        <v>41334</v>
      </c>
      <c r="E55" s="379">
        <f t="shared" si="0"/>
        <v>309486</v>
      </c>
      <c r="F55" s="380">
        <v>268595</v>
      </c>
      <c r="G55" s="381">
        <v>40891</v>
      </c>
      <c r="H55" s="368"/>
      <c r="I55" s="379">
        <f t="shared" si="3"/>
        <v>331.5</v>
      </c>
      <c r="J55" s="664">
        <v>262.7</v>
      </c>
      <c r="K55" s="665">
        <v>68.8</v>
      </c>
      <c r="L55" s="368"/>
      <c r="M55" s="382">
        <v>308612</v>
      </c>
      <c r="N55" s="381">
        <v>53301</v>
      </c>
      <c r="O55" s="368"/>
      <c r="P55" s="382" t="s">
        <v>160</v>
      </c>
      <c r="Q55" s="381" t="s">
        <v>160</v>
      </c>
      <c r="R55" s="368"/>
      <c r="S55" s="382" t="str">
        <f>[2]Base!AE53</f>
        <v>-</v>
      </c>
      <c r="T55" s="381" t="str">
        <f>[2]Base!AF53</f>
        <v>-</v>
      </c>
      <c r="U55" s="368"/>
      <c r="V55" s="382" t="str">
        <f>[2]Base!AR53</f>
        <v>-</v>
      </c>
      <c r="W55" s="380" t="str">
        <f>[2]Base!AS53</f>
        <v>-</v>
      </c>
      <c r="X55" s="380" t="str">
        <f>[2]Base!AT53</f>
        <v>-</v>
      </c>
      <c r="Y55" s="380" t="str">
        <f>[2]Base!AU53</f>
        <v>-</v>
      </c>
      <c r="Z55" s="380" t="str">
        <f>[2]Base!AV53</f>
        <v>-</v>
      </c>
      <c r="AA55" s="380" t="str">
        <f>[2]Base!AW53</f>
        <v>-</v>
      </c>
      <c r="AB55" s="380" t="str">
        <f>[2]Base!AX53</f>
        <v>-</v>
      </c>
      <c r="AC55" s="380" t="s">
        <v>160</v>
      </c>
      <c r="AD55" s="381" t="str">
        <f>[2]Base!AZ53</f>
        <v>-</v>
      </c>
      <c r="AE55" s="368"/>
      <c r="AF55" s="366">
        <f t="shared" si="2"/>
        <v>41334</v>
      </c>
      <c r="AG55" s="385" t="s">
        <v>160</v>
      </c>
      <c r="AH55" s="386" t="s">
        <v>160</v>
      </c>
      <c r="AI55" s="386" t="s">
        <v>160</v>
      </c>
      <c r="AJ55" s="386" t="s">
        <v>160</v>
      </c>
      <c r="AK55" s="386" t="s">
        <v>160</v>
      </c>
      <c r="AL55" s="386" t="s">
        <v>160</v>
      </c>
      <c r="AM55" s="386" t="s">
        <v>160</v>
      </c>
      <c r="AN55" s="383" t="s">
        <v>160</v>
      </c>
      <c r="AO55" s="387" t="s">
        <v>160</v>
      </c>
      <c r="AP55" s="368"/>
      <c r="AQ55" s="388" t="str">
        <f>+[2]Base!CS53</f>
        <v>-</v>
      </c>
      <c r="AR55" s="383" t="str">
        <f>+[2]Base!CT53</f>
        <v>-</v>
      </c>
      <c r="AS55" s="383" t="str">
        <f>+[2]Base!CU53</f>
        <v>-</v>
      </c>
      <c r="AT55" s="383" t="str">
        <f>+[2]Base!CV53</f>
        <v>-</v>
      </c>
      <c r="AU55" s="384" t="str">
        <f>+[2]Base!CW53</f>
        <v>-</v>
      </c>
      <c r="AV55" s="368"/>
      <c r="AW55" s="382" t="s">
        <v>160</v>
      </c>
      <c r="AX55" s="383" t="s">
        <v>160</v>
      </c>
      <c r="AY55" s="383" t="s">
        <v>160</v>
      </c>
      <c r="AZ55" s="383" t="s">
        <v>160</v>
      </c>
      <c r="BA55" s="384" t="s">
        <v>160</v>
      </c>
      <c r="BB55" s="368"/>
      <c r="BC55" s="389">
        <f t="shared" si="4"/>
        <v>0.13249970837167704</v>
      </c>
      <c r="BD55" s="390">
        <f t="shared" si="5"/>
        <v>0.19844375360673133</v>
      </c>
      <c r="BG55" t="s">
        <v>3</v>
      </c>
      <c r="BH55" t="s">
        <v>942</v>
      </c>
    </row>
    <row r="56" spans="1:60" ht="12.75" customHeight="1" outlineLevel="1" x14ac:dyDescent="0.2">
      <c r="A56" s="570">
        <v>41365</v>
      </c>
      <c r="B56" s="708">
        <f>IF([1]RENAME!$H$3=0,A56,TEXT(A56,"[$-em-US] mmm-aa;@"))</f>
        <v>41365</v>
      </c>
      <c r="C56" s="365" t="str">
        <f>IF([1]RENAME!$H$3=0,BG56,BH56)</f>
        <v>2T13</v>
      </c>
      <c r="D56" s="366">
        <v>41365</v>
      </c>
      <c r="E56" s="379">
        <f t="shared" si="0"/>
        <v>367214</v>
      </c>
      <c r="F56" s="380">
        <v>316988</v>
      </c>
      <c r="G56" s="381">
        <v>50226</v>
      </c>
      <c r="H56" s="368"/>
      <c r="I56" s="379">
        <f t="shared" si="3"/>
        <v>362.6</v>
      </c>
      <c r="J56" s="664">
        <v>271.60000000000002</v>
      </c>
      <c r="K56" s="665">
        <v>91</v>
      </c>
      <c r="L56" s="368"/>
      <c r="M56" s="382">
        <v>330665</v>
      </c>
      <c r="N56" s="381">
        <v>68983</v>
      </c>
      <c r="O56" s="368"/>
      <c r="P56" s="382" t="s">
        <v>160</v>
      </c>
      <c r="Q56" s="381" t="s">
        <v>160</v>
      </c>
      <c r="R56" s="368"/>
      <c r="S56" s="382" t="str">
        <f>[2]Base!AE54</f>
        <v>-</v>
      </c>
      <c r="T56" s="381" t="str">
        <f>[2]Base!AF54</f>
        <v>-</v>
      </c>
      <c r="U56" s="368"/>
      <c r="V56" s="382" t="str">
        <f>[2]Base!AR54</f>
        <v>-</v>
      </c>
      <c r="W56" s="380" t="str">
        <f>[2]Base!AS54</f>
        <v>-</v>
      </c>
      <c r="X56" s="380" t="str">
        <f>[2]Base!AT54</f>
        <v>-</v>
      </c>
      <c r="Y56" s="380" t="str">
        <f>[2]Base!AU54</f>
        <v>-</v>
      </c>
      <c r="Z56" s="380" t="str">
        <f>[2]Base!AV54</f>
        <v>-</v>
      </c>
      <c r="AA56" s="380" t="str">
        <f>[2]Base!AW54</f>
        <v>-</v>
      </c>
      <c r="AB56" s="380" t="str">
        <f>[2]Base!AX54</f>
        <v>-</v>
      </c>
      <c r="AC56" s="380" t="s">
        <v>160</v>
      </c>
      <c r="AD56" s="381" t="str">
        <f>[2]Base!AZ54</f>
        <v>-</v>
      </c>
      <c r="AE56" s="368"/>
      <c r="AF56" s="366">
        <f t="shared" si="2"/>
        <v>41365</v>
      </c>
      <c r="AG56" s="385" t="s">
        <v>160</v>
      </c>
      <c r="AH56" s="386" t="s">
        <v>160</v>
      </c>
      <c r="AI56" s="386" t="s">
        <v>160</v>
      </c>
      <c r="AJ56" s="386" t="s">
        <v>160</v>
      </c>
      <c r="AK56" s="386" t="s">
        <v>160</v>
      </c>
      <c r="AL56" s="386" t="s">
        <v>160</v>
      </c>
      <c r="AM56" s="386" t="s">
        <v>160</v>
      </c>
      <c r="AN56" s="383" t="s">
        <v>160</v>
      </c>
      <c r="AO56" s="387" t="s">
        <v>160</v>
      </c>
      <c r="AP56" s="368"/>
      <c r="AQ56" s="388" t="str">
        <f>+[2]Base!CS54</f>
        <v>-</v>
      </c>
      <c r="AR56" s="383" t="str">
        <f>+[2]Base!CT54</f>
        <v>-</v>
      </c>
      <c r="AS56" s="383" t="str">
        <f>+[2]Base!CU54</f>
        <v>-</v>
      </c>
      <c r="AT56" s="383" t="str">
        <f>+[2]Base!CV54</f>
        <v>-</v>
      </c>
      <c r="AU56" s="384" t="str">
        <f>+[2]Base!CW54</f>
        <v>-</v>
      </c>
      <c r="AV56" s="368"/>
      <c r="AW56" s="382" t="s">
        <v>160</v>
      </c>
      <c r="AX56" s="383" t="s">
        <v>160</v>
      </c>
      <c r="AY56" s="383" t="s">
        <v>160</v>
      </c>
      <c r="AZ56" s="383" t="s">
        <v>160</v>
      </c>
      <c r="BA56" s="384" t="s">
        <v>160</v>
      </c>
      <c r="BB56" s="368"/>
      <c r="BC56" s="389">
        <f t="shared" si="4"/>
        <v>0.15189391075559858</v>
      </c>
      <c r="BD56" s="390">
        <f t="shared" si="5"/>
        <v>0.21762022537130743</v>
      </c>
      <c r="BG56" t="s">
        <v>2</v>
      </c>
      <c r="BH56" t="s">
        <v>943</v>
      </c>
    </row>
    <row r="57" spans="1:60" ht="12.75" customHeight="1" outlineLevel="1" x14ac:dyDescent="0.2">
      <c r="A57" s="570">
        <v>41395</v>
      </c>
      <c r="B57" s="708">
        <f>IF([1]RENAME!$H$3=0,A57,TEXT(A57,"[$-em-US] mmm-aa;@"))</f>
        <v>41395</v>
      </c>
      <c r="C57" s="365" t="str">
        <f>IF([1]RENAME!$H$3=0,BG57,BH57)</f>
        <v>2T13</v>
      </c>
      <c r="D57" s="366">
        <v>41395</v>
      </c>
      <c r="E57" s="379">
        <f t="shared" si="0"/>
        <v>346346</v>
      </c>
      <c r="F57" s="380">
        <v>300943</v>
      </c>
      <c r="G57" s="381">
        <v>45403</v>
      </c>
      <c r="H57" s="368"/>
      <c r="I57" s="379">
        <f t="shared" si="3"/>
        <v>385.29999999999995</v>
      </c>
      <c r="J57" s="664">
        <v>290.39999999999998</v>
      </c>
      <c r="K57" s="665">
        <v>94.9</v>
      </c>
      <c r="L57" s="368"/>
      <c r="M57" s="382">
        <v>324289</v>
      </c>
      <c r="N57" s="381">
        <v>67482</v>
      </c>
      <c r="O57" s="368"/>
      <c r="P57" s="382" t="s">
        <v>160</v>
      </c>
      <c r="Q57" s="381" t="s">
        <v>160</v>
      </c>
      <c r="R57" s="368"/>
      <c r="S57" s="382" t="str">
        <f>[2]Base!AE55</f>
        <v>-</v>
      </c>
      <c r="T57" s="381" t="str">
        <f>[2]Base!AF55</f>
        <v>-</v>
      </c>
      <c r="U57" s="368"/>
      <c r="V57" s="382" t="str">
        <f>[2]Base!AR55</f>
        <v>-</v>
      </c>
      <c r="W57" s="380" t="str">
        <f>[2]Base!AS55</f>
        <v>-</v>
      </c>
      <c r="X57" s="380" t="str">
        <f>[2]Base!AT55</f>
        <v>-</v>
      </c>
      <c r="Y57" s="380" t="str">
        <f>[2]Base!AU55</f>
        <v>-</v>
      </c>
      <c r="Z57" s="380" t="str">
        <f>[2]Base!AV55</f>
        <v>-</v>
      </c>
      <c r="AA57" s="380" t="str">
        <f>[2]Base!AW55</f>
        <v>-</v>
      </c>
      <c r="AB57" s="380" t="str">
        <f>[2]Base!AX55</f>
        <v>-</v>
      </c>
      <c r="AC57" s="380" t="s">
        <v>160</v>
      </c>
      <c r="AD57" s="381" t="str">
        <f>[2]Base!AZ55</f>
        <v>-</v>
      </c>
      <c r="AE57" s="368"/>
      <c r="AF57" s="366">
        <f t="shared" si="2"/>
        <v>41395</v>
      </c>
      <c r="AG57" s="385" t="s">
        <v>160</v>
      </c>
      <c r="AH57" s="386" t="s">
        <v>160</v>
      </c>
      <c r="AI57" s="386" t="s">
        <v>160</v>
      </c>
      <c r="AJ57" s="386" t="s">
        <v>160</v>
      </c>
      <c r="AK57" s="386" t="s">
        <v>160</v>
      </c>
      <c r="AL57" s="386" t="s">
        <v>160</v>
      </c>
      <c r="AM57" s="386" t="s">
        <v>160</v>
      </c>
      <c r="AN57" s="383" t="s">
        <v>160</v>
      </c>
      <c r="AO57" s="387" t="s">
        <v>160</v>
      </c>
      <c r="AP57" s="368"/>
      <c r="AQ57" s="388" t="str">
        <f>+[2]Base!CS55</f>
        <v>-</v>
      </c>
      <c r="AR57" s="383" t="str">
        <f>+[2]Base!CT55</f>
        <v>-</v>
      </c>
      <c r="AS57" s="383" t="str">
        <f>+[2]Base!CU55</f>
        <v>-</v>
      </c>
      <c r="AT57" s="383" t="str">
        <f>+[2]Base!CV55</f>
        <v>-</v>
      </c>
      <c r="AU57" s="384" t="str">
        <f>+[2]Base!CW55</f>
        <v>-</v>
      </c>
      <c r="AV57" s="368"/>
      <c r="AW57" s="382" t="s">
        <v>160</v>
      </c>
      <c r="AX57" s="383" t="s">
        <v>160</v>
      </c>
      <c r="AY57" s="383" t="s">
        <v>160</v>
      </c>
      <c r="AZ57" s="383" t="s">
        <v>160</v>
      </c>
      <c r="BA57" s="384" t="s">
        <v>160</v>
      </c>
      <c r="BB57" s="368"/>
      <c r="BC57" s="389">
        <f t="shared" si="4"/>
        <v>0.14000783251975862</v>
      </c>
      <c r="BD57" s="390">
        <f t="shared" si="5"/>
        <v>0.22423515416540674</v>
      </c>
      <c r="BG57" t="s">
        <v>2</v>
      </c>
      <c r="BH57" t="s">
        <v>943</v>
      </c>
    </row>
    <row r="58" spans="1:60" ht="12.75" customHeight="1" outlineLevel="1" x14ac:dyDescent="0.2">
      <c r="A58" s="570">
        <v>41426</v>
      </c>
      <c r="B58" s="708">
        <f>IF([1]RENAME!$H$3=0,A58,TEXT(A58,"[$-em-US] mmm-aa;@"))</f>
        <v>41426</v>
      </c>
      <c r="C58" s="365" t="str">
        <f>IF([1]RENAME!$H$3=0,BG58,BH58)</f>
        <v>2T13</v>
      </c>
      <c r="D58" s="366">
        <v>41426</v>
      </c>
      <c r="E58" s="379">
        <f t="shared" si="0"/>
        <v>349103</v>
      </c>
      <c r="F58" s="380">
        <v>303087</v>
      </c>
      <c r="G58" s="381">
        <v>46016</v>
      </c>
      <c r="H58" s="368"/>
      <c r="I58" s="379">
        <f t="shared" si="3"/>
        <v>415.29999999999995</v>
      </c>
      <c r="J58" s="664">
        <v>321.7</v>
      </c>
      <c r="K58" s="665">
        <v>93.6</v>
      </c>
      <c r="L58" s="368"/>
      <c r="M58" s="382">
        <v>303642</v>
      </c>
      <c r="N58" s="381">
        <v>68670</v>
      </c>
      <c r="O58" s="368"/>
      <c r="P58" s="382" t="s">
        <v>160</v>
      </c>
      <c r="Q58" s="381" t="s">
        <v>160</v>
      </c>
      <c r="R58" s="368"/>
      <c r="S58" s="382" t="str">
        <f>[2]Base!AE56</f>
        <v>-</v>
      </c>
      <c r="T58" s="381" t="str">
        <f>[2]Base!AF56</f>
        <v>-</v>
      </c>
      <c r="U58" s="368"/>
      <c r="V58" s="382" t="str">
        <f>[2]Base!AR56</f>
        <v>-</v>
      </c>
      <c r="W58" s="380" t="str">
        <f>[2]Base!AS56</f>
        <v>-</v>
      </c>
      <c r="X58" s="380" t="str">
        <f>[2]Base!AT56</f>
        <v>-</v>
      </c>
      <c r="Y58" s="380" t="str">
        <f>[2]Base!AU56</f>
        <v>-</v>
      </c>
      <c r="Z58" s="380" t="str">
        <f>[2]Base!AV56</f>
        <v>-</v>
      </c>
      <c r="AA58" s="380" t="str">
        <f>[2]Base!AW56</f>
        <v>-</v>
      </c>
      <c r="AB58" s="380" t="str">
        <f>[2]Base!AX56</f>
        <v>-</v>
      </c>
      <c r="AC58" s="380" t="s">
        <v>160</v>
      </c>
      <c r="AD58" s="381" t="str">
        <f>[2]Base!AZ56</f>
        <v>-</v>
      </c>
      <c r="AE58" s="368"/>
      <c r="AF58" s="366">
        <f t="shared" si="2"/>
        <v>41426</v>
      </c>
      <c r="AG58" s="385" t="s">
        <v>160</v>
      </c>
      <c r="AH58" s="386" t="s">
        <v>160</v>
      </c>
      <c r="AI58" s="386" t="s">
        <v>160</v>
      </c>
      <c r="AJ58" s="386" t="s">
        <v>160</v>
      </c>
      <c r="AK58" s="386" t="s">
        <v>160</v>
      </c>
      <c r="AL58" s="386" t="s">
        <v>160</v>
      </c>
      <c r="AM58" s="386" t="s">
        <v>160</v>
      </c>
      <c r="AN58" s="383" t="s">
        <v>160</v>
      </c>
      <c r="AO58" s="387" t="s">
        <v>160</v>
      </c>
      <c r="AP58" s="368"/>
      <c r="AQ58" s="388" t="str">
        <f>+[2]Base!CS56</f>
        <v>-</v>
      </c>
      <c r="AR58" s="383" t="str">
        <f>+[2]Base!CT56</f>
        <v>-</v>
      </c>
      <c r="AS58" s="383" t="str">
        <f>+[2]Base!CU56</f>
        <v>-</v>
      </c>
      <c r="AT58" s="383" t="str">
        <f>+[2]Base!CV56</f>
        <v>-</v>
      </c>
      <c r="AU58" s="384" t="str">
        <f>+[2]Base!CW56</f>
        <v>-</v>
      </c>
      <c r="AV58" s="368"/>
      <c r="AW58" s="382" t="s">
        <v>160</v>
      </c>
      <c r="AX58" s="383" t="s">
        <v>160</v>
      </c>
      <c r="AY58" s="383" t="s">
        <v>160</v>
      </c>
      <c r="AZ58" s="383" t="s">
        <v>160</v>
      </c>
      <c r="BA58" s="384" t="s">
        <v>160</v>
      </c>
      <c r="BB58" s="368"/>
      <c r="BC58" s="389">
        <f t="shared" si="4"/>
        <v>0.15154688745298739</v>
      </c>
      <c r="BD58" s="390">
        <f t="shared" si="5"/>
        <v>0.22656860901325362</v>
      </c>
      <c r="BG58" t="s">
        <v>2</v>
      </c>
      <c r="BH58" t="s">
        <v>943</v>
      </c>
    </row>
    <row r="59" spans="1:60" ht="12.75" customHeight="1" outlineLevel="1" x14ac:dyDescent="0.2">
      <c r="A59" s="570">
        <v>41456</v>
      </c>
      <c r="B59" s="708">
        <f>IF([1]RENAME!$H$3=0,A59,TEXT(A59,"[$-em-US] mmm-aa;@"))</f>
        <v>41456</v>
      </c>
      <c r="C59" s="365" t="str">
        <f>IF([1]RENAME!$H$3=0,BG59,BH59)</f>
        <v>3T13</v>
      </c>
      <c r="D59" s="366">
        <v>41456</v>
      </c>
      <c r="E59" s="379">
        <f t="shared" si="0"/>
        <v>375071</v>
      </c>
      <c r="F59" s="380">
        <v>324295</v>
      </c>
      <c r="G59" s="381">
        <v>50776</v>
      </c>
      <c r="H59" s="368"/>
      <c r="I59" s="379">
        <f t="shared" si="3"/>
        <v>395.9</v>
      </c>
      <c r="J59" s="664">
        <v>297.89999999999998</v>
      </c>
      <c r="K59" s="665">
        <v>98</v>
      </c>
      <c r="L59" s="368"/>
      <c r="M59" s="382">
        <v>296414</v>
      </c>
      <c r="N59" s="381">
        <v>69107</v>
      </c>
      <c r="O59" s="368"/>
      <c r="P59" s="382" t="s">
        <v>160</v>
      </c>
      <c r="Q59" s="381" t="s">
        <v>160</v>
      </c>
      <c r="R59" s="368"/>
      <c r="S59" s="382" t="str">
        <f>[2]Base!AE57</f>
        <v>-</v>
      </c>
      <c r="T59" s="381" t="str">
        <f>[2]Base!AF57</f>
        <v>-</v>
      </c>
      <c r="U59" s="368"/>
      <c r="V59" s="382" t="str">
        <f>[2]Base!AR57</f>
        <v>-</v>
      </c>
      <c r="W59" s="380" t="str">
        <f>[2]Base!AS57</f>
        <v>-</v>
      </c>
      <c r="X59" s="380" t="str">
        <f>[2]Base!AT57</f>
        <v>-</v>
      </c>
      <c r="Y59" s="380" t="str">
        <f>[2]Base!AU57</f>
        <v>-</v>
      </c>
      <c r="Z59" s="380" t="str">
        <f>[2]Base!AV57</f>
        <v>-</v>
      </c>
      <c r="AA59" s="380" t="str">
        <f>[2]Base!AW57</f>
        <v>-</v>
      </c>
      <c r="AB59" s="380" t="str">
        <f>[2]Base!AX57</f>
        <v>-</v>
      </c>
      <c r="AC59" s="380" t="s">
        <v>160</v>
      </c>
      <c r="AD59" s="381" t="str">
        <f>[2]Base!AZ57</f>
        <v>-</v>
      </c>
      <c r="AE59" s="368"/>
      <c r="AF59" s="366">
        <f t="shared" si="2"/>
        <v>41456</v>
      </c>
      <c r="AG59" s="385" t="s">
        <v>160</v>
      </c>
      <c r="AH59" s="386" t="s">
        <v>160</v>
      </c>
      <c r="AI59" s="386" t="s">
        <v>160</v>
      </c>
      <c r="AJ59" s="386" t="s">
        <v>160</v>
      </c>
      <c r="AK59" s="386" t="s">
        <v>160</v>
      </c>
      <c r="AL59" s="386" t="s">
        <v>160</v>
      </c>
      <c r="AM59" s="386" t="s">
        <v>160</v>
      </c>
      <c r="AN59" s="383" t="s">
        <v>160</v>
      </c>
      <c r="AO59" s="387" t="s">
        <v>160</v>
      </c>
      <c r="AP59" s="368"/>
      <c r="AQ59" s="388" t="str">
        <f>+[2]Base!CS57</f>
        <v>-</v>
      </c>
      <c r="AR59" s="383" t="str">
        <f>+[2]Base!CT57</f>
        <v>-</v>
      </c>
      <c r="AS59" s="383" t="str">
        <f>+[2]Base!CU57</f>
        <v>-</v>
      </c>
      <c r="AT59" s="383" t="str">
        <f>+[2]Base!CV57</f>
        <v>-</v>
      </c>
      <c r="AU59" s="384" t="str">
        <f>+[2]Base!CW57</f>
        <v>-</v>
      </c>
      <c r="AV59" s="368"/>
      <c r="AW59" s="382" t="s">
        <v>160</v>
      </c>
      <c r="AX59" s="383" t="s">
        <v>160</v>
      </c>
      <c r="AY59" s="383" t="s">
        <v>160</v>
      </c>
      <c r="AZ59" s="383" t="s">
        <v>160</v>
      </c>
      <c r="BA59" s="384" t="s">
        <v>160</v>
      </c>
      <c r="BB59" s="368"/>
      <c r="BC59" s="389">
        <f t="shared" si="4"/>
        <v>0.17130095069733547</v>
      </c>
      <c r="BD59" s="390">
        <f t="shared" si="5"/>
        <v>0.21309918438458811</v>
      </c>
      <c r="BG59" t="s">
        <v>1</v>
      </c>
      <c r="BH59" t="s">
        <v>944</v>
      </c>
    </row>
    <row r="60" spans="1:60" ht="12.75" customHeight="1" outlineLevel="1" x14ac:dyDescent="0.2">
      <c r="A60" s="570">
        <v>41487</v>
      </c>
      <c r="B60" s="708">
        <f>IF([1]RENAME!$H$3=0,A60,TEXT(A60,"[$-em-US] mmm-aa;@"))</f>
        <v>41487</v>
      </c>
      <c r="C60" s="365" t="str">
        <f>IF([1]RENAME!$H$3=0,BG60,BH60)</f>
        <v>3T13</v>
      </c>
      <c r="D60" s="366">
        <v>41487</v>
      </c>
      <c r="E60" s="379">
        <f t="shared" si="0"/>
        <v>373342</v>
      </c>
      <c r="F60" s="380">
        <v>313008</v>
      </c>
      <c r="G60" s="381">
        <v>60334</v>
      </c>
      <c r="H60" s="368"/>
      <c r="I60" s="379">
        <f t="shared" si="3"/>
        <v>400.6</v>
      </c>
      <c r="J60" s="664">
        <v>297.5</v>
      </c>
      <c r="K60" s="665">
        <v>103.1</v>
      </c>
      <c r="L60" s="368"/>
      <c r="M60" s="382">
        <v>321036</v>
      </c>
      <c r="N60" s="381">
        <v>62342</v>
      </c>
      <c r="O60" s="368"/>
      <c r="P60" s="382" t="s">
        <v>160</v>
      </c>
      <c r="Q60" s="381" t="s">
        <v>160</v>
      </c>
      <c r="R60" s="368"/>
      <c r="S60" s="382" t="str">
        <f>[2]Base!AE58</f>
        <v>-</v>
      </c>
      <c r="T60" s="381" t="str">
        <f>[2]Base!AF58</f>
        <v>-</v>
      </c>
      <c r="U60" s="368"/>
      <c r="V60" s="382" t="str">
        <f>[2]Base!AR58</f>
        <v>-</v>
      </c>
      <c r="W60" s="380" t="str">
        <f>[2]Base!AS58</f>
        <v>-</v>
      </c>
      <c r="X60" s="380" t="str">
        <f>[2]Base!AT58</f>
        <v>-</v>
      </c>
      <c r="Y60" s="380" t="str">
        <f>[2]Base!AU58</f>
        <v>-</v>
      </c>
      <c r="Z60" s="380" t="str">
        <f>[2]Base!AV58</f>
        <v>-</v>
      </c>
      <c r="AA60" s="380" t="str">
        <f>[2]Base!AW58</f>
        <v>-</v>
      </c>
      <c r="AB60" s="380" t="str">
        <f>[2]Base!AX58</f>
        <v>-</v>
      </c>
      <c r="AC60" s="380" t="s">
        <v>160</v>
      </c>
      <c r="AD60" s="381" t="str">
        <f>[2]Base!AZ58</f>
        <v>-</v>
      </c>
      <c r="AE60" s="368"/>
      <c r="AF60" s="366">
        <f t="shared" si="2"/>
        <v>41487</v>
      </c>
      <c r="AG60" s="385" t="s">
        <v>160</v>
      </c>
      <c r="AH60" s="386" t="s">
        <v>160</v>
      </c>
      <c r="AI60" s="386" t="s">
        <v>160</v>
      </c>
      <c r="AJ60" s="386" t="s">
        <v>160</v>
      </c>
      <c r="AK60" s="386" t="s">
        <v>160</v>
      </c>
      <c r="AL60" s="386" t="s">
        <v>160</v>
      </c>
      <c r="AM60" s="386" t="s">
        <v>160</v>
      </c>
      <c r="AN60" s="383" t="s">
        <v>160</v>
      </c>
      <c r="AO60" s="387" t="s">
        <v>160</v>
      </c>
      <c r="AP60" s="368"/>
      <c r="AQ60" s="388" t="str">
        <f>+[2]Base!CS58</f>
        <v>-</v>
      </c>
      <c r="AR60" s="383" t="str">
        <f>+[2]Base!CT58</f>
        <v>-</v>
      </c>
      <c r="AS60" s="383" t="str">
        <f>+[2]Base!CU58</f>
        <v>-</v>
      </c>
      <c r="AT60" s="383" t="str">
        <f>+[2]Base!CV58</f>
        <v>-</v>
      </c>
      <c r="AU60" s="384" t="str">
        <f>+[2]Base!CW58</f>
        <v>-</v>
      </c>
      <c r="AV60" s="368"/>
      <c r="AW60" s="382" t="s">
        <v>160</v>
      </c>
      <c r="AX60" s="383" t="s">
        <v>160</v>
      </c>
      <c r="AY60" s="383" t="s">
        <v>160</v>
      </c>
      <c r="AZ60" s="383" t="s">
        <v>160</v>
      </c>
      <c r="BA60" s="384" t="s">
        <v>160</v>
      </c>
      <c r="BB60" s="368"/>
      <c r="BC60" s="389">
        <f t="shared" si="4"/>
        <v>0.18793530943570191</v>
      </c>
      <c r="BD60" s="390">
        <f t="shared" si="5"/>
        <v>0.19917062822675458</v>
      </c>
      <c r="BG60" t="s">
        <v>1</v>
      </c>
      <c r="BH60" t="s">
        <v>944</v>
      </c>
    </row>
    <row r="61" spans="1:60" ht="12.75" customHeight="1" outlineLevel="1" x14ac:dyDescent="0.2">
      <c r="A61" s="570">
        <v>41518</v>
      </c>
      <c r="B61" s="708">
        <f>IF([1]RENAME!$H$3=0,A61,TEXT(A61,"[$-em-US] mmm-aa;@"))</f>
        <v>41518</v>
      </c>
      <c r="C61" s="365" t="str">
        <f>IF([1]RENAME!$H$3=0,BG61,BH61)</f>
        <v>3T13</v>
      </c>
      <c r="D61" s="366">
        <v>41518</v>
      </c>
      <c r="E61" s="379">
        <f t="shared" si="0"/>
        <v>337162</v>
      </c>
      <c r="F61" s="380">
        <v>294419</v>
      </c>
      <c r="G61" s="381">
        <v>42743</v>
      </c>
      <c r="H61" s="368"/>
      <c r="I61" s="379">
        <f t="shared" si="3"/>
        <v>420.7</v>
      </c>
      <c r="J61" s="664">
        <v>305.7</v>
      </c>
      <c r="K61" s="665">
        <v>115</v>
      </c>
      <c r="L61" s="368"/>
      <c r="M61" s="382">
        <v>302381</v>
      </c>
      <c r="N61" s="381">
        <v>58026</v>
      </c>
      <c r="O61" s="368"/>
      <c r="P61" s="382" t="s">
        <v>160</v>
      </c>
      <c r="Q61" s="381" t="s">
        <v>160</v>
      </c>
      <c r="R61" s="368"/>
      <c r="S61" s="382" t="str">
        <f>[2]Base!AE59</f>
        <v>-</v>
      </c>
      <c r="T61" s="381" t="str">
        <f>[2]Base!AF59</f>
        <v>-</v>
      </c>
      <c r="U61" s="368"/>
      <c r="V61" s="382" t="str">
        <f>[2]Base!AR59</f>
        <v>-</v>
      </c>
      <c r="W61" s="380" t="str">
        <f>[2]Base!AS59</f>
        <v>-</v>
      </c>
      <c r="X61" s="380" t="str">
        <f>[2]Base!AT59</f>
        <v>-</v>
      </c>
      <c r="Y61" s="380" t="str">
        <f>[2]Base!AU59</f>
        <v>-</v>
      </c>
      <c r="Z61" s="380" t="str">
        <f>[2]Base!AV59</f>
        <v>-</v>
      </c>
      <c r="AA61" s="380" t="str">
        <f>[2]Base!AW59</f>
        <v>-</v>
      </c>
      <c r="AB61" s="380" t="str">
        <f>[2]Base!AX59</f>
        <v>-</v>
      </c>
      <c r="AC61" s="380" t="s">
        <v>160</v>
      </c>
      <c r="AD61" s="381" t="str">
        <f>[2]Base!AZ59</f>
        <v>-</v>
      </c>
      <c r="AE61" s="368"/>
      <c r="AF61" s="366">
        <f t="shared" si="2"/>
        <v>41518</v>
      </c>
      <c r="AG61" s="385" t="s">
        <v>160</v>
      </c>
      <c r="AH61" s="386" t="s">
        <v>160</v>
      </c>
      <c r="AI61" s="386" t="s">
        <v>160</v>
      </c>
      <c r="AJ61" s="386" t="s">
        <v>160</v>
      </c>
      <c r="AK61" s="386" t="s">
        <v>160</v>
      </c>
      <c r="AL61" s="386" t="s">
        <v>160</v>
      </c>
      <c r="AM61" s="386" t="s">
        <v>160</v>
      </c>
      <c r="AN61" s="383" t="s">
        <v>160</v>
      </c>
      <c r="AO61" s="387" t="s">
        <v>160</v>
      </c>
      <c r="AP61" s="368"/>
      <c r="AQ61" s="388" t="str">
        <f>+[2]Base!CS59</f>
        <v>-</v>
      </c>
      <c r="AR61" s="383" t="str">
        <f>+[2]Base!CT59</f>
        <v>-</v>
      </c>
      <c r="AS61" s="383" t="str">
        <f>+[2]Base!CU59</f>
        <v>-</v>
      </c>
      <c r="AT61" s="383" t="str">
        <f>+[2]Base!CV59</f>
        <v>-</v>
      </c>
      <c r="AU61" s="384" t="str">
        <f>+[2]Base!CW59</f>
        <v>-</v>
      </c>
      <c r="AV61" s="368"/>
      <c r="AW61" s="382" t="s">
        <v>160</v>
      </c>
      <c r="AX61" s="383" t="s">
        <v>160</v>
      </c>
      <c r="AY61" s="383" t="s">
        <v>160</v>
      </c>
      <c r="AZ61" s="383" t="s">
        <v>160</v>
      </c>
      <c r="BA61" s="384" t="s">
        <v>160</v>
      </c>
      <c r="BB61" s="368"/>
      <c r="BC61" s="389">
        <f t="shared" si="4"/>
        <v>0.14135478088901088</v>
      </c>
      <c r="BD61" s="390">
        <f t="shared" si="5"/>
        <v>0.19708646520774814</v>
      </c>
      <c r="BG61" t="s">
        <v>1</v>
      </c>
      <c r="BH61" t="s">
        <v>944</v>
      </c>
    </row>
    <row r="62" spans="1:60" ht="12.75" customHeight="1" outlineLevel="1" x14ac:dyDescent="0.2">
      <c r="A62" s="570">
        <v>41548</v>
      </c>
      <c r="B62" s="708">
        <f>IF([1]RENAME!$H$3=0,A62,TEXT(A62,"[$-em-US] mmm-aa;@"))</f>
        <v>41548</v>
      </c>
      <c r="C62" s="365" t="str">
        <f>IF([1]RENAME!$H$3=0,BG62,BH62)</f>
        <v>4T13</v>
      </c>
      <c r="D62" s="366">
        <v>41548</v>
      </c>
      <c r="E62" s="379">
        <f t="shared" si="0"/>
        <v>362259</v>
      </c>
      <c r="F62" s="380">
        <v>313873</v>
      </c>
      <c r="G62" s="381">
        <v>48386</v>
      </c>
      <c r="H62" s="368"/>
      <c r="I62" s="379">
        <f t="shared" si="3"/>
        <v>439.7</v>
      </c>
      <c r="J62" s="664">
        <v>305</v>
      </c>
      <c r="K62" s="665">
        <v>134.69999999999999</v>
      </c>
      <c r="L62" s="368"/>
      <c r="M62" s="382">
        <v>300707</v>
      </c>
      <c r="N62" s="381">
        <v>76505</v>
      </c>
      <c r="O62" s="368"/>
      <c r="P62" s="382" t="s">
        <v>160</v>
      </c>
      <c r="Q62" s="381" t="s">
        <v>160</v>
      </c>
      <c r="R62" s="368"/>
      <c r="S62" s="382" t="str">
        <f>[2]Base!AE60</f>
        <v>-</v>
      </c>
      <c r="T62" s="381" t="str">
        <f>[2]Base!AF60</f>
        <v>-</v>
      </c>
      <c r="U62" s="368"/>
      <c r="V62" s="382" t="str">
        <f>[2]Base!AR60</f>
        <v>-</v>
      </c>
      <c r="W62" s="380" t="str">
        <f>[2]Base!AS60</f>
        <v>-</v>
      </c>
      <c r="X62" s="380" t="str">
        <f>[2]Base!AT60</f>
        <v>-</v>
      </c>
      <c r="Y62" s="380" t="str">
        <f>[2]Base!AU60</f>
        <v>-</v>
      </c>
      <c r="Z62" s="380" t="str">
        <f>[2]Base!AV60</f>
        <v>-</v>
      </c>
      <c r="AA62" s="380" t="str">
        <f>[2]Base!AW60</f>
        <v>-</v>
      </c>
      <c r="AB62" s="380" t="str">
        <f>[2]Base!AX60</f>
        <v>-</v>
      </c>
      <c r="AC62" s="380" t="s">
        <v>160</v>
      </c>
      <c r="AD62" s="381" t="str">
        <f>[2]Base!AZ60</f>
        <v>-</v>
      </c>
      <c r="AE62" s="368"/>
      <c r="AF62" s="366">
        <f t="shared" si="2"/>
        <v>41548</v>
      </c>
      <c r="AG62" s="385" t="s">
        <v>160</v>
      </c>
      <c r="AH62" s="386" t="s">
        <v>160</v>
      </c>
      <c r="AI62" s="386" t="s">
        <v>160</v>
      </c>
      <c r="AJ62" s="386" t="s">
        <v>160</v>
      </c>
      <c r="AK62" s="386" t="s">
        <v>160</v>
      </c>
      <c r="AL62" s="386" t="s">
        <v>160</v>
      </c>
      <c r="AM62" s="386" t="s">
        <v>160</v>
      </c>
      <c r="AN62" s="383" t="s">
        <v>160</v>
      </c>
      <c r="AO62" s="387" t="s">
        <v>160</v>
      </c>
      <c r="AP62" s="368"/>
      <c r="AQ62" s="388" t="str">
        <f>+[2]Base!CS60</f>
        <v>-</v>
      </c>
      <c r="AR62" s="383" t="str">
        <f>+[2]Base!CT60</f>
        <v>-</v>
      </c>
      <c r="AS62" s="383" t="str">
        <f>+[2]Base!CU60</f>
        <v>-</v>
      </c>
      <c r="AT62" s="383" t="str">
        <f>+[2]Base!CV60</f>
        <v>-</v>
      </c>
      <c r="AU62" s="384" t="str">
        <f>+[2]Base!CW60</f>
        <v>-</v>
      </c>
      <c r="AV62" s="368"/>
      <c r="AW62" s="382" t="s">
        <v>160</v>
      </c>
      <c r="AX62" s="383" t="s">
        <v>160</v>
      </c>
      <c r="AY62" s="383" t="s">
        <v>160</v>
      </c>
      <c r="AZ62" s="383" t="s">
        <v>160</v>
      </c>
      <c r="BA62" s="384" t="s">
        <v>160</v>
      </c>
      <c r="BB62" s="368"/>
      <c r="BC62" s="389">
        <f t="shared" si="4"/>
        <v>0.16090746141592979</v>
      </c>
      <c r="BD62" s="390">
        <f t="shared" si="5"/>
        <v>0.24374508160944075</v>
      </c>
      <c r="BG62" t="s">
        <v>0</v>
      </c>
      <c r="BH62" t="s">
        <v>945</v>
      </c>
    </row>
    <row r="63" spans="1:60" ht="12.75" customHeight="1" outlineLevel="1" x14ac:dyDescent="0.2">
      <c r="A63" s="570">
        <v>41579</v>
      </c>
      <c r="B63" s="708">
        <f>IF([1]RENAME!$H$3=0,A63,TEXT(A63,"[$-em-US] mmm-aa;@"))</f>
        <v>41579</v>
      </c>
      <c r="C63" s="365" t="str">
        <f>IF([1]RENAME!$H$3=0,BG63,BH63)</f>
        <v>4T13</v>
      </c>
      <c r="D63" s="366">
        <v>41579</v>
      </c>
      <c r="E63" s="379">
        <f t="shared" si="0"/>
        <v>330361</v>
      </c>
      <c r="F63" s="380">
        <v>288546</v>
      </c>
      <c r="G63" s="381">
        <v>41815</v>
      </c>
      <c r="H63" s="368"/>
      <c r="I63" s="379">
        <f t="shared" si="3"/>
        <v>423.5</v>
      </c>
      <c r="J63" s="664">
        <v>299.3</v>
      </c>
      <c r="K63" s="665">
        <v>124.2</v>
      </c>
      <c r="L63" s="368"/>
      <c r="M63" s="382">
        <v>275122</v>
      </c>
      <c r="N63" s="381">
        <v>56288</v>
      </c>
      <c r="O63" s="368"/>
      <c r="P63" s="382" t="s">
        <v>160</v>
      </c>
      <c r="Q63" s="381" t="s">
        <v>160</v>
      </c>
      <c r="R63" s="368"/>
      <c r="S63" s="382" t="str">
        <f>[2]Base!AE61</f>
        <v>-</v>
      </c>
      <c r="T63" s="381" t="str">
        <f>[2]Base!AF61</f>
        <v>-</v>
      </c>
      <c r="U63" s="368"/>
      <c r="V63" s="382" t="str">
        <f>[2]Base!AR61</f>
        <v>-</v>
      </c>
      <c r="W63" s="380" t="str">
        <f>[2]Base!AS61</f>
        <v>-</v>
      </c>
      <c r="X63" s="380" t="str">
        <f>[2]Base!AT61</f>
        <v>-</v>
      </c>
      <c r="Y63" s="380" t="str">
        <f>[2]Base!AU61</f>
        <v>-</v>
      </c>
      <c r="Z63" s="380" t="str">
        <f>[2]Base!AV61</f>
        <v>-</v>
      </c>
      <c r="AA63" s="380" t="str">
        <f>[2]Base!AW61</f>
        <v>-</v>
      </c>
      <c r="AB63" s="380" t="str">
        <f>[2]Base!AX61</f>
        <v>-</v>
      </c>
      <c r="AC63" s="380" t="s">
        <v>160</v>
      </c>
      <c r="AD63" s="381" t="str">
        <f>[2]Base!AZ61</f>
        <v>-</v>
      </c>
      <c r="AE63" s="368"/>
      <c r="AF63" s="366">
        <f t="shared" si="2"/>
        <v>41579</v>
      </c>
      <c r="AG63" s="385" t="s">
        <v>160</v>
      </c>
      <c r="AH63" s="386" t="s">
        <v>160</v>
      </c>
      <c r="AI63" s="386" t="s">
        <v>160</v>
      </c>
      <c r="AJ63" s="386" t="s">
        <v>160</v>
      </c>
      <c r="AK63" s="386" t="s">
        <v>160</v>
      </c>
      <c r="AL63" s="386" t="s">
        <v>160</v>
      </c>
      <c r="AM63" s="386" t="s">
        <v>160</v>
      </c>
      <c r="AN63" s="383" t="s">
        <v>160</v>
      </c>
      <c r="AO63" s="387" t="s">
        <v>160</v>
      </c>
      <c r="AP63" s="368"/>
      <c r="AQ63" s="388" t="str">
        <f>+[2]Base!CS61</f>
        <v>-</v>
      </c>
      <c r="AR63" s="383" t="str">
        <f>+[2]Base!CT61</f>
        <v>-</v>
      </c>
      <c r="AS63" s="383" t="str">
        <f>+[2]Base!CU61</f>
        <v>-</v>
      </c>
      <c r="AT63" s="383" t="str">
        <f>+[2]Base!CV61</f>
        <v>-</v>
      </c>
      <c r="AU63" s="384" t="str">
        <f>+[2]Base!CW61</f>
        <v>-</v>
      </c>
      <c r="AV63" s="368"/>
      <c r="AW63" s="382" t="s">
        <v>160</v>
      </c>
      <c r="AX63" s="383" t="s">
        <v>160</v>
      </c>
      <c r="AY63" s="383" t="s">
        <v>160</v>
      </c>
      <c r="AZ63" s="383" t="s">
        <v>160</v>
      </c>
      <c r="BA63" s="384" t="s">
        <v>160</v>
      </c>
      <c r="BB63" s="368"/>
      <c r="BC63" s="389">
        <f t="shared" si="4"/>
        <v>0.15198711844200027</v>
      </c>
      <c r="BD63" s="390">
        <f t="shared" si="5"/>
        <v>0.19507461548591906</v>
      </c>
      <c r="BG63" t="s">
        <v>0</v>
      </c>
      <c r="BH63" t="s">
        <v>945</v>
      </c>
    </row>
    <row r="64" spans="1:60" ht="12.75" customHeight="1" outlineLevel="1" x14ac:dyDescent="0.2">
      <c r="A64" s="570">
        <v>41609</v>
      </c>
      <c r="B64" s="708">
        <f>IF([1]RENAME!$H$3=0,A64,TEXT(A64,"[$-em-US] mmm-aa;@"))</f>
        <v>41609</v>
      </c>
      <c r="C64" s="365" t="str">
        <f>IF([1]RENAME!$H$3=0,BG64,BH64)</f>
        <v>4T13</v>
      </c>
      <c r="D64" s="366">
        <v>41609</v>
      </c>
      <c r="E64" s="379">
        <f t="shared" si="0"/>
        <v>376628</v>
      </c>
      <c r="F64" s="380">
        <v>336230</v>
      </c>
      <c r="G64" s="381">
        <v>40398</v>
      </c>
      <c r="H64" s="368"/>
      <c r="I64" s="379">
        <f t="shared" si="3"/>
        <v>353.4</v>
      </c>
      <c r="J64" s="664">
        <v>289.39999999999998</v>
      </c>
      <c r="K64" s="665">
        <v>64</v>
      </c>
      <c r="L64" s="368"/>
      <c r="M64" s="382">
        <v>221893</v>
      </c>
      <c r="N64" s="381">
        <v>52546</v>
      </c>
      <c r="O64" s="368"/>
      <c r="P64" s="382" t="str">
        <f>[2]Base!AB62</f>
        <v>-</v>
      </c>
      <c r="Q64" s="381">
        <f>[2]Base!AC62</f>
        <v>336230</v>
      </c>
      <c r="R64" s="368"/>
      <c r="S64" s="382" t="str">
        <f>[2]Base!AE62</f>
        <v>-</v>
      </c>
      <c r="T64" s="381" t="str">
        <f>[2]Base!AF62</f>
        <v>-</v>
      </c>
      <c r="U64" s="368"/>
      <c r="V64" s="382" t="str">
        <f>[2]Base!AR62</f>
        <v>-</v>
      </c>
      <c r="W64" s="380" t="str">
        <f>[2]Base!AS62</f>
        <v>-</v>
      </c>
      <c r="X64" s="380" t="str">
        <f>[2]Base!AT62</f>
        <v>-</v>
      </c>
      <c r="Y64" s="380" t="str">
        <f>[2]Base!AU62</f>
        <v>-</v>
      </c>
      <c r="Z64" s="380" t="str">
        <f>[2]Base!AV62</f>
        <v>-</v>
      </c>
      <c r="AA64" s="380" t="str">
        <f>[2]Base!AW62</f>
        <v>-</v>
      </c>
      <c r="AB64" s="380" t="str">
        <f>[2]Base!AX62</f>
        <v>-</v>
      </c>
      <c r="AC64" s="380" t="s">
        <v>160</v>
      </c>
      <c r="AD64" s="381" t="str">
        <f>[2]Base!AZ62</f>
        <v>-</v>
      </c>
      <c r="AE64" s="368"/>
      <c r="AF64" s="366">
        <f t="shared" si="2"/>
        <v>41609</v>
      </c>
      <c r="AG64" s="385" t="s">
        <v>160</v>
      </c>
      <c r="AH64" s="386" t="s">
        <v>160</v>
      </c>
      <c r="AI64" s="386" t="s">
        <v>160</v>
      </c>
      <c r="AJ64" s="386" t="s">
        <v>160</v>
      </c>
      <c r="AK64" s="386" t="s">
        <v>160</v>
      </c>
      <c r="AL64" s="386" t="s">
        <v>160</v>
      </c>
      <c r="AM64" s="386" t="s">
        <v>160</v>
      </c>
      <c r="AN64" s="383" t="s">
        <v>160</v>
      </c>
      <c r="AO64" s="387" t="s">
        <v>160</v>
      </c>
      <c r="AP64" s="368"/>
      <c r="AQ64" s="388" t="str">
        <f>+[2]Base!CS62</f>
        <v>-</v>
      </c>
      <c r="AR64" s="383" t="str">
        <f>+[2]Base!CT62</f>
        <v>-</v>
      </c>
      <c r="AS64" s="383" t="str">
        <f>+[2]Base!CU62</f>
        <v>-</v>
      </c>
      <c r="AT64" s="383" t="str">
        <f>+[2]Base!CV62</f>
        <v>-</v>
      </c>
      <c r="AU64" s="384" t="str">
        <f>+[2]Base!CW62</f>
        <v>-</v>
      </c>
      <c r="AV64" s="368"/>
      <c r="AW64" s="382" t="s">
        <v>160</v>
      </c>
      <c r="AX64" s="383" t="s">
        <v>160</v>
      </c>
      <c r="AY64" s="383" t="s">
        <v>160</v>
      </c>
      <c r="AZ64" s="383" t="s">
        <v>160</v>
      </c>
      <c r="BA64" s="384" t="s">
        <v>160</v>
      </c>
      <c r="BB64" s="368"/>
      <c r="BC64" s="389">
        <f t="shared" si="4"/>
        <v>0.18206072296106682</v>
      </c>
      <c r="BD64" s="390">
        <f t="shared" si="5"/>
        <v>0.15627992743062785</v>
      </c>
      <c r="BG64" t="s">
        <v>0</v>
      </c>
      <c r="BH64" t="s">
        <v>945</v>
      </c>
    </row>
    <row r="65" spans="1:60" ht="12.75" customHeight="1" outlineLevel="1" x14ac:dyDescent="0.2">
      <c r="A65" s="570">
        <v>41640</v>
      </c>
      <c r="B65" s="708">
        <f>IF([1]RENAME!$H$3=0,A65,TEXT(A65,"[$-em-US] mmm-aa;@"))</f>
        <v>41640</v>
      </c>
      <c r="C65" s="365" t="str">
        <f>IF([1]RENAME!$H$3=0,BG65,BH65)</f>
        <v>1T14</v>
      </c>
      <c r="D65" s="366">
        <v>41640</v>
      </c>
      <c r="E65" s="391">
        <f t="shared" si="0"/>
        <v>321243</v>
      </c>
      <c r="F65" s="392">
        <v>300097</v>
      </c>
      <c r="G65" s="393">
        <v>21146</v>
      </c>
      <c r="H65" s="368"/>
      <c r="I65" s="391">
        <f t="shared" si="3"/>
        <v>322.39999999999998</v>
      </c>
      <c r="J65" s="666">
        <v>257.5</v>
      </c>
      <c r="K65" s="667">
        <v>64.900000000000006</v>
      </c>
      <c r="L65" s="368"/>
      <c r="M65" s="394">
        <v>221081</v>
      </c>
      <c r="N65" s="393">
        <v>39612</v>
      </c>
      <c r="O65" s="368"/>
      <c r="P65" s="394">
        <f>[2]Base!AB63</f>
        <v>62480.195399999997</v>
      </c>
      <c r="Q65" s="393">
        <f>[2]Base!AC63</f>
        <v>237616.8046</v>
      </c>
      <c r="R65" s="368"/>
      <c r="S65" s="394" t="str">
        <f>[2]Base!AE63</f>
        <v>-</v>
      </c>
      <c r="T65" s="393" t="str">
        <f>[2]Base!AF63</f>
        <v>-</v>
      </c>
      <c r="U65" s="368"/>
      <c r="V65" s="394" t="str">
        <f>[2]Base!AR63</f>
        <v>-</v>
      </c>
      <c r="W65" s="392" t="str">
        <f>[2]Base!AS63</f>
        <v>-</v>
      </c>
      <c r="X65" s="392" t="str">
        <f>[2]Base!AT63</f>
        <v>-</v>
      </c>
      <c r="Y65" s="392" t="str">
        <f>[2]Base!AU63</f>
        <v>-</v>
      </c>
      <c r="Z65" s="392" t="str">
        <f>[2]Base!AV63</f>
        <v>-</v>
      </c>
      <c r="AA65" s="392" t="str">
        <f>[2]Base!AW63</f>
        <v>-</v>
      </c>
      <c r="AB65" s="392" t="str">
        <f>[2]Base!AX63</f>
        <v>-</v>
      </c>
      <c r="AC65" s="392" t="s">
        <v>160</v>
      </c>
      <c r="AD65" s="393" t="str">
        <f>[2]Base!AZ63</f>
        <v>-</v>
      </c>
      <c r="AE65" s="368"/>
      <c r="AF65" s="366">
        <f t="shared" si="2"/>
        <v>41640</v>
      </c>
      <c r="AG65" s="397" t="s">
        <v>160</v>
      </c>
      <c r="AH65" s="398" t="s">
        <v>160</v>
      </c>
      <c r="AI65" s="398" t="s">
        <v>160</v>
      </c>
      <c r="AJ65" s="398" t="s">
        <v>160</v>
      </c>
      <c r="AK65" s="398" t="s">
        <v>160</v>
      </c>
      <c r="AL65" s="398" t="s">
        <v>160</v>
      </c>
      <c r="AM65" s="398" t="s">
        <v>160</v>
      </c>
      <c r="AN65" s="395" t="s">
        <v>160</v>
      </c>
      <c r="AO65" s="399" t="s">
        <v>160</v>
      </c>
      <c r="AP65" s="368"/>
      <c r="AQ65" s="400" t="str">
        <f>+[2]Base!CS63</f>
        <v>-</v>
      </c>
      <c r="AR65" s="395" t="str">
        <f>+[2]Base!CT63</f>
        <v>-</v>
      </c>
      <c r="AS65" s="395" t="str">
        <f>+[2]Base!CU63</f>
        <v>-</v>
      </c>
      <c r="AT65" s="395" t="str">
        <f>+[2]Base!CV63</f>
        <v>-</v>
      </c>
      <c r="AU65" s="396" t="str">
        <f>+[2]Base!CW63</f>
        <v>-</v>
      </c>
      <c r="AV65" s="368"/>
      <c r="AW65" s="394" t="s">
        <v>160</v>
      </c>
      <c r="AX65" s="395" t="s">
        <v>160</v>
      </c>
      <c r="AY65" s="395" t="s">
        <v>160</v>
      </c>
      <c r="AZ65" s="395" t="s">
        <v>160</v>
      </c>
      <c r="BA65" s="396" t="s">
        <v>160</v>
      </c>
      <c r="BB65" s="368"/>
      <c r="BC65" s="401">
        <f t="shared" si="4"/>
        <v>9.5648201337971153E-2</v>
      </c>
      <c r="BD65" s="402">
        <f t="shared" si="5"/>
        <v>0.13199732086625324</v>
      </c>
      <c r="BG65" t="s">
        <v>45</v>
      </c>
      <c r="BH65" t="s">
        <v>946</v>
      </c>
    </row>
    <row r="66" spans="1:60" ht="12.75" customHeight="1" outlineLevel="1" x14ac:dyDescent="0.2">
      <c r="A66" s="570">
        <v>41671</v>
      </c>
      <c r="B66" s="708">
        <f>IF([1]RENAME!$H$3=0,A66,TEXT(A66,"[$-em-US] mmm-aa;@"))</f>
        <v>41671</v>
      </c>
      <c r="C66" s="365" t="str">
        <f>IF([1]RENAME!$H$3=0,BG66,BH66)</f>
        <v>1T14</v>
      </c>
      <c r="D66" s="366">
        <v>41671</v>
      </c>
      <c r="E66" s="391">
        <f t="shared" si="0"/>
        <v>272560</v>
      </c>
      <c r="F66" s="392">
        <v>246135</v>
      </c>
      <c r="G66" s="393">
        <v>26425</v>
      </c>
      <c r="H66" s="368"/>
      <c r="I66" s="391">
        <f t="shared" si="3"/>
        <v>348.9</v>
      </c>
      <c r="J66" s="666">
        <v>265.39999999999998</v>
      </c>
      <c r="K66" s="667">
        <v>83.5</v>
      </c>
      <c r="L66" s="368"/>
      <c r="M66" s="394">
        <v>262703</v>
      </c>
      <c r="N66" s="393">
        <v>37681</v>
      </c>
      <c r="O66" s="368"/>
      <c r="P66" s="394">
        <f>[2]Base!AB64</f>
        <v>64388.915999999997</v>
      </c>
      <c r="Q66" s="393">
        <f>[2]Base!AC64</f>
        <v>181746.084</v>
      </c>
      <c r="R66" s="368"/>
      <c r="S66" s="394" t="str">
        <f>[2]Base!AE64</f>
        <v>-</v>
      </c>
      <c r="T66" s="393" t="str">
        <f>[2]Base!AF64</f>
        <v>-</v>
      </c>
      <c r="U66" s="368"/>
      <c r="V66" s="394" t="str">
        <f>[2]Base!AR64</f>
        <v>-</v>
      </c>
      <c r="W66" s="392" t="str">
        <f>[2]Base!AS64</f>
        <v>-</v>
      </c>
      <c r="X66" s="392" t="str">
        <f>[2]Base!AT64</f>
        <v>-</v>
      </c>
      <c r="Y66" s="392" t="str">
        <f>[2]Base!AU64</f>
        <v>-</v>
      </c>
      <c r="Z66" s="392" t="str">
        <f>[2]Base!AV64</f>
        <v>-</v>
      </c>
      <c r="AA66" s="392" t="str">
        <f>[2]Base!AW64</f>
        <v>-</v>
      </c>
      <c r="AB66" s="392" t="str">
        <f>[2]Base!AX64</f>
        <v>-</v>
      </c>
      <c r="AC66" s="392" t="s">
        <v>160</v>
      </c>
      <c r="AD66" s="393" t="str">
        <f>[2]Base!AZ64</f>
        <v>-</v>
      </c>
      <c r="AE66" s="368"/>
      <c r="AF66" s="366">
        <f t="shared" si="2"/>
        <v>41671</v>
      </c>
      <c r="AG66" s="397" t="s">
        <v>160</v>
      </c>
      <c r="AH66" s="398" t="s">
        <v>160</v>
      </c>
      <c r="AI66" s="398" t="s">
        <v>160</v>
      </c>
      <c r="AJ66" s="398" t="s">
        <v>160</v>
      </c>
      <c r="AK66" s="398" t="s">
        <v>160</v>
      </c>
      <c r="AL66" s="398" t="s">
        <v>160</v>
      </c>
      <c r="AM66" s="398" t="s">
        <v>160</v>
      </c>
      <c r="AN66" s="395" t="s">
        <v>160</v>
      </c>
      <c r="AO66" s="399" t="s">
        <v>160</v>
      </c>
      <c r="AP66" s="368"/>
      <c r="AQ66" s="400" t="str">
        <f>+[2]Base!CS64</f>
        <v>-</v>
      </c>
      <c r="AR66" s="395" t="str">
        <f>+[2]Base!CT64</f>
        <v>-</v>
      </c>
      <c r="AS66" s="395" t="str">
        <f>+[2]Base!CU64</f>
        <v>-</v>
      </c>
      <c r="AT66" s="395" t="str">
        <f>+[2]Base!CV64</f>
        <v>-</v>
      </c>
      <c r="AU66" s="396" t="str">
        <f>+[2]Base!CW64</f>
        <v>-</v>
      </c>
      <c r="AV66" s="368"/>
      <c r="AW66" s="394" t="s">
        <v>160</v>
      </c>
      <c r="AX66" s="395" t="s">
        <v>160</v>
      </c>
      <c r="AY66" s="395" t="s">
        <v>160</v>
      </c>
      <c r="AZ66" s="395" t="s">
        <v>160</v>
      </c>
      <c r="BA66" s="396" t="s">
        <v>160</v>
      </c>
      <c r="BB66" s="368"/>
      <c r="BC66" s="401">
        <f t="shared" si="4"/>
        <v>0.1005888779343974</v>
      </c>
      <c r="BD66" s="402">
        <f t="shared" si="5"/>
        <v>0.15309078351311273</v>
      </c>
      <c r="BG66" t="s">
        <v>45</v>
      </c>
      <c r="BH66" t="s">
        <v>946</v>
      </c>
    </row>
    <row r="67" spans="1:60" ht="12.75" customHeight="1" outlineLevel="1" x14ac:dyDescent="0.2">
      <c r="A67" s="570">
        <v>41699</v>
      </c>
      <c r="B67" s="708">
        <f>IF([1]RENAME!$H$3=0,A67,TEXT(A67,"[$-em-US] mmm-aa;@"))</f>
        <v>41699</v>
      </c>
      <c r="C67" s="365" t="str">
        <f>IF([1]RENAME!$H$3=0,BG67,BH67)</f>
        <v>1T14</v>
      </c>
      <c r="D67" s="366">
        <v>41699</v>
      </c>
      <c r="E67" s="391">
        <f t="shared" si="0"/>
        <v>250422</v>
      </c>
      <c r="F67" s="392">
        <v>229113</v>
      </c>
      <c r="G67" s="393">
        <v>21309</v>
      </c>
      <c r="H67" s="368"/>
      <c r="I67" s="391">
        <f t="shared" si="3"/>
        <v>387.1</v>
      </c>
      <c r="J67" s="666">
        <v>291</v>
      </c>
      <c r="K67" s="667">
        <v>96.1</v>
      </c>
      <c r="L67" s="368"/>
      <c r="M67" s="394">
        <v>255210</v>
      </c>
      <c r="N67" s="393">
        <v>50858</v>
      </c>
      <c r="O67" s="368"/>
      <c r="P67" s="394">
        <f>[2]Base!AB65</f>
        <v>68184.0288</v>
      </c>
      <c r="Q67" s="393">
        <f>[2]Base!AC65</f>
        <v>160928.9712</v>
      </c>
      <c r="R67" s="368"/>
      <c r="S67" s="394" t="str">
        <f>[2]Base!AE65</f>
        <v>-</v>
      </c>
      <c r="T67" s="393" t="str">
        <f>[2]Base!AF65</f>
        <v>-</v>
      </c>
      <c r="U67" s="368"/>
      <c r="V67" s="394" t="str">
        <f>[2]Base!AR65</f>
        <v>-</v>
      </c>
      <c r="W67" s="392" t="str">
        <f>[2]Base!AS65</f>
        <v>-</v>
      </c>
      <c r="X67" s="392" t="str">
        <f>[2]Base!AT65</f>
        <v>-</v>
      </c>
      <c r="Y67" s="392" t="str">
        <f>[2]Base!AU65</f>
        <v>-</v>
      </c>
      <c r="Z67" s="392" t="str">
        <f>[2]Base!AV65</f>
        <v>-</v>
      </c>
      <c r="AA67" s="392" t="str">
        <f>[2]Base!AW65</f>
        <v>-</v>
      </c>
      <c r="AB67" s="392" t="str">
        <f>[2]Base!AX65</f>
        <v>-</v>
      </c>
      <c r="AC67" s="392" t="s">
        <v>160</v>
      </c>
      <c r="AD67" s="393" t="str">
        <f>[2]Base!AZ65</f>
        <v>-</v>
      </c>
      <c r="AE67" s="368"/>
      <c r="AF67" s="366">
        <f t="shared" si="2"/>
        <v>41699</v>
      </c>
      <c r="AG67" s="397" t="s">
        <v>160</v>
      </c>
      <c r="AH67" s="398" t="s">
        <v>160</v>
      </c>
      <c r="AI67" s="398" t="s">
        <v>160</v>
      </c>
      <c r="AJ67" s="398" t="s">
        <v>160</v>
      </c>
      <c r="AK67" s="398" t="s">
        <v>160</v>
      </c>
      <c r="AL67" s="398" t="s">
        <v>160</v>
      </c>
      <c r="AM67" s="398" t="s">
        <v>160</v>
      </c>
      <c r="AN67" s="395" t="s">
        <v>160</v>
      </c>
      <c r="AO67" s="399" t="s">
        <v>160</v>
      </c>
      <c r="AP67" s="368"/>
      <c r="AQ67" s="400" t="str">
        <f>+[2]Base!CS65</f>
        <v>-</v>
      </c>
      <c r="AR67" s="395" t="str">
        <f>+[2]Base!CT65</f>
        <v>-</v>
      </c>
      <c r="AS67" s="395" t="str">
        <f>+[2]Base!CU65</f>
        <v>-</v>
      </c>
      <c r="AT67" s="395" t="str">
        <f>+[2]Base!CV65</f>
        <v>-</v>
      </c>
      <c r="AU67" s="396" t="str">
        <f>+[2]Base!CW65</f>
        <v>-</v>
      </c>
      <c r="AV67" s="368"/>
      <c r="AW67" s="394" t="s">
        <v>160</v>
      </c>
      <c r="AX67" s="395" t="s">
        <v>160</v>
      </c>
      <c r="AY67" s="395" t="s">
        <v>160</v>
      </c>
      <c r="AZ67" s="395" t="s">
        <v>160</v>
      </c>
      <c r="BA67" s="396" t="s">
        <v>160</v>
      </c>
      <c r="BB67" s="368"/>
      <c r="BC67" s="401">
        <f t="shared" si="4"/>
        <v>8.3495944516280715E-2</v>
      </c>
      <c r="BD67" s="402">
        <f t="shared" si="5"/>
        <v>0.2219778013469336</v>
      </c>
      <c r="BG67" t="s">
        <v>45</v>
      </c>
      <c r="BH67" t="s">
        <v>946</v>
      </c>
    </row>
    <row r="68" spans="1:60" ht="12.75" customHeight="1" outlineLevel="1" x14ac:dyDescent="0.2">
      <c r="A68" s="570">
        <v>41730</v>
      </c>
      <c r="B68" s="708">
        <f>IF([1]RENAME!$H$3=0,A68,TEXT(A68,"[$-em-US] mmm-aa;@"))</f>
        <v>41730</v>
      </c>
      <c r="C68" s="365" t="str">
        <f>IF([1]RENAME!$H$3=0,BG68,BH68)</f>
        <v>2T14</v>
      </c>
      <c r="D68" s="366">
        <v>41730</v>
      </c>
      <c r="E68" s="391">
        <f t="shared" si="0"/>
        <v>313113</v>
      </c>
      <c r="F68" s="392">
        <v>280114</v>
      </c>
      <c r="G68" s="393">
        <v>32999</v>
      </c>
      <c r="H68" s="368"/>
      <c r="I68" s="391">
        <f t="shared" si="3"/>
        <v>392.70000000000005</v>
      </c>
      <c r="J68" s="666">
        <v>290.10000000000002</v>
      </c>
      <c r="K68" s="667">
        <v>102.6</v>
      </c>
      <c r="L68" s="368"/>
      <c r="M68" s="394">
        <v>261382</v>
      </c>
      <c r="N68" s="393">
        <v>54648</v>
      </c>
      <c r="O68" s="368"/>
      <c r="P68" s="394">
        <f>[2]Base!AB66</f>
        <v>83782.097399999999</v>
      </c>
      <c r="Q68" s="393">
        <f>[2]Base!AC66</f>
        <v>196331.9026</v>
      </c>
      <c r="R68" s="368"/>
      <c r="S68" s="394" t="str">
        <f>[2]Base!AE66</f>
        <v>-</v>
      </c>
      <c r="T68" s="393" t="str">
        <f>[2]Base!AF66</f>
        <v>-</v>
      </c>
      <c r="U68" s="368"/>
      <c r="V68" s="394" t="str">
        <f>[2]Base!AR66</f>
        <v>-</v>
      </c>
      <c r="W68" s="392" t="str">
        <f>[2]Base!AS66</f>
        <v>-</v>
      </c>
      <c r="X68" s="392" t="str">
        <f>[2]Base!AT66</f>
        <v>-</v>
      </c>
      <c r="Y68" s="392" t="str">
        <f>[2]Base!AU66</f>
        <v>-</v>
      </c>
      <c r="Z68" s="392" t="str">
        <f>[2]Base!AV66</f>
        <v>-</v>
      </c>
      <c r="AA68" s="392" t="str">
        <f>[2]Base!AW66</f>
        <v>-</v>
      </c>
      <c r="AB68" s="392" t="str">
        <f>[2]Base!AX66</f>
        <v>-</v>
      </c>
      <c r="AC68" s="392" t="s">
        <v>160</v>
      </c>
      <c r="AD68" s="393" t="str">
        <f>[2]Base!AZ66</f>
        <v>-</v>
      </c>
      <c r="AE68" s="368"/>
      <c r="AF68" s="366">
        <f t="shared" si="2"/>
        <v>41730</v>
      </c>
      <c r="AG68" s="397" t="s">
        <v>160</v>
      </c>
      <c r="AH68" s="398" t="s">
        <v>160</v>
      </c>
      <c r="AI68" s="398" t="s">
        <v>160</v>
      </c>
      <c r="AJ68" s="398" t="s">
        <v>160</v>
      </c>
      <c r="AK68" s="398" t="s">
        <v>160</v>
      </c>
      <c r="AL68" s="398" t="s">
        <v>160</v>
      </c>
      <c r="AM68" s="398" t="s">
        <v>160</v>
      </c>
      <c r="AN68" s="395" t="s">
        <v>160</v>
      </c>
      <c r="AO68" s="399" t="s">
        <v>160</v>
      </c>
      <c r="AP68" s="368"/>
      <c r="AQ68" s="400" t="str">
        <f>+[2]Base!CS66</f>
        <v>-</v>
      </c>
      <c r="AR68" s="395" t="str">
        <f>+[2]Base!CT66</f>
        <v>-</v>
      </c>
      <c r="AS68" s="395" t="str">
        <f>+[2]Base!CU66</f>
        <v>-</v>
      </c>
      <c r="AT68" s="395" t="str">
        <f>+[2]Base!CV66</f>
        <v>-</v>
      </c>
      <c r="AU68" s="396" t="str">
        <f>+[2]Base!CW66</f>
        <v>-</v>
      </c>
      <c r="AV68" s="368"/>
      <c r="AW68" s="394" t="s">
        <v>160</v>
      </c>
      <c r="AX68" s="395" t="s">
        <v>160</v>
      </c>
      <c r="AY68" s="395" t="s">
        <v>160</v>
      </c>
      <c r="AZ68" s="395" t="s">
        <v>160</v>
      </c>
      <c r="BA68" s="396" t="s">
        <v>160</v>
      </c>
      <c r="BB68" s="368"/>
      <c r="BC68" s="401">
        <f t="shared" si="4"/>
        <v>0.12624817317183279</v>
      </c>
      <c r="BD68" s="402">
        <f t="shared" si="5"/>
        <v>0.19509199825785217</v>
      </c>
      <c r="BG68" t="s">
        <v>55</v>
      </c>
      <c r="BH68" t="s">
        <v>947</v>
      </c>
    </row>
    <row r="69" spans="1:60" ht="12.75" customHeight="1" outlineLevel="1" x14ac:dyDescent="0.2">
      <c r="A69" s="570">
        <v>41760</v>
      </c>
      <c r="B69" s="708">
        <f>IF([1]RENAME!$H$3=0,A69,TEXT(A69,"[$-em-US] mmm-aa;@"))</f>
        <v>41760</v>
      </c>
      <c r="C69" s="365" t="str">
        <f>IF([1]RENAME!$H$3=0,BG69,BH69)</f>
        <v>2T14</v>
      </c>
      <c r="D69" s="366">
        <v>41760</v>
      </c>
      <c r="E69" s="391">
        <f t="shared" ref="E69:E106" si="6">+F69+G69</f>
        <v>310966</v>
      </c>
      <c r="F69" s="392">
        <v>278408</v>
      </c>
      <c r="G69" s="393">
        <v>32558</v>
      </c>
      <c r="H69" s="368"/>
      <c r="I69" s="391">
        <f t="shared" si="3"/>
        <v>399.9</v>
      </c>
      <c r="J69" s="666">
        <v>283.8</v>
      </c>
      <c r="K69" s="667">
        <v>116.1</v>
      </c>
      <c r="L69" s="368"/>
      <c r="M69" s="394">
        <v>265272</v>
      </c>
      <c r="N69" s="393">
        <v>56072</v>
      </c>
      <c r="O69" s="368"/>
      <c r="P69" s="394">
        <f>[2]Base!AB67</f>
        <v>82770.698400000008</v>
      </c>
      <c r="Q69" s="393">
        <f>[2]Base!AC67</f>
        <v>195637.30160000001</v>
      </c>
      <c r="R69" s="368"/>
      <c r="S69" s="394" t="str">
        <f>[2]Base!AE67</f>
        <v>-</v>
      </c>
      <c r="T69" s="393" t="str">
        <f>[2]Base!AF67</f>
        <v>-</v>
      </c>
      <c r="U69" s="368"/>
      <c r="V69" s="394" t="str">
        <f>[2]Base!AR67</f>
        <v>-</v>
      </c>
      <c r="W69" s="392" t="str">
        <f>[2]Base!AS67</f>
        <v>-</v>
      </c>
      <c r="X69" s="392" t="str">
        <f>[2]Base!AT67</f>
        <v>-</v>
      </c>
      <c r="Y69" s="392" t="str">
        <f>[2]Base!AU67</f>
        <v>-</v>
      </c>
      <c r="Z69" s="392" t="str">
        <f>[2]Base!AV67</f>
        <v>-</v>
      </c>
      <c r="AA69" s="392" t="str">
        <f>[2]Base!AW67</f>
        <v>-</v>
      </c>
      <c r="AB69" s="392" t="str">
        <f>[2]Base!AX67</f>
        <v>-</v>
      </c>
      <c r="AC69" s="392" t="s">
        <v>160</v>
      </c>
      <c r="AD69" s="393" t="str">
        <f>[2]Base!AZ67</f>
        <v>-</v>
      </c>
      <c r="AE69" s="368"/>
      <c r="AF69" s="366">
        <f t="shared" ref="AF69:AF100" si="7">+D69</f>
        <v>41760</v>
      </c>
      <c r="AG69" s="397" t="s">
        <v>160</v>
      </c>
      <c r="AH69" s="398" t="s">
        <v>160</v>
      </c>
      <c r="AI69" s="398" t="s">
        <v>160</v>
      </c>
      <c r="AJ69" s="398" t="s">
        <v>160</v>
      </c>
      <c r="AK69" s="398" t="s">
        <v>160</v>
      </c>
      <c r="AL69" s="398" t="s">
        <v>160</v>
      </c>
      <c r="AM69" s="398" t="s">
        <v>160</v>
      </c>
      <c r="AN69" s="395" t="s">
        <v>160</v>
      </c>
      <c r="AO69" s="399" t="s">
        <v>160</v>
      </c>
      <c r="AP69" s="368"/>
      <c r="AQ69" s="400" t="str">
        <f>+[2]Base!CS67</f>
        <v>-</v>
      </c>
      <c r="AR69" s="395" t="str">
        <f>+[2]Base!CT67</f>
        <v>-</v>
      </c>
      <c r="AS69" s="395" t="str">
        <f>+[2]Base!CU67</f>
        <v>-</v>
      </c>
      <c r="AT69" s="395" t="str">
        <f>+[2]Base!CV67</f>
        <v>-</v>
      </c>
      <c r="AU69" s="396" t="str">
        <f>+[2]Base!CW67</f>
        <v>-</v>
      </c>
      <c r="AV69" s="368"/>
      <c r="AW69" s="394" t="s">
        <v>160</v>
      </c>
      <c r="AX69" s="395" t="s">
        <v>160</v>
      </c>
      <c r="AY69" s="395" t="s">
        <v>160</v>
      </c>
      <c r="AZ69" s="395" t="s">
        <v>160</v>
      </c>
      <c r="BA69" s="396" t="s">
        <v>160</v>
      </c>
      <c r="BB69" s="368"/>
      <c r="BC69" s="401">
        <f t="shared" si="4"/>
        <v>0.12273440091679484</v>
      </c>
      <c r="BD69" s="402">
        <f t="shared" si="5"/>
        <v>0.20140225855578864</v>
      </c>
      <c r="BG69" t="s">
        <v>55</v>
      </c>
      <c r="BH69" t="s">
        <v>947</v>
      </c>
    </row>
    <row r="70" spans="1:60" ht="12.75" customHeight="1" outlineLevel="1" x14ac:dyDescent="0.2">
      <c r="A70" s="570">
        <v>41791</v>
      </c>
      <c r="B70" s="708">
        <f>IF([1]RENAME!$H$3=0,A70,TEXT(A70,"[$-em-US] mmm-aa;@"))</f>
        <v>41791</v>
      </c>
      <c r="C70" s="365" t="str">
        <f>IF([1]RENAME!$H$3=0,BG70,BH70)</f>
        <v>2T14</v>
      </c>
      <c r="D70" s="366">
        <v>41791</v>
      </c>
      <c r="E70" s="391">
        <f t="shared" si="6"/>
        <v>273332</v>
      </c>
      <c r="F70" s="392">
        <v>251014</v>
      </c>
      <c r="G70" s="393">
        <v>22318</v>
      </c>
      <c r="H70" s="368"/>
      <c r="I70" s="391">
        <f t="shared" si="3"/>
        <v>395.4</v>
      </c>
      <c r="J70" s="666">
        <v>296.39999999999998</v>
      </c>
      <c r="K70" s="667">
        <v>99</v>
      </c>
      <c r="L70" s="368"/>
      <c r="M70" s="394">
        <v>205204</v>
      </c>
      <c r="N70" s="393">
        <v>58144</v>
      </c>
      <c r="O70" s="368"/>
      <c r="P70" s="394">
        <f>[2]Base!AB68</f>
        <v>77839.441400000011</v>
      </c>
      <c r="Q70" s="393">
        <f>[2]Base!AC68</f>
        <v>173174.55859999999</v>
      </c>
      <c r="R70" s="368"/>
      <c r="S70" s="394" t="str">
        <f>[2]Base!AE68</f>
        <v>-</v>
      </c>
      <c r="T70" s="393" t="str">
        <f>[2]Base!AF68</f>
        <v>-</v>
      </c>
      <c r="U70" s="368"/>
      <c r="V70" s="394" t="str">
        <f>[2]Base!AR68</f>
        <v>-</v>
      </c>
      <c r="W70" s="392" t="str">
        <f>[2]Base!AS68</f>
        <v>-</v>
      </c>
      <c r="X70" s="392" t="str">
        <f>[2]Base!AT68</f>
        <v>-</v>
      </c>
      <c r="Y70" s="392" t="str">
        <f>[2]Base!AU68</f>
        <v>-</v>
      </c>
      <c r="Z70" s="392" t="str">
        <f>[2]Base!AV68</f>
        <v>-</v>
      </c>
      <c r="AA70" s="392" t="str">
        <f>[2]Base!AW68</f>
        <v>-</v>
      </c>
      <c r="AB70" s="392" t="str">
        <f>[2]Base!AX68</f>
        <v>-</v>
      </c>
      <c r="AC70" s="392" t="s">
        <v>160</v>
      </c>
      <c r="AD70" s="393" t="str">
        <f>[2]Base!AZ68</f>
        <v>-</v>
      </c>
      <c r="AE70" s="368"/>
      <c r="AF70" s="366">
        <f t="shared" si="7"/>
        <v>41791</v>
      </c>
      <c r="AG70" s="397" t="s">
        <v>160</v>
      </c>
      <c r="AH70" s="398" t="s">
        <v>160</v>
      </c>
      <c r="AI70" s="398" t="s">
        <v>160</v>
      </c>
      <c r="AJ70" s="398" t="s">
        <v>160</v>
      </c>
      <c r="AK70" s="398" t="s">
        <v>160</v>
      </c>
      <c r="AL70" s="398" t="s">
        <v>160</v>
      </c>
      <c r="AM70" s="398" t="s">
        <v>160</v>
      </c>
      <c r="AN70" s="395" t="s">
        <v>160</v>
      </c>
      <c r="AO70" s="399" t="s">
        <v>160</v>
      </c>
      <c r="AP70" s="368"/>
      <c r="AQ70" s="400" t="str">
        <f>+[2]Base!CS68</f>
        <v>-</v>
      </c>
      <c r="AR70" s="395" t="str">
        <f>+[2]Base!CT68</f>
        <v>-</v>
      </c>
      <c r="AS70" s="395" t="str">
        <f>+[2]Base!CU68</f>
        <v>-</v>
      </c>
      <c r="AT70" s="395" t="str">
        <f>+[2]Base!CV68</f>
        <v>-</v>
      </c>
      <c r="AU70" s="396" t="str">
        <f>+[2]Base!CW68</f>
        <v>-</v>
      </c>
      <c r="AV70" s="368"/>
      <c r="AW70" s="394" t="s">
        <v>160</v>
      </c>
      <c r="AX70" s="395" t="s">
        <v>160</v>
      </c>
      <c r="AY70" s="395" t="s">
        <v>160</v>
      </c>
      <c r="AZ70" s="395" t="s">
        <v>160</v>
      </c>
      <c r="BA70" s="396" t="s">
        <v>160</v>
      </c>
      <c r="BB70" s="368"/>
      <c r="BC70" s="401">
        <f t="shared" si="4"/>
        <v>0.10876006315666362</v>
      </c>
      <c r="BD70" s="402">
        <f t="shared" si="5"/>
        <v>0.23163648242727497</v>
      </c>
      <c r="BG70" t="s">
        <v>55</v>
      </c>
      <c r="BH70" t="s">
        <v>947</v>
      </c>
    </row>
    <row r="71" spans="1:60" ht="12.75" customHeight="1" outlineLevel="1" x14ac:dyDescent="0.2">
      <c r="A71" s="570">
        <v>41821</v>
      </c>
      <c r="B71" s="708">
        <f>IF([1]RENAME!$H$3=0,A71,TEXT(A71,"[$-em-US] mmm-aa;@"))</f>
        <v>41821</v>
      </c>
      <c r="C71" s="365" t="str">
        <f>IF([1]RENAME!$H$3=0,BG71,BH71)</f>
        <v>3T14</v>
      </c>
      <c r="D71" s="366">
        <v>41821</v>
      </c>
      <c r="E71" s="391">
        <f t="shared" si="6"/>
        <v>312542</v>
      </c>
      <c r="F71" s="392">
        <v>280190</v>
      </c>
      <c r="G71" s="393">
        <v>32352</v>
      </c>
      <c r="H71" s="368"/>
      <c r="I71" s="391">
        <f t="shared" si="3"/>
        <v>382.6</v>
      </c>
      <c r="J71" s="666">
        <v>255.9</v>
      </c>
      <c r="K71" s="667">
        <v>126.7</v>
      </c>
      <c r="L71" s="368"/>
      <c r="M71" s="394">
        <v>237445</v>
      </c>
      <c r="N71" s="393">
        <v>50634</v>
      </c>
      <c r="O71" s="368"/>
      <c r="P71" s="394" t="str">
        <f>[2]Base!AB69</f>
        <v>-</v>
      </c>
      <c r="Q71" s="393" t="str">
        <f>[2]Base!AC69</f>
        <v>-</v>
      </c>
      <c r="R71" s="368"/>
      <c r="S71" s="394" t="str">
        <f>[2]Base!AE69</f>
        <v>-</v>
      </c>
      <c r="T71" s="393" t="str">
        <f>[2]Base!AF69</f>
        <v>-</v>
      </c>
      <c r="U71" s="368"/>
      <c r="V71" s="394" t="str">
        <f>[2]Base!AR69</f>
        <v>-</v>
      </c>
      <c r="W71" s="392" t="str">
        <f>[2]Base!AS69</f>
        <v>-</v>
      </c>
      <c r="X71" s="392" t="str">
        <f>[2]Base!AT69</f>
        <v>-</v>
      </c>
      <c r="Y71" s="392" t="str">
        <f>[2]Base!AU69</f>
        <v>-</v>
      </c>
      <c r="Z71" s="392" t="str">
        <f>[2]Base!AV69</f>
        <v>-</v>
      </c>
      <c r="AA71" s="392" t="str">
        <f>[2]Base!AW69</f>
        <v>-</v>
      </c>
      <c r="AB71" s="392" t="str">
        <f>[2]Base!AX69</f>
        <v>-</v>
      </c>
      <c r="AC71" s="392" t="s">
        <v>160</v>
      </c>
      <c r="AD71" s="393" t="str">
        <f>[2]Base!AZ69</f>
        <v>-</v>
      </c>
      <c r="AE71" s="368"/>
      <c r="AF71" s="366">
        <f t="shared" si="7"/>
        <v>41821</v>
      </c>
      <c r="AG71" s="397" t="s">
        <v>160</v>
      </c>
      <c r="AH71" s="398" t="s">
        <v>160</v>
      </c>
      <c r="AI71" s="398" t="s">
        <v>160</v>
      </c>
      <c r="AJ71" s="398" t="s">
        <v>160</v>
      </c>
      <c r="AK71" s="398" t="s">
        <v>160</v>
      </c>
      <c r="AL71" s="398" t="s">
        <v>160</v>
      </c>
      <c r="AM71" s="398" t="s">
        <v>160</v>
      </c>
      <c r="AN71" s="395" t="s">
        <v>160</v>
      </c>
      <c r="AO71" s="399" t="s">
        <v>160</v>
      </c>
      <c r="AP71" s="368"/>
      <c r="AQ71" s="400" t="str">
        <f>+[2]Base!CS69</f>
        <v>-</v>
      </c>
      <c r="AR71" s="395" t="str">
        <f>+[2]Base!CT69</f>
        <v>-</v>
      </c>
      <c r="AS71" s="395" t="str">
        <f>+[2]Base!CU69</f>
        <v>-</v>
      </c>
      <c r="AT71" s="395" t="str">
        <f>+[2]Base!CV69</f>
        <v>-</v>
      </c>
      <c r="AU71" s="396" t="str">
        <f>+[2]Base!CW69</f>
        <v>-</v>
      </c>
      <c r="AV71" s="368"/>
      <c r="AW71" s="394" t="s">
        <v>160</v>
      </c>
      <c r="AX71" s="395" t="s">
        <v>160</v>
      </c>
      <c r="AY71" s="395" t="s">
        <v>160</v>
      </c>
      <c r="AZ71" s="395" t="s">
        <v>160</v>
      </c>
      <c r="BA71" s="396" t="s">
        <v>160</v>
      </c>
      <c r="BB71" s="368"/>
      <c r="BC71" s="401">
        <f t="shared" si="4"/>
        <v>0.1362505001158163</v>
      </c>
      <c r="BD71" s="402">
        <f t="shared" si="5"/>
        <v>0.18071308754773546</v>
      </c>
      <c r="BG71" t="s">
        <v>71</v>
      </c>
      <c r="BH71" t="s">
        <v>948</v>
      </c>
    </row>
    <row r="72" spans="1:60" ht="12.75" customHeight="1" outlineLevel="1" x14ac:dyDescent="0.2">
      <c r="A72" s="570">
        <v>41852</v>
      </c>
      <c r="B72" s="708">
        <f>IF([1]RENAME!$H$3=0,A72,TEXT(A72,"[$-em-US] mmm-aa;@"))</f>
        <v>41852</v>
      </c>
      <c r="C72" s="365" t="str">
        <f>IF([1]RENAME!$H$3=0,BG72,BH72)</f>
        <v>3T14</v>
      </c>
      <c r="D72" s="366">
        <v>41852</v>
      </c>
      <c r="E72" s="391">
        <f t="shared" si="6"/>
        <v>289003</v>
      </c>
      <c r="F72" s="392">
        <v>259490</v>
      </c>
      <c r="G72" s="393">
        <v>29513</v>
      </c>
      <c r="H72" s="368"/>
      <c r="I72" s="391">
        <f t="shared" si="3"/>
        <v>385.70000000000005</v>
      </c>
      <c r="J72" s="666">
        <v>264.3</v>
      </c>
      <c r="K72" s="667">
        <v>121.4</v>
      </c>
      <c r="L72" s="368"/>
      <c r="M72" s="394">
        <v>249778</v>
      </c>
      <c r="N72" s="393">
        <v>45124</v>
      </c>
      <c r="O72" s="368"/>
      <c r="P72" s="394" t="str">
        <f>[2]Base!AB70</f>
        <v>-</v>
      </c>
      <c r="Q72" s="393" t="str">
        <f>[2]Base!AC70</f>
        <v>-</v>
      </c>
      <c r="R72" s="368"/>
      <c r="S72" s="394" t="str">
        <f>[2]Base!AE70</f>
        <v>-</v>
      </c>
      <c r="T72" s="393" t="str">
        <f>[2]Base!AF70</f>
        <v>-</v>
      </c>
      <c r="U72" s="368"/>
      <c r="V72" s="394" t="str">
        <f>[2]Base!AR70</f>
        <v>-</v>
      </c>
      <c r="W72" s="392" t="str">
        <f>[2]Base!AS70</f>
        <v>-</v>
      </c>
      <c r="X72" s="392" t="str">
        <f>[2]Base!AT70</f>
        <v>-</v>
      </c>
      <c r="Y72" s="392" t="str">
        <f>[2]Base!AU70</f>
        <v>-</v>
      </c>
      <c r="Z72" s="392" t="str">
        <f>[2]Base!AV70</f>
        <v>-</v>
      </c>
      <c r="AA72" s="392" t="str">
        <f>[2]Base!AW70</f>
        <v>-</v>
      </c>
      <c r="AB72" s="392" t="str">
        <f>[2]Base!AX70</f>
        <v>-</v>
      </c>
      <c r="AC72" s="392" t="s">
        <v>160</v>
      </c>
      <c r="AD72" s="393" t="str">
        <f>[2]Base!AZ70</f>
        <v>-</v>
      </c>
      <c r="AE72" s="368"/>
      <c r="AF72" s="366">
        <f t="shared" si="7"/>
        <v>41852</v>
      </c>
      <c r="AG72" s="397" t="s">
        <v>160</v>
      </c>
      <c r="AH72" s="398" t="s">
        <v>160</v>
      </c>
      <c r="AI72" s="398" t="s">
        <v>160</v>
      </c>
      <c r="AJ72" s="398" t="s">
        <v>160</v>
      </c>
      <c r="AK72" s="398" t="s">
        <v>160</v>
      </c>
      <c r="AL72" s="398" t="s">
        <v>160</v>
      </c>
      <c r="AM72" s="398" t="s">
        <v>160</v>
      </c>
      <c r="AN72" s="395" t="s">
        <v>160</v>
      </c>
      <c r="AO72" s="399" t="s">
        <v>160</v>
      </c>
      <c r="AP72" s="368"/>
      <c r="AQ72" s="400" t="str">
        <f>+[2]Base!CS70</f>
        <v>-</v>
      </c>
      <c r="AR72" s="395" t="str">
        <f>+[2]Base!CT70</f>
        <v>-</v>
      </c>
      <c r="AS72" s="395" t="str">
        <f>+[2]Base!CU70</f>
        <v>-</v>
      </c>
      <c r="AT72" s="395" t="str">
        <f>+[2]Base!CV70</f>
        <v>-</v>
      </c>
      <c r="AU72" s="396" t="str">
        <f>+[2]Base!CW70</f>
        <v>-</v>
      </c>
      <c r="AV72" s="368"/>
      <c r="AW72" s="394" t="s">
        <v>160</v>
      </c>
      <c r="AX72" s="395" t="s">
        <v>160</v>
      </c>
      <c r="AY72" s="395" t="s">
        <v>160</v>
      </c>
      <c r="AZ72" s="395" t="s">
        <v>160</v>
      </c>
      <c r="BA72" s="396" t="s">
        <v>160</v>
      </c>
      <c r="BB72" s="368"/>
      <c r="BC72" s="401">
        <f t="shared" si="4"/>
        <v>0.11815692334793297</v>
      </c>
      <c r="BD72" s="402">
        <f t="shared" si="5"/>
        <v>0.17389494778218814</v>
      </c>
      <c r="BG72" t="s">
        <v>71</v>
      </c>
      <c r="BH72" t="s">
        <v>948</v>
      </c>
    </row>
    <row r="73" spans="1:60" ht="12.75" customHeight="1" outlineLevel="1" x14ac:dyDescent="0.2">
      <c r="A73" s="570">
        <v>41883</v>
      </c>
      <c r="B73" s="708">
        <f>IF([1]RENAME!$H$3=0,A73,TEXT(A73,"[$-em-US] mmm-aa;@"))</f>
        <v>41883</v>
      </c>
      <c r="C73" s="365" t="str">
        <f>IF([1]RENAME!$H$3=0,BG73,BH73)</f>
        <v>3T14</v>
      </c>
      <c r="D73" s="366">
        <v>41883</v>
      </c>
      <c r="E73" s="391">
        <f t="shared" si="6"/>
        <v>306745</v>
      </c>
      <c r="F73" s="392">
        <v>282881</v>
      </c>
      <c r="G73" s="393">
        <v>23864</v>
      </c>
      <c r="H73" s="368"/>
      <c r="I73" s="391">
        <f t="shared" si="3"/>
        <v>404.5</v>
      </c>
      <c r="J73" s="666">
        <v>282.89999999999998</v>
      </c>
      <c r="K73" s="667">
        <v>121.6</v>
      </c>
      <c r="L73" s="368"/>
      <c r="M73" s="394">
        <v>286241</v>
      </c>
      <c r="N73" s="393">
        <v>46653</v>
      </c>
      <c r="O73" s="368"/>
      <c r="P73" s="394" t="str">
        <f>[2]Base!AB71</f>
        <v>-</v>
      </c>
      <c r="Q73" s="393" t="str">
        <f>[2]Base!AC71</f>
        <v>-</v>
      </c>
      <c r="R73" s="368"/>
      <c r="S73" s="394" t="str">
        <f>[2]Base!AE71</f>
        <v>-</v>
      </c>
      <c r="T73" s="393" t="str">
        <f>[2]Base!AF71</f>
        <v>-</v>
      </c>
      <c r="U73" s="368"/>
      <c r="V73" s="394" t="str">
        <f>[2]Base!AR71</f>
        <v>-</v>
      </c>
      <c r="W73" s="392" t="str">
        <f>[2]Base!AS71</f>
        <v>-</v>
      </c>
      <c r="X73" s="392" t="str">
        <f>[2]Base!AT71</f>
        <v>-</v>
      </c>
      <c r="Y73" s="392" t="str">
        <f>[2]Base!AU71</f>
        <v>-</v>
      </c>
      <c r="Z73" s="392" t="str">
        <f>[2]Base!AV71</f>
        <v>-</v>
      </c>
      <c r="AA73" s="392" t="str">
        <f>[2]Base!AW71</f>
        <v>-</v>
      </c>
      <c r="AB73" s="392" t="str">
        <f>[2]Base!AX71</f>
        <v>-</v>
      </c>
      <c r="AC73" s="392" t="s">
        <v>160</v>
      </c>
      <c r="AD73" s="393" t="str">
        <f>[2]Base!AZ71</f>
        <v>-</v>
      </c>
      <c r="AE73" s="368"/>
      <c r="AF73" s="366">
        <f t="shared" si="7"/>
        <v>41883</v>
      </c>
      <c r="AG73" s="397" t="s">
        <v>160</v>
      </c>
      <c r="AH73" s="398" t="s">
        <v>160</v>
      </c>
      <c r="AI73" s="398" t="s">
        <v>160</v>
      </c>
      <c r="AJ73" s="398" t="s">
        <v>160</v>
      </c>
      <c r="AK73" s="398" t="s">
        <v>160</v>
      </c>
      <c r="AL73" s="398" t="s">
        <v>160</v>
      </c>
      <c r="AM73" s="398" t="s">
        <v>160</v>
      </c>
      <c r="AN73" s="395" t="s">
        <v>160</v>
      </c>
      <c r="AO73" s="399" t="s">
        <v>160</v>
      </c>
      <c r="AP73" s="368"/>
      <c r="AQ73" s="400" t="str">
        <f>+[2]Base!CS71</f>
        <v>-</v>
      </c>
      <c r="AR73" s="395" t="str">
        <f>+[2]Base!CT71</f>
        <v>-</v>
      </c>
      <c r="AS73" s="395" t="str">
        <f>+[2]Base!CU71</f>
        <v>-</v>
      </c>
      <c r="AT73" s="395" t="str">
        <f>+[2]Base!CV71</f>
        <v>-</v>
      </c>
      <c r="AU73" s="396" t="str">
        <f>+[2]Base!CW71</f>
        <v>-</v>
      </c>
      <c r="AV73" s="368"/>
      <c r="AW73" s="394" t="s">
        <v>160</v>
      </c>
      <c r="AX73" s="395" t="s">
        <v>160</v>
      </c>
      <c r="AY73" s="395" t="s">
        <v>160</v>
      </c>
      <c r="AZ73" s="395" t="s">
        <v>160</v>
      </c>
      <c r="BA73" s="396" t="s">
        <v>160</v>
      </c>
      <c r="BB73" s="368"/>
      <c r="BC73" s="401">
        <f t="shared" si="4"/>
        <v>8.3370306839341671E-2</v>
      </c>
      <c r="BD73" s="402">
        <f t="shared" si="5"/>
        <v>0.16492093848650138</v>
      </c>
      <c r="BG73" t="s">
        <v>71</v>
      </c>
      <c r="BH73" t="s">
        <v>948</v>
      </c>
    </row>
    <row r="74" spans="1:60" ht="12.75" customHeight="1" outlineLevel="1" x14ac:dyDescent="0.2">
      <c r="A74" s="570">
        <v>41917</v>
      </c>
      <c r="B74" s="708">
        <f>IF([1]RENAME!$H$3=0,A74,TEXT(A74,"[$-em-US] mmm-aa;@"))</f>
        <v>41917</v>
      </c>
      <c r="C74" s="365" t="str">
        <f>IF([1]RENAME!$H$3=0,BG74,BH74)</f>
        <v>4T14</v>
      </c>
      <c r="D74" s="366">
        <v>41917</v>
      </c>
      <c r="E74" s="391">
        <f t="shared" si="6"/>
        <v>313327</v>
      </c>
      <c r="F74" s="392">
        <v>291804</v>
      </c>
      <c r="G74" s="393">
        <v>21523</v>
      </c>
      <c r="H74" s="368"/>
      <c r="I74" s="391">
        <f t="shared" si="3"/>
        <v>413.4</v>
      </c>
      <c r="J74" s="666">
        <v>281.8</v>
      </c>
      <c r="K74" s="667">
        <v>131.6</v>
      </c>
      <c r="L74" s="368"/>
      <c r="M74" s="394">
        <v>278239</v>
      </c>
      <c r="N74" s="393">
        <v>49359</v>
      </c>
      <c r="O74" s="368"/>
      <c r="P74" s="394" t="str">
        <f>[2]Base!AB72</f>
        <v>-</v>
      </c>
      <c r="Q74" s="393" t="str">
        <f>[2]Base!AC72</f>
        <v>-</v>
      </c>
      <c r="R74" s="368"/>
      <c r="S74" s="394" t="str">
        <f>[2]Base!AE72</f>
        <v>-</v>
      </c>
      <c r="T74" s="393" t="str">
        <f>[2]Base!AF72</f>
        <v>-</v>
      </c>
      <c r="U74" s="368"/>
      <c r="V74" s="394" t="str">
        <f>[2]Base!AR72</f>
        <v>-</v>
      </c>
      <c r="W74" s="392" t="str">
        <f>[2]Base!AS72</f>
        <v>-</v>
      </c>
      <c r="X74" s="392" t="str">
        <f>[2]Base!AT72</f>
        <v>-</v>
      </c>
      <c r="Y74" s="392" t="str">
        <f>[2]Base!AU72</f>
        <v>-</v>
      </c>
      <c r="Z74" s="392" t="str">
        <f>[2]Base!AV72</f>
        <v>-</v>
      </c>
      <c r="AA74" s="392" t="str">
        <f>[2]Base!AW72</f>
        <v>-</v>
      </c>
      <c r="AB74" s="392" t="str">
        <f>[2]Base!AX72</f>
        <v>-</v>
      </c>
      <c r="AC74" s="392" t="s">
        <v>160</v>
      </c>
      <c r="AD74" s="393" t="str">
        <f>[2]Base!AZ72</f>
        <v>-</v>
      </c>
      <c r="AE74" s="368"/>
      <c r="AF74" s="366">
        <f t="shared" si="7"/>
        <v>41917</v>
      </c>
      <c r="AG74" s="397" t="s">
        <v>160</v>
      </c>
      <c r="AH74" s="398" t="s">
        <v>160</v>
      </c>
      <c r="AI74" s="398" t="s">
        <v>160</v>
      </c>
      <c r="AJ74" s="398" t="s">
        <v>160</v>
      </c>
      <c r="AK74" s="398" t="s">
        <v>160</v>
      </c>
      <c r="AL74" s="398" t="s">
        <v>160</v>
      </c>
      <c r="AM74" s="398" t="s">
        <v>160</v>
      </c>
      <c r="AN74" s="395" t="s">
        <v>160</v>
      </c>
      <c r="AO74" s="399" t="s">
        <v>160</v>
      </c>
      <c r="AP74" s="368"/>
      <c r="AQ74" s="400" t="str">
        <f>+[2]Base!CS72</f>
        <v>-</v>
      </c>
      <c r="AR74" s="395" t="str">
        <f>+[2]Base!CT72</f>
        <v>-</v>
      </c>
      <c r="AS74" s="395" t="str">
        <f>+[2]Base!CU72</f>
        <v>-</v>
      </c>
      <c r="AT74" s="395" t="str">
        <f>+[2]Base!CV72</f>
        <v>-</v>
      </c>
      <c r="AU74" s="396" t="str">
        <f>+[2]Base!CW72</f>
        <v>-</v>
      </c>
      <c r="AV74" s="368"/>
      <c r="AW74" s="394" t="s">
        <v>160</v>
      </c>
      <c r="AX74" s="395" t="s">
        <v>160</v>
      </c>
      <c r="AY74" s="395" t="s">
        <v>160</v>
      </c>
      <c r="AZ74" s="395" t="s">
        <v>160</v>
      </c>
      <c r="BA74" s="396" t="s">
        <v>160</v>
      </c>
      <c r="BB74" s="368"/>
      <c r="BC74" s="401">
        <f t="shared" si="4"/>
        <v>7.7354360819295642E-2</v>
      </c>
      <c r="BD74" s="402">
        <f t="shared" si="5"/>
        <v>0.16915121108689393</v>
      </c>
      <c r="BG74" t="s">
        <v>77</v>
      </c>
      <c r="BH74" t="s">
        <v>949</v>
      </c>
    </row>
    <row r="75" spans="1:60" ht="12.75" customHeight="1" outlineLevel="1" x14ac:dyDescent="0.2">
      <c r="A75" s="570">
        <v>41944</v>
      </c>
      <c r="B75" s="708">
        <f>IF([1]RENAME!$H$3=0,A75,TEXT(A75,"[$-em-US] mmm-aa;@"))</f>
        <v>41944</v>
      </c>
      <c r="C75" s="365" t="str">
        <f>IF([1]RENAME!$H$3=0,BG75,BH75)</f>
        <v>4T14</v>
      </c>
      <c r="D75" s="366">
        <v>41944</v>
      </c>
      <c r="E75" s="391">
        <f t="shared" si="6"/>
        <v>303901</v>
      </c>
      <c r="F75" s="392">
        <v>280152</v>
      </c>
      <c r="G75" s="393">
        <v>23749</v>
      </c>
      <c r="H75" s="368"/>
      <c r="I75" s="391">
        <f t="shared" si="3"/>
        <v>414.3</v>
      </c>
      <c r="J75" s="666">
        <v>294.8</v>
      </c>
      <c r="K75" s="667">
        <v>119.5</v>
      </c>
      <c r="L75" s="368"/>
      <c r="M75" s="394">
        <v>251208</v>
      </c>
      <c r="N75" s="393">
        <v>53229</v>
      </c>
      <c r="O75" s="368"/>
      <c r="P75" s="394" t="str">
        <f>[2]Base!AB73</f>
        <v>-</v>
      </c>
      <c r="Q75" s="393" t="str">
        <f>[2]Base!AC73</f>
        <v>-</v>
      </c>
      <c r="R75" s="368"/>
      <c r="S75" s="394" t="str">
        <f>[2]Base!AE73</f>
        <v>-</v>
      </c>
      <c r="T75" s="393" t="str">
        <f>[2]Base!AF73</f>
        <v>-</v>
      </c>
      <c r="U75" s="368"/>
      <c r="V75" s="394" t="str">
        <f>[2]Base!AR73</f>
        <v>-</v>
      </c>
      <c r="W75" s="392" t="str">
        <f>[2]Base!AS73</f>
        <v>-</v>
      </c>
      <c r="X75" s="392" t="str">
        <f>[2]Base!AT73</f>
        <v>-</v>
      </c>
      <c r="Y75" s="392" t="str">
        <f>[2]Base!AU73</f>
        <v>-</v>
      </c>
      <c r="Z75" s="392" t="str">
        <f>[2]Base!AV73</f>
        <v>-</v>
      </c>
      <c r="AA75" s="392" t="str">
        <f>[2]Base!AW73</f>
        <v>-</v>
      </c>
      <c r="AB75" s="392" t="str">
        <f>[2]Base!AX73</f>
        <v>-</v>
      </c>
      <c r="AC75" s="392" t="s">
        <v>160</v>
      </c>
      <c r="AD75" s="393" t="str">
        <f>[2]Base!AZ73</f>
        <v>-</v>
      </c>
      <c r="AE75" s="368"/>
      <c r="AF75" s="366">
        <f t="shared" si="7"/>
        <v>41944</v>
      </c>
      <c r="AG75" s="397" t="s">
        <v>160</v>
      </c>
      <c r="AH75" s="398" t="s">
        <v>160</v>
      </c>
      <c r="AI75" s="398" t="s">
        <v>160</v>
      </c>
      <c r="AJ75" s="398" t="s">
        <v>160</v>
      </c>
      <c r="AK75" s="398" t="s">
        <v>160</v>
      </c>
      <c r="AL75" s="398" t="s">
        <v>160</v>
      </c>
      <c r="AM75" s="398" t="s">
        <v>160</v>
      </c>
      <c r="AN75" s="395" t="s">
        <v>160</v>
      </c>
      <c r="AO75" s="399" t="s">
        <v>160</v>
      </c>
      <c r="AP75" s="368"/>
      <c r="AQ75" s="400" t="str">
        <f>+[2]Base!CS73</f>
        <v>-</v>
      </c>
      <c r="AR75" s="395" t="str">
        <f>+[2]Base!CT73</f>
        <v>-</v>
      </c>
      <c r="AS75" s="395" t="str">
        <f>+[2]Base!CU73</f>
        <v>-</v>
      </c>
      <c r="AT75" s="395" t="str">
        <f>+[2]Base!CV73</f>
        <v>-</v>
      </c>
      <c r="AU75" s="396" t="str">
        <f>+[2]Base!CW73</f>
        <v>-</v>
      </c>
      <c r="AV75" s="368"/>
      <c r="AW75" s="394" t="s">
        <v>160</v>
      </c>
      <c r="AX75" s="395" t="s">
        <v>160</v>
      </c>
      <c r="AY75" s="395" t="s">
        <v>160</v>
      </c>
      <c r="AZ75" s="395" t="s">
        <v>160</v>
      </c>
      <c r="BA75" s="396" t="s">
        <v>160</v>
      </c>
      <c r="BB75" s="368"/>
      <c r="BC75" s="401">
        <f t="shared" si="4"/>
        <v>9.4539186650106688E-2</v>
      </c>
      <c r="BD75" s="402">
        <f t="shared" si="5"/>
        <v>0.19000042833890174</v>
      </c>
      <c r="BG75" t="s">
        <v>77</v>
      </c>
      <c r="BH75" t="s">
        <v>949</v>
      </c>
    </row>
    <row r="76" spans="1:60" ht="12.75" customHeight="1" outlineLevel="1" x14ac:dyDescent="0.2">
      <c r="A76" s="570">
        <v>41974</v>
      </c>
      <c r="B76" s="708">
        <f>IF([1]RENAME!$H$3=0,A76,TEXT(A76,"[$-em-US] mmm-aa;@"))</f>
        <v>41974</v>
      </c>
      <c r="C76" s="365" t="str">
        <f>IF([1]RENAME!$H$3=0,BG76,BH76)</f>
        <v>4T14</v>
      </c>
      <c r="D76" s="366">
        <v>41974</v>
      </c>
      <c r="E76" s="391">
        <f t="shared" si="6"/>
        <v>376399</v>
      </c>
      <c r="F76" s="392">
        <v>353999</v>
      </c>
      <c r="G76" s="393">
        <v>22400</v>
      </c>
      <c r="H76" s="368"/>
      <c r="I76" s="391">
        <f t="shared" si="3"/>
        <v>351</v>
      </c>
      <c r="J76" s="666">
        <v>297.5</v>
      </c>
      <c r="K76" s="667">
        <v>53.5</v>
      </c>
      <c r="L76" s="368"/>
      <c r="M76" s="394">
        <v>199721</v>
      </c>
      <c r="N76" s="393">
        <v>46940</v>
      </c>
      <c r="O76" s="368"/>
      <c r="P76" s="394">
        <f>[2]Base!AB74</f>
        <v>97562.124400000001</v>
      </c>
      <c r="Q76" s="393">
        <f>[2]Base!AC74</f>
        <v>256436.8756</v>
      </c>
      <c r="R76" s="368"/>
      <c r="S76" s="394" t="str">
        <f>[2]Base!AE74</f>
        <v>-</v>
      </c>
      <c r="T76" s="393" t="str">
        <f>[2]Base!AF74</f>
        <v>-</v>
      </c>
      <c r="U76" s="368"/>
      <c r="V76" s="394" t="str">
        <f>[2]Base!AR74</f>
        <v>-</v>
      </c>
      <c r="W76" s="392" t="str">
        <f>[2]Base!AS74</f>
        <v>-</v>
      </c>
      <c r="X76" s="392" t="str">
        <f>[2]Base!AT74</f>
        <v>-</v>
      </c>
      <c r="Y76" s="392" t="str">
        <f>[2]Base!AU74</f>
        <v>-</v>
      </c>
      <c r="Z76" s="392" t="str">
        <f>[2]Base!AV74</f>
        <v>-</v>
      </c>
      <c r="AA76" s="392" t="str">
        <f>[2]Base!AW74</f>
        <v>-</v>
      </c>
      <c r="AB76" s="392" t="str">
        <f>[2]Base!AX74</f>
        <v>-</v>
      </c>
      <c r="AC76" s="392" t="s">
        <v>160</v>
      </c>
      <c r="AD76" s="393" t="str">
        <f>[2]Base!AZ74</f>
        <v>-</v>
      </c>
      <c r="AE76" s="368"/>
      <c r="AF76" s="366">
        <f t="shared" si="7"/>
        <v>41974</v>
      </c>
      <c r="AG76" s="397" t="s">
        <v>160</v>
      </c>
      <c r="AH76" s="398" t="s">
        <v>160</v>
      </c>
      <c r="AI76" s="398" t="s">
        <v>160</v>
      </c>
      <c r="AJ76" s="398" t="s">
        <v>160</v>
      </c>
      <c r="AK76" s="398" t="s">
        <v>160</v>
      </c>
      <c r="AL76" s="398" t="s">
        <v>160</v>
      </c>
      <c r="AM76" s="398" t="s">
        <v>160</v>
      </c>
      <c r="AN76" s="395" t="s">
        <v>160</v>
      </c>
      <c r="AO76" s="399" t="s">
        <v>160</v>
      </c>
      <c r="AP76" s="368"/>
      <c r="AQ76" s="400" t="str">
        <f>+[2]Base!CS74</f>
        <v>-</v>
      </c>
      <c r="AR76" s="395" t="str">
        <f>+[2]Base!CT74</f>
        <v>-</v>
      </c>
      <c r="AS76" s="395" t="str">
        <f>+[2]Base!CU74</f>
        <v>-</v>
      </c>
      <c r="AT76" s="395" t="str">
        <f>+[2]Base!CV74</f>
        <v>-</v>
      </c>
      <c r="AU76" s="396" t="str">
        <f>+[2]Base!CW74</f>
        <v>-</v>
      </c>
      <c r="AV76" s="368"/>
      <c r="AW76" s="394" t="s">
        <v>160</v>
      </c>
      <c r="AX76" s="395" t="s">
        <v>160</v>
      </c>
      <c r="AY76" s="395" t="s">
        <v>160</v>
      </c>
      <c r="AZ76" s="395" t="s">
        <v>160</v>
      </c>
      <c r="BA76" s="396" t="s">
        <v>160</v>
      </c>
      <c r="BB76" s="368"/>
      <c r="BC76" s="401">
        <f t="shared" si="4"/>
        <v>0.11215645825927169</v>
      </c>
      <c r="BD76" s="402">
        <f t="shared" si="5"/>
        <v>0.13259924463063455</v>
      </c>
      <c r="BG76" t="s">
        <v>77</v>
      </c>
      <c r="BH76" t="s">
        <v>949</v>
      </c>
    </row>
    <row r="77" spans="1:60" ht="12.75" customHeight="1" outlineLevel="1" x14ac:dyDescent="0.2">
      <c r="A77" s="570">
        <v>42005</v>
      </c>
      <c r="B77" s="708">
        <f>IF([1]RENAME!$H$3=0,A77,TEXT(A77,"[$-em-US] mmm-aa;@"))</f>
        <v>42005</v>
      </c>
      <c r="C77" s="365" t="str">
        <f>IF([1]RENAME!$H$3=0,BG77,BH77)</f>
        <v>1T15</v>
      </c>
      <c r="D77" s="366">
        <v>42005</v>
      </c>
      <c r="E77" s="403">
        <f t="shared" si="6"/>
        <v>259114</v>
      </c>
      <c r="F77" s="404">
        <v>244266</v>
      </c>
      <c r="G77" s="406">
        <v>14848</v>
      </c>
      <c r="H77" s="368"/>
      <c r="I77" s="403">
        <f t="shared" si="3"/>
        <v>325.2</v>
      </c>
      <c r="J77" s="413">
        <v>256.2</v>
      </c>
      <c r="K77" s="408">
        <v>69</v>
      </c>
      <c r="L77" s="368"/>
      <c r="M77" s="407">
        <v>194712</v>
      </c>
      <c r="N77" s="406">
        <v>27994</v>
      </c>
      <c r="O77" s="368"/>
      <c r="P77" s="407">
        <f>[2]Base!AB75</f>
        <v>51906.525000000001</v>
      </c>
      <c r="Q77" s="406">
        <f>[2]Base!AC75</f>
        <v>192359.47500000001</v>
      </c>
      <c r="R77" s="368"/>
      <c r="S77" s="407">
        <f>[2]Base!AE75</f>
        <v>797008</v>
      </c>
      <c r="T77" s="408">
        <f>[2]Base!AF75</f>
        <v>3.2628558094216573</v>
      </c>
      <c r="U77" s="368"/>
      <c r="V77" s="407" t="e">
        <f>[2]Base!AR75</f>
        <v>#N/A</v>
      </c>
      <c r="W77" s="404">
        <f>[2]Base!AS75</f>
        <v>39462</v>
      </c>
      <c r="X77" s="404">
        <f>[2]Base!AT75</f>
        <v>0</v>
      </c>
      <c r="Y77" s="404">
        <f>[2]Base!AU75</f>
        <v>12552</v>
      </c>
      <c r="Z77" s="404">
        <f>[2]Base!AV75</f>
        <v>21387</v>
      </c>
      <c r="AA77" s="404">
        <f>[2]Base!AW75</f>
        <v>12581</v>
      </c>
      <c r="AB77" s="404">
        <f>[2]Base!AX75</f>
        <v>0</v>
      </c>
      <c r="AC77" s="404" t="s">
        <v>160</v>
      </c>
      <c r="AD77" s="406" t="e">
        <f>[2]Base!AZ75</f>
        <v>#N/A</v>
      </c>
      <c r="AE77" s="368"/>
      <c r="AF77" s="366">
        <f t="shared" si="7"/>
        <v>42005</v>
      </c>
      <c r="AG77" s="407" t="s">
        <v>160</v>
      </c>
      <c r="AH77" s="404" t="s">
        <v>160</v>
      </c>
      <c r="AI77" s="404" t="s">
        <v>160</v>
      </c>
      <c r="AJ77" s="404" t="s">
        <v>160</v>
      </c>
      <c r="AK77" s="404" t="s">
        <v>160</v>
      </c>
      <c r="AL77" s="404" t="s">
        <v>160</v>
      </c>
      <c r="AM77" s="404" t="s">
        <v>160</v>
      </c>
      <c r="AN77" s="404" t="s">
        <v>160</v>
      </c>
      <c r="AO77" s="406" t="s">
        <v>160</v>
      </c>
      <c r="AP77" s="368"/>
      <c r="AQ77" s="407">
        <f>+[2]Base!CS75</f>
        <v>11673.297869090906</v>
      </c>
      <c r="AR77" s="404">
        <f>+[2]Base!CT75</f>
        <v>45313.156946666742</v>
      </c>
      <c r="AS77" s="404">
        <f>+[2]Base!CU75</f>
        <v>31626.062713333253</v>
      </c>
      <c r="AT77" s="404">
        <f>+[2]Base!CV75</f>
        <v>116580.05274484861</v>
      </c>
      <c r="AU77" s="406">
        <f>+[2]Base!CW75</f>
        <v>40168.449804848366</v>
      </c>
      <c r="AV77" s="368"/>
      <c r="AW77" s="407" t="s">
        <v>160</v>
      </c>
      <c r="AX77" s="404" t="s">
        <v>160</v>
      </c>
      <c r="AY77" s="404" t="s">
        <v>160</v>
      </c>
      <c r="AZ77" s="404" t="s">
        <v>160</v>
      </c>
      <c r="BA77" s="406" t="s">
        <v>160</v>
      </c>
      <c r="BB77" s="368"/>
      <c r="BC77" s="410">
        <f t="shared" si="4"/>
        <v>7.6256214306257453E-2</v>
      </c>
      <c r="BD77" s="411">
        <f t="shared" si="5"/>
        <v>0.11460457042732103</v>
      </c>
      <c r="BG77" t="s">
        <v>87</v>
      </c>
      <c r="BH77" t="s">
        <v>950</v>
      </c>
    </row>
    <row r="78" spans="1:60" ht="12.75" customHeight="1" outlineLevel="1" x14ac:dyDescent="0.2">
      <c r="A78" s="570">
        <v>42036</v>
      </c>
      <c r="B78" s="708">
        <f>IF([1]RENAME!$H$3=0,A78,TEXT(A78,"[$-em-US] mmm-aa;@"))</f>
        <v>42036</v>
      </c>
      <c r="C78" s="365" t="str">
        <f>IF([1]RENAME!$H$3=0,BG78,BH78)</f>
        <v>1T15</v>
      </c>
      <c r="D78" s="366">
        <v>42036</v>
      </c>
      <c r="E78" s="403">
        <f t="shared" si="6"/>
        <v>208653</v>
      </c>
      <c r="F78" s="404">
        <v>179263</v>
      </c>
      <c r="G78" s="406">
        <v>29390</v>
      </c>
      <c r="H78" s="368"/>
      <c r="I78" s="403">
        <f t="shared" si="3"/>
        <v>329</v>
      </c>
      <c r="J78" s="413">
        <v>251</v>
      </c>
      <c r="K78" s="408">
        <v>78</v>
      </c>
      <c r="L78" s="368"/>
      <c r="M78" s="407">
        <v>196154</v>
      </c>
      <c r="N78" s="406">
        <v>27833</v>
      </c>
      <c r="O78" s="368"/>
      <c r="P78" s="407">
        <f>[2]Base!AB76</f>
        <v>43829.803500000002</v>
      </c>
      <c r="Q78" s="406">
        <f>[2]Base!AC76</f>
        <v>135433.19649999999</v>
      </c>
      <c r="R78" s="368"/>
      <c r="S78" s="407">
        <f>[2]Base!AE76</f>
        <v>695068</v>
      </c>
      <c r="T78" s="408">
        <f>[2]Base!AF76</f>
        <v>3.877364542599421</v>
      </c>
      <c r="U78" s="368"/>
      <c r="V78" s="407">
        <f>[2]Base!AR76</f>
        <v>0</v>
      </c>
      <c r="W78" s="404">
        <f>[2]Base!AS76</f>
        <v>30997</v>
      </c>
      <c r="X78" s="404">
        <f>[2]Base!AT76</f>
        <v>0</v>
      </c>
      <c r="Y78" s="404">
        <f>[2]Base!AU76</f>
        <v>11482</v>
      </c>
      <c r="Z78" s="404">
        <f>[2]Base!AV76</f>
        <v>14792</v>
      </c>
      <c r="AA78" s="404">
        <f>[2]Base!AW76</f>
        <v>0</v>
      </c>
      <c r="AB78" s="404">
        <f>[2]Base!AX76</f>
        <v>0</v>
      </c>
      <c r="AC78" s="404" t="s">
        <v>160</v>
      </c>
      <c r="AD78" s="406">
        <f>[2]Base!AZ76</f>
        <v>121992</v>
      </c>
      <c r="AE78" s="368"/>
      <c r="AF78" s="366">
        <f t="shared" si="7"/>
        <v>42036</v>
      </c>
      <c r="AG78" s="407" t="s">
        <v>160</v>
      </c>
      <c r="AH78" s="404" t="s">
        <v>160</v>
      </c>
      <c r="AI78" s="404" t="s">
        <v>160</v>
      </c>
      <c r="AJ78" s="404" t="s">
        <v>160</v>
      </c>
      <c r="AK78" s="404" t="s">
        <v>160</v>
      </c>
      <c r="AL78" s="404" t="s">
        <v>160</v>
      </c>
      <c r="AM78" s="404" t="s">
        <v>160</v>
      </c>
      <c r="AN78" s="404" t="s">
        <v>160</v>
      </c>
      <c r="AO78" s="406" t="s">
        <v>160</v>
      </c>
      <c r="AP78" s="368"/>
      <c r="AQ78" s="407">
        <f>+[2]Base!CS76</f>
        <v>8576.2678527272765</v>
      </c>
      <c r="AR78" s="404">
        <f>+[2]Base!CT76</f>
        <v>33079.998933333271</v>
      </c>
      <c r="AS78" s="404">
        <f>+[2]Base!CU76</f>
        <v>23058.002146666728</v>
      </c>
      <c r="AT78" s="404">
        <f>+[2]Base!CV76</f>
        <v>85812.654878787929</v>
      </c>
      <c r="AU78" s="406">
        <f>+[2]Base!CW76</f>
        <v>29524.072878787934</v>
      </c>
      <c r="AV78" s="368"/>
      <c r="AW78" s="407" t="s">
        <v>160</v>
      </c>
      <c r="AX78" s="404" t="s">
        <v>160</v>
      </c>
      <c r="AY78" s="404" t="s">
        <v>160</v>
      </c>
      <c r="AZ78" s="404" t="s">
        <v>160</v>
      </c>
      <c r="BA78" s="406" t="s">
        <v>160</v>
      </c>
      <c r="BB78" s="368"/>
      <c r="BC78" s="410">
        <f t="shared" si="4"/>
        <v>0.14983125503430977</v>
      </c>
      <c r="BD78" s="411">
        <f t="shared" si="5"/>
        <v>0.15526349553449401</v>
      </c>
      <c r="BG78" t="s">
        <v>87</v>
      </c>
      <c r="BH78" t="s">
        <v>950</v>
      </c>
    </row>
    <row r="79" spans="1:60" ht="12.75" customHeight="1" outlineLevel="1" x14ac:dyDescent="0.2">
      <c r="A79" s="570">
        <v>42064</v>
      </c>
      <c r="B79" s="708">
        <f>IF([1]RENAME!$H$3=0,A79,TEXT(A79,"[$-em-US] mmm-aa;@"))</f>
        <v>42064</v>
      </c>
      <c r="C79" s="365" t="str">
        <f>IF([1]RENAME!$H$3=0,BG79,BH79)</f>
        <v>1T15</v>
      </c>
      <c r="D79" s="366">
        <v>42064</v>
      </c>
      <c r="E79" s="403">
        <f t="shared" si="6"/>
        <v>256013</v>
      </c>
      <c r="F79" s="404">
        <v>226336</v>
      </c>
      <c r="G79" s="406">
        <v>29677</v>
      </c>
      <c r="H79" s="368"/>
      <c r="I79" s="403">
        <f t="shared" si="3"/>
        <v>360.3</v>
      </c>
      <c r="J79" s="413">
        <v>255.8</v>
      </c>
      <c r="K79" s="408">
        <v>104.5</v>
      </c>
      <c r="L79" s="368"/>
      <c r="M79" s="407">
        <v>245706</v>
      </c>
      <c r="N79" s="406">
        <v>42103</v>
      </c>
      <c r="O79" s="368"/>
      <c r="P79" s="407">
        <f>[2]Base!AB77</f>
        <v>63306.179199999999</v>
      </c>
      <c r="Q79" s="406">
        <f>[2]Base!AC77</f>
        <v>163029.82079999999</v>
      </c>
      <c r="R79" s="368"/>
      <c r="S79" s="407">
        <f>[2]Base!AE77</f>
        <v>844118</v>
      </c>
      <c r="T79" s="408">
        <f>[2]Base!AF77</f>
        <v>3.7294906687402798</v>
      </c>
      <c r="U79" s="368"/>
      <c r="V79" s="407">
        <f>[2]Base!AR77</f>
        <v>0</v>
      </c>
      <c r="W79" s="404">
        <f>[2]Base!AS77</f>
        <v>34893</v>
      </c>
      <c r="X79" s="404">
        <f>[2]Base!AT77</f>
        <v>0</v>
      </c>
      <c r="Y79" s="404">
        <f>[2]Base!AU77</f>
        <v>17091</v>
      </c>
      <c r="Z79" s="404">
        <f>[2]Base!AV77</f>
        <v>22776</v>
      </c>
      <c r="AA79" s="404">
        <f>[2]Base!AW77</f>
        <v>0</v>
      </c>
      <c r="AB79" s="404">
        <f>[2]Base!AX77</f>
        <v>0</v>
      </c>
      <c r="AC79" s="404" t="s">
        <v>160</v>
      </c>
      <c r="AD79" s="406">
        <f>[2]Base!AZ77</f>
        <v>151576</v>
      </c>
      <c r="AE79" s="368"/>
      <c r="AF79" s="366">
        <f t="shared" si="7"/>
        <v>42064</v>
      </c>
      <c r="AG79" s="407" t="s">
        <v>160</v>
      </c>
      <c r="AH79" s="404" t="s">
        <v>160</v>
      </c>
      <c r="AI79" s="404" t="s">
        <v>160</v>
      </c>
      <c r="AJ79" s="404" t="s">
        <v>160</v>
      </c>
      <c r="AK79" s="404" t="s">
        <v>160</v>
      </c>
      <c r="AL79" s="404" t="s">
        <v>160</v>
      </c>
      <c r="AM79" s="404" t="s">
        <v>160</v>
      </c>
      <c r="AN79" s="404" t="s">
        <v>160</v>
      </c>
      <c r="AO79" s="406" t="s">
        <v>160</v>
      </c>
      <c r="AP79" s="368"/>
      <c r="AQ79" s="407">
        <f>+[2]Base!CS77</f>
        <v>10840.259840000012</v>
      </c>
      <c r="AR79" s="404">
        <f>+[2]Base!CT77</f>
        <v>41546.23616</v>
      </c>
      <c r="AS79" s="404">
        <f>+[2]Base!CU77</f>
        <v>28921.214080000002</v>
      </c>
      <c r="AT79" s="404">
        <f>+[2]Base!CV77</f>
        <v>108670.49792000002</v>
      </c>
      <c r="AU79" s="406">
        <f>+[2]Base!CW77</f>
        <v>37333.917440000019</v>
      </c>
      <c r="AV79" s="368"/>
      <c r="AW79" s="407" t="s">
        <v>160</v>
      </c>
      <c r="AX79" s="404" t="s">
        <v>160</v>
      </c>
      <c r="AY79" s="404" t="s">
        <v>160</v>
      </c>
      <c r="AZ79" s="404" t="s">
        <v>160</v>
      </c>
      <c r="BA79" s="406" t="s">
        <v>160</v>
      </c>
      <c r="BB79" s="368"/>
      <c r="BC79" s="410">
        <f t="shared" si="4"/>
        <v>0.120782561272415</v>
      </c>
      <c r="BD79" s="411">
        <f t="shared" si="5"/>
        <v>0.18601989961826665</v>
      </c>
      <c r="BG79" t="s">
        <v>87</v>
      </c>
      <c r="BH79" t="s">
        <v>950</v>
      </c>
    </row>
    <row r="80" spans="1:60" ht="12.75" customHeight="1" outlineLevel="1" x14ac:dyDescent="0.2">
      <c r="A80" s="570">
        <v>42095</v>
      </c>
      <c r="B80" s="708">
        <f>IF([1]RENAME!$H$3=0,A80,TEXT(A80,"[$-em-US] mmm-aa;@"))</f>
        <v>42095</v>
      </c>
      <c r="C80" s="365" t="str">
        <f>IF([1]RENAME!$H$3=0,BG80,BH80)</f>
        <v>2T15</v>
      </c>
      <c r="D80" s="366">
        <v>42095</v>
      </c>
      <c r="E80" s="403">
        <f t="shared" si="6"/>
        <v>239777</v>
      </c>
      <c r="F80" s="404">
        <v>212002</v>
      </c>
      <c r="G80" s="406">
        <v>27775</v>
      </c>
      <c r="H80" s="368"/>
      <c r="I80" s="403">
        <f t="shared" si="3"/>
        <v>367.20000000000005</v>
      </c>
      <c r="J80" s="413">
        <v>235.8</v>
      </c>
      <c r="K80" s="408">
        <v>131.4</v>
      </c>
      <c r="L80" s="368"/>
      <c r="M80" s="407">
        <v>211347</v>
      </c>
      <c r="N80" s="406">
        <v>39366</v>
      </c>
      <c r="O80" s="368"/>
      <c r="P80" s="407">
        <f>[2]Base!AB78</f>
        <v>63706.600999999995</v>
      </c>
      <c r="Q80" s="406">
        <f>[2]Base!AC78</f>
        <v>148295.399</v>
      </c>
      <c r="R80" s="368"/>
      <c r="S80" s="407">
        <f>[2]Base!AE78</f>
        <v>790881</v>
      </c>
      <c r="T80" s="408">
        <f>[2]Base!AF78</f>
        <v>3.7305355609852735</v>
      </c>
      <c r="U80" s="368"/>
      <c r="V80" s="407">
        <f>[2]Base!AR78</f>
        <v>0</v>
      </c>
      <c r="W80" s="404">
        <f>[2]Base!AS78</f>
        <v>31140</v>
      </c>
      <c r="X80" s="404">
        <f>[2]Base!AT78</f>
        <v>0</v>
      </c>
      <c r="Y80" s="404">
        <f>[2]Base!AU78</f>
        <v>15792</v>
      </c>
      <c r="Z80" s="404">
        <f>[2]Base!AV78</f>
        <v>20575</v>
      </c>
      <c r="AA80" s="404">
        <f>[2]Base!AW78</f>
        <v>0</v>
      </c>
      <c r="AB80" s="404">
        <f>[2]Base!AX78</f>
        <v>0</v>
      </c>
      <c r="AC80" s="404" t="s">
        <v>160</v>
      </c>
      <c r="AD80" s="406">
        <f>[2]Base!AZ78</f>
        <v>144495</v>
      </c>
      <c r="AE80" s="368"/>
      <c r="AF80" s="366">
        <f t="shared" si="7"/>
        <v>42095</v>
      </c>
      <c r="AG80" s="407" t="s">
        <v>160</v>
      </c>
      <c r="AH80" s="404" t="s">
        <v>160</v>
      </c>
      <c r="AI80" s="404" t="s">
        <v>160</v>
      </c>
      <c r="AJ80" s="404" t="s">
        <v>160</v>
      </c>
      <c r="AK80" s="404" t="s">
        <v>160</v>
      </c>
      <c r="AL80" s="404" t="s">
        <v>160</v>
      </c>
      <c r="AM80" s="404" t="s">
        <v>160</v>
      </c>
      <c r="AN80" s="404" t="s">
        <v>160</v>
      </c>
      <c r="AO80" s="406" t="s">
        <v>160</v>
      </c>
      <c r="AP80" s="368"/>
      <c r="AQ80" s="407">
        <f>+[2]Base!CS78</f>
        <v>10164.917712727267</v>
      </c>
      <c r="AR80" s="404">
        <f>+[2]Base!CT78</f>
        <v>38708.738506666741</v>
      </c>
      <c r="AS80" s="404">
        <f>+[2]Base!CU78</f>
        <v>26910.120533333265</v>
      </c>
      <c r="AT80" s="404">
        <f>+[2]Base!CV78</f>
        <v>102091.94009212119</v>
      </c>
      <c r="AU80" s="406">
        <f>+[2]Base!CW78</f>
        <v>35022.987372121184</v>
      </c>
      <c r="AV80" s="368"/>
      <c r="AW80" s="407" t="s">
        <v>160</v>
      </c>
      <c r="AX80" s="404" t="s">
        <v>160</v>
      </c>
      <c r="AY80" s="404" t="s">
        <v>160</v>
      </c>
      <c r="AZ80" s="404" t="s">
        <v>160</v>
      </c>
      <c r="BA80" s="406" t="s">
        <v>160</v>
      </c>
      <c r="BB80" s="368"/>
      <c r="BC80" s="410">
        <f t="shared" si="4"/>
        <v>0.13141894609339144</v>
      </c>
      <c r="BD80" s="411">
        <f t="shared" si="5"/>
        <v>0.1856869274818162</v>
      </c>
      <c r="BG80" t="s">
        <v>88</v>
      </c>
      <c r="BH80" t="s">
        <v>951</v>
      </c>
    </row>
    <row r="81" spans="1:60" ht="12.75" customHeight="1" outlineLevel="1" x14ac:dyDescent="0.2">
      <c r="A81" s="570">
        <v>42125</v>
      </c>
      <c r="B81" s="708">
        <f>IF([1]RENAME!$H$3=0,A81,TEXT(A81,"[$-em-US] mmm-aa;@"))</f>
        <v>42125</v>
      </c>
      <c r="C81" s="365" t="str">
        <f>IF([1]RENAME!$H$3=0,BG81,BH81)</f>
        <v>2T15</v>
      </c>
      <c r="D81" s="366">
        <v>42125</v>
      </c>
      <c r="E81" s="403">
        <f t="shared" si="6"/>
        <v>243196</v>
      </c>
      <c r="F81" s="404">
        <v>205234</v>
      </c>
      <c r="G81" s="406">
        <v>37962</v>
      </c>
      <c r="H81" s="368"/>
      <c r="I81" s="403">
        <f t="shared" si="3"/>
        <v>361.1</v>
      </c>
      <c r="J81" s="413">
        <v>224.9</v>
      </c>
      <c r="K81" s="408">
        <v>136.19999999999999</v>
      </c>
      <c r="L81" s="368"/>
      <c r="M81" s="407">
        <v>205355</v>
      </c>
      <c r="N81" s="406">
        <v>33522</v>
      </c>
      <c r="O81" s="368"/>
      <c r="P81" s="407">
        <f>[2]Base!AB79</f>
        <v>62924.744399999996</v>
      </c>
      <c r="Q81" s="406">
        <f>[2]Base!AC79</f>
        <v>142309.2556</v>
      </c>
      <c r="R81" s="368"/>
      <c r="S81" s="407">
        <f>[2]Base!AE79</f>
        <v>823333</v>
      </c>
      <c r="T81" s="408">
        <f>[2]Base!AF79</f>
        <v>4.0116793513745286</v>
      </c>
      <c r="U81" s="368"/>
      <c r="V81" s="407">
        <f>[2]Base!AR79</f>
        <v>0</v>
      </c>
      <c r="W81" s="404">
        <f>[2]Base!AS79</f>
        <v>30281</v>
      </c>
      <c r="X81" s="404">
        <f>[2]Base!AT79</f>
        <v>0</v>
      </c>
      <c r="Y81" s="404">
        <f>[2]Base!AU79</f>
        <v>14820</v>
      </c>
      <c r="Z81" s="404">
        <f>[2]Base!AV79</f>
        <v>19282</v>
      </c>
      <c r="AA81" s="404">
        <f>[2]Base!AW79</f>
        <v>0</v>
      </c>
      <c r="AB81" s="404">
        <f>[2]Base!AX79</f>
        <v>0</v>
      </c>
      <c r="AC81" s="404" t="s">
        <v>160</v>
      </c>
      <c r="AD81" s="406">
        <f>[2]Base!AZ79</f>
        <v>140851</v>
      </c>
      <c r="AE81" s="368"/>
      <c r="AF81" s="366">
        <f t="shared" si="7"/>
        <v>42125</v>
      </c>
      <c r="AG81" s="407" t="s">
        <v>160</v>
      </c>
      <c r="AH81" s="404" t="s">
        <v>160</v>
      </c>
      <c r="AI81" s="404" t="s">
        <v>160</v>
      </c>
      <c r="AJ81" s="404" t="s">
        <v>160</v>
      </c>
      <c r="AK81" s="404" t="s">
        <v>160</v>
      </c>
      <c r="AL81" s="404" t="s">
        <v>160</v>
      </c>
      <c r="AM81" s="404" t="s">
        <v>160</v>
      </c>
      <c r="AN81" s="404" t="s">
        <v>160</v>
      </c>
      <c r="AO81" s="406" t="s">
        <v>160</v>
      </c>
      <c r="AP81" s="368"/>
      <c r="AQ81" s="407">
        <f>+[2]Base!CS79</f>
        <v>9851.232</v>
      </c>
      <c r="AR81" s="404">
        <f>+[2]Base!CT79</f>
        <v>37273.230853333262</v>
      </c>
      <c r="AS81" s="404">
        <f>+[2]Base!CU79</f>
        <v>25877.270946666737</v>
      </c>
      <c r="AT81" s="404">
        <f>+[2]Base!CV79</f>
        <v>99126.653773333266</v>
      </c>
      <c r="AU81" s="406">
        <f>+[2]Base!CW79</f>
        <v>33956.649413333267</v>
      </c>
      <c r="AV81" s="368"/>
      <c r="AW81" s="407" t="s">
        <v>160</v>
      </c>
      <c r="AX81" s="404" t="s">
        <v>160</v>
      </c>
      <c r="AY81" s="404" t="s">
        <v>160</v>
      </c>
      <c r="AZ81" s="404" t="s">
        <v>160</v>
      </c>
      <c r="BA81" s="406" t="s">
        <v>160</v>
      </c>
      <c r="BB81" s="368"/>
      <c r="BC81" s="410">
        <f t="shared" si="4"/>
        <v>0.1848603637603175</v>
      </c>
      <c r="BD81" s="411">
        <f t="shared" si="5"/>
        <v>0.16333550971086663</v>
      </c>
      <c r="BG81" t="s">
        <v>88</v>
      </c>
      <c r="BH81" t="s">
        <v>951</v>
      </c>
    </row>
    <row r="82" spans="1:60" ht="12.75" customHeight="1" outlineLevel="1" x14ac:dyDescent="0.2">
      <c r="A82" s="570">
        <v>42156</v>
      </c>
      <c r="B82" s="708">
        <f>IF([1]RENAME!$H$3=0,A82,TEXT(A82,"[$-em-US] mmm-aa;@"))</f>
        <v>42156</v>
      </c>
      <c r="C82" s="365" t="str">
        <f>IF([1]RENAME!$H$3=0,BG82,BH82)</f>
        <v>2T15</v>
      </c>
      <c r="D82" s="366">
        <v>42156</v>
      </c>
      <c r="E82" s="403">
        <f t="shared" si="6"/>
        <v>250245</v>
      </c>
      <c r="F82" s="404">
        <v>204898</v>
      </c>
      <c r="G82" s="406">
        <v>45347</v>
      </c>
      <c r="H82" s="368"/>
      <c r="I82" s="403">
        <f t="shared" si="3"/>
        <v>338.8</v>
      </c>
      <c r="J82" s="413">
        <v>236.8</v>
      </c>
      <c r="K82" s="408">
        <v>102</v>
      </c>
      <c r="L82" s="368"/>
      <c r="M82" s="407">
        <v>181102</v>
      </c>
      <c r="N82" s="406">
        <v>42140</v>
      </c>
      <c r="O82" s="368"/>
      <c r="P82" s="407">
        <f>[2]Base!AB80</f>
        <v>58908.174999999996</v>
      </c>
      <c r="Q82" s="406">
        <f>[2]Base!AC80</f>
        <v>145989.82500000001</v>
      </c>
      <c r="R82" s="368"/>
      <c r="S82" s="407">
        <f>[2]Base!AE80</f>
        <v>855509</v>
      </c>
      <c r="T82" s="408">
        <f>[2]Base!AF80</f>
        <v>4.175292096555359</v>
      </c>
      <c r="U82" s="368"/>
      <c r="V82" s="407">
        <f>[2]Base!AR80</f>
        <v>0</v>
      </c>
      <c r="W82" s="404">
        <f>[2]Base!AS80</f>
        <v>30125</v>
      </c>
      <c r="X82" s="404">
        <f>[2]Base!AT80</f>
        <v>0</v>
      </c>
      <c r="Y82" s="404">
        <f>[2]Base!AU80</f>
        <v>15191</v>
      </c>
      <c r="Z82" s="404">
        <f>[2]Base!AV80</f>
        <v>20962</v>
      </c>
      <c r="AA82" s="404">
        <f>[2]Base!AW80</f>
        <v>0</v>
      </c>
      <c r="AB82" s="404">
        <f>[2]Base!AX80</f>
        <v>0</v>
      </c>
      <c r="AC82" s="404" t="s">
        <v>160</v>
      </c>
      <c r="AD82" s="406">
        <f>[2]Base!AZ80</f>
        <v>138620</v>
      </c>
      <c r="AE82" s="368"/>
      <c r="AF82" s="366">
        <f t="shared" si="7"/>
        <v>42156</v>
      </c>
      <c r="AG82" s="407" t="s">
        <v>160</v>
      </c>
      <c r="AH82" s="404" t="s">
        <v>160</v>
      </c>
      <c r="AI82" s="404" t="s">
        <v>160</v>
      </c>
      <c r="AJ82" s="404" t="s">
        <v>160</v>
      </c>
      <c r="AK82" s="404" t="s">
        <v>160</v>
      </c>
      <c r="AL82" s="404" t="s">
        <v>160</v>
      </c>
      <c r="AM82" s="404" t="s">
        <v>160</v>
      </c>
      <c r="AN82" s="404" t="s">
        <v>160</v>
      </c>
      <c r="AO82" s="406" t="s">
        <v>160</v>
      </c>
      <c r="AP82" s="368"/>
      <c r="AQ82" s="407">
        <f>+[2]Base!CS80</f>
        <v>9845.9077127272794</v>
      </c>
      <c r="AR82" s="404">
        <f>+[2]Base!CT80</f>
        <v>37012.774720000001</v>
      </c>
      <c r="AS82" s="404">
        <f>+[2]Base!CU80</f>
        <v>25661.425519999997</v>
      </c>
      <c r="AT82" s="404">
        <f>+[2]Base!CV80</f>
        <v>99257.806785454639</v>
      </c>
      <c r="AU82" s="406">
        <f>+[2]Base!CW80</f>
        <v>33952.716225454431</v>
      </c>
      <c r="AV82" s="368"/>
      <c r="AW82" s="407" t="s">
        <v>160</v>
      </c>
      <c r="AX82" s="404" t="s">
        <v>160</v>
      </c>
      <c r="AY82" s="404" t="s">
        <v>160</v>
      </c>
      <c r="AZ82" s="404" t="s">
        <v>160</v>
      </c>
      <c r="BA82" s="406" t="s">
        <v>160</v>
      </c>
      <c r="BB82" s="368"/>
      <c r="BC82" s="410">
        <f t="shared" si="4"/>
        <v>0.25039480513743634</v>
      </c>
      <c r="BD82" s="411">
        <f t="shared" si="5"/>
        <v>0.20566330564475982</v>
      </c>
      <c r="BG82" t="s">
        <v>88</v>
      </c>
      <c r="BH82" t="s">
        <v>951</v>
      </c>
    </row>
    <row r="83" spans="1:60" ht="12.75" customHeight="1" outlineLevel="1" x14ac:dyDescent="0.2">
      <c r="A83" s="570">
        <v>42186</v>
      </c>
      <c r="B83" s="708">
        <f>IF([1]RENAME!$H$3=0,A83,TEXT(A83,"[$-em-US] mmm-aa;@"))</f>
        <v>42186</v>
      </c>
      <c r="C83" s="365" t="str">
        <f>IF([1]RENAME!$H$3=0,BG83,BH83)</f>
        <v>3T15</v>
      </c>
      <c r="D83" s="366">
        <v>42186</v>
      </c>
      <c r="E83" s="403">
        <f t="shared" si="6"/>
        <v>245502</v>
      </c>
      <c r="F83" s="404">
        <v>219697</v>
      </c>
      <c r="G83" s="406">
        <v>25805</v>
      </c>
      <c r="H83" s="368"/>
      <c r="I83" s="403">
        <f t="shared" si="3"/>
        <v>345.6</v>
      </c>
      <c r="J83" s="413">
        <v>206.9</v>
      </c>
      <c r="K83" s="408">
        <v>138.69999999999999</v>
      </c>
      <c r="L83" s="368"/>
      <c r="M83" s="407">
        <v>215646</v>
      </c>
      <c r="N83" s="406">
        <v>37952</v>
      </c>
      <c r="O83" s="368"/>
      <c r="P83" s="407">
        <f>[2]Base!AB81</f>
        <v>63053.038999999997</v>
      </c>
      <c r="Q83" s="406">
        <f>[2]Base!AC81</f>
        <v>156643.96100000001</v>
      </c>
      <c r="R83" s="368"/>
      <c r="S83" s="407">
        <f>[2]Base!AE81</f>
        <v>928057</v>
      </c>
      <c r="T83" s="408">
        <f>[2]Base!AF81</f>
        <v>4.2242396380485943</v>
      </c>
      <c r="U83" s="368"/>
      <c r="V83" s="407">
        <f>[2]Base!AR81</f>
        <v>0</v>
      </c>
      <c r="W83" s="404">
        <f>[2]Base!AS81</f>
        <v>31166</v>
      </c>
      <c r="X83" s="404">
        <f>[2]Base!AT81</f>
        <v>0</v>
      </c>
      <c r="Y83" s="404">
        <f>[2]Base!AU81</f>
        <v>16577</v>
      </c>
      <c r="Z83" s="404">
        <f>[2]Base!AV81</f>
        <v>21382</v>
      </c>
      <c r="AA83" s="404">
        <f>[2]Base!AW81</f>
        <v>0</v>
      </c>
      <c r="AB83" s="404">
        <f>[2]Base!AX81</f>
        <v>0</v>
      </c>
      <c r="AC83" s="404" t="s">
        <v>160</v>
      </c>
      <c r="AD83" s="406">
        <f>[2]Base!AZ81</f>
        <v>150573</v>
      </c>
      <c r="AE83" s="368"/>
      <c r="AF83" s="366">
        <f t="shared" si="7"/>
        <v>42186</v>
      </c>
      <c r="AG83" s="407" t="s">
        <v>160</v>
      </c>
      <c r="AH83" s="404" t="s">
        <v>160</v>
      </c>
      <c r="AI83" s="404" t="s">
        <v>160</v>
      </c>
      <c r="AJ83" s="404" t="s">
        <v>160</v>
      </c>
      <c r="AK83" s="404" t="s">
        <v>160</v>
      </c>
      <c r="AL83" s="404" t="s">
        <v>160</v>
      </c>
      <c r="AM83" s="404" t="s">
        <v>160</v>
      </c>
      <c r="AN83" s="404" t="s">
        <v>160</v>
      </c>
      <c r="AO83" s="406" t="s">
        <v>160</v>
      </c>
      <c r="AP83" s="368"/>
      <c r="AQ83" s="407">
        <f>+[2]Base!CS81</f>
        <v>10568.672152727262</v>
      </c>
      <c r="AR83" s="404">
        <f>+[2]Base!CT81</f>
        <v>39472.407333333409</v>
      </c>
      <c r="AS83" s="404">
        <f>+[2]Base!CU81</f>
        <v>27328.966546666594</v>
      </c>
      <c r="AT83" s="404">
        <f>+[2]Base!CV81</f>
        <v>106741.93767878793</v>
      </c>
      <c r="AU83" s="406">
        <f>+[2]Base!CW81</f>
        <v>36460.547478787928</v>
      </c>
      <c r="AV83" s="368"/>
      <c r="AW83" s="407" t="s">
        <v>160</v>
      </c>
      <c r="AX83" s="404" t="s">
        <v>160</v>
      </c>
      <c r="AY83" s="404" t="s">
        <v>160</v>
      </c>
      <c r="AZ83" s="404" t="s">
        <v>160</v>
      </c>
      <c r="BA83" s="406" t="s">
        <v>160</v>
      </c>
      <c r="BB83" s="368"/>
      <c r="BC83" s="410">
        <f t="shared" si="4"/>
        <v>0.11966370811422423</v>
      </c>
      <c r="BD83" s="411">
        <f t="shared" si="5"/>
        <v>0.17274701065558473</v>
      </c>
      <c r="BG83" t="s">
        <v>378</v>
      </c>
      <c r="BH83" t="s">
        <v>952</v>
      </c>
    </row>
    <row r="84" spans="1:60" ht="12.75" customHeight="1" outlineLevel="1" x14ac:dyDescent="0.2">
      <c r="A84" s="570">
        <v>42217</v>
      </c>
      <c r="B84" s="708">
        <f>IF([1]RENAME!$H$3=0,A84,TEXT(A84,"[$-em-US] mmm-aa;@"))</f>
        <v>42217</v>
      </c>
      <c r="C84" s="365" t="str">
        <f>IF([1]RENAME!$H$3=0,BG84,BH84)</f>
        <v>3T15</v>
      </c>
      <c r="D84" s="366">
        <v>42217</v>
      </c>
      <c r="E84" s="403">
        <f t="shared" si="6"/>
        <v>232590</v>
      </c>
      <c r="F84" s="404">
        <v>200108</v>
      </c>
      <c r="G84" s="406">
        <v>32482</v>
      </c>
      <c r="H84" s="368"/>
      <c r="I84" s="403">
        <f t="shared" si="3"/>
        <v>357.8</v>
      </c>
      <c r="J84" s="413">
        <v>207.9</v>
      </c>
      <c r="K84" s="408">
        <v>149.9</v>
      </c>
      <c r="L84" s="368"/>
      <c r="M84" s="407">
        <v>211293</v>
      </c>
      <c r="N84" s="406">
        <v>35620</v>
      </c>
      <c r="O84" s="368"/>
      <c r="P84" s="407">
        <f>[2]Base!AB82</f>
        <v>63834.452000000005</v>
      </c>
      <c r="Q84" s="406">
        <f>[2]Base!AC82</f>
        <v>136273.54800000001</v>
      </c>
      <c r="R84" s="368"/>
      <c r="S84" s="407">
        <f>[2]Base!AE82</f>
        <v>875067</v>
      </c>
      <c r="T84" s="408">
        <f>[2]Base!AF82</f>
        <v>4.3729735942590997</v>
      </c>
      <c r="U84" s="368"/>
      <c r="V84" s="407">
        <f>[2]Base!AR82</f>
        <v>0</v>
      </c>
      <c r="W84" s="404">
        <f>[2]Base!AS82</f>
        <v>28352</v>
      </c>
      <c r="X84" s="404">
        <f>[2]Base!AT82</f>
        <v>0</v>
      </c>
      <c r="Y84" s="404">
        <f>[2]Base!AU82</f>
        <v>14921</v>
      </c>
      <c r="Z84" s="404">
        <f>[2]Base!AV82</f>
        <v>20270</v>
      </c>
      <c r="AA84" s="404">
        <f>[2]Base!AW82</f>
        <v>0</v>
      </c>
      <c r="AB84" s="404">
        <f>[2]Base!AX82</f>
        <v>0</v>
      </c>
      <c r="AC84" s="404" t="s">
        <v>160</v>
      </c>
      <c r="AD84" s="406">
        <f>[2]Base!AZ82</f>
        <v>136565</v>
      </c>
      <c r="AE84" s="368"/>
      <c r="AF84" s="366">
        <f t="shared" si="7"/>
        <v>42217</v>
      </c>
      <c r="AG84" s="407" t="s">
        <v>160</v>
      </c>
      <c r="AH84" s="404" t="s">
        <v>160</v>
      </c>
      <c r="AI84" s="404" t="s">
        <v>160</v>
      </c>
      <c r="AJ84" s="404" t="s">
        <v>160</v>
      </c>
      <c r="AK84" s="404" t="s">
        <v>160</v>
      </c>
      <c r="AL84" s="404" t="s">
        <v>160</v>
      </c>
      <c r="AM84" s="404" t="s">
        <v>160</v>
      </c>
      <c r="AN84" s="404" t="s">
        <v>160</v>
      </c>
      <c r="AO84" s="406" t="s">
        <v>160</v>
      </c>
      <c r="AP84" s="368"/>
      <c r="AQ84" s="407">
        <f>+[2]Base!CS82</f>
        <v>9636.8374472727246</v>
      </c>
      <c r="AR84" s="404">
        <f>+[2]Base!CT82</f>
        <v>35757.965546666601</v>
      </c>
      <c r="AS84" s="404">
        <f>+[2]Base!CU82</f>
        <v>24722.676373333401</v>
      </c>
      <c r="AT84" s="404">
        <f>+[2]Base!CV82</f>
        <v>97510.56668121212</v>
      </c>
      <c r="AU84" s="406">
        <f>+[2]Base!CW82</f>
        <v>33259.890041212129</v>
      </c>
      <c r="AV84" s="368"/>
      <c r="AW84" s="407" t="s">
        <v>160</v>
      </c>
      <c r="AX84" s="404" t="s">
        <v>160</v>
      </c>
      <c r="AY84" s="404" t="s">
        <v>160</v>
      </c>
      <c r="AZ84" s="404" t="s">
        <v>160</v>
      </c>
      <c r="BA84" s="406" t="s">
        <v>160</v>
      </c>
      <c r="BB84" s="368"/>
      <c r="BC84" s="410">
        <f t="shared" si="4"/>
        <v>0.15372965502879887</v>
      </c>
      <c r="BD84" s="411">
        <f t="shared" si="5"/>
        <v>0.17800387790593081</v>
      </c>
      <c r="BG84" t="s">
        <v>378</v>
      </c>
      <c r="BH84" t="s">
        <v>952</v>
      </c>
    </row>
    <row r="85" spans="1:60" ht="12.75" customHeight="1" outlineLevel="1" x14ac:dyDescent="0.2">
      <c r="A85" s="570">
        <v>42248</v>
      </c>
      <c r="B85" s="708">
        <f>IF([1]RENAME!$H$3=0,A85,TEXT(A85,"[$-em-US] mmm-aa;@"))</f>
        <v>42248</v>
      </c>
      <c r="C85" s="365" t="str">
        <f>IF([1]RENAME!$H$3=0,BG85,BH85)</f>
        <v>3T15</v>
      </c>
      <c r="D85" s="366">
        <v>42248</v>
      </c>
      <c r="E85" s="403">
        <f t="shared" si="6"/>
        <v>223654</v>
      </c>
      <c r="F85" s="404">
        <v>192846</v>
      </c>
      <c r="G85" s="406">
        <v>30808</v>
      </c>
      <c r="H85" s="368"/>
      <c r="I85" s="403">
        <f t="shared" si="3"/>
        <v>346.9</v>
      </c>
      <c r="J85" s="413">
        <v>214.2</v>
      </c>
      <c r="K85" s="408">
        <v>132.69999999999999</v>
      </c>
      <c r="L85" s="368"/>
      <c r="M85" s="407">
        <v>167065</v>
      </c>
      <c r="N85" s="406">
        <v>27115</v>
      </c>
      <c r="O85" s="368"/>
      <c r="P85" s="407">
        <f>[2]Base!AB83</f>
        <v>57660.953999999998</v>
      </c>
      <c r="Q85" s="406">
        <f>[2]Base!AC83</f>
        <v>135185.046</v>
      </c>
      <c r="R85" s="368"/>
      <c r="S85" s="407">
        <f>[2]Base!AE83</f>
        <v>867525</v>
      </c>
      <c r="T85" s="408">
        <f>[2]Base!AF83</f>
        <v>4.4985143663111167</v>
      </c>
      <c r="U85" s="368"/>
      <c r="V85" s="407">
        <f>[2]Base!AR83</f>
        <v>0</v>
      </c>
      <c r="W85" s="404">
        <f>[2]Base!AS83</f>
        <v>26815</v>
      </c>
      <c r="X85" s="404">
        <f>[2]Base!AT83</f>
        <v>0</v>
      </c>
      <c r="Y85" s="404">
        <f>[2]Base!AU83</f>
        <v>14443</v>
      </c>
      <c r="Z85" s="404">
        <f>[2]Base!AV83</f>
        <v>19754</v>
      </c>
      <c r="AA85" s="404">
        <f>[2]Base!AW83</f>
        <v>0</v>
      </c>
      <c r="AB85" s="404">
        <f>[2]Base!AX83</f>
        <v>0</v>
      </c>
      <c r="AC85" s="404" t="s">
        <v>160</v>
      </c>
      <c r="AD85" s="406">
        <f>[2]Base!AZ83</f>
        <v>131835</v>
      </c>
      <c r="AE85" s="368"/>
      <c r="AF85" s="366">
        <f t="shared" si="7"/>
        <v>42248</v>
      </c>
      <c r="AG85" s="407" t="s">
        <v>160</v>
      </c>
      <c r="AH85" s="404" t="s">
        <v>160</v>
      </c>
      <c r="AI85" s="404" t="s">
        <v>160</v>
      </c>
      <c r="AJ85" s="404" t="s">
        <v>160</v>
      </c>
      <c r="AK85" s="404" t="s">
        <v>160</v>
      </c>
      <c r="AL85" s="404" t="s">
        <v>160</v>
      </c>
      <c r="AM85" s="404" t="s">
        <v>160</v>
      </c>
      <c r="AN85" s="404" t="s">
        <v>160</v>
      </c>
      <c r="AO85" s="406" t="s">
        <v>160</v>
      </c>
      <c r="AP85" s="368"/>
      <c r="AQ85" s="407">
        <f>+[2]Base!CS83</f>
        <v>9297.3291854545478</v>
      </c>
      <c r="AR85" s="404">
        <f>+[2]Base!CT83</f>
        <v>34272.768839999997</v>
      </c>
      <c r="AS85" s="404">
        <f>+[2]Base!CU83</f>
        <v>23662.3269</v>
      </c>
      <c r="AT85" s="404">
        <f>+[2]Base!CV83</f>
        <v>94248.53647090905</v>
      </c>
      <c r="AU85" s="406">
        <f>+[2]Base!CW83</f>
        <v>32101.662250909052</v>
      </c>
      <c r="AV85" s="368"/>
      <c r="AW85" s="407" t="s">
        <v>160</v>
      </c>
      <c r="AX85" s="404" t="s">
        <v>160</v>
      </c>
      <c r="AY85" s="404" t="s">
        <v>160</v>
      </c>
      <c r="AZ85" s="404" t="s">
        <v>160</v>
      </c>
      <c r="BA85" s="406" t="s">
        <v>160</v>
      </c>
      <c r="BB85" s="368"/>
      <c r="BC85" s="410">
        <f t="shared" ref="BC85:BC116" si="8">+G85/M85</f>
        <v>0.18440726663274773</v>
      </c>
      <c r="BD85" s="411">
        <f t="shared" ref="BD85:BD116" si="9">+N85/F85</f>
        <v>0.14060442010723584</v>
      </c>
      <c r="BG85" t="s">
        <v>378</v>
      </c>
      <c r="BH85" t="s">
        <v>952</v>
      </c>
    </row>
    <row r="86" spans="1:60" ht="12.75" customHeight="1" outlineLevel="1" x14ac:dyDescent="0.2">
      <c r="A86" s="570">
        <v>42278</v>
      </c>
      <c r="B86" s="708">
        <f>IF([1]RENAME!$H$3=0,A86,TEXT(A86,"[$-em-US] mmm-aa;@"))</f>
        <v>42278</v>
      </c>
      <c r="C86" s="365" t="str">
        <f>IF([1]RENAME!$H$3=0,BG86,BH86)</f>
        <v>4T15</v>
      </c>
      <c r="D86" s="366">
        <v>42278</v>
      </c>
      <c r="E86" s="403">
        <f t="shared" si="6"/>
        <v>222544</v>
      </c>
      <c r="F86" s="404">
        <v>185484</v>
      </c>
      <c r="G86" s="406">
        <v>37060</v>
      </c>
      <c r="H86" s="368"/>
      <c r="I86" s="403">
        <f t="shared" si="3"/>
        <v>340.6</v>
      </c>
      <c r="J86" s="413">
        <v>201.7</v>
      </c>
      <c r="K86" s="408">
        <v>138.9</v>
      </c>
      <c r="L86" s="368"/>
      <c r="M86" s="407">
        <v>197037</v>
      </c>
      <c r="N86" s="406">
        <v>32286</v>
      </c>
      <c r="O86" s="368"/>
      <c r="P86" s="407">
        <f>[2]Base!AB84</f>
        <v>57871.008000000002</v>
      </c>
      <c r="Q86" s="406">
        <f>[2]Base!AC84</f>
        <v>127612.992</v>
      </c>
      <c r="R86" s="368"/>
      <c r="S86" s="407">
        <f>[2]Base!AE84</f>
        <v>788880</v>
      </c>
      <c r="T86" s="408">
        <f>[2]Base!AF84</f>
        <v>4.2530892152422854</v>
      </c>
      <c r="U86" s="368"/>
      <c r="V86" s="407">
        <f>[2]Base!AR84</f>
        <v>0</v>
      </c>
      <c r="W86" s="404">
        <f>[2]Base!AS84</f>
        <v>25658</v>
      </c>
      <c r="X86" s="404">
        <f>[2]Base!AT84</f>
        <v>0</v>
      </c>
      <c r="Y86" s="404">
        <f>[2]Base!AU84</f>
        <v>13466</v>
      </c>
      <c r="Z86" s="404">
        <f>[2]Base!AV84</f>
        <v>18274</v>
      </c>
      <c r="AA86" s="404">
        <f>[2]Base!AW84</f>
        <v>0</v>
      </c>
      <c r="AB86" s="404">
        <f>[2]Base!AX84</f>
        <v>0</v>
      </c>
      <c r="AC86" s="404" t="s">
        <v>160</v>
      </c>
      <c r="AD86" s="406">
        <f>[2]Base!AZ84</f>
        <v>128086</v>
      </c>
      <c r="AE86" s="368"/>
      <c r="AF86" s="366">
        <f t="shared" si="7"/>
        <v>42278</v>
      </c>
      <c r="AG86" s="407" t="s">
        <v>160</v>
      </c>
      <c r="AH86" s="404" t="s">
        <v>160</v>
      </c>
      <c r="AI86" s="404" t="s">
        <v>160</v>
      </c>
      <c r="AJ86" s="404" t="s">
        <v>160</v>
      </c>
      <c r="AK86" s="404" t="s">
        <v>160</v>
      </c>
      <c r="AL86" s="404" t="s">
        <v>160</v>
      </c>
      <c r="AM86" s="404" t="s">
        <v>160</v>
      </c>
      <c r="AN86" s="404" t="s">
        <v>160</v>
      </c>
      <c r="AO86" s="406" t="s">
        <v>160</v>
      </c>
      <c r="AP86" s="368"/>
      <c r="AQ86" s="407">
        <f>+[2]Base!CS84</f>
        <v>8952.1323272727332</v>
      </c>
      <c r="AR86" s="404">
        <f>+[2]Base!CT84</f>
        <v>32783.678720000062</v>
      </c>
      <c r="AS86" s="404">
        <f>+[2]Base!CU84</f>
        <v>22601.843679999936</v>
      </c>
      <c r="AT86" s="404">
        <f>+[2]Base!CV84</f>
        <v>90915.713294545378</v>
      </c>
      <c r="AU86" s="406">
        <f>+[2]Base!CW84</f>
        <v>30922.768334545381</v>
      </c>
      <c r="AV86" s="368"/>
      <c r="AW86" s="407" t="s">
        <v>160</v>
      </c>
      <c r="AX86" s="404" t="s">
        <v>160</v>
      </c>
      <c r="AY86" s="404" t="s">
        <v>160</v>
      </c>
      <c r="AZ86" s="404" t="s">
        <v>160</v>
      </c>
      <c r="BA86" s="406" t="s">
        <v>160</v>
      </c>
      <c r="BB86" s="368"/>
      <c r="BC86" s="410">
        <f t="shared" si="8"/>
        <v>0.18808650152001907</v>
      </c>
      <c r="BD86" s="411">
        <f t="shared" si="9"/>
        <v>0.17406353108623923</v>
      </c>
      <c r="BG86" t="s">
        <v>405</v>
      </c>
      <c r="BH86" t="s">
        <v>953</v>
      </c>
    </row>
    <row r="87" spans="1:60" ht="12.75" customHeight="1" outlineLevel="1" x14ac:dyDescent="0.2">
      <c r="A87" s="570">
        <v>42309</v>
      </c>
      <c r="B87" s="708">
        <f>IF([1]RENAME!$H$3=0,A87,TEXT(A87,"[$-em-US] mmm-aa;@"))</f>
        <v>42309</v>
      </c>
      <c r="C87" s="365" t="str">
        <f>IF([1]RENAME!$H$3=0,BG87,BH87)</f>
        <v>4T15</v>
      </c>
      <c r="D87" s="366">
        <v>42309</v>
      </c>
      <c r="E87" s="403">
        <f t="shared" si="6"/>
        <v>223005</v>
      </c>
      <c r="F87" s="404">
        <v>189550</v>
      </c>
      <c r="G87" s="406">
        <v>33455</v>
      </c>
      <c r="H87" s="368"/>
      <c r="I87" s="403">
        <f t="shared" si="3"/>
        <v>322.2</v>
      </c>
      <c r="J87" s="413">
        <v>200</v>
      </c>
      <c r="K87" s="408">
        <v>122.2</v>
      </c>
      <c r="L87" s="368"/>
      <c r="M87" s="407">
        <v>168719</v>
      </c>
      <c r="N87" s="406">
        <v>25344</v>
      </c>
      <c r="O87" s="368"/>
      <c r="P87" s="407">
        <f>[2]Base!AB85</f>
        <v>59139.6</v>
      </c>
      <c r="Q87" s="406">
        <f>[2]Base!AC85</f>
        <v>130410.4</v>
      </c>
      <c r="R87" s="368"/>
      <c r="S87" s="407">
        <f>[2]Base!AE85</f>
        <v>782287</v>
      </c>
      <c r="T87" s="408">
        <f>[2]Base!AF85</f>
        <v>4.127074650487998</v>
      </c>
      <c r="U87" s="368"/>
      <c r="V87" s="407">
        <f>[2]Base!AR85</f>
        <v>0</v>
      </c>
      <c r="W87" s="404">
        <f>[2]Base!AS85</f>
        <v>24877</v>
      </c>
      <c r="X87" s="404">
        <f>[2]Base!AT85</f>
        <v>0</v>
      </c>
      <c r="Y87" s="404">
        <f>[2]Base!AU85</f>
        <v>13468</v>
      </c>
      <c r="Z87" s="404">
        <f>[2]Base!AV85</f>
        <v>19137</v>
      </c>
      <c r="AA87" s="404">
        <f>[2]Base!AW85</f>
        <v>0</v>
      </c>
      <c r="AB87" s="404">
        <f>[2]Base!AX85</f>
        <v>0</v>
      </c>
      <c r="AC87" s="404" t="s">
        <v>160</v>
      </c>
      <c r="AD87" s="406">
        <f>[2]Base!AZ85</f>
        <v>132068</v>
      </c>
      <c r="AE87" s="368"/>
      <c r="AF87" s="366">
        <f t="shared" si="7"/>
        <v>42309</v>
      </c>
      <c r="AG87" s="407" t="s">
        <v>160</v>
      </c>
      <c r="AH87" s="404" t="s">
        <v>160</v>
      </c>
      <c r="AI87" s="404" t="s">
        <v>160</v>
      </c>
      <c r="AJ87" s="404" t="s">
        <v>160</v>
      </c>
      <c r="AK87" s="404" t="s">
        <v>160</v>
      </c>
      <c r="AL87" s="404" t="s">
        <v>160</v>
      </c>
      <c r="AM87" s="404" t="s">
        <v>160</v>
      </c>
      <c r="AN87" s="404" t="s">
        <v>160</v>
      </c>
      <c r="AO87" s="406" t="s">
        <v>160</v>
      </c>
      <c r="AP87" s="368"/>
      <c r="AQ87" s="407">
        <f>+[2]Base!CS85</f>
        <v>9158.3667272727216</v>
      </c>
      <c r="AR87" s="404">
        <f>+[2]Base!CT85</f>
        <v>33317.835333333271</v>
      </c>
      <c r="AS87" s="404">
        <f>+[2]Base!CU85</f>
        <v>22936.813666666731</v>
      </c>
      <c r="AT87" s="404">
        <f>+[2]Base!CV85</f>
        <v>93180.137787878863</v>
      </c>
      <c r="AU87" s="406">
        <f>+[2]Base!CW85</f>
        <v>31648.416787878865</v>
      </c>
      <c r="AV87" s="368"/>
      <c r="AW87" s="407" t="s">
        <v>160</v>
      </c>
      <c r="AX87" s="404" t="s">
        <v>160</v>
      </c>
      <c r="AY87" s="404" t="s">
        <v>160</v>
      </c>
      <c r="AZ87" s="404" t="s">
        <v>160</v>
      </c>
      <c r="BA87" s="406" t="s">
        <v>160</v>
      </c>
      <c r="BB87" s="368"/>
      <c r="BC87" s="410">
        <f t="shared" si="8"/>
        <v>0.19828827814294775</v>
      </c>
      <c r="BD87" s="411">
        <f t="shared" si="9"/>
        <v>0.13370614613558429</v>
      </c>
      <c r="BG87" t="s">
        <v>405</v>
      </c>
      <c r="BH87" t="s">
        <v>953</v>
      </c>
    </row>
    <row r="88" spans="1:60" ht="12.75" customHeight="1" outlineLevel="1" x14ac:dyDescent="0.2">
      <c r="A88" s="570">
        <v>42339</v>
      </c>
      <c r="B88" s="708">
        <f>IF([1]RENAME!$H$3=0,A88,TEXT(A88,"[$-em-US] mmm-aa;@"))</f>
        <v>42339</v>
      </c>
      <c r="C88" s="365" t="str">
        <f>IF([1]RENAME!$H$3=0,BG88,BH88)</f>
        <v>4T15</v>
      </c>
      <c r="D88" s="366">
        <v>42339</v>
      </c>
      <c r="E88" s="403">
        <f t="shared" si="6"/>
        <v>265259</v>
      </c>
      <c r="F88" s="404">
        <v>220845</v>
      </c>
      <c r="G88" s="406">
        <v>44414</v>
      </c>
      <c r="H88" s="368"/>
      <c r="I88" s="403">
        <f t="shared" si="3"/>
        <v>271.10000000000002</v>
      </c>
      <c r="J88" s="413">
        <v>201.9</v>
      </c>
      <c r="K88" s="408">
        <v>69.2</v>
      </c>
      <c r="L88" s="368"/>
      <c r="M88" s="407">
        <v>139725</v>
      </c>
      <c r="N88" s="406">
        <v>21595</v>
      </c>
      <c r="O88" s="368"/>
      <c r="P88" s="407">
        <f>[2]Base!AB86</f>
        <v>68903.64</v>
      </c>
      <c r="Q88" s="406">
        <f>[2]Base!AC86</f>
        <v>151941.35999999999</v>
      </c>
      <c r="R88" s="368"/>
      <c r="S88" s="407">
        <f>[2]Base!AE86</f>
        <v>939977</v>
      </c>
      <c r="T88" s="408">
        <f>[2]Base!AF86</f>
        <v>4.2562747628427173</v>
      </c>
      <c r="U88" s="368"/>
      <c r="V88" s="407">
        <f>[2]Base!AR86</f>
        <v>0</v>
      </c>
      <c r="W88" s="404">
        <f>[2]Base!AS86</f>
        <v>25756</v>
      </c>
      <c r="X88" s="404">
        <f>[2]Base!AT86</f>
        <v>0</v>
      </c>
      <c r="Y88" s="404">
        <f>[2]Base!AU86</f>
        <v>16440</v>
      </c>
      <c r="Z88" s="404">
        <f>[2]Base!AV86</f>
        <v>24130</v>
      </c>
      <c r="AA88" s="404">
        <f>[2]Base!AW86</f>
        <v>0</v>
      </c>
      <c r="AB88" s="404">
        <f>[2]Base!AX86</f>
        <v>0</v>
      </c>
      <c r="AC88" s="404" t="s">
        <v>160</v>
      </c>
      <c r="AD88" s="406">
        <f>[2]Base!AZ86</f>
        <v>154519</v>
      </c>
      <c r="AE88" s="368"/>
      <c r="AF88" s="366">
        <f t="shared" si="7"/>
        <v>42339</v>
      </c>
      <c r="AG88" s="407" t="s">
        <v>160</v>
      </c>
      <c r="AH88" s="404" t="s">
        <v>160</v>
      </c>
      <c r="AI88" s="404" t="s">
        <v>160</v>
      </c>
      <c r="AJ88" s="404" t="s">
        <v>160</v>
      </c>
      <c r="AK88" s="404" t="s">
        <v>160</v>
      </c>
      <c r="AL88" s="404" t="s">
        <v>160</v>
      </c>
      <c r="AM88" s="404" t="s">
        <v>160</v>
      </c>
      <c r="AN88" s="404" t="s">
        <v>160</v>
      </c>
      <c r="AO88" s="406" t="s">
        <v>160</v>
      </c>
      <c r="AP88" s="368"/>
      <c r="AQ88" s="407">
        <f>+[2]Base!CS86</f>
        <v>10682.071881818181</v>
      </c>
      <c r="AR88" s="404">
        <f>+[2]Base!CT86</f>
        <v>38603.706000000006</v>
      </c>
      <c r="AS88" s="404">
        <f>+[2]Base!CU86</f>
        <v>26536.735199999999</v>
      </c>
      <c r="AT88" s="404">
        <f>+[2]Base!CV86</f>
        <v>108880.6003636364</v>
      </c>
      <c r="AU88" s="406">
        <f>+[2]Base!CW86</f>
        <v>36929.299363636404</v>
      </c>
      <c r="AV88" s="368"/>
      <c r="AW88" s="407" t="s">
        <v>160</v>
      </c>
      <c r="AX88" s="404" t="s">
        <v>160</v>
      </c>
      <c r="AY88" s="404" t="s">
        <v>160</v>
      </c>
      <c r="AZ88" s="404" t="s">
        <v>160</v>
      </c>
      <c r="BA88" s="406" t="s">
        <v>160</v>
      </c>
      <c r="BB88" s="368"/>
      <c r="BC88" s="410">
        <f t="shared" si="8"/>
        <v>0.31786723921989624</v>
      </c>
      <c r="BD88" s="411">
        <f t="shared" si="9"/>
        <v>9.77835133238244E-2</v>
      </c>
      <c r="BG88" t="s">
        <v>405</v>
      </c>
      <c r="BH88" t="s">
        <v>953</v>
      </c>
    </row>
    <row r="89" spans="1:60" ht="12.75" customHeight="1" outlineLevel="1" collapsed="1" x14ac:dyDescent="0.2">
      <c r="A89" s="570">
        <v>42370</v>
      </c>
      <c r="B89" s="708">
        <f>IF([1]RENAME!$H$3=0,A89,TEXT(A89,"[$-em-US] mmm-aa;@"))</f>
        <v>42370</v>
      </c>
      <c r="C89" s="365" t="str">
        <f>IF([1]RENAME!$H$3=0,BG89,BH89)</f>
        <v>1T16</v>
      </c>
      <c r="D89" s="366">
        <v>42370</v>
      </c>
      <c r="E89" s="414">
        <f t="shared" si="6"/>
        <v>172503</v>
      </c>
      <c r="F89" s="415">
        <v>149833</v>
      </c>
      <c r="G89" s="416">
        <v>22670</v>
      </c>
      <c r="H89" s="368"/>
      <c r="I89" s="414">
        <f t="shared" si="3"/>
        <v>254.29999999999998</v>
      </c>
      <c r="J89" s="421">
        <v>179.2</v>
      </c>
      <c r="K89" s="419">
        <v>75.099999999999994</v>
      </c>
      <c r="L89" s="368"/>
      <c r="M89" s="417">
        <v>143359</v>
      </c>
      <c r="N89" s="416">
        <v>11834</v>
      </c>
      <c r="O89" s="368"/>
      <c r="P89" s="417">
        <f>[2]Base!AB87</f>
        <v>35135.838499999998</v>
      </c>
      <c r="Q89" s="416">
        <f>[2]Base!AC87</f>
        <v>114697.1615</v>
      </c>
      <c r="R89" s="368"/>
      <c r="S89" s="417">
        <f>[2]Base!AE87</f>
        <v>711123</v>
      </c>
      <c r="T89" s="419">
        <f>[2]Base!AF87</f>
        <v>4.7460723200341715</v>
      </c>
      <c r="U89" s="368"/>
      <c r="V89" s="417">
        <f>[2]Base!AR87</f>
        <v>27110</v>
      </c>
      <c r="W89" s="415">
        <f>[2]Base!AS87</f>
        <v>20737</v>
      </c>
      <c r="X89" s="415">
        <f>[2]Base!AT87</f>
        <v>28191</v>
      </c>
      <c r="Y89" s="415">
        <f>[2]Base!AU87</f>
        <v>12000</v>
      </c>
      <c r="Z89" s="415">
        <f>[2]Base!AV87</f>
        <v>12906</v>
      </c>
      <c r="AA89" s="415">
        <f>[2]Base!AW87</f>
        <v>12878</v>
      </c>
      <c r="AB89" s="415">
        <f>[2]Base!AX87</f>
        <v>10369</v>
      </c>
      <c r="AC89" s="415" t="s">
        <v>160</v>
      </c>
      <c r="AD89" s="416">
        <f>[2]Base!AZ87</f>
        <v>25643</v>
      </c>
      <c r="AE89" s="368"/>
      <c r="AF89" s="366">
        <f t="shared" si="7"/>
        <v>42370</v>
      </c>
      <c r="AG89" s="679">
        <f t="shared" ref="AG89:AG120" si="10">+V89/SUM($V89:$AD89)</f>
        <v>0.18093356648023812</v>
      </c>
      <c r="AH89" s="420">
        <f t="shared" ref="AH89:AH120" si="11">+W89/SUM($V89:$AD89)</f>
        <v>0.13839982914425297</v>
      </c>
      <c r="AI89" s="420">
        <f t="shared" ref="AI89:AI120" si="12">+X89/SUM($V89:$AD89)</f>
        <v>0.18814821736054568</v>
      </c>
      <c r="AJ89" s="420">
        <f t="shared" ref="AJ89:AJ120" si="13">+Y89/SUM($V89:$AD89)</f>
        <v>8.0088631418770109E-2</v>
      </c>
      <c r="AK89" s="420">
        <f t="shared" ref="AK89:AK120" si="14">+Z89/SUM($V89:$AD89)</f>
        <v>8.6135323090887242E-2</v>
      </c>
      <c r="AL89" s="420">
        <f t="shared" ref="AL89:AL120" si="15">+AA89/SUM($V89:$AD89)</f>
        <v>8.5948449617576791E-2</v>
      </c>
      <c r="AM89" s="420">
        <f t="shared" ref="AM89:AM120" si="16">+AB89/SUM($V89:$AD89)</f>
        <v>6.92032515984356E-2</v>
      </c>
      <c r="AN89" s="420" t="s">
        <v>160</v>
      </c>
      <c r="AO89" s="422">
        <f t="shared" ref="AO89:AO120" si="17">+AD89/SUM($V89:$AD89)</f>
        <v>0.1711427312892935</v>
      </c>
      <c r="AP89" s="368"/>
      <c r="AQ89" s="693">
        <f>+[2]Base!CS87</f>
        <v>7386.7668999999996</v>
      </c>
      <c r="AR89" s="698">
        <f>+[2]Base!CT87</f>
        <v>26535.424300000002</v>
      </c>
      <c r="AS89" s="698">
        <f>+[2]Base!CU87</f>
        <v>15477.748900000001</v>
      </c>
      <c r="AT89" s="698">
        <f>+[2]Base!CV87</f>
        <v>71695.090499999991</v>
      </c>
      <c r="AU89" s="694">
        <f>+[2]Base!CW87</f>
        <v>28752.952699999998</v>
      </c>
      <c r="AV89" s="368"/>
      <c r="AW89" s="423">
        <f t="shared" ref="AW89:AW112" si="18">+AQ89/SUM($AQ89:$AU89)</f>
        <v>4.9295070492950704E-2</v>
      </c>
      <c r="AX89" s="659">
        <f t="shared" ref="AX89:AX118" si="19">+AR89/SUM($AQ89:$AU89)</f>
        <v>0.17708229177082294</v>
      </c>
      <c r="AY89" s="659">
        <f t="shared" ref="AY89:AY118" si="20">+AS89/SUM($AQ89:$AU89)</f>
        <v>0.10328967103289671</v>
      </c>
      <c r="AZ89" s="659">
        <f t="shared" ref="AZ89:AZ118" si="21">+AT89/SUM($AQ89:$AU89)</f>
        <v>0.47845215478452152</v>
      </c>
      <c r="BA89" s="418">
        <f t="shared" ref="BA89:BA118" si="22">+AU89/SUM($AQ89:$AU89)</f>
        <v>0.19188081191880813</v>
      </c>
      <c r="BB89" s="368"/>
      <c r="BC89" s="423">
        <f t="shared" si="8"/>
        <v>0.15813447359426336</v>
      </c>
      <c r="BD89" s="418">
        <f t="shared" si="9"/>
        <v>7.8981265809267648E-2</v>
      </c>
      <c r="BG89" t="s">
        <v>466</v>
      </c>
      <c r="BH89" t="s">
        <v>954</v>
      </c>
    </row>
    <row r="90" spans="1:60" ht="12.75" customHeight="1" outlineLevel="1" x14ac:dyDescent="0.2">
      <c r="A90" s="570">
        <v>42401</v>
      </c>
      <c r="B90" s="708">
        <f>IF([1]RENAME!$H$3=0,A90,TEXT(A90,"[$-em-US] mmm-aa;@"))</f>
        <v>42401</v>
      </c>
      <c r="C90" s="365" t="str">
        <f>IF([1]RENAME!$H$3=0,BG90,BH90)</f>
        <v>1T16</v>
      </c>
      <c r="D90" s="366">
        <v>42401</v>
      </c>
      <c r="E90" s="414">
        <f t="shared" si="6"/>
        <v>176419</v>
      </c>
      <c r="F90" s="415">
        <v>142258</v>
      </c>
      <c r="G90" s="416">
        <v>34161</v>
      </c>
      <c r="H90" s="368"/>
      <c r="I90" s="414">
        <f t="shared" si="3"/>
        <v>241.39999999999998</v>
      </c>
      <c r="J90" s="421">
        <v>181.1</v>
      </c>
      <c r="K90" s="419">
        <v>60.3</v>
      </c>
      <c r="L90" s="368"/>
      <c r="M90" s="417">
        <v>137357</v>
      </c>
      <c r="N90" s="416">
        <v>13195</v>
      </c>
      <c r="O90" s="368"/>
      <c r="P90" s="417">
        <f>[2]Base!AB88</f>
        <v>38310.079399999995</v>
      </c>
      <c r="Q90" s="416">
        <f>[2]Base!AC88</f>
        <v>103947.92060000001</v>
      </c>
      <c r="R90" s="368"/>
      <c r="S90" s="417">
        <f>[2]Base!AE88</f>
        <v>698798</v>
      </c>
      <c r="T90" s="419">
        <f>[2]Base!AF88</f>
        <v>4.9121877152778755</v>
      </c>
      <c r="U90" s="368"/>
      <c r="V90" s="417">
        <f>[2]Base!AR88</f>
        <v>21728</v>
      </c>
      <c r="W90" s="415">
        <f>[2]Base!AS88</f>
        <v>19840</v>
      </c>
      <c r="X90" s="415">
        <f>[2]Base!AT88</f>
        <v>25613</v>
      </c>
      <c r="Y90" s="415">
        <f>[2]Base!AU88</f>
        <v>12561</v>
      </c>
      <c r="Z90" s="415">
        <f>[2]Base!AV88</f>
        <v>14548</v>
      </c>
      <c r="AA90" s="415">
        <f>[2]Base!AW88</f>
        <v>11928</v>
      </c>
      <c r="AB90" s="415">
        <f>[2]Base!AX88</f>
        <v>9468</v>
      </c>
      <c r="AC90" s="415" t="s">
        <v>160</v>
      </c>
      <c r="AD90" s="416">
        <f>[2]Base!AZ88</f>
        <v>26572</v>
      </c>
      <c r="AE90" s="368"/>
      <c r="AF90" s="366">
        <f t="shared" si="7"/>
        <v>42401</v>
      </c>
      <c r="AG90" s="679">
        <f t="shared" si="10"/>
        <v>0.15273657720479691</v>
      </c>
      <c r="AH90" s="420">
        <f t="shared" si="11"/>
        <v>0.13946491585710469</v>
      </c>
      <c r="AI90" s="420">
        <f t="shared" si="12"/>
        <v>0.18004611339959792</v>
      </c>
      <c r="AJ90" s="420">
        <f t="shared" si="13"/>
        <v>8.8297318955700213E-2</v>
      </c>
      <c r="AK90" s="420">
        <f t="shared" si="14"/>
        <v>0.10226489898634875</v>
      </c>
      <c r="AL90" s="420">
        <f t="shared" si="15"/>
        <v>8.3847657073767387E-2</v>
      </c>
      <c r="AM90" s="420">
        <f t="shared" si="16"/>
        <v>6.6555132224549757E-2</v>
      </c>
      <c r="AN90" s="420" t="s">
        <v>160</v>
      </c>
      <c r="AO90" s="422">
        <f t="shared" si="17"/>
        <v>0.18678738629813438</v>
      </c>
      <c r="AP90" s="368"/>
      <c r="AQ90" s="693">
        <f>+[2]Base!CS88</f>
        <v>7511.2223999999997</v>
      </c>
      <c r="AR90" s="698">
        <f>+[2]Base!CT88</f>
        <v>22789.731600000003</v>
      </c>
      <c r="AS90" s="698">
        <f>+[2]Base!CU88</f>
        <v>14951.3158</v>
      </c>
      <c r="AT90" s="698">
        <f>+[2]Base!CV88</f>
        <v>71555.774000000005</v>
      </c>
      <c r="AU90" s="694">
        <f>+[2]Base!CW88</f>
        <v>25449.956200000001</v>
      </c>
      <c r="AV90" s="368"/>
      <c r="AW90" s="423">
        <f t="shared" si="18"/>
        <v>5.28E-2</v>
      </c>
      <c r="AX90" s="659">
        <f t="shared" si="19"/>
        <v>0.16020000000000001</v>
      </c>
      <c r="AY90" s="659">
        <f t="shared" si="20"/>
        <v>0.1051</v>
      </c>
      <c r="AZ90" s="659">
        <f t="shared" si="21"/>
        <v>0.503</v>
      </c>
      <c r="BA90" s="418">
        <f t="shared" si="22"/>
        <v>0.1789</v>
      </c>
      <c r="BB90" s="368"/>
      <c r="BC90" s="423">
        <f t="shared" si="8"/>
        <v>0.24870228674184788</v>
      </c>
      <c r="BD90" s="418">
        <f t="shared" si="9"/>
        <v>9.2754010319279059E-2</v>
      </c>
      <c r="BG90" t="s">
        <v>466</v>
      </c>
      <c r="BH90" t="s">
        <v>954</v>
      </c>
    </row>
    <row r="91" spans="1:60" ht="12.75" customHeight="1" outlineLevel="1" x14ac:dyDescent="0.2">
      <c r="A91" s="570">
        <v>42430</v>
      </c>
      <c r="B91" s="708">
        <f>IF([1]RENAME!$H$3=0,A91,TEXT(A91,"[$-em-US] mmm-aa;@"))</f>
        <v>42430</v>
      </c>
      <c r="C91" s="365" t="str">
        <f>IF([1]RENAME!$H$3=0,BG91,BH91)</f>
        <v>1T16</v>
      </c>
      <c r="D91" s="366">
        <v>42430</v>
      </c>
      <c r="E91" s="414">
        <f t="shared" si="6"/>
        <v>212669</v>
      </c>
      <c r="F91" s="415">
        <v>173389</v>
      </c>
      <c r="G91" s="416">
        <v>39280</v>
      </c>
      <c r="H91" s="368"/>
      <c r="I91" s="414">
        <f t="shared" si="3"/>
        <v>259</v>
      </c>
      <c r="J91" s="421">
        <v>184.6</v>
      </c>
      <c r="K91" s="419">
        <v>74.400000000000006</v>
      </c>
      <c r="L91" s="368"/>
      <c r="M91" s="417">
        <v>191515</v>
      </c>
      <c r="N91" s="416">
        <v>22147</v>
      </c>
      <c r="O91" s="368"/>
      <c r="P91" s="417">
        <f>[2]Base!AB89</f>
        <v>51184.432800000002</v>
      </c>
      <c r="Q91" s="416">
        <f>[2]Base!AC89</f>
        <v>122204.56719999999</v>
      </c>
      <c r="R91" s="368"/>
      <c r="S91" s="417">
        <f>[2]Base!AE89</f>
        <v>799248</v>
      </c>
      <c r="T91" s="419">
        <f>[2]Base!AF89</f>
        <v>4.6095657740687122</v>
      </c>
      <c r="U91" s="368"/>
      <c r="V91" s="417">
        <f>[2]Base!AR89</f>
        <v>26982</v>
      </c>
      <c r="W91" s="415">
        <f>[2]Base!AS89</f>
        <v>22656</v>
      </c>
      <c r="X91" s="415">
        <f>[2]Base!AT89</f>
        <v>30105</v>
      </c>
      <c r="Y91" s="415">
        <f>[2]Base!AU89</f>
        <v>16942</v>
      </c>
      <c r="Z91" s="415">
        <f>[2]Base!AV89</f>
        <v>17867</v>
      </c>
      <c r="AA91" s="415">
        <f>[2]Base!AW89</f>
        <v>14949</v>
      </c>
      <c r="AB91" s="415">
        <f>[2]Base!AX89</f>
        <v>11469</v>
      </c>
      <c r="AC91" s="415" t="s">
        <v>160</v>
      </c>
      <c r="AD91" s="416">
        <f>[2]Base!AZ89</f>
        <v>32419</v>
      </c>
      <c r="AE91" s="368"/>
      <c r="AF91" s="366">
        <f t="shared" si="7"/>
        <v>42430</v>
      </c>
      <c r="AG91" s="679">
        <f t="shared" si="10"/>
        <v>0.15561540812854333</v>
      </c>
      <c r="AH91" s="420">
        <f t="shared" si="11"/>
        <v>0.13066572850642197</v>
      </c>
      <c r="AI91" s="420">
        <f t="shared" si="12"/>
        <v>0.17362693135089308</v>
      </c>
      <c r="AJ91" s="420">
        <f t="shared" si="13"/>
        <v>9.7710927452145172E-2</v>
      </c>
      <c r="AK91" s="420">
        <f t="shared" si="14"/>
        <v>0.10304575261406433</v>
      </c>
      <c r="AL91" s="420">
        <f t="shared" si="15"/>
        <v>8.6216541995166943E-2</v>
      </c>
      <c r="AM91" s="420">
        <f t="shared" si="16"/>
        <v>6.6146064629244064E-2</v>
      </c>
      <c r="AN91" s="420" t="s">
        <v>160</v>
      </c>
      <c r="AO91" s="422">
        <f t="shared" si="17"/>
        <v>0.18697264532352109</v>
      </c>
      <c r="AP91" s="368"/>
      <c r="AQ91" s="693">
        <f>+[2]Base!CS89</f>
        <v>8565.4166000000005</v>
      </c>
      <c r="AR91" s="698">
        <f>+[2]Base!CT89</f>
        <v>26251.0946</v>
      </c>
      <c r="AS91" s="698">
        <f>+[2]Base!CU89</f>
        <v>17130.833200000001</v>
      </c>
      <c r="AT91" s="698">
        <f>+[2]Base!CV89</f>
        <v>87630.800599999988</v>
      </c>
      <c r="AU91" s="694">
        <f>+[2]Base!CW89</f>
        <v>33828.193899999998</v>
      </c>
      <c r="AV91" s="368"/>
      <c r="AW91" s="423">
        <f t="shared" si="18"/>
        <v>4.9395060493950614E-2</v>
      </c>
      <c r="AX91" s="659">
        <f t="shared" si="19"/>
        <v>0.15138486151384864</v>
      </c>
      <c r="AY91" s="659">
        <f t="shared" si="20"/>
        <v>9.8790120987901228E-2</v>
      </c>
      <c r="AZ91" s="659">
        <f t="shared" si="21"/>
        <v>0.50534946505349465</v>
      </c>
      <c r="BA91" s="418">
        <f t="shared" si="22"/>
        <v>0.19508049195080493</v>
      </c>
      <c r="BB91" s="368"/>
      <c r="BC91" s="423">
        <f t="shared" si="8"/>
        <v>0.20510142808657286</v>
      </c>
      <c r="BD91" s="418">
        <f t="shared" si="9"/>
        <v>0.12773013282272808</v>
      </c>
      <c r="BG91" t="s">
        <v>466</v>
      </c>
      <c r="BH91" t="s">
        <v>954</v>
      </c>
    </row>
    <row r="92" spans="1:60" ht="12.75" customHeight="1" outlineLevel="1" x14ac:dyDescent="0.2">
      <c r="A92" s="570">
        <v>42461</v>
      </c>
      <c r="B92" s="708">
        <f>IF([1]RENAME!$H$3=0,A92,TEXT(A92,"[$-em-US] mmm-aa;@"))</f>
        <v>42461</v>
      </c>
      <c r="C92" s="365" t="str">
        <f>IF([1]RENAME!$H$3=0,BG92,BH92)</f>
        <v>2T16</v>
      </c>
      <c r="D92" s="366">
        <v>42461</v>
      </c>
      <c r="E92" s="414">
        <f t="shared" si="6"/>
        <v>195088</v>
      </c>
      <c r="F92" s="415">
        <v>157821</v>
      </c>
      <c r="G92" s="416">
        <v>37267</v>
      </c>
      <c r="H92" s="368"/>
      <c r="I92" s="414">
        <f t="shared" si="3"/>
        <v>251.70000000000002</v>
      </c>
      <c r="J92" s="421">
        <v>174.8</v>
      </c>
      <c r="K92" s="419">
        <v>76.900000000000006</v>
      </c>
      <c r="L92" s="368"/>
      <c r="M92" s="417">
        <v>164735</v>
      </c>
      <c r="N92" s="416">
        <v>23376</v>
      </c>
      <c r="O92" s="368"/>
      <c r="P92" s="417">
        <f>[2]Base!AB90</f>
        <v>50991.965100000001</v>
      </c>
      <c r="Q92" s="416">
        <f>[2]Base!AC90</f>
        <v>106829.0349</v>
      </c>
      <c r="R92" s="368"/>
      <c r="S92" s="417">
        <f>[2]Base!AE90</f>
        <v>760385</v>
      </c>
      <c r="T92" s="419">
        <f>[2]Base!AF90</f>
        <v>4.8180216827925308</v>
      </c>
      <c r="U92" s="368"/>
      <c r="V92" s="417">
        <f>[2]Base!AR90</f>
        <v>25827</v>
      </c>
      <c r="W92" s="415">
        <f>[2]Base!AS90</f>
        <v>21306</v>
      </c>
      <c r="X92" s="415">
        <f>[2]Base!AT90</f>
        <v>28707</v>
      </c>
      <c r="Y92" s="415">
        <f>[2]Base!AU90</f>
        <v>14045</v>
      </c>
      <c r="Z92" s="415">
        <f>[2]Base!AV90</f>
        <v>15741</v>
      </c>
      <c r="AA92" s="415">
        <f>[2]Base!AW90</f>
        <v>14184</v>
      </c>
      <c r="AB92" s="415">
        <f>[2]Base!AX90</f>
        <v>10601</v>
      </c>
      <c r="AC92" s="415" t="s">
        <v>160</v>
      </c>
      <c r="AD92" s="416">
        <f>[2]Base!AZ90</f>
        <v>27410</v>
      </c>
      <c r="AE92" s="368"/>
      <c r="AF92" s="366">
        <f t="shared" si="7"/>
        <v>42461</v>
      </c>
      <c r="AG92" s="679">
        <f t="shared" si="10"/>
        <v>0.1636474233467029</v>
      </c>
      <c r="AH92" s="420">
        <f t="shared" si="11"/>
        <v>0.13500104548824302</v>
      </c>
      <c r="AI92" s="420">
        <f t="shared" si="12"/>
        <v>0.18189594540650483</v>
      </c>
      <c r="AJ92" s="420">
        <f t="shared" si="13"/>
        <v>8.8993226503443781E-2</v>
      </c>
      <c r="AK92" s="420">
        <f t="shared" si="14"/>
        <v>9.9739578383104904E-2</v>
      </c>
      <c r="AL92" s="420">
        <f t="shared" si="15"/>
        <v>8.9873971144524487E-2</v>
      </c>
      <c r="AM92" s="420">
        <f t="shared" si="16"/>
        <v>6.7171035540263976E-2</v>
      </c>
      <c r="AN92" s="420" t="s">
        <v>160</v>
      </c>
      <c r="AO92" s="422">
        <f t="shared" si="17"/>
        <v>0.17367777418721209</v>
      </c>
      <c r="AP92" s="368"/>
      <c r="AQ92" s="693">
        <f>+[2]Base!CS90</f>
        <v>7764.7932000000001</v>
      </c>
      <c r="AR92" s="698">
        <f>+[2]Base!CT90</f>
        <v>26450.799599999998</v>
      </c>
      <c r="AS92" s="698">
        <f>+[2]Base!CU90</f>
        <v>15008.777100000001</v>
      </c>
      <c r="AT92" s="698">
        <f>+[2]Base!CV90</f>
        <v>79967.900700000013</v>
      </c>
      <c r="AU92" s="694">
        <f>+[2]Base!CW90</f>
        <v>28628.7294</v>
      </c>
      <c r="AV92" s="368"/>
      <c r="AW92" s="423">
        <f t="shared" si="18"/>
        <v>4.9199999999999994E-2</v>
      </c>
      <c r="AX92" s="659">
        <f t="shared" si="19"/>
        <v>0.16759999999999997</v>
      </c>
      <c r="AY92" s="659">
        <f t="shared" si="20"/>
        <v>9.509999999999999E-2</v>
      </c>
      <c r="AZ92" s="659">
        <f t="shared" si="21"/>
        <v>0.50670000000000004</v>
      </c>
      <c r="BA92" s="418">
        <f t="shared" si="22"/>
        <v>0.18139999999999998</v>
      </c>
      <c r="BB92" s="368"/>
      <c r="BC92" s="423">
        <f t="shared" si="8"/>
        <v>0.22622393541141833</v>
      </c>
      <c r="BD92" s="418">
        <f t="shared" si="9"/>
        <v>0.14811717071872565</v>
      </c>
      <c r="BG92" t="s">
        <v>500</v>
      </c>
      <c r="BH92" t="s">
        <v>846</v>
      </c>
    </row>
    <row r="93" spans="1:60" ht="12.75" customHeight="1" outlineLevel="1" x14ac:dyDescent="0.2">
      <c r="A93" s="570">
        <v>42491</v>
      </c>
      <c r="B93" s="708">
        <f>IF([1]RENAME!$H$3=0,A93,TEXT(A93,"[$-em-US] mmm-aa;@"))</f>
        <v>42491</v>
      </c>
      <c r="C93" s="365" t="str">
        <f>IF([1]RENAME!$H$3=0,BG93,BH93)</f>
        <v>2T16</v>
      </c>
      <c r="D93" s="366">
        <v>42491</v>
      </c>
      <c r="E93" s="414">
        <f t="shared" si="6"/>
        <v>208459</v>
      </c>
      <c r="F93" s="415">
        <v>162348</v>
      </c>
      <c r="G93" s="416">
        <v>46111</v>
      </c>
      <c r="H93" s="368"/>
      <c r="I93" s="414">
        <f t="shared" si="3"/>
        <v>236.4</v>
      </c>
      <c r="J93" s="421">
        <v>162.4</v>
      </c>
      <c r="K93" s="419">
        <v>74</v>
      </c>
      <c r="L93" s="368"/>
      <c r="M93" s="417">
        <v>170336</v>
      </c>
      <c r="N93" s="416">
        <v>22424</v>
      </c>
      <c r="O93" s="368"/>
      <c r="P93" s="417">
        <f>[2]Base!AB91</f>
        <v>55961.355600000003</v>
      </c>
      <c r="Q93" s="416">
        <f>[2]Base!AC91</f>
        <v>106386.64439999999</v>
      </c>
      <c r="R93" s="368"/>
      <c r="S93" s="417">
        <f>[2]Base!AE91</f>
        <v>812805</v>
      </c>
      <c r="T93" s="419">
        <f>[2]Base!AF91</f>
        <v>5.0065599822603293</v>
      </c>
      <c r="U93" s="368"/>
      <c r="V93" s="417">
        <f>[2]Base!AR91</f>
        <v>27754</v>
      </c>
      <c r="W93" s="415">
        <f>[2]Base!AS91</f>
        <v>21292</v>
      </c>
      <c r="X93" s="415">
        <f>[2]Base!AT91</f>
        <v>28398</v>
      </c>
      <c r="Y93" s="415">
        <f>[2]Base!AU91</f>
        <v>14595</v>
      </c>
      <c r="Z93" s="415">
        <f>[2]Base!AV91</f>
        <v>15683</v>
      </c>
      <c r="AA93" s="415">
        <f>[2]Base!AW91</f>
        <v>13641</v>
      </c>
      <c r="AB93" s="415">
        <f>[2]Base!AX91</f>
        <v>10823</v>
      </c>
      <c r="AC93" s="415" t="s">
        <v>160</v>
      </c>
      <c r="AD93" s="416">
        <f>[2]Base!AZ91</f>
        <v>30162</v>
      </c>
      <c r="AE93" s="368"/>
      <c r="AF93" s="366">
        <f t="shared" si="7"/>
        <v>42491</v>
      </c>
      <c r="AG93" s="679">
        <f t="shared" si="10"/>
        <v>0.17095375366496662</v>
      </c>
      <c r="AH93" s="420">
        <f t="shared" si="11"/>
        <v>0.13115036834454383</v>
      </c>
      <c r="AI93" s="420">
        <f t="shared" si="12"/>
        <v>0.17492054105994531</v>
      </c>
      <c r="AJ93" s="420">
        <f t="shared" si="13"/>
        <v>8.9899475201419179E-2</v>
      </c>
      <c r="AK93" s="420">
        <f t="shared" si="14"/>
        <v>9.6601128440140932E-2</v>
      </c>
      <c r="AL93" s="420">
        <f t="shared" si="15"/>
        <v>8.4023209402025276E-2</v>
      </c>
      <c r="AM93" s="420">
        <f t="shared" si="16"/>
        <v>6.6665434745115437E-2</v>
      </c>
      <c r="AN93" s="420" t="s">
        <v>160</v>
      </c>
      <c r="AO93" s="422">
        <f t="shared" si="17"/>
        <v>0.18578608914184344</v>
      </c>
      <c r="AP93" s="368"/>
      <c r="AQ93" s="693">
        <f>+[2]Base!CS91</f>
        <v>7646.5908000000009</v>
      </c>
      <c r="AR93" s="698">
        <f>+[2]Base!CT91</f>
        <v>25115.2356</v>
      </c>
      <c r="AS93" s="698">
        <f>+[2]Base!CU91</f>
        <v>15065.894399999999</v>
      </c>
      <c r="AT93" s="698">
        <f>+[2]Base!CV91</f>
        <v>84713.186400000006</v>
      </c>
      <c r="AU93" s="694">
        <f>+[2]Base!CW91</f>
        <v>29790.858</v>
      </c>
      <c r="AV93" s="368"/>
      <c r="AW93" s="423">
        <f t="shared" si="18"/>
        <v>4.7104710471047105E-2</v>
      </c>
      <c r="AX93" s="659">
        <f t="shared" si="19"/>
        <v>0.1547154715471547</v>
      </c>
      <c r="AY93" s="659">
        <f t="shared" si="20"/>
        <v>9.2809280928092791E-2</v>
      </c>
      <c r="AZ93" s="659">
        <f t="shared" si="21"/>
        <v>0.52185218521852184</v>
      </c>
      <c r="BA93" s="418">
        <f t="shared" si="22"/>
        <v>0.1835183518351835</v>
      </c>
      <c r="BB93" s="368"/>
      <c r="BC93" s="423">
        <f t="shared" si="8"/>
        <v>0.27070613375915836</v>
      </c>
      <c r="BD93" s="418">
        <f t="shared" si="9"/>
        <v>0.13812304432453743</v>
      </c>
      <c r="BG93" t="s">
        <v>500</v>
      </c>
      <c r="BH93" t="s">
        <v>846</v>
      </c>
    </row>
    <row r="94" spans="1:60" ht="12.75" customHeight="1" outlineLevel="1" x14ac:dyDescent="0.2">
      <c r="A94" s="570">
        <v>42522</v>
      </c>
      <c r="B94" s="708">
        <f>IF([1]RENAME!$H$3=0,A94,TEXT(A94,"[$-em-US] mmm-aa;@"))</f>
        <v>42522</v>
      </c>
      <c r="C94" s="365" t="str">
        <f>IF([1]RENAME!$H$3=0,BG94,BH94)</f>
        <v>2T16</v>
      </c>
      <c r="D94" s="366">
        <v>42522</v>
      </c>
      <c r="E94" s="414">
        <f t="shared" si="6"/>
        <v>210849</v>
      </c>
      <c r="F94" s="415">
        <v>166615</v>
      </c>
      <c r="G94" s="416">
        <v>44234</v>
      </c>
      <c r="H94" s="368"/>
      <c r="I94" s="414">
        <f t="shared" si="3"/>
        <v>225.6</v>
      </c>
      <c r="J94" s="421">
        <v>163.69999999999999</v>
      </c>
      <c r="K94" s="419">
        <v>61.9</v>
      </c>
      <c r="L94" s="368"/>
      <c r="M94" s="417">
        <v>177089</v>
      </c>
      <c r="N94" s="416">
        <v>23196</v>
      </c>
      <c r="O94" s="368"/>
      <c r="P94" s="417">
        <f>[2]Base!AB92</f>
        <v>62697.224500000004</v>
      </c>
      <c r="Q94" s="416">
        <f>[2]Base!AC92</f>
        <v>103917.77549999999</v>
      </c>
      <c r="R94" s="368"/>
      <c r="S94" s="417">
        <f>[2]Base!AE92</f>
        <v>831631</v>
      </c>
      <c r="T94" s="419">
        <f>[2]Base!AF92</f>
        <v>4.9913333133271314</v>
      </c>
      <c r="U94" s="368"/>
      <c r="V94" s="417">
        <f>[2]Base!AR92</f>
        <v>28127</v>
      </c>
      <c r="W94" s="415">
        <f>[2]Base!AS92</f>
        <v>20944</v>
      </c>
      <c r="X94" s="415">
        <f>[2]Base!AT92</f>
        <v>29696</v>
      </c>
      <c r="Y94" s="415">
        <f>[2]Base!AU92</f>
        <v>15532</v>
      </c>
      <c r="Z94" s="415">
        <f>[2]Base!AV92</f>
        <v>17842</v>
      </c>
      <c r="AA94" s="415">
        <f>[2]Base!AW92</f>
        <v>13905</v>
      </c>
      <c r="AB94" s="415">
        <f>[2]Base!AX92</f>
        <v>9980</v>
      </c>
      <c r="AC94" s="415" t="s">
        <v>160</v>
      </c>
      <c r="AD94" s="416">
        <f>[2]Base!AZ92</f>
        <v>30589</v>
      </c>
      <c r="AE94" s="368"/>
      <c r="AF94" s="366">
        <f t="shared" si="7"/>
        <v>42522</v>
      </c>
      <c r="AG94" s="679">
        <f t="shared" si="10"/>
        <v>0.16881433244305735</v>
      </c>
      <c r="AH94" s="420">
        <f t="shared" si="11"/>
        <v>0.12570296792005523</v>
      </c>
      <c r="AI94" s="420">
        <f t="shared" si="12"/>
        <v>0.17823125168802328</v>
      </c>
      <c r="AJ94" s="420">
        <f t="shared" si="13"/>
        <v>9.3220898478528338E-2</v>
      </c>
      <c r="AK94" s="420">
        <f t="shared" si="14"/>
        <v>0.10708519641088737</v>
      </c>
      <c r="AL94" s="420">
        <f t="shared" si="15"/>
        <v>8.3455871320109232E-2</v>
      </c>
      <c r="AM94" s="420">
        <f t="shared" si="16"/>
        <v>5.9898568556252439E-2</v>
      </c>
      <c r="AN94" s="420" t="s">
        <v>160</v>
      </c>
      <c r="AO94" s="422">
        <f t="shared" si="17"/>
        <v>0.18359091318308676</v>
      </c>
      <c r="AP94" s="368"/>
      <c r="AQ94" s="693">
        <f>+[2]Base!CS92</f>
        <v>8047.5045</v>
      </c>
      <c r="AR94" s="698">
        <f>+[2]Base!CT92</f>
        <v>25075.557499999999</v>
      </c>
      <c r="AS94" s="698">
        <f>+[2]Base!CU92</f>
        <v>14962.027</v>
      </c>
      <c r="AT94" s="698">
        <f>+[2]Base!CV92</f>
        <v>87356.244500000001</v>
      </c>
      <c r="AU94" s="694">
        <f>+[2]Base!CW92</f>
        <v>31173.666499999999</v>
      </c>
      <c r="AV94" s="368"/>
      <c r="AW94" s="423">
        <f t="shared" si="18"/>
        <v>4.8300000000000003E-2</v>
      </c>
      <c r="AX94" s="659">
        <f t="shared" si="19"/>
        <v>0.15049999999999999</v>
      </c>
      <c r="AY94" s="659">
        <f t="shared" si="20"/>
        <v>8.9800000000000005E-2</v>
      </c>
      <c r="AZ94" s="659">
        <f t="shared" si="21"/>
        <v>0.52429999999999999</v>
      </c>
      <c r="BA94" s="418">
        <f t="shared" si="22"/>
        <v>0.18709999999999999</v>
      </c>
      <c r="BB94" s="368"/>
      <c r="BC94" s="423">
        <f t="shared" si="8"/>
        <v>0.24978400691177882</v>
      </c>
      <c r="BD94" s="418">
        <f t="shared" si="9"/>
        <v>0.13921915793896109</v>
      </c>
      <c r="BG94" t="s">
        <v>500</v>
      </c>
      <c r="BH94" t="s">
        <v>846</v>
      </c>
    </row>
    <row r="95" spans="1:60" ht="12.75" customHeight="1" outlineLevel="1" x14ac:dyDescent="0.2">
      <c r="A95" s="570">
        <v>42552</v>
      </c>
      <c r="B95" s="708">
        <f>IF([1]RENAME!$H$3=0,A95,TEXT(A95,"[$-em-US] mmm-aa;@"))</f>
        <v>42552</v>
      </c>
      <c r="C95" s="365" t="str">
        <f>IF([1]RENAME!$H$3=0,BG95,BH95)</f>
        <v>3T16</v>
      </c>
      <c r="D95" s="366">
        <v>42552</v>
      </c>
      <c r="E95" s="414">
        <f t="shared" si="6"/>
        <v>218194</v>
      </c>
      <c r="F95" s="415">
        <v>175023</v>
      </c>
      <c r="G95" s="416">
        <v>43171</v>
      </c>
      <c r="H95" s="368"/>
      <c r="I95" s="414">
        <f t="shared" si="3"/>
        <v>222.20000000000002</v>
      </c>
      <c r="J95" s="421">
        <v>159.30000000000001</v>
      </c>
      <c r="K95" s="419">
        <v>62.9</v>
      </c>
      <c r="L95" s="368"/>
      <c r="M95" s="417">
        <v>183886</v>
      </c>
      <c r="N95" s="416">
        <v>19591</v>
      </c>
      <c r="O95" s="368"/>
      <c r="P95" s="417">
        <f>[2]Base!AB93</f>
        <v>63428.335200000001</v>
      </c>
      <c r="Q95" s="416">
        <f>[2]Base!AC93</f>
        <v>111594.6648</v>
      </c>
      <c r="R95" s="368"/>
      <c r="S95" s="417">
        <f>[2]Base!AE93</f>
        <v>906799</v>
      </c>
      <c r="T95" s="419">
        <f>[2]Base!AF93</f>
        <v>5.1810276363677916</v>
      </c>
      <c r="U95" s="368"/>
      <c r="V95" s="417">
        <f>[2]Base!AR93</f>
        <v>29578</v>
      </c>
      <c r="W95" s="415">
        <f>[2]Base!AS93</f>
        <v>21504</v>
      </c>
      <c r="X95" s="415">
        <f>[2]Base!AT93</f>
        <v>33584</v>
      </c>
      <c r="Y95" s="415">
        <f>[2]Base!AU93</f>
        <v>16888</v>
      </c>
      <c r="Z95" s="415">
        <f>[2]Base!AV93</f>
        <v>18727</v>
      </c>
      <c r="AA95" s="415">
        <f>[2]Base!AW93</f>
        <v>13833</v>
      </c>
      <c r="AB95" s="415">
        <f>[2]Base!AX93</f>
        <v>8619</v>
      </c>
      <c r="AC95" s="415" t="s">
        <v>160</v>
      </c>
      <c r="AD95" s="416">
        <f>[2]Base!AZ93</f>
        <v>32290</v>
      </c>
      <c r="AE95" s="368"/>
      <c r="AF95" s="366">
        <f t="shared" si="7"/>
        <v>42552</v>
      </c>
      <c r="AG95" s="679">
        <f t="shared" si="10"/>
        <v>0.16899493209463898</v>
      </c>
      <c r="AH95" s="420">
        <f t="shared" si="11"/>
        <v>0.12286385217942784</v>
      </c>
      <c r="AI95" s="420">
        <f t="shared" si="12"/>
        <v>0.19188335247367488</v>
      </c>
      <c r="AJ95" s="420">
        <f t="shared" si="13"/>
        <v>9.6490175576924173E-2</v>
      </c>
      <c r="AK95" s="420">
        <f t="shared" si="14"/>
        <v>0.10699736606046062</v>
      </c>
      <c r="AL95" s="420">
        <f t="shared" si="15"/>
        <v>7.9035326785622459E-2</v>
      </c>
      <c r="AM95" s="420">
        <f t="shared" si="16"/>
        <v>4.9244956377161857E-2</v>
      </c>
      <c r="AN95" s="420" t="s">
        <v>160</v>
      </c>
      <c r="AO95" s="422">
        <f t="shared" si="17"/>
        <v>0.18449003845208917</v>
      </c>
      <c r="AP95" s="368"/>
      <c r="AQ95" s="693">
        <f>+[2]Base!CS93</f>
        <v>8156.0718000000006</v>
      </c>
      <c r="AR95" s="698">
        <f>+[2]Base!CT93</f>
        <v>25955.910899999999</v>
      </c>
      <c r="AS95" s="698">
        <f>+[2]Base!CU93</f>
        <v>16312.143600000001</v>
      </c>
      <c r="AT95" s="698">
        <f>+[2]Base!CV93</f>
        <v>92464.650899999993</v>
      </c>
      <c r="AU95" s="694">
        <f>+[2]Base!CW93</f>
        <v>32151.7251</v>
      </c>
      <c r="AV95" s="368"/>
      <c r="AW95" s="423">
        <f t="shared" si="18"/>
        <v>4.65953404659534E-2</v>
      </c>
      <c r="AX95" s="659">
        <f t="shared" si="19"/>
        <v>0.1482851714828517</v>
      </c>
      <c r="AY95" s="659">
        <f t="shared" si="20"/>
        <v>9.31906809319068E-2</v>
      </c>
      <c r="AZ95" s="659">
        <f t="shared" si="21"/>
        <v>0.52824717528247167</v>
      </c>
      <c r="BA95" s="418">
        <f t="shared" si="22"/>
        <v>0.18368163183681629</v>
      </c>
      <c r="BB95" s="368"/>
      <c r="BC95" s="423">
        <f t="shared" si="8"/>
        <v>0.23477045560836604</v>
      </c>
      <c r="BD95" s="418">
        <f t="shared" si="9"/>
        <v>0.11193386012124121</v>
      </c>
      <c r="BG95" t="s">
        <v>510</v>
      </c>
      <c r="BH95" t="s">
        <v>847</v>
      </c>
    </row>
    <row r="96" spans="1:60" ht="12.75" customHeight="1" outlineLevel="1" x14ac:dyDescent="0.2">
      <c r="A96" s="570">
        <v>42583</v>
      </c>
      <c r="B96" s="708">
        <f>IF([1]RENAME!$H$3=0,A96,TEXT(A96,"[$-em-US] mmm-aa;@"))</f>
        <v>42583</v>
      </c>
      <c r="C96" s="365" t="str">
        <f>IF([1]RENAME!$H$3=0,BG96,BH96)</f>
        <v>3T16</v>
      </c>
      <c r="D96" s="366">
        <v>42583</v>
      </c>
      <c r="E96" s="414">
        <f t="shared" si="6"/>
        <v>216959</v>
      </c>
      <c r="F96" s="415">
        <v>178275</v>
      </c>
      <c r="G96" s="416">
        <v>38684</v>
      </c>
      <c r="H96" s="368"/>
      <c r="I96" s="414">
        <f t="shared" si="3"/>
        <v>211.4</v>
      </c>
      <c r="J96" s="421">
        <v>153.4</v>
      </c>
      <c r="K96" s="419">
        <v>58</v>
      </c>
      <c r="L96" s="368"/>
      <c r="M96" s="417">
        <v>172029</v>
      </c>
      <c r="N96" s="416">
        <v>18509</v>
      </c>
      <c r="O96" s="368"/>
      <c r="P96" s="417">
        <f>[2]Base!AB94</f>
        <v>65355.614999999998</v>
      </c>
      <c r="Q96" s="416">
        <f>[2]Base!AC94</f>
        <v>112919.38500000001</v>
      </c>
      <c r="R96" s="368"/>
      <c r="S96" s="417">
        <f>[2]Base!AE94</f>
        <v>950460</v>
      </c>
      <c r="T96" s="419">
        <f>[2]Base!AF94</f>
        <v>5.3314560732355813</v>
      </c>
      <c r="U96" s="368"/>
      <c r="V96" s="417">
        <f>[2]Base!AR94</f>
        <v>30732</v>
      </c>
      <c r="W96" s="415">
        <f>[2]Base!AS94</f>
        <v>18664</v>
      </c>
      <c r="X96" s="415">
        <f>[2]Base!AT94</f>
        <v>34119</v>
      </c>
      <c r="Y96" s="415">
        <f>[2]Base!AU94</f>
        <v>17256</v>
      </c>
      <c r="Z96" s="415">
        <f>[2]Base!AV94</f>
        <v>20303</v>
      </c>
      <c r="AA96" s="415">
        <f>[2]Base!AW94</f>
        <v>14498</v>
      </c>
      <c r="AB96" s="415">
        <f>[2]Base!AX94</f>
        <v>9147</v>
      </c>
      <c r="AC96" s="415" t="s">
        <v>160</v>
      </c>
      <c r="AD96" s="416">
        <f>[2]Base!AZ94</f>
        <v>33555</v>
      </c>
      <c r="AE96" s="368"/>
      <c r="AF96" s="366">
        <f t="shared" si="7"/>
        <v>42583</v>
      </c>
      <c r="AG96" s="679">
        <f t="shared" si="10"/>
        <v>0.17238632666569437</v>
      </c>
      <c r="AH96" s="420">
        <f t="shared" si="11"/>
        <v>0.1046927762881856</v>
      </c>
      <c r="AI96" s="420">
        <f t="shared" si="12"/>
        <v>0.19138517114105252</v>
      </c>
      <c r="AJ96" s="420">
        <f t="shared" si="13"/>
        <v>9.6794821454614807E-2</v>
      </c>
      <c r="AK96" s="420">
        <f t="shared" si="14"/>
        <v>0.11388648933663911</v>
      </c>
      <c r="AL96" s="420">
        <f t="shared" si="15"/>
        <v>8.132425367692428E-2</v>
      </c>
      <c r="AM96" s="420">
        <f t="shared" si="16"/>
        <v>5.1308659703602322E-2</v>
      </c>
      <c r="AN96" s="420" t="s">
        <v>160</v>
      </c>
      <c r="AO96" s="422">
        <f t="shared" si="17"/>
        <v>0.18822150173328697</v>
      </c>
      <c r="AP96" s="368"/>
      <c r="AQ96" s="693">
        <f>+[2]Base!CS94</f>
        <v>8200.65</v>
      </c>
      <c r="AR96" s="698">
        <f>+[2]Base!CT94</f>
        <v>27293.902500000004</v>
      </c>
      <c r="AS96" s="698">
        <f>+[2]Base!CU94</f>
        <v>16971.780000000002</v>
      </c>
      <c r="AT96" s="698">
        <f>+[2]Base!CV94</f>
        <v>94075.717499999984</v>
      </c>
      <c r="AU96" s="694">
        <f>+[2]Base!CW94</f>
        <v>31715.122500000001</v>
      </c>
      <c r="AV96" s="368"/>
      <c r="AW96" s="423">
        <f t="shared" si="18"/>
        <v>4.6004600460046008E-2</v>
      </c>
      <c r="AX96" s="659">
        <f t="shared" si="19"/>
        <v>0.15311531153115315</v>
      </c>
      <c r="AY96" s="659">
        <f t="shared" si="20"/>
        <v>9.5209520952095228E-2</v>
      </c>
      <c r="AZ96" s="659">
        <f t="shared" si="21"/>
        <v>0.52775277527752773</v>
      </c>
      <c r="BA96" s="418">
        <f t="shared" si="22"/>
        <v>0.17791779177917794</v>
      </c>
      <c r="BB96" s="368"/>
      <c r="BC96" s="423">
        <f t="shared" si="8"/>
        <v>0.22486906277429969</v>
      </c>
      <c r="BD96" s="418">
        <f t="shared" si="9"/>
        <v>0.1038227457579582</v>
      </c>
      <c r="BG96" t="s">
        <v>510</v>
      </c>
      <c r="BH96" t="s">
        <v>847</v>
      </c>
    </row>
    <row r="97" spans="1:60" ht="12.75" customHeight="1" outlineLevel="1" x14ac:dyDescent="0.2">
      <c r="A97" s="570">
        <v>42614</v>
      </c>
      <c r="B97" s="708">
        <f>IF([1]RENAME!$H$3=0,A97,TEXT(A97,"[$-em-US] mmm-aa;@"))</f>
        <v>42614</v>
      </c>
      <c r="C97" s="365" t="str">
        <f>IF([1]RENAME!$H$3=0,BG97,BH97)</f>
        <v>3T16</v>
      </c>
      <c r="D97" s="366">
        <v>42614</v>
      </c>
      <c r="E97" s="414">
        <f t="shared" si="6"/>
        <v>190930</v>
      </c>
      <c r="F97" s="415">
        <v>155065</v>
      </c>
      <c r="G97" s="416">
        <v>35865</v>
      </c>
      <c r="H97" s="368"/>
      <c r="I97" s="414">
        <f t="shared" si="3"/>
        <v>212.5</v>
      </c>
      <c r="J97" s="421">
        <v>160.4</v>
      </c>
      <c r="K97" s="419">
        <v>52.1</v>
      </c>
      <c r="L97" s="368"/>
      <c r="M97" s="417">
        <v>163314</v>
      </c>
      <c r="N97" s="416">
        <v>19724</v>
      </c>
      <c r="O97" s="368"/>
      <c r="P97" s="417">
        <f>[2]Base!AB95</f>
        <v>55327.192000000003</v>
      </c>
      <c r="Q97" s="416">
        <f>[2]Base!AC95</f>
        <v>99737.80799999999</v>
      </c>
      <c r="R97" s="368"/>
      <c r="S97" s="417">
        <f>[2]Base!AE95</f>
        <v>851471</v>
      </c>
      <c r="T97" s="419">
        <f>[2]Base!AF95</f>
        <v>5.4910231772277607</v>
      </c>
      <c r="U97" s="368"/>
      <c r="V97" s="417">
        <f>[2]Base!AR95</f>
        <v>28263</v>
      </c>
      <c r="W97" s="415">
        <f>[2]Base!AS95</f>
        <v>11786</v>
      </c>
      <c r="X97" s="415">
        <f>[2]Base!AT95</f>
        <v>26581</v>
      </c>
      <c r="Y97" s="415">
        <f>[2]Base!AU95</f>
        <v>14424</v>
      </c>
      <c r="Z97" s="415">
        <f>[2]Base!AV95</f>
        <v>18475</v>
      </c>
      <c r="AA97" s="415">
        <f>[2]Base!AW95</f>
        <v>13574</v>
      </c>
      <c r="AB97" s="415">
        <f>[2]Base!AX95</f>
        <v>10034</v>
      </c>
      <c r="AC97" s="415" t="s">
        <v>160</v>
      </c>
      <c r="AD97" s="416">
        <f>[2]Base!AZ95</f>
        <v>31929</v>
      </c>
      <c r="AE97" s="368"/>
      <c r="AF97" s="366">
        <f t="shared" si="7"/>
        <v>42614</v>
      </c>
      <c r="AG97" s="679">
        <f t="shared" si="10"/>
        <v>0.18226432615789406</v>
      </c>
      <c r="AH97" s="420">
        <f t="shared" si="11"/>
        <v>7.6006345685063134E-2</v>
      </c>
      <c r="AI97" s="420">
        <f t="shared" si="12"/>
        <v>0.17141733197477202</v>
      </c>
      <c r="AJ97" s="420">
        <f t="shared" si="13"/>
        <v>9.3018456657165335E-2</v>
      </c>
      <c r="AK97" s="420">
        <f t="shared" si="14"/>
        <v>0.11914281660712213</v>
      </c>
      <c r="AL97" s="420">
        <f t="shared" si="15"/>
        <v>8.7536919763197607E-2</v>
      </c>
      <c r="AM97" s="420">
        <f t="shared" si="16"/>
        <v>6.4707930816555528E-2</v>
      </c>
      <c r="AN97" s="420" t="s">
        <v>160</v>
      </c>
      <c r="AO97" s="422">
        <f t="shared" si="17"/>
        <v>0.20590587233823018</v>
      </c>
      <c r="AP97" s="368"/>
      <c r="AQ97" s="693">
        <f>+[2]Base!CS95</f>
        <v>6528.2365</v>
      </c>
      <c r="AR97" s="698">
        <f>+[2]Base!CT95</f>
        <v>22561.957499999997</v>
      </c>
      <c r="AS97" s="698">
        <f>+[2]Base!CU95</f>
        <v>13955.85</v>
      </c>
      <c r="AT97" s="698">
        <f>+[2]Base!CV95</f>
        <v>83890.165000000008</v>
      </c>
      <c r="AU97" s="694">
        <f>+[2]Base!CW95</f>
        <v>28128.791000000001</v>
      </c>
      <c r="AV97" s="368"/>
      <c r="AW97" s="423">
        <f t="shared" si="18"/>
        <v>4.2099999999999999E-2</v>
      </c>
      <c r="AX97" s="659">
        <f t="shared" si="19"/>
        <v>0.14549999999999999</v>
      </c>
      <c r="AY97" s="659">
        <f t="shared" si="20"/>
        <v>0.09</v>
      </c>
      <c r="AZ97" s="659">
        <f t="shared" si="21"/>
        <v>0.54100000000000004</v>
      </c>
      <c r="BA97" s="418">
        <f t="shared" si="22"/>
        <v>0.18140000000000001</v>
      </c>
      <c r="BB97" s="368"/>
      <c r="BC97" s="423">
        <f t="shared" si="8"/>
        <v>0.21960762702523973</v>
      </c>
      <c r="BD97" s="418">
        <f t="shared" si="9"/>
        <v>0.12719827169251605</v>
      </c>
      <c r="BG97" t="s">
        <v>510</v>
      </c>
      <c r="BH97" t="s">
        <v>847</v>
      </c>
    </row>
    <row r="98" spans="1:60" ht="12.75" customHeight="1" outlineLevel="1" x14ac:dyDescent="0.2">
      <c r="A98" s="570">
        <v>42644</v>
      </c>
      <c r="B98" s="708">
        <f>IF([1]RENAME!$H$3=0,A98,TEXT(A98,"[$-em-US] mmm-aa;@"))</f>
        <v>42644</v>
      </c>
      <c r="C98" s="365" t="str">
        <f>IF([1]RENAME!$H$3=0,BG98,BH98)</f>
        <v>4T16</v>
      </c>
      <c r="D98" s="366">
        <v>42644</v>
      </c>
      <c r="E98" s="414">
        <f t="shared" si="6"/>
        <v>189230</v>
      </c>
      <c r="F98" s="415">
        <v>155009</v>
      </c>
      <c r="G98" s="416">
        <v>34221</v>
      </c>
      <c r="H98" s="368"/>
      <c r="I98" s="414">
        <f t="shared" si="3"/>
        <v>209.2</v>
      </c>
      <c r="J98" s="421">
        <v>156.4</v>
      </c>
      <c r="K98" s="419">
        <v>52.8</v>
      </c>
      <c r="L98" s="368"/>
      <c r="M98" s="417">
        <v>169421</v>
      </c>
      <c r="N98" s="416">
        <v>18529</v>
      </c>
      <c r="O98" s="368"/>
      <c r="P98" s="417">
        <f>[2]Base!AB96</f>
        <v>57818.356999999996</v>
      </c>
      <c r="Q98" s="416">
        <f>[2]Base!AC96</f>
        <v>97190.643000000011</v>
      </c>
      <c r="R98" s="368"/>
      <c r="S98" s="417">
        <f>[2]Base!AE96</f>
        <v>781530</v>
      </c>
      <c r="T98" s="419">
        <f>[2]Base!AF96</f>
        <v>5.0418362804740369</v>
      </c>
      <c r="U98" s="368"/>
      <c r="V98" s="417">
        <f>[2]Base!AR96</f>
        <v>29741</v>
      </c>
      <c r="W98" s="415">
        <f>[2]Base!AS96</f>
        <v>10643</v>
      </c>
      <c r="X98" s="415">
        <f>[2]Base!AT96</f>
        <v>29571</v>
      </c>
      <c r="Y98" s="415">
        <f>[2]Base!AU96</f>
        <v>14069</v>
      </c>
      <c r="Z98" s="415">
        <f>[2]Base!AV96</f>
        <v>17431</v>
      </c>
      <c r="AA98" s="415">
        <f>[2]Base!AW96</f>
        <v>14650</v>
      </c>
      <c r="AB98" s="415">
        <f>[2]Base!AX96</f>
        <v>9963</v>
      </c>
      <c r="AC98" s="415" t="s">
        <v>160</v>
      </c>
      <c r="AD98" s="416">
        <f>[2]Base!AZ96</f>
        <v>28941</v>
      </c>
      <c r="AE98" s="368"/>
      <c r="AF98" s="366">
        <f t="shared" si="7"/>
        <v>42644</v>
      </c>
      <c r="AG98" s="679">
        <f t="shared" si="10"/>
        <v>0.19186627873220263</v>
      </c>
      <c r="AH98" s="420">
        <f t="shared" si="11"/>
        <v>6.8660529388616151E-2</v>
      </c>
      <c r="AI98" s="420">
        <f t="shared" si="12"/>
        <v>0.19076956821861957</v>
      </c>
      <c r="AJ98" s="420">
        <f t="shared" si="13"/>
        <v>9.0762471856472848E-2</v>
      </c>
      <c r="AK98" s="420">
        <f t="shared" si="14"/>
        <v>0.1124515350721571</v>
      </c>
      <c r="AL98" s="420">
        <f t="shared" si="15"/>
        <v>9.451064131760091E-2</v>
      </c>
      <c r="AM98" s="420">
        <f t="shared" si="16"/>
        <v>6.4273687334283819E-2</v>
      </c>
      <c r="AN98" s="420" t="s">
        <v>160</v>
      </c>
      <c r="AO98" s="422">
        <f t="shared" si="17"/>
        <v>0.18670528808004697</v>
      </c>
      <c r="AP98" s="368"/>
      <c r="AQ98" s="693">
        <f>+[2]Base!CS96</f>
        <v>6308.8662999999997</v>
      </c>
      <c r="AR98" s="698">
        <f>+[2]Base!CT96</f>
        <v>22119.784299999999</v>
      </c>
      <c r="AS98" s="698">
        <f>+[2]Base!CU96</f>
        <v>13811.3019</v>
      </c>
      <c r="AT98" s="698">
        <f>+[2]Base!CV96</f>
        <v>85208.4473</v>
      </c>
      <c r="AU98" s="694">
        <f>+[2]Base!CW96</f>
        <v>27560.600200000001</v>
      </c>
      <c r="AV98" s="368"/>
      <c r="AW98" s="423">
        <f t="shared" si="18"/>
        <v>4.07E-2</v>
      </c>
      <c r="AX98" s="659">
        <f t="shared" si="19"/>
        <v>0.14269999999999999</v>
      </c>
      <c r="AY98" s="659">
        <f t="shared" si="20"/>
        <v>8.9099999999999999E-2</v>
      </c>
      <c r="AZ98" s="659">
        <f t="shared" si="21"/>
        <v>0.54969999999999997</v>
      </c>
      <c r="BA98" s="418">
        <f t="shared" si="22"/>
        <v>0.17780000000000001</v>
      </c>
      <c r="BB98" s="368"/>
      <c r="BC98" s="423">
        <f t="shared" si="8"/>
        <v>0.2019879471848236</v>
      </c>
      <c r="BD98" s="418">
        <f t="shared" si="9"/>
        <v>0.11953499474224077</v>
      </c>
      <c r="BG98" t="s">
        <v>538</v>
      </c>
      <c r="BH98" t="s">
        <v>848</v>
      </c>
    </row>
    <row r="99" spans="1:60" ht="12.75" customHeight="1" outlineLevel="1" x14ac:dyDescent="0.2">
      <c r="A99" s="570">
        <v>42675</v>
      </c>
      <c r="B99" s="708">
        <f>IF([1]RENAME!$H$3=0,A99,TEXT(A99,"[$-em-US] mmm-aa;@"))</f>
        <v>42675</v>
      </c>
      <c r="C99" s="365" t="str">
        <f>IF([1]RENAME!$H$3=0,BG99,BH99)</f>
        <v>4T16</v>
      </c>
      <c r="D99" s="366">
        <v>42675</v>
      </c>
      <c r="E99" s="414">
        <f t="shared" si="6"/>
        <v>227527</v>
      </c>
      <c r="F99" s="415">
        <v>173746</v>
      </c>
      <c r="G99" s="416">
        <v>53781</v>
      </c>
      <c r="H99" s="368"/>
      <c r="I99" s="414">
        <f t="shared" si="3"/>
        <v>211.4</v>
      </c>
      <c r="J99" s="421">
        <v>153.4</v>
      </c>
      <c r="K99" s="419">
        <v>58</v>
      </c>
      <c r="L99" s="368"/>
      <c r="M99" s="417">
        <v>209339</v>
      </c>
      <c r="N99" s="416">
        <v>23289</v>
      </c>
      <c r="O99" s="368"/>
      <c r="P99" s="417">
        <f>[2]Base!AB97</f>
        <v>67378.698800000013</v>
      </c>
      <c r="Q99" s="416">
        <f>[2]Base!AC97</f>
        <v>106367.30119999999</v>
      </c>
      <c r="R99" s="368"/>
      <c r="S99" s="417">
        <f>[2]Base!AE97</f>
        <v>865707</v>
      </c>
      <c r="T99" s="419">
        <f>[2]Base!AF97</f>
        <v>4.9826010382972843</v>
      </c>
      <c r="U99" s="368"/>
      <c r="V99" s="417">
        <f>[2]Base!AR97</f>
        <v>32823</v>
      </c>
      <c r="W99" s="415">
        <f>[2]Base!AS97</f>
        <v>16044</v>
      </c>
      <c r="X99" s="415">
        <f>[2]Base!AT97</f>
        <v>33120</v>
      </c>
      <c r="Y99" s="415">
        <f>[2]Base!AU97</f>
        <v>14597</v>
      </c>
      <c r="Z99" s="415">
        <f>[2]Base!AV97</f>
        <v>20276</v>
      </c>
      <c r="AA99" s="415">
        <f>[2]Base!AW97</f>
        <v>16797</v>
      </c>
      <c r="AB99" s="415">
        <f>[2]Base!AX97</f>
        <v>10094</v>
      </c>
      <c r="AC99" s="415" t="s">
        <v>160</v>
      </c>
      <c r="AD99" s="416">
        <f>[2]Base!AZ97</f>
        <v>29995</v>
      </c>
      <c r="AE99" s="368"/>
      <c r="AF99" s="366">
        <f t="shared" si="7"/>
        <v>42675</v>
      </c>
      <c r="AG99" s="679">
        <f t="shared" si="10"/>
        <v>0.18891370161039678</v>
      </c>
      <c r="AH99" s="420">
        <f t="shared" si="11"/>
        <v>9.2341694197276489E-2</v>
      </c>
      <c r="AI99" s="420">
        <f t="shared" si="12"/>
        <v>0.19062309348128878</v>
      </c>
      <c r="AJ99" s="420">
        <f t="shared" si="13"/>
        <v>8.4013444913839747E-2</v>
      </c>
      <c r="AK99" s="420">
        <f t="shared" si="14"/>
        <v>0.11669908947544116</v>
      </c>
      <c r="AL99" s="420">
        <f t="shared" si="15"/>
        <v>9.6675606920447091E-2</v>
      </c>
      <c r="AM99" s="420">
        <f t="shared" si="16"/>
        <v>5.8096301497588432E-2</v>
      </c>
      <c r="AN99" s="420" t="s">
        <v>160</v>
      </c>
      <c r="AO99" s="422">
        <f t="shared" si="17"/>
        <v>0.17263706790372152</v>
      </c>
      <c r="AP99" s="368"/>
      <c r="AQ99" s="693">
        <f>+[2]Base!CS97</f>
        <v>7384.2050000000008</v>
      </c>
      <c r="AR99" s="698">
        <f>+[2]Base!CT97</f>
        <v>24463.436800000003</v>
      </c>
      <c r="AS99" s="698">
        <f>+[2]Base!CU97</f>
        <v>14785.784599999999</v>
      </c>
      <c r="AT99" s="698">
        <f>+[2]Base!CV97</f>
        <v>96950.268000000011</v>
      </c>
      <c r="AU99" s="694">
        <f>+[2]Base!CW97</f>
        <v>30144.930999999997</v>
      </c>
      <c r="AV99" s="368"/>
      <c r="AW99" s="423">
        <f t="shared" si="18"/>
        <v>4.2504250425042502E-2</v>
      </c>
      <c r="AX99" s="659">
        <f t="shared" si="19"/>
        <v>0.14081408140814081</v>
      </c>
      <c r="AY99" s="659">
        <f t="shared" si="20"/>
        <v>8.510851085108509E-2</v>
      </c>
      <c r="AZ99" s="659">
        <f t="shared" si="21"/>
        <v>0.55805580558055801</v>
      </c>
      <c r="BA99" s="418">
        <f t="shared" si="22"/>
        <v>0.17351735173517349</v>
      </c>
      <c r="BB99" s="368"/>
      <c r="BC99" s="423">
        <f t="shared" si="8"/>
        <v>0.25690865056200707</v>
      </c>
      <c r="BD99" s="418">
        <f t="shared" si="9"/>
        <v>0.1340404958963084</v>
      </c>
      <c r="BG99" t="s">
        <v>538</v>
      </c>
      <c r="BH99" t="s">
        <v>848</v>
      </c>
    </row>
    <row r="100" spans="1:60" ht="12.75" customHeight="1" outlineLevel="1" x14ac:dyDescent="0.2">
      <c r="A100" s="570">
        <v>42705</v>
      </c>
      <c r="B100" s="708">
        <f>IF([1]RENAME!$H$3=0,A100,TEXT(A100,"[$-em-US] mmm-aa;@"))</f>
        <v>42705</v>
      </c>
      <c r="C100" s="365" t="str">
        <f>IF([1]RENAME!$H$3=0,BG100,BH100)</f>
        <v>4T16</v>
      </c>
      <c r="D100" s="366">
        <v>42705</v>
      </c>
      <c r="E100" s="414">
        <f t="shared" si="6"/>
        <v>258822</v>
      </c>
      <c r="F100" s="415">
        <v>199211</v>
      </c>
      <c r="G100" s="416">
        <v>59611</v>
      </c>
      <c r="H100" s="368"/>
      <c r="I100" s="414">
        <f t="shared" si="3"/>
        <v>176</v>
      </c>
      <c r="J100" s="421">
        <v>134</v>
      </c>
      <c r="K100" s="419">
        <v>42</v>
      </c>
      <c r="L100" s="368"/>
      <c r="M100" s="417">
        <v>194789</v>
      </c>
      <c r="N100" s="416">
        <v>21269</v>
      </c>
      <c r="O100" s="368"/>
      <c r="P100" s="417">
        <f>[2]Base!AB98</f>
        <v>72333.5141</v>
      </c>
      <c r="Q100" s="416">
        <f>[2]Base!AC98</f>
        <v>126877.4859</v>
      </c>
      <c r="R100" s="368"/>
      <c r="S100" s="417">
        <f>[2]Base!AE98</f>
        <v>1038810</v>
      </c>
      <c r="T100" s="419">
        <f>[2]Base!AF98</f>
        <v>5.2145693303147889</v>
      </c>
      <c r="U100" s="368"/>
      <c r="V100" s="417">
        <f>[2]Base!AR98</f>
        <v>37216</v>
      </c>
      <c r="W100" s="415">
        <f>[2]Base!AS98</f>
        <v>23057</v>
      </c>
      <c r="X100" s="415">
        <f>[2]Base!AT98</f>
        <v>37182</v>
      </c>
      <c r="Y100" s="415">
        <f>[2]Base!AU98</f>
        <v>17979</v>
      </c>
      <c r="Z100" s="415">
        <f>[2]Base!AV98</f>
        <v>21081</v>
      </c>
      <c r="AA100" s="415">
        <f>[2]Base!AW98</f>
        <v>17148</v>
      </c>
      <c r="AB100" s="415">
        <f>[2]Base!AX98</f>
        <v>11984</v>
      </c>
      <c r="AC100" s="415" t="s">
        <v>160</v>
      </c>
      <c r="AD100" s="416">
        <f>[2]Base!AZ98</f>
        <v>33566</v>
      </c>
      <c r="AE100" s="368"/>
      <c r="AF100" s="366">
        <f t="shared" si="7"/>
        <v>42705</v>
      </c>
      <c r="AG100" s="679">
        <f t="shared" si="10"/>
        <v>0.18681511748731258</v>
      </c>
      <c r="AH100" s="420">
        <f t="shared" si="11"/>
        <v>0.11574043862599329</v>
      </c>
      <c r="AI100" s="420">
        <f t="shared" si="12"/>
        <v>0.18664444589459522</v>
      </c>
      <c r="AJ100" s="420">
        <f t="shared" si="13"/>
        <v>9.0250134278385449E-2</v>
      </c>
      <c r="AK100" s="420">
        <f t="shared" si="14"/>
        <v>0.10582140723747949</v>
      </c>
      <c r="AL100" s="420">
        <f t="shared" si="15"/>
        <v>8.6078719762264513E-2</v>
      </c>
      <c r="AM100" s="420">
        <f t="shared" si="16"/>
        <v>6.0156716680136335E-2</v>
      </c>
      <c r="AN100" s="420" t="s">
        <v>160</v>
      </c>
      <c r="AO100" s="422">
        <f t="shared" si="17"/>
        <v>0.16849302003383312</v>
      </c>
      <c r="AP100" s="368"/>
      <c r="AQ100" s="693">
        <f>+[2]Base!CS98</f>
        <v>9522.2857999999997</v>
      </c>
      <c r="AR100" s="698">
        <f>+[2]Base!CT98</f>
        <v>32232.339800000002</v>
      </c>
      <c r="AS100" s="698">
        <f>+[2]Base!CU98</f>
        <v>18407.096399999999</v>
      </c>
      <c r="AT100" s="698">
        <f>+[2]Base!CV98</f>
        <v>100920.29260000002</v>
      </c>
      <c r="AU100" s="694">
        <f>+[2]Base!CW98</f>
        <v>38148.906499999997</v>
      </c>
      <c r="AV100" s="368"/>
      <c r="AW100" s="423">
        <f t="shared" si="18"/>
        <v>4.7795220477952205E-2</v>
      </c>
      <c r="AX100" s="659">
        <f t="shared" si="19"/>
        <v>0.16178382161783825</v>
      </c>
      <c r="AY100" s="659">
        <f t="shared" si="20"/>
        <v>9.2390760923907606E-2</v>
      </c>
      <c r="AZ100" s="659">
        <f t="shared" si="21"/>
        <v>0.50654934506549354</v>
      </c>
      <c r="BA100" s="418">
        <f t="shared" si="22"/>
        <v>0.19148085191480851</v>
      </c>
      <c r="BB100" s="368"/>
      <c r="BC100" s="423">
        <f t="shared" si="8"/>
        <v>0.30602857450882748</v>
      </c>
      <c r="BD100" s="418">
        <f t="shared" si="9"/>
        <v>0.10676619262992505</v>
      </c>
      <c r="BG100" t="s">
        <v>538</v>
      </c>
      <c r="BH100" t="s">
        <v>848</v>
      </c>
    </row>
    <row r="101" spans="1:60" ht="12.75" customHeight="1" x14ac:dyDescent="0.2">
      <c r="A101" s="570">
        <v>42736</v>
      </c>
      <c r="B101" s="708">
        <f>IF([1]RENAME!$H$3=0,A101,TEXT(A101,"[$-em-US] mmm-aa;@"))</f>
        <v>42736</v>
      </c>
      <c r="C101" s="365" t="str">
        <f>IF([1]RENAME!$H$3=0,BG101,BH101)</f>
        <v>1T17</v>
      </c>
      <c r="D101" s="366">
        <v>42736</v>
      </c>
      <c r="E101" s="424">
        <f t="shared" si="6"/>
        <v>180258</v>
      </c>
      <c r="F101" s="425">
        <v>143768</v>
      </c>
      <c r="G101" s="426">
        <v>36490</v>
      </c>
      <c r="H101" s="368"/>
      <c r="I101" s="424">
        <f t="shared" si="3"/>
        <v>186.4</v>
      </c>
      <c r="J101" s="431">
        <v>135</v>
      </c>
      <c r="K101" s="429">
        <v>51.4</v>
      </c>
      <c r="L101" s="368"/>
      <c r="M101" s="427">
        <f>+[2]Base!X99</f>
        <v>173825</v>
      </c>
      <c r="N101" s="426">
        <f>+[2]Base!Y99</f>
        <v>16712</v>
      </c>
      <c r="O101" s="368"/>
      <c r="P101" s="427">
        <f>[2]Base!AB99</f>
        <v>42972.2552</v>
      </c>
      <c r="Q101" s="426">
        <f>[2]Base!AC99</f>
        <v>100795.7448</v>
      </c>
      <c r="R101" s="368"/>
      <c r="S101" s="427">
        <f>[2]Base!AE99</f>
        <v>827178</v>
      </c>
      <c r="T101" s="429">
        <f>[2]Base!AF99</f>
        <v>5.7536013132359995</v>
      </c>
      <c r="U101" s="368"/>
      <c r="V101" s="427">
        <f>[2]Base!AR99</f>
        <v>27645</v>
      </c>
      <c r="W101" s="425">
        <f>[2]Base!AS99</f>
        <v>18135</v>
      </c>
      <c r="X101" s="425">
        <f>[2]Base!AT99</f>
        <v>25834</v>
      </c>
      <c r="Y101" s="425">
        <f>[2]Base!AU99</f>
        <v>12930</v>
      </c>
      <c r="Z101" s="425">
        <f>[2]Base!AV99</f>
        <v>14446</v>
      </c>
      <c r="AA101" s="425">
        <f>[2]Base!AW99</f>
        <v>11358</v>
      </c>
      <c r="AB101" s="425">
        <f>[2]Base!AX99</f>
        <v>8739</v>
      </c>
      <c r="AC101" s="425" t="s">
        <v>160</v>
      </c>
      <c r="AD101" s="426">
        <f>[2]Base!AZ99</f>
        <v>24680</v>
      </c>
      <c r="AE101" s="368"/>
      <c r="AF101" s="366">
        <f t="shared" ref="AF101:AF132" si="23">+D101</f>
        <v>42736</v>
      </c>
      <c r="AG101" s="680">
        <f t="shared" si="10"/>
        <v>0.19229030305981207</v>
      </c>
      <c r="AH101" s="430">
        <f t="shared" si="11"/>
        <v>0.12614160412333847</v>
      </c>
      <c r="AI101" s="430">
        <f t="shared" si="12"/>
        <v>0.17969353189535847</v>
      </c>
      <c r="AJ101" s="430">
        <f t="shared" si="13"/>
        <v>8.9937190036656539E-2</v>
      </c>
      <c r="AK101" s="430">
        <f t="shared" si="14"/>
        <v>0.10048202995124055</v>
      </c>
      <c r="AL101" s="430">
        <f t="shared" si="15"/>
        <v>7.9002830969554905E-2</v>
      </c>
      <c r="AM101" s="430">
        <f t="shared" si="16"/>
        <v>6.0785854890204286E-2</v>
      </c>
      <c r="AN101" s="430" t="s">
        <v>160</v>
      </c>
      <c r="AO101" s="432">
        <f t="shared" si="17"/>
        <v>0.17166665507383475</v>
      </c>
      <c r="AP101" s="368"/>
      <c r="AQ101" s="693">
        <f>+[2]Base!CS99</f>
        <v>6483.9368000000004</v>
      </c>
      <c r="AR101" s="698">
        <f>+[2]Base!CT99</f>
        <v>24282.415199999999</v>
      </c>
      <c r="AS101" s="698">
        <f>+[2]Base!CU99</f>
        <v>14721.843200000001</v>
      </c>
      <c r="AT101" s="698">
        <f>+[2]Base!CV99</f>
        <v>69698.7264</v>
      </c>
      <c r="AU101" s="694">
        <f>+[2]Base!CW99</f>
        <v>28566.701599999997</v>
      </c>
      <c r="AV101" s="368"/>
      <c r="AW101" s="433">
        <f t="shared" si="18"/>
        <v>4.5104510451045104E-2</v>
      </c>
      <c r="AX101" s="660">
        <f t="shared" si="19"/>
        <v>0.1689168916891689</v>
      </c>
      <c r="AY101" s="660">
        <f t="shared" si="20"/>
        <v>0.10241024102410241</v>
      </c>
      <c r="AZ101" s="660">
        <f t="shared" si="21"/>
        <v>0.48484848484848486</v>
      </c>
      <c r="BA101" s="428">
        <f t="shared" si="22"/>
        <v>0.1987198719871987</v>
      </c>
      <c r="BB101" s="368"/>
      <c r="BC101" s="433">
        <f t="shared" si="8"/>
        <v>0.20992377391054221</v>
      </c>
      <c r="BD101" s="428">
        <f t="shared" si="9"/>
        <v>0.1162428356797062</v>
      </c>
      <c r="BG101" t="s">
        <v>567</v>
      </c>
      <c r="BH101" t="s">
        <v>849</v>
      </c>
    </row>
    <row r="102" spans="1:60" ht="12.75" customHeight="1" x14ac:dyDescent="0.2">
      <c r="A102" s="570">
        <v>42767</v>
      </c>
      <c r="B102" s="708">
        <f>IF([1]RENAME!$H$3=0,A102,TEXT(A102,"[$-em-US] mmm-aa;@"))</f>
        <v>42767</v>
      </c>
      <c r="C102" s="365" t="str">
        <f>IF([1]RENAME!$H$3=0,BG102,BH102)</f>
        <v>1T17</v>
      </c>
      <c r="D102" s="366">
        <v>42767</v>
      </c>
      <c r="E102" s="424">
        <f t="shared" si="6"/>
        <v>196397</v>
      </c>
      <c r="F102" s="425">
        <v>132626</v>
      </c>
      <c r="G102" s="426">
        <v>63771</v>
      </c>
      <c r="H102" s="368"/>
      <c r="I102" s="424">
        <f t="shared" si="3"/>
        <v>205.5</v>
      </c>
      <c r="J102" s="431">
        <v>139</v>
      </c>
      <c r="K102" s="429">
        <v>66.5</v>
      </c>
      <c r="L102" s="368"/>
      <c r="M102" s="427">
        <f>+[2]Base!X100</f>
        <v>195091</v>
      </c>
      <c r="N102" s="426">
        <f>+[2]Base!Y100</f>
        <v>14256</v>
      </c>
      <c r="O102" s="368"/>
      <c r="P102" s="427">
        <f>[2]Base!AB100</f>
        <v>46299.387499999997</v>
      </c>
      <c r="Q102" s="426">
        <f>[2]Base!AC100</f>
        <v>86325.612500000003</v>
      </c>
      <c r="R102" s="368"/>
      <c r="S102" s="427">
        <f>[2]Base!AE100</f>
        <v>709805</v>
      </c>
      <c r="T102" s="429">
        <f>[2]Base!AF100</f>
        <v>5.3519698397737985</v>
      </c>
      <c r="U102" s="368"/>
      <c r="V102" s="427">
        <f>[2]Base!AR100</f>
        <v>23216</v>
      </c>
      <c r="W102" s="425">
        <f>[2]Base!AS100</f>
        <v>17243</v>
      </c>
      <c r="X102" s="425">
        <f>[2]Base!AT100</f>
        <v>24723</v>
      </c>
      <c r="Y102" s="425">
        <f>[2]Base!AU100</f>
        <v>11140</v>
      </c>
      <c r="Z102" s="425">
        <f>[2]Base!AV100</f>
        <v>14192</v>
      </c>
      <c r="AA102" s="425">
        <f>[2]Base!AW100</f>
        <v>11110</v>
      </c>
      <c r="AB102" s="425">
        <f>[2]Base!AX100</f>
        <v>9387</v>
      </c>
      <c r="AC102" s="425" t="s">
        <v>160</v>
      </c>
      <c r="AD102" s="426">
        <f>[2]Base!AZ100</f>
        <v>21614</v>
      </c>
      <c r="AE102" s="368"/>
      <c r="AF102" s="366">
        <f t="shared" si="23"/>
        <v>42767</v>
      </c>
      <c r="AG102" s="680">
        <f t="shared" si="10"/>
        <v>0.17504995287464656</v>
      </c>
      <c r="AH102" s="430">
        <f t="shared" si="11"/>
        <v>0.13001319509896325</v>
      </c>
      <c r="AI102" s="430">
        <f t="shared" si="12"/>
        <v>0.18641281809613572</v>
      </c>
      <c r="AJ102" s="430">
        <f t="shared" si="13"/>
        <v>8.399622997172479E-2</v>
      </c>
      <c r="AK102" s="430">
        <f t="shared" si="14"/>
        <v>0.10700848256361922</v>
      </c>
      <c r="AL102" s="430">
        <f t="shared" si="15"/>
        <v>8.3770028275212058E-2</v>
      </c>
      <c r="AM102" s="430">
        <f t="shared" si="16"/>
        <v>7.0778510838831285E-2</v>
      </c>
      <c r="AN102" s="430" t="s">
        <v>160</v>
      </c>
      <c r="AO102" s="432">
        <f t="shared" si="17"/>
        <v>0.16297078228086712</v>
      </c>
      <c r="AP102" s="368"/>
      <c r="AQ102" s="693">
        <f>+[2]Base!CS100</f>
        <v>6326.2124999999996</v>
      </c>
      <c r="AR102" s="698">
        <f>+[2]Base!CT100</f>
        <v>20318.150000000001</v>
      </c>
      <c r="AS102" s="698">
        <f>+[2]Base!CU100</f>
        <v>13050.3</v>
      </c>
      <c r="AT102" s="698">
        <f>+[2]Base!CV100</f>
        <v>69336.350000000006</v>
      </c>
      <c r="AU102" s="694">
        <f>+[2]Base!CW100</f>
        <v>23607.25</v>
      </c>
      <c r="AV102" s="368"/>
      <c r="AW102" s="433">
        <f t="shared" si="18"/>
        <v>4.7695230476952295E-2</v>
      </c>
      <c r="AX102" s="660">
        <f t="shared" si="19"/>
        <v>0.15318468153184681</v>
      </c>
      <c r="AY102" s="660">
        <f t="shared" si="20"/>
        <v>9.8390160983901589E-2</v>
      </c>
      <c r="AZ102" s="660">
        <f t="shared" si="21"/>
        <v>0.52274772522747726</v>
      </c>
      <c r="BA102" s="428">
        <f t="shared" si="22"/>
        <v>0.17798220177982199</v>
      </c>
      <c r="BB102" s="368"/>
      <c r="BC102" s="433">
        <f t="shared" si="8"/>
        <v>0.32687822605860856</v>
      </c>
      <c r="BD102" s="428">
        <f t="shared" si="9"/>
        <v>0.10749023570039057</v>
      </c>
      <c r="BG102" t="s">
        <v>567</v>
      </c>
      <c r="BH102" t="s">
        <v>849</v>
      </c>
    </row>
    <row r="103" spans="1:60" ht="12.75" customHeight="1" x14ac:dyDescent="0.2">
      <c r="A103" s="570">
        <v>42795</v>
      </c>
      <c r="B103" s="708">
        <f>IF([1]RENAME!$H$3=0,A103,TEXT(A103,"[$-em-US] mmm-aa;@"))</f>
        <v>42795</v>
      </c>
      <c r="C103" s="365" t="str">
        <f>IF([1]RENAME!$H$3=0,BG103,BH103)</f>
        <v>1T17</v>
      </c>
      <c r="D103" s="366">
        <v>42795</v>
      </c>
      <c r="E103" s="424">
        <f t="shared" si="6"/>
        <v>249430</v>
      </c>
      <c r="F103" s="425">
        <v>184188</v>
      </c>
      <c r="G103" s="426">
        <v>65242</v>
      </c>
      <c r="H103" s="368"/>
      <c r="I103" s="424">
        <f t="shared" si="3"/>
        <v>220</v>
      </c>
      <c r="J103" s="431">
        <v>139.6</v>
      </c>
      <c r="K103" s="429">
        <v>80.400000000000006</v>
      </c>
      <c r="L103" s="368"/>
      <c r="M103" s="427">
        <f>+[2]Base!X101</f>
        <v>228930</v>
      </c>
      <c r="N103" s="426">
        <f>+[2]Base!Y101</f>
        <v>20718</v>
      </c>
      <c r="O103" s="368"/>
      <c r="P103" s="427">
        <f>[2]Base!AB101</f>
        <v>70359.816000000006</v>
      </c>
      <c r="Q103" s="426">
        <f>[2]Base!AC101</f>
        <v>113828.18399999999</v>
      </c>
      <c r="R103" s="368"/>
      <c r="S103" s="427">
        <f>[2]Base!AE101</f>
        <v>891554</v>
      </c>
      <c r="T103" s="429">
        <f>[2]Base!AF101</f>
        <v>4.8404564901079334</v>
      </c>
      <c r="U103" s="368"/>
      <c r="V103" s="427">
        <f>[2]Base!AR101</f>
        <v>31011</v>
      </c>
      <c r="W103" s="425">
        <f>[2]Base!AS101</f>
        <v>23453</v>
      </c>
      <c r="X103" s="425">
        <f>[2]Base!AT101</f>
        <v>31377</v>
      </c>
      <c r="Y103" s="425">
        <f>[2]Base!AU101</f>
        <v>16674</v>
      </c>
      <c r="Z103" s="425">
        <f>[2]Base!AV101</f>
        <v>21760</v>
      </c>
      <c r="AA103" s="425">
        <f>[2]Base!AW101</f>
        <v>17213</v>
      </c>
      <c r="AB103" s="425">
        <f>[2]Base!AX101</f>
        <v>11990</v>
      </c>
      <c r="AC103" s="425" t="s">
        <v>160</v>
      </c>
      <c r="AD103" s="426">
        <f>[2]Base!AZ101</f>
        <v>30710</v>
      </c>
      <c r="AE103" s="368"/>
      <c r="AF103" s="366">
        <f t="shared" si="23"/>
        <v>42795</v>
      </c>
      <c r="AG103" s="680">
        <f t="shared" si="10"/>
        <v>0.16836601733011922</v>
      </c>
      <c r="AH103" s="430">
        <f t="shared" si="11"/>
        <v>0.1273318565813191</v>
      </c>
      <c r="AI103" s="430">
        <f t="shared" si="12"/>
        <v>0.17035311746693596</v>
      </c>
      <c r="AJ103" s="430">
        <f t="shared" si="13"/>
        <v>9.052707016743762E-2</v>
      </c>
      <c r="AK103" s="430">
        <f t="shared" si="14"/>
        <v>0.11814016113970509</v>
      </c>
      <c r="AL103" s="430">
        <f t="shared" si="15"/>
        <v>9.3453428019197773E-2</v>
      </c>
      <c r="AM103" s="430">
        <f t="shared" si="16"/>
        <v>6.5096531804460664E-2</v>
      </c>
      <c r="AN103" s="430" t="s">
        <v>160</v>
      </c>
      <c r="AO103" s="432">
        <f t="shared" si="17"/>
        <v>0.16673181749082458</v>
      </c>
      <c r="AP103" s="368"/>
      <c r="AQ103" s="693">
        <f>+[2]Base!CS101</f>
        <v>8712.0923999999995</v>
      </c>
      <c r="AR103" s="698">
        <f>+[2]Base!CT101</f>
        <v>27665.0376</v>
      </c>
      <c r="AS103" s="698">
        <f>+[2]Base!CU101</f>
        <v>17424.184799999999</v>
      </c>
      <c r="AT103" s="698">
        <f>+[2]Base!CV101</f>
        <v>97859.084399999992</v>
      </c>
      <c r="AU103" s="694">
        <f>+[2]Base!CW101</f>
        <v>32527.6008</v>
      </c>
      <c r="AV103" s="368"/>
      <c r="AW103" s="433">
        <f t="shared" si="18"/>
        <v>4.7299999999999995E-2</v>
      </c>
      <c r="AX103" s="660">
        <f t="shared" si="19"/>
        <v>0.1502</v>
      </c>
      <c r="AY103" s="660">
        <f t="shared" si="20"/>
        <v>9.459999999999999E-2</v>
      </c>
      <c r="AZ103" s="660">
        <f t="shared" si="21"/>
        <v>0.53129999999999999</v>
      </c>
      <c r="BA103" s="428">
        <f t="shared" si="22"/>
        <v>0.17660000000000001</v>
      </c>
      <c r="BB103" s="368"/>
      <c r="BC103" s="433">
        <f t="shared" si="8"/>
        <v>0.28498667715022058</v>
      </c>
      <c r="BD103" s="428">
        <f t="shared" si="9"/>
        <v>0.11248289790865855</v>
      </c>
      <c r="BG103" t="s">
        <v>567</v>
      </c>
      <c r="BH103" t="s">
        <v>849</v>
      </c>
    </row>
    <row r="104" spans="1:60" ht="12.75" customHeight="1" x14ac:dyDescent="0.2">
      <c r="A104" s="570">
        <v>42826</v>
      </c>
      <c r="B104" s="708">
        <f>IF([1]RENAME!$H$3=0,A104,TEXT(A104,"[$-em-US] mmm-aa;@"))</f>
        <v>42826</v>
      </c>
      <c r="C104" s="365" t="str">
        <f>IF([1]RENAME!$H$3=0,BG104,BH104)</f>
        <v>2T17</v>
      </c>
      <c r="D104" s="366">
        <v>42826</v>
      </c>
      <c r="E104" s="424">
        <f t="shared" si="6"/>
        <v>210306</v>
      </c>
      <c r="F104" s="425">
        <v>152638</v>
      </c>
      <c r="G104" s="426">
        <v>57668</v>
      </c>
      <c r="H104" s="368"/>
      <c r="I104" s="424">
        <f t="shared" si="3"/>
        <v>216.4</v>
      </c>
      <c r="J104" s="431">
        <v>135.80000000000001</v>
      </c>
      <c r="K104" s="429">
        <v>80.599999999999994</v>
      </c>
      <c r="L104" s="368"/>
      <c r="M104" s="427">
        <f>+[2]Base!X102</f>
        <v>184162</v>
      </c>
      <c r="N104" s="426">
        <f>+[2]Base!Y102</f>
        <v>17402</v>
      </c>
      <c r="O104" s="368"/>
      <c r="P104" s="427">
        <f>[2]Base!AB102</f>
        <v>59360.9182</v>
      </c>
      <c r="Q104" s="426">
        <f>[2]Base!AC102</f>
        <v>93277.0818</v>
      </c>
      <c r="R104" s="368"/>
      <c r="S104" s="427">
        <f>[2]Base!AE102</f>
        <v>765602</v>
      </c>
      <c r="T104" s="429">
        <f>[2]Base!AF102</f>
        <v>5.0158020938429484</v>
      </c>
      <c r="U104" s="368"/>
      <c r="V104" s="427">
        <f>[2]Base!AR102</f>
        <v>26707</v>
      </c>
      <c r="W104" s="425">
        <f>[2]Base!AS102</f>
        <v>18800</v>
      </c>
      <c r="X104" s="425">
        <f>[2]Base!AT102</f>
        <v>25355</v>
      </c>
      <c r="Y104" s="425">
        <f>[2]Base!AU102</f>
        <v>14541</v>
      </c>
      <c r="Z104" s="425">
        <f>[2]Base!AV102</f>
        <v>16136</v>
      </c>
      <c r="AA104" s="425">
        <f>[2]Base!AW102</f>
        <v>13608</v>
      </c>
      <c r="AB104" s="425">
        <f>[2]Base!AX102</f>
        <v>10833</v>
      </c>
      <c r="AC104" s="425" t="s">
        <v>160</v>
      </c>
      <c r="AD104" s="426">
        <f>[2]Base!AZ102</f>
        <v>26658</v>
      </c>
      <c r="AE104" s="368"/>
      <c r="AF104" s="366">
        <f t="shared" si="23"/>
        <v>42826</v>
      </c>
      <c r="AG104" s="680">
        <f t="shared" si="10"/>
        <v>0.1749695357643575</v>
      </c>
      <c r="AH104" s="430">
        <f t="shared" si="11"/>
        <v>0.12316723227505602</v>
      </c>
      <c r="AI104" s="430">
        <f t="shared" si="12"/>
        <v>0.16611197735819389</v>
      </c>
      <c r="AJ104" s="430">
        <f t="shared" si="13"/>
        <v>9.5264613005935611E-2</v>
      </c>
      <c r="AK104" s="430">
        <f t="shared" si="14"/>
        <v>0.10571417340373956</v>
      </c>
      <c r="AL104" s="430">
        <f t="shared" si="15"/>
        <v>8.9152111531859687E-2</v>
      </c>
      <c r="AM104" s="430">
        <f t="shared" si="16"/>
        <v>7.0971841874238398E-2</v>
      </c>
      <c r="AN104" s="430" t="s">
        <v>160</v>
      </c>
      <c r="AO104" s="432">
        <f t="shared" si="17"/>
        <v>0.17464851478661933</v>
      </c>
      <c r="AP104" s="368"/>
      <c r="AQ104" s="693">
        <f>+[2]Base!CS102</f>
        <v>7051.8755999999994</v>
      </c>
      <c r="AR104" s="698">
        <f>+[2]Base!CT102</f>
        <v>23552.043399999999</v>
      </c>
      <c r="AS104" s="698">
        <f>+[2]Base!CU102</f>
        <v>13676.364799999999</v>
      </c>
      <c r="AT104" s="698">
        <f>+[2]Base!CV102</f>
        <v>82119.244000000006</v>
      </c>
      <c r="AU104" s="694">
        <f>+[2]Base!CW102</f>
        <v>26238.4722</v>
      </c>
      <c r="AV104" s="368"/>
      <c r="AW104" s="433">
        <f t="shared" si="18"/>
        <v>4.6199999999999998E-2</v>
      </c>
      <c r="AX104" s="660">
        <f t="shared" si="19"/>
        <v>0.15429999999999999</v>
      </c>
      <c r="AY104" s="660">
        <f t="shared" si="20"/>
        <v>8.9599999999999999E-2</v>
      </c>
      <c r="AZ104" s="660">
        <f t="shared" si="21"/>
        <v>0.53800000000000003</v>
      </c>
      <c r="BA104" s="428">
        <f t="shared" si="22"/>
        <v>0.1719</v>
      </c>
      <c r="BB104" s="368"/>
      <c r="BC104" s="433">
        <f t="shared" si="8"/>
        <v>0.31313734646669777</v>
      </c>
      <c r="BD104" s="428">
        <f t="shared" si="9"/>
        <v>0.11400830723673004</v>
      </c>
      <c r="BG104" t="s">
        <v>575</v>
      </c>
      <c r="BH104" t="s">
        <v>850</v>
      </c>
    </row>
    <row r="105" spans="1:60" ht="12.75" customHeight="1" x14ac:dyDescent="0.2">
      <c r="A105" s="570">
        <v>42856</v>
      </c>
      <c r="B105" s="708">
        <f>IF([1]RENAME!$H$3=0,A105,TEXT(A105,"[$-em-US] mmm-aa;@"))</f>
        <v>42856</v>
      </c>
      <c r="C105" s="365" t="str">
        <f>IF([1]RENAME!$H$3=0,BG105,BH105)</f>
        <v>2T17</v>
      </c>
      <c r="D105" s="366">
        <v>42856</v>
      </c>
      <c r="E105" s="424">
        <f t="shared" si="6"/>
        <v>259822</v>
      </c>
      <c r="F105" s="425">
        <v>190390</v>
      </c>
      <c r="G105" s="426">
        <v>69432</v>
      </c>
      <c r="H105" s="368"/>
      <c r="I105" s="424">
        <f t="shared" si="3"/>
        <v>229.2</v>
      </c>
      <c r="J105" s="431">
        <v>144.1</v>
      </c>
      <c r="K105" s="429">
        <v>85.1</v>
      </c>
      <c r="L105" s="368"/>
      <c r="M105" s="427">
        <f>+[2]Base!X103</f>
        <v>243690</v>
      </c>
      <c r="N105" s="426">
        <f>+[2]Base!Y103</f>
        <v>20965</v>
      </c>
      <c r="O105" s="368"/>
      <c r="P105" s="427">
        <f>[2]Base!AB103</f>
        <v>80249.384999999995</v>
      </c>
      <c r="Q105" s="426">
        <f>[2]Base!AC103</f>
        <v>110140.61500000001</v>
      </c>
      <c r="R105" s="368"/>
      <c r="S105" s="427">
        <f>[2]Base!AE103</f>
        <v>957579</v>
      </c>
      <c r="T105" s="429">
        <f>[2]Base!AF103</f>
        <v>5.0295656284468722</v>
      </c>
      <c r="U105" s="368"/>
      <c r="V105" s="427">
        <f>[2]Base!AR103</f>
        <v>33642</v>
      </c>
      <c r="W105" s="425">
        <f>[2]Base!AS103</f>
        <v>24390</v>
      </c>
      <c r="X105" s="425">
        <f>[2]Base!AT103</f>
        <v>33396</v>
      </c>
      <c r="Y105" s="425">
        <f>[2]Base!AU103</f>
        <v>16622</v>
      </c>
      <c r="Z105" s="425">
        <f>[2]Base!AV103</f>
        <v>20456</v>
      </c>
      <c r="AA105" s="425">
        <f>[2]Base!AW103</f>
        <v>15788</v>
      </c>
      <c r="AB105" s="425">
        <f>[2]Base!AX103</f>
        <v>12541</v>
      </c>
      <c r="AC105" s="425" t="s">
        <v>160</v>
      </c>
      <c r="AD105" s="426">
        <f>[2]Base!AZ103</f>
        <v>33555</v>
      </c>
      <c r="AE105" s="368"/>
      <c r="AF105" s="366">
        <f t="shared" si="23"/>
        <v>42856</v>
      </c>
      <c r="AG105" s="680">
        <f t="shared" si="10"/>
        <v>0.17670045695677294</v>
      </c>
      <c r="AH105" s="430">
        <f t="shared" si="11"/>
        <v>0.12810546772414519</v>
      </c>
      <c r="AI105" s="430">
        <f t="shared" si="12"/>
        <v>0.17540837228846054</v>
      </c>
      <c r="AJ105" s="430">
        <f t="shared" si="13"/>
        <v>8.7305005514995537E-2</v>
      </c>
      <c r="AK105" s="430">
        <f t="shared" si="14"/>
        <v>0.10744261778454751</v>
      </c>
      <c r="AL105" s="430">
        <f t="shared" si="15"/>
        <v>8.2924523346814438E-2</v>
      </c>
      <c r="AM105" s="430">
        <f t="shared" si="16"/>
        <v>6.5870056200430696E-2</v>
      </c>
      <c r="AN105" s="430" t="s">
        <v>160</v>
      </c>
      <c r="AO105" s="432">
        <f t="shared" si="17"/>
        <v>0.1762435001838332</v>
      </c>
      <c r="AP105" s="368"/>
      <c r="AQ105" s="693">
        <f>+[2]Base!CS103</f>
        <v>8776.9790000000012</v>
      </c>
      <c r="AR105" s="698">
        <f>+[2]Base!CT103</f>
        <v>28748.89</v>
      </c>
      <c r="AS105" s="698">
        <f>+[2]Base!CU103</f>
        <v>17211.255999999998</v>
      </c>
      <c r="AT105" s="698">
        <f>+[2]Base!CV103</f>
        <v>103039.068</v>
      </c>
      <c r="AU105" s="694">
        <f>+[2]Base!CW103</f>
        <v>32594.768</v>
      </c>
      <c r="AV105" s="368"/>
      <c r="AW105" s="433">
        <f t="shared" si="18"/>
        <v>4.6104610461046108E-2</v>
      </c>
      <c r="AX105" s="660">
        <f t="shared" si="19"/>
        <v>0.15101510151015102</v>
      </c>
      <c r="AY105" s="660">
        <f t="shared" si="20"/>
        <v>9.0409040904090396E-2</v>
      </c>
      <c r="AZ105" s="660">
        <f t="shared" si="21"/>
        <v>0.54125412541254125</v>
      </c>
      <c r="BA105" s="428">
        <f t="shared" si="22"/>
        <v>0.17121712171217121</v>
      </c>
      <c r="BB105" s="368"/>
      <c r="BC105" s="433">
        <f t="shared" si="8"/>
        <v>0.28491936476671181</v>
      </c>
      <c r="BD105" s="428">
        <f t="shared" si="9"/>
        <v>0.1101160775250801</v>
      </c>
      <c r="BG105" t="s">
        <v>575</v>
      </c>
      <c r="BH105" t="s">
        <v>850</v>
      </c>
    </row>
    <row r="106" spans="1:60" ht="12.75" customHeight="1" x14ac:dyDescent="0.2">
      <c r="A106" s="570">
        <v>42887</v>
      </c>
      <c r="B106" s="708">
        <f>IF([1]RENAME!$H$3=0,A106,TEXT(A106,"[$-em-US] mmm-aa;@"))</f>
        <v>42887</v>
      </c>
      <c r="C106" s="365" t="str">
        <f>IF([1]RENAME!$H$3=0,BG106,BH106)</f>
        <v>2T17</v>
      </c>
      <c r="D106" s="366">
        <v>42887</v>
      </c>
      <c r="E106" s="424">
        <f t="shared" si="6"/>
        <v>253009</v>
      </c>
      <c r="F106" s="425">
        <v>189483</v>
      </c>
      <c r="G106" s="426">
        <v>63526</v>
      </c>
      <c r="H106" s="368"/>
      <c r="I106" s="424">
        <f t="shared" si="3"/>
        <v>220.1</v>
      </c>
      <c r="J106" s="431">
        <v>146.69999999999999</v>
      </c>
      <c r="K106" s="429">
        <v>73.400000000000006</v>
      </c>
      <c r="L106" s="368"/>
      <c r="M106" s="427">
        <f>+[2]Base!X104</f>
        <v>205805</v>
      </c>
      <c r="N106" s="426">
        <f>+[2]Base!Y104</f>
        <v>20402</v>
      </c>
      <c r="O106" s="368"/>
      <c r="P106" s="427">
        <f>[2]Base!AB104</f>
        <v>81003.982499999998</v>
      </c>
      <c r="Q106" s="426">
        <f>[2]Base!AC104</f>
        <v>108479.0175</v>
      </c>
      <c r="R106" s="368"/>
      <c r="S106" s="427">
        <f>[2]Base!AE104</f>
        <v>918741</v>
      </c>
      <c r="T106" s="429">
        <f>[2]Base!AF104</f>
        <v>4.8486724402716863</v>
      </c>
      <c r="U106" s="368"/>
      <c r="V106" s="427">
        <f>[2]Base!AR104</f>
        <v>33608</v>
      </c>
      <c r="W106" s="425">
        <f>[2]Base!AS104</f>
        <v>22915</v>
      </c>
      <c r="X106" s="425">
        <f>[2]Base!AT104</f>
        <v>34942</v>
      </c>
      <c r="Y106" s="425">
        <f>[2]Base!AU104</f>
        <v>16122</v>
      </c>
      <c r="Z106" s="425">
        <f>[2]Base!AV104</f>
        <v>20576</v>
      </c>
      <c r="AA106" s="425">
        <f>[2]Base!AW104</f>
        <v>16025</v>
      </c>
      <c r="AB106" s="425">
        <f>[2]Base!AX104</f>
        <v>11522</v>
      </c>
      <c r="AC106" s="425" t="s">
        <v>160</v>
      </c>
      <c r="AD106" s="426">
        <f>[2]Base!AZ104</f>
        <v>33773</v>
      </c>
      <c r="AE106" s="368"/>
      <c r="AF106" s="366">
        <f t="shared" si="23"/>
        <v>42887</v>
      </c>
      <c r="AG106" s="680">
        <f t="shared" si="10"/>
        <v>0.17736683501950043</v>
      </c>
      <c r="AH106" s="430">
        <f t="shared" si="11"/>
        <v>0.12093433183979566</v>
      </c>
      <c r="AI106" s="430">
        <f t="shared" si="12"/>
        <v>0.18440704443142655</v>
      </c>
      <c r="AJ106" s="430">
        <f t="shared" si="13"/>
        <v>8.508415002929022E-2</v>
      </c>
      <c r="AK106" s="430">
        <f t="shared" si="14"/>
        <v>0.10859021653657584</v>
      </c>
      <c r="AL106" s="430">
        <f t="shared" si="15"/>
        <v>8.4572230754210137E-2</v>
      </c>
      <c r="AM106" s="430">
        <f t="shared" si="16"/>
        <v>6.0807565850234585E-2</v>
      </c>
      <c r="AN106" s="430" t="s">
        <v>160</v>
      </c>
      <c r="AO106" s="432">
        <f t="shared" si="17"/>
        <v>0.17823762553896655</v>
      </c>
      <c r="AP106" s="368"/>
      <c r="AQ106" s="693">
        <f>+[2]Base!CS104</f>
        <v>8792.011199999999</v>
      </c>
      <c r="AR106" s="698">
        <f>+[2]Base!CT104</f>
        <v>27285.552</v>
      </c>
      <c r="AS106" s="698">
        <f>+[2]Base!CU104</f>
        <v>17034.521699999998</v>
      </c>
      <c r="AT106" s="698">
        <f>+[2]Base!CV104</f>
        <v>105182.01330000001</v>
      </c>
      <c r="AU106" s="694">
        <f>+[2]Base!CW104</f>
        <v>31169.9535</v>
      </c>
      <c r="AV106" s="368"/>
      <c r="AW106" s="433">
        <f t="shared" si="18"/>
        <v>4.6404640464046396E-2</v>
      </c>
      <c r="AX106" s="660">
        <f t="shared" si="19"/>
        <v>0.14401440144014399</v>
      </c>
      <c r="AY106" s="660">
        <f t="shared" si="20"/>
        <v>8.9908990899089894E-2</v>
      </c>
      <c r="AZ106" s="660">
        <f t="shared" si="21"/>
        <v>0.55515551555155518</v>
      </c>
      <c r="BA106" s="428">
        <f t="shared" si="22"/>
        <v>0.16451645164516451</v>
      </c>
      <c r="BB106" s="368"/>
      <c r="BC106" s="433">
        <f t="shared" si="8"/>
        <v>0.30867082918296446</v>
      </c>
      <c r="BD106" s="428">
        <f t="shared" si="9"/>
        <v>0.10767192835241156</v>
      </c>
      <c r="BG106" t="s">
        <v>575</v>
      </c>
      <c r="BH106" t="s">
        <v>850</v>
      </c>
    </row>
    <row r="107" spans="1:60" ht="12.75" customHeight="1" x14ac:dyDescent="0.2">
      <c r="A107" s="570">
        <v>42917</v>
      </c>
      <c r="B107" s="708">
        <f>IF([1]RENAME!$H$3=0,A107,TEXT(A107,"[$-em-US] mmm-aa;@"))</f>
        <v>42917</v>
      </c>
      <c r="C107" s="365" t="str">
        <f>IF([1]RENAME!$H$3=0,BG107,BH107)</f>
        <v>3T17</v>
      </c>
      <c r="D107" s="366">
        <v>42917</v>
      </c>
      <c r="E107" s="424">
        <f>+F107+G107</f>
        <v>241000</v>
      </c>
      <c r="F107" s="425">
        <v>179038</v>
      </c>
      <c r="G107" s="426">
        <v>61962</v>
      </c>
      <c r="H107" s="368"/>
      <c r="I107" s="424">
        <f>+J107+K107</f>
        <v>217.7</v>
      </c>
      <c r="J107" s="431">
        <v>139.4</v>
      </c>
      <c r="K107" s="429">
        <v>78.3</v>
      </c>
      <c r="L107" s="368"/>
      <c r="M107" s="427">
        <f>+[2]Base!X105</f>
        <v>216462</v>
      </c>
      <c r="N107" s="426">
        <f>+[2]Base!Y105</f>
        <v>20634</v>
      </c>
      <c r="O107" s="368"/>
      <c r="P107" s="427">
        <f>[2]Base!AB105</f>
        <v>70666.298599999995</v>
      </c>
      <c r="Q107" s="426">
        <f>[2]Base!AC105</f>
        <v>108371.70140000001</v>
      </c>
      <c r="R107" s="368"/>
      <c r="S107" s="427">
        <f>[2]Base!AE105</f>
        <v>947211</v>
      </c>
      <c r="T107" s="429">
        <f>[2]Base!AF105</f>
        <v>5.2905584289368734</v>
      </c>
      <c r="U107" s="368"/>
      <c r="V107" s="427">
        <f>[2]Base!AR105</f>
        <v>33496</v>
      </c>
      <c r="W107" s="425">
        <f>[2]Base!AS105</f>
        <v>22753</v>
      </c>
      <c r="X107" s="425">
        <f>[2]Base!AT105</f>
        <v>32148</v>
      </c>
      <c r="Y107" s="425">
        <f>[2]Base!AU105</f>
        <v>16822</v>
      </c>
      <c r="Z107" s="425">
        <f>[2]Base!AV105</f>
        <v>17470</v>
      </c>
      <c r="AA107" s="425">
        <f>[2]Base!AW105</f>
        <v>15217</v>
      </c>
      <c r="AB107" s="425">
        <f>[2]Base!AX105</f>
        <v>9915</v>
      </c>
      <c r="AC107" s="425" t="s">
        <v>160</v>
      </c>
      <c r="AD107" s="426">
        <f>[2]Base!AZ105</f>
        <v>31217</v>
      </c>
      <c r="AE107" s="368"/>
      <c r="AF107" s="366">
        <f t="shared" si="23"/>
        <v>42917</v>
      </c>
      <c r="AG107" s="680">
        <f t="shared" si="10"/>
        <v>0.18708877445011673</v>
      </c>
      <c r="AH107" s="430">
        <f t="shared" si="11"/>
        <v>0.12708475295747271</v>
      </c>
      <c r="AI107" s="430">
        <f t="shared" si="12"/>
        <v>0.17955964655547985</v>
      </c>
      <c r="AJ107" s="430">
        <f t="shared" si="13"/>
        <v>9.3957707302360388E-2</v>
      </c>
      <c r="AK107" s="430">
        <f t="shared" si="14"/>
        <v>9.7577050681978125E-2</v>
      </c>
      <c r="AL107" s="430">
        <f t="shared" si="15"/>
        <v>8.4993129950066471E-2</v>
      </c>
      <c r="AM107" s="430">
        <f t="shared" si="16"/>
        <v>5.5379304952021362E-2</v>
      </c>
      <c r="AN107" s="430" t="s">
        <v>160</v>
      </c>
      <c r="AO107" s="432">
        <f t="shared" si="17"/>
        <v>0.17435963315050437</v>
      </c>
      <c r="AP107" s="368"/>
      <c r="AQ107" s="693">
        <f>+[2]Base!CS105</f>
        <v>8361.0745999999999</v>
      </c>
      <c r="AR107" s="698">
        <f>+[2]Base!CT105</f>
        <v>28019.447</v>
      </c>
      <c r="AS107" s="698">
        <f>+[2]Base!CU105</f>
        <v>16077.6124</v>
      </c>
      <c r="AT107" s="698">
        <f>+[2]Base!CV105</f>
        <v>95606.292000000001</v>
      </c>
      <c r="AU107" s="694">
        <f>+[2]Base!CW105</f>
        <v>30991.477800000001</v>
      </c>
      <c r="AV107" s="368"/>
      <c r="AW107" s="433">
        <f t="shared" si="18"/>
        <v>4.6695330466953303E-2</v>
      </c>
      <c r="AX107" s="660">
        <f t="shared" si="19"/>
        <v>0.15648435156484353</v>
      </c>
      <c r="AY107" s="660">
        <f t="shared" si="20"/>
        <v>8.9791020897910204E-2</v>
      </c>
      <c r="AZ107" s="660">
        <f t="shared" si="21"/>
        <v>0.53394660533946603</v>
      </c>
      <c r="BA107" s="428">
        <f t="shared" si="22"/>
        <v>0.17308269173082691</v>
      </c>
      <c r="BB107" s="368"/>
      <c r="BC107" s="433">
        <f t="shared" si="8"/>
        <v>0.28624885661224603</v>
      </c>
      <c r="BD107" s="428">
        <f t="shared" si="9"/>
        <v>0.11524927668986472</v>
      </c>
      <c r="BG107" t="s">
        <v>595</v>
      </c>
      <c r="BH107" t="s">
        <v>851</v>
      </c>
    </row>
    <row r="108" spans="1:60" ht="12.75" customHeight="1" x14ac:dyDescent="0.2">
      <c r="A108" s="570">
        <v>42948</v>
      </c>
      <c r="B108" s="708">
        <f>IF([1]RENAME!$H$3=0,A108,TEXT(A108,"[$-em-US] mmm-aa;@"))</f>
        <v>42948</v>
      </c>
      <c r="C108" s="365" t="str">
        <f>IF([1]RENAME!$H$3=0,BG108,BH108)</f>
        <v>3T17</v>
      </c>
      <c r="D108" s="366">
        <v>42948</v>
      </c>
      <c r="E108" s="424">
        <f>+F108+G108</f>
        <v>273437</v>
      </c>
      <c r="F108" s="425">
        <v>210142</v>
      </c>
      <c r="G108" s="426">
        <v>63295</v>
      </c>
      <c r="H108" s="368"/>
      <c r="I108" s="424">
        <f>+J108+K108</f>
        <v>220.5</v>
      </c>
      <c r="J108" s="431">
        <v>148.1</v>
      </c>
      <c r="K108" s="429">
        <v>72.400000000000006</v>
      </c>
      <c r="L108" s="368"/>
      <c r="M108" s="427">
        <f>+[2]Base!X106</f>
        <v>255809</v>
      </c>
      <c r="N108" s="426">
        <f>+[2]Base!Y106</f>
        <v>23302</v>
      </c>
      <c r="O108" s="368"/>
      <c r="P108" s="427">
        <f>[2]Base!AB106</f>
        <v>86116.191599999991</v>
      </c>
      <c r="Q108" s="426">
        <f>[2]Base!AC106</f>
        <v>124025.80840000001</v>
      </c>
      <c r="R108" s="368"/>
      <c r="S108" s="427">
        <f>[2]Base!AE106</f>
        <v>1029273</v>
      </c>
      <c r="T108" s="429">
        <f>[2]Base!AF106</f>
        <v>4.8979880271435503</v>
      </c>
      <c r="U108" s="368"/>
      <c r="V108" s="427">
        <f>[2]Base!AR106</f>
        <v>38293</v>
      </c>
      <c r="W108" s="425">
        <f>[2]Base!AS106</f>
        <v>26242</v>
      </c>
      <c r="X108" s="425">
        <f>[2]Base!AT106</f>
        <v>38160</v>
      </c>
      <c r="Y108" s="425">
        <f>[2]Base!AU106</f>
        <v>18506</v>
      </c>
      <c r="Z108" s="425">
        <f>[2]Base!AV106</f>
        <v>23319</v>
      </c>
      <c r="AA108" s="425">
        <f>[2]Base!AW106</f>
        <v>18156</v>
      </c>
      <c r="AB108" s="425">
        <f>[2]Base!AX106</f>
        <v>11894</v>
      </c>
      <c r="AC108" s="425" t="s">
        <v>160</v>
      </c>
      <c r="AD108" s="426">
        <f>[2]Base!AZ106</f>
        <v>35572</v>
      </c>
      <c r="AE108" s="368"/>
      <c r="AF108" s="366">
        <f t="shared" si="23"/>
        <v>42948</v>
      </c>
      <c r="AG108" s="680">
        <f t="shared" si="10"/>
        <v>0.18222440064337447</v>
      </c>
      <c r="AH108" s="430">
        <f t="shared" si="11"/>
        <v>0.1248774638101855</v>
      </c>
      <c r="AI108" s="430">
        <f t="shared" si="12"/>
        <v>0.18159149527462382</v>
      </c>
      <c r="AJ108" s="430">
        <f t="shared" si="13"/>
        <v>8.806426130901962E-2</v>
      </c>
      <c r="AK108" s="430">
        <f t="shared" si="14"/>
        <v>0.11096782175862036</v>
      </c>
      <c r="AL108" s="430">
        <f t="shared" si="15"/>
        <v>8.6398720864938952E-2</v>
      </c>
      <c r="AM108" s="430">
        <f t="shared" si="16"/>
        <v>5.6599822976844232E-2</v>
      </c>
      <c r="AN108" s="430" t="s">
        <v>160</v>
      </c>
      <c r="AO108" s="432">
        <f t="shared" si="17"/>
        <v>0.16927601336239304</v>
      </c>
      <c r="AP108" s="368"/>
      <c r="AQ108" s="693">
        <f>+[2]Base!CS106</f>
        <v>9918.7024000000001</v>
      </c>
      <c r="AR108" s="698">
        <f>+[2]Base!CT106</f>
        <v>31752.456199999997</v>
      </c>
      <c r="AS108" s="698">
        <f>+[2]Base!CU106</f>
        <v>18555.5386</v>
      </c>
      <c r="AT108" s="698">
        <f>+[2]Base!CV106</f>
        <v>115220.85860000001</v>
      </c>
      <c r="AU108" s="694">
        <f>+[2]Base!CW106</f>
        <v>34673.43</v>
      </c>
      <c r="AV108" s="368"/>
      <c r="AW108" s="433">
        <f t="shared" si="18"/>
        <v>4.7204720472047206E-2</v>
      </c>
      <c r="AX108" s="660">
        <f t="shared" si="19"/>
        <v>0.15111511151115112</v>
      </c>
      <c r="AY108" s="660">
        <f t="shared" si="20"/>
        <v>8.8308830883088316E-2</v>
      </c>
      <c r="AZ108" s="660">
        <f t="shared" si="21"/>
        <v>0.54835483548354835</v>
      </c>
      <c r="BA108" s="428">
        <f t="shared" si="22"/>
        <v>0.16501650165016502</v>
      </c>
      <c r="BB108" s="368"/>
      <c r="BC108" s="433">
        <f t="shared" si="8"/>
        <v>0.24743070024901392</v>
      </c>
      <c r="BD108" s="428">
        <f t="shared" si="9"/>
        <v>0.11088692407990787</v>
      </c>
      <c r="BG108" t="s">
        <v>595</v>
      </c>
      <c r="BH108" t="s">
        <v>851</v>
      </c>
    </row>
    <row r="109" spans="1:60" ht="12.75" customHeight="1" x14ac:dyDescent="0.2">
      <c r="A109" s="570">
        <v>42979</v>
      </c>
      <c r="B109" s="708">
        <f>IF([1]RENAME!$H$3=0,A109,TEXT(A109,"[$-em-US] mmm-aa;@"))</f>
        <v>42979</v>
      </c>
      <c r="C109" s="365" t="str">
        <f>IF([1]RENAME!$H$3=0,BG109,BH109)</f>
        <v>3T17</v>
      </c>
      <c r="D109" s="366">
        <v>42979</v>
      </c>
      <c r="E109" s="424">
        <f>+F109+G109</f>
        <v>250456</v>
      </c>
      <c r="F109" s="425">
        <v>193806</v>
      </c>
      <c r="G109" s="426">
        <v>56650</v>
      </c>
      <c r="H109" s="368"/>
      <c r="I109" s="424">
        <f>+J109+K109</f>
        <v>224.10000000000002</v>
      </c>
      <c r="J109" s="431">
        <v>151.80000000000001</v>
      </c>
      <c r="K109" s="429">
        <v>72.3</v>
      </c>
      <c r="L109" s="368"/>
      <c r="M109" s="427">
        <f>+[2]Base!X107</f>
        <v>230477</v>
      </c>
      <c r="N109" s="426">
        <f>+[2]Base!Y107</f>
        <v>20172</v>
      </c>
      <c r="O109" s="368"/>
      <c r="P109" s="427">
        <f>[2]Base!AB107</f>
        <v>83104.012799999997</v>
      </c>
      <c r="Q109" s="426">
        <f>[2]Base!AC107</f>
        <v>110701.9872</v>
      </c>
      <c r="R109" s="368"/>
      <c r="S109" s="427">
        <f>[2]Base!AE107</f>
        <v>891628</v>
      </c>
      <c r="T109" s="429">
        <f>[2]Base!AF107</f>
        <v>4.6006212397964976</v>
      </c>
      <c r="U109" s="368"/>
      <c r="V109" s="427">
        <f>[2]Base!AR107</f>
        <v>35251</v>
      </c>
      <c r="W109" s="425">
        <f>[2]Base!AS107</f>
        <v>23252</v>
      </c>
      <c r="X109" s="425">
        <f>[2]Base!AT107</f>
        <v>32455</v>
      </c>
      <c r="Y109" s="425">
        <f>[2]Base!AU107</f>
        <v>15240</v>
      </c>
      <c r="Z109" s="425">
        <f>[2]Base!AV107</f>
        <v>28183</v>
      </c>
      <c r="AA109" s="425">
        <f>[2]Base!AW107</f>
        <v>15158</v>
      </c>
      <c r="AB109" s="425">
        <f>[2]Base!AX107</f>
        <v>9673</v>
      </c>
      <c r="AC109" s="425" t="s">
        <v>160</v>
      </c>
      <c r="AD109" s="426">
        <f>[2]Base!AZ107</f>
        <v>34594</v>
      </c>
      <c r="AE109" s="368"/>
      <c r="AF109" s="366">
        <f t="shared" si="23"/>
        <v>42979</v>
      </c>
      <c r="AG109" s="680">
        <f t="shared" si="10"/>
        <v>0.18188807364065096</v>
      </c>
      <c r="AH109" s="430">
        <f t="shared" si="11"/>
        <v>0.11997564574884162</v>
      </c>
      <c r="AI109" s="430">
        <f t="shared" si="12"/>
        <v>0.1674612757086984</v>
      </c>
      <c r="AJ109" s="430">
        <f t="shared" si="13"/>
        <v>7.8635336367295125E-2</v>
      </c>
      <c r="AK109" s="430">
        <f t="shared" si="14"/>
        <v>0.14541861449077945</v>
      </c>
      <c r="AL109" s="430">
        <f t="shared" si="15"/>
        <v>7.8212232851408103E-2</v>
      </c>
      <c r="AM109" s="430">
        <f t="shared" si="16"/>
        <v>4.9910735477745785E-2</v>
      </c>
      <c r="AN109" s="430" t="s">
        <v>160</v>
      </c>
      <c r="AO109" s="432">
        <f t="shared" si="17"/>
        <v>0.17849808571458056</v>
      </c>
      <c r="AP109" s="368"/>
      <c r="AQ109" s="693">
        <f>+[2]Base!CS107</f>
        <v>8546.8446000000004</v>
      </c>
      <c r="AR109" s="698">
        <f>+[2]Base!CT107</f>
        <v>28024.347600000001</v>
      </c>
      <c r="AS109" s="698">
        <f>+[2]Base!CU107</f>
        <v>15698.286</v>
      </c>
      <c r="AT109" s="698">
        <f>+[2]Base!CV107</f>
        <v>109907.38260000001</v>
      </c>
      <c r="AU109" s="694">
        <f>+[2]Base!CW107</f>
        <v>31570.997399999997</v>
      </c>
      <c r="AV109" s="368"/>
      <c r="AW109" s="433">
        <f t="shared" si="18"/>
        <v>4.4113233970191054E-2</v>
      </c>
      <c r="AX109" s="660">
        <f t="shared" si="19"/>
        <v>0.14464339301790535</v>
      </c>
      <c r="AY109" s="660">
        <f t="shared" si="20"/>
        <v>8.1024307292187653E-2</v>
      </c>
      <c r="AZ109" s="660">
        <f t="shared" si="21"/>
        <v>0.56727018105431626</v>
      </c>
      <c r="BA109" s="428">
        <f t="shared" si="22"/>
        <v>0.16294888466539958</v>
      </c>
      <c r="BB109" s="368"/>
      <c r="BC109" s="433">
        <f t="shared" si="8"/>
        <v>0.2457945912173449</v>
      </c>
      <c r="BD109" s="428">
        <f t="shared" si="9"/>
        <v>0.10408346490820718</v>
      </c>
      <c r="BG109" t="s">
        <v>595</v>
      </c>
      <c r="BH109" t="s">
        <v>851</v>
      </c>
    </row>
    <row r="110" spans="1:60" ht="12.75" customHeight="1" x14ac:dyDescent="0.2">
      <c r="A110" s="570">
        <v>43009</v>
      </c>
      <c r="B110" s="708">
        <f>IF([1]RENAME!$H$3=0,A110,TEXT(A110,"[$-em-US] mmm-aa;@"))</f>
        <v>43009</v>
      </c>
      <c r="C110" s="365" t="str">
        <f>IF([1]RENAME!$H$3=0,BG110,BH110)</f>
        <v>4T17</v>
      </c>
      <c r="D110" s="366">
        <v>43009</v>
      </c>
      <c r="E110" s="424">
        <v>255217</v>
      </c>
      <c r="F110" s="425">
        <v>196942</v>
      </c>
      <c r="G110" s="426">
        <v>58275</v>
      </c>
      <c r="H110" s="368"/>
      <c r="I110" s="424">
        <f>[2]Base!T108</f>
        <v>234.10000000000002</v>
      </c>
      <c r="J110" s="431">
        <f>[2]Base!U108</f>
        <v>154.30000000000001</v>
      </c>
      <c r="K110" s="429">
        <f>[2]Base!V108</f>
        <v>79.8</v>
      </c>
      <c r="L110" s="368"/>
      <c r="M110" s="427">
        <f>+[2]Base!X108</f>
        <v>244137</v>
      </c>
      <c r="N110" s="426">
        <f>+[2]Base!Y108</f>
        <v>20801</v>
      </c>
      <c r="O110" s="368"/>
      <c r="P110" s="427">
        <f>[2]Base!AB108</f>
        <v>83720.044199999989</v>
      </c>
      <c r="Q110" s="426">
        <f>[2]Base!AC108</f>
        <v>113221.95580000001</v>
      </c>
      <c r="R110" s="368"/>
      <c r="S110" s="427">
        <f>[2]Base!AE108</f>
        <v>900062</v>
      </c>
      <c r="T110" s="429">
        <f>[2]Base!AF108</f>
        <v>4.5701881772298441</v>
      </c>
      <c r="U110" s="368"/>
      <c r="V110" s="427">
        <f>[2]Base!AR108</f>
        <v>36515</v>
      </c>
      <c r="W110" s="425">
        <f>[2]Base!AS108</f>
        <v>23664</v>
      </c>
      <c r="X110" s="425">
        <f>[2]Base!AT108</f>
        <v>33717</v>
      </c>
      <c r="Y110" s="425">
        <f>[2]Base!AU108</f>
        <v>16462</v>
      </c>
      <c r="Z110" s="425">
        <f>[2]Base!AV108</f>
        <v>23597</v>
      </c>
      <c r="AA110" s="425">
        <f>[2]Base!AW108</f>
        <v>16149</v>
      </c>
      <c r="AB110" s="425">
        <f>[2]Base!AX108</f>
        <v>11921</v>
      </c>
      <c r="AC110" s="425" t="s">
        <v>160</v>
      </c>
      <c r="AD110" s="426">
        <f>[2]Base!AZ108</f>
        <v>34917</v>
      </c>
      <c r="AE110" s="368"/>
      <c r="AF110" s="366">
        <f t="shared" si="23"/>
        <v>43009</v>
      </c>
      <c r="AG110" s="680">
        <f t="shared" si="10"/>
        <v>0.1854099176407267</v>
      </c>
      <c r="AH110" s="430">
        <f t="shared" si="11"/>
        <v>0.12015720364371237</v>
      </c>
      <c r="AI110" s="430">
        <f t="shared" si="12"/>
        <v>0.1712026891165927</v>
      </c>
      <c r="AJ110" s="430">
        <f t="shared" si="13"/>
        <v>8.3588061459719101E-2</v>
      </c>
      <c r="AK110" s="430">
        <f t="shared" si="14"/>
        <v>0.1198170019599679</v>
      </c>
      <c r="AL110" s="430">
        <f t="shared" si="15"/>
        <v>8.1998761056554723E-2</v>
      </c>
      <c r="AM110" s="430">
        <f t="shared" si="16"/>
        <v>6.0530511521158514E-2</v>
      </c>
      <c r="AN110" s="430" t="s">
        <v>160</v>
      </c>
      <c r="AO110" s="432">
        <f t="shared" si="17"/>
        <v>0.17729585360156797</v>
      </c>
      <c r="AP110" s="368"/>
      <c r="AQ110" s="693">
        <f>+[2]Base!CS108</f>
        <v>9754.35822181818</v>
      </c>
      <c r="AR110" s="698">
        <f>+[2]Base!CT108</f>
        <v>30208.276906666732</v>
      </c>
      <c r="AS110" s="698">
        <f>+[2]Base!CU108</f>
        <v>19996.177733333268</v>
      </c>
      <c r="AT110" s="698">
        <f>+[2]Base!CV108</f>
        <v>103300.97271030294</v>
      </c>
      <c r="AU110" s="694">
        <f>+[2]Base!CW108</f>
        <v>34024.654790302935</v>
      </c>
      <c r="AV110" s="368"/>
      <c r="AW110" s="433">
        <f t="shared" si="18"/>
        <v>4.9443119811672952E-2</v>
      </c>
      <c r="AX110" s="660">
        <f t="shared" si="19"/>
        <v>0.15312042273162652</v>
      </c>
      <c r="AY110" s="660">
        <f t="shared" si="20"/>
        <v>0.10135709484538678</v>
      </c>
      <c r="AZ110" s="660">
        <f t="shared" si="21"/>
        <v>0.52361439412318822</v>
      </c>
      <c r="BA110" s="428">
        <f t="shared" si="22"/>
        <v>0.17246496848812548</v>
      </c>
      <c r="BB110" s="368"/>
      <c r="BC110" s="433">
        <f t="shared" si="8"/>
        <v>0.23869794418707529</v>
      </c>
      <c r="BD110" s="428">
        <f t="shared" si="9"/>
        <v>0.10561992870997552</v>
      </c>
      <c r="BG110" t="s">
        <v>596</v>
      </c>
      <c r="BH110" t="s">
        <v>1169</v>
      </c>
    </row>
    <row r="111" spans="1:60" ht="12.75" customHeight="1" x14ac:dyDescent="0.2">
      <c r="A111" s="570">
        <v>43040</v>
      </c>
      <c r="B111" s="708">
        <f>IF([1]RENAME!$H$3=0,A111,TEXT(A111,"[$-em-US] mmm-aa;@"))</f>
        <v>43040</v>
      </c>
      <c r="C111" s="365" t="str">
        <f>IF([1]RENAME!$H$3=0,BG111,BH111)</f>
        <v>4T17</v>
      </c>
      <c r="D111" s="366">
        <v>43040</v>
      </c>
      <c r="E111" s="424">
        <f>[2]Base!P109</f>
        <v>267752</v>
      </c>
      <c r="F111" s="425">
        <f>[2]Base!Q109</f>
        <v>197647</v>
      </c>
      <c r="G111" s="426">
        <f>[2]Base!R109</f>
        <v>70105</v>
      </c>
      <c r="H111" s="368"/>
      <c r="I111" s="424">
        <f>[2]Base!T109</f>
        <v>232.2</v>
      </c>
      <c r="J111" s="431">
        <f>[2]Base!U109</f>
        <v>154</v>
      </c>
      <c r="K111" s="429">
        <f>[2]Base!V109</f>
        <v>78.2</v>
      </c>
      <c r="L111" s="368"/>
      <c r="M111" s="427">
        <f>+[2]Base!X109</f>
        <v>244242</v>
      </c>
      <c r="N111" s="426">
        <f>+[2]Base!Y109</f>
        <v>21366</v>
      </c>
      <c r="O111" s="368"/>
      <c r="P111" s="427">
        <f>[2]Base!AB109</f>
        <v>84968.445300000007</v>
      </c>
      <c r="Q111" s="426">
        <f>[2]Base!AC109</f>
        <v>112678.55469999999</v>
      </c>
      <c r="R111" s="368"/>
      <c r="S111" s="427">
        <f>[2]Base!AE109</f>
        <v>876111</v>
      </c>
      <c r="T111" s="429">
        <f>[2]Base!AF109</f>
        <v>4.4327057835433878</v>
      </c>
      <c r="U111" s="368"/>
      <c r="V111" s="427">
        <f>[2]Base!AR109</f>
        <v>37354</v>
      </c>
      <c r="W111" s="425">
        <f>[2]Base!AS109</f>
        <v>25589</v>
      </c>
      <c r="X111" s="425">
        <f>[2]Base!AT109</f>
        <v>32815</v>
      </c>
      <c r="Y111" s="425">
        <f>[2]Base!AU109</f>
        <v>16376</v>
      </c>
      <c r="Z111" s="425">
        <f>[2]Base!AV109</f>
        <v>22359</v>
      </c>
      <c r="AA111" s="425">
        <f>[2]Base!AW109</f>
        <v>16484</v>
      </c>
      <c r="AB111" s="425">
        <f>[2]Base!AX109</f>
        <v>11360</v>
      </c>
      <c r="AC111" s="425" t="s">
        <v>160</v>
      </c>
      <c r="AD111" s="426">
        <f>[2]Base!AZ109</f>
        <v>35310</v>
      </c>
      <c r="AE111" s="368"/>
      <c r="AF111" s="366">
        <f t="shared" si="23"/>
        <v>43040</v>
      </c>
      <c r="AG111" s="680">
        <f t="shared" si="10"/>
        <v>0.18899350862902042</v>
      </c>
      <c r="AH111" s="430">
        <f t="shared" si="11"/>
        <v>0.12946819329410514</v>
      </c>
      <c r="AI111" s="430">
        <f t="shared" si="12"/>
        <v>0.16602832322271524</v>
      </c>
      <c r="AJ111" s="430">
        <f t="shared" si="13"/>
        <v>8.2854786563924573E-2</v>
      </c>
      <c r="AK111" s="430">
        <f t="shared" si="14"/>
        <v>0.11312592652557336</v>
      </c>
      <c r="AL111" s="430">
        <f t="shared" si="15"/>
        <v>8.3401215297980738E-2</v>
      </c>
      <c r="AM111" s="430">
        <f t="shared" si="16"/>
        <v>5.747620758220464E-2</v>
      </c>
      <c r="AN111" s="430" t="s">
        <v>160</v>
      </c>
      <c r="AO111" s="432">
        <f t="shared" si="17"/>
        <v>0.17865183888447586</v>
      </c>
      <c r="AP111" s="368"/>
      <c r="AQ111" s="693">
        <f>+[2]Base!CS109</f>
        <v>9799.6976181818209</v>
      </c>
      <c r="AR111" s="698">
        <f>+[2]Base!CT109</f>
        <v>30124.038093333271</v>
      </c>
      <c r="AS111" s="698">
        <f>+[2]Base!CU109</f>
        <v>19900.417606666731</v>
      </c>
      <c r="AT111" s="698">
        <f>+[2]Base!CV109</f>
        <v>103953.81718969703</v>
      </c>
      <c r="AU111" s="694">
        <f>+[2]Base!CW109</f>
        <v>34196.285009697029</v>
      </c>
      <c r="AV111" s="368"/>
      <c r="AW111" s="433">
        <f t="shared" si="18"/>
        <v>4.9499858416246538E-2</v>
      </c>
      <c r="AX111" s="660">
        <f t="shared" si="19"/>
        <v>0.15216139095751718</v>
      </c>
      <c r="AY111" s="660">
        <f t="shared" si="20"/>
        <v>0.1005202295350973</v>
      </c>
      <c r="AZ111" s="660">
        <f t="shared" si="21"/>
        <v>0.52508755200480173</v>
      </c>
      <c r="BA111" s="428">
        <f t="shared" si="22"/>
        <v>0.17273096908633723</v>
      </c>
      <c r="BB111" s="368"/>
      <c r="BC111" s="433">
        <f t="shared" si="8"/>
        <v>0.28703089558716355</v>
      </c>
      <c r="BD111" s="428">
        <f t="shared" si="9"/>
        <v>0.1081018178874458</v>
      </c>
      <c r="BG111" t="s">
        <v>596</v>
      </c>
      <c r="BH111" t="s">
        <v>1169</v>
      </c>
    </row>
    <row r="112" spans="1:60" ht="12.75" customHeight="1" x14ac:dyDescent="0.2">
      <c r="A112" s="570">
        <v>43070</v>
      </c>
      <c r="B112" s="708">
        <f>IF([1]RENAME!$H$3=0,A112,TEXT(A112,"[$-em-US] mmm-aa;@"))</f>
        <v>43070</v>
      </c>
      <c r="C112" s="365" t="str">
        <f>IF([1]RENAME!$H$3=0,BG112,BH112)</f>
        <v>4T17</v>
      </c>
      <c r="D112" s="366">
        <v>43070</v>
      </c>
      <c r="E112" s="424">
        <f>[2]Base!P110</f>
        <v>263510</v>
      </c>
      <c r="F112" s="425">
        <f>[2]Base!Q110</f>
        <v>205318</v>
      </c>
      <c r="G112" s="426">
        <f>[2]Base!R110</f>
        <v>58192</v>
      </c>
      <c r="H112" s="368"/>
      <c r="I112" s="424">
        <f>[2]Base!T110</f>
        <v>219.1</v>
      </c>
      <c r="J112" s="431">
        <f>[2]Base!U110</f>
        <v>156.69999999999999</v>
      </c>
      <c r="K112" s="429">
        <f>[2]Base!V110</f>
        <v>62.4</v>
      </c>
      <c r="L112" s="368"/>
      <c r="M112" s="427">
        <f>+[2]Base!X110</f>
        <v>210939</v>
      </c>
      <c r="N112" s="426">
        <f>+[2]Base!Y110</f>
        <v>25595</v>
      </c>
      <c r="O112" s="368"/>
      <c r="P112" s="427">
        <f>[2]Base!AB110</f>
        <v>81346.991599999994</v>
      </c>
      <c r="Q112" s="426">
        <f>[2]Base!AC110</f>
        <v>123971.00840000001</v>
      </c>
      <c r="R112" s="368"/>
      <c r="S112" s="427">
        <f>[2]Base!AE110</f>
        <v>1016018</v>
      </c>
      <c r="T112" s="429">
        <f>[2]Base!AF110</f>
        <v>4.9485091419164418</v>
      </c>
      <c r="U112" s="368"/>
      <c r="V112" s="427">
        <f>[2]Base!AR110</f>
        <v>37416</v>
      </c>
      <c r="W112" s="425">
        <f>[2]Base!AS110</f>
        <v>25682</v>
      </c>
      <c r="X112" s="425">
        <f>[2]Base!AT110</f>
        <v>35136</v>
      </c>
      <c r="Y112" s="425">
        <f>[2]Base!AU110</f>
        <v>19239</v>
      </c>
      <c r="Z112" s="425">
        <f>[2]Base!AV110</f>
        <v>23456</v>
      </c>
      <c r="AA112" s="425">
        <f>[2]Base!AW110</f>
        <v>17177</v>
      </c>
      <c r="AB112" s="425">
        <f>[2]Base!AX110</f>
        <v>11321</v>
      </c>
      <c r="AC112" s="425" t="s">
        <v>160</v>
      </c>
      <c r="AD112" s="426">
        <f>[2]Base!AZ110</f>
        <v>35891</v>
      </c>
      <c r="AE112" s="368"/>
      <c r="AF112" s="366">
        <f t="shared" si="23"/>
        <v>43070</v>
      </c>
      <c r="AG112" s="680">
        <f t="shared" si="10"/>
        <v>0.18223438763284272</v>
      </c>
      <c r="AH112" s="430">
        <f t="shared" si="11"/>
        <v>0.12508401601418287</v>
      </c>
      <c r="AI112" s="430">
        <f t="shared" si="12"/>
        <v>0.17112966227997545</v>
      </c>
      <c r="AJ112" s="430">
        <f t="shared" si="13"/>
        <v>9.3703425905181228E-2</v>
      </c>
      <c r="AK112" s="430">
        <f t="shared" si="14"/>
        <v>0.11424229731440984</v>
      </c>
      <c r="AL112" s="430">
        <f t="shared" si="15"/>
        <v>8.3660468151842513E-2</v>
      </c>
      <c r="AM112" s="430">
        <f t="shared" si="16"/>
        <v>5.51388577718466E-2</v>
      </c>
      <c r="AN112" s="430" t="s">
        <v>160</v>
      </c>
      <c r="AO112" s="432">
        <f t="shared" si="17"/>
        <v>0.17480688492971877</v>
      </c>
      <c r="AP112" s="368"/>
      <c r="AQ112" s="693">
        <f>+[2]Base!CS110</f>
        <v>10190.865603636374</v>
      </c>
      <c r="AR112" s="698">
        <f>+[2]Base!CT110</f>
        <v>31093.357919999999</v>
      </c>
      <c r="AS112" s="698">
        <f>+[2]Base!CU110</f>
        <v>20498.949120000001</v>
      </c>
      <c r="AT112" s="698">
        <f>+[2]Base!CV110</f>
        <v>108282.47336727275</v>
      </c>
      <c r="AU112" s="694">
        <f>+[2]Base!CW110</f>
        <v>35575.26320727275</v>
      </c>
      <c r="AV112" s="368"/>
      <c r="AW112" s="433">
        <f t="shared" si="18"/>
        <v>4.9556606428072254E-2</v>
      </c>
      <c r="AX112" s="660">
        <f t="shared" si="19"/>
        <v>0.15120220017608665</v>
      </c>
      <c r="AY112" s="660">
        <f t="shared" si="20"/>
        <v>9.9683225472665699E-2</v>
      </c>
      <c r="AZ112" s="660">
        <f t="shared" si="21"/>
        <v>0.52656095413576831</v>
      </c>
      <c r="BA112" s="428">
        <f t="shared" si="22"/>
        <v>0.17299701378740714</v>
      </c>
      <c r="BB112" s="368"/>
      <c r="BC112" s="433">
        <f t="shared" si="8"/>
        <v>0.27587122343426301</v>
      </c>
      <c r="BD112" s="428">
        <f t="shared" si="9"/>
        <v>0.12466028307308663</v>
      </c>
      <c r="BG112" t="s">
        <v>596</v>
      </c>
      <c r="BH112" t="s">
        <v>1169</v>
      </c>
    </row>
    <row r="113" spans="1:60" ht="12.75" customHeight="1" outlineLevel="1" x14ac:dyDescent="0.2">
      <c r="A113" s="570">
        <v>43101</v>
      </c>
      <c r="B113" s="708">
        <f>IF([1]RENAME!$H$3=0,A113,TEXT(A113,"[$-em-US] mmm-aa;@"))</f>
        <v>43101</v>
      </c>
      <c r="C113" s="365" t="str">
        <f>IF([1]RENAME!$H$3=0,BG113,BH113)</f>
        <v>1T18</v>
      </c>
      <c r="D113" s="366">
        <v>43101</v>
      </c>
      <c r="E113" s="616">
        <f>[2]Base!P111</f>
        <v>219813</v>
      </c>
      <c r="F113" s="615">
        <f>[2]Base!Q111</f>
        <v>175857</v>
      </c>
      <c r="G113" s="614">
        <f>[2]Base!R111</f>
        <v>43956</v>
      </c>
      <c r="H113" s="365"/>
      <c r="I113" s="616">
        <f>[2]Base!T111</f>
        <v>228.7</v>
      </c>
      <c r="J113" s="668">
        <f>[2]Base!U111</f>
        <v>151.4</v>
      </c>
      <c r="K113" s="669">
        <f>[2]Base!V111</f>
        <v>77.3</v>
      </c>
      <c r="L113" s="365"/>
      <c r="M113" s="613">
        <f>+[2]Base!X111</f>
        <v>210565</v>
      </c>
      <c r="N113" s="614">
        <f>+[2]Base!Y111</f>
        <v>20875</v>
      </c>
      <c r="O113" s="365"/>
      <c r="P113" s="613">
        <f>[2]Base!AB111</f>
        <v>58982.437799999992</v>
      </c>
      <c r="Q113" s="614">
        <f>[2]Base!AC111</f>
        <v>116874.56220000001</v>
      </c>
      <c r="R113" s="365"/>
      <c r="S113" s="613">
        <f>[2]Base!AE111</f>
        <v>869680</v>
      </c>
      <c r="T113" s="669">
        <f>[2]Base!AF111</f>
        <v>4.945381759042859</v>
      </c>
      <c r="U113" s="365"/>
      <c r="V113" s="613">
        <f>[2]Base!AR111</f>
        <v>33904</v>
      </c>
      <c r="W113" s="615">
        <f>[2]Base!AS111</f>
        <v>26343</v>
      </c>
      <c r="X113" s="615">
        <f>[2]Base!AT111</f>
        <v>30505</v>
      </c>
      <c r="Y113" s="615">
        <f>[2]Base!AU111</f>
        <v>14284</v>
      </c>
      <c r="Z113" s="615">
        <f>[2]Base!AV111</f>
        <v>17903</v>
      </c>
      <c r="AA113" s="615">
        <f>[2]Base!AW111</f>
        <v>13322</v>
      </c>
      <c r="AB113" s="615">
        <f>[2]Base!AX111</f>
        <v>10072</v>
      </c>
      <c r="AC113" s="615" t="s">
        <v>160</v>
      </c>
      <c r="AD113" s="614">
        <f>[2]Base!AZ111</f>
        <v>29524</v>
      </c>
      <c r="AE113" s="365"/>
      <c r="AF113" s="366">
        <f t="shared" si="23"/>
        <v>43101</v>
      </c>
      <c r="AG113" s="681">
        <f t="shared" si="10"/>
        <v>0.19279300795532733</v>
      </c>
      <c r="AH113" s="682">
        <f t="shared" si="11"/>
        <v>0.14979784711441682</v>
      </c>
      <c r="AI113" s="682">
        <f t="shared" si="12"/>
        <v>0.17346480378944257</v>
      </c>
      <c r="AJ113" s="682">
        <f t="shared" si="13"/>
        <v>8.1225086291702914E-2</v>
      </c>
      <c r="AK113" s="682">
        <f t="shared" si="14"/>
        <v>0.10180430690845403</v>
      </c>
      <c r="AL113" s="682">
        <f t="shared" si="15"/>
        <v>7.5754732538369243E-2</v>
      </c>
      <c r="AM113" s="682">
        <f t="shared" si="16"/>
        <v>5.7273807696025747E-2</v>
      </c>
      <c r="AN113" s="682" t="s">
        <v>160</v>
      </c>
      <c r="AO113" s="683">
        <f t="shared" si="17"/>
        <v>0.16788640770626134</v>
      </c>
      <c r="AP113" s="365"/>
      <c r="AQ113" s="693">
        <f>+[2]Base!CS111</f>
        <v>8737.8547199999957</v>
      </c>
      <c r="AR113" s="698">
        <f>+[2]Base!CT111</f>
        <v>26460.616600000059</v>
      </c>
      <c r="AS113" s="698">
        <f>+[2]Base!CU111</f>
        <v>17408.670619999994</v>
      </c>
      <c r="AT113" s="698">
        <f>+[2]Base!CV111</f>
        <v>92996.911899999977</v>
      </c>
      <c r="AU113" s="694">
        <f>+[2]Base!CW111</f>
        <v>30514.919799999978</v>
      </c>
      <c r="AV113" s="365"/>
      <c r="AW113" s="617">
        <f t="shared" ref="AW113:AW122" si="24">+AQ113/SUM($AQ113:$AU113)</f>
        <v>4.9613363849489653E-2</v>
      </c>
      <c r="AX113" s="661">
        <f t="shared" si="19"/>
        <v>0.15024285034778528</v>
      </c>
      <c r="AY113" s="661">
        <f t="shared" si="20"/>
        <v>9.8846082623582535E-2</v>
      </c>
      <c r="AZ113" s="661">
        <f t="shared" si="21"/>
        <v>0.5280346005768376</v>
      </c>
      <c r="BA113" s="618">
        <f t="shared" si="22"/>
        <v>0.17326310260230507</v>
      </c>
      <c r="BB113" s="365"/>
      <c r="BC113" s="617">
        <f t="shared" si="8"/>
        <v>0.20875264170208724</v>
      </c>
      <c r="BD113" s="618">
        <f t="shared" si="9"/>
        <v>0.11870440187197552</v>
      </c>
      <c r="BG113" t="s">
        <v>623</v>
      </c>
      <c r="BH113" t="s">
        <v>1290</v>
      </c>
    </row>
    <row r="114" spans="1:60" ht="12.75" customHeight="1" outlineLevel="1" x14ac:dyDescent="0.2">
      <c r="A114" s="570">
        <v>43132</v>
      </c>
      <c r="B114" s="708">
        <f>IF([1]RENAME!$H$3=0,A114,TEXT(A114,"[$-em-US] mmm-aa;@"))</f>
        <v>43132</v>
      </c>
      <c r="C114" s="365" t="str">
        <f>IF([1]RENAME!$H$3=0,BG114,BH114)</f>
        <v>1T18</v>
      </c>
      <c r="D114" s="366">
        <v>43132</v>
      </c>
      <c r="E114" s="616">
        <f>[2]Base!P112</f>
        <v>214756</v>
      </c>
      <c r="F114" s="615">
        <f>[2]Base!Q112</f>
        <v>151994</v>
      </c>
      <c r="G114" s="614">
        <f>[2]Base!R112</f>
        <v>62762</v>
      </c>
      <c r="H114" s="365"/>
      <c r="I114" s="616">
        <f>[2]Base!T112</f>
        <v>226.5</v>
      </c>
      <c r="J114" s="668">
        <f>[2]Base!U112</f>
        <v>144.1</v>
      </c>
      <c r="K114" s="669">
        <f>[2]Base!V112</f>
        <v>82.4</v>
      </c>
      <c r="L114" s="365"/>
      <c r="M114" s="613">
        <f>+[2]Base!X112</f>
        <v>203610</v>
      </c>
      <c r="N114" s="614">
        <f>+[2]Base!Y112</f>
        <v>18307</v>
      </c>
      <c r="O114" s="365"/>
      <c r="P114" s="613">
        <f>[2]Base!AB112</f>
        <v>57240.940399999999</v>
      </c>
      <c r="Q114" s="614">
        <f>[2]Base!AC112</f>
        <v>94753.059600000008</v>
      </c>
      <c r="R114" s="365"/>
      <c r="S114" s="613">
        <f>[2]Base!AE112</f>
        <v>741381</v>
      </c>
      <c r="T114" s="669">
        <f>[2]Base!AF112</f>
        <v>4.8776991197020934</v>
      </c>
      <c r="U114" s="365"/>
      <c r="V114" s="613">
        <f>[2]Base!AR112</f>
        <v>27394</v>
      </c>
      <c r="W114" s="615">
        <f>[2]Base!AS112</f>
        <v>22261</v>
      </c>
      <c r="X114" s="615">
        <f>[2]Base!AT112</f>
        <v>23338</v>
      </c>
      <c r="Y114" s="615">
        <f>[2]Base!AU112</f>
        <v>12302</v>
      </c>
      <c r="Z114" s="615">
        <f>[2]Base!AV112</f>
        <v>18406</v>
      </c>
      <c r="AA114" s="615">
        <f>[2]Base!AW112</f>
        <v>13262</v>
      </c>
      <c r="AB114" s="615">
        <f>[2]Base!AX112</f>
        <v>9807</v>
      </c>
      <c r="AC114" s="615" t="s">
        <v>160</v>
      </c>
      <c r="AD114" s="614">
        <f>[2]Base!AZ112</f>
        <v>25224</v>
      </c>
      <c r="AE114" s="365"/>
      <c r="AF114" s="366">
        <f t="shared" si="23"/>
        <v>43132</v>
      </c>
      <c r="AG114" s="681">
        <f t="shared" si="10"/>
        <v>0.18023079858415464</v>
      </c>
      <c r="AH114" s="682">
        <f t="shared" si="11"/>
        <v>0.14645972867350027</v>
      </c>
      <c r="AI114" s="682">
        <f t="shared" si="12"/>
        <v>0.1535455346921589</v>
      </c>
      <c r="AJ114" s="682">
        <f t="shared" si="13"/>
        <v>8.0937405423898309E-2</v>
      </c>
      <c r="AK114" s="682">
        <f t="shared" si="14"/>
        <v>0.12109688540337119</v>
      </c>
      <c r="AL114" s="682">
        <f t="shared" si="15"/>
        <v>8.725344421490322E-2</v>
      </c>
      <c r="AM114" s="682">
        <f t="shared" si="16"/>
        <v>6.4522283774359521E-2</v>
      </c>
      <c r="AN114" s="682" t="s">
        <v>160</v>
      </c>
      <c r="AO114" s="683">
        <f t="shared" si="17"/>
        <v>0.16595391923365396</v>
      </c>
      <c r="AP114" s="365"/>
      <c r="AQ114" s="693">
        <f>+[2]Base!CS112</f>
        <v>7560.18156</v>
      </c>
      <c r="AR114" s="698">
        <f>+[2]Base!CT112</f>
        <v>22722.089706666618</v>
      </c>
      <c r="AS114" s="698">
        <f>+[2]Base!CU112</f>
        <v>14917.704453333339</v>
      </c>
      <c r="AT114" s="698">
        <f>+[2]Base!CV112</f>
        <v>80595.325146666626</v>
      </c>
      <c r="AU114" s="694">
        <f>+[2]Base!CW112</f>
        <v>26412.504026666615</v>
      </c>
      <c r="AV114" s="365"/>
      <c r="AW114" s="617">
        <f t="shared" si="24"/>
        <v>4.9670130682839514E-2</v>
      </c>
      <c r="AX114" s="661">
        <f t="shared" si="19"/>
        <v>0.14928334143305066</v>
      </c>
      <c r="AY114" s="661">
        <f t="shared" si="20"/>
        <v>9.8008800953325773E-2</v>
      </c>
      <c r="AZ114" s="661">
        <f t="shared" si="21"/>
        <v>0.52950849138877998</v>
      </c>
      <c r="BA114" s="618">
        <f t="shared" si="22"/>
        <v>0.17352923554200406</v>
      </c>
      <c r="BB114" s="365"/>
      <c r="BC114" s="617">
        <f t="shared" si="8"/>
        <v>0.30824615686852314</v>
      </c>
      <c r="BD114" s="618">
        <f t="shared" si="9"/>
        <v>0.1204455439030488</v>
      </c>
      <c r="BG114" t="s">
        <v>623</v>
      </c>
      <c r="BH114" t="s">
        <v>1290</v>
      </c>
    </row>
    <row r="115" spans="1:60" ht="12.75" customHeight="1" outlineLevel="1" x14ac:dyDescent="0.2">
      <c r="A115" s="570">
        <v>43160</v>
      </c>
      <c r="B115" s="708">
        <f>IF([1]RENAME!$H$3=0,A115,TEXT(A115,"[$-em-US] mmm-aa;@"))</f>
        <v>43160</v>
      </c>
      <c r="C115" s="365" t="str">
        <f>IF([1]RENAME!$H$3=0,BG115,BH115)</f>
        <v>1T18</v>
      </c>
      <c r="D115" s="366">
        <v>43160</v>
      </c>
      <c r="E115" s="616">
        <f>[2]Base!P113</f>
        <v>264078</v>
      </c>
      <c r="F115" s="615">
        <f>[2]Base!Q113</f>
        <v>200393</v>
      </c>
      <c r="G115" s="614">
        <f>[2]Base!R113</f>
        <v>63685</v>
      </c>
      <c r="H115" s="365"/>
      <c r="I115" s="616">
        <f>[2]Base!T113</f>
        <v>230.7</v>
      </c>
      <c r="J115" s="668">
        <f>[2]Base!U113</f>
        <v>150</v>
      </c>
      <c r="K115" s="669">
        <f>[2]Base!V113</f>
        <v>80.7</v>
      </c>
      <c r="L115" s="365"/>
      <c r="M115" s="613">
        <f>+[2]Base!X113</f>
        <v>254759</v>
      </c>
      <c r="N115" s="614">
        <f>+[2]Base!Y113</f>
        <v>24327</v>
      </c>
      <c r="O115" s="365"/>
      <c r="P115" s="613">
        <f>[2]Base!AB113</f>
        <v>76650.322499999995</v>
      </c>
      <c r="Q115" s="614">
        <f>[2]Base!AC113</f>
        <v>123742.67750000001</v>
      </c>
      <c r="R115" s="365"/>
      <c r="S115" s="613">
        <f>[2]Base!AE113</f>
        <v>849155</v>
      </c>
      <c r="T115" s="669">
        <f>[2]Base!AF113</f>
        <v>4.2374484138667521</v>
      </c>
      <c r="U115" s="365"/>
      <c r="V115" s="613">
        <f>[2]Base!AR113</f>
        <v>30572</v>
      </c>
      <c r="W115" s="615">
        <f>[2]Base!AS113</f>
        <v>28871</v>
      </c>
      <c r="X115" s="615">
        <f>[2]Base!AT113</f>
        <v>32250</v>
      </c>
      <c r="Y115" s="615">
        <f>[2]Base!AU113</f>
        <v>16511</v>
      </c>
      <c r="Z115" s="615">
        <f>[2]Base!AV113</f>
        <v>27605</v>
      </c>
      <c r="AA115" s="615">
        <f>[2]Base!AW113</f>
        <v>15810</v>
      </c>
      <c r="AB115" s="615">
        <f>[2]Base!AX113</f>
        <v>13525</v>
      </c>
      <c r="AC115" s="615" t="s">
        <v>160</v>
      </c>
      <c r="AD115" s="614">
        <f>[2]Base!AZ113</f>
        <v>35249</v>
      </c>
      <c r="AE115" s="365"/>
      <c r="AF115" s="366">
        <f t="shared" si="23"/>
        <v>43160</v>
      </c>
      <c r="AG115" s="681">
        <f t="shared" si="10"/>
        <v>0.15256021916933227</v>
      </c>
      <c r="AH115" s="682">
        <f t="shared" si="11"/>
        <v>0.14407189871901713</v>
      </c>
      <c r="AI115" s="682">
        <f t="shared" si="12"/>
        <v>0.16093376515147734</v>
      </c>
      <c r="AJ115" s="682">
        <f t="shared" si="13"/>
        <v>8.2393097563288137E-2</v>
      </c>
      <c r="AK115" s="682">
        <f t="shared" si="14"/>
        <v>0.13775431277539635</v>
      </c>
      <c r="AL115" s="682">
        <f t="shared" si="15"/>
        <v>7.8894971381235871E-2</v>
      </c>
      <c r="AM115" s="682">
        <f t="shared" si="16"/>
        <v>6.7492377478255233E-2</v>
      </c>
      <c r="AN115" s="682" t="s">
        <v>160</v>
      </c>
      <c r="AO115" s="683">
        <f t="shared" si="17"/>
        <v>0.17589935776199767</v>
      </c>
      <c r="AP115" s="365"/>
      <c r="AQ115" s="693">
        <f>+[2]Base!CS113</f>
        <v>9358.3531000000003</v>
      </c>
      <c r="AR115" s="698">
        <f>+[2]Base!CT113</f>
        <v>30099.028600000001</v>
      </c>
      <c r="AS115" s="698">
        <f>+[2]Base!CU113</f>
        <v>19157.570800000001</v>
      </c>
      <c r="AT115" s="698">
        <f>+[2]Base!CV113</f>
        <v>105687.26819999999</v>
      </c>
      <c r="AU115" s="694">
        <f>+[2]Base!CW113</f>
        <v>36090.779300000002</v>
      </c>
      <c r="AV115" s="365"/>
      <c r="AW115" s="617">
        <f t="shared" si="24"/>
        <v>4.6699999999999998E-2</v>
      </c>
      <c r="AX115" s="661">
        <f t="shared" si="19"/>
        <v>0.1502</v>
      </c>
      <c r="AY115" s="661">
        <f t="shared" si="20"/>
        <v>9.5600000000000004E-2</v>
      </c>
      <c r="AZ115" s="661">
        <f t="shared" si="21"/>
        <v>0.52739999999999998</v>
      </c>
      <c r="BA115" s="618">
        <f t="shared" si="22"/>
        <v>0.18010000000000001</v>
      </c>
      <c r="BB115" s="365"/>
      <c r="BC115" s="617">
        <f t="shared" si="8"/>
        <v>0.24998135492759824</v>
      </c>
      <c r="BD115" s="618">
        <f t="shared" si="9"/>
        <v>0.12139645596403068</v>
      </c>
      <c r="BG115" t="s">
        <v>623</v>
      </c>
      <c r="BH115" t="s">
        <v>1290</v>
      </c>
    </row>
    <row r="116" spans="1:60" ht="12.75" customHeight="1" outlineLevel="1" x14ac:dyDescent="0.2">
      <c r="A116" s="570">
        <v>43191</v>
      </c>
      <c r="B116" s="708">
        <f>IF([1]RENAME!$H$3=0,A116,TEXT(A116,"[$-em-US] mmm-aa;@"))</f>
        <v>43191</v>
      </c>
      <c r="C116" s="365" t="str">
        <f>IF([1]RENAME!$H$3=0,BG116,BH116)</f>
        <v>2T18</v>
      </c>
      <c r="D116" s="366">
        <v>43191</v>
      </c>
      <c r="E116" s="616">
        <f>[2]Base!P114</f>
        <v>279891</v>
      </c>
      <c r="F116" s="615">
        <f>[2]Base!Q114</f>
        <v>210238</v>
      </c>
      <c r="G116" s="614">
        <f>[2]Base!R114</f>
        <v>69653</v>
      </c>
      <c r="H116" s="365"/>
      <c r="I116" s="616">
        <f>[2]Base!T114</f>
        <v>230.70000000000002</v>
      </c>
      <c r="J116" s="668">
        <f>[2]Base!U114</f>
        <v>151.80000000000001</v>
      </c>
      <c r="K116" s="669">
        <f>[2]Base!V114</f>
        <v>78.900000000000006</v>
      </c>
      <c r="L116" s="365"/>
      <c r="M116" s="613">
        <f>+[2]Base!X114</f>
        <v>254154</v>
      </c>
      <c r="N116" s="614">
        <f>+[2]Base!Y114</f>
        <v>26689</v>
      </c>
      <c r="O116" s="365"/>
      <c r="P116" s="613">
        <f>[2]Base!AB114</f>
        <v>90002.887800000011</v>
      </c>
      <c r="Q116" s="614">
        <f>[2]Base!AC114</f>
        <v>120235.11219999999</v>
      </c>
      <c r="R116" s="365"/>
      <c r="S116" s="613">
        <f>[2]Base!AE114</f>
        <v>891975</v>
      </c>
      <c r="T116" s="669">
        <f>[2]Base!AF114</f>
        <v>4.2426916161683428</v>
      </c>
      <c r="U116" s="365"/>
      <c r="V116" s="613">
        <f>[2]Base!AR114</f>
        <v>33832</v>
      </c>
      <c r="W116" s="615">
        <f>[2]Base!AS114</f>
        <v>30329</v>
      </c>
      <c r="X116" s="615">
        <f>[2]Base!AT114</f>
        <v>37327</v>
      </c>
      <c r="Y116" s="615">
        <f>[2]Base!AU114</f>
        <v>17986</v>
      </c>
      <c r="Z116" s="615">
        <f>[2]Base!AV114</f>
        <v>27964</v>
      </c>
      <c r="AA116" s="615">
        <f>[2]Base!AW114</f>
        <v>16509</v>
      </c>
      <c r="AB116" s="615">
        <f>[2]Base!AX114</f>
        <v>11290</v>
      </c>
      <c r="AC116" s="615" t="s">
        <v>160</v>
      </c>
      <c r="AD116" s="614">
        <f>[2]Base!AZ114</f>
        <v>35001</v>
      </c>
      <c r="AE116" s="365"/>
      <c r="AF116" s="366">
        <f t="shared" si="23"/>
        <v>43191</v>
      </c>
      <c r="AG116" s="681">
        <f t="shared" si="10"/>
        <v>0.16092238320379759</v>
      </c>
      <c r="AH116" s="682">
        <f t="shared" si="11"/>
        <v>0.14426031450070873</v>
      </c>
      <c r="AI116" s="682">
        <f t="shared" si="12"/>
        <v>0.17754639979451858</v>
      </c>
      <c r="AJ116" s="682">
        <f t="shared" si="13"/>
        <v>8.5550661631103794E-2</v>
      </c>
      <c r="AK116" s="682">
        <f t="shared" si="14"/>
        <v>0.13301115878195188</v>
      </c>
      <c r="AL116" s="682">
        <f t="shared" si="15"/>
        <v>7.8525290385182508E-2</v>
      </c>
      <c r="AM116" s="682">
        <f t="shared" si="16"/>
        <v>5.3701043579181693E-2</v>
      </c>
      <c r="AN116" s="682" t="s">
        <v>160</v>
      </c>
      <c r="AO116" s="683">
        <f t="shared" si="17"/>
        <v>0.16648274812355521</v>
      </c>
      <c r="AP116" s="365"/>
      <c r="AQ116" s="693">
        <f>+[2]Base!CS114</f>
        <v>9860.1621999999988</v>
      </c>
      <c r="AR116" s="698">
        <f>+[2]Base!CT114</f>
        <v>30694.748</v>
      </c>
      <c r="AS116" s="698">
        <f>+[2]Base!CU114</f>
        <v>20624.347800000003</v>
      </c>
      <c r="AT116" s="698">
        <f>+[2]Base!CV114</f>
        <v>111257.94960000001</v>
      </c>
      <c r="AU116" s="694">
        <f>+[2]Base!CW114</f>
        <v>37800.792399999998</v>
      </c>
      <c r="AV116" s="365"/>
      <c r="AW116" s="617">
        <f t="shared" si="24"/>
        <v>4.689999999999999E-2</v>
      </c>
      <c r="AX116" s="661">
        <f t="shared" si="19"/>
        <v>0.14599999999999999</v>
      </c>
      <c r="AY116" s="661">
        <f t="shared" si="20"/>
        <v>9.8100000000000007E-2</v>
      </c>
      <c r="AZ116" s="661">
        <f t="shared" si="21"/>
        <v>0.5292</v>
      </c>
      <c r="BA116" s="618">
        <f t="shared" si="22"/>
        <v>0.17979999999999996</v>
      </c>
      <c r="BB116" s="365"/>
      <c r="BC116" s="617">
        <f t="shared" si="8"/>
        <v>0.27405824814876018</v>
      </c>
      <c r="BD116" s="618">
        <f t="shared" si="9"/>
        <v>0.12694660337331976</v>
      </c>
      <c r="BG116" t="s">
        <v>624</v>
      </c>
      <c r="BH116" t="s">
        <v>1312</v>
      </c>
    </row>
    <row r="117" spans="1:60" ht="12.75" customHeight="1" outlineLevel="1" x14ac:dyDescent="0.2">
      <c r="A117" s="570">
        <v>43221</v>
      </c>
      <c r="B117" s="708">
        <f>IF([1]RENAME!$H$3=0,A117,TEXT(A117,"[$-em-US] mmm-aa;@"))</f>
        <v>43221</v>
      </c>
      <c r="C117" s="365" t="str">
        <f>IF([1]RENAME!$H$3=0,BG117,BH117)</f>
        <v>2T18</v>
      </c>
      <c r="D117" s="366">
        <v>43221</v>
      </c>
      <c r="E117" s="616">
        <f>[2]Base!P115</f>
        <v>253678</v>
      </c>
      <c r="F117" s="615">
        <f>[2]Base!Q115</f>
        <v>195291</v>
      </c>
      <c r="G117" s="614">
        <f>[2]Base!R115</f>
        <v>58387</v>
      </c>
      <c r="H117" s="365"/>
      <c r="I117" s="616">
        <f>[2]Base!T115</f>
        <v>207.20000000000002</v>
      </c>
      <c r="J117" s="668">
        <f>[2]Base!U115</f>
        <v>138.30000000000001</v>
      </c>
      <c r="K117" s="669">
        <f>[2]Base!V115</f>
        <v>68.900000000000006</v>
      </c>
      <c r="L117" s="365"/>
      <c r="M117" s="613">
        <f>+[2]Base!X115</f>
        <v>203081</v>
      </c>
      <c r="N117" s="614">
        <f>+[2]Base!Y115</f>
        <v>26112</v>
      </c>
      <c r="O117" s="365"/>
      <c r="P117" s="613">
        <f>[2]Base!AB115</f>
        <v>79893.5481</v>
      </c>
      <c r="Q117" s="614">
        <f>[2]Base!AC115</f>
        <v>115397.4519</v>
      </c>
      <c r="R117" s="365"/>
      <c r="S117" s="613">
        <f>[2]Base!AE115</f>
        <v>919652</v>
      </c>
      <c r="T117" s="669">
        <f>[2]Base!AF115</f>
        <v>4.7091366217593231</v>
      </c>
      <c r="U117" s="365"/>
      <c r="V117" s="613">
        <f>[2]Base!AR115</f>
        <v>32290</v>
      </c>
      <c r="W117" s="615">
        <f>[2]Base!AS115</f>
        <v>29619</v>
      </c>
      <c r="X117" s="615">
        <f>[2]Base!AT115</f>
        <v>36733</v>
      </c>
      <c r="Y117" s="615">
        <f>[2]Base!AU115</f>
        <v>15650</v>
      </c>
      <c r="Z117" s="615">
        <f>[2]Base!AV115</f>
        <v>21606</v>
      </c>
      <c r="AA117" s="615">
        <f>[2]Base!AW115</f>
        <v>15337</v>
      </c>
      <c r="AB117" s="615">
        <f>[2]Base!AX115</f>
        <v>10595</v>
      </c>
      <c r="AC117" s="615" t="s">
        <v>160</v>
      </c>
      <c r="AD117" s="614">
        <f>[2]Base!AZ115</f>
        <v>33461</v>
      </c>
      <c r="AE117" s="365"/>
      <c r="AF117" s="366">
        <f t="shared" si="23"/>
        <v>43221</v>
      </c>
      <c r="AG117" s="681">
        <f t="shared" si="10"/>
        <v>0.16534300095754539</v>
      </c>
      <c r="AH117" s="682">
        <f t="shared" si="11"/>
        <v>0.151665975390571</v>
      </c>
      <c r="AI117" s="682">
        <f t="shared" si="12"/>
        <v>0.18809366535068181</v>
      </c>
      <c r="AJ117" s="682">
        <f t="shared" si="13"/>
        <v>8.0136821461306462E-2</v>
      </c>
      <c r="AK117" s="682">
        <f t="shared" si="14"/>
        <v>0.11063489868964775</v>
      </c>
      <c r="AL117" s="682">
        <f t="shared" si="15"/>
        <v>7.8534085032080328E-2</v>
      </c>
      <c r="AM117" s="682">
        <f t="shared" si="16"/>
        <v>5.425237210112089E-2</v>
      </c>
      <c r="AN117" s="682" t="s">
        <v>160</v>
      </c>
      <c r="AO117" s="683">
        <f t="shared" si="17"/>
        <v>0.17133918101704634</v>
      </c>
      <c r="AP117" s="365"/>
      <c r="AQ117" s="693">
        <f>+[2]Base!CS115</f>
        <v>11229.2325</v>
      </c>
      <c r="AR117" s="698">
        <f>+[2]Base!CT115</f>
        <v>30055.284900000002</v>
      </c>
      <c r="AS117" s="698">
        <f>+[2]Base!CU115</f>
        <v>19685.3328</v>
      </c>
      <c r="AT117" s="698">
        <f>+[2]Base!CV115</f>
        <v>99559.351800000004</v>
      </c>
      <c r="AU117" s="694">
        <f>+[2]Base!CW115</f>
        <v>34761.797999999995</v>
      </c>
      <c r="AV117" s="365"/>
      <c r="AW117" s="617">
        <f t="shared" si="24"/>
        <v>5.7500000000000002E-2</v>
      </c>
      <c r="AX117" s="661">
        <f t="shared" si="19"/>
        <v>0.15390000000000001</v>
      </c>
      <c r="AY117" s="661">
        <f t="shared" si="20"/>
        <v>0.1008</v>
      </c>
      <c r="AZ117" s="661">
        <f t="shared" si="21"/>
        <v>0.50980000000000003</v>
      </c>
      <c r="BA117" s="618">
        <f t="shared" si="22"/>
        <v>0.17799999999999996</v>
      </c>
      <c r="BB117" s="365"/>
      <c r="BC117" s="617">
        <f t="shared" ref="BC117:BC148" si="25">+G117/M117</f>
        <v>0.28750597052407662</v>
      </c>
      <c r="BD117" s="618">
        <f t="shared" ref="BD117:BD148" si="26">+N117/F117</f>
        <v>0.13370815859409804</v>
      </c>
      <c r="BG117" t="s">
        <v>624</v>
      </c>
      <c r="BH117" t="s">
        <v>1312</v>
      </c>
    </row>
    <row r="118" spans="1:60" ht="12.75" customHeight="1" outlineLevel="1" x14ac:dyDescent="0.2">
      <c r="A118" s="570">
        <v>43252</v>
      </c>
      <c r="B118" s="708">
        <f>IF([1]RENAME!$H$3=0,A118,TEXT(A118,"[$-em-US] mmm-aa;@"))</f>
        <v>43252</v>
      </c>
      <c r="C118" s="365" t="str">
        <f>IF([1]RENAME!$H$3=0,BG118,BH118)</f>
        <v>2T18</v>
      </c>
      <c r="D118" s="366">
        <v>43252</v>
      </c>
      <c r="E118" s="616">
        <f>[2]Base!P116</f>
        <v>256862</v>
      </c>
      <c r="F118" s="615">
        <f>[2]Base!Q116</f>
        <v>195369</v>
      </c>
      <c r="G118" s="614">
        <f>[2]Base!R116</f>
        <v>61493</v>
      </c>
      <c r="H118" s="365"/>
      <c r="I118" s="616">
        <f>[2]Base!T116</f>
        <v>240.6</v>
      </c>
      <c r="J118" s="668">
        <f>[2]Base!U116</f>
        <v>159.6</v>
      </c>
      <c r="K118" s="669">
        <f>[2]Base!V116</f>
        <v>81</v>
      </c>
      <c r="L118" s="365"/>
      <c r="M118" s="613">
        <f>+[2]Base!X116</f>
        <v>244732</v>
      </c>
      <c r="N118" s="614">
        <f>+[2]Base!Y116</f>
        <v>26040</v>
      </c>
      <c r="O118" s="365"/>
      <c r="P118" s="613">
        <f>[2]Base!AB116</f>
        <v>90416.773199999996</v>
      </c>
      <c r="Q118" s="614">
        <f>[2]Base!AC116</f>
        <v>104952.2268</v>
      </c>
      <c r="R118" s="365"/>
      <c r="S118" s="613">
        <f>[2]Base!AE116</f>
        <v>839043</v>
      </c>
      <c r="T118" s="669">
        <f>[2]Base!AF116</f>
        <v>4.2946578013912138</v>
      </c>
      <c r="U118" s="365"/>
      <c r="V118" s="613">
        <f>[2]Base!AR116</f>
        <v>32424</v>
      </c>
      <c r="W118" s="615">
        <f>[2]Base!AS116</f>
        <v>28920</v>
      </c>
      <c r="X118" s="615">
        <f>[2]Base!AT116</f>
        <v>36219</v>
      </c>
      <c r="Y118" s="615">
        <f>[2]Base!AU116</f>
        <v>14271</v>
      </c>
      <c r="Z118" s="615">
        <f>[2]Base!AV116</f>
        <v>26950</v>
      </c>
      <c r="AA118" s="615">
        <f>[2]Base!AW116</f>
        <v>14383</v>
      </c>
      <c r="AB118" s="615">
        <f>[2]Base!AX116</f>
        <v>9420</v>
      </c>
      <c r="AC118" s="615" t="s">
        <v>160</v>
      </c>
      <c r="AD118" s="614">
        <f>[2]Base!AZ116</f>
        <v>32782</v>
      </c>
      <c r="AE118" s="365"/>
      <c r="AF118" s="366">
        <f t="shared" si="23"/>
        <v>43252</v>
      </c>
      <c r="AG118" s="681">
        <f t="shared" si="10"/>
        <v>0.16596287026089093</v>
      </c>
      <c r="AH118" s="682">
        <f t="shared" si="11"/>
        <v>0.14802757858206778</v>
      </c>
      <c r="AI118" s="682">
        <f t="shared" si="12"/>
        <v>0.18538765106030128</v>
      </c>
      <c r="AJ118" s="682">
        <f t="shared" si="13"/>
        <v>7.3046389140549423E-2</v>
      </c>
      <c r="AK118" s="682">
        <f t="shared" si="14"/>
        <v>0.13794409553204448</v>
      </c>
      <c r="AL118" s="682">
        <f t="shared" si="15"/>
        <v>7.3619663303799474E-2</v>
      </c>
      <c r="AM118" s="682">
        <f t="shared" si="16"/>
        <v>4.8216451944781413E-2</v>
      </c>
      <c r="AN118" s="682" t="s">
        <v>160</v>
      </c>
      <c r="AO118" s="683">
        <f t="shared" si="17"/>
        <v>0.16779530017556521</v>
      </c>
      <c r="AP118" s="365"/>
      <c r="AQ118" s="693">
        <f>+[2]Base!CS116</f>
        <v>9807.5238000000008</v>
      </c>
      <c r="AR118" s="698">
        <f>+[2]Base!CT116</f>
        <v>26765.553000000004</v>
      </c>
      <c r="AS118" s="698">
        <f>+[2]Base!CU116</f>
        <v>18481.9074</v>
      </c>
      <c r="AT118" s="698">
        <f>+[2]Base!CV116</f>
        <v>108840.0699</v>
      </c>
      <c r="AU118" s="694">
        <f>+[2]Base!CW116</f>
        <v>32665.696799999998</v>
      </c>
      <c r="AV118" s="365"/>
      <c r="AW118" s="617">
        <f t="shared" si="24"/>
        <v>4.9895636616638504E-2</v>
      </c>
      <c r="AX118" s="661">
        <f t="shared" si="19"/>
        <v>0.13616936686214096</v>
      </c>
      <c r="AY118" s="661">
        <f t="shared" si="20"/>
        <v>9.4026438723784911E-2</v>
      </c>
      <c r="AZ118" s="661">
        <f t="shared" si="21"/>
        <v>0.55372229400655992</v>
      </c>
      <c r="BA118" s="618">
        <f t="shared" si="22"/>
        <v>0.16618626379087564</v>
      </c>
      <c r="BB118" s="365"/>
      <c r="BC118" s="617">
        <f t="shared" si="25"/>
        <v>0.2512666917280944</v>
      </c>
      <c r="BD118" s="618">
        <f t="shared" si="26"/>
        <v>0.13328624295563779</v>
      </c>
      <c r="BG118" t="s">
        <v>624</v>
      </c>
      <c r="BH118" t="s">
        <v>1312</v>
      </c>
    </row>
    <row r="119" spans="1:60" ht="12.75" customHeight="1" outlineLevel="1" x14ac:dyDescent="0.2">
      <c r="A119" s="570">
        <v>43282</v>
      </c>
      <c r="B119" s="708">
        <f>IF([1]RENAME!$H$3=0,A119,TEXT(A119,"[$-em-US] mmm-aa;@"))</f>
        <v>43282</v>
      </c>
      <c r="C119" s="365" t="str">
        <f>IF([1]RENAME!$H$3=0,BG119,BH119)</f>
        <v>3T18</v>
      </c>
      <c r="D119" s="366">
        <v>43282</v>
      </c>
      <c r="E119" s="616">
        <f>[2]Base!P117</f>
        <v>256123</v>
      </c>
      <c r="F119" s="615">
        <f>[2]Base!Q117</f>
        <v>209074</v>
      </c>
      <c r="G119" s="614">
        <f>[2]Base!R117</f>
        <v>47049</v>
      </c>
      <c r="H119" s="365"/>
      <c r="I119" s="616">
        <f>[2]Base!T117</f>
        <v>248.7</v>
      </c>
      <c r="J119" s="668">
        <f>[2]Base!U117</f>
        <v>151.1</v>
      </c>
      <c r="K119" s="669">
        <f>[2]Base!V117</f>
        <v>97.6</v>
      </c>
      <c r="L119" s="365"/>
      <c r="M119" s="613">
        <f>+[2]Base!X117</f>
        <v>234222</v>
      </c>
      <c r="N119" s="614">
        <f>+[2]Base!Y117</f>
        <v>27221</v>
      </c>
      <c r="O119" s="365"/>
      <c r="P119" s="613">
        <f>[2]Base!AB117</f>
        <v>94501.448000000004</v>
      </c>
      <c r="Q119" s="614">
        <f>[2]Base!AC117</f>
        <v>114572.552</v>
      </c>
      <c r="R119" s="365"/>
      <c r="S119" s="613">
        <f>[2]Base!AE117</f>
        <v>898177</v>
      </c>
      <c r="T119" s="669">
        <f>[2]Base!AF117</f>
        <v>4.2959765441900952</v>
      </c>
      <c r="U119" s="365"/>
      <c r="V119" s="613">
        <f>[2]Base!AR117</f>
        <v>35095</v>
      </c>
      <c r="W119" s="615">
        <f>[2]Base!AS117</f>
        <v>31428</v>
      </c>
      <c r="X119" s="615">
        <f>[2]Base!AT117</f>
        <v>37706</v>
      </c>
      <c r="Y119" s="615">
        <f>[2]Base!AU117</f>
        <v>16105</v>
      </c>
      <c r="Z119" s="615">
        <f>[2]Base!AV117</f>
        <v>26360</v>
      </c>
      <c r="AA119" s="615">
        <f>[2]Base!AW117</f>
        <v>16765</v>
      </c>
      <c r="AB119" s="615">
        <f>[2]Base!AX117</f>
        <v>9853</v>
      </c>
      <c r="AC119" s="615" t="s">
        <v>160</v>
      </c>
      <c r="AD119" s="614">
        <f>[2]Base!AZ117</f>
        <v>35762</v>
      </c>
      <c r="AE119" s="365"/>
      <c r="AF119" s="366">
        <f t="shared" si="23"/>
        <v>43282</v>
      </c>
      <c r="AG119" s="681">
        <f t="shared" si="10"/>
        <v>0.16785922687660829</v>
      </c>
      <c r="AH119" s="682">
        <f t="shared" si="11"/>
        <v>0.15031998239857658</v>
      </c>
      <c r="AI119" s="682">
        <f t="shared" si="12"/>
        <v>0.18034762811253433</v>
      </c>
      <c r="AJ119" s="682">
        <f t="shared" si="13"/>
        <v>7.7030142437605822E-2</v>
      </c>
      <c r="AK119" s="682">
        <f t="shared" si="14"/>
        <v>0.12607976123286491</v>
      </c>
      <c r="AL119" s="682">
        <f t="shared" si="15"/>
        <v>8.0186919463921869E-2</v>
      </c>
      <c r="AM119" s="682">
        <f t="shared" si="16"/>
        <v>4.7126854606502962E-2</v>
      </c>
      <c r="AN119" s="682" t="s">
        <v>160</v>
      </c>
      <c r="AO119" s="683">
        <f t="shared" si="17"/>
        <v>0.17104948487138524</v>
      </c>
      <c r="AP119" s="365"/>
      <c r="AQ119" s="693">
        <f>+[2]Base!CS117</f>
        <v>10850.9406</v>
      </c>
      <c r="AR119" s="698">
        <f>+[2]Base!CT117</f>
        <v>31214.748199999998</v>
      </c>
      <c r="AS119" s="698">
        <f>+[2]Base!CU117</f>
        <v>19548.419000000002</v>
      </c>
      <c r="AT119" s="698">
        <f>+[2]Base!CV117</f>
        <v>111143.73839999999</v>
      </c>
      <c r="AU119" s="694">
        <f>+[2]Base!CW117</f>
        <v>36316.1538</v>
      </c>
      <c r="AV119" s="365"/>
      <c r="AW119" s="617">
        <f t="shared" si="24"/>
        <v>5.1900000000000009E-2</v>
      </c>
      <c r="AX119" s="661">
        <f t="shared" ref="AX119:BA122" si="27">+AR119/SUM($AQ119:$AU119)</f>
        <v>0.14930000000000002</v>
      </c>
      <c r="AY119" s="661">
        <f t="shared" si="27"/>
        <v>9.3500000000000028E-2</v>
      </c>
      <c r="AZ119" s="661">
        <f t="shared" si="27"/>
        <v>0.53159999999999996</v>
      </c>
      <c r="BA119" s="618">
        <f t="shared" si="27"/>
        <v>0.17370000000000002</v>
      </c>
      <c r="BB119" s="365"/>
      <c r="BC119" s="617">
        <f t="shared" si="25"/>
        <v>0.20087353024054103</v>
      </c>
      <c r="BD119" s="618">
        <f t="shared" si="26"/>
        <v>0.13019792035355904</v>
      </c>
      <c r="BG119" t="s">
        <v>625</v>
      </c>
      <c r="BH119" t="s">
        <v>1335</v>
      </c>
    </row>
    <row r="120" spans="1:60" ht="12.75" customHeight="1" outlineLevel="1" x14ac:dyDescent="0.2">
      <c r="A120" s="570">
        <v>43313</v>
      </c>
      <c r="B120" s="708">
        <f>IF([1]RENAME!$H$3=0,A120,TEXT(A120,"[$-em-US] mmm-aa;@"))</f>
        <v>43313</v>
      </c>
      <c r="C120" s="365" t="str">
        <f>IF([1]RENAME!$H$3=0,BG120,BH120)</f>
        <v>3T18</v>
      </c>
      <c r="D120" s="366">
        <v>43313</v>
      </c>
      <c r="E120" s="616">
        <f>[2]Base!P118</f>
        <v>292978</v>
      </c>
      <c r="F120" s="615">
        <f>[2]Base!Q118</f>
        <v>239598</v>
      </c>
      <c r="G120" s="614">
        <f>[2]Base!R118</f>
        <v>53380</v>
      </c>
      <c r="H120" s="365"/>
      <c r="I120" s="616">
        <f>[2]Base!T118</f>
        <v>280.7</v>
      </c>
      <c r="J120" s="668">
        <f>[2]Base!U118</f>
        <v>161.5</v>
      </c>
      <c r="K120" s="669">
        <f>[2]Base!V118</f>
        <v>119.2</v>
      </c>
      <c r="L120" s="365"/>
      <c r="M120" s="613">
        <f>+[2]Base!X118</f>
        <v>278414</v>
      </c>
      <c r="N120" s="614">
        <f>+[2]Base!Y118</f>
        <v>30228</v>
      </c>
      <c r="O120" s="365"/>
      <c r="P120" s="613">
        <f>[2]Base!AB118</f>
        <v>107196.1452</v>
      </c>
      <c r="Q120" s="614">
        <f>[2]Base!AC118</f>
        <v>132401.8548</v>
      </c>
      <c r="R120" s="365"/>
      <c r="S120" s="613">
        <f>[2]Base!AE118</f>
        <v>1033590</v>
      </c>
      <c r="T120" s="669">
        <f>[2]Base!AF118</f>
        <v>4.3138506999223702</v>
      </c>
      <c r="U120" s="365"/>
      <c r="V120" s="613">
        <f>[2]Base!AR118</f>
        <v>41591</v>
      </c>
      <c r="W120" s="615">
        <f>[2]Base!AS118</f>
        <v>33992</v>
      </c>
      <c r="X120" s="615">
        <f>[2]Base!AT118</f>
        <v>44747</v>
      </c>
      <c r="Y120" s="615">
        <f>[2]Base!AU118</f>
        <v>19767</v>
      </c>
      <c r="Z120" s="615">
        <f>[2]Base!AV118</f>
        <v>30342</v>
      </c>
      <c r="AA120" s="615">
        <f>[2]Base!AW118</f>
        <v>19444</v>
      </c>
      <c r="AB120" s="615">
        <f>[2]Base!AX118</f>
        <v>12106</v>
      </c>
      <c r="AC120" s="615" t="s">
        <v>160</v>
      </c>
      <c r="AD120" s="614">
        <f>[2]Base!AZ118</f>
        <v>37609</v>
      </c>
      <c r="AE120" s="365"/>
      <c r="AF120" s="366">
        <f t="shared" si="23"/>
        <v>43313</v>
      </c>
      <c r="AG120" s="681">
        <f t="shared" si="10"/>
        <v>0.17358659087304568</v>
      </c>
      <c r="AH120" s="682">
        <f t="shared" si="11"/>
        <v>0.14187096720339903</v>
      </c>
      <c r="AI120" s="682">
        <f t="shared" si="12"/>
        <v>0.18675865407891551</v>
      </c>
      <c r="AJ120" s="682">
        <f t="shared" si="13"/>
        <v>8.2500688653494608E-2</v>
      </c>
      <c r="AK120" s="682">
        <f t="shared" si="14"/>
        <v>0.12663711717126186</v>
      </c>
      <c r="AL120" s="682">
        <f t="shared" si="15"/>
        <v>8.1152597267089038E-2</v>
      </c>
      <c r="AM120" s="682">
        <f t="shared" si="16"/>
        <v>5.0526298216178767E-2</v>
      </c>
      <c r="AN120" s="682" t="s">
        <v>160</v>
      </c>
      <c r="AO120" s="683">
        <f t="shared" si="17"/>
        <v>0.15696708653661551</v>
      </c>
      <c r="AP120" s="365"/>
      <c r="AQ120" s="693">
        <f>+[2]Base!CS118</f>
        <v>12099.699000000001</v>
      </c>
      <c r="AR120" s="698">
        <f>+[2]Base!CT118</f>
        <v>34717.750200000002</v>
      </c>
      <c r="AS120" s="698">
        <f>+[2]Base!CU118</f>
        <v>21947.176800000001</v>
      </c>
      <c r="AT120" s="698">
        <f>+[2]Base!CV118</f>
        <v>131707.02059999999</v>
      </c>
      <c r="AU120" s="694">
        <f>+[2]Base!CW118</f>
        <v>39869.107199999999</v>
      </c>
      <c r="AV120" s="365"/>
      <c r="AW120" s="617">
        <f t="shared" si="24"/>
        <v>5.0343933805203876E-2</v>
      </c>
      <c r="AX120" s="661">
        <f t="shared" si="27"/>
        <v>0.14445219818562458</v>
      </c>
      <c r="AY120" s="661">
        <f t="shared" si="27"/>
        <v>9.131691755557772E-2</v>
      </c>
      <c r="AZ120" s="661">
        <f t="shared" si="27"/>
        <v>0.54800119629149635</v>
      </c>
      <c r="BA120" s="618">
        <f t="shared" si="27"/>
        <v>0.1658857541620975</v>
      </c>
      <c r="BB120" s="365"/>
      <c r="BC120" s="617">
        <f t="shared" si="25"/>
        <v>0.19172886420941476</v>
      </c>
      <c r="BD120" s="618">
        <f t="shared" si="26"/>
        <v>0.12616132021135401</v>
      </c>
      <c r="BG120" t="s">
        <v>625</v>
      </c>
      <c r="BH120" t="s">
        <v>1335</v>
      </c>
    </row>
    <row r="121" spans="1:60" ht="12.75" customHeight="1" outlineLevel="1" x14ac:dyDescent="0.2">
      <c r="A121" s="570">
        <v>43344</v>
      </c>
      <c r="B121" s="708">
        <f>IF([1]RENAME!$H$3=0,A121,TEXT(A121,"[$-em-US] mmm-aa;@"))</f>
        <v>43344</v>
      </c>
      <c r="C121" s="365" t="str">
        <f>IF([1]RENAME!$H$3=0,BG121,BH121)</f>
        <v>3T18</v>
      </c>
      <c r="D121" s="366">
        <v>43344</v>
      </c>
      <c r="E121" s="616">
        <f>[2]Base!P119</f>
        <v>242129</v>
      </c>
      <c r="F121" s="615">
        <f>[2]Base!Q119</f>
        <v>205133</v>
      </c>
      <c r="G121" s="614">
        <f>[2]Base!R119</f>
        <v>36996</v>
      </c>
      <c r="H121" s="365"/>
      <c r="I121" s="616">
        <f>[2]Base!T119</f>
        <v>283.39999999999998</v>
      </c>
      <c r="J121" s="668">
        <f>[2]Base!U119</f>
        <v>172.5</v>
      </c>
      <c r="K121" s="669">
        <f>[2]Base!V119</f>
        <v>110.9</v>
      </c>
      <c r="L121" s="365"/>
      <c r="M121" s="613">
        <f>+[2]Base!X119</f>
        <v>211716</v>
      </c>
      <c r="N121" s="614">
        <f>+[2]Base!Y119</f>
        <v>26157</v>
      </c>
      <c r="O121" s="365"/>
      <c r="P121" s="613">
        <f>[2]Base!AB119</f>
        <v>96166.35040000001</v>
      </c>
      <c r="Q121" s="614">
        <f>[2]Base!AC119</f>
        <v>108966.64959999999</v>
      </c>
      <c r="R121" s="365"/>
      <c r="S121" s="613">
        <f>[2]Base!AE119</f>
        <v>830485</v>
      </c>
      <c r="T121" s="669">
        <f>[2]Base!AF119</f>
        <v>4.0485197408510576</v>
      </c>
      <c r="U121" s="365"/>
      <c r="V121" s="613">
        <f>[2]Base!AR119</f>
        <v>36392</v>
      </c>
      <c r="W121" s="615">
        <f>[2]Base!AS119</f>
        <v>31475</v>
      </c>
      <c r="X121" s="615">
        <f>[2]Base!AT119</f>
        <v>36144</v>
      </c>
      <c r="Y121" s="615">
        <f>[2]Base!AU119</f>
        <v>16691</v>
      </c>
      <c r="Z121" s="615">
        <f>[2]Base!AV119</f>
        <v>26832</v>
      </c>
      <c r="AA121" s="615">
        <f>[2]Base!AW119</f>
        <v>15625</v>
      </c>
      <c r="AB121" s="615">
        <f>[2]Base!AX119</f>
        <v>9581</v>
      </c>
      <c r="AC121" s="615" t="s">
        <v>160</v>
      </c>
      <c r="AD121" s="614">
        <f>[2]Base!AZ119</f>
        <v>32393</v>
      </c>
      <c r="AE121" s="365"/>
      <c r="AF121" s="366">
        <f t="shared" si="23"/>
        <v>43344</v>
      </c>
      <c r="AG121" s="681">
        <f t="shared" ref="AG121:AG152" si="28">+V121/SUM($V121:$AD121)</f>
        <v>0.17740685311480844</v>
      </c>
      <c r="AH121" s="682">
        <f t="shared" ref="AH121:AH152" si="29">+W121/SUM($V121:$AD121)</f>
        <v>0.15343703840922718</v>
      </c>
      <c r="AI121" s="682">
        <f t="shared" ref="AI121:AI152" si="30">+X121/SUM($V121:$AD121)</f>
        <v>0.17619788137452286</v>
      </c>
      <c r="AJ121" s="682">
        <f t="shared" ref="AJ121:AJ152" si="31">+Y121/SUM($V121:$AD121)</f>
        <v>8.1366723052848644E-2</v>
      </c>
      <c r="AK121" s="682">
        <f t="shared" ref="AK121:AK152" si="32">+Z121/SUM($V121:$AD121)</f>
        <v>0.13080294248121951</v>
      </c>
      <c r="AL121" s="682">
        <f t="shared" ref="AL121:AL152" si="33">+AA121/SUM($V121:$AD121)</f>
        <v>7.6170094524040499E-2</v>
      </c>
      <c r="AM121" s="682">
        <f t="shared" ref="AM121:AM152" si="34">+AB121/SUM($V121:$AD121)</f>
        <v>4.6706283240629247E-2</v>
      </c>
      <c r="AN121" s="682" t="s">
        <v>160</v>
      </c>
      <c r="AO121" s="683">
        <f t="shared" ref="AO121:AO152" si="35">+AD121/SUM($V121:$AD121)</f>
        <v>0.15791218380270361</v>
      </c>
      <c r="AP121" s="365"/>
      <c r="AQ121" s="693">
        <f>+[2]Base!CS119</f>
        <v>10051.517</v>
      </c>
      <c r="AR121" s="698">
        <f>+[2]Base!CT119</f>
        <v>28308.354000000003</v>
      </c>
      <c r="AS121" s="698">
        <f>+[2]Base!CU119</f>
        <v>17764.517799999998</v>
      </c>
      <c r="AT121" s="698">
        <f>+[2]Base!CV119</f>
        <v>114136.0012</v>
      </c>
      <c r="AU121" s="694">
        <f>+[2]Base!CW119</f>
        <v>34893.123299999999</v>
      </c>
      <c r="AV121" s="365"/>
      <c r="AW121" s="617">
        <f t="shared" si="24"/>
        <v>4.8995100489950996E-2</v>
      </c>
      <c r="AX121" s="661">
        <f t="shared" si="27"/>
        <v>0.13798620137986201</v>
      </c>
      <c r="AY121" s="661">
        <f t="shared" si="27"/>
        <v>8.6591340865913385E-2</v>
      </c>
      <c r="AZ121" s="661">
        <f t="shared" si="27"/>
        <v>0.55634436556344358</v>
      </c>
      <c r="BA121" s="618">
        <f t="shared" si="27"/>
        <v>0.17008299170082988</v>
      </c>
      <c r="BB121" s="365"/>
      <c r="BC121" s="617">
        <f t="shared" si="25"/>
        <v>0.17474352434393245</v>
      </c>
      <c r="BD121" s="618">
        <f t="shared" si="26"/>
        <v>0.12751239439778095</v>
      </c>
      <c r="BG121" t="s">
        <v>625</v>
      </c>
      <c r="BH121" t="s">
        <v>1335</v>
      </c>
    </row>
    <row r="122" spans="1:60" ht="12.75" customHeight="1" outlineLevel="1" x14ac:dyDescent="0.2">
      <c r="A122" s="570">
        <v>43374</v>
      </c>
      <c r="B122" s="708">
        <f>IF([1]RENAME!$H$3=0,A122,TEXT(A122,"[$-em-US] mmm-aa;@"))</f>
        <v>43374</v>
      </c>
      <c r="C122" s="365" t="str">
        <f>IF([1]RENAME!$H$3=0,BG122,BH122)</f>
        <v>4T18</v>
      </c>
      <c r="D122" s="366">
        <v>43374</v>
      </c>
      <c r="E122" s="616">
        <f>[2]Base!P120</f>
        <v>281513</v>
      </c>
      <c r="F122" s="615">
        <f>[2]Base!Q120</f>
        <v>245159</v>
      </c>
      <c r="G122" s="614">
        <f>[2]Base!R120</f>
        <v>36354</v>
      </c>
      <c r="H122" s="365"/>
      <c r="I122" s="616">
        <f>[2]Base!T120</f>
        <v>293.89999999999998</v>
      </c>
      <c r="J122" s="668">
        <f>[2]Base!U120</f>
        <v>172.8</v>
      </c>
      <c r="K122" s="669">
        <f>[2]Base!V120</f>
        <v>121.1</v>
      </c>
      <c r="L122" s="365"/>
      <c r="M122" s="613">
        <f>+[2]Base!X120</f>
        <v>250018</v>
      </c>
      <c r="N122" s="614">
        <f>+[2]Base!Y120</f>
        <v>28798</v>
      </c>
      <c r="O122" s="365"/>
      <c r="P122" s="613">
        <f>[2]Base!AB120</f>
        <v>116401.49319999998</v>
      </c>
      <c r="Q122" s="614">
        <f>[2]Base!AC120</f>
        <v>128757.50680000002</v>
      </c>
      <c r="R122" s="365"/>
      <c r="S122" s="613">
        <f>[2]Base!AE120</f>
        <v>972076</v>
      </c>
      <c r="T122" s="669">
        <f>[2]Base!AF120</f>
        <v>3.9650838843362877</v>
      </c>
      <c r="U122" s="365"/>
      <c r="V122" s="613">
        <f>[2]Base!AR120</f>
        <v>44088</v>
      </c>
      <c r="W122" s="615">
        <f>[2]Base!AS120</f>
        <v>37228</v>
      </c>
      <c r="X122" s="615">
        <f>[2]Base!AT120</f>
        <v>44283</v>
      </c>
      <c r="Y122" s="615">
        <f>[2]Base!AU120</f>
        <v>19791</v>
      </c>
      <c r="Z122" s="615">
        <f>[2]Base!AV120</f>
        <v>30371</v>
      </c>
      <c r="AA122" s="615">
        <f>[2]Base!AW120</f>
        <v>17652</v>
      </c>
      <c r="AB122" s="615">
        <f>[2]Base!AX120</f>
        <v>13312</v>
      </c>
      <c r="AC122" s="615" t="s">
        <v>160</v>
      </c>
      <c r="AD122" s="614">
        <f>[2]Base!AZ120</f>
        <v>38434</v>
      </c>
      <c r="AE122" s="365"/>
      <c r="AF122" s="366">
        <f t="shared" si="23"/>
        <v>43374</v>
      </c>
      <c r="AG122" s="681">
        <f t="shared" si="28"/>
        <v>0.17983431161001637</v>
      </c>
      <c r="AH122" s="682">
        <f t="shared" si="29"/>
        <v>0.15185247125334986</v>
      </c>
      <c r="AI122" s="682">
        <f t="shared" si="30"/>
        <v>0.18062971377758924</v>
      </c>
      <c r="AJ122" s="682">
        <f t="shared" si="31"/>
        <v>8.0727201530435347E-2</v>
      </c>
      <c r="AK122" s="682">
        <f t="shared" si="32"/>
        <v>0.12388286785310758</v>
      </c>
      <c r="AL122" s="682">
        <f t="shared" si="33"/>
        <v>7.2002251599982053E-2</v>
      </c>
      <c r="AM122" s="682">
        <f t="shared" si="34"/>
        <v>5.4299454639642031E-2</v>
      </c>
      <c r="AN122" s="682" t="s">
        <v>160</v>
      </c>
      <c r="AO122" s="683">
        <f t="shared" si="35"/>
        <v>0.15677172773587753</v>
      </c>
      <c r="AP122" s="365"/>
      <c r="AQ122" s="693">
        <f>+[2]Base!CS120</f>
        <v>11130.2186</v>
      </c>
      <c r="AR122" s="698">
        <f>+[2]Base!CT120</f>
        <v>32581.631099999999</v>
      </c>
      <c r="AS122" s="698">
        <f>+[2]Base!CU120</f>
        <v>21696.571499999998</v>
      </c>
      <c r="AT122" s="698">
        <f>+[2]Base!CV120</f>
        <v>138980.63709999999</v>
      </c>
      <c r="AU122" s="694">
        <f>+[2]Base!CW120</f>
        <v>40794.457600000002</v>
      </c>
      <c r="AV122" s="365"/>
      <c r="AW122" s="617">
        <f t="shared" si="24"/>
        <v>4.5395460453954609E-2</v>
      </c>
      <c r="AX122" s="661">
        <f t="shared" si="27"/>
        <v>0.13288671132886712</v>
      </c>
      <c r="AY122" s="661">
        <f t="shared" si="27"/>
        <v>8.849115088491151E-2</v>
      </c>
      <c r="AZ122" s="661">
        <f t="shared" si="27"/>
        <v>0.56684331566843316</v>
      </c>
      <c r="BA122" s="618">
        <f t="shared" si="27"/>
        <v>0.16638336166383363</v>
      </c>
      <c r="BB122" s="365"/>
      <c r="BC122" s="617">
        <f t="shared" si="25"/>
        <v>0.14540553080178228</v>
      </c>
      <c r="BD122" s="618">
        <f t="shared" si="26"/>
        <v>0.117466623701353</v>
      </c>
      <c r="BG122" t="s">
        <v>626</v>
      </c>
      <c r="BH122" t="s">
        <v>1394</v>
      </c>
    </row>
    <row r="123" spans="1:60" ht="12.75" customHeight="1" outlineLevel="1" x14ac:dyDescent="0.2">
      <c r="A123" s="570">
        <v>43405</v>
      </c>
      <c r="B123" s="708">
        <f>IF([1]RENAME!$H$3=0,A123,TEXT(A123,"[$-em-US] mmm-aa;@"))</f>
        <v>43405</v>
      </c>
      <c r="C123" s="365" t="str">
        <f>IF([1]RENAME!$H$3=0,BG123,BH123)</f>
        <v>4T18</v>
      </c>
      <c r="D123" s="366">
        <v>43405</v>
      </c>
      <c r="E123" s="616">
        <f>[2]Base!P121</f>
        <v>253745</v>
      </c>
      <c r="F123" s="615">
        <f>[2]Base!Q121</f>
        <v>221808</v>
      </c>
      <c r="G123" s="614">
        <f>[2]Base!R121</f>
        <v>31937</v>
      </c>
      <c r="H123" s="365"/>
      <c r="I123" s="616">
        <f>[2]Base!T121</f>
        <v>290.8</v>
      </c>
      <c r="J123" s="668">
        <f>[2]Base!U121</f>
        <v>173.8</v>
      </c>
      <c r="K123" s="669">
        <f>[2]Base!V121</f>
        <v>117</v>
      </c>
      <c r="L123" s="365"/>
      <c r="M123" s="613">
        <f>+[2]Base!X121</f>
        <v>232659</v>
      </c>
      <c r="N123" s="614">
        <f>+[2]Base!Y121</f>
        <v>25611</v>
      </c>
      <c r="O123" s="365"/>
      <c r="P123" s="613">
        <f>[2]Base!AB121</f>
        <v>100035.408</v>
      </c>
      <c r="Q123" s="614">
        <f>[2]Base!AC121</f>
        <v>121772.592</v>
      </c>
      <c r="R123" s="365"/>
      <c r="S123" s="613">
        <f>[2]Base!AE121</f>
        <v>864932</v>
      </c>
      <c r="T123" s="669">
        <f>[2]Base!AF121</f>
        <v>3.8994625982832001</v>
      </c>
      <c r="U123" s="365"/>
      <c r="V123" s="613">
        <f>[2]Base!AR121</f>
        <v>45273</v>
      </c>
      <c r="W123" s="615">
        <f>[2]Base!AS121</f>
        <v>33070</v>
      </c>
      <c r="X123" s="615">
        <f>[2]Base!AT121</f>
        <v>35755</v>
      </c>
      <c r="Y123" s="615">
        <f>[2]Base!AU121</f>
        <v>17540</v>
      </c>
      <c r="Z123" s="615">
        <f>[2]Base!AV121</f>
        <v>28644</v>
      </c>
      <c r="AA123" s="615">
        <f>[2]Base!AW121</f>
        <v>16198</v>
      </c>
      <c r="AB123" s="615">
        <f>[2]Base!AX121</f>
        <v>11199</v>
      </c>
      <c r="AC123" s="615" t="s">
        <v>160</v>
      </c>
      <c r="AD123" s="614">
        <f>[2]Base!AZ121</f>
        <v>34129</v>
      </c>
      <c r="AE123" s="365"/>
      <c r="AF123" s="366">
        <f t="shared" si="23"/>
        <v>43405</v>
      </c>
      <c r="AG123" s="681">
        <f t="shared" si="28"/>
        <v>0.20410895909976196</v>
      </c>
      <c r="AH123" s="682">
        <f t="shared" si="29"/>
        <v>0.14909290918271659</v>
      </c>
      <c r="AI123" s="682">
        <f t="shared" si="30"/>
        <v>0.16119797302171246</v>
      </c>
      <c r="AJ123" s="682">
        <f t="shared" si="31"/>
        <v>7.9077400274110948E-2</v>
      </c>
      <c r="AK123" s="682">
        <f t="shared" si="32"/>
        <v>0.12913871456394721</v>
      </c>
      <c r="AL123" s="682">
        <f t="shared" si="33"/>
        <v>7.3027122556445209E-2</v>
      </c>
      <c r="AM123" s="682">
        <f t="shared" si="34"/>
        <v>5.0489612637957156E-2</v>
      </c>
      <c r="AN123" s="682" t="s">
        <v>160</v>
      </c>
      <c r="AO123" s="683">
        <f t="shared" si="35"/>
        <v>0.1538673086633485</v>
      </c>
      <c r="AP123" s="365"/>
      <c r="AQ123" s="693">
        <f>+[2]Base!CS121</f>
        <v>10757.688</v>
      </c>
      <c r="AR123" s="698">
        <f>+[2]Base!CT121</f>
        <v>31408.0128</v>
      </c>
      <c r="AS123" s="698">
        <f>+[2]Base!CU121</f>
        <v>19474.742399999999</v>
      </c>
      <c r="AT123" s="698">
        <f>+[2]Base!CV121</f>
        <v>121218.072</v>
      </c>
      <c r="AU123" s="694">
        <f>+[2]Base!CW121</f>
        <v>38971.6656</v>
      </c>
      <c r="AV123" s="365"/>
      <c r="AW123" s="617">
        <f t="shared" ref="AW123:BA124" si="36">+AQ123/SUM($AQ123:$AU123)</f>
        <v>4.8495150484951503E-2</v>
      </c>
      <c r="AX123" s="661">
        <f t="shared" si="36"/>
        <v>0.14158584141585842</v>
      </c>
      <c r="AY123" s="661">
        <f t="shared" si="36"/>
        <v>8.7791220877912204E-2</v>
      </c>
      <c r="AZ123" s="661">
        <f t="shared" si="36"/>
        <v>0.5464453554644535</v>
      </c>
      <c r="BA123" s="618">
        <f t="shared" si="36"/>
        <v>0.17568243175682433</v>
      </c>
      <c r="BB123" s="365"/>
      <c r="BC123" s="617">
        <f t="shared" si="25"/>
        <v>0.13726956618914377</v>
      </c>
      <c r="BD123" s="618">
        <f t="shared" si="26"/>
        <v>0.11546472624972949</v>
      </c>
      <c r="BG123" t="s">
        <v>626</v>
      </c>
      <c r="BH123" t="s">
        <v>1394</v>
      </c>
    </row>
    <row r="124" spans="1:60" ht="12.75" customHeight="1" outlineLevel="1" x14ac:dyDescent="0.2">
      <c r="A124" s="570">
        <v>43435</v>
      </c>
      <c r="B124" s="708">
        <f>IF([1]RENAME!$H$3=0,A124,TEXT(A124,"[$-em-US] mmm-aa;@"))</f>
        <v>43435</v>
      </c>
      <c r="C124" s="365" t="str">
        <f>IF([1]RENAME!$H$3=0,BG124,BH124)</f>
        <v>4T18</v>
      </c>
      <c r="D124" s="366">
        <v>43435</v>
      </c>
      <c r="E124" s="616">
        <f>[2]Base!P122</f>
        <v>255204</v>
      </c>
      <c r="F124" s="615">
        <f>[2]Base!Q122</f>
        <v>225424</v>
      </c>
      <c r="G124" s="614">
        <f>[2]Base!R122</f>
        <v>29780</v>
      </c>
      <c r="H124" s="365"/>
      <c r="I124" s="616">
        <f>[2]Base!T122</f>
        <v>255.1</v>
      </c>
      <c r="J124" s="668">
        <f>[2]Base!U122</f>
        <v>192.1</v>
      </c>
      <c r="K124" s="669">
        <f>[2]Base!V122</f>
        <v>63</v>
      </c>
      <c r="L124" s="365"/>
      <c r="M124" s="613">
        <f>+[2]Base!X122</f>
        <v>169018</v>
      </c>
      <c r="N124" s="614">
        <f>+[2]Base!Y122</f>
        <v>28201</v>
      </c>
      <c r="O124" s="365"/>
      <c r="P124" s="613">
        <f>[2]Base!AB122</f>
        <v>95737.572799999994</v>
      </c>
      <c r="Q124" s="614">
        <f>[2]Base!AC122</f>
        <v>129686.42720000001</v>
      </c>
      <c r="R124" s="365"/>
      <c r="S124" s="613">
        <f>[2]Base!AE122</f>
        <v>980020</v>
      </c>
      <c r="T124" s="669">
        <f>[2]Base!AF122</f>
        <v>4.3474519128398041</v>
      </c>
      <c r="U124" s="365"/>
      <c r="V124" s="613">
        <f>[2]Base!AR122</f>
        <v>41575</v>
      </c>
      <c r="W124" s="615">
        <f>[2]Base!AS122</f>
        <v>33377</v>
      </c>
      <c r="X124" s="615">
        <f>[2]Base!AT122</f>
        <v>38107</v>
      </c>
      <c r="Y124" s="615">
        <f>[2]Base!AU122</f>
        <v>20023</v>
      </c>
      <c r="Z124" s="615">
        <f>[2]Base!AV122</f>
        <v>29347</v>
      </c>
      <c r="AA124" s="615">
        <f>[2]Base!AW122</f>
        <v>16661</v>
      </c>
      <c r="AB124" s="615">
        <f>[2]Base!AX122</f>
        <v>10841</v>
      </c>
      <c r="AC124" s="615" t="s">
        <v>160</v>
      </c>
      <c r="AD124" s="614">
        <f>[2]Base!AZ122</f>
        <v>35493</v>
      </c>
      <c r="AE124" s="365"/>
      <c r="AF124" s="366">
        <f t="shared" si="23"/>
        <v>43435</v>
      </c>
      <c r="AG124" s="681">
        <f t="shared" si="28"/>
        <v>0.18443022925686706</v>
      </c>
      <c r="AH124" s="682">
        <f t="shared" si="29"/>
        <v>0.14806320533749734</v>
      </c>
      <c r="AI124" s="682">
        <f t="shared" si="30"/>
        <v>0.16904588686209099</v>
      </c>
      <c r="AJ124" s="682">
        <f t="shared" si="31"/>
        <v>8.8823727730853855E-2</v>
      </c>
      <c r="AK124" s="682">
        <f t="shared" si="32"/>
        <v>0.13018578323514798</v>
      </c>
      <c r="AL124" s="682">
        <f t="shared" si="33"/>
        <v>7.3909610334303363E-2</v>
      </c>
      <c r="AM124" s="682">
        <f t="shared" si="34"/>
        <v>4.8091596280786429E-2</v>
      </c>
      <c r="AN124" s="682" t="s">
        <v>160</v>
      </c>
      <c r="AO124" s="683">
        <f t="shared" si="35"/>
        <v>0.15744996096245298</v>
      </c>
      <c r="AP124" s="365"/>
      <c r="AQ124" s="693">
        <f>+[2]Base!CS122</f>
        <v>12105.2688</v>
      </c>
      <c r="AR124" s="698">
        <f>+[2]Base!CT122</f>
        <v>33272.582399999999</v>
      </c>
      <c r="AS124" s="698">
        <f>+[2]Base!CU122</f>
        <v>22046.467199999999</v>
      </c>
      <c r="AT124" s="698">
        <f>+[2]Base!CV122</f>
        <v>114222.34080000001</v>
      </c>
      <c r="AU124" s="694">
        <f>+[2]Base!CW122</f>
        <v>43777.340800000005</v>
      </c>
      <c r="AV124" s="365"/>
      <c r="AW124" s="617">
        <f t="shared" si="36"/>
        <v>5.3699999999999998E-2</v>
      </c>
      <c r="AX124" s="661">
        <f t="shared" si="36"/>
        <v>0.14760000000000001</v>
      </c>
      <c r="AY124" s="661">
        <f t="shared" si="36"/>
        <v>9.7799999999999998E-2</v>
      </c>
      <c r="AZ124" s="661">
        <f t="shared" si="36"/>
        <v>0.50670000000000004</v>
      </c>
      <c r="BA124" s="618">
        <f t="shared" si="36"/>
        <v>0.19420000000000001</v>
      </c>
      <c r="BB124" s="365"/>
      <c r="BC124" s="617">
        <f t="shared" si="25"/>
        <v>0.17619425149984025</v>
      </c>
      <c r="BD124" s="618">
        <f t="shared" si="26"/>
        <v>0.12510202995244518</v>
      </c>
      <c r="BG124" t="s">
        <v>626</v>
      </c>
      <c r="BH124" t="s">
        <v>1394</v>
      </c>
    </row>
    <row r="125" spans="1:60" ht="12.75" customHeight="1" outlineLevel="1" x14ac:dyDescent="0.2">
      <c r="A125" s="570">
        <v>43466</v>
      </c>
      <c r="B125" s="708">
        <f>IF([1]RENAME!$H$3=0,A125,TEXT(A125,"[$-em-US] mmm-aa;@"))</f>
        <v>43466</v>
      </c>
      <c r="C125" s="365" t="str">
        <f>IF([1]RENAME!$H$3=0,BG125,BH125)</f>
        <v>1T19</v>
      </c>
      <c r="D125" s="366">
        <v>43466</v>
      </c>
      <c r="E125" s="403">
        <f>[2]Base!P123</f>
        <v>215375</v>
      </c>
      <c r="F125" s="404">
        <f>[2]Base!Q123</f>
        <v>191209</v>
      </c>
      <c r="G125" s="406">
        <f>[2]Base!R123</f>
        <v>24166</v>
      </c>
      <c r="H125" s="365"/>
      <c r="I125" s="403">
        <f>[2]Base!T123</f>
        <v>245.6</v>
      </c>
      <c r="J125" s="413">
        <f>[2]Base!U123</f>
        <v>160.19999999999999</v>
      </c>
      <c r="K125" s="408">
        <f>[2]Base!V123</f>
        <v>85.4</v>
      </c>
      <c r="L125" s="365"/>
      <c r="M125" s="407">
        <f>+[2]Base!X123</f>
        <v>190415</v>
      </c>
      <c r="N125" s="406">
        <f>+[2]Base!Y123</f>
        <v>23691</v>
      </c>
      <c r="O125" s="365"/>
      <c r="P125" s="407">
        <f>[2]Base!AB123</f>
        <v>69217.65800000001</v>
      </c>
      <c r="Q125" s="406">
        <f>[2]Base!AC123</f>
        <v>121991.34199999999</v>
      </c>
      <c r="R125" s="365"/>
      <c r="S125" s="407">
        <f>[2]Base!AE123</f>
        <v>874511</v>
      </c>
      <c r="T125" s="408">
        <f>[2]Base!AF123</f>
        <v>4.5735870173475099</v>
      </c>
      <c r="U125" s="365"/>
      <c r="V125" s="407">
        <f>[2]Base!AR123</f>
        <v>0</v>
      </c>
      <c r="W125" s="404">
        <f>[2]Base!AS123</f>
        <v>27891</v>
      </c>
      <c r="X125" s="404">
        <f>[2]Base!AT123</f>
        <v>0</v>
      </c>
      <c r="Y125" s="404">
        <f>[2]Base!AU123</f>
        <v>16478</v>
      </c>
      <c r="Z125" s="404">
        <f>[2]Base!AV123</f>
        <v>22845</v>
      </c>
      <c r="AA125" s="404">
        <f>[2]Base!AW123</f>
        <v>12581</v>
      </c>
      <c r="AB125" s="404">
        <f>[2]Base!AX123</f>
        <v>0</v>
      </c>
      <c r="AC125" s="404" t="s">
        <v>160</v>
      </c>
      <c r="AD125" s="406">
        <f>[2]Base!AZ123</f>
        <v>111414</v>
      </c>
      <c r="AE125" s="365"/>
      <c r="AF125" s="366">
        <f t="shared" si="23"/>
        <v>43466</v>
      </c>
      <c r="AG125" s="960">
        <f t="shared" si="28"/>
        <v>0</v>
      </c>
      <c r="AH125" s="961">
        <f t="shared" si="29"/>
        <v>0.14586656485834873</v>
      </c>
      <c r="AI125" s="961">
        <f t="shared" si="30"/>
        <v>0</v>
      </c>
      <c r="AJ125" s="961">
        <f t="shared" si="31"/>
        <v>8.6177951874650258E-2</v>
      </c>
      <c r="AK125" s="961">
        <f t="shared" si="32"/>
        <v>0.11947659367498392</v>
      </c>
      <c r="AL125" s="961">
        <f t="shared" si="33"/>
        <v>6.579711206062476E-2</v>
      </c>
      <c r="AM125" s="961">
        <f t="shared" si="34"/>
        <v>0</v>
      </c>
      <c r="AN125" s="961" t="s">
        <v>160</v>
      </c>
      <c r="AO125" s="962">
        <f t="shared" si="35"/>
        <v>0.58268177753139239</v>
      </c>
      <c r="AP125" s="365"/>
      <c r="AQ125" s="407">
        <f>+[2]Base!CS123</f>
        <v>9694.2963</v>
      </c>
      <c r="AR125" s="404">
        <f>+[2]Base!CT123</f>
        <v>31415.6387</v>
      </c>
      <c r="AS125" s="404">
        <f>+[2]Base!CU123</f>
        <v>18260.459500000001</v>
      </c>
      <c r="AT125" s="404">
        <f>+[2]Base!CV123</f>
        <v>97382.743699999992</v>
      </c>
      <c r="AU125" s="406">
        <f>+[2]Base!CW123</f>
        <v>34436.740900000004</v>
      </c>
      <c r="AV125" s="365"/>
      <c r="AW125" s="963">
        <f t="shared" ref="AW125:BA127" si="37">+AQ125/SUM($AQ125:$AU125)</f>
        <v>5.0705070507050705E-2</v>
      </c>
      <c r="AX125" s="964">
        <f t="shared" si="37"/>
        <v>0.16431643164316431</v>
      </c>
      <c r="AY125" s="964">
        <f t="shared" si="37"/>
        <v>9.5509550955095515E-2</v>
      </c>
      <c r="AZ125" s="964">
        <f t="shared" si="37"/>
        <v>0.50935093509350937</v>
      </c>
      <c r="BA125" s="965">
        <f t="shared" si="37"/>
        <v>0.18011801180118014</v>
      </c>
      <c r="BB125" s="365"/>
      <c r="BC125" s="963">
        <f t="shared" si="25"/>
        <v>0.12691227056691962</v>
      </c>
      <c r="BD125" s="965">
        <f t="shared" si="26"/>
        <v>0.12390107160227813</v>
      </c>
      <c r="BG125" t="s">
        <v>1408</v>
      </c>
      <c r="BH125" t="s">
        <v>1420</v>
      </c>
    </row>
    <row r="126" spans="1:60" ht="12.75" customHeight="1" outlineLevel="1" x14ac:dyDescent="0.2">
      <c r="A126" s="570">
        <v>43497</v>
      </c>
      <c r="B126" s="708">
        <f>IF([1]RENAME!$H$3=0,A126,TEXT(A126,"[$-em-US] mmm-aa;@"))</f>
        <v>43497</v>
      </c>
      <c r="C126" s="365" t="str">
        <f>IF([1]RENAME!$H$3=0,BG126,BH126)</f>
        <v>1T19</v>
      </c>
      <c r="D126" s="366">
        <v>43497</v>
      </c>
      <c r="E126" s="403">
        <f>[2]Base!P124</f>
        <v>229266</v>
      </c>
      <c r="F126" s="404">
        <f>[2]Base!Q124</f>
        <v>190273</v>
      </c>
      <c r="G126" s="406">
        <f>[2]Base!R124</f>
        <v>38993</v>
      </c>
      <c r="H126" s="365"/>
      <c r="I126" s="403">
        <f>[2]Base!T124</f>
        <v>288.10000000000002</v>
      </c>
      <c r="J126" s="413">
        <f>[2]Base!U124</f>
        <v>180.1</v>
      </c>
      <c r="K126" s="408">
        <f>[2]Base!V124</f>
        <v>108</v>
      </c>
      <c r="L126" s="365"/>
      <c r="M126" s="407">
        <f>+[2]Base!X124</f>
        <v>245782</v>
      </c>
      <c r="N126" s="406">
        <f>+[2]Base!Y124</f>
        <v>21696</v>
      </c>
      <c r="O126" s="365"/>
      <c r="P126" s="407">
        <f>[2]Base!AB124</f>
        <v>81703.226200000005</v>
      </c>
      <c r="Q126" s="406">
        <f>[2]Base!AC124</f>
        <v>108569.7738</v>
      </c>
      <c r="R126" s="365"/>
      <c r="S126" s="407">
        <f>[2]Base!AE124</f>
        <v>834521</v>
      </c>
      <c r="T126" s="408">
        <f>[2]Base!AF124</f>
        <v>4.3859139236780837</v>
      </c>
      <c r="U126" s="365"/>
      <c r="V126" s="407">
        <f>[2]Base!AR124</f>
        <v>0</v>
      </c>
      <c r="W126" s="404">
        <f>[2]Base!AS124</f>
        <v>25579</v>
      </c>
      <c r="X126" s="404">
        <f>[2]Base!AT124</f>
        <v>0</v>
      </c>
      <c r="Y126" s="404">
        <f>[2]Base!AU124</f>
        <v>14297</v>
      </c>
      <c r="Z126" s="404">
        <f>[2]Base!AV124</f>
        <v>23028</v>
      </c>
      <c r="AA126" s="404">
        <f>[2]Base!AW124</f>
        <v>0</v>
      </c>
      <c r="AB126" s="404">
        <f>[2]Base!AX124</f>
        <v>0</v>
      </c>
      <c r="AC126" s="404" t="s">
        <v>160</v>
      </c>
      <c r="AD126" s="406">
        <f>[2]Base!AZ124</f>
        <v>127369</v>
      </c>
      <c r="AE126" s="365"/>
      <c r="AF126" s="366">
        <f t="shared" si="23"/>
        <v>43497</v>
      </c>
      <c r="AG126" s="960">
        <f t="shared" si="28"/>
        <v>0</v>
      </c>
      <c r="AH126" s="961">
        <f t="shared" si="29"/>
        <v>0.13443315656977081</v>
      </c>
      <c r="AI126" s="961">
        <f t="shared" si="30"/>
        <v>0</v>
      </c>
      <c r="AJ126" s="961">
        <f t="shared" si="31"/>
        <v>7.5139404960241338E-2</v>
      </c>
      <c r="AK126" s="961">
        <f t="shared" si="32"/>
        <v>0.12102610459707894</v>
      </c>
      <c r="AL126" s="961">
        <f t="shared" si="33"/>
        <v>0</v>
      </c>
      <c r="AM126" s="961">
        <f t="shared" si="34"/>
        <v>0</v>
      </c>
      <c r="AN126" s="961" t="s">
        <v>160</v>
      </c>
      <c r="AO126" s="962">
        <f t="shared" si="35"/>
        <v>0.6694013338729089</v>
      </c>
      <c r="AP126" s="365"/>
      <c r="AQ126" s="407">
        <f>+[2]Base!CS124</f>
        <v>9608.7865000000002</v>
      </c>
      <c r="AR126" s="404">
        <f>+[2]Base!CT124</f>
        <v>28636.086499999998</v>
      </c>
      <c r="AS126" s="404">
        <f>+[2]Base!CU124</f>
        <v>18209.126099999998</v>
      </c>
      <c r="AT126" s="404">
        <f>+[2]Base!CV124</f>
        <v>103736.83960000001</v>
      </c>
      <c r="AU126" s="406">
        <f>+[2]Base!CW124</f>
        <v>30082.1613</v>
      </c>
      <c r="AV126" s="365"/>
      <c r="AW126" s="963">
        <f t="shared" si="37"/>
        <v>5.0499999999999996E-2</v>
      </c>
      <c r="AX126" s="964">
        <f t="shared" si="37"/>
        <v>0.15049999999999997</v>
      </c>
      <c r="AY126" s="964">
        <f t="shared" si="37"/>
        <v>9.569999999999998E-2</v>
      </c>
      <c r="AZ126" s="964">
        <f t="shared" si="37"/>
        <v>0.54519999999999991</v>
      </c>
      <c r="BA126" s="965">
        <f t="shared" si="37"/>
        <v>0.15809999999999996</v>
      </c>
      <c r="BB126" s="365"/>
      <c r="BC126" s="963">
        <f t="shared" si="25"/>
        <v>0.15864872122449977</v>
      </c>
      <c r="BD126" s="965">
        <f t="shared" si="26"/>
        <v>0.11402563684810772</v>
      </c>
      <c r="BG126" t="s">
        <v>1408</v>
      </c>
      <c r="BH126" t="s">
        <v>1420</v>
      </c>
    </row>
    <row r="127" spans="1:60" ht="12.75" customHeight="1" outlineLevel="1" x14ac:dyDescent="0.2">
      <c r="A127" s="570">
        <v>43525</v>
      </c>
      <c r="B127" s="708">
        <f>IF([1]RENAME!$H$3=0,A127,TEXT(A127,"[$-em-US] mmm-aa;@"))</f>
        <v>43525</v>
      </c>
      <c r="C127" s="365" t="str">
        <f>IF([1]RENAME!$H$3=0,BG127,BH127)</f>
        <v>1T19</v>
      </c>
      <c r="D127" s="366">
        <v>43525</v>
      </c>
      <c r="E127" s="403">
        <f>[2]Base!P125</f>
        <v>236778</v>
      </c>
      <c r="F127" s="404">
        <f>[2]Base!Q125</f>
        <v>199974</v>
      </c>
      <c r="G127" s="406">
        <f>[2]Base!R125</f>
        <v>36804</v>
      </c>
      <c r="H127" s="365"/>
      <c r="I127" s="403">
        <f>[2]Base!T125</f>
        <v>296.39999999999998</v>
      </c>
      <c r="J127" s="413">
        <f>[2]Base!U125</f>
        <v>190.9</v>
      </c>
      <c r="K127" s="408">
        <f>[2]Base!V125</f>
        <v>105.5</v>
      </c>
      <c r="L127" s="365"/>
      <c r="M127" s="407">
        <f>+[2]Base!X125</f>
        <v>230773</v>
      </c>
      <c r="N127" s="406">
        <f>+[2]Base!Y125</f>
        <v>22726</v>
      </c>
      <c r="O127" s="365"/>
      <c r="P127" s="407">
        <f>[2]Base!AB125</f>
        <v>95767.548599999995</v>
      </c>
      <c r="Q127" s="406">
        <f>[2]Base!AC125</f>
        <v>104206.45140000001</v>
      </c>
      <c r="R127" s="365"/>
      <c r="S127" s="407">
        <f>[2]Base!AE125</f>
        <v>770343</v>
      </c>
      <c r="T127" s="408">
        <f>[2]Base!AF125</f>
        <v>3.852215788052447</v>
      </c>
      <c r="U127" s="365"/>
      <c r="V127" s="407">
        <f>[2]Base!AR125</f>
        <v>0</v>
      </c>
      <c r="W127" s="404">
        <f>[2]Base!AS125</f>
        <v>28818</v>
      </c>
      <c r="X127" s="404">
        <f>[2]Base!AT125</f>
        <v>0</v>
      </c>
      <c r="Y127" s="404">
        <f>[2]Base!AU125</f>
        <v>16744</v>
      </c>
      <c r="Z127" s="404">
        <f>[2]Base!AV125</f>
        <v>27684</v>
      </c>
      <c r="AA127" s="404">
        <f>[2]Base!AW125</f>
        <v>0</v>
      </c>
      <c r="AB127" s="404">
        <f>[2]Base!AX125</f>
        <v>0</v>
      </c>
      <c r="AC127" s="404" t="s">
        <v>160</v>
      </c>
      <c r="AD127" s="406">
        <f>[2]Base!AZ125</f>
        <v>126728</v>
      </c>
      <c r="AE127" s="365"/>
      <c r="AF127" s="366">
        <f t="shared" si="23"/>
        <v>43525</v>
      </c>
      <c r="AG127" s="960">
        <f t="shared" si="28"/>
        <v>0</v>
      </c>
      <c r="AH127" s="961">
        <f t="shared" si="29"/>
        <v>0.14410873413543759</v>
      </c>
      <c r="AI127" s="961">
        <f t="shared" si="30"/>
        <v>0</v>
      </c>
      <c r="AJ127" s="961">
        <f t="shared" si="31"/>
        <v>8.3730885015051951E-2</v>
      </c>
      <c r="AK127" s="961">
        <f t="shared" si="32"/>
        <v>0.13843799693960215</v>
      </c>
      <c r="AL127" s="961">
        <f t="shared" si="33"/>
        <v>0</v>
      </c>
      <c r="AM127" s="961">
        <f t="shared" si="34"/>
        <v>0</v>
      </c>
      <c r="AN127" s="961" t="s">
        <v>160</v>
      </c>
      <c r="AO127" s="962">
        <f t="shared" si="35"/>
        <v>0.63372238390990832</v>
      </c>
      <c r="AP127" s="365"/>
      <c r="AQ127" s="407">
        <f>+[2]Base!CS125</f>
        <v>9458.7702000000008</v>
      </c>
      <c r="AR127" s="404">
        <f>+[2]Base!CT125</f>
        <v>26756.521199999999</v>
      </c>
      <c r="AS127" s="404">
        <f>+[2]Base!CU125</f>
        <v>17857.678200000002</v>
      </c>
      <c r="AT127" s="404">
        <f>+[2]Base!CV125</f>
        <v>114545.1072</v>
      </c>
      <c r="AU127" s="406">
        <f>+[2]Base!CW125</f>
        <v>31375.920600000001</v>
      </c>
      <c r="AV127" s="365"/>
      <c r="AW127" s="963">
        <f t="shared" si="37"/>
        <v>4.7295270472952705E-2</v>
      </c>
      <c r="AX127" s="964">
        <f t="shared" si="37"/>
        <v>0.1337866213378662</v>
      </c>
      <c r="AY127" s="964">
        <f t="shared" si="37"/>
        <v>8.9291070892910704E-2</v>
      </c>
      <c r="AZ127" s="964">
        <f t="shared" si="37"/>
        <v>0.57274272572742724</v>
      </c>
      <c r="BA127" s="965">
        <f t="shared" si="37"/>
        <v>0.15688431156884311</v>
      </c>
      <c r="BB127" s="365"/>
      <c r="BC127" s="963">
        <f t="shared" si="25"/>
        <v>0.15948139513721277</v>
      </c>
      <c r="BD127" s="965">
        <f t="shared" si="26"/>
        <v>0.11364477382059668</v>
      </c>
      <c r="BG127" t="s">
        <v>1408</v>
      </c>
      <c r="BH127" t="s">
        <v>1420</v>
      </c>
    </row>
    <row r="128" spans="1:60" ht="12.75" customHeight="1" outlineLevel="1" x14ac:dyDescent="0.2">
      <c r="A128" s="570">
        <v>43556</v>
      </c>
      <c r="B128" s="708">
        <f>IF([1]RENAME!$H$3=0,A128,TEXT(A128,"[$-em-US] mmm-aa;@"))</f>
        <v>43556</v>
      </c>
      <c r="C128" s="365" t="str">
        <f>IF([1]RENAME!$H$3=0,BG128,BH128)</f>
        <v>2T19</v>
      </c>
      <c r="D128" s="366">
        <v>43556</v>
      </c>
      <c r="E128" s="403">
        <f>[2]Base!P126</f>
        <v>254961</v>
      </c>
      <c r="F128" s="404">
        <f>[2]Base!Q126</f>
        <v>221723</v>
      </c>
      <c r="G128" s="406">
        <f>[2]Base!R126</f>
        <v>33238</v>
      </c>
      <c r="H128" s="365"/>
      <c r="I128" s="403">
        <f>[2]Base!T126</f>
        <v>306.2</v>
      </c>
      <c r="J128" s="413">
        <f>[2]Base!U126</f>
        <v>186.7</v>
      </c>
      <c r="K128" s="408">
        <f>[2]Base!V126</f>
        <v>119.5</v>
      </c>
      <c r="L128" s="365"/>
      <c r="M128" s="407">
        <f>+[2]Base!X126</f>
        <v>255351</v>
      </c>
      <c r="N128" s="406">
        <f>+[2]Base!Y126</f>
        <v>25871</v>
      </c>
      <c r="O128" s="365"/>
      <c r="P128" s="407">
        <f>[2]Base!AB126</f>
        <v>103810.7086</v>
      </c>
      <c r="Q128" s="406">
        <f>[2]Base!AC126</f>
        <v>117912.2914</v>
      </c>
      <c r="R128" s="365"/>
      <c r="S128" s="407">
        <f>[2]Base!AE126</f>
        <v>880315</v>
      </c>
      <c r="T128" s="408">
        <f>[2]Base!AF126</f>
        <v>3.9703368617599435</v>
      </c>
      <c r="U128" s="365"/>
      <c r="V128" s="407">
        <f>[2]Base!AR126</f>
        <v>0</v>
      </c>
      <c r="W128" s="404">
        <f>[2]Base!AS126</f>
        <v>32851</v>
      </c>
      <c r="X128" s="404">
        <f>[2]Base!AT126</f>
        <v>0</v>
      </c>
      <c r="Y128" s="404">
        <f>[2]Base!AU126</f>
        <v>19678</v>
      </c>
      <c r="Z128" s="404">
        <f>[2]Base!AV126</f>
        <v>25858</v>
      </c>
      <c r="AA128" s="404">
        <f>[2]Base!AW126</f>
        <v>0</v>
      </c>
      <c r="AB128" s="404">
        <f>[2]Base!AX126</f>
        <v>0</v>
      </c>
      <c r="AC128" s="404" t="s">
        <v>160</v>
      </c>
      <c r="AD128" s="406">
        <f>[2]Base!AZ126</f>
        <v>143336</v>
      </c>
      <c r="AE128" s="365"/>
      <c r="AF128" s="366">
        <f t="shared" si="23"/>
        <v>43556</v>
      </c>
      <c r="AG128" s="960">
        <f t="shared" si="28"/>
        <v>0</v>
      </c>
      <c r="AH128" s="961">
        <f t="shared" si="29"/>
        <v>0.14816234671188824</v>
      </c>
      <c r="AI128" s="961">
        <f t="shared" si="30"/>
        <v>0</v>
      </c>
      <c r="AJ128" s="961">
        <f t="shared" si="31"/>
        <v>8.875037772355597E-2</v>
      </c>
      <c r="AK128" s="961">
        <f t="shared" si="32"/>
        <v>0.11662299355502136</v>
      </c>
      <c r="AL128" s="961">
        <f t="shared" si="33"/>
        <v>0</v>
      </c>
      <c r="AM128" s="961">
        <f t="shared" si="34"/>
        <v>0</v>
      </c>
      <c r="AN128" s="961" t="s">
        <v>160</v>
      </c>
      <c r="AO128" s="962">
        <f t="shared" si="35"/>
        <v>0.64646428200953443</v>
      </c>
      <c r="AP128" s="365"/>
      <c r="AQ128" s="407">
        <f>+[2]Base!CS126</f>
        <v>10709.2209</v>
      </c>
      <c r="AR128" s="404">
        <f>+[2]Base!CT126</f>
        <v>30642.118599999998</v>
      </c>
      <c r="AS128" s="404">
        <f>+[2]Base!CU126</f>
        <v>20132.448400000001</v>
      </c>
      <c r="AT128" s="404">
        <f>+[2]Base!CV126</f>
        <v>123544.05560000001</v>
      </c>
      <c r="AU128" s="406">
        <f>+[2]Base!CW126</f>
        <v>36695.156500000005</v>
      </c>
      <c r="AV128" s="365"/>
      <c r="AW128" s="963">
        <f t="shared" ref="AW128:BA133" si="38">+AQ128/SUM($AQ128:$AU128)</f>
        <v>4.8299999999999996E-2</v>
      </c>
      <c r="AX128" s="964">
        <f t="shared" si="38"/>
        <v>0.13819999999999996</v>
      </c>
      <c r="AY128" s="964">
        <f t="shared" si="38"/>
        <v>9.0799999999999992E-2</v>
      </c>
      <c r="AZ128" s="964">
        <f t="shared" si="38"/>
        <v>0.55719999999999992</v>
      </c>
      <c r="BA128" s="965">
        <f t="shared" si="38"/>
        <v>0.16550000000000001</v>
      </c>
      <c r="BB128" s="365"/>
      <c r="BC128" s="963">
        <f t="shared" si="25"/>
        <v>0.13016592846709041</v>
      </c>
      <c r="BD128" s="965">
        <f t="shared" si="26"/>
        <v>0.11668162527117169</v>
      </c>
      <c r="BG128" t="s">
        <v>1409</v>
      </c>
      <c r="BH128" t="s">
        <v>1512</v>
      </c>
    </row>
    <row r="129" spans="1:60" ht="12.75" customHeight="1" outlineLevel="1" x14ac:dyDescent="0.2">
      <c r="A129" s="570">
        <v>43586</v>
      </c>
      <c r="B129" s="708">
        <f>IF([1]RENAME!$H$3=0,A129,TEXT(A129,"[$-em-US] mmm-aa;@"))</f>
        <v>43586</v>
      </c>
      <c r="C129" s="365" t="str">
        <f>IF([1]RENAME!$H$3=0,BG129,BH129)</f>
        <v>2T19</v>
      </c>
      <c r="D129" s="366">
        <v>43586</v>
      </c>
      <c r="E129" s="403">
        <f>[2]Base!P127</f>
        <v>274851</v>
      </c>
      <c r="F129" s="404">
        <f>[2]Base!Q127</f>
        <v>234599</v>
      </c>
      <c r="G129" s="406">
        <f>[2]Base!R127</f>
        <v>40252</v>
      </c>
      <c r="H129" s="365"/>
      <c r="I129" s="403">
        <f>[2]Base!T127</f>
        <v>321.39999999999998</v>
      </c>
      <c r="J129" s="413">
        <f>[2]Base!U127</f>
        <v>186.5</v>
      </c>
      <c r="K129" s="408">
        <f>[2]Base!V127</f>
        <v>134.9</v>
      </c>
      <c r="L129" s="365"/>
      <c r="M129" s="407">
        <f>+[2]Base!X127</f>
        <v>261742</v>
      </c>
      <c r="N129" s="406">
        <f>+[2]Base!Y127</f>
        <v>25323</v>
      </c>
      <c r="O129" s="365"/>
      <c r="P129" s="407">
        <f>[2]Base!AB127</f>
        <v>109839.2518</v>
      </c>
      <c r="Q129" s="406">
        <f>[2]Base!AC127</f>
        <v>124759.7482</v>
      </c>
      <c r="R129" s="365"/>
      <c r="S129" s="407">
        <f>[2]Base!AE127</f>
        <v>958721</v>
      </c>
      <c r="T129" s="408">
        <f>[2]Base!AF127</f>
        <v>4.0866371979420206</v>
      </c>
      <c r="U129" s="365"/>
      <c r="V129" s="407">
        <f>[2]Base!AR127</f>
        <v>0</v>
      </c>
      <c r="W129" s="404">
        <f>[2]Base!AS127</f>
        <v>38255</v>
      </c>
      <c r="X129" s="404">
        <f>[2]Base!AT127</f>
        <v>0</v>
      </c>
      <c r="Y129" s="404">
        <f>[2]Base!AU127</f>
        <v>19091</v>
      </c>
      <c r="Z129" s="404">
        <f>[2]Base!AV127</f>
        <v>28431</v>
      </c>
      <c r="AA129" s="404">
        <f>[2]Base!AW127</f>
        <v>0</v>
      </c>
      <c r="AB129" s="404">
        <f>[2]Base!AX127</f>
        <v>0</v>
      </c>
      <c r="AC129" s="404" t="s">
        <v>160</v>
      </c>
      <c r="AD129" s="406">
        <f>[2]Base!AZ127</f>
        <v>148822</v>
      </c>
      <c r="AE129" s="365"/>
      <c r="AF129" s="366">
        <f t="shared" si="23"/>
        <v>43586</v>
      </c>
      <c r="AG129" s="960">
        <f t="shared" si="28"/>
        <v>0</v>
      </c>
      <c r="AH129" s="961">
        <f t="shared" si="29"/>
        <v>0.16306548621264369</v>
      </c>
      <c r="AI129" s="961">
        <f t="shared" si="30"/>
        <v>0</v>
      </c>
      <c r="AJ129" s="961">
        <f t="shared" si="31"/>
        <v>8.1377158470411215E-2</v>
      </c>
      <c r="AK129" s="961">
        <f t="shared" si="32"/>
        <v>0.12118977489247609</v>
      </c>
      <c r="AL129" s="961">
        <f t="shared" si="33"/>
        <v>0</v>
      </c>
      <c r="AM129" s="961">
        <f t="shared" si="34"/>
        <v>0</v>
      </c>
      <c r="AN129" s="961" t="s">
        <v>160</v>
      </c>
      <c r="AO129" s="962">
        <f t="shared" si="35"/>
        <v>0.63436758042446895</v>
      </c>
      <c r="AP129" s="365"/>
      <c r="AQ129" s="407">
        <f>+[2]Base!CS127</f>
        <v>11589.1906</v>
      </c>
      <c r="AR129" s="404">
        <f>+[2]Base!CT127</f>
        <v>32445.041700000002</v>
      </c>
      <c r="AS129" s="404">
        <f>+[2]Base!CU127</f>
        <v>21278.129300000001</v>
      </c>
      <c r="AT129" s="404">
        <f>+[2]Base!CV127</f>
        <v>132290.37609999999</v>
      </c>
      <c r="AU129" s="406">
        <f>+[2]Base!CW127</f>
        <v>37019.722199999997</v>
      </c>
      <c r="AV129" s="365"/>
      <c r="AW129" s="963">
        <f t="shared" si="38"/>
        <v>4.9395060493950607E-2</v>
      </c>
      <c r="AX129" s="964">
        <f t="shared" si="38"/>
        <v>0.13828617138286173</v>
      </c>
      <c r="AY129" s="964">
        <f t="shared" si="38"/>
        <v>9.0690930906909314E-2</v>
      </c>
      <c r="AZ129" s="964">
        <f t="shared" si="38"/>
        <v>0.56384361563843621</v>
      </c>
      <c r="BA129" s="965">
        <f t="shared" si="38"/>
        <v>0.15778422157784222</v>
      </c>
      <c r="BB129" s="365"/>
      <c r="BC129" s="963">
        <f t="shared" si="25"/>
        <v>0.15378502494823146</v>
      </c>
      <c r="BD129" s="965">
        <f t="shared" si="26"/>
        <v>0.10794163657986607</v>
      </c>
      <c r="BG129" t="s">
        <v>1409</v>
      </c>
      <c r="BH129" t="s">
        <v>1512</v>
      </c>
    </row>
    <row r="130" spans="1:60" ht="12.75" customHeight="1" outlineLevel="1" x14ac:dyDescent="0.2">
      <c r="A130" s="570">
        <v>43617</v>
      </c>
      <c r="B130" s="708">
        <f>IF([1]RENAME!$H$3=0,A130,TEXT(A130,"[$-em-US] mmm-aa;@"))</f>
        <v>43617</v>
      </c>
      <c r="C130" s="365" t="str">
        <f>IF([1]RENAME!$H$3=0,BG130,BH130)</f>
        <v>2T19</v>
      </c>
      <c r="D130" s="366">
        <v>43617</v>
      </c>
      <c r="E130" s="403">
        <f>[2]Base!P128</f>
        <v>252781</v>
      </c>
      <c r="F130" s="404">
        <f>[2]Base!Q128</f>
        <v>213995</v>
      </c>
      <c r="G130" s="406">
        <f>[2]Base!R128</f>
        <v>38786</v>
      </c>
      <c r="H130" s="365"/>
      <c r="I130" s="403">
        <f>[2]Base!T128</f>
        <v>316</v>
      </c>
      <c r="J130" s="413">
        <f>[2]Base!U128</f>
        <v>200.6</v>
      </c>
      <c r="K130" s="408">
        <f>[2]Base!V128</f>
        <v>115.4</v>
      </c>
      <c r="L130" s="365"/>
      <c r="M130" s="407">
        <f>+[2]Base!X128</f>
        <v>220782</v>
      </c>
      <c r="N130" s="406">
        <f>+[2]Base!Y128</f>
        <v>22496</v>
      </c>
      <c r="O130" s="365"/>
      <c r="P130" s="407">
        <f>[2]Base!AB128</f>
        <v>102289.61</v>
      </c>
      <c r="Q130" s="406">
        <f>[2]Base!AC128</f>
        <v>111705.39</v>
      </c>
      <c r="R130" s="365"/>
      <c r="S130" s="407">
        <f>[2]Base!AE128</f>
        <v>805014</v>
      </c>
      <c r="T130" s="408">
        <f>[2]Base!AF128</f>
        <v>3.7618355569055351</v>
      </c>
      <c r="U130" s="365"/>
      <c r="V130" s="407">
        <f>[2]Base!AR128</f>
        <v>0</v>
      </c>
      <c r="W130" s="404">
        <f>[2]Base!AS128</f>
        <v>32516</v>
      </c>
      <c r="X130" s="404">
        <f>[2]Base!AT128</f>
        <v>0</v>
      </c>
      <c r="Y130" s="404">
        <f>[2]Base!AU128</f>
        <v>16707</v>
      </c>
      <c r="Z130" s="404">
        <f>[2]Base!AV128</f>
        <v>28960</v>
      </c>
      <c r="AA130" s="404">
        <f>[2]Base!AW128</f>
        <v>0</v>
      </c>
      <c r="AB130" s="404">
        <f>[2]Base!AX128</f>
        <v>0</v>
      </c>
      <c r="AC130" s="404" t="s">
        <v>160</v>
      </c>
      <c r="AD130" s="406">
        <f>[2]Base!AZ128</f>
        <v>135812</v>
      </c>
      <c r="AE130" s="365"/>
      <c r="AF130" s="366">
        <f t="shared" si="23"/>
        <v>43617</v>
      </c>
      <c r="AG130" s="960">
        <f t="shared" si="28"/>
        <v>0</v>
      </c>
      <c r="AH130" s="961">
        <f t="shared" si="29"/>
        <v>0.15194747540830394</v>
      </c>
      <c r="AI130" s="961">
        <f t="shared" si="30"/>
        <v>0</v>
      </c>
      <c r="AJ130" s="961">
        <f t="shared" si="31"/>
        <v>7.8071917568167476E-2</v>
      </c>
      <c r="AK130" s="961">
        <f t="shared" si="32"/>
        <v>0.13533026472581136</v>
      </c>
      <c r="AL130" s="961">
        <f t="shared" si="33"/>
        <v>0</v>
      </c>
      <c r="AM130" s="961">
        <f t="shared" si="34"/>
        <v>0</v>
      </c>
      <c r="AN130" s="961" t="s">
        <v>160</v>
      </c>
      <c r="AO130" s="962">
        <f t="shared" si="35"/>
        <v>0.63465034229771722</v>
      </c>
      <c r="AP130" s="365"/>
      <c r="AQ130" s="407">
        <f>+[2]Base!CS128</f>
        <v>10977.943499999999</v>
      </c>
      <c r="AR130" s="404">
        <f>+[2]Base!CT128</f>
        <v>28696.729499999998</v>
      </c>
      <c r="AS130" s="404">
        <f>+[2]Base!CU128</f>
        <v>19131.152999999998</v>
      </c>
      <c r="AT130" s="404">
        <f>+[2]Base!CV128</f>
        <v>121249.567</v>
      </c>
      <c r="AU130" s="406">
        <f>+[2]Base!CW128</f>
        <v>33939.606999999996</v>
      </c>
      <c r="AV130" s="365"/>
      <c r="AW130" s="963">
        <f t="shared" si="38"/>
        <v>5.1300000000000005E-2</v>
      </c>
      <c r="AX130" s="964">
        <f t="shared" si="38"/>
        <v>0.1341</v>
      </c>
      <c r="AY130" s="964">
        <f t="shared" si="38"/>
        <v>8.9400000000000007E-2</v>
      </c>
      <c r="AZ130" s="964">
        <f t="shared" si="38"/>
        <v>0.5666000000000001</v>
      </c>
      <c r="BA130" s="965">
        <f t="shared" si="38"/>
        <v>0.15859999999999999</v>
      </c>
      <c r="BB130" s="365"/>
      <c r="BC130" s="963">
        <f t="shared" si="25"/>
        <v>0.17567555326068249</v>
      </c>
      <c r="BD130" s="965">
        <f t="shared" si="26"/>
        <v>0.10512395149419379</v>
      </c>
      <c r="BG130" t="s">
        <v>1409</v>
      </c>
      <c r="BH130" t="s">
        <v>1512</v>
      </c>
    </row>
    <row r="131" spans="1:60" ht="12.75" customHeight="1" outlineLevel="1" x14ac:dyDescent="0.2">
      <c r="A131" s="570">
        <v>43647</v>
      </c>
      <c r="B131" s="708">
        <f>IF([1]RENAME!$H$3=0,A131,TEXT(A131,"[$-em-US] mmm-aa;@"))</f>
        <v>43647</v>
      </c>
      <c r="C131" s="365" t="str">
        <f>IF([1]RENAME!$H$3=0,BG131,BH131)</f>
        <v>3T19</v>
      </c>
      <c r="D131" s="366">
        <v>43647</v>
      </c>
      <c r="E131" s="403">
        <f>[2]Base!P129</f>
        <v>272954</v>
      </c>
      <c r="F131" s="404">
        <f>[2]Base!Q129</f>
        <v>232861</v>
      </c>
      <c r="G131" s="406">
        <f>[2]Base!R129</f>
        <v>40093</v>
      </c>
      <c r="H131" s="365"/>
      <c r="I131" s="403">
        <f>[2]Base!T129</f>
        <v>320.39999999999998</v>
      </c>
      <c r="J131" s="413">
        <f>[2]Base!U129</f>
        <v>181.9</v>
      </c>
      <c r="K131" s="408">
        <f>[2]Base!V129</f>
        <v>138.5</v>
      </c>
      <c r="L131" s="365"/>
      <c r="M131" s="407">
        <f>+[2]Base!X129</f>
        <v>253434</v>
      </c>
      <c r="N131" s="406">
        <f>+[2]Base!Y129</f>
        <v>24913</v>
      </c>
      <c r="O131" s="365"/>
      <c r="P131" s="407">
        <f>[2]Base!AB129</f>
        <v>105718.89399999999</v>
      </c>
      <c r="Q131" s="406">
        <f>[2]Base!AC129</f>
        <v>127142.10600000001</v>
      </c>
      <c r="R131" s="365"/>
      <c r="S131" s="407">
        <f>[2]Base!AE129</f>
        <v>1008381</v>
      </c>
      <c r="T131" s="408">
        <f>[2]Base!AF129</f>
        <v>4.3303988216146116</v>
      </c>
      <c r="U131" s="365"/>
      <c r="V131" s="407">
        <f>[2]Base!AR129</f>
        <v>0</v>
      </c>
      <c r="W131" s="404">
        <f>[2]Base!AS129</f>
        <v>35714</v>
      </c>
      <c r="X131" s="404">
        <f>[2]Base!AT129</f>
        <v>0</v>
      </c>
      <c r="Y131" s="404">
        <f>[2]Base!AU129</f>
        <v>20733</v>
      </c>
      <c r="Z131" s="404">
        <f>[2]Base!AV129</f>
        <v>27588</v>
      </c>
      <c r="AA131" s="404">
        <f>[2]Base!AW129</f>
        <v>0</v>
      </c>
      <c r="AB131" s="404">
        <f>[2]Base!AX129</f>
        <v>0</v>
      </c>
      <c r="AC131" s="404" t="s">
        <v>160</v>
      </c>
      <c r="AD131" s="406">
        <f>[2]Base!AZ129</f>
        <v>148826</v>
      </c>
      <c r="AE131" s="365"/>
      <c r="AF131" s="366">
        <f t="shared" si="23"/>
        <v>43647</v>
      </c>
      <c r="AG131" s="960">
        <f t="shared" si="28"/>
        <v>0</v>
      </c>
      <c r="AH131" s="961">
        <f t="shared" si="29"/>
        <v>0.15337046564259366</v>
      </c>
      <c r="AI131" s="961">
        <f t="shared" si="30"/>
        <v>0</v>
      </c>
      <c r="AJ131" s="961">
        <f t="shared" si="31"/>
        <v>8.9035948484288904E-2</v>
      </c>
      <c r="AK131" s="961">
        <f t="shared" si="32"/>
        <v>0.11847411116502979</v>
      </c>
      <c r="AL131" s="961">
        <f t="shared" si="33"/>
        <v>0</v>
      </c>
      <c r="AM131" s="961">
        <f t="shared" si="34"/>
        <v>0</v>
      </c>
      <c r="AN131" s="961" t="s">
        <v>160</v>
      </c>
      <c r="AO131" s="962">
        <f t="shared" si="35"/>
        <v>0.63911947470808761</v>
      </c>
      <c r="AP131" s="365"/>
      <c r="AQ131" s="407">
        <f>+[2]Base!CS129</f>
        <v>12690.924499999999</v>
      </c>
      <c r="AR131" s="404">
        <f>+[2]Base!CT129</f>
        <v>34463.428</v>
      </c>
      <c r="AS131" s="404">
        <f>+[2]Base!CU129</f>
        <v>21795.7896</v>
      </c>
      <c r="AT131" s="404">
        <f>+[2]Base!CV129</f>
        <v>125302.50410000001</v>
      </c>
      <c r="AU131" s="406">
        <f>+[2]Base!CW129</f>
        <v>38585.0677</v>
      </c>
      <c r="AV131" s="365"/>
      <c r="AW131" s="963">
        <f t="shared" si="38"/>
        <v>5.4505450545054492E-2</v>
      </c>
      <c r="AX131" s="964">
        <f t="shared" si="38"/>
        <v>0.14801480148014801</v>
      </c>
      <c r="AY131" s="964">
        <f t="shared" si="38"/>
        <v>9.3609360936093594E-2</v>
      </c>
      <c r="AZ131" s="964">
        <f t="shared" si="38"/>
        <v>0.53815381538153806</v>
      </c>
      <c r="BA131" s="965">
        <f t="shared" si="38"/>
        <v>0.16571657165716569</v>
      </c>
      <c r="BB131" s="365"/>
      <c r="BC131" s="963">
        <f t="shared" si="25"/>
        <v>0.15819897882683459</v>
      </c>
      <c r="BD131" s="965">
        <f t="shared" si="26"/>
        <v>0.10698657138808131</v>
      </c>
      <c r="BG131" t="s">
        <v>1410</v>
      </c>
      <c r="BH131" t="s">
        <v>1513</v>
      </c>
    </row>
    <row r="132" spans="1:60" ht="12.75" customHeight="1" outlineLevel="1" x14ac:dyDescent="0.2">
      <c r="A132" s="570">
        <v>43678</v>
      </c>
      <c r="B132" s="708">
        <f>IF([1]RENAME!$H$3=0,A132,TEXT(A132,"[$-em-US] mmm-aa;@"))</f>
        <v>43678</v>
      </c>
      <c r="C132" s="365" t="str">
        <f>IF([1]RENAME!$H$3=0,BG132,BH132)</f>
        <v>3T19</v>
      </c>
      <c r="D132" s="366">
        <v>43678</v>
      </c>
      <c r="E132" s="403">
        <f>[2]Base!P130</f>
        <v>266440</v>
      </c>
      <c r="F132" s="404">
        <f>[2]Base!Q130</f>
        <v>231522</v>
      </c>
      <c r="G132" s="406">
        <f>[2]Base!R130</f>
        <v>34918</v>
      </c>
      <c r="H132" s="365"/>
      <c r="I132" s="403">
        <f>[2]Base!T130</f>
        <v>343.2</v>
      </c>
      <c r="J132" s="413">
        <f>[2]Base!U130</f>
        <v>183.5</v>
      </c>
      <c r="K132" s="408">
        <f>[2]Base!V130</f>
        <v>159.69999999999999</v>
      </c>
      <c r="L132" s="365"/>
      <c r="M132" s="407">
        <f>+[2]Base!X130</f>
        <v>256360</v>
      </c>
      <c r="N132" s="406">
        <f>+[2]Base!Y130</f>
        <v>25875</v>
      </c>
      <c r="O132" s="365"/>
      <c r="P132" s="407">
        <f>[2]Base!AB130</f>
        <v>104578.4874</v>
      </c>
      <c r="Q132" s="406">
        <f>[2]Base!AC130</f>
        <v>126943.5126</v>
      </c>
      <c r="R132" s="365"/>
      <c r="S132" s="407">
        <f>[2]Base!AE130</f>
        <v>986311</v>
      </c>
      <c r="T132" s="408">
        <f>[2]Base!AF130</f>
        <v>4.2601178289752157</v>
      </c>
      <c r="U132" s="365"/>
      <c r="V132" s="407">
        <f>[2]Base!AR130</f>
        <v>0</v>
      </c>
      <c r="W132" s="404">
        <f>[2]Base!AS130</f>
        <v>38906</v>
      </c>
      <c r="X132" s="404">
        <f>[2]Base!AT130</f>
        <v>0</v>
      </c>
      <c r="Y132" s="404">
        <f>[2]Base!AU130</f>
        <v>17464</v>
      </c>
      <c r="Z132" s="404">
        <f>[2]Base!AV130</f>
        <v>27422</v>
      </c>
      <c r="AA132" s="404">
        <f>[2]Base!AW130</f>
        <v>0</v>
      </c>
      <c r="AB132" s="404">
        <f>[2]Base!AX130</f>
        <v>0</v>
      </c>
      <c r="AC132" s="404" t="s">
        <v>160</v>
      </c>
      <c r="AD132" s="406">
        <f>[2]Base!AZ130</f>
        <v>147730</v>
      </c>
      <c r="AE132" s="365"/>
      <c r="AF132" s="366">
        <f t="shared" si="23"/>
        <v>43678</v>
      </c>
      <c r="AG132" s="960">
        <f t="shared" si="28"/>
        <v>0</v>
      </c>
      <c r="AH132" s="961">
        <f t="shared" si="29"/>
        <v>0.16804450548975908</v>
      </c>
      <c r="AI132" s="961">
        <f t="shared" si="30"/>
        <v>0</v>
      </c>
      <c r="AJ132" s="961">
        <f t="shared" si="31"/>
        <v>7.5431276509359796E-2</v>
      </c>
      <c r="AK132" s="961">
        <f t="shared" si="32"/>
        <v>0.11844230785843246</v>
      </c>
      <c r="AL132" s="961">
        <f t="shared" si="33"/>
        <v>0</v>
      </c>
      <c r="AM132" s="961">
        <f t="shared" si="34"/>
        <v>0</v>
      </c>
      <c r="AN132" s="961" t="s">
        <v>160</v>
      </c>
      <c r="AO132" s="962">
        <f t="shared" si="35"/>
        <v>0.63808191014244864</v>
      </c>
      <c r="AP132" s="365"/>
      <c r="AQ132" s="407">
        <f>+[2]Base!CS130</f>
        <v>12502.188</v>
      </c>
      <c r="AR132" s="404">
        <f>+[2]Base!CT130</f>
        <v>33825.364200000004</v>
      </c>
      <c r="AS132" s="404">
        <f>+[2]Base!CU130</f>
        <v>22087.198799999998</v>
      </c>
      <c r="AT132" s="404">
        <f>+[2]Base!CV130</f>
        <v>124489.37939999999</v>
      </c>
      <c r="AU132" s="406">
        <f>+[2]Base!CW130</f>
        <v>38617.869599999998</v>
      </c>
      <c r="AV132" s="365"/>
      <c r="AW132" s="963">
        <f t="shared" si="38"/>
        <v>5.3999999999999999E-2</v>
      </c>
      <c r="AX132" s="964">
        <f t="shared" si="38"/>
        <v>0.14610000000000001</v>
      </c>
      <c r="AY132" s="964">
        <f t="shared" si="38"/>
        <v>9.5399999999999999E-2</v>
      </c>
      <c r="AZ132" s="964">
        <f t="shared" si="38"/>
        <v>0.53769999999999996</v>
      </c>
      <c r="BA132" s="965">
        <f t="shared" si="38"/>
        <v>0.1668</v>
      </c>
      <c r="BB132" s="365"/>
      <c r="BC132" s="963">
        <f t="shared" si="25"/>
        <v>0.13620689655172413</v>
      </c>
      <c r="BD132" s="965">
        <f t="shared" si="26"/>
        <v>0.11176043745302822</v>
      </c>
      <c r="BG132" t="s">
        <v>1410</v>
      </c>
      <c r="BH132" t="s">
        <v>1513</v>
      </c>
    </row>
    <row r="133" spans="1:60" ht="12.75" customHeight="1" outlineLevel="1" x14ac:dyDescent="0.2">
      <c r="A133" s="570">
        <v>43709</v>
      </c>
      <c r="B133" s="708">
        <f>IF([1]RENAME!$H$3=0,A133,TEXT(A133,"[$-em-US] mmm-aa;@"))</f>
        <v>43709</v>
      </c>
      <c r="C133" s="365" t="str">
        <f>IF([1]RENAME!$H$3=0,BG133,BH133)</f>
        <v>3T19</v>
      </c>
      <c r="D133" s="366">
        <v>43709</v>
      </c>
      <c r="E133" s="403">
        <f>[2]Base!P131</f>
        <v>259206</v>
      </c>
      <c r="F133" s="404">
        <f>[2]Base!Q131</f>
        <v>224014</v>
      </c>
      <c r="G133" s="406">
        <f>[2]Base!R131</f>
        <v>35192</v>
      </c>
      <c r="H133" s="365"/>
      <c r="I133" s="403">
        <f>[2]Base!T131</f>
        <v>348.6</v>
      </c>
      <c r="J133" s="413">
        <f>[2]Base!U131</f>
        <v>200</v>
      </c>
      <c r="K133" s="408">
        <f>[2]Base!V131</f>
        <v>148.6</v>
      </c>
      <c r="L133" s="365"/>
      <c r="M133" s="407">
        <f>+[2]Base!X131</f>
        <v>234636</v>
      </c>
      <c r="N133" s="406">
        <f>+[2]Base!Y131</f>
        <v>24648</v>
      </c>
      <c r="O133" s="365"/>
      <c r="P133" s="407">
        <f>[2]Base!AB131</f>
        <v>103360.05960000001</v>
      </c>
      <c r="Q133" s="406">
        <f>[2]Base!AC131</f>
        <v>120653.94039999999</v>
      </c>
      <c r="R133" s="365"/>
      <c r="S133" s="407">
        <f>[2]Base!AE131</f>
        <v>939718</v>
      </c>
      <c r="T133" s="408">
        <f>[2]Base!AF131</f>
        <v>4.1949074611408212</v>
      </c>
      <c r="U133" s="365"/>
      <c r="V133" s="407">
        <f>[2]Base!AR131</f>
        <v>0</v>
      </c>
      <c r="W133" s="404">
        <f>[2]Base!AS131</f>
        <v>35387</v>
      </c>
      <c r="X133" s="404">
        <f>[2]Base!AT131</f>
        <v>0</v>
      </c>
      <c r="Y133" s="404">
        <f>[2]Base!AU131</f>
        <v>15889</v>
      </c>
      <c r="Z133" s="404">
        <f>[2]Base!AV131</f>
        <v>31397</v>
      </c>
      <c r="AA133" s="404">
        <f>[2]Base!AW131</f>
        <v>0</v>
      </c>
      <c r="AB133" s="404">
        <f>[2]Base!AX131</f>
        <v>0</v>
      </c>
      <c r="AC133" s="404" t="s">
        <v>160</v>
      </c>
      <c r="AD133" s="406">
        <f>[2]Base!AZ131</f>
        <v>141341</v>
      </c>
      <c r="AE133" s="365"/>
      <c r="AF133" s="366">
        <f t="shared" ref="AF133:AF164" si="39">+D133</f>
        <v>43709</v>
      </c>
      <c r="AG133" s="960">
        <f t="shared" si="28"/>
        <v>0</v>
      </c>
      <c r="AH133" s="961">
        <f t="shared" si="29"/>
        <v>0.15796780558357959</v>
      </c>
      <c r="AI133" s="961">
        <f t="shared" si="30"/>
        <v>0</v>
      </c>
      <c r="AJ133" s="961">
        <f t="shared" si="31"/>
        <v>7.0928602676618421E-2</v>
      </c>
      <c r="AK133" s="961">
        <f t="shared" si="32"/>
        <v>0.14015641879525387</v>
      </c>
      <c r="AL133" s="961">
        <f t="shared" si="33"/>
        <v>0</v>
      </c>
      <c r="AM133" s="961">
        <f t="shared" si="34"/>
        <v>0</v>
      </c>
      <c r="AN133" s="961" t="s">
        <v>160</v>
      </c>
      <c r="AO133" s="962">
        <f t="shared" si="35"/>
        <v>0.63094717294454816</v>
      </c>
      <c r="AP133" s="365"/>
      <c r="AQ133" s="407">
        <f>+[2]Base!CS131</f>
        <v>12007.1504</v>
      </c>
      <c r="AR133" s="404">
        <f>+[2]Base!CT131</f>
        <v>32034.001999999997</v>
      </c>
      <c r="AS133" s="404">
        <f>+[2]Base!CU131</f>
        <v>19130.795600000001</v>
      </c>
      <c r="AT133" s="404">
        <f>+[2]Base!CV131</f>
        <v>123498.9182</v>
      </c>
      <c r="AU133" s="406">
        <f>+[2]Base!CW131</f>
        <v>37365.535199999998</v>
      </c>
      <c r="AV133" s="365"/>
      <c r="AW133" s="963">
        <f t="shared" si="38"/>
        <v>5.3594640535946411E-2</v>
      </c>
      <c r="AX133" s="964">
        <f t="shared" si="38"/>
        <v>0.142985701429857</v>
      </c>
      <c r="AY133" s="964">
        <f t="shared" si="38"/>
        <v>8.5391460853914622E-2</v>
      </c>
      <c r="AZ133" s="964">
        <f t="shared" si="38"/>
        <v>0.55124487551244883</v>
      </c>
      <c r="BA133" s="965">
        <f t="shared" si="38"/>
        <v>0.16678332166783322</v>
      </c>
      <c r="BB133" s="365"/>
      <c r="BC133" s="963">
        <f t="shared" si="25"/>
        <v>0.14998550946998757</v>
      </c>
      <c r="BD133" s="965">
        <f t="shared" si="26"/>
        <v>0.11002883748337157</v>
      </c>
      <c r="BG133" t="s">
        <v>1410</v>
      </c>
      <c r="BH133" t="s">
        <v>1513</v>
      </c>
    </row>
    <row r="134" spans="1:60" ht="12.75" customHeight="1" outlineLevel="1" x14ac:dyDescent="0.2">
      <c r="A134" s="570">
        <v>43739</v>
      </c>
      <c r="B134" s="708">
        <f>IF([1]RENAME!$H$3=0,A134,TEXT(A134,"[$-em-US] mmm-aa;@"))</f>
        <v>43739</v>
      </c>
      <c r="C134" s="365" t="str">
        <f>IF([1]RENAME!$H$3=0,BG134,BH134)</f>
        <v>4T19</v>
      </c>
      <c r="D134" s="366">
        <v>43739</v>
      </c>
      <c r="E134" s="403">
        <f>[2]Base!P132</f>
        <v>269753</v>
      </c>
      <c r="F134" s="404">
        <f>[2]Base!Q132</f>
        <v>241786</v>
      </c>
      <c r="G134" s="406">
        <f>[2]Base!R132</f>
        <v>27967</v>
      </c>
      <c r="H134" s="365"/>
      <c r="I134" s="403">
        <f>[2]Base!T132</f>
        <v>365.1</v>
      </c>
      <c r="J134" s="413">
        <f>[2]Base!U132</f>
        <v>191.5</v>
      </c>
      <c r="K134" s="408">
        <f>[2]Base!V132</f>
        <v>173.6</v>
      </c>
      <c r="L134" s="365"/>
      <c r="M134" s="407">
        <f>+[2]Base!X132</f>
        <v>274583</v>
      </c>
      <c r="N134" s="406">
        <f>+[2]Base!Y132</f>
        <v>24929</v>
      </c>
      <c r="O134" s="365"/>
      <c r="P134" s="407">
        <f>[2]Base!AB132</f>
        <v>112865.70479999999</v>
      </c>
      <c r="Q134" s="406">
        <f>[2]Base!AC132</f>
        <v>128920.29520000001</v>
      </c>
      <c r="R134" s="365"/>
      <c r="S134" s="407">
        <f>[2]Base!AE132</f>
        <v>1015763</v>
      </c>
      <c r="T134" s="408">
        <f>[2]Base!AF132</f>
        <v>4.2010827756776656</v>
      </c>
      <c r="U134" s="365"/>
      <c r="V134" s="407">
        <f>[2]Base!AR132</f>
        <v>0</v>
      </c>
      <c r="W134" s="404">
        <f>[2]Base!AS132</f>
        <v>37372</v>
      </c>
      <c r="X134" s="404">
        <f>[2]Base!AT132</f>
        <v>0</v>
      </c>
      <c r="Y134" s="404">
        <f>[2]Base!AU132</f>
        <v>19957</v>
      </c>
      <c r="Z134" s="404">
        <f>[2]Base!AV132</f>
        <v>28961</v>
      </c>
      <c r="AA134" s="404">
        <f>[2]Base!AW132</f>
        <v>0</v>
      </c>
      <c r="AB134" s="404">
        <f>[2]Base!AX132</f>
        <v>0</v>
      </c>
      <c r="AC134" s="404" t="s">
        <v>160</v>
      </c>
      <c r="AD134" s="406">
        <f>[2]Base!AZ132</f>
        <v>155496</v>
      </c>
      <c r="AE134" s="365"/>
      <c r="AF134" s="366">
        <f t="shared" si="39"/>
        <v>43739</v>
      </c>
      <c r="AG134" s="960">
        <f t="shared" si="28"/>
        <v>0</v>
      </c>
      <c r="AH134" s="961">
        <f t="shared" si="29"/>
        <v>0.15456643478117013</v>
      </c>
      <c r="AI134" s="961">
        <f t="shared" si="30"/>
        <v>0</v>
      </c>
      <c r="AJ134" s="961">
        <f t="shared" si="31"/>
        <v>8.2539932005988761E-2</v>
      </c>
      <c r="AK134" s="961">
        <f t="shared" si="32"/>
        <v>0.11977947441125623</v>
      </c>
      <c r="AL134" s="961">
        <f t="shared" si="33"/>
        <v>0</v>
      </c>
      <c r="AM134" s="961">
        <f t="shared" si="34"/>
        <v>0</v>
      </c>
      <c r="AN134" s="961" t="s">
        <v>160</v>
      </c>
      <c r="AO134" s="962">
        <f t="shared" si="35"/>
        <v>0.64311415880158485</v>
      </c>
      <c r="AP134" s="365"/>
      <c r="AQ134" s="407">
        <f>+[2]Base!CS132</f>
        <v>11895.8712</v>
      </c>
      <c r="AR134" s="404">
        <f>+[2]Base!CT132</f>
        <v>34817.183999999994</v>
      </c>
      <c r="AS134" s="404">
        <f>+[2]Base!CU132</f>
        <v>21929.9902</v>
      </c>
      <c r="AT134" s="404">
        <f>+[2]Base!CV132</f>
        <v>130008.33219999999</v>
      </c>
      <c r="AU134" s="406">
        <f>+[2]Base!CW132</f>
        <v>43158.800999999999</v>
      </c>
      <c r="AV134" s="365"/>
      <c r="AW134" s="963">
        <f t="shared" ref="AW134:BA135" si="40">+AQ134/SUM($AQ134:$AU134)</f>
        <v>4.9195080491950802E-2</v>
      </c>
      <c r="AX134" s="964">
        <f t="shared" si="40"/>
        <v>0.14398560143985598</v>
      </c>
      <c r="AY134" s="964">
        <f t="shared" si="40"/>
        <v>9.0690930906909301E-2</v>
      </c>
      <c r="AZ134" s="964">
        <f t="shared" si="40"/>
        <v>0.53764623537646228</v>
      </c>
      <c r="BA134" s="965">
        <f t="shared" si="40"/>
        <v>0.17848215178482152</v>
      </c>
      <c r="BB134" s="365"/>
      <c r="BC134" s="963">
        <f t="shared" si="25"/>
        <v>0.10185262743869795</v>
      </c>
      <c r="BD134" s="965">
        <f t="shared" si="26"/>
        <v>0.10310357092635636</v>
      </c>
      <c r="BG134" t="s">
        <v>1411</v>
      </c>
      <c r="BH134" t="s">
        <v>1514</v>
      </c>
    </row>
    <row r="135" spans="1:60" ht="12.75" customHeight="1" outlineLevel="1" x14ac:dyDescent="0.2">
      <c r="A135" s="570">
        <v>43770</v>
      </c>
      <c r="B135" s="708">
        <f>IF([1]RENAME!$H$3=0,A135,TEXT(A135,"[$-em-US] mmm-aa;@"))</f>
        <v>43770</v>
      </c>
      <c r="C135" s="365" t="str">
        <f>IF([1]RENAME!$H$3=0,BG135,BH135)</f>
        <v>4T19</v>
      </c>
      <c r="D135" s="366">
        <v>43770</v>
      </c>
      <c r="E135" s="403">
        <f>[2]Base!P133</f>
        <v>261441</v>
      </c>
      <c r="F135" s="404">
        <f>[2]Base!Q133</f>
        <v>231590</v>
      </c>
      <c r="G135" s="406">
        <f>[2]Base!R133</f>
        <v>29851</v>
      </c>
      <c r="H135" s="365"/>
      <c r="I135" s="403">
        <f>[2]Base!T133</f>
        <v>329.4</v>
      </c>
      <c r="J135" s="413">
        <f>[2]Base!U133</f>
        <v>193.2</v>
      </c>
      <c r="K135" s="408">
        <f>[2]Base!V133</f>
        <v>136.19999999999999</v>
      </c>
      <c r="L135" s="365"/>
      <c r="M135" s="407">
        <f>+[2]Base!X133</f>
        <v>216645</v>
      </c>
      <c r="N135" s="406">
        <f>+[2]Base!Y133</f>
        <v>23381</v>
      </c>
      <c r="O135" s="365"/>
      <c r="P135" s="407">
        <f>[2]Base!AB133</f>
        <v>106045.06099999999</v>
      </c>
      <c r="Q135" s="406">
        <f>[2]Base!AC133</f>
        <v>125544.93900000001</v>
      </c>
      <c r="R135" s="365"/>
      <c r="S135" s="407">
        <f>[2]Base!AE133</f>
        <v>917410</v>
      </c>
      <c r="T135" s="408">
        <f>[2]Base!AF133</f>
        <v>3.9613541171898614</v>
      </c>
      <c r="U135" s="365"/>
      <c r="V135" s="407">
        <f>[2]Base!AR133</f>
        <v>0</v>
      </c>
      <c r="W135" s="404">
        <f>[2]Base!AS133</f>
        <v>36926</v>
      </c>
      <c r="X135" s="404">
        <f>[2]Base!AT133</f>
        <v>0</v>
      </c>
      <c r="Y135" s="404">
        <f>[2]Base!AU133</f>
        <v>18428</v>
      </c>
      <c r="Z135" s="404">
        <f>[2]Base!AV133</f>
        <v>29490</v>
      </c>
      <c r="AA135" s="404">
        <f>[2]Base!AW133</f>
        <v>0</v>
      </c>
      <c r="AB135" s="404">
        <f>[2]Base!AX133</f>
        <v>0</v>
      </c>
      <c r="AC135" s="404" t="s">
        <v>160</v>
      </c>
      <c r="AD135" s="406">
        <f>[2]Base!AZ133</f>
        <v>146746</v>
      </c>
      <c r="AE135" s="365"/>
      <c r="AF135" s="366">
        <f t="shared" si="39"/>
        <v>43770</v>
      </c>
      <c r="AG135" s="960">
        <f t="shared" si="28"/>
        <v>0</v>
      </c>
      <c r="AH135" s="961">
        <f t="shared" si="29"/>
        <v>0.15944557191588582</v>
      </c>
      <c r="AI135" s="961">
        <f t="shared" si="30"/>
        <v>0</v>
      </c>
      <c r="AJ135" s="961">
        <f t="shared" si="31"/>
        <v>7.957165680728874E-2</v>
      </c>
      <c r="AK135" s="961">
        <f t="shared" si="32"/>
        <v>0.12733710436547346</v>
      </c>
      <c r="AL135" s="961">
        <f t="shared" si="33"/>
        <v>0</v>
      </c>
      <c r="AM135" s="961">
        <f t="shared" si="34"/>
        <v>0</v>
      </c>
      <c r="AN135" s="961" t="s">
        <v>160</v>
      </c>
      <c r="AO135" s="962">
        <f t="shared" si="35"/>
        <v>0.63364566691135193</v>
      </c>
      <c r="AP135" s="365"/>
      <c r="AQ135" s="407">
        <f>+[2]Base!CS133</f>
        <v>11070.002</v>
      </c>
      <c r="AR135" s="404">
        <f>+[2]Base!CT133</f>
        <v>31426.762999999995</v>
      </c>
      <c r="AS135" s="404">
        <f>+[2]Base!CU133</f>
        <v>18897.744000000002</v>
      </c>
      <c r="AT135" s="404">
        <f>+[2]Base!CV133</f>
        <v>130940.986</v>
      </c>
      <c r="AU135" s="406">
        <f>+[2]Base!CW133</f>
        <v>39254.505000000005</v>
      </c>
      <c r="AV135" s="365"/>
      <c r="AW135" s="963">
        <f t="shared" si="40"/>
        <v>4.7800000000000002E-2</v>
      </c>
      <c r="AX135" s="964">
        <f t="shared" si="40"/>
        <v>0.13569999999999999</v>
      </c>
      <c r="AY135" s="964">
        <f t="shared" si="40"/>
        <v>8.1600000000000006E-2</v>
      </c>
      <c r="AZ135" s="964">
        <f t="shared" si="40"/>
        <v>0.56540000000000001</v>
      </c>
      <c r="BA135" s="965">
        <f t="shared" si="40"/>
        <v>0.16950000000000001</v>
      </c>
      <c r="BB135" s="365"/>
      <c r="BC135" s="963">
        <f t="shared" si="25"/>
        <v>0.13778762491633778</v>
      </c>
      <c r="BD135" s="965">
        <f t="shared" si="26"/>
        <v>0.10095859061272075</v>
      </c>
      <c r="BG135" t="s">
        <v>1411</v>
      </c>
      <c r="BH135" t="s">
        <v>1514</v>
      </c>
    </row>
    <row r="136" spans="1:60" ht="12.75" customHeight="1" outlineLevel="1" x14ac:dyDescent="0.2">
      <c r="A136" s="570">
        <v>43800</v>
      </c>
      <c r="B136" s="708">
        <f>IF([1]RENAME!$H$3=0,A136,TEXT(A136,"[$-em-US] mmm-aa;@"))</f>
        <v>43800</v>
      </c>
      <c r="C136" s="365" t="str">
        <f>IF([1]RENAME!$H$3=0,BG136,BH136)</f>
        <v>4T19</v>
      </c>
      <c r="D136" s="366">
        <v>43800</v>
      </c>
      <c r="E136" s="403">
        <f>[2]Base!P134</f>
        <v>279287</v>
      </c>
      <c r="F136" s="404">
        <f>[2]Base!Q134</f>
        <v>252037</v>
      </c>
      <c r="G136" s="406">
        <f>[2]Base!R134</f>
        <v>27250</v>
      </c>
      <c r="H136" s="365"/>
      <c r="I136" s="403">
        <f>[2]Base!T134</f>
        <v>287.60000000000002</v>
      </c>
      <c r="J136" s="413">
        <f>[2]Base!U134</f>
        <v>207.7</v>
      </c>
      <c r="K136" s="408">
        <f>[2]Base!V134</f>
        <v>79.900000000000006</v>
      </c>
      <c r="L136" s="365"/>
      <c r="M136" s="407">
        <f>+[2]Base!X134</f>
        <v>163338</v>
      </c>
      <c r="N136" s="406">
        <f>+[2]Base!Y134</f>
        <v>28993</v>
      </c>
      <c r="O136" s="365"/>
      <c r="P136" s="407">
        <f>[2]Base!AB134</f>
        <v>112181.66869999999</v>
      </c>
      <c r="Q136" s="406">
        <f>[2]Base!AC134</f>
        <v>139855.33130000002</v>
      </c>
      <c r="R136" s="365"/>
      <c r="S136" s="407">
        <f>[2]Base!AE134</f>
        <v>985380</v>
      </c>
      <c r="T136" s="408">
        <f>[2]Base!AF134</f>
        <v>3.9096640572614336</v>
      </c>
      <c r="U136" s="365"/>
      <c r="V136" s="407">
        <f>[2]Base!AR134</f>
        <v>0</v>
      </c>
      <c r="W136" s="404">
        <f>[2]Base!AS134</f>
        <v>40790</v>
      </c>
      <c r="X136" s="404">
        <f>[2]Base!AT134</f>
        <v>0</v>
      </c>
      <c r="Y136" s="404">
        <f>[2]Base!AU134</f>
        <v>21433</v>
      </c>
      <c r="Z136" s="404">
        <f>[2]Base!AV134</f>
        <v>33574</v>
      </c>
      <c r="AA136" s="404">
        <f>[2]Base!AW134</f>
        <v>0</v>
      </c>
      <c r="AB136" s="404">
        <f>[2]Base!AX134</f>
        <v>0</v>
      </c>
      <c r="AC136" s="404" t="s">
        <v>160</v>
      </c>
      <c r="AD136" s="406">
        <f>[2]Base!AZ134</f>
        <v>156240</v>
      </c>
      <c r="AE136" s="365"/>
      <c r="AF136" s="366">
        <f t="shared" si="39"/>
        <v>43800</v>
      </c>
      <c r="AG136" s="960">
        <f t="shared" si="28"/>
        <v>0</v>
      </c>
      <c r="AH136" s="961">
        <f t="shared" si="29"/>
        <v>0.16184131694949552</v>
      </c>
      <c r="AI136" s="961">
        <f t="shared" si="30"/>
        <v>0</v>
      </c>
      <c r="AJ136" s="961">
        <f t="shared" si="31"/>
        <v>8.5039101401778311E-2</v>
      </c>
      <c r="AK136" s="961">
        <f t="shared" si="32"/>
        <v>0.13321060003094784</v>
      </c>
      <c r="AL136" s="961">
        <f t="shared" si="33"/>
        <v>0</v>
      </c>
      <c r="AM136" s="961">
        <f t="shared" si="34"/>
        <v>0</v>
      </c>
      <c r="AN136" s="961" t="s">
        <v>160</v>
      </c>
      <c r="AO136" s="962">
        <f t="shared" si="35"/>
        <v>0.6199089816177783</v>
      </c>
      <c r="AP136" s="365"/>
      <c r="AQ136" s="407">
        <f>+[2]Base!CS134</f>
        <v>12274.2019</v>
      </c>
      <c r="AR136" s="404">
        <f>+[2]Base!CT134</f>
        <v>36469.753899999996</v>
      </c>
      <c r="AS136" s="404">
        <f>+[2]Base!CU134</f>
        <v>22355.6819</v>
      </c>
      <c r="AT136" s="404">
        <f>+[2]Base!CV134</f>
        <v>131235.66590000002</v>
      </c>
      <c r="AU136" s="406">
        <f>+[2]Base!CW134</f>
        <v>49726.900099999999</v>
      </c>
      <c r="AV136" s="365"/>
      <c r="AW136" s="963">
        <f t="shared" ref="AW136:BA139" si="41">+AQ136/SUM($AQ136:$AU136)</f>
        <v>4.8695130486951302E-2</v>
      </c>
      <c r="AX136" s="964">
        <f t="shared" si="41"/>
        <v>0.14468553144685528</v>
      </c>
      <c r="AY136" s="964">
        <f t="shared" si="41"/>
        <v>8.8691130886911301E-2</v>
      </c>
      <c r="AZ136" s="964">
        <f t="shared" si="41"/>
        <v>0.52064793520647945</v>
      </c>
      <c r="BA136" s="965">
        <f t="shared" si="41"/>
        <v>0.19728027197280271</v>
      </c>
      <c r="BB136" s="365"/>
      <c r="BC136" s="963">
        <f t="shared" si="25"/>
        <v>0.16683196806621853</v>
      </c>
      <c r="BD136" s="965">
        <f t="shared" si="26"/>
        <v>0.11503469728650952</v>
      </c>
      <c r="BG136" t="s">
        <v>1411</v>
      </c>
      <c r="BH136" t="s">
        <v>1514</v>
      </c>
    </row>
    <row r="137" spans="1:60" ht="12.75" customHeight="1" outlineLevel="1" x14ac:dyDescent="0.2">
      <c r="A137" s="570">
        <v>43831</v>
      </c>
      <c r="B137" s="708">
        <f>IF([1]RENAME!$H$3=0,A137,TEXT(A137,"[$-em-US] mmm-aa;@"))</f>
        <v>43831</v>
      </c>
      <c r="C137" s="365" t="str">
        <f>IF([1]RENAME!$H$3=0,BG137,BH137)</f>
        <v>1T20</v>
      </c>
      <c r="D137" s="366">
        <v>43831</v>
      </c>
      <c r="E137" s="697">
        <f>[2]Base!P135</f>
        <v>204072</v>
      </c>
      <c r="F137" s="698">
        <f>[2]Base!Q135</f>
        <v>184682</v>
      </c>
      <c r="G137" s="694">
        <f>[2]Base!R135</f>
        <v>19390</v>
      </c>
      <c r="H137" s="365"/>
      <c r="I137" s="697">
        <f>[2]Base!T135</f>
        <v>273.5</v>
      </c>
      <c r="J137" s="699">
        <f>[2]Base!U135</f>
        <v>184.5</v>
      </c>
      <c r="K137" s="700">
        <f>[2]Base!V135</f>
        <v>89</v>
      </c>
      <c r="L137" s="365"/>
      <c r="M137" s="693">
        <f>+[2]Base!X135</f>
        <v>183136</v>
      </c>
      <c r="N137" s="694">
        <f>+[2]Base!Y135</f>
        <v>21825</v>
      </c>
      <c r="O137" s="365"/>
      <c r="P137" s="693">
        <f>[2]Base!AB135</f>
        <v>71287.252000000008</v>
      </c>
      <c r="Q137" s="694">
        <f>[2]Base!AC135</f>
        <v>113394.74799999999</v>
      </c>
      <c r="R137" s="365"/>
      <c r="S137" s="693">
        <f>[2]Base!AE135</f>
        <v>916361</v>
      </c>
      <c r="T137" s="700">
        <f>[2]Base!AF135</f>
        <v>4.9618316890655292</v>
      </c>
      <c r="U137" s="365"/>
      <c r="V137" s="693">
        <f>[2]Base!AR135</f>
        <v>0</v>
      </c>
      <c r="W137" s="698">
        <f>[2]Base!AS135</f>
        <v>29247</v>
      </c>
      <c r="X137" s="698">
        <f>[2]Base!AT135</f>
        <v>0</v>
      </c>
      <c r="Y137" s="698">
        <f>[2]Base!AU135</f>
        <v>15201</v>
      </c>
      <c r="Z137" s="698">
        <f>[2]Base!AV135</f>
        <v>22845</v>
      </c>
      <c r="AA137" s="698">
        <f>[2]Base!AW135</f>
        <v>14998</v>
      </c>
      <c r="AB137" s="698">
        <f>[2]Base!AX135</f>
        <v>0</v>
      </c>
      <c r="AC137" s="698" t="s">
        <v>160</v>
      </c>
      <c r="AD137" s="694">
        <f>[2]Base!AZ135</f>
        <v>102391</v>
      </c>
      <c r="AE137" s="365"/>
      <c r="AF137" s="366">
        <f t="shared" si="39"/>
        <v>43831</v>
      </c>
      <c r="AG137" s="701">
        <f t="shared" si="28"/>
        <v>0</v>
      </c>
      <c r="AH137" s="702">
        <f t="shared" si="29"/>
        <v>0.15836410695140837</v>
      </c>
      <c r="AI137" s="702">
        <f t="shared" si="30"/>
        <v>0</v>
      </c>
      <c r="AJ137" s="702">
        <f t="shared" si="31"/>
        <v>8.2309050151070484E-2</v>
      </c>
      <c r="AK137" s="702">
        <f t="shared" si="32"/>
        <v>0.12369911523591903</v>
      </c>
      <c r="AL137" s="702">
        <f t="shared" si="33"/>
        <v>8.1209863440941721E-2</v>
      </c>
      <c r="AM137" s="702">
        <f t="shared" si="34"/>
        <v>0</v>
      </c>
      <c r="AN137" s="702" t="s">
        <v>160</v>
      </c>
      <c r="AO137" s="703">
        <f t="shared" si="35"/>
        <v>0.55441786422066042</v>
      </c>
      <c r="AP137" s="365"/>
      <c r="AQ137" s="693">
        <f>+[2]Base!CS135</f>
        <v>10803.897000000001</v>
      </c>
      <c r="AR137" s="698">
        <f>+[2]Base!CT135</f>
        <v>31340.535399999997</v>
      </c>
      <c r="AS137" s="698">
        <f>+[2]Base!CU135</f>
        <v>18228.113399999998</v>
      </c>
      <c r="AT137" s="698">
        <f>+[2]Base!CV135</f>
        <v>90531.116399999999</v>
      </c>
      <c r="AU137" s="694">
        <f>+[2]Base!CW135</f>
        <v>33796.805999999997</v>
      </c>
      <c r="AV137" s="365"/>
      <c r="AW137" s="704">
        <f t="shared" si="41"/>
        <v>5.8494150584941507E-2</v>
      </c>
      <c r="AX137" s="705">
        <f t="shared" si="41"/>
        <v>0.1696830316968303</v>
      </c>
      <c r="AY137" s="705">
        <f t="shared" si="41"/>
        <v>9.8690130986901298E-2</v>
      </c>
      <c r="AZ137" s="705">
        <f t="shared" si="41"/>
        <v>0.49015098490150982</v>
      </c>
      <c r="BA137" s="706">
        <f t="shared" si="41"/>
        <v>0.18298170182981699</v>
      </c>
      <c r="BB137" s="365"/>
      <c r="BC137" s="704">
        <f t="shared" si="25"/>
        <v>0.10587759916127905</v>
      </c>
      <c r="BD137" s="706">
        <f t="shared" si="26"/>
        <v>0.11817610812098635</v>
      </c>
      <c r="BG137" t="s">
        <v>1626</v>
      </c>
      <c r="BH137" t="s">
        <v>1631</v>
      </c>
    </row>
    <row r="138" spans="1:60" ht="12.75" customHeight="1" outlineLevel="1" x14ac:dyDescent="0.2">
      <c r="A138" s="570">
        <v>43862</v>
      </c>
      <c r="B138" s="708">
        <f>IF([1]RENAME!$H$3=0,A138,TEXT(A138,"[$-em-US] mmm-aa;@"))</f>
        <v>43862</v>
      </c>
      <c r="C138" s="365" t="str">
        <f>IF([1]RENAME!$H$3=0,BG138,BH138)</f>
        <v>1T20</v>
      </c>
      <c r="D138" s="366">
        <v>43862</v>
      </c>
      <c r="E138" s="697">
        <f>[2]Base!P136</f>
        <v>229643</v>
      </c>
      <c r="F138" s="698">
        <f>[2]Base!Q136</f>
        <v>193299</v>
      </c>
      <c r="G138" s="694">
        <f>[2]Base!R136</f>
        <v>36344</v>
      </c>
      <c r="H138" s="365"/>
      <c r="I138" s="697">
        <f>[2]Base!T136</f>
        <v>256.89999999999998</v>
      </c>
      <c r="J138" s="699">
        <f>[2]Base!U136</f>
        <v>175</v>
      </c>
      <c r="K138" s="700">
        <f>[2]Base!V136</f>
        <v>81.900000000000006</v>
      </c>
      <c r="L138" s="365"/>
      <c r="M138" s="693">
        <f>+[2]Base!X136</f>
        <v>192519</v>
      </c>
      <c r="N138" s="694">
        <f>+[2]Base!Y136</f>
        <v>20816</v>
      </c>
      <c r="O138" s="365"/>
      <c r="P138" s="693">
        <f>[2]Base!AB136</f>
        <v>88859.550300000003</v>
      </c>
      <c r="Q138" s="694">
        <f>[2]Base!AC136</f>
        <v>104439.4497</v>
      </c>
      <c r="R138" s="365"/>
      <c r="S138" s="693">
        <f>[2]Base!AE136</f>
        <v>761333</v>
      </c>
      <c r="T138" s="700">
        <f>[2]Base!AF136</f>
        <v>3.9386287564860658</v>
      </c>
      <c r="U138" s="365"/>
      <c r="V138" s="693">
        <f>[2]Base!AR136</f>
        <v>34145</v>
      </c>
      <c r="W138" s="698">
        <f>[2]Base!AS136</f>
        <v>31628</v>
      </c>
      <c r="X138" s="698">
        <f>[2]Base!AT136</f>
        <v>36629</v>
      </c>
      <c r="Y138" s="698">
        <f>[2]Base!AU136</f>
        <v>14768</v>
      </c>
      <c r="Z138" s="698">
        <f>[2]Base!AV136</f>
        <v>22806</v>
      </c>
      <c r="AA138" s="698">
        <f>[2]Base!AW136</f>
        <v>18393</v>
      </c>
      <c r="AB138" s="698">
        <f>[2]Base!AX136</f>
        <v>8722</v>
      </c>
      <c r="AC138" s="698" t="s">
        <v>160</v>
      </c>
      <c r="AD138" s="694">
        <f>[2]Base!AZ136</f>
        <v>26208</v>
      </c>
      <c r="AE138" s="365"/>
      <c r="AF138" s="366">
        <f t="shared" si="39"/>
        <v>43862</v>
      </c>
      <c r="AG138" s="701">
        <f t="shared" si="28"/>
        <v>0.17664343840371652</v>
      </c>
      <c r="AH138" s="702">
        <f t="shared" si="29"/>
        <v>0.163622160487121</v>
      </c>
      <c r="AI138" s="702">
        <f t="shared" si="30"/>
        <v>0.18949399634762726</v>
      </c>
      <c r="AJ138" s="702">
        <f t="shared" si="31"/>
        <v>7.6399774442702753E-2</v>
      </c>
      <c r="AK138" s="702">
        <f t="shared" si="32"/>
        <v>0.11798302112271662</v>
      </c>
      <c r="AL138" s="702">
        <f t="shared" si="33"/>
        <v>9.5153104775503233E-2</v>
      </c>
      <c r="AM138" s="702">
        <f t="shared" si="34"/>
        <v>4.5121806113844358E-2</v>
      </c>
      <c r="AN138" s="702" t="s">
        <v>160</v>
      </c>
      <c r="AO138" s="703">
        <f t="shared" si="35"/>
        <v>0.13558269830676828</v>
      </c>
      <c r="AP138" s="365"/>
      <c r="AQ138" s="693">
        <f>+[2]Base!CS136</f>
        <v>9278.3520000000008</v>
      </c>
      <c r="AR138" s="698">
        <f>+[2]Base!CT136</f>
        <v>25206.189599999998</v>
      </c>
      <c r="AS138" s="698">
        <f>+[2]Base!CU136</f>
        <v>20798.972399999999</v>
      </c>
      <c r="AT138" s="698">
        <f>+[2]Base!CV136</f>
        <v>106894.34700000001</v>
      </c>
      <c r="AU138" s="694">
        <f>+[2]Base!CW136</f>
        <v>31198.458599999998</v>
      </c>
      <c r="AV138" s="365"/>
      <c r="AW138" s="704">
        <f t="shared" si="41"/>
        <v>4.7980807676929235E-2</v>
      </c>
      <c r="AX138" s="705">
        <f t="shared" si="41"/>
        <v>0.13034786085565772</v>
      </c>
      <c r="AY138" s="705">
        <f t="shared" si="41"/>
        <v>0.10755697720911635</v>
      </c>
      <c r="AZ138" s="705">
        <f t="shared" si="41"/>
        <v>0.5527788884446222</v>
      </c>
      <c r="BA138" s="706">
        <f t="shared" si="41"/>
        <v>0.16133546581367453</v>
      </c>
      <c r="BB138" s="365"/>
      <c r="BC138" s="704">
        <f t="shared" si="25"/>
        <v>0.18878136703390314</v>
      </c>
      <c r="BD138" s="706">
        <f t="shared" si="26"/>
        <v>0.10768808943657236</v>
      </c>
      <c r="BG138" t="s">
        <v>1626</v>
      </c>
      <c r="BH138" t="s">
        <v>1631</v>
      </c>
    </row>
    <row r="139" spans="1:60" ht="12.75" customHeight="1" outlineLevel="1" x14ac:dyDescent="0.2">
      <c r="A139" s="570">
        <v>43891</v>
      </c>
      <c r="B139" s="708">
        <f>IF([1]RENAME!$H$3=0,A139,TEXT(A139,"[$-em-US] mmm-aa;@"))</f>
        <v>43891</v>
      </c>
      <c r="C139" s="365" t="str">
        <f>IF([1]RENAME!$H$3=0,BG139,BH139)</f>
        <v>1T20</v>
      </c>
      <c r="D139" s="366">
        <v>43891</v>
      </c>
      <c r="E139" s="697">
        <f>[2]Base!P137</f>
        <v>185800</v>
      </c>
      <c r="F139" s="698">
        <f>[2]Base!Q137</f>
        <v>156304</v>
      </c>
      <c r="G139" s="694">
        <f>[2]Base!R137</f>
        <v>29496</v>
      </c>
      <c r="H139" s="365"/>
      <c r="I139" s="697">
        <f>[2]Base!T137</f>
        <v>266.60000000000002</v>
      </c>
      <c r="J139" s="699">
        <f>[2]Base!U137</f>
        <v>181.3</v>
      </c>
      <c r="K139" s="700">
        <f>[2]Base!V137</f>
        <v>85.3</v>
      </c>
      <c r="L139" s="365"/>
      <c r="M139" s="693">
        <f>+[2]Base!X137</f>
        <v>179560</v>
      </c>
      <c r="N139" s="694">
        <f>+[2]Base!Y137</f>
        <v>17007</v>
      </c>
      <c r="O139" s="365"/>
      <c r="P139" s="693">
        <f>[2]Base!AB137</f>
        <v>76792.155200000008</v>
      </c>
      <c r="Q139" s="694">
        <f>[2]Base!AC137</f>
        <v>79511.844799999992</v>
      </c>
      <c r="R139" s="365"/>
      <c r="S139" s="693">
        <f>[2]Base!AE137</f>
        <v>658893</v>
      </c>
      <c r="T139" s="700">
        <f>[2]Base!AF137</f>
        <v>4.215458337598526</v>
      </c>
      <c r="U139" s="365"/>
      <c r="V139" s="693">
        <f>[2]Base!AR137</f>
        <v>25501</v>
      </c>
      <c r="W139" s="698">
        <f>[2]Base!AS137</f>
        <v>25200</v>
      </c>
      <c r="X139" s="698">
        <f>[2]Base!AT137</f>
        <v>31278</v>
      </c>
      <c r="Y139" s="698">
        <f>[2]Base!AU137</f>
        <v>11827</v>
      </c>
      <c r="Z139" s="698">
        <f>[2]Base!AV137</f>
        <v>17680</v>
      </c>
      <c r="AA139" s="698">
        <f>[2]Base!AW137</f>
        <v>15172</v>
      </c>
      <c r="AB139" s="698">
        <f>[2]Base!AX137</f>
        <v>6945</v>
      </c>
      <c r="AC139" s="698" t="s">
        <v>160</v>
      </c>
      <c r="AD139" s="694">
        <f>[2]Base!AZ137</f>
        <v>22701</v>
      </c>
      <c r="AE139" s="365"/>
      <c r="AF139" s="366">
        <f t="shared" si="39"/>
        <v>43891</v>
      </c>
      <c r="AG139" s="701">
        <f t="shared" si="28"/>
        <v>0.16315001535469342</v>
      </c>
      <c r="AH139" s="702">
        <f t="shared" si="29"/>
        <v>0.16122428088852492</v>
      </c>
      <c r="AI139" s="702">
        <f t="shared" si="30"/>
        <v>0.20011004196949533</v>
      </c>
      <c r="AJ139" s="702">
        <f t="shared" si="31"/>
        <v>7.5666649605896197E-2</v>
      </c>
      <c r="AK139" s="702">
        <f t="shared" si="32"/>
        <v>0.11311290817893337</v>
      </c>
      <c r="AL139" s="702">
        <f t="shared" si="33"/>
        <v>9.7067253557170635E-2</v>
      </c>
      <c r="AM139" s="702">
        <f t="shared" si="34"/>
        <v>4.4432644078206573E-2</v>
      </c>
      <c r="AN139" s="702" t="s">
        <v>160</v>
      </c>
      <c r="AO139" s="703">
        <f t="shared" si="35"/>
        <v>0.14523620636707954</v>
      </c>
      <c r="AP139" s="365"/>
      <c r="AQ139" s="693">
        <f>+[2]Base!CS137</f>
        <v>8909.3279999999995</v>
      </c>
      <c r="AR139" s="698">
        <f>+[2]Base!CT137</f>
        <v>20585.236800000002</v>
      </c>
      <c r="AS139" s="698">
        <f>+[2]Base!CU137</f>
        <v>15739.8128</v>
      </c>
      <c r="AT139" s="698">
        <f>+[2]Base!CV137</f>
        <v>89015.127999999997</v>
      </c>
      <c r="AU139" s="694">
        <f>+[2]Base!CW137</f>
        <v>22038.863999999998</v>
      </c>
      <c r="AV139" s="365"/>
      <c r="AW139" s="704">
        <f t="shared" si="41"/>
        <v>5.7005700570057001E-2</v>
      </c>
      <c r="AX139" s="705">
        <f t="shared" si="41"/>
        <v>0.13171317131713173</v>
      </c>
      <c r="AY139" s="705">
        <f t="shared" si="41"/>
        <v>0.10071007100710071</v>
      </c>
      <c r="AZ139" s="705">
        <f t="shared" si="41"/>
        <v>0.56955695569556952</v>
      </c>
      <c r="BA139" s="706">
        <f t="shared" si="41"/>
        <v>0.14101410141014101</v>
      </c>
      <c r="BB139" s="365"/>
      <c r="BC139" s="704">
        <f t="shared" si="25"/>
        <v>0.1642682111828915</v>
      </c>
      <c r="BD139" s="706">
        <f t="shared" si="26"/>
        <v>0.10880719623298188</v>
      </c>
      <c r="BG139" t="s">
        <v>1626</v>
      </c>
      <c r="BH139" t="s">
        <v>1631</v>
      </c>
    </row>
    <row r="140" spans="1:60" ht="12.75" customHeight="1" outlineLevel="1" x14ac:dyDescent="0.2">
      <c r="A140" s="570">
        <v>43922</v>
      </c>
      <c r="B140" s="708">
        <f>IF([1]RENAME!$H$3=0,A140,TEXT(A140,"[$-em-US] mmm-aa;@"))</f>
        <v>43922</v>
      </c>
      <c r="C140" s="365" t="str">
        <f>IF([1]RENAME!$H$3=0,BG140,BH140)</f>
        <v>2T20</v>
      </c>
      <c r="D140" s="366">
        <v>43922</v>
      </c>
      <c r="E140" s="697">
        <f>[2]Base!P138</f>
        <v>58388</v>
      </c>
      <c r="F140" s="698">
        <f>[2]Base!Q138</f>
        <v>51463</v>
      </c>
      <c r="G140" s="694">
        <f>[2]Base!R138</f>
        <v>6925</v>
      </c>
      <c r="H140" s="365"/>
      <c r="I140" s="697">
        <f>[2]Base!T138</f>
        <v>237.3</v>
      </c>
      <c r="J140" s="699">
        <f>[2]Base!U138</f>
        <v>163.4</v>
      </c>
      <c r="K140" s="700">
        <f>[2]Base!V138</f>
        <v>73.900000000000006</v>
      </c>
      <c r="L140" s="365"/>
      <c r="M140" s="693">
        <f>+[2]Base!X138</f>
        <v>1048</v>
      </c>
      <c r="N140" s="694">
        <f>+[2]Base!Y138</f>
        <v>8214</v>
      </c>
      <c r="O140" s="365"/>
      <c r="P140" s="693">
        <f>[2]Base!AB138</f>
        <v>26024.839100000001</v>
      </c>
      <c r="Q140" s="694">
        <f>[2]Base!AC138</f>
        <v>25438.160899999999</v>
      </c>
      <c r="R140" s="365"/>
      <c r="S140" s="693">
        <f>[2]Base!AE138</f>
        <v>145655</v>
      </c>
      <c r="T140" s="700">
        <f>[2]Base!AF138</f>
        <v>2.83028583642617</v>
      </c>
      <c r="U140" s="365"/>
      <c r="V140" s="693">
        <f>[2]Base!AR138</f>
        <v>10008</v>
      </c>
      <c r="W140" s="698">
        <f>[2]Base!AS138</f>
        <v>7270</v>
      </c>
      <c r="X140" s="698">
        <f>[2]Base!AT138</f>
        <v>9779</v>
      </c>
      <c r="Y140" s="698">
        <f>[2]Base!AU138</f>
        <v>4792</v>
      </c>
      <c r="Z140" s="698">
        <f>[2]Base!AV138</f>
        <v>5967</v>
      </c>
      <c r="AA140" s="698">
        <f>[2]Base!AW138</f>
        <v>4837</v>
      </c>
      <c r="AB140" s="698">
        <f>[2]Base!AX138</f>
        <v>1500</v>
      </c>
      <c r="AC140" s="698" t="s">
        <v>160</v>
      </c>
      <c r="AD140" s="694">
        <f>[2]Base!AZ138</f>
        <v>7310</v>
      </c>
      <c r="AE140" s="365"/>
      <c r="AF140" s="366">
        <f t="shared" si="39"/>
        <v>43922</v>
      </c>
      <c r="AG140" s="701">
        <f t="shared" si="28"/>
        <v>0.19446981326389834</v>
      </c>
      <c r="AH140" s="702">
        <f t="shared" si="29"/>
        <v>0.14126654101004604</v>
      </c>
      <c r="AI140" s="702">
        <f t="shared" si="30"/>
        <v>0.19002001437926277</v>
      </c>
      <c r="AJ140" s="702">
        <f t="shared" si="31"/>
        <v>9.3115442162330211E-2</v>
      </c>
      <c r="AK140" s="702">
        <f t="shared" si="32"/>
        <v>0.11594737967083148</v>
      </c>
      <c r="AL140" s="702">
        <f t="shared" si="33"/>
        <v>9.3989856790315365E-2</v>
      </c>
      <c r="AM140" s="702">
        <f t="shared" si="34"/>
        <v>2.9147154266171812E-2</v>
      </c>
      <c r="AN140" s="702" t="s">
        <v>160</v>
      </c>
      <c r="AO140" s="703">
        <f t="shared" si="35"/>
        <v>0.14204379845714396</v>
      </c>
      <c r="AP140" s="365"/>
      <c r="AQ140" s="693">
        <f>+[2]Base!CS138</f>
        <v>4358.9160999999995</v>
      </c>
      <c r="AR140" s="698">
        <f>+[2]Base!CT138</f>
        <v>6659.3121999999994</v>
      </c>
      <c r="AS140" s="698">
        <f>+[2]Base!CU138</f>
        <v>10086.748</v>
      </c>
      <c r="AT140" s="698">
        <f>+[2]Base!CV138</f>
        <v>16406.404399999999</v>
      </c>
      <c r="AU140" s="694">
        <f>+[2]Base!CW138</f>
        <v>13951.6193</v>
      </c>
      <c r="AV140" s="365"/>
      <c r="AW140" s="704">
        <f t="shared" ref="AW140:BA142" si="42">+AQ140/SUM($AQ140:$AU140)</f>
        <v>8.4699999999999998E-2</v>
      </c>
      <c r="AX140" s="705">
        <f t="shared" si="42"/>
        <v>0.12940000000000002</v>
      </c>
      <c r="AY140" s="705">
        <f t="shared" si="42"/>
        <v>0.19600000000000001</v>
      </c>
      <c r="AZ140" s="705">
        <f t="shared" si="42"/>
        <v>0.31880000000000003</v>
      </c>
      <c r="BA140" s="706">
        <f t="shared" si="42"/>
        <v>0.27110000000000006</v>
      </c>
      <c r="BB140" s="365"/>
      <c r="BC140" s="704">
        <f t="shared" si="25"/>
        <v>6.6078244274809164</v>
      </c>
      <c r="BD140" s="706">
        <f t="shared" si="26"/>
        <v>0.15960981676155683</v>
      </c>
      <c r="BG140" t="s">
        <v>1627</v>
      </c>
      <c r="BH140" t="s">
        <v>1667</v>
      </c>
    </row>
    <row r="141" spans="1:60" ht="12.75" customHeight="1" outlineLevel="1" x14ac:dyDescent="0.2">
      <c r="A141" s="570">
        <v>43952</v>
      </c>
      <c r="B141" s="708">
        <f>IF([1]RENAME!$H$3=0,A141,TEXT(A141,"[$-em-US] mmm-aa;@"))</f>
        <v>43952</v>
      </c>
      <c r="C141" s="365" t="str">
        <f>IF([1]RENAME!$H$3=0,BG141,BH141)</f>
        <v>2T20</v>
      </c>
      <c r="D141" s="366">
        <v>43952</v>
      </c>
      <c r="E141" s="697">
        <f>[2]Base!P139</f>
        <v>59673</v>
      </c>
      <c r="F141" s="698">
        <f>[2]Base!Q139</f>
        <v>56705</v>
      </c>
      <c r="G141" s="694">
        <f>[2]Base!R139</f>
        <v>2968</v>
      </c>
      <c r="H141" s="365"/>
      <c r="I141" s="697">
        <f>[2]Base!T139</f>
        <v>200.10000000000002</v>
      </c>
      <c r="J141" s="699">
        <f>[2]Base!U139</f>
        <v>135.9</v>
      </c>
      <c r="K141" s="700">
        <f>[2]Base!V139</f>
        <v>64.2</v>
      </c>
      <c r="L141" s="365"/>
      <c r="M141" s="693">
        <f>+[2]Base!X139</f>
        <v>37807</v>
      </c>
      <c r="N141" s="694">
        <f>+[2]Base!Y139</f>
        <v>9568</v>
      </c>
      <c r="O141" s="365"/>
      <c r="P141" s="693">
        <f>[2]Base!AB139</f>
        <v>19642.612000000001</v>
      </c>
      <c r="Q141" s="694">
        <f>[2]Base!AC139</f>
        <v>37062.387999999999</v>
      </c>
      <c r="R141" s="365"/>
      <c r="S141" s="693">
        <f>[2]Base!AE139</f>
        <v>318150</v>
      </c>
      <c r="T141" s="700">
        <f>[2]Base!AF139</f>
        <v>5.610616347764747</v>
      </c>
      <c r="U141" s="365"/>
      <c r="V141" s="693">
        <f>[2]Base!AR139</f>
        <v>9968</v>
      </c>
      <c r="W141" s="698">
        <f>[2]Base!AS139</f>
        <v>8771</v>
      </c>
      <c r="X141" s="698">
        <f>[2]Base!AT139</f>
        <v>11350</v>
      </c>
      <c r="Y141" s="698">
        <f>[2]Base!AU139</f>
        <v>4645</v>
      </c>
      <c r="Z141" s="698">
        <f>[2]Base!AV139</f>
        <v>6125</v>
      </c>
      <c r="AA141" s="698">
        <f>[2]Base!AW139</f>
        <v>4920</v>
      </c>
      <c r="AB141" s="698">
        <f>[2]Base!AX139</f>
        <v>2433</v>
      </c>
      <c r="AC141" s="698" t="s">
        <v>160</v>
      </c>
      <c r="AD141" s="694">
        <f>[2]Base!AZ139</f>
        <v>8493</v>
      </c>
      <c r="AE141" s="365"/>
      <c r="AF141" s="366">
        <f t="shared" si="39"/>
        <v>43952</v>
      </c>
      <c r="AG141" s="701">
        <f t="shared" si="28"/>
        <v>0.17578696763953797</v>
      </c>
      <c r="AH141" s="702">
        <f t="shared" si="29"/>
        <v>0.15467771801428445</v>
      </c>
      <c r="AI141" s="702">
        <f t="shared" si="30"/>
        <v>0.2001587161625959</v>
      </c>
      <c r="AJ141" s="702">
        <f t="shared" si="31"/>
        <v>8.1915175028657083E-2</v>
      </c>
      <c r="AK141" s="702">
        <f t="shared" si="32"/>
        <v>0.1080151662110925</v>
      </c>
      <c r="AL141" s="702">
        <f t="shared" si="33"/>
        <v>8.6764835552420427E-2</v>
      </c>
      <c r="AM141" s="702">
        <f t="shared" si="34"/>
        <v>4.290626928842254E-2</v>
      </c>
      <c r="AN141" s="702" t="s">
        <v>160</v>
      </c>
      <c r="AO141" s="703">
        <f t="shared" si="35"/>
        <v>0.14977515210298917</v>
      </c>
      <c r="AP141" s="365"/>
      <c r="AQ141" s="693">
        <f>+[2]Base!CS139</f>
        <v>5041.0745000000006</v>
      </c>
      <c r="AR141" s="698">
        <f>+[2]Base!CT139</f>
        <v>7093.7954999999993</v>
      </c>
      <c r="AS141" s="698">
        <f>+[2]Base!CU139</f>
        <v>11681.23</v>
      </c>
      <c r="AT141" s="698">
        <f>+[2]Base!CV139</f>
        <v>14578.8555</v>
      </c>
      <c r="AU141" s="694">
        <f>+[2]Base!CW139</f>
        <v>18616.251499999998</v>
      </c>
      <c r="AV141" s="365"/>
      <c r="AW141" s="704">
        <f t="shared" si="42"/>
        <v>8.8422518400636585E-2</v>
      </c>
      <c r="AX141" s="705">
        <f t="shared" si="42"/>
        <v>0.12442808832305551</v>
      </c>
      <c r="AY141" s="705">
        <f t="shared" si="42"/>
        <v>0.20489357469663816</v>
      </c>
      <c r="AZ141" s="705">
        <f t="shared" si="42"/>
        <v>0.25571911676944503</v>
      </c>
      <c r="BA141" s="706">
        <f t="shared" si="42"/>
        <v>0.32653670181022482</v>
      </c>
      <c r="BB141" s="365"/>
      <c r="BC141" s="704">
        <f t="shared" si="25"/>
        <v>7.8503980744306603E-2</v>
      </c>
      <c r="BD141" s="706">
        <f t="shared" si="26"/>
        <v>0.16873291596860948</v>
      </c>
      <c r="BG141" t="s">
        <v>1627</v>
      </c>
      <c r="BH141" t="s">
        <v>1667</v>
      </c>
    </row>
    <row r="142" spans="1:60" ht="12.75" customHeight="1" outlineLevel="1" x14ac:dyDescent="0.2">
      <c r="A142" s="570">
        <v>43983</v>
      </c>
      <c r="B142" s="708">
        <f>IF([1]RENAME!$H$3=0,A142,TEXT(A142,"[$-em-US] mmm-aa;@"))</f>
        <v>43983</v>
      </c>
      <c r="C142" s="365" t="str">
        <f>IF([1]RENAME!$H$3=0,BG142,BH142)</f>
        <v>2T20</v>
      </c>
      <c r="D142" s="366">
        <v>43983</v>
      </c>
      <c r="E142" s="697">
        <f>[2]Base!P140</f>
        <v>140641</v>
      </c>
      <c r="F142" s="698">
        <f>[2]Base!Q140</f>
        <v>122795</v>
      </c>
      <c r="G142" s="694">
        <f>[2]Base!R140</f>
        <v>17846</v>
      </c>
      <c r="H142" s="365"/>
      <c r="I142" s="697">
        <f>[2]Base!T140</f>
        <v>157.6</v>
      </c>
      <c r="J142" s="699">
        <f>[2]Base!U140</f>
        <v>115.8</v>
      </c>
      <c r="K142" s="700">
        <f>[2]Base!V140</f>
        <v>41.8</v>
      </c>
      <c r="L142" s="365"/>
      <c r="M142" s="693">
        <f>+[2]Base!X140</f>
        <v>91487</v>
      </c>
      <c r="N142" s="694">
        <f>+[2]Base!Y140</f>
        <v>16657</v>
      </c>
      <c r="O142" s="365"/>
      <c r="P142" s="693">
        <f>[2]Base!AB140</f>
        <v>48970.646000000008</v>
      </c>
      <c r="Q142" s="694">
        <f>[2]Base!AC140</f>
        <v>73824.353999999992</v>
      </c>
      <c r="R142" s="365"/>
      <c r="S142" s="693">
        <f>[2]Base!AE140</f>
        <v>546538</v>
      </c>
      <c r="T142" s="700">
        <f>[2]Base!AF140</f>
        <v>4.4508164013192717</v>
      </c>
      <c r="U142" s="365"/>
      <c r="V142" s="693">
        <f>[2]Base!AR140</f>
        <v>19759</v>
      </c>
      <c r="W142" s="698">
        <f>[2]Base!AS140</f>
        <v>21887</v>
      </c>
      <c r="X142" s="698">
        <f>[2]Base!AT140</f>
        <v>24017</v>
      </c>
      <c r="Y142" s="698">
        <f>[2]Base!AU140</f>
        <v>7667</v>
      </c>
      <c r="Z142" s="698">
        <f>[2]Base!AV140</f>
        <v>13742</v>
      </c>
      <c r="AA142" s="698">
        <f>[2]Base!AW140</f>
        <v>12504</v>
      </c>
      <c r="AB142" s="698">
        <f>[2]Base!AX140</f>
        <v>6300</v>
      </c>
      <c r="AC142" s="698" t="s">
        <v>160</v>
      </c>
      <c r="AD142" s="694">
        <f>[2]Base!AZ140</f>
        <v>16919</v>
      </c>
      <c r="AE142" s="365"/>
      <c r="AF142" s="366">
        <f t="shared" si="39"/>
        <v>43983</v>
      </c>
      <c r="AG142" s="701">
        <f t="shared" si="28"/>
        <v>0.16091046052363694</v>
      </c>
      <c r="AH142" s="702">
        <f t="shared" si="29"/>
        <v>0.1782401563581579</v>
      </c>
      <c r="AI142" s="702">
        <f t="shared" si="30"/>
        <v>0.19558613950079401</v>
      </c>
      <c r="AJ142" s="702">
        <f t="shared" si="31"/>
        <v>6.243739565943239E-2</v>
      </c>
      <c r="AK142" s="702">
        <f t="shared" si="32"/>
        <v>0.11191009405920437</v>
      </c>
      <c r="AL142" s="702">
        <f t="shared" si="33"/>
        <v>0.10182825033592573</v>
      </c>
      <c r="AM142" s="702">
        <f t="shared" si="34"/>
        <v>5.1305020562726497E-2</v>
      </c>
      <c r="AN142" s="702" t="s">
        <v>160</v>
      </c>
      <c r="AO142" s="703">
        <f t="shared" si="35"/>
        <v>0.13778248300012216</v>
      </c>
      <c r="AP142" s="365"/>
      <c r="AQ142" s="693">
        <f>+[2]Base!CS140</f>
        <v>7502.7745000000004</v>
      </c>
      <c r="AR142" s="698">
        <f>+[2]Base!CT140</f>
        <v>15152.903</v>
      </c>
      <c r="AS142" s="698">
        <f>+[2]Base!CU140</f>
        <v>13114.506000000001</v>
      </c>
      <c r="AT142" s="698">
        <f>+[2]Base!CV140</f>
        <v>63300.822499999995</v>
      </c>
      <c r="AU142" s="694">
        <f>+[2]Base!CW140</f>
        <v>23723.994000000002</v>
      </c>
      <c r="AV142" s="365"/>
      <c r="AW142" s="704">
        <f t="shared" si="42"/>
        <v>6.1100000000000002E-2</v>
      </c>
      <c r="AX142" s="705">
        <f t="shared" si="42"/>
        <v>0.1234</v>
      </c>
      <c r="AY142" s="705">
        <f t="shared" si="42"/>
        <v>0.10680000000000001</v>
      </c>
      <c r="AZ142" s="705">
        <f t="shared" si="42"/>
        <v>0.51549999999999996</v>
      </c>
      <c r="BA142" s="706">
        <f t="shared" si="42"/>
        <v>0.19320000000000001</v>
      </c>
      <c r="BB142" s="365"/>
      <c r="BC142" s="704">
        <f t="shared" si="25"/>
        <v>0.19506596565632275</v>
      </c>
      <c r="BD142" s="706">
        <f t="shared" si="26"/>
        <v>0.13564884563703733</v>
      </c>
      <c r="BG142" t="s">
        <v>1627</v>
      </c>
      <c r="BH142" t="s">
        <v>1667</v>
      </c>
    </row>
    <row r="143" spans="1:60" ht="12.75" customHeight="1" outlineLevel="1" x14ac:dyDescent="0.2">
      <c r="A143" s="570">
        <v>44013</v>
      </c>
      <c r="B143" s="708">
        <f>IF([1]RENAME!$H$3=0,A143,TEXT(A143,"[$-em-US] mmm-aa;@"))</f>
        <v>44013</v>
      </c>
      <c r="C143" s="365" t="str">
        <f>IF([1]RENAME!$H$3=0,BG143,BH143)</f>
        <v>3T20</v>
      </c>
      <c r="D143" s="366">
        <v>44013</v>
      </c>
      <c r="E143" s="697">
        <f>[2]Base!P141</f>
        <v>190772</v>
      </c>
      <c r="F143" s="698">
        <f>[2]Base!Q141</f>
        <v>163424</v>
      </c>
      <c r="G143" s="694">
        <f>[2]Base!R141</f>
        <v>27348</v>
      </c>
      <c r="H143" s="365"/>
      <c r="I143" s="697">
        <f>[2]Base!T141</f>
        <v>138.30000000000001</v>
      </c>
      <c r="J143" s="699">
        <f>[2]Base!U141</f>
        <v>107</v>
      </c>
      <c r="K143" s="700">
        <f>[2]Base!V141</f>
        <v>31.3</v>
      </c>
      <c r="L143" s="365"/>
      <c r="M143" s="693">
        <f>+[2]Base!X141</f>
        <v>162230</v>
      </c>
      <c r="N143" s="694">
        <f>+[2]Base!Y141</f>
        <v>18365</v>
      </c>
      <c r="O143" s="365"/>
      <c r="P143" s="693">
        <f>[2]Base!AB141</f>
        <v>68507.340800000005</v>
      </c>
      <c r="Q143" s="694">
        <f>[2]Base!AC141</f>
        <v>94916.659199999995</v>
      </c>
      <c r="R143" s="365"/>
      <c r="S143" s="693">
        <f>[2]Base!AE141</f>
        <v>834033</v>
      </c>
      <c r="T143" s="700">
        <f>[2]Base!AF141</f>
        <v>5.1034915312316427</v>
      </c>
      <c r="U143" s="365"/>
      <c r="V143" s="693">
        <f>[2]Base!AR141</f>
        <v>28046</v>
      </c>
      <c r="W143" s="698">
        <f>[2]Base!AS141</f>
        <v>31481</v>
      </c>
      <c r="X143" s="698">
        <f>[2]Base!AT141</f>
        <v>34371</v>
      </c>
      <c r="Y143" s="698">
        <f>[2]Base!AU141</f>
        <v>10092</v>
      </c>
      <c r="Z143" s="698">
        <f>[2]Base!AV141</f>
        <v>15366</v>
      </c>
      <c r="AA143" s="698">
        <f>[2]Base!AW141</f>
        <v>16582</v>
      </c>
      <c r="AB143" s="698">
        <f>[2]Base!AX141</f>
        <v>5807</v>
      </c>
      <c r="AC143" s="698" t="s">
        <v>160</v>
      </c>
      <c r="AD143" s="694">
        <f>[2]Base!AZ141</f>
        <v>21679</v>
      </c>
      <c r="AE143" s="365"/>
      <c r="AF143" s="366">
        <f t="shared" si="39"/>
        <v>44013</v>
      </c>
      <c r="AG143" s="701">
        <f t="shared" si="28"/>
        <v>0.17161494027804974</v>
      </c>
      <c r="AH143" s="702">
        <f t="shared" si="29"/>
        <v>0.19263388486391228</v>
      </c>
      <c r="AI143" s="702">
        <f t="shared" si="30"/>
        <v>0.21031794595653025</v>
      </c>
      <c r="AJ143" s="702">
        <f t="shared" si="31"/>
        <v>6.1753475621695711E-2</v>
      </c>
      <c r="AK143" s="702">
        <f t="shared" si="32"/>
        <v>9.4025357352653216E-2</v>
      </c>
      <c r="AL143" s="702">
        <f t="shared" si="33"/>
        <v>0.10146612492657137</v>
      </c>
      <c r="AM143" s="702">
        <f t="shared" si="34"/>
        <v>3.5533336596827884E-2</v>
      </c>
      <c r="AN143" s="702" t="s">
        <v>160</v>
      </c>
      <c r="AO143" s="703">
        <f t="shared" si="35"/>
        <v>0.13265493440375956</v>
      </c>
      <c r="AP143" s="365"/>
      <c r="AQ143" s="693">
        <f>+[2]Base!CS141</f>
        <v>10753.299199999999</v>
      </c>
      <c r="AR143" s="698">
        <f>+[2]Base!CT141</f>
        <v>25330.720000000001</v>
      </c>
      <c r="AS143" s="698">
        <f>+[2]Base!CU141</f>
        <v>16326.0576</v>
      </c>
      <c r="AT143" s="698">
        <f>+[2]Base!CV141</f>
        <v>85389.04</v>
      </c>
      <c r="AU143" s="694">
        <f>+[2]Base!CW141</f>
        <v>25608.540800000002</v>
      </c>
      <c r="AV143" s="365"/>
      <c r="AW143" s="704">
        <f t="shared" ref="AW143:BA148" si="43">+AQ143/SUM($AQ143:$AU143)</f>
        <v>6.5806580658065814E-2</v>
      </c>
      <c r="AX143" s="705">
        <f t="shared" si="43"/>
        <v>0.15501550155015503</v>
      </c>
      <c r="AY143" s="705">
        <f t="shared" si="43"/>
        <v>9.9909990999099918E-2</v>
      </c>
      <c r="AZ143" s="705">
        <f t="shared" si="43"/>
        <v>0.52255225522552262</v>
      </c>
      <c r="BA143" s="706">
        <f t="shared" si="43"/>
        <v>0.15671567156715677</v>
      </c>
      <c r="BB143" s="365"/>
      <c r="BC143" s="704">
        <f t="shared" si="25"/>
        <v>0.1685754792578438</v>
      </c>
      <c r="BD143" s="706">
        <f t="shared" si="26"/>
        <v>0.11237639514392012</v>
      </c>
      <c r="BG143" t="s">
        <v>1642</v>
      </c>
      <c r="BH143" t="s">
        <v>1668</v>
      </c>
    </row>
    <row r="144" spans="1:60" ht="12.75" customHeight="1" outlineLevel="1" x14ac:dyDescent="0.2">
      <c r="A144" s="570">
        <v>44044</v>
      </c>
      <c r="B144" s="708">
        <f>IF([1]RENAME!$H$3=0,A144,TEXT(A144,"[$-em-US] mmm-aa;@"))</f>
        <v>44044</v>
      </c>
      <c r="C144" s="365" t="str">
        <f>IF([1]RENAME!$H$3=0,BG144,BH144)</f>
        <v>3T20</v>
      </c>
      <c r="D144" s="366">
        <v>44044</v>
      </c>
      <c r="E144" s="697">
        <f>[2]Base!P142</f>
        <v>200367</v>
      </c>
      <c r="F144" s="698">
        <f>[2]Base!Q142</f>
        <v>173822</v>
      </c>
      <c r="G144" s="694">
        <f>[2]Base!R142</f>
        <v>26545</v>
      </c>
      <c r="H144" s="365"/>
      <c r="I144" s="697">
        <f>[2]Base!T142</f>
        <v>140.19999999999999</v>
      </c>
      <c r="J144" s="699">
        <f>[2]Base!U142</f>
        <v>110.1</v>
      </c>
      <c r="K144" s="700">
        <f>[2]Base!V142</f>
        <v>30.1</v>
      </c>
      <c r="L144" s="365"/>
      <c r="M144" s="693">
        <f>+[2]Base!X142</f>
        <v>201572</v>
      </c>
      <c r="N144" s="694">
        <f>+[2]Base!Y142</f>
        <v>17514</v>
      </c>
      <c r="O144" s="365"/>
      <c r="P144" s="693">
        <f>[2]Base!AB142</f>
        <v>76777.1774</v>
      </c>
      <c r="Q144" s="694">
        <f>[2]Base!AC142</f>
        <v>97044.8226</v>
      </c>
      <c r="R144" s="365"/>
      <c r="S144" s="693">
        <f>[2]Base!AE142</f>
        <v>917259</v>
      </c>
      <c r="T144" s="700">
        <f>[2]Base!AF142</f>
        <v>5.2770017604215811</v>
      </c>
      <c r="U144" s="365"/>
      <c r="V144" s="693">
        <f>[2]Base!AR142</f>
        <v>28792</v>
      </c>
      <c r="W144" s="698">
        <f>[2]Base!AS142</f>
        <v>34124</v>
      </c>
      <c r="X144" s="698">
        <f>[2]Base!AT142</f>
        <v>41830</v>
      </c>
      <c r="Y144" s="698">
        <f>[2]Base!AU142</f>
        <v>11553</v>
      </c>
      <c r="Z144" s="698">
        <f>[2]Base!AV142</f>
        <v>11807</v>
      </c>
      <c r="AA144" s="698">
        <f>[2]Base!AW142</f>
        <v>17694</v>
      </c>
      <c r="AB144" s="698">
        <f>[2]Base!AX142</f>
        <v>7323</v>
      </c>
      <c r="AC144" s="698" t="s">
        <v>160</v>
      </c>
      <c r="AD144" s="694">
        <f>[2]Base!AZ142</f>
        <v>20699</v>
      </c>
      <c r="AE144" s="365"/>
      <c r="AF144" s="366">
        <f t="shared" si="39"/>
        <v>44044</v>
      </c>
      <c r="AG144" s="701">
        <f t="shared" si="28"/>
        <v>0.16564071291321006</v>
      </c>
      <c r="AH144" s="702">
        <f t="shared" si="29"/>
        <v>0.19631577130627884</v>
      </c>
      <c r="AI144" s="702">
        <f t="shared" si="30"/>
        <v>0.24064847947900725</v>
      </c>
      <c r="AJ144" s="702">
        <f t="shared" si="31"/>
        <v>6.6464544188882882E-2</v>
      </c>
      <c r="AK144" s="702">
        <f t="shared" si="32"/>
        <v>6.7925809161095835E-2</v>
      </c>
      <c r="AL144" s="702">
        <f t="shared" si="33"/>
        <v>0.10179378904856692</v>
      </c>
      <c r="AM144" s="702">
        <f t="shared" si="34"/>
        <v>4.2129304691005738E-2</v>
      </c>
      <c r="AN144" s="702" t="s">
        <v>160</v>
      </c>
      <c r="AO144" s="703">
        <f t="shared" si="35"/>
        <v>0.11908158921195246</v>
      </c>
      <c r="AP144" s="365"/>
      <c r="AQ144" s="693">
        <f>+[2]Base!CS142</f>
        <v>10759.5818</v>
      </c>
      <c r="AR144" s="698">
        <f>+[2]Base!CT142</f>
        <v>29897.383999999998</v>
      </c>
      <c r="AS144" s="698">
        <f>+[2]Base!CU142</f>
        <v>16617.3832</v>
      </c>
      <c r="AT144" s="698">
        <f>+[2]Base!CV142</f>
        <v>88875.188599999994</v>
      </c>
      <c r="AU144" s="694">
        <f>+[2]Base!CW142</f>
        <v>27620.315800000004</v>
      </c>
      <c r="AV144" s="365"/>
      <c r="AW144" s="704">
        <f t="shared" si="43"/>
        <v>6.1918575572671802E-2</v>
      </c>
      <c r="AX144" s="705">
        <f t="shared" si="43"/>
        <v>0.1720516154846454</v>
      </c>
      <c r="AY144" s="705">
        <f t="shared" si="43"/>
        <v>9.5628688606581982E-2</v>
      </c>
      <c r="AZ144" s="705">
        <f t="shared" si="43"/>
        <v>0.51145343603080928</v>
      </c>
      <c r="BA144" s="706">
        <f t="shared" si="43"/>
        <v>0.1589476843052916</v>
      </c>
      <c r="BB144" s="365"/>
      <c r="BC144" s="704">
        <f t="shared" si="25"/>
        <v>0.13168991725041176</v>
      </c>
      <c r="BD144" s="706">
        <f t="shared" si="26"/>
        <v>0.10075824694227428</v>
      </c>
      <c r="BG144" t="s">
        <v>1642</v>
      </c>
      <c r="BH144" t="s">
        <v>1668</v>
      </c>
    </row>
    <row r="145" spans="1:60" ht="12.75" customHeight="1" outlineLevel="1" x14ac:dyDescent="0.2">
      <c r="A145" s="570">
        <v>44075</v>
      </c>
      <c r="B145" s="708">
        <f>IF([1]RENAME!$H$3=0,A145,TEXT(A145,"[$-em-US] mmm-aa;@"))</f>
        <v>44075</v>
      </c>
      <c r="C145" s="365" t="str">
        <f>IF([1]RENAME!$H$3=0,BG145,BH145)</f>
        <v>3T20</v>
      </c>
      <c r="D145" s="366">
        <v>44075</v>
      </c>
      <c r="E145" s="697">
        <f>[2]Base!P143</f>
        <v>227822</v>
      </c>
      <c r="F145" s="698">
        <f>[2]Base!Q143</f>
        <v>199165</v>
      </c>
      <c r="G145" s="694">
        <f>[2]Base!R143</f>
        <v>28657</v>
      </c>
      <c r="H145" s="365"/>
      <c r="I145" s="697">
        <f>[2]Base!T143</f>
        <v>141.69999999999999</v>
      </c>
      <c r="J145" s="699">
        <f>[2]Base!U143</f>
        <v>113.5</v>
      </c>
      <c r="K145" s="700">
        <f>[2]Base!V143</f>
        <v>28.2</v>
      </c>
      <c r="L145" s="365"/>
      <c r="M145" s="693">
        <f>+[2]Base!X143</f>
        <v>208773</v>
      </c>
      <c r="N145" s="694">
        <f>+[2]Base!Y143</f>
        <v>18928</v>
      </c>
      <c r="O145" s="365"/>
      <c r="P145" s="693">
        <f>[2]Base!AB143</f>
        <v>91297.236000000004</v>
      </c>
      <c r="Q145" s="694">
        <f>[2]Base!AC143</f>
        <v>107867.764</v>
      </c>
      <c r="R145" s="365"/>
      <c r="S145" s="693">
        <f>[2]Base!AE143</f>
        <v>1018758</v>
      </c>
      <c r="T145" s="700">
        <f>[2]Base!AF143</f>
        <v>5.1151457334370996</v>
      </c>
      <c r="U145" s="365"/>
      <c r="V145" s="693">
        <f>[2]Base!AR143</f>
        <v>31780</v>
      </c>
      <c r="W145" s="698">
        <f>[2]Base!AS143</f>
        <v>33978</v>
      </c>
      <c r="X145" s="698">
        <f>[2]Base!AT143</f>
        <v>50907</v>
      </c>
      <c r="Y145" s="698">
        <f>[2]Base!AU143</f>
        <v>13358</v>
      </c>
      <c r="Z145" s="698">
        <f>[2]Base!AV143</f>
        <v>17837</v>
      </c>
      <c r="AA145" s="698">
        <f>[2]Base!AW143</f>
        <v>18961</v>
      </c>
      <c r="AB145" s="698">
        <f>[2]Base!AX143</f>
        <v>8696</v>
      </c>
      <c r="AC145" s="698" t="s">
        <v>160</v>
      </c>
      <c r="AD145" s="694">
        <f>[2]Base!AZ143</f>
        <v>23648</v>
      </c>
      <c r="AE145" s="365"/>
      <c r="AF145" s="366">
        <f t="shared" si="39"/>
        <v>44075</v>
      </c>
      <c r="AG145" s="701">
        <f t="shared" si="28"/>
        <v>0.15956618883840032</v>
      </c>
      <c r="AH145" s="702">
        <f t="shared" si="29"/>
        <v>0.17060226445409585</v>
      </c>
      <c r="AI145" s="702">
        <f t="shared" si="30"/>
        <v>0.25560213893003286</v>
      </c>
      <c r="AJ145" s="702">
        <f t="shared" si="31"/>
        <v>6.7070017322320694E-2</v>
      </c>
      <c r="AK145" s="702">
        <f t="shared" si="32"/>
        <v>8.9558908442748469E-2</v>
      </c>
      <c r="AL145" s="702">
        <f t="shared" si="33"/>
        <v>9.5202470313559107E-2</v>
      </c>
      <c r="AM145" s="702">
        <f t="shared" si="34"/>
        <v>4.3662290061004694E-2</v>
      </c>
      <c r="AN145" s="702" t="s">
        <v>160</v>
      </c>
      <c r="AO145" s="703">
        <f t="shared" si="35"/>
        <v>0.11873572163783798</v>
      </c>
      <c r="AP145" s="365"/>
      <c r="AQ145" s="693">
        <f>+[2]Base!CS143</f>
        <v>12945.725</v>
      </c>
      <c r="AR145" s="698">
        <f>+[2]Base!CT143</f>
        <v>33320.304499999998</v>
      </c>
      <c r="AS145" s="698">
        <f>+[2]Base!CU143</f>
        <v>19378.754499999999</v>
      </c>
      <c r="AT145" s="698">
        <f>+[2]Base!CV143</f>
        <v>101116.0705</v>
      </c>
      <c r="AU145" s="694">
        <f>+[2]Base!CW143</f>
        <v>32424.062000000002</v>
      </c>
      <c r="AV145" s="365"/>
      <c r="AW145" s="704">
        <f t="shared" si="43"/>
        <v>6.4993500649935004E-2</v>
      </c>
      <c r="AX145" s="705">
        <f t="shared" si="43"/>
        <v>0.16728327167283269</v>
      </c>
      <c r="AY145" s="705">
        <f t="shared" si="43"/>
        <v>9.7290270972902701E-2</v>
      </c>
      <c r="AZ145" s="705">
        <f t="shared" si="43"/>
        <v>0.50764923507649229</v>
      </c>
      <c r="BA145" s="706">
        <f t="shared" si="43"/>
        <v>0.16278372162783722</v>
      </c>
      <c r="BB145" s="365"/>
      <c r="BC145" s="704">
        <f t="shared" si="25"/>
        <v>0.13726391822697379</v>
      </c>
      <c r="BD145" s="706">
        <f t="shared" si="26"/>
        <v>9.503677855044812E-2</v>
      </c>
      <c r="BG145" t="s">
        <v>1642</v>
      </c>
      <c r="BH145" t="s">
        <v>1668</v>
      </c>
    </row>
    <row r="146" spans="1:60" ht="12.75" customHeight="1" outlineLevel="1" x14ac:dyDescent="0.2">
      <c r="A146" s="570">
        <v>44105</v>
      </c>
      <c r="B146" s="708">
        <f>IF([1]RENAME!$H$3=0,A146,TEXT(A146,"[$-em-US] mmm-aa;@"))</f>
        <v>44105</v>
      </c>
      <c r="C146" s="365" t="str">
        <f>IF([1]RENAME!$H$3=0,BG146,BH146)</f>
        <v>4T20</v>
      </c>
      <c r="D146" s="366">
        <v>44105</v>
      </c>
      <c r="E146" s="697">
        <f>[2]Base!P144</f>
        <v>238625</v>
      </c>
      <c r="F146" s="698">
        <f>[2]Base!Q144</f>
        <v>205699</v>
      </c>
      <c r="G146" s="694">
        <f>[2]Base!R144</f>
        <v>32926</v>
      </c>
      <c r="H146" s="365"/>
      <c r="I146" s="697">
        <f>[2]Base!T144</f>
        <v>132.5</v>
      </c>
      <c r="J146" s="699">
        <f>[2]Base!U144</f>
        <v>109.3</v>
      </c>
      <c r="K146" s="700">
        <f>[2]Base!V144</f>
        <v>23.2</v>
      </c>
      <c r="L146" s="365"/>
      <c r="M146" s="693">
        <f>+[2]Base!X144</f>
        <v>223759</v>
      </c>
      <c r="N146" s="694">
        <f>+[2]Base!Y144</f>
        <v>18764</v>
      </c>
      <c r="O146" s="365"/>
      <c r="P146" s="693">
        <f>[2]Base!AB144</f>
        <v>92338.281100000007</v>
      </c>
      <c r="Q146" s="694">
        <f>[2]Base!AC144</f>
        <v>113360.71889999999</v>
      </c>
      <c r="R146" s="365"/>
      <c r="S146" s="693">
        <f>[2]Base!AE144</f>
        <v>1083467</v>
      </c>
      <c r="T146" s="700">
        <f>[2]Base!AF144</f>
        <v>5.2672448577776265</v>
      </c>
      <c r="U146" s="365"/>
      <c r="V146" s="693">
        <f>[2]Base!AR144</f>
        <v>34074</v>
      </c>
      <c r="W146" s="698">
        <f>[2]Base!AS144</f>
        <v>34288</v>
      </c>
      <c r="X146" s="698">
        <f>[2]Base!AT144</f>
        <v>50544</v>
      </c>
      <c r="Y146" s="698">
        <f>[2]Base!AU144</f>
        <v>13624</v>
      </c>
      <c r="Z146" s="698">
        <f>[2]Base!AV144</f>
        <v>19154</v>
      </c>
      <c r="AA146" s="698">
        <f>[2]Base!AW144</f>
        <v>19051</v>
      </c>
      <c r="AB146" s="698">
        <f>[2]Base!AX144</f>
        <v>9419</v>
      </c>
      <c r="AC146" s="698" t="s">
        <v>160</v>
      </c>
      <c r="AD146" s="694">
        <f>[2]Base!AZ144</f>
        <v>25545</v>
      </c>
      <c r="AE146" s="365"/>
      <c r="AF146" s="366">
        <f t="shared" si="39"/>
        <v>44105</v>
      </c>
      <c r="AG146" s="701">
        <f t="shared" si="28"/>
        <v>0.16564980870106322</v>
      </c>
      <c r="AH146" s="702">
        <f t="shared" si="29"/>
        <v>0.16669016378300333</v>
      </c>
      <c r="AI146" s="702">
        <f t="shared" si="30"/>
        <v>0.24571825823168805</v>
      </c>
      <c r="AJ146" s="702">
        <f t="shared" si="31"/>
        <v>6.6232699235290404E-2</v>
      </c>
      <c r="AK146" s="702">
        <f t="shared" si="32"/>
        <v>9.3116641305985931E-2</v>
      </c>
      <c r="AL146" s="702">
        <f t="shared" si="33"/>
        <v>9.2615909654397935E-2</v>
      </c>
      <c r="AM146" s="702">
        <f t="shared" si="34"/>
        <v>4.5790208022401663E-2</v>
      </c>
      <c r="AN146" s="702" t="s">
        <v>160</v>
      </c>
      <c r="AO146" s="703">
        <f t="shared" si="35"/>
        <v>0.12418631106616949</v>
      </c>
      <c r="AP146" s="365"/>
      <c r="AQ146" s="693">
        <f>+[2]Base!CS144</f>
        <v>12815.047700000001</v>
      </c>
      <c r="AR146" s="698">
        <f>+[2]Base!CT144</f>
        <v>32603.291499999999</v>
      </c>
      <c r="AS146" s="698">
        <f>+[2]Base!CU144</f>
        <v>19829.383600000001</v>
      </c>
      <c r="AT146" s="698">
        <f>+[2]Base!CV144</f>
        <v>105297.3181</v>
      </c>
      <c r="AU146" s="694">
        <f>+[2]Base!CW144</f>
        <v>35153.9591</v>
      </c>
      <c r="AV146" s="365"/>
      <c r="AW146" s="704">
        <f t="shared" si="43"/>
        <v>6.2299999999999994E-2</v>
      </c>
      <c r="AX146" s="705">
        <f t="shared" si="43"/>
        <v>0.15849999999999997</v>
      </c>
      <c r="AY146" s="705">
        <f t="shared" si="43"/>
        <v>9.6399999999999986E-2</v>
      </c>
      <c r="AZ146" s="705">
        <f t="shared" si="43"/>
        <v>0.51189999999999991</v>
      </c>
      <c r="BA146" s="706">
        <f t="shared" si="43"/>
        <v>0.17089999999999997</v>
      </c>
      <c r="BB146" s="365"/>
      <c r="BC146" s="704">
        <f t="shared" si="25"/>
        <v>0.14714938840448877</v>
      </c>
      <c r="BD146" s="706">
        <f t="shared" si="26"/>
        <v>9.1220667091235247E-2</v>
      </c>
      <c r="BG146" t="s">
        <v>1643</v>
      </c>
      <c r="BH146" t="s">
        <v>1628</v>
      </c>
    </row>
    <row r="147" spans="1:60" ht="12.75" customHeight="1" outlineLevel="1" x14ac:dyDescent="0.2">
      <c r="A147" s="570">
        <v>44136</v>
      </c>
      <c r="B147" s="708">
        <f>IF([1]RENAME!$H$3=0,A147,TEXT(A147,"[$-em-US] mmm-aa;@"))</f>
        <v>44136</v>
      </c>
      <c r="C147" s="365" t="str">
        <f>IF([1]RENAME!$H$3=0,BG147,BH147)</f>
        <v>4T20</v>
      </c>
      <c r="D147" s="366">
        <v>44136</v>
      </c>
      <c r="E147" s="697">
        <f>[2]Base!P145</f>
        <v>256739</v>
      </c>
      <c r="F147" s="698">
        <f>[2]Base!Q145</f>
        <v>214486</v>
      </c>
      <c r="G147" s="694">
        <f>[2]Base!R145</f>
        <v>42253</v>
      </c>
      <c r="H147" s="365"/>
      <c r="I147" s="697">
        <f>[2]Base!T145</f>
        <v>119.39999999999999</v>
      </c>
      <c r="J147" s="699">
        <f>[2]Base!U145</f>
        <v>98.1</v>
      </c>
      <c r="K147" s="700">
        <f>[2]Base!V145</f>
        <v>21.3</v>
      </c>
      <c r="L147" s="365"/>
      <c r="M147" s="693">
        <f>+[2]Base!X145</f>
        <v>225021</v>
      </c>
      <c r="N147" s="694">
        <f>+[2]Base!Y145</f>
        <v>19501</v>
      </c>
      <c r="O147" s="365"/>
      <c r="P147" s="693">
        <f>[2]Base!AB145</f>
        <v>97376.643999999986</v>
      </c>
      <c r="Q147" s="694">
        <f>[2]Base!AC145</f>
        <v>117109.35600000001</v>
      </c>
      <c r="R147" s="365"/>
      <c r="S147" s="693">
        <f>[2]Base!AE145</f>
        <v>1048988</v>
      </c>
      <c r="T147" s="700">
        <f>[2]Base!AF145</f>
        <v>4.8907061533153682</v>
      </c>
      <c r="U147" s="365"/>
      <c r="V147" s="693">
        <f>[2]Base!AR145</f>
        <v>39220</v>
      </c>
      <c r="W147" s="698">
        <f>[2]Base!AS145</f>
        <v>34342</v>
      </c>
      <c r="X147" s="698">
        <f>[2]Base!AT145</f>
        <v>52165</v>
      </c>
      <c r="Y147" s="698">
        <f>[2]Base!AU145</f>
        <v>14812</v>
      </c>
      <c r="Z147" s="698">
        <f>[2]Base!AV145</f>
        <v>18333</v>
      </c>
      <c r="AA147" s="698">
        <f>[2]Base!AW145</f>
        <v>20340</v>
      </c>
      <c r="AB147" s="698">
        <f>[2]Base!AX145</f>
        <v>8913</v>
      </c>
      <c r="AC147" s="698" t="s">
        <v>160</v>
      </c>
      <c r="AD147" s="694">
        <f>[2]Base!AZ145</f>
        <v>26361</v>
      </c>
      <c r="AE147" s="365"/>
      <c r="AF147" s="366">
        <f t="shared" si="39"/>
        <v>44136</v>
      </c>
      <c r="AG147" s="701">
        <f t="shared" si="28"/>
        <v>0.18285575748533703</v>
      </c>
      <c r="AH147" s="702">
        <f t="shared" si="29"/>
        <v>0.16011301436923622</v>
      </c>
      <c r="AI147" s="702">
        <f t="shared" si="30"/>
        <v>0.2432093469970068</v>
      </c>
      <c r="AJ147" s="702">
        <f t="shared" si="31"/>
        <v>6.9058120343518922E-2</v>
      </c>
      <c r="AK147" s="702">
        <f t="shared" si="32"/>
        <v>8.5474110198334619E-2</v>
      </c>
      <c r="AL147" s="702">
        <f t="shared" si="33"/>
        <v>9.4831364284848424E-2</v>
      </c>
      <c r="AM147" s="702">
        <f t="shared" si="34"/>
        <v>4.1555159777328127E-2</v>
      </c>
      <c r="AN147" s="702" t="s">
        <v>160</v>
      </c>
      <c r="AO147" s="703">
        <f t="shared" si="35"/>
        <v>0.12290312654438984</v>
      </c>
      <c r="AP147" s="365"/>
      <c r="AQ147" s="693">
        <f>+[2]Base!CS145</f>
        <v>13105.0946</v>
      </c>
      <c r="AR147" s="698">
        <f>+[2]Base!CT145</f>
        <v>34510.797399999996</v>
      </c>
      <c r="AS147" s="698">
        <f>+[2]Base!CU145</f>
        <v>20419.067200000001</v>
      </c>
      <c r="AT147" s="698">
        <f>+[2]Base!CV145</f>
        <v>109409.3086</v>
      </c>
      <c r="AU147" s="694">
        <f>+[2]Base!CW145</f>
        <v>37041.732199999999</v>
      </c>
      <c r="AV147" s="365"/>
      <c r="AW147" s="704">
        <f t="shared" si="43"/>
        <v>6.1100000000000002E-2</v>
      </c>
      <c r="AX147" s="705">
        <f t="shared" si="43"/>
        <v>0.16089999999999999</v>
      </c>
      <c r="AY147" s="705">
        <f t="shared" si="43"/>
        <v>9.5200000000000007E-2</v>
      </c>
      <c r="AZ147" s="705">
        <f t="shared" si="43"/>
        <v>0.5101</v>
      </c>
      <c r="BA147" s="706">
        <f t="shared" si="43"/>
        <v>0.17269999999999999</v>
      </c>
      <c r="BB147" s="365"/>
      <c r="BC147" s="704">
        <f t="shared" si="25"/>
        <v>0.18777358557645732</v>
      </c>
      <c r="BD147" s="706">
        <f t="shared" si="26"/>
        <v>9.0919687065822472E-2</v>
      </c>
      <c r="BG147" t="s">
        <v>1643</v>
      </c>
      <c r="BH147" t="s">
        <v>1628</v>
      </c>
    </row>
    <row r="148" spans="1:60" ht="12.75" customHeight="1" outlineLevel="1" x14ac:dyDescent="0.2">
      <c r="A148" s="570">
        <v>44166</v>
      </c>
      <c r="B148" s="708">
        <f>IF([1]RENAME!$H$3=0,A148,TEXT(A148,"[$-em-US] mmm-aa;@"))</f>
        <v>44166</v>
      </c>
      <c r="C148" s="365" t="str">
        <f>IF([1]RENAME!$H$3=0,BG148,BH148)</f>
        <v>4T20</v>
      </c>
      <c r="D148" s="366">
        <v>44166</v>
      </c>
      <c r="E148" s="697">
        <f>[2]Base!P146</f>
        <v>269254</v>
      </c>
      <c r="F148" s="698">
        <f>[2]Base!Q146</f>
        <v>232984</v>
      </c>
      <c r="G148" s="694">
        <f>[2]Base!R146</f>
        <v>36270</v>
      </c>
      <c r="H148" s="365"/>
      <c r="I148" s="697">
        <f>[2]Base!T146</f>
        <v>96.8</v>
      </c>
      <c r="J148" s="699">
        <f>[2]Base!U146</f>
        <v>82.8</v>
      </c>
      <c r="K148" s="700">
        <f>[2]Base!V146</f>
        <v>14</v>
      </c>
      <c r="L148" s="365"/>
      <c r="M148" s="693">
        <f>+[2]Base!X146</f>
        <v>197802</v>
      </c>
      <c r="N148" s="694">
        <f>+[2]Base!Y146</f>
        <v>20524</v>
      </c>
      <c r="O148" s="365"/>
      <c r="P148" s="693">
        <f>[2]Base!AB146</f>
        <v>102443.06479999999</v>
      </c>
      <c r="Q148" s="694">
        <f>[2]Base!AC146</f>
        <v>130540.93520000001</v>
      </c>
      <c r="R148" s="365"/>
      <c r="S148" s="693">
        <f>[2]Base!AE146</f>
        <v>1204907</v>
      </c>
      <c r="T148" s="700">
        <f>[2]Base!AF146</f>
        <v>5.1716298114892005</v>
      </c>
      <c r="U148" s="365"/>
      <c r="V148" s="693">
        <f>[2]Base!AR146</f>
        <v>42214</v>
      </c>
      <c r="W148" s="698">
        <f>[2]Base!AS146</f>
        <v>37675</v>
      </c>
      <c r="X148" s="698">
        <f>[2]Base!AT146</f>
        <v>54596</v>
      </c>
      <c r="Y148" s="698">
        <f>[2]Base!AU146</f>
        <v>15639</v>
      </c>
      <c r="Z148" s="698">
        <f>[2]Base!AV146</f>
        <v>21372</v>
      </c>
      <c r="AA148" s="698">
        <f>[2]Base!AW146</f>
        <v>24413</v>
      </c>
      <c r="AB148" s="698">
        <f>[2]Base!AX146</f>
        <v>9646</v>
      </c>
      <c r="AC148" s="698" t="s">
        <v>160</v>
      </c>
      <c r="AD148" s="694">
        <f>[2]Base!AZ146</f>
        <v>27429</v>
      </c>
      <c r="AE148" s="365"/>
      <c r="AF148" s="366">
        <f t="shared" si="39"/>
        <v>44166</v>
      </c>
      <c r="AG148" s="701">
        <f t="shared" si="28"/>
        <v>0.18118840778765924</v>
      </c>
      <c r="AH148" s="702">
        <f t="shared" si="29"/>
        <v>0.16170638327095424</v>
      </c>
      <c r="AI148" s="702">
        <f t="shared" si="30"/>
        <v>0.23433368815025923</v>
      </c>
      <c r="AJ148" s="702">
        <f t="shared" si="31"/>
        <v>6.712478110084813E-2</v>
      </c>
      <c r="AK148" s="702">
        <f t="shared" si="32"/>
        <v>9.1731621055523127E-2</v>
      </c>
      <c r="AL148" s="702">
        <f t="shared" si="33"/>
        <v>0.10478401950348522</v>
      </c>
      <c r="AM148" s="702">
        <f t="shared" si="34"/>
        <v>4.1401984685643649E-2</v>
      </c>
      <c r="AN148" s="702" t="s">
        <v>160</v>
      </c>
      <c r="AO148" s="703">
        <f t="shared" si="35"/>
        <v>0.11772911444562717</v>
      </c>
      <c r="AP148" s="365"/>
      <c r="AQ148" s="693">
        <f>+[2]Base!CS146</f>
        <v>15563.331199999999</v>
      </c>
      <c r="AR148" s="698">
        <f>+[2]Base!CT146</f>
        <v>39863.562400000003</v>
      </c>
      <c r="AS148" s="698">
        <f>+[2]Base!CU146</f>
        <v>23834.263200000001</v>
      </c>
      <c r="AT148" s="698">
        <f>+[2]Base!CV146</f>
        <v>111762.42480000001</v>
      </c>
      <c r="AU148" s="694">
        <f>+[2]Base!CW146</f>
        <v>41960.418400000002</v>
      </c>
      <c r="AV148" s="365"/>
      <c r="AW148" s="704">
        <f t="shared" si="43"/>
        <v>6.6799999999999998E-2</v>
      </c>
      <c r="AX148" s="705">
        <f t="shared" si="43"/>
        <v>0.1711</v>
      </c>
      <c r="AY148" s="705">
        <f t="shared" si="43"/>
        <v>0.1023</v>
      </c>
      <c r="AZ148" s="705">
        <f t="shared" si="43"/>
        <v>0.47970000000000002</v>
      </c>
      <c r="BA148" s="706">
        <f t="shared" si="43"/>
        <v>0.18010000000000001</v>
      </c>
      <c r="BB148" s="365"/>
      <c r="BC148" s="704">
        <f t="shared" si="25"/>
        <v>0.18336518336518337</v>
      </c>
      <c r="BD148" s="706">
        <f t="shared" si="26"/>
        <v>8.8091886138103898E-2</v>
      </c>
      <c r="BG148" t="s">
        <v>1643</v>
      </c>
      <c r="BH148" t="s">
        <v>1628</v>
      </c>
    </row>
    <row r="149" spans="1:60" ht="12.75" customHeight="1" outlineLevel="1" x14ac:dyDescent="0.2">
      <c r="A149" s="570">
        <v>44197</v>
      </c>
      <c r="B149" s="708">
        <f>IF([1]RENAME!$H$3=0,A149,TEXT(A149,"[$-em-US] mmm-aa;@"))</f>
        <v>44197</v>
      </c>
      <c r="C149" s="365" t="str">
        <f>IF([1]RENAME!$H$3=0,BG149,BH149)</f>
        <v>1T21</v>
      </c>
      <c r="D149" s="366">
        <v>44197</v>
      </c>
      <c r="E149" s="967">
        <f>[2]Base!P147</f>
        <v>186877</v>
      </c>
      <c r="F149" s="968">
        <f>[2]Base!Q147</f>
        <v>162580</v>
      </c>
      <c r="G149" s="969">
        <f>[2]Base!R147</f>
        <v>24297</v>
      </c>
      <c r="H149" s="365"/>
      <c r="I149" s="967">
        <f>[2]Base!T147</f>
        <v>100.8</v>
      </c>
      <c r="J149" s="970">
        <f>[2]Base!U147</f>
        <v>87</v>
      </c>
      <c r="K149" s="971">
        <f>[2]Base!V147</f>
        <v>13.8</v>
      </c>
      <c r="L149" s="365"/>
      <c r="M149" s="972">
        <f>+[2]Base!X147</f>
        <v>190156</v>
      </c>
      <c r="N149" s="969">
        <f>+[2]Base!Y147</f>
        <v>15597</v>
      </c>
      <c r="O149" s="365"/>
      <c r="P149" s="972">
        <f>[2]Base!AB147</f>
        <v>63324.91</v>
      </c>
      <c r="Q149" s="969">
        <f>[2]Base!AC147</f>
        <v>99255.09</v>
      </c>
      <c r="R149" s="365"/>
      <c r="S149" s="972">
        <f>[2]Base!AE147</f>
        <v>869169</v>
      </c>
      <c r="T149" s="971">
        <f>[2]Base!AF147</f>
        <v>5.3461003813507197</v>
      </c>
      <c r="U149" s="365"/>
      <c r="V149" s="972">
        <f>[2]Base!AR147</f>
        <v>26614</v>
      </c>
      <c r="W149" s="968">
        <f>[2]Base!AS147</f>
        <v>26577</v>
      </c>
      <c r="X149" s="968">
        <f>[2]Base!AT147</f>
        <v>43017</v>
      </c>
      <c r="Y149" s="968">
        <f>[2]Base!AU147</f>
        <v>10211</v>
      </c>
      <c r="Z149" s="968">
        <f>[2]Base!AV147</f>
        <v>16294</v>
      </c>
      <c r="AA149" s="968">
        <f>[2]Base!AW147</f>
        <v>17107</v>
      </c>
      <c r="AB149" s="968">
        <f>[2]Base!AX147</f>
        <v>6386</v>
      </c>
      <c r="AC149" s="968" t="s">
        <v>160</v>
      </c>
      <c r="AD149" s="969">
        <f>[2]Base!AZ147</f>
        <v>16374</v>
      </c>
      <c r="AE149" s="365"/>
      <c r="AF149" s="366">
        <f t="shared" si="39"/>
        <v>44197</v>
      </c>
      <c r="AG149" s="973">
        <f t="shared" si="28"/>
        <v>0.16369787181695167</v>
      </c>
      <c r="AH149" s="974">
        <f t="shared" si="29"/>
        <v>0.16347029154877599</v>
      </c>
      <c r="AI149" s="974">
        <f t="shared" si="30"/>
        <v>0.26458974043547789</v>
      </c>
      <c r="AJ149" s="974">
        <f t="shared" si="31"/>
        <v>6.2806003198425386E-2</v>
      </c>
      <c r="AK149" s="974">
        <f t="shared" si="32"/>
        <v>0.10022142945011686</v>
      </c>
      <c r="AL149" s="974">
        <f t="shared" si="33"/>
        <v>0.10522204453192274</v>
      </c>
      <c r="AM149" s="974">
        <f t="shared" si="34"/>
        <v>3.9279124123508424E-2</v>
      </c>
      <c r="AN149" s="974" t="s">
        <v>160</v>
      </c>
      <c r="AO149" s="975">
        <f t="shared" si="35"/>
        <v>0.10071349489482101</v>
      </c>
      <c r="AP149" s="365"/>
      <c r="AQ149" s="972">
        <f>+[2]Base!CS147</f>
        <v>7722.55</v>
      </c>
      <c r="AR149" s="968">
        <f>+[2]Base!CT147</f>
        <v>27215.892</v>
      </c>
      <c r="AS149" s="968">
        <f>+[2]Base!CU147</f>
        <v>17217.221999999998</v>
      </c>
      <c r="AT149" s="968">
        <f>+[2]Base!CV147</f>
        <v>82606.898000000001</v>
      </c>
      <c r="AU149" s="969">
        <f>+[2]Base!CW147</f>
        <v>27801.180000000004</v>
      </c>
      <c r="AV149" s="365"/>
      <c r="AW149" s="976">
        <f t="shared" ref="AW149:BA153" si="44">+AQ149/SUM($AQ149:$AU149)</f>
        <v>4.7504750475047507E-2</v>
      </c>
      <c r="AX149" s="977">
        <f t="shared" si="44"/>
        <v>0.16741674167416742</v>
      </c>
      <c r="AY149" s="977">
        <f t="shared" si="44"/>
        <v>0.1059105910591059</v>
      </c>
      <c r="AZ149" s="977">
        <f t="shared" si="44"/>
        <v>0.50815081508150817</v>
      </c>
      <c r="BA149" s="978">
        <f t="shared" si="44"/>
        <v>0.17101710171017104</v>
      </c>
      <c r="BB149" s="365"/>
      <c r="BC149" s="976">
        <f t="shared" ref="BC149:BC180" si="45">+G149/M149</f>
        <v>0.12777403815814384</v>
      </c>
      <c r="BD149" s="978">
        <f t="shared" ref="BD149:BD180" si="46">+N149/F149</f>
        <v>9.5934309263131998E-2</v>
      </c>
      <c r="BG149" t="s">
        <v>1825</v>
      </c>
      <c r="BH149" t="s">
        <v>1827</v>
      </c>
    </row>
    <row r="150" spans="1:60" ht="12.75" customHeight="1" outlineLevel="1" x14ac:dyDescent="0.2">
      <c r="A150" s="570">
        <v>44228</v>
      </c>
      <c r="B150" s="708">
        <f>IF([1]RENAME!$H$3=0,A150,TEXT(A150,"[$-em-US] mmm-aa;@"))</f>
        <v>44228</v>
      </c>
      <c r="C150" s="365" t="str">
        <f>IF([1]RENAME!$H$3=0,BG150,BH150)</f>
        <v>1T21</v>
      </c>
      <c r="D150" s="366">
        <v>44228</v>
      </c>
      <c r="E150" s="967">
        <f>[2]Base!P148</f>
        <v>189372</v>
      </c>
      <c r="F150" s="968">
        <f>[2]Base!Q148</f>
        <v>158488</v>
      </c>
      <c r="G150" s="969">
        <f>[2]Base!R148</f>
        <v>30884</v>
      </c>
      <c r="H150" s="365"/>
      <c r="I150" s="967">
        <f>[2]Base!T148</f>
        <v>97.800000000000011</v>
      </c>
      <c r="J150" s="970">
        <f>[2]Base!U148</f>
        <v>80.7</v>
      </c>
      <c r="K150" s="971">
        <f>[2]Base!V148</f>
        <v>17.100000000000001</v>
      </c>
      <c r="L150" s="365"/>
      <c r="M150" s="972">
        <f>+[2]Base!X148</f>
        <v>183641</v>
      </c>
      <c r="N150" s="969">
        <f>+[2]Base!Y148</f>
        <v>13348</v>
      </c>
      <c r="O150" s="365"/>
      <c r="P150" s="972">
        <f>[2]Base!AB148</f>
        <v>64583.859999999993</v>
      </c>
      <c r="Q150" s="969">
        <f>[2]Base!AC148</f>
        <v>93904.140000000014</v>
      </c>
      <c r="R150" s="365"/>
      <c r="S150" s="972">
        <f>[2]Base!AE148</f>
        <v>876306</v>
      </c>
      <c r="T150" s="971">
        <f>[2]Base!AF148</f>
        <v>5.5291630912119532</v>
      </c>
      <c r="U150" s="365"/>
      <c r="V150" s="972">
        <f>[2]Base!AR148</f>
        <v>24962</v>
      </c>
      <c r="W150" s="968">
        <f>[2]Base!AS148</f>
        <v>26786</v>
      </c>
      <c r="X150" s="968">
        <f>[2]Base!AT148</f>
        <v>43973</v>
      </c>
      <c r="Y150" s="968">
        <f>[2]Base!AU148</f>
        <v>10258</v>
      </c>
      <c r="Z150" s="968">
        <f>[2]Base!AV148</f>
        <v>16336</v>
      </c>
      <c r="AA150" s="968">
        <f>[2]Base!AW148</f>
        <v>17118</v>
      </c>
      <c r="AB150" s="968">
        <f>[2]Base!AX148</f>
        <v>7314</v>
      </c>
      <c r="AC150" s="968" t="s">
        <v>160</v>
      </c>
      <c r="AD150" s="969">
        <f>[2]Base!AZ148</f>
        <v>11741</v>
      </c>
      <c r="AE150" s="365"/>
      <c r="AF150" s="366">
        <f t="shared" si="39"/>
        <v>44228</v>
      </c>
      <c r="AG150" s="973">
        <f t="shared" si="28"/>
        <v>0.15750088334763515</v>
      </c>
      <c r="AH150" s="974">
        <f t="shared" si="29"/>
        <v>0.16900964110847508</v>
      </c>
      <c r="AI150" s="974">
        <f t="shared" si="30"/>
        <v>0.27745318257533691</v>
      </c>
      <c r="AJ150" s="974">
        <f t="shared" si="31"/>
        <v>6.47241431527939E-2</v>
      </c>
      <c r="AK150" s="974">
        <f t="shared" si="32"/>
        <v>0.10307404977032962</v>
      </c>
      <c r="AL150" s="974">
        <f t="shared" si="33"/>
        <v>0.10800817727525112</v>
      </c>
      <c r="AM150" s="974">
        <f t="shared" si="34"/>
        <v>4.614860431073646E-2</v>
      </c>
      <c r="AN150" s="974" t="s">
        <v>160</v>
      </c>
      <c r="AO150" s="975">
        <f t="shared" si="35"/>
        <v>7.4081318459441728E-2</v>
      </c>
      <c r="AP150" s="365"/>
      <c r="AQ150" s="972">
        <f>+[2]Base!CS148</f>
        <v>9651.9192000000003</v>
      </c>
      <c r="AR150" s="968">
        <f>+[2]Base!CT148</f>
        <v>26483.344799999999</v>
      </c>
      <c r="AS150" s="968">
        <f>+[2]Base!CU148</f>
        <v>17845.748800000001</v>
      </c>
      <c r="AT150" s="968">
        <f>+[2]Base!CV148</f>
        <v>77183.656000000003</v>
      </c>
      <c r="AU150" s="969">
        <f>+[2]Base!CW148</f>
        <v>27323.331200000001</v>
      </c>
      <c r="AV150" s="365"/>
      <c r="AW150" s="976">
        <f t="shared" si="44"/>
        <v>6.0900000000000003E-2</v>
      </c>
      <c r="AX150" s="977">
        <f t="shared" si="44"/>
        <v>0.1671</v>
      </c>
      <c r="AY150" s="977">
        <f t="shared" si="44"/>
        <v>0.11260000000000001</v>
      </c>
      <c r="AZ150" s="977">
        <f t="shared" si="44"/>
        <v>0.48700000000000004</v>
      </c>
      <c r="BA150" s="978">
        <f t="shared" si="44"/>
        <v>0.1724</v>
      </c>
      <c r="BB150" s="365"/>
      <c r="BC150" s="976">
        <f t="shared" si="45"/>
        <v>0.16817595199329125</v>
      </c>
      <c r="BD150" s="978">
        <f t="shared" si="46"/>
        <v>8.4220887385795765E-2</v>
      </c>
      <c r="BG150" t="s">
        <v>1825</v>
      </c>
      <c r="BH150" t="s">
        <v>1827</v>
      </c>
    </row>
    <row r="151" spans="1:60" ht="12.75" customHeight="1" outlineLevel="1" x14ac:dyDescent="0.2">
      <c r="A151" s="570">
        <v>44256</v>
      </c>
      <c r="B151" s="708">
        <f>IF([1]RENAME!$H$3=0,A151,TEXT(A151,"[$-em-US] mmm-aa;@"))</f>
        <v>44256</v>
      </c>
      <c r="C151" s="365" t="str">
        <f>IF([1]RENAME!$H$3=0,BG151,BH151)</f>
        <v>1T21</v>
      </c>
      <c r="D151" s="366">
        <v>44256</v>
      </c>
      <c r="E151" s="967">
        <f>[2]Base!P149</f>
        <v>211904</v>
      </c>
      <c r="F151" s="968">
        <f>[2]Base!Q149</f>
        <v>177450</v>
      </c>
      <c r="G151" s="969">
        <f>[2]Base!R149</f>
        <v>34454</v>
      </c>
      <c r="H151" s="365"/>
      <c r="I151" s="967">
        <f>[2]Base!T149</f>
        <v>101.1</v>
      </c>
      <c r="J151" s="970">
        <f>[2]Base!U149</f>
        <v>83.3</v>
      </c>
      <c r="K151" s="971">
        <f>[2]Base!V149</f>
        <v>17.8</v>
      </c>
      <c r="L151" s="365"/>
      <c r="M151" s="972">
        <f>+[2]Base!X149</f>
        <v>185718</v>
      </c>
      <c r="N151" s="969">
        <f>+[2]Base!Y149</f>
        <v>16941</v>
      </c>
      <c r="O151" s="365"/>
      <c r="P151" s="972">
        <f>[2]Base!AB149</f>
        <v>81325.334999999992</v>
      </c>
      <c r="Q151" s="969">
        <f>[2]Base!AC149</f>
        <v>96124.665000000008</v>
      </c>
      <c r="R151" s="365"/>
      <c r="S151" s="972">
        <f>[2]Base!AE149</f>
        <v>915537</v>
      </c>
      <c r="T151" s="971">
        <f>[2]Base!AF149</f>
        <v>5.1594082840236686</v>
      </c>
      <c r="U151" s="365"/>
      <c r="V151" s="972">
        <f>[2]Base!AR149</f>
        <v>23239</v>
      </c>
      <c r="W151" s="968">
        <f>[2]Base!AS149</f>
        <v>32643</v>
      </c>
      <c r="X151" s="968">
        <f>[2]Base!AT149</f>
        <v>49444</v>
      </c>
      <c r="Y151" s="968">
        <f>[2]Base!AU149</f>
        <v>12681</v>
      </c>
      <c r="Z151" s="968">
        <f>[2]Base!AV149</f>
        <v>17798</v>
      </c>
      <c r="AA151" s="968">
        <f>[2]Base!AW149</f>
        <v>19435</v>
      </c>
      <c r="AB151" s="968">
        <f>[2]Base!AX149</f>
        <v>7113</v>
      </c>
      <c r="AC151" s="968" t="s">
        <v>160</v>
      </c>
      <c r="AD151" s="969">
        <f>[2]Base!AZ149</f>
        <v>15097</v>
      </c>
      <c r="AE151" s="365"/>
      <c r="AF151" s="366">
        <f t="shared" si="39"/>
        <v>44256</v>
      </c>
      <c r="AG151" s="973">
        <f t="shared" si="28"/>
        <v>0.1309608340377571</v>
      </c>
      <c r="AH151" s="974">
        <f t="shared" si="29"/>
        <v>0.18395604395604395</v>
      </c>
      <c r="AI151" s="974">
        <f t="shared" si="30"/>
        <v>0.2786362355593125</v>
      </c>
      <c r="AJ151" s="974">
        <f t="shared" si="31"/>
        <v>7.1462383770076077E-2</v>
      </c>
      <c r="AK151" s="974">
        <f t="shared" si="32"/>
        <v>0.10029867568329107</v>
      </c>
      <c r="AL151" s="974">
        <f t="shared" si="33"/>
        <v>0.10952380952380952</v>
      </c>
      <c r="AM151" s="974">
        <f t="shared" si="34"/>
        <v>4.0084530853761624E-2</v>
      </c>
      <c r="AN151" s="974" t="s">
        <v>160</v>
      </c>
      <c r="AO151" s="975">
        <f t="shared" si="35"/>
        <v>8.5077486615948161E-2</v>
      </c>
      <c r="AP151" s="365"/>
      <c r="AQ151" s="972">
        <f>+[2]Base!CS149</f>
        <v>10948.664999999999</v>
      </c>
      <c r="AR151" s="968">
        <f>+[2]Base!CT149</f>
        <v>22571.640000000003</v>
      </c>
      <c r="AS151" s="968">
        <f>+[2]Base!CU149</f>
        <v>18312.84</v>
      </c>
      <c r="AT151" s="968">
        <f>+[2]Base!CV149</f>
        <v>97349.069999999992</v>
      </c>
      <c r="AU151" s="969">
        <f>+[2]Base!CW149</f>
        <v>28250.04</v>
      </c>
      <c r="AV151" s="365"/>
      <c r="AW151" s="976">
        <f t="shared" si="44"/>
        <v>6.1706170617061698E-2</v>
      </c>
      <c r="AX151" s="977">
        <f t="shared" si="44"/>
        <v>0.12721272127212724</v>
      </c>
      <c r="AY151" s="977">
        <f t="shared" si="44"/>
        <v>0.1032103210321032</v>
      </c>
      <c r="AZ151" s="977">
        <f t="shared" si="44"/>
        <v>0.54865486548654863</v>
      </c>
      <c r="BA151" s="978">
        <f t="shared" si="44"/>
        <v>0.15921592159215922</v>
      </c>
      <c r="BB151" s="365"/>
      <c r="BC151" s="976">
        <f t="shared" si="45"/>
        <v>0.18551782810497636</v>
      </c>
      <c r="BD151" s="978">
        <f t="shared" si="46"/>
        <v>9.5469146238377003E-2</v>
      </c>
      <c r="BG151" t="s">
        <v>1825</v>
      </c>
      <c r="BH151" t="s">
        <v>1827</v>
      </c>
    </row>
    <row r="152" spans="1:60" ht="12.75" customHeight="1" outlineLevel="1" x14ac:dyDescent="0.2">
      <c r="A152" s="570">
        <v>44287</v>
      </c>
      <c r="B152" s="708">
        <f>IF([1]RENAME!$H$3=0,A152,TEXT(A152,"[$-em-US] mmm-aa;@"))</f>
        <v>44287</v>
      </c>
      <c r="C152" s="365" t="str">
        <f>IF([1]RENAME!$H$3=0,BG152,BH152)</f>
        <v>2T21</v>
      </c>
      <c r="D152" s="366">
        <v>44287</v>
      </c>
      <c r="E152" s="967">
        <f>[2]Base!P150</f>
        <v>195829</v>
      </c>
      <c r="F152" s="968">
        <f>[2]Base!Q150</f>
        <v>164157</v>
      </c>
      <c r="G152" s="969">
        <f>[2]Base!R150</f>
        <v>31672</v>
      </c>
      <c r="H152" s="365"/>
      <c r="I152" s="967">
        <f>[2]Base!T150</f>
        <v>97.1</v>
      </c>
      <c r="J152" s="970">
        <f>[2]Base!U150</f>
        <v>72.8</v>
      </c>
      <c r="K152" s="971">
        <f>[2]Base!V150</f>
        <v>24.3</v>
      </c>
      <c r="L152" s="365"/>
      <c r="M152" s="972">
        <f>+[2]Base!X150</f>
        <v>175942</v>
      </c>
      <c r="N152" s="969">
        <f>+[2]Base!Y150</f>
        <v>16775</v>
      </c>
      <c r="O152" s="365"/>
      <c r="P152" s="972">
        <f>[2]Base!AB150</f>
        <v>72212.664300000004</v>
      </c>
      <c r="Q152" s="969">
        <f>[2]Base!AC150</f>
        <v>91944.335699999996</v>
      </c>
      <c r="R152" s="365"/>
      <c r="S152" s="972">
        <f>[2]Base!AE150</f>
        <v>821159</v>
      </c>
      <c r="T152" s="971">
        <f>[2]Base!AF150</f>
        <v>5.0022783067429355</v>
      </c>
      <c r="U152" s="365"/>
      <c r="V152" s="972">
        <f>[2]Base!AR150</f>
        <v>20890</v>
      </c>
      <c r="W152" s="968">
        <f>[2]Base!AS150</f>
        <v>27647</v>
      </c>
      <c r="X152" s="968">
        <f>[2]Base!AT150</f>
        <v>48552</v>
      </c>
      <c r="Y152" s="968">
        <f>[2]Base!AU150</f>
        <v>13420</v>
      </c>
      <c r="Z152" s="968">
        <f>[2]Base!AV150</f>
        <v>16475</v>
      </c>
      <c r="AA152" s="968">
        <f>[2]Base!AW150</f>
        <v>17290</v>
      </c>
      <c r="AB152" s="968">
        <f>[2]Base!AX150</f>
        <v>5828</v>
      </c>
      <c r="AC152" s="968" t="s">
        <v>160</v>
      </c>
      <c r="AD152" s="969">
        <f>[2]Base!AZ150</f>
        <v>14055</v>
      </c>
      <c r="AE152" s="365"/>
      <c r="AF152" s="366">
        <f t="shared" si="39"/>
        <v>44287</v>
      </c>
      <c r="AG152" s="973">
        <f t="shared" si="28"/>
        <v>0.12725622422437058</v>
      </c>
      <c r="AH152" s="974">
        <f t="shared" si="29"/>
        <v>0.16841803882868231</v>
      </c>
      <c r="AI152" s="974">
        <f t="shared" si="30"/>
        <v>0.29576563899194064</v>
      </c>
      <c r="AJ152" s="974">
        <f t="shared" si="31"/>
        <v>8.1751006658260086E-2</v>
      </c>
      <c r="AK152" s="974">
        <f t="shared" si="32"/>
        <v>0.10036123954506966</v>
      </c>
      <c r="AL152" s="974">
        <f t="shared" si="33"/>
        <v>0.10532599889130527</v>
      </c>
      <c r="AM152" s="974">
        <f t="shared" si="34"/>
        <v>3.5502598122529046E-2</v>
      </c>
      <c r="AN152" s="974" t="s">
        <v>160</v>
      </c>
      <c r="AO152" s="975">
        <f t="shared" si="35"/>
        <v>8.5619254737842432E-2</v>
      </c>
      <c r="AP152" s="365"/>
      <c r="AQ152" s="972">
        <f>+[2]Base!CS150</f>
        <v>10325.4753</v>
      </c>
      <c r="AR152" s="968">
        <f>+[2]Base!CT150</f>
        <v>30204.887999999999</v>
      </c>
      <c r="AS152" s="968">
        <f>+[2]Base!CU150</f>
        <v>18254.258399999999</v>
      </c>
      <c r="AT152" s="968">
        <f>+[2]Base!CV150</f>
        <v>77285.115600000005</v>
      </c>
      <c r="AU152" s="969">
        <f>+[2]Base!CW150</f>
        <v>27693.285899999999</v>
      </c>
      <c r="AV152" s="365"/>
      <c r="AW152" s="976">
        <f t="shared" si="44"/>
        <v>6.3051323175621496E-2</v>
      </c>
      <c r="AX152" s="977">
        <f t="shared" si="44"/>
        <v>0.18444266238973536</v>
      </c>
      <c r="AY152" s="977">
        <f t="shared" si="44"/>
        <v>0.11146752205292702</v>
      </c>
      <c r="AZ152" s="977">
        <f t="shared" si="44"/>
        <v>0.47193263833199683</v>
      </c>
      <c r="BA152" s="978">
        <f t="shared" si="44"/>
        <v>0.16910585404971931</v>
      </c>
      <c r="BB152" s="365"/>
      <c r="BC152" s="976">
        <f t="shared" si="45"/>
        <v>0.18001386820656806</v>
      </c>
      <c r="BD152" s="978">
        <f t="shared" si="46"/>
        <v>0.1021887583228251</v>
      </c>
      <c r="BG152" t="s">
        <v>1785</v>
      </c>
      <c r="BH152" t="s">
        <v>1828</v>
      </c>
    </row>
    <row r="153" spans="1:60" ht="12.75" customHeight="1" outlineLevel="1" x14ac:dyDescent="0.2">
      <c r="A153" s="570">
        <v>44317</v>
      </c>
      <c r="B153" s="708">
        <f>IF([1]RENAME!$H$3=0,A153,TEXT(A153,"[$-em-US] mmm-aa;@"))</f>
        <v>44317</v>
      </c>
      <c r="C153" s="365" t="str">
        <f>IF([1]RENAME!$H$3=0,BG153,BH153)</f>
        <v>2T21</v>
      </c>
      <c r="D153" s="366">
        <v>44317</v>
      </c>
      <c r="E153" s="967">
        <f>[2]Base!P151</f>
        <v>210376</v>
      </c>
      <c r="F153" s="968">
        <f>[2]Base!Q151</f>
        <v>175574</v>
      </c>
      <c r="G153" s="969">
        <f>[2]Base!R151</f>
        <v>34802</v>
      </c>
      <c r="H153" s="365"/>
      <c r="I153" s="967">
        <f>[2]Base!T151</f>
        <v>96.5</v>
      </c>
      <c r="J153" s="970">
        <f>[2]Base!U151</f>
        <v>66.599999999999994</v>
      </c>
      <c r="K153" s="971">
        <f>[2]Base!V151</f>
        <v>29.9</v>
      </c>
      <c r="L153" s="365"/>
      <c r="M153" s="972">
        <f>+[2]Base!X151</f>
        <v>177281</v>
      </c>
      <c r="N153" s="969">
        <f>+[2]Base!Y151</f>
        <v>18909</v>
      </c>
      <c r="O153" s="365"/>
      <c r="P153" s="972">
        <f>[2]Base!AB151</f>
        <v>79254.103600000002</v>
      </c>
      <c r="Q153" s="969">
        <f>[2]Base!AC151</f>
        <v>96319.896399999998</v>
      </c>
      <c r="R153" s="365"/>
      <c r="S153" s="972">
        <f>[2]Base!AE151</f>
        <v>976129</v>
      </c>
      <c r="T153" s="971">
        <f>[2]Base!AF151</f>
        <v>5.5596443664779525</v>
      </c>
      <c r="U153" s="365"/>
      <c r="V153" s="972">
        <f>[2]Base!AR151</f>
        <v>17296</v>
      </c>
      <c r="W153" s="968">
        <f>[2]Base!AS151</f>
        <v>28961</v>
      </c>
      <c r="X153" s="968">
        <f>[2]Base!AT151</f>
        <v>54204</v>
      </c>
      <c r="Y153" s="968">
        <f>[2]Base!AU151</f>
        <v>15566</v>
      </c>
      <c r="Z153" s="968">
        <f>[2]Base!AV151</f>
        <v>17404</v>
      </c>
      <c r="AA153" s="968">
        <f>[2]Base!AW151</f>
        <v>20083</v>
      </c>
      <c r="AB153" s="968">
        <f>[2]Base!AX151</f>
        <v>7060</v>
      </c>
      <c r="AC153" s="968" t="s">
        <v>160</v>
      </c>
      <c r="AD153" s="969">
        <f>[2]Base!AZ151</f>
        <v>15000</v>
      </c>
      <c r="AE153" s="365"/>
      <c r="AF153" s="366">
        <f t="shared" si="39"/>
        <v>44317</v>
      </c>
      <c r="AG153" s="973">
        <f t="shared" ref="AG153:AG184" si="47">+V153/SUM($V153:$AD153)</f>
        <v>9.851116907970428E-2</v>
      </c>
      <c r="AH153" s="974">
        <f t="shared" ref="AH153:AH184" si="48">+W153/SUM($V153:$AD153)</f>
        <v>0.16495039128800393</v>
      </c>
      <c r="AI153" s="974">
        <f t="shared" ref="AI153:AI184" si="49">+X153/SUM($V153:$AD153)</f>
        <v>0.30872452641051634</v>
      </c>
      <c r="AJ153" s="974">
        <f t="shared" ref="AJ153:AJ184" si="50">+Y153/SUM($V153:$AD153)</f>
        <v>8.8657773930080758E-2</v>
      </c>
      <c r="AK153" s="974">
        <f t="shared" ref="AK153:AK184" si="51">+Z153/SUM($V153:$AD153)</f>
        <v>9.9126294326039158E-2</v>
      </c>
      <c r="AL153" s="974">
        <f t="shared" ref="AL153:AL184" si="52">+AA153/SUM($V153:$AD153)</f>
        <v>0.1143848177976238</v>
      </c>
      <c r="AM153" s="974">
        <f t="shared" ref="AM153:AM184" si="53">+AB153/SUM($V153:$AD153)</f>
        <v>4.0210965177076334E-2</v>
      </c>
      <c r="AN153" s="974" t="s">
        <v>160</v>
      </c>
      <c r="AO153" s="975">
        <f t="shared" ref="AO153:AO184" si="54">+AD153/SUM($V153:$AD153)</f>
        <v>8.5434061990955379E-2</v>
      </c>
      <c r="AP153" s="365"/>
      <c r="AQ153" s="972">
        <f>+[2]Base!CS151</f>
        <v>10481.767800000001</v>
      </c>
      <c r="AR153" s="968">
        <f>+[2]Base!CT151</f>
        <v>26739.920199999997</v>
      </c>
      <c r="AS153" s="968">
        <f>+[2]Base!CU151</f>
        <v>18470.3848</v>
      </c>
      <c r="AT153" s="968">
        <f>+[2]Base!CV151</f>
        <v>92632.842399999994</v>
      </c>
      <c r="AU153" s="969">
        <f>+[2]Base!CW151</f>
        <v>27424.658800000001</v>
      </c>
      <c r="AV153" s="365"/>
      <c r="AW153" s="976">
        <f t="shared" si="44"/>
        <v>5.9640359640359651E-2</v>
      </c>
      <c r="AX153" s="977">
        <f t="shared" si="44"/>
        <v>0.15214785214785215</v>
      </c>
      <c r="AY153" s="977">
        <f t="shared" si="44"/>
        <v>0.1050949050949051</v>
      </c>
      <c r="AZ153" s="977">
        <f t="shared" si="44"/>
        <v>0.52707292707292708</v>
      </c>
      <c r="BA153" s="978">
        <f t="shared" si="44"/>
        <v>0.15604395604395604</v>
      </c>
      <c r="BB153" s="365"/>
      <c r="BC153" s="976">
        <f t="shared" si="45"/>
        <v>0.19630981323435676</v>
      </c>
      <c r="BD153" s="978">
        <f t="shared" si="46"/>
        <v>0.10769817854579836</v>
      </c>
      <c r="BG153" t="s">
        <v>1785</v>
      </c>
      <c r="BH153" t="s">
        <v>1828</v>
      </c>
    </row>
    <row r="154" spans="1:60" ht="12.75" customHeight="1" outlineLevel="1" x14ac:dyDescent="0.2">
      <c r="A154" s="570">
        <v>44348</v>
      </c>
      <c r="B154" s="708">
        <f>IF([1]RENAME!$H$3=0,A154,TEXT(A154,"[$-em-US] mmm-aa;@"))</f>
        <v>44348</v>
      </c>
      <c r="C154" s="365" t="str">
        <f>IF([1]RENAME!$H$3=0,BG154,BH154)</f>
        <v>2T21</v>
      </c>
      <c r="D154" s="366">
        <v>44348</v>
      </c>
      <c r="E154" s="967">
        <f>[2]Base!P152</f>
        <v>201054</v>
      </c>
      <c r="F154" s="968">
        <f>[2]Base!Q152</f>
        <v>169651</v>
      </c>
      <c r="G154" s="969">
        <f>[2]Base!R152</f>
        <v>31403</v>
      </c>
      <c r="H154" s="365"/>
      <c r="I154" s="967">
        <f>[2]Base!T152</f>
        <v>93</v>
      </c>
      <c r="J154" s="970">
        <f>[2]Base!U152</f>
        <v>71.3</v>
      </c>
      <c r="K154" s="971">
        <f>[2]Base!V152</f>
        <v>21.7</v>
      </c>
      <c r="L154" s="365"/>
      <c r="M154" s="972">
        <f>+[2]Base!X152</f>
        <v>151286</v>
      </c>
      <c r="N154" s="969">
        <f>+[2]Base!Y152</f>
        <v>23769</v>
      </c>
      <c r="O154" s="365"/>
      <c r="P154" s="972">
        <f>[2]Base!AB152</f>
        <v>75409.869500000001</v>
      </c>
      <c r="Q154" s="969">
        <f>[2]Base!AC152</f>
        <v>94241.130499999999</v>
      </c>
      <c r="R154" s="365"/>
      <c r="S154" s="972">
        <f>[2]Base!AE152</f>
        <v>993199</v>
      </c>
      <c r="T154" s="971">
        <f>[2]Base!AF152</f>
        <v>5.8543657272871954</v>
      </c>
      <c r="U154" s="365"/>
      <c r="V154" s="972">
        <f>[2]Base!AR152</f>
        <v>11640</v>
      </c>
      <c r="W154" s="968">
        <f>[2]Base!AS152</f>
        <v>22698</v>
      </c>
      <c r="X154" s="968">
        <f>[2]Base!AT152</f>
        <v>58118</v>
      </c>
      <c r="Y154" s="968">
        <f>[2]Base!AU152</f>
        <v>16488</v>
      </c>
      <c r="Z154" s="968">
        <f>[2]Base!AV152</f>
        <v>18216</v>
      </c>
      <c r="AA154" s="968">
        <f>[2]Base!AW152</f>
        <v>19655</v>
      </c>
      <c r="AB154" s="968">
        <f>[2]Base!AX152</f>
        <v>6461</v>
      </c>
      <c r="AC154" s="968" t="s">
        <v>160</v>
      </c>
      <c r="AD154" s="969">
        <f>[2]Base!AZ152</f>
        <v>16375</v>
      </c>
      <c r="AE154" s="365"/>
      <c r="AF154" s="366">
        <f t="shared" si="39"/>
        <v>44348</v>
      </c>
      <c r="AG154" s="973">
        <f t="shared" si="47"/>
        <v>6.8611443492817614E-2</v>
      </c>
      <c r="AH154" s="974">
        <f t="shared" si="48"/>
        <v>0.13379231481099432</v>
      </c>
      <c r="AI154" s="974">
        <f t="shared" si="49"/>
        <v>0.34257387224360597</v>
      </c>
      <c r="AJ154" s="974">
        <f t="shared" si="50"/>
        <v>9.7187756040341647E-2</v>
      </c>
      <c r="AK154" s="974">
        <f t="shared" si="51"/>
        <v>0.10737337239391456</v>
      </c>
      <c r="AL154" s="974">
        <f t="shared" si="52"/>
        <v>0.11585549156798368</v>
      </c>
      <c r="AM154" s="974">
        <f t="shared" si="53"/>
        <v>3.8084066701640426E-2</v>
      </c>
      <c r="AN154" s="974" t="s">
        <v>160</v>
      </c>
      <c r="AO154" s="975">
        <f t="shared" si="54"/>
        <v>9.6521682748701751E-2</v>
      </c>
      <c r="AP154" s="365"/>
      <c r="AQ154" s="972">
        <f>+[2]Base!CS152</f>
        <v>10229.9553</v>
      </c>
      <c r="AR154" s="968">
        <f>+[2]Base!CT152</f>
        <v>25142.278200000001</v>
      </c>
      <c r="AS154" s="968">
        <f>+[2]Base!CU152</f>
        <v>18729.470399999998</v>
      </c>
      <c r="AT154" s="968">
        <f>+[2]Base!CV152</f>
        <v>89456.972299999994</v>
      </c>
      <c r="AU154" s="969">
        <f>+[2]Base!CW152</f>
        <v>26075.358700000001</v>
      </c>
      <c r="AV154" s="365"/>
      <c r="AW154" s="976">
        <f t="shared" ref="AW154:BA155" si="55">+AQ154/SUM($AQ154:$AU154)</f>
        <v>6.0306030603060307E-2</v>
      </c>
      <c r="AX154" s="977">
        <f t="shared" si="55"/>
        <v>0.14821482148214821</v>
      </c>
      <c r="AY154" s="977">
        <f t="shared" si="55"/>
        <v>0.1104110411041104</v>
      </c>
      <c r="AZ154" s="977">
        <f t="shared" si="55"/>
        <v>0.52735273527352733</v>
      </c>
      <c r="BA154" s="978">
        <f t="shared" si="55"/>
        <v>0.15371537153715373</v>
      </c>
      <c r="BB154" s="365"/>
      <c r="BC154" s="976">
        <f t="shared" si="45"/>
        <v>0.20757373451608213</v>
      </c>
      <c r="BD154" s="978">
        <f t="shared" si="46"/>
        <v>0.14010527494680255</v>
      </c>
      <c r="BG154" t="s">
        <v>1785</v>
      </c>
      <c r="BH154" t="s">
        <v>1828</v>
      </c>
    </row>
    <row r="155" spans="1:60" ht="12.75" customHeight="1" outlineLevel="1" x14ac:dyDescent="0.2">
      <c r="A155" s="570">
        <v>44378</v>
      </c>
      <c r="B155" s="708">
        <f>IF([1]RENAME!$H$3=0,A155,TEXT(A155,"[$-em-US] mmm-aa;@"))</f>
        <v>44378</v>
      </c>
      <c r="C155" s="365" t="str">
        <f>IF([1]RENAME!$H$3=0,BG155,BH155)</f>
        <v>3T21</v>
      </c>
      <c r="D155" s="366">
        <v>44378</v>
      </c>
      <c r="E155" s="967">
        <f>[2]Base!P153</f>
        <v>183757</v>
      </c>
      <c r="F155" s="968">
        <f>[2]Base!Q153</f>
        <v>162206</v>
      </c>
      <c r="G155" s="969">
        <f>[2]Base!R153</f>
        <v>21551</v>
      </c>
      <c r="H155" s="365"/>
      <c r="I155" s="967">
        <f>[2]Base!T153</f>
        <v>85.1</v>
      </c>
      <c r="J155" s="970">
        <f>[2]Base!U153</f>
        <v>57.3</v>
      </c>
      <c r="K155" s="971">
        <f>[2]Base!V153</f>
        <v>27.8</v>
      </c>
      <c r="L155" s="365"/>
      <c r="M155" s="972">
        <f>+[2]Base!X153</f>
        <v>147822</v>
      </c>
      <c r="N155" s="969">
        <f>+[2]Base!Y153</f>
        <v>23604</v>
      </c>
      <c r="O155" s="365"/>
      <c r="P155" s="972">
        <f>[2]Base!AB153</f>
        <v>64428.2232</v>
      </c>
      <c r="Q155" s="969">
        <f>[2]Base!AC153</f>
        <v>97777.776799999992</v>
      </c>
      <c r="R155" s="365"/>
      <c r="S155" s="972">
        <f>[2]Base!AE153</f>
        <v>1061013</v>
      </c>
      <c r="T155" s="971">
        <f>[2]Base!AF153</f>
        <v>6.541145210411452</v>
      </c>
      <c r="U155" s="365"/>
      <c r="V155" s="972">
        <f>[2]Base!AR153</f>
        <v>9395</v>
      </c>
      <c r="W155" s="968">
        <f>[2]Base!AS153</f>
        <v>17686</v>
      </c>
      <c r="X155" s="968">
        <f>[2]Base!AT153</f>
        <v>57301</v>
      </c>
      <c r="Y155" s="968">
        <f>[2]Base!AU153</f>
        <v>18646</v>
      </c>
      <c r="Z155" s="968">
        <f>[2]Base!AV153</f>
        <v>17917</v>
      </c>
      <c r="AA155" s="968">
        <f>[2]Base!AW153</f>
        <v>18903</v>
      </c>
      <c r="AB155" s="968">
        <f>[2]Base!AX153</f>
        <v>6011</v>
      </c>
      <c r="AC155" s="968" t="s">
        <v>160</v>
      </c>
      <c r="AD155" s="969">
        <f>[2]Base!AZ153</f>
        <v>16347</v>
      </c>
      <c r="AE155" s="365"/>
      <c r="AF155" s="366">
        <f t="shared" si="39"/>
        <v>44378</v>
      </c>
      <c r="AG155" s="973">
        <f t="shared" si="47"/>
        <v>5.7920175579201753E-2</v>
      </c>
      <c r="AH155" s="974">
        <f t="shared" si="48"/>
        <v>0.10903419109034192</v>
      </c>
      <c r="AI155" s="974">
        <f t="shared" si="49"/>
        <v>0.35326066853260668</v>
      </c>
      <c r="AJ155" s="974">
        <f t="shared" si="50"/>
        <v>0.11495259114952591</v>
      </c>
      <c r="AK155" s="974">
        <f t="shared" si="51"/>
        <v>0.11045830610458306</v>
      </c>
      <c r="AL155" s="974">
        <f t="shared" si="52"/>
        <v>0.11653699616536996</v>
      </c>
      <c r="AM155" s="974">
        <f t="shared" si="53"/>
        <v>3.7057815370578152E-2</v>
      </c>
      <c r="AN155" s="974" t="s">
        <v>160</v>
      </c>
      <c r="AO155" s="975">
        <f t="shared" si="54"/>
        <v>0.10077925600779256</v>
      </c>
      <c r="AP155" s="365"/>
      <c r="AQ155" s="972">
        <f>+[2]Base!CS153</f>
        <v>10364.963400000001</v>
      </c>
      <c r="AR155" s="968">
        <f>+[2]Base!CT153</f>
        <v>25466.342000000001</v>
      </c>
      <c r="AS155" s="968">
        <f>+[2]Base!CU153</f>
        <v>18669.910599999999</v>
      </c>
      <c r="AT155" s="968">
        <f>+[2]Base!CV153</f>
        <v>80794.808600000004</v>
      </c>
      <c r="AU155" s="969">
        <f>+[2]Base!CW153</f>
        <v>26909.975399999999</v>
      </c>
      <c r="AV155" s="365"/>
      <c r="AW155" s="976">
        <f t="shared" si="55"/>
        <v>6.3899999999999998E-2</v>
      </c>
      <c r="AX155" s="977">
        <f t="shared" si="55"/>
        <v>0.157</v>
      </c>
      <c r="AY155" s="977">
        <f t="shared" si="55"/>
        <v>0.11509999999999999</v>
      </c>
      <c r="AZ155" s="977">
        <f t="shared" si="55"/>
        <v>0.49810000000000004</v>
      </c>
      <c r="BA155" s="978">
        <f t="shared" si="55"/>
        <v>0.16589999999999999</v>
      </c>
      <c r="BB155" s="365"/>
      <c r="BC155" s="976">
        <f t="shared" si="45"/>
        <v>0.14579020714102095</v>
      </c>
      <c r="BD155" s="978">
        <f t="shared" si="46"/>
        <v>0.1455186614551866</v>
      </c>
      <c r="BG155" t="s">
        <v>1786</v>
      </c>
      <c r="BH155" t="s">
        <v>1829</v>
      </c>
    </row>
    <row r="156" spans="1:60" ht="12.75" customHeight="1" outlineLevel="1" x14ac:dyDescent="0.2">
      <c r="A156" s="570">
        <v>44409</v>
      </c>
      <c r="B156" s="708">
        <f>IF([1]RENAME!$H$3=0,A156,TEXT(A156,"[$-em-US] mmm-aa;@"))</f>
        <v>44409</v>
      </c>
      <c r="C156" s="365" t="str">
        <f>IF([1]RENAME!$H$3=0,BG156,BH156)</f>
        <v>3T21</v>
      </c>
      <c r="D156" s="366">
        <v>44409</v>
      </c>
      <c r="E156" s="967">
        <f>[2]Base!P154</f>
        <v>185549</v>
      </c>
      <c r="F156" s="968">
        <f>[2]Base!Q154</f>
        <v>158557</v>
      </c>
      <c r="G156" s="969">
        <f>[2]Base!R154</f>
        <v>26992</v>
      </c>
      <c r="H156" s="365"/>
      <c r="I156" s="967">
        <f>[2]Base!T154</f>
        <v>76.400000000000006</v>
      </c>
      <c r="J156" s="970">
        <f>[2]Base!U154</f>
        <v>48.3</v>
      </c>
      <c r="K156" s="971">
        <f>[2]Base!V154</f>
        <v>28.1</v>
      </c>
      <c r="L156" s="365"/>
      <c r="M156" s="972">
        <f>+[2]Base!X154</f>
        <v>148857</v>
      </c>
      <c r="N156" s="969">
        <f>+[2]Base!Y154</f>
        <v>22641</v>
      </c>
      <c r="O156" s="365"/>
      <c r="P156" s="972">
        <f>[2]Base!AB154</f>
        <v>64881.524400000002</v>
      </c>
      <c r="Q156" s="969">
        <f>[2]Base!AC154</f>
        <v>93675.475600000005</v>
      </c>
      <c r="R156" s="365"/>
      <c r="S156" s="972">
        <f>[2]Base!AE154</f>
        <v>1074324</v>
      </c>
      <c r="T156" s="971">
        <f>[2]Base!AF154</f>
        <v>6.7756327377536154</v>
      </c>
      <c r="U156" s="365"/>
      <c r="V156" s="972">
        <f>[2]Base!AR154</f>
        <v>8953</v>
      </c>
      <c r="W156" s="968">
        <f>[2]Base!AS154</f>
        <v>23280</v>
      </c>
      <c r="X156" s="968">
        <f>[2]Base!AT154</f>
        <v>52640</v>
      </c>
      <c r="Y156" s="968">
        <f>[2]Base!AU154</f>
        <v>17476</v>
      </c>
      <c r="Z156" s="968">
        <f>[2]Base!AV154</f>
        <v>13303</v>
      </c>
      <c r="AA156" s="968">
        <f>[2]Base!AW154</f>
        <v>19257</v>
      </c>
      <c r="AB156" s="968">
        <f>[2]Base!AX154</f>
        <v>8074</v>
      </c>
      <c r="AC156" s="968" t="s">
        <v>160</v>
      </c>
      <c r="AD156" s="969">
        <f>[2]Base!AZ154</f>
        <v>15574</v>
      </c>
      <c r="AE156" s="365"/>
      <c r="AF156" s="366">
        <f t="shared" si="39"/>
        <v>44409</v>
      </c>
      <c r="AG156" s="973">
        <f t="shared" si="47"/>
        <v>5.6465498211999469E-2</v>
      </c>
      <c r="AH156" s="974">
        <f t="shared" si="48"/>
        <v>0.14682417048758489</v>
      </c>
      <c r="AI156" s="974">
        <f t="shared" si="49"/>
        <v>0.33199417244271778</v>
      </c>
      <c r="AJ156" s="974">
        <f t="shared" si="50"/>
        <v>0.11021903794849802</v>
      </c>
      <c r="AK156" s="974">
        <f t="shared" si="51"/>
        <v>8.3900426975787881E-2</v>
      </c>
      <c r="AL156" s="974">
        <f t="shared" si="52"/>
        <v>0.12145159154121231</v>
      </c>
      <c r="AM156" s="974">
        <f t="shared" si="53"/>
        <v>5.0921750537661535E-2</v>
      </c>
      <c r="AN156" s="974" t="s">
        <v>160</v>
      </c>
      <c r="AO156" s="975">
        <f t="shared" si="54"/>
        <v>9.8223351854538121E-2</v>
      </c>
      <c r="AP156" s="365"/>
      <c r="AQ156" s="972">
        <f>+[2]Base!CS154</f>
        <v>9497.5643</v>
      </c>
      <c r="AR156" s="968">
        <f>+[2]Base!CT154</f>
        <v>23212.7448</v>
      </c>
      <c r="AS156" s="968">
        <f>+[2]Base!CU154</f>
        <v>18630.447499999998</v>
      </c>
      <c r="AT156" s="968">
        <f>+[2]Base!CV154</f>
        <v>80800.647200000007</v>
      </c>
      <c r="AU156" s="969">
        <f>+[2]Base!CW154</f>
        <v>26431.451899999996</v>
      </c>
      <c r="AV156" s="365"/>
      <c r="AW156" s="976">
        <f t="shared" ref="AW156:BA160" si="56">+AQ156/SUM($AQ156:$AU156)</f>
        <v>5.989401059894011E-2</v>
      </c>
      <c r="AX156" s="977">
        <f t="shared" si="56"/>
        <v>0.14638536146385364</v>
      </c>
      <c r="AY156" s="977">
        <f t="shared" si="56"/>
        <v>0.11748825117488251</v>
      </c>
      <c r="AZ156" s="977">
        <f t="shared" si="56"/>
        <v>0.50954904509549059</v>
      </c>
      <c r="BA156" s="978">
        <f t="shared" si="56"/>
        <v>0.1666833316668333</v>
      </c>
      <c r="BB156" s="365"/>
      <c r="BC156" s="976">
        <f t="shared" si="45"/>
        <v>0.18132838899077638</v>
      </c>
      <c r="BD156" s="978">
        <f t="shared" si="46"/>
        <v>0.14279407405538702</v>
      </c>
      <c r="BG156" t="s">
        <v>1786</v>
      </c>
      <c r="BH156" t="s">
        <v>1829</v>
      </c>
    </row>
    <row r="157" spans="1:60" ht="12.75" customHeight="1" outlineLevel="1" x14ac:dyDescent="0.2">
      <c r="A157" s="570">
        <v>44440</v>
      </c>
      <c r="B157" s="708">
        <f>IF([1]RENAME!$H$3=0,A157,TEXT(A157,"[$-em-US] mmm-aa;@"))</f>
        <v>44440</v>
      </c>
      <c r="C157" s="365" t="str">
        <f>IF([1]RENAME!$H$3=0,BG157,BH157)</f>
        <v>3T21</v>
      </c>
      <c r="D157" s="366">
        <v>44440</v>
      </c>
      <c r="E157" s="967">
        <f>[2]Base!P155</f>
        <v>164011</v>
      </c>
      <c r="F157" s="968">
        <f>[2]Base!Q155</f>
        <v>142595</v>
      </c>
      <c r="G157" s="969">
        <f>[2]Base!R155</f>
        <v>21416</v>
      </c>
      <c r="H157" s="365"/>
      <c r="I157" s="967">
        <f>[2]Base!T155</f>
        <v>85.9</v>
      </c>
      <c r="J157" s="970">
        <f>[2]Base!U155</f>
        <v>52.4</v>
      </c>
      <c r="K157" s="971">
        <f>[2]Base!V155</f>
        <v>33.5</v>
      </c>
      <c r="L157" s="365"/>
      <c r="M157" s="972">
        <f>+[2]Base!X155</f>
        <v>159073</v>
      </c>
      <c r="N157" s="969">
        <f>+[2]Base!Y155</f>
        <v>21436</v>
      </c>
      <c r="O157" s="365"/>
      <c r="P157" s="972">
        <f>[2]Base!AB155</f>
        <v>54599.625500000002</v>
      </c>
      <c r="Q157" s="969">
        <f>[2]Base!AC155</f>
        <v>87995.374500000005</v>
      </c>
      <c r="R157" s="365"/>
      <c r="S157" s="972">
        <f>[2]Base!AE155</f>
        <v>980910</v>
      </c>
      <c r="T157" s="971">
        <f>[2]Base!AF155</f>
        <v>6.8789929520670432</v>
      </c>
      <c r="U157" s="365"/>
      <c r="V157" s="972">
        <f>[2]Base!AR155</f>
        <v>17984</v>
      </c>
      <c r="W157" s="968">
        <f>[2]Base!AS155</f>
        <v>20681</v>
      </c>
      <c r="X157" s="968">
        <f>[2]Base!AT155</f>
        <v>40499</v>
      </c>
      <c r="Y157" s="968">
        <f>[2]Base!AU155</f>
        <v>12643</v>
      </c>
      <c r="Z157" s="968">
        <f>[2]Base!AV155</f>
        <v>10536</v>
      </c>
      <c r="AA157" s="968">
        <f>[2]Base!AW155</f>
        <v>18575</v>
      </c>
      <c r="AB157" s="968">
        <f>[2]Base!AX155</f>
        <v>7684</v>
      </c>
      <c r="AC157" s="968" t="s">
        <v>160</v>
      </c>
      <c r="AD157" s="969">
        <f>[2]Base!AZ155</f>
        <v>13993</v>
      </c>
      <c r="AE157" s="365"/>
      <c r="AF157" s="366">
        <f t="shared" si="39"/>
        <v>44440</v>
      </c>
      <c r="AG157" s="973">
        <f t="shared" si="47"/>
        <v>0.12611942915249483</v>
      </c>
      <c r="AH157" s="974">
        <f t="shared" si="48"/>
        <v>0.14503313580420071</v>
      </c>
      <c r="AI157" s="974">
        <f t="shared" si="49"/>
        <v>0.28401416599460011</v>
      </c>
      <c r="AJ157" s="974">
        <f t="shared" si="50"/>
        <v>8.8663697885620119E-2</v>
      </c>
      <c r="AK157" s="974">
        <f t="shared" si="51"/>
        <v>7.3887583716119073E-2</v>
      </c>
      <c r="AL157" s="974">
        <f t="shared" si="52"/>
        <v>0.13026403450331359</v>
      </c>
      <c r="AM157" s="974">
        <f t="shared" si="53"/>
        <v>5.3886882429257689E-2</v>
      </c>
      <c r="AN157" s="974" t="s">
        <v>160</v>
      </c>
      <c r="AO157" s="975">
        <f t="shared" si="54"/>
        <v>9.8131070514393917E-2</v>
      </c>
      <c r="AP157" s="365"/>
      <c r="AQ157" s="972">
        <f>+[2]Base!CS155</f>
        <v>9539.6054999999997</v>
      </c>
      <c r="AR157" s="968">
        <f>+[2]Base!CT155</f>
        <v>22145.003499999999</v>
      </c>
      <c r="AS157" s="968">
        <f>+[2]Base!CU155</f>
        <v>16555.279500000001</v>
      </c>
      <c r="AT157" s="968">
        <f>+[2]Base!CV155</f>
        <v>69130.055999999997</v>
      </c>
      <c r="AU157" s="969">
        <f>+[2]Base!CW155</f>
        <v>25225.055499999999</v>
      </c>
      <c r="AV157" s="365"/>
      <c r="AW157" s="976">
        <f t="shared" si="56"/>
        <v>6.6900000000000001E-2</v>
      </c>
      <c r="AX157" s="977">
        <f t="shared" si="56"/>
        <v>0.15529999999999999</v>
      </c>
      <c r="AY157" s="977">
        <f t="shared" si="56"/>
        <v>0.11610000000000001</v>
      </c>
      <c r="AZ157" s="977">
        <f t="shared" si="56"/>
        <v>0.48479999999999995</v>
      </c>
      <c r="BA157" s="978">
        <f t="shared" si="56"/>
        <v>0.1769</v>
      </c>
      <c r="BB157" s="365"/>
      <c r="BC157" s="976">
        <f t="shared" si="45"/>
        <v>0.13463001263570815</v>
      </c>
      <c r="BD157" s="978">
        <f t="shared" si="46"/>
        <v>0.15032785160770012</v>
      </c>
      <c r="BG157" t="s">
        <v>1786</v>
      </c>
      <c r="BH157" t="s">
        <v>1829</v>
      </c>
    </row>
    <row r="158" spans="1:60" ht="12.75" customHeight="1" outlineLevel="1" x14ac:dyDescent="0.2">
      <c r="A158" s="570">
        <v>44470</v>
      </c>
      <c r="B158" s="708">
        <f>IF([1]RENAME!$H$3=0,A158,TEXT(A158,"[$-em-US] mmm-aa;@"))</f>
        <v>44470</v>
      </c>
      <c r="C158" s="365" t="str">
        <f>IF([1]RENAME!$H$3=0,BG158,BH158)</f>
        <v>4T21</v>
      </c>
      <c r="D158" s="366">
        <v>44470</v>
      </c>
      <c r="E158" s="967">
        <f>[2]Base!P156</f>
        <v>177584</v>
      </c>
      <c r="F158" s="968">
        <f>[2]Base!Q156</f>
        <v>150397</v>
      </c>
      <c r="G158" s="969">
        <f>[2]Base!R156</f>
        <v>27187</v>
      </c>
      <c r="H158" s="365"/>
      <c r="I158" s="967">
        <f>[2]Base!T156</f>
        <v>93.5</v>
      </c>
      <c r="J158" s="970">
        <f>[2]Base!U156</f>
        <v>59.7</v>
      </c>
      <c r="K158" s="971">
        <f>[2]Base!V156</f>
        <v>33.799999999999997</v>
      </c>
      <c r="L158" s="365"/>
      <c r="M158" s="972">
        <f>+[2]Base!X156</f>
        <v>163928</v>
      </c>
      <c r="N158" s="969">
        <f>+[2]Base!Y156</f>
        <v>21670</v>
      </c>
      <c r="O158" s="365"/>
      <c r="P158" s="972">
        <f>[2]Base!AB156</f>
        <v>64896.305500000002</v>
      </c>
      <c r="Q158" s="969">
        <f>[2]Base!AC156</f>
        <v>85500.694499999998</v>
      </c>
      <c r="R158" s="365"/>
      <c r="S158" s="972">
        <f>[2]Base!AE156</f>
        <v>902288</v>
      </c>
      <c r="T158" s="971">
        <f>[2]Base!AF156</f>
        <v>5.9993749875329963</v>
      </c>
      <c r="U158" s="365"/>
      <c r="V158" s="972">
        <f>[2]Base!AR156</f>
        <v>19095</v>
      </c>
      <c r="W158" s="968">
        <f>[2]Base!AS156</f>
        <v>25999</v>
      </c>
      <c r="X158" s="968">
        <f>[2]Base!AT156</f>
        <v>42665</v>
      </c>
      <c r="Y158" s="968">
        <f>[2]Base!AU156</f>
        <v>12727</v>
      </c>
      <c r="Z158" s="968">
        <f>[2]Base!AV156</f>
        <v>12048</v>
      </c>
      <c r="AA158" s="968">
        <f>[2]Base!AW156</f>
        <v>18063</v>
      </c>
      <c r="AB158" s="968">
        <f>[2]Base!AX156</f>
        <v>6588</v>
      </c>
      <c r="AC158" s="968" t="s">
        <v>160</v>
      </c>
      <c r="AD158" s="969">
        <f>[2]Base!AZ156</f>
        <v>13212</v>
      </c>
      <c r="AE158" s="365"/>
      <c r="AF158" s="366">
        <f t="shared" si="39"/>
        <v>44470</v>
      </c>
      <c r="AG158" s="973">
        <f t="shared" si="47"/>
        <v>0.12696396869618409</v>
      </c>
      <c r="AH158" s="974">
        <f t="shared" si="48"/>
        <v>0.17286913967698825</v>
      </c>
      <c r="AI158" s="974">
        <f t="shared" si="49"/>
        <v>0.28368252026303714</v>
      </c>
      <c r="AJ158" s="974">
        <f t="shared" si="50"/>
        <v>8.462269859106232E-2</v>
      </c>
      <c r="AK158" s="974">
        <f t="shared" si="51"/>
        <v>8.0107980877278134E-2</v>
      </c>
      <c r="AL158" s="974">
        <f t="shared" si="52"/>
        <v>0.12010212969673598</v>
      </c>
      <c r="AM158" s="974">
        <f t="shared" si="53"/>
        <v>4.3804065240663048E-2</v>
      </c>
      <c r="AN158" s="974" t="s">
        <v>160</v>
      </c>
      <c r="AO158" s="975">
        <f t="shared" si="54"/>
        <v>8.7847496958051025E-2</v>
      </c>
      <c r="AP158" s="365"/>
      <c r="AQ158" s="972">
        <f>+[2]Base!CS156</f>
        <v>8452.3114000000005</v>
      </c>
      <c r="AR158" s="968">
        <f>+[2]Base!CT156</f>
        <v>20559.269899999999</v>
      </c>
      <c r="AS158" s="968">
        <f>+[2]Base!CU156</f>
        <v>15701.446800000002</v>
      </c>
      <c r="AT158" s="968">
        <f>+[2]Base!CV156</f>
        <v>78507.233999999997</v>
      </c>
      <c r="AU158" s="969">
        <f>+[2]Base!CW156</f>
        <v>27176.7379</v>
      </c>
      <c r="AV158" s="365"/>
      <c r="AW158" s="976">
        <f t="shared" si="56"/>
        <v>5.62E-2</v>
      </c>
      <c r="AX158" s="977">
        <f t="shared" si="56"/>
        <v>0.13669999999999999</v>
      </c>
      <c r="AY158" s="977">
        <f t="shared" si="56"/>
        <v>0.10440000000000001</v>
      </c>
      <c r="AZ158" s="977">
        <f t="shared" si="56"/>
        <v>0.52200000000000002</v>
      </c>
      <c r="BA158" s="978">
        <f t="shared" si="56"/>
        <v>0.1807</v>
      </c>
      <c r="BB158" s="365"/>
      <c r="BC158" s="976">
        <f t="shared" si="45"/>
        <v>0.16584720121028745</v>
      </c>
      <c r="BD158" s="978">
        <f t="shared" si="46"/>
        <v>0.14408532085081485</v>
      </c>
      <c r="BG158" t="s">
        <v>1826</v>
      </c>
      <c r="BH158" t="s">
        <v>1830</v>
      </c>
    </row>
    <row r="159" spans="1:60" ht="12.75" customHeight="1" outlineLevel="1" x14ac:dyDescent="0.2">
      <c r="A159" s="570">
        <v>44501</v>
      </c>
      <c r="B159" s="708">
        <f>IF([1]RENAME!$H$3=0,A159,TEXT(A159,"[$-em-US] mmm-aa;@"))</f>
        <v>44501</v>
      </c>
      <c r="C159" s="365" t="str">
        <f>IF([1]RENAME!$H$3=0,BG159,BH159)</f>
        <v>4T21</v>
      </c>
      <c r="D159" s="366">
        <v>44501</v>
      </c>
      <c r="E159" s="967">
        <f>[2]Base!P157</f>
        <v>187182</v>
      </c>
      <c r="F159" s="968">
        <f>[2]Base!Q157</f>
        <v>161449</v>
      </c>
      <c r="G159" s="969">
        <f>[2]Base!R157</f>
        <v>25733</v>
      </c>
      <c r="H159" s="365"/>
      <c r="I159" s="967">
        <f>[2]Base!T157</f>
        <v>103.8</v>
      </c>
      <c r="J159" s="970">
        <f>[2]Base!U157</f>
        <v>71.599999999999994</v>
      </c>
      <c r="K159" s="971">
        <f>[2]Base!V157</f>
        <v>32.200000000000003</v>
      </c>
      <c r="L159" s="365"/>
      <c r="M159" s="972">
        <f>+[2]Base!X157</f>
        <v>189757</v>
      </c>
      <c r="N159" s="969">
        <f>+[2]Base!Y157</f>
        <v>24355</v>
      </c>
      <c r="O159" s="365"/>
      <c r="P159" s="972">
        <f>[2]Base!AB157</f>
        <v>75364.393200000006</v>
      </c>
      <c r="Q159" s="969">
        <f>[2]Base!AC157</f>
        <v>86084.606799999994</v>
      </c>
      <c r="R159" s="365"/>
      <c r="S159" s="972">
        <f>[2]Base!AE157</f>
        <v>863464</v>
      </c>
      <c r="T159" s="971">
        <f>[2]Base!AF157</f>
        <v>5.3482152258607982</v>
      </c>
      <c r="U159" s="365"/>
      <c r="V159" s="972">
        <f>[2]Base!AR157</f>
        <v>28435</v>
      </c>
      <c r="W159" s="968">
        <f>[2]Base!AS157</f>
        <v>21690</v>
      </c>
      <c r="X159" s="968">
        <f>[2]Base!AT157</f>
        <v>41356</v>
      </c>
      <c r="Y159" s="968">
        <f>[2]Base!AU157</f>
        <v>14322</v>
      </c>
      <c r="Z159" s="968">
        <f>[2]Base!AV157</f>
        <v>16593</v>
      </c>
      <c r="AA159" s="968">
        <f>[2]Base!AW157</f>
        <v>17748</v>
      </c>
      <c r="AB159" s="968">
        <f>[2]Base!AX157</f>
        <v>5807</v>
      </c>
      <c r="AC159" s="968" t="s">
        <v>160</v>
      </c>
      <c r="AD159" s="969">
        <f>[2]Base!AZ157</f>
        <v>15498</v>
      </c>
      <c r="AE159" s="365"/>
      <c r="AF159" s="366">
        <f t="shared" si="39"/>
        <v>44501</v>
      </c>
      <c r="AG159" s="973">
        <f t="shared" si="47"/>
        <v>0.17612372947494256</v>
      </c>
      <c r="AH159" s="974">
        <f t="shared" si="48"/>
        <v>0.13434583057188337</v>
      </c>
      <c r="AI159" s="974">
        <f t="shared" si="49"/>
        <v>0.25615519451963159</v>
      </c>
      <c r="AJ159" s="974">
        <f t="shared" si="50"/>
        <v>8.8709127959913037E-2</v>
      </c>
      <c r="AK159" s="974">
        <f t="shared" si="51"/>
        <v>0.10277548947345601</v>
      </c>
      <c r="AL159" s="974">
        <f t="shared" si="52"/>
        <v>0.10992945140570706</v>
      </c>
      <c r="AM159" s="974">
        <f t="shared" si="53"/>
        <v>3.5968014667170436E-2</v>
      </c>
      <c r="AN159" s="974" t="s">
        <v>160</v>
      </c>
      <c r="AO159" s="975">
        <f t="shared" si="54"/>
        <v>9.5993161927295928E-2</v>
      </c>
      <c r="AP159" s="365"/>
      <c r="AQ159" s="972">
        <f>+[2]Base!CS157</f>
        <v>9541.6358999999993</v>
      </c>
      <c r="AR159" s="968">
        <f>+[2]Base!CT157</f>
        <v>22941.902900000001</v>
      </c>
      <c r="AS159" s="968">
        <f>+[2]Base!CU157</f>
        <v>16112.610199999999</v>
      </c>
      <c r="AT159" s="968">
        <f>+[2]Base!CV157</f>
        <v>84986.753599999996</v>
      </c>
      <c r="AU159" s="969">
        <f>+[2]Base!CW157</f>
        <v>27849.952499999999</v>
      </c>
      <c r="AV159" s="365"/>
      <c r="AW159" s="976">
        <f t="shared" si="56"/>
        <v>5.9105910591059109E-2</v>
      </c>
      <c r="AX159" s="977">
        <f t="shared" si="56"/>
        <v>0.14211421142114214</v>
      </c>
      <c r="AY159" s="977">
        <f t="shared" si="56"/>
        <v>9.9809980998099818E-2</v>
      </c>
      <c r="AZ159" s="977">
        <f t="shared" si="56"/>
        <v>0.52645264526452651</v>
      </c>
      <c r="BA159" s="978">
        <f t="shared" si="56"/>
        <v>0.17251725172517252</v>
      </c>
      <c r="BB159" s="365"/>
      <c r="BC159" s="976">
        <f t="shared" si="45"/>
        <v>0.13561028051666077</v>
      </c>
      <c r="BD159" s="978">
        <f t="shared" si="46"/>
        <v>0.15085259122075703</v>
      </c>
      <c r="BG159" t="s">
        <v>1826</v>
      </c>
      <c r="BH159" t="s">
        <v>1830</v>
      </c>
    </row>
    <row r="160" spans="1:60" ht="12.75" customHeight="1" outlineLevel="1" x14ac:dyDescent="0.2">
      <c r="A160" s="570">
        <v>44531</v>
      </c>
      <c r="B160" s="708">
        <f>IF([1]RENAME!$H$3=0,A160,TEXT(A160,"[$-em-US] mmm-aa;@"))</f>
        <v>44531</v>
      </c>
      <c r="C160" s="365" t="str">
        <f>IF([1]RENAME!$H$3=0,BG160,BH160)</f>
        <v>4T21</v>
      </c>
      <c r="D160" s="366">
        <v>44531</v>
      </c>
      <c r="E160" s="967">
        <f>[2]Base!P158</f>
        <v>233048</v>
      </c>
      <c r="F160" s="968">
        <f>[2]Base!Q158</f>
        <v>193990</v>
      </c>
      <c r="G160" s="969">
        <f>[2]Base!R158</f>
        <v>39058</v>
      </c>
      <c r="H160" s="365"/>
      <c r="I160" s="967">
        <f>[2]Base!T158</f>
        <v>114.3</v>
      </c>
      <c r="J160" s="970">
        <f>[2]Base!U158</f>
        <v>89.8</v>
      </c>
      <c r="K160" s="971">
        <f>[2]Base!V158</f>
        <v>24.5</v>
      </c>
      <c r="L160" s="365"/>
      <c r="M160" s="972">
        <f>+[2]Base!X158</f>
        <v>197101</v>
      </c>
      <c r="N160" s="969">
        <f>+[2]Base!Y158</f>
        <v>28876</v>
      </c>
      <c r="O160" s="365"/>
      <c r="P160" s="972">
        <f>[2]Base!AB158</f>
        <v>92028.856</v>
      </c>
      <c r="Q160" s="969">
        <f>[2]Base!AC158</f>
        <v>101961.144</v>
      </c>
      <c r="R160" s="365"/>
      <c r="S160" s="972">
        <f>[2]Base!AE158</f>
        <v>901849</v>
      </c>
      <c r="T160" s="971">
        <f>[2]Base!AF158</f>
        <v>4.6489458219495852</v>
      </c>
      <c r="U160" s="365"/>
      <c r="V160" s="972">
        <f>[2]Base!AR158</f>
        <v>33692</v>
      </c>
      <c r="W160" s="968">
        <f>[2]Base!AS158</f>
        <v>27657</v>
      </c>
      <c r="X160" s="968">
        <f>[2]Base!AT158</f>
        <v>48636</v>
      </c>
      <c r="Y160" s="968">
        <f>[2]Base!AU158</f>
        <v>18929</v>
      </c>
      <c r="Z160" s="968">
        <f>[2]Base!AV158</f>
        <v>19589</v>
      </c>
      <c r="AA160" s="968">
        <f>[2]Base!AW158</f>
        <v>20913</v>
      </c>
      <c r="AB160" s="968">
        <f>[2]Base!AX158</f>
        <v>7128</v>
      </c>
      <c r="AC160" s="968" t="s">
        <v>160</v>
      </c>
      <c r="AD160" s="969">
        <f>[2]Base!AZ158</f>
        <v>17446</v>
      </c>
      <c r="AE160" s="365"/>
      <c r="AF160" s="366">
        <f t="shared" si="39"/>
        <v>44531</v>
      </c>
      <c r="AG160" s="973">
        <f t="shared" si="47"/>
        <v>0.17367905562142377</v>
      </c>
      <c r="AH160" s="974">
        <f t="shared" si="48"/>
        <v>0.14256920459817515</v>
      </c>
      <c r="AI160" s="974">
        <f t="shared" si="49"/>
        <v>0.25071395432754268</v>
      </c>
      <c r="AJ160" s="974">
        <f t="shared" si="50"/>
        <v>9.7577194700757777E-2</v>
      </c>
      <c r="AK160" s="974">
        <f t="shared" si="51"/>
        <v>0.1009794319294809</v>
      </c>
      <c r="AL160" s="974">
        <f t="shared" si="52"/>
        <v>0.10780452600649518</v>
      </c>
      <c r="AM160" s="974">
        <f t="shared" si="53"/>
        <v>3.6744162070209807E-2</v>
      </c>
      <c r="AN160" s="974" t="s">
        <v>160</v>
      </c>
      <c r="AO160" s="975">
        <f t="shared" si="54"/>
        <v>8.9932470745914733E-2</v>
      </c>
      <c r="AP160" s="365"/>
      <c r="AQ160" s="972">
        <f>+[2]Base!CS158</f>
        <v>12298.966</v>
      </c>
      <c r="AR160" s="968">
        <f>+[2]Base!CT158</f>
        <v>28380.737000000001</v>
      </c>
      <c r="AS160" s="968">
        <f>+[2]Base!CU158</f>
        <v>20330.152000000002</v>
      </c>
      <c r="AT160" s="968">
        <f>+[2]Base!CV158</f>
        <v>96781.611000000004</v>
      </c>
      <c r="AU160" s="969">
        <f>+[2]Base!CW158</f>
        <v>36198.534</v>
      </c>
      <c r="AV160" s="365"/>
      <c r="AW160" s="976">
        <f t="shared" si="56"/>
        <v>6.3399999999999998E-2</v>
      </c>
      <c r="AX160" s="977">
        <f t="shared" si="56"/>
        <v>0.14630000000000001</v>
      </c>
      <c r="AY160" s="977">
        <f t="shared" si="56"/>
        <v>0.1048</v>
      </c>
      <c r="AZ160" s="977">
        <f t="shared" si="56"/>
        <v>0.49890000000000001</v>
      </c>
      <c r="BA160" s="978">
        <f t="shared" si="56"/>
        <v>0.18659999999999999</v>
      </c>
      <c r="BB160" s="365"/>
      <c r="BC160" s="976">
        <f t="shared" si="45"/>
        <v>0.19816236345832847</v>
      </c>
      <c r="BD160" s="978">
        <f t="shared" si="46"/>
        <v>0.14885303366152894</v>
      </c>
      <c r="BG160" t="s">
        <v>1826</v>
      </c>
      <c r="BH160" t="s">
        <v>1830</v>
      </c>
    </row>
    <row r="161" spans="1:60" ht="12.75" customHeight="1" outlineLevel="1" x14ac:dyDescent="0.2">
      <c r="A161" s="570">
        <v>44562</v>
      </c>
      <c r="B161" s="708">
        <f>IF([1]RENAME!$H$3=0,A161,TEXT(A161,"[$-em-US] mmm-aa;@"))</f>
        <v>44562</v>
      </c>
      <c r="C161" s="365" t="str">
        <f>IF([1]RENAME!$H$3=0,BG161,BH161)</f>
        <v>1T22</v>
      </c>
      <c r="D161" s="366">
        <v>44562</v>
      </c>
      <c r="E161" s="1024">
        <f>[2]Base!P159</f>
        <v>142956</v>
      </c>
      <c r="F161" s="1025">
        <f>[2]Base!Q159</f>
        <v>116774</v>
      </c>
      <c r="G161" s="1026">
        <f>[2]Base!R159</f>
        <v>26182</v>
      </c>
      <c r="H161" s="365"/>
      <c r="I161" s="1024">
        <f>[2]Base!T159</f>
        <v>114.4</v>
      </c>
      <c r="J161" s="1027">
        <f>[2]Base!U159</f>
        <v>82.5</v>
      </c>
      <c r="K161" s="1028">
        <f>[2]Base!V159</f>
        <v>31.9</v>
      </c>
      <c r="L161" s="365"/>
      <c r="M161" s="1029">
        <f>+[2]Base!X159</f>
        <v>134629</v>
      </c>
      <c r="N161" s="1026">
        <f>+[2]Base!Y159</f>
        <v>17665</v>
      </c>
      <c r="O161" s="365"/>
      <c r="P161" s="1029">
        <f>[2]Base!AB159</f>
        <v>50002.626800000005</v>
      </c>
      <c r="Q161" s="1026">
        <f>[2]Base!AC159</f>
        <v>66771.373200000002</v>
      </c>
      <c r="R161" s="365"/>
      <c r="S161" s="1029">
        <f>[2]Base!AE159</f>
        <v>614041</v>
      </c>
      <c r="T161" s="1028">
        <f>[2]Base!AF159</f>
        <v>5.2583708702279619</v>
      </c>
      <c r="U161" s="365"/>
      <c r="V161" s="1029">
        <f>[2]Base!AR159</f>
        <v>13104</v>
      </c>
      <c r="W161" s="1025">
        <f>[2]Base!AS159</f>
        <v>13083</v>
      </c>
      <c r="X161" s="1025">
        <f>[2]Base!AT159</f>
        <v>34660</v>
      </c>
      <c r="Y161" s="1025">
        <f>[2]Base!AU159</f>
        <v>10023</v>
      </c>
      <c r="Z161" s="1025">
        <f>[2]Base!AV159</f>
        <v>11993</v>
      </c>
      <c r="AA161" s="1025">
        <f>[2]Base!AW159</f>
        <v>15788</v>
      </c>
      <c r="AB161" s="1025">
        <f>[2]Base!AX159</f>
        <v>4728</v>
      </c>
      <c r="AC161" s="1025" t="s">
        <v>160</v>
      </c>
      <c r="AD161" s="1026">
        <f>[2]Base!AZ159</f>
        <v>13395</v>
      </c>
      <c r="AE161" s="365"/>
      <c r="AF161" s="366">
        <f t="shared" si="39"/>
        <v>44562</v>
      </c>
      <c r="AG161" s="1030">
        <f t="shared" si="47"/>
        <v>0.11221676058026615</v>
      </c>
      <c r="AH161" s="1031">
        <f t="shared" si="48"/>
        <v>0.11203692602805419</v>
      </c>
      <c r="AI161" s="1031">
        <f t="shared" si="49"/>
        <v>0.29681264665079554</v>
      </c>
      <c r="AJ161" s="1031">
        <f t="shared" si="50"/>
        <v>8.5832462705739285E-2</v>
      </c>
      <c r="AK161" s="1031">
        <f t="shared" si="51"/>
        <v>0.10270265641324268</v>
      </c>
      <c r="AL161" s="1031">
        <f t="shared" si="52"/>
        <v>0.13520132906297636</v>
      </c>
      <c r="AM161" s="1031">
        <f t="shared" si="53"/>
        <v>4.0488464898008121E-2</v>
      </c>
      <c r="AN161" s="1031" t="s">
        <v>160</v>
      </c>
      <c r="AO161" s="1032">
        <f t="shared" si="54"/>
        <v>0.11470875366091766</v>
      </c>
      <c r="AP161" s="365"/>
      <c r="AQ161" s="1029">
        <f>+[2]Base!CS159</f>
        <v>7134.8914000000004</v>
      </c>
      <c r="AR161" s="1025">
        <f>+[2]Base!CT159</f>
        <v>18555.388600000002</v>
      </c>
      <c r="AS161" s="1025">
        <f>+[2]Base!CU159</f>
        <v>13020.300999999999</v>
      </c>
      <c r="AT161" s="1025">
        <f>+[2]Base!CV159</f>
        <v>58316.935600000004</v>
      </c>
      <c r="AU161" s="1026">
        <f>+[2]Base!CW159</f>
        <v>19734.806</v>
      </c>
      <c r="AV161" s="365"/>
      <c r="AW161" s="1033">
        <f t="shared" ref="AW161:BA162" si="57">+AQ161/SUM($AQ161:$AU161)</f>
        <v>6.110611061106111E-2</v>
      </c>
      <c r="AX161" s="1034">
        <f t="shared" si="57"/>
        <v>0.15891589158915895</v>
      </c>
      <c r="AY161" s="1034">
        <f t="shared" si="57"/>
        <v>0.11151115111511151</v>
      </c>
      <c r="AZ161" s="1034">
        <f t="shared" si="57"/>
        <v>0.49944994499449946</v>
      </c>
      <c r="BA161" s="1035">
        <f t="shared" si="57"/>
        <v>0.16901690169016903</v>
      </c>
      <c r="BB161" s="365"/>
      <c r="BC161" s="1033">
        <f t="shared" si="45"/>
        <v>0.19447518736676347</v>
      </c>
      <c r="BD161" s="1035">
        <f t="shared" si="46"/>
        <v>0.15127511261068388</v>
      </c>
      <c r="BG161" t="s">
        <v>1932</v>
      </c>
      <c r="BH161" t="s">
        <v>1931</v>
      </c>
    </row>
    <row r="162" spans="1:60" ht="12.75" customHeight="1" outlineLevel="1" x14ac:dyDescent="0.2">
      <c r="A162" s="570">
        <v>44593</v>
      </c>
      <c r="B162" s="708">
        <f>IF([1]RENAME!$H$3=0,A162,TEXT(A162,"[$-em-US] mmm-aa;@"))</f>
        <v>44593</v>
      </c>
      <c r="C162" s="365" t="str">
        <f>IF([1]RENAME!$H$3=0,BG162,BH162)</f>
        <v>1T22</v>
      </c>
      <c r="D162" s="366">
        <v>44593</v>
      </c>
      <c r="E162" s="1024">
        <f>[2]Base!P160</f>
        <v>163086</v>
      </c>
      <c r="F162" s="1025">
        <f>[2]Base!Q160</f>
        <v>123319</v>
      </c>
      <c r="G162" s="1026">
        <f>[2]Base!R160</f>
        <v>39767</v>
      </c>
      <c r="H162" s="365"/>
      <c r="I162" s="1024">
        <f>[2]Base!T160</f>
        <v>120.10000000000001</v>
      </c>
      <c r="J162" s="1027">
        <f>[2]Base!U160</f>
        <v>84.9</v>
      </c>
      <c r="K162" s="1028">
        <f>[2]Base!V160</f>
        <v>35.200000000000003</v>
      </c>
      <c r="L162" s="365"/>
      <c r="M162" s="1029">
        <f>+[2]Base!X160</f>
        <v>152590</v>
      </c>
      <c r="N162" s="1026">
        <f>+[2]Base!Y160</f>
        <v>14840</v>
      </c>
      <c r="O162" s="365"/>
      <c r="P162" s="1029">
        <f>[2]Base!AB160</f>
        <v>48365.711799999997</v>
      </c>
      <c r="Q162" s="1026">
        <f>[2]Base!AC160</f>
        <v>74953.28820000001</v>
      </c>
      <c r="R162" s="365"/>
      <c r="S162" s="1029">
        <f>[2]Base!AE160</f>
        <v>607057</v>
      </c>
      <c r="T162" s="1028">
        <f>[2]Base!AF160</f>
        <v>4.9226558762234527</v>
      </c>
      <c r="U162" s="365"/>
      <c r="V162" s="1029">
        <f>[2]Base!AR160</f>
        <v>17435</v>
      </c>
      <c r="W162" s="1025">
        <f>[2]Base!AS160</f>
        <v>11497</v>
      </c>
      <c r="X162" s="1025">
        <f>[2]Base!AT160</f>
        <v>34777</v>
      </c>
      <c r="Y162" s="1025">
        <f>[2]Base!AU160</f>
        <v>13330</v>
      </c>
      <c r="Z162" s="1025">
        <f>[2]Base!AV160</f>
        <v>11931</v>
      </c>
      <c r="AA162" s="1025">
        <f>[2]Base!AW160</f>
        <v>16620</v>
      </c>
      <c r="AB162" s="1025">
        <f>[2]Base!AX160</f>
        <v>4017</v>
      </c>
      <c r="AC162" s="1025" t="s">
        <v>160</v>
      </c>
      <c r="AD162" s="1026">
        <f>[2]Base!AZ160</f>
        <v>13712</v>
      </c>
      <c r="AE162" s="365"/>
      <c r="AF162" s="366">
        <f t="shared" si="39"/>
        <v>44593</v>
      </c>
      <c r="AG162" s="1030">
        <f t="shared" si="47"/>
        <v>0.14138129566409069</v>
      </c>
      <c r="AH162" s="1031">
        <f t="shared" si="48"/>
        <v>9.3229753728135967E-2</v>
      </c>
      <c r="AI162" s="1031">
        <f t="shared" si="49"/>
        <v>0.28200844963063276</v>
      </c>
      <c r="AJ162" s="1031">
        <f t="shared" si="50"/>
        <v>0.10809364331530422</v>
      </c>
      <c r="AK162" s="1031">
        <f t="shared" si="51"/>
        <v>9.67490816500296E-2</v>
      </c>
      <c r="AL162" s="1031">
        <f t="shared" si="52"/>
        <v>0.13477241949740104</v>
      </c>
      <c r="AM162" s="1031">
        <f t="shared" si="53"/>
        <v>3.2574055903794225E-2</v>
      </c>
      <c r="AN162" s="1031" t="s">
        <v>160</v>
      </c>
      <c r="AO162" s="1032">
        <f t="shared" si="54"/>
        <v>0.1111913006106115</v>
      </c>
      <c r="AP162" s="365"/>
      <c r="AQ162" s="1029">
        <f>+[2]Base!CS160</f>
        <v>6992.1872999999996</v>
      </c>
      <c r="AR162" s="1025">
        <f>+[2]Base!CT160</f>
        <v>18448.522400000002</v>
      </c>
      <c r="AS162" s="1025">
        <f>+[2]Base!CU160</f>
        <v>14884.603300000001</v>
      </c>
      <c r="AT162" s="1025">
        <f>+[2]Base!CV160</f>
        <v>63176.323700000001</v>
      </c>
      <c r="AU162" s="1026">
        <f>+[2]Base!CW160</f>
        <v>19817.363300000001</v>
      </c>
      <c r="AV162" s="365"/>
      <c r="AW162" s="1033">
        <f t="shared" si="57"/>
        <v>5.6699999999999993E-2</v>
      </c>
      <c r="AX162" s="1034">
        <f t="shared" si="57"/>
        <v>0.14960000000000001</v>
      </c>
      <c r="AY162" s="1034">
        <f t="shared" si="57"/>
        <v>0.1207</v>
      </c>
      <c r="AZ162" s="1034">
        <f t="shared" si="57"/>
        <v>0.51229999999999998</v>
      </c>
      <c r="BA162" s="1035">
        <f t="shared" si="57"/>
        <v>0.16070000000000001</v>
      </c>
      <c r="BB162" s="365"/>
      <c r="BC162" s="1033">
        <f t="shared" si="45"/>
        <v>0.26061340848024117</v>
      </c>
      <c r="BD162" s="1035">
        <f t="shared" si="46"/>
        <v>0.12033830958733042</v>
      </c>
      <c r="BG162" t="s">
        <v>1932</v>
      </c>
      <c r="BH162" t="s">
        <v>1931</v>
      </c>
    </row>
    <row r="163" spans="1:60" ht="12.75" customHeight="1" outlineLevel="1" x14ac:dyDescent="0.2">
      <c r="A163" s="570">
        <v>44621</v>
      </c>
      <c r="B163" s="708">
        <f>IF([1]RENAME!$H$3=0,A163,TEXT(A163,"[$-em-US] mmm-aa;@"))</f>
        <v>44621</v>
      </c>
      <c r="C163" s="365" t="str">
        <f>IF([1]RENAME!$H$3=0,BG163,BH163)</f>
        <v>1T22</v>
      </c>
      <c r="D163" s="366">
        <v>44621</v>
      </c>
      <c r="E163" s="1024">
        <f>[2]Base!P161</f>
        <v>171852</v>
      </c>
      <c r="F163" s="1025">
        <f>[2]Base!Q161</f>
        <v>135401</v>
      </c>
      <c r="G163" s="1026">
        <f>[2]Base!R161</f>
        <v>36451</v>
      </c>
      <c r="H163" s="365"/>
      <c r="I163" s="1024">
        <f>[2]Base!T161</f>
        <v>125.6</v>
      </c>
      <c r="J163" s="1027">
        <f>[2]Base!U161</f>
        <v>86.3</v>
      </c>
      <c r="K163" s="1028">
        <f>[2]Base!V161</f>
        <v>39.299999999999997</v>
      </c>
      <c r="L163" s="365"/>
      <c r="M163" s="1029">
        <f>+[2]Base!X161</f>
        <v>168834</v>
      </c>
      <c r="N163" s="1026">
        <f>+[2]Base!Y161</f>
        <v>17416</v>
      </c>
      <c r="O163" s="365"/>
      <c r="P163" s="1029">
        <f>[2]Base!AB161</f>
        <v>49786.947700000004</v>
      </c>
      <c r="Q163" s="1026">
        <f>[2]Base!AC161</f>
        <v>85614.052299999996</v>
      </c>
      <c r="R163" s="365"/>
      <c r="S163" s="1029">
        <f>[2]Base!AE161</f>
        <v>782410</v>
      </c>
      <c r="T163" s="1028">
        <f>[2]Base!AF161</f>
        <v>5.7784654470794159</v>
      </c>
      <c r="U163" s="365"/>
      <c r="V163" s="1029">
        <f>[2]Base!AR161</f>
        <v>19206</v>
      </c>
      <c r="W163" s="1025">
        <f>[2]Base!AS161</f>
        <v>12760</v>
      </c>
      <c r="X163" s="1025">
        <f>[2]Base!AT161</f>
        <v>39366</v>
      </c>
      <c r="Y163" s="1025">
        <f>[2]Base!AU161</f>
        <v>17029</v>
      </c>
      <c r="Z163" s="1025">
        <f>[2]Base!AV161</f>
        <v>12414</v>
      </c>
      <c r="AA163" s="1025">
        <f>[2]Base!AW161</f>
        <v>17459</v>
      </c>
      <c r="AB163" s="1025">
        <f>[2]Base!AX161</f>
        <v>4693</v>
      </c>
      <c r="AC163" s="1025" t="s">
        <v>160</v>
      </c>
      <c r="AD163" s="1026">
        <f>[2]Base!AZ161</f>
        <v>12474</v>
      </c>
      <c r="AE163" s="365"/>
      <c r="AF163" s="366">
        <f t="shared" si="39"/>
        <v>44621</v>
      </c>
      <c r="AG163" s="1030">
        <f t="shared" si="47"/>
        <v>0.14184533349089001</v>
      </c>
      <c r="AH163" s="1031">
        <f t="shared" si="48"/>
        <v>9.4238594988220181E-2</v>
      </c>
      <c r="AI163" s="1031">
        <f t="shared" si="49"/>
        <v>0.29073640519641658</v>
      </c>
      <c r="AJ163" s="1031">
        <f t="shared" si="50"/>
        <v>0.12576716567824461</v>
      </c>
      <c r="AK163" s="1031">
        <f t="shared" si="51"/>
        <v>9.1683222428194766E-2</v>
      </c>
      <c r="AL163" s="1031">
        <f t="shared" si="52"/>
        <v>0.12894291770370972</v>
      </c>
      <c r="AM163" s="1031">
        <f t="shared" si="53"/>
        <v>3.4660009896529564E-2</v>
      </c>
      <c r="AN163" s="1031" t="s">
        <v>160</v>
      </c>
      <c r="AO163" s="1032">
        <f t="shared" si="54"/>
        <v>9.2126350617794547E-2</v>
      </c>
      <c r="AP163" s="365"/>
      <c r="AQ163" s="1029">
        <f>+[2]Base!CS161</f>
        <v>7690.7768000000005</v>
      </c>
      <c r="AR163" s="1025">
        <f>+[2]Base!CT161</f>
        <v>19592.524699999998</v>
      </c>
      <c r="AS163" s="1025">
        <f>+[2]Base!CU161</f>
        <v>15070.131299999999</v>
      </c>
      <c r="AT163" s="1025">
        <f>+[2]Base!CV161</f>
        <v>71342.786900000006</v>
      </c>
      <c r="AU163" s="1026">
        <f>+[2]Base!CW161</f>
        <v>21704.780299999999</v>
      </c>
      <c r="AV163" s="365"/>
      <c r="AW163" s="1033">
        <f t="shared" ref="AW163:BA166" si="58">+AQ163/SUM($AQ163:$AU163)</f>
        <v>5.6800000000000003E-2</v>
      </c>
      <c r="AX163" s="1034">
        <f t="shared" si="58"/>
        <v>0.1447</v>
      </c>
      <c r="AY163" s="1034">
        <f t="shared" si="58"/>
        <v>0.1113</v>
      </c>
      <c r="AZ163" s="1034">
        <f t="shared" si="58"/>
        <v>0.52690000000000003</v>
      </c>
      <c r="BA163" s="1035">
        <f t="shared" si="58"/>
        <v>0.1603</v>
      </c>
      <c r="BB163" s="365"/>
      <c r="BC163" s="1033">
        <f t="shared" si="45"/>
        <v>0.21589845647203762</v>
      </c>
      <c r="BD163" s="1035">
        <f t="shared" si="46"/>
        <v>0.1286253425011632</v>
      </c>
      <c r="BG163" t="s">
        <v>1932</v>
      </c>
      <c r="BH163" t="s">
        <v>1931</v>
      </c>
    </row>
    <row r="164" spans="1:60" ht="12.75" customHeight="1" outlineLevel="1" x14ac:dyDescent="0.2">
      <c r="A164" s="570">
        <v>44652</v>
      </c>
      <c r="B164" s="708">
        <f>IF([1]RENAME!$H$3=0,A164,TEXT(A164,"[$-em-US] mmm-aa;@"))</f>
        <v>44652</v>
      </c>
      <c r="C164" s="365" t="str">
        <f>IF([1]RENAME!$H$3=0,BG164,BH164)</f>
        <v>2T22</v>
      </c>
      <c r="D164" s="366">
        <v>44652</v>
      </c>
      <c r="E164" s="1024">
        <f>[2]Base!P162</f>
        <v>179261</v>
      </c>
      <c r="F164" s="1025">
        <f>[2]Base!Q162</f>
        <v>136731</v>
      </c>
      <c r="G164" s="1026">
        <f>[2]Base!R162</f>
        <v>42530</v>
      </c>
      <c r="H164" s="365"/>
      <c r="I164" s="1024">
        <f>[2]Base!T162</f>
        <v>128.9</v>
      </c>
      <c r="J164" s="1027">
        <f>[2]Base!U162</f>
        <v>82.5</v>
      </c>
      <c r="K164" s="1028">
        <f>[2]Base!V162</f>
        <v>46.4</v>
      </c>
      <c r="L164" s="365"/>
      <c r="M164" s="1029">
        <f>+[2]Base!X162</f>
        <v>174340</v>
      </c>
      <c r="N164" s="1026">
        <f>+[2]Base!Y162</f>
        <v>18516</v>
      </c>
      <c r="O164" s="365"/>
      <c r="P164" s="1029">
        <f>[2]Base!AB162</f>
        <v>57180.904200000004</v>
      </c>
      <c r="Q164" s="1026">
        <f>[2]Base!AC162</f>
        <v>79550.095799999996</v>
      </c>
      <c r="R164" s="365"/>
      <c r="S164" s="1029">
        <f>[2]Base!AE162</f>
        <v>675328</v>
      </c>
      <c r="T164" s="1028">
        <f>[2]Base!AF162</f>
        <v>4.9390993995509431</v>
      </c>
      <c r="U164" s="365"/>
      <c r="V164" s="1029">
        <f>[2]Base!AR162</f>
        <v>21232</v>
      </c>
      <c r="W164" s="1025">
        <f>[2]Base!AS162</f>
        <v>9501</v>
      </c>
      <c r="X164" s="1025">
        <f>[2]Base!AT162</f>
        <v>45214</v>
      </c>
      <c r="Y164" s="1025">
        <f>[2]Base!AU162</f>
        <v>16373</v>
      </c>
      <c r="Z164" s="1025">
        <f>[2]Base!AV162</f>
        <v>11571</v>
      </c>
      <c r="AA164" s="1025">
        <f>[2]Base!AW162</f>
        <v>17410</v>
      </c>
      <c r="AB164" s="1025">
        <f>[2]Base!AX162</f>
        <v>4176</v>
      </c>
      <c r="AC164" s="1025" t="s">
        <v>160</v>
      </c>
      <c r="AD164" s="1026">
        <f>[2]Base!AZ162</f>
        <v>11254</v>
      </c>
      <c r="AE164" s="365"/>
      <c r="AF164" s="366">
        <f t="shared" si="39"/>
        <v>44652</v>
      </c>
      <c r="AG164" s="1030">
        <f t="shared" si="47"/>
        <v>0.15528300092883107</v>
      </c>
      <c r="AH164" s="1031">
        <f t="shared" si="48"/>
        <v>6.9486802553919744E-2</v>
      </c>
      <c r="AI164" s="1031">
        <f t="shared" si="49"/>
        <v>0.33067848549341405</v>
      </c>
      <c r="AJ164" s="1031">
        <f t="shared" si="50"/>
        <v>0.11974607075206062</v>
      </c>
      <c r="AK164" s="1031">
        <f t="shared" si="51"/>
        <v>8.4626017508831211E-2</v>
      </c>
      <c r="AL164" s="1031">
        <f t="shared" si="52"/>
        <v>0.12733030549034235</v>
      </c>
      <c r="AM164" s="1031">
        <f t="shared" si="53"/>
        <v>3.0541720604690962E-2</v>
      </c>
      <c r="AN164" s="1031" t="s">
        <v>160</v>
      </c>
      <c r="AO164" s="1032">
        <f t="shared" si="54"/>
        <v>8.2307596667909988E-2</v>
      </c>
      <c r="AP164" s="365"/>
      <c r="AQ164" s="1029">
        <f>+[2]Base!CS162</f>
        <v>7055.3195999999998</v>
      </c>
      <c r="AR164" s="1025">
        <f>+[2]Base!CT162</f>
        <v>18663.781500000001</v>
      </c>
      <c r="AS164" s="1025">
        <f>+[2]Base!CU162</f>
        <v>15067.756200000002</v>
      </c>
      <c r="AT164" s="1025">
        <f>+[2]Base!CV162</f>
        <v>75078.992100000003</v>
      </c>
      <c r="AU164" s="1026">
        <f>+[2]Base!CW162</f>
        <v>20865.150600000001</v>
      </c>
      <c r="AV164" s="365"/>
      <c r="AW164" s="1033">
        <f t="shared" si="58"/>
        <v>5.16E-2</v>
      </c>
      <c r="AX164" s="1034">
        <f t="shared" si="58"/>
        <v>0.13650000000000001</v>
      </c>
      <c r="AY164" s="1034">
        <f t="shared" si="58"/>
        <v>0.11020000000000001</v>
      </c>
      <c r="AZ164" s="1034">
        <f t="shared" si="58"/>
        <v>0.54910000000000003</v>
      </c>
      <c r="BA164" s="1035">
        <f t="shared" si="58"/>
        <v>0.15260000000000001</v>
      </c>
      <c r="BB164" s="365"/>
      <c r="BC164" s="1033">
        <f t="shared" si="45"/>
        <v>0.2439486061718481</v>
      </c>
      <c r="BD164" s="1035">
        <f t="shared" si="46"/>
        <v>0.13541918072712114</v>
      </c>
      <c r="BG164" t="s">
        <v>1942</v>
      </c>
      <c r="BH164" t="s">
        <v>1943</v>
      </c>
    </row>
    <row r="165" spans="1:60" ht="12.75" customHeight="1" outlineLevel="1" x14ac:dyDescent="0.2">
      <c r="A165" s="570">
        <v>44682</v>
      </c>
      <c r="B165" s="708">
        <f>IF([1]RENAME!$H$3=0,A165,TEXT(A165,"[$-em-US] mmm-aa;@"))</f>
        <v>44682</v>
      </c>
      <c r="C165" s="365" t="str">
        <f>IF([1]RENAME!$H$3=0,BG165,BH165)</f>
        <v>2T22</v>
      </c>
      <c r="D165" s="366">
        <v>44682</v>
      </c>
      <c r="E165" s="1024">
        <f>[2]Base!P163</f>
        <v>218597</v>
      </c>
      <c r="F165" s="1025">
        <f>[2]Base!Q163</f>
        <v>175214</v>
      </c>
      <c r="G165" s="1026">
        <f>[2]Base!R163</f>
        <v>43383</v>
      </c>
      <c r="H165" s="365"/>
      <c r="I165" s="1024">
        <f>[2]Base!T163</f>
        <v>123.9</v>
      </c>
      <c r="J165" s="1027">
        <f>[2]Base!U163</f>
        <v>85.2</v>
      </c>
      <c r="K165" s="1028">
        <f>[2]Base!V163</f>
        <v>38.700000000000003</v>
      </c>
      <c r="L165" s="365"/>
      <c r="M165" s="1029">
        <f>+[2]Base!X163</f>
        <v>188956</v>
      </c>
      <c r="N165" s="1026">
        <f>+[2]Base!Y163</f>
        <v>22350</v>
      </c>
      <c r="O165" s="365"/>
      <c r="P165" s="1029">
        <f>[2]Base!AB163</f>
        <v>84102.720000000001</v>
      </c>
      <c r="Q165" s="1026">
        <f>[2]Base!AC163</f>
        <v>91111.28</v>
      </c>
      <c r="R165" s="365"/>
      <c r="S165" s="1029">
        <f>[2]Base!AE163</f>
        <v>849634</v>
      </c>
      <c r="T165" s="1028">
        <f>[2]Base!AF163</f>
        <v>4.8491216455306079</v>
      </c>
      <c r="U165" s="365"/>
      <c r="V165" s="1029">
        <f>[2]Base!AR163</f>
        <v>25360</v>
      </c>
      <c r="W165" s="1025">
        <f>[2]Base!AS163</f>
        <v>24293</v>
      </c>
      <c r="X165" s="1025">
        <f>[2]Base!AT163</f>
        <v>51768</v>
      </c>
      <c r="Y165" s="1025">
        <f>[2]Base!AU163</f>
        <v>17365</v>
      </c>
      <c r="Z165" s="1025">
        <f>[2]Base!AV163</f>
        <v>13464</v>
      </c>
      <c r="AA165" s="1025">
        <f>[2]Base!AW163</f>
        <v>19274</v>
      </c>
      <c r="AB165" s="1025">
        <f>[2]Base!AX163</f>
        <v>4244</v>
      </c>
      <c r="AC165" s="1025" t="s">
        <v>160</v>
      </c>
      <c r="AD165" s="1026">
        <f>[2]Base!AZ163</f>
        <v>19446</v>
      </c>
      <c r="AE165" s="365"/>
      <c r="AF165" s="366">
        <f t="shared" ref="AF165:AF209" si="59">+D165</f>
        <v>44682</v>
      </c>
      <c r="AG165" s="1030">
        <f t="shared" si="47"/>
        <v>0.14473729268209162</v>
      </c>
      <c r="AH165" s="1031">
        <f t="shared" si="48"/>
        <v>0.13864759665323548</v>
      </c>
      <c r="AI165" s="1031">
        <f t="shared" si="49"/>
        <v>0.29545584256965768</v>
      </c>
      <c r="AJ165" s="1031">
        <f t="shared" si="50"/>
        <v>9.9107377264373853E-2</v>
      </c>
      <c r="AK165" s="1031">
        <f t="shared" si="51"/>
        <v>7.6843174632164099E-2</v>
      </c>
      <c r="AL165" s="1031">
        <f t="shared" si="52"/>
        <v>0.11000262536098714</v>
      </c>
      <c r="AM165" s="1031">
        <f t="shared" si="53"/>
        <v>2.4221808759574005E-2</v>
      </c>
      <c r="AN165" s="1031" t="s">
        <v>160</v>
      </c>
      <c r="AO165" s="1032">
        <f t="shared" si="54"/>
        <v>0.11098428207791615</v>
      </c>
      <c r="AP165" s="365"/>
      <c r="AQ165" s="1029">
        <f>+[2]Base!CS163</f>
        <v>8357.7078000000001</v>
      </c>
      <c r="AR165" s="1025">
        <f>+[2]Base!CT163</f>
        <v>22059.442600000002</v>
      </c>
      <c r="AS165" s="1025">
        <f>+[2]Base!CU163</f>
        <v>17276.100399999999</v>
      </c>
      <c r="AT165" s="1025">
        <f>+[2]Base!CV163</f>
        <v>101939.5052</v>
      </c>
      <c r="AU165" s="1026">
        <f>+[2]Base!CW163</f>
        <v>25563.722600000001</v>
      </c>
      <c r="AV165" s="365"/>
      <c r="AW165" s="1033">
        <f t="shared" si="58"/>
        <v>4.7704770477047707E-2</v>
      </c>
      <c r="AX165" s="1034">
        <f t="shared" si="58"/>
        <v>0.12591259125912593</v>
      </c>
      <c r="AY165" s="1034">
        <f t="shared" si="58"/>
        <v>9.8609860986098599E-2</v>
      </c>
      <c r="AZ165" s="1034">
        <f t="shared" si="58"/>
        <v>0.58185818581858184</v>
      </c>
      <c r="BA165" s="1035">
        <f t="shared" si="58"/>
        <v>0.14591459145914593</v>
      </c>
      <c r="BB165" s="365"/>
      <c r="BC165" s="1033">
        <f t="shared" si="45"/>
        <v>0.22959313279281948</v>
      </c>
      <c r="BD165" s="1035">
        <f t="shared" si="46"/>
        <v>0.12755830013583389</v>
      </c>
      <c r="BG165" t="s">
        <v>1942</v>
      </c>
      <c r="BH165" t="s">
        <v>1943</v>
      </c>
    </row>
    <row r="166" spans="1:60" ht="12.75" customHeight="1" outlineLevel="1" x14ac:dyDescent="0.2">
      <c r="A166" s="570">
        <v>44713</v>
      </c>
      <c r="B166" s="708">
        <f>IF([1]RENAME!$H$3=0,A166,TEXT(A166,"[$-em-US] mmm-aa;@"))</f>
        <v>44713</v>
      </c>
      <c r="C166" s="365" t="str">
        <f>IF([1]RENAME!$H$3=0,BG166,BH166)</f>
        <v>2T22</v>
      </c>
      <c r="D166" s="366">
        <v>44713</v>
      </c>
      <c r="E166" s="1024">
        <f>[2]Base!P164</f>
        <v>210351</v>
      </c>
      <c r="F166" s="1025">
        <f>[2]Base!Q164</f>
        <v>165688</v>
      </c>
      <c r="G166" s="1026">
        <f>[2]Base!R164</f>
        <v>44663</v>
      </c>
      <c r="H166" s="365"/>
      <c r="I166" s="1024">
        <f>[2]Base!T164</f>
        <v>145.5</v>
      </c>
      <c r="J166" s="1027">
        <f>[2]Base!U164</f>
        <v>102.2</v>
      </c>
      <c r="K166" s="1028">
        <f>[2]Base!V164</f>
        <v>43.3</v>
      </c>
      <c r="L166" s="365"/>
      <c r="M166" s="1029">
        <f>+[2]Base!X164</f>
        <v>187237</v>
      </c>
      <c r="N166" s="1026">
        <f>+[2]Base!Y164</f>
        <v>26387</v>
      </c>
      <c r="O166" s="365"/>
      <c r="P166" s="1029">
        <f>[2]Base!AB164</f>
        <v>83440.476800000004</v>
      </c>
      <c r="Q166" s="1026">
        <f>[2]Base!AC164</f>
        <v>82247.523199999996</v>
      </c>
      <c r="R166" s="365"/>
      <c r="S166" s="1029">
        <f>[2]Base!AE164</f>
        <v>843703</v>
      </c>
      <c r="T166" s="1028">
        <f>[2]Base!AF164</f>
        <v>5.0921189223118146</v>
      </c>
      <c r="U166" s="365"/>
      <c r="V166" s="1029">
        <f>[2]Base!AR164</f>
        <v>19100</v>
      </c>
      <c r="W166" s="1025">
        <f>[2]Base!AS164</f>
        <v>24804</v>
      </c>
      <c r="X166" s="1025">
        <f>[2]Base!AT164</f>
        <v>46511</v>
      </c>
      <c r="Y166" s="1025">
        <f>[2]Base!AU164</f>
        <v>16458</v>
      </c>
      <c r="Z166" s="1025">
        <f>[2]Base!AV164</f>
        <v>16673</v>
      </c>
      <c r="AA166" s="1025">
        <f>[2]Base!AW164</f>
        <v>16652</v>
      </c>
      <c r="AB166" s="1025">
        <f>[2]Base!AX164</f>
        <v>4016</v>
      </c>
      <c r="AC166" s="1025" t="s">
        <v>160</v>
      </c>
      <c r="AD166" s="1026">
        <f>[2]Base!AZ164</f>
        <v>21474</v>
      </c>
      <c r="AE166" s="365"/>
      <c r="AF166" s="366">
        <f t="shared" si="59"/>
        <v>44713</v>
      </c>
      <c r="AG166" s="1030">
        <f t="shared" si="47"/>
        <v>0.11527690599198494</v>
      </c>
      <c r="AH166" s="1031">
        <f t="shared" si="48"/>
        <v>0.14970305634686881</v>
      </c>
      <c r="AI166" s="1031">
        <f t="shared" si="49"/>
        <v>0.28071435469074407</v>
      </c>
      <c r="AJ166" s="1031">
        <f t="shared" si="50"/>
        <v>9.9331273236444403E-2</v>
      </c>
      <c r="AK166" s="1031">
        <f t="shared" si="51"/>
        <v>0.10062889285886727</v>
      </c>
      <c r="AL166" s="1031">
        <f t="shared" si="52"/>
        <v>0.10050214861667713</v>
      </c>
      <c r="AM166" s="1031">
        <f t="shared" si="53"/>
        <v>2.4238327458838298E-2</v>
      </c>
      <c r="AN166" s="1031" t="s">
        <v>160</v>
      </c>
      <c r="AO166" s="1032">
        <f t="shared" si="54"/>
        <v>0.12960504079957511</v>
      </c>
      <c r="AP166" s="365"/>
      <c r="AQ166" s="1029">
        <f>+[2]Base!CS164</f>
        <v>8483.2255999999998</v>
      </c>
      <c r="AR166" s="1025">
        <f>+[2]Base!CT164</f>
        <v>20230.504799999999</v>
      </c>
      <c r="AS166" s="1025">
        <f>+[2]Base!CU164</f>
        <v>17496.6528</v>
      </c>
      <c r="AT166" s="1025">
        <f>+[2]Base!CV164</f>
        <v>94906.0864</v>
      </c>
      <c r="AU166" s="1026">
        <f>+[2]Base!CW164</f>
        <v>24571.5304</v>
      </c>
      <c r="AV166" s="365"/>
      <c r="AW166" s="1033">
        <f t="shared" si="58"/>
        <v>5.1199999999999996E-2</v>
      </c>
      <c r="AX166" s="1034">
        <f t="shared" si="58"/>
        <v>0.12209999999999999</v>
      </c>
      <c r="AY166" s="1034">
        <f t="shared" si="58"/>
        <v>0.1056</v>
      </c>
      <c r="AZ166" s="1034">
        <f t="shared" si="58"/>
        <v>0.57279999999999998</v>
      </c>
      <c r="BA166" s="1035">
        <f t="shared" si="58"/>
        <v>0.14829999999999999</v>
      </c>
      <c r="BB166" s="365"/>
      <c r="BC166" s="1033">
        <f t="shared" si="45"/>
        <v>0.2385372549229052</v>
      </c>
      <c r="BD166" s="1035">
        <f t="shared" si="46"/>
        <v>0.15925715803196369</v>
      </c>
      <c r="BG166" t="s">
        <v>1942</v>
      </c>
      <c r="BH166" t="s">
        <v>1943</v>
      </c>
    </row>
    <row r="167" spans="1:60" ht="12.75" customHeight="1" outlineLevel="1" x14ac:dyDescent="0.2">
      <c r="A167" s="570">
        <v>44743</v>
      </c>
      <c r="B167" s="708">
        <f>IF([1]RENAME!$H$3=0,A167,TEXT(A167,"[$-em-US] mmm-aa;@"))</f>
        <v>44743</v>
      </c>
      <c r="C167" s="365" t="str">
        <f>IF([1]RENAME!$H$3=0,BG167,BH167)</f>
        <v>3T22</v>
      </c>
      <c r="D167" s="366">
        <v>44743</v>
      </c>
      <c r="E167" s="1024">
        <f>[2]Base!P165</f>
        <v>208561</v>
      </c>
      <c r="F167" s="1025">
        <f>[2]Base!Q165</f>
        <v>169197</v>
      </c>
      <c r="G167" s="1026">
        <f>[2]Base!R165</f>
        <v>39364</v>
      </c>
      <c r="H167" s="365"/>
      <c r="I167" s="1024">
        <f>[2]Base!T165</f>
        <v>150</v>
      </c>
      <c r="J167" s="1027">
        <f>[2]Base!U165</f>
        <v>100.5</v>
      </c>
      <c r="K167" s="1028">
        <f>[2]Base!V165</f>
        <v>49.5</v>
      </c>
      <c r="L167" s="365"/>
      <c r="M167" s="1029">
        <f>+[2]Base!X165</f>
        <v>203096</v>
      </c>
      <c r="N167" s="1026">
        <f>+[2]Base!Y165</f>
        <v>22121</v>
      </c>
      <c r="O167" s="365"/>
      <c r="P167" s="1029">
        <f>[2]Base!AB165</f>
        <v>87271.812600000005</v>
      </c>
      <c r="Q167" s="1026">
        <f>[2]Base!AC165</f>
        <v>81925.187399999995</v>
      </c>
      <c r="R167" s="365"/>
      <c r="S167" s="1029">
        <f>[2]Base!AE165</f>
        <v>871250</v>
      </c>
      <c r="T167" s="1028">
        <f>[2]Base!AF165</f>
        <v>5.1493229785398089</v>
      </c>
      <c r="U167" s="365"/>
      <c r="V167" s="1029">
        <f>[2]Base!AR165</f>
        <v>27941</v>
      </c>
      <c r="W167" s="1025">
        <f>[2]Base!AS165</f>
        <v>27415</v>
      </c>
      <c r="X167" s="1025">
        <f>[2]Base!AT165</f>
        <v>46065</v>
      </c>
      <c r="Y167" s="1025">
        <f>[2]Base!AU165</f>
        <v>16769</v>
      </c>
      <c r="Z167" s="1025">
        <f>[2]Base!AV165</f>
        <v>17568</v>
      </c>
      <c r="AA167" s="1025">
        <f>[2]Base!AW165</f>
        <v>14239</v>
      </c>
      <c r="AB167" s="1025">
        <f>[2]Base!AX165</f>
        <v>3975</v>
      </c>
      <c r="AC167" s="1025" t="s">
        <v>160</v>
      </c>
      <c r="AD167" s="1026">
        <f>[2]Base!AZ165</f>
        <v>15225</v>
      </c>
      <c r="AE167" s="365"/>
      <c r="AF167" s="366">
        <f t="shared" si="59"/>
        <v>44743</v>
      </c>
      <c r="AG167" s="1030">
        <f t="shared" si="47"/>
        <v>0.16513886180015011</v>
      </c>
      <c r="AH167" s="1031">
        <f t="shared" si="48"/>
        <v>0.1620300596346271</v>
      </c>
      <c r="AI167" s="1031">
        <f t="shared" si="49"/>
        <v>0.27225660029433146</v>
      </c>
      <c r="AJ167" s="1031">
        <f t="shared" si="50"/>
        <v>9.9109322269307382E-2</v>
      </c>
      <c r="AK167" s="1031">
        <f t="shared" si="51"/>
        <v>0.10383162822035852</v>
      </c>
      <c r="AL167" s="1031">
        <f t="shared" si="52"/>
        <v>8.4156338469358202E-2</v>
      </c>
      <c r="AM167" s="1031">
        <f t="shared" si="53"/>
        <v>2.3493324349722514E-2</v>
      </c>
      <c r="AN167" s="1031" t="s">
        <v>160</v>
      </c>
      <c r="AO167" s="1032">
        <f t="shared" si="54"/>
        <v>8.9983864962144722E-2</v>
      </c>
      <c r="AP167" s="365"/>
      <c r="AQ167" s="1029">
        <f>+[2]Base!CS165</f>
        <v>8612.1273000000001</v>
      </c>
      <c r="AR167" s="1025">
        <f>+[2]Base!CT165</f>
        <v>21572.6175</v>
      </c>
      <c r="AS167" s="1025">
        <f>+[2]Base!CU165</f>
        <v>16361.349899999999</v>
      </c>
      <c r="AT167" s="1025">
        <f>+[2]Base!CV165</f>
        <v>97254.435599999997</v>
      </c>
      <c r="AU167" s="1026">
        <f>+[2]Base!CW165</f>
        <v>25396.469700000001</v>
      </c>
      <c r="AV167" s="365"/>
      <c r="AW167" s="1033">
        <f t="shared" ref="AW167:AW190" si="60">+AQ167/SUM($AQ167:$AU167)</f>
        <v>5.0900000000000001E-2</v>
      </c>
      <c r="AX167" s="1034">
        <f t="shared" ref="AX167:AX190" si="61">+AR167/SUM($AQ167:$AU167)</f>
        <v>0.1275</v>
      </c>
      <c r="AY167" s="1034">
        <f t="shared" ref="AY167:AY190" si="62">+AS167/SUM($AQ167:$AU167)</f>
        <v>9.6699999999999994E-2</v>
      </c>
      <c r="AZ167" s="1034">
        <f t="shared" ref="AZ167:AZ190" si="63">+AT167/SUM($AQ167:$AU167)</f>
        <v>0.57479999999999998</v>
      </c>
      <c r="BA167" s="1035">
        <f t="shared" ref="BA167:BA190" si="64">+AU167/SUM($AQ167:$AU167)</f>
        <v>0.15010000000000001</v>
      </c>
      <c r="BB167" s="365"/>
      <c r="BC167" s="1033">
        <f t="shared" si="45"/>
        <v>0.19381967148540591</v>
      </c>
      <c r="BD167" s="1035">
        <f t="shared" si="46"/>
        <v>0.13074108878999036</v>
      </c>
      <c r="BG167" t="s">
        <v>1944</v>
      </c>
      <c r="BH167" t="s">
        <v>1945</v>
      </c>
    </row>
    <row r="168" spans="1:60" ht="12.75" customHeight="1" outlineLevel="1" x14ac:dyDescent="0.2">
      <c r="A168" s="570">
        <v>44774</v>
      </c>
      <c r="B168" s="708">
        <f>IF([1]RENAME!$H$3=0,A168,TEXT(A168,"[$-em-US] mmm-aa;@"))</f>
        <v>44774</v>
      </c>
      <c r="C168" s="365" t="str">
        <f>IF([1]RENAME!$H$3=0,BG168,BH168)</f>
        <v>3T22</v>
      </c>
      <c r="D168" s="366">
        <v>44774</v>
      </c>
      <c r="E168" s="1024">
        <f>[2]Base!P166</f>
        <v>238171</v>
      </c>
      <c r="F168" s="1025">
        <f>[2]Base!Q166</f>
        <v>194394</v>
      </c>
      <c r="G168" s="1026">
        <f>[2]Base!R166</f>
        <v>43777</v>
      </c>
      <c r="H168" s="365"/>
      <c r="I168" s="1024">
        <f>[2]Base!T166</f>
        <v>164.8</v>
      </c>
      <c r="J168" s="1027">
        <f>[2]Base!U166</f>
        <v>110.4</v>
      </c>
      <c r="K168" s="1028">
        <f>[2]Base!V166</f>
        <v>54.4</v>
      </c>
      <c r="L168" s="365"/>
      <c r="M168" s="1029">
        <f>+[2]Base!X166</f>
        <v>217174</v>
      </c>
      <c r="N168" s="1026">
        <f>+[2]Base!Y166</f>
        <v>23491</v>
      </c>
      <c r="O168" s="365"/>
      <c r="P168" s="1029">
        <f>[2]Base!AB166</f>
        <v>106838.9424</v>
      </c>
      <c r="Q168" s="1026">
        <f>[2]Base!AC166</f>
        <v>87555.0576</v>
      </c>
      <c r="R168" s="365"/>
      <c r="S168" s="1029">
        <f>[2]Base!AE166</f>
        <v>968779</v>
      </c>
      <c r="T168" s="1028">
        <f>[2]Base!AF166</f>
        <v>4.9835848843071284</v>
      </c>
      <c r="U168" s="365"/>
      <c r="V168" s="1029">
        <f>[2]Base!AR166</f>
        <v>30546</v>
      </c>
      <c r="W168" s="1025">
        <f>[2]Base!AS166</f>
        <v>32626</v>
      </c>
      <c r="X168" s="1025">
        <f>[2]Base!AT166</f>
        <v>56585</v>
      </c>
      <c r="Y168" s="1025">
        <f>[2]Base!AU166</f>
        <v>15400</v>
      </c>
      <c r="Z168" s="1025">
        <f>[2]Base!AV166</f>
        <v>18088</v>
      </c>
      <c r="AA168" s="1025">
        <f>[2]Base!AW166</f>
        <v>17791</v>
      </c>
      <c r="AB168" s="1025">
        <f>[2]Base!AX166</f>
        <v>4081</v>
      </c>
      <c r="AC168" s="1025" t="s">
        <v>160</v>
      </c>
      <c r="AD168" s="1026">
        <f>[2]Base!AZ166</f>
        <v>19277</v>
      </c>
      <c r="AE168" s="365"/>
      <c r="AF168" s="366">
        <f t="shared" si="59"/>
        <v>44774</v>
      </c>
      <c r="AG168" s="1030">
        <f t="shared" si="47"/>
        <v>0.15713447945924258</v>
      </c>
      <c r="AH168" s="1031">
        <f t="shared" si="48"/>
        <v>0.16783439818101381</v>
      </c>
      <c r="AI168" s="1031">
        <f t="shared" si="49"/>
        <v>0.29108408695741639</v>
      </c>
      <c r="AJ168" s="1031">
        <f t="shared" si="50"/>
        <v>7.9220552074652506E-2</v>
      </c>
      <c r="AK168" s="1031">
        <f t="shared" si="51"/>
        <v>9.3048139345864589E-2</v>
      </c>
      <c r="AL168" s="1031">
        <f t="shared" si="52"/>
        <v>9.1520314412996281E-2</v>
      </c>
      <c r="AM168" s="1031">
        <f t="shared" si="53"/>
        <v>2.0993446299782916E-2</v>
      </c>
      <c r="AN168" s="1031" t="s">
        <v>160</v>
      </c>
      <c r="AO168" s="1032">
        <f t="shared" si="54"/>
        <v>9.9164583269030937E-2</v>
      </c>
      <c r="AP168" s="365"/>
      <c r="AQ168" s="1029">
        <f>+[2]Base!CS166</f>
        <v>9428.1090000000004</v>
      </c>
      <c r="AR168" s="1025">
        <f>+[2]Base!CT166</f>
        <v>23793.8256</v>
      </c>
      <c r="AS168" s="1025">
        <f>+[2]Base!CU166</f>
        <v>18681.2634</v>
      </c>
      <c r="AT168" s="1025">
        <f>+[2]Base!CV166</f>
        <v>113642.73240000001</v>
      </c>
      <c r="AU168" s="1026">
        <f>+[2]Base!CW166</f>
        <v>28848.069600000003</v>
      </c>
      <c r="AV168" s="365"/>
      <c r="AW168" s="1033">
        <f t="shared" si="60"/>
        <v>4.8500000000000001E-2</v>
      </c>
      <c r="AX168" s="1034">
        <f t="shared" si="61"/>
        <v>0.12239999999999999</v>
      </c>
      <c r="AY168" s="1034">
        <f t="shared" si="62"/>
        <v>9.6100000000000005E-2</v>
      </c>
      <c r="AZ168" s="1034">
        <f t="shared" si="63"/>
        <v>0.58460000000000001</v>
      </c>
      <c r="BA168" s="1035">
        <f t="shared" si="64"/>
        <v>0.1484</v>
      </c>
      <c r="BB168" s="365"/>
      <c r="BC168" s="1033">
        <f t="shared" si="45"/>
        <v>0.20157569506478676</v>
      </c>
      <c r="BD168" s="1035">
        <f t="shared" si="46"/>
        <v>0.12084220706400403</v>
      </c>
      <c r="BG168" t="s">
        <v>1944</v>
      </c>
      <c r="BH168" t="s">
        <v>1945</v>
      </c>
    </row>
    <row r="169" spans="1:60" ht="12.75" customHeight="1" outlineLevel="1" x14ac:dyDescent="0.2">
      <c r="A169" s="570">
        <v>44805</v>
      </c>
      <c r="B169" s="708">
        <f>IF([1]RENAME!$H$3=0,A169,TEXT(A169,"[$-em-US] mmm-aa;@"))</f>
        <v>44805</v>
      </c>
      <c r="C169" s="365" t="str">
        <f>IF([1]RENAME!$H$3=0,BG169,BH169)</f>
        <v>3T22</v>
      </c>
      <c r="D169" s="366">
        <v>44805</v>
      </c>
      <c r="E169" s="1024">
        <f>[2]Base!P167</f>
        <v>206284</v>
      </c>
      <c r="F169" s="1025">
        <f>[2]Base!Q167</f>
        <v>180836</v>
      </c>
      <c r="G169" s="1026">
        <f>[2]Base!R167</f>
        <v>25448</v>
      </c>
      <c r="H169" s="365"/>
      <c r="I169" s="1024">
        <f>[2]Base!T167</f>
        <v>176.3</v>
      </c>
      <c r="J169" s="1027">
        <f>[2]Base!U167</f>
        <v>112.1</v>
      </c>
      <c r="K169" s="1028">
        <f>[2]Base!V167</f>
        <v>64.2</v>
      </c>
      <c r="L169" s="365"/>
      <c r="M169" s="1029">
        <f>+[2]Base!X167</f>
        <v>189007</v>
      </c>
      <c r="N169" s="1026">
        <f>+[2]Base!Y167</f>
        <v>24417</v>
      </c>
      <c r="O169" s="365"/>
      <c r="P169" s="1029">
        <f>[2]Base!AB167</f>
        <v>95101.652400000006</v>
      </c>
      <c r="Q169" s="1026">
        <f>[2]Base!AC167</f>
        <v>85734.347599999994</v>
      </c>
      <c r="R169" s="365"/>
      <c r="S169" s="1029">
        <f>[2]Base!AE167</f>
        <v>933235</v>
      </c>
      <c r="T169" s="1028">
        <f>[2]Base!AF167</f>
        <v>5.1606704417262046</v>
      </c>
      <c r="U169" s="365"/>
      <c r="V169" s="1029">
        <f>[2]Base!AR167</f>
        <v>29303</v>
      </c>
      <c r="W169" s="1025">
        <f>[2]Base!AS167</f>
        <v>26156</v>
      </c>
      <c r="X169" s="1025">
        <f>[2]Base!AT167</f>
        <v>49990</v>
      </c>
      <c r="Y169" s="1025">
        <f>[2]Base!AU167</f>
        <v>14988</v>
      </c>
      <c r="Z169" s="1025">
        <f>[2]Base!AV167</f>
        <v>17162</v>
      </c>
      <c r="AA169" s="1025">
        <f>[2]Base!AW167</f>
        <v>16336</v>
      </c>
      <c r="AB169" s="1025">
        <f>[2]Base!AX167</f>
        <v>6154</v>
      </c>
      <c r="AC169" s="1025" t="s">
        <v>160</v>
      </c>
      <c r="AD169" s="1026">
        <f>[2]Base!AZ167</f>
        <v>20747</v>
      </c>
      <c r="AE169" s="365"/>
      <c r="AF169" s="366">
        <f t="shared" si="59"/>
        <v>44805</v>
      </c>
      <c r="AG169" s="1030">
        <f t="shared" si="47"/>
        <v>0.1620418500741003</v>
      </c>
      <c r="AH169" s="1031">
        <f t="shared" si="48"/>
        <v>0.14463934172399301</v>
      </c>
      <c r="AI169" s="1031">
        <f t="shared" si="49"/>
        <v>0.27643831980357891</v>
      </c>
      <c r="AJ169" s="1031">
        <f t="shared" si="50"/>
        <v>8.2881727089738774E-2</v>
      </c>
      <c r="AK169" s="1031">
        <f t="shared" si="51"/>
        <v>9.4903669623305098E-2</v>
      </c>
      <c r="AL169" s="1031">
        <f t="shared" si="52"/>
        <v>9.033599504523436E-2</v>
      </c>
      <c r="AM169" s="1031">
        <f t="shared" si="53"/>
        <v>3.4030834568338164E-2</v>
      </c>
      <c r="AN169" s="1031" t="s">
        <v>160</v>
      </c>
      <c r="AO169" s="1032">
        <f t="shared" si="54"/>
        <v>0.11472826207171138</v>
      </c>
      <c r="AP169" s="365"/>
      <c r="AQ169" s="1029">
        <f>+[2]Base!CS167</f>
        <v>9258.8032000000003</v>
      </c>
      <c r="AR169" s="1025">
        <f>+[2]Base!CT167</f>
        <v>22694.918000000001</v>
      </c>
      <c r="AS169" s="1025">
        <f>+[2]Base!CU167</f>
        <v>17143.252799999998</v>
      </c>
      <c r="AT169" s="1025">
        <f>+[2]Base!CV167</f>
        <v>103040.35279999999</v>
      </c>
      <c r="AU169" s="1026">
        <f>+[2]Base!CW167</f>
        <v>28680.589599999999</v>
      </c>
      <c r="AV169" s="365"/>
      <c r="AW169" s="1033">
        <f t="shared" si="60"/>
        <v>5.1205120512051214E-2</v>
      </c>
      <c r="AX169" s="1034">
        <f t="shared" si="61"/>
        <v>0.12551255125512553</v>
      </c>
      <c r="AY169" s="1034">
        <f t="shared" si="62"/>
        <v>9.4809480948094813E-2</v>
      </c>
      <c r="AZ169" s="1034">
        <f t="shared" si="63"/>
        <v>0.56985698569856991</v>
      </c>
      <c r="BA169" s="1035">
        <f t="shared" si="64"/>
        <v>0.15861586158615862</v>
      </c>
      <c r="BB169" s="365"/>
      <c r="BC169" s="1033">
        <f t="shared" si="45"/>
        <v>0.13464051595972637</v>
      </c>
      <c r="BD169" s="1035">
        <f t="shared" si="46"/>
        <v>0.13502289367161405</v>
      </c>
      <c r="BG169" t="s">
        <v>1944</v>
      </c>
      <c r="BH169" t="s">
        <v>1945</v>
      </c>
    </row>
    <row r="170" spans="1:60" ht="12.75" customHeight="1" outlineLevel="1" x14ac:dyDescent="0.2">
      <c r="A170" s="570">
        <v>44835</v>
      </c>
      <c r="B170" s="708">
        <f>IF([1]RENAME!$H$3=0,A170,TEXT(A170,"[$-em-US] mmm-aa;@"))</f>
        <v>44835</v>
      </c>
      <c r="C170" s="365" t="str">
        <f>IF([1]RENAME!$H$3=0,BG170,BH170)</f>
        <v>4T22</v>
      </c>
      <c r="D170" s="366">
        <v>44835</v>
      </c>
      <c r="E170" s="1024">
        <f>[2]Base!P168</f>
        <v>207879</v>
      </c>
      <c r="F170" s="1025">
        <f>[2]Base!Q168</f>
        <v>168701</v>
      </c>
      <c r="G170" s="1026">
        <f>[2]Base!R168</f>
        <v>39178</v>
      </c>
      <c r="H170" s="365"/>
      <c r="I170" s="1024">
        <f>[2]Base!T168</f>
        <v>188.89999999999998</v>
      </c>
      <c r="J170" s="1027">
        <f>[2]Base!U168</f>
        <v>114.6</v>
      </c>
      <c r="K170" s="1028">
        <f>[2]Base!V168</f>
        <v>74.3</v>
      </c>
      <c r="L170" s="365"/>
      <c r="M170" s="1029">
        <f>+[2]Base!X168</f>
        <v>187336</v>
      </c>
      <c r="N170" s="1026">
        <f>+[2]Base!Y168</f>
        <v>21464</v>
      </c>
      <c r="O170" s="365"/>
      <c r="P170" s="1029">
        <f>[2]Base!AB168</f>
        <v>89833.282500000001</v>
      </c>
      <c r="Q170" s="1026">
        <f>[2]Base!AC168</f>
        <v>78867.717499999999</v>
      </c>
      <c r="R170" s="365"/>
      <c r="S170" s="1029">
        <f>[2]Base!AE168</f>
        <v>828862</v>
      </c>
      <c r="T170" s="1028">
        <f>[2]Base!AF168</f>
        <v>4.9132014629433138</v>
      </c>
      <c r="U170" s="365"/>
      <c r="V170" s="1029">
        <f>[2]Base!AR168</f>
        <v>28163</v>
      </c>
      <c r="W170" s="1025">
        <f>[2]Base!AS168</f>
        <v>23728</v>
      </c>
      <c r="X170" s="1025">
        <f>[2]Base!AT168</f>
        <v>49088</v>
      </c>
      <c r="Y170" s="1025">
        <f>[2]Base!AU168</f>
        <v>15363</v>
      </c>
      <c r="Z170" s="1025">
        <f>[2]Base!AV168</f>
        <v>14774</v>
      </c>
      <c r="AA170" s="1025">
        <f>[2]Base!AW168</f>
        <v>16340</v>
      </c>
      <c r="AB170" s="1025">
        <f>[2]Base!AX168</f>
        <v>5065</v>
      </c>
      <c r="AC170" s="1025" t="s">
        <v>160</v>
      </c>
      <c r="AD170" s="1026">
        <f>[2]Base!AZ168</f>
        <v>16180</v>
      </c>
      <c r="AE170" s="365"/>
      <c r="AF170" s="366">
        <f t="shared" si="59"/>
        <v>44835</v>
      </c>
      <c r="AG170" s="1030">
        <f t="shared" si="47"/>
        <v>0.16694032637625147</v>
      </c>
      <c r="AH170" s="1031">
        <f t="shared" si="48"/>
        <v>0.14065121131469285</v>
      </c>
      <c r="AI170" s="1031">
        <f t="shared" si="49"/>
        <v>0.29097634276026818</v>
      </c>
      <c r="AJ170" s="1031">
        <f t="shared" si="50"/>
        <v>9.1066442996781294E-2</v>
      </c>
      <c r="AK170" s="1031">
        <f t="shared" si="51"/>
        <v>8.7575058831897853E-2</v>
      </c>
      <c r="AL170" s="1031">
        <f t="shared" si="52"/>
        <v>9.6857754251604908E-2</v>
      </c>
      <c r="AM170" s="1031">
        <f t="shared" si="53"/>
        <v>3.0023532759141915E-2</v>
      </c>
      <c r="AN170" s="1031" t="s">
        <v>160</v>
      </c>
      <c r="AO170" s="1032">
        <f t="shared" si="54"/>
        <v>9.5909330709361529E-2</v>
      </c>
      <c r="AP170" s="365"/>
      <c r="AQ170" s="1029">
        <f>+[2]Base!CS168</f>
        <v>8266.3490000000002</v>
      </c>
      <c r="AR170" s="1025">
        <f>+[2]Base!CT168</f>
        <v>21003.2745</v>
      </c>
      <c r="AS170" s="1025">
        <f>+[2]Base!CU168</f>
        <v>14980.648800000001</v>
      </c>
      <c r="AT170" s="1025">
        <f>+[2]Base!CV168</f>
        <v>95552.246400000004</v>
      </c>
      <c r="AU170" s="1026">
        <f>+[2]Base!CW168</f>
        <v>28915.3514</v>
      </c>
      <c r="AV170" s="365"/>
      <c r="AW170" s="1033">
        <f t="shared" si="60"/>
        <v>4.8995100489951003E-2</v>
      </c>
      <c r="AX170" s="1034">
        <f t="shared" si="61"/>
        <v>0.12448755124487551</v>
      </c>
      <c r="AY170" s="1034">
        <f t="shared" si="62"/>
        <v>8.8791120887911218E-2</v>
      </c>
      <c r="AZ170" s="1034">
        <f t="shared" si="63"/>
        <v>0.56634336566343368</v>
      </c>
      <c r="BA170" s="1035">
        <f t="shared" si="64"/>
        <v>0.1713828617138286</v>
      </c>
      <c r="BB170" s="365"/>
      <c r="BC170" s="1033">
        <f t="shared" si="45"/>
        <v>0.20913225434513388</v>
      </c>
      <c r="BD170" s="1035">
        <f t="shared" si="46"/>
        <v>0.12723101819194907</v>
      </c>
      <c r="BG170" t="s">
        <v>1946</v>
      </c>
      <c r="BH170" t="s">
        <v>1947</v>
      </c>
    </row>
    <row r="171" spans="1:60" ht="12.75" customHeight="1" outlineLevel="1" x14ac:dyDescent="0.2">
      <c r="A171" s="570">
        <v>44866</v>
      </c>
      <c r="B171" s="708">
        <f>IF([1]RENAME!$H$3=0,A171,TEXT(A171,"[$-em-US] mmm-aa;@"))</f>
        <v>44866</v>
      </c>
      <c r="C171" s="365" t="str">
        <f>IF([1]RENAME!$H$3=0,BG171,BH171)</f>
        <v>4T22</v>
      </c>
      <c r="D171" s="366">
        <v>44866</v>
      </c>
      <c r="E171" s="1024">
        <f>[2]Base!P169</f>
        <v>232733</v>
      </c>
      <c r="F171" s="1025">
        <f>[2]Base!Q169</f>
        <v>192052</v>
      </c>
      <c r="G171" s="1026">
        <f>[2]Base!R169</f>
        <v>40681</v>
      </c>
      <c r="H171" s="365"/>
      <c r="I171" s="1024">
        <f>[2]Base!T169</f>
        <v>198</v>
      </c>
      <c r="J171" s="1027">
        <f>[2]Base!U169</f>
        <v>122.5</v>
      </c>
      <c r="K171" s="1028">
        <f>[2]Base!V169</f>
        <v>75.5</v>
      </c>
      <c r="L171" s="365"/>
      <c r="M171" s="1029">
        <f>+[2]Base!X169</f>
        <v>197706</v>
      </c>
      <c r="N171" s="1026">
        <f>+[2]Base!Y169</f>
        <v>29416</v>
      </c>
      <c r="O171" s="365"/>
      <c r="P171" s="1029">
        <f>[2]Base!AB169</f>
        <v>108067.66039999999</v>
      </c>
      <c r="Q171" s="1026">
        <f>[2]Base!AC169</f>
        <v>83984.339600000007</v>
      </c>
      <c r="R171" s="365"/>
      <c r="S171" s="1029">
        <f>[2]Base!AE169</f>
        <v>826808</v>
      </c>
      <c r="T171" s="1028">
        <f>[2]Base!AF169</f>
        <v>4.3051256951242376</v>
      </c>
      <c r="U171" s="365"/>
      <c r="V171" s="1029">
        <f>[2]Base!AR169</f>
        <v>27063</v>
      </c>
      <c r="W171" s="1025">
        <f>[2]Base!AS169</f>
        <v>29757</v>
      </c>
      <c r="X171" s="1025">
        <f>[2]Base!AT169</f>
        <v>58644</v>
      </c>
      <c r="Y171" s="1025">
        <f>[2]Base!AU169</f>
        <v>17519</v>
      </c>
      <c r="Z171" s="1025">
        <f>[2]Base!AV169</f>
        <v>17096</v>
      </c>
      <c r="AA171" s="1025">
        <f>[2]Base!AW169</f>
        <v>16163</v>
      </c>
      <c r="AB171" s="1025">
        <f>[2]Base!AX169</f>
        <v>5435</v>
      </c>
      <c r="AC171" s="1025" t="s">
        <v>160</v>
      </c>
      <c r="AD171" s="1026">
        <f>[2]Base!AZ169</f>
        <v>20375</v>
      </c>
      <c r="AE171" s="365"/>
      <c r="AF171" s="366">
        <f t="shared" si="59"/>
        <v>44866</v>
      </c>
      <c r="AG171" s="1030">
        <f t="shared" si="47"/>
        <v>0.14091496053152272</v>
      </c>
      <c r="AH171" s="1031">
        <f t="shared" si="48"/>
        <v>0.15494241143023765</v>
      </c>
      <c r="AI171" s="1031">
        <f t="shared" si="49"/>
        <v>0.30535479974173663</v>
      </c>
      <c r="AJ171" s="1031">
        <f t="shared" si="50"/>
        <v>9.1220086226646943E-2</v>
      </c>
      <c r="AK171" s="1031">
        <f t="shared" si="51"/>
        <v>8.9017557744777459E-2</v>
      </c>
      <c r="AL171" s="1031">
        <f t="shared" si="52"/>
        <v>8.4159498469164595E-2</v>
      </c>
      <c r="AM171" s="1031">
        <f t="shared" si="53"/>
        <v>2.829962718430425E-2</v>
      </c>
      <c r="AN171" s="1031" t="s">
        <v>160</v>
      </c>
      <c r="AO171" s="1032">
        <f t="shared" si="54"/>
        <v>0.10609105867160977</v>
      </c>
      <c r="AP171" s="365"/>
      <c r="AQ171" s="1029">
        <f>+[2]Base!CS169</f>
        <v>8488.6984000000011</v>
      </c>
      <c r="AR171" s="1025">
        <f>+[2]Base!CT169</f>
        <v>22527.6996</v>
      </c>
      <c r="AS171" s="1025">
        <f>+[2]Base!CU169</f>
        <v>16382.035599999999</v>
      </c>
      <c r="AT171" s="1025">
        <f>+[2]Base!CV169</f>
        <v>115154.37920000001</v>
      </c>
      <c r="AU171" s="1026">
        <f>+[2]Base!CW169</f>
        <v>29499.187199999997</v>
      </c>
      <c r="AV171" s="365"/>
      <c r="AW171" s="1033">
        <f t="shared" si="60"/>
        <v>4.4200000000000003E-2</v>
      </c>
      <c r="AX171" s="1034">
        <f t="shared" si="61"/>
        <v>0.1173</v>
      </c>
      <c r="AY171" s="1034">
        <f t="shared" si="62"/>
        <v>8.5300000000000001E-2</v>
      </c>
      <c r="AZ171" s="1034">
        <f t="shared" si="63"/>
        <v>0.59960000000000002</v>
      </c>
      <c r="BA171" s="1035">
        <f t="shared" si="64"/>
        <v>0.15359999999999999</v>
      </c>
      <c r="BB171" s="365"/>
      <c r="BC171" s="1033">
        <f t="shared" si="45"/>
        <v>0.20576512599516453</v>
      </c>
      <c r="BD171" s="1035">
        <f t="shared" si="46"/>
        <v>0.15316685064461708</v>
      </c>
      <c r="BG171" t="s">
        <v>1946</v>
      </c>
      <c r="BH171" t="s">
        <v>1947</v>
      </c>
    </row>
    <row r="172" spans="1:60" ht="12.75" customHeight="1" outlineLevel="1" x14ac:dyDescent="0.2">
      <c r="A172" s="570">
        <v>44896</v>
      </c>
      <c r="B172" s="708">
        <f>IF([1]RENAME!$H$3=0,A172,TEXT(A172,"[$-em-US] mmm-aa;@"))</f>
        <v>44896</v>
      </c>
      <c r="C172" s="365" t="str">
        <f>IF([1]RENAME!$H$3=0,BG172,BH172)</f>
        <v>4T22</v>
      </c>
      <c r="D172" s="366">
        <v>44896</v>
      </c>
      <c r="E172" s="1024">
        <f>[2]Base!P170</f>
        <v>231010</v>
      </c>
      <c r="F172" s="1025">
        <f>[2]Base!Q170</f>
        <v>202155</v>
      </c>
      <c r="G172" s="1026">
        <f>[2]Base!R170</f>
        <v>28855</v>
      </c>
      <c r="H172" s="365"/>
      <c r="I172" s="1024">
        <f>[2]Base!T170</f>
        <v>188</v>
      </c>
      <c r="J172" s="1027">
        <f>[2]Base!U170</f>
        <v>128.30000000000001</v>
      </c>
      <c r="K172" s="1028">
        <f>[2]Base!V170</f>
        <v>59.7</v>
      </c>
      <c r="L172" s="365"/>
      <c r="M172" s="1029">
        <f>+[2]Base!X170</f>
        <v>175274</v>
      </c>
      <c r="N172" s="1026">
        <f>+[2]Base!Y170</f>
        <v>28875</v>
      </c>
      <c r="O172" s="365"/>
      <c r="P172" s="1029">
        <f>[2]Base!AB170</f>
        <v>108941.32950000001</v>
      </c>
      <c r="Q172" s="1026">
        <f>[2]Base!AC170</f>
        <v>93213.670499999993</v>
      </c>
      <c r="R172" s="365"/>
      <c r="S172" s="1029">
        <f>[2]Base!AE170</f>
        <v>1001418</v>
      </c>
      <c r="T172" s="1028">
        <f>[2]Base!AF170</f>
        <v>4.9537137345106474</v>
      </c>
      <c r="U172" s="365"/>
      <c r="V172" s="1029">
        <f>[2]Base!AR170</f>
        <v>32553</v>
      </c>
      <c r="W172" s="1025">
        <f>[2]Base!AS170</f>
        <v>33242</v>
      </c>
      <c r="X172" s="1025">
        <f>[2]Base!AT170</f>
        <v>55997</v>
      </c>
      <c r="Y172" s="1025">
        <f>[2]Base!AU170</f>
        <v>20796</v>
      </c>
      <c r="Z172" s="1025">
        <f>[2]Base!AV170</f>
        <v>16889</v>
      </c>
      <c r="AA172" s="1025">
        <f>[2]Base!AW170</f>
        <v>16495</v>
      </c>
      <c r="AB172" s="1025">
        <f>[2]Base!AX170</f>
        <v>6037</v>
      </c>
      <c r="AC172" s="1025" t="s">
        <v>160</v>
      </c>
      <c r="AD172" s="1026">
        <f>[2]Base!AZ170</f>
        <v>20146</v>
      </c>
      <c r="AE172" s="365"/>
      <c r="AF172" s="366">
        <f t="shared" si="59"/>
        <v>44896</v>
      </c>
      <c r="AG172" s="1030">
        <f t="shared" si="47"/>
        <v>0.16102990279735846</v>
      </c>
      <c r="AH172" s="1031">
        <f t="shared" si="48"/>
        <v>0.16443817862531226</v>
      </c>
      <c r="AI172" s="1031">
        <f t="shared" si="49"/>
        <v>0.27700032153545545</v>
      </c>
      <c r="AJ172" s="1031">
        <f t="shared" si="50"/>
        <v>0.10287155895228908</v>
      </c>
      <c r="AK172" s="1031">
        <f t="shared" si="51"/>
        <v>8.3544804729044547E-2</v>
      </c>
      <c r="AL172" s="1031">
        <f t="shared" si="52"/>
        <v>8.1595805198980978E-2</v>
      </c>
      <c r="AM172" s="1031">
        <f t="shared" si="53"/>
        <v>2.986322376394351E-2</v>
      </c>
      <c r="AN172" s="1031" t="s">
        <v>160</v>
      </c>
      <c r="AO172" s="1032">
        <f t="shared" si="54"/>
        <v>9.9656204397615689E-2</v>
      </c>
      <c r="AP172" s="365"/>
      <c r="AQ172" s="1029">
        <f>+[2]Base!CS170</f>
        <v>10532.2755</v>
      </c>
      <c r="AR172" s="1025">
        <f>+[2]Base!CT170</f>
        <v>27129.201000000005</v>
      </c>
      <c r="AS172" s="1025">
        <f>+[2]Base!CU170</f>
        <v>18476.967000000001</v>
      </c>
      <c r="AT172" s="1025">
        <f>+[2]Base!CV170</f>
        <v>111892.7925</v>
      </c>
      <c r="AU172" s="1026">
        <f>+[2]Base!CW170</f>
        <v>34123.764000000003</v>
      </c>
      <c r="AV172" s="365"/>
      <c r="AW172" s="1033">
        <f t="shared" si="60"/>
        <v>5.21E-2</v>
      </c>
      <c r="AX172" s="1034">
        <f t="shared" si="61"/>
        <v>0.13420000000000001</v>
      </c>
      <c r="AY172" s="1034">
        <f t="shared" si="62"/>
        <v>9.1400000000000009E-2</v>
      </c>
      <c r="AZ172" s="1034">
        <f t="shared" si="63"/>
        <v>0.55349999999999999</v>
      </c>
      <c r="BA172" s="1035">
        <f t="shared" si="64"/>
        <v>0.16880000000000001</v>
      </c>
      <c r="BB172" s="365"/>
      <c r="BC172" s="1033">
        <f t="shared" si="45"/>
        <v>0.16462795394639251</v>
      </c>
      <c r="BD172" s="1035">
        <f t="shared" si="46"/>
        <v>0.14283594271722194</v>
      </c>
      <c r="BG172" t="s">
        <v>1946</v>
      </c>
      <c r="BH172" t="s">
        <v>1947</v>
      </c>
    </row>
    <row r="173" spans="1:60" ht="12.75" customHeight="1" outlineLevel="1" x14ac:dyDescent="0.2">
      <c r="A173" s="570">
        <v>44927</v>
      </c>
      <c r="B173" s="708">
        <f>IF([1]RENAME!$H$3=0,A173,TEXT(A173,"[$-em-US] mmm-aa;@"))</f>
        <v>44927</v>
      </c>
      <c r="C173" s="365" t="str">
        <f>IF([1]RENAME!$H$3=0,BG173,BH173)</f>
        <v>1T23</v>
      </c>
      <c r="D173" s="366">
        <v>44927</v>
      </c>
      <c r="E173" s="967">
        <f>[2]Base!P171</f>
        <v>162413</v>
      </c>
      <c r="F173" s="968">
        <f>[2]Base!Q171</f>
        <v>130681</v>
      </c>
      <c r="G173" s="969">
        <f>[2]Base!R171</f>
        <v>31732</v>
      </c>
      <c r="H173" s="365"/>
      <c r="I173" s="967">
        <f>[2]Base!T171</f>
        <v>180.8</v>
      </c>
      <c r="J173" s="970">
        <f>[2]Base!U171</f>
        <v>112.5</v>
      </c>
      <c r="K173" s="971">
        <f>[2]Base!V171</f>
        <v>68.3</v>
      </c>
      <c r="L173" s="365"/>
      <c r="M173" s="972">
        <f>+[2]Base!X171</f>
        <v>147835</v>
      </c>
      <c r="N173" s="969">
        <f>+[2]Base!Y171</f>
        <v>19859</v>
      </c>
      <c r="O173" s="365"/>
      <c r="P173" s="972">
        <f>[2]Base!AB171</f>
        <v>57460.435699999995</v>
      </c>
      <c r="Q173" s="969">
        <f>[2]Base!AC171</f>
        <v>73220.564299999998</v>
      </c>
      <c r="R173" s="365"/>
      <c r="S173" s="972">
        <f>[2]Base!AE171</f>
        <v>784651</v>
      </c>
      <c r="T173" s="971">
        <f>[2]Base!AF171</f>
        <v>6.0043235053297721</v>
      </c>
      <c r="U173" s="365"/>
      <c r="V173" s="972">
        <f>[2]Base!AR171</f>
        <v>22679</v>
      </c>
      <c r="W173" s="968">
        <f>[2]Base!AS171</f>
        <v>20044</v>
      </c>
      <c r="X173" s="968">
        <f>[2]Base!AT171</f>
        <v>28587</v>
      </c>
      <c r="Y173" s="968">
        <f>[2]Base!AU171</f>
        <v>12422</v>
      </c>
      <c r="Z173" s="968">
        <f>[2]Base!AV171</f>
        <v>6987</v>
      </c>
      <c r="AA173" s="968">
        <f>[2]Base!AW171</f>
        <v>11520</v>
      </c>
      <c r="AB173" s="968">
        <f>[2]Base!AX171</f>
        <v>3273</v>
      </c>
      <c r="AC173" s="968" t="s">
        <v>160</v>
      </c>
      <c r="AD173" s="969">
        <f>[2]Base!AZ171</f>
        <v>25169</v>
      </c>
      <c r="AE173" s="365"/>
      <c r="AF173" s="366">
        <f t="shared" si="59"/>
        <v>44927</v>
      </c>
      <c r="AG173" s="973">
        <f t="shared" si="47"/>
        <v>0.17354473871488588</v>
      </c>
      <c r="AH173" s="974">
        <f t="shared" si="48"/>
        <v>0.15338113421231855</v>
      </c>
      <c r="AI173" s="974">
        <f t="shared" si="49"/>
        <v>0.21875406524284327</v>
      </c>
      <c r="AJ173" s="974">
        <f t="shared" si="50"/>
        <v>9.5055899480414138E-2</v>
      </c>
      <c r="AK173" s="974">
        <f t="shared" si="51"/>
        <v>5.3466073874549477E-2</v>
      </c>
      <c r="AL173" s="974">
        <f t="shared" si="52"/>
        <v>8.8153595396423354E-2</v>
      </c>
      <c r="AM173" s="974">
        <f t="shared" si="53"/>
        <v>2.5045722025390071E-2</v>
      </c>
      <c r="AN173" s="974" t="s">
        <v>160</v>
      </c>
      <c r="AO173" s="975">
        <f t="shared" si="54"/>
        <v>0.1925987710531753</v>
      </c>
      <c r="AP173" s="365"/>
      <c r="AQ173" s="972">
        <f>+[2]Base!CS171</f>
        <v>7109.0463999999993</v>
      </c>
      <c r="AR173" s="968">
        <f>+[2]Base!CT171</f>
        <v>19758.967199999999</v>
      </c>
      <c r="AS173" s="968">
        <f>+[2]Base!CU171</f>
        <v>13826.049800000001</v>
      </c>
      <c r="AT173" s="968">
        <f>+[2]Base!CV171</f>
        <v>67705.826100000006</v>
      </c>
      <c r="AU173" s="969">
        <f>+[2]Base!CW171</f>
        <v>22281.110500000003</v>
      </c>
      <c r="AV173" s="365"/>
      <c r="AW173" s="976">
        <f t="shared" si="60"/>
        <v>5.4399999999999997E-2</v>
      </c>
      <c r="AX173" s="977">
        <f t="shared" si="61"/>
        <v>0.1512</v>
      </c>
      <c r="AY173" s="977">
        <f t="shared" si="62"/>
        <v>0.10580000000000001</v>
      </c>
      <c r="AZ173" s="977">
        <f t="shared" si="63"/>
        <v>0.5181</v>
      </c>
      <c r="BA173" s="978">
        <f t="shared" si="64"/>
        <v>0.17050000000000001</v>
      </c>
      <c r="BB173" s="365"/>
      <c r="BC173" s="976">
        <f t="shared" si="45"/>
        <v>0.21464470524571314</v>
      </c>
      <c r="BD173" s="978">
        <f t="shared" si="46"/>
        <v>0.1519654731751364</v>
      </c>
      <c r="BG173" t="s">
        <v>2027</v>
      </c>
      <c r="BH173" t="s">
        <v>2009</v>
      </c>
    </row>
    <row r="174" spans="1:60" ht="12.75" customHeight="1" outlineLevel="1" x14ac:dyDescent="0.2">
      <c r="A174" s="570">
        <v>44958</v>
      </c>
      <c r="B174" s="708">
        <f>IF([1]RENAME!$H$3=0,A174,TEXT(A174,"[$-em-US] mmm-aa;@"))</f>
        <v>44958</v>
      </c>
      <c r="C174" s="365" t="str">
        <f>IF([1]RENAME!$H$3=0,BG174,BH174)</f>
        <v>1T23</v>
      </c>
      <c r="D174" s="366">
        <v>44958</v>
      </c>
      <c r="E174" s="967">
        <f>[2]Base!P172</f>
        <v>153649</v>
      </c>
      <c r="F174" s="968">
        <f>[2]Base!Q172</f>
        <v>119906</v>
      </c>
      <c r="G174" s="969">
        <f>[2]Base!R172</f>
        <v>33743</v>
      </c>
      <c r="H174" s="365"/>
      <c r="I174" s="967">
        <f>[2]Base!T172</f>
        <v>187.39999999999998</v>
      </c>
      <c r="J174" s="970">
        <f>[2]Base!U172</f>
        <v>116.1</v>
      </c>
      <c r="K174" s="971">
        <f>[2]Base!V172</f>
        <v>71.3</v>
      </c>
      <c r="L174" s="365"/>
      <c r="M174" s="972">
        <f>+[2]Base!X172</f>
        <v>152120</v>
      </c>
      <c r="N174" s="969">
        <f>+[2]Base!Y172</f>
        <v>16869</v>
      </c>
      <c r="O174" s="365"/>
      <c r="P174" s="972">
        <f>[2]Base!AB172</f>
        <v>52602.762199999997</v>
      </c>
      <c r="Q174" s="969">
        <f>[2]Base!AC172</f>
        <v>67303.237800000003</v>
      </c>
      <c r="R174" s="365"/>
      <c r="S174" s="972">
        <f>[2]Base!AE172</f>
        <v>726577</v>
      </c>
      <c r="T174" s="971">
        <f>[2]Base!AF172</f>
        <v>6.0595549847380452</v>
      </c>
      <c r="U174" s="365"/>
      <c r="V174" s="972">
        <f>[2]Base!AR172</f>
        <v>18571</v>
      </c>
      <c r="W174" s="968">
        <f>[2]Base!AS172</f>
        <v>16278</v>
      </c>
      <c r="X174" s="968">
        <f>[2]Base!AT172</f>
        <v>26606</v>
      </c>
      <c r="Y174" s="968">
        <f>[2]Base!AU172</f>
        <v>12348</v>
      </c>
      <c r="Z174" s="968">
        <f>[2]Base!AV172</f>
        <v>7652</v>
      </c>
      <c r="AA174" s="968">
        <f>[2]Base!AW172</f>
        <v>8721</v>
      </c>
      <c r="AB174" s="968">
        <f>[2]Base!AX172</f>
        <v>4183</v>
      </c>
      <c r="AC174" s="968" t="s">
        <v>160</v>
      </c>
      <c r="AD174" s="969">
        <f>[2]Base!AZ172</f>
        <v>25547</v>
      </c>
      <c r="AE174" s="365"/>
      <c r="AF174" s="366">
        <f t="shared" si="59"/>
        <v>44958</v>
      </c>
      <c r="AG174" s="973">
        <f t="shared" si="47"/>
        <v>0.15487965573032209</v>
      </c>
      <c r="AH174" s="974">
        <f t="shared" si="48"/>
        <v>0.13575634246826682</v>
      </c>
      <c r="AI174" s="974">
        <f t="shared" si="49"/>
        <v>0.22189048087668672</v>
      </c>
      <c r="AJ174" s="974">
        <f t="shared" si="50"/>
        <v>0.10298066819008223</v>
      </c>
      <c r="AK174" s="974">
        <f t="shared" si="51"/>
        <v>6.3816656380831657E-2</v>
      </c>
      <c r="AL174" s="974">
        <f t="shared" si="52"/>
        <v>7.2731973379146997E-2</v>
      </c>
      <c r="AM174" s="974">
        <f t="shared" si="53"/>
        <v>3.4885660434006635E-2</v>
      </c>
      <c r="AN174" s="974" t="s">
        <v>160</v>
      </c>
      <c r="AO174" s="975">
        <f t="shared" si="54"/>
        <v>0.21305856254065686</v>
      </c>
      <c r="AP174" s="365"/>
      <c r="AQ174" s="972">
        <f>+[2]Base!CS172</f>
        <v>6462.9334000000008</v>
      </c>
      <c r="AR174" s="968">
        <f>+[2]Base!CT172</f>
        <v>16594.990399999999</v>
      </c>
      <c r="AS174" s="968">
        <f>+[2]Base!CU172</f>
        <v>13309.566000000001</v>
      </c>
      <c r="AT174" s="968">
        <f>+[2]Base!CV172</f>
        <v>62914.678200000009</v>
      </c>
      <c r="AU174" s="969">
        <f>+[2]Base!CW172</f>
        <v>20623.831999999999</v>
      </c>
      <c r="AV174" s="365"/>
      <c r="AW174" s="976">
        <f t="shared" si="60"/>
        <v>5.3900000000000003E-2</v>
      </c>
      <c r="AX174" s="977">
        <f t="shared" si="61"/>
        <v>0.1384</v>
      </c>
      <c r="AY174" s="977">
        <f t="shared" si="62"/>
        <v>0.111</v>
      </c>
      <c r="AZ174" s="977">
        <f t="shared" si="63"/>
        <v>0.52470000000000006</v>
      </c>
      <c r="BA174" s="978">
        <f t="shared" si="64"/>
        <v>0.17199999999999999</v>
      </c>
      <c r="BB174" s="365"/>
      <c r="BC174" s="976">
        <f t="shared" si="45"/>
        <v>0.22181830134104655</v>
      </c>
      <c r="BD174" s="978">
        <f t="shared" si="46"/>
        <v>0.14068520340933732</v>
      </c>
      <c r="BG174" t="s">
        <v>2027</v>
      </c>
      <c r="BH174" t="s">
        <v>2009</v>
      </c>
    </row>
    <row r="175" spans="1:60" ht="12.75" customHeight="1" outlineLevel="1" x14ac:dyDescent="0.2">
      <c r="A175" s="570">
        <v>44986</v>
      </c>
      <c r="B175" s="708">
        <f>IF([1]RENAME!$H$3=0,A175,TEXT(A175,"[$-em-US] mmm-aa;@"))</f>
        <v>44986</v>
      </c>
      <c r="C175" s="365" t="str">
        <f>IF([1]RENAME!$H$3=0,BG175,BH175)</f>
        <v>1T23</v>
      </c>
      <c r="D175" s="366">
        <v>44986</v>
      </c>
      <c r="E175" s="967">
        <f>[2]Base!P173</f>
        <v>229765</v>
      </c>
      <c r="F175" s="968">
        <f>[2]Base!Q173</f>
        <v>186353</v>
      </c>
      <c r="G175" s="969">
        <f>[2]Base!R173</f>
        <v>43412</v>
      </c>
      <c r="H175" s="365"/>
      <c r="I175" s="967">
        <f>[2]Base!T173</f>
        <v>203.89999999999998</v>
      </c>
      <c r="J175" s="970">
        <f>[2]Base!U173</f>
        <v>131.6</v>
      </c>
      <c r="K175" s="971">
        <f>[2]Base!V173</f>
        <v>72.3</v>
      </c>
      <c r="L175" s="365"/>
      <c r="M175" s="972">
        <f>+[2]Base!X173</f>
        <v>207552</v>
      </c>
      <c r="N175" s="969">
        <f>+[2]Base!Y173</f>
        <v>26475</v>
      </c>
      <c r="O175" s="365"/>
      <c r="P175" s="972">
        <f>[2]Base!AB173</f>
        <v>91033.440499999997</v>
      </c>
      <c r="Q175" s="969">
        <f>[2]Base!AC173</f>
        <v>95319.559500000003</v>
      </c>
      <c r="R175" s="365"/>
      <c r="S175" s="972">
        <f>[2]Base!AE173</f>
        <v>953882</v>
      </c>
      <c r="T175" s="971">
        <f>[2]Base!AF173</f>
        <v>5.1186833590014649</v>
      </c>
      <c r="U175" s="365"/>
      <c r="V175" s="972">
        <f>[2]Base!AR173</f>
        <v>29972</v>
      </c>
      <c r="W175" s="968">
        <f>[2]Base!AS173</f>
        <v>23390</v>
      </c>
      <c r="X175" s="968">
        <f>[2]Base!AT173</f>
        <v>41449</v>
      </c>
      <c r="Y175" s="968">
        <f>[2]Base!AU173</f>
        <v>17290</v>
      </c>
      <c r="Z175" s="968">
        <f>[2]Base!AV173</f>
        <v>11673</v>
      </c>
      <c r="AA175" s="968">
        <f>[2]Base!AW173</f>
        <v>16261</v>
      </c>
      <c r="AB175" s="968">
        <f>[2]Base!AX173</f>
        <v>6729</v>
      </c>
      <c r="AC175" s="968">
        <f>[2]Base!AY173</f>
        <v>209</v>
      </c>
      <c r="AD175" s="969">
        <f>[2]Base!AZ173</f>
        <v>39380</v>
      </c>
      <c r="AE175" s="365"/>
      <c r="AF175" s="366">
        <f t="shared" si="59"/>
        <v>44986</v>
      </c>
      <c r="AG175" s="973">
        <f t="shared" si="47"/>
        <v>0.16083454519111579</v>
      </c>
      <c r="AH175" s="974">
        <f t="shared" si="48"/>
        <v>0.12551448058255033</v>
      </c>
      <c r="AI175" s="974">
        <f t="shared" si="49"/>
        <v>0.22242196261932998</v>
      </c>
      <c r="AJ175" s="974">
        <f t="shared" si="50"/>
        <v>9.2780905056532498E-2</v>
      </c>
      <c r="AK175" s="974">
        <f t="shared" si="51"/>
        <v>6.2639184772984607E-2</v>
      </c>
      <c r="AL175" s="974">
        <f t="shared" si="52"/>
        <v>8.7259126496487843E-2</v>
      </c>
      <c r="AM175" s="974">
        <f t="shared" si="53"/>
        <v>3.6108890117143272E-2</v>
      </c>
      <c r="AN175" s="974">
        <f t="shared" ref="AN175:AN190" si="65">+AC175/SUM($V175:$AD175)</f>
        <v>1.1215274237602829E-3</v>
      </c>
      <c r="AO175" s="975">
        <f t="shared" si="54"/>
        <v>0.2113193777400954</v>
      </c>
      <c r="AP175" s="365"/>
      <c r="AQ175" s="972">
        <f>+[2]Base!CS173</f>
        <v>8851.7674999999999</v>
      </c>
      <c r="AR175" s="968">
        <f>+[2]Base!CT173</f>
        <v>24449.513600000002</v>
      </c>
      <c r="AS175" s="968">
        <f>+[2]Base!CU173</f>
        <v>18467.582299999998</v>
      </c>
      <c r="AT175" s="968">
        <f>+[2]Base!CV173</f>
        <v>102158.71460000001</v>
      </c>
      <c r="AU175" s="969">
        <f>+[2]Base!CW173</f>
        <v>32444.0573</v>
      </c>
      <c r="AV175" s="365"/>
      <c r="AW175" s="976">
        <f t="shared" si="60"/>
        <v>4.7495250474952497E-2</v>
      </c>
      <c r="AX175" s="977">
        <f t="shared" si="61"/>
        <v>0.13118688131186881</v>
      </c>
      <c r="AY175" s="977">
        <f t="shared" si="62"/>
        <v>9.9090090990900881E-2</v>
      </c>
      <c r="AZ175" s="977">
        <f t="shared" si="63"/>
        <v>0.54814518548145186</v>
      </c>
      <c r="BA175" s="978">
        <f t="shared" si="64"/>
        <v>0.17408259174082591</v>
      </c>
      <c r="BB175" s="365"/>
      <c r="BC175" s="976">
        <f t="shared" si="45"/>
        <v>0.20916204131976565</v>
      </c>
      <c r="BD175" s="978">
        <f t="shared" si="46"/>
        <v>0.14206908394283965</v>
      </c>
      <c r="BG175" t="s">
        <v>2027</v>
      </c>
      <c r="BH175" t="s">
        <v>2009</v>
      </c>
    </row>
    <row r="176" spans="1:60" ht="12.75" customHeight="1" outlineLevel="1" x14ac:dyDescent="0.2">
      <c r="A176" s="570">
        <v>45017</v>
      </c>
      <c r="B176" s="708">
        <f>IF([1]RENAME!$H$3=0,A176,TEXT(A176,"[$-em-US] mmm-aa;@"))</f>
        <v>45017</v>
      </c>
      <c r="C176" s="365" t="str">
        <f>IF([1]RENAME!$H$3=0,BG176,BH176)</f>
        <v>2T23</v>
      </c>
      <c r="D176" s="366">
        <v>45017</v>
      </c>
      <c r="E176" s="967">
        <f>[2]Base!P174</f>
        <v>184169</v>
      </c>
      <c r="F176" s="968">
        <f>[2]Base!Q174</f>
        <v>151497</v>
      </c>
      <c r="G176" s="969">
        <f>[2]Base!R174</f>
        <v>32672</v>
      </c>
      <c r="H176" s="365"/>
      <c r="I176" s="967">
        <f>[2]Base!T174</f>
        <v>206.1</v>
      </c>
      <c r="J176" s="970">
        <f>[2]Base!U174</f>
        <v>132.6</v>
      </c>
      <c r="K176" s="971">
        <f>[2]Base!V174</f>
        <v>73.5</v>
      </c>
      <c r="L176" s="365"/>
      <c r="M176" s="972">
        <f>+[2]Base!X174</f>
        <v>169970</v>
      </c>
      <c r="N176" s="969">
        <f>+[2]Base!Y174</f>
        <v>21772</v>
      </c>
      <c r="O176" s="365"/>
      <c r="P176" s="972">
        <f>[2]Base!AB174</f>
        <v>75384.907200000001</v>
      </c>
      <c r="Q176" s="969">
        <f>[2]Base!AC174</f>
        <v>76112.092799999999</v>
      </c>
      <c r="R176" s="365"/>
      <c r="S176" s="972">
        <f>[2]Base!AE174</f>
        <v>757546</v>
      </c>
      <c r="T176" s="971">
        <f>[2]Base!AF174</f>
        <v>5.0004026482372588</v>
      </c>
      <c r="U176" s="365"/>
      <c r="V176" s="972">
        <f>[2]Base!AR174</f>
        <v>24376</v>
      </c>
      <c r="W176" s="968">
        <f>[2]Base!AS174</f>
        <v>21507</v>
      </c>
      <c r="X176" s="968">
        <f>[2]Base!AT174</f>
        <v>33413</v>
      </c>
      <c r="Y176" s="968">
        <f>[2]Base!AU174</f>
        <v>14278</v>
      </c>
      <c r="Z176" s="968">
        <f>[2]Base!AV174</f>
        <v>8166</v>
      </c>
      <c r="AA176" s="968">
        <f>[2]Base!AW174</f>
        <v>13731</v>
      </c>
      <c r="AB176" s="968">
        <f>[2]Base!AX174</f>
        <v>6553</v>
      </c>
      <c r="AC176" s="968">
        <f>[2]Base!AY174</f>
        <v>127</v>
      </c>
      <c r="AD176" s="969">
        <f>[2]Base!AZ174</f>
        <v>29346</v>
      </c>
      <c r="AE176" s="365"/>
      <c r="AF176" s="366">
        <f t="shared" si="59"/>
        <v>45017</v>
      </c>
      <c r="AG176" s="973">
        <f t="shared" si="47"/>
        <v>0.16090087592493582</v>
      </c>
      <c r="AH176" s="974">
        <f t="shared" si="48"/>
        <v>0.14196320719222164</v>
      </c>
      <c r="AI176" s="974">
        <f t="shared" si="49"/>
        <v>0.22055222215621431</v>
      </c>
      <c r="AJ176" s="974">
        <f t="shared" si="50"/>
        <v>9.4246090681663661E-2</v>
      </c>
      <c r="AK176" s="974">
        <f t="shared" si="51"/>
        <v>5.3902057466484486E-2</v>
      </c>
      <c r="AL176" s="974">
        <f t="shared" si="52"/>
        <v>9.063545812788372E-2</v>
      </c>
      <c r="AM176" s="974">
        <f t="shared" si="53"/>
        <v>4.3254981946837232E-2</v>
      </c>
      <c r="AN176" s="974">
        <f t="shared" si="65"/>
        <v>8.3830042839132127E-4</v>
      </c>
      <c r="AO176" s="975">
        <f t="shared" si="54"/>
        <v>0.19370680607536783</v>
      </c>
      <c r="AP176" s="365"/>
      <c r="AQ176" s="972">
        <f>+[2]Base!CS174</f>
        <v>7120.3590000000004</v>
      </c>
      <c r="AR176" s="968">
        <f>+[2]Base!CT174</f>
        <v>20603.592000000001</v>
      </c>
      <c r="AS176" s="968">
        <f>+[2]Base!CU174</f>
        <v>15785.9874</v>
      </c>
      <c r="AT176" s="968">
        <f>+[2]Base!CV174</f>
        <v>83641.493700000006</v>
      </c>
      <c r="AU176" s="969">
        <f>+[2]Base!CW174</f>
        <v>25163.651699999999</v>
      </c>
      <c r="AV176" s="365"/>
      <c r="AW176" s="976">
        <f t="shared" si="60"/>
        <v>4.674756315894172E-2</v>
      </c>
      <c r="AX176" s="977">
        <f t="shared" si="61"/>
        <v>0.13526954445991646</v>
      </c>
      <c r="AY176" s="977">
        <f t="shared" si="62"/>
        <v>0.10364034215237716</v>
      </c>
      <c r="AZ176" s="977">
        <f t="shared" si="63"/>
        <v>0.54913467276705796</v>
      </c>
      <c r="BA176" s="978">
        <f t="shared" si="64"/>
        <v>0.16520787746170679</v>
      </c>
      <c r="BB176" s="365"/>
      <c r="BC176" s="976">
        <f t="shared" si="45"/>
        <v>0.19222215685120903</v>
      </c>
      <c r="BD176" s="978">
        <f t="shared" si="46"/>
        <v>0.14371241674752636</v>
      </c>
      <c r="BG176" t="s">
        <v>2028</v>
      </c>
      <c r="BH176" t="s">
        <v>2029</v>
      </c>
    </row>
    <row r="177" spans="1:60" ht="12.75" customHeight="1" outlineLevel="1" x14ac:dyDescent="0.2">
      <c r="A177" s="570">
        <v>45047</v>
      </c>
      <c r="B177" s="708">
        <f>IF([1]RENAME!$H$3=0,A177,TEXT(A177,"[$-em-US] mmm-aa;@"))</f>
        <v>45047</v>
      </c>
      <c r="C177" s="365" t="str">
        <f>IF([1]RENAME!$H$3=0,BG177,BH177)</f>
        <v>2T23</v>
      </c>
      <c r="D177" s="366">
        <v>45047</v>
      </c>
      <c r="E177" s="967">
        <f>[2]Base!P175</f>
        <v>210313</v>
      </c>
      <c r="F177" s="968">
        <f>[2]Base!Q175</f>
        <v>166381</v>
      </c>
      <c r="G177" s="969">
        <f>[2]Base!R175</f>
        <v>43932</v>
      </c>
      <c r="H177" s="365"/>
      <c r="I177" s="967">
        <f>[2]Base!T175</f>
        <v>251.7</v>
      </c>
      <c r="J177" s="970">
        <f>[2]Base!U175</f>
        <v>129.5</v>
      </c>
      <c r="K177" s="971">
        <f>[2]Base!V175</f>
        <v>122.2</v>
      </c>
      <c r="L177" s="365"/>
      <c r="M177" s="972">
        <f>+[2]Base!X175</f>
        <v>217575</v>
      </c>
      <c r="N177" s="969">
        <f>+[2]Base!Y175</f>
        <v>26766</v>
      </c>
      <c r="O177" s="365"/>
      <c r="P177" s="972">
        <f>[2]Base!AB175</f>
        <v>79763.051399999997</v>
      </c>
      <c r="Q177" s="969">
        <f>[2]Base!AC175</f>
        <v>86617.948600000003</v>
      </c>
      <c r="R177" s="365"/>
      <c r="S177" s="972">
        <f>[2]Base!AE175</f>
        <v>930599</v>
      </c>
      <c r="T177" s="971">
        <f>[2]Base!AF175</f>
        <v>5.5931807117399224</v>
      </c>
      <c r="U177" s="365"/>
      <c r="V177" s="972">
        <f>[2]Base!AR175</f>
        <v>26192</v>
      </c>
      <c r="W177" s="968">
        <f>[2]Base!AS175</f>
        <v>27384</v>
      </c>
      <c r="X177" s="968">
        <f>[2]Base!AT175</f>
        <v>34437</v>
      </c>
      <c r="Y177" s="968">
        <f>[2]Base!AU175</f>
        <v>16442</v>
      </c>
      <c r="Z177" s="968">
        <f>[2]Base!AV175</f>
        <v>7961</v>
      </c>
      <c r="AA177" s="968">
        <f>[2]Base!AW175</f>
        <v>10918</v>
      </c>
      <c r="AB177" s="968">
        <f>[2]Base!AX175</f>
        <v>6706</v>
      </c>
      <c r="AC177" s="968">
        <f>[2]Base!AY175</f>
        <v>363</v>
      </c>
      <c r="AD177" s="969">
        <f>[2]Base!AZ175</f>
        <v>35978</v>
      </c>
      <c r="AE177" s="365"/>
      <c r="AF177" s="366">
        <f t="shared" si="59"/>
        <v>45047</v>
      </c>
      <c r="AG177" s="973">
        <f t="shared" si="47"/>
        <v>0.15742182100119606</v>
      </c>
      <c r="AH177" s="974">
        <f t="shared" si="48"/>
        <v>0.16458610057638792</v>
      </c>
      <c r="AI177" s="974">
        <f t="shared" si="49"/>
        <v>0.20697675816349223</v>
      </c>
      <c r="AJ177" s="974">
        <f t="shared" si="50"/>
        <v>9.882137984505443E-2</v>
      </c>
      <c r="AK177" s="974">
        <f t="shared" si="51"/>
        <v>4.7848011491696769E-2</v>
      </c>
      <c r="AL177" s="974">
        <f t="shared" si="52"/>
        <v>6.5620473491564538E-2</v>
      </c>
      <c r="AM177" s="974">
        <f t="shared" si="53"/>
        <v>4.0305082912111358E-2</v>
      </c>
      <c r="AN177" s="974">
        <f t="shared" si="65"/>
        <v>2.1817395015055804E-3</v>
      </c>
      <c r="AO177" s="975">
        <f t="shared" si="54"/>
        <v>0.21623863301699112</v>
      </c>
      <c r="AP177" s="365"/>
      <c r="AQ177" s="972">
        <f>+[2]Base!CS175</f>
        <v>8601.8977000000014</v>
      </c>
      <c r="AR177" s="968">
        <f>+[2]Base!CT175</f>
        <v>24025.416400000002</v>
      </c>
      <c r="AS177" s="968">
        <f>+[2]Base!CU175</f>
        <v>17386.8145</v>
      </c>
      <c r="AT177" s="968">
        <f>+[2]Base!CV175</f>
        <v>87466.491699999984</v>
      </c>
      <c r="AU177" s="969">
        <f>+[2]Base!CW175</f>
        <v>28900.379699999998</v>
      </c>
      <c r="AV177" s="365"/>
      <c r="AW177" s="976">
        <f t="shared" si="60"/>
        <v>5.1700000000000017E-2</v>
      </c>
      <c r="AX177" s="977">
        <f t="shared" si="61"/>
        <v>0.14440000000000003</v>
      </c>
      <c r="AY177" s="977">
        <f t="shared" si="62"/>
        <v>0.10450000000000002</v>
      </c>
      <c r="AZ177" s="977">
        <f t="shared" si="63"/>
        <v>0.52569999999999995</v>
      </c>
      <c r="BA177" s="978">
        <f t="shared" si="64"/>
        <v>0.17370000000000002</v>
      </c>
      <c r="BB177" s="365"/>
      <c r="BC177" s="976">
        <f t="shared" si="45"/>
        <v>0.20191658048948638</v>
      </c>
      <c r="BD177" s="978">
        <f t="shared" si="46"/>
        <v>0.1608717341523371</v>
      </c>
      <c r="BG177" t="s">
        <v>2028</v>
      </c>
      <c r="BH177" t="s">
        <v>2029</v>
      </c>
    </row>
    <row r="178" spans="1:60" ht="12.75" customHeight="1" outlineLevel="1" x14ac:dyDescent="0.2">
      <c r="A178" s="570">
        <v>45078</v>
      </c>
      <c r="B178" s="708">
        <f>IF([1]RENAME!$H$3=0,A178,TEXT(A178,"[$-em-US] mmm-aa;@"))</f>
        <v>45078</v>
      </c>
      <c r="C178" s="365" t="str">
        <f>IF([1]RENAME!$H$3=0,BG178,BH178)</f>
        <v>2T23</v>
      </c>
      <c r="D178" s="366">
        <v>45078</v>
      </c>
      <c r="E178" s="967">
        <f>[2]Base!P176</f>
        <v>214420</v>
      </c>
      <c r="F178" s="968">
        <f>[2]Base!Q176</f>
        <v>179870</v>
      </c>
      <c r="G178" s="969">
        <f>[2]Base!R176</f>
        <v>34550</v>
      </c>
      <c r="H178" s="365"/>
      <c r="I178" s="967">
        <f>[2]Base!T176</f>
        <v>223.6</v>
      </c>
      <c r="J178" s="970">
        <f>[2]Base!U176</f>
        <v>138.1</v>
      </c>
      <c r="K178" s="971">
        <f>[2]Base!V176</f>
        <v>85.5</v>
      </c>
      <c r="L178" s="365"/>
      <c r="M178" s="972">
        <f>+[2]Base!X176</f>
        <v>180204</v>
      </c>
      <c r="N178" s="969">
        <f>+[2]Base!Y176</f>
        <v>27455</v>
      </c>
      <c r="O178" s="365"/>
      <c r="P178" s="972">
        <f>[2]Base!AB176</f>
        <v>78315.398000000001</v>
      </c>
      <c r="Q178" s="969">
        <f>[2]Base!AC176</f>
        <v>101554.602</v>
      </c>
      <c r="R178" s="365"/>
      <c r="S178" s="972">
        <f>[2]Base!AE176</f>
        <v>864283</v>
      </c>
      <c r="T178" s="971">
        <f>[2]Base!AF176</f>
        <v>4.8050425307166282</v>
      </c>
      <c r="U178" s="365"/>
      <c r="V178" s="972">
        <f>[2]Base!AR176</f>
        <v>27097</v>
      </c>
      <c r="W178" s="968">
        <f>[2]Base!AS176</f>
        <v>29766</v>
      </c>
      <c r="X178" s="968">
        <f>[2]Base!AT176</f>
        <v>42398</v>
      </c>
      <c r="Y178" s="968">
        <f>[2]Base!AU176</f>
        <v>15388</v>
      </c>
      <c r="Z178" s="968">
        <f>[2]Base!AV176</f>
        <v>10579</v>
      </c>
      <c r="AA178" s="968">
        <f>[2]Base!AW176</f>
        <v>12460</v>
      </c>
      <c r="AB178" s="968">
        <f>[2]Base!AX176</f>
        <v>6666</v>
      </c>
      <c r="AC178" s="968">
        <f>[2]Base!AY176</f>
        <v>411</v>
      </c>
      <c r="AD178" s="969">
        <f>[2]Base!AZ176</f>
        <v>35105</v>
      </c>
      <c r="AE178" s="365"/>
      <c r="AF178" s="366">
        <f t="shared" si="59"/>
        <v>45078</v>
      </c>
      <c r="AG178" s="973">
        <f t="shared" si="47"/>
        <v>0.15064768999833214</v>
      </c>
      <c r="AH178" s="974">
        <f t="shared" si="48"/>
        <v>0.16548618446655919</v>
      </c>
      <c r="AI178" s="974">
        <f t="shared" si="49"/>
        <v>0.23571468282648581</v>
      </c>
      <c r="AJ178" s="974">
        <f t="shared" si="50"/>
        <v>8.5550675487852335E-2</v>
      </c>
      <c r="AK178" s="974">
        <f t="shared" si="51"/>
        <v>5.8814699505198201E-2</v>
      </c>
      <c r="AL178" s="974">
        <f t="shared" si="52"/>
        <v>6.9272252182131538E-2</v>
      </c>
      <c r="AM178" s="974">
        <f t="shared" si="53"/>
        <v>3.7060098960360263E-2</v>
      </c>
      <c r="AN178" s="974">
        <f t="shared" si="65"/>
        <v>2.2849835992661367E-3</v>
      </c>
      <c r="AO178" s="975">
        <f t="shared" si="54"/>
        <v>0.19516873297381443</v>
      </c>
      <c r="AP178" s="365"/>
      <c r="AQ178" s="972">
        <f>+[2]Base!CS176</f>
        <v>8687.7210000000014</v>
      </c>
      <c r="AR178" s="968">
        <f>+[2]Base!CT176</f>
        <v>24768.098999999998</v>
      </c>
      <c r="AS178" s="968">
        <f>+[2]Base!CU176</f>
        <v>18418.688000000002</v>
      </c>
      <c r="AT178" s="968">
        <f>+[2]Base!CV176</f>
        <v>96662.137999999992</v>
      </c>
      <c r="AU178" s="969">
        <f>+[2]Base!CW176</f>
        <v>31333.353999999999</v>
      </c>
      <c r="AV178" s="365"/>
      <c r="AW178" s="976">
        <f t="shared" si="60"/>
        <v>4.830000000000001E-2</v>
      </c>
      <c r="AX178" s="977">
        <f t="shared" si="61"/>
        <v>0.13769999999999999</v>
      </c>
      <c r="AY178" s="977">
        <f t="shared" si="62"/>
        <v>0.1024</v>
      </c>
      <c r="AZ178" s="977">
        <f t="shared" si="63"/>
        <v>0.53739999999999999</v>
      </c>
      <c r="BA178" s="978">
        <f t="shared" si="64"/>
        <v>0.17419999999999999</v>
      </c>
      <c r="BB178" s="365"/>
      <c r="BC178" s="976">
        <f t="shared" si="45"/>
        <v>0.19172715367028478</v>
      </c>
      <c r="BD178" s="978">
        <f t="shared" si="46"/>
        <v>0.15263801634513816</v>
      </c>
      <c r="BG178" t="s">
        <v>2028</v>
      </c>
      <c r="BH178" t="s">
        <v>2029</v>
      </c>
    </row>
    <row r="179" spans="1:60" ht="12.75" customHeight="1" outlineLevel="1" x14ac:dyDescent="0.2">
      <c r="A179" s="570">
        <v>45108</v>
      </c>
      <c r="B179" s="708">
        <f>IF([1]RENAME!$H$3=0,A179,TEXT(A179,"[$-em-US] mmm-aa;@"))</f>
        <v>45108</v>
      </c>
      <c r="C179" s="365" t="str">
        <f>IF([1]RENAME!$H$3=0,BG179,BH179)</f>
        <v>3T23</v>
      </c>
      <c r="D179" s="366">
        <v>45108</v>
      </c>
      <c r="E179" s="967">
        <f>[2]Base!P177</f>
        <v>244300</v>
      </c>
      <c r="F179" s="968">
        <f>[2]Base!Q177</f>
        <v>215722</v>
      </c>
      <c r="G179" s="969">
        <f>[2]Base!R177</f>
        <v>28578</v>
      </c>
      <c r="H179" s="365"/>
      <c r="I179" s="967">
        <f>[2]Base!T177</f>
        <v>198.8</v>
      </c>
      <c r="J179" s="970">
        <f>[2]Base!U177</f>
        <v>125.2</v>
      </c>
      <c r="K179" s="971">
        <f>[2]Base!V177</f>
        <v>73.599999999999994</v>
      </c>
      <c r="L179" s="365"/>
      <c r="M179" s="972">
        <f>+[2]Base!X177</f>
        <v>174364</v>
      </c>
      <c r="N179" s="969">
        <f>+[2]Base!Y177</f>
        <v>29182</v>
      </c>
      <c r="O179" s="365"/>
      <c r="P179" s="972">
        <f>[2]Base!AB177</f>
        <v>101777.63959999999</v>
      </c>
      <c r="Q179" s="969">
        <f>[2]Base!AC177</f>
        <v>113944.36040000001</v>
      </c>
      <c r="R179" s="365"/>
      <c r="S179" s="972">
        <f>[2]Base!AE177</f>
        <v>905343</v>
      </c>
      <c r="T179" s="971">
        <f>[2]Base!AF177</f>
        <v>4.1968042202464284</v>
      </c>
      <c r="U179" s="365"/>
      <c r="V179" s="972">
        <f>[2]Base!AR177</f>
        <v>29630</v>
      </c>
      <c r="W179" s="968">
        <f>[2]Base!AS177</f>
        <v>41550</v>
      </c>
      <c r="X179" s="968">
        <f>[2]Base!AT177</f>
        <v>44407</v>
      </c>
      <c r="Y179" s="968">
        <f>[2]Base!AU177</f>
        <v>17232</v>
      </c>
      <c r="Z179" s="968">
        <f>[2]Base!AV177</f>
        <v>13970</v>
      </c>
      <c r="AA179" s="968">
        <f>[2]Base!AW177</f>
        <v>22278</v>
      </c>
      <c r="AB179" s="968">
        <f>[2]Base!AX177</f>
        <v>6720</v>
      </c>
      <c r="AC179" s="968">
        <f>[2]Base!AY177</f>
        <v>776</v>
      </c>
      <c r="AD179" s="969">
        <f>[2]Base!AZ177</f>
        <v>39159</v>
      </c>
      <c r="AE179" s="365"/>
      <c r="AF179" s="366">
        <f t="shared" si="59"/>
        <v>45108</v>
      </c>
      <c r="AG179" s="973">
        <f t="shared" si="47"/>
        <v>0.13735270394303781</v>
      </c>
      <c r="AH179" s="974">
        <f t="shared" si="48"/>
        <v>0.19260900603554576</v>
      </c>
      <c r="AI179" s="974">
        <f t="shared" si="49"/>
        <v>0.20585290327365777</v>
      </c>
      <c r="AJ179" s="974">
        <f t="shared" si="50"/>
        <v>7.9880587051853774E-2</v>
      </c>
      <c r="AK179" s="974">
        <f t="shared" si="51"/>
        <v>6.4759273509424162E-2</v>
      </c>
      <c r="AL179" s="974">
        <f t="shared" si="52"/>
        <v>0.10327180352490706</v>
      </c>
      <c r="AM179" s="974">
        <f t="shared" si="53"/>
        <v>3.115120386423267E-2</v>
      </c>
      <c r="AN179" s="974">
        <f t="shared" si="65"/>
        <v>3.5972223509887725E-3</v>
      </c>
      <c r="AO179" s="975">
        <f t="shared" si="54"/>
        <v>0.18152529644635226</v>
      </c>
      <c r="AP179" s="365"/>
      <c r="AQ179" s="972">
        <f>+[2]Base!CS177</f>
        <v>9642.7734</v>
      </c>
      <c r="AR179" s="968">
        <f>+[2]Base!CT177</f>
        <v>29187.186600000001</v>
      </c>
      <c r="AS179" s="968">
        <f>+[2]Base!CU177</f>
        <v>20428.8734</v>
      </c>
      <c r="AT179" s="968">
        <f>+[2]Base!CV177</f>
        <v>124536.31060000001</v>
      </c>
      <c r="AU179" s="969">
        <f>+[2]Base!CW177</f>
        <v>31905.283800000001</v>
      </c>
      <c r="AV179" s="365"/>
      <c r="AW179" s="976">
        <f t="shared" si="60"/>
        <v>4.4704470447044696E-2</v>
      </c>
      <c r="AX179" s="977">
        <f t="shared" si="61"/>
        <v>0.13531353135313529</v>
      </c>
      <c r="AY179" s="977">
        <f t="shared" si="62"/>
        <v>9.4709470947094698E-2</v>
      </c>
      <c r="AZ179" s="977">
        <f t="shared" si="63"/>
        <v>0.5773577357735773</v>
      </c>
      <c r="BA179" s="978">
        <f t="shared" si="64"/>
        <v>0.14791479147914791</v>
      </c>
      <c r="BB179" s="365"/>
      <c r="BC179" s="976">
        <f t="shared" si="45"/>
        <v>0.16389851116056067</v>
      </c>
      <c r="BD179" s="978">
        <f t="shared" si="46"/>
        <v>0.13527595701875561</v>
      </c>
      <c r="BG179" t="s">
        <v>2030</v>
      </c>
      <c r="BH179" t="s">
        <v>2031</v>
      </c>
    </row>
    <row r="180" spans="1:60" ht="12.75" customHeight="1" outlineLevel="1" x14ac:dyDescent="0.2">
      <c r="A180" s="570">
        <v>45139</v>
      </c>
      <c r="B180" s="708">
        <f>IF([1]RENAME!$H$3=0,A180,TEXT(A180,"[$-em-US] mmm-aa;@"))</f>
        <v>45139</v>
      </c>
      <c r="C180" s="365" t="str">
        <f>IF([1]RENAME!$H$3=0,BG180,BH180)</f>
        <v>3T23</v>
      </c>
      <c r="D180" s="366">
        <v>45139</v>
      </c>
      <c r="E180" s="967">
        <f>[2]Base!P178</f>
        <v>229583</v>
      </c>
      <c r="F180" s="968">
        <f>[2]Base!Q178</f>
        <v>196968</v>
      </c>
      <c r="G180" s="969">
        <f>[2]Base!R178</f>
        <v>32615</v>
      </c>
      <c r="H180" s="365"/>
      <c r="I180" s="967">
        <f>[2]Base!T178</f>
        <v>244.7</v>
      </c>
      <c r="J180" s="970">
        <f>[2]Base!U178</f>
        <v>139.9</v>
      </c>
      <c r="K180" s="971">
        <f>[2]Base!V178</f>
        <v>104.8</v>
      </c>
      <c r="L180" s="365"/>
      <c r="M180" s="972">
        <f>+[2]Base!X178</f>
        <v>215283</v>
      </c>
      <c r="N180" s="969">
        <f>+[2]Base!Y178</f>
        <v>33126</v>
      </c>
      <c r="O180" s="365"/>
      <c r="P180" s="972">
        <f>[2]Base!AB178</f>
        <v>98602.180800000002</v>
      </c>
      <c r="Q180" s="969">
        <f>[2]Base!AC178</f>
        <v>98365.819199999998</v>
      </c>
      <c r="R180" s="365"/>
      <c r="S180" s="972">
        <f>[2]Base!AE178</f>
        <v>1017979</v>
      </c>
      <c r="T180" s="971">
        <f>[2]Base!AF178</f>
        <v>5.1682456033467368</v>
      </c>
      <c r="U180" s="365"/>
      <c r="V180" s="972">
        <f>[2]Base!AR178</f>
        <v>29609</v>
      </c>
      <c r="W180" s="968">
        <f>[2]Base!AS178</f>
        <v>28789</v>
      </c>
      <c r="X180" s="968">
        <f>[2]Base!AT178</f>
        <v>45478</v>
      </c>
      <c r="Y180" s="968">
        <f>[2]Base!AU178</f>
        <v>18042</v>
      </c>
      <c r="Z180" s="968">
        <f>[2]Base!AV178</f>
        <v>9881</v>
      </c>
      <c r="AA180" s="968">
        <f>[2]Base!AW178</f>
        <v>15668</v>
      </c>
      <c r="AB180" s="968">
        <f>[2]Base!AX178</f>
        <v>7423</v>
      </c>
      <c r="AC180" s="968">
        <f>[2]Base!AY178</f>
        <v>1418</v>
      </c>
      <c r="AD180" s="969">
        <f>[2]Base!AZ178</f>
        <v>40660</v>
      </c>
      <c r="AE180" s="365"/>
      <c r="AF180" s="366">
        <f t="shared" si="59"/>
        <v>45139</v>
      </c>
      <c r="AG180" s="973">
        <f t="shared" si="47"/>
        <v>0.1503239104829211</v>
      </c>
      <c r="AH180" s="974">
        <f t="shared" si="48"/>
        <v>0.14616079769302628</v>
      </c>
      <c r="AI180" s="974">
        <f t="shared" si="49"/>
        <v>0.23089029690101945</v>
      </c>
      <c r="AJ180" s="974">
        <f t="shared" si="50"/>
        <v>9.1598635311319607E-2</v>
      </c>
      <c r="AK180" s="974">
        <f t="shared" si="51"/>
        <v>5.01655091182324E-2</v>
      </c>
      <c r="AL180" s="974">
        <f t="shared" si="52"/>
        <v>7.9545916087892451E-2</v>
      </c>
      <c r="AM180" s="974">
        <f t="shared" si="53"/>
        <v>3.7686324682181881E-2</v>
      </c>
      <c r="AN180" s="974">
        <f t="shared" si="65"/>
        <v>7.1991389464278466E-3</v>
      </c>
      <c r="AO180" s="975">
        <f t="shared" si="54"/>
        <v>0.20642947077697901</v>
      </c>
      <c r="AP180" s="365"/>
      <c r="AQ180" s="972">
        <f>+[2]Base!CS178</f>
        <v>9178.7088000000003</v>
      </c>
      <c r="AR180" s="968">
        <f>+[2]Base!CT178</f>
        <v>25999.776000000002</v>
      </c>
      <c r="AS180" s="968">
        <f>+[2]Base!CU178</f>
        <v>19086.199199999999</v>
      </c>
      <c r="AT180" s="968">
        <f>+[2]Base!CV178</f>
        <v>110892.98399999998</v>
      </c>
      <c r="AU180" s="969">
        <f>+[2]Base!CW178</f>
        <v>31830.0288</v>
      </c>
      <c r="AV180" s="365"/>
      <c r="AW180" s="976">
        <f t="shared" si="60"/>
        <v>4.6595340465953407E-2</v>
      </c>
      <c r="AX180" s="977">
        <f t="shared" si="61"/>
        <v>0.13198680131986801</v>
      </c>
      <c r="AY180" s="977">
        <f t="shared" si="62"/>
        <v>9.6890310968903104E-2</v>
      </c>
      <c r="AZ180" s="977">
        <f t="shared" si="63"/>
        <v>0.56294370562943696</v>
      </c>
      <c r="BA180" s="978">
        <f t="shared" si="64"/>
        <v>0.16158384161583841</v>
      </c>
      <c r="BB180" s="365"/>
      <c r="BC180" s="976">
        <f t="shared" si="45"/>
        <v>0.1514982604292954</v>
      </c>
      <c r="BD180" s="978">
        <f t="shared" si="46"/>
        <v>0.16817960277811625</v>
      </c>
      <c r="BG180" t="s">
        <v>2030</v>
      </c>
      <c r="BH180" t="s">
        <v>2031</v>
      </c>
    </row>
    <row r="181" spans="1:60" ht="12.75" customHeight="1" outlineLevel="1" x14ac:dyDescent="0.2">
      <c r="A181" s="570">
        <v>45170</v>
      </c>
      <c r="B181" s="708">
        <f>IF([1]RENAME!$H$3=0,A181,TEXT(A181,"[$-em-US] mmm-aa;@"))</f>
        <v>45170</v>
      </c>
      <c r="C181" s="365" t="str">
        <f>IF([1]RENAME!$H$3=0,BG181,BH181)</f>
        <v>3T23</v>
      </c>
      <c r="D181" s="366">
        <v>45170</v>
      </c>
      <c r="E181" s="967">
        <f>[2]Base!P179</f>
        <v>212924</v>
      </c>
      <c r="F181" s="968">
        <f>[2]Base!Q179</f>
        <v>187464</v>
      </c>
      <c r="G181" s="969">
        <f>[2]Base!R179</f>
        <v>25460</v>
      </c>
      <c r="H181" s="365"/>
      <c r="I181" s="967">
        <f>[2]Base!T179</f>
        <v>265.8</v>
      </c>
      <c r="J181" s="970">
        <f>[2]Base!U179</f>
        <v>155.80000000000001</v>
      </c>
      <c r="K181" s="971">
        <f>[2]Base!V179</f>
        <v>110</v>
      </c>
      <c r="L181" s="365"/>
      <c r="M181" s="972">
        <f>+[2]Base!X179</f>
        <v>198804</v>
      </c>
      <c r="N181" s="969">
        <f>+[2]Base!Y179</f>
        <v>29404</v>
      </c>
      <c r="O181" s="365"/>
      <c r="P181" s="972">
        <f>[2]Base!AB179</f>
        <v>102805.2576</v>
      </c>
      <c r="Q181" s="969">
        <f>[2]Base!AC179</f>
        <v>84658.742400000003</v>
      </c>
      <c r="R181" s="365"/>
      <c r="S181" s="972">
        <f>[2]Base!AE179</f>
        <v>875313</v>
      </c>
      <c r="T181" s="971">
        <f>[2]Base!AF179</f>
        <v>4.6692324926385869</v>
      </c>
      <c r="U181" s="365"/>
      <c r="V181" s="972">
        <f>[2]Base!AR179</f>
        <v>27940</v>
      </c>
      <c r="W181" s="968">
        <f>[2]Base!AS179</f>
        <v>29645</v>
      </c>
      <c r="X181" s="968">
        <f>[2]Base!AT179</f>
        <v>43234</v>
      </c>
      <c r="Y181" s="968">
        <f>[2]Base!AU179</f>
        <v>16013</v>
      </c>
      <c r="Z181" s="968">
        <f>[2]Base!AV179</f>
        <v>10406</v>
      </c>
      <c r="AA181" s="968">
        <f>[2]Base!AW179</f>
        <v>16152</v>
      </c>
      <c r="AB181" s="968">
        <f>[2]Base!AX179</f>
        <v>5978</v>
      </c>
      <c r="AC181" s="968">
        <f>[2]Base!AY179</f>
        <v>2049</v>
      </c>
      <c r="AD181" s="969">
        <f>[2]Base!AZ179</f>
        <v>36047</v>
      </c>
      <c r="AE181" s="365"/>
      <c r="AF181" s="366">
        <f t="shared" si="59"/>
        <v>45170</v>
      </c>
      <c r="AG181" s="973">
        <f t="shared" si="47"/>
        <v>0.14904194938761575</v>
      </c>
      <c r="AH181" s="974">
        <f t="shared" si="48"/>
        <v>0.15813702897623011</v>
      </c>
      <c r="AI181" s="974">
        <f t="shared" si="49"/>
        <v>0.23062561345111596</v>
      </c>
      <c r="AJ181" s="974">
        <f t="shared" si="50"/>
        <v>8.5419067127555162E-2</v>
      </c>
      <c r="AK181" s="974">
        <f t="shared" si="51"/>
        <v>5.5509324456962404E-2</v>
      </c>
      <c r="AL181" s="974">
        <f t="shared" si="52"/>
        <v>8.6160542824222253E-2</v>
      </c>
      <c r="AM181" s="974">
        <f t="shared" si="53"/>
        <v>3.1888789314214995E-2</v>
      </c>
      <c r="AN181" s="974">
        <f t="shared" si="65"/>
        <v>1.0930098578927154E-2</v>
      </c>
      <c r="AO181" s="975">
        <f t="shared" si="54"/>
        <v>0.19228758588315623</v>
      </c>
      <c r="AP181" s="365"/>
      <c r="AQ181" s="972">
        <f>+[2]Base!CS179</f>
        <v>7929.7271999999994</v>
      </c>
      <c r="AR181" s="968">
        <f>+[2]Base!CT179</f>
        <v>22683.144</v>
      </c>
      <c r="AS181" s="968">
        <f>+[2]Base!CU179</f>
        <v>16590.563999999998</v>
      </c>
      <c r="AT181" s="968">
        <f>+[2]Base!CV179</f>
        <v>111128.65919999999</v>
      </c>
      <c r="AU181" s="969">
        <f>+[2]Base!CW179</f>
        <v>29131.905600000002</v>
      </c>
      <c r="AV181" s="365"/>
      <c r="AW181" s="976">
        <f t="shared" si="60"/>
        <v>4.2299999999999997E-2</v>
      </c>
      <c r="AX181" s="977">
        <f t="shared" si="61"/>
        <v>0.121</v>
      </c>
      <c r="AY181" s="977">
        <f t="shared" si="62"/>
        <v>8.8499999999999995E-2</v>
      </c>
      <c r="AZ181" s="977">
        <f t="shared" si="63"/>
        <v>0.59279999999999999</v>
      </c>
      <c r="BA181" s="978">
        <f t="shared" si="64"/>
        <v>0.15540000000000001</v>
      </c>
      <c r="BB181" s="365"/>
      <c r="BC181" s="976">
        <f t="shared" ref="BC181:BC190" si="66">+G181/M181</f>
        <v>0.12806583368543892</v>
      </c>
      <c r="BD181" s="978">
        <f t="shared" ref="BD181:BD190" si="67">+N181/F181</f>
        <v>0.15685144881150515</v>
      </c>
      <c r="BG181" t="s">
        <v>2030</v>
      </c>
      <c r="BH181" t="s">
        <v>2031</v>
      </c>
    </row>
    <row r="182" spans="1:60" ht="12.75" customHeight="1" outlineLevel="1" x14ac:dyDescent="0.2">
      <c r="A182" s="570">
        <v>45200</v>
      </c>
      <c r="B182" s="708">
        <f>IF([1]RENAME!$H$3=0,A182,TEXT(A182,"[$-em-US] mmm-aa;@"))</f>
        <v>45200</v>
      </c>
      <c r="C182" s="365" t="str">
        <f>IF([1]RENAME!$H$3=0,BG182,BH182)</f>
        <v>4T23</v>
      </c>
      <c r="D182" s="366">
        <v>45200</v>
      </c>
      <c r="E182" s="967">
        <f>[2]Base!P180</f>
        <v>235847</v>
      </c>
      <c r="F182" s="968">
        <f>[2]Base!Q180</f>
        <v>206819</v>
      </c>
      <c r="G182" s="969">
        <f>[2]Base!R180</f>
        <v>29028</v>
      </c>
      <c r="H182" s="365"/>
      <c r="I182" s="967">
        <f>[2]Base!T180</f>
        <v>263.10000000000002</v>
      </c>
      <c r="J182" s="970">
        <f>[2]Base!U180</f>
        <v>149.80000000000001</v>
      </c>
      <c r="K182" s="971">
        <f>[2]Base!V180</f>
        <v>113.3</v>
      </c>
      <c r="L182" s="365"/>
      <c r="M182" s="972">
        <f>+[2]Base!X180</f>
        <v>187182</v>
      </c>
      <c r="N182" s="969">
        <f>+[2]Base!Y180</f>
        <v>33660</v>
      </c>
      <c r="O182" s="365"/>
      <c r="P182" s="972">
        <f>[2]Base!AB180</f>
        <v>113192.0387</v>
      </c>
      <c r="Q182" s="969">
        <f>[2]Base!AC180</f>
        <v>93626.961299999995</v>
      </c>
      <c r="R182" s="365"/>
      <c r="S182" s="972">
        <f>[2]Base!AE180</f>
        <v>911370</v>
      </c>
      <c r="T182" s="971">
        <f>[2]Base!AF180</f>
        <v>4.4066067430942031</v>
      </c>
      <c r="U182" s="365"/>
      <c r="V182" s="972">
        <f>[2]Base!AR180</f>
        <v>32260</v>
      </c>
      <c r="W182" s="968">
        <f>[2]Base!AS180</f>
        <v>32885</v>
      </c>
      <c r="X182" s="968">
        <f>[2]Base!AT180</f>
        <v>44456</v>
      </c>
      <c r="Y182" s="968">
        <f>[2]Base!AU180</f>
        <v>17652</v>
      </c>
      <c r="Z182" s="968">
        <f>[2]Base!AV180</f>
        <v>11895</v>
      </c>
      <c r="AA182" s="968">
        <f>[2]Base!AW180</f>
        <v>16334</v>
      </c>
      <c r="AB182" s="968">
        <f>[2]Base!AX180</f>
        <v>5553</v>
      </c>
      <c r="AC182" s="968">
        <f>[2]Base!AY180</f>
        <v>2717</v>
      </c>
      <c r="AD182" s="969">
        <f>[2]Base!AZ180</f>
        <v>43067</v>
      </c>
      <c r="AE182" s="365"/>
      <c r="AF182" s="366">
        <f t="shared" si="59"/>
        <v>45200</v>
      </c>
      <c r="AG182" s="973">
        <f t="shared" si="47"/>
        <v>0.15598180051155841</v>
      </c>
      <c r="AH182" s="974">
        <f t="shared" si="48"/>
        <v>0.15900376657850585</v>
      </c>
      <c r="AI182" s="974">
        <f t="shared" si="49"/>
        <v>0.21495123755554374</v>
      </c>
      <c r="AJ182" s="974">
        <f t="shared" si="50"/>
        <v>8.5349992022009588E-2</v>
      </c>
      <c r="AK182" s="974">
        <f t="shared" si="51"/>
        <v>5.7514058186143441E-2</v>
      </c>
      <c r="AL182" s="974">
        <f t="shared" si="52"/>
        <v>7.8977269980030851E-2</v>
      </c>
      <c r="AM182" s="974">
        <f t="shared" si="53"/>
        <v>2.6849564111614505E-2</v>
      </c>
      <c r="AN182" s="974">
        <f t="shared" si="65"/>
        <v>1.3137090886233856E-2</v>
      </c>
      <c r="AO182" s="975">
        <f t="shared" si="54"/>
        <v>0.20823522016835977</v>
      </c>
      <c r="AP182" s="365"/>
      <c r="AQ182" s="972">
        <f>+[2]Base!CS180</f>
        <v>8831.1713</v>
      </c>
      <c r="AR182" s="968">
        <f>+[2]Base!CT180</f>
        <v>24694.188600000001</v>
      </c>
      <c r="AS182" s="968">
        <f>+[2]Base!CU180</f>
        <v>17207.340799999998</v>
      </c>
      <c r="AT182" s="968">
        <f>+[2]Base!CV180</f>
        <v>124236.17330000001</v>
      </c>
      <c r="AU182" s="969">
        <f>+[2]Base!CW180</f>
        <v>31829.444100000001</v>
      </c>
      <c r="AV182" s="365"/>
      <c r="AW182" s="976">
        <f t="shared" si="60"/>
        <v>4.2704270427042702E-2</v>
      </c>
      <c r="AX182" s="977">
        <f t="shared" si="61"/>
        <v>0.11941194119411942</v>
      </c>
      <c r="AY182" s="977">
        <f t="shared" si="62"/>
        <v>8.3208320832083196E-2</v>
      </c>
      <c r="AZ182" s="977">
        <f t="shared" si="63"/>
        <v>0.60076007600760084</v>
      </c>
      <c r="BA182" s="978">
        <f t="shared" si="64"/>
        <v>0.15391539153915393</v>
      </c>
      <c r="BB182" s="365"/>
      <c r="BC182" s="976">
        <f t="shared" si="66"/>
        <v>0.15507901400775714</v>
      </c>
      <c r="BD182" s="978">
        <f t="shared" si="67"/>
        <v>0.16275100450152066</v>
      </c>
      <c r="BG182" t="s">
        <v>2032</v>
      </c>
      <c r="BH182" t="s">
        <v>2033</v>
      </c>
    </row>
    <row r="183" spans="1:60" ht="12.75" customHeight="1" outlineLevel="1" x14ac:dyDescent="0.2">
      <c r="A183" s="570">
        <v>45231</v>
      </c>
      <c r="B183" s="708">
        <f>IF([1]RENAME!$H$3=0,A183,TEXT(A183,"[$-em-US] mmm-aa;@"))</f>
        <v>45231</v>
      </c>
      <c r="C183" s="365" t="str">
        <f>IF([1]RENAME!$H$3=0,BG183,BH183)</f>
        <v>4T23</v>
      </c>
      <c r="D183" s="366">
        <v>45231</v>
      </c>
      <c r="E183" s="967">
        <f>[2]Base!P181</f>
        <v>223933</v>
      </c>
      <c r="F183" s="968">
        <f>[2]Base!Q181</f>
        <v>201834</v>
      </c>
      <c r="G183" s="969">
        <f>[2]Base!R181</f>
        <v>22099</v>
      </c>
      <c r="H183" s="365"/>
      <c r="I183" s="967">
        <f>[2]Base!T181</f>
        <v>251.5</v>
      </c>
      <c r="J183" s="970">
        <f>[2]Base!U181</f>
        <v>148.19999999999999</v>
      </c>
      <c r="K183" s="971">
        <f>[2]Base!V181</f>
        <v>103.3</v>
      </c>
      <c r="L183" s="365"/>
      <c r="M183" s="972">
        <f>+[2]Base!X181</f>
        <v>190758</v>
      </c>
      <c r="N183" s="969">
        <f>+[2]Base!Y181</f>
        <v>35277</v>
      </c>
      <c r="O183" s="365"/>
      <c r="P183" s="972">
        <f>[2]Base!AB181</f>
        <v>103399.5582</v>
      </c>
      <c r="Q183" s="969">
        <f>[2]Base!AC181</f>
        <v>98434.441800000001</v>
      </c>
      <c r="R183" s="365"/>
      <c r="S183" s="972">
        <f>[2]Base!AE181</f>
        <v>897135</v>
      </c>
      <c r="T183" s="971">
        <f>[2]Base!AF181</f>
        <v>4.4449151282737303</v>
      </c>
      <c r="U183" s="365"/>
      <c r="V183" s="972">
        <f>[2]Base!AR181</f>
        <v>27032</v>
      </c>
      <c r="W183" s="968">
        <f>[2]Base!AS181</f>
        <v>30105</v>
      </c>
      <c r="X183" s="968">
        <f>[2]Base!AT181</f>
        <v>44269</v>
      </c>
      <c r="Y183" s="968">
        <f>[2]Base!AU181</f>
        <v>14790</v>
      </c>
      <c r="Z183" s="968">
        <f>[2]Base!AV181</f>
        <v>11864</v>
      </c>
      <c r="AA183" s="968">
        <f>[2]Base!AW181</f>
        <v>20567</v>
      </c>
      <c r="AB183" s="968">
        <f>[2]Base!AX181</f>
        <v>5496</v>
      </c>
      <c r="AC183" s="968">
        <f>[2]Base!AY181</f>
        <v>3539</v>
      </c>
      <c r="AD183" s="969">
        <f>[2]Base!AZ181</f>
        <v>44172</v>
      </c>
      <c r="AE183" s="365"/>
      <c r="AF183" s="366">
        <f t="shared" si="59"/>
        <v>45231</v>
      </c>
      <c r="AG183" s="973">
        <f t="shared" si="47"/>
        <v>0.13393184498151947</v>
      </c>
      <c r="AH183" s="974">
        <f t="shared" si="48"/>
        <v>0.14915722821724783</v>
      </c>
      <c r="AI183" s="974">
        <f t="shared" si="49"/>
        <v>0.21933370988039677</v>
      </c>
      <c r="AJ183" s="974">
        <f t="shared" si="50"/>
        <v>7.3278040369808853E-2</v>
      </c>
      <c r="AK183" s="974">
        <f t="shared" si="51"/>
        <v>5.8780978427816918E-2</v>
      </c>
      <c r="AL183" s="974">
        <f t="shared" si="52"/>
        <v>0.10190057175698841</v>
      </c>
      <c r="AM183" s="974">
        <f t="shared" si="53"/>
        <v>2.7230298165819435E-2</v>
      </c>
      <c r="AN183" s="974">
        <f t="shared" si="65"/>
        <v>1.7534211282539118E-2</v>
      </c>
      <c r="AO183" s="975">
        <f t="shared" si="54"/>
        <v>0.21885311691786319</v>
      </c>
      <c r="AP183" s="365"/>
      <c r="AQ183" s="972">
        <f>+[2]Base!CS181</f>
        <v>9223.8137999999999</v>
      </c>
      <c r="AR183" s="968">
        <f>+[2]Base!CT181</f>
        <v>26198.053199999998</v>
      </c>
      <c r="AS183" s="968">
        <f>+[2]Base!CU181</f>
        <v>17599.924800000001</v>
      </c>
      <c r="AT183" s="968">
        <f>+[2]Base!CV181</f>
        <v>116882.06939999999</v>
      </c>
      <c r="AU183" s="969">
        <f>+[2]Base!CW181</f>
        <v>31909.955399999999</v>
      </c>
      <c r="AV183" s="365"/>
      <c r="AW183" s="976">
        <f t="shared" si="60"/>
        <v>4.5704570457045707E-2</v>
      </c>
      <c r="AX183" s="977">
        <f t="shared" si="61"/>
        <v>0.12981298129812982</v>
      </c>
      <c r="AY183" s="977">
        <f t="shared" si="62"/>
        <v>8.7208720872087211E-2</v>
      </c>
      <c r="AZ183" s="977">
        <f t="shared" si="63"/>
        <v>0.57915791579157916</v>
      </c>
      <c r="BA183" s="978">
        <f t="shared" si="64"/>
        <v>0.15811581158115812</v>
      </c>
      <c r="BB183" s="365"/>
      <c r="BC183" s="976">
        <f t="shared" si="66"/>
        <v>0.11584835236267942</v>
      </c>
      <c r="BD183" s="978">
        <f t="shared" si="67"/>
        <v>0.17478224679687268</v>
      </c>
      <c r="BG183" t="s">
        <v>2032</v>
      </c>
      <c r="BH183" t="s">
        <v>2033</v>
      </c>
    </row>
    <row r="184" spans="1:60" ht="12.75" customHeight="1" outlineLevel="1" x14ac:dyDescent="0.2">
      <c r="A184" s="570">
        <v>45261</v>
      </c>
      <c r="B184" s="708">
        <f>IF([1]RENAME!$H$3=0,A184,TEXT(A184,"[$-em-US] mmm-aa;@"))</f>
        <v>45261</v>
      </c>
      <c r="C184" s="365" t="str">
        <f>IF([1]RENAME!$H$3=0,BG184,BH184)</f>
        <v>4T23</v>
      </c>
      <c r="D184" s="366">
        <v>45261</v>
      </c>
      <c r="E184" s="967">
        <f>[2]Base!P182</f>
        <v>261150</v>
      </c>
      <c r="F184" s="968">
        <f>[2]Base!Q182</f>
        <v>236735</v>
      </c>
      <c r="G184" s="969">
        <f>[2]Base!R182</f>
        <v>24415</v>
      </c>
      <c r="H184" s="365"/>
      <c r="I184" s="967">
        <f>[2]Base!T182</f>
        <v>210.10000000000002</v>
      </c>
      <c r="J184" s="970">
        <f>[2]Base!U182</f>
        <v>144.30000000000001</v>
      </c>
      <c r="K184" s="971">
        <f>[2]Base!V182</f>
        <v>65.8</v>
      </c>
      <c r="L184" s="365"/>
      <c r="M184" s="972">
        <f>+[2]Base!X182</f>
        <v>160480</v>
      </c>
      <c r="N184" s="969">
        <f>+[2]Base!Y182</f>
        <v>44187</v>
      </c>
      <c r="O184" s="365"/>
      <c r="P184" s="972">
        <f>[2]Base!AB182</f>
        <v>126298.1225</v>
      </c>
      <c r="Q184" s="969">
        <f>[2]Base!AC182</f>
        <v>110436.8775</v>
      </c>
      <c r="R184" s="365"/>
      <c r="S184" s="972">
        <f>[2]Base!AE182</f>
        <v>1046981</v>
      </c>
      <c r="T184" s="971">
        <f>[2]Base!AF182</f>
        <v>4.4225864363106426</v>
      </c>
      <c r="U184" s="365"/>
      <c r="V184" s="972">
        <f>[2]Base!AR182</f>
        <v>32366</v>
      </c>
      <c r="W184" s="968">
        <f>[2]Base!AS182</f>
        <v>43539</v>
      </c>
      <c r="X184" s="968">
        <f>[2]Base!AT182</f>
        <v>46800</v>
      </c>
      <c r="Y184" s="968">
        <f>[2]Base!AU182</f>
        <v>20279</v>
      </c>
      <c r="Z184" s="968">
        <f>[2]Base!AV182</f>
        <v>15065</v>
      </c>
      <c r="AA184" s="968">
        <f>[2]Base!AW182</f>
        <v>21296</v>
      </c>
      <c r="AB184" s="968">
        <f>[2]Base!AX182</f>
        <v>6581</v>
      </c>
      <c r="AC184" s="968">
        <f>[2]Base!AY182</f>
        <v>5458</v>
      </c>
      <c r="AD184" s="969">
        <f>[2]Base!AZ182</f>
        <v>45351</v>
      </c>
      <c r="AE184" s="365"/>
      <c r="AF184" s="366">
        <f t="shared" si="59"/>
        <v>45261</v>
      </c>
      <c r="AG184" s="973">
        <f t="shared" si="47"/>
        <v>0.13671827148499377</v>
      </c>
      <c r="AH184" s="974">
        <f t="shared" si="48"/>
        <v>0.1839145035588316</v>
      </c>
      <c r="AI184" s="974">
        <f t="shared" si="49"/>
        <v>0.19768939953956957</v>
      </c>
      <c r="AJ184" s="974">
        <f t="shared" si="50"/>
        <v>8.566118233467801E-2</v>
      </c>
      <c r="AK184" s="974">
        <f t="shared" si="51"/>
        <v>6.3636555642384948E-2</v>
      </c>
      <c r="AL184" s="974">
        <f t="shared" si="52"/>
        <v>8.9957125055441733E-2</v>
      </c>
      <c r="AM184" s="974">
        <f t="shared" si="53"/>
        <v>2.779901577713477E-2</v>
      </c>
      <c r="AN184" s="974">
        <f t="shared" si="65"/>
        <v>2.3055315014678859E-2</v>
      </c>
      <c r="AO184" s="975">
        <f t="shared" si="54"/>
        <v>0.19156863159228674</v>
      </c>
      <c r="AP184" s="365"/>
      <c r="AQ184" s="972">
        <f>+[2]Base!CS182</f>
        <v>10653.074999999999</v>
      </c>
      <c r="AR184" s="968">
        <f>+[2]Base!CT182</f>
        <v>29213.098999999998</v>
      </c>
      <c r="AS184" s="968">
        <f>+[2]Base!CU182</f>
        <v>22537.172000000002</v>
      </c>
      <c r="AT184" s="968">
        <f>+[2]Base!CV182</f>
        <v>135956.9105</v>
      </c>
      <c r="AU184" s="969">
        <f>+[2]Base!CW182</f>
        <v>38374.743499999997</v>
      </c>
      <c r="AV184" s="365"/>
      <c r="AW184" s="976">
        <f t="shared" si="60"/>
        <v>4.4999999999999998E-2</v>
      </c>
      <c r="AX184" s="977">
        <f t="shared" si="61"/>
        <v>0.1234</v>
      </c>
      <c r="AY184" s="977">
        <f t="shared" si="62"/>
        <v>9.5200000000000007E-2</v>
      </c>
      <c r="AZ184" s="977">
        <f t="shared" si="63"/>
        <v>0.57430000000000003</v>
      </c>
      <c r="BA184" s="978">
        <f t="shared" si="64"/>
        <v>0.16209999999999999</v>
      </c>
      <c r="BB184" s="365"/>
      <c r="BC184" s="976">
        <f t="shared" si="66"/>
        <v>0.15213733798604187</v>
      </c>
      <c r="BD184" s="978">
        <f t="shared" si="67"/>
        <v>0.18665174139861027</v>
      </c>
      <c r="BG184" t="s">
        <v>2032</v>
      </c>
      <c r="BH184" t="s">
        <v>2033</v>
      </c>
    </row>
    <row r="185" spans="1:60" ht="12.75" customHeight="1" outlineLevel="1" x14ac:dyDescent="0.2">
      <c r="A185" s="570">
        <v>45292</v>
      </c>
      <c r="B185" s="708">
        <f>IF([1]RENAME!$H$3=0,A185,TEXT(A185,"[$-em-US] mmm-aa;@"))</f>
        <v>45292</v>
      </c>
      <c r="C185" s="365" t="str">
        <f>IF([1]RENAME!$H$3=0,BG185,BH185)</f>
        <v>1T24</v>
      </c>
      <c r="D185" s="366">
        <v>45292</v>
      </c>
      <c r="E185" s="697">
        <f>[2]Base!P183</f>
        <v>170346</v>
      </c>
      <c r="F185" s="698">
        <f>[2]Base!Q183</f>
        <v>152247</v>
      </c>
      <c r="G185" s="694">
        <f>[2]Base!R183</f>
        <v>18099</v>
      </c>
      <c r="H185" s="365"/>
      <c r="I185" s="697">
        <f>[2]Base!T183</f>
        <v>216.5</v>
      </c>
      <c r="J185" s="699">
        <f>[2]Base!U183</f>
        <v>133.9</v>
      </c>
      <c r="K185" s="700">
        <f>[2]Base!V183</f>
        <v>82.6</v>
      </c>
      <c r="L185" s="365"/>
      <c r="M185" s="693">
        <f>+[2]Base!X183</f>
        <v>143027</v>
      </c>
      <c r="N185" s="694">
        <f>+[2]Base!Y183</f>
        <v>31031</v>
      </c>
      <c r="O185" s="365"/>
      <c r="P185" s="693">
        <f>[2]Base!AB183</f>
        <v>62269.022999999994</v>
      </c>
      <c r="Q185" s="694">
        <f>[2]Base!AC183</f>
        <v>89977.977000000014</v>
      </c>
      <c r="R185" s="365"/>
      <c r="S185" s="693">
        <f>[2]Base!AE183</f>
        <v>891928</v>
      </c>
      <c r="T185" s="700">
        <f>[2]Base!AF183</f>
        <v>5.8584274238572842</v>
      </c>
      <c r="U185" s="365"/>
      <c r="V185" s="693">
        <f>[2]Base!AR183</f>
        <v>18880</v>
      </c>
      <c r="W185" s="698">
        <f>[2]Base!AS183</f>
        <v>22324</v>
      </c>
      <c r="X185" s="698">
        <f>[2]Base!AT183</f>
        <v>30852</v>
      </c>
      <c r="Y185" s="698">
        <f>[2]Base!AU183</f>
        <v>13711</v>
      </c>
      <c r="Z185" s="698">
        <f>[2]Base!AV183</f>
        <v>7274</v>
      </c>
      <c r="AA185" s="698">
        <f>[2]Base!AW183</f>
        <v>14237</v>
      </c>
      <c r="AB185" s="698">
        <f>[2]Base!AX183</f>
        <v>5141</v>
      </c>
      <c r="AC185" s="698">
        <f>[2]Base!AY183</f>
        <v>4280</v>
      </c>
      <c r="AD185" s="694">
        <f>[2]Base!AZ183</f>
        <v>35548</v>
      </c>
      <c r="AE185" s="365"/>
      <c r="AF185" s="366">
        <f t="shared" si="59"/>
        <v>45292</v>
      </c>
      <c r="AG185" s="701">
        <f t="shared" ref="AG185:AG190" si="68">+V185/SUM($V185:$AD185)</f>
        <v>0.12400901167182277</v>
      </c>
      <c r="AH185" s="702">
        <f t="shared" ref="AH185:AH190" si="69">+W185/SUM($V185:$AD185)</f>
        <v>0.14663014706365315</v>
      </c>
      <c r="AI185" s="702">
        <f t="shared" ref="AI185:AI190" si="70">+X185/SUM($V185:$AD185)</f>
        <v>0.20264438708151886</v>
      </c>
      <c r="AJ185" s="702">
        <f t="shared" ref="AJ185:AJ190" si="71">+Y185/SUM($V185:$AD185)</f>
        <v>9.0057603762307301E-2</v>
      </c>
      <c r="AK185" s="702">
        <f t="shared" ref="AK185:AK190" si="72">+Z185/SUM($V185:$AD185)</f>
        <v>4.7777624518052904E-2</v>
      </c>
      <c r="AL185" s="702">
        <f t="shared" ref="AL185:AL190" si="73">+AA185/SUM($V185:$AD185)</f>
        <v>9.3512515845960834E-2</v>
      </c>
      <c r="AM185" s="702">
        <f t="shared" ref="AM185:AM190" si="74">+AB185/SUM($V185:$AD185)</f>
        <v>3.3767496239663179E-2</v>
      </c>
      <c r="AN185" s="702">
        <f t="shared" si="65"/>
        <v>2.8112212391705582E-2</v>
      </c>
      <c r="AO185" s="703">
        <f t="shared" ref="AO185:AO190" si="75">+AD185/SUM($V185:$AD185)</f>
        <v>0.23348900142531545</v>
      </c>
      <c r="AP185" s="365"/>
      <c r="AQ185" s="693">
        <f>+[2]Base!CS183</f>
        <v>8053.8663000000006</v>
      </c>
      <c r="AR185" s="698">
        <f>+[2]Base!CT183</f>
        <v>23978.9025</v>
      </c>
      <c r="AS185" s="698">
        <f>+[2]Base!CU183</f>
        <v>17036.439299999998</v>
      </c>
      <c r="AT185" s="698">
        <f>+[2]Base!CV183</f>
        <v>76671.589200000002</v>
      </c>
      <c r="AU185" s="694">
        <f>+[2]Base!CW183</f>
        <v>26506.202700000002</v>
      </c>
      <c r="AV185" s="365"/>
      <c r="AW185" s="704">
        <f t="shared" si="60"/>
        <v>5.2900000000000003E-2</v>
      </c>
      <c r="AX185" s="705">
        <f t="shared" si="61"/>
        <v>0.1575</v>
      </c>
      <c r="AY185" s="705">
        <f t="shared" si="62"/>
        <v>0.11189999999999999</v>
      </c>
      <c r="AZ185" s="705">
        <f t="shared" si="63"/>
        <v>0.50360000000000005</v>
      </c>
      <c r="BA185" s="706">
        <f t="shared" si="64"/>
        <v>0.1741</v>
      </c>
      <c r="BB185" s="365"/>
      <c r="BC185" s="704">
        <f t="shared" si="66"/>
        <v>0.12654254091884748</v>
      </c>
      <c r="BD185" s="706">
        <f t="shared" si="67"/>
        <v>0.20382010811378878</v>
      </c>
      <c r="BG185" t="s">
        <v>2129</v>
      </c>
      <c r="BH185" t="s">
        <v>2128</v>
      </c>
    </row>
    <row r="186" spans="1:60" ht="12.75" customHeight="1" outlineLevel="1" x14ac:dyDescent="0.2">
      <c r="A186" s="570">
        <v>45323</v>
      </c>
      <c r="B186" s="708">
        <f>IF([1]RENAME!$H$3=0,A186,TEXT(A186,"[$-em-US] mmm-aa;@"))</f>
        <v>45323</v>
      </c>
      <c r="C186" s="365" t="str">
        <f>IF([1]RENAME!$H$3=0,BG186,BH186)</f>
        <v>1T24</v>
      </c>
      <c r="D186" s="366">
        <v>45323</v>
      </c>
      <c r="E186" s="697">
        <f>[2]Base!P184</f>
        <v>184530</v>
      </c>
      <c r="F186" s="698">
        <f>[2]Base!Q184</f>
        <v>155511</v>
      </c>
      <c r="G186" s="694">
        <f>[2]Base!R184</f>
        <v>29019</v>
      </c>
      <c r="H186" s="365"/>
      <c r="I186" s="697">
        <f>[2]Base!T184</f>
        <v>217.6</v>
      </c>
      <c r="J186" s="699">
        <f>[2]Base!U184</f>
        <v>126</v>
      </c>
      <c r="K186" s="700">
        <f>[2]Base!V184</f>
        <v>91.6</v>
      </c>
      <c r="L186" s="365"/>
      <c r="M186" s="693">
        <f>+[2]Base!X184</f>
        <v>177254</v>
      </c>
      <c r="N186" s="694">
        <f>+[2]Base!Y184</f>
        <v>27591</v>
      </c>
      <c r="O186" s="365"/>
      <c r="P186" s="693">
        <f>[2]Base!AB184</f>
        <v>71410.651199999993</v>
      </c>
      <c r="Q186" s="694">
        <f>[2]Base!AC184</f>
        <v>84100.348800000007</v>
      </c>
      <c r="R186" s="365"/>
      <c r="S186" s="693">
        <f>[2]Base!AE184</f>
        <v>839187</v>
      </c>
      <c r="T186" s="700">
        <f>[2]Base!AF184</f>
        <v>5.3963192314370048</v>
      </c>
      <c r="U186" s="365"/>
      <c r="V186" s="693">
        <f>[2]Base!AR184</f>
        <v>16519</v>
      </c>
      <c r="W186" s="698">
        <f>[2]Base!AS184</f>
        <v>24057</v>
      </c>
      <c r="X186" s="698">
        <f>[2]Base!AT184</f>
        <v>34326</v>
      </c>
      <c r="Y186" s="698">
        <f>[2]Base!AU184</f>
        <v>13389</v>
      </c>
      <c r="Z186" s="698">
        <f>[2]Base!AV184</f>
        <v>10021</v>
      </c>
      <c r="AA186" s="698">
        <f>[2]Base!AW184</f>
        <v>11961</v>
      </c>
      <c r="AB186" s="698">
        <f>[2]Base!AX184</f>
        <v>5434</v>
      </c>
      <c r="AC186" s="698">
        <f>[2]Base!AY184</f>
        <v>4398</v>
      </c>
      <c r="AD186" s="694">
        <f>[2]Base!AZ184</f>
        <v>35406</v>
      </c>
      <c r="AE186" s="365"/>
      <c r="AF186" s="366">
        <f t="shared" si="59"/>
        <v>45323</v>
      </c>
      <c r="AG186" s="701">
        <f t="shared" si="68"/>
        <v>0.10622399701628824</v>
      </c>
      <c r="AH186" s="702">
        <f t="shared" si="69"/>
        <v>0.15469645234099197</v>
      </c>
      <c r="AI186" s="702">
        <f t="shared" si="70"/>
        <v>0.22073036634064472</v>
      </c>
      <c r="AJ186" s="702">
        <f t="shared" si="71"/>
        <v>8.6096803441557193E-2</v>
      </c>
      <c r="AK186" s="702">
        <f t="shared" si="72"/>
        <v>6.4439171505552659E-2</v>
      </c>
      <c r="AL186" s="702">
        <f t="shared" si="73"/>
        <v>7.6914173273916309E-2</v>
      </c>
      <c r="AM186" s="702">
        <f t="shared" si="74"/>
        <v>3.4942865777983549E-2</v>
      </c>
      <c r="AN186" s="702">
        <f t="shared" si="65"/>
        <v>2.8280957617146055E-2</v>
      </c>
      <c r="AO186" s="703">
        <f t="shared" si="75"/>
        <v>0.22767521268591934</v>
      </c>
      <c r="AP186" s="365"/>
      <c r="AQ186" s="693">
        <f>+[2]Base!CS184</f>
        <v>8786.3715000000011</v>
      </c>
      <c r="AR186" s="698">
        <f>+[2]Base!CT184</f>
        <v>20496.3498</v>
      </c>
      <c r="AS186" s="698">
        <f>+[2]Base!CU184</f>
        <v>16717.432499999999</v>
      </c>
      <c r="AT186" s="698">
        <f>+[2]Base!CV184</f>
        <v>83089.527300000002</v>
      </c>
      <c r="AU186" s="694">
        <f>+[2]Base!CW184</f>
        <v>26421.318899999998</v>
      </c>
      <c r="AV186" s="365"/>
      <c r="AW186" s="704">
        <f t="shared" si="60"/>
        <v>5.6500000000000009E-2</v>
      </c>
      <c r="AX186" s="705">
        <f t="shared" si="61"/>
        <v>0.1318</v>
      </c>
      <c r="AY186" s="705">
        <f t="shared" si="62"/>
        <v>0.1075</v>
      </c>
      <c r="AZ186" s="705">
        <f t="shared" si="63"/>
        <v>0.5343</v>
      </c>
      <c r="BA186" s="706">
        <f t="shared" si="64"/>
        <v>0.1699</v>
      </c>
      <c r="BB186" s="365"/>
      <c r="BC186" s="704">
        <f t="shared" si="66"/>
        <v>0.16371421801482619</v>
      </c>
      <c r="BD186" s="706">
        <f t="shared" si="67"/>
        <v>0.17742153288191831</v>
      </c>
      <c r="BG186" t="s">
        <v>2129</v>
      </c>
      <c r="BH186" t="s">
        <v>2128</v>
      </c>
    </row>
    <row r="187" spans="1:60" ht="12.75" customHeight="1" outlineLevel="1" x14ac:dyDescent="0.2">
      <c r="A187" s="570">
        <v>45352</v>
      </c>
      <c r="B187" s="708">
        <f>IF([1]RENAME!$H$3=0,A187,TEXT(A187,"[$-em-US] mmm-aa;@"))</f>
        <v>45352</v>
      </c>
      <c r="C187" s="365" t="str">
        <f>IF([1]RENAME!$H$3=0,BG187,BH187)</f>
        <v>1T24</v>
      </c>
      <c r="D187" s="366">
        <v>45352</v>
      </c>
      <c r="E187" s="697">
        <f>[2]Base!P185</f>
        <v>207164</v>
      </c>
      <c r="F187" s="698">
        <f>[2]Base!Q185</f>
        <v>176230</v>
      </c>
      <c r="G187" s="694">
        <f>[2]Base!R185</f>
        <v>30934</v>
      </c>
      <c r="H187" s="365"/>
      <c r="I187" s="697">
        <f>[2]Base!T185</f>
        <v>222.3</v>
      </c>
      <c r="J187" s="699">
        <f>[2]Base!U185</f>
        <v>131</v>
      </c>
      <c r="K187" s="700">
        <f>[2]Base!V185</f>
        <v>91.3</v>
      </c>
      <c r="L187" s="365"/>
      <c r="M187" s="693">
        <f>+[2]Base!X185</f>
        <v>181901</v>
      </c>
      <c r="N187" s="694">
        <f>+[2]Base!Y185</f>
        <v>30104</v>
      </c>
      <c r="O187" s="365"/>
      <c r="P187" s="693">
        <f>[2]Base!AB185</f>
        <v>80871.947</v>
      </c>
      <c r="Q187" s="694">
        <f>[2]Base!AC185</f>
        <v>95358.053</v>
      </c>
      <c r="R187" s="365"/>
      <c r="S187" s="693">
        <f>[2]Base!AE185</f>
        <v>863036</v>
      </c>
      <c r="T187" s="700">
        <f>[2]Base!AF185</f>
        <v>4.8972138682403674</v>
      </c>
      <c r="U187" s="365"/>
      <c r="V187" s="693">
        <f>[2]Base!AR185</f>
        <v>21329</v>
      </c>
      <c r="W187" s="698">
        <f>[2]Base!AS185</f>
        <v>30828</v>
      </c>
      <c r="X187" s="698">
        <f>[2]Base!AT185</f>
        <v>36141</v>
      </c>
      <c r="Y187" s="698">
        <f>[2]Base!AU185</f>
        <v>14702</v>
      </c>
      <c r="Z187" s="698">
        <f>[2]Base!AV185</f>
        <v>9311</v>
      </c>
      <c r="AA187" s="698">
        <f>[2]Base!AW185</f>
        <v>10961</v>
      </c>
      <c r="AB187" s="698">
        <f>[2]Base!AX185</f>
        <v>6373</v>
      </c>
      <c r="AC187" s="698">
        <f>[2]Base!AY185</f>
        <v>6109</v>
      </c>
      <c r="AD187" s="694">
        <f>[2]Base!AZ185</f>
        <v>40476</v>
      </c>
      <c r="AE187" s="365"/>
      <c r="AF187" s="366">
        <f t="shared" si="59"/>
        <v>45352</v>
      </c>
      <c r="AG187" s="701">
        <f t="shared" si="68"/>
        <v>0.12102933666231629</v>
      </c>
      <c r="AH187" s="702">
        <f t="shared" si="69"/>
        <v>0.17493048856607843</v>
      </c>
      <c r="AI187" s="702">
        <f t="shared" si="70"/>
        <v>0.20507859047835214</v>
      </c>
      <c r="AJ187" s="702">
        <f t="shared" si="71"/>
        <v>8.3425069511433927E-2</v>
      </c>
      <c r="AK187" s="702">
        <f t="shared" si="72"/>
        <v>5.2834364183169724E-2</v>
      </c>
      <c r="AL187" s="702">
        <f t="shared" si="73"/>
        <v>6.2197128752198828E-2</v>
      </c>
      <c r="AM187" s="702">
        <f t="shared" si="74"/>
        <v>3.6162968847528801E-2</v>
      </c>
      <c r="AN187" s="702">
        <f t="shared" si="65"/>
        <v>3.4664926516484139E-2</v>
      </c>
      <c r="AO187" s="703">
        <f t="shared" si="75"/>
        <v>0.22967712648243771</v>
      </c>
      <c r="AP187" s="365"/>
      <c r="AQ187" s="693">
        <f>+[2]Base!CS185</f>
        <v>8282.81</v>
      </c>
      <c r="AR187" s="698">
        <f>+[2]Base!CT185</f>
        <v>23808.672999999999</v>
      </c>
      <c r="AS187" s="698">
        <f>+[2]Base!CU185</f>
        <v>18768.494999999999</v>
      </c>
      <c r="AT187" s="698">
        <f>+[2]Base!CV185</f>
        <v>94917.477999999988</v>
      </c>
      <c r="AU187" s="694">
        <f>+[2]Base!CW185</f>
        <v>30452.544000000002</v>
      </c>
      <c r="AV187" s="365"/>
      <c r="AW187" s="704">
        <f t="shared" si="60"/>
        <v>4.7E-2</v>
      </c>
      <c r="AX187" s="705">
        <f t="shared" si="61"/>
        <v>0.1351</v>
      </c>
      <c r="AY187" s="705">
        <f t="shared" si="62"/>
        <v>0.1065</v>
      </c>
      <c r="AZ187" s="705">
        <f t="shared" si="63"/>
        <v>0.53859999999999997</v>
      </c>
      <c r="BA187" s="706">
        <f t="shared" si="64"/>
        <v>0.17280000000000001</v>
      </c>
      <c r="BB187" s="365"/>
      <c r="BC187" s="704">
        <f t="shared" si="66"/>
        <v>0.17005953788049544</v>
      </c>
      <c r="BD187" s="706">
        <f t="shared" si="67"/>
        <v>0.17082222096124383</v>
      </c>
      <c r="BG187" t="s">
        <v>2129</v>
      </c>
      <c r="BH187" t="s">
        <v>2128</v>
      </c>
    </row>
    <row r="188" spans="1:60" ht="12.75" customHeight="1" outlineLevel="1" x14ac:dyDescent="0.2">
      <c r="A188" s="570">
        <v>45383</v>
      </c>
      <c r="B188" s="708">
        <f>IF([1]RENAME!$H$3=0,A188,TEXT(A188,"[$-em-US] mmm-aa;@"))</f>
        <v>45383</v>
      </c>
      <c r="C188" s="365" t="str">
        <f>IF([1]RENAME!$H$3=0,BG188,BH188)</f>
        <v>2T24</v>
      </c>
      <c r="D188" s="366">
        <v>45383</v>
      </c>
      <c r="E188" s="697">
        <f>[2]Base!P186</f>
        <v>234046</v>
      </c>
      <c r="F188" s="698">
        <f>[2]Base!Q186</f>
        <v>208348</v>
      </c>
      <c r="G188" s="694">
        <f>[2]Base!R186</f>
        <v>25698</v>
      </c>
      <c r="H188" s="365"/>
      <c r="I188" s="697">
        <f>[2]Base!T186</f>
        <v>242.6</v>
      </c>
      <c r="J188" s="699">
        <f>[2]Base!U186</f>
        <v>128.69999999999999</v>
      </c>
      <c r="K188" s="700">
        <f>[2]Base!V186</f>
        <v>113.9</v>
      </c>
      <c r="L188" s="365"/>
      <c r="M188" s="693">
        <f>+[2]Base!X186</f>
        <v>207651</v>
      </c>
      <c r="N188" s="694">
        <f>+[2]Base!Y186</f>
        <v>35720</v>
      </c>
      <c r="O188" s="365"/>
      <c r="P188" s="693">
        <f>[2]Base!AB186</f>
        <v>99381.996000000014</v>
      </c>
      <c r="Q188" s="694">
        <f>[2]Base!AC186</f>
        <v>108966.00399999999</v>
      </c>
      <c r="R188" s="365"/>
      <c r="S188" s="693">
        <f>[2]Base!AE186</f>
        <v>968593</v>
      </c>
      <c r="T188" s="700">
        <f>[2]Base!AF186</f>
        <v>4.6489191160942269</v>
      </c>
      <c r="U188" s="365"/>
      <c r="V188" s="693">
        <f>[2]Base!AR186</f>
        <v>29837</v>
      </c>
      <c r="W188" s="698">
        <f>[2]Base!AS186</f>
        <v>33569</v>
      </c>
      <c r="X188" s="698">
        <f>[2]Base!AT186</f>
        <v>42096</v>
      </c>
      <c r="Y188" s="698">
        <f>[2]Base!AU186</f>
        <v>17330</v>
      </c>
      <c r="Z188" s="698">
        <f>[2]Base!AV186</f>
        <v>11833</v>
      </c>
      <c r="AA188" s="698">
        <f>[2]Base!AW186</f>
        <v>15674</v>
      </c>
      <c r="AB188" s="698">
        <f>[2]Base!AX186</f>
        <v>7158</v>
      </c>
      <c r="AC188" s="698">
        <f>[2]Base!AY186</f>
        <v>7037</v>
      </c>
      <c r="AD188" s="694">
        <f>[2]Base!AZ186</f>
        <v>43814</v>
      </c>
      <c r="AE188" s="365"/>
      <c r="AF188" s="366">
        <f t="shared" si="59"/>
        <v>45383</v>
      </c>
      <c r="AG188" s="701">
        <f t="shared" si="68"/>
        <v>0.14320751819071936</v>
      </c>
      <c r="AH188" s="702">
        <f t="shared" si="69"/>
        <v>0.16111985716205579</v>
      </c>
      <c r="AI188" s="702">
        <f t="shared" si="70"/>
        <v>0.20204657592105515</v>
      </c>
      <c r="AJ188" s="702">
        <f t="shared" si="71"/>
        <v>8.3178144258644185E-2</v>
      </c>
      <c r="AK188" s="702">
        <f t="shared" si="72"/>
        <v>5.6794401674122141E-2</v>
      </c>
      <c r="AL188" s="702">
        <f t="shared" si="73"/>
        <v>7.5229903814771446E-2</v>
      </c>
      <c r="AM188" s="702">
        <f t="shared" si="74"/>
        <v>3.4355981338913738E-2</v>
      </c>
      <c r="AN188" s="702">
        <f t="shared" si="65"/>
        <v>3.3775222224355403E-2</v>
      </c>
      <c r="AO188" s="703">
        <f t="shared" si="75"/>
        <v>0.21029239541536277</v>
      </c>
      <c r="AP188" s="365"/>
      <c r="AQ188" s="693">
        <f>+[2]Base!CS186</f>
        <v>10354.8956</v>
      </c>
      <c r="AR188" s="698">
        <f>+[2]Base!CT186</f>
        <v>26960.231199999998</v>
      </c>
      <c r="AS188" s="698">
        <f>+[2]Base!CU186</f>
        <v>21605.687600000001</v>
      </c>
      <c r="AT188" s="698">
        <f>+[2]Base!CV186</f>
        <v>113966.35600000001</v>
      </c>
      <c r="AU188" s="694">
        <f>+[2]Base!CW186</f>
        <v>35481.664400000001</v>
      </c>
      <c r="AV188" s="365"/>
      <c r="AW188" s="704">
        <f t="shared" si="60"/>
        <v>4.9695030496950302E-2</v>
      </c>
      <c r="AX188" s="705">
        <f t="shared" si="61"/>
        <v>0.12938706129387059</v>
      </c>
      <c r="AY188" s="705">
        <f t="shared" si="62"/>
        <v>0.10368963103689631</v>
      </c>
      <c r="AZ188" s="705">
        <f t="shared" si="63"/>
        <v>0.54694530546945308</v>
      </c>
      <c r="BA188" s="706">
        <f t="shared" si="64"/>
        <v>0.17028297170282972</v>
      </c>
      <c r="BB188" s="365"/>
      <c r="BC188" s="704">
        <f t="shared" si="66"/>
        <v>0.12375572474970022</v>
      </c>
      <c r="BD188" s="706">
        <f t="shared" si="67"/>
        <v>0.17144393034730354</v>
      </c>
      <c r="BG188" t="s">
        <v>2139</v>
      </c>
      <c r="BH188" t="s">
        <v>2142</v>
      </c>
    </row>
    <row r="189" spans="1:60" ht="12.75" customHeight="1" outlineLevel="1" x14ac:dyDescent="0.2">
      <c r="A189" s="570">
        <v>45413</v>
      </c>
      <c r="B189" s="708">
        <f>IF([1]RENAME!$H$3=0,A189,TEXT(A189,"[$-em-US] mmm-aa;@"))</f>
        <v>45413</v>
      </c>
      <c r="C189" s="365" t="str">
        <f>IF([1]RENAME!$H$3=0,BG189,BH189)</f>
        <v>2T24</v>
      </c>
      <c r="D189" s="366">
        <v>45413</v>
      </c>
      <c r="E189" s="697">
        <f>[2]Base!P187</f>
        <v>208587</v>
      </c>
      <c r="F189" s="698">
        <f>[2]Base!Q187</f>
        <v>183426</v>
      </c>
      <c r="G189" s="694">
        <f>[2]Base!R187</f>
        <v>25161</v>
      </c>
      <c r="H189" s="365"/>
      <c r="I189" s="697">
        <f>[2]Base!T187</f>
        <v>246</v>
      </c>
      <c r="J189" s="699">
        <f>[2]Base!U187</f>
        <v>124.4</v>
      </c>
      <c r="K189" s="700">
        <f>[2]Base!V187</f>
        <v>121.6</v>
      </c>
      <c r="L189" s="365"/>
      <c r="M189" s="693">
        <f>+[2]Base!X187</f>
        <v>152829</v>
      </c>
      <c r="N189" s="694">
        <f>+[2]Base!Y187</f>
        <v>32381</v>
      </c>
      <c r="O189" s="365"/>
      <c r="P189" s="693">
        <f>[2]Base!AB187</f>
        <v>84577.728600000002</v>
      </c>
      <c r="Q189" s="694">
        <f>[2]Base!AC187</f>
        <v>98848.271399999998</v>
      </c>
      <c r="R189" s="365"/>
      <c r="S189" s="693">
        <f>[2]Base!AE187</f>
        <v>880443</v>
      </c>
      <c r="T189" s="700">
        <f>[2]Base!AF187</f>
        <v>4.7999901867783192</v>
      </c>
      <c r="U189" s="365"/>
      <c r="V189" s="693">
        <f>[2]Base!AR187</f>
        <v>25804</v>
      </c>
      <c r="W189" s="698">
        <f>[2]Base!AS187</f>
        <v>27533</v>
      </c>
      <c r="X189" s="698">
        <f>[2]Base!AT187</f>
        <v>38690</v>
      </c>
      <c r="Y189" s="698">
        <f>[2]Base!AU187</f>
        <v>14996</v>
      </c>
      <c r="Z189" s="698">
        <f>[2]Base!AV187</f>
        <v>7302</v>
      </c>
      <c r="AA189" s="698">
        <f>[2]Base!AW187</f>
        <v>15621</v>
      </c>
      <c r="AB189" s="698">
        <f>[2]Base!AX187</f>
        <v>6448</v>
      </c>
      <c r="AC189" s="698">
        <f>[2]Base!AY187</f>
        <v>5255</v>
      </c>
      <c r="AD189" s="694">
        <f>[2]Base!AZ187</f>
        <v>41777</v>
      </c>
      <c r="AE189" s="365"/>
      <c r="AF189" s="366">
        <f t="shared" si="59"/>
        <v>45413</v>
      </c>
      <c r="AG189" s="701">
        <f t="shared" si="68"/>
        <v>0.14067798458233838</v>
      </c>
      <c r="AH189" s="702">
        <f t="shared" si="69"/>
        <v>0.15010412918561164</v>
      </c>
      <c r="AI189" s="702">
        <f t="shared" si="70"/>
        <v>0.210929748236346</v>
      </c>
      <c r="AJ189" s="702">
        <f t="shared" si="71"/>
        <v>8.1755040179690999E-2</v>
      </c>
      <c r="AK189" s="702">
        <f t="shared" si="72"/>
        <v>3.9808969284616143E-2</v>
      </c>
      <c r="AL189" s="702">
        <f t="shared" si="73"/>
        <v>8.5162408818815219E-2</v>
      </c>
      <c r="AM189" s="702">
        <f t="shared" si="74"/>
        <v>3.5153140776116802E-2</v>
      </c>
      <c r="AN189" s="702">
        <f t="shared" si="65"/>
        <v>2.8649155517756479E-2</v>
      </c>
      <c r="AO189" s="703">
        <f t="shared" si="75"/>
        <v>0.22775942341870836</v>
      </c>
      <c r="AP189" s="365"/>
      <c r="AQ189" s="693">
        <f>+[2]Base!CS187</f>
        <v>9318.0407999999989</v>
      </c>
      <c r="AR189" s="698">
        <f>+[2]Base!CT187</f>
        <v>27587.270400000001</v>
      </c>
      <c r="AS189" s="698">
        <f>+[2]Base!CU187</f>
        <v>19259.73</v>
      </c>
      <c r="AT189" s="698">
        <f>+[2]Base!CV187</f>
        <v>101012.6982</v>
      </c>
      <c r="AU189" s="694">
        <f>+[2]Base!CW187</f>
        <v>26248.260600000001</v>
      </c>
      <c r="AV189" s="365"/>
      <c r="AW189" s="704">
        <f t="shared" si="60"/>
        <v>5.0799999999999991E-2</v>
      </c>
      <c r="AX189" s="705">
        <f t="shared" si="61"/>
        <v>0.15040000000000001</v>
      </c>
      <c r="AY189" s="705">
        <f t="shared" si="62"/>
        <v>0.105</v>
      </c>
      <c r="AZ189" s="705">
        <f t="shared" si="63"/>
        <v>0.55069999999999997</v>
      </c>
      <c r="BA189" s="706">
        <f t="shared" si="64"/>
        <v>0.1431</v>
      </c>
      <c r="BB189" s="365"/>
      <c r="BC189" s="704">
        <f t="shared" si="66"/>
        <v>0.16463498419802525</v>
      </c>
      <c r="BD189" s="706">
        <f t="shared" si="67"/>
        <v>0.17653440624557043</v>
      </c>
      <c r="BG189" t="s">
        <v>2139</v>
      </c>
      <c r="BH189" t="s">
        <v>2142</v>
      </c>
    </row>
    <row r="190" spans="1:60" ht="12.75" customHeight="1" outlineLevel="1" x14ac:dyDescent="0.2">
      <c r="A190" s="570">
        <v>45444</v>
      </c>
      <c r="B190" s="708">
        <f>IF([1]RENAME!$H$3=0,A190,TEXT(A190,"[$-em-US] mmm-aa;@"))</f>
        <v>45444</v>
      </c>
      <c r="C190" s="365" t="str">
        <f>IF([1]RENAME!$H$3=0,BG190,BH190)</f>
        <v>2T24</v>
      </c>
      <c r="D190" s="366">
        <v>45444</v>
      </c>
      <c r="E190" s="697">
        <f>[2]Base!P188</f>
        <v>229790</v>
      </c>
      <c r="F190" s="698">
        <f>[2]Base!Q188</f>
        <v>202584</v>
      </c>
      <c r="G190" s="694">
        <f>[2]Base!R188</f>
        <v>27206</v>
      </c>
      <c r="H190" s="365"/>
      <c r="I190" s="697">
        <f>[2]Base!T188</f>
        <v>235.29999999999998</v>
      </c>
      <c r="J190" s="699">
        <f>[2]Base!U188</f>
        <v>133.69999999999999</v>
      </c>
      <c r="K190" s="700">
        <f>[2]Base!V188</f>
        <v>101.6</v>
      </c>
      <c r="L190" s="365"/>
      <c r="M190" s="693">
        <f>+[2]Base!X188</f>
        <v>196160</v>
      </c>
      <c r="N190" s="694">
        <f>+[2]Base!Y188</f>
        <v>37648</v>
      </c>
      <c r="O190" s="365"/>
      <c r="P190" s="693">
        <f>[2]Base!AB188</f>
        <v>98860.991999999998</v>
      </c>
      <c r="Q190" s="694">
        <f>[2]Base!AC188</f>
        <v>103723.008</v>
      </c>
      <c r="R190" s="365"/>
      <c r="S190" s="693">
        <f>[2]Base!AE188</f>
        <v>958540</v>
      </c>
      <c r="T190" s="700">
        <f>[2]Base!AF188</f>
        <v>4.7315681396359039</v>
      </c>
      <c r="U190" s="365"/>
      <c r="V190" s="693">
        <f>[2]Base!AR188</f>
        <v>28642</v>
      </c>
      <c r="W190" s="698">
        <f>[2]Base!AS188</f>
        <v>29975</v>
      </c>
      <c r="X190" s="698">
        <f>[2]Base!AT188</f>
        <v>38399</v>
      </c>
      <c r="Y190" s="698">
        <f>[2]Base!AU188</f>
        <v>17403</v>
      </c>
      <c r="Z190" s="698">
        <f>[2]Base!AV188</f>
        <v>9914</v>
      </c>
      <c r="AA190" s="698">
        <f>[2]Base!AW188</f>
        <v>19448</v>
      </c>
      <c r="AB190" s="698">
        <f>[2]Base!AX188</f>
        <v>7486</v>
      </c>
      <c r="AC190" s="698">
        <f>[2]Base!AY188</f>
        <v>5257</v>
      </c>
      <c r="AD190" s="694">
        <f>[2]Base!AZ188</f>
        <v>46060</v>
      </c>
      <c r="AE190" s="365"/>
      <c r="AF190" s="366">
        <f t="shared" si="59"/>
        <v>45444</v>
      </c>
      <c r="AG190" s="701">
        <f t="shared" si="68"/>
        <v>0.14138332740986456</v>
      </c>
      <c r="AH190" s="702">
        <f t="shared" si="69"/>
        <v>0.14796331398333532</v>
      </c>
      <c r="AI190" s="702">
        <f t="shared" si="70"/>
        <v>0.18954606484223829</v>
      </c>
      <c r="AJ190" s="702">
        <f t="shared" si="71"/>
        <v>8.5905106030091216E-2</v>
      </c>
      <c r="AK190" s="702">
        <f t="shared" si="72"/>
        <v>4.8937724598191366E-2</v>
      </c>
      <c r="AL190" s="702">
        <f t="shared" si="73"/>
        <v>9.5999684081664885E-2</v>
      </c>
      <c r="AM190" s="702">
        <f t="shared" si="74"/>
        <v>3.6952572759941557E-2</v>
      </c>
      <c r="AN190" s="702">
        <f t="shared" si="65"/>
        <v>2.594972949492556E-2</v>
      </c>
      <c r="AO190" s="703">
        <f t="shared" si="75"/>
        <v>0.22736247679974728</v>
      </c>
      <c r="AP190" s="365"/>
      <c r="AQ190" s="693">
        <f>+[2]Base!CS188</f>
        <v>9521.4480000000003</v>
      </c>
      <c r="AR190" s="698">
        <f>+[2]Base!CT188</f>
        <v>24715.248</v>
      </c>
      <c r="AS190" s="698">
        <f>+[2]Base!CU188</f>
        <v>19204.963199999998</v>
      </c>
      <c r="AT190" s="698">
        <f>+[2]Base!CV188</f>
        <v>116161.66560000001</v>
      </c>
      <c r="AU190" s="694">
        <f>+[2]Base!CW188</f>
        <v>32980.675199999998</v>
      </c>
      <c r="AV190" s="365"/>
      <c r="AW190" s="704">
        <f t="shared" si="60"/>
        <v>4.7E-2</v>
      </c>
      <c r="AX190" s="705">
        <f t="shared" si="61"/>
        <v>0.122</v>
      </c>
      <c r="AY190" s="705">
        <f t="shared" si="62"/>
        <v>9.4799999999999995E-2</v>
      </c>
      <c r="AZ190" s="705">
        <f t="shared" si="63"/>
        <v>0.57340000000000002</v>
      </c>
      <c r="BA190" s="706">
        <f t="shared" si="64"/>
        <v>0.1628</v>
      </c>
      <c r="BB190" s="365"/>
      <c r="BC190" s="704">
        <f t="shared" si="66"/>
        <v>0.13869290375203916</v>
      </c>
      <c r="BD190" s="706">
        <f t="shared" si="67"/>
        <v>0.1858389606286775</v>
      </c>
      <c r="BG190" t="s">
        <v>2139</v>
      </c>
      <c r="BH190" t="s">
        <v>2142</v>
      </c>
    </row>
    <row r="191" spans="1:60" ht="12.75" customHeight="1" outlineLevel="1" x14ac:dyDescent="0.2">
      <c r="A191" s="570">
        <v>45474</v>
      </c>
      <c r="B191" s="708">
        <f>IF([1]RENAME!$H$3=0,A191,TEXT(A191,"[$-em-US] mmm-aa;@"))</f>
        <v>45474</v>
      </c>
      <c r="C191" s="365" t="str">
        <f>IF([1]RENAME!$H$3=0,BG191,BH191)</f>
        <v>3T24</v>
      </c>
      <c r="D191" s="366">
        <v>45474</v>
      </c>
      <c r="E191" s="697">
        <f>[2]Base!P189</f>
        <v>264696</v>
      </c>
      <c r="F191" s="698">
        <f>[2]Base!Q189</f>
        <v>227496</v>
      </c>
      <c r="G191" s="694">
        <f>[2]Base!R189</f>
        <v>37200</v>
      </c>
      <c r="H191" s="365"/>
      <c r="I191" s="697">
        <f>[2]Base!T189</f>
        <v>255.8</v>
      </c>
      <c r="J191" s="699">
        <f>[2]Base!U189</f>
        <v>130.80000000000001</v>
      </c>
      <c r="K191" s="700">
        <f>[2]Base!V189</f>
        <v>125</v>
      </c>
      <c r="L191" s="365"/>
      <c r="M191" s="693">
        <f>+[2]Base!X189</f>
        <v>232616</v>
      </c>
      <c r="N191" s="694">
        <f>+[2]Base!Y189</f>
        <v>40551</v>
      </c>
      <c r="O191" s="365"/>
      <c r="P191" s="693">
        <f>[2]Base!AB189</f>
        <v>108515.592</v>
      </c>
      <c r="Q191" s="694">
        <f>[2]Base!AC189</f>
        <v>118980.408</v>
      </c>
      <c r="R191" s="365"/>
      <c r="S191" s="693">
        <f>[2]Base!AE189</f>
        <v>1087536</v>
      </c>
      <c r="T191" s="700">
        <f>[2]Base!AF189</f>
        <v>4.7804620740584447</v>
      </c>
      <c r="U191" s="365"/>
      <c r="V191" s="693">
        <f>[2]Base!AR189</f>
        <v>26048</v>
      </c>
      <c r="W191" s="698">
        <f>[2]Base!AS189</f>
        <v>37036</v>
      </c>
      <c r="X191" s="698">
        <f>[2]Base!AT189</f>
        <v>50469</v>
      </c>
      <c r="Y191" s="698">
        <f>[2]Base!AU189</f>
        <v>19869</v>
      </c>
      <c r="Z191" s="698">
        <f>[2]Base!AV189</f>
        <v>10543</v>
      </c>
      <c r="AA191" s="698">
        <f>[2]Base!AW189</f>
        <v>17795</v>
      </c>
      <c r="AB191" s="698">
        <f>[2]Base!AX189</f>
        <v>8422</v>
      </c>
      <c r="AC191" s="698">
        <f>[2]Base!AY189</f>
        <v>6078</v>
      </c>
      <c r="AD191" s="694">
        <f>[2]Base!AZ189</f>
        <v>51236</v>
      </c>
      <c r="AE191" s="365"/>
      <c r="AF191" s="366">
        <f t="shared" si="59"/>
        <v>45474</v>
      </c>
      <c r="AG191" s="701">
        <f t="shared" ref="AG191:AO193" si="76">+V191/SUM($V191:$AD191)</f>
        <v>0.11449871646094877</v>
      </c>
      <c r="AH191" s="702">
        <f t="shared" si="76"/>
        <v>0.1627984667862292</v>
      </c>
      <c r="AI191" s="702">
        <f t="shared" si="76"/>
        <v>0.22184565882477056</v>
      </c>
      <c r="AJ191" s="702">
        <f t="shared" si="76"/>
        <v>8.7337799345922562E-2</v>
      </c>
      <c r="AK191" s="702">
        <f t="shared" si="76"/>
        <v>4.6343671976650139E-2</v>
      </c>
      <c r="AL191" s="702">
        <f t="shared" si="76"/>
        <v>7.8221155536800646E-2</v>
      </c>
      <c r="AM191" s="702">
        <f t="shared" si="76"/>
        <v>3.7020431128459402E-2</v>
      </c>
      <c r="AN191" s="702">
        <f t="shared" si="76"/>
        <v>2.6716953265112354E-2</v>
      </c>
      <c r="AO191" s="703">
        <f t="shared" si="76"/>
        <v>0.22521714667510637</v>
      </c>
      <c r="AP191" s="365"/>
      <c r="AQ191" s="693">
        <f>+[2]Base!CS189</f>
        <v>9418.3343999999997</v>
      </c>
      <c r="AR191" s="698">
        <f>+[2]Base!CT189</f>
        <v>30438.964800000002</v>
      </c>
      <c r="AS191" s="698">
        <f>+[2]Base!CU189</f>
        <v>19928.649600000001</v>
      </c>
      <c r="AT191" s="698">
        <f>+[2]Base!CV189</f>
        <v>128899.23359999999</v>
      </c>
      <c r="AU191" s="694">
        <f>+[2]Base!CW189</f>
        <v>38810.817600000002</v>
      </c>
      <c r="AV191" s="365"/>
      <c r="AW191" s="704">
        <f t="shared" ref="AW191:BA193" si="77">+AQ191/SUM($AQ191:$AU191)</f>
        <v>4.1399999999999999E-2</v>
      </c>
      <c r="AX191" s="705">
        <f t="shared" si="77"/>
        <v>0.1338</v>
      </c>
      <c r="AY191" s="705">
        <f t="shared" si="77"/>
        <v>8.7599999999999997E-2</v>
      </c>
      <c r="AZ191" s="705">
        <f t="shared" si="77"/>
        <v>0.56659999999999999</v>
      </c>
      <c r="BA191" s="706">
        <f t="shared" si="77"/>
        <v>0.1706</v>
      </c>
      <c r="BB191" s="365"/>
      <c r="BC191" s="704">
        <f t="shared" ref="BC191:BC196" si="78">+G191/M191</f>
        <v>0.15992021185129141</v>
      </c>
      <c r="BD191" s="706">
        <f t="shared" ref="BD191:BD196" si="79">+N191/F191</f>
        <v>0.17824928789956745</v>
      </c>
      <c r="BG191" t="s">
        <v>2140</v>
      </c>
      <c r="BH191" t="s">
        <v>2143</v>
      </c>
    </row>
    <row r="192" spans="1:60" ht="12.75" customHeight="1" outlineLevel="1" x14ac:dyDescent="0.2">
      <c r="A192" s="570">
        <v>45505</v>
      </c>
      <c r="B192" s="708">
        <f>IF([1]RENAME!$H$3=0,A192,TEXT(A192,"[$-em-US] mmm-aa;@"))</f>
        <v>45505</v>
      </c>
      <c r="C192" s="365" t="str">
        <f>IF([1]RENAME!$H$3=0,BG192,BH192)</f>
        <v>3T24</v>
      </c>
      <c r="D192" s="366">
        <v>45505</v>
      </c>
      <c r="E192" s="697">
        <f>[2]Base!P190</f>
        <v>259846</v>
      </c>
      <c r="F192" s="698">
        <f>[2]Base!Q190</f>
        <v>223450</v>
      </c>
      <c r="G192" s="694">
        <f>[2]Base!R190</f>
        <v>36396</v>
      </c>
      <c r="H192" s="365"/>
      <c r="I192" s="697">
        <f>[2]Base!T190</f>
        <v>268.89999999999998</v>
      </c>
      <c r="J192" s="699">
        <f>[2]Base!U190</f>
        <v>133.69999999999999</v>
      </c>
      <c r="K192" s="700">
        <f>[2]Base!V190</f>
        <v>135.19999999999999</v>
      </c>
      <c r="L192" s="365"/>
      <c r="M192" s="693">
        <f>+[2]Base!X190</f>
        <v>244356</v>
      </c>
      <c r="N192" s="694">
        <f>+[2]Base!Y190</f>
        <v>40008</v>
      </c>
      <c r="O192" s="365"/>
      <c r="P192" s="693">
        <f>[2]Base!AB190</f>
        <v>111278.1</v>
      </c>
      <c r="Q192" s="694">
        <f>[2]Base!AC190</f>
        <v>112171.9</v>
      </c>
      <c r="R192" s="365"/>
      <c r="S192" s="693">
        <f>[2]Base!AE190</f>
        <v>1056020</v>
      </c>
      <c r="T192" s="700">
        <f>[2]Base!AF190</f>
        <v>4.7259789662116809</v>
      </c>
      <c r="U192" s="365"/>
      <c r="V192" s="693">
        <f>[2]Base!AR190</f>
        <v>27983</v>
      </c>
      <c r="W192" s="698">
        <f>[2]Base!AS190</f>
        <v>37071</v>
      </c>
      <c r="X192" s="698">
        <f>[2]Base!AT190</f>
        <v>49433</v>
      </c>
      <c r="Y192" s="698">
        <f>[2]Base!AU190</f>
        <v>18862</v>
      </c>
      <c r="Z192" s="698">
        <f>[2]Base!AV190</f>
        <v>10871</v>
      </c>
      <c r="AA192" s="698">
        <f>[2]Base!AW190</f>
        <v>16945</v>
      </c>
      <c r="AB192" s="698">
        <f>[2]Base!AX190</f>
        <v>8471</v>
      </c>
      <c r="AC192" s="698">
        <f>[2]Base!AY190</f>
        <v>6705</v>
      </c>
      <c r="AD192" s="694">
        <f>[2]Base!AZ190</f>
        <v>47109</v>
      </c>
      <c r="AE192" s="365"/>
      <c r="AF192" s="366">
        <f t="shared" si="59"/>
        <v>45505</v>
      </c>
      <c r="AG192" s="701">
        <f t="shared" si="76"/>
        <v>0.12523159543522042</v>
      </c>
      <c r="AH192" s="702">
        <f t="shared" si="76"/>
        <v>0.1659028865518013</v>
      </c>
      <c r="AI192" s="702">
        <f t="shared" si="76"/>
        <v>0.22122622510628775</v>
      </c>
      <c r="AJ192" s="702">
        <f t="shared" si="76"/>
        <v>8.441262027299172E-2</v>
      </c>
      <c r="AK192" s="702">
        <f t="shared" si="76"/>
        <v>4.8650704855672411E-2</v>
      </c>
      <c r="AL192" s="702">
        <f t="shared" si="76"/>
        <v>7.5833519803087945E-2</v>
      </c>
      <c r="AM192" s="702">
        <f t="shared" si="76"/>
        <v>3.7910046990378157E-2</v>
      </c>
      <c r="AN192" s="702">
        <f t="shared" si="76"/>
        <v>3.0006712911165807E-2</v>
      </c>
      <c r="AO192" s="703">
        <f t="shared" si="76"/>
        <v>0.2108256880733945</v>
      </c>
      <c r="AP192" s="365"/>
      <c r="AQ192" s="693">
        <f>+[2]Base!CS190</f>
        <v>11306.57</v>
      </c>
      <c r="AR192" s="698">
        <f>+[2]Base!CT190</f>
        <v>31260.654999999999</v>
      </c>
      <c r="AS192" s="698">
        <f>+[2]Base!CU190</f>
        <v>20825.54</v>
      </c>
      <c r="AT192" s="698">
        <f>+[2]Base!CV190</f>
        <v>121802.595</v>
      </c>
      <c r="AU192" s="694">
        <f>+[2]Base!CW190</f>
        <v>38232.294999999998</v>
      </c>
      <c r="AV192" s="365"/>
      <c r="AW192" s="704">
        <f t="shared" si="77"/>
        <v>5.0605060506050611E-2</v>
      </c>
      <c r="AX192" s="705">
        <f t="shared" si="77"/>
        <v>0.13991399139913993</v>
      </c>
      <c r="AY192" s="705">
        <f t="shared" si="77"/>
        <v>9.320932093209322E-2</v>
      </c>
      <c r="AZ192" s="705">
        <f t="shared" si="77"/>
        <v>0.54515451545154525</v>
      </c>
      <c r="BA192" s="706">
        <f t="shared" si="77"/>
        <v>0.17111711171117114</v>
      </c>
      <c r="BB192" s="365"/>
      <c r="BC192" s="704">
        <f t="shared" si="78"/>
        <v>0.14894661886755389</v>
      </c>
      <c r="BD192" s="706">
        <f t="shared" si="79"/>
        <v>0.17904676661445512</v>
      </c>
      <c r="BG192" t="s">
        <v>2140</v>
      </c>
      <c r="BH192" t="s">
        <v>2143</v>
      </c>
    </row>
    <row r="193" spans="1:60" ht="12.75" customHeight="1" outlineLevel="1" x14ac:dyDescent="0.2">
      <c r="A193" s="570">
        <v>45536</v>
      </c>
      <c r="B193" s="708">
        <f>IF([1]RENAME!$H$3=0,A193,TEXT(A193,"[$-em-US] mmm-aa;@"))</f>
        <v>45536</v>
      </c>
      <c r="C193" s="365" t="str">
        <f>IF([1]RENAME!$H$3=0,BG193,BH193)</f>
        <v>3T24</v>
      </c>
      <c r="D193" s="366">
        <v>45536</v>
      </c>
      <c r="E193" s="697">
        <f>[2]Base!P191</f>
        <v>262430</v>
      </c>
      <c r="F193" s="698">
        <f>[2]Base!Q191</f>
        <v>222875</v>
      </c>
      <c r="G193" s="694">
        <f>[2]Base!R191</f>
        <v>39555</v>
      </c>
      <c r="H193" s="365"/>
      <c r="I193" s="697">
        <f>[2]Base!T191</f>
        <v>266.39999999999998</v>
      </c>
      <c r="J193" s="699">
        <f>[2]Base!U191</f>
        <v>144.80000000000001</v>
      </c>
      <c r="K193" s="700">
        <f>[2]Base!V191</f>
        <v>121.6</v>
      </c>
      <c r="L193" s="365"/>
      <c r="M193" s="693">
        <f>+[2]Base!X191</f>
        <v>214602</v>
      </c>
      <c r="N193" s="694">
        <f>+[2]Base!Y191</f>
        <v>41934</v>
      </c>
      <c r="O193" s="365"/>
      <c r="P193" s="693">
        <f>[2]Base!AB191</f>
        <v>106980</v>
      </c>
      <c r="Q193" s="694">
        <f>[2]Base!AC191</f>
        <v>115895</v>
      </c>
      <c r="R193" s="365"/>
      <c r="S193" s="693">
        <f>[2]Base!AE191</f>
        <v>992379</v>
      </c>
      <c r="T193" s="700">
        <f>[2]Base!AF191</f>
        <v>4.4526259113853053</v>
      </c>
      <c r="U193" s="365"/>
      <c r="V193" s="693">
        <f>[2]Base!AR191</f>
        <v>27629</v>
      </c>
      <c r="W193" s="698">
        <f>[2]Base!AS191</f>
        <v>35344</v>
      </c>
      <c r="X193" s="698">
        <f>[2]Base!AT191</f>
        <v>49644</v>
      </c>
      <c r="Y193" s="698">
        <f>[2]Base!AU191</f>
        <v>19800</v>
      </c>
      <c r="Z193" s="698">
        <f>[2]Base!AV191</f>
        <v>15164</v>
      </c>
      <c r="AA193" s="698">
        <f>[2]Base!AW191</f>
        <v>14687</v>
      </c>
      <c r="AB193" s="698">
        <f>[2]Base!AX191</f>
        <v>8679</v>
      </c>
      <c r="AC193" s="698">
        <f>[2]Base!AY191</f>
        <v>5958</v>
      </c>
      <c r="AD193" s="694">
        <f>[2]Base!AZ191</f>
        <v>45970</v>
      </c>
      <c r="AE193" s="365"/>
      <c r="AF193" s="366">
        <f t="shared" si="59"/>
        <v>45536</v>
      </c>
      <c r="AG193" s="701">
        <f t="shared" si="76"/>
        <v>0.12396634885025239</v>
      </c>
      <c r="AH193" s="702">
        <f t="shared" si="76"/>
        <v>0.15858216489063376</v>
      </c>
      <c r="AI193" s="702">
        <f t="shared" si="76"/>
        <v>0.22274369040942232</v>
      </c>
      <c r="AJ193" s="702">
        <f t="shared" si="76"/>
        <v>8.8839035333707239E-2</v>
      </c>
      <c r="AK193" s="702">
        <f t="shared" si="76"/>
        <v>6.803813796971396E-2</v>
      </c>
      <c r="AL193" s="702">
        <f t="shared" si="76"/>
        <v>6.5897924845765565E-2</v>
      </c>
      <c r="AM193" s="702">
        <f t="shared" si="76"/>
        <v>3.8941110487941674E-2</v>
      </c>
      <c r="AN193" s="702">
        <f t="shared" si="76"/>
        <v>2.6732473359506449E-2</v>
      </c>
      <c r="AO193" s="703">
        <f t="shared" si="76"/>
        <v>0.20625911385305665</v>
      </c>
      <c r="AP193" s="365"/>
      <c r="AQ193" s="693">
        <f>+[2]Base!CS191</f>
        <v>11099.174999999999</v>
      </c>
      <c r="AR193" s="698">
        <f>+[2]Base!CT191</f>
        <v>30422.437500000004</v>
      </c>
      <c r="AS193" s="698">
        <f>+[2]Base!CU191</f>
        <v>19746.724999999999</v>
      </c>
      <c r="AT193" s="698">
        <f>+[2]Base!CV191</f>
        <v>123428.17499999999</v>
      </c>
      <c r="AU193" s="694">
        <f>+[2]Base!CW191</f>
        <v>38178.487500000003</v>
      </c>
      <c r="AV193" s="365"/>
      <c r="AW193" s="704">
        <f t="shared" si="77"/>
        <v>4.9799999999999997E-2</v>
      </c>
      <c r="AX193" s="705">
        <f t="shared" si="77"/>
        <v>0.13650000000000001</v>
      </c>
      <c r="AY193" s="705">
        <f t="shared" si="77"/>
        <v>8.8599999999999998E-2</v>
      </c>
      <c r="AZ193" s="705">
        <f t="shared" si="77"/>
        <v>0.55379999999999996</v>
      </c>
      <c r="BA193" s="706">
        <f t="shared" si="77"/>
        <v>0.17130000000000001</v>
      </c>
      <c r="BB193" s="365"/>
      <c r="BC193" s="704">
        <f t="shared" si="78"/>
        <v>0.18431794671065507</v>
      </c>
      <c r="BD193" s="706">
        <f t="shared" si="79"/>
        <v>0.18815030846887268</v>
      </c>
      <c r="BG193" t="s">
        <v>2140</v>
      </c>
      <c r="BH193" t="s">
        <v>2143</v>
      </c>
    </row>
    <row r="194" spans="1:60" ht="12.75" customHeight="1" outlineLevel="1" x14ac:dyDescent="0.2">
      <c r="A194" s="570">
        <v>45566</v>
      </c>
      <c r="B194" s="708">
        <f>IF([1]RENAME!$H$3=0,A194,TEXT(A194,"[$-em-US] mmm-aa;@"))</f>
        <v>45566</v>
      </c>
      <c r="C194" s="365" t="str">
        <f>IF([1]RENAME!$H$3=0,BG194,BH194)</f>
        <v>4T24</v>
      </c>
      <c r="D194" s="366">
        <v>45566</v>
      </c>
      <c r="E194" s="697">
        <f>[2]Base!P192</f>
        <v>291016</v>
      </c>
      <c r="F194" s="698">
        <f>[2]Base!Q192</f>
        <v>250155</v>
      </c>
      <c r="G194" s="694">
        <f>[2]Base!R192</f>
        <v>40861</v>
      </c>
      <c r="H194" s="365"/>
      <c r="I194" s="697">
        <f>[2]Base!T192</f>
        <v>262.8</v>
      </c>
      <c r="J194" s="699">
        <f>[2]Base!U192</f>
        <v>131</v>
      </c>
      <c r="K194" s="700">
        <f>[2]Base!V192</f>
        <v>131.80000000000001</v>
      </c>
      <c r="L194" s="365"/>
      <c r="M194" s="693">
        <f>+[2]Base!X192</f>
        <v>231908</v>
      </c>
      <c r="N194" s="694">
        <f>+[2]Base!Y192</f>
        <v>46211</v>
      </c>
      <c r="O194" s="365"/>
      <c r="P194" s="693">
        <f>[2]Base!AB192</f>
        <v>128829.825</v>
      </c>
      <c r="Q194" s="694">
        <f>[2]Base!AC192</f>
        <v>121325.175</v>
      </c>
      <c r="R194" s="365"/>
      <c r="S194" s="693">
        <f>[2]Base!AE192</f>
        <v>1073409</v>
      </c>
      <c r="T194" s="700">
        <f>[2]Base!AF192</f>
        <v>4.2909755951310187</v>
      </c>
      <c r="U194" s="365"/>
      <c r="V194" s="693">
        <f>[2]Base!AR192</f>
        <v>29236</v>
      </c>
      <c r="W194" s="698">
        <f>[2]Base!AS192</f>
        <v>42246</v>
      </c>
      <c r="X194" s="698">
        <f>[2]Base!AT192</f>
        <v>51951</v>
      </c>
      <c r="Y194" s="698">
        <f>[2]Base!AU192</f>
        <v>20526</v>
      </c>
      <c r="Z194" s="698">
        <f>[2]Base!AV192</f>
        <v>12887</v>
      </c>
      <c r="AA194" s="698">
        <f>[2]Base!AW192</f>
        <v>23105</v>
      </c>
      <c r="AB194" s="698">
        <f>[2]Base!AX192</f>
        <v>9945</v>
      </c>
      <c r="AC194" s="698">
        <f>[2]Base!AY192</f>
        <v>7399</v>
      </c>
      <c r="AD194" s="694">
        <f>[2]Base!AZ192</f>
        <v>52860</v>
      </c>
      <c r="AE194" s="365"/>
      <c r="AF194" s="366">
        <f t="shared" si="59"/>
        <v>45566</v>
      </c>
      <c r="AG194" s="701">
        <f t="shared" ref="AG194:AG203" si="80">+V194/SUM($V194:$AD194)</f>
        <v>0.11687153964541984</v>
      </c>
      <c r="AH194" s="702">
        <f t="shared" ref="AH194:AH203" si="81">+W194/SUM($V194:$AD194)</f>
        <v>0.16887929483720093</v>
      </c>
      <c r="AI194" s="702">
        <f t="shared" ref="AI194:AI203" si="82">+X194/SUM($V194:$AD194)</f>
        <v>0.20767524135036278</v>
      </c>
      <c r="AJ194" s="702">
        <f t="shared" ref="AJ194:AJ203" si="83">+Y194/SUM($V194:$AD194)</f>
        <v>8.2053127061222045E-2</v>
      </c>
      <c r="AK194" s="702">
        <f t="shared" ref="AK194:AK203" si="84">+Z194/SUM($V194:$AD194)</f>
        <v>5.1516060042773482E-2</v>
      </c>
      <c r="AL194" s="702">
        <f t="shared" ref="AL194:AL203" si="85">+AA194/SUM($V194:$AD194)</f>
        <v>9.2362735104235372E-2</v>
      </c>
      <c r="AM194" s="702">
        <f t="shared" ref="AM194:AM203" si="86">+AB194/SUM($V194:$AD194)</f>
        <v>3.9755351681957186E-2</v>
      </c>
      <c r="AN194" s="702">
        <f t="shared" ref="AN194:AN203" si="87">+AC194/SUM($V194:$AD194)</f>
        <v>2.9577661849653214E-2</v>
      </c>
      <c r="AO194" s="703">
        <f t="shared" ref="AO194:AO203" si="88">+AD194/SUM($V194:$AD194)</f>
        <v>0.21130898842717516</v>
      </c>
      <c r="AP194" s="365"/>
      <c r="AQ194" s="693">
        <f>+[2]Base!CS192</f>
        <v>12332.6415</v>
      </c>
      <c r="AR194" s="698">
        <f>+[2]Base!CT192</f>
        <v>32345.041499999999</v>
      </c>
      <c r="AS194" s="698">
        <f>+[2]Base!CU192</f>
        <v>22113.702000000001</v>
      </c>
      <c r="AT194" s="698">
        <f>+[2]Base!CV192</f>
        <v>138060.54449999999</v>
      </c>
      <c r="AU194" s="694">
        <f>+[2]Base!CW192</f>
        <v>45303.070500000002</v>
      </c>
      <c r="AV194" s="365"/>
      <c r="AW194" s="704">
        <f t="shared" ref="AW194:AW207" si="89">+AQ194/SUM($AQ194:$AU194)</f>
        <v>4.9300000000000004E-2</v>
      </c>
      <c r="AX194" s="705">
        <f t="shared" ref="AX194:AX207" si="90">+AR194/SUM($AQ194:$AU194)</f>
        <v>0.12930000000000003</v>
      </c>
      <c r="AY194" s="705">
        <f t="shared" ref="AY194:AY207" si="91">+AS194/SUM($AQ194:$AU194)</f>
        <v>8.840000000000002E-2</v>
      </c>
      <c r="AZ194" s="705">
        <f t="shared" ref="AZ194:AZ207" si="92">+AT194/SUM($AQ194:$AU194)</f>
        <v>0.55190000000000006</v>
      </c>
      <c r="BA194" s="706">
        <f t="shared" ref="BA194:BA207" si="93">+AU194/SUM($AQ194:$AU194)</f>
        <v>0.18110000000000004</v>
      </c>
      <c r="BB194" s="365"/>
      <c r="BC194" s="704">
        <f t="shared" si="78"/>
        <v>0.1761948703796333</v>
      </c>
      <c r="BD194" s="706">
        <f t="shared" si="79"/>
        <v>0.1847294677300074</v>
      </c>
      <c r="BG194" t="s">
        <v>2141</v>
      </c>
      <c r="BH194" t="s">
        <v>2144</v>
      </c>
    </row>
    <row r="195" spans="1:60" ht="12.75" customHeight="1" outlineLevel="1" x14ac:dyDescent="0.2">
      <c r="A195" s="570">
        <v>45597</v>
      </c>
      <c r="B195" s="708">
        <f>IF([1]RENAME!$H$3=0,A195,TEXT(A195,"[$-em-US] mmm-aa;@"))</f>
        <v>45597</v>
      </c>
      <c r="C195" s="365" t="str">
        <f>IF([1]RENAME!$H$3=0,BG195,BH195)</f>
        <v>4T24</v>
      </c>
      <c r="D195" s="366">
        <v>45597</v>
      </c>
      <c r="E195" s="697">
        <f>[2]Base!P193</f>
        <v>278212</v>
      </c>
      <c r="F195" s="698">
        <f>[2]Base!Q193</f>
        <v>241463</v>
      </c>
      <c r="G195" s="694">
        <f>[2]Base!R193</f>
        <v>36749</v>
      </c>
      <c r="H195" s="365"/>
      <c r="I195" s="697">
        <f>[2]Base!T193</f>
        <v>251</v>
      </c>
      <c r="J195" s="699">
        <f>[2]Base!U193</f>
        <v>133.69999999999999</v>
      </c>
      <c r="K195" s="700">
        <f>[2]Base!V193</f>
        <v>117.3</v>
      </c>
      <c r="L195" s="365"/>
      <c r="M195" s="693">
        <f>+[2]Base!X193</f>
        <v>220532</v>
      </c>
      <c r="N195" s="694">
        <f>+[2]Base!Y193</f>
        <v>44240</v>
      </c>
      <c r="O195" s="365"/>
      <c r="P195" s="693">
        <f>[2]Base!AB193</f>
        <v>134736.35399999999</v>
      </c>
      <c r="Q195" s="694">
        <f>[2]Base!AC193</f>
        <v>106726.64600000001</v>
      </c>
      <c r="R195" s="365"/>
      <c r="S195" s="693">
        <f>[2]Base!AE193</f>
        <v>946628</v>
      </c>
      <c r="T195" s="700">
        <f>[2]Base!AF193</f>
        <v>3.9203853178333739</v>
      </c>
      <c r="U195" s="365"/>
      <c r="V195" s="693">
        <f>[2]Base!AR193</f>
        <v>30236</v>
      </c>
      <c r="W195" s="698">
        <f>[2]Base!AS193</f>
        <v>41434</v>
      </c>
      <c r="X195" s="698">
        <f>[2]Base!AT193</f>
        <v>48959</v>
      </c>
      <c r="Y195" s="698">
        <f>[2]Base!AU193</f>
        <v>17005</v>
      </c>
      <c r="Z195" s="698">
        <f>[2]Base!AV193</f>
        <v>15817</v>
      </c>
      <c r="AA195" s="698">
        <f>[2]Base!AW193</f>
        <v>25322</v>
      </c>
      <c r="AB195" s="698">
        <f>[2]Base!AX193</f>
        <v>8745</v>
      </c>
      <c r="AC195" s="698">
        <f>[2]Base!AY193</f>
        <v>8048</v>
      </c>
      <c r="AD195" s="694">
        <f>[2]Base!AZ193</f>
        <v>45897</v>
      </c>
      <c r="AE195" s="365"/>
      <c r="AF195" s="366">
        <f t="shared" si="59"/>
        <v>45597</v>
      </c>
      <c r="AG195" s="701">
        <f t="shared" si="80"/>
        <v>0.12522001300406274</v>
      </c>
      <c r="AH195" s="702">
        <f t="shared" si="81"/>
        <v>0.1715956481945474</v>
      </c>
      <c r="AI195" s="702">
        <f t="shared" si="82"/>
        <v>0.20275984312296294</v>
      </c>
      <c r="AJ195" s="702">
        <f t="shared" si="83"/>
        <v>7.0424868406339686E-2</v>
      </c>
      <c r="AK195" s="702">
        <f t="shared" si="84"/>
        <v>6.5504859957840333E-2</v>
      </c>
      <c r="AL195" s="702">
        <f t="shared" si="85"/>
        <v>0.10486906896708813</v>
      </c>
      <c r="AM195" s="702">
        <f t="shared" si="86"/>
        <v>3.6216728857009148E-2</v>
      </c>
      <c r="AN195" s="702">
        <f t="shared" si="87"/>
        <v>3.3330158243706075E-2</v>
      </c>
      <c r="AO195" s="703">
        <f t="shared" si="88"/>
        <v>0.19007881124644355</v>
      </c>
      <c r="AP195" s="365"/>
      <c r="AQ195" s="693">
        <f>+[2]Base!CS193</f>
        <v>10576.079400000001</v>
      </c>
      <c r="AR195" s="698">
        <f>+[2]Base!CT193</f>
        <v>29096.291499999999</v>
      </c>
      <c r="AS195" s="698">
        <f>+[2]Base!CU193</f>
        <v>20331.184600000001</v>
      </c>
      <c r="AT195" s="698">
        <f>+[2]Base!CV193</f>
        <v>139275.8584</v>
      </c>
      <c r="AU195" s="694">
        <f>+[2]Base!CW193</f>
        <v>42183.5861</v>
      </c>
      <c r="AV195" s="365"/>
      <c r="AW195" s="704">
        <f t="shared" si="89"/>
        <v>4.3800000000000006E-2</v>
      </c>
      <c r="AX195" s="705">
        <f t="shared" si="90"/>
        <v>0.1205</v>
      </c>
      <c r="AY195" s="705">
        <f t="shared" si="91"/>
        <v>8.4199999999999997E-2</v>
      </c>
      <c r="AZ195" s="705">
        <f t="shared" si="92"/>
        <v>0.57679999999999998</v>
      </c>
      <c r="BA195" s="706">
        <f t="shared" si="93"/>
        <v>0.17469999999999999</v>
      </c>
      <c r="BB195" s="365"/>
      <c r="BC195" s="704">
        <f t="shared" si="78"/>
        <v>0.16663794823426986</v>
      </c>
      <c r="BD195" s="706">
        <f t="shared" si="79"/>
        <v>0.18321647623031273</v>
      </c>
      <c r="BG195" t="s">
        <v>2141</v>
      </c>
      <c r="BH195" t="s">
        <v>2144</v>
      </c>
    </row>
    <row r="196" spans="1:60" ht="12.75" customHeight="1" outlineLevel="1" x14ac:dyDescent="0.2">
      <c r="A196" s="570">
        <v>45627</v>
      </c>
      <c r="B196" s="708">
        <f>IF([1]RENAME!$H$3=0,A196,TEXT(A196,"[$-em-US] mmm-aa;@"))</f>
        <v>45627</v>
      </c>
      <c r="C196" s="365" t="str">
        <f>IF([1]RENAME!$H$3=0,BG196,BH196)</f>
        <v>4T24</v>
      </c>
      <c r="D196" s="366">
        <v>45627</v>
      </c>
      <c r="E196" s="697">
        <f>[2]Base!P194</f>
        <v>272645</v>
      </c>
      <c r="F196" s="698">
        <f>[2]Base!Q194</f>
        <v>243751</v>
      </c>
      <c r="G196" s="694">
        <f>[2]Base!R194</f>
        <v>28894</v>
      </c>
      <c r="H196" s="365"/>
      <c r="I196" s="697">
        <f>[2]Base!T194</f>
        <v>232.7</v>
      </c>
      <c r="J196" s="699">
        <f>[2]Base!U194</f>
        <v>146.6</v>
      </c>
      <c r="K196" s="700">
        <f>[2]Base!V194</f>
        <v>86.1</v>
      </c>
      <c r="L196" s="365"/>
      <c r="M196" s="693">
        <f>+[2]Base!X194</f>
        <v>177758</v>
      </c>
      <c r="N196" s="694">
        <f>+[2]Base!Y194</f>
        <v>51954</v>
      </c>
      <c r="O196" s="365"/>
      <c r="P196" s="693">
        <f>[2]Base!AB194</f>
        <v>123094.255</v>
      </c>
      <c r="Q196" s="694">
        <f>[2]Base!AC194</f>
        <v>120656.745</v>
      </c>
      <c r="R196" s="365"/>
      <c r="S196" s="693">
        <f>[2]Base!AE194</f>
        <v>1118246</v>
      </c>
      <c r="T196" s="700">
        <f>[2]Base!AF194</f>
        <v>4.5876570762786617</v>
      </c>
      <c r="U196" s="365"/>
      <c r="V196" s="693">
        <f>[2]Base!AR194</f>
        <v>32517</v>
      </c>
      <c r="W196" s="698">
        <f>[2]Base!AS194</f>
        <v>40367</v>
      </c>
      <c r="X196" s="698">
        <f>[2]Base!AT194</f>
        <v>50165</v>
      </c>
      <c r="Y196" s="698">
        <f>[2]Base!AU194</f>
        <v>15987</v>
      </c>
      <c r="Z196" s="698">
        <f>[2]Base!AV194</f>
        <v>18037</v>
      </c>
      <c r="AA196" s="698">
        <f>[2]Base!AW194</f>
        <v>20098</v>
      </c>
      <c r="AB196" s="698">
        <f>[2]Base!AX194</f>
        <v>9036</v>
      </c>
      <c r="AC196" s="698">
        <f>[2]Base!AY194</f>
        <v>10091</v>
      </c>
      <c r="AD196" s="694">
        <f>[2]Base!AZ194</f>
        <v>47453</v>
      </c>
      <c r="AE196" s="365"/>
      <c r="AF196" s="366">
        <f t="shared" si="59"/>
        <v>45627</v>
      </c>
      <c r="AG196" s="701">
        <f t="shared" si="80"/>
        <v>0.13340252963064766</v>
      </c>
      <c r="AH196" s="702">
        <f t="shared" si="81"/>
        <v>0.16560752571271503</v>
      </c>
      <c r="AI196" s="702">
        <f t="shared" si="82"/>
        <v>0.20580428387986099</v>
      </c>
      <c r="AJ196" s="702">
        <f t="shared" si="83"/>
        <v>6.5587423231084185E-2</v>
      </c>
      <c r="AK196" s="702">
        <f t="shared" si="84"/>
        <v>7.3997645137866094E-2</v>
      </c>
      <c r="AL196" s="702">
        <f t="shared" si="85"/>
        <v>8.2452995064635631E-2</v>
      </c>
      <c r="AM196" s="702">
        <f t="shared" si="86"/>
        <v>3.707061714618607E-2</v>
      </c>
      <c r="AN196" s="702">
        <f t="shared" si="87"/>
        <v>4.1398804517725055E-2</v>
      </c>
      <c r="AO196" s="703">
        <f t="shared" si="88"/>
        <v>0.19467817567927925</v>
      </c>
      <c r="AP196" s="365"/>
      <c r="AQ196" s="693">
        <f>+[2]Base!CS194</f>
        <v>13991.3074</v>
      </c>
      <c r="AR196" s="698">
        <f>+[2]Base!CT194</f>
        <v>33564.512699999999</v>
      </c>
      <c r="AS196" s="698">
        <f>+[2]Base!CU194</f>
        <v>23326.970699999998</v>
      </c>
      <c r="AT196" s="698">
        <f>+[2]Base!CV194</f>
        <v>130796.78659999999</v>
      </c>
      <c r="AU196" s="694">
        <f>+[2]Base!CW194</f>
        <v>42071.422599999998</v>
      </c>
      <c r="AV196" s="365"/>
      <c r="AW196" s="704">
        <f t="shared" si="89"/>
        <v>5.7400000000000007E-2</v>
      </c>
      <c r="AX196" s="705">
        <f t="shared" si="90"/>
        <v>0.13770000000000002</v>
      </c>
      <c r="AY196" s="705">
        <f t="shared" si="91"/>
        <v>9.5700000000000007E-2</v>
      </c>
      <c r="AZ196" s="705">
        <f t="shared" si="92"/>
        <v>0.53660000000000008</v>
      </c>
      <c r="BA196" s="706">
        <f t="shared" si="93"/>
        <v>0.1726</v>
      </c>
      <c r="BB196" s="365"/>
      <c r="BC196" s="704">
        <f t="shared" si="78"/>
        <v>0.16254683333520853</v>
      </c>
      <c r="BD196" s="706">
        <f t="shared" si="79"/>
        <v>0.21314374094875507</v>
      </c>
      <c r="BG196" t="s">
        <v>2141</v>
      </c>
      <c r="BH196" t="s">
        <v>2144</v>
      </c>
    </row>
    <row r="197" spans="1:60" ht="12.75" customHeight="1" outlineLevel="1" x14ac:dyDescent="0.2">
      <c r="A197" s="570">
        <v>45658</v>
      </c>
      <c r="B197" s="708">
        <f>IF([1]RENAME!$H$3=0,A197,TEXT(A197,"[$-em-US] mmm-aa;@"))</f>
        <v>45658</v>
      </c>
      <c r="C197" s="365" t="str">
        <f>IF([1]RENAME!$H$3=0,BG197,BH197)</f>
        <v>1T25</v>
      </c>
      <c r="D197" s="366">
        <v>45658</v>
      </c>
      <c r="E197" s="414">
        <f>[2]Base!P195</f>
        <v>190389</v>
      </c>
      <c r="F197" s="415">
        <f>[2]Base!Q195</f>
        <v>160054</v>
      </c>
      <c r="G197" s="416">
        <f>[2]Base!R195</f>
        <v>30335</v>
      </c>
      <c r="H197" s="365"/>
      <c r="I197" s="414">
        <f>[2]Base!T195</f>
        <v>235.5</v>
      </c>
      <c r="J197" s="421">
        <f>[2]Base!U195</f>
        <v>133.1</v>
      </c>
      <c r="K197" s="419">
        <f>[2]Base!V195</f>
        <v>102.4</v>
      </c>
      <c r="L197" s="365"/>
      <c r="M197" s="417">
        <f>+[2]Base!X195</f>
        <v>171558</v>
      </c>
      <c r="N197" s="416">
        <f>+[2]Base!Y195</f>
        <v>38797</v>
      </c>
      <c r="O197" s="365"/>
      <c r="P197" s="417">
        <f>[2]Base!AB195</f>
        <v>64821.87</v>
      </c>
      <c r="Q197" s="416">
        <f>[2]Base!AC195</f>
        <v>95232.13</v>
      </c>
      <c r="R197" s="365"/>
      <c r="S197" s="417">
        <f>[2]Base!AE195</f>
        <v>901389</v>
      </c>
      <c r="T197" s="419">
        <f>[2]Base!AF195</f>
        <v>5.6317805240731253</v>
      </c>
      <c r="U197" s="365"/>
      <c r="V197" s="417">
        <f>[2]Base!AR195</f>
        <v>19637</v>
      </c>
      <c r="W197" s="415">
        <f>[2]Base!AS195</f>
        <v>21276</v>
      </c>
      <c r="X197" s="415">
        <f>[2]Base!AT195</f>
        <v>34356</v>
      </c>
      <c r="Y197" s="415">
        <f>[2]Base!AU195</f>
        <v>11566</v>
      </c>
      <c r="Z197" s="415">
        <f>[2]Base!AV195</f>
        <v>8209</v>
      </c>
      <c r="AA197" s="415">
        <f>[2]Base!AW195</f>
        <v>9891</v>
      </c>
      <c r="AB197" s="415">
        <f>[2]Base!AX195</f>
        <v>7396</v>
      </c>
      <c r="AC197" s="415">
        <f>[2]Base!AY195</f>
        <v>6587</v>
      </c>
      <c r="AD197" s="416">
        <f>[2]Base!AZ195</f>
        <v>41136</v>
      </c>
      <c r="AE197" s="365"/>
      <c r="AF197" s="366">
        <f t="shared" si="59"/>
        <v>45658</v>
      </c>
      <c r="AG197" s="1195">
        <f t="shared" si="80"/>
        <v>0.12268984217826484</v>
      </c>
      <c r="AH197" s="1196">
        <f t="shared" si="81"/>
        <v>0.13293013607907331</v>
      </c>
      <c r="AI197" s="1196">
        <f t="shared" si="82"/>
        <v>0.21465255476276757</v>
      </c>
      <c r="AJ197" s="1196">
        <f t="shared" si="83"/>
        <v>7.2263111199970004E-2</v>
      </c>
      <c r="AK197" s="1196">
        <f t="shared" si="84"/>
        <v>5.128893998275582E-2</v>
      </c>
      <c r="AL197" s="1196">
        <f t="shared" si="85"/>
        <v>6.1797893211041274E-2</v>
      </c>
      <c r="AM197" s="1196">
        <f t="shared" si="86"/>
        <v>4.6209404326039961E-2</v>
      </c>
      <c r="AN197" s="1196">
        <f t="shared" si="87"/>
        <v>4.1154860234670798E-2</v>
      </c>
      <c r="AO197" s="1197">
        <f t="shared" si="88"/>
        <v>0.25701325802541641</v>
      </c>
      <c r="AP197" s="365"/>
      <c r="AQ197" s="417">
        <f>+[2]Base!CS195</f>
        <v>9475.1967999999997</v>
      </c>
      <c r="AR197" s="415">
        <f>+[2]Base!CT195</f>
        <v>27945.428400000001</v>
      </c>
      <c r="AS197" s="415">
        <f>+[2]Base!CU195</f>
        <v>18278.166799999999</v>
      </c>
      <c r="AT197" s="415">
        <f>+[2]Base!CV195</f>
        <v>76361.763400000011</v>
      </c>
      <c r="AU197" s="416">
        <f>+[2]Base!CW195</f>
        <v>27977.439200000001</v>
      </c>
      <c r="AV197" s="365"/>
      <c r="AW197" s="1192">
        <f t="shared" si="89"/>
        <v>5.9205920592059202E-2</v>
      </c>
      <c r="AX197" s="1194">
        <f t="shared" si="90"/>
        <v>0.17461746174617462</v>
      </c>
      <c r="AY197" s="1194">
        <f t="shared" si="91"/>
        <v>0.1142114211421142</v>
      </c>
      <c r="AZ197" s="1194">
        <f t="shared" si="92"/>
        <v>0.47714771477147722</v>
      </c>
      <c r="BA197" s="1193">
        <f t="shared" si="93"/>
        <v>0.17481748174817482</v>
      </c>
      <c r="BB197" s="365"/>
      <c r="BC197" s="1192">
        <f t="shared" ref="BC197:BC211" si="94">+G197/M197</f>
        <v>0.17682066706303406</v>
      </c>
      <c r="BD197" s="1193">
        <f t="shared" ref="BD197:BD211" si="95">+N197/F197</f>
        <v>0.24239944018893622</v>
      </c>
      <c r="BG197" t="s">
        <v>2238</v>
      </c>
      <c r="BH197" t="s">
        <v>2239</v>
      </c>
    </row>
    <row r="198" spans="1:60" ht="12.75" customHeight="1" outlineLevel="1" x14ac:dyDescent="0.2">
      <c r="A198" s="570">
        <v>45689</v>
      </c>
      <c r="B198" s="708">
        <f>IF([1]RENAME!$H$3=0,A198,TEXT(A198,"[$-em-US] mmm-aa;@"))</f>
        <v>45689</v>
      </c>
      <c r="C198" s="365" t="str">
        <f>IF([1]RENAME!$H$3=0,BG198,BH198)</f>
        <v>1T25</v>
      </c>
      <c r="D198" s="366">
        <v>45689</v>
      </c>
      <c r="E198" s="414">
        <f>[2]Base!P196</f>
        <v>222005</v>
      </c>
      <c r="F198" s="415">
        <f>[2]Base!Q196</f>
        <v>174042</v>
      </c>
      <c r="G198" s="416">
        <f>[2]Base!R196</f>
        <v>47963</v>
      </c>
      <c r="H198" s="365"/>
      <c r="I198" s="414">
        <f>[2]Base!T196</f>
        <v>252.39999999999998</v>
      </c>
      <c r="J198" s="421">
        <f>[2]Base!U196</f>
        <v>132.19999999999999</v>
      </c>
      <c r="K198" s="419">
        <f>[2]Base!V196</f>
        <v>120.2</v>
      </c>
      <c r="L198" s="365"/>
      <c r="M198" s="417">
        <f>+[2]Base!X196</f>
        <v>208186</v>
      </c>
      <c r="N198" s="416">
        <f>+[2]Base!Y196</f>
        <v>35345</v>
      </c>
      <c r="O198" s="365"/>
      <c r="P198" s="417">
        <f>[2]Base!AB196</f>
        <v>82495.907999999996</v>
      </c>
      <c r="Q198" s="416">
        <f>[2]Base!AC196</f>
        <v>91546.092000000004</v>
      </c>
      <c r="R198" s="365"/>
      <c r="S198" s="417">
        <f>[2]Base!AE196</f>
        <v>929078</v>
      </c>
      <c r="T198" s="419">
        <f>[2]Base!AF196</f>
        <v>5.3382401948954854</v>
      </c>
      <c r="U198" s="365"/>
      <c r="V198" s="417">
        <f>[2]Base!AR196</f>
        <v>15986</v>
      </c>
      <c r="W198" s="415">
        <f>[2]Base!AS196</f>
        <v>27602</v>
      </c>
      <c r="X198" s="415">
        <f>[2]Base!AT196</f>
        <v>37362</v>
      </c>
      <c r="Y198" s="415">
        <f>[2]Base!AU196</f>
        <v>15883</v>
      </c>
      <c r="Z198" s="415">
        <f>[2]Base!AV196</f>
        <v>10116</v>
      </c>
      <c r="AA198" s="415">
        <f>[2]Base!AW196</f>
        <v>11778</v>
      </c>
      <c r="AB198" s="415">
        <f>[2]Base!AX196</f>
        <v>8312</v>
      </c>
      <c r="AC198" s="415">
        <f>[2]Base!AY196</f>
        <v>7035</v>
      </c>
      <c r="AD198" s="416">
        <f>[2]Base!AZ196</f>
        <v>39968</v>
      </c>
      <c r="AE198" s="365"/>
      <c r="AF198" s="366">
        <f t="shared" si="59"/>
        <v>45689</v>
      </c>
      <c r="AG198" s="1195">
        <f t="shared" si="80"/>
        <v>9.1851392192689119E-2</v>
      </c>
      <c r="AH198" s="1196">
        <f t="shared" si="81"/>
        <v>0.15859390262120637</v>
      </c>
      <c r="AI198" s="1196">
        <f t="shared" si="82"/>
        <v>0.21467232047436827</v>
      </c>
      <c r="AJ198" s="1196">
        <f t="shared" si="83"/>
        <v>9.1259581020673164E-2</v>
      </c>
      <c r="AK198" s="1196">
        <f t="shared" si="84"/>
        <v>5.8123901127314095E-2</v>
      </c>
      <c r="AL198" s="1196">
        <f t="shared" si="85"/>
        <v>6.7673320233047202E-2</v>
      </c>
      <c r="AM198" s="1196">
        <f t="shared" si="86"/>
        <v>4.7758587007733763E-2</v>
      </c>
      <c r="AN198" s="1196">
        <f t="shared" si="87"/>
        <v>4.0421277622642811E-2</v>
      </c>
      <c r="AO198" s="1197">
        <f t="shared" si="88"/>
        <v>0.22964571770032521</v>
      </c>
      <c r="AP198" s="365"/>
      <c r="AQ198" s="417">
        <f>+[2]Base!CS196</f>
        <v>9485.2890000000007</v>
      </c>
      <c r="AR198" s="415">
        <f>+[2]Base!CT196</f>
        <v>26837.276400000002</v>
      </c>
      <c r="AS198" s="415">
        <f>+[2]Base!CU196</f>
        <v>18796.536</v>
      </c>
      <c r="AT198" s="415">
        <f>+[2]Base!CV196</f>
        <v>89857.88459999999</v>
      </c>
      <c r="AU198" s="416">
        <f>+[2]Base!CW196</f>
        <v>29047.609799999998</v>
      </c>
      <c r="AV198" s="365"/>
      <c r="AW198" s="1192">
        <f t="shared" si="89"/>
        <v>5.4505450545054505E-2</v>
      </c>
      <c r="AX198" s="1194">
        <f t="shared" si="90"/>
        <v>0.15421542154215423</v>
      </c>
      <c r="AY198" s="1194">
        <f t="shared" si="91"/>
        <v>0.10801080108010801</v>
      </c>
      <c r="AZ198" s="1194">
        <f t="shared" si="92"/>
        <v>0.51635163516351623</v>
      </c>
      <c r="BA198" s="1193">
        <f t="shared" si="93"/>
        <v>0.16691669166916689</v>
      </c>
      <c r="BB198" s="365"/>
      <c r="BC198" s="1192">
        <f t="shared" si="94"/>
        <v>0.23038532850431825</v>
      </c>
      <c r="BD198" s="1193">
        <f t="shared" si="95"/>
        <v>0.20308316383401709</v>
      </c>
      <c r="BG198" t="s">
        <v>2238</v>
      </c>
      <c r="BH198" t="s">
        <v>2239</v>
      </c>
    </row>
    <row r="199" spans="1:60" ht="12.75" customHeight="1" outlineLevel="1" x14ac:dyDescent="0.2">
      <c r="A199" s="570">
        <v>45717</v>
      </c>
      <c r="B199" s="708">
        <f>IF([1]RENAME!$H$3=0,A199,TEXT(A199,"[$-em-US] mmm-aa;@"))</f>
        <v>45717</v>
      </c>
      <c r="C199" s="365" t="str">
        <f>IF([1]RENAME!$H$3=0,BG199,BH199)</f>
        <v>1T25</v>
      </c>
      <c r="D199" s="366">
        <v>45717</v>
      </c>
      <c r="E199" s="414">
        <f>[2]Base!P197</f>
        <v>221102</v>
      </c>
      <c r="F199" s="415">
        <f>[2]Base!Q197</f>
        <v>184371</v>
      </c>
      <c r="G199" s="416">
        <f>[2]Base!R197</f>
        <v>36731</v>
      </c>
      <c r="H199" s="365"/>
      <c r="I199" s="414">
        <f>[2]Base!T197</f>
        <v>244.3</v>
      </c>
      <c r="J199" s="421">
        <f>[2]Base!U197</f>
        <v>125.8</v>
      </c>
      <c r="K199" s="419">
        <f>[2]Base!V197</f>
        <v>118.5</v>
      </c>
      <c r="L199" s="365"/>
      <c r="M199" s="417">
        <f>+[2]Base!X197</f>
        <v>180174</v>
      </c>
      <c r="N199" s="416">
        <f>+[2]Base!Y197</f>
        <v>37146</v>
      </c>
      <c r="O199" s="365"/>
      <c r="P199" s="417">
        <f>[2]Base!AB197</f>
        <v>93660.468000000008</v>
      </c>
      <c r="Q199" s="416">
        <f>[2]Base!AC197</f>
        <v>90710.531999999992</v>
      </c>
      <c r="R199" s="365"/>
      <c r="S199" s="417">
        <f>[2]Base!AE197</f>
        <v>865746</v>
      </c>
      <c r="T199" s="419">
        <f>[2]Base!AF197</f>
        <v>4.695673397660153</v>
      </c>
      <c r="U199" s="365"/>
      <c r="V199" s="417">
        <f>[2]Base!AR197</f>
        <v>20146</v>
      </c>
      <c r="W199" s="415">
        <f>[2]Base!AS197</f>
        <v>30418</v>
      </c>
      <c r="X199" s="415">
        <f>[2]Base!AT197</f>
        <v>38876</v>
      </c>
      <c r="Y199" s="415">
        <f>[2]Base!AU197</f>
        <v>14686</v>
      </c>
      <c r="Z199" s="415">
        <f>[2]Base!AV197</f>
        <v>11399</v>
      </c>
      <c r="AA199" s="415">
        <f>[2]Base!AW197</f>
        <v>12705</v>
      </c>
      <c r="AB199" s="415">
        <f>[2]Base!AX197</f>
        <v>8217</v>
      </c>
      <c r="AC199" s="415">
        <f>[2]Base!AY197</f>
        <v>8063</v>
      </c>
      <c r="AD199" s="416">
        <f>[2]Base!AZ197</f>
        <v>39861</v>
      </c>
      <c r="AE199" s="365"/>
      <c r="AF199" s="366">
        <f t="shared" si="59"/>
        <v>45717</v>
      </c>
      <c r="AG199" s="1195">
        <f t="shared" si="80"/>
        <v>0.10926881125556623</v>
      </c>
      <c r="AH199" s="1196">
        <f t="shared" si="81"/>
        <v>0.16498256233355571</v>
      </c>
      <c r="AI199" s="1196">
        <f t="shared" si="82"/>
        <v>0.21085745589056848</v>
      </c>
      <c r="AJ199" s="1196">
        <f t="shared" si="83"/>
        <v>7.9654609455933958E-2</v>
      </c>
      <c r="AK199" s="1196">
        <f t="shared" si="84"/>
        <v>6.1826426064836661E-2</v>
      </c>
      <c r="AL199" s="1196">
        <f t="shared" si="85"/>
        <v>6.890996957222123E-2</v>
      </c>
      <c r="AM199" s="1196">
        <f t="shared" si="86"/>
        <v>4.4567746554501519E-2</v>
      </c>
      <c r="AN199" s="1196">
        <f t="shared" si="87"/>
        <v>4.3732474196050357E-2</v>
      </c>
      <c r="AO199" s="1197">
        <f t="shared" si="88"/>
        <v>0.21619994467676587</v>
      </c>
      <c r="AP199" s="365"/>
      <c r="AQ199" s="417">
        <f>+[2]Base!CS197</f>
        <v>10085.093699999999</v>
      </c>
      <c r="AR199" s="415">
        <f>+[2]Base!CT197</f>
        <v>26033.1852</v>
      </c>
      <c r="AS199" s="415">
        <f>+[2]Base!CU197</f>
        <v>18861.153300000002</v>
      </c>
      <c r="AT199" s="415">
        <f>+[2]Base!CV197</f>
        <v>98269.743000000002</v>
      </c>
      <c r="AU199" s="416">
        <f>+[2]Base!CW197</f>
        <v>31121.824800000002</v>
      </c>
      <c r="AV199" s="365"/>
      <c r="AW199" s="1192">
        <f t="shared" si="89"/>
        <v>5.4699999999999999E-2</v>
      </c>
      <c r="AX199" s="1194">
        <f t="shared" si="90"/>
        <v>0.14119999999999999</v>
      </c>
      <c r="AY199" s="1194">
        <f t="shared" si="91"/>
        <v>0.10230000000000002</v>
      </c>
      <c r="AZ199" s="1194">
        <f t="shared" si="92"/>
        <v>0.53300000000000003</v>
      </c>
      <c r="BA199" s="1193">
        <f t="shared" si="93"/>
        <v>0.16880000000000001</v>
      </c>
      <c r="BB199" s="365"/>
      <c r="BC199" s="1192">
        <f t="shared" si="94"/>
        <v>0.20386404253665902</v>
      </c>
      <c r="BD199" s="1193">
        <f t="shared" si="95"/>
        <v>0.20147420147420148</v>
      </c>
      <c r="BG199" t="s">
        <v>2238</v>
      </c>
      <c r="BH199" t="s">
        <v>2239</v>
      </c>
    </row>
    <row r="200" spans="1:60" ht="12.75" customHeight="1" outlineLevel="1" x14ac:dyDescent="0.2">
      <c r="A200" s="570">
        <v>45748</v>
      </c>
      <c r="B200" s="708">
        <f>IF([1]RENAME!$H$3=0,A200,TEXT(A200,"[$-em-US] mmm-aa;@"))</f>
        <v>45748</v>
      </c>
      <c r="C200" s="365" t="str">
        <f>IF([1]RENAME!$H$3=0,BG200,BH200)</f>
        <v>2T25</v>
      </c>
      <c r="D200" s="366">
        <v>45748</v>
      </c>
      <c r="E200" s="414">
        <f>[2]Base!P198</f>
        <v>243392</v>
      </c>
      <c r="F200" s="415">
        <f>[2]Base!Q198</f>
        <v>197158</v>
      </c>
      <c r="G200" s="416">
        <f>[2]Base!R198</f>
        <v>46234</v>
      </c>
      <c r="H200" s="365"/>
      <c r="I200" s="414">
        <f>[2]Base!T198</f>
        <v>254.8</v>
      </c>
      <c r="J200" s="421">
        <f>[2]Base!U198</f>
        <v>121.3</v>
      </c>
      <c r="K200" s="419">
        <f>[2]Base!V198</f>
        <v>133.5</v>
      </c>
      <c r="L200" s="365"/>
      <c r="M200" s="417">
        <f>+[2]Base!X198</f>
        <v>218920</v>
      </c>
      <c r="N200" s="416">
        <f>+[2]Base!Y198</f>
        <v>36667</v>
      </c>
      <c r="O200" s="365"/>
      <c r="P200" s="417">
        <f>[2]Base!AB198</f>
        <v>100156.264</v>
      </c>
      <c r="Q200" s="416">
        <f>[2]Base!AC198</f>
        <v>97001.736000000004</v>
      </c>
      <c r="R200" s="365"/>
      <c r="S200" s="417">
        <f>[2]Base!AE198</f>
        <v>1085597</v>
      </c>
      <c r="T200" s="419">
        <f>[2]Base!AF198</f>
        <v>5.5062285070856873</v>
      </c>
      <c r="U200" s="365"/>
      <c r="V200" s="417">
        <f>[2]Base!AR198</f>
        <v>20502</v>
      </c>
      <c r="W200" s="415">
        <f>[2]Base!AS198</f>
        <v>32500</v>
      </c>
      <c r="X200" s="415">
        <f>[2]Base!AT198</f>
        <v>42909</v>
      </c>
      <c r="Y200" s="415">
        <f>[2]Base!AU198</f>
        <v>16317</v>
      </c>
      <c r="Z200" s="415">
        <f>[2]Base!AV198</f>
        <v>9834</v>
      </c>
      <c r="AA200" s="415">
        <f>[2]Base!AW198</f>
        <v>16571</v>
      </c>
      <c r="AB200" s="415">
        <f>[2]Base!AX198</f>
        <v>8268</v>
      </c>
      <c r="AC200" s="415">
        <f>[2]Base!AY198</f>
        <v>8486</v>
      </c>
      <c r="AD200" s="416">
        <f>[2]Base!AZ198</f>
        <v>41771</v>
      </c>
      <c r="AE200" s="365"/>
      <c r="AF200" s="366">
        <f t="shared" si="59"/>
        <v>45748</v>
      </c>
      <c r="AG200" s="1195">
        <f t="shared" si="80"/>
        <v>0.1039876647156088</v>
      </c>
      <c r="AH200" s="1196">
        <f t="shared" si="81"/>
        <v>0.16484241065541341</v>
      </c>
      <c r="AI200" s="1196">
        <f t="shared" si="82"/>
        <v>0.21763763073271183</v>
      </c>
      <c r="AJ200" s="1196">
        <f t="shared" si="83"/>
        <v>8.276103429736556E-2</v>
      </c>
      <c r="AK200" s="1196">
        <f t="shared" si="84"/>
        <v>4.9878777427241096E-2</v>
      </c>
      <c r="AL200" s="1196">
        <f t="shared" si="85"/>
        <v>8.4049341137564793E-2</v>
      </c>
      <c r="AM200" s="1196">
        <f t="shared" si="86"/>
        <v>4.1935909270737176E-2</v>
      </c>
      <c r="AN200" s="1196">
        <f t="shared" si="87"/>
        <v>4.3041621440671946E-2</v>
      </c>
      <c r="AO200" s="1197">
        <f t="shared" si="88"/>
        <v>0.21186561032268536</v>
      </c>
      <c r="AP200" s="365"/>
      <c r="AQ200" s="417">
        <f>+[2]Base!CS198</f>
        <v>9779.0367999999999</v>
      </c>
      <c r="AR200" s="415">
        <f>+[2]Base!CT198</f>
        <v>27247.235599999996</v>
      </c>
      <c r="AS200" s="415">
        <f>+[2]Base!CU198</f>
        <v>20839.600600000002</v>
      </c>
      <c r="AT200" s="415">
        <f>+[2]Base!CV198</f>
        <v>106839.92020000001</v>
      </c>
      <c r="AU200" s="416">
        <f>+[2]Base!CW198</f>
        <v>32432.491000000002</v>
      </c>
      <c r="AV200" s="365"/>
      <c r="AW200" s="1192">
        <f t="shared" si="89"/>
        <v>4.9604960496049601E-2</v>
      </c>
      <c r="AX200" s="1194">
        <f t="shared" si="90"/>
        <v>0.13821382138213817</v>
      </c>
      <c r="AY200" s="1194">
        <f t="shared" si="91"/>
        <v>0.10571057105710571</v>
      </c>
      <c r="AZ200" s="1194">
        <f t="shared" si="92"/>
        <v>0.54195419541954193</v>
      </c>
      <c r="BA200" s="1193">
        <f t="shared" si="93"/>
        <v>0.16451645164516451</v>
      </c>
      <c r="BB200" s="365"/>
      <c r="BC200" s="1192">
        <f t="shared" si="94"/>
        <v>0.21119130275899872</v>
      </c>
      <c r="BD200" s="1193">
        <f t="shared" si="95"/>
        <v>0.18597774373852444</v>
      </c>
      <c r="BG200" t="s">
        <v>2240</v>
      </c>
      <c r="BH200" t="s">
        <v>2241</v>
      </c>
    </row>
    <row r="201" spans="1:60" ht="12.75" customHeight="1" outlineLevel="1" x14ac:dyDescent="0.2">
      <c r="A201" s="570">
        <v>45778</v>
      </c>
      <c r="B201" s="708">
        <f>IF([1]RENAME!$H$3=0,A201,TEXT(A201,"[$-em-US] mmm-aa;@"))</f>
        <v>45778</v>
      </c>
      <c r="C201" s="365" t="str">
        <f>IF([1]RENAME!$H$3=0,BG201,BH201)</f>
        <v>2T25</v>
      </c>
      <c r="D201" s="366">
        <v>45778</v>
      </c>
      <c r="E201" s="414">
        <f>[2]Base!P199</f>
        <v>264605</v>
      </c>
      <c r="F201" s="415">
        <f>[2]Base!Q199</f>
        <v>214617</v>
      </c>
      <c r="G201" s="416">
        <f>[2]Base!R199</f>
        <v>49988</v>
      </c>
      <c r="H201" s="365"/>
      <c r="I201" s="414">
        <f>[2]Base!T199</f>
        <v>270.10000000000002</v>
      </c>
      <c r="J201" s="421">
        <f>[2]Base!U199</f>
        <v>144.6</v>
      </c>
      <c r="K201" s="419">
        <f>[2]Base!V199</f>
        <v>125.5</v>
      </c>
      <c r="L201" s="365"/>
      <c r="M201" s="417">
        <f>+[2]Base!X199</f>
        <v>204831</v>
      </c>
      <c r="N201" s="416">
        <f>+[2]Base!Y199</f>
        <v>39152</v>
      </c>
      <c r="O201" s="365"/>
      <c r="P201" s="417">
        <f>[2]Base!AB199</f>
        <v>112888.542</v>
      </c>
      <c r="Q201" s="416">
        <f>[2]Base!AC199</f>
        <v>101728.458</v>
      </c>
      <c r="R201" s="365"/>
      <c r="S201" s="417">
        <f>[2]Base!AE199</f>
        <v>1126806</v>
      </c>
      <c r="T201" s="419">
        <f>[2]Base!AF199</f>
        <v>5.2503110191643723</v>
      </c>
      <c r="U201" s="365"/>
      <c r="V201" s="417">
        <f>[2]Base!AR199</f>
        <v>21583</v>
      </c>
      <c r="W201" s="415">
        <f>[2]Base!AS199</f>
        <v>37194</v>
      </c>
      <c r="X201" s="415">
        <f>[2]Base!AT199</f>
        <v>46094</v>
      </c>
      <c r="Y201" s="415">
        <f>[2]Base!AU199</f>
        <v>15614</v>
      </c>
      <c r="Z201" s="415">
        <f>[2]Base!AV199</f>
        <v>10880</v>
      </c>
      <c r="AA201" s="415">
        <f>[2]Base!AW199</f>
        <v>19000</v>
      </c>
      <c r="AB201" s="415">
        <f>[2]Base!AX199</f>
        <v>9237</v>
      </c>
      <c r="AC201" s="415">
        <f>[2]Base!AY199</f>
        <v>9403</v>
      </c>
      <c r="AD201" s="416">
        <f>[2]Base!AZ199</f>
        <v>45612</v>
      </c>
      <c r="AE201" s="365"/>
      <c r="AF201" s="366">
        <f>+D201</f>
        <v>45778</v>
      </c>
      <c r="AG201" s="1195">
        <f t="shared" si="80"/>
        <v>0.10056519287847654</v>
      </c>
      <c r="AH201" s="1196">
        <f t="shared" si="81"/>
        <v>0.17330407190483513</v>
      </c>
      <c r="AI201" s="1196">
        <f t="shared" si="82"/>
        <v>0.21477329382108593</v>
      </c>
      <c r="AJ201" s="1196">
        <f t="shared" si="83"/>
        <v>7.2752857415768549E-2</v>
      </c>
      <c r="AK201" s="1196">
        <f t="shared" si="84"/>
        <v>5.0694958926832449E-2</v>
      </c>
      <c r="AL201" s="1196">
        <f t="shared" si="85"/>
        <v>8.8529799596490488E-2</v>
      </c>
      <c r="AM201" s="1196">
        <f t="shared" si="86"/>
        <v>4.303946099330435E-2</v>
      </c>
      <c r="AN201" s="1196">
        <f t="shared" si="87"/>
        <v>4.3812931873989477E-2</v>
      </c>
      <c r="AO201" s="1197">
        <f t="shared" si="88"/>
        <v>0.21252743258921708</v>
      </c>
      <c r="AP201" s="365"/>
      <c r="AQ201" s="417">
        <f>+[2]Base!CS199</f>
        <v>10730.85</v>
      </c>
      <c r="AR201" s="415">
        <f>+[2]Base!CT199</f>
        <v>33694.868999999999</v>
      </c>
      <c r="AS201" s="415">
        <f>+[2]Base!CU199</f>
        <v>20088.1512</v>
      </c>
      <c r="AT201" s="415">
        <f>+[2]Base!CV199</f>
        <v>113103.159</v>
      </c>
      <c r="AU201" s="416">
        <f>+[2]Base!CW199</f>
        <v>40820.153400000003</v>
      </c>
      <c r="AV201" s="365"/>
      <c r="AW201" s="1192">
        <f t="shared" si="89"/>
        <v>4.9125564943996856E-2</v>
      </c>
      <c r="AX201" s="1194">
        <f t="shared" si="90"/>
        <v>0.15425427392415011</v>
      </c>
      <c r="AY201" s="1194">
        <f t="shared" si="91"/>
        <v>9.1963057575162113E-2</v>
      </c>
      <c r="AZ201" s="1194">
        <f t="shared" si="92"/>
        <v>0.51778345450972685</v>
      </c>
      <c r="BA201" s="1193">
        <f t="shared" si="93"/>
        <v>0.18687364904696405</v>
      </c>
      <c r="BB201" s="365"/>
      <c r="BC201" s="1192">
        <f t="shared" si="94"/>
        <v>0.24404509083097772</v>
      </c>
      <c r="BD201" s="1193">
        <f t="shared" si="95"/>
        <v>0.18242730072641031</v>
      </c>
      <c r="BG201" t="s">
        <v>2240</v>
      </c>
      <c r="BH201" t="s">
        <v>2241</v>
      </c>
    </row>
    <row r="202" spans="1:60" ht="12.75" customHeight="1" outlineLevel="1" x14ac:dyDescent="0.2">
      <c r="A202" s="570">
        <v>45809</v>
      </c>
      <c r="B202" s="708">
        <f>IF([1]RENAME!$H$3=0,A202,TEXT(A202,"[$-em-US] mmm-aa;@"))</f>
        <v>45809</v>
      </c>
      <c r="C202" s="365" t="str">
        <f>IF([1]RENAME!$H$3=0,BG202,BH202)</f>
        <v>2T25</v>
      </c>
      <c r="D202" s="366">
        <v>45809</v>
      </c>
      <c r="E202" s="414">
        <f>[2]Base!P200</f>
        <v>249134</v>
      </c>
      <c r="F202" s="415">
        <f>[2]Base!Q200</f>
        <v>202157</v>
      </c>
      <c r="G202" s="416">
        <f>[2]Base!R200</f>
        <v>46977</v>
      </c>
      <c r="H202" s="365"/>
      <c r="I202" s="414">
        <f>[2]Base!T200</f>
        <v>259.29999999999995</v>
      </c>
      <c r="J202" s="421">
        <f>[2]Base!U200</f>
        <v>153.69999999999999</v>
      </c>
      <c r="K202" s="419">
        <f>[2]Base!V200</f>
        <v>105.6</v>
      </c>
      <c r="L202" s="365"/>
      <c r="M202" s="417">
        <f>+[2]Base!X200</f>
        <v>195858</v>
      </c>
      <c r="N202" s="416">
        <f>+[2]Base!Y200</f>
        <v>38179</v>
      </c>
      <c r="O202" s="365"/>
      <c r="P202" s="417">
        <f>[2]Base!AB200</f>
        <v>109164.78000000001</v>
      </c>
      <c r="Q202" s="416">
        <f>[2]Base!AC200</f>
        <v>92992.219999999987</v>
      </c>
      <c r="R202" s="365"/>
      <c r="S202" s="417">
        <f>[2]Base!AE200</f>
        <v>1061215</v>
      </c>
      <c r="T202" s="419">
        <f>[2]Base!AF200</f>
        <v>5.2494595784464551</v>
      </c>
      <c r="U202" s="365"/>
      <c r="V202" s="417">
        <f>[2]Base!AR200</f>
        <v>21911</v>
      </c>
      <c r="W202" s="415">
        <f>[2]Base!AS200</f>
        <v>37302</v>
      </c>
      <c r="X202" s="415">
        <f>[2]Base!AT200</f>
        <v>41830</v>
      </c>
      <c r="Y202" s="415">
        <f>[2]Base!AU200</f>
        <v>14896</v>
      </c>
      <c r="Z202" s="415">
        <f>[2]Base!AV200</f>
        <v>10399</v>
      </c>
      <c r="AA202" s="415">
        <f>[2]Base!AW200</f>
        <v>16186</v>
      </c>
      <c r="AB202" s="415">
        <f>[2]Base!AX200</f>
        <v>9177</v>
      </c>
      <c r="AC202" s="415">
        <f>[2]Base!AY200</f>
        <v>8163</v>
      </c>
      <c r="AD202" s="416">
        <f>[2]Base!AZ200</f>
        <v>42293</v>
      </c>
      <c r="AE202" s="365"/>
      <c r="AF202" s="366">
        <f t="shared" si="59"/>
        <v>45809</v>
      </c>
      <c r="AG202" s="1195">
        <f t="shared" si="80"/>
        <v>0.10838605638192098</v>
      </c>
      <c r="AH202" s="1196">
        <f t="shared" si="81"/>
        <v>0.18451995231429039</v>
      </c>
      <c r="AI202" s="1196">
        <f t="shared" si="82"/>
        <v>0.20691838521545136</v>
      </c>
      <c r="AJ202" s="1196">
        <f t="shared" si="83"/>
        <v>7.3685303996398832E-2</v>
      </c>
      <c r="AK202" s="1196">
        <f t="shared" si="84"/>
        <v>5.1440217256884503E-2</v>
      </c>
      <c r="AL202" s="1196">
        <f t="shared" si="85"/>
        <v>8.0066482981049389E-2</v>
      </c>
      <c r="AM202" s="1196">
        <f t="shared" si="86"/>
        <v>4.5395410497781424E-2</v>
      </c>
      <c r="AN202" s="1196">
        <f t="shared" si="87"/>
        <v>4.0379507016823558E-2</v>
      </c>
      <c r="AO202" s="1197">
        <f t="shared" si="88"/>
        <v>0.20920868433939957</v>
      </c>
      <c r="AP202" s="365"/>
      <c r="AQ202" s="417">
        <f>+[2]Base!CS200</f>
        <v>10673.8896</v>
      </c>
      <c r="AR202" s="415">
        <f>+[2]Base!CT200</f>
        <v>27291.195000000003</v>
      </c>
      <c r="AS202" s="415">
        <f>+[2]Base!CU200</f>
        <v>19204.915000000001</v>
      </c>
      <c r="AT202" s="415">
        <f>+[2]Base!CV200</f>
        <v>112682.3118</v>
      </c>
      <c r="AU202" s="416">
        <f>+[2]Base!CW200</f>
        <v>32345.119999999999</v>
      </c>
      <c r="AV202" s="365"/>
      <c r="AW202" s="1192">
        <f t="shared" si="89"/>
        <v>5.2789442111577684E-2</v>
      </c>
      <c r="AX202" s="1194">
        <f t="shared" si="90"/>
        <v>0.13497300539892024</v>
      </c>
      <c r="AY202" s="1194">
        <f t="shared" si="91"/>
        <v>9.4981003799240155E-2</v>
      </c>
      <c r="AZ202" s="1194">
        <f t="shared" si="92"/>
        <v>0.55728854229154168</v>
      </c>
      <c r="BA202" s="1193">
        <f t="shared" si="93"/>
        <v>0.15996800639872025</v>
      </c>
      <c r="BB202" s="365"/>
      <c r="BC202" s="1192">
        <f t="shared" si="94"/>
        <v>0.23985234200287964</v>
      </c>
      <c r="BD202" s="1193">
        <f t="shared" si="95"/>
        <v>0.18885816469377761</v>
      </c>
      <c r="BG202" t="s">
        <v>2240</v>
      </c>
      <c r="BH202" t="s">
        <v>2241</v>
      </c>
    </row>
    <row r="203" spans="1:60" ht="12.75" customHeight="1" outlineLevel="1" x14ac:dyDescent="0.2">
      <c r="A203" s="570">
        <v>45839</v>
      </c>
      <c r="B203" s="708">
        <f>IF([1]RENAME!$H$3=0,A203,TEXT(A203,"[$-em-US] mmm-aa;@"))</f>
        <v>45839</v>
      </c>
      <c r="C203" s="365" t="str">
        <f>IF([1]RENAME!$H$3=0,BG203,BH203)</f>
        <v>3T25</v>
      </c>
      <c r="D203" s="366">
        <v>45839</v>
      </c>
      <c r="E203" s="414">
        <f>[2]Base!P201</f>
        <v>275006</v>
      </c>
      <c r="F203" s="415">
        <f>[2]Base!Q201</f>
        <v>230259</v>
      </c>
      <c r="G203" s="416">
        <f>[2]Base!R201</f>
        <v>44747</v>
      </c>
      <c r="H203" s="365"/>
      <c r="I203" s="414">
        <f>[2]Base!T201</f>
        <v>253.5</v>
      </c>
      <c r="J203" s="421">
        <f>[2]Base!U201</f>
        <v>152.6</v>
      </c>
      <c r="K203" s="419">
        <f>[2]Base!V201</f>
        <v>100.9</v>
      </c>
      <c r="L203" s="365"/>
      <c r="M203" s="417">
        <f>+[2]Base!X201</f>
        <v>224849</v>
      </c>
      <c r="N203" s="416">
        <f>+[2]Base!Y201</f>
        <v>44770</v>
      </c>
      <c r="O203" s="365"/>
      <c r="P203" s="417">
        <f>[2]Base!AB201</f>
        <v>103616.55</v>
      </c>
      <c r="Q203" s="416">
        <f>[2]Base!AC201</f>
        <v>126642.45</v>
      </c>
      <c r="R203" s="365"/>
      <c r="S203" s="417">
        <f>[2]Base!AE201</f>
        <v>0</v>
      </c>
      <c r="T203" s="419">
        <f>[2]Base!AF201</f>
        <v>0</v>
      </c>
      <c r="U203" s="365"/>
      <c r="V203" s="417">
        <f>[2]Base!AR201</f>
        <v>24427</v>
      </c>
      <c r="W203" s="415">
        <f>[2]Base!AS201</f>
        <v>41837</v>
      </c>
      <c r="X203" s="415">
        <f>[2]Base!AT201</f>
        <v>50596</v>
      </c>
      <c r="Y203" s="415">
        <f>[2]Base!AU201</f>
        <v>17290</v>
      </c>
      <c r="Z203" s="415">
        <f>[2]Base!AV201</f>
        <v>9862</v>
      </c>
      <c r="AA203" s="415">
        <f>[2]Base!AW201</f>
        <v>16572</v>
      </c>
      <c r="AB203" s="415">
        <f>[2]Base!AX201</f>
        <v>7433</v>
      </c>
      <c r="AC203" s="415">
        <f>[2]Base!AY201</f>
        <v>9692</v>
      </c>
      <c r="AD203" s="416">
        <f>[2]Base!AZ201</f>
        <v>52550</v>
      </c>
      <c r="AE203" s="365"/>
      <c r="AF203" s="366">
        <f t="shared" si="59"/>
        <v>45839</v>
      </c>
      <c r="AG203" s="1195">
        <f t="shared" si="80"/>
        <v>0.1060848870185313</v>
      </c>
      <c r="AH203" s="1196">
        <f t="shared" si="81"/>
        <v>0.18169539518542163</v>
      </c>
      <c r="AI203" s="1196">
        <f t="shared" si="82"/>
        <v>0.21973516778931551</v>
      </c>
      <c r="AJ203" s="1196">
        <f t="shared" si="83"/>
        <v>7.5089355899226523E-2</v>
      </c>
      <c r="AK203" s="1196">
        <f t="shared" si="84"/>
        <v>4.2830030530837011E-2</v>
      </c>
      <c r="AL203" s="1196">
        <f t="shared" si="85"/>
        <v>7.1971128164371428E-2</v>
      </c>
      <c r="AM203" s="1196">
        <f t="shared" si="86"/>
        <v>3.2281040046208832E-2</v>
      </c>
      <c r="AN203" s="1196">
        <f t="shared" si="87"/>
        <v>4.2091731484979959E-2</v>
      </c>
      <c r="AO203" s="1197">
        <f t="shared" si="88"/>
        <v>0.22822126388110781</v>
      </c>
      <c r="AP203" s="365"/>
      <c r="AQ203" s="417">
        <f>+[2]Base!CS201</f>
        <v>12480.0378</v>
      </c>
      <c r="AR203" s="415">
        <f>+[2]Base!CT201</f>
        <v>34769.108999999997</v>
      </c>
      <c r="AS203" s="415">
        <f>+[2]Base!CU201</f>
        <v>22473.278400000003</v>
      </c>
      <c r="AT203" s="415">
        <f>+[2]Base!CV201</f>
        <v>121392.5448</v>
      </c>
      <c r="AU203" s="416">
        <f>+[2]Base!CW201</f>
        <v>39167.055899999999</v>
      </c>
      <c r="AV203" s="365"/>
      <c r="AW203" s="1192">
        <f t="shared" si="89"/>
        <v>5.4194580541945807E-2</v>
      </c>
      <c r="AX203" s="1194">
        <f t="shared" si="90"/>
        <v>0.150984901509849</v>
      </c>
      <c r="AY203" s="1194">
        <f t="shared" si="91"/>
        <v>9.7590240975902423E-2</v>
      </c>
      <c r="AZ203" s="1194">
        <f t="shared" si="92"/>
        <v>0.52714728527147281</v>
      </c>
      <c r="BA203" s="1193">
        <f t="shared" si="93"/>
        <v>0.17008299170082991</v>
      </c>
      <c r="BB203" s="365"/>
      <c r="BC203" s="1192">
        <f t="shared" si="94"/>
        <v>0.19900911278235617</v>
      </c>
      <c r="BD203" s="1193">
        <f t="shared" si="95"/>
        <v>0.19443322519423778</v>
      </c>
      <c r="BG203" t="s">
        <v>2242</v>
      </c>
      <c r="BH203" t="s">
        <v>2243</v>
      </c>
    </row>
    <row r="204" spans="1:60" ht="12.75" customHeight="1" outlineLevel="1" x14ac:dyDescent="0.2">
      <c r="A204" s="570">
        <v>45870</v>
      </c>
      <c r="B204" s="708">
        <f>IF([1]RENAME!$H$3=0,A204,TEXT(A204,"[$-em-US] mmm-aa;@"))</f>
        <v>45870</v>
      </c>
      <c r="C204" s="365" t="str">
        <f>IF([1]RENAME!$H$3=0,BG204,BH204)</f>
        <v>3T25</v>
      </c>
      <c r="D204" s="366">
        <v>45870</v>
      </c>
      <c r="E204" s="414">
        <f>[2]Base!P202</f>
        <v>269500</v>
      </c>
      <c r="F204" s="415">
        <f>[2]Base!Q202</f>
        <v>214744</v>
      </c>
      <c r="G204" s="416">
        <f>[2]Base!R202</f>
        <v>54756</v>
      </c>
      <c r="H204" s="365"/>
      <c r="I204" s="414">
        <f>[2]Base!T202</f>
        <v>259.60000000000002</v>
      </c>
      <c r="J204" s="421">
        <f>[2]Base!U202</f>
        <v>151.6</v>
      </c>
      <c r="K204" s="419">
        <f>[2]Base!V202</f>
        <v>108</v>
      </c>
      <c r="L204" s="365"/>
      <c r="M204" s="417">
        <f>+[2]Base!X202</f>
        <v>235215</v>
      </c>
      <c r="N204" s="416">
        <f>+[2]Base!Y202</f>
        <v>39209</v>
      </c>
      <c r="O204" s="365"/>
      <c r="P204" s="417">
        <f>[2]Base!AB202</f>
        <v>106083.53599999999</v>
      </c>
      <c r="Q204" s="416">
        <f>[2]Base!AC202</f>
        <v>108660.46400000001</v>
      </c>
      <c r="R204" s="365"/>
      <c r="S204" s="417">
        <f>[2]Base!AE202</f>
        <v>0</v>
      </c>
      <c r="T204" s="419">
        <f>[2]Base!AF202</f>
        <v>0</v>
      </c>
      <c r="U204" s="365"/>
      <c r="V204" s="417">
        <f>[2]Base!AR202</f>
        <v>21950</v>
      </c>
      <c r="W204" s="415">
        <f>[2]Base!AS202</f>
        <v>39402</v>
      </c>
      <c r="X204" s="415">
        <f>[2]Base!AT202</f>
        <v>45369</v>
      </c>
      <c r="Y204" s="415">
        <f>[2]Base!AU202</f>
        <v>15627</v>
      </c>
      <c r="Z204" s="415">
        <f>[2]Base!AV202</f>
        <v>10797</v>
      </c>
      <c r="AA204" s="415">
        <f>[2]Base!AW202</f>
        <v>16928</v>
      </c>
      <c r="AB204" s="415">
        <f>[2]Base!AX202</f>
        <v>7473</v>
      </c>
      <c r="AC204" s="415">
        <f>[2]Base!AY202</f>
        <v>9815</v>
      </c>
      <c r="AD204" s="416">
        <f>[2]Base!AZ202</f>
        <v>47383</v>
      </c>
      <c r="AE204" s="365"/>
      <c r="AF204" s="366">
        <f t="shared" si="59"/>
        <v>45870</v>
      </c>
      <c r="AG204" s="1195">
        <f t="shared" ref="AG204:AG209" si="96">+V204/SUM($V204:$AD204)</f>
        <v>0.10221473009723206</v>
      </c>
      <c r="AH204" s="1196">
        <f t="shared" ref="AH204:AH209" si="97">+W204/SUM($V204:$AD204)</f>
        <v>0.18348358976269419</v>
      </c>
      <c r="AI204" s="1196">
        <f t="shared" ref="AI204:AI209" si="98">+X204/SUM($V204:$AD204)</f>
        <v>0.21127016354356815</v>
      </c>
      <c r="AJ204" s="1196">
        <f t="shared" ref="AJ204:AO207" si="99">+Y204/SUM($V204:$AD204)</f>
        <v>7.2770368438699107E-2</v>
      </c>
      <c r="AK204" s="1196">
        <f t="shared" si="99"/>
        <v>5.0278471109786539E-2</v>
      </c>
      <c r="AL204" s="1196">
        <f t="shared" si="99"/>
        <v>7.8828744924188801E-2</v>
      </c>
      <c r="AM204" s="1196">
        <f t="shared" si="99"/>
        <v>3.4799575308274037E-2</v>
      </c>
      <c r="AN204" s="1196">
        <f t="shared" si="99"/>
        <v>4.5705584323659801E-2</v>
      </c>
      <c r="AO204" s="1197">
        <f t="shared" si="99"/>
        <v>0.22064877249189732</v>
      </c>
      <c r="AP204" s="365"/>
      <c r="AQ204" s="417">
        <f>+[2]Base!CS202</f>
        <v>10994.8928</v>
      </c>
      <c r="AR204" s="415">
        <f>+[2]Base!CT202</f>
        <v>31502.944800000001</v>
      </c>
      <c r="AS204" s="415">
        <f>+[2]Base!CU202</f>
        <v>20486.577600000001</v>
      </c>
      <c r="AT204" s="415">
        <f>+[2]Base!CV202</f>
        <v>115360.4768</v>
      </c>
      <c r="AU204" s="416">
        <f>+[2]Base!CW202</f>
        <v>36377.633600000001</v>
      </c>
      <c r="AV204" s="365"/>
      <c r="AW204" s="1192">
        <f t="shared" si="89"/>
        <v>5.1205120512051207E-2</v>
      </c>
      <c r="AX204" s="1194">
        <f t="shared" si="90"/>
        <v>0.14671467146714673</v>
      </c>
      <c r="AY204" s="1194">
        <f t="shared" si="91"/>
        <v>9.5409540954095415E-2</v>
      </c>
      <c r="AZ204" s="1194">
        <f t="shared" si="92"/>
        <v>0.53725372537253724</v>
      </c>
      <c r="BA204" s="1193">
        <f t="shared" si="93"/>
        <v>0.16941694169416943</v>
      </c>
      <c r="BB204" s="365"/>
      <c r="BC204" s="1192">
        <f t="shared" si="94"/>
        <v>0.23279127606657737</v>
      </c>
      <c r="BD204" s="1193">
        <f t="shared" si="95"/>
        <v>0.18258484521104199</v>
      </c>
      <c r="BG204" t="s">
        <v>2242</v>
      </c>
      <c r="BH204" t="s">
        <v>2243</v>
      </c>
    </row>
    <row r="205" spans="1:60" ht="12.75" customHeight="1" outlineLevel="1" x14ac:dyDescent="0.2">
      <c r="A205" s="570">
        <v>45901</v>
      </c>
      <c r="B205" s="708">
        <f>IF([1]RENAME!$H$3=0,A205,TEXT(A205,"[$-em-US] mmm-aa;@"))</f>
        <v>45901</v>
      </c>
      <c r="C205" s="365" t="str">
        <f>IF([1]RENAME!$H$3=0,BG205,BH205)</f>
        <v>3T25</v>
      </c>
      <c r="D205" s="366">
        <v>45901</v>
      </c>
      <c r="E205" s="414">
        <f>[2]Base!P203</f>
        <v>280676</v>
      </c>
      <c r="F205" s="415">
        <f>[2]Base!Q203</f>
        <v>231478</v>
      </c>
      <c r="G205" s="416">
        <f>[2]Base!R203</f>
        <v>49198</v>
      </c>
      <c r="H205" s="365"/>
      <c r="I205" s="414">
        <f>[2]Base!T203</f>
        <v>0</v>
      </c>
      <c r="J205" s="421">
        <f>[2]Base!U203</f>
        <v>0</v>
      </c>
      <c r="K205" s="419">
        <f>[2]Base!V203</f>
        <v>0</v>
      </c>
      <c r="L205" s="365"/>
      <c r="M205" s="417">
        <f>+[2]Base!X203</f>
        <v>230499</v>
      </c>
      <c r="N205" s="416">
        <f>+[2]Base!Y203</f>
        <v>41925</v>
      </c>
      <c r="O205" s="365"/>
      <c r="P205" s="417">
        <f>[2]Base!AB203</f>
        <v>110877.962</v>
      </c>
      <c r="Q205" s="416">
        <f>[2]Base!AC203</f>
        <v>120600.038</v>
      </c>
      <c r="R205" s="365"/>
      <c r="S205" s="417">
        <f>[2]Base!AE203</f>
        <v>0</v>
      </c>
      <c r="T205" s="419">
        <f>[2]Base!AF203</f>
        <v>0</v>
      </c>
      <c r="U205" s="365"/>
      <c r="V205" s="417">
        <f>[2]Base!AR203</f>
        <v>25695</v>
      </c>
      <c r="W205" s="415">
        <f>[2]Base!AS203</f>
        <v>39899</v>
      </c>
      <c r="X205" s="415">
        <f>[2]Base!AT203</f>
        <v>47246</v>
      </c>
      <c r="Y205" s="415">
        <f>[2]Base!AU203</f>
        <v>16109</v>
      </c>
      <c r="Z205" s="415">
        <f>[2]Base!AV203</f>
        <v>11564</v>
      </c>
      <c r="AA205" s="415">
        <f>[2]Base!AW203</f>
        <v>19003</v>
      </c>
      <c r="AB205" s="415">
        <f>[2]Base!AX203</f>
        <v>7982</v>
      </c>
      <c r="AC205" s="415">
        <f>[2]Base!AY203</f>
        <v>10024</v>
      </c>
      <c r="AD205" s="416">
        <f>[2]Base!AZ203</f>
        <v>53956</v>
      </c>
      <c r="AE205" s="365"/>
      <c r="AF205" s="366">
        <f t="shared" si="59"/>
        <v>45901</v>
      </c>
      <c r="AG205" s="1195">
        <f t="shared" si="96"/>
        <v>0.1110040695012053</v>
      </c>
      <c r="AH205" s="1196">
        <f t="shared" si="97"/>
        <v>0.17236627238873672</v>
      </c>
      <c r="AI205" s="1196">
        <f t="shared" si="98"/>
        <v>0.20410578975107785</v>
      </c>
      <c r="AJ205" s="1196">
        <f t="shared" si="99"/>
        <v>6.9591926662577006E-2</v>
      </c>
      <c r="AK205" s="1196">
        <f t="shared" si="99"/>
        <v>4.9957231356759606E-2</v>
      </c>
      <c r="AL205" s="1196">
        <f t="shared" si="99"/>
        <v>8.2094194696688244E-2</v>
      </c>
      <c r="AM205" s="1196">
        <f t="shared" si="99"/>
        <v>3.4482758620689655E-2</v>
      </c>
      <c r="AN205" s="1196">
        <f t="shared" si="99"/>
        <v>4.3304331297142708E-2</v>
      </c>
      <c r="AO205" s="1197">
        <f t="shared" si="99"/>
        <v>0.2330934257251229</v>
      </c>
      <c r="AP205" s="365"/>
      <c r="AQ205" s="417">
        <f>+[2]Base!CS203</f>
        <v>11712.7868</v>
      </c>
      <c r="AR205" s="415">
        <f>+[2]Base!CT203</f>
        <v>32916.171600000001</v>
      </c>
      <c r="AS205" s="415">
        <f>+[2]Base!CU203</f>
        <v>21319.123800000001</v>
      </c>
      <c r="AT205" s="415">
        <f>+[2]Base!CV203</f>
        <v>123609.25200000001</v>
      </c>
      <c r="AU205" s="416">
        <f>+[2]Base!CW203</f>
        <v>41897.517999999996</v>
      </c>
      <c r="AV205" s="365"/>
      <c r="AW205" s="1192">
        <f t="shared" si="89"/>
        <v>5.0605060506050598E-2</v>
      </c>
      <c r="AX205" s="1194">
        <f t="shared" si="90"/>
        <v>0.14221422142214221</v>
      </c>
      <c r="AY205" s="1194">
        <f t="shared" si="91"/>
        <v>9.2109210921092102E-2</v>
      </c>
      <c r="AZ205" s="1194">
        <f t="shared" si="92"/>
        <v>0.53405340534053403</v>
      </c>
      <c r="BA205" s="1193">
        <f t="shared" si="93"/>
        <v>0.18101810181018099</v>
      </c>
      <c r="BB205" s="365"/>
      <c r="BC205" s="1192">
        <f t="shared" si="94"/>
        <v>0.21344127306409139</v>
      </c>
      <c r="BD205" s="1193">
        <f t="shared" si="95"/>
        <v>0.18111872402560936</v>
      </c>
      <c r="BG205" t="s">
        <v>2242</v>
      </c>
      <c r="BH205" t="s">
        <v>2243</v>
      </c>
    </row>
    <row r="206" spans="1:60" ht="12.75" customHeight="1" outlineLevel="1" x14ac:dyDescent="0.2">
      <c r="A206" s="570">
        <v>45931</v>
      </c>
      <c r="B206" s="708">
        <f>IF([1]RENAME!$H$3=0,A206,TEXT(A206,"[$-em-US] mmm-aa;@"))</f>
        <v>45931</v>
      </c>
      <c r="C206" s="365" t="str">
        <f>IF([1]RENAME!$H$3=0,BG206,BH206)</f>
        <v>4T25</v>
      </c>
      <c r="D206" s="366">
        <v>45931</v>
      </c>
      <c r="E206" s="414">
        <f>[2]Base!P204</f>
        <v>285904</v>
      </c>
      <c r="F206" s="415">
        <f>[2]Base!Q204</f>
        <v>248083</v>
      </c>
      <c r="G206" s="416">
        <f>[2]Base!R204</f>
        <v>37821</v>
      </c>
      <c r="H206" s="365"/>
      <c r="I206" s="414">
        <v>0</v>
      </c>
      <c r="J206" s="421">
        <v>0</v>
      </c>
      <c r="K206" s="419">
        <v>0</v>
      </c>
      <c r="L206" s="365"/>
      <c r="M206" s="417">
        <f>+[2]Base!X204</f>
        <v>235476</v>
      </c>
      <c r="N206" s="416">
        <f>+[2]Base!Y204</f>
        <v>45883</v>
      </c>
      <c r="O206" s="365"/>
      <c r="P206" s="417">
        <f>[2]Base!AB204</f>
        <v>134212.90300000002</v>
      </c>
      <c r="Q206" s="416">
        <f>[2]Base!AC204</f>
        <v>113870.09699999998</v>
      </c>
      <c r="R206" s="365"/>
      <c r="S206" s="417">
        <f>[2]Base!AE204</f>
        <v>0</v>
      </c>
      <c r="T206" s="419">
        <f>[2]Base!AF204</f>
        <v>0</v>
      </c>
      <c r="U206" s="365"/>
      <c r="V206" s="417">
        <f>[2]Base!AR204</f>
        <v>26923</v>
      </c>
      <c r="W206" s="415">
        <f>[2]Base!AS204</f>
        <v>41970</v>
      </c>
      <c r="X206" s="415">
        <f>[2]Base!AT204</f>
        <v>50650</v>
      </c>
      <c r="Y206" s="415">
        <f>[2]Base!AU204</f>
        <v>12762</v>
      </c>
      <c r="Z206" s="415">
        <f>[2]Base!AV204</f>
        <v>11992</v>
      </c>
      <c r="AA206" s="415">
        <f>[2]Base!AW204</f>
        <v>24170</v>
      </c>
      <c r="AB206" s="415">
        <f>[2]Base!AX204</f>
        <v>10085</v>
      </c>
      <c r="AC206" s="415">
        <f>[2]Base!AY204</f>
        <v>10195</v>
      </c>
      <c r="AD206" s="416">
        <f>[2]Base!AZ204</f>
        <v>59336</v>
      </c>
      <c r="AE206" s="365"/>
      <c r="AF206" s="366">
        <f t="shared" si="59"/>
        <v>45931</v>
      </c>
      <c r="AG206" s="1195">
        <f t="shared" si="96"/>
        <v>0.10852416328406218</v>
      </c>
      <c r="AH206" s="1196">
        <f t="shared" si="97"/>
        <v>0.16917725116190951</v>
      </c>
      <c r="AI206" s="1196">
        <f t="shared" si="98"/>
        <v>0.20416554137123463</v>
      </c>
      <c r="AJ206" s="1196">
        <f t="shared" si="99"/>
        <v>5.1442460789332602E-2</v>
      </c>
      <c r="AK206" s="1196">
        <f t="shared" si="99"/>
        <v>4.8338660851408602E-2</v>
      </c>
      <c r="AL206" s="1196">
        <f t="shared" si="99"/>
        <v>9.7427070778731306E-2</v>
      </c>
      <c r="AM206" s="1196">
        <f t="shared" si="99"/>
        <v>4.0651717368783834E-2</v>
      </c>
      <c r="AN206" s="1196">
        <f t="shared" si="99"/>
        <v>4.1095117359915834E-2</v>
      </c>
      <c r="AO206" s="1197">
        <f t="shared" si="99"/>
        <v>0.23917801703462147</v>
      </c>
      <c r="AP206" s="365"/>
      <c r="AQ206" s="417">
        <f>+[2]Base!CS204</f>
        <v>12255.3002</v>
      </c>
      <c r="AR206" s="415">
        <f>+[2]Base!CT204</f>
        <v>34036.9876</v>
      </c>
      <c r="AS206" s="415">
        <f>+[2]Base!CU204</f>
        <v>22674.786199999999</v>
      </c>
      <c r="AT206" s="415">
        <f>+[2]Base!CV204</f>
        <v>130640.50779999999</v>
      </c>
      <c r="AU206" s="416">
        <f>+[2]Base!CW204</f>
        <v>48376.185000000005</v>
      </c>
      <c r="AV206" s="365"/>
      <c r="AW206" s="1192">
        <f t="shared" si="89"/>
        <v>4.9419767907162869E-2</v>
      </c>
      <c r="AX206" s="1194">
        <f t="shared" si="90"/>
        <v>0.13725490196078433</v>
      </c>
      <c r="AY206" s="1194">
        <f t="shared" si="91"/>
        <v>9.1436574629851941E-2</v>
      </c>
      <c r="AZ206" s="1194">
        <f t="shared" si="92"/>
        <v>0.52681072428971587</v>
      </c>
      <c r="BA206" s="1193">
        <f t="shared" si="93"/>
        <v>0.19507803121248501</v>
      </c>
      <c r="BB206" s="365"/>
      <c r="BC206" s="1192">
        <f t="shared" si="94"/>
        <v>0.16061509453192682</v>
      </c>
      <c r="BD206" s="1193">
        <f t="shared" si="95"/>
        <v>0.18495019811917784</v>
      </c>
      <c r="BG206" t="s">
        <v>2244</v>
      </c>
      <c r="BH206" t="s">
        <v>2245</v>
      </c>
    </row>
    <row r="207" spans="1:60" ht="12.75" customHeight="1" outlineLevel="1" x14ac:dyDescent="0.2">
      <c r="A207" s="570">
        <v>45962</v>
      </c>
      <c r="B207" s="708">
        <f>IF([1]RENAME!$H$3=0,A207,TEXT(A207,"[$-em-US] mmm-aa;@"))</f>
        <v>45962</v>
      </c>
      <c r="C207" s="365" t="str">
        <f>IF([1]RENAME!$H$3=0,BG207,BH207)</f>
        <v>4T25</v>
      </c>
      <c r="D207" s="366">
        <v>45962</v>
      </c>
      <c r="E207" s="414">
        <f>[2]Base!P205</f>
        <v>260639</v>
      </c>
      <c r="F207" s="415">
        <f>[2]Base!Q205</f>
        <v>227440</v>
      </c>
      <c r="G207" s="416">
        <f>[2]Base!R205</f>
        <v>33199</v>
      </c>
      <c r="H207" s="365"/>
      <c r="I207" s="414">
        <v>0</v>
      </c>
      <c r="J207" s="421">
        <v>0</v>
      </c>
      <c r="K207" s="419">
        <v>0</v>
      </c>
      <c r="L207" s="365"/>
      <c r="M207" s="417">
        <f>+[2]Base!X205</f>
        <v>208131</v>
      </c>
      <c r="N207" s="416">
        <f>+[2]Base!Y205</f>
        <v>41239</v>
      </c>
      <c r="O207" s="365"/>
      <c r="P207" s="417">
        <f>[2]Base!AB205</f>
        <v>127138.95999999999</v>
      </c>
      <c r="Q207" s="416">
        <f>[2]Base!AC205</f>
        <v>100301.04000000001</v>
      </c>
      <c r="R207" s="365"/>
      <c r="S207" s="417">
        <f>[2]Base!AE205</f>
        <v>0</v>
      </c>
      <c r="T207" s="419">
        <f>[2]Base!AF205</f>
        <v>0</v>
      </c>
      <c r="U207" s="365"/>
      <c r="V207" s="417">
        <f>[2]Base!AR205</f>
        <v>27495</v>
      </c>
      <c r="W207" s="415">
        <f>[2]Base!AS205</f>
        <v>41073</v>
      </c>
      <c r="X207" s="415">
        <f>[2]Base!AT205</f>
        <v>45101</v>
      </c>
      <c r="Y207" s="415">
        <f>[2]Base!AU205</f>
        <v>8074</v>
      </c>
      <c r="Z207" s="415">
        <f>[2]Base!AV205</f>
        <v>13662</v>
      </c>
      <c r="AA207" s="415">
        <f>[2]Base!AW205</f>
        <v>19966</v>
      </c>
      <c r="AB207" s="415">
        <f>[2]Base!AX205</f>
        <v>8974</v>
      </c>
      <c r="AC207" s="415">
        <f>[2]Base!AY205</f>
        <v>9808</v>
      </c>
      <c r="AD207" s="416">
        <f>[2]Base!AZ205</f>
        <v>53287</v>
      </c>
      <c r="AE207" s="365"/>
      <c r="AF207" s="366">
        <f t="shared" si="59"/>
        <v>45962</v>
      </c>
      <c r="AG207" s="1195">
        <f t="shared" si="96"/>
        <v>0.12088902567710165</v>
      </c>
      <c r="AH207" s="1196">
        <f t="shared" si="97"/>
        <v>0.18058828702075272</v>
      </c>
      <c r="AI207" s="1196">
        <f t="shared" si="98"/>
        <v>0.19829845233907845</v>
      </c>
      <c r="AJ207" s="1196">
        <f t="shared" si="99"/>
        <v>3.5499472388322198E-2</v>
      </c>
      <c r="AK207" s="1196">
        <f t="shared" si="99"/>
        <v>6.0068589518114668E-2</v>
      </c>
      <c r="AL207" s="1196">
        <f t="shared" si="99"/>
        <v>8.778578965881112E-2</v>
      </c>
      <c r="AM207" s="1196">
        <f t="shared" si="99"/>
        <v>3.9456559971860712E-2</v>
      </c>
      <c r="AN207" s="1196">
        <f t="shared" si="99"/>
        <v>4.31234611326064E-2</v>
      </c>
      <c r="AO207" s="1197">
        <f t="shared" si="99"/>
        <v>0.23429036229335209</v>
      </c>
      <c r="AP207" s="365"/>
      <c r="AQ207" s="417">
        <f>+[2]Base!CS205</f>
        <v>10689.68</v>
      </c>
      <c r="AR207" s="415">
        <f>+[2]Base!CT205</f>
        <v>29180.552</v>
      </c>
      <c r="AS207" s="415">
        <f>+[2]Base!CU205</f>
        <v>19491.608</v>
      </c>
      <c r="AT207" s="415">
        <f>+[2]Base!CV205</f>
        <v>119678.928</v>
      </c>
      <c r="AU207" s="416">
        <f>+[2]Base!CW205</f>
        <v>48444.72</v>
      </c>
      <c r="AV207" s="365"/>
      <c r="AW207" s="1192">
        <f t="shared" si="89"/>
        <v>4.6990601879624075E-2</v>
      </c>
      <c r="AX207" s="1194">
        <f t="shared" si="90"/>
        <v>0.1282743451309738</v>
      </c>
      <c r="AY207" s="1194">
        <f t="shared" si="91"/>
        <v>8.5682863427314529E-2</v>
      </c>
      <c r="AZ207" s="1194">
        <f t="shared" si="92"/>
        <v>0.52609478104379126</v>
      </c>
      <c r="BA207" s="1193">
        <f t="shared" si="93"/>
        <v>0.21295740851829634</v>
      </c>
      <c r="BB207" s="365"/>
      <c r="BC207" s="1192">
        <f t="shared" si="94"/>
        <v>0.1595101162248776</v>
      </c>
      <c r="BD207" s="1193">
        <f t="shared" si="95"/>
        <v>0.18131814984171649</v>
      </c>
      <c r="BG207" t="s">
        <v>2244</v>
      </c>
      <c r="BH207" t="s">
        <v>2245</v>
      </c>
    </row>
    <row r="208" spans="1:60" ht="12.75" customHeight="1" outlineLevel="1" x14ac:dyDescent="0.2">
      <c r="A208" s="570">
        <v>45992</v>
      </c>
      <c r="B208" s="708">
        <f>IF([1]RENAME!$H$3=0,A208,TEXT(A208,"[$-em-US] mmm-aa;@"))</f>
        <v>45992</v>
      </c>
      <c r="C208" s="365" t="str">
        <f>IF([1]RENAME!$H$3=0,BG208,BH208)</f>
        <v>4T25</v>
      </c>
      <c r="D208" s="366">
        <v>45992</v>
      </c>
      <c r="E208" s="414">
        <f>[2]Base!P206</f>
        <v>284918</v>
      </c>
      <c r="F208" s="415">
        <f>[2]Base!Q206</f>
        <v>267476</v>
      </c>
      <c r="G208" s="416">
        <f>[2]Base!R206</f>
        <v>17442</v>
      </c>
      <c r="H208" s="365"/>
      <c r="I208" s="414">
        <v>0</v>
      </c>
      <c r="J208" s="421">
        <v>0</v>
      </c>
      <c r="K208" s="419">
        <v>0</v>
      </c>
      <c r="L208" s="365"/>
      <c r="M208" s="417">
        <f>+[2]Base!X206</f>
        <v>178050</v>
      </c>
      <c r="N208" s="416">
        <f>+[2]Base!Y206</f>
        <v>53590</v>
      </c>
      <c r="O208" s="365"/>
      <c r="P208" s="417">
        <f>[2]Base!AB206</f>
        <v>137215.18799999999</v>
      </c>
      <c r="Q208" s="416">
        <f>[2]Base!AC206</f>
        <v>130260.81200000001</v>
      </c>
      <c r="R208" s="365"/>
      <c r="S208" s="417">
        <v>0</v>
      </c>
      <c r="T208" s="419">
        <v>0</v>
      </c>
      <c r="U208" s="365"/>
      <c r="V208" s="417">
        <f>[2]Base!AR206</f>
        <v>29541</v>
      </c>
      <c r="W208" s="415">
        <f>[2]Base!AS206</f>
        <v>47965</v>
      </c>
      <c r="X208" s="415">
        <f>[2]Base!AT206</f>
        <v>53336</v>
      </c>
      <c r="Y208" s="415">
        <f>[2]Base!AU206</f>
        <v>11776</v>
      </c>
      <c r="Z208" s="415">
        <f>[2]Base!AV206</f>
        <v>13103</v>
      </c>
      <c r="AA208" s="415">
        <f>[2]Base!AW206</f>
        <v>20632</v>
      </c>
      <c r="AB208" s="415">
        <f>[2]Base!AX206</f>
        <v>10830</v>
      </c>
      <c r="AC208" s="415">
        <f>[2]Base!AY206</f>
        <v>15659</v>
      </c>
      <c r="AD208" s="416">
        <f>[2]Base!AZ206</f>
        <v>64634</v>
      </c>
      <c r="AE208" s="365"/>
      <c r="AF208" s="366">
        <v>45992</v>
      </c>
      <c r="AG208" s="1195">
        <f t="shared" si="96"/>
        <v>0.11044355381417398</v>
      </c>
      <c r="AH208" s="1196">
        <f t="shared" si="97"/>
        <v>0.17932450014206883</v>
      </c>
      <c r="AI208" s="1196">
        <f t="shared" si="98"/>
        <v>0.19940480641253794</v>
      </c>
      <c r="AJ208" s="1196">
        <f t="shared" ref="AJ208:AO209" si="100">+Y208/SUM($V208:$AD208)</f>
        <v>4.4026379936891534E-2</v>
      </c>
      <c r="AK208" s="1196">
        <f t="shared" si="100"/>
        <v>4.8987572716804498E-2</v>
      </c>
      <c r="AL208" s="1196">
        <f t="shared" si="100"/>
        <v>7.7135892566062E-2</v>
      </c>
      <c r="AM208" s="1196">
        <f t="shared" si="100"/>
        <v>4.0489614021444915E-2</v>
      </c>
      <c r="AN208" s="1196">
        <f t="shared" si="100"/>
        <v>5.8543570264248009E-2</v>
      </c>
      <c r="AO208" s="1197">
        <f t="shared" si="100"/>
        <v>0.24164411012576828</v>
      </c>
      <c r="AP208" s="365"/>
      <c r="AQ208" s="417">
        <f>+[2]Base!CS206</f>
        <v>14550.694399999998</v>
      </c>
      <c r="AR208" s="415">
        <f>+[2]Base!CT206</f>
        <v>37339.649599999997</v>
      </c>
      <c r="AS208" s="415">
        <f>+[2]Base!CU206</f>
        <v>24955.5108</v>
      </c>
      <c r="AT208" s="415">
        <f>+[2]Base!CV206</f>
        <v>139381.74360000002</v>
      </c>
      <c r="AU208" s="416">
        <f>+[2]Base!CW206</f>
        <v>51248.401599999997</v>
      </c>
      <c r="AV208" s="365"/>
      <c r="AW208" s="1192">
        <f t="shared" ref="AW208:BA209" si="101">+AQ208/SUM($AQ208:$AU208)</f>
        <v>5.4399999999999997E-2</v>
      </c>
      <c r="AX208" s="1194">
        <f t="shared" si="101"/>
        <v>0.1396</v>
      </c>
      <c r="AY208" s="1194">
        <f t="shared" si="101"/>
        <v>9.3299999999999994E-2</v>
      </c>
      <c r="AZ208" s="1194">
        <f t="shared" si="101"/>
        <v>0.52110000000000001</v>
      </c>
      <c r="BA208" s="1193">
        <f t="shared" si="101"/>
        <v>0.19159999999999999</v>
      </c>
      <c r="BB208" s="365"/>
      <c r="BC208" s="1192">
        <f t="shared" si="94"/>
        <v>9.7961246840775063E-2</v>
      </c>
      <c r="BD208" s="1193">
        <f t="shared" si="95"/>
        <v>0.20035442432218217</v>
      </c>
      <c r="BG208" t="s">
        <v>2244</v>
      </c>
      <c r="BH208" t="s">
        <v>2245</v>
      </c>
    </row>
    <row r="209" spans="1:60" ht="12.75" customHeight="1" outlineLevel="1" x14ac:dyDescent="0.2">
      <c r="A209" s="570">
        <v>46023</v>
      </c>
      <c r="B209" s="708">
        <f>IF([1]RENAME!$H$3=0,A209,TEXT(A209,"[$-em-US] mmm-aa;@"))</f>
        <v>46023</v>
      </c>
      <c r="C209" s="365" t="str">
        <f>IF([1]RENAME!$H$3=0,BG209,BH209)</f>
        <v>1T26</v>
      </c>
      <c r="D209" s="366">
        <v>46023</v>
      </c>
      <c r="E209" s="967">
        <f>[2]Base!P207</f>
        <v>187349</v>
      </c>
      <c r="F209" s="968">
        <f>[2]Base!Q207</f>
        <v>162909</v>
      </c>
      <c r="G209" s="969">
        <f>[2]Base!R207</f>
        <v>24440</v>
      </c>
      <c r="H209" s="365"/>
      <c r="I209" s="967">
        <v>0</v>
      </c>
      <c r="J209" s="970">
        <v>0</v>
      </c>
      <c r="K209" s="971">
        <v>0</v>
      </c>
      <c r="L209" s="365"/>
      <c r="M209" s="972">
        <f>+[2]Base!X207</f>
        <v>154975</v>
      </c>
      <c r="N209" s="969">
        <f>+[2]Base!Y207</f>
        <v>37744</v>
      </c>
      <c r="O209" s="365"/>
      <c r="P209" s="972">
        <f>[2]Base!AB207</f>
        <v>67281.417000000001</v>
      </c>
      <c r="Q209" s="969">
        <f>[2]Base!AC207</f>
        <v>95627.582999999999</v>
      </c>
      <c r="R209" s="365"/>
      <c r="S209" s="972">
        <v>0</v>
      </c>
      <c r="T209" s="971">
        <v>0</v>
      </c>
      <c r="U209" s="365"/>
      <c r="V209" s="972">
        <f>[2]Base!AR207</f>
        <v>16146</v>
      </c>
      <c r="W209" s="968">
        <f>[2]Base!AS207</f>
        <v>25866</v>
      </c>
      <c r="X209" s="968">
        <f>[2]Base!AT207</f>
        <v>34258</v>
      </c>
      <c r="Y209" s="968">
        <f>[2]Base!AU207</f>
        <v>9545</v>
      </c>
      <c r="Z209" s="968">
        <f>[2]Base!AV207</f>
        <v>7786</v>
      </c>
      <c r="AA209" s="968">
        <f>[2]Base!AW207</f>
        <v>10206</v>
      </c>
      <c r="AB209" s="968">
        <f>[2]Base!AX207</f>
        <v>6721</v>
      </c>
      <c r="AC209" s="968">
        <f>[2]Base!AY207</f>
        <v>9801</v>
      </c>
      <c r="AD209" s="969">
        <f>[2]Base!AZ207</f>
        <v>42580</v>
      </c>
      <c r="AE209" s="365"/>
      <c r="AF209" s="366">
        <f t="shared" si="59"/>
        <v>46023</v>
      </c>
      <c r="AG209" s="973">
        <f t="shared" si="96"/>
        <v>9.9110546378653117E-2</v>
      </c>
      <c r="AH209" s="974">
        <f t="shared" si="97"/>
        <v>0.1587757582454008</v>
      </c>
      <c r="AI209" s="974">
        <f t="shared" si="98"/>
        <v>0.21028917984887269</v>
      </c>
      <c r="AJ209" s="974">
        <f t="shared" si="100"/>
        <v>5.8590992517294931E-2</v>
      </c>
      <c r="AK209" s="974">
        <f t="shared" si="100"/>
        <v>4.7793553456224026E-2</v>
      </c>
      <c r="AL209" s="974">
        <f t="shared" si="100"/>
        <v>6.2648472460085078E-2</v>
      </c>
      <c r="AM209" s="974">
        <f t="shared" si="100"/>
        <v>4.1256161415268645E-2</v>
      </c>
      <c r="AN209" s="974">
        <f t="shared" si="100"/>
        <v>6.0162421965637258E-2</v>
      </c>
      <c r="AO209" s="975">
        <f t="shared" si="100"/>
        <v>0.26137291371256344</v>
      </c>
      <c r="AP209" s="365"/>
      <c r="AQ209" s="972">
        <f>+[2]Base!CS207</f>
        <v>8959.9950000000008</v>
      </c>
      <c r="AR209" s="968">
        <f>+[2]Base!CT207</f>
        <v>27124.3485</v>
      </c>
      <c r="AS209" s="968">
        <f>+[2]Base!CU207</f>
        <v>18734.535</v>
      </c>
      <c r="AT209" s="968">
        <f>+[2]Base!CV207</f>
        <v>79662.501000000004</v>
      </c>
      <c r="AU209" s="969">
        <f>+[2]Base!CW207</f>
        <v>28346.165999999997</v>
      </c>
      <c r="AV209" s="365"/>
      <c r="AW209" s="976">
        <f t="shared" si="101"/>
        <v>5.5027513756878442E-2</v>
      </c>
      <c r="AX209" s="977">
        <f t="shared" si="101"/>
        <v>0.16658329164582292</v>
      </c>
      <c r="AY209" s="977">
        <f t="shared" si="101"/>
        <v>0.11505752876438219</v>
      </c>
      <c r="AZ209" s="977">
        <f t="shared" si="101"/>
        <v>0.48924462231115556</v>
      </c>
      <c r="BA209" s="978">
        <f t="shared" si="101"/>
        <v>0.17408704352176085</v>
      </c>
      <c r="BB209" s="365"/>
      <c r="BC209" s="976">
        <f t="shared" si="94"/>
        <v>0.1577028552992418</v>
      </c>
      <c r="BD209" s="978">
        <f t="shared" si="95"/>
        <v>0.23168762928997169</v>
      </c>
      <c r="BG209" t="s">
        <v>2284</v>
      </c>
      <c r="BH209" t="s">
        <v>2267</v>
      </c>
    </row>
    <row r="210" spans="1:60" ht="12.75" customHeight="1" outlineLevel="1" x14ac:dyDescent="0.2">
      <c r="A210" s="570">
        <v>46054</v>
      </c>
      <c r="B210" s="708">
        <f>IF([1]RENAME!$H$3=0,A210,TEXT(A210,"[$-em-US] mmm-aa;@"))</f>
        <v>46054</v>
      </c>
      <c r="C210" s="365" t="str">
        <f>IF([1]RENAME!$H$3=0,BG210,BH210)</f>
        <v>1T26</v>
      </c>
      <c r="D210" s="366">
        <v>46054</v>
      </c>
      <c r="E210" s="967">
        <f>[2]Base!P208</f>
        <v>209090</v>
      </c>
      <c r="F210" s="968">
        <f>[2]Base!Q208</f>
        <v>177195</v>
      </c>
      <c r="G210" s="969">
        <f>[2]Base!R208</f>
        <v>31895</v>
      </c>
      <c r="H210" s="365"/>
      <c r="I210" s="967">
        <v>0</v>
      </c>
      <c r="J210" s="970">
        <v>0</v>
      </c>
      <c r="K210" s="971">
        <v>0</v>
      </c>
      <c r="L210" s="365"/>
      <c r="M210" s="972">
        <f>+[2]Base!X208</f>
        <v>196445</v>
      </c>
      <c r="N210" s="969">
        <f>+[2]Base!Y208</f>
        <v>33473</v>
      </c>
      <c r="O210" s="365"/>
      <c r="P210" s="972">
        <f>[2]Base!AB208</f>
        <v>85407.99</v>
      </c>
      <c r="Q210" s="969">
        <f>[2]Base!AC208</f>
        <v>91787.01</v>
      </c>
      <c r="R210" s="365"/>
      <c r="S210" s="972">
        <v>0</v>
      </c>
      <c r="T210" s="971">
        <v>0</v>
      </c>
      <c r="U210" s="365"/>
      <c r="V210" s="972">
        <f>[2]Base!AR208</f>
        <v>16855</v>
      </c>
      <c r="W210" s="968">
        <f>[2]Base!AS208</f>
        <v>29300</v>
      </c>
      <c r="X210" s="968">
        <f>[2]Base!AT208</f>
        <v>39667</v>
      </c>
      <c r="Y210" s="968">
        <f>[2]Base!AU208</f>
        <v>10461</v>
      </c>
      <c r="Z210" s="968">
        <f>[2]Base!AV208</f>
        <v>9601</v>
      </c>
      <c r="AA210" s="968">
        <f>[2]Base!AW208</f>
        <v>12136</v>
      </c>
      <c r="AB210" s="968">
        <f>[2]Base!AX208</f>
        <v>7573</v>
      </c>
      <c r="AC210" s="968">
        <f>[2]Base!AY208</f>
        <v>11430</v>
      </c>
      <c r="AD210" s="969">
        <f>[2]Base!AZ208</f>
        <v>40172</v>
      </c>
      <c r="AE210" s="365"/>
      <c r="AF210" s="366">
        <f>+D210</f>
        <v>46054</v>
      </c>
      <c r="AG210" s="973">
        <f t="shared" ref="AG210:AO211" si="102">+V210/SUM($V210:$AD210)</f>
        <v>9.5121194164620892E-2</v>
      </c>
      <c r="AH210" s="974">
        <f t="shared" si="102"/>
        <v>0.16535455289370468</v>
      </c>
      <c r="AI210" s="974">
        <f t="shared" si="102"/>
        <v>0.22386071841756258</v>
      </c>
      <c r="AJ210" s="974">
        <f t="shared" si="102"/>
        <v>5.9036654533141456E-2</v>
      </c>
      <c r="AK210" s="974">
        <f t="shared" si="102"/>
        <v>5.4183244448206776E-2</v>
      </c>
      <c r="AL210" s="974">
        <f t="shared" si="102"/>
        <v>6.8489517198566552E-2</v>
      </c>
      <c r="AM210" s="974">
        <f t="shared" si="102"/>
        <v>4.273822624791896E-2</v>
      </c>
      <c r="AN210" s="974">
        <f t="shared" si="102"/>
        <v>6.4505206128841114E-2</v>
      </c>
      <c r="AO210" s="975">
        <f t="shared" si="102"/>
        <v>0.22671068596743701</v>
      </c>
      <c r="AP210" s="365"/>
      <c r="AQ210" s="972">
        <f>+[2]Base!CS208</f>
        <v>8505.36</v>
      </c>
      <c r="AR210" s="968">
        <f>+[2]Base!CT208</f>
        <v>24860.458500000001</v>
      </c>
      <c r="AS210" s="968">
        <f>+[2]Base!CU208</f>
        <v>18251.084999999999</v>
      </c>
      <c r="AT210" s="968">
        <f>+[2]Base!CV208</f>
        <v>94090.544999999998</v>
      </c>
      <c r="AU210" s="969">
        <f>+[2]Base!CW208</f>
        <v>31452.112499999999</v>
      </c>
      <c r="AV210" s="365"/>
      <c r="AW210" s="976">
        <f t="shared" ref="AW210:BA211" si="103">+AQ210/SUM($AQ210:$AU210)</f>
        <v>4.800960192038408E-2</v>
      </c>
      <c r="AX210" s="977">
        <f t="shared" si="103"/>
        <v>0.14032806561312264</v>
      </c>
      <c r="AY210" s="977">
        <f t="shared" si="103"/>
        <v>0.10302060412082417</v>
      </c>
      <c r="AZ210" s="977">
        <f t="shared" si="103"/>
        <v>0.53110622124424889</v>
      </c>
      <c r="BA210" s="978">
        <f t="shared" si="103"/>
        <v>0.1775355071014203</v>
      </c>
      <c r="BB210" s="365"/>
      <c r="BC210" s="976">
        <f t="shared" si="94"/>
        <v>0.16236096617373819</v>
      </c>
      <c r="BD210" s="978">
        <f t="shared" si="95"/>
        <v>0.18890487880583537</v>
      </c>
      <c r="BG210" t="s">
        <v>2284</v>
      </c>
      <c r="BH210" t="s">
        <v>2267</v>
      </c>
    </row>
    <row r="211" spans="1:60" ht="12.75" customHeight="1" outlineLevel="1" x14ac:dyDescent="0.2">
      <c r="A211" s="570">
        <v>46082</v>
      </c>
      <c r="B211" s="708">
        <f>IF([1]RENAME!$H$3=0,A211,TEXT(A211,"[$-em-US] mmm-aa;@"))</f>
        <v>46082</v>
      </c>
      <c r="C211" s="365" t="str">
        <f>IF([1]RENAME!$H$3=0,BG211,BH211)</f>
        <v>1T26</v>
      </c>
      <c r="D211" s="366">
        <v>46082</v>
      </c>
      <c r="E211" s="967">
        <f>[2]Base!P209</f>
        <v>296434</v>
      </c>
      <c r="F211" s="968">
        <f>[2]Base!Q209</f>
        <v>258735</v>
      </c>
      <c r="G211" s="969">
        <f>[2]Base!R209</f>
        <v>37699</v>
      </c>
      <c r="H211" s="365"/>
      <c r="I211" s="967">
        <v>0</v>
      </c>
      <c r="J211" s="970">
        <v>0</v>
      </c>
      <c r="K211" s="971">
        <v>0</v>
      </c>
      <c r="L211" s="365"/>
      <c r="M211" s="972">
        <f>+[2]Base!X209</f>
        <v>249909</v>
      </c>
      <c r="N211" s="969">
        <f>+[2]Base!Y209</f>
        <v>46972</v>
      </c>
      <c r="O211" s="365"/>
      <c r="P211" s="972">
        <f>[2]Base!AB209</f>
        <v>130661.175</v>
      </c>
      <c r="Q211" s="969">
        <f>[2]Base!AC209</f>
        <v>128073.825</v>
      </c>
      <c r="R211" s="365"/>
      <c r="S211" s="972">
        <v>0</v>
      </c>
      <c r="T211" s="971">
        <v>0</v>
      </c>
      <c r="U211" s="365"/>
      <c r="V211" s="972">
        <f>[2]Base!AR209</f>
        <v>28104</v>
      </c>
      <c r="W211" s="968">
        <f>[2]Base!AS209</f>
        <v>42432</v>
      </c>
      <c r="X211" s="968">
        <f>[2]Base!AT209</f>
        <v>52677</v>
      </c>
      <c r="Y211" s="968">
        <f>[2]Base!AU209</f>
        <v>16011</v>
      </c>
      <c r="Z211" s="968">
        <f>[2]Base!AV209</f>
        <v>12481</v>
      </c>
      <c r="AA211" s="968">
        <f>[2]Base!AW209</f>
        <v>19157</v>
      </c>
      <c r="AB211" s="968">
        <f>[2]Base!AX209</f>
        <v>9910</v>
      </c>
      <c r="AC211" s="968">
        <f>[2]Base!AY209</f>
        <v>16412</v>
      </c>
      <c r="AD211" s="969">
        <f>[2]Base!AZ209</f>
        <v>61551</v>
      </c>
      <c r="AE211" s="365"/>
      <c r="AF211" s="366">
        <f>+D211</f>
        <v>46082</v>
      </c>
      <c r="AG211" s="973">
        <f t="shared" si="102"/>
        <v>0.10862078961099195</v>
      </c>
      <c r="AH211" s="974">
        <f t="shared" si="102"/>
        <v>0.16399791292248825</v>
      </c>
      <c r="AI211" s="974">
        <f t="shared" si="102"/>
        <v>0.20359441127021857</v>
      </c>
      <c r="AJ211" s="974">
        <f t="shared" si="102"/>
        <v>6.1881848223085394E-2</v>
      </c>
      <c r="AK211" s="974">
        <f t="shared" si="102"/>
        <v>4.8238545229675148E-2</v>
      </c>
      <c r="AL211" s="974">
        <f t="shared" si="102"/>
        <v>7.4041007208147339E-2</v>
      </c>
      <c r="AM211" s="974">
        <f t="shared" si="102"/>
        <v>3.8301737298780607E-2</v>
      </c>
      <c r="AN211" s="974">
        <f t="shared" si="102"/>
        <v>6.3431696523469958E-2</v>
      </c>
      <c r="AO211" s="975">
        <f t="shared" si="102"/>
        <v>0.23789205171314279</v>
      </c>
      <c r="AP211" s="365"/>
      <c r="AQ211" s="972">
        <f>+[2]Base!CS209</f>
        <v>13324.852499999999</v>
      </c>
      <c r="AR211" s="968">
        <f>+[2]Base!CT209</f>
        <v>34929.225000000006</v>
      </c>
      <c r="AS211" s="968">
        <f>+[2]Base!CU209</f>
        <v>23932.987499999999</v>
      </c>
      <c r="AT211" s="968">
        <f>+[2]Base!CV209</f>
        <v>141346.93049999999</v>
      </c>
      <c r="AU211" s="969">
        <f>+[2]Base!CW209</f>
        <v>45175.131000000001</v>
      </c>
      <c r="AV211" s="365"/>
      <c r="AW211" s="976">
        <f t="shared" si="103"/>
        <v>5.1505150515051508E-2</v>
      </c>
      <c r="AX211" s="977">
        <f t="shared" si="103"/>
        <v>0.13501350135013504</v>
      </c>
      <c r="AY211" s="977">
        <f t="shared" si="103"/>
        <v>9.2509250925092518E-2</v>
      </c>
      <c r="AZ211" s="977">
        <f t="shared" si="103"/>
        <v>0.54635463546354635</v>
      </c>
      <c r="BA211" s="978">
        <f t="shared" si="103"/>
        <v>0.17461746174617462</v>
      </c>
      <c r="BB211" s="365"/>
      <c r="BC211" s="976">
        <f t="shared" si="94"/>
        <v>0.15085090973114212</v>
      </c>
      <c r="BD211" s="978">
        <f t="shared" si="95"/>
        <v>0.18154482385452297</v>
      </c>
      <c r="BG211" t="s">
        <v>2284</v>
      </c>
      <c r="BH211" t="s">
        <v>2267</v>
      </c>
    </row>
    <row r="212" spans="1:60" ht="12.75" customHeight="1" outlineLevel="1" x14ac:dyDescent="0.2">
      <c r="A212" s="570">
        <v>46113</v>
      </c>
      <c r="B212" s="708">
        <f>IF([1]RENAME!$H$3=0,A212,TEXT(A212,"[$-em-US] mmm-aa;@"))</f>
        <v>46113</v>
      </c>
      <c r="C212" s="365" t="str">
        <f>IF([1]RENAME!$H$3=0,BG212,BH212)</f>
        <v>2T26</v>
      </c>
      <c r="D212" s="366">
        <v>46113</v>
      </c>
      <c r="E212" s="967">
        <f>[2]Base!P210</f>
        <v>278022</v>
      </c>
      <c r="F212" s="968">
        <f>[2]Base!Q210</f>
        <v>237462</v>
      </c>
      <c r="G212" s="969">
        <f>[2]Base!R210</f>
        <v>40560</v>
      </c>
      <c r="H212" s="365"/>
      <c r="I212" s="967">
        <v>0</v>
      </c>
      <c r="J212" s="970">
        <v>0</v>
      </c>
      <c r="K212" s="971">
        <v>0</v>
      </c>
      <c r="L212" s="365"/>
      <c r="M212" s="972">
        <f>+[2]Base!X210</f>
        <v>225782</v>
      </c>
      <c r="N212" s="969">
        <f>+[2]Base!Y210</f>
        <v>48539</v>
      </c>
      <c r="O212" s="365"/>
      <c r="P212" s="972">
        <f>[2]Base!AB210</f>
        <v>122292.93000000001</v>
      </c>
      <c r="Q212" s="969">
        <f>[2]Base!AC210</f>
        <v>115169.06999999999</v>
      </c>
      <c r="R212" s="365"/>
      <c r="S212" s="972">
        <v>0</v>
      </c>
      <c r="T212" s="971">
        <v>0</v>
      </c>
      <c r="U212" s="365"/>
      <c r="V212" s="972">
        <f>[2]Base!AR210</f>
        <v>25072</v>
      </c>
      <c r="W212" s="968">
        <f>[2]Base!AS210</f>
        <v>39083</v>
      </c>
      <c r="X212" s="968">
        <f>[2]Base!AT210</f>
        <v>45622</v>
      </c>
      <c r="Y212" s="968">
        <f>[2]Base!AU210</f>
        <v>14610</v>
      </c>
      <c r="Z212" s="968">
        <f>[2]Base!AV210</f>
        <v>12083</v>
      </c>
      <c r="AA212" s="968">
        <f>[2]Base!AW210</f>
        <v>18563</v>
      </c>
      <c r="AB212" s="968">
        <f>[2]Base!AX210</f>
        <v>9016</v>
      </c>
      <c r="AC212" s="968">
        <f>[2]Base!AY210</f>
        <v>18474</v>
      </c>
      <c r="AD212" s="969">
        <f>[2]Base!AZ210</f>
        <v>54939</v>
      </c>
      <c r="AE212" s="365"/>
      <c r="AF212" s="366">
        <f>+D212</f>
        <v>46113</v>
      </c>
      <c r="AG212" s="973">
        <f t="shared" ref="AG212:AO214" si="104">+V212/SUM($V212:$AD212)</f>
        <v>0.10558320910293015</v>
      </c>
      <c r="AH212" s="974">
        <f t="shared" si="104"/>
        <v>0.16458633381341015</v>
      </c>
      <c r="AI212" s="974">
        <f t="shared" si="104"/>
        <v>0.1921233713183583</v>
      </c>
      <c r="AJ212" s="974">
        <f t="shared" si="104"/>
        <v>6.1525633575056221E-2</v>
      </c>
      <c r="AK212" s="974">
        <f t="shared" si="104"/>
        <v>5.0883930902628632E-2</v>
      </c>
      <c r="AL212" s="974">
        <f t="shared" si="104"/>
        <v>7.817250760121619E-2</v>
      </c>
      <c r="AM212" s="974">
        <f t="shared" si="104"/>
        <v>3.7968180171985409E-2</v>
      </c>
      <c r="AN212" s="974">
        <f t="shared" si="104"/>
        <v>7.7797710791621399E-2</v>
      </c>
      <c r="AO212" s="975">
        <f t="shared" si="104"/>
        <v>0.23135912272279355</v>
      </c>
      <c r="AP212" s="365"/>
      <c r="AQ212" s="972">
        <f>+[2]Base!CS210</f>
        <v>12039.323400000001</v>
      </c>
      <c r="AR212" s="968">
        <f>+[2]Base!CT210</f>
        <v>33387.157200000001</v>
      </c>
      <c r="AS212" s="968">
        <f>+[2]Base!CU210</f>
        <v>23152.545000000002</v>
      </c>
      <c r="AT212" s="968">
        <f>+[2]Base!CV210</f>
        <v>123385.25519999999</v>
      </c>
      <c r="AU212" s="969">
        <f>+[2]Base!CW210</f>
        <v>45521.465400000001</v>
      </c>
      <c r="AV212" s="365"/>
      <c r="AW212" s="976">
        <f t="shared" ref="AW212:BA214" si="105">+AQ212/SUM($AQ212:$AU212)</f>
        <v>5.0694930506949308E-2</v>
      </c>
      <c r="AX212" s="977">
        <f t="shared" si="105"/>
        <v>0.14058594140585942</v>
      </c>
      <c r="AY212" s="977">
        <f t="shared" si="105"/>
        <v>9.749025097490252E-2</v>
      </c>
      <c r="AZ212" s="977">
        <f t="shared" si="105"/>
        <v>0.51954804519548037</v>
      </c>
      <c r="BA212" s="978">
        <f t="shared" si="105"/>
        <v>0.19168083191680832</v>
      </c>
      <c r="BB212" s="365"/>
      <c r="BC212" s="976">
        <f>+G212/M212</f>
        <v>0.17964230983869395</v>
      </c>
      <c r="BD212" s="978">
        <f>+N212/F212</f>
        <v>0.20440744203283051</v>
      </c>
      <c r="BG212" t="s">
        <v>2285</v>
      </c>
      <c r="BH212" t="s">
        <v>2312</v>
      </c>
    </row>
    <row r="213" spans="1:60" ht="12.75" customHeight="1" outlineLevel="1" x14ac:dyDescent="0.2">
      <c r="A213" s="570">
        <v>46143</v>
      </c>
      <c r="B213" s="708">
        <f>IF([1]RENAME!$H$3=0,A213,TEXT(A213,"[$-em-US] mmm-aa;@"))</f>
        <v>46143</v>
      </c>
      <c r="C213" s="365" t="str">
        <f>IF([1]RENAME!$H$3=0,BG213,BH213)</f>
        <v>2T26</v>
      </c>
      <c r="D213" s="366">
        <v>46143</v>
      </c>
      <c r="E213" s="967">
        <f>[2]Base!P211</f>
        <v>299473</v>
      </c>
      <c r="F213" s="968">
        <f>[2]Base!Q211</f>
        <v>264659</v>
      </c>
      <c r="G213" s="969">
        <f>[2]Base!R211</f>
        <v>34814</v>
      </c>
      <c r="H213" s="365"/>
      <c r="I213" s="967">
        <v>0</v>
      </c>
      <c r="J213" s="970">
        <v>0</v>
      </c>
      <c r="K213" s="971">
        <v>0</v>
      </c>
      <c r="L213" s="365"/>
      <c r="M213" s="972">
        <f>+[2]Base!X211</f>
        <v>240056</v>
      </c>
      <c r="N213" s="969">
        <f>+[2]Base!Y211</f>
        <v>54321</v>
      </c>
      <c r="O213" s="365"/>
      <c r="P213" s="972">
        <f>[2]Base!AB211</f>
        <v>138416.65700000001</v>
      </c>
      <c r="Q213" s="969">
        <f>[2]Base!AC211</f>
        <v>126242.34299999999</v>
      </c>
      <c r="R213" s="365"/>
      <c r="S213" s="972">
        <v>0</v>
      </c>
      <c r="T213" s="971">
        <v>0</v>
      </c>
      <c r="U213" s="365"/>
      <c r="V213" s="972">
        <f>[2]Base!AR211</f>
        <v>27712</v>
      </c>
      <c r="W213" s="968">
        <f>[2]Base!AS211</f>
        <v>43313</v>
      </c>
      <c r="X213" s="968">
        <f>[2]Base!AT211</f>
        <v>49642</v>
      </c>
      <c r="Y213" s="968">
        <f>[2]Base!AU211</f>
        <v>14817</v>
      </c>
      <c r="Z213" s="968">
        <f>[2]Base!AV211</f>
        <v>11060</v>
      </c>
      <c r="AA213" s="968">
        <f>[2]Base!AW211</f>
        <v>20239</v>
      </c>
      <c r="AB213" s="968">
        <f>[2]Base!AX211</f>
        <v>10287</v>
      </c>
      <c r="AC213" s="968">
        <f>[2]Base!AY211</f>
        <v>21704</v>
      </c>
      <c r="AD213" s="969">
        <f>[2]Base!AZ211</f>
        <v>65885</v>
      </c>
      <c r="AE213" s="365"/>
      <c r="AF213" s="366">
        <f>+D213</f>
        <v>46143</v>
      </c>
      <c r="AG213" s="973">
        <f t="shared" si="104"/>
        <v>0.10470832278516884</v>
      </c>
      <c r="AH213" s="974">
        <f t="shared" si="104"/>
        <v>0.16365587416260169</v>
      </c>
      <c r="AI213" s="974">
        <f t="shared" si="104"/>
        <v>0.18756966511624393</v>
      </c>
      <c r="AJ213" s="974">
        <f t="shared" si="104"/>
        <v>5.598524894297946E-2</v>
      </c>
      <c r="AK213" s="974">
        <f t="shared" si="104"/>
        <v>4.1789623628896051E-2</v>
      </c>
      <c r="AL213" s="974">
        <f t="shared" si="104"/>
        <v>7.647198848329359E-2</v>
      </c>
      <c r="AM213" s="974">
        <f t="shared" si="104"/>
        <v>3.886888411125259E-2</v>
      </c>
      <c r="AN213" s="974">
        <f t="shared" si="104"/>
        <v>8.2007413312980101E-2</v>
      </c>
      <c r="AO213" s="975">
        <f t="shared" si="104"/>
        <v>0.24894297945658375</v>
      </c>
      <c r="AP213" s="365"/>
      <c r="AQ213" s="972">
        <f>+[2]Base!CS211</f>
        <v>12730.097899999999</v>
      </c>
      <c r="AR213" s="968">
        <f>+[2]Base!CT211</f>
        <v>34961.4539</v>
      </c>
      <c r="AS213" s="968">
        <f>+[2]Base!CU211</f>
        <v>24877.946</v>
      </c>
      <c r="AT213" s="968">
        <f>+[2]Base!CV211</f>
        <v>143471.6439</v>
      </c>
      <c r="AU213" s="969">
        <f>+[2]Base!CW211</f>
        <v>48591.392400000004</v>
      </c>
      <c r="AV213" s="365"/>
      <c r="AW213" s="976">
        <f t="shared" si="105"/>
        <v>4.8104810481048102E-2</v>
      </c>
      <c r="AX213" s="977">
        <f t="shared" si="105"/>
        <v>0.13211321132113213</v>
      </c>
      <c r="AY213" s="977">
        <f t="shared" si="105"/>
        <v>9.4009400940094009E-2</v>
      </c>
      <c r="AZ213" s="977">
        <f t="shared" si="105"/>
        <v>0.54215421542154218</v>
      </c>
      <c r="BA213" s="978">
        <f t="shared" si="105"/>
        <v>0.18361836183618363</v>
      </c>
      <c r="BB213" s="365"/>
      <c r="BC213" s="976">
        <f>+G213/M213</f>
        <v>0.1450244942846669</v>
      </c>
      <c r="BD213" s="978">
        <f>+N213/F213</f>
        <v>0.20524901854839625</v>
      </c>
      <c r="BG213" t="s">
        <v>2285</v>
      </c>
      <c r="BH213" t="s">
        <v>2312</v>
      </c>
    </row>
    <row r="214" spans="1:60" ht="12.75" customHeight="1" outlineLevel="1" x14ac:dyDescent="0.2">
      <c r="A214" s="570">
        <v>46174</v>
      </c>
      <c r="B214" s="708">
        <f>IF([1]RENAME!$H$3=0,A214,TEXT(A214,"[$-em-US] mmm-aa;@"))</f>
        <v>46174</v>
      </c>
      <c r="C214" s="365" t="str">
        <f>IF([1]RENAME!$H$3=0,BG214,BH214)</f>
        <v>2T26</v>
      </c>
      <c r="D214" s="366">
        <v>46174</v>
      </c>
      <c r="E214" s="967">
        <f>[2]Base!P212</f>
        <v>294726</v>
      </c>
      <c r="F214" s="968">
        <f>[2]Base!Q212</f>
        <v>260528</v>
      </c>
      <c r="G214" s="969">
        <f>[2]Base!R212</f>
        <v>34198</v>
      </c>
      <c r="H214" s="365"/>
      <c r="I214" s="967">
        <v>0</v>
      </c>
      <c r="J214" s="970">
        <v>0</v>
      </c>
      <c r="K214" s="971">
        <v>0</v>
      </c>
      <c r="L214" s="365"/>
      <c r="M214" s="972">
        <f>+[2]Base!X212</f>
        <v>232929</v>
      </c>
      <c r="N214" s="969">
        <f>+[2]Base!Y212</f>
        <v>57028</v>
      </c>
      <c r="O214" s="365"/>
      <c r="P214" s="972">
        <f>[2]Base!AB212</f>
        <v>133129.80799999999</v>
      </c>
      <c r="Q214" s="969">
        <f>[2]Base!AC212</f>
        <v>127398.19200000001</v>
      </c>
      <c r="R214" s="365"/>
      <c r="S214" s="972">
        <v>0</v>
      </c>
      <c r="T214" s="971">
        <v>0</v>
      </c>
      <c r="U214" s="365"/>
      <c r="V214" s="972">
        <f>[2]Base!AR212</f>
        <v>26651</v>
      </c>
      <c r="W214" s="968">
        <f>[2]Base!AS212</f>
        <v>46204</v>
      </c>
      <c r="X214" s="968">
        <f>[2]Base!AT212</f>
        <v>49080</v>
      </c>
      <c r="Y214" s="968">
        <f>[2]Base!AU212</f>
        <v>14501</v>
      </c>
      <c r="Z214" s="968">
        <f>[2]Base!AV212</f>
        <v>10869</v>
      </c>
      <c r="AA214" s="968">
        <f>[2]Base!AW212</f>
        <v>16430</v>
      </c>
      <c r="AB214" s="968">
        <f>[2]Base!AX212</f>
        <v>10033</v>
      </c>
      <c r="AC214" s="968">
        <f>[2]Base!AY212</f>
        <v>21254</v>
      </c>
      <c r="AD214" s="969">
        <f>[2]Base!AZ212</f>
        <v>65506</v>
      </c>
      <c r="AE214" s="365"/>
      <c r="AF214" s="366">
        <f>+D214</f>
        <v>46174</v>
      </c>
      <c r="AG214" s="973">
        <f t="shared" si="104"/>
        <v>0.1022961063686053</v>
      </c>
      <c r="AH214" s="974">
        <f t="shared" si="104"/>
        <v>0.17734754037953693</v>
      </c>
      <c r="AI214" s="974">
        <f t="shared" si="104"/>
        <v>0.18838666093471718</v>
      </c>
      <c r="AJ214" s="974">
        <f t="shared" si="104"/>
        <v>5.5660044217895964E-2</v>
      </c>
      <c r="AK214" s="974">
        <f t="shared" si="104"/>
        <v>4.1719124240004915E-2</v>
      </c>
      <c r="AL214" s="974">
        <f t="shared" si="104"/>
        <v>6.3064238776638207E-2</v>
      </c>
      <c r="AM214" s="974">
        <f t="shared" si="104"/>
        <v>3.8510256095314131E-2</v>
      </c>
      <c r="AN214" s="974">
        <f t="shared" si="104"/>
        <v>8.1580482712030958E-2</v>
      </c>
      <c r="AO214" s="975">
        <f t="shared" si="104"/>
        <v>0.25143554627525638</v>
      </c>
      <c r="AP214" s="365"/>
      <c r="AQ214" s="972">
        <f>+[2]Base!CS212</f>
        <v>13208.7696</v>
      </c>
      <c r="AR214" s="968">
        <f>+[2]Base!CT212</f>
        <v>33295.4784</v>
      </c>
      <c r="AS214" s="968">
        <f>+[2]Base!CU212</f>
        <v>24932.529599999998</v>
      </c>
      <c r="AT214" s="968">
        <f>+[2]Base!CV212</f>
        <v>142586.97440000001</v>
      </c>
      <c r="AU214" s="969">
        <f>+[2]Base!CW212</f>
        <v>46504.248</v>
      </c>
      <c r="AV214" s="365"/>
      <c r="AW214" s="976">
        <f t="shared" si="105"/>
        <v>5.0700000000000002E-2</v>
      </c>
      <c r="AX214" s="977">
        <f t="shared" si="105"/>
        <v>0.1278</v>
      </c>
      <c r="AY214" s="977">
        <f t="shared" si="105"/>
        <v>9.5699999999999993E-2</v>
      </c>
      <c r="AZ214" s="977">
        <f t="shared" si="105"/>
        <v>0.54730000000000001</v>
      </c>
      <c r="BA214" s="978">
        <f t="shared" si="105"/>
        <v>0.17849999999999999</v>
      </c>
      <c r="BB214" s="365"/>
      <c r="BC214" s="976">
        <f>+G214/M214</f>
        <v>0.14681727049873566</v>
      </c>
      <c r="BD214" s="978">
        <f>+N214/F214</f>
        <v>0.21889393846342811</v>
      </c>
      <c r="BG214" t="s">
        <v>2285</v>
      </c>
      <c r="BH214" t="s">
        <v>2312</v>
      </c>
    </row>
    <row r="215" spans="1:60" ht="12.75" customHeight="1" outlineLevel="1" x14ac:dyDescent="0.2">
      <c r="A215" s="570">
        <v>46174</v>
      </c>
      <c r="B215" s="708" t="str">
        <f>IF([1]RENAME!$H$3=0,A215,TEXT(A215,"[$-em-US] mmm-aa;@"))</f>
        <v xml:space="preserve"> abr-26</v>
      </c>
      <c r="C215" s="365" t="str">
        <f>IF([1]RENAME!$H$3=0,BG215,BH215)</f>
        <v>2Q26</v>
      </c>
      <c r="D215" s="366">
        <v>46174</v>
      </c>
      <c r="E215" s="967">
        <f>[2]Base!P213</f>
        <v>302208</v>
      </c>
      <c r="F215" s="968">
        <f>[2]Base!Q213</f>
        <v>265661</v>
      </c>
      <c r="G215" s="969">
        <f>[2]Base!R213</f>
        <v>36547</v>
      </c>
      <c r="H215" s="365"/>
      <c r="I215" s="967">
        <v>0</v>
      </c>
      <c r="J215" s="970">
        <v>0</v>
      </c>
      <c r="K215" s="971">
        <v>0</v>
      </c>
      <c r="L215" s="365"/>
      <c r="M215" s="972">
        <f>+[2]Base!X213</f>
        <v>239613</v>
      </c>
      <c r="N215" s="969">
        <f>+[2]Base!Y213</f>
        <v>62782</v>
      </c>
      <c r="O215" s="365"/>
      <c r="P215" s="972">
        <f>[2]Base!AB213</f>
        <v>142659.95699999999</v>
      </c>
      <c r="Q215" s="969">
        <f>[2]Base!AC213</f>
        <v>123001.04300000001</v>
      </c>
      <c r="R215" s="365"/>
      <c r="S215" s="972">
        <v>0</v>
      </c>
      <c r="T215" s="971">
        <v>0</v>
      </c>
      <c r="U215" s="365"/>
      <c r="V215" s="972">
        <f>[2]Base!AR213</f>
        <v>29190</v>
      </c>
      <c r="W215" s="968">
        <f>[2]Base!AS213</f>
        <v>41952</v>
      </c>
      <c r="X215" s="968">
        <f>[2]Base!AT213</f>
        <v>49027</v>
      </c>
      <c r="Y215" s="968">
        <f>[2]Base!AU213</f>
        <v>15287</v>
      </c>
      <c r="Z215" s="968">
        <f>[2]Base!AV213</f>
        <v>10623</v>
      </c>
      <c r="AA215" s="968">
        <f>[2]Base!AW213</f>
        <v>13266</v>
      </c>
      <c r="AB215" s="968">
        <f>[2]Base!AX213</f>
        <v>9811</v>
      </c>
      <c r="AC215" s="968">
        <f>[2]Base!AY213</f>
        <v>23531</v>
      </c>
      <c r="AD215" s="969">
        <f>[2]Base!AZ213</f>
        <v>72974</v>
      </c>
      <c r="AE215" s="365"/>
      <c r="AF215" s="366">
        <f>+D215</f>
        <v>46174</v>
      </c>
      <c r="AG215" s="973">
        <f t="shared" ref="AG215" si="106">+V215/SUM($V215:$AD215)</f>
        <v>0.10987687315789672</v>
      </c>
      <c r="AH215" s="974">
        <f t="shared" ref="AH215" si="107">+W215/SUM($V215:$AD215)</f>
        <v>0.15791553897636462</v>
      </c>
      <c r="AI215" s="974">
        <f t="shared" ref="AI215" si="108">+X215/SUM($V215:$AD215)</f>
        <v>0.18454722371744442</v>
      </c>
      <c r="AJ215" s="974">
        <f t="shared" ref="AJ215" si="109">+Y215/SUM($V215:$AD215)</f>
        <v>5.7543260019347967E-2</v>
      </c>
      <c r="AK215" s="974">
        <f t="shared" ref="AK215" si="110">+Z215/SUM($V215:$AD215)</f>
        <v>3.9987051166712466E-2</v>
      </c>
      <c r="AL215" s="974">
        <f t="shared" ref="AL215" si="111">+AA215/SUM($V215:$AD215)</f>
        <v>4.9935820462920791E-2</v>
      </c>
      <c r="AM215" s="974">
        <f t="shared" ref="AM215" si="112">+AB215/SUM($V215:$AD215)</f>
        <v>3.6930524239538361E-2</v>
      </c>
      <c r="AN215" s="974">
        <f t="shared" ref="AN215" si="113">+AC215/SUM($V215:$AD215)</f>
        <v>8.8575289560755999E-2</v>
      </c>
      <c r="AO215" s="975">
        <f t="shared" ref="AO215" si="114">+AD215/SUM($V215:$AD215)</f>
        <v>0.27468841869901867</v>
      </c>
      <c r="AP215" s="365"/>
      <c r="AQ215" s="972">
        <v>15143</v>
      </c>
      <c r="AR215" s="968">
        <v>41177</v>
      </c>
      <c r="AS215" s="968">
        <v>26035</v>
      </c>
      <c r="AT215" s="968">
        <v>137347</v>
      </c>
      <c r="AU215" s="969">
        <v>45694</v>
      </c>
      <c r="AV215" s="365"/>
      <c r="AW215" s="976">
        <f t="shared" ref="AW215" si="115">+AQ215/SUM($AQ215:$AU215)</f>
        <v>5.7058131998975116E-2</v>
      </c>
      <c r="AX215" s="977">
        <f t="shared" ref="AX215" si="116">+AR215/SUM($AQ215:$AU215)</f>
        <v>0.15515305430375739</v>
      </c>
      <c r="AY215" s="977">
        <f t="shared" ref="AY215" si="117">+AS215/SUM($AQ215:$AU215)</f>
        <v>9.8098690259084534E-2</v>
      </c>
      <c r="AZ215" s="977">
        <f t="shared" ref="AZ215" si="118">+AT215/SUM($AQ215:$AU215)</f>
        <v>0.51751721955116126</v>
      </c>
      <c r="BA215" s="978">
        <f t="shared" ref="BA215" si="119">+AU215/SUM($AQ215:$AU215)</f>
        <v>0.17217290388702167</v>
      </c>
      <c r="BB215" s="365"/>
      <c r="BC215" s="976">
        <f>+G215/M215</f>
        <v>0.15252511341204358</v>
      </c>
      <c r="BD215" s="978">
        <f>+N215/F215</f>
        <v>0.23632373588897129</v>
      </c>
      <c r="BG215" t="s">
        <v>2285</v>
      </c>
      <c r="BH215" t="s">
        <v>2312</v>
      </c>
    </row>
    <row r="216" spans="1:60" ht="12.75" customHeight="1" outlineLevel="1" x14ac:dyDescent="0.2">
      <c r="A216" s="570">
        <v>46235</v>
      </c>
      <c r="B216" s="708">
        <f>IF([1]RENAME!$H$3=0,A216,TEXT(A216,"[$-em-US] mmm-aa;@"))</f>
        <v>46235</v>
      </c>
      <c r="C216" s="365" t="str">
        <f>IF([1]RENAME!$H$3=0,BG216,BH216)</f>
        <v>3T26</v>
      </c>
      <c r="D216" s="366">
        <v>46235</v>
      </c>
      <c r="E216" s="967"/>
      <c r="F216" s="968"/>
      <c r="G216" s="969"/>
      <c r="H216" s="365"/>
      <c r="I216" s="967"/>
      <c r="J216" s="970"/>
      <c r="K216" s="971"/>
      <c r="L216" s="365"/>
      <c r="M216" s="972"/>
      <c r="N216" s="969"/>
      <c r="O216" s="365"/>
      <c r="P216" s="972"/>
      <c r="Q216" s="969"/>
      <c r="R216" s="365"/>
      <c r="S216" s="972"/>
      <c r="T216" s="971"/>
      <c r="U216" s="365"/>
      <c r="V216" s="972"/>
      <c r="W216" s="968"/>
      <c r="X216" s="968"/>
      <c r="Y216" s="968"/>
      <c r="Z216" s="968"/>
      <c r="AA216" s="968"/>
      <c r="AB216" s="968"/>
      <c r="AC216" s="968"/>
      <c r="AD216" s="969"/>
      <c r="AE216" s="365"/>
      <c r="AF216" s="366"/>
      <c r="AG216" s="973"/>
      <c r="AH216" s="974"/>
      <c r="AI216" s="974"/>
      <c r="AJ216" s="974"/>
      <c r="AK216" s="974"/>
      <c r="AL216" s="974"/>
      <c r="AM216" s="974"/>
      <c r="AN216" s="974"/>
      <c r="AO216" s="975"/>
      <c r="AP216" s="365"/>
      <c r="AQ216" s="972"/>
      <c r="AR216" s="968"/>
      <c r="AS216" s="968"/>
      <c r="AT216" s="968"/>
      <c r="AU216" s="969"/>
      <c r="AV216" s="365"/>
      <c r="AW216" s="976"/>
      <c r="AX216" s="977"/>
      <c r="AY216" s="977"/>
      <c r="AZ216" s="977"/>
      <c r="BA216" s="978"/>
      <c r="BB216" s="365"/>
      <c r="BC216" s="976"/>
      <c r="BD216" s="978"/>
      <c r="BG216" t="s">
        <v>2286</v>
      </c>
      <c r="BH216" t="s">
        <v>2313</v>
      </c>
    </row>
    <row r="217" spans="1:60" ht="12.75" customHeight="1" outlineLevel="1" x14ac:dyDescent="0.2">
      <c r="A217" s="570">
        <v>46266</v>
      </c>
      <c r="B217" s="708">
        <f>IF([1]RENAME!$H$3=0,A217,TEXT(A217,"[$-em-US] mmm-aa;@"))</f>
        <v>46266</v>
      </c>
      <c r="C217" s="365" t="str">
        <f>IF([1]RENAME!$H$3=0,BG217,BH217)</f>
        <v>3T26</v>
      </c>
      <c r="D217" s="366">
        <v>46266</v>
      </c>
      <c r="E217" s="967"/>
      <c r="F217" s="968"/>
      <c r="G217" s="969"/>
      <c r="H217" s="365"/>
      <c r="I217" s="967"/>
      <c r="J217" s="970"/>
      <c r="K217" s="971"/>
      <c r="L217" s="365"/>
      <c r="M217" s="972"/>
      <c r="N217" s="969"/>
      <c r="O217" s="365"/>
      <c r="P217" s="972"/>
      <c r="Q217" s="969"/>
      <c r="R217" s="365"/>
      <c r="S217" s="972"/>
      <c r="T217" s="971"/>
      <c r="U217" s="365"/>
      <c r="V217" s="972"/>
      <c r="W217" s="968"/>
      <c r="X217" s="968"/>
      <c r="Y217" s="968"/>
      <c r="Z217" s="968"/>
      <c r="AA217" s="968"/>
      <c r="AB217" s="968"/>
      <c r="AC217" s="968"/>
      <c r="AD217" s="969"/>
      <c r="AE217" s="365"/>
      <c r="AF217" s="366"/>
      <c r="AG217" s="973"/>
      <c r="AH217" s="974"/>
      <c r="AI217" s="974"/>
      <c r="AJ217" s="974"/>
      <c r="AK217" s="974"/>
      <c r="AL217" s="974"/>
      <c r="AM217" s="974"/>
      <c r="AN217" s="974"/>
      <c r="AO217" s="975"/>
      <c r="AP217" s="365"/>
      <c r="AQ217" s="972"/>
      <c r="AR217" s="968"/>
      <c r="AS217" s="968"/>
      <c r="AT217" s="968"/>
      <c r="AU217" s="969"/>
      <c r="AV217" s="365"/>
      <c r="AW217" s="976"/>
      <c r="AX217" s="977"/>
      <c r="AY217" s="977"/>
      <c r="AZ217" s="977"/>
      <c r="BA217" s="978"/>
      <c r="BB217" s="365"/>
      <c r="BC217" s="976"/>
      <c r="BD217" s="978"/>
      <c r="BG217" t="s">
        <v>2286</v>
      </c>
      <c r="BH217" t="s">
        <v>2313</v>
      </c>
    </row>
    <row r="218" spans="1:60" ht="12.75" customHeight="1" outlineLevel="1" x14ac:dyDescent="0.2">
      <c r="A218" s="570">
        <v>46296</v>
      </c>
      <c r="B218" s="708">
        <f>IF([1]RENAME!$H$3=0,A218,TEXT(A218,"[$-em-US] mmm-aa;@"))</f>
        <v>46296</v>
      </c>
      <c r="C218" s="365" t="str">
        <f>IF([1]RENAME!$H$3=0,BG218,BH218)</f>
        <v>4T26</v>
      </c>
      <c r="D218" s="366">
        <v>46296</v>
      </c>
      <c r="E218" s="967"/>
      <c r="F218" s="968"/>
      <c r="G218" s="969"/>
      <c r="H218" s="365"/>
      <c r="I218" s="967"/>
      <c r="J218" s="970"/>
      <c r="K218" s="971"/>
      <c r="L218" s="365"/>
      <c r="M218" s="972"/>
      <c r="N218" s="969"/>
      <c r="O218" s="365"/>
      <c r="P218" s="972"/>
      <c r="Q218" s="969"/>
      <c r="R218" s="365"/>
      <c r="S218" s="972"/>
      <c r="T218" s="971"/>
      <c r="U218" s="365"/>
      <c r="V218" s="972"/>
      <c r="W218" s="968"/>
      <c r="X218" s="968"/>
      <c r="Y218" s="968"/>
      <c r="Z218" s="968"/>
      <c r="AA218" s="968"/>
      <c r="AB218" s="968"/>
      <c r="AC218" s="968"/>
      <c r="AD218" s="969"/>
      <c r="AE218" s="365"/>
      <c r="AF218" s="366"/>
      <c r="AG218" s="973"/>
      <c r="AH218" s="974"/>
      <c r="AI218" s="974"/>
      <c r="AJ218" s="974"/>
      <c r="AK218" s="974"/>
      <c r="AL218" s="974"/>
      <c r="AM218" s="974"/>
      <c r="AN218" s="974"/>
      <c r="AO218" s="975"/>
      <c r="AP218" s="365"/>
      <c r="AQ218" s="972"/>
      <c r="AR218" s="968"/>
      <c r="AS218" s="968"/>
      <c r="AT218" s="968"/>
      <c r="AU218" s="969"/>
      <c r="AV218" s="365"/>
      <c r="AW218" s="976"/>
      <c r="AX218" s="977"/>
      <c r="AY218" s="977"/>
      <c r="AZ218" s="977"/>
      <c r="BA218" s="978"/>
      <c r="BB218" s="365"/>
      <c r="BC218" s="976"/>
      <c r="BD218" s="978"/>
      <c r="BG218" t="s">
        <v>2287</v>
      </c>
      <c r="BH218" t="s">
        <v>2314</v>
      </c>
    </row>
    <row r="219" spans="1:60" ht="12.75" customHeight="1" outlineLevel="1" x14ac:dyDescent="0.2">
      <c r="A219" s="570">
        <v>46327</v>
      </c>
      <c r="B219" s="708">
        <f>IF([1]RENAME!$H$3=0,A219,TEXT(A219,"[$-em-US] mmm-aa;@"))</f>
        <v>46327</v>
      </c>
      <c r="C219" s="365" t="str">
        <f>IF([1]RENAME!$H$3=0,BG219,BH219)</f>
        <v>4T26</v>
      </c>
      <c r="D219" s="366">
        <v>46327</v>
      </c>
      <c r="E219" s="967"/>
      <c r="F219" s="968"/>
      <c r="G219" s="969"/>
      <c r="H219" s="365"/>
      <c r="I219" s="967"/>
      <c r="J219" s="970"/>
      <c r="K219" s="971"/>
      <c r="L219" s="365"/>
      <c r="M219" s="972"/>
      <c r="N219" s="969"/>
      <c r="O219" s="365"/>
      <c r="P219" s="972"/>
      <c r="Q219" s="969"/>
      <c r="R219" s="365"/>
      <c r="S219" s="972"/>
      <c r="T219" s="971"/>
      <c r="U219" s="365"/>
      <c r="V219" s="972"/>
      <c r="W219" s="968"/>
      <c r="X219" s="968"/>
      <c r="Y219" s="968"/>
      <c r="Z219" s="968"/>
      <c r="AA219" s="968"/>
      <c r="AB219" s="968"/>
      <c r="AC219" s="968"/>
      <c r="AD219" s="969"/>
      <c r="AE219" s="365"/>
      <c r="AF219" s="366"/>
      <c r="AG219" s="973"/>
      <c r="AH219" s="974"/>
      <c r="AI219" s="974"/>
      <c r="AJ219" s="974"/>
      <c r="AK219" s="974"/>
      <c r="AL219" s="974"/>
      <c r="AM219" s="974"/>
      <c r="AN219" s="974"/>
      <c r="AO219" s="975"/>
      <c r="AP219" s="365"/>
      <c r="AQ219" s="972"/>
      <c r="AR219" s="968"/>
      <c r="AS219" s="968"/>
      <c r="AT219" s="968"/>
      <c r="AU219" s="969"/>
      <c r="AV219" s="365"/>
      <c r="AW219" s="976"/>
      <c r="AX219" s="977"/>
      <c r="AY219" s="977"/>
      <c r="AZ219" s="977"/>
      <c r="BA219" s="978"/>
      <c r="BB219" s="365"/>
      <c r="BC219" s="976"/>
      <c r="BD219" s="978"/>
      <c r="BG219" t="s">
        <v>2287</v>
      </c>
      <c r="BH219" t="s">
        <v>2314</v>
      </c>
    </row>
    <row r="220" spans="1:60" ht="12.75" customHeight="1" outlineLevel="1" x14ac:dyDescent="0.2">
      <c r="A220" s="570">
        <v>46357</v>
      </c>
      <c r="B220" s="708">
        <f>IF([1]RENAME!$H$3=0,A220,TEXT(A220,"[$-em-US] mmm-aa;@"))</f>
        <v>46357</v>
      </c>
      <c r="C220" s="365" t="str">
        <f>IF([1]RENAME!$H$3=0,BG220,BH220)</f>
        <v>4T26</v>
      </c>
      <c r="D220" s="366">
        <v>46357</v>
      </c>
      <c r="E220" s="967"/>
      <c r="F220" s="968"/>
      <c r="G220" s="969"/>
      <c r="H220" s="365"/>
      <c r="I220" s="967"/>
      <c r="J220" s="970"/>
      <c r="K220" s="971"/>
      <c r="L220" s="365"/>
      <c r="M220" s="972"/>
      <c r="N220" s="969"/>
      <c r="O220" s="365"/>
      <c r="P220" s="972"/>
      <c r="Q220" s="969"/>
      <c r="R220" s="365"/>
      <c r="S220" s="972"/>
      <c r="T220" s="971"/>
      <c r="U220" s="365"/>
      <c r="V220" s="972"/>
      <c r="W220" s="968"/>
      <c r="X220" s="968"/>
      <c r="Y220" s="968"/>
      <c r="Z220" s="968"/>
      <c r="AA220" s="968"/>
      <c r="AB220" s="968"/>
      <c r="AC220" s="968"/>
      <c r="AD220" s="969"/>
      <c r="AE220" s="365"/>
      <c r="AF220" s="366"/>
      <c r="AG220" s="973"/>
      <c r="AH220" s="974"/>
      <c r="AI220" s="974"/>
      <c r="AJ220" s="974"/>
      <c r="AK220" s="974"/>
      <c r="AL220" s="974"/>
      <c r="AM220" s="974"/>
      <c r="AN220" s="974"/>
      <c r="AO220" s="975"/>
      <c r="AP220" s="365"/>
      <c r="AQ220" s="972"/>
      <c r="AR220" s="968"/>
      <c r="AS220" s="968"/>
      <c r="AT220" s="968"/>
      <c r="AU220" s="969"/>
      <c r="AV220" s="365"/>
      <c r="AW220" s="976"/>
      <c r="AX220" s="977"/>
      <c r="AY220" s="977"/>
      <c r="AZ220" s="977"/>
      <c r="BA220" s="978"/>
      <c r="BB220" s="365"/>
      <c r="BC220" s="976"/>
      <c r="BD220" s="978"/>
      <c r="BG220" t="s">
        <v>2287</v>
      </c>
      <c r="BH220" t="s">
        <v>2314</v>
      </c>
    </row>
    <row r="221" spans="1:60" ht="12.75" customHeight="1" outlineLevel="1" x14ac:dyDescent="0.2">
      <c r="A221" s="570"/>
      <c r="B221" s="708"/>
      <c r="C221" s="365"/>
      <c r="D221" s="366">
        <v>46388</v>
      </c>
      <c r="E221" s="967"/>
      <c r="F221" s="968"/>
      <c r="G221" s="969"/>
      <c r="H221" s="365"/>
      <c r="I221" s="967"/>
      <c r="J221" s="970"/>
      <c r="K221" s="971"/>
      <c r="L221" s="365"/>
      <c r="M221" s="972"/>
      <c r="N221" s="969"/>
      <c r="O221" s="365"/>
      <c r="P221" s="972"/>
      <c r="Q221" s="969"/>
      <c r="R221" s="365"/>
      <c r="S221" s="972"/>
      <c r="T221" s="971"/>
      <c r="U221" s="365"/>
      <c r="V221" s="972"/>
      <c r="W221" s="968"/>
      <c r="X221" s="968"/>
      <c r="Y221" s="968"/>
      <c r="Z221" s="968"/>
      <c r="AA221" s="968"/>
      <c r="AB221" s="968"/>
      <c r="AC221" s="968"/>
      <c r="AD221" s="969"/>
      <c r="AE221" s="365"/>
      <c r="AF221" s="366"/>
      <c r="AG221" s="973"/>
      <c r="AH221" s="974"/>
      <c r="AI221" s="974"/>
      <c r="AJ221" s="974"/>
      <c r="AK221" s="974"/>
      <c r="AL221" s="974"/>
      <c r="AM221" s="974"/>
      <c r="AN221" s="974"/>
      <c r="AO221" s="975"/>
      <c r="AP221" s="365"/>
      <c r="AQ221" s="972"/>
      <c r="AR221" s="968"/>
      <c r="AS221" s="968"/>
      <c r="AT221" s="968"/>
      <c r="AU221" s="969"/>
      <c r="AV221" s="365"/>
      <c r="AW221" s="976"/>
      <c r="AX221" s="977"/>
      <c r="AY221" s="977"/>
      <c r="AZ221" s="977"/>
      <c r="BA221" s="978"/>
      <c r="BB221" s="365"/>
      <c r="BC221" s="976"/>
      <c r="BD221" s="978"/>
    </row>
    <row r="222" spans="1:60" ht="12.75" customHeight="1" x14ac:dyDescent="0.2">
      <c r="A222" s="376"/>
      <c r="B222" s="376"/>
      <c r="C222" s="365"/>
      <c r="D222" s="366"/>
      <c r="E222" s="434"/>
      <c r="F222" s="365"/>
      <c r="G222" s="435"/>
      <c r="H222" s="365"/>
      <c r="I222" s="434"/>
      <c r="J222" s="365"/>
      <c r="K222" s="435"/>
      <c r="L222" s="365"/>
      <c r="M222" s="436"/>
      <c r="N222" s="435"/>
      <c r="O222" s="365"/>
      <c r="P222" s="436"/>
      <c r="Q222" s="435"/>
      <c r="R222" s="365"/>
      <c r="S222" s="436"/>
      <c r="T222" s="435"/>
      <c r="U222" s="365"/>
      <c r="V222" s="436"/>
      <c r="W222" s="365"/>
      <c r="X222" s="365"/>
      <c r="Y222" s="365"/>
      <c r="Z222" s="365"/>
      <c r="AA222" s="365"/>
      <c r="AB222" s="365"/>
      <c r="AC222" s="365"/>
      <c r="AD222" s="435"/>
      <c r="AE222" s="365"/>
      <c r="AF222" s="366"/>
      <c r="AG222" s="437"/>
      <c r="AH222" s="438"/>
      <c r="AI222" s="438"/>
      <c r="AJ222" s="438"/>
      <c r="AK222" s="438"/>
      <c r="AL222" s="438"/>
      <c r="AM222" s="438"/>
      <c r="AN222" s="438"/>
      <c r="AO222" s="439"/>
      <c r="AP222" s="365"/>
      <c r="AQ222" s="436"/>
      <c r="AR222" s="365"/>
      <c r="AS222" s="365"/>
      <c r="AT222" s="365"/>
      <c r="AU222" s="435"/>
      <c r="AV222" s="365"/>
      <c r="AW222" s="436"/>
      <c r="AX222" s="365"/>
      <c r="AY222" s="365"/>
      <c r="AZ222" s="365"/>
      <c r="BA222" s="435"/>
      <c r="BB222" s="365"/>
      <c r="BC222" s="436"/>
      <c r="BD222" s="435"/>
    </row>
    <row r="223" spans="1:60" ht="12.75" customHeight="1" outlineLevel="1" x14ac:dyDescent="0.2">
      <c r="A223" s="365" t="s">
        <v>615</v>
      </c>
      <c r="B223" s="365" t="str">
        <f t="shared" ref="B223:B262" si="120">SUBSTITUTE(A223,"T","Q")</f>
        <v>1Q09</v>
      </c>
      <c r="C223" s="365"/>
      <c r="D223" s="440" t="str">
        <f>IF([1]RENAME!$H$3=1,B223,A223)</f>
        <v>1T09</v>
      </c>
      <c r="E223" s="403">
        <f>+SUMIFS('Dados Mercado'!E:E,'Dados Mercado'!$C:$C,$D223)</f>
        <v>771945</v>
      </c>
      <c r="F223" s="404">
        <f>+SUMIFS('Dados Mercado'!F:F,'Dados Mercado'!$C:$C,$D223)</f>
        <v>642003</v>
      </c>
      <c r="G223" s="406">
        <f>+SUMIFS('Dados Mercado'!G:G,'Dados Mercado'!$C:$C,$D223)</f>
        <v>129942</v>
      </c>
      <c r="H223" s="368"/>
      <c r="I223" s="407" t="s">
        <v>160</v>
      </c>
      <c r="J223" s="404" t="s">
        <v>160</v>
      </c>
      <c r="K223" s="406" t="s">
        <v>160</v>
      </c>
      <c r="L223" s="368"/>
      <c r="M223" s="407">
        <f>+SUMIFS('Dados Mercado'!M:M,'Dados Mercado'!$C:$C,$D223)</f>
        <v>0</v>
      </c>
      <c r="N223" s="406">
        <f>+SUMIFS('Dados Mercado'!N:N,'Dados Mercado'!$C:$C,$D223)</f>
        <v>0</v>
      </c>
      <c r="O223" s="368"/>
      <c r="P223" s="407" t="s">
        <v>160</v>
      </c>
      <c r="Q223" s="406" t="s">
        <v>160</v>
      </c>
      <c r="R223" s="368"/>
      <c r="S223" s="407" t="s">
        <v>160</v>
      </c>
      <c r="T223" s="406" t="s">
        <v>160</v>
      </c>
      <c r="U223" s="368"/>
      <c r="V223" s="407" t="s">
        <v>160</v>
      </c>
      <c r="W223" s="404" t="s">
        <v>160</v>
      </c>
      <c r="X223" s="404" t="s">
        <v>160</v>
      </c>
      <c r="Y223" s="404" t="s">
        <v>160</v>
      </c>
      <c r="Z223" s="404" t="s">
        <v>160</v>
      </c>
      <c r="AA223" s="404" t="s">
        <v>160</v>
      </c>
      <c r="AB223" s="404" t="s">
        <v>160</v>
      </c>
      <c r="AC223" s="404"/>
      <c r="AD223" s="406" t="s">
        <v>160</v>
      </c>
      <c r="AE223" s="368"/>
      <c r="AF223" s="440" t="str">
        <f>IF([1]RENAME!$H$3=1,B223,A223)</f>
        <v>1T09</v>
      </c>
      <c r="AG223" s="441" t="s">
        <v>160</v>
      </c>
      <c r="AH223" s="442" t="s">
        <v>160</v>
      </c>
      <c r="AI223" s="442" t="s">
        <v>160</v>
      </c>
      <c r="AJ223" s="442" t="s">
        <v>160</v>
      </c>
      <c r="AK223" s="442" t="s">
        <v>160</v>
      </c>
      <c r="AL223" s="442" t="s">
        <v>160</v>
      </c>
      <c r="AM223" s="442" t="s">
        <v>160</v>
      </c>
      <c r="AN223" s="671" t="s">
        <v>160</v>
      </c>
      <c r="AO223" s="443" t="s">
        <v>160</v>
      </c>
      <c r="AP223" s="368"/>
      <c r="AQ223" s="444" t="s">
        <v>160</v>
      </c>
      <c r="AR223" s="445" t="s">
        <v>160</v>
      </c>
      <c r="AS223" s="445" t="s">
        <v>160</v>
      </c>
      <c r="AT223" s="445" t="s">
        <v>160</v>
      </c>
      <c r="AU223" s="446" t="s">
        <v>160</v>
      </c>
      <c r="AV223" s="365"/>
      <c r="AW223" s="444" t="s">
        <v>160</v>
      </c>
      <c r="AX223" s="445" t="s">
        <v>160</v>
      </c>
      <c r="AY223" s="445" t="s">
        <v>160</v>
      </c>
      <c r="AZ223" s="445" t="s">
        <v>160</v>
      </c>
      <c r="BA223" s="446" t="s">
        <v>160</v>
      </c>
      <c r="BB223" s="365"/>
      <c r="BC223" s="444" t="s">
        <v>160</v>
      </c>
      <c r="BD223" s="446" t="s">
        <v>160</v>
      </c>
    </row>
    <row r="224" spans="1:60" ht="12.75" customHeight="1" outlineLevel="1" x14ac:dyDescent="0.2">
      <c r="A224" s="365" t="s">
        <v>616</v>
      </c>
      <c r="B224" s="365" t="str">
        <f t="shared" si="120"/>
        <v>2Q09</v>
      </c>
      <c r="C224" s="365"/>
      <c r="D224" s="447" t="str">
        <f>IF([1]RENAME!$H$3=1,B224,A224)</f>
        <v>2T09</v>
      </c>
      <c r="E224" s="403">
        <f>+SUMIFS('Dados Mercado'!E:E,'Dados Mercado'!$C:$C,$D224)</f>
        <v>887898</v>
      </c>
      <c r="F224" s="404">
        <f>+SUMIFS('Dados Mercado'!F:F,'Dados Mercado'!$C:$C,$D224)</f>
        <v>751567</v>
      </c>
      <c r="G224" s="406">
        <f>+SUMIFS('Dados Mercado'!G:G,'Dados Mercado'!$C:$C,$D224)</f>
        <v>136331</v>
      </c>
      <c r="H224" s="368"/>
      <c r="I224" s="407" t="s">
        <v>160</v>
      </c>
      <c r="J224" s="404" t="s">
        <v>160</v>
      </c>
      <c r="K224" s="406" t="s">
        <v>160</v>
      </c>
      <c r="L224" s="368"/>
      <c r="M224" s="407">
        <f>+SUMIFS('Dados Mercado'!M:M,'Dados Mercado'!$C:$C,$D224)</f>
        <v>0</v>
      </c>
      <c r="N224" s="406">
        <f>+SUMIFS('Dados Mercado'!N:N,'Dados Mercado'!$C:$C,$D224)</f>
        <v>0</v>
      </c>
      <c r="O224" s="368"/>
      <c r="P224" s="407" t="s">
        <v>160</v>
      </c>
      <c r="Q224" s="406" t="s">
        <v>160</v>
      </c>
      <c r="R224" s="368"/>
      <c r="S224" s="407" t="s">
        <v>160</v>
      </c>
      <c r="T224" s="406" t="s">
        <v>160</v>
      </c>
      <c r="U224" s="368"/>
      <c r="V224" s="407" t="s">
        <v>160</v>
      </c>
      <c r="W224" s="404" t="s">
        <v>160</v>
      </c>
      <c r="X224" s="404" t="s">
        <v>160</v>
      </c>
      <c r="Y224" s="404" t="s">
        <v>160</v>
      </c>
      <c r="Z224" s="404" t="s">
        <v>160</v>
      </c>
      <c r="AA224" s="404" t="s">
        <v>160</v>
      </c>
      <c r="AB224" s="404" t="s">
        <v>160</v>
      </c>
      <c r="AC224" s="404"/>
      <c r="AD224" s="406" t="s">
        <v>160</v>
      </c>
      <c r="AE224" s="368"/>
      <c r="AF224" s="447" t="str">
        <f>IF([1]RENAME!$H$3=1,B224,A224)</f>
        <v>2T09</v>
      </c>
      <c r="AG224" s="441" t="s">
        <v>160</v>
      </c>
      <c r="AH224" s="442" t="s">
        <v>160</v>
      </c>
      <c r="AI224" s="442" t="s">
        <v>160</v>
      </c>
      <c r="AJ224" s="442" t="s">
        <v>160</v>
      </c>
      <c r="AK224" s="442" t="s">
        <v>160</v>
      </c>
      <c r="AL224" s="442" t="s">
        <v>160</v>
      </c>
      <c r="AM224" s="442" t="s">
        <v>160</v>
      </c>
      <c r="AN224" s="671" t="s">
        <v>160</v>
      </c>
      <c r="AO224" s="443" t="s">
        <v>160</v>
      </c>
      <c r="AP224" s="368"/>
      <c r="AQ224" s="444" t="s">
        <v>160</v>
      </c>
      <c r="AR224" s="445" t="s">
        <v>160</v>
      </c>
      <c r="AS224" s="445" t="s">
        <v>160</v>
      </c>
      <c r="AT224" s="445" t="s">
        <v>160</v>
      </c>
      <c r="AU224" s="446" t="s">
        <v>160</v>
      </c>
      <c r="AV224" s="365"/>
      <c r="AW224" s="444" t="s">
        <v>160</v>
      </c>
      <c r="AX224" s="445" t="s">
        <v>160</v>
      </c>
      <c r="AY224" s="445" t="s">
        <v>160</v>
      </c>
      <c r="AZ224" s="445" t="s">
        <v>160</v>
      </c>
      <c r="BA224" s="446" t="s">
        <v>160</v>
      </c>
      <c r="BB224" s="365"/>
      <c r="BC224" s="444" t="s">
        <v>160</v>
      </c>
      <c r="BD224" s="446" t="s">
        <v>160</v>
      </c>
    </row>
    <row r="225" spans="1:56" ht="12.75" customHeight="1" outlineLevel="1" x14ac:dyDescent="0.2">
      <c r="A225" s="365" t="s">
        <v>617</v>
      </c>
      <c r="B225" s="365" t="str">
        <f t="shared" si="120"/>
        <v>3Q09</v>
      </c>
      <c r="C225" s="365"/>
      <c r="D225" s="440" t="str">
        <f>IF([1]RENAME!$H$3=1,B225,A225)</f>
        <v>3T09</v>
      </c>
      <c r="E225" s="403">
        <f>+SUMIFS('Dados Mercado'!E:E,'Dados Mercado'!$C:$C,$D225)</f>
        <v>955904</v>
      </c>
      <c r="F225" s="404">
        <f>+SUMIFS('Dados Mercado'!F:F,'Dados Mercado'!$C:$C,$D225)</f>
        <v>817772</v>
      </c>
      <c r="G225" s="406">
        <f>+SUMIFS('Dados Mercado'!G:G,'Dados Mercado'!$C:$C,$D225)</f>
        <v>138132</v>
      </c>
      <c r="H225" s="368"/>
      <c r="I225" s="407" t="s">
        <v>160</v>
      </c>
      <c r="J225" s="404" t="s">
        <v>160</v>
      </c>
      <c r="K225" s="406" t="s">
        <v>160</v>
      </c>
      <c r="L225" s="368"/>
      <c r="M225" s="407">
        <f>+SUMIFS('Dados Mercado'!M:M,'Dados Mercado'!$C:$C,$D225)</f>
        <v>0</v>
      </c>
      <c r="N225" s="406">
        <f>+SUMIFS('Dados Mercado'!N:N,'Dados Mercado'!$C:$C,$D225)</f>
        <v>0</v>
      </c>
      <c r="O225" s="368"/>
      <c r="P225" s="407" t="s">
        <v>160</v>
      </c>
      <c r="Q225" s="406" t="s">
        <v>160</v>
      </c>
      <c r="R225" s="368"/>
      <c r="S225" s="407" t="s">
        <v>160</v>
      </c>
      <c r="T225" s="406" t="s">
        <v>160</v>
      </c>
      <c r="U225" s="368"/>
      <c r="V225" s="407" t="s">
        <v>160</v>
      </c>
      <c r="W225" s="404" t="s">
        <v>160</v>
      </c>
      <c r="X225" s="404" t="s">
        <v>160</v>
      </c>
      <c r="Y225" s="404" t="s">
        <v>160</v>
      </c>
      <c r="Z225" s="404" t="s">
        <v>160</v>
      </c>
      <c r="AA225" s="404" t="s">
        <v>160</v>
      </c>
      <c r="AB225" s="404" t="s">
        <v>160</v>
      </c>
      <c r="AC225" s="404"/>
      <c r="AD225" s="406" t="s">
        <v>160</v>
      </c>
      <c r="AE225" s="368"/>
      <c r="AF225" s="440" t="str">
        <f>IF([1]RENAME!$H$3=1,B225,A225)</f>
        <v>3T09</v>
      </c>
      <c r="AG225" s="441" t="s">
        <v>160</v>
      </c>
      <c r="AH225" s="442" t="s">
        <v>160</v>
      </c>
      <c r="AI225" s="442" t="s">
        <v>160</v>
      </c>
      <c r="AJ225" s="442" t="s">
        <v>160</v>
      </c>
      <c r="AK225" s="442" t="s">
        <v>160</v>
      </c>
      <c r="AL225" s="442" t="s">
        <v>160</v>
      </c>
      <c r="AM225" s="442" t="s">
        <v>160</v>
      </c>
      <c r="AN225" s="671" t="s">
        <v>160</v>
      </c>
      <c r="AO225" s="443" t="s">
        <v>160</v>
      </c>
      <c r="AP225" s="368"/>
      <c r="AQ225" s="444" t="s">
        <v>160</v>
      </c>
      <c r="AR225" s="445" t="s">
        <v>160</v>
      </c>
      <c r="AS225" s="445" t="s">
        <v>160</v>
      </c>
      <c r="AT225" s="445" t="s">
        <v>160</v>
      </c>
      <c r="AU225" s="446" t="s">
        <v>160</v>
      </c>
      <c r="AV225" s="365"/>
      <c r="AW225" s="444" t="s">
        <v>160</v>
      </c>
      <c r="AX225" s="445" t="s">
        <v>160</v>
      </c>
      <c r="AY225" s="445" t="s">
        <v>160</v>
      </c>
      <c r="AZ225" s="445" t="s">
        <v>160</v>
      </c>
      <c r="BA225" s="446" t="s">
        <v>160</v>
      </c>
      <c r="BB225" s="365"/>
      <c r="BC225" s="444" t="s">
        <v>160</v>
      </c>
      <c r="BD225" s="446" t="s">
        <v>160</v>
      </c>
    </row>
    <row r="226" spans="1:56" ht="12.75" customHeight="1" outlineLevel="1" x14ac:dyDescent="0.2">
      <c r="A226" s="365" t="s">
        <v>618</v>
      </c>
      <c r="B226" s="365" t="str">
        <f t="shared" si="120"/>
        <v>4Q09</v>
      </c>
      <c r="C226" s="365"/>
      <c r="D226" s="447" t="str">
        <f>IF([1]RENAME!$H$3=1,B226,A226)</f>
        <v>4T09</v>
      </c>
      <c r="E226" s="403">
        <f>+SUMIFS('Dados Mercado'!E:E,'Dados Mercado'!$C:$C,$D226)</f>
        <v>917154</v>
      </c>
      <c r="F226" s="404">
        <f>+SUMIFS('Dados Mercado'!F:F,'Dados Mercado'!$C:$C,$D226)</f>
        <v>797525</v>
      </c>
      <c r="G226" s="406">
        <f>+SUMIFS('Dados Mercado'!G:G,'Dados Mercado'!$C:$C,$D226)</f>
        <v>119629</v>
      </c>
      <c r="H226" s="368"/>
      <c r="I226" s="407" t="s">
        <v>160</v>
      </c>
      <c r="J226" s="404" t="s">
        <v>160</v>
      </c>
      <c r="K226" s="406" t="s">
        <v>160</v>
      </c>
      <c r="L226" s="368"/>
      <c r="M226" s="407">
        <f>+SUMIFS('Dados Mercado'!M:M,'Dados Mercado'!$C:$C,$D226)</f>
        <v>0</v>
      </c>
      <c r="N226" s="406">
        <f>+SUMIFS('Dados Mercado'!N:N,'Dados Mercado'!$C:$C,$D226)</f>
        <v>0</v>
      </c>
      <c r="O226" s="368"/>
      <c r="P226" s="407" t="s">
        <v>160</v>
      </c>
      <c r="Q226" s="406" t="s">
        <v>160</v>
      </c>
      <c r="R226" s="368"/>
      <c r="S226" s="407" t="s">
        <v>160</v>
      </c>
      <c r="T226" s="406" t="s">
        <v>160</v>
      </c>
      <c r="U226" s="368"/>
      <c r="V226" s="407" t="s">
        <v>160</v>
      </c>
      <c r="W226" s="404" t="s">
        <v>160</v>
      </c>
      <c r="X226" s="404" t="s">
        <v>160</v>
      </c>
      <c r="Y226" s="404" t="s">
        <v>160</v>
      </c>
      <c r="Z226" s="404" t="s">
        <v>160</v>
      </c>
      <c r="AA226" s="404" t="s">
        <v>160</v>
      </c>
      <c r="AB226" s="404" t="s">
        <v>160</v>
      </c>
      <c r="AC226" s="404"/>
      <c r="AD226" s="406" t="s">
        <v>160</v>
      </c>
      <c r="AE226" s="368"/>
      <c r="AF226" s="447" t="str">
        <f>IF([1]RENAME!$H$3=1,B226,A226)</f>
        <v>4T09</v>
      </c>
      <c r="AG226" s="441" t="s">
        <v>160</v>
      </c>
      <c r="AH226" s="442" t="s">
        <v>160</v>
      </c>
      <c r="AI226" s="442" t="s">
        <v>160</v>
      </c>
      <c r="AJ226" s="442" t="s">
        <v>160</v>
      </c>
      <c r="AK226" s="442" t="s">
        <v>160</v>
      </c>
      <c r="AL226" s="442" t="s">
        <v>160</v>
      </c>
      <c r="AM226" s="442" t="s">
        <v>160</v>
      </c>
      <c r="AN226" s="671" t="s">
        <v>160</v>
      </c>
      <c r="AO226" s="443" t="s">
        <v>160</v>
      </c>
      <c r="AP226" s="368"/>
      <c r="AQ226" s="444" t="s">
        <v>160</v>
      </c>
      <c r="AR226" s="445" t="s">
        <v>160</v>
      </c>
      <c r="AS226" s="445" t="s">
        <v>160</v>
      </c>
      <c r="AT226" s="445" t="s">
        <v>160</v>
      </c>
      <c r="AU226" s="446" t="s">
        <v>160</v>
      </c>
      <c r="AV226" s="365"/>
      <c r="AW226" s="444" t="s">
        <v>160</v>
      </c>
      <c r="AX226" s="445" t="s">
        <v>160</v>
      </c>
      <c r="AY226" s="445" t="s">
        <v>160</v>
      </c>
      <c r="AZ226" s="445" t="s">
        <v>160</v>
      </c>
      <c r="BA226" s="446" t="s">
        <v>160</v>
      </c>
      <c r="BB226" s="365"/>
      <c r="BC226" s="410" t="s">
        <v>160</v>
      </c>
      <c r="BD226" s="411" t="s">
        <v>160</v>
      </c>
    </row>
    <row r="227" spans="1:56" ht="12.75" customHeight="1" outlineLevel="1" x14ac:dyDescent="0.2">
      <c r="A227" s="365" t="s">
        <v>619</v>
      </c>
      <c r="B227" s="365" t="str">
        <f t="shared" si="120"/>
        <v>1Q10</v>
      </c>
      <c r="C227" s="365"/>
      <c r="D227" s="440" t="str">
        <f>IF([1]RENAME!$H$3=1,B227,A227)</f>
        <v>1T10</v>
      </c>
      <c r="E227" s="403">
        <f>+SUMIFS('Dados Mercado'!E:E,'Dados Mercado'!$C:$C,$D227)</f>
        <v>813329</v>
      </c>
      <c r="F227" s="404">
        <f>+SUMIFS('Dados Mercado'!F:F,'Dados Mercado'!$C:$C,$D227)</f>
        <v>750419</v>
      </c>
      <c r="G227" s="406">
        <f>+SUMIFS('Dados Mercado'!G:G,'Dados Mercado'!$C:$C,$D227)</f>
        <v>62910</v>
      </c>
      <c r="H227" s="368"/>
      <c r="I227" s="407" t="s">
        <v>160</v>
      </c>
      <c r="J227" s="404" t="s">
        <v>160</v>
      </c>
      <c r="K227" s="406" t="s">
        <v>160</v>
      </c>
      <c r="L227" s="368"/>
      <c r="M227" s="407">
        <f>+SUMIFS('Dados Mercado'!M:M,'Dados Mercado'!$C:$C,$D227)</f>
        <v>736752</v>
      </c>
      <c r="N227" s="406">
        <f>+SUMIFS('Dados Mercado'!N:N,'Dados Mercado'!$C:$C,$D227)</f>
        <v>0</v>
      </c>
      <c r="O227" s="368"/>
      <c r="P227" s="407" t="s">
        <v>160</v>
      </c>
      <c r="Q227" s="406" t="s">
        <v>160</v>
      </c>
      <c r="R227" s="368"/>
      <c r="S227" s="407" t="s">
        <v>160</v>
      </c>
      <c r="T227" s="406" t="s">
        <v>160</v>
      </c>
      <c r="U227" s="368"/>
      <c r="V227" s="407" t="s">
        <v>160</v>
      </c>
      <c r="W227" s="404" t="s">
        <v>160</v>
      </c>
      <c r="X227" s="404" t="s">
        <v>160</v>
      </c>
      <c r="Y227" s="404" t="s">
        <v>160</v>
      </c>
      <c r="Z227" s="404" t="s">
        <v>160</v>
      </c>
      <c r="AA227" s="404" t="s">
        <v>160</v>
      </c>
      <c r="AB227" s="404" t="s">
        <v>160</v>
      </c>
      <c r="AC227" s="404"/>
      <c r="AD227" s="406" t="s">
        <v>160</v>
      </c>
      <c r="AE227" s="368"/>
      <c r="AF227" s="440" t="str">
        <f>IF([1]RENAME!$H$3=1,B227,A227)</f>
        <v>1T10</v>
      </c>
      <c r="AG227" s="441" t="s">
        <v>160</v>
      </c>
      <c r="AH227" s="442" t="s">
        <v>160</v>
      </c>
      <c r="AI227" s="442" t="s">
        <v>160</v>
      </c>
      <c r="AJ227" s="442" t="s">
        <v>160</v>
      </c>
      <c r="AK227" s="442" t="s">
        <v>160</v>
      </c>
      <c r="AL227" s="442" t="s">
        <v>160</v>
      </c>
      <c r="AM227" s="442" t="s">
        <v>160</v>
      </c>
      <c r="AN227" s="671" t="s">
        <v>160</v>
      </c>
      <c r="AO227" s="443" t="s">
        <v>160</v>
      </c>
      <c r="AP227" s="368"/>
      <c r="AQ227" s="444" t="s">
        <v>160</v>
      </c>
      <c r="AR227" s="445" t="s">
        <v>160</v>
      </c>
      <c r="AS227" s="445" t="s">
        <v>160</v>
      </c>
      <c r="AT227" s="445" t="s">
        <v>160</v>
      </c>
      <c r="AU227" s="446" t="s">
        <v>160</v>
      </c>
      <c r="AV227" s="365"/>
      <c r="AW227" s="444" t="s">
        <v>160</v>
      </c>
      <c r="AX227" s="445" t="s">
        <v>160</v>
      </c>
      <c r="AY227" s="445" t="s">
        <v>160</v>
      </c>
      <c r="AZ227" s="445" t="s">
        <v>160</v>
      </c>
      <c r="BA227" s="446" t="s">
        <v>160</v>
      </c>
      <c r="BB227" s="365"/>
      <c r="BC227" s="410">
        <f t="shared" ref="BC227:BC258" si="121">+G227/M227</f>
        <v>8.5388298911981242E-2</v>
      </c>
      <c r="BD227" s="411" t="s">
        <v>160</v>
      </c>
    </row>
    <row r="228" spans="1:56" ht="12.75" customHeight="1" outlineLevel="1" x14ac:dyDescent="0.2">
      <c r="A228" s="365" t="s">
        <v>620</v>
      </c>
      <c r="B228" s="365" t="str">
        <f t="shared" si="120"/>
        <v>2Q10</v>
      </c>
      <c r="C228" s="365"/>
      <c r="D228" s="447" t="str">
        <f>IF([1]RENAME!$H$3=1,B228,A228)</f>
        <v>2T10</v>
      </c>
      <c r="E228" s="403">
        <f>+SUMIFS('Dados Mercado'!E:E,'Dados Mercado'!$C:$C,$D228)</f>
        <v>831373</v>
      </c>
      <c r="F228" s="404">
        <f>+SUMIFS('Dados Mercado'!F:F,'Dados Mercado'!$C:$C,$D228)</f>
        <v>745109</v>
      </c>
      <c r="G228" s="406">
        <f>+SUMIFS('Dados Mercado'!G:G,'Dados Mercado'!$C:$C,$D228)</f>
        <v>86264</v>
      </c>
      <c r="H228" s="368"/>
      <c r="I228" s="407" t="s">
        <v>160</v>
      </c>
      <c r="J228" s="404" t="s">
        <v>160</v>
      </c>
      <c r="K228" s="406" t="s">
        <v>160</v>
      </c>
      <c r="L228" s="368"/>
      <c r="M228" s="407">
        <f>+SUMIFS('Dados Mercado'!M:M,'Dados Mercado'!$C:$C,$D228)</f>
        <v>797640</v>
      </c>
      <c r="N228" s="406">
        <f>+SUMIFS('Dados Mercado'!N:N,'Dados Mercado'!$C:$C,$D228)</f>
        <v>0</v>
      </c>
      <c r="O228" s="368"/>
      <c r="P228" s="407" t="s">
        <v>160</v>
      </c>
      <c r="Q228" s="406" t="s">
        <v>160</v>
      </c>
      <c r="R228" s="368"/>
      <c r="S228" s="407" t="s">
        <v>160</v>
      </c>
      <c r="T228" s="406" t="s">
        <v>160</v>
      </c>
      <c r="U228" s="368"/>
      <c r="V228" s="407" t="s">
        <v>160</v>
      </c>
      <c r="W228" s="404" t="s">
        <v>160</v>
      </c>
      <c r="X228" s="404" t="s">
        <v>160</v>
      </c>
      <c r="Y228" s="404" t="s">
        <v>160</v>
      </c>
      <c r="Z228" s="404" t="s">
        <v>160</v>
      </c>
      <c r="AA228" s="404" t="s">
        <v>160</v>
      </c>
      <c r="AB228" s="404" t="s">
        <v>160</v>
      </c>
      <c r="AC228" s="404"/>
      <c r="AD228" s="406" t="s">
        <v>160</v>
      </c>
      <c r="AE228" s="368"/>
      <c r="AF228" s="447" t="str">
        <f>IF([1]RENAME!$H$3=1,B228,A228)</f>
        <v>2T10</v>
      </c>
      <c r="AG228" s="441" t="s">
        <v>160</v>
      </c>
      <c r="AH228" s="442" t="s">
        <v>160</v>
      </c>
      <c r="AI228" s="442" t="s">
        <v>160</v>
      </c>
      <c r="AJ228" s="442" t="s">
        <v>160</v>
      </c>
      <c r="AK228" s="442" t="s">
        <v>160</v>
      </c>
      <c r="AL228" s="442" t="s">
        <v>160</v>
      </c>
      <c r="AM228" s="442" t="s">
        <v>160</v>
      </c>
      <c r="AN228" s="671" t="s">
        <v>160</v>
      </c>
      <c r="AO228" s="443" t="s">
        <v>160</v>
      </c>
      <c r="AP228" s="368"/>
      <c r="AQ228" s="444" t="s">
        <v>160</v>
      </c>
      <c r="AR228" s="445" t="s">
        <v>160</v>
      </c>
      <c r="AS228" s="445" t="s">
        <v>160</v>
      </c>
      <c r="AT228" s="445" t="s">
        <v>160</v>
      </c>
      <c r="AU228" s="446" t="s">
        <v>160</v>
      </c>
      <c r="AV228" s="365"/>
      <c r="AW228" s="444" t="s">
        <v>160</v>
      </c>
      <c r="AX228" s="445" t="s">
        <v>160</v>
      </c>
      <c r="AY228" s="445" t="s">
        <v>160</v>
      </c>
      <c r="AZ228" s="445" t="s">
        <v>160</v>
      </c>
      <c r="BA228" s="446" t="s">
        <v>160</v>
      </c>
      <c r="BB228" s="365"/>
      <c r="BC228" s="410">
        <f t="shared" si="121"/>
        <v>0.10814903966701771</v>
      </c>
      <c r="BD228" s="411" t="s">
        <v>160</v>
      </c>
    </row>
    <row r="229" spans="1:56" ht="12.75" customHeight="1" outlineLevel="1" x14ac:dyDescent="0.2">
      <c r="A229" s="365" t="s">
        <v>621</v>
      </c>
      <c r="B229" s="365" t="str">
        <f t="shared" si="120"/>
        <v>3Q10</v>
      </c>
      <c r="C229" s="365"/>
      <c r="D229" s="440" t="str">
        <f>IF([1]RENAME!$H$3=1,B229,A229)</f>
        <v>3T10</v>
      </c>
      <c r="E229" s="403">
        <f>+SUMIFS('Dados Mercado'!E:E,'Dados Mercado'!$C:$C,$D229)</f>
        <v>961067</v>
      </c>
      <c r="F229" s="404">
        <f>+SUMIFS('Dados Mercado'!F:F,'Dados Mercado'!$C:$C,$D229)</f>
        <v>873265</v>
      </c>
      <c r="G229" s="406">
        <f>+SUMIFS('Dados Mercado'!G:G,'Dados Mercado'!$C:$C,$D229)</f>
        <v>87802</v>
      </c>
      <c r="H229" s="368"/>
      <c r="I229" s="407" t="s">
        <v>160</v>
      </c>
      <c r="J229" s="404" t="s">
        <v>160</v>
      </c>
      <c r="K229" s="406" t="s">
        <v>160</v>
      </c>
      <c r="L229" s="368"/>
      <c r="M229" s="407">
        <f>+SUMIFS('Dados Mercado'!M:M,'Dados Mercado'!$C:$C,$D229)</f>
        <v>814547</v>
      </c>
      <c r="N229" s="406">
        <f>+SUMIFS('Dados Mercado'!N:N,'Dados Mercado'!$C:$C,$D229)</f>
        <v>0</v>
      </c>
      <c r="O229" s="368"/>
      <c r="P229" s="407" t="s">
        <v>160</v>
      </c>
      <c r="Q229" s="406" t="s">
        <v>160</v>
      </c>
      <c r="R229" s="368"/>
      <c r="S229" s="407" t="s">
        <v>160</v>
      </c>
      <c r="T229" s="406" t="s">
        <v>160</v>
      </c>
      <c r="U229" s="368"/>
      <c r="V229" s="407" t="s">
        <v>160</v>
      </c>
      <c r="W229" s="404" t="s">
        <v>160</v>
      </c>
      <c r="X229" s="404" t="s">
        <v>160</v>
      </c>
      <c r="Y229" s="404" t="s">
        <v>160</v>
      </c>
      <c r="Z229" s="404" t="s">
        <v>160</v>
      </c>
      <c r="AA229" s="404" t="s">
        <v>160</v>
      </c>
      <c r="AB229" s="404" t="s">
        <v>160</v>
      </c>
      <c r="AC229" s="404"/>
      <c r="AD229" s="406" t="s">
        <v>160</v>
      </c>
      <c r="AE229" s="368"/>
      <c r="AF229" s="440" t="str">
        <f>IF([1]RENAME!$H$3=1,B229,A229)</f>
        <v>3T10</v>
      </c>
      <c r="AG229" s="448" t="s">
        <v>160</v>
      </c>
      <c r="AH229" s="449" t="s">
        <v>160</v>
      </c>
      <c r="AI229" s="449" t="s">
        <v>160</v>
      </c>
      <c r="AJ229" s="449" t="s">
        <v>160</v>
      </c>
      <c r="AK229" s="449" t="s">
        <v>160</v>
      </c>
      <c r="AL229" s="449" t="s">
        <v>160</v>
      </c>
      <c r="AM229" s="449" t="s">
        <v>160</v>
      </c>
      <c r="AN229" s="671" t="s">
        <v>160</v>
      </c>
      <c r="AO229" s="450" t="s">
        <v>160</v>
      </c>
      <c r="AP229" s="368"/>
      <c r="AQ229" s="444" t="s">
        <v>160</v>
      </c>
      <c r="AR229" s="445" t="s">
        <v>160</v>
      </c>
      <c r="AS229" s="445" t="s">
        <v>160</v>
      </c>
      <c r="AT229" s="445" t="s">
        <v>160</v>
      </c>
      <c r="AU229" s="446" t="s">
        <v>160</v>
      </c>
      <c r="AV229" s="365"/>
      <c r="AW229" s="444" t="s">
        <v>160</v>
      </c>
      <c r="AX229" s="445" t="s">
        <v>160</v>
      </c>
      <c r="AY229" s="445" t="s">
        <v>160</v>
      </c>
      <c r="AZ229" s="445" t="s">
        <v>160</v>
      </c>
      <c r="BA229" s="446" t="s">
        <v>160</v>
      </c>
      <c r="BB229" s="365"/>
      <c r="BC229" s="410">
        <f t="shared" si="121"/>
        <v>0.10779242941168526</v>
      </c>
      <c r="BD229" s="411" t="s">
        <v>160</v>
      </c>
    </row>
    <row r="230" spans="1:56" ht="12.75" customHeight="1" outlineLevel="1" x14ac:dyDescent="0.2">
      <c r="A230" s="365" t="s">
        <v>622</v>
      </c>
      <c r="B230" s="365" t="str">
        <f t="shared" si="120"/>
        <v>4Q10</v>
      </c>
      <c r="C230" s="365"/>
      <c r="D230" s="447" t="str">
        <f>IF([1]RENAME!$H$3=1,B230,A230)</f>
        <v>4T10</v>
      </c>
      <c r="E230" s="403">
        <f>+SUMIFS('Dados Mercado'!E:E,'Dados Mercado'!$C:$C,$D230)</f>
        <v>1074904</v>
      </c>
      <c r="F230" s="404">
        <f>+SUMIFS('Dados Mercado'!F:F,'Dados Mercado'!$C:$C,$D230)</f>
        <v>960236</v>
      </c>
      <c r="G230" s="406">
        <f>+SUMIFS('Dados Mercado'!G:G,'Dados Mercado'!$C:$C,$D230)</f>
        <v>114668</v>
      </c>
      <c r="H230" s="368"/>
      <c r="I230" s="407" t="s">
        <v>160</v>
      </c>
      <c r="J230" s="404" t="s">
        <v>160</v>
      </c>
      <c r="K230" s="406" t="s">
        <v>160</v>
      </c>
      <c r="L230" s="368"/>
      <c r="M230" s="407">
        <f>+SUMIFS('Dados Mercado'!M:M,'Dados Mercado'!$C:$C,$D230)</f>
        <v>802732</v>
      </c>
      <c r="N230" s="406">
        <f>+SUMIFS('Dados Mercado'!N:N,'Dados Mercado'!$C:$C,$D230)</f>
        <v>0</v>
      </c>
      <c r="O230" s="368"/>
      <c r="P230" s="407" t="s">
        <v>160</v>
      </c>
      <c r="Q230" s="406" t="s">
        <v>160</v>
      </c>
      <c r="R230" s="368"/>
      <c r="S230" s="407" t="s">
        <v>160</v>
      </c>
      <c r="T230" s="406" t="s">
        <v>160</v>
      </c>
      <c r="U230" s="368"/>
      <c r="V230" s="407" t="s">
        <v>160</v>
      </c>
      <c r="W230" s="404" t="s">
        <v>160</v>
      </c>
      <c r="X230" s="404" t="s">
        <v>160</v>
      </c>
      <c r="Y230" s="404" t="s">
        <v>160</v>
      </c>
      <c r="Z230" s="404" t="s">
        <v>160</v>
      </c>
      <c r="AA230" s="404" t="s">
        <v>160</v>
      </c>
      <c r="AB230" s="404" t="s">
        <v>160</v>
      </c>
      <c r="AC230" s="404"/>
      <c r="AD230" s="406" t="s">
        <v>160</v>
      </c>
      <c r="AE230" s="368"/>
      <c r="AF230" s="447" t="str">
        <f>IF([1]RENAME!$H$3=1,B230,A230)</f>
        <v>4T10</v>
      </c>
      <c r="AG230" s="448" t="s">
        <v>160</v>
      </c>
      <c r="AH230" s="449" t="s">
        <v>160</v>
      </c>
      <c r="AI230" s="449" t="s">
        <v>160</v>
      </c>
      <c r="AJ230" s="449" t="s">
        <v>160</v>
      </c>
      <c r="AK230" s="449" t="s">
        <v>160</v>
      </c>
      <c r="AL230" s="449" t="s">
        <v>160</v>
      </c>
      <c r="AM230" s="449" t="s">
        <v>160</v>
      </c>
      <c r="AN230" s="671" t="s">
        <v>160</v>
      </c>
      <c r="AO230" s="450" t="s">
        <v>160</v>
      </c>
      <c r="AP230" s="368"/>
      <c r="AQ230" s="444" t="s">
        <v>160</v>
      </c>
      <c r="AR230" s="445" t="s">
        <v>160</v>
      </c>
      <c r="AS230" s="445" t="s">
        <v>160</v>
      </c>
      <c r="AT230" s="445" t="s">
        <v>160</v>
      </c>
      <c r="AU230" s="446" t="s">
        <v>160</v>
      </c>
      <c r="AV230" s="365"/>
      <c r="AW230" s="444" t="s">
        <v>160</v>
      </c>
      <c r="AX230" s="445" t="s">
        <v>160</v>
      </c>
      <c r="AY230" s="445" t="s">
        <v>160</v>
      </c>
      <c r="AZ230" s="445" t="s">
        <v>160</v>
      </c>
      <c r="BA230" s="446" t="s">
        <v>160</v>
      </c>
      <c r="BB230" s="365"/>
      <c r="BC230" s="410">
        <f t="shared" si="121"/>
        <v>0.14284717689091753</v>
      </c>
      <c r="BD230" s="411" t="s">
        <v>160</v>
      </c>
    </row>
    <row r="231" spans="1:56" ht="12.75" customHeight="1" outlineLevel="1" x14ac:dyDescent="0.2">
      <c r="A231" s="365" t="s">
        <v>60</v>
      </c>
      <c r="B231" s="365" t="str">
        <f t="shared" si="120"/>
        <v>1Q11</v>
      </c>
      <c r="C231" s="365"/>
      <c r="D231" s="440" t="str">
        <f>IF([1]RENAME!$H$3=1,B231,A231)</f>
        <v>1T11</v>
      </c>
      <c r="E231" s="403">
        <f>+SUMIFS('Dados Mercado'!E:E,'Dados Mercado'!$C:$C,$D231)</f>
        <v>893707</v>
      </c>
      <c r="F231" s="404">
        <f>+SUMIFS('Dados Mercado'!F:F,'Dados Mercado'!$C:$C,$D231)</f>
        <v>777708</v>
      </c>
      <c r="G231" s="406">
        <f>+SUMIFS('Dados Mercado'!G:G,'Dados Mercado'!$C:$C,$D231)</f>
        <v>115999</v>
      </c>
      <c r="H231" s="368"/>
      <c r="I231" s="407" t="s">
        <v>160</v>
      </c>
      <c r="J231" s="404" t="s">
        <v>160</v>
      </c>
      <c r="K231" s="406" t="s">
        <v>160</v>
      </c>
      <c r="L231" s="368"/>
      <c r="M231" s="407">
        <f>+SUMIFS('Dados Mercado'!M:M,'Dados Mercado'!$C:$C,$D231)</f>
        <v>772708</v>
      </c>
      <c r="N231" s="406">
        <f>+SUMIFS('Dados Mercado'!N:N,'Dados Mercado'!$C:$C,$D231)</f>
        <v>181006</v>
      </c>
      <c r="O231" s="368"/>
      <c r="P231" s="407" t="s">
        <v>160</v>
      </c>
      <c r="Q231" s="406" t="s">
        <v>160</v>
      </c>
      <c r="R231" s="368"/>
      <c r="S231" s="407" t="s">
        <v>160</v>
      </c>
      <c r="T231" s="406" t="s">
        <v>160</v>
      </c>
      <c r="U231" s="368"/>
      <c r="V231" s="407" t="s">
        <v>160</v>
      </c>
      <c r="W231" s="404" t="s">
        <v>160</v>
      </c>
      <c r="X231" s="404" t="s">
        <v>160</v>
      </c>
      <c r="Y231" s="404" t="s">
        <v>160</v>
      </c>
      <c r="Z231" s="404" t="s">
        <v>160</v>
      </c>
      <c r="AA231" s="404" t="s">
        <v>160</v>
      </c>
      <c r="AB231" s="404" t="s">
        <v>160</v>
      </c>
      <c r="AC231" s="404"/>
      <c r="AD231" s="406" t="s">
        <v>160</v>
      </c>
      <c r="AE231" s="368"/>
      <c r="AF231" s="440" t="str">
        <f>IF([1]RENAME!$H$3=1,B231,A231)</f>
        <v>1T11</v>
      </c>
      <c r="AG231" s="448" t="s">
        <v>160</v>
      </c>
      <c r="AH231" s="449" t="s">
        <v>160</v>
      </c>
      <c r="AI231" s="449" t="s">
        <v>160</v>
      </c>
      <c r="AJ231" s="449" t="s">
        <v>160</v>
      </c>
      <c r="AK231" s="449" t="s">
        <v>160</v>
      </c>
      <c r="AL231" s="449" t="s">
        <v>160</v>
      </c>
      <c r="AM231" s="449" t="s">
        <v>160</v>
      </c>
      <c r="AN231" s="671" t="s">
        <v>160</v>
      </c>
      <c r="AO231" s="450" t="s">
        <v>160</v>
      </c>
      <c r="AP231" s="368"/>
      <c r="AQ231" s="444" t="s">
        <v>160</v>
      </c>
      <c r="AR231" s="445" t="s">
        <v>160</v>
      </c>
      <c r="AS231" s="445" t="s">
        <v>160</v>
      </c>
      <c r="AT231" s="445" t="s">
        <v>160</v>
      </c>
      <c r="AU231" s="446" t="s">
        <v>160</v>
      </c>
      <c r="AV231" s="365"/>
      <c r="AW231" s="444" t="s">
        <v>160</v>
      </c>
      <c r="AX231" s="445" t="s">
        <v>160</v>
      </c>
      <c r="AY231" s="445" t="s">
        <v>160</v>
      </c>
      <c r="AZ231" s="445" t="s">
        <v>160</v>
      </c>
      <c r="BA231" s="446" t="s">
        <v>160</v>
      </c>
      <c r="BB231" s="365"/>
      <c r="BC231" s="410">
        <f t="shared" si="121"/>
        <v>0.15012009711301036</v>
      </c>
      <c r="BD231" s="411">
        <f t="shared" ref="BD231:BD262" si="122">+N231/F231</f>
        <v>0.2327428803612667</v>
      </c>
    </row>
    <row r="232" spans="1:56" ht="12.75" customHeight="1" outlineLevel="1" x14ac:dyDescent="0.2">
      <c r="A232" s="365" t="s">
        <v>61</v>
      </c>
      <c r="B232" s="365" t="str">
        <f t="shared" si="120"/>
        <v>2Q11</v>
      </c>
      <c r="C232" s="365"/>
      <c r="D232" s="447" t="str">
        <f>IF([1]RENAME!$H$3=1,B232,A232)</f>
        <v>2T11</v>
      </c>
      <c r="E232" s="403">
        <f>+SUMIFS('Dados Mercado'!E:E,'Dados Mercado'!$C:$C,$D232)</f>
        <v>973977</v>
      </c>
      <c r="F232" s="404">
        <f>+SUMIFS('Dados Mercado'!F:F,'Dados Mercado'!$C:$C,$D232)</f>
        <v>860369</v>
      </c>
      <c r="G232" s="406">
        <f>+SUMIFS('Dados Mercado'!G:G,'Dados Mercado'!$C:$C,$D232)</f>
        <v>113608</v>
      </c>
      <c r="H232" s="368"/>
      <c r="I232" s="407" t="s">
        <v>160</v>
      </c>
      <c r="J232" s="404" t="s">
        <v>160</v>
      </c>
      <c r="K232" s="406" t="s">
        <v>160</v>
      </c>
      <c r="L232" s="368"/>
      <c r="M232" s="407">
        <f>+SUMIFS('Dados Mercado'!M:M,'Dados Mercado'!$C:$C,$D232)</f>
        <v>815931</v>
      </c>
      <c r="N232" s="406">
        <f>+SUMIFS('Dados Mercado'!N:N,'Dados Mercado'!$C:$C,$D232)</f>
        <v>207307</v>
      </c>
      <c r="O232" s="368"/>
      <c r="P232" s="407" t="s">
        <v>160</v>
      </c>
      <c r="Q232" s="406" t="s">
        <v>160</v>
      </c>
      <c r="R232" s="368"/>
      <c r="S232" s="407" t="s">
        <v>160</v>
      </c>
      <c r="T232" s="406" t="s">
        <v>160</v>
      </c>
      <c r="U232" s="368"/>
      <c r="V232" s="407" t="s">
        <v>160</v>
      </c>
      <c r="W232" s="404" t="s">
        <v>160</v>
      </c>
      <c r="X232" s="404" t="s">
        <v>160</v>
      </c>
      <c r="Y232" s="404" t="s">
        <v>160</v>
      </c>
      <c r="Z232" s="404" t="s">
        <v>160</v>
      </c>
      <c r="AA232" s="404" t="s">
        <v>160</v>
      </c>
      <c r="AB232" s="404" t="s">
        <v>160</v>
      </c>
      <c r="AC232" s="404"/>
      <c r="AD232" s="406" t="s">
        <v>160</v>
      </c>
      <c r="AE232" s="368"/>
      <c r="AF232" s="447" t="str">
        <f>IF([1]RENAME!$H$3=1,B232,A232)</f>
        <v>2T11</v>
      </c>
      <c r="AG232" s="448" t="s">
        <v>160</v>
      </c>
      <c r="AH232" s="449" t="s">
        <v>160</v>
      </c>
      <c r="AI232" s="449" t="s">
        <v>160</v>
      </c>
      <c r="AJ232" s="449" t="s">
        <v>160</v>
      </c>
      <c r="AK232" s="449" t="s">
        <v>160</v>
      </c>
      <c r="AL232" s="449" t="s">
        <v>160</v>
      </c>
      <c r="AM232" s="449" t="s">
        <v>160</v>
      </c>
      <c r="AN232" s="671" t="s">
        <v>160</v>
      </c>
      <c r="AO232" s="450" t="s">
        <v>160</v>
      </c>
      <c r="AP232" s="368"/>
      <c r="AQ232" s="444" t="s">
        <v>160</v>
      </c>
      <c r="AR232" s="445" t="s">
        <v>160</v>
      </c>
      <c r="AS232" s="445" t="s">
        <v>160</v>
      </c>
      <c r="AT232" s="445" t="s">
        <v>160</v>
      </c>
      <c r="AU232" s="446" t="s">
        <v>160</v>
      </c>
      <c r="AV232" s="365"/>
      <c r="AW232" s="444" t="s">
        <v>160</v>
      </c>
      <c r="AX232" s="445" t="s">
        <v>160</v>
      </c>
      <c r="AY232" s="445" t="s">
        <v>160</v>
      </c>
      <c r="AZ232" s="445" t="s">
        <v>160</v>
      </c>
      <c r="BA232" s="446" t="s">
        <v>160</v>
      </c>
      <c r="BB232" s="365"/>
      <c r="BC232" s="410">
        <f t="shared" si="121"/>
        <v>0.13923726393530825</v>
      </c>
      <c r="BD232" s="411">
        <f t="shared" si="122"/>
        <v>0.24095126625901211</v>
      </c>
    </row>
    <row r="233" spans="1:56" ht="12.75" customHeight="1" outlineLevel="1" x14ac:dyDescent="0.2">
      <c r="A233" s="365" t="s">
        <v>62</v>
      </c>
      <c r="B233" s="365" t="str">
        <f t="shared" si="120"/>
        <v>3Q11</v>
      </c>
      <c r="C233" s="365"/>
      <c r="D233" s="440" t="str">
        <f>IF([1]RENAME!$H$3=1,B233,A233)</f>
        <v>3T11</v>
      </c>
      <c r="E233" s="403">
        <f>+SUMIFS('Dados Mercado'!E:E,'Dados Mercado'!$C:$C,$D233)</f>
        <v>1007649</v>
      </c>
      <c r="F233" s="404">
        <f>+SUMIFS('Dados Mercado'!F:F,'Dados Mercado'!$C:$C,$D233)</f>
        <v>889586</v>
      </c>
      <c r="G233" s="406">
        <f>+SUMIFS('Dados Mercado'!G:G,'Dados Mercado'!$C:$C,$D233)</f>
        <v>118063</v>
      </c>
      <c r="H233" s="368"/>
      <c r="I233" s="407" t="s">
        <v>160</v>
      </c>
      <c r="J233" s="404" t="s">
        <v>160</v>
      </c>
      <c r="K233" s="406" t="s">
        <v>160</v>
      </c>
      <c r="L233" s="368"/>
      <c r="M233" s="407">
        <f>+SUMIFS('Dados Mercado'!M:M,'Dados Mercado'!$C:$C,$D233)</f>
        <v>822053</v>
      </c>
      <c r="N233" s="406">
        <f>+SUMIFS('Dados Mercado'!N:N,'Dados Mercado'!$C:$C,$D233)</f>
        <v>218988</v>
      </c>
      <c r="O233" s="368"/>
      <c r="P233" s="407" t="s">
        <v>160</v>
      </c>
      <c r="Q233" s="406" t="s">
        <v>160</v>
      </c>
      <c r="R233" s="368"/>
      <c r="S233" s="407" t="s">
        <v>160</v>
      </c>
      <c r="T233" s="406" t="s">
        <v>160</v>
      </c>
      <c r="U233" s="368"/>
      <c r="V233" s="407" t="s">
        <v>160</v>
      </c>
      <c r="W233" s="404" t="s">
        <v>160</v>
      </c>
      <c r="X233" s="404" t="s">
        <v>160</v>
      </c>
      <c r="Y233" s="404" t="s">
        <v>160</v>
      </c>
      <c r="Z233" s="404" t="s">
        <v>160</v>
      </c>
      <c r="AA233" s="404" t="s">
        <v>160</v>
      </c>
      <c r="AB233" s="404" t="s">
        <v>160</v>
      </c>
      <c r="AC233" s="404"/>
      <c r="AD233" s="406" t="s">
        <v>160</v>
      </c>
      <c r="AE233" s="368"/>
      <c r="AF233" s="440" t="str">
        <f>IF([1]RENAME!$H$3=1,B233,A233)</f>
        <v>3T11</v>
      </c>
      <c r="AG233" s="448" t="s">
        <v>160</v>
      </c>
      <c r="AH233" s="449" t="s">
        <v>160</v>
      </c>
      <c r="AI233" s="449" t="s">
        <v>160</v>
      </c>
      <c r="AJ233" s="449" t="s">
        <v>160</v>
      </c>
      <c r="AK233" s="449" t="s">
        <v>160</v>
      </c>
      <c r="AL233" s="449" t="s">
        <v>160</v>
      </c>
      <c r="AM233" s="449" t="s">
        <v>160</v>
      </c>
      <c r="AN233" s="671" t="s">
        <v>160</v>
      </c>
      <c r="AO233" s="450" t="s">
        <v>160</v>
      </c>
      <c r="AP233" s="368"/>
      <c r="AQ233" s="444" t="s">
        <v>160</v>
      </c>
      <c r="AR233" s="445" t="s">
        <v>160</v>
      </c>
      <c r="AS233" s="445" t="s">
        <v>160</v>
      </c>
      <c r="AT233" s="445" t="s">
        <v>160</v>
      </c>
      <c r="AU233" s="446" t="s">
        <v>160</v>
      </c>
      <c r="AV233" s="365"/>
      <c r="AW233" s="444" t="s">
        <v>160</v>
      </c>
      <c r="AX233" s="445" t="s">
        <v>160</v>
      </c>
      <c r="AY233" s="445" t="s">
        <v>160</v>
      </c>
      <c r="AZ233" s="445" t="s">
        <v>160</v>
      </c>
      <c r="BA233" s="446" t="s">
        <v>160</v>
      </c>
      <c r="BB233" s="365"/>
      <c r="BC233" s="410">
        <f t="shared" si="121"/>
        <v>0.14361969362072763</v>
      </c>
      <c r="BD233" s="411">
        <f t="shared" si="122"/>
        <v>0.24616844239904856</v>
      </c>
    </row>
    <row r="234" spans="1:56" ht="12.75" customHeight="1" outlineLevel="1" x14ac:dyDescent="0.2">
      <c r="A234" s="365" t="s">
        <v>63</v>
      </c>
      <c r="B234" s="365" t="str">
        <f t="shared" si="120"/>
        <v>4Q11</v>
      </c>
      <c r="C234" s="365"/>
      <c r="D234" s="447" t="str">
        <f>IF([1]RENAME!$H$3=1,B234,A234)</f>
        <v>4T11</v>
      </c>
      <c r="E234" s="403">
        <f>+SUMIFS('Dados Mercado'!E:E,'Dados Mercado'!$C:$C,$D234)</f>
        <v>1022868</v>
      </c>
      <c r="F234" s="404">
        <f>+SUMIFS('Dados Mercado'!F:F,'Dados Mercado'!$C:$C,$D234)</f>
        <v>898168</v>
      </c>
      <c r="G234" s="406">
        <f>+SUMIFS('Dados Mercado'!G:G,'Dados Mercado'!$C:$C,$D234)</f>
        <v>124700</v>
      </c>
      <c r="H234" s="368"/>
      <c r="I234" s="407" t="s">
        <v>160</v>
      </c>
      <c r="J234" s="404" t="s">
        <v>160</v>
      </c>
      <c r="K234" s="406" t="s">
        <v>160</v>
      </c>
      <c r="L234" s="368"/>
      <c r="M234" s="407">
        <f>+SUMIFS('Dados Mercado'!M:M,'Dados Mercado'!$C:$C,$D234)</f>
        <v>734119</v>
      </c>
      <c r="N234" s="406">
        <f>+SUMIFS('Dados Mercado'!N:N,'Dados Mercado'!$C:$C,$D234)</f>
        <v>246652</v>
      </c>
      <c r="O234" s="368"/>
      <c r="P234" s="407" t="s">
        <v>160</v>
      </c>
      <c r="Q234" s="406" t="s">
        <v>160</v>
      </c>
      <c r="R234" s="368"/>
      <c r="S234" s="407" t="s">
        <v>160</v>
      </c>
      <c r="T234" s="406" t="s">
        <v>160</v>
      </c>
      <c r="U234" s="368"/>
      <c r="V234" s="407" t="s">
        <v>160</v>
      </c>
      <c r="W234" s="404" t="s">
        <v>160</v>
      </c>
      <c r="X234" s="404" t="s">
        <v>160</v>
      </c>
      <c r="Y234" s="404" t="s">
        <v>160</v>
      </c>
      <c r="Z234" s="404" t="s">
        <v>160</v>
      </c>
      <c r="AA234" s="404" t="s">
        <v>160</v>
      </c>
      <c r="AB234" s="404" t="s">
        <v>160</v>
      </c>
      <c r="AC234" s="404"/>
      <c r="AD234" s="406" t="s">
        <v>160</v>
      </c>
      <c r="AE234" s="368"/>
      <c r="AF234" s="447" t="str">
        <f>IF([1]RENAME!$H$3=1,B234,A234)</f>
        <v>4T11</v>
      </c>
      <c r="AG234" s="448" t="s">
        <v>160</v>
      </c>
      <c r="AH234" s="449" t="s">
        <v>160</v>
      </c>
      <c r="AI234" s="449" t="s">
        <v>160</v>
      </c>
      <c r="AJ234" s="449" t="s">
        <v>160</v>
      </c>
      <c r="AK234" s="449" t="s">
        <v>160</v>
      </c>
      <c r="AL234" s="449" t="s">
        <v>160</v>
      </c>
      <c r="AM234" s="449" t="s">
        <v>160</v>
      </c>
      <c r="AN234" s="671" t="s">
        <v>160</v>
      </c>
      <c r="AO234" s="450" t="s">
        <v>160</v>
      </c>
      <c r="AP234" s="368"/>
      <c r="AQ234" s="444" t="s">
        <v>160</v>
      </c>
      <c r="AR234" s="445" t="s">
        <v>160</v>
      </c>
      <c r="AS234" s="445" t="s">
        <v>160</v>
      </c>
      <c r="AT234" s="445" t="s">
        <v>160</v>
      </c>
      <c r="AU234" s="446" t="s">
        <v>160</v>
      </c>
      <c r="AV234" s="365"/>
      <c r="AW234" s="444" t="s">
        <v>160</v>
      </c>
      <c r="AX234" s="445" t="s">
        <v>160</v>
      </c>
      <c r="AY234" s="445" t="s">
        <v>160</v>
      </c>
      <c r="AZ234" s="445" t="s">
        <v>160</v>
      </c>
      <c r="BA234" s="446" t="s">
        <v>160</v>
      </c>
      <c r="BB234" s="365"/>
      <c r="BC234" s="410">
        <f t="shared" si="121"/>
        <v>0.16986346900161964</v>
      </c>
      <c r="BD234" s="411">
        <f t="shared" si="122"/>
        <v>0.27461677548075636</v>
      </c>
    </row>
    <row r="235" spans="1:56" ht="12.75" customHeight="1" outlineLevel="1" x14ac:dyDescent="0.2">
      <c r="A235" s="365" t="s">
        <v>7</v>
      </c>
      <c r="B235" s="365" t="str">
        <f t="shared" si="120"/>
        <v>1Q12</v>
      </c>
      <c r="C235" s="365"/>
      <c r="D235" s="440" t="str">
        <f>IF([1]RENAME!$H$3=1,B235,A235)</f>
        <v>1T12</v>
      </c>
      <c r="E235" s="403">
        <f>+SUMIFS('Dados Mercado'!E:E,'Dados Mercado'!$C:$C,$D235)</f>
        <v>876944</v>
      </c>
      <c r="F235" s="404">
        <f>+SUMIFS('Dados Mercado'!F:F,'Dados Mercado'!$C:$C,$D235)</f>
        <v>772285</v>
      </c>
      <c r="G235" s="406">
        <f>+SUMIFS('Dados Mercado'!G:G,'Dados Mercado'!$C:$C,$D235)</f>
        <v>104659</v>
      </c>
      <c r="H235" s="368"/>
      <c r="I235" s="407" t="s">
        <v>160</v>
      </c>
      <c r="J235" s="404" t="s">
        <v>160</v>
      </c>
      <c r="K235" s="406" t="s">
        <v>160</v>
      </c>
      <c r="L235" s="368"/>
      <c r="M235" s="407">
        <f>+SUMIFS('Dados Mercado'!M:M,'Dados Mercado'!$C:$C,$D235)</f>
        <v>705292</v>
      </c>
      <c r="N235" s="406">
        <f>+SUMIFS('Dados Mercado'!N:N,'Dados Mercado'!$C:$C,$D235)</f>
        <v>198537</v>
      </c>
      <c r="O235" s="368"/>
      <c r="P235" s="407" t="s">
        <v>160</v>
      </c>
      <c r="Q235" s="406" t="s">
        <v>160</v>
      </c>
      <c r="R235" s="368"/>
      <c r="S235" s="407" t="s">
        <v>160</v>
      </c>
      <c r="T235" s="406" t="s">
        <v>160</v>
      </c>
      <c r="U235" s="368"/>
      <c r="V235" s="407" t="s">
        <v>160</v>
      </c>
      <c r="W235" s="404" t="s">
        <v>160</v>
      </c>
      <c r="X235" s="404" t="s">
        <v>160</v>
      </c>
      <c r="Y235" s="404" t="s">
        <v>160</v>
      </c>
      <c r="Z235" s="404" t="s">
        <v>160</v>
      </c>
      <c r="AA235" s="404" t="s">
        <v>160</v>
      </c>
      <c r="AB235" s="404" t="s">
        <v>160</v>
      </c>
      <c r="AC235" s="404"/>
      <c r="AD235" s="406" t="s">
        <v>160</v>
      </c>
      <c r="AE235" s="368"/>
      <c r="AF235" s="440" t="str">
        <f>IF([1]RENAME!$H$3=1,B235,A235)</f>
        <v>1T12</v>
      </c>
      <c r="AG235" s="448" t="s">
        <v>160</v>
      </c>
      <c r="AH235" s="449" t="s">
        <v>160</v>
      </c>
      <c r="AI235" s="449" t="s">
        <v>160</v>
      </c>
      <c r="AJ235" s="449" t="s">
        <v>160</v>
      </c>
      <c r="AK235" s="449" t="s">
        <v>160</v>
      </c>
      <c r="AL235" s="449" t="s">
        <v>160</v>
      </c>
      <c r="AM235" s="449" t="s">
        <v>160</v>
      </c>
      <c r="AN235" s="671" t="s">
        <v>160</v>
      </c>
      <c r="AO235" s="450" t="s">
        <v>160</v>
      </c>
      <c r="AP235" s="368"/>
      <c r="AQ235" s="444" t="s">
        <v>160</v>
      </c>
      <c r="AR235" s="445" t="s">
        <v>160</v>
      </c>
      <c r="AS235" s="445" t="s">
        <v>160</v>
      </c>
      <c r="AT235" s="445" t="s">
        <v>160</v>
      </c>
      <c r="AU235" s="446" t="s">
        <v>160</v>
      </c>
      <c r="AV235" s="365"/>
      <c r="AW235" s="444" t="s">
        <v>160</v>
      </c>
      <c r="AX235" s="445" t="s">
        <v>160</v>
      </c>
      <c r="AY235" s="445" t="s">
        <v>160</v>
      </c>
      <c r="AZ235" s="445" t="s">
        <v>160</v>
      </c>
      <c r="BA235" s="446" t="s">
        <v>160</v>
      </c>
      <c r="BB235" s="365"/>
      <c r="BC235" s="410">
        <f t="shared" si="121"/>
        <v>0.14839102102391633</v>
      </c>
      <c r="BD235" s="411">
        <f t="shared" si="122"/>
        <v>0.25707737428539984</v>
      </c>
    </row>
    <row r="236" spans="1:56" ht="12.75" customHeight="1" outlineLevel="1" x14ac:dyDescent="0.2">
      <c r="A236" s="365" t="s">
        <v>6</v>
      </c>
      <c r="B236" s="365" t="str">
        <f t="shared" si="120"/>
        <v>2Q12</v>
      </c>
      <c r="C236" s="365"/>
      <c r="D236" s="447" t="str">
        <f>IF([1]RENAME!$H$3=1,B236,A236)</f>
        <v>2T12</v>
      </c>
      <c r="E236" s="403">
        <f>+SUMIFS('Dados Mercado'!E:E,'Dados Mercado'!$C:$C,$D236)</f>
        <v>964507</v>
      </c>
      <c r="F236" s="404">
        <f>+SUMIFS('Dados Mercado'!F:F,'Dados Mercado'!$C:$C,$D236)</f>
        <v>859468</v>
      </c>
      <c r="G236" s="406">
        <f>+SUMIFS('Dados Mercado'!G:G,'Dados Mercado'!$C:$C,$D236)</f>
        <v>105039</v>
      </c>
      <c r="H236" s="368"/>
      <c r="I236" s="407" t="s">
        <v>160</v>
      </c>
      <c r="J236" s="404" t="s">
        <v>160</v>
      </c>
      <c r="K236" s="406" t="s">
        <v>160</v>
      </c>
      <c r="L236" s="368"/>
      <c r="M236" s="407">
        <f>+SUMIFS('Dados Mercado'!M:M,'Dados Mercado'!$C:$C,$D236)</f>
        <v>789026</v>
      </c>
      <c r="N236" s="406">
        <f>+SUMIFS('Dados Mercado'!N:N,'Dados Mercado'!$C:$C,$D236)</f>
        <v>192421</v>
      </c>
      <c r="O236" s="368"/>
      <c r="P236" s="407" t="s">
        <v>160</v>
      </c>
      <c r="Q236" s="406" t="s">
        <v>160</v>
      </c>
      <c r="R236" s="368"/>
      <c r="S236" s="407" t="s">
        <v>160</v>
      </c>
      <c r="T236" s="406" t="s">
        <v>160</v>
      </c>
      <c r="U236" s="368"/>
      <c r="V236" s="407" t="s">
        <v>160</v>
      </c>
      <c r="W236" s="404" t="s">
        <v>160</v>
      </c>
      <c r="X236" s="404" t="s">
        <v>160</v>
      </c>
      <c r="Y236" s="404" t="s">
        <v>160</v>
      </c>
      <c r="Z236" s="404" t="s">
        <v>160</v>
      </c>
      <c r="AA236" s="404" t="s">
        <v>160</v>
      </c>
      <c r="AB236" s="404" t="s">
        <v>160</v>
      </c>
      <c r="AC236" s="404"/>
      <c r="AD236" s="406" t="s">
        <v>160</v>
      </c>
      <c r="AE236" s="368"/>
      <c r="AF236" s="447" t="str">
        <f>IF([1]RENAME!$H$3=1,B236,A236)</f>
        <v>2T12</v>
      </c>
      <c r="AG236" s="448" t="s">
        <v>160</v>
      </c>
      <c r="AH236" s="449" t="s">
        <v>160</v>
      </c>
      <c r="AI236" s="449" t="s">
        <v>160</v>
      </c>
      <c r="AJ236" s="449" t="s">
        <v>160</v>
      </c>
      <c r="AK236" s="449" t="s">
        <v>160</v>
      </c>
      <c r="AL236" s="449" t="s">
        <v>160</v>
      </c>
      <c r="AM236" s="449" t="s">
        <v>160</v>
      </c>
      <c r="AN236" s="671" t="s">
        <v>160</v>
      </c>
      <c r="AO236" s="450" t="s">
        <v>160</v>
      </c>
      <c r="AP236" s="368"/>
      <c r="AQ236" s="444" t="s">
        <v>160</v>
      </c>
      <c r="AR236" s="445" t="s">
        <v>160</v>
      </c>
      <c r="AS236" s="445" t="s">
        <v>160</v>
      </c>
      <c r="AT236" s="445" t="s">
        <v>160</v>
      </c>
      <c r="AU236" s="446" t="s">
        <v>160</v>
      </c>
      <c r="AV236" s="365"/>
      <c r="AW236" s="444" t="s">
        <v>160</v>
      </c>
      <c r="AX236" s="445" t="s">
        <v>160</v>
      </c>
      <c r="AY236" s="445" t="s">
        <v>160</v>
      </c>
      <c r="AZ236" s="445" t="s">
        <v>160</v>
      </c>
      <c r="BA236" s="446" t="s">
        <v>160</v>
      </c>
      <c r="BB236" s="365"/>
      <c r="BC236" s="410">
        <f t="shared" si="121"/>
        <v>0.13312489068801281</v>
      </c>
      <c r="BD236" s="411">
        <f t="shared" si="122"/>
        <v>0.22388384442469061</v>
      </c>
    </row>
    <row r="237" spans="1:56" ht="12.75" customHeight="1" outlineLevel="1" x14ac:dyDescent="0.2">
      <c r="A237" s="365" t="s">
        <v>5</v>
      </c>
      <c r="B237" s="365" t="str">
        <f t="shared" si="120"/>
        <v>3Q12</v>
      </c>
      <c r="C237" s="365"/>
      <c r="D237" s="440" t="str">
        <f>IF([1]RENAME!$H$3=1,B237,A237)</f>
        <v>3T12</v>
      </c>
      <c r="E237" s="403">
        <f>+SUMIFS('Dados Mercado'!E:E,'Dados Mercado'!$C:$C,$D237)</f>
        <v>1124986</v>
      </c>
      <c r="F237" s="404">
        <f>+SUMIFS('Dados Mercado'!F:F,'Dados Mercado'!$C:$C,$D237)</f>
        <v>1034398</v>
      </c>
      <c r="G237" s="406">
        <f>+SUMIFS('Dados Mercado'!G:G,'Dados Mercado'!$C:$C,$D237)</f>
        <v>90588</v>
      </c>
      <c r="H237" s="368"/>
      <c r="I237" s="407" t="s">
        <v>160</v>
      </c>
      <c r="J237" s="404" t="s">
        <v>160</v>
      </c>
      <c r="K237" s="406" t="s">
        <v>160</v>
      </c>
      <c r="L237" s="368"/>
      <c r="M237" s="407">
        <f>+SUMIFS('Dados Mercado'!M:M,'Dados Mercado'!$C:$C,$D237)</f>
        <v>876097</v>
      </c>
      <c r="N237" s="406">
        <f>+SUMIFS('Dados Mercado'!N:N,'Dados Mercado'!$C:$C,$D237)</f>
        <v>202287</v>
      </c>
      <c r="O237" s="368"/>
      <c r="P237" s="407" t="s">
        <v>160</v>
      </c>
      <c r="Q237" s="406" t="s">
        <v>160</v>
      </c>
      <c r="R237" s="368"/>
      <c r="S237" s="407" t="s">
        <v>160</v>
      </c>
      <c r="T237" s="406" t="s">
        <v>160</v>
      </c>
      <c r="U237" s="368"/>
      <c r="V237" s="407" t="s">
        <v>160</v>
      </c>
      <c r="W237" s="404" t="s">
        <v>160</v>
      </c>
      <c r="X237" s="404" t="s">
        <v>160</v>
      </c>
      <c r="Y237" s="404" t="s">
        <v>160</v>
      </c>
      <c r="Z237" s="404" t="s">
        <v>160</v>
      </c>
      <c r="AA237" s="404" t="s">
        <v>160</v>
      </c>
      <c r="AB237" s="404" t="s">
        <v>160</v>
      </c>
      <c r="AC237" s="404"/>
      <c r="AD237" s="406" t="s">
        <v>160</v>
      </c>
      <c r="AE237" s="368"/>
      <c r="AF237" s="440" t="str">
        <f>IF([1]RENAME!$H$3=1,B237,A237)</f>
        <v>3T12</v>
      </c>
      <c r="AG237" s="448" t="s">
        <v>160</v>
      </c>
      <c r="AH237" s="449" t="s">
        <v>160</v>
      </c>
      <c r="AI237" s="449" t="s">
        <v>160</v>
      </c>
      <c r="AJ237" s="449" t="s">
        <v>160</v>
      </c>
      <c r="AK237" s="449" t="s">
        <v>160</v>
      </c>
      <c r="AL237" s="449" t="s">
        <v>160</v>
      </c>
      <c r="AM237" s="449" t="s">
        <v>160</v>
      </c>
      <c r="AN237" s="671" t="s">
        <v>160</v>
      </c>
      <c r="AO237" s="450" t="s">
        <v>160</v>
      </c>
      <c r="AP237" s="368"/>
      <c r="AQ237" s="444" t="s">
        <v>160</v>
      </c>
      <c r="AR237" s="445" t="s">
        <v>160</v>
      </c>
      <c r="AS237" s="445" t="s">
        <v>160</v>
      </c>
      <c r="AT237" s="445" t="s">
        <v>160</v>
      </c>
      <c r="AU237" s="446" t="s">
        <v>160</v>
      </c>
      <c r="AV237" s="365"/>
      <c r="AW237" s="444" t="s">
        <v>160</v>
      </c>
      <c r="AX237" s="445" t="s">
        <v>160</v>
      </c>
      <c r="AY237" s="445" t="s">
        <v>160</v>
      </c>
      <c r="AZ237" s="445" t="s">
        <v>160</v>
      </c>
      <c r="BA237" s="446" t="s">
        <v>160</v>
      </c>
      <c r="BB237" s="365"/>
      <c r="BC237" s="410">
        <f t="shared" si="121"/>
        <v>0.10339950941505335</v>
      </c>
      <c r="BD237" s="411">
        <f t="shared" si="122"/>
        <v>0.19556012289273567</v>
      </c>
    </row>
    <row r="238" spans="1:56" ht="12.75" customHeight="1" outlineLevel="1" x14ac:dyDescent="0.2">
      <c r="A238" s="365" t="s">
        <v>4</v>
      </c>
      <c r="B238" s="365" t="str">
        <f t="shared" si="120"/>
        <v>4Q12</v>
      </c>
      <c r="C238" s="365"/>
      <c r="D238" s="447" t="str">
        <f>IF([1]RENAME!$H$3=1,B238,A238)</f>
        <v>4T12</v>
      </c>
      <c r="E238" s="403">
        <f>+SUMIFS('Dados Mercado'!E:E,'Dados Mercado'!$C:$C,$D238)</f>
        <v>1080280</v>
      </c>
      <c r="F238" s="404">
        <f>+SUMIFS('Dados Mercado'!F:F,'Dados Mercado'!$C:$C,$D238)</f>
        <v>967968</v>
      </c>
      <c r="G238" s="406">
        <f>+SUMIFS('Dados Mercado'!G:G,'Dados Mercado'!$C:$C,$D238)</f>
        <v>112312</v>
      </c>
      <c r="H238" s="368"/>
      <c r="I238" s="407" t="s">
        <v>160</v>
      </c>
      <c r="J238" s="404" t="s">
        <v>160</v>
      </c>
      <c r="K238" s="406" t="s">
        <v>160</v>
      </c>
      <c r="L238" s="368"/>
      <c r="M238" s="407">
        <f>+SUMIFS('Dados Mercado'!M:M,'Dados Mercado'!$C:$C,$D238)</f>
        <v>862510</v>
      </c>
      <c r="N238" s="406">
        <f>+SUMIFS('Dados Mercado'!N:N,'Dados Mercado'!$C:$C,$D238)</f>
        <v>190423</v>
      </c>
      <c r="O238" s="368"/>
      <c r="P238" s="407" t="s">
        <v>160</v>
      </c>
      <c r="Q238" s="406" t="s">
        <v>160</v>
      </c>
      <c r="R238" s="368"/>
      <c r="S238" s="407" t="s">
        <v>160</v>
      </c>
      <c r="T238" s="406" t="s">
        <v>160</v>
      </c>
      <c r="U238" s="368"/>
      <c r="V238" s="407" t="s">
        <v>160</v>
      </c>
      <c r="W238" s="404" t="s">
        <v>160</v>
      </c>
      <c r="X238" s="404" t="s">
        <v>160</v>
      </c>
      <c r="Y238" s="404" t="s">
        <v>160</v>
      </c>
      <c r="Z238" s="404" t="s">
        <v>160</v>
      </c>
      <c r="AA238" s="404" t="s">
        <v>160</v>
      </c>
      <c r="AB238" s="404" t="s">
        <v>160</v>
      </c>
      <c r="AC238" s="404"/>
      <c r="AD238" s="406" t="s">
        <v>160</v>
      </c>
      <c r="AE238" s="368"/>
      <c r="AF238" s="447" t="str">
        <f>IF([1]RENAME!$H$3=1,B238,A238)</f>
        <v>4T12</v>
      </c>
      <c r="AG238" s="448" t="s">
        <v>160</v>
      </c>
      <c r="AH238" s="449" t="s">
        <v>160</v>
      </c>
      <c r="AI238" s="449" t="s">
        <v>160</v>
      </c>
      <c r="AJ238" s="449" t="s">
        <v>160</v>
      </c>
      <c r="AK238" s="449" t="s">
        <v>160</v>
      </c>
      <c r="AL238" s="449" t="s">
        <v>160</v>
      </c>
      <c r="AM238" s="449" t="s">
        <v>160</v>
      </c>
      <c r="AN238" s="671" t="s">
        <v>160</v>
      </c>
      <c r="AO238" s="450" t="s">
        <v>160</v>
      </c>
      <c r="AP238" s="368"/>
      <c r="AQ238" s="444" t="s">
        <v>160</v>
      </c>
      <c r="AR238" s="445" t="s">
        <v>160</v>
      </c>
      <c r="AS238" s="445" t="s">
        <v>160</v>
      </c>
      <c r="AT238" s="445" t="s">
        <v>160</v>
      </c>
      <c r="AU238" s="446" t="s">
        <v>160</v>
      </c>
      <c r="AV238" s="365"/>
      <c r="AW238" s="444" t="s">
        <v>160</v>
      </c>
      <c r="AX238" s="445" t="s">
        <v>160</v>
      </c>
      <c r="AY238" s="445" t="s">
        <v>160</v>
      </c>
      <c r="AZ238" s="445" t="s">
        <v>160</v>
      </c>
      <c r="BA238" s="446" t="s">
        <v>160</v>
      </c>
      <c r="BB238" s="365"/>
      <c r="BC238" s="410">
        <f t="shared" si="121"/>
        <v>0.13021530185157273</v>
      </c>
      <c r="BD238" s="411">
        <f t="shared" si="122"/>
        <v>0.19672447849515687</v>
      </c>
    </row>
    <row r="239" spans="1:56" ht="12.75" customHeight="1" outlineLevel="1" x14ac:dyDescent="0.2">
      <c r="A239" s="365" t="s">
        <v>3</v>
      </c>
      <c r="B239" s="365" t="str">
        <f t="shared" si="120"/>
        <v>1Q13</v>
      </c>
      <c r="C239" s="365"/>
      <c r="D239" s="440" t="str">
        <f>IF([1]RENAME!$H$3=1,B239,A239)</f>
        <v>1T13</v>
      </c>
      <c r="E239" s="403">
        <f>+SUMIFS('Dados Mercado'!E:E,'Dados Mercado'!$C:$C,$D239)</f>
        <v>893929</v>
      </c>
      <c r="F239" s="404">
        <f>+SUMIFS('Dados Mercado'!F:F,'Dados Mercado'!$C:$C,$D239)</f>
        <v>788514</v>
      </c>
      <c r="G239" s="406">
        <f>+SUMIFS('Dados Mercado'!G:G,'Dados Mercado'!$C:$C,$D239)</f>
        <v>105415</v>
      </c>
      <c r="H239" s="368"/>
      <c r="I239" s="403" t="s">
        <v>160</v>
      </c>
      <c r="J239" s="405" t="s">
        <v>160</v>
      </c>
      <c r="K239" s="451" t="s">
        <v>160</v>
      </c>
      <c r="L239" s="368"/>
      <c r="M239" s="407">
        <f>+SUMIFS('Dados Mercado'!M:M,'Dados Mercado'!$C:$C,$D239)</f>
        <v>809031</v>
      </c>
      <c r="N239" s="406">
        <f>+SUMIFS('Dados Mercado'!N:N,'Dados Mercado'!$C:$C,$D239)</f>
        <v>137078</v>
      </c>
      <c r="O239" s="368"/>
      <c r="P239" s="407" t="s">
        <v>160</v>
      </c>
      <c r="Q239" s="406" t="s">
        <v>160</v>
      </c>
      <c r="R239" s="368"/>
      <c r="S239" s="407" t="s">
        <v>160</v>
      </c>
      <c r="T239" s="406" t="s">
        <v>160</v>
      </c>
      <c r="U239" s="368"/>
      <c r="V239" s="407" t="s">
        <v>160</v>
      </c>
      <c r="W239" s="404" t="s">
        <v>160</v>
      </c>
      <c r="X239" s="404" t="s">
        <v>160</v>
      </c>
      <c r="Y239" s="404" t="s">
        <v>160</v>
      </c>
      <c r="Z239" s="404" t="s">
        <v>160</v>
      </c>
      <c r="AA239" s="404" t="s">
        <v>160</v>
      </c>
      <c r="AB239" s="404" t="s">
        <v>160</v>
      </c>
      <c r="AC239" s="404"/>
      <c r="AD239" s="406" t="s">
        <v>160</v>
      </c>
      <c r="AE239" s="368"/>
      <c r="AF239" s="440" t="str">
        <f>IF([1]RENAME!$H$3=1,B239,A239)</f>
        <v>1T13</v>
      </c>
      <c r="AG239" s="448" t="s">
        <v>160</v>
      </c>
      <c r="AH239" s="449" t="s">
        <v>160</v>
      </c>
      <c r="AI239" s="449" t="s">
        <v>160</v>
      </c>
      <c r="AJ239" s="449" t="s">
        <v>160</v>
      </c>
      <c r="AK239" s="449" t="s">
        <v>160</v>
      </c>
      <c r="AL239" s="449" t="s">
        <v>160</v>
      </c>
      <c r="AM239" s="449" t="s">
        <v>160</v>
      </c>
      <c r="AN239" s="671" t="s">
        <v>160</v>
      </c>
      <c r="AO239" s="450" t="s">
        <v>160</v>
      </c>
      <c r="AP239" s="368"/>
      <c r="AQ239" s="444" t="s">
        <v>160</v>
      </c>
      <c r="AR239" s="445" t="s">
        <v>160</v>
      </c>
      <c r="AS239" s="445" t="s">
        <v>160</v>
      </c>
      <c r="AT239" s="445" t="s">
        <v>160</v>
      </c>
      <c r="AU239" s="446" t="s">
        <v>160</v>
      </c>
      <c r="AV239" s="365"/>
      <c r="AW239" s="444" t="s">
        <v>160</v>
      </c>
      <c r="AX239" s="445" t="s">
        <v>160</v>
      </c>
      <c r="AY239" s="445" t="s">
        <v>160</v>
      </c>
      <c r="AZ239" s="445" t="s">
        <v>160</v>
      </c>
      <c r="BA239" s="446" t="s">
        <v>160</v>
      </c>
      <c r="BB239" s="365"/>
      <c r="BC239" s="410">
        <f t="shared" si="121"/>
        <v>0.13029785014418482</v>
      </c>
      <c r="BD239" s="411">
        <f t="shared" si="122"/>
        <v>0.17384345744019764</v>
      </c>
    </row>
    <row r="240" spans="1:56" ht="12.75" customHeight="1" outlineLevel="1" x14ac:dyDescent="0.2">
      <c r="A240" s="365" t="s">
        <v>2</v>
      </c>
      <c r="B240" s="365" t="str">
        <f t="shared" si="120"/>
        <v>2Q13</v>
      </c>
      <c r="C240" s="365"/>
      <c r="D240" s="447" t="str">
        <f>IF([1]RENAME!$H$3=1,B240,A240)</f>
        <v>2T13</v>
      </c>
      <c r="E240" s="403">
        <f>+SUMIFS('Dados Mercado'!E:E,'Dados Mercado'!$C:$C,$D240)</f>
        <v>1062663</v>
      </c>
      <c r="F240" s="404">
        <f>+SUMIFS('Dados Mercado'!F:F,'Dados Mercado'!$C:$C,$D240)</f>
        <v>921018</v>
      </c>
      <c r="G240" s="406">
        <f>+SUMIFS('Dados Mercado'!G:G,'Dados Mercado'!$C:$C,$D240)</f>
        <v>141645</v>
      </c>
      <c r="H240" s="368"/>
      <c r="I240" s="403" t="s">
        <v>160</v>
      </c>
      <c r="J240" s="405" t="s">
        <v>160</v>
      </c>
      <c r="K240" s="451" t="s">
        <v>160</v>
      </c>
      <c r="L240" s="368"/>
      <c r="M240" s="407">
        <f>+SUMIFS('Dados Mercado'!M:M,'Dados Mercado'!$C:$C,$D240)</f>
        <v>958596</v>
      </c>
      <c r="N240" s="406">
        <f>+SUMIFS('Dados Mercado'!N:N,'Dados Mercado'!$C:$C,$D240)</f>
        <v>205135</v>
      </c>
      <c r="O240" s="368"/>
      <c r="P240" s="407" t="s">
        <v>160</v>
      </c>
      <c r="Q240" s="406" t="s">
        <v>160</v>
      </c>
      <c r="R240" s="368"/>
      <c r="S240" s="407" t="s">
        <v>160</v>
      </c>
      <c r="T240" s="406" t="s">
        <v>160</v>
      </c>
      <c r="U240" s="368"/>
      <c r="V240" s="407" t="s">
        <v>160</v>
      </c>
      <c r="W240" s="404" t="s">
        <v>160</v>
      </c>
      <c r="X240" s="404" t="s">
        <v>160</v>
      </c>
      <c r="Y240" s="404" t="s">
        <v>160</v>
      </c>
      <c r="Z240" s="404" t="s">
        <v>160</v>
      </c>
      <c r="AA240" s="404" t="s">
        <v>160</v>
      </c>
      <c r="AB240" s="404" t="s">
        <v>160</v>
      </c>
      <c r="AC240" s="404"/>
      <c r="AD240" s="406" t="s">
        <v>160</v>
      </c>
      <c r="AE240" s="368"/>
      <c r="AF240" s="447" t="str">
        <f>IF([1]RENAME!$H$3=1,B240,A240)</f>
        <v>2T13</v>
      </c>
      <c r="AG240" s="448" t="s">
        <v>160</v>
      </c>
      <c r="AH240" s="449" t="s">
        <v>160</v>
      </c>
      <c r="AI240" s="449" t="s">
        <v>160</v>
      </c>
      <c r="AJ240" s="449" t="s">
        <v>160</v>
      </c>
      <c r="AK240" s="449" t="s">
        <v>160</v>
      </c>
      <c r="AL240" s="449" t="s">
        <v>160</v>
      </c>
      <c r="AM240" s="449" t="s">
        <v>160</v>
      </c>
      <c r="AN240" s="671" t="s">
        <v>160</v>
      </c>
      <c r="AO240" s="450" t="s">
        <v>160</v>
      </c>
      <c r="AP240" s="368"/>
      <c r="AQ240" s="444" t="s">
        <v>160</v>
      </c>
      <c r="AR240" s="445" t="s">
        <v>160</v>
      </c>
      <c r="AS240" s="445" t="s">
        <v>160</v>
      </c>
      <c r="AT240" s="445" t="s">
        <v>160</v>
      </c>
      <c r="AU240" s="446" t="s">
        <v>160</v>
      </c>
      <c r="AV240" s="365"/>
      <c r="AW240" s="444" t="s">
        <v>160</v>
      </c>
      <c r="AX240" s="445" t="s">
        <v>160</v>
      </c>
      <c r="AY240" s="445" t="s">
        <v>160</v>
      </c>
      <c r="AZ240" s="445" t="s">
        <v>160</v>
      </c>
      <c r="BA240" s="446" t="s">
        <v>160</v>
      </c>
      <c r="BB240" s="365"/>
      <c r="BC240" s="410">
        <f t="shared" si="121"/>
        <v>0.14776297835584543</v>
      </c>
      <c r="BD240" s="411">
        <f t="shared" si="122"/>
        <v>0.22272637451168165</v>
      </c>
    </row>
    <row r="241" spans="1:56" ht="12.75" customHeight="1" outlineLevel="1" x14ac:dyDescent="0.2">
      <c r="A241" s="365" t="s">
        <v>1</v>
      </c>
      <c r="B241" s="365" t="str">
        <f t="shared" si="120"/>
        <v>3Q13</v>
      </c>
      <c r="C241" s="365"/>
      <c r="D241" s="440" t="str">
        <f>IF([1]RENAME!$H$3=1,B241,A241)</f>
        <v>3T13</v>
      </c>
      <c r="E241" s="403">
        <f>+SUMIFS('Dados Mercado'!E:E,'Dados Mercado'!$C:$C,$D241)</f>
        <v>1085575</v>
      </c>
      <c r="F241" s="404">
        <f>+SUMIFS('Dados Mercado'!F:F,'Dados Mercado'!$C:$C,$D241)</f>
        <v>931722</v>
      </c>
      <c r="G241" s="406">
        <f>+SUMIFS('Dados Mercado'!G:G,'Dados Mercado'!$C:$C,$D241)</f>
        <v>153853</v>
      </c>
      <c r="H241" s="368"/>
      <c r="I241" s="403" t="s">
        <v>160</v>
      </c>
      <c r="J241" s="405" t="s">
        <v>160</v>
      </c>
      <c r="K241" s="451" t="s">
        <v>160</v>
      </c>
      <c r="L241" s="368"/>
      <c r="M241" s="407">
        <f>+SUMIFS('Dados Mercado'!M:M,'Dados Mercado'!$C:$C,$D241)</f>
        <v>919831</v>
      </c>
      <c r="N241" s="406">
        <f>+SUMIFS('Dados Mercado'!N:N,'Dados Mercado'!$C:$C,$D241)</f>
        <v>189475</v>
      </c>
      <c r="O241" s="368"/>
      <c r="P241" s="407" t="s">
        <v>160</v>
      </c>
      <c r="Q241" s="406" t="s">
        <v>160</v>
      </c>
      <c r="R241" s="368"/>
      <c r="S241" s="407" t="s">
        <v>160</v>
      </c>
      <c r="T241" s="406" t="s">
        <v>160</v>
      </c>
      <c r="U241" s="368"/>
      <c r="V241" s="407" t="s">
        <v>160</v>
      </c>
      <c r="W241" s="404" t="s">
        <v>160</v>
      </c>
      <c r="X241" s="404" t="s">
        <v>160</v>
      </c>
      <c r="Y241" s="404" t="s">
        <v>160</v>
      </c>
      <c r="Z241" s="404" t="s">
        <v>160</v>
      </c>
      <c r="AA241" s="404" t="s">
        <v>160</v>
      </c>
      <c r="AB241" s="404" t="s">
        <v>160</v>
      </c>
      <c r="AC241" s="404"/>
      <c r="AD241" s="406" t="s">
        <v>160</v>
      </c>
      <c r="AE241" s="368"/>
      <c r="AF241" s="440" t="str">
        <f>IF([1]RENAME!$H$3=1,B241,A241)</f>
        <v>3T13</v>
      </c>
      <c r="AG241" s="448" t="s">
        <v>160</v>
      </c>
      <c r="AH241" s="449" t="s">
        <v>160</v>
      </c>
      <c r="AI241" s="449" t="s">
        <v>160</v>
      </c>
      <c r="AJ241" s="449" t="s">
        <v>160</v>
      </c>
      <c r="AK241" s="449" t="s">
        <v>160</v>
      </c>
      <c r="AL241" s="449" t="s">
        <v>160</v>
      </c>
      <c r="AM241" s="449" t="s">
        <v>160</v>
      </c>
      <c r="AN241" s="671" t="s">
        <v>160</v>
      </c>
      <c r="AO241" s="450" t="s">
        <v>160</v>
      </c>
      <c r="AP241" s="368"/>
      <c r="AQ241" s="444" t="s">
        <v>160</v>
      </c>
      <c r="AR241" s="445" t="s">
        <v>160</v>
      </c>
      <c r="AS241" s="445" t="s">
        <v>160</v>
      </c>
      <c r="AT241" s="445" t="s">
        <v>160</v>
      </c>
      <c r="AU241" s="446" t="s">
        <v>160</v>
      </c>
      <c r="AV241" s="365"/>
      <c r="AW241" s="444" t="s">
        <v>160</v>
      </c>
      <c r="AX241" s="445" t="s">
        <v>160</v>
      </c>
      <c r="AY241" s="445" t="s">
        <v>160</v>
      </c>
      <c r="AZ241" s="445" t="s">
        <v>160</v>
      </c>
      <c r="BA241" s="446" t="s">
        <v>160</v>
      </c>
      <c r="BB241" s="365"/>
      <c r="BC241" s="410">
        <f t="shared" si="121"/>
        <v>0.1672622470866931</v>
      </c>
      <c r="BD241" s="411">
        <f t="shared" si="122"/>
        <v>0.20336001511180374</v>
      </c>
    </row>
    <row r="242" spans="1:56" ht="12.75" customHeight="1" outlineLevel="1" x14ac:dyDescent="0.2">
      <c r="A242" s="365" t="s">
        <v>0</v>
      </c>
      <c r="B242" s="365" t="str">
        <f t="shared" si="120"/>
        <v>4Q13</v>
      </c>
      <c r="C242" s="365"/>
      <c r="D242" s="447" t="str">
        <f>IF([1]RENAME!$H$3=1,B242,A242)</f>
        <v>4T13</v>
      </c>
      <c r="E242" s="403">
        <f>+SUMIFS('Dados Mercado'!E:E,'Dados Mercado'!$C:$C,$D242)</f>
        <v>1069248</v>
      </c>
      <c r="F242" s="404">
        <f>+SUMIFS('Dados Mercado'!F:F,'Dados Mercado'!$C:$C,$D242)</f>
        <v>938649</v>
      </c>
      <c r="G242" s="406">
        <f>+SUMIFS('Dados Mercado'!G:G,'Dados Mercado'!$C:$C,$D242)</f>
        <v>130599</v>
      </c>
      <c r="H242" s="368"/>
      <c r="I242" s="403" t="s">
        <v>160</v>
      </c>
      <c r="J242" s="405" t="s">
        <v>160</v>
      </c>
      <c r="K242" s="451" t="s">
        <v>160</v>
      </c>
      <c r="L242" s="368"/>
      <c r="M242" s="407">
        <f>+SUMIFS('Dados Mercado'!M:M,'Dados Mercado'!$C:$C,$D242)</f>
        <v>797722</v>
      </c>
      <c r="N242" s="406">
        <f>+SUMIFS('Dados Mercado'!N:N,'Dados Mercado'!$C:$C,$D242)</f>
        <v>185339</v>
      </c>
      <c r="O242" s="368"/>
      <c r="P242" s="407" t="s">
        <v>160</v>
      </c>
      <c r="Q242" s="406" t="s">
        <v>160</v>
      </c>
      <c r="R242" s="368"/>
      <c r="S242" s="407" t="s">
        <v>160</v>
      </c>
      <c r="T242" s="406" t="s">
        <v>160</v>
      </c>
      <c r="U242" s="368"/>
      <c r="V242" s="407" t="s">
        <v>160</v>
      </c>
      <c r="W242" s="404" t="s">
        <v>160</v>
      </c>
      <c r="X242" s="404" t="s">
        <v>160</v>
      </c>
      <c r="Y242" s="404" t="s">
        <v>160</v>
      </c>
      <c r="Z242" s="404" t="s">
        <v>160</v>
      </c>
      <c r="AA242" s="404" t="s">
        <v>160</v>
      </c>
      <c r="AB242" s="404" t="s">
        <v>160</v>
      </c>
      <c r="AC242" s="404"/>
      <c r="AD242" s="406" t="s">
        <v>160</v>
      </c>
      <c r="AE242" s="368"/>
      <c r="AF242" s="447" t="str">
        <f>IF([1]RENAME!$H$3=1,B242,A242)</f>
        <v>4T13</v>
      </c>
      <c r="AG242" s="448" t="s">
        <v>160</v>
      </c>
      <c r="AH242" s="449" t="s">
        <v>160</v>
      </c>
      <c r="AI242" s="449" t="s">
        <v>160</v>
      </c>
      <c r="AJ242" s="449" t="s">
        <v>160</v>
      </c>
      <c r="AK242" s="449" t="s">
        <v>160</v>
      </c>
      <c r="AL242" s="449" t="s">
        <v>160</v>
      </c>
      <c r="AM242" s="449" t="s">
        <v>160</v>
      </c>
      <c r="AN242" s="671" t="s">
        <v>160</v>
      </c>
      <c r="AO242" s="450" t="s">
        <v>160</v>
      </c>
      <c r="AP242" s="368"/>
      <c r="AQ242" s="444" t="s">
        <v>160</v>
      </c>
      <c r="AR242" s="445" t="s">
        <v>160</v>
      </c>
      <c r="AS242" s="445" t="s">
        <v>160</v>
      </c>
      <c r="AT242" s="445" t="s">
        <v>160</v>
      </c>
      <c r="AU242" s="446" t="s">
        <v>160</v>
      </c>
      <c r="AV242" s="365"/>
      <c r="AW242" s="444" t="s">
        <v>160</v>
      </c>
      <c r="AX242" s="445" t="s">
        <v>160</v>
      </c>
      <c r="AY242" s="445" t="s">
        <v>160</v>
      </c>
      <c r="AZ242" s="445" t="s">
        <v>160</v>
      </c>
      <c r="BA242" s="446" t="s">
        <v>160</v>
      </c>
      <c r="BB242" s="365"/>
      <c r="BC242" s="410">
        <f t="shared" si="121"/>
        <v>0.16371492825821526</v>
      </c>
      <c r="BD242" s="411">
        <f t="shared" si="122"/>
        <v>0.1974529350161775</v>
      </c>
    </row>
    <row r="243" spans="1:56" ht="12.75" customHeight="1" outlineLevel="1" x14ac:dyDescent="0.2">
      <c r="A243" s="365" t="s">
        <v>45</v>
      </c>
      <c r="B243" s="365" t="str">
        <f t="shared" si="120"/>
        <v>1Q14</v>
      </c>
      <c r="C243" s="365"/>
      <c r="D243" s="440" t="str">
        <f>IF([1]RENAME!$H$3=1,B243,A243)</f>
        <v>1T14</v>
      </c>
      <c r="E243" s="403">
        <f>+SUMIFS('Dados Mercado'!E:E,'Dados Mercado'!$C:$C,$D243)</f>
        <v>844225</v>
      </c>
      <c r="F243" s="404">
        <f>+SUMIFS('Dados Mercado'!F:F,'Dados Mercado'!$C:$C,$D243)</f>
        <v>775345</v>
      </c>
      <c r="G243" s="406">
        <f>+SUMIFS('Dados Mercado'!G:G,'Dados Mercado'!$C:$C,$D243)</f>
        <v>68880</v>
      </c>
      <c r="H243" s="368"/>
      <c r="I243" s="403" t="s">
        <v>160</v>
      </c>
      <c r="J243" s="405" t="s">
        <v>160</v>
      </c>
      <c r="K243" s="451" t="s">
        <v>160</v>
      </c>
      <c r="L243" s="368"/>
      <c r="M243" s="407">
        <f>+SUMIFS('Dados Mercado'!M:M,'Dados Mercado'!$C:$C,$D243)</f>
        <v>738994</v>
      </c>
      <c r="N243" s="406">
        <f>+SUMIFS('Dados Mercado'!N:N,'Dados Mercado'!$C:$C,$D243)</f>
        <v>128151</v>
      </c>
      <c r="O243" s="368"/>
      <c r="P243" s="407" t="s">
        <v>160</v>
      </c>
      <c r="Q243" s="406" t="s">
        <v>160</v>
      </c>
      <c r="R243" s="368"/>
      <c r="S243" s="407" t="s">
        <v>160</v>
      </c>
      <c r="T243" s="406" t="s">
        <v>160</v>
      </c>
      <c r="U243" s="368"/>
      <c r="V243" s="407" t="s">
        <v>160</v>
      </c>
      <c r="W243" s="404" t="s">
        <v>160</v>
      </c>
      <c r="X243" s="404" t="s">
        <v>160</v>
      </c>
      <c r="Y243" s="404" t="s">
        <v>160</v>
      </c>
      <c r="Z243" s="404" t="s">
        <v>160</v>
      </c>
      <c r="AA243" s="404" t="s">
        <v>160</v>
      </c>
      <c r="AB243" s="404" t="s">
        <v>160</v>
      </c>
      <c r="AC243" s="404"/>
      <c r="AD243" s="406" t="s">
        <v>160</v>
      </c>
      <c r="AE243" s="368"/>
      <c r="AF243" s="440" t="str">
        <f>IF([1]RENAME!$H$3=1,B243,A243)</f>
        <v>1T14</v>
      </c>
      <c r="AG243" s="448" t="s">
        <v>160</v>
      </c>
      <c r="AH243" s="449" t="s">
        <v>160</v>
      </c>
      <c r="AI243" s="449" t="s">
        <v>160</v>
      </c>
      <c r="AJ243" s="449" t="s">
        <v>160</v>
      </c>
      <c r="AK243" s="449" t="s">
        <v>160</v>
      </c>
      <c r="AL243" s="449" t="s">
        <v>160</v>
      </c>
      <c r="AM243" s="449" t="s">
        <v>160</v>
      </c>
      <c r="AN243" s="671" t="s">
        <v>160</v>
      </c>
      <c r="AO243" s="450" t="s">
        <v>160</v>
      </c>
      <c r="AP243" s="368"/>
      <c r="AQ243" s="444" t="s">
        <v>160</v>
      </c>
      <c r="AR243" s="445" t="s">
        <v>160</v>
      </c>
      <c r="AS243" s="445" t="s">
        <v>160</v>
      </c>
      <c r="AT243" s="445" t="s">
        <v>160</v>
      </c>
      <c r="AU243" s="446" t="s">
        <v>160</v>
      </c>
      <c r="AV243" s="365"/>
      <c r="AW243" s="444" t="s">
        <v>160</v>
      </c>
      <c r="AX243" s="445" t="s">
        <v>160</v>
      </c>
      <c r="AY243" s="445" t="s">
        <v>160</v>
      </c>
      <c r="AZ243" s="445" t="s">
        <v>160</v>
      </c>
      <c r="BA243" s="446" t="s">
        <v>160</v>
      </c>
      <c r="BB243" s="365"/>
      <c r="BC243" s="410">
        <f t="shared" si="121"/>
        <v>9.3207793297374539E-2</v>
      </c>
      <c r="BD243" s="411">
        <f t="shared" si="122"/>
        <v>0.16528255163830294</v>
      </c>
    </row>
    <row r="244" spans="1:56" ht="12.75" customHeight="1" outlineLevel="1" x14ac:dyDescent="0.2">
      <c r="A244" s="365" t="s">
        <v>55</v>
      </c>
      <c r="B244" s="365" t="str">
        <f t="shared" si="120"/>
        <v>2Q14</v>
      </c>
      <c r="C244" s="365"/>
      <c r="D244" s="447" t="str">
        <f>IF([1]RENAME!$H$3=1,B244,A244)</f>
        <v>2T14</v>
      </c>
      <c r="E244" s="403">
        <f>+SUMIFS('Dados Mercado'!E:E,'Dados Mercado'!$C:$C,$D244)</f>
        <v>897411</v>
      </c>
      <c r="F244" s="404">
        <f>+SUMIFS('Dados Mercado'!F:F,'Dados Mercado'!$C:$C,$D244)</f>
        <v>809536</v>
      </c>
      <c r="G244" s="406">
        <f>+SUMIFS('Dados Mercado'!G:G,'Dados Mercado'!$C:$C,$D244)</f>
        <v>87875</v>
      </c>
      <c r="H244" s="368"/>
      <c r="I244" s="403" t="s">
        <v>160</v>
      </c>
      <c r="J244" s="405" t="s">
        <v>160</v>
      </c>
      <c r="K244" s="451" t="s">
        <v>160</v>
      </c>
      <c r="L244" s="368"/>
      <c r="M244" s="407">
        <f>+SUMIFS('Dados Mercado'!M:M,'Dados Mercado'!$C:$C,$D244)</f>
        <v>731858</v>
      </c>
      <c r="N244" s="406">
        <f>+SUMIFS('Dados Mercado'!N:N,'Dados Mercado'!$C:$C,$D244)</f>
        <v>168864</v>
      </c>
      <c r="O244" s="368"/>
      <c r="P244" s="407" t="s">
        <v>160</v>
      </c>
      <c r="Q244" s="406" t="s">
        <v>160</v>
      </c>
      <c r="R244" s="368"/>
      <c r="S244" s="407" t="s">
        <v>160</v>
      </c>
      <c r="T244" s="406" t="s">
        <v>160</v>
      </c>
      <c r="U244" s="368"/>
      <c r="V244" s="407" t="s">
        <v>160</v>
      </c>
      <c r="W244" s="404" t="s">
        <v>160</v>
      </c>
      <c r="X244" s="404" t="s">
        <v>160</v>
      </c>
      <c r="Y244" s="404" t="s">
        <v>160</v>
      </c>
      <c r="Z244" s="404" t="s">
        <v>160</v>
      </c>
      <c r="AA244" s="404" t="s">
        <v>160</v>
      </c>
      <c r="AB244" s="404" t="s">
        <v>160</v>
      </c>
      <c r="AC244" s="404"/>
      <c r="AD244" s="406" t="s">
        <v>160</v>
      </c>
      <c r="AE244" s="368"/>
      <c r="AF244" s="447" t="str">
        <f>IF([1]RENAME!$H$3=1,B244,A244)</f>
        <v>2T14</v>
      </c>
      <c r="AG244" s="448" t="s">
        <v>160</v>
      </c>
      <c r="AH244" s="449" t="s">
        <v>160</v>
      </c>
      <c r="AI244" s="449" t="s">
        <v>160</v>
      </c>
      <c r="AJ244" s="449" t="s">
        <v>160</v>
      </c>
      <c r="AK244" s="449" t="s">
        <v>160</v>
      </c>
      <c r="AL244" s="449" t="s">
        <v>160</v>
      </c>
      <c r="AM244" s="449" t="s">
        <v>160</v>
      </c>
      <c r="AN244" s="671" t="s">
        <v>160</v>
      </c>
      <c r="AO244" s="450" t="s">
        <v>160</v>
      </c>
      <c r="AP244" s="368"/>
      <c r="AQ244" s="444" t="s">
        <v>160</v>
      </c>
      <c r="AR244" s="445" t="s">
        <v>160</v>
      </c>
      <c r="AS244" s="445" t="s">
        <v>160</v>
      </c>
      <c r="AT244" s="445" t="s">
        <v>160</v>
      </c>
      <c r="AU244" s="446" t="s">
        <v>160</v>
      </c>
      <c r="AV244" s="365"/>
      <c r="AW244" s="444" t="s">
        <v>160</v>
      </c>
      <c r="AX244" s="445" t="s">
        <v>160</v>
      </c>
      <c r="AY244" s="445" t="s">
        <v>160</v>
      </c>
      <c r="AZ244" s="445" t="s">
        <v>160</v>
      </c>
      <c r="BA244" s="446" t="s">
        <v>160</v>
      </c>
      <c r="BB244" s="365"/>
      <c r="BC244" s="410">
        <f t="shared" si="121"/>
        <v>0.12007110669009562</v>
      </c>
      <c r="BD244" s="411">
        <f t="shared" si="122"/>
        <v>0.20859356470867263</v>
      </c>
    </row>
    <row r="245" spans="1:56" ht="12.75" customHeight="1" outlineLevel="1" x14ac:dyDescent="0.2">
      <c r="A245" s="365" t="s">
        <v>71</v>
      </c>
      <c r="B245" s="365" t="str">
        <f t="shared" si="120"/>
        <v>3Q14</v>
      </c>
      <c r="C245" s="365"/>
      <c r="D245" s="440" t="str">
        <f>IF([1]RENAME!$H$3=1,B245,A245)</f>
        <v>3T14</v>
      </c>
      <c r="E245" s="403">
        <f>+SUMIFS('Dados Mercado'!E:E,'Dados Mercado'!$C:$C,$D245)</f>
        <v>908290</v>
      </c>
      <c r="F245" s="404">
        <f>+SUMIFS('Dados Mercado'!F:F,'Dados Mercado'!$C:$C,$D245)</f>
        <v>822561</v>
      </c>
      <c r="G245" s="406">
        <f>+SUMIFS('Dados Mercado'!G:G,'Dados Mercado'!$C:$C,$D245)</f>
        <v>85729</v>
      </c>
      <c r="H245" s="368"/>
      <c r="I245" s="403" t="s">
        <v>160</v>
      </c>
      <c r="J245" s="405" t="s">
        <v>160</v>
      </c>
      <c r="K245" s="451" t="s">
        <v>160</v>
      </c>
      <c r="L245" s="368"/>
      <c r="M245" s="407">
        <f>+SUMIFS('Dados Mercado'!M:M,'Dados Mercado'!$C:$C,$D245)</f>
        <v>773464</v>
      </c>
      <c r="N245" s="406">
        <f>+SUMIFS('Dados Mercado'!N:N,'Dados Mercado'!$C:$C,$D245)</f>
        <v>142411</v>
      </c>
      <c r="O245" s="368"/>
      <c r="P245" s="407" t="s">
        <v>160</v>
      </c>
      <c r="Q245" s="406" t="s">
        <v>160</v>
      </c>
      <c r="R245" s="368"/>
      <c r="S245" s="407" t="s">
        <v>160</v>
      </c>
      <c r="T245" s="406" t="s">
        <v>160</v>
      </c>
      <c r="U245" s="368"/>
      <c r="V245" s="407" t="s">
        <v>160</v>
      </c>
      <c r="W245" s="404" t="s">
        <v>160</v>
      </c>
      <c r="X245" s="404" t="s">
        <v>160</v>
      </c>
      <c r="Y245" s="404" t="s">
        <v>160</v>
      </c>
      <c r="Z245" s="404" t="s">
        <v>160</v>
      </c>
      <c r="AA245" s="404" t="s">
        <v>160</v>
      </c>
      <c r="AB245" s="404" t="s">
        <v>160</v>
      </c>
      <c r="AC245" s="404"/>
      <c r="AD245" s="406" t="s">
        <v>160</v>
      </c>
      <c r="AE245" s="368"/>
      <c r="AF245" s="440" t="str">
        <f>IF([1]RENAME!$H$3=1,B245,A245)</f>
        <v>3T14</v>
      </c>
      <c r="AG245" s="448" t="s">
        <v>160</v>
      </c>
      <c r="AH245" s="449" t="s">
        <v>160</v>
      </c>
      <c r="AI245" s="449" t="s">
        <v>160</v>
      </c>
      <c r="AJ245" s="449" t="s">
        <v>160</v>
      </c>
      <c r="AK245" s="449" t="s">
        <v>160</v>
      </c>
      <c r="AL245" s="449" t="s">
        <v>160</v>
      </c>
      <c r="AM245" s="449" t="s">
        <v>160</v>
      </c>
      <c r="AN245" s="671" t="s">
        <v>160</v>
      </c>
      <c r="AO245" s="450" t="s">
        <v>160</v>
      </c>
      <c r="AP245" s="368"/>
      <c r="AQ245" s="444" t="s">
        <v>160</v>
      </c>
      <c r="AR245" s="445" t="s">
        <v>160</v>
      </c>
      <c r="AS245" s="445" t="s">
        <v>160</v>
      </c>
      <c r="AT245" s="445" t="s">
        <v>160</v>
      </c>
      <c r="AU245" s="446" t="s">
        <v>160</v>
      </c>
      <c r="AV245" s="365"/>
      <c r="AW245" s="444" t="s">
        <v>160</v>
      </c>
      <c r="AX245" s="445" t="s">
        <v>160</v>
      </c>
      <c r="AY245" s="445" t="s">
        <v>160</v>
      </c>
      <c r="AZ245" s="445" t="s">
        <v>160</v>
      </c>
      <c r="BA245" s="446" t="s">
        <v>160</v>
      </c>
      <c r="BB245" s="365"/>
      <c r="BC245" s="410">
        <f t="shared" si="121"/>
        <v>0.11083773776155063</v>
      </c>
      <c r="BD245" s="411">
        <f t="shared" si="122"/>
        <v>0.17313123282042303</v>
      </c>
    </row>
    <row r="246" spans="1:56" ht="12.75" customHeight="1" outlineLevel="1" x14ac:dyDescent="0.2">
      <c r="A246" s="365" t="s">
        <v>77</v>
      </c>
      <c r="B246" s="365" t="str">
        <f t="shared" si="120"/>
        <v>4Q14</v>
      </c>
      <c r="C246" s="365"/>
      <c r="D246" s="447" t="str">
        <f>IF([1]RENAME!$H$3=1,B246,A246)</f>
        <v>4T14</v>
      </c>
      <c r="E246" s="403">
        <f>+SUMIFS('Dados Mercado'!E:E,'Dados Mercado'!$C:$C,$D246)</f>
        <v>993627</v>
      </c>
      <c r="F246" s="404">
        <f>+SUMIFS('Dados Mercado'!F:F,'Dados Mercado'!$C:$C,$D246)</f>
        <v>925955</v>
      </c>
      <c r="G246" s="406">
        <f>+SUMIFS('Dados Mercado'!G:G,'Dados Mercado'!$C:$C,$D246)</f>
        <v>67672</v>
      </c>
      <c r="H246" s="368"/>
      <c r="I246" s="403" t="s">
        <v>160</v>
      </c>
      <c r="J246" s="405" t="s">
        <v>160</v>
      </c>
      <c r="K246" s="451" t="s">
        <v>160</v>
      </c>
      <c r="L246" s="368"/>
      <c r="M246" s="407">
        <f>+SUMIFS('Dados Mercado'!M:M,'Dados Mercado'!$C:$C,$D246)</f>
        <v>729168</v>
      </c>
      <c r="N246" s="406">
        <f>+SUMIFS('Dados Mercado'!N:N,'Dados Mercado'!$C:$C,$D246)</f>
        <v>149528</v>
      </c>
      <c r="O246" s="368"/>
      <c r="P246" s="407">
        <f>+SUMIFS('Dados Mercado'!P:P,'Dados Mercado'!$C:$C,$D246)</f>
        <v>97562.124400000001</v>
      </c>
      <c r="Q246" s="406">
        <f>+SUMIFS('Dados Mercado'!Q:Q,'Dados Mercado'!$C:$C,$D246)</f>
        <v>256436.8756</v>
      </c>
      <c r="R246" s="368"/>
      <c r="S246" s="407" t="s">
        <v>160</v>
      </c>
      <c r="T246" s="406" t="s">
        <v>160</v>
      </c>
      <c r="U246" s="368"/>
      <c r="V246" s="407" t="s">
        <v>160</v>
      </c>
      <c r="W246" s="404" t="s">
        <v>160</v>
      </c>
      <c r="X246" s="404" t="s">
        <v>160</v>
      </c>
      <c r="Y246" s="404" t="s">
        <v>160</v>
      </c>
      <c r="Z246" s="404" t="s">
        <v>160</v>
      </c>
      <c r="AA246" s="404" t="s">
        <v>160</v>
      </c>
      <c r="AB246" s="404" t="s">
        <v>160</v>
      </c>
      <c r="AC246" s="404"/>
      <c r="AD246" s="406" t="s">
        <v>160</v>
      </c>
      <c r="AE246" s="368"/>
      <c r="AF246" s="447" t="str">
        <f>IF([1]RENAME!$H$3=1,B246,A246)</f>
        <v>4T14</v>
      </c>
      <c r="AG246" s="448" t="s">
        <v>160</v>
      </c>
      <c r="AH246" s="449" t="s">
        <v>160</v>
      </c>
      <c r="AI246" s="449" t="s">
        <v>160</v>
      </c>
      <c r="AJ246" s="449" t="s">
        <v>160</v>
      </c>
      <c r="AK246" s="449" t="s">
        <v>160</v>
      </c>
      <c r="AL246" s="449" t="s">
        <v>160</v>
      </c>
      <c r="AM246" s="449" t="s">
        <v>160</v>
      </c>
      <c r="AN246" s="671" t="s">
        <v>160</v>
      </c>
      <c r="AO246" s="450" t="s">
        <v>160</v>
      </c>
      <c r="AP246" s="368"/>
      <c r="AQ246" s="444" t="s">
        <v>160</v>
      </c>
      <c r="AR246" s="445" t="s">
        <v>160</v>
      </c>
      <c r="AS246" s="445" t="s">
        <v>160</v>
      </c>
      <c r="AT246" s="445" t="s">
        <v>160</v>
      </c>
      <c r="AU246" s="446" t="s">
        <v>160</v>
      </c>
      <c r="AV246" s="365"/>
      <c r="AW246" s="444" t="s">
        <v>160</v>
      </c>
      <c r="AX246" s="445" t="s">
        <v>160</v>
      </c>
      <c r="AY246" s="445" t="s">
        <v>160</v>
      </c>
      <c r="AZ246" s="445" t="s">
        <v>160</v>
      </c>
      <c r="BA246" s="446" t="s">
        <v>160</v>
      </c>
      <c r="BB246" s="365"/>
      <c r="BC246" s="410">
        <f t="shared" si="121"/>
        <v>9.2807144581221343E-2</v>
      </c>
      <c r="BD246" s="411">
        <f t="shared" si="122"/>
        <v>0.16148516936568191</v>
      </c>
    </row>
    <row r="247" spans="1:56" ht="12.75" customHeight="1" outlineLevel="1" collapsed="1" x14ac:dyDescent="0.2">
      <c r="A247" s="365" t="s">
        <v>87</v>
      </c>
      <c r="B247" s="365" t="str">
        <f t="shared" si="120"/>
        <v>1Q15</v>
      </c>
      <c r="C247" s="365"/>
      <c r="D247" s="440" t="str">
        <f>IF([1]RENAME!$H$3=1,B247,A247)</f>
        <v>1T15</v>
      </c>
      <c r="E247" s="403">
        <f>+SUMIFS('Dados Mercado'!E:E,'Dados Mercado'!$C:$C,$D247)</f>
        <v>723780</v>
      </c>
      <c r="F247" s="404">
        <f>+SUMIFS('Dados Mercado'!F:F,'Dados Mercado'!$C:$C,$D247)</f>
        <v>649865</v>
      </c>
      <c r="G247" s="406">
        <f>+SUMIFS('Dados Mercado'!G:G,'Dados Mercado'!$C:$C,$D247)</f>
        <v>73915</v>
      </c>
      <c r="H247" s="368"/>
      <c r="I247" s="403" t="s">
        <v>160</v>
      </c>
      <c r="J247" s="405" t="s">
        <v>160</v>
      </c>
      <c r="K247" s="451" t="s">
        <v>160</v>
      </c>
      <c r="L247" s="368"/>
      <c r="M247" s="407">
        <f>+SUMIFS('Dados Mercado'!M:M,'Dados Mercado'!$C:$C,$D247)</f>
        <v>636572</v>
      </c>
      <c r="N247" s="406">
        <f>+SUMIFS('Dados Mercado'!N:N,'Dados Mercado'!$C:$C,$D247)</f>
        <v>97930</v>
      </c>
      <c r="O247" s="368"/>
      <c r="P247" s="407">
        <f>+SUMIFS('Dados Mercado'!P:P,'Dados Mercado'!$C:$C,$D247)</f>
        <v>159042.50770000002</v>
      </c>
      <c r="Q247" s="406">
        <f>+SUMIFS('Dados Mercado'!Q:Q,'Dados Mercado'!$C:$C,$D247)</f>
        <v>490822.49229999998</v>
      </c>
      <c r="R247" s="368"/>
      <c r="S247" s="407">
        <f>+SUMIFS('Dados Mercado'!S:S,'Dados Mercado'!$C:$C,$D247)</f>
        <v>2336194</v>
      </c>
      <c r="T247" s="408">
        <f t="shared" ref="T247:T284" si="123">+S247/F247</f>
        <v>3.5948912466435337</v>
      </c>
      <c r="U247" s="368"/>
      <c r="V247" s="407" t="s">
        <v>160</v>
      </c>
      <c r="W247" s="404" t="s">
        <v>160</v>
      </c>
      <c r="X247" s="404" t="s">
        <v>160</v>
      </c>
      <c r="Y247" s="404" t="s">
        <v>160</v>
      </c>
      <c r="Z247" s="404" t="s">
        <v>160</v>
      </c>
      <c r="AA247" s="404" t="s">
        <v>160</v>
      </c>
      <c r="AB247" s="404" t="s">
        <v>160</v>
      </c>
      <c r="AC247" s="404"/>
      <c r="AD247" s="406" t="s">
        <v>160</v>
      </c>
      <c r="AE247" s="368"/>
      <c r="AF247" s="440" t="str">
        <f>IF([1]RENAME!$H$3=1,B247,A247)</f>
        <v>1T15</v>
      </c>
      <c r="AG247" s="448" t="s">
        <v>160</v>
      </c>
      <c r="AH247" s="449" t="s">
        <v>160</v>
      </c>
      <c r="AI247" s="449" t="s">
        <v>160</v>
      </c>
      <c r="AJ247" s="449" t="s">
        <v>160</v>
      </c>
      <c r="AK247" s="449" t="s">
        <v>160</v>
      </c>
      <c r="AL247" s="449" t="s">
        <v>160</v>
      </c>
      <c r="AM247" s="449" t="s">
        <v>160</v>
      </c>
      <c r="AN247" s="671" t="s">
        <v>160</v>
      </c>
      <c r="AO247" s="450" t="s">
        <v>160</v>
      </c>
      <c r="AP247" s="368"/>
      <c r="AQ247" s="444" t="s">
        <v>160</v>
      </c>
      <c r="AR247" s="445" t="s">
        <v>160</v>
      </c>
      <c r="AS247" s="445" t="s">
        <v>160</v>
      </c>
      <c r="AT247" s="445" t="s">
        <v>160</v>
      </c>
      <c r="AU247" s="446" t="s">
        <v>160</v>
      </c>
      <c r="AV247" s="365"/>
      <c r="AW247" s="444" t="s">
        <v>160</v>
      </c>
      <c r="AX247" s="445" t="s">
        <v>160</v>
      </c>
      <c r="AY247" s="445" t="s">
        <v>160</v>
      </c>
      <c r="AZ247" s="445" t="s">
        <v>160</v>
      </c>
      <c r="BA247" s="446" t="s">
        <v>160</v>
      </c>
      <c r="BB247" s="365"/>
      <c r="BC247" s="410">
        <f t="shared" si="121"/>
        <v>0.11611412377547238</v>
      </c>
      <c r="BD247" s="411">
        <f t="shared" si="122"/>
        <v>0.15069283620444246</v>
      </c>
    </row>
    <row r="248" spans="1:56" ht="12.75" customHeight="1" outlineLevel="1" x14ac:dyDescent="0.2">
      <c r="A248" s="365" t="s">
        <v>88</v>
      </c>
      <c r="B248" s="365" t="str">
        <f t="shared" si="120"/>
        <v>2Q15</v>
      </c>
      <c r="C248" s="365"/>
      <c r="D248" s="447" t="str">
        <f>IF([1]RENAME!$H$3=1,B248,A248)</f>
        <v>2T15</v>
      </c>
      <c r="E248" s="403">
        <f>+SUMIFS('Dados Mercado'!E:E,'Dados Mercado'!$C:$C,$D248)</f>
        <v>733218</v>
      </c>
      <c r="F248" s="404">
        <f>+SUMIFS('Dados Mercado'!F:F,'Dados Mercado'!$C:$C,$D248)</f>
        <v>622134</v>
      </c>
      <c r="G248" s="406">
        <f>+SUMIFS('Dados Mercado'!G:G,'Dados Mercado'!$C:$C,$D248)</f>
        <v>111084</v>
      </c>
      <c r="H248" s="368"/>
      <c r="I248" s="403" t="s">
        <v>160</v>
      </c>
      <c r="J248" s="405" t="s">
        <v>160</v>
      </c>
      <c r="K248" s="451" t="s">
        <v>160</v>
      </c>
      <c r="L248" s="368"/>
      <c r="M248" s="407">
        <f>+SUMIFS('Dados Mercado'!M:M,'Dados Mercado'!$C:$C,$D248)</f>
        <v>597804</v>
      </c>
      <c r="N248" s="406">
        <f>+SUMIFS('Dados Mercado'!N:N,'Dados Mercado'!$C:$C,$D248)</f>
        <v>115028</v>
      </c>
      <c r="O248" s="368"/>
      <c r="P248" s="407">
        <f>+SUMIFS('Dados Mercado'!P:P,'Dados Mercado'!$C:$C,$D248)</f>
        <v>185539.52039999998</v>
      </c>
      <c r="Q248" s="406">
        <f>+SUMIFS('Dados Mercado'!Q:Q,'Dados Mercado'!$C:$C,$D248)</f>
        <v>436594.47960000002</v>
      </c>
      <c r="R248" s="368"/>
      <c r="S248" s="407">
        <f>+SUMIFS('Dados Mercado'!S:S,'Dados Mercado'!$C:$C,$D248)</f>
        <v>2469723</v>
      </c>
      <c r="T248" s="408">
        <f t="shared" si="123"/>
        <v>3.9697605339042714</v>
      </c>
      <c r="U248" s="368"/>
      <c r="V248" s="407" t="s">
        <v>160</v>
      </c>
      <c r="W248" s="404" t="s">
        <v>160</v>
      </c>
      <c r="X248" s="404" t="s">
        <v>160</v>
      </c>
      <c r="Y248" s="404" t="s">
        <v>160</v>
      </c>
      <c r="Z248" s="404" t="s">
        <v>160</v>
      </c>
      <c r="AA248" s="404" t="s">
        <v>160</v>
      </c>
      <c r="AB248" s="404" t="s">
        <v>160</v>
      </c>
      <c r="AC248" s="404"/>
      <c r="AD248" s="406" t="s">
        <v>160</v>
      </c>
      <c r="AE248" s="368"/>
      <c r="AF248" s="447" t="str">
        <f>IF([1]RENAME!$H$3=1,B248,A248)</f>
        <v>2T15</v>
      </c>
      <c r="AG248" s="448" t="s">
        <v>160</v>
      </c>
      <c r="AH248" s="449" t="s">
        <v>160</v>
      </c>
      <c r="AI248" s="449" t="s">
        <v>160</v>
      </c>
      <c r="AJ248" s="449" t="s">
        <v>160</v>
      </c>
      <c r="AK248" s="449" t="s">
        <v>160</v>
      </c>
      <c r="AL248" s="449" t="s">
        <v>160</v>
      </c>
      <c r="AM248" s="449" t="s">
        <v>160</v>
      </c>
      <c r="AN248" s="671" t="s">
        <v>160</v>
      </c>
      <c r="AO248" s="450" t="s">
        <v>160</v>
      </c>
      <c r="AP248" s="368"/>
      <c r="AQ248" s="444" t="s">
        <v>160</v>
      </c>
      <c r="AR248" s="445" t="s">
        <v>160</v>
      </c>
      <c r="AS248" s="445" t="s">
        <v>160</v>
      </c>
      <c r="AT248" s="445" t="s">
        <v>160</v>
      </c>
      <c r="AU248" s="446" t="s">
        <v>160</v>
      </c>
      <c r="AV248" s="365"/>
      <c r="AW248" s="444" t="s">
        <v>160</v>
      </c>
      <c r="AX248" s="445" t="s">
        <v>160</v>
      </c>
      <c r="AY248" s="445" t="s">
        <v>160</v>
      </c>
      <c r="AZ248" s="445" t="s">
        <v>160</v>
      </c>
      <c r="BA248" s="446" t="s">
        <v>160</v>
      </c>
      <c r="BB248" s="365"/>
      <c r="BC248" s="410">
        <f t="shared" si="121"/>
        <v>0.18582010157175261</v>
      </c>
      <c r="BD248" s="411">
        <f t="shared" si="122"/>
        <v>0.18489264370698275</v>
      </c>
    </row>
    <row r="249" spans="1:56" ht="12.75" customHeight="1" outlineLevel="1" x14ac:dyDescent="0.2">
      <c r="A249" s="365" t="s">
        <v>378</v>
      </c>
      <c r="B249" s="365" t="str">
        <f t="shared" si="120"/>
        <v>3Q15</v>
      </c>
      <c r="C249" s="365"/>
      <c r="D249" s="440" t="str">
        <f>IF([1]RENAME!$H$3=1,B249,A249)</f>
        <v>3T15</v>
      </c>
      <c r="E249" s="403">
        <f>+SUMIFS('Dados Mercado'!E:E,'Dados Mercado'!$C:$C,$D249)</f>
        <v>701746</v>
      </c>
      <c r="F249" s="404">
        <f>+SUMIFS('Dados Mercado'!F:F,'Dados Mercado'!$C:$C,$D249)</f>
        <v>612651</v>
      </c>
      <c r="G249" s="406">
        <f>+SUMIFS('Dados Mercado'!G:G,'Dados Mercado'!$C:$C,$D249)</f>
        <v>89095</v>
      </c>
      <c r="H249" s="368"/>
      <c r="I249" s="403" t="s">
        <v>160</v>
      </c>
      <c r="J249" s="405" t="s">
        <v>160</v>
      </c>
      <c r="K249" s="451" t="s">
        <v>160</v>
      </c>
      <c r="L249" s="368"/>
      <c r="M249" s="407">
        <f>+SUMIFS('Dados Mercado'!M:M,'Dados Mercado'!$C:$C,$D249)</f>
        <v>594004</v>
      </c>
      <c r="N249" s="406">
        <f>+SUMIFS('Dados Mercado'!N:N,'Dados Mercado'!$C:$C,$D249)</f>
        <v>100687</v>
      </c>
      <c r="O249" s="368"/>
      <c r="P249" s="407">
        <f>+SUMIFS('Dados Mercado'!P:P,'Dados Mercado'!$C:$C,$D249)</f>
        <v>184548.44500000001</v>
      </c>
      <c r="Q249" s="406">
        <f>+SUMIFS('Dados Mercado'!Q:Q,'Dados Mercado'!$C:$C,$D249)</f>
        <v>428102.55500000005</v>
      </c>
      <c r="R249" s="368"/>
      <c r="S249" s="407">
        <f>+SUMIFS('Dados Mercado'!S:S,'Dados Mercado'!$C:$C,$D249)</f>
        <v>2670649</v>
      </c>
      <c r="T249" s="408">
        <f t="shared" si="123"/>
        <v>4.359168596803074</v>
      </c>
      <c r="U249" s="368"/>
      <c r="V249" s="407" t="s">
        <v>160</v>
      </c>
      <c r="W249" s="404" t="s">
        <v>160</v>
      </c>
      <c r="X249" s="404" t="s">
        <v>160</v>
      </c>
      <c r="Y249" s="404" t="s">
        <v>160</v>
      </c>
      <c r="Z249" s="404" t="s">
        <v>160</v>
      </c>
      <c r="AA249" s="404" t="s">
        <v>160</v>
      </c>
      <c r="AB249" s="404" t="s">
        <v>160</v>
      </c>
      <c r="AC249" s="404"/>
      <c r="AD249" s="406" t="s">
        <v>160</v>
      </c>
      <c r="AE249" s="368"/>
      <c r="AF249" s="440" t="str">
        <f>IF([1]RENAME!$H$3=1,B249,A249)</f>
        <v>3T15</v>
      </c>
      <c r="AG249" s="448" t="s">
        <v>160</v>
      </c>
      <c r="AH249" s="449" t="s">
        <v>160</v>
      </c>
      <c r="AI249" s="449" t="s">
        <v>160</v>
      </c>
      <c r="AJ249" s="449" t="s">
        <v>160</v>
      </c>
      <c r="AK249" s="449" t="s">
        <v>160</v>
      </c>
      <c r="AL249" s="449" t="s">
        <v>160</v>
      </c>
      <c r="AM249" s="449" t="s">
        <v>160</v>
      </c>
      <c r="AN249" s="671" t="s">
        <v>160</v>
      </c>
      <c r="AO249" s="450" t="s">
        <v>160</v>
      </c>
      <c r="AP249" s="368"/>
      <c r="AQ249" s="444" t="s">
        <v>160</v>
      </c>
      <c r="AR249" s="445" t="s">
        <v>160</v>
      </c>
      <c r="AS249" s="445" t="s">
        <v>160</v>
      </c>
      <c r="AT249" s="445" t="s">
        <v>160</v>
      </c>
      <c r="AU249" s="446" t="s">
        <v>160</v>
      </c>
      <c r="AV249" s="365"/>
      <c r="AW249" s="444" t="s">
        <v>160</v>
      </c>
      <c r="AX249" s="445" t="s">
        <v>160</v>
      </c>
      <c r="AY249" s="445" t="s">
        <v>160</v>
      </c>
      <c r="AZ249" s="445" t="s">
        <v>160</v>
      </c>
      <c r="BA249" s="446" t="s">
        <v>160</v>
      </c>
      <c r="BB249" s="365"/>
      <c r="BC249" s="410">
        <f t="shared" si="121"/>
        <v>0.14999057245405756</v>
      </c>
      <c r="BD249" s="411">
        <f t="shared" si="122"/>
        <v>0.16434642235138766</v>
      </c>
    </row>
    <row r="250" spans="1:56" ht="12.75" customHeight="1" outlineLevel="1" x14ac:dyDescent="0.2">
      <c r="A250" s="365" t="s">
        <v>405</v>
      </c>
      <c r="B250" s="365" t="str">
        <f t="shared" si="120"/>
        <v>4Q15</v>
      </c>
      <c r="C250" s="365"/>
      <c r="D250" s="447" t="str">
        <f>IF([1]RENAME!$H$3=1,B250,A250)</f>
        <v>4T15</v>
      </c>
      <c r="E250" s="403">
        <f>+SUMIFS('Dados Mercado'!E:E,'Dados Mercado'!$C:$C,$D250)</f>
        <v>710808</v>
      </c>
      <c r="F250" s="404">
        <f>+SUMIFS('Dados Mercado'!F:F,'Dados Mercado'!$C:$C,$D250)</f>
        <v>595879</v>
      </c>
      <c r="G250" s="406">
        <f>+SUMIFS('Dados Mercado'!G:G,'Dados Mercado'!$C:$C,$D250)</f>
        <v>114929</v>
      </c>
      <c r="H250" s="368"/>
      <c r="I250" s="403" t="s">
        <v>160</v>
      </c>
      <c r="J250" s="405" t="s">
        <v>160</v>
      </c>
      <c r="K250" s="451" t="s">
        <v>160</v>
      </c>
      <c r="L250" s="368"/>
      <c r="M250" s="407">
        <f>+SUMIFS('Dados Mercado'!M:M,'Dados Mercado'!$C:$C,$D250)</f>
        <v>505481</v>
      </c>
      <c r="N250" s="406">
        <f>+SUMIFS('Dados Mercado'!N:N,'Dados Mercado'!$C:$C,$D250)</f>
        <v>79225</v>
      </c>
      <c r="O250" s="368"/>
      <c r="P250" s="407">
        <f>+SUMIFS('Dados Mercado'!P:P,'Dados Mercado'!$C:$C,$D250)</f>
        <v>185914.24800000002</v>
      </c>
      <c r="Q250" s="406">
        <f>+SUMIFS('Dados Mercado'!Q:Q,'Dados Mercado'!$C:$C,$D250)</f>
        <v>409964.75199999998</v>
      </c>
      <c r="R250" s="368"/>
      <c r="S250" s="407">
        <f>+SUMIFS('Dados Mercado'!S:S,'Dados Mercado'!$C:$C,$D250)</f>
        <v>2511144</v>
      </c>
      <c r="T250" s="408">
        <f t="shared" si="123"/>
        <v>4.2141844233476933</v>
      </c>
      <c r="U250" s="368"/>
      <c r="V250" s="407" t="s">
        <v>160</v>
      </c>
      <c r="W250" s="404" t="s">
        <v>160</v>
      </c>
      <c r="X250" s="404" t="s">
        <v>160</v>
      </c>
      <c r="Y250" s="404" t="s">
        <v>160</v>
      </c>
      <c r="Z250" s="404" t="s">
        <v>160</v>
      </c>
      <c r="AA250" s="404" t="s">
        <v>160</v>
      </c>
      <c r="AB250" s="404" t="s">
        <v>160</v>
      </c>
      <c r="AC250" s="404"/>
      <c r="AD250" s="406" t="s">
        <v>160</v>
      </c>
      <c r="AE250" s="368"/>
      <c r="AF250" s="447" t="str">
        <f>IF([1]RENAME!$H$3=1,B250,A250)</f>
        <v>4T15</v>
      </c>
      <c r="AG250" s="448" t="s">
        <v>160</v>
      </c>
      <c r="AH250" s="449" t="s">
        <v>160</v>
      </c>
      <c r="AI250" s="449" t="s">
        <v>160</v>
      </c>
      <c r="AJ250" s="449" t="s">
        <v>160</v>
      </c>
      <c r="AK250" s="449" t="s">
        <v>160</v>
      </c>
      <c r="AL250" s="449" t="s">
        <v>160</v>
      </c>
      <c r="AM250" s="449" t="s">
        <v>160</v>
      </c>
      <c r="AN250" s="671" t="s">
        <v>160</v>
      </c>
      <c r="AO250" s="450" t="s">
        <v>160</v>
      </c>
      <c r="AP250" s="368"/>
      <c r="AQ250" s="444" t="s">
        <v>160</v>
      </c>
      <c r="AR250" s="445" t="s">
        <v>160</v>
      </c>
      <c r="AS250" s="445" t="s">
        <v>160</v>
      </c>
      <c r="AT250" s="445" t="s">
        <v>160</v>
      </c>
      <c r="AU250" s="446" t="s">
        <v>160</v>
      </c>
      <c r="AV250" s="365"/>
      <c r="AW250" s="444" t="s">
        <v>160</v>
      </c>
      <c r="AX250" s="445" t="s">
        <v>160</v>
      </c>
      <c r="AY250" s="445" t="s">
        <v>160</v>
      </c>
      <c r="AZ250" s="445" t="s">
        <v>160</v>
      </c>
      <c r="BA250" s="446" t="s">
        <v>160</v>
      </c>
      <c r="BB250" s="365"/>
      <c r="BC250" s="410">
        <f t="shared" si="121"/>
        <v>0.22736561809444866</v>
      </c>
      <c r="BD250" s="411">
        <f t="shared" si="122"/>
        <v>0.13295484485944295</v>
      </c>
    </row>
    <row r="251" spans="1:56" ht="12.75" customHeight="1" outlineLevel="1" x14ac:dyDescent="0.2">
      <c r="A251" s="365" t="s">
        <v>466</v>
      </c>
      <c r="B251" s="365" t="str">
        <f t="shared" si="120"/>
        <v>1Q16</v>
      </c>
      <c r="C251" s="365"/>
      <c r="D251" s="440" t="str">
        <f>IF([1]RENAME!$H$3=1,B251,A251)</f>
        <v>1T16</v>
      </c>
      <c r="E251" s="403">
        <f>+SUMIFS('Dados Mercado'!E:E,'Dados Mercado'!$C:$C,$D251)</f>
        <v>561591</v>
      </c>
      <c r="F251" s="404">
        <f>+SUMIFS('Dados Mercado'!F:F,'Dados Mercado'!$C:$C,$D251)</f>
        <v>465480</v>
      </c>
      <c r="G251" s="406">
        <f>+SUMIFS('Dados Mercado'!G:G,'Dados Mercado'!$C:$C,$D251)</f>
        <v>96111</v>
      </c>
      <c r="H251" s="368"/>
      <c r="I251" s="403" t="s">
        <v>160</v>
      </c>
      <c r="J251" s="405" t="s">
        <v>160</v>
      </c>
      <c r="K251" s="451" t="s">
        <v>160</v>
      </c>
      <c r="L251" s="368"/>
      <c r="M251" s="407">
        <f>+SUMIFS('Dados Mercado'!M:M,'Dados Mercado'!$C:$C,$D251)</f>
        <v>472231</v>
      </c>
      <c r="N251" s="406">
        <f>+SUMIFS('Dados Mercado'!N:N,'Dados Mercado'!$C:$C,$D251)</f>
        <v>47176</v>
      </c>
      <c r="O251" s="368"/>
      <c r="P251" s="407">
        <f>+SUMIFS('Dados Mercado'!P:P,'Dados Mercado'!$C:$C,$D251)</f>
        <v>124630.35070000001</v>
      </c>
      <c r="Q251" s="406">
        <f>+SUMIFS('Dados Mercado'!Q:Q,'Dados Mercado'!$C:$C,$D251)</f>
        <v>340849.64929999999</v>
      </c>
      <c r="R251" s="368"/>
      <c r="S251" s="407">
        <f>+SUMIFS('Dados Mercado'!S:S,'Dados Mercado'!$C:$C,$D251)</f>
        <v>2209169</v>
      </c>
      <c r="T251" s="408">
        <f t="shared" si="123"/>
        <v>4.746001976454413</v>
      </c>
      <c r="U251" s="368"/>
      <c r="V251" s="407">
        <f>+SUMIFS('Dados Mercado'!V:V,'Dados Mercado'!$C:$C,$D251)</f>
        <v>75820</v>
      </c>
      <c r="W251" s="404">
        <f>+SUMIFS('Dados Mercado'!W:W,'Dados Mercado'!$C:$C,$D251)</f>
        <v>63233</v>
      </c>
      <c r="X251" s="404">
        <f>+SUMIFS('Dados Mercado'!X:X,'Dados Mercado'!$C:$C,$D251)</f>
        <v>83909</v>
      </c>
      <c r="Y251" s="404">
        <f>+SUMIFS('Dados Mercado'!Y:Y,'Dados Mercado'!$C:$C,$D251)</f>
        <v>41503</v>
      </c>
      <c r="Z251" s="404">
        <f>+SUMIFS('Dados Mercado'!Z:Z,'Dados Mercado'!$C:$C,$D251)</f>
        <v>45321</v>
      </c>
      <c r="AA251" s="404">
        <f>+SUMIFS('Dados Mercado'!AA:AA,'Dados Mercado'!$C:$C,$D251)</f>
        <v>39755</v>
      </c>
      <c r="AB251" s="404">
        <f>+SUMIFS('Dados Mercado'!AB:AB,'Dados Mercado'!$C:$C,$D251)</f>
        <v>31306</v>
      </c>
      <c r="AC251" s="404">
        <f>+SUMIFS('Dados Mercado'!AC:AC,'Dados Mercado'!$C:$C,$D251)</f>
        <v>0</v>
      </c>
      <c r="AD251" s="406">
        <f>+SUMIFS('Dados Mercado'!AD:AD,'Dados Mercado'!$C:$C,$D251)</f>
        <v>84634</v>
      </c>
      <c r="AE251" s="368"/>
      <c r="AF251" s="440" t="str">
        <f>IF([1]RENAME!$H$3=1,B251,A251)</f>
        <v>1T16</v>
      </c>
      <c r="AG251" s="448">
        <f t="shared" ref="AG251:AG284" si="124">+V251/SUM($V251:$AD251)</f>
        <v>0.16288527351277496</v>
      </c>
      <c r="AH251" s="449">
        <f t="shared" ref="AH251:AH284" si="125">+W251/SUM($V251:$AD251)</f>
        <v>0.13584442759210366</v>
      </c>
      <c r="AI251" s="449">
        <f t="shared" ref="AI251:AI284" si="126">+X251/SUM($V251:$AD251)</f>
        <v>0.18026299677108196</v>
      </c>
      <c r="AJ251" s="449">
        <f t="shared" ref="AJ251:AJ284" si="127">+Y251/SUM($V251:$AD251)</f>
        <v>8.9161533983127136E-2</v>
      </c>
      <c r="AK251" s="449">
        <f t="shared" ref="AK251:AK284" si="128">+Z251/SUM($V251:$AD251)</f>
        <v>9.7363802174524852E-2</v>
      </c>
      <c r="AL251" s="449">
        <f t="shared" ref="AL251:AL284" si="129">+AA251/SUM($V251:$AD251)</f>
        <v>8.5406278666583596E-2</v>
      </c>
      <c r="AM251" s="449">
        <f t="shared" ref="AM251:AN284" si="130">+AB251/SUM($V251:$AD251)</f>
        <v>6.7255161864823693E-2</v>
      </c>
      <c r="AN251" s="671" t="s">
        <v>160</v>
      </c>
      <c r="AO251" s="450">
        <f t="shared" ref="AO251:AO284" si="131">+AD251/SUM($V251:$AD251)</f>
        <v>0.18182052543498017</v>
      </c>
      <c r="AP251" s="368"/>
      <c r="AQ251" s="453">
        <f>+SUMIFS('Dados Mercado'!AQ:AQ,'Dados Mercado'!$C:$C,$D251)</f>
        <v>23463.405899999998</v>
      </c>
      <c r="AR251" s="452">
        <f>+SUMIFS('Dados Mercado'!AR:AR,'Dados Mercado'!$C:$C,$D251)</f>
        <v>75576.250500000009</v>
      </c>
      <c r="AS251" s="452">
        <f>+SUMIFS('Dados Mercado'!AS:AS,'Dados Mercado'!$C:$C,$D251)</f>
        <v>47559.897900000004</v>
      </c>
      <c r="AT251" s="452">
        <f>+SUMIFS('Dados Mercado'!AT:AT,'Dados Mercado'!$C:$C,$D251)</f>
        <v>230881.66509999998</v>
      </c>
      <c r="AU251" s="454">
        <f>+SUMIFS('Dados Mercado'!AU:AU,'Dados Mercado'!$C:$C,$D251)</f>
        <v>88031.102799999993</v>
      </c>
      <c r="AV251" s="365"/>
      <c r="AW251" s="410">
        <f t="shared" ref="AW251:AW257" si="132">+AQ251/SUM($AQ251:$AU251)</f>
        <v>5.040340455245633E-2</v>
      </c>
      <c r="AX251" s="412">
        <f t="shared" ref="AX251:AX257" si="133">+AR251/SUM($AQ251:$AU251)</f>
        <v>0.16235069813582695</v>
      </c>
      <c r="AY251" s="412">
        <f t="shared" ref="AY251:BA257" si="134">+AS251/SUM($AQ251:$AU251)</f>
        <v>0.10216678620929533</v>
      </c>
      <c r="AZ251" s="412">
        <f t="shared" si="134"/>
        <v>0.49597326233784489</v>
      </c>
      <c r="BA251" s="411">
        <f t="shared" si="134"/>
        <v>0.18910584876457648</v>
      </c>
      <c r="BB251" s="365"/>
      <c r="BC251" s="410">
        <f t="shared" si="121"/>
        <v>0.20352539329268937</v>
      </c>
      <c r="BD251" s="411">
        <f t="shared" si="122"/>
        <v>0.10134914496863452</v>
      </c>
    </row>
    <row r="252" spans="1:56" ht="12.75" customHeight="1" x14ac:dyDescent="0.2">
      <c r="A252" s="365" t="s">
        <v>500</v>
      </c>
      <c r="B252" s="365" t="str">
        <f t="shared" si="120"/>
        <v>2Q16</v>
      </c>
      <c r="C252" s="365"/>
      <c r="D252" s="447" t="str">
        <f>IF([1]RENAME!$H$3=1,B252,A252)</f>
        <v>2T16</v>
      </c>
      <c r="E252" s="403">
        <f>+SUMIFS('Dados Mercado'!E:E,'Dados Mercado'!$C:$C,$D252)</f>
        <v>614396</v>
      </c>
      <c r="F252" s="404">
        <f>+SUMIFS('Dados Mercado'!F:F,'Dados Mercado'!$C:$C,$D252)</f>
        <v>486784</v>
      </c>
      <c r="G252" s="406">
        <f>+SUMIFS('Dados Mercado'!G:G,'Dados Mercado'!$C:$C,$D252)</f>
        <v>127612</v>
      </c>
      <c r="H252" s="368"/>
      <c r="I252" s="403" t="s">
        <v>160</v>
      </c>
      <c r="J252" s="405" t="s">
        <v>160</v>
      </c>
      <c r="K252" s="451" t="s">
        <v>160</v>
      </c>
      <c r="L252" s="368"/>
      <c r="M252" s="407">
        <f>+SUMIFS('Dados Mercado'!M:M,'Dados Mercado'!$C:$C,$D252)</f>
        <v>512160</v>
      </c>
      <c r="N252" s="406">
        <f>+SUMIFS('Dados Mercado'!N:N,'Dados Mercado'!$C:$C,$D252)</f>
        <v>68996</v>
      </c>
      <c r="O252" s="368"/>
      <c r="P252" s="407">
        <f>+SUMIFS('Dados Mercado'!P:P,'Dados Mercado'!$C:$C,$D252)</f>
        <v>169650.54520000002</v>
      </c>
      <c r="Q252" s="406">
        <f>+SUMIFS('Dados Mercado'!Q:Q,'Dados Mercado'!$C:$C,$D252)</f>
        <v>317133.45479999995</v>
      </c>
      <c r="R252" s="368"/>
      <c r="S252" s="407">
        <f>+SUMIFS('Dados Mercado'!S:S,'Dados Mercado'!$C:$C,$D252)</f>
        <v>2404821</v>
      </c>
      <c r="T252" s="408">
        <f t="shared" si="123"/>
        <v>4.9402219464896131</v>
      </c>
      <c r="U252" s="368"/>
      <c r="V252" s="407">
        <f>+SUMIFS('Dados Mercado'!V:V,'Dados Mercado'!$C:$C,$D252)</f>
        <v>81708</v>
      </c>
      <c r="W252" s="404">
        <f>+SUMIFS('Dados Mercado'!W:W,'Dados Mercado'!$C:$C,$D252)</f>
        <v>63542</v>
      </c>
      <c r="X252" s="404">
        <f>+SUMIFS('Dados Mercado'!X:X,'Dados Mercado'!$C:$C,$D252)</f>
        <v>86801</v>
      </c>
      <c r="Y252" s="404">
        <f>+SUMIFS('Dados Mercado'!Y:Y,'Dados Mercado'!$C:$C,$D252)</f>
        <v>44172</v>
      </c>
      <c r="Z252" s="404">
        <f>+SUMIFS('Dados Mercado'!Z:Z,'Dados Mercado'!$C:$C,$D252)</f>
        <v>49266</v>
      </c>
      <c r="AA252" s="404">
        <f>+SUMIFS('Dados Mercado'!AA:AA,'Dados Mercado'!$C:$C,$D252)</f>
        <v>41730</v>
      </c>
      <c r="AB252" s="404">
        <f>+SUMIFS('Dados Mercado'!AB:AB,'Dados Mercado'!$C:$C,$D252)</f>
        <v>31404</v>
      </c>
      <c r="AC252" s="404">
        <f>+SUMIFS('Dados Mercado'!AC:AC,'Dados Mercado'!$C:$C,$D252)</f>
        <v>0</v>
      </c>
      <c r="AD252" s="406">
        <f>+SUMIFS('Dados Mercado'!AD:AD,'Dados Mercado'!$C:$C,$D252)</f>
        <v>88161</v>
      </c>
      <c r="AE252" s="368"/>
      <c r="AF252" s="447" t="str">
        <f>IF([1]RENAME!$H$3=1,B252,A252)</f>
        <v>2T16</v>
      </c>
      <c r="AG252" s="670">
        <f t="shared" si="124"/>
        <v>0.1678526820930844</v>
      </c>
      <c r="AH252" s="449">
        <f t="shared" si="125"/>
        <v>0.13053428214567447</v>
      </c>
      <c r="AI252" s="449">
        <f t="shared" si="126"/>
        <v>0.17831522810938732</v>
      </c>
      <c r="AJ252" s="449">
        <f t="shared" si="127"/>
        <v>9.0742505916381805E-2</v>
      </c>
      <c r="AK252" s="449">
        <f t="shared" si="128"/>
        <v>0.10120710623192217</v>
      </c>
      <c r="AL252" s="449">
        <f t="shared" si="129"/>
        <v>8.5725907178543254E-2</v>
      </c>
      <c r="AM252" s="449">
        <f t="shared" si="130"/>
        <v>6.451321325269524E-2</v>
      </c>
      <c r="AN252" s="671" t="s">
        <v>160</v>
      </c>
      <c r="AO252" s="450">
        <f t="shared" si="131"/>
        <v>0.18110907507231133</v>
      </c>
      <c r="AP252" s="368"/>
      <c r="AQ252" s="453">
        <f>+SUMIFS('Dados Mercado'!AQ:AQ,'Dados Mercado'!$C:$C,$D252)</f>
        <v>23458.888500000001</v>
      </c>
      <c r="AR252" s="452">
        <f>+SUMIFS('Dados Mercado'!AR:AR,'Dados Mercado'!$C:$C,$D252)</f>
        <v>76641.592699999994</v>
      </c>
      <c r="AS252" s="452">
        <f>+SUMIFS('Dados Mercado'!AS:AS,'Dados Mercado'!$C:$C,$D252)</f>
        <v>45036.698499999999</v>
      </c>
      <c r="AT252" s="452">
        <f>+SUMIFS('Dados Mercado'!AT:AT,'Dados Mercado'!$C:$C,$D252)</f>
        <v>252037.3316</v>
      </c>
      <c r="AU252" s="454">
        <f>+SUMIFS('Dados Mercado'!AU:AU,'Dados Mercado'!$C:$C,$D252)</f>
        <v>89593.253900000011</v>
      </c>
      <c r="AV252" s="365"/>
      <c r="AW252" s="410">
        <f t="shared" si="132"/>
        <v>4.8193184054333101E-2</v>
      </c>
      <c r="AX252" s="412">
        <f t="shared" si="133"/>
        <v>0.15745001657722751</v>
      </c>
      <c r="AY252" s="412">
        <f t="shared" si="134"/>
        <v>9.2521941097507984E-2</v>
      </c>
      <c r="AZ252" s="412">
        <f t="shared" si="134"/>
        <v>0.5177773665773544</v>
      </c>
      <c r="BA252" s="411">
        <f t="shared" si="134"/>
        <v>0.18405749169357694</v>
      </c>
      <c r="BB252" s="365"/>
      <c r="BC252" s="410">
        <f t="shared" si="121"/>
        <v>0.24916432364885974</v>
      </c>
      <c r="BD252" s="411">
        <f t="shared" si="122"/>
        <v>0.14173843018669471</v>
      </c>
    </row>
    <row r="253" spans="1:56" ht="12.75" customHeight="1" x14ac:dyDescent="0.2">
      <c r="A253" s="365" t="s">
        <v>510</v>
      </c>
      <c r="B253" s="365" t="str">
        <f t="shared" si="120"/>
        <v>3Q16</v>
      </c>
      <c r="C253" s="365"/>
      <c r="D253" s="440" t="str">
        <f>IF([1]RENAME!$H$3=1,B253,A253)</f>
        <v>3T16</v>
      </c>
      <c r="E253" s="403">
        <f>+SUMIFS('Dados Mercado'!E:E,'Dados Mercado'!$C:$C,$D253)</f>
        <v>626083</v>
      </c>
      <c r="F253" s="404">
        <f>+SUMIFS('Dados Mercado'!F:F,'Dados Mercado'!$C:$C,$D253)</f>
        <v>508363</v>
      </c>
      <c r="G253" s="406">
        <f>+SUMIFS('Dados Mercado'!G:G,'Dados Mercado'!$C:$C,$D253)</f>
        <v>117720</v>
      </c>
      <c r="H253" s="368"/>
      <c r="I253" s="403" t="s">
        <v>160</v>
      </c>
      <c r="J253" s="405" t="s">
        <v>160</v>
      </c>
      <c r="K253" s="451" t="s">
        <v>160</v>
      </c>
      <c r="L253" s="368"/>
      <c r="M253" s="407">
        <f>+SUMIFS('Dados Mercado'!M:M,'Dados Mercado'!$C:$C,$D253)</f>
        <v>519229</v>
      </c>
      <c r="N253" s="406">
        <f>+SUMIFS('Dados Mercado'!N:N,'Dados Mercado'!$C:$C,$D253)</f>
        <v>57824</v>
      </c>
      <c r="O253" s="368"/>
      <c r="P253" s="407">
        <f>+SUMIFS('Dados Mercado'!P:P,'Dados Mercado'!$C:$C,$D253)</f>
        <v>184111.1422</v>
      </c>
      <c r="Q253" s="406">
        <f>+SUMIFS('Dados Mercado'!Q:Q,'Dados Mercado'!$C:$C,$D253)</f>
        <v>324251.8578</v>
      </c>
      <c r="R253" s="368"/>
      <c r="S253" s="407">
        <f>+SUMIFS('Dados Mercado'!S:S,'Dados Mercado'!$C:$C,$D253)</f>
        <v>2708730</v>
      </c>
      <c r="T253" s="408">
        <f t="shared" si="123"/>
        <v>5.3283382150156484</v>
      </c>
      <c r="U253" s="368"/>
      <c r="V253" s="407">
        <f>+SUMIFS('Dados Mercado'!V:V,'Dados Mercado'!$C:$C,$D253)</f>
        <v>88573</v>
      </c>
      <c r="W253" s="404">
        <f>+SUMIFS('Dados Mercado'!W:W,'Dados Mercado'!$C:$C,$D253)</f>
        <v>51954</v>
      </c>
      <c r="X253" s="404">
        <f>+SUMIFS('Dados Mercado'!X:X,'Dados Mercado'!$C:$C,$D253)</f>
        <v>94284</v>
      </c>
      <c r="Y253" s="404">
        <f>+SUMIFS('Dados Mercado'!Y:Y,'Dados Mercado'!$C:$C,$D253)</f>
        <v>48568</v>
      </c>
      <c r="Z253" s="404">
        <f>+SUMIFS('Dados Mercado'!Z:Z,'Dados Mercado'!$C:$C,$D253)</f>
        <v>57505</v>
      </c>
      <c r="AA253" s="404">
        <f>+SUMIFS('Dados Mercado'!AA:AA,'Dados Mercado'!$C:$C,$D253)</f>
        <v>41905</v>
      </c>
      <c r="AB253" s="404">
        <f>+SUMIFS('Dados Mercado'!AB:AB,'Dados Mercado'!$C:$C,$D253)</f>
        <v>27800</v>
      </c>
      <c r="AC253" s="404">
        <f>+SUMIFS('Dados Mercado'!AC:AC,'Dados Mercado'!$C:$C,$D253)</f>
        <v>0</v>
      </c>
      <c r="AD253" s="406">
        <f>+SUMIFS('Dados Mercado'!AD:AD,'Dados Mercado'!$C:$C,$D253)</f>
        <v>97774</v>
      </c>
      <c r="AE253" s="368"/>
      <c r="AF253" s="440" t="str">
        <f>IF([1]RENAME!$H$3=1,B253,A253)</f>
        <v>3T16</v>
      </c>
      <c r="AG253" s="670">
        <f t="shared" si="124"/>
        <v>0.17423179893107876</v>
      </c>
      <c r="AH253" s="449">
        <f t="shared" si="125"/>
        <v>0.10219862578511811</v>
      </c>
      <c r="AI253" s="449">
        <f t="shared" si="126"/>
        <v>0.18546589740008615</v>
      </c>
      <c r="AJ253" s="449">
        <f t="shared" si="127"/>
        <v>9.5538030895246109E-2</v>
      </c>
      <c r="AK253" s="449">
        <f t="shared" si="128"/>
        <v>0.11311798852394844</v>
      </c>
      <c r="AL253" s="449">
        <f t="shared" si="129"/>
        <v>8.243125483168523E-2</v>
      </c>
      <c r="AM253" s="449">
        <f t="shared" si="130"/>
        <v>5.4685333118263915E-2</v>
      </c>
      <c r="AN253" s="671" t="s">
        <v>160</v>
      </c>
      <c r="AO253" s="450">
        <f t="shared" si="131"/>
        <v>0.19233107051457324</v>
      </c>
      <c r="AP253" s="368"/>
      <c r="AQ253" s="453">
        <f>+SUMIFS('Dados Mercado'!AQ:AQ,'Dados Mercado'!$C:$C,$D253)</f>
        <v>22884.958299999998</v>
      </c>
      <c r="AR253" s="452">
        <f>+SUMIFS('Dados Mercado'!AR:AR,'Dados Mercado'!$C:$C,$D253)</f>
        <v>75811.770900000003</v>
      </c>
      <c r="AS253" s="452">
        <f>+SUMIFS('Dados Mercado'!AS:AS,'Dados Mercado'!$C:$C,$D253)</f>
        <v>47239.7736</v>
      </c>
      <c r="AT253" s="452">
        <f>+SUMIFS('Dados Mercado'!AT:AT,'Dados Mercado'!$C:$C,$D253)</f>
        <v>270430.53339999996</v>
      </c>
      <c r="AU253" s="454">
        <f>+SUMIFS('Dados Mercado'!AU:AU,'Dados Mercado'!$C:$C,$D253)</f>
        <v>91995.638600000006</v>
      </c>
      <c r="AV253" s="365"/>
      <c r="AW253" s="410">
        <f t="shared" si="132"/>
        <v>4.5016991676274029E-2</v>
      </c>
      <c r="AX253" s="412">
        <f t="shared" si="133"/>
        <v>0.14912930208699107</v>
      </c>
      <c r="AY253" s="412">
        <f t="shared" si="134"/>
        <v>9.292533842809185E-2</v>
      </c>
      <c r="AZ253" s="412">
        <f t="shared" si="134"/>
        <v>0.53196378649630938</v>
      </c>
      <c r="BA253" s="411">
        <f t="shared" si="134"/>
        <v>0.18096458131233362</v>
      </c>
      <c r="BB253" s="365"/>
      <c r="BC253" s="410">
        <f t="shared" si="121"/>
        <v>0.22672077253003972</v>
      </c>
      <c r="BD253" s="411">
        <f t="shared" si="122"/>
        <v>0.11374549288598895</v>
      </c>
    </row>
    <row r="254" spans="1:56" ht="12.75" customHeight="1" x14ac:dyDescent="0.2">
      <c r="A254" s="365" t="s">
        <v>538</v>
      </c>
      <c r="B254" s="365" t="str">
        <f t="shared" si="120"/>
        <v>4Q16</v>
      </c>
      <c r="C254" s="365"/>
      <c r="D254" s="447" t="str">
        <f>IF([1]RENAME!$H$3=1,B254,A254)</f>
        <v>4T16</v>
      </c>
      <c r="E254" s="403">
        <f>+SUMIFS('Dados Mercado'!E:E,'Dados Mercado'!$C:$C,$D254)</f>
        <v>675579</v>
      </c>
      <c r="F254" s="404">
        <f>+SUMIFS('Dados Mercado'!F:F,'Dados Mercado'!$C:$C,$D254)</f>
        <v>527966</v>
      </c>
      <c r="G254" s="406">
        <f>+SUMIFS('Dados Mercado'!G:G,'Dados Mercado'!$C:$C,$D254)</f>
        <v>147613</v>
      </c>
      <c r="H254" s="368"/>
      <c r="I254" s="403" t="s">
        <v>160</v>
      </c>
      <c r="J254" s="405" t="s">
        <v>160</v>
      </c>
      <c r="K254" s="451" t="s">
        <v>160</v>
      </c>
      <c r="L254" s="368"/>
      <c r="M254" s="407">
        <f>+SUMIFS('Dados Mercado'!M:M,'Dados Mercado'!$C:$C,$D254)</f>
        <v>573549</v>
      </c>
      <c r="N254" s="406">
        <f>+SUMIFS('Dados Mercado'!N:N,'Dados Mercado'!$C:$C,$D254)</f>
        <v>63087</v>
      </c>
      <c r="O254" s="368"/>
      <c r="P254" s="407">
        <f>+SUMIFS('Dados Mercado'!P:P,'Dados Mercado'!$C:$C,$D254)</f>
        <v>197530.5699</v>
      </c>
      <c r="Q254" s="406">
        <f>+SUMIFS('Dados Mercado'!Q:Q,'Dados Mercado'!$C:$C,$D254)</f>
        <v>330435.4301</v>
      </c>
      <c r="R254" s="368"/>
      <c r="S254" s="407">
        <f>+SUMIFS('Dados Mercado'!S:S,'Dados Mercado'!$C:$C,$D254)</f>
        <v>2686047</v>
      </c>
      <c r="T254" s="408">
        <f t="shared" si="123"/>
        <v>5.0875378338756665</v>
      </c>
      <c r="U254" s="368"/>
      <c r="V254" s="407">
        <f>+SUMIFS('Dados Mercado'!V:V,'Dados Mercado'!$C:$C,$D254)</f>
        <v>99780</v>
      </c>
      <c r="W254" s="404">
        <f>+SUMIFS('Dados Mercado'!W:W,'Dados Mercado'!$C:$C,$D254)</f>
        <v>49744</v>
      </c>
      <c r="X254" s="404">
        <f>+SUMIFS('Dados Mercado'!X:X,'Dados Mercado'!$C:$C,$D254)</f>
        <v>99873</v>
      </c>
      <c r="Y254" s="404">
        <f>+SUMIFS('Dados Mercado'!Y:Y,'Dados Mercado'!$C:$C,$D254)</f>
        <v>46645</v>
      </c>
      <c r="Z254" s="404">
        <f>+SUMIFS('Dados Mercado'!Z:Z,'Dados Mercado'!$C:$C,$D254)</f>
        <v>58788</v>
      </c>
      <c r="AA254" s="404">
        <f>+SUMIFS('Dados Mercado'!AA:AA,'Dados Mercado'!$C:$C,$D254)</f>
        <v>48595</v>
      </c>
      <c r="AB254" s="404">
        <f>+SUMIFS('Dados Mercado'!AB:AB,'Dados Mercado'!$C:$C,$D254)</f>
        <v>32041</v>
      </c>
      <c r="AC254" s="404">
        <f>+SUMIFS('Dados Mercado'!AC:AC,'Dados Mercado'!$C:$C,$D254)</f>
        <v>0</v>
      </c>
      <c r="AD254" s="406">
        <f>+SUMIFS('Dados Mercado'!AD:AD,'Dados Mercado'!$C:$C,$D254)</f>
        <v>92502</v>
      </c>
      <c r="AE254" s="368"/>
      <c r="AF254" s="447" t="str">
        <f>IF([1]RENAME!$H$3=1,B254,A254)</f>
        <v>4T16</v>
      </c>
      <c r="AG254" s="670">
        <f t="shared" si="124"/>
        <v>0.18898872658949029</v>
      </c>
      <c r="AH254" s="449">
        <f t="shared" si="125"/>
        <v>9.4217831383720224E-2</v>
      </c>
      <c r="AI254" s="449">
        <f t="shared" si="126"/>
        <v>0.18916487362870477</v>
      </c>
      <c r="AJ254" s="449">
        <f t="shared" si="127"/>
        <v>8.8348157464088736E-2</v>
      </c>
      <c r="AK254" s="449">
        <f t="shared" si="128"/>
        <v>0.11134765743378387</v>
      </c>
      <c r="AL254" s="449">
        <f t="shared" si="129"/>
        <v>9.2041563125037876E-2</v>
      </c>
      <c r="AM254" s="449">
        <f t="shared" si="130"/>
        <v>6.0687390144857266E-2</v>
      </c>
      <c r="AN254" s="671" t="s">
        <v>160</v>
      </c>
      <c r="AO254" s="450">
        <f t="shared" si="131"/>
        <v>0.17520380023031698</v>
      </c>
      <c r="AP254" s="368"/>
      <c r="AQ254" s="453">
        <f>+SUMIFS('Dados Mercado'!AQ:AQ,'Dados Mercado'!$C:$C,$D254)</f>
        <v>23215.357100000001</v>
      </c>
      <c r="AR254" s="452">
        <f>+SUMIFS('Dados Mercado'!AR:AR,'Dados Mercado'!$C:$C,$D254)</f>
        <v>78815.560900000011</v>
      </c>
      <c r="AS254" s="452">
        <f>+SUMIFS('Dados Mercado'!AS:AS,'Dados Mercado'!$C:$C,$D254)</f>
        <v>47004.1829</v>
      </c>
      <c r="AT254" s="452">
        <f>+SUMIFS('Dados Mercado'!AT:AT,'Dados Mercado'!$C:$C,$D254)</f>
        <v>283079.00790000003</v>
      </c>
      <c r="AU254" s="454">
        <f>+SUMIFS('Dados Mercado'!AU:AU,'Dados Mercado'!$C:$C,$D254)</f>
        <v>95854.437699999995</v>
      </c>
      <c r="AV254" s="365"/>
      <c r="AW254" s="410">
        <f t="shared" si="132"/>
        <v>4.3971098759384139E-2</v>
      </c>
      <c r="AX254" s="412">
        <f t="shared" si="133"/>
        <v>0.1492807884531811</v>
      </c>
      <c r="AY254" s="412">
        <f t="shared" si="134"/>
        <v>8.9028377185723123E-2</v>
      </c>
      <c r="AZ254" s="412">
        <f t="shared" si="134"/>
        <v>0.53616642464135877</v>
      </c>
      <c r="BA254" s="411">
        <f t="shared" si="134"/>
        <v>0.18155331096035279</v>
      </c>
      <c r="BB254" s="365"/>
      <c r="BC254" s="410">
        <f t="shared" si="121"/>
        <v>0.25736772272290598</v>
      </c>
      <c r="BD254" s="411">
        <f t="shared" si="122"/>
        <v>0.11949064901906563</v>
      </c>
    </row>
    <row r="255" spans="1:56" ht="12.75" customHeight="1" x14ac:dyDescent="0.2">
      <c r="A255" s="365" t="s">
        <v>567</v>
      </c>
      <c r="B255" s="365" t="str">
        <f t="shared" si="120"/>
        <v>1Q17</v>
      </c>
      <c r="C255" s="365"/>
      <c r="D255" s="440" t="str">
        <f>IF([1]RENAME!$H$3=1,B255,A255)</f>
        <v>1T17</v>
      </c>
      <c r="E255" s="403">
        <f>+SUMIFS('Dados Mercado'!E:E,'Dados Mercado'!$C:$C,$D255)</f>
        <v>626085</v>
      </c>
      <c r="F255" s="404">
        <f>+SUMIFS('Dados Mercado'!F:F,'Dados Mercado'!$C:$C,$D255)</f>
        <v>460582</v>
      </c>
      <c r="G255" s="406">
        <f>+SUMIFS('Dados Mercado'!G:G,'Dados Mercado'!$C:$C,$D255)</f>
        <v>165503</v>
      </c>
      <c r="H255" s="368"/>
      <c r="I255" s="403" t="s">
        <v>160</v>
      </c>
      <c r="J255" s="405" t="s">
        <v>160</v>
      </c>
      <c r="K255" s="451" t="s">
        <v>160</v>
      </c>
      <c r="L255" s="368"/>
      <c r="M255" s="407">
        <f>+SUMIFS('Dados Mercado'!M:M,'Dados Mercado'!$C:$C,$D255)</f>
        <v>597846</v>
      </c>
      <c r="N255" s="406">
        <f>+SUMIFS('Dados Mercado'!N:N,'Dados Mercado'!$C:$C,$D255)</f>
        <v>51686</v>
      </c>
      <c r="O255" s="368"/>
      <c r="P255" s="407">
        <f>+SUMIFS('Dados Mercado'!P:P,'Dados Mercado'!$C:$C,$D255)</f>
        <v>159631.45870000002</v>
      </c>
      <c r="Q255" s="406">
        <f>+SUMIFS('Dados Mercado'!Q:Q,'Dados Mercado'!$C:$C,$D255)</f>
        <v>300949.54129999998</v>
      </c>
      <c r="R255" s="368"/>
      <c r="S255" s="407">
        <f>+SUMIFS('Dados Mercado'!S:S,'Dados Mercado'!$C:$C,$D255)</f>
        <v>2428537</v>
      </c>
      <c r="T255" s="408">
        <f t="shared" si="123"/>
        <v>5.2727570769157284</v>
      </c>
      <c r="U255" s="368"/>
      <c r="V255" s="407">
        <f>+SUMIFS('Dados Mercado'!V:V,'Dados Mercado'!$C:$C,$D255)</f>
        <v>81872</v>
      </c>
      <c r="W255" s="404">
        <f>+SUMIFS('Dados Mercado'!W:W,'Dados Mercado'!$C:$C,$D255)</f>
        <v>58831</v>
      </c>
      <c r="X255" s="404">
        <f>+SUMIFS('Dados Mercado'!X:X,'Dados Mercado'!$C:$C,$D255)</f>
        <v>81934</v>
      </c>
      <c r="Y255" s="404">
        <f>+SUMIFS('Dados Mercado'!Y:Y,'Dados Mercado'!$C:$C,$D255)</f>
        <v>40744</v>
      </c>
      <c r="Z255" s="404">
        <f>+SUMIFS('Dados Mercado'!Z:Z,'Dados Mercado'!$C:$C,$D255)</f>
        <v>50398</v>
      </c>
      <c r="AA255" s="404">
        <f>+SUMIFS('Dados Mercado'!AA:AA,'Dados Mercado'!$C:$C,$D255)</f>
        <v>39681</v>
      </c>
      <c r="AB255" s="404">
        <f>+SUMIFS('Dados Mercado'!AB:AB,'Dados Mercado'!$C:$C,$D255)</f>
        <v>30116</v>
      </c>
      <c r="AC255" s="404">
        <f>+SUMIFS('Dados Mercado'!AC:AC,'Dados Mercado'!$C:$C,$D255)</f>
        <v>0</v>
      </c>
      <c r="AD255" s="406">
        <f>+SUMIFS('Dados Mercado'!AD:AD,'Dados Mercado'!$C:$C,$D255)</f>
        <v>77004</v>
      </c>
      <c r="AE255" s="368"/>
      <c r="AF255" s="440" t="str">
        <f>IF([1]RENAME!$H$3=1,B255,A255)</f>
        <v>1T17</v>
      </c>
      <c r="AG255" s="670">
        <f t="shared" si="124"/>
        <v>0.17775847844022755</v>
      </c>
      <c r="AH255" s="671">
        <f t="shared" si="125"/>
        <v>0.12773242433453472</v>
      </c>
      <c r="AI255" s="671">
        <f t="shared" si="126"/>
        <v>0.17789309131964046</v>
      </c>
      <c r="AJ255" s="671">
        <f t="shared" si="127"/>
        <v>8.846237352902861E-2</v>
      </c>
      <c r="AK255" s="671">
        <f t="shared" si="128"/>
        <v>0.109422901558904</v>
      </c>
      <c r="AL255" s="671">
        <f t="shared" si="129"/>
        <v>8.6154413999739457E-2</v>
      </c>
      <c r="AM255" s="671">
        <f t="shared" si="130"/>
        <v>6.5387120587085845E-2</v>
      </c>
      <c r="AN255" s="671" t="s">
        <v>160</v>
      </c>
      <c r="AO255" s="672">
        <f t="shared" si="131"/>
        <v>0.16718919623083939</v>
      </c>
      <c r="AP255" s="368"/>
      <c r="AQ255" s="453">
        <f>+SUMIFS('Dados Mercado'!AQ:AQ,'Dados Mercado'!$C:$C,$D255)</f>
        <v>21522.241699999999</v>
      </c>
      <c r="AR255" s="452">
        <f>+SUMIFS('Dados Mercado'!AR:AR,'Dados Mercado'!$C:$C,$D255)</f>
        <v>72265.602799999993</v>
      </c>
      <c r="AS255" s="452">
        <f>+SUMIFS('Dados Mercado'!AS:AS,'Dados Mercado'!$C:$C,$D255)</f>
        <v>45196.327999999994</v>
      </c>
      <c r="AT255" s="452">
        <f>+SUMIFS('Dados Mercado'!AT:AT,'Dados Mercado'!$C:$C,$D255)</f>
        <v>236894.16080000001</v>
      </c>
      <c r="AU255" s="454">
        <f>+SUMIFS('Dados Mercado'!AU:AU,'Dados Mercado'!$C:$C,$D255)</f>
        <v>84701.5524</v>
      </c>
      <c r="AV255" s="365"/>
      <c r="AW255" s="410">
        <f t="shared" si="132"/>
        <v>4.6728574929602057E-2</v>
      </c>
      <c r="AX255" s="412">
        <f t="shared" si="133"/>
        <v>0.15690134337970285</v>
      </c>
      <c r="AY255" s="412">
        <f t="shared" si="134"/>
        <v>9.8129183238884976E-2</v>
      </c>
      <c r="AZ255" s="412">
        <f t="shared" si="134"/>
        <v>0.51433891959906752</v>
      </c>
      <c r="BA255" s="411">
        <f t="shared" si="134"/>
        <v>0.18390197885274259</v>
      </c>
      <c r="BB255" s="365"/>
      <c r="BC255" s="410">
        <f t="shared" si="121"/>
        <v>0.27683216079057149</v>
      </c>
      <c r="BD255" s="411">
        <f t="shared" si="122"/>
        <v>0.11221888827613759</v>
      </c>
    </row>
    <row r="256" spans="1:56" ht="12.75" customHeight="1" x14ac:dyDescent="0.2">
      <c r="A256" s="365" t="s">
        <v>575</v>
      </c>
      <c r="B256" s="365" t="str">
        <f t="shared" si="120"/>
        <v>2Q17</v>
      </c>
      <c r="C256" s="365"/>
      <c r="D256" s="447" t="str">
        <f>IF([1]RENAME!$H$3=1,B256,A256)</f>
        <v>2T17</v>
      </c>
      <c r="E256" s="403">
        <f>+SUMIFS('Dados Mercado'!E:E,'Dados Mercado'!$C:$C,$D256)</f>
        <v>723137</v>
      </c>
      <c r="F256" s="404">
        <f>+SUMIFS('Dados Mercado'!F:F,'Dados Mercado'!$C:$C,$D256)</f>
        <v>532511</v>
      </c>
      <c r="G256" s="406">
        <f>+SUMIFS('Dados Mercado'!G:G,'Dados Mercado'!$C:$C,$D256)</f>
        <v>190626</v>
      </c>
      <c r="H256" s="368"/>
      <c r="I256" s="403" t="s">
        <v>160</v>
      </c>
      <c r="J256" s="405" t="s">
        <v>160</v>
      </c>
      <c r="K256" s="451" t="s">
        <v>160</v>
      </c>
      <c r="L256" s="368"/>
      <c r="M256" s="407">
        <f>+SUMIFS('Dados Mercado'!M:M,'Dados Mercado'!$C:$C,$D256)</f>
        <v>633657</v>
      </c>
      <c r="N256" s="406">
        <f>+SUMIFS('Dados Mercado'!N:N,'Dados Mercado'!$C:$C,$D256)</f>
        <v>58769</v>
      </c>
      <c r="O256" s="368"/>
      <c r="P256" s="407">
        <f>+SUMIFS('Dados Mercado'!P:P,'Dados Mercado'!$C:$C,$D256)</f>
        <v>220614.28570000001</v>
      </c>
      <c r="Q256" s="406">
        <f>+SUMIFS('Dados Mercado'!Q:Q,'Dados Mercado'!$C:$C,$D256)</f>
        <v>311896.71429999999</v>
      </c>
      <c r="R256" s="368"/>
      <c r="S256" s="407">
        <f>+SUMIFS('Dados Mercado'!S:S,'Dados Mercado'!$C:$C,$D256)</f>
        <v>2641922</v>
      </c>
      <c r="T256" s="408">
        <f t="shared" si="123"/>
        <v>4.9612533825592333</v>
      </c>
      <c r="U256" s="368"/>
      <c r="V256" s="407">
        <f>+SUMIFS('Dados Mercado'!V:V,'Dados Mercado'!$C:$C,$D256)</f>
        <v>93957</v>
      </c>
      <c r="W256" s="404">
        <f>+SUMIFS('Dados Mercado'!W:W,'Dados Mercado'!$C:$C,$D256)</f>
        <v>66105</v>
      </c>
      <c r="X256" s="404">
        <f>+SUMIFS('Dados Mercado'!X:X,'Dados Mercado'!$C:$C,$D256)</f>
        <v>93693</v>
      </c>
      <c r="Y256" s="404">
        <f>+SUMIFS('Dados Mercado'!Y:Y,'Dados Mercado'!$C:$C,$D256)</f>
        <v>47285</v>
      </c>
      <c r="Z256" s="404">
        <f>+SUMIFS('Dados Mercado'!Z:Z,'Dados Mercado'!$C:$C,$D256)</f>
        <v>57168</v>
      </c>
      <c r="AA256" s="404">
        <f>+SUMIFS('Dados Mercado'!AA:AA,'Dados Mercado'!$C:$C,$D256)</f>
        <v>45421</v>
      </c>
      <c r="AB256" s="404">
        <f>+SUMIFS('Dados Mercado'!AB:AB,'Dados Mercado'!$C:$C,$D256)</f>
        <v>34896</v>
      </c>
      <c r="AC256" s="404">
        <f>+SUMIFS('Dados Mercado'!AC:AC,'Dados Mercado'!$C:$C,$D256)</f>
        <v>0</v>
      </c>
      <c r="AD256" s="406">
        <f>+SUMIFS('Dados Mercado'!AD:AD,'Dados Mercado'!$C:$C,$D256)</f>
        <v>93986</v>
      </c>
      <c r="AE256" s="368"/>
      <c r="AF256" s="447" t="str">
        <f>IF([1]RENAME!$H$3=1,B256,A256)</f>
        <v>2T17</v>
      </c>
      <c r="AG256" s="670">
        <f t="shared" si="124"/>
        <v>0.17644142562313267</v>
      </c>
      <c r="AH256" s="671">
        <f t="shared" si="125"/>
        <v>0.12413828071157215</v>
      </c>
      <c r="AI256" s="671">
        <f t="shared" si="126"/>
        <v>0.17594566121638802</v>
      </c>
      <c r="AJ256" s="671">
        <f t="shared" si="127"/>
        <v>8.8796287776214955E-2</v>
      </c>
      <c r="AK256" s="671">
        <f t="shared" si="128"/>
        <v>0.10735552880597772</v>
      </c>
      <c r="AL256" s="671">
        <f t="shared" si="129"/>
        <v>8.5295890601320909E-2</v>
      </c>
      <c r="AM256" s="671">
        <f t="shared" si="130"/>
        <v>6.5531040673338203E-2</v>
      </c>
      <c r="AN256" s="671" t="s">
        <v>160</v>
      </c>
      <c r="AO256" s="672">
        <f t="shared" si="131"/>
        <v>0.17649588459205537</v>
      </c>
      <c r="AP256" s="368"/>
      <c r="AQ256" s="453">
        <f>+SUMIFS('Dados Mercado'!AQ:AQ,'Dados Mercado'!$C:$C,$D256)</f>
        <v>24620.8658</v>
      </c>
      <c r="AR256" s="452">
        <f>+SUMIFS('Dados Mercado'!AR:AR,'Dados Mercado'!$C:$C,$D256)</f>
        <v>79586.48539999999</v>
      </c>
      <c r="AS256" s="452">
        <f>+SUMIFS('Dados Mercado'!AS:AS,'Dados Mercado'!$C:$C,$D256)</f>
        <v>47922.142499999994</v>
      </c>
      <c r="AT256" s="452">
        <f>+SUMIFS('Dados Mercado'!AT:AT,'Dados Mercado'!$C:$C,$D256)</f>
        <v>290340.32530000003</v>
      </c>
      <c r="AU256" s="454">
        <f>+SUMIFS('Dados Mercado'!AU:AU,'Dados Mercado'!$C:$C,$D256)</f>
        <v>90003.193700000003</v>
      </c>
      <c r="AV256" s="365"/>
      <c r="AW256" s="675">
        <f t="shared" si="132"/>
        <v>4.6238711094775446E-2</v>
      </c>
      <c r="AX256" s="676">
        <f t="shared" si="133"/>
        <v>0.14946576352563376</v>
      </c>
      <c r="AY256" s="676">
        <f t="shared" si="134"/>
        <v>8.9999194995821777E-2</v>
      </c>
      <c r="AZ256" s="676">
        <f t="shared" si="134"/>
        <v>0.54526768188265029</v>
      </c>
      <c r="BA256" s="409">
        <f t="shared" si="134"/>
        <v>0.16902864850111865</v>
      </c>
      <c r="BB256" s="365"/>
      <c r="BC256" s="410">
        <f t="shared" si="121"/>
        <v>0.30083467869841257</v>
      </c>
      <c r="BD256" s="411">
        <f t="shared" si="122"/>
        <v>0.1103620394696072</v>
      </c>
    </row>
    <row r="257" spans="1:56" ht="12.75" customHeight="1" x14ac:dyDescent="0.2">
      <c r="A257" s="365" t="s">
        <v>595</v>
      </c>
      <c r="B257" s="365" t="str">
        <f t="shared" si="120"/>
        <v>3Q17</v>
      </c>
      <c r="C257" s="365"/>
      <c r="D257" s="440" t="str">
        <f>IF([1]RENAME!$H$3=1,B257,A257)</f>
        <v>3T17</v>
      </c>
      <c r="E257" s="403">
        <f>+SUMIFS('Dados Mercado'!E:E,'Dados Mercado'!$C:$C,$D257)</f>
        <v>764893</v>
      </c>
      <c r="F257" s="404">
        <f>+SUMIFS('Dados Mercado'!F:F,'Dados Mercado'!$C:$C,$D257)</f>
        <v>582986</v>
      </c>
      <c r="G257" s="406">
        <f>+SUMIFS('Dados Mercado'!G:G,'Dados Mercado'!$C:$C,$D257)</f>
        <v>181907</v>
      </c>
      <c r="H257" s="368"/>
      <c r="I257" s="403" t="s">
        <v>160</v>
      </c>
      <c r="J257" s="405" t="s">
        <v>160</v>
      </c>
      <c r="K257" s="451" t="s">
        <v>160</v>
      </c>
      <c r="L257" s="368"/>
      <c r="M257" s="407">
        <f>+SUMIFS('Dados Mercado'!M:M,'Dados Mercado'!$C:$C,$D257)</f>
        <v>702748</v>
      </c>
      <c r="N257" s="406">
        <f>+SUMIFS('Dados Mercado'!N:N,'Dados Mercado'!$C:$C,$D257)</f>
        <v>64108</v>
      </c>
      <c r="O257" s="368"/>
      <c r="P257" s="407">
        <f>+SUMIFS('Dados Mercado'!P:P,'Dados Mercado'!$C:$C,$D257)</f>
        <v>239886.503</v>
      </c>
      <c r="Q257" s="406">
        <f>+SUMIFS('Dados Mercado'!Q:Q,'Dados Mercado'!$C:$C,$D257)</f>
        <v>343099.49699999997</v>
      </c>
      <c r="R257" s="368"/>
      <c r="S257" s="407">
        <f>+SUMIFS('Dados Mercado'!S:S,'Dados Mercado'!$C:$C,$D257)</f>
        <v>2868112</v>
      </c>
      <c r="T257" s="408">
        <f t="shared" si="123"/>
        <v>4.9196927541999296</v>
      </c>
      <c r="U257" s="368"/>
      <c r="V257" s="407">
        <f>+SUMIFS('Dados Mercado'!V:V,'Dados Mercado'!$C:$C,$D257)</f>
        <v>107040</v>
      </c>
      <c r="W257" s="404">
        <f>+SUMIFS('Dados Mercado'!W:W,'Dados Mercado'!$C:$C,$D257)</f>
        <v>72247</v>
      </c>
      <c r="X257" s="404">
        <f>+SUMIFS('Dados Mercado'!X:X,'Dados Mercado'!$C:$C,$D257)</f>
        <v>102763</v>
      </c>
      <c r="Y257" s="404">
        <f>+SUMIFS('Dados Mercado'!Y:Y,'Dados Mercado'!$C:$C,$D257)</f>
        <v>50568</v>
      </c>
      <c r="Z257" s="404">
        <f>+SUMIFS('Dados Mercado'!Z:Z,'Dados Mercado'!$C:$C,$D257)</f>
        <v>68972</v>
      </c>
      <c r="AA257" s="404">
        <f>+SUMIFS('Dados Mercado'!AA:AA,'Dados Mercado'!$C:$C,$D257)</f>
        <v>48531</v>
      </c>
      <c r="AB257" s="404">
        <f>+SUMIFS('Dados Mercado'!AB:AB,'Dados Mercado'!$C:$C,$D257)</f>
        <v>31482</v>
      </c>
      <c r="AC257" s="404">
        <f>+SUMIFS('Dados Mercado'!AC:AC,'Dados Mercado'!$C:$C,$D257)</f>
        <v>0</v>
      </c>
      <c r="AD257" s="406">
        <f>+SUMIFS('Dados Mercado'!AD:AD,'Dados Mercado'!$C:$C,$D257)</f>
        <v>101383</v>
      </c>
      <c r="AE257" s="368"/>
      <c r="AF257" s="440" t="str">
        <f>IF([1]RENAME!$H$3=1,B257,A257)</f>
        <v>3T17</v>
      </c>
      <c r="AG257" s="670">
        <f t="shared" si="124"/>
        <v>0.18360646739372816</v>
      </c>
      <c r="AH257" s="671">
        <f t="shared" si="125"/>
        <v>0.12392578895548093</v>
      </c>
      <c r="AI257" s="671">
        <f t="shared" si="126"/>
        <v>0.17627009911044175</v>
      </c>
      <c r="AJ257" s="671">
        <f t="shared" si="127"/>
        <v>8.6739647264256772E-2</v>
      </c>
      <c r="AK257" s="671">
        <f t="shared" si="128"/>
        <v>0.11830815834342506</v>
      </c>
      <c r="AL257" s="671">
        <f t="shared" si="129"/>
        <v>8.3245566788910888E-2</v>
      </c>
      <c r="AM257" s="671">
        <f t="shared" si="130"/>
        <v>5.4001296772135179E-2</v>
      </c>
      <c r="AN257" s="671" t="s">
        <v>160</v>
      </c>
      <c r="AO257" s="672">
        <f t="shared" si="131"/>
        <v>0.17390297537162128</v>
      </c>
      <c r="AP257" s="368"/>
      <c r="AQ257" s="453">
        <f>+SUMIFS('Dados Mercado'!AQ:AQ,'Dados Mercado'!$C:$C,$D257)</f>
        <v>26826.621600000002</v>
      </c>
      <c r="AR257" s="452">
        <f>+SUMIFS('Dados Mercado'!AR:AR,'Dados Mercado'!$C:$C,$D257)</f>
        <v>87796.250800000009</v>
      </c>
      <c r="AS257" s="452">
        <f>+SUMIFS('Dados Mercado'!AS:AS,'Dados Mercado'!$C:$C,$D257)</f>
        <v>50331.436999999998</v>
      </c>
      <c r="AT257" s="452">
        <f>+SUMIFS('Dados Mercado'!AT:AT,'Dados Mercado'!$C:$C,$D257)</f>
        <v>320734.53320000001</v>
      </c>
      <c r="AU257" s="454">
        <f>+SUMIFS('Dados Mercado'!AU:AU,'Dados Mercado'!$C:$C,$D257)</f>
        <v>97235.905199999994</v>
      </c>
      <c r="AV257" s="365"/>
      <c r="AW257" s="675">
        <f t="shared" si="132"/>
        <v>4.6020728578166574E-2</v>
      </c>
      <c r="AX257" s="676">
        <f t="shared" si="133"/>
        <v>0.15061335297797765</v>
      </c>
      <c r="AY257" s="676">
        <f t="shared" si="134"/>
        <v>8.6342940816896974E-2</v>
      </c>
      <c r="AZ257" s="676">
        <f t="shared" si="134"/>
        <v>0.55021601743702808</v>
      </c>
      <c r="BA257" s="409">
        <f t="shared" si="134"/>
        <v>0.16680696018993069</v>
      </c>
      <c r="BB257" s="365"/>
      <c r="BC257" s="410">
        <f t="shared" si="121"/>
        <v>0.25885096791452983</v>
      </c>
      <c r="BD257" s="411">
        <f t="shared" si="122"/>
        <v>0.1099649048176114</v>
      </c>
    </row>
    <row r="258" spans="1:56" ht="12.75" customHeight="1" x14ac:dyDescent="0.2">
      <c r="A258" s="365" t="s">
        <v>596</v>
      </c>
      <c r="B258" s="365" t="str">
        <f t="shared" si="120"/>
        <v>4Q17</v>
      </c>
      <c r="C258" s="365"/>
      <c r="D258" s="447" t="str">
        <f>IF([1]RENAME!$H$3=1,B258,A258)</f>
        <v>4T17</v>
      </c>
      <c r="E258" s="403">
        <f>+SUMIFS('Dados Mercado'!E:E,'Dados Mercado'!$C:$C,$D258)</f>
        <v>786479</v>
      </c>
      <c r="F258" s="404">
        <f>+SUMIFS('Dados Mercado'!F:F,'Dados Mercado'!$C:$C,$D258)</f>
        <v>599907</v>
      </c>
      <c r="G258" s="406">
        <f>+SUMIFS('Dados Mercado'!G:G,'Dados Mercado'!$C:$C,$D258)</f>
        <v>186572</v>
      </c>
      <c r="H258" s="368"/>
      <c r="I258" s="403" t="s">
        <v>160</v>
      </c>
      <c r="J258" s="405" t="s">
        <v>160</v>
      </c>
      <c r="K258" s="451" t="s">
        <v>160</v>
      </c>
      <c r="L258" s="368"/>
      <c r="M258" s="407">
        <f>+SUMIFS('Dados Mercado'!M:M,'Dados Mercado'!$C:$C,$D258)</f>
        <v>699318</v>
      </c>
      <c r="N258" s="406">
        <f>+SUMIFS('Dados Mercado'!N:N,'Dados Mercado'!$C:$C,$D258)</f>
        <v>67762</v>
      </c>
      <c r="O258" s="368"/>
      <c r="P258" s="407">
        <f>+SUMIFS('Dados Mercado'!P:P,'Dados Mercado'!$C:$C,$D258)</f>
        <v>250035.48109999998</v>
      </c>
      <c r="Q258" s="406">
        <f>+SUMIFS('Dados Mercado'!Q:Q,'Dados Mercado'!$C:$C,$D258)</f>
        <v>349871.51890000002</v>
      </c>
      <c r="R258" s="368"/>
      <c r="S258" s="407">
        <f>+SUMIFS('Dados Mercado'!S:S,'Dados Mercado'!$C:$C,$D258)</f>
        <v>2792191</v>
      </c>
      <c r="T258" s="408">
        <f t="shared" si="123"/>
        <v>4.6543730944963135</v>
      </c>
      <c r="U258" s="368"/>
      <c r="V258" s="407">
        <f>+SUMIFS('Dados Mercado'!V:V,'Dados Mercado'!$C:$C,$D258)</f>
        <v>111285</v>
      </c>
      <c r="W258" s="404">
        <f>+SUMIFS('Dados Mercado'!W:W,'Dados Mercado'!$C:$C,$D258)</f>
        <v>74935</v>
      </c>
      <c r="X258" s="404">
        <f>+SUMIFS('Dados Mercado'!X:X,'Dados Mercado'!$C:$C,$D258)</f>
        <v>101668</v>
      </c>
      <c r="Y258" s="404">
        <f>+SUMIFS('Dados Mercado'!Y:Y,'Dados Mercado'!$C:$C,$D258)</f>
        <v>52077</v>
      </c>
      <c r="Z258" s="404">
        <f>+SUMIFS('Dados Mercado'!Z:Z,'Dados Mercado'!$C:$C,$D258)</f>
        <v>69412</v>
      </c>
      <c r="AA258" s="404">
        <f>+SUMIFS('Dados Mercado'!AA:AA,'Dados Mercado'!$C:$C,$D258)</f>
        <v>49810</v>
      </c>
      <c r="AB258" s="404">
        <f>+SUMIFS('Dados Mercado'!AB:AB,'Dados Mercado'!$C:$C,$D258)</f>
        <v>34602</v>
      </c>
      <c r="AC258" s="404">
        <f>+SUMIFS('Dados Mercado'!AC:AC,'Dados Mercado'!$C:$C,$D258)</f>
        <v>0</v>
      </c>
      <c r="AD258" s="406">
        <f>+SUMIFS('Dados Mercado'!AD:AD,'Dados Mercado'!$C:$C,$D258)</f>
        <v>106118</v>
      </c>
      <c r="AE258" s="368"/>
      <c r="AF258" s="447" t="str">
        <f>IF([1]RENAME!$H$3=1,B258,A258)</f>
        <v>4T17</v>
      </c>
      <c r="AG258" s="670">
        <f t="shared" si="124"/>
        <v>0.18550375308172767</v>
      </c>
      <c r="AH258" s="671">
        <f t="shared" si="125"/>
        <v>0.12491102787598744</v>
      </c>
      <c r="AI258" s="671">
        <f t="shared" si="126"/>
        <v>0.16947293497158727</v>
      </c>
      <c r="AJ258" s="671">
        <f t="shared" si="127"/>
        <v>8.6808455310573143E-2</v>
      </c>
      <c r="AK258" s="671">
        <f t="shared" si="128"/>
        <v>0.11570460087980304</v>
      </c>
      <c r="AL258" s="671">
        <f t="shared" si="129"/>
        <v>8.302953624478461E-2</v>
      </c>
      <c r="AM258" s="671">
        <f t="shared" si="130"/>
        <v>5.7678940235736539E-2</v>
      </c>
      <c r="AN258" s="671" t="s">
        <v>160</v>
      </c>
      <c r="AO258" s="672">
        <f t="shared" si="131"/>
        <v>0.17689075139980029</v>
      </c>
      <c r="AP258" s="368"/>
      <c r="AQ258" s="593">
        <f>+SUMIFS('Dados Mercado'!AQ:AQ,'Dados Mercado'!$C:$C,$D258)</f>
        <v>29744.921443636376</v>
      </c>
      <c r="AR258" s="594">
        <f>+SUMIFS('Dados Mercado'!AR:AR,'Dados Mercado'!$C:$C,$D258)</f>
        <v>91425.672919999997</v>
      </c>
      <c r="AS258" s="594">
        <f>+SUMIFS('Dados Mercado'!AS:AS,'Dados Mercado'!$C:$C,$D258)</f>
        <v>60395.544460000005</v>
      </c>
      <c r="AT258" s="594">
        <f>+SUMIFS('Dados Mercado'!AT:AT,'Dados Mercado'!$C:$C,$D258)</f>
        <v>315537.26326727273</v>
      </c>
      <c r="AU258" s="595">
        <f>+SUMIFS('Dados Mercado'!AU:AU,'Dados Mercado'!$C:$C,$D258)</f>
        <v>103796.20300727271</v>
      </c>
      <c r="AV258" s="365"/>
      <c r="AW258" s="675">
        <f t="shared" ref="AW258:BA261" si="135">+AQ258/SUM($AQ258:$AU258)</f>
        <v>4.950065067654074E-2</v>
      </c>
      <c r="AX258" s="676">
        <f t="shared" si="135"/>
        <v>0.15214799967302664</v>
      </c>
      <c r="AY258" s="676">
        <f t="shared" si="135"/>
        <v>0.10050854410219141</v>
      </c>
      <c r="AZ258" s="676">
        <f t="shared" si="135"/>
        <v>0.525108122205733</v>
      </c>
      <c r="BA258" s="409">
        <f t="shared" si="135"/>
        <v>0.1727346833425083</v>
      </c>
      <c r="BB258" s="365"/>
      <c r="BC258" s="410">
        <f t="shared" si="121"/>
        <v>0.26679135958176392</v>
      </c>
      <c r="BD258" s="411">
        <f t="shared" si="122"/>
        <v>0.11295417456372404</v>
      </c>
    </row>
    <row r="259" spans="1:56" ht="12.75" customHeight="1" outlineLevel="1" x14ac:dyDescent="0.2">
      <c r="A259" s="365" t="s">
        <v>623</v>
      </c>
      <c r="B259" s="365" t="str">
        <f t="shared" si="120"/>
        <v>1Q18</v>
      </c>
      <c r="C259" s="365"/>
      <c r="D259" s="440" t="str">
        <f>IF([1]RENAME!$H$3=1,B259,A259)</f>
        <v>1T18</v>
      </c>
      <c r="E259" s="403">
        <f>+SUMIFS('Dados Mercado'!E:E,'Dados Mercado'!$C:$C,$D259)</f>
        <v>698647</v>
      </c>
      <c r="F259" s="404">
        <f>+SUMIFS('Dados Mercado'!F:F,'Dados Mercado'!$C:$C,$D259)</f>
        <v>528244</v>
      </c>
      <c r="G259" s="406">
        <f>+SUMIFS('Dados Mercado'!G:G,'Dados Mercado'!$C:$C,$D259)</f>
        <v>170403</v>
      </c>
      <c r="H259" s="368"/>
      <c r="I259" s="403" t="s">
        <v>160</v>
      </c>
      <c r="J259" s="405" t="s">
        <v>160</v>
      </c>
      <c r="K259" s="451" t="s">
        <v>160</v>
      </c>
      <c r="L259" s="368"/>
      <c r="M259" s="407">
        <f>+SUMIFS('Dados Mercado'!M:M,'Dados Mercado'!$C:$C,$D259)</f>
        <v>668934</v>
      </c>
      <c r="N259" s="406">
        <f>+SUMIFS('Dados Mercado'!N:N,'Dados Mercado'!$C:$C,$D259)</f>
        <v>63509</v>
      </c>
      <c r="O259" s="368"/>
      <c r="P259" s="407">
        <f>+SUMIFS('Dados Mercado'!P:P,'Dados Mercado'!$C:$C,$D259)</f>
        <v>192873.70069999999</v>
      </c>
      <c r="Q259" s="406">
        <f>+SUMIFS('Dados Mercado'!Q:Q,'Dados Mercado'!$C:$C,$D259)</f>
        <v>335370.29930000001</v>
      </c>
      <c r="R259" s="368"/>
      <c r="S259" s="407">
        <f>+SUMIFS('Dados Mercado'!S:S,'Dados Mercado'!$C:$C,$D259)</f>
        <v>2460216</v>
      </c>
      <c r="T259" s="408">
        <f t="shared" si="123"/>
        <v>4.6573477408167436</v>
      </c>
      <c r="U259" s="368"/>
      <c r="V259" s="407">
        <f>+SUMIFS('Dados Mercado'!V:V,'Dados Mercado'!$C:$C,$D259)</f>
        <v>91870</v>
      </c>
      <c r="W259" s="404">
        <f>+SUMIFS('Dados Mercado'!W:W,'Dados Mercado'!$C:$C,$D259)</f>
        <v>77475</v>
      </c>
      <c r="X259" s="404">
        <f>+SUMIFS('Dados Mercado'!X:X,'Dados Mercado'!$C:$C,$D259)</f>
        <v>86093</v>
      </c>
      <c r="Y259" s="404">
        <f>+SUMIFS('Dados Mercado'!Y:Y,'Dados Mercado'!$C:$C,$D259)</f>
        <v>43097</v>
      </c>
      <c r="Z259" s="404">
        <f>+SUMIFS('Dados Mercado'!Z:Z,'Dados Mercado'!$C:$C,$D259)</f>
        <v>63914</v>
      </c>
      <c r="AA259" s="404">
        <f>+SUMIFS('Dados Mercado'!AA:AA,'Dados Mercado'!$C:$C,$D259)</f>
        <v>42394</v>
      </c>
      <c r="AB259" s="404">
        <f>+SUMIFS('Dados Mercado'!AB:AB,'Dados Mercado'!$C:$C,$D259)</f>
        <v>33404</v>
      </c>
      <c r="AC259" s="404">
        <f>+SUMIFS('Dados Mercado'!AC:AC,'Dados Mercado'!$C:$C,$D259)</f>
        <v>0</v>
      </c>
      <c r="AD259" s="406">
        <f>+SUMIFS('Dados Mercado'!AD:AD,'Dados Mercado'!$C:$C,$D259)</f>
        <v>89997</v>
      </c>
      <c r="AE259" s="368"/>
      <c r="AF259" s="447" t="str">
        <f>IF([1]RENAME!$H$3=1,B259,A259)</f>
        <v>1T18</v>
      </c>
      <c r="AG259" s="670">
        <f t="shared" si="124"/>
        <v>0.17391584192153625</v>
      </c>
      <c r="AH259" s="671">
        <f t="shared" si="125"/>
        <v>0.14666517745587265</v>
      </c>
      <c r="AI259" s="671">
        <f t="shared" si="126"/>
        <v>0.16297960790846655</v>
      </c>
      <c r="AJ259" s="671">
        <f t="shared" si="127"/>
        <v>8.1585403714949906E-2</v>
      </c>
      <c r="AK259" s="671">
        <f t="shared" si="128"/>
        <v>0.12099332884046009</v>
      </c>
      <c r="AL259" s="671">
        <f t="shared" si="129"/>
        <v>8.0254579323191549E-2</v>
      </c>
      <c r="AM259" s="671">
        <f t="shared" si="130"/>
        <v>6.3235928851061246E-2</v>
      </c>
      <c r="AN259" s="671" t="s">
        <v>160</v>
      </c>
      <c r="AO259" s="672">
        <f t="shared" si="131"/>
        <v>0.17037013198446171</v>
      </c>
      <c r="AP259" s="368"/>
      <c r="AQ259" s="593">
        <f>+SUMIFS('Dados Mercado'!AQ:AQ,'Dados Mercado'!$C:$C,$D259)</f>
        <v>25656.389379999997</v>
      </c>
      <c r="AR259" s="594">
        <f>+SUMIFS('Dados Mercado'!AR:AR,'Dados Mercado'!$C:$C,$D259)</f>
        <v>79281.734906666679</v>
      </c>
      <c r="AS259" s="594">
        <f>+SUMIFS('Dados Mercado'!AS:AS,'Dados Mercado'!$C:$C,$D259)</f>
        <v>51483.94587333333</v>
      </c>
      <c r="AT259" s="594">
        <f>+SUMIFS('Dados Mercado'!AT:AT,'Dados Mercado'!$C:$C,$D259)</f>
        <v>279279.50524666661</v>
      </c>
      <c r="AU259" s="595">
        <f>+SUMIFS('Dados Mercado'!AU:AU,'Dados Mercado'!$C:$C,$D259)</f>
        <v>93018.203126666602</v>
      </c>
      <c r="AV259" s="365"/>
      <c r="AW259" s="675">
        <f t="shared" si="135"/>
        <v>4.8525495776176049E-2</v>
      </c>
      <c r="AX259" s="676">
        <f t="shared" si="135"/>
        <v>0.14995038605628472</v>
      </c>
      <c r="AY259" s="676">
        <f t="shared" si="135"/>
        <v>9.7374730365014178E-2</v>
      </c>
      <c r="AZ259" s="676">
        <f t="shared" si="135"/>
        <v>0.52821838067300408</v>
      </c>
      <c r="BA259" s="409">
        <f t="shared" si="135"/>
        <v>0.17593100712952098</v>
      </c>
      <c r="BB259" s="365"/>
      <c r="BC259" s="410">
        <f t="shared" ref="BC259:BC282" si="136">+G259/M259</f>
        <v>0.25473813560082159</v>
      </c>
      <c r="BD259" s="411">
        <f t="shared" si="122"/>
        <v>0.12022663769015833</v>
      </c>
    </row>
    <row r="260" spans="1:56" ht="12.75" customHeight="1" outlineLevel="1" x14ac:dyDescent="0.2">
      <c r="A260" s="365" t="s">
        <v>624</v>
      </c>
      <c r="B260" s="365" t="str">
        <f t="shared" si="120"/>
        <v>2Q18</v>
      </c>
      <c r="C260" s="365"/>
      <c r="D260" s="447" t="str">
        <f>IF([1]RENAME!$H$3=1,B260,A260)</f>
        <v>2T18</v>
      </c>
      <c r="E260" s="403">
        <f>+SUMIFS('Dados Mercado'!E:E,'Dados Mercado'!$C:$C,$D260)</f>
        <v>790431</v>
      </c>
      <c r="F260" s="404">
        <f>+SUMIFS('Dados Mercado'!F:F,'Dados Mercado'!$C:$C,$D260)</f>
        <v>600898</v>
      </c>
      <c r="G260" s="406">
        <f>+SUMIFS('Dados Mercado'!G:G,'Dados Mercado'!$C:$C,$D260)</f>
        <v>189533</v>
      </c>
      <c r="H260" s="368"/>
      <c r="I260" s="403" t="s">
        <v>160</v>
      </c>
      <c r="J260" s="405" t="s">
        <v>160</v>
      </c>
      <c r="K260" s="451" t="s">
        <v>160</v>
      </c>
      <c r="L260" s="368"/>
      <c r="M260" s="407">
        <f>+SUMIFS('Dados Mercado'!M:M,'Dados Mercado'!$C:$C,$D260)</f>
        <v>701967</v>
      </c>
      <c r="N260" s="406">
        <f>+SUMIFS('Dados Mercado'!N:N,'Dados Mercado'!$C:$C,$D260)</f>
        <v>78841</v>
      </c>
      <c r="O260" s="368"/>
      <c r="P260" s="407">
        <f>+SUMIFS('Dados Mercado'!P:P,'Dados Mercado'!$C:$C,$D260)</f>
        <v>260313.20910000001</v>
      </c>
      <c r="Q260" s="406">
        <f>+SUMIFS('Dados Mercado'!Q:Q,'Dados Mercado'!$C:$C,$D260)</f>
        <v>340584.79090000002</v>
      </c>
      <c r="R260" s="368"/>
      <c r="S260" s="407">
        <f>+SUMIFS('Dados Mercado'!S:S,'Dados Mercado'!$C:$C,$D260)</f>
        <v>2650670</v>
      </c>
      <c r="T260" s="408">
        <f t="shared" si="123"/>
        <v>4.4111812653728251</v>
      </c>
      <c r="U260" s="368"/>
      <c r="V260" s="407">
        <f>+SUMIFS('Dados Mercado'!V:V,'Dados Mercado'!$C:$C,$D260)</f>
        <v>98546</v>
      </c>
      <c r="W260" s="404">
        <f>+SUMIFS('Dados Mercado'!W:W,'Dados Mercado'!$C:$C,$D260)</f>
        <v>88868</v>
      </c>
      <c r="X260" s="404">
        <f>+SUMIFS('Dados Mercado'!X:X,'Dados Mercado'!$C:$C,$D260)</f>
        <v>110279</v>
      </c>
      <c r="Y260" s="404">
        <f>+SUMIFS('Dados Mercado'!Y:Y,'Dados Mercado'!$C:$C,$D260)</f>
        <v>47907</v>
      </c>
      <c r="Z260" s="404">
        <f>+SUMIFS('Dados Mercado'!Z:Z,'Dados Mercado'!$C:$C,$D260)</f>
        <v>76520</v>
      </c>
      <c r="AA260" s="404">
        <f>+SUMIFS('Dados Mercado'!AA:AA,'Dados Mercado'!$C:$C,$D260)</f>
        <v>46229</v>
      </c>
      <c r="AB260" s="404">
        <f>+SUMIFS('Dados Mercado'!AB:AB,'Dados Mercado'!$C:$C,$D260)</f>
        <v>31305</v>
      </c>
      <c r="AC260" s="404">
        <f>+SUMIFS('Dados Mercado'!AC:AC,'Dados Mercado'!$C:$C,$D260)</f>
        <v>0</v>
      </c>
      <c r="AD260" s="406">
        <f>+SUMIFS('Dados Mercado'!AD:AD,'Dados Mercado'!$C:$C,$D260)</f>
        <v>101244</v>
      </c>
      <c r="AE260" s="368"/>
      <c r="AF260" s="447" t="str">
        <f>IF([1]RENAME!$H$3=1,B260,A260)</f>
        <v>2T18</v>
      </c>
      <c r="AG260" s="670">
        <f t="shared" si="124"/>
        <v>0.16399788316819161</v>
      </c>
      <c r="AH260" s="671">
        <f t="shared" si="125"/>
        <v>0.14789198832414152</v>
      </c>
      <c r="AI260" s="671">
        <f t="shared" si="126"/>
        <v>0.18352365958948108</v>
      </c>
      <c r="AJ260" s="671">
        <f t="shared" si="127"/>
        <v>7.972567723640285E-2</v>
      </c>
      <c r="AK260" s="671">
        <f t="shared" si="128"/>
        <v>0.12734274369360524</v>
      </c>
      <c r="AL260" s="671">
        <f t="shared" si="129"/>
        <v>7.693318999231151E-2</v>
      </c>
      <c r="AM260" s="671">
        <f t="shared" si="130"/>
        <v>5.2097028114588502E-2</v>
      </c>
      <c r="AN260" s="671" t="s">
        <v>160</v>
      </c>
      <c r="AO260" s="672">
        <f t="shared" si="131"/>
        <v>0.1684878298812777</v>
      </c>
      <c r="AP260" s="368"/>
      <c r="AQ260" s="593">
        <f>+SUMIFS('Dados Mercado'!AQ:AQ,'Dados Mercado'!$C:$C,$D260)</f>
        <v>30896.9185</v>
      </c>
      <c r="AR260" s="594">
        <f>+SUMIFS('Dados Mercado'!AR:AR,'Dados Mercado'!$C:$C,$D260)</f>
        <v>87515.585900000005</v>
      </c>
      <c r="AS260" s="594">
        <f>+SUMIFS('Dados Mercado'!AS:AS,'Dados Mercado'!$C:$C,$D260)</f>
        <v>58791.588000000003</v>
      </c>
      <c r="AT260" s="594">
        <f>+SUMIFS('Dados Mercado'!AT:AT,'Dados Mercado'!$C:$C,$D260)</f>
        <v>319657.3713</v>
      </c>
      <c r="AU260" s="595">
        <f>+SUMIFS('Dados Mercado'!AU:AU,'Dados Mercado'!$C:$C,$D260)</f>
        <v>105228.28719999999</v>
      </c>
      <c r="AV260" s="365"/>
      <c r="AW260" s="675">
        <f t="shared" si="135"/>
        <v>5.1316134270373279E-2</v>
      </c>
      <c r="AX260" s="676">
        <f t="shared" si="135"/>
        <v>0.14535305703042156</v>
      </c>
      <c r="AY260" s="676">
        <f t="shared" si="135"/>
        <v>9.7645887364996173E-2</v>
      </c>
      <c r="AZ260" s="676">
        <f t="shared" si="135"/>
        <v>0.5309131584156318</v>
      </c>
      <c r="BA260" s="409">
        <f t="shared" si="135"/>
        <v>0.17477176291857718</v>
      </c>
      <c r="BB260" s="365"/>
      <c r="BC260" s="410">
        <f t="shared" si="136"/>
        <v>0.27000272092562755</v>
      </c>
      <c r="BD260" s="411">
        <f t="shared" si="122"/>
        <v>0.13120529607354325</v>
      </c>
    </row>
    <row r="261" spans="1:56" ht="12.75" customHeight="1" outlineLevel="1" x14ac:dyDescent="0.2">
      <c r="A261" s="365" t="s">
        <v>625</v>
      </c>
      <c r="B261" s="365" t="str">
        <f t="shared" si="120"/>
        <v>3Q18</v>
      </c>
      <c r="C261" s="365"/>
      <c r="D261" s="440" t="str">
        <f>IF([1]RENAME!$H$3=1,B261,A261)</f>
        <v>3T18</v>
      </c>
      <c r="E261" s="403">
        <f>+SUMIFS('Dados Mercado'!E:E,'Dados Mercado'!$C:$C,$D261)</f>
        <v>791230</v>
      </c>
      <c r="F261" s="404">
        <f>+SUMIFS('Dados Mercado'!F:F,'Dados Mercado'!$C:$C,$D261)</f>
        <v>653805</v>
      </c>
      <c r="G261" s="406">
        <f>+SUMIFS('Dados Mercado'!G:G,'Dados Mercado'!$C:$C,$D261)</f>
        <v>137425</v>
      </c>
      <c r="H261" s="368"/>
      <c r="I261" s="403" t="s">
        <v>160</v>
      </c>
      <c r="J261" s="405" t="s">
        <v>160</v>
      </c>
      <c r="K261" s="451" t="s">
        <v>160</v>
      </c>
      <c r="L261" s="368"/>
      <c r="M261" s="407">
        <f>+SUMIFS('Dados Mercado'!M:M,'Dados Mercado'!$C:$C,$D261)</f>
        <v>724352</v>
      </c>
      <c r="N261" s="406">
        <f>+SUMIFS('Dados Mercado'!N:N,'Dados Mercado'!$C:$C,$D261)</f>
        <v>83606</v>
      </c>
      <c r="O261" s="368"/>
      <c r="P261" s="407">
        <f>+SUMIFS('Dados Mercado'!P:P,'Dados Mercado'!$C:$C,$D261)</f>
        <v>297863.9436</v>
      </c>
      <c r="Q261" s="406">
        <f>+SUMIFS('Dados Mercado'!Q:Q,'Dados Mercado'!$C:$C,$D261)</f>
        <v>355941.0564</v>
      </c>
      <c r="R261" s="368"/>
      <c r="S261" s="407">
        <f>+SUMIFS('Dados Mercado'!S:S,'Dados Mercado'!$C:$C,$D261)</f>
        <v>2762252</v>
      </c>
      <c r="T261" s="408">
        <f t="shared" si="123"/>
        <v>4.2248866252169988</v>
      </c>
      <c r="U261" s="368"/>
      <c r="V261" s="407">
        <f>+SUMIFS('Dados Mercado'!V:V,'Dados Mercado'!$C:$C,$D261)</f>
        <v>113078</v>
      </c>
      <c r="W261" s="404">
        <f>+SUMIFS('Dados Mercado'!W:W,'Dados Mercado'!$C:$C,$D261)</f>
        <v>96895</v>
      </c>
      <c r="X261" s="404">
        <f>+SUMIFS('Dados Mercado'!X:X,'Dados Mercado'!$C:$C,$D261)</f>
        <v>118597</v>
      </c>
      <c r="Y261" s="404">
        <f>+SUMIFS('Dados Mercado'!Y:Y,'Dados Mercado'!$C:$C,$D261)</f>
        <v>52563</v>
      </c>
      <c r="Z261" s="404">
        <f>+SUMIFS('Dados Mercado'!Z:Z,'Dados Mercado'!$C:$C,$D261)</f>
        <v>83534</v>
      </c>
      <c r="AA261" s="404">
        <f>+SUMIFS('Dados Mercado'!AA:AA,'Dados Mercado'!$C:$C,$D261)</f>
        <v>51834</v>
      </c>
      <c r="AB261" s="404">
        <f>+SUMIFS('Dados Mercado'!AB:AB,'Dados Mercado'!$C:$C,$D261)</f>
        <v>31540</v>
      </c>
      <c r="AC261" s="404">
        <f>+SUMIFS('Dados Mercado'!AC:AC,'Dados Mercado'!$C:$C,$D261)</f>
        <v>0</v>
      </c>
      <c r="AD261" s="406">
        <f>+SUMIFS('Dados Mercado'!AD:AD,'Dados Mercado'!$C:$C,$D261)</f>
        <v>105764</v>
      </c>
      <c r="AE261" s="368"/>
      <c r="AF261" s="447" t="str">
        <f>IF([1]RENAME!$H$3=1,B261,A261)</f>
        <v>3T18</v>
      </c>
      <c r="AG261" s="670">
        <f t="shared" si="124"/>
        <v>0.17295370943935884</v>
      </c>
      <c r="AH261" s="671">
        <f t="shared" si="125"/>
        <v>0.14820168092932909</v>
      </c>
      <c r="AI261" s="671">
        <f t="shared" si="126"/>
        <v>0.18139506427757512</v>
      </c>
      <c r="AJ261" s="671">
        <f t="shared" si="127"/>
        <v>8.0395530777525412E-2</v>
      </c>
      <c r="AK261" s="671">
        <f t="shared" si="128"/>
        <v>0.12776592409051629</v>
      </c>
      <c r="AL261" s="671">
        <f t="shared" si="129"/>
        <v>7.9280519420928258E-2</v>
      </c>
      <c r="AM261" s="671">
        <f t="shared" si="130"/>
        <v>4.8240683384189478E-2</v>
      </c>
      <c r="AN261" s="671" t="s">
        <v>160</v>
      </c>
      <c r="AO261" s="672">
        <f t="shared" si="131"/>
        <v>0.16176688768057754</v>
      </c>
      <c r="AP261" s="368"/>
      <c r="AQ261" s="593">
        <f>+SUMIFS('Dados Mercado'!AQ:AQ,'Dados Mercado'!$C:$C,$D261)</f>
        <v>33002.156600000002</v>
      </c>
      <c r="AR261" s="594">
        <f>+SUMIFS('Dados Mercado'!AR:AR,'Dados Mercado'!$C:$C,$D261)</f>
        <v>94240.852400000003</v>
      </c>
      <c r="AS261" s="594">
        <f>+SUMIFS('Dados Mercado'!AS:AS,'Dados Mercado'!$C:$C,$D261)</f>
        <v>59260.113599999997</v>
      </c>
      <c r="AT261" s="594">
        <f>+SUMIFS('Dados Mercado'!AT:AT,'Dados Mercado'!$C:$C,$D261)</f>
        <v>356986.76019999996</v>
      </c>
      <c r="AU261" s="595">
        <f>+SUMIFS('Dados Mercado'!AU:AU,'Dados Mercado'!$C:$C,$D261)</f>
        <v>111078.38430000001</v>
      </c>
      <c r="AV261" s="365"/>
      <c r="AW261" s="675">
        <f t="shared" si="135"/>
        <v>5.0418204271057608E-2</v>
      </c>
      <c r="AX261" s="676">
        <f t="shared" si="135"/>
        <v>0.14397406219755318</v>
      </c>
      <c r="AY261" s="676">
        <f t="shared" si="135"/>
        <v>9.0533129359518252E-2</v>
      </c>
      <c r="AZ261" s="676">
        <f t="shared" si="135"/>
        <v>0.54537743141994111</v>
      </c>
      <c r="BA261" s="409">
        <f t="shared" si="135"/>
        <v>0.16969717275192975</v>
      </c>
      <c r="BB261" s="365"/>
      <c r="BC261" s="410">
        <f t="shared" si="136"/>
        <v>0.18972129572362609</v>
      </c>
      <c r="BD261" s="411">
        <f t="shared" si="122"/>
        <v>0.12787604866894564</v>
      </c>
    </row>
    <row r="262" spans="1:56" ht="12.75" customHeight="1" outlineLevel="1" x14ac:dyDescent="0.2">
      <c r="A262" s="365" t="s">
        <v>626</v>
      </c>
      <c r="B262" s="365" t="str">
        <f t="shared" si="120"/>
        <v>4Q18</v>
      </c>
      <c r="C262" s="365"/>
      <c r="D262" s="447" t="str">
        <f>IF([1]RENAME!$H$3=1,B262,A262)</f>
        <v>4T18</v>
      </c>
      <c r="E262" s="403">
        <f>+SUMIFS('Dados Mercado'!E:E,'Dados Mercado'!$C:$C,$D262)</f>
        <v>790462</v>
      </c>
      <c r="F262" s="404">
        <f>+SUMIFS('Dados Mercado'!F:F,'Dados Mercado'!$C:$C,$D262)</f>
        <v>692391</v>
      </c>
      <c r="G262" s="406">
        <f>+SUMIFS('Dados Mercado'!G:G,'Dados Mercado'!$C:$C,$D262)</f>
        <v>98071</v>
      </c>
      <c r="H262" s="368"/>
      <c r="I262" s="403" t="s">
        <v>160</v>
      </c>
      <c r="J262" s="405" t="s">
        <v>160</v>
      </c>
      <c r="K262" s="451" t="s">
        <v>160</v>
      </c>
      <c r="L262" s="368"/>
      <c r="M262" s="407">
        <f>+SUMIFS('Dados Mercado'!M:M,'Dados Mercado'!$C:$C,$D262)</f>
        <v>651695</v>
      </c>
      <c r="N262" s="406">
        <f>+SUMIFS('Dados Mercado'!N:N,'Dados Mercado'!$C:$C,$D262)</f>
        <v>82610</v>
      </c>
      <c r="O262" s="368"/>
      <c r="P262" s="407">
        <f>+SUMIFS('Dados Mercado'!P:P,'Dados Mercado'!$C:$C,$D262)</f>
        <v>312174.47399999993</v>
      </c>
      <c r="Q262" s="406">
        <f>+SUMIFS('Dados Mercado'!Q:Q,'Dados Mercado'!$C:$C,$D262)</f>
        <v>380216.52600000007</v>
      </c>
      <c r="R262" s="368"/>
      <c r="S262" s="407">
        <f>+SUMIFS('Dados Mercado'!S:S,'Dados Mercado'!$C:$C,$D262)</f>
        <v>2817028</v>
      </c>
      <c r="T262" s="408">
        <f t="shared" si="123"/>
        <v>4.0685508621573652</v>
      </c>
      <c r="U262" s="368"/>
      <c r="V262" s="407">
        <f>+SUMIFS('Dados Mercado'!V:V,'Dados Mercado'!$C:$C,$D262)</f>
        <v>130936</v>
      </c>
      <c r="W262" s="404">
        <f>+SUMIFS('Dados Mercado'!W:W,'Dados Mercado'!$C:$C,$D262)</f>
        <v>103675</v>
      </c>
      <c r="X262" s="404">
        <f>+SUMIFS('Dados Mercado'!X:X,'Dados Mercado'!$C:$C,$D262)</f>
        <v>118145</v>
      </c>
      <c r="Y262" s="404">
        <f>+SUMIFS('Dados Mercado'!Y:Y,'Dados Mercado'!$C:$C,$D262)</f>
        <v>57354</v>
      </c>
      <c r="Z262" s="404">
        <f>+SUMIFS('Dados Mercado'!Z:Z,'Dados Mercado'!$C:$C,$D262)</f>
        <v>88362</v>
      </c>
      <c r="AA262" s="404">
        <f>+SUMIFS('Dados Mercado'!AA:AA,'Dados Mercado'!$C:$C,$D262)</f>
        <v>50511</v>
      </c>
      <c r="AB262" s="404">
        <f>+SUMIFS('Dados Mercado'!AB:AB,'Dados Mercado'!$C:$C,$D262)</f>
        <v>35352</v>
      </c>
      <c r="AC262" s="404">
        <f>+SUMIFS('Dados Mercado'!AC:AC,'Dados Mercado'!$C:$C,$D262)</f>
        <v>0</v>
      </c>
      <c r="AD262" s="406">
        <f>+SUMIFS('Dados Mercado'!AD:AD,'Dados Mercado'!$C:$C,$D262)</f>
        <v>108056</v>
      </c>
      <c r="AE262" s="368"/>
      <c r="AF262" s="447" t="str">
        <f>IF([1]RENAME!$H$3=1,B262,A262)</f>
        <v>4T18</v>
      </c>
      <c r="AG262" s="670">
        <f t="shared" si="124"/>
        <v>0.18910702189947587</v>
      </c>
      <c r="AH262" s="671">
        <f t="shared" si="125"/>
        <v>0.14973475969502781</v>
      </c>
      <c r="AI262" s="671">
        <f t="shared" si="126"/>
        <v>0.17063335600838256</v>
      </c>
      <c r="AJ262" s="671">
        <f t="shared" si="127"/>
        <v>8.2834698891233419E-2</v>
      </c>
      <c r="AK262" s="671">
        <f t="shared" si="128"/>
        <v>0.12761864322326547</v>
      </c>
      <c r="AL262" s="671">
        <f t="shared" si="129"/>
        <v>7.2951554829568846E-2</v>
      </c>
      <c r="AM262" s="671">
        <f t="shared" si="130"/>
        <v>5.1057856037990096E-2</v>
      </c>
      <c r="AN262" s="671" t="s">
        <v>160</v>
      </c>
      <c r="AO262" s="672">
        <f t="shared" si="131"/>
        <v>0.15606210941505594</v>
      </c>
      <c r="AP262" s="368"/>
      <c r="AQ262" s="593">
        <f>+SUMIFS('Dados Mercado'!AQ:AQ,'Dados Mercado'!$C:$C,$D262)</f>
        <v>33993.1754</v>
      </c>
      <c r="AR262" s="594">
        <f>+SUMIFS('Dados Mercado'!AR:AR,'Dados Mercado'!$C:$C,$D262)</f>
        <v>97262.226299999995</v>
      </c>
      <c r="AS262" s="594">
        <f>+SUMIFS('Dados Mercado'!AS:AS,'Dados Mercado'!$C:$C,$D262)</f>
        <v>63217.781099999993</v>
      </c>
      <c r="AT262" s="594">
        <f>+SUMIFS('Dados Mercado'!AT:AT,'Dados Mercado'!$C:$C,$D262)</f>
        <v>374421.04989999998</v>
      </c>
      <c r="AU262" s="595">
        <f>+SUMIFS('Dados Mercado'!AU:AU,'Dados Mercado'!$C:$C,$D262)</f>
        <v>123543.46400000001</v>
      </c>
      <c r="AV262" s="365"/>
      <c r="AW262" s="675">
        <f t="shared" ref="AW262:BA263" si="137">+AQ262/SUM($AQ262:$AU262)</f>
        <v>4.9092034650920532E-2</v>
      </c>
      <c r="AX262" s="676">
        <f t="shared" si="137"/>
        <v>0.14046350561722676</v>
      </c>
      <c r="AY262" s="676">
        <f t="shared" si="137"/>
        <v>9.1297428492529378E-2</v>
      </c>
      <c r="AZ262" s="676">
        <f t="shared" si="137"/>
        <v>0.54072886511581508</v>
      </c>
      <c r="BA262" s="409">
        <f t="shared" si="137"/>
        <v>0.17841816612350825</v>
      </c>
      <c r="BB262" s="365"/>
      <c r="BC262" s="410">
        <f t="shared" si="136"/>
        <v>0.15048604024888942</v>
      </c>
      <c r="BD262" s="411">
        <f t="shared" si="122"/>
        <v>0.11931119844134311</v>
      </c>
    </row>
    <row r="263" spans="1:56" ht="12.75" customHeight="1" outlineLevel="1" x14ac:dyDescent="0.2">
      <c r="A263" s="365" t="s">
        <v>1408</v>
      </c>
      <c r="B263" s="365" t="s">
        <v>1420</v>
      </c>
      <c r="C263" s="365"/>
      <c r="D263" s="440" t="str">
        <f>IF([1]RENAME!$H$3=1,B263,A263)</f>
        <v>1T19</v>
      </c>
      <c r="E263" s="403">
        <f>+SUMIFS('Dados Mercado'!E:E,'Dados Mercado'!$C:$C,$D263)</f>
        <v>681419</v>
      </c>
      <c r="F263" s="404">
        <f>+SUMIFS('Dados Mercado'!F:F,'Dados Mercado'!$C:$C,$D263)</f>
        <v>581456</v>
      </c>
      <c r="G263" s="406">
        <f>+SUMIFS('Dados Mercado'!G:G,'Dados Mercado'!$C:$C,$D263)</f>
        <v>99963</v>
      </c>
      <c r="H263" s="368"/>
      <c r="I263" s="403" t="s">
        <v>160</v>
      </c>
      <c r="J263" s="405" t="s">
        <v>160</v>
      </c>
      <c r="K263" s="451" t="s">
        <v>160</v>
      </c>
      <c r="L263" s="368"/>
      <c r="M263" s="407">
        <f>+SUMIFS('Dados Mercado'!M:M,'Dados Mercado'!$C:$C,$D263)</f>
        <v>666970</v>
      </c>
      <c r="N263" s="406">
        <f>+SUMIFS('Dados Mercado'!N:N,'Dados Mercado'!$C:$C,$D263)</f>
        <v>68113</v>
      </c>
      <c r="O263" s="368"/>
      <c r="P263" s="407">
        <f>+SUMIFS('Dados Mercado'!P:P,'Dados Mercado'!$C:$C,$D263)</f>
        <v>246688.43280000001</v>
      </c>
      <c r="Q263" s="406">
        <f>+SUMIFS('Dados Mercado'!Q:Q,'Dados Mercado'!$C:$C,$D263)</f>
        <v>334767.56719999999</v>
      </c>
      <c r="R263" s="368"/>
      <c r="S263" s="407">
        <f>+SUMIFS('Dados Mercado'!S:S,'Dados Mercado'!$C:$C,$D263)</f>
        <v>2479375</v>
      </c>
      <c r="T263" s="408">
        <f t="shared" si="123"/>
        <v>4.2640801711565448</v>
      </c>
      <c r="U263" s="368"/>
      <c r="V263" s="407">
        <f>+SUMIFS('Dados Mercado'!V:V,'Dados Mercado'!$C:$C,$D263)</f>
        <v>0</v>
      </c>
      <c r="W263" s="404">
        <f>+SUMIFS('Dados Mercado'!W:W,'Dados Mercado'!$C:$C,$D263)</f>
        <v>82288</v>
      </c>
      <c r="X263" s="404">
        <f>+SUMIFS('Dados Mercado'!X:X,'Dados Mercado'!$C:$C,$D263)</f>
        <v>0</v>
      </c>
      <c r="Y263" s="404">
        <f>+SUMIFS('Dados Mercado'!Y:Y,'Dados Mercado'!$C:$C,$D263)</f>
        <v>47519</v>
      </c>
      <c r="Z263" s="404">
        <f>+SUMIFS('Dados Mercado'!Z:Z,'Dados Mercado'!$C:$C,$D263)</f>
        <v>73557</v>
      </c>
      <c r="AA263" s="404">
        <f>+SUMIFS('Dados Mercado'!AA:AA,'Dados Mercado'!$C:$C,$D263)</f>
        <v>12581</v>
      </c>
      <c r="AB263" s="404">
        <f>+SUMIFS('Dados Mercado'!AB:AB,'Dados Mercado'!$C:$C,$D263)</f>
        <v>0</v>
      </c>
      <c r="AC263" s="404">
        <f>+SUMIFS('Dados Mercado'!AC:AC,'Dados Mercado'!$C:$C,$D263)</f>
        <v>0</v>
      </c>
      <c r="AD263" s="406">
        <f>+SUMIFS('Dados Mercado'!AD:AD,'Dados Mercado'!$C:$C,$D263)</f>
        <v>365511</v>
      </c>
      <c r="AE263" s="368"/>
      <c r="AF263" s="447" t="str">
        <f>IF([1]RENAME!$H$3=1,B263,A263)</f>
        <v>1T19</v>
      </c>
      <c r="AG263" s="670">
        <f t="shared" si="124"/>
        <v>0</v>
      </c>
      <c r="AH263" s="671">
        <f t="shared" si="125"/>
        <v>0.14152059657136568</v>
      </c>
      <c r="AI263" s="671">
        <f t="shared" si="126"/>
        <v>0</v>
      </c>
      <c r="AJ263" s="671">
        <f t="shared" si="127"/>
        <v>8.1724154536198787E-2</v>
      </c>
      <c r="AK263" s="671">
        <f t="shared" si="128"/>
        <v>0.12650484301477669</v>
      </c>
      <c r="AL263" s="671">
        <f t="shared" si="129"/>
        <v>2.1637062821606452E-2</v>
      </c>
      <c r="AM263" s="671">
        <f t="shared" si="130"/>
        <v>0</v>
      </c>
      <c r="AN263" s="671" t="s">
        <v>160</v>
      </c>
      <c r="AO263" s="672">
        <f t="shared" si="131"/>
        <v>0.62861334305605243</v>
      </c>
      <c r="AP263" s="368"/>
      <c r="AQ263" s="593">
        <f>+SUMIFS('Dados Mercado'!AQ:AQ,'Dados Mercado'!$C:$C,$D263)</f>
        <v>28761.853000000003</v>
      </c>
      <c r="AR263" s="594">
        <f>+SUMIFS('Dados Mercado'!AR:AR,'Dados Mercado'!$C:$C,$D263)</f>
        <v>86808.246400000004</v>
      </c>
      <c r="AS263" s="594">
        <f>+SUMIFS('Dados Mercado'!AS:AS,'Dados Mercado'!$C:$C,$D263)</f>
        <v>54327.263800000001</v>
      </c>
      <c r="AT263" s="594">
        <f>+SUMIFS('Dados Mercado'!AT:AT,'Dados Mercado'!$C:$C,$D263)</f>
        <v>315664.69050000003</v>
      </c>
      <c r="AU263" s="595">
        <f>+SUMIFS('Dados Mercado'!AU:AU,'Dados Mercado'!$C:$C,$D263)</f>
        <v>95894.822800000009</v>
      </c>
      <c r="AV263" s="365"/>
      <c r="AW263" s="675">
        <f t="shared" si="137"/>
        <v>4.9465152382629017E-2</v>
      </c>
      <c r="AX263" s="676">
        <f t="shared" si="137"/>
        <v>0.14929438434459721</v>
      </c>
      <c r="AY263" s="676">
        <f t="shared" si="137"/>
        <v>9.343300594708849E-2</v>
      </c>
      <c r="AZ263" s="676">
        <f t="shared" si="137"/>
        <v>0.54288581536794334</v>
      </c>
      <c r="BA263" s="409">
        <f t="shared" si="137"/>
        <v>0.164921641957742</v>
      </c>
      <c r="BB263" s="365"/>
      <c r="BC263" s="410">
        <f t="shared" si="136"/>
        <v>0.1498763062806423</v>
      </c>
      <c r="BD263" s="411">
        <f t="shared" ref="BD263:BD282" si="138">+N263/F263</f>
        <v>0.11714213973198316</v>
      </c>
    </row>
    <row r="264" spans="1:56" ht="12.75" customHeight="1" outlineLevel="1" x14ac:dyDescent="0.2">
      <c r="A264" s="365" t="s">
        <v>1409</v>
      </c>
      <c r="B264" s="365" t="s">
        <v>1512</v>
      </c>
      <c r="C264" s="365"/>
      <c r="D264" s="447" t="str">
        <f>IF([1]RENAME!$H$3=1,B264,A264)</f>
        <v>2T19</v>
      </c>
      <c r="E264" s="403">
        <f>+SUMIFS('Dados Mercado'!E:E,'Dados Mercado'!$C:$C,$D264)</f>
        <v>782593</v>
      </c>
      <c r="F264" s="404">
        <f>+SUMIFS('Dados Mercado'!F:F,'Dados Mercado'!$C:$C,$D264)</f>
        <v>670317</v>
      </c>
      <c r="G264" s="406">
        <f>+SUMIFS('Dados Mercado'!G:G,'Dados Mercado'!$C:$C,$D264)</f>
        <v>112276</v>
      </c>
      <c r="H264" s="368"/>
      <c r="I264" s="403" t="s">
        <v>160</v>
      </c>
      <c r="J264" s="405" t="s">
        <v>160</v>
      </c>
      <c r="K264" s="451" t="s">
        <v>160</v>
      </c>
      <c r="L264" s="368"/>
      <c r="M264" s="407">
        <f>+SUMIFS('Dados Mercado'!M:M,'Dados Mercado'!$C:$C,$D264)</f>
        <v>737875</v>
      </c>
      <c r="N264" s="406">
        <f>+SUMIFS('Dados Mercado'!N:N,'Dados Mercado'!$C:$C,$D264)</f>
        <v>73690</v>
      </c>
      <c r="O264" s="368"/>
      <c r="P264" s="407">
        <f>+SUMIFS('Dados Mercado'!P:P,'Dados Mercado'!$C:$C,$D264)</f>
        <v>315939.57039999997</v>
      </c>
      <c r="Q264" s="406">
        <f>+SUMIFS('Dados Mercado'!Q:Q,'Dados Mercado'!$C:$C,$D264)</f>
        <v>354377.42960000003</v>
      </c>
      <c r="R264" s="368"/>
      <c r="S264" s="407">
        <f>+SUMIFS('Dados Mercado'!S:S,'Dados Mercado'!$C:$C,$D264)</f>
        <v>2644050</v>
      </c>
      <c r="T264" s="408">
        <f t="shared" si="123"/>
        <v>3.9444770160983533</v>
      </c>
      <c r="U264" s="368"/>
      <c r="V264" s="407">
        <f>+SUMIFS('Dados Mercado'!V:V,'Dados Mercado'!$C:$C,$D264)</f>
        <v>0</v>
      </c>
      <c r="W264" s="404">
        <f>+SUMIFS('Dados Mercado'!W:W,'Dados Mercado'!$C:$C,$D264)</f>
        <v>103622</v>
      </c>
      <c r="X264" s="404">
        <f>+SUMIFS('Dados Mercado'!X:X,'Dados Mercado'!$C:$C,$D264)</f>
        <v>0</v>
      </c>
      <c r="Y264" s="404">
        <f>+SUMIFS('Dados Mercado'!Y:Y,'Dados Mercado'!$C:$C,$D264)</f>
        <v>55476</v>
      </c>
      <c r="Z264" s="404">
        <f>+SUMIFS('Dados Mercado'!Z:Z,'Dados Mercado'!$C:$C,$D264)</f>
        <v>83249</v>
      </c>
      <c r="AA264" s="404">
        <f>+SUMIFS('Dados Mercado'!AA:AA,'Dados Mercado'!$C:$C,$D264)</f>
        <v>0</v>
      </c>
      <c r="AB264" s="404">
        <f>+SUMIFS('Dados Mercado'!AB:AB,'Dados Mercado'!$C:$C,$D264)</f>
        <v>0</v>
      </c>
      <c r="AC264" s="404">
        <f>+SUMIFS('Dados Mercado'!AC:AC,'Dados Mercado'!$C:$C,$D264)</f>
        <v>0</v>
      </c>
      <c r="AD264" s="406">
        <f>+SUMIFS('Dados Mercado'!AD:AD,'Dados Mercado'!$C:$C,$D264)</f>
        <v>427970</v>
      </c>
      <c r="AE264" s="368"/>
      <c r="AF264" s="447" t="str">
        <f>IF([1]RENAME!$H$3=1,B264,A264)</f>
        <v>2T19</v>
      </c>
      <c r="AG264" s="670">
        <f t="shared" si="124"/>
        <v>0</v>
      </c>
      <c r="AH264" s="671">
        <f t="shared" si="125"/>
        <v>0.15458656128369114</v>
      </c>
      <c r="AI264" s="671">
        <f t="shared" si="126"/>
        <v>0</v>
      </c>
      <c r="AJ264" s="671">
        <f t="shared" si="127"/>
        <v>8.2760843004130877E-2</v>
      </c>
      <c r="AK264" s="671">
        <f t="shared" si="128"/>
        <v>0.12419347860788255</v>
      </c>
      <c r="AL264" s="671">
        <f t="shared" si="129"/>
        <v>0</v>
      </c>
      <c r="AM264" s="671">
        <f t="shared" si="130"/>
        <v>0</v>
      </c>
      <c r="AN264" s="671" t="s">
        <v>160</v>
      </c>
      <c r="AO264" s="672">
        <f t="shared" si="131"/>
        <v>0.63845911710429548</v>
      </c>
      <c r="AP264" s="368"/>
      <c r="AQ264" s="593">
        <f>+SUMIFS('Dados Mercado'!AQ:AQ,'Dados Mercado'!$C:$C,$D264)</f>
        <v>33276.355000000003</v>
      </c>
      <c r="AR264" s="594">
        <f>+SUMIFS('Dados Mercado'!AR:AR,'Dados Mercado'!$C:$C,$D264)</f>
        <v>91783.889800000004</v>
      </c>
      <c r="AS264" s="594">
        <f>+SUMIFS('Dados Mercado'!AS:AS,'Dados Mercado'!$C:$C,$D264)</f>
        <v>60541.7307</v>
      </c>
      <c r="AT264" s="594">
        <f>+SUMIFS('Dados Mercado'!AT:AT,'Dados Mercado'!$C:$C,$D264)</f>
        <v>377083.9987</v>
      </c>
      <c r="AU264" s="595">
        <f>+SUMIFS('Dados Mercado'!AU:AU,'Dados Mercado'!$C:$C,$D264)</f>
        <v>107654.48569999999</v>
      </c>
      <c r="AV264" s="365"/>
      <c r="AW264" s="675">
        <f t="shared" ref="AW264:BA265" si="139">+AQ264/SUM($AQ264:$AU264)</f>
        <v>4.9640976474796254E-2</v>
      </c>
      <c r="AX264" s="676">
        <f t="shared" si="139"/>
        <v>0.13692130386056681</v>
      </c>
      <c r="AY264" s="676">
        <f t="shared" si="139"/>
        <v>9.031489865467987E-2</v>
      </c>
      <c r="AZ264" s="676">
        <f t="shared" si="139"/>
        <v>0.56252609122870578</v>
      </c>
      <c r="BA264" s="409">
        <f t="shared" si="139"/>
        <v>0.16059672978125125</v>
      </c>
      <c r="BB264" s="365"/>
      <c r="BC264" s="410">
        <f t="shared" si="136"/>
        <v>0.15216127392851092</v>
      </c>
      <c r="BD264" s="411">
        <f t="shared" si="138"/>
        <v>0.10993306152163827</v>
      </c>
    </row>
    <row r="265" spans="1:56" ht="12.75" customHeight="1" outlineLevel="1" x14ac:dyDescent="0.2">
      <c r="A265" s="365" t="s">
        <v>1410</v>
      </c>
      <c r="B265" s="365" t="s">
        <v>1513</v>
      </c>
      <c r="C265" s="365"/>
      <c r="D265" s="440" t="str">
        <f>IF([1]RENAME!$H$3=1,B265,A265)</f>
        <v>3T19</v>
      </c>
      <c r="E265" s="403">
        <f>+SUMIFS('Dados Mercado'!E:E,'Dados Mercado'!$C:$C,$D265)</f>
        <v>798600</v>
      </c>
      <c r="F265" s="404">
        <f>+SUMIFS('Dados Mercado'!F:F,'Dados Mercado'!$C:$C,$D265)</f>
        <v>688397</v>
      </c>
      <c r="G265" s="406">
        <f>+SUMIFS('Dados Mercado'!G:G,'Dados Mercado'!$C:$C,$D265)</f>
        <v>110203</v>
      </c>
      <c r="H265" s="368"/>
      <c r="I265" s="403" t="s">
        <v>160</v>
      </c>
      <c r="J265" s="405" t="s">
        <v>160</v>
      </c>
      <c r="K265" s="451" t="s">
        <v>160</v>
      </c>
      <c r="L265" s="368"/>
      <c r="M265" s="407">
        <f>+SUMIFS('Dados Mercado'!M:M,'Dados Mercado'!$C:$C,$D265)</f>
        <v>744430</v>
      </c>
      <c r="N265" s="406">
        <f>+SUMIFS('Dados Mercado'!N:N,'Dados Mercado'!$C:$C,$D265)</f>
        <v>75436</v>
      </c>
      <c r="O265" s="368"/>
      <c r="P265" s="407">
        <f>+SUMIFS('Dados Mercado'!P:P,'Dados Mercado'!$C:$C,$D265)</f>
        <v>313657.44099999999</v>
      </c>
      <c r="Q265" s="406">
        <f>+SUMIFS('Dados Mercado'!Q:Q,'Dados Mercado'!$C:$C,$D265)</f>
        <v>374739.55900000001</v>
      </c>
      <c r="R265" s="368"/>
      <c r="S265" s="407">
        <f>+SUMIFS('Dados Mercado'!S:S,'Dados Mercado'!$C:$C,$D265)</f>
        <v>2934410</v>
      </c>
      <c r="T265" s="408">
        <f t="shared" si="123"/>
        <v>4.2626711040286347</v>
      </c>
      <c r="U265" s="368"/>
      <c r="V265" s="407">
        <f>+SUMIFS('Dados Mercado'!V:V,'Dados Mercado'!$C:$C,$D265)</f>
        <v>0</v>
      </c>
      <c r="W265" s="404">
        <f>+SUMIFS('Dados Mercado'!W:W,'Dados Mercado'!$C:$C,$D265)</f>
        <v>110007</v>
      </c>
      <c r="X265" s="404">
        <f>+SUMIFS('Dados Mercado'!X:X,'Dados Mercado'!$C:$C,$D265)</f>
        <v>0</v>
      </c>
      <c r="Y265" s="404">
        <f>+SUMIFS('Dados Mercado'!Y:Y,'Dados Mercado'!$C:$C,$D265)</f>
        <v>54086</v>
      </c>
      <c r="Z265" s="404">
        <f>+SUMIFS('Dados Mercado'!Z:Z,'Dados Mercado'!$C:$C,$D265)</f>
        <v>86407</v>
      </c>
      <c r="AA265" s="404">
        <f>+SUMIFS('Dados Mercado'!AA:AA,'Dados Mercado'!$C:$C,$D265)</f>
        <v>0</v>
      </c>
      <c r="AB265" s="404">
        <f>+SUMIFS('Dados Mercado'!AB:AB,'Dados Mercado'!$C:$C,$D265)</f>
        <v>0</v>
      </c>
      <c r="AC265" s="404">
        <f>+SUMIFS('Dados Mercado'!AC:AC,'Dados Mercado'!$C:$C,$D265)</f>
        <v>0</v>
      </c>
      <c r="AD265" s="406">
        <f>+SUMIFS('Dados Mercado'!AD:AD,'Dados Mercado'!$C:$C,$D265)</f>
        <v>437897</v>
      </c>
      <c r="AE265" s="368"/>
      <c r="AF265" s="447" t="str">
        <f>IF([1]RENAME!$H$3=1,B265,A265)</f>
        <v>3T19</v>
      </c>
      <c r="AG265" s="670">
        <f t="shared" si="124"/>
        <v>0</v>
      </c>
      <c r="AH265" s="671">
        <f t="shared" si="125"/>
        <v>0.15980168420257496</v>
      </c>
      <c r="AI265" s="671">
        <f t="shared" si="126"/>
        <v>0</v>
      </c>
      <c r="AJ265" s="671">
        <f t="shared" si="127"/>
        <v>7.8568035595739091E-2</v>
      </c>
      <c r="AK265" s="671">
        <f t="shared" si="128"/>
        <v>0.12551914084459984</v>
      </c>
      <c r="AL265" s="671">
        <f t="shared" si="129"/>
        <v>0</v>
      </c>
      <c r="AM265" s="671">
        <f t="shared" si="130"/>
        <v>0</v>
      </c>
      <c r="AN265" s="671" t="s">
        <v>160</v>
      </c>
      <c r="AO265" s="672">
        <f t="shared" si="131"/>
        <v>0.63611113935708608</v>
      </c>
      <c r="AP265" s="368"/>
      <c r="AQ265" s="593">
        <f>+SUMIFS('Dados Mercado'!AQ:AQ,'Dados Mercado'!$C:$C,$D265)</f>
        <v>37200.262900000002</v>
      </c>
      <c r="AR265" s="594">
        <f>+SUMIFS('Dados Mercado'!AR:AR,'Dados Mercado'!$C:$C,$D265)</f>
        <v>100322.79419999999</v>
      </c>
      <c r="AS265" s="594">
        <f>+SUMIFS('Dados Mercado'!AS:AS,'Dados Mercado'!$C:$C,$D265)</f>
        <v>63013.784</v>
      </c>
      <c r="AT265" s="594">
        <f>+SUMIFS('Dados Mercado'!AT:AT,'Dados Mercado'!$C:$C,$D265)</f>
        <v>373290.80170000001</v>
      </c>
      <c r="AU265" s="595">
        <f>+SUMIFS('Dados Mercado'!AU:AU,'Dados Mercado'!$C:$C,$D265)</f>
        <v>114568.47249999999</v>
      </c>
      <c r="AV265" s="365"/>
      <c r="AW265" s="675">
        <f t="shared" si="139"/>
        <v>5.4039036643587515E-2</v>
      </c>
      <c r="AX265" s="676">
        <f t="shared" si="139"/>
        <v>0.14573410856085345</v>
      </c>
      <c r="AY265" s="676">
        <f t="shared" si="139"/>
        <v>9.1537099933428387E-2</v>
      </c>
      <c r="AZ265" s="676">
        <f t="shared" si="139"/>
        <v>0.54226163309669684</v>
      </c>
      <c r="BA265" s="409">
        <f t="shared" si="139"/>
        <v>0.16642812176543376</v>
      </c>
      <c r="BB265" s="365"/>
      <c r="BC265" s="410">
        <f t="shared" si="136"/>
        <v>0.14803675295192295</v>
      </c>
      <c r="BD265" s="411">
        <f t="shared" si="138"/>
        <v>0.10958211613356827</v>
      </c>
    </row>
    <row r="266" spans="1:56" ht="12.75" customHeight="1" outlineLevel="1" x14ac:dyDescent="0.2">
      <c r="A266" s="365" t="s">
        <v>1411</v>
      </c>
      <c r="B266" s="365" t="s">
        <v>1514</v>
      </c>
      <c r="C266" s="365"/>
      <c r="D266" s="447" t="str">
        <f>IF([1]RENAME!$H$3=1,B266,A266)</f>
        <v>4T19</v>
      </c>
      <c r="E266" s="403">
        <f>+SUMIFS('Dados Mercado'!E:E,'Dados Mercado'!$C:$C,$D266)</f>
        <v>810481</v>
      </c>
      <c r="F266" s="404">
        <f>+SUMIFS('Dados Mercado'!F:F,'Dados Mercado'!$C:$C,$D266)</f>
        <v>725413</v>
      </c>
      <c r="G266" s="406">
        <f>+SUMIFS('Dados Mercado'!G:G,'Dados Mercado'!$C:$C,$D266)</f>
        <v>85068</v>
      </c>
      <c r="H266" s="368"/>
      <c r="I266" s="403" t="s">
        <v>160</v>
      </c>
      <c r="J266" s="405" t="s">
        <v>160</v>
      </c>
      <c r="K266" s="451" t="s">
        <v>160</v>
      </c>
      <c r="L266" s="368"/>
      <c r="M266" s="407">
        <f>+SUMIFS('Dados Mercado'!M:M,'Dados Mercado'!$C:$C,$D266)</f>
        <v>654566</v>
      </c>
      <c r="N266" s="406">
        <f>+SUMIFS('Dados Mercado'!N:N,'Dados Mercado'!$C:$C,$D266)</f>
        <v>77303</v>
      </c>
      <c r="O266" s="368"/>
      <c r="P266" s="407">
        <f>+SUMIFS('Dados Mercado'!P:P,'Dados Mercado'!$C:$C,$D266)</f>
        <v>331092.43449999997</v>
      </c>
      <c r="Q266" s="406">
        <f>+SUMIFS('Dados Mercado'!Q:Q,'Dados Mercado'!$C:$C,$D266)</f>
        <v>394320.56550000003</v>
      </c>
      <c r="R266" s="368"/>
      <c r="S266" s="407">
        <f>+SUMIFS('Dados Mercado'!S:S,'Dados Mercado'!$C:$C,$D266)</f>
        <v>2918553</v>
      </c>
      <c r="T266" s="408">
        <f t="shared" si="123"/>
        <v>4.0232984520542088</v>
      </c>
      <c r="U266" s="368"/>
      <c r="V266" s="407">
        <f>+SUMIFS('Dados Mercado'!V:V,'Dados Mercado'!$C:$C,$D266)</f>
        <v>0</v>
      </c>
      <c r="W266" s="404">
        <f>+SUMIFS('Dados Mercado'!W:W,'Dados Mercado'!$C:$C,$D266)</f>
        <v>115088</v>
      </c>
      <c r="X266" s="404">
        <f>+SUMIFS('Dados Mercado'!X:X,'Dados Mercado'!$C:$C,$D266)</f>
        <v>0</v>
      </c>
      <c r="Y266" s="404">
        <f>+SUMIFS('Dados Mercado'!Y:Y,'Dados Mercado'!$C:$C,$D266)</f>
        <v>59818</v>
      </c>
      <c r="Z266" s="404">
        <f>+SUMIFS('Dados Mercado'!Z:Z,'Dados Mercado'!$C:$C,$D266)</f>
        <v>92025</v>
      </c>
      <c r="AA266" s="404">
        <f>+SUMIFS('Dados Mercado'!AA:AA,'Dados Mercado'!$C:$C,$D266)</f>
        <v>0</v>
      </c>
      <c r="AB266" s="404">
        <f>+SUMIFS('Dados Mercado'!AB:AB,'Dados Mercado'!$C:$C,$D266)</f>
        <v>0</v>
      </c>
      <c r="AC266" s="404">
        <f>+SUMIFS('Dados Mercado'!AC:AC,'Dados Mercado'!$C:$C,$D266)</f>
        <v>0</v>
      </c>
      <c r="AD266" s="406">
        <f>+SUMIFS('Dados Mercado'!AD:AD,'Dados Mercado'!$C:$C,$D266)</f>
        <v>458482</v>
      </c>
      <c r="AE266" s="368"/>
      <c r="AF266" s="447" t="str">
        <f>IF([1]RENAME!$H$3=1,B266,A266)</f>
        <v>4T19</v>
      </c>
      <c r="AG266" s="670">
        <f t="shared" si="124"/>
        <v>0</v>
      </c>
      <c r="AH266" s="671">
        <f t="shared" si="125"/>
        <v>0.1586516922084385</v>
      </c>
      <c r="AI266" s="671">
        <f t="shared" si="126"/>
        <v>0</v>
      </c>
      <c r="AJ266" s="671">
        <f t="shared" si="127"/>
        <v>8.2460612092697533E-2</v>
      </c>
      <c r="AK266" s="671">
        <f t="shared" si="128"/>
        <v>0.1268587687289861</v>
      </c>
      <c r="AL266" s="671">
        <f t="shared" si="129"/>
        <v>0</v>
      </c>
      <c r="AM266" s="671">
        <f t="shared" si="130"/>
        <v>0</v>
      </c>
      <c r="AN266" s="671" t="s">
        <v>160</v>
      </c>
      <c r="AO266" s="672">
        <f t="shared" si="131"/>
        <v>0.63202892696987789</v>
      </c>
      <c r="AP266" s="368"/>
      <c r="AQ266" s="593">
        <f>+SUMIFS('Dados Mercado'!AQ:AQ,'Dados Mercado'!$C:$C,$D266)</f>
        <v>35240.075100000002</v>
      </c>
      <c r="AR266" s="594">
        <f>+SUMIFS('Dados Mercado'!AR:AR,'Dados Mercado'!$C:$C,$D266)</f>
        <v>102713.70089999998</v>
      </c>
      <c r="AS266" s="594">
        <f>+SUMIFS('Dados Mercado'!AS:AS,'Dados Mercado'!$C:$C,$D266)</f>
        <v>63183.416100000002</v>
      </c>
      <c r="AT266" s="594">
        <f>+SUMIFS('Dados Mercado'!AT:AT,'Dados Mercado'!$C:$C,$D266)</f>
        <v>392184.9841</v>
      </c>
      <c r="AU266" s="595">
        <f>+SUMIFS('Dados Mercado'!AU:AU,'Dados Mercado'!$C:$C,$D266)</f>
        <v>132140.20610000001</v>
      </c>
      <c r="AV266" s="365"/>
      <c r="AW266" s="675">
        <f t="shared" ref="AW266:BA267" si="140">+AQ266/SUM($AQ266:$AU266)</f>
        <v>4.8576019873387728E-2</v>
      </c>
      <c r="AX266" s="676">
        <f t="shared" si="140"/>
        <v>0.14158377250982651</v>
      </c>
      <c r="AY266" s="676">
        <f t="shared" si="140"/>
        <v>8.7093993626084124E-2</v>
      </c>
      <c r="AZ266" s="676">
        <f t="shared" si="140"/>
        <v>0.54060002788376149</v>
      </c>
      <c r="BA266" s="409">
        <f t="shared" si="140"/>
        <v>0.18214618610694022</v>
      </c>
      <c r="BB266" s="365"/>
      <c r="BC266" s="410">
        <f t="shared" si="136"/>
        <v>0.12996092067110115</v>
      </c>
      <c r="BD266" s="411">
        <f t="shared" si="138"/>
        <v>0.10656412278247013</v>
      </c>
    </row>
    <row r="267" spans="1:56" ht="12.75" customHeight="1" outlineLevel="1" x14ac:dyDescent="0.2">
      <c r="A267" s="365" t="s">
        <v>1626</v>
      </c>
      <c r="B267" s="365" t="s">
        <v>1631</v>
      </c>
      <c r="C267" s="365"/>
      <c r="D267" s="447" t="str">
        <f>IF([1]RENAME!$H$3=1,B267,A267)</f>
        <v>1T20</v>
      </c>
      <c r="E267" s="403">
        <f>+SUMIFS('Dados Mercado'!E:E,'Dados Mercado'!$C:$C,$D267)</f>
        <v>619515</v>
      </c>
      <c r="F267" s="404">
        <f>+SUMIFS('Dados Mercado'!F:F,'Dados Mercado'!$C:$C,$D267)</f>
        <v>534285</v>
      </c>
      <c r="G267" s="406">
        <f>+SUMIFS('Dados Mercado'!G:G,'Dados Mercado'!$C:$C,$D267)</f>
        <v>85230</v>
      </c>
      <c r="H267" s="368"/>
      <c r="I267" s="403" t="s">
        <v>160</v>
      </c>
      <c r="J267" s="405" t="s">
        <v>160</v>
      </c>
      <c r="K267" s="451" t="s">
        <v>160</v>
      </c>
      <c r="L267" s="368"/>
      <c r="M267" s="407">
        <f>+SUMIFS('Dados Mercado'!M:M,'Dados Mercado'!$C:$C,$D267)</f>
        <v>555215</v>
      </c>
      <c r="N267" s="406">
        <f>+SUMIFS('Dados Mercado'!N:N,'Dados Mercado'!$C:$C,$D267)</f>
        <v>59648</v>
      </c>
      <c r="O267" s="368"/>
      <c r="P267" s="407">
        <f>+SUMIFS('Dados Mercado'!P:P,'Dados Mercado'!$C:$C,$D267)</f>
        <v>236938.95750000002</v>
      </c>
      <c r="Q267" s="406">
        <f>+SUMIFS('Dados Mercado'!Q:Q,'Dados Mercado'!$C:$C,$D267)</f>
        <v>297346.04249999998</v>
      </c>
      <c r="R267" s="368"/>
      <c r="S267" s="407">
        <f>+SUMIFS('Dados Mercado'!S:S,'Dados Mercado'!$C:$C,$D267)</f>
        <v>2336587</v>
      </c>
      <c r="T267" s="408">
        <f t="shared" si="123"/>
        <v>4.3732970231243629</v>
      </c>
      <c r="U267" s="368"/>
      <c r="V267" s="407">
        <f>+SUMIFS('Dados Mercado'!V:V,'Dados Mercado'!$C:$C,$D267)</f>
        <v>59646</v>
      </c>
      <c r="W267" s="404">
        <f>+SUMIFS('Dados Mercado'!W:W,'Dados Mercado'!$C:$C,$D267)</f>
        <v>86075</v>
      </c>
      <c r="X267" s="404">
        <f>+SUMIFS('Dados Mercado'!X:X,'Dados Mercado'!$C:$C,$D267)</f>
        <v>67907</v>
      </c>
      <c r="Y267" s="404">
        <f>+SUMIFS('Dados Mercado'!Y:Y,'Dados Mercado'!$C:$C,$D267)</f>
        <v>41796</v>
      </c>
      <c r="Z267" s="404">
        <f>+SUMIFS('Dados Mercado'!Z:Z,'Dados Mercado'!$C:$C,$D267)</f>
        <v>63331</v>
      </c>
      <c r="AA267" s="404">
        <f>+SUMIFS('Dados Mercado'!AA:AA,'Dados Mercado'!$C:$C,$D267)</f>
        <v>48563</v>
      </c>
      <c r="AB267" s="404">
        <f>+SUMIFS('Dados Mercado'!AB:AB,'Dados Mercado'!$C:$C,$D267)</f>
        <v>15667</v>
      </c>
      <c r="AC267" s="404">
        <f>+SUMIFS('Dados Mercado'!AC:AC,'Dados Mercado'!$C:$C,$D267)</f>
        <v>0</v>
      </c>
      <c r="AD267" s="406">
        <f>+SUMIFS('Dados Mercado'!AD:AD,'Dados Mercado'!$C:$C,$D267)</f>
        <v>151300</v>
      </c>
      <c r="AE267" s="368"/>
      <c r="AF267" s="447" t="str">
        <f>IF([1]RENAME!$H$3=1,B267,A267)</f>
        <v>1T20</v>
      </c>
      <c r="AG267" s="670">
        <f t="shared" si="124"/>
        <v>0.11163704764311182</v>
      </c>
      <c r="AH267" s="671">
        <f t="shared" si="125"/>
        <v>0.16110315655502214</v>
      </c>
      <c r="AI267" s="671">
        <f t="shared" si="126"/>
        <v>0.12709883301983024</v>
      </c>
      <c r="AJ267" s="671">
        <f t="shared" si="127"/>
        <v>7.8227912069401162E-2</v>
      </c>
      <c r="AK267" s="671">
        <f t="shared" si="128"/>
        <v>0.11853411568732043</v>
      </c>
      <c r="AL267" s="671">
        <f t="shared" si="129"/>
        <v>9.0893437023311527E-2</v>
      </c>
      <c r="AM267" s="671">
        <f t="shared" si="130"/>
        <v>2.9323301234359941E-2</v>
      </c>
      <c r="AN267" s="671" t="s">
        <v>160</v>
      </c>
      <c r="AO267" s="672">
        <f t="shared" si="131"/>
        <v>0.28318219676764272</v>
      </c>
      <c r="AP267" s="368"/>
      <c r="AQ267" s="593">
        <f>+SUMIFS('Dados Mercado'!AQ:AQ,'Dados Mercado'!$C:$C,$D267)</f>
        <v>28991.577000000005</v>
      </c>
      <c r="AR267" s="594">
        <f>+SUMIFS('Dados Mercado'!AR:AR,'Dados Mercado'!$C:$C,$D267)</f>
        <v>77131.96179999999</v>
      </c>
      <c r="AS267" s="594">
        <f>+SUMIFS('Dados Mercado'!AS:AS,'Dados Mercado'!$C:$C,$D267)</f>
        <v>54766.8986</v>
      </c>
      <c r="AT267" s="594">
        <f>+SUMIFS('Dados Mercado'!AT:AT,'Dados Mercado'!$C:$C,$D267)</f>
        <v>286440.59140000003</v>
      </c>
      <c r="AU267" s="595">
        <f>+SUMIFS('Dados Mercado'!AU:AU,'Dados Mercado'!$C:$C,$D267)</f>
        <v>87034.128599999996</v>
      </c>
      <c r="AV267" s="365"/>
      <c r="AW267" s="675">
        <f t="shared" si="140"/>
        <v>5.4254242812276601E-2</v>
      </c>
      <c r="AX267" s="676">
        <f t="shared" si="140"/>
        <v>0.14434317195247579</v>
      </c>
      <c r="AY267" s="676">
        <f t="shared" si="140"/>
        <v>0.10248965120868489</v>
      </c>
      <c r="AZ267" s="676">
        <f t="shared" si="140"/>
        <v>0.53603905013886299</v>
      </c>
      <c r="BA267" s="409">
        <f t="shared" si="140"/>
        <v>0.16287388388769974</v>
      </c>
      <c r="BB267" s="365"/>
      <c r="BC267" s="410">
        <f t="shared" si="136"/>
        <v>0.15350810046558541</v>
      </c>
      <c r="BD267" s="411">
        <f t="shared" si="138"/>
        <v>0.11164079096362428</v>
      </c>
    </row>
    <row r="268" spans="1:56" ht="12.75" customHeight="1" outlineLevel="1" x14ac:dyDescent="0.2">
      <c r="A268" s="365" t="s">
        <v>1627</v>
      </c>
      <c r="B268" s="365" t="s">
        <v>1667</v>
      </c>
      <c r="C268" s="365"/>
      <c r="D268" s="440" t="str">
        <f>IF([1]RENAME!$H$3=1,B268,A268)</f>
        <v>2T20</v>
      </c>
      <c r="E268" s="403">
        <f>+SUMIFS('Dados Mercado'!E:E,'Dados Mercado'!$C:$C,$D268)</f>
        <v>258702</v>
      </c>
      <c r="F268" s="404">
        <f>+SUMIFS('Dados Mercado'!F:F,'Dados Mercado'!$C:$C,$D268)</f>
        <v>230963</v>
      </c>
      <c r="G268" s="406">
        <f>+SUMIFS('Dados Mercado'!G:G,'Dados Mercado'!$C:$C,$D268)</f>
        <v>27739</v>
      </c>
      <c r="H268" s="368"/>
      <c r="I268" s="403" t="s">
        <v>160</v>
      </c>
      <c r="J268" s="405" t="s">
        <v>160</v>
      </c>
      <c r="K268" s="451" t="s">
        <v>160</v>
      </c>
      <c r="L268" s="368"/>
      <c r="M268" s="407">
        <f>+SUMIFS('Dados Mercado'!M:M,'Dados Mercado'!$C:$C,$D268)</f>
        <v>130342</v>
      </c>
      <c r="N268" s="406">
        <f>+SUMIFS('Dados Mercado'!N:N,'Dados Mercado'!$C:$C,$D268)</f>
        <v>34439</v>
      </c>
      <c r="O268" s="368"/>
      <c r="P268" s="407">
        <f>+SUMIFS('Dados Mercado'!P:P,'Dados Mercado'!$C:$C,$D268)</f>
        <v>94638.097100000014</v>
      </c>
      <c r="Q268" s="406">
        <f>+SUMIFS('Dados Mercado'!Q:Q,'Dados Mercado'!$C:$C,$D268)</f>
        <v>136324.90289999999</v>
      </c>
      <c r="R268" s="368"/>
      <c r="S268" s="407">
        <f>+SUMIFS('Dados Mercado'!S:S,'Dados Mercado'!$C:$C,$D268)</f>
        <v>1010343</v>
      </c>
      <c r="T268" s="408">
        <f t="shared" si="123"/>
        <v>4.3744798950481245</v>
      </c>
      <c r="U268" s="368"/>
      <c r="V268" s="407">
        <f>+SUMIFS('Dados Mercado'!V:V,'Dados Mercado'!$C:$C,$D268)</f>
        <v>39735</v>
      </c>
      <c r="W268" s="404">
        <f>+SUMIFS('Dados Mercado'!W:W,'Dados Mercado'!$C:$C,$D268)</f>
        <v>37928</v>
      </c>
      <c r="X268" s="404">
        <f>+SUMIFS('Dados Mercado'!X:X,'Dados Mercado'!$C:$C,$D268)</f>
        <v>45146</v>
      </c>
      <c r="Y268" s="404">
        <f>+SUMIFS('Dados Mercado'!Y:Y,'Dados Mercado'!$C:$C,$D268)</f>
        <v>17104</v>
      </c>
      <c r="Z268" s="404">
        <f>+SUMIFS('Dados Mercado'!Z:Z,'Dados Mercado'!$C:$C,$D268)</f>
        <v>25834</v>
      </c>
      <c r="AA268" s="404">
        <f>+SUMIFS('Dados Mercado'!AA:AA,'Dados Mercado'!$C:$C,$D268)</f>
        <v>22261</v>
      </c>
      <c r="AB268" s="404">
        <f>+SUMIFS('Dados Mercado'!AB:AB,'Dados Mercado'!$C:$C,$D268)</f>
        <v>10233</v>
      </c>
      <c r="AC268" s="404">
        <f>+SUMIFS('Dados Mercado'!AC:AC,'Dados Mercado'!$C:$C,$D268)</f>
        <v>0</v>
      </c>
      <c r="AD268" s="406">
        <f>+SUMIFS('Dados Mercado'!AD:AD,'Dados Mercado'!$C:$C,$D268)</f>
        <v>32722</v>
      </c>
      <c r="AE268" s="368"/>
      <c r="AF268" s="447" t="str">
        <f>IF([1]RENAME!$H$3=1,B268,A268)</f>
        <v>2T20</v>
      </c>
      <c r="AG268" s="670">
        <f t="shared" si="124"/>
        <v>0.17204054329048377</v>
      </c>
      <c r="AH268" s="671">
        <f t="shared" si="125"/>
        <v>0.16421677931097189</v>
      </c>
      <c r="AI268" s="671">
        <f t="shared" si="126"/>
        <v>0.19546853825071547</v>
      </c>
      <c r="AJ268" s="671">
        <f t="shared" si="127"/>
        <v>7.4055151690963494E-2</v>
      </c>
      <c r="AK268" s="671">
        <f t="shared" si="128"/>
        <v>0.11185341375025437</v>
      </c>
      <c r="AL268" s="671">
        <f t="shared" si="129"/>
        <v>9.6383403402276552E-2</v>
      </c>
      <c r="AM268" s="671">
        <f t="shared" si="130"/>
        <v>4.4305797898364675E-2</v>
      </c>
      <c r="AN268" s="671" t="s">
        <v>160</v>
      </c>
      <c r="AO268" s="672">
        <f t="shared" si="131"/>
        <v>0.14167637240596978</v>
      </c>
      <c r="AP268" s="368"/>
      <c r="AQ268" s="593">
        <f>+SUMIFS('Dados Mercado'!AQ:AQ,'Dados Mercado'!$C:$C,$D268)</f>
        <v>16902.765100000001</v>
      </c>
      <c r="AR268" s="594">
        <f>+SUMIFS('Dados Mercado'!AR:AR,'Dados Mercado'!$C:$C,$D268)</f>
        <v>28906.010699999999</v>
      </c>
      <c r="AS268" s="594">
        <f>+SUMIFS('Dados Mercado'!AS:AS,'Dados Mercado'!$C:$C,$D268)</f>
        <v>34882.483999999997</v>
      </c>
      <c r="AT268" s="594">
        <f>+SUMIFS('Dados Mercado'!AT:AT,'Dados Mercado'!$C:$C,$D268)</f>
        <v>94286.082399999985</v>
      </c>
      <c r="AU268" s="595">
        <f>+SUMIFS('Dados Mercado'!AU:AU,'Dados Mercado'!$C:$C,$D268)</f>
        <v>56291.864799999996</v>
      </c>
      <c r="AV268" s="365"/>
      <c r="AW268" s="675">
        <f t="shared" ref="AW268:BA269" si="141">+AQ268/SUM($AQ268:$AU268)</f>
        <v>7.3086967864251812E-2</v>
      </c>
      <c r="AX268" s="676">
        <f t="shared" si="141"/>
        <v>0.12498858397521119</v>
      </c>
      <c r="AY268" s="676">
        <f t="shared" si="141"/>
        <v>0.15083064646820879</v>
      </c>
      <c r="AZ268" s="676">
        <f t="shared" si="141"/>
        <v>0.40768973795979674</v>
      </c>
      <c r="BA268" s="409">
        <f t="shared" si="141"/>
        <v>0.2434040637325314</v>
      </c>
      <c r="BB268" s="365"/>
      <c r="BC268" s="410">
        <f t="shared" si="136"/>
        <v>0.21281705052860936</v>
      </c>
      <c r="BD268" s="411">
        <f t="shared" si="138"/>
        <v>0.1491104635807467</v>
      </c>
    </row>
    <row r="269" spans="1:56" ht="12.75" customHeight="1" outlineLevel="1" x14ac:dyDescent="0.2">
      <c r="A269" s="365" t="s">
        <v>1642</v>
      </c>
      <c r="B269" s="365" t="s">
        <v>1668</v>
      </c>
      <c r="C269" s="365"/>
      <c r="D269" s="440" t="str">
        <f>IF([1]RENAME!$H$3=1,B269,A269)</f>
        <v>3T20</v>
      </c>
      <c r="E269" s="403">
        <f>+SUMIFS('Dados Mercado'!E:E,'Dados Mercado'!$C:$C,$D269)</f>
        <v>618961</v>
      </c>
      <c r="F269" s="404">
        <f>+SUMIFS('Dados Mercado'!F:F,'Dados Mercado'!$C:$C,$D269)</f>
        <v>536411</v>
      </c>
      <c r="G269" s="406">
        <f>+SUMIFS('Dados Mercado'!G:G,'Dados Mercado'!$C:$C,$D269)</f>
        <v>82550</v>
      </c>
      <c r="H269" s="368"/>
      <c r="I269" s="403" t="s">
        <v>160</v>
      </c>
      <c r="J269" s="405" t="s">
        <v>160</v>
      </c>
      <c r="K269" s="451" t="s">
        <v>160</v>
      </c>
      <c r="L269" s="368"/>
      <c r="M269" s="407">
        <f>+SUMIFS('Dados Mercado'!M:M,'Dados Mercado'!$C:$C,$D269)</f>
        <v>572575</v>
      </c>
      <c r="N269" s="406">
        <f>+SUMIFS('Dados Mercado'!N:N,'Dados Mercado'!$C:$C,$D269)</f>
        <v>54807</v>
      </c>
      <c r="O269" s="368"/>
      <c r="P269" s="407">
        <f>+SUMIFS('Dados Mercado'!P:P,'Dados Mercado'!$C:$C,$D269)</f>
        <v>236581.7542</v>
      </c>
      <c r="Q269" s="406">
        <f>+SUMIFS('Dados Mercado'!Q:Q,'Dados Mercado'!$C:$C,$D269)</f>
        <v>299829.24580000003</v>
      </c>
      <c r="R269" s="368"/>
      <c r="S269" s="407">
        <f>+SUMIFS('Dados Mercado'!S:S,'Dados Mercado'!$C:$C,$D269)</f>
        <v>2770050</v>
      </c>
      <c r="T269" s="408">
        <f t="shared" si="123"/>
        <v>5.1640439886579506</v>
      </c>
      <c r="U269" s="368"/>
      <c r="V269" s="407">
        <f>+SUMIFS('Dados Mercado'!V:V,'Dados Mercado'!$C:$C,$D269)</f>
        <v>88618</v>
      </c>
      <c r="W269" s="404">
        <f>+SUMIFS('Dados Mercado'!W:W,'Dados Mercado'!$C:$C,$D269)</f>
        <v>99583</v>
      </c>
      <c r="X269" s="404">
        <f>+SUMIFS('Dados Mercado'!X:X,'Dados Mercado'!$C:$C,$D269)</f>
        <v>127108</v>
      </c>
      <c r="Y269" s="404">
        <f>+SUMIFS('Dados Mercado'!Y:Y,'Dados Mercado'!$C:$C,$D269)</f>
        <v>35003</v>
      </c>
      <c r="Z269" s="404">
        <f>+SUMIFS('Dados Mercado'!Z:Z,'Dados Mercado'!$C:$C,$D269)</f>
        <v>45010</v>
      </c>
      <c r="AA269" s="404">
        <f>+SUMIFS('Dados Mercado'!AA:AA,'Dados Mercado'!$C:$C,$D269)</f>
        <v>53237</v>
      </c>
      <c r="AB269" s="404">
        <f>+SUMIFS('Dados Mercado'!AB:AB,'Dados Mercado'!$C:$C,$D269)</f>
        <v>21826</v>
      </c>
      <c r="AC269" s="404">
        <f>+SUMIFS('Dados Mercado'!AC:AC,'Dados Mercado'!$C:$C,$D269)</f>
        <v>0</v>
      </c>
      <c r="AD269" s="406">
        <f>+SUMIFS('Dados Mercado'!AD:AD,'Dados Mercado'!$C:$C,$D269)</f>
        <v>66026</v>
      </c>
      <c r="AE269" s="368"/>
      <c r="AF269" s="447" t="str">
        <f>IF([1]RENAME!$H$3=1,B269,A269)</f>
        <v>3T20</v>
      </c>
      <c r="AG269" s="670">
        <f t="shared" si="124"/>
        <v>0.16520541152213508</v>
      </c>
      <c r="AH269" s="671">
        <f t="shared" si="125"/>
        <v>0.18564682678021144</v>
      </c>
      <c r="AI269" s="671">
        <f t="shared" si="126"/>
        <v>0.23696009216813227</v>
      </c>
      <c r="AJ269" s="671">
        <f t="shared" si="127"/>
        <v>6.5254068242448421E-2</v>
      </c>
      <c r="AK269" s="671">
        <f t="shared" si="128"/>
        <v>8.3909539513544656E-2</v>
      </c>
      <c r="AL269" s="671">
        <f t="shared" si="129"/>
        <v>9.9246659744114119E-2</v>
      </c>
      <c r="AM269" s="671">
        <f t="shared" si="130"/>
        <v>4.0688949331762397E-2</v>
      </c>
      <c r="AN269" s="671" t="s">
        <v>160</v>
      </c>
      <c r="AO269" s="672">
        <f t="shared" si="131"/>
        <v>0.12308845269765162</v>
      </c>
      <c r="AP269" s="368"/>
      <c r="AQ269" s="593">
        <f>+SUMIFS('Dados Mercado'!AQ:AQ,'Dados Mercado'!$C:$C,$D269)</f>
        <v>34458.606</v>
      </c>
      <c r="AR269" s="594">
        <f>+SUMIFS('Dados Mercado'!AR:AR,'Dados Mercado'!$C:$C,$D269)</f>
        <v>88548.40849999999</v>
      </c>
      <c r="AS269" s="594">
        <f>+SUMIFS('Dados Mercado'!AS:AS,'Dados Mercado'!$C:$C,$D269)</f>
        <v>52322.195299999992</v>
      </c>
      <c r="AT269" s="594">
        <f>+SUMIFS('Dados Mercado'!AT:AT,'Dados Mercado'!$C:$C,$D269)</f>
        <v>275380.29909999995</v>
      </c>
      <c r="AU269" s="595">
        <f>+SUMIFS('Dados Mercado'!AU:AU,'Dados Mercado'!$C:$C,$D269)</f>
        <v>85652.918600000005</v>
      </c>
      <c r="AV269" s="365"/>
      <c r="AW269" s="675">
        <f t="shared" si="141"/>
        <v>6.4245003440327686E-2</v>
      </c>
      <c r="AX269" s="676">
        <f t="shared" si="141"/>
        <v>0.16509062521908288</v>
      </c>
      <c r="AY269" s="676">
        <f t="shared" si="141"/>
        <v>9.7550075503750694E-2</v>
      </c>
      <c r="AZ269" s="676">
        <f t="shared" si="141"/>
        <v>0.51342205378470518</v>
      </c>
      <c r="BA269" s="409">
        <f t="shared" si="141"/>
        <v>0.15969224205213373</v>
      </c>
      <c r="BB269" s="365"/>
      <c r="BC269" s="410">
        <f t="shared" si="136"/>
        <v>0.14417325241234774</v>
      </c>
      <c r="BD269" s="411">
        <f t="shared" si="138"/>
        <v>0.10217351993154503</v>
      </c>
    </row>
    <row r="270" spans="1:56" ht="12.75" customHeight="1" x14ac:dyDescent="0.2">
      <c r="A270" s="570" t="s">
        <v>1643</v>
      </c>
      <c r="B270" s="365" t="s">
        <v>1628</v>
      </c>
      <c r="C270" s="365"/>
      <c r="D270" s="440" t="str">
        <f>IF([1]RENAME!$H$3=1,B270,A270)</f>
        <v>4T20</v>
      </c>
      <c r="E270" s="403">
        <f>+SUMIFS('Dados Mercado'!E:E,'Dados Mercado'!$C:$C,$D270)</f>
        <v>764618</v>
      </c>
      <c r="F270" s="404">
        <f>+SUMIFS('Dados Mercado'!F:F,'Dados Mercado'!$C:$C,$D270)</f>
        <v>653169</v>
      </c>
      <c r="G270" s="406">
        <f>+SUMIFS('Dados Mercado'!G:G,'Dados Mercado'!$C:$C,$D270)</f>
        <v>111449</v>
      </c>
      <c r="H270" s="368"/>
      <c r="I270" s="403" t="s">
        <v>160</v>
      </c>
      <c r="J270" s="405" t="s">
        <v>160</v>
      </c>
      <c r="K270" s="451" t="s">
        <v>160</v>
      </c>
      <c r="L270" s="368"/>
      <c r="M270" s="407">
        <f>+SUMIFS('Dados Mercado'!M:M,'Dados Mercado'!$C:$C,$D270)</f>
        <v>646582</v>
      </c>
      <c r="N270" s="406">
        <f>+SUMIFS('Dados Mercado'!N:N,'Dados Mercado'!$C:$C,$D270)</f>
        <v>58789</v>
      </c>
      <c r="O270" s="368"/>
      <c r="P270" s="407">
        <f>+SUMIFS('Dados Mercado'!P:P,'Dados Mercado'!$C:$C,$D270)</f>
        <v>292157.98989999999</v>
      </c>
      <c r="Q270" s="406">
        <f>+SUMIFS('Dados Mercado'!Q:Q,'Dados Mercado'!$C:$C,$D270)</f>
        <v>361011.01010000001</v>
      </c>
      <c r="R270" s="368"/>
      <c r="S270" s="407">
        <f>+SUMIFS('Dados Mercado'!S:S,'Dados Mercado'!$C:$C,$D270)</f>
        <v>3337362</v>
      </c>
      <c r="T270" s="408">
        <f t="shared" si="123"/>
        <v>5.1094923365928269</v>
      </c>
      <c r="U270" s="368"/>
      <c r="V270" s="407">
        <f>+SUMIFS('Dados Mercado'!V:V,'Dados Mercado'!$C:$C,$D270)</f>
        <v>115508</v>
      </c>
      <c r="W270" s="404">
        <f>+SUMIFS('Dados Mercado'!W:W,'Dados Mercado'!$C:$C,$D270)</f>
        <v>106305</v>
      </c>
      <c r="X270" s="404">
        <f>+SUMIFS('Dados Mercado'!X:X,'Dados Mercado'!$C:$C,$D270)</f>
        <v>157305</v>
      </c>
      <c r="Y270" s="404">
        <f>+SUMIFS('Dados Mercado'!Y:Y,'Dados Mercado'!$C:$C,$D270)</f>
        <v>44075</v>
      </c>
      <c r="Z270" s="404">
        <f>+SUMIFS('Dados Mercado'!Z:Z,'Dados Mercado'!$C:$C,$D270)</f>
        <v>58859</v>
      </c>
      <c r="AA270" s="404">
        <f>+SUMIFS('Dados Mercado'!AA:AA,'Dados Mercado'!$C:$C,$D270)</f>
        <v>63804</v>
      </c>
      <c r="AB270" s="404">
        <f>+SUMIFS('Dados Mercado'!AB:AB,'Dados Mercado'!$C:$C,$D270)</f>
        <v>27978</v>
      </c>
      <c r="AC270" s="404">
        <f>+SUMIFS('Dados Mercado'!AC:AC,'Dados Mercado'!$C:$C,$D270)</f>
        <v>0</v>
      </c>
      <c r="AD270" s="406">
        <f>+SUMIFS('Dados Mercado'!AD:AD,'Dados Mercado'!$C:$C,$D270)</f>
        <v>79335</v>
      </c>
      <c r="AE270" s="368"/>
      <c r="AF270" s="447" t="str">
        <f>IF([1]RENAME!$H$3=1,B270,A270)</f>
        <v>4T20</v>
      </c>
      <c r="AG270" s="670">
        <f t="shared" si="124"/>
        <v>0.17684244047099601</v>
      </c>
      <c r="AH270" s="671">
        <f t="shared" si="125"/>
        <v>0.16275267197310345</v>
      </c>
      <c r="AI270" s="671">
        <f t="shared" si="126"/>
        <v>0.24083353619048056</v>
      </c>
      <c r="AJ270" s="671">
        <f t="shared" si="127"/>
        <v>6.747870765452739E-2</v>
      </c>
      <c r="AK270" s="671">
        <f t="shared" si="128"/>
        <v>9.0112972293541177E-2</v>
      </c>
      <c r="AL270" s="671">
        <f t="shared" si="129"/>
        <v>9.7683754127951578E-2</v>
      </c>
      <c r="AM270" s="671">
        <f t="shared" si="130"/>
        <v>4.2834243511250536E-2</v>
      </c>
      <c r="AN270" s="671" t="s">
        <v>160</v>
      </c>
      <c r="AO270" s="672">
        <f t="shared" si="131"/>
        <v>0.1214616737781493</v>
      </c>
      <c r="AP270" s="368"/>
      <c r="AQ270" s="593">
        <f>+SUMIFS('Dados Mercado'!AQ:AQ,'Dados Mercado'!$C:$C,$D270)</f>
        <v>41483.4735</v>
      </c>
      <c r="AR270" s="594">
        <f>+SUMIFS('Dados Mercado'!AR:AR,'Dados Mercado'!$C:$C,$D270)</f>
        <v>106977.6513</v>
      </c>
      <c r="AS270" s="594">
        <f>+SUMIFS('Dados Mercado'!AS:AS,'Dados Mercado'!$C:$C,$D270)</f>
        <v>64082.714000000007</v>
      </c>
      <c r="AT270" s="594">
        <f>+SUMIFS('Dados Mercado'!AT:AT,'Dados Mercado'!$C:$C,$D270)</f>
        <v>326469.05150000006</v>
      </c>
      <c r="AU270" s="595">
        <f>+SUMIFS('Dados Mercado'!AU:AU,'Dados Mercado'!$C:$C,$D270)</f>
        <v>114156.1097</v>
      </c>
      <c r="AV270" s="365"/>
      <c r="AW270" s="675">
        <f t="shared" ref="AW270:BA271" si="142">+AQ270/SUM($AQ270:$AU270)</f>
        <v>6.3511087482718859E-2</v>
      </c>
      <c r="AX270" s="676">
        <f t="shared" si="142"/>
        <v>0.16378249932253364</v>
      </c>
      <c r="AY270" s="676">
        <f t="shared" si="142"/>
        <v>9.8110464519902199E-2</v>
      </c>
      <c r="AZ270" s="676">
        <f t="shared" si="142"/>
        <v>0.49982324865387057</v>
      </c>
      <c r="BA270" s="409">
        <f t="shared" si="142"/>
        <v>0.17477270002097464</v>
      </c>
      <c r="BB270" s="365"/>
      <c r="BC270" s="410">
        <f t="shared" si="136"/>
        <v>0.17236638199021934</v>
      </c>
      <c r="BD270" s="411">
        <f t="shared" si="138"/>
        <v>9.0005802479909483E-2</v>
      </c>
    </row>
    <row r="271" spans="1:56" ht="12.75" customHeight="1" x14ac:dyDescent="0.2">
      <c r="A271" s="570" t="s">
        <v>1825</v>
      </c>
      <c r="B271" s="365" t="s">
        <v>1827</v>
      </c>
      <c r="C271" s="365"/>
      <c r="D271" s="440" t="str">
        <f>IF([1]RENAME!$H$3=1,B271,A271)</f>
        <v>1T21</v>
      </c>
      <c r="E271" s="403">
        <f>+SUMIFS('Dados Mercado'!E:E,'Dados Mercado'!$C:$C,$D271)</f>
        <v>588153</v>
      </c>
      <c r="F271" s="404">
        <f>+SUMIFS('Dados Mercado'!F:F,'Dados Mercado'!$C:$C,$D271)</f>
        <v>498518</v>
      </c>
      <c r="G271" s="406">
        <f>+SUMIFS('Dados Mercado'!G:G,'Dados Mercado'!$C:$C,$D271)</f>
        <v>89635</v>
      </c>
      <c r="H271" s="368"/>
      <c r="I271" s="403" t="s">
        <v>160</v>
      </c>
      <c r="J271" s="405" t="s">
        <v>160</v>
      </c>
      <c r="K271" s="451" t="s">
        <v>160</v>
      </c>
      <c r="L271" s="368"/>
      <c r="M271" s="407">
        <f>+SUMIFS('Dados Mercado'!M:M,'Dados Mercado'!$C:$C,$D271)</f>
        <v>559515</v>
      </c>
      <c r="N271" s="406">
        <f>+SUMIFS('Dados Mercado'!N:N,'Dados Mercado'!$C:$C,$D271)</f>
        <v>45886</v>
      </c>
      <c r="O271" s="368"/>
      <c r="P271" s="407">
        <f>+SUMIFS('Dados Mercado'!P:P,'Dados Mercado'!$C:$C,$D271)</f>
        <v>209234.10499999998</v>
      </c>
      <c r="Q271" s="406">
        <f>+SUMIFS('Dados Mercado'!Q:Q,'Dados Mercado'!$C:$C,$D271)</f>
        <v>289283.89500000002</v>
      </c>
      <c r="R271" s="368"/>
      <c r="S271" s="407">
        <f>+SUMIFS('Dados Mercado'!S:S,'Dados Mercado'!$C:$C,$D271)</f>
        <v>2661012</v>
      </c>
      <c r="T271" s="408">
        <f t="shared" si="123"/>
        <v>5.3378453736876104</v>
      </c>
      <c r="U271" s="368"/>
      <c r="V271" s="407">
        <f>+SUMIFS('Dados Mercado'!V:V,'Dados Mercado'!$C:$C,$D271)</f>
        <v>74815</v>
      </c>
      <c r="W271" s="404">
        <f>+SUMIFS('Dados Mercado'!W:W,'Dados Mercado'!$C:$C,$D271)</f>
        <v>86006</v>
      </c>
      <c r="X271" s="404">
        <f>+SUMIFS('Dados Mercado'!X:X,'Dados Mercado'!$C:$C,$D271)</f>
        <v>136434</v>
      </c>
      <c r="Y271" s="404">
        <f>+SUMIFS('Dados Mercado'!Y:Y,'Dados Mercado'!$C:$C,$D271)</f>
        <v>33150</v>
      </c>
      <c r="Z271" s="404">
        <f>+SUMIFS('Dados Mercado'!Z:Z,'Dados Mercado'!$C:$C,$D271)</f>
        <v>50428</v>
      </c>
      <c r="AA271" s="404">
        <f>+SUMIFS('Dados Mercado'!AA:AA,'Dados Mercado'!$C:$C,$D271)</f>
        <v>53660</v>
      </c>
      <c r="AB271" s="404">
        <f>+SUMIFS('Dados Mercado'!AB:AB,'Dados Mercado'!$C:$C,$D271)</f>
        <v>20813</v>
      </c>
      <c r="AC271" s="404">
        <f>+SUMIFS('Dados Mercado'!AC:AC,'Dados Mercado'!$C:$C,$D271)</f>
        <v>0</v>
      </c>
      <c r="AD271" s="406">
        <f>+SUMIFS('Dados Mercado'!AD:AD,'Dados Mercado'!$C:$C,$D271)</f>
        <v>43212</v>
      </c>
      <c r="AE271" s="368"/>
      <c r="AF271" s="447" t="str">
        <f>IF([1]RENAME!$H$3=1,B271,A271)</f>
        <v>1T21</v>
      </c>
      <c r="AG271" s="670">
        <f t="shared" si="124"/>
        <v>0.1500748217717314</v>
      </c>
      <c r="AH271" s="671">
        <f t="shared" si="125"/>
        <v>0.17252335923677781</v>
      </c>
      <c r="AI271" s="671">
        <f t="shared" si="126"/>
        <v>0.27367918510465017</v>
      </c>
      <c r="AJ271" s="671">
        <f t="shared" si="127"/>
        <v>6.6497097396683774E-2</v>
      </c>
      <c r="AK271" s="671">
        <f t="shared" si="128"/>
        <v>0.10115582586787238</v>
      </c>
      <c r="AL271" s="671">
        <f t="shared" si="129"/>
        <v>0.10763904212084618</v>
      </c>
      <c r="AM271" s="671">
        <f t="shared" si="130"/>
        <v>4.1749746247878715E-2</v>
      </c>
      <c r="AN271" s="671" t="s">
        <v>160</v>
      </c>
      <c r="AO271" s="672">
        <f t="shared" si="131"/>
        <v>8.6680922253559556E-2</v>
      </c>
      <c r="AP271" s="368"/>
      <c r="AQ271" s="593">
        <f>+SUMIFS('Dados Mercado'!AQ:AQ,'Dados Mercado'!$C:$C,$D271)</f>
        <v>28323.1342</v>
      </c>
      <c r="AR271" s="594">
        <f>+SUMIFS('Dados Mercado'!AR:AR,'Dados Mercado'!$C:$C,$D271)</f>
        <v>76270.876799999998</v>
      </c>
      <c r="AS271" s="594">
        <f>+SUMIFS('Dados Mercado'!AS:AS,'Dados Mercado'!$C:$C,$D271)</f>
        <v>53375.810799999992</v>
      </c>
      <c r="AT271" s="594">
        <f>+SUMIFS('Dados Mercado'!AT:AT,'Dados Mercado'!$C:$C,$D271)</f>
        <v>257139.62400000001</v>
      </c>
      <c r="AU271" s="595">
        <f>+SUMIFS('Dados Mercado'!AU:AU,'Dados Mercado'!$C:$C,$D271)</f>
        <v>83374.551200000016</v>
      </c>
      <c r="AV271" s="365"/>
      <c r="AW271" s="675">
        <f t="shared" si="142"/>
        <v>5.6818542561959118E-2</v>
      </c>
      <c r="AX271" s="676">
        <f t="shared" si="142"/>
        <v>0.15300566770250801</v>
      </c>
      <c r="AY271" s="676">
        <f t="shared" si="142"/>
        <v>0.10707627751588582</v>
      </c>
      <c r="AZ271" s="676">
        <f t="shared" si="142"/>
        <v>0.51584328794410628</v>
      </c>
      <c r="BA271" s="409">
        <f t="shared" si="142"/>
        <v>0.16725622427554082</v>
      </c>
      <c r="BB271" s="365"/>
      <c r="BC271" s="410">
        <f t="shared" si="136"/>
        <v>0.16020124572174116</v>
      </c>
      <c r="BD271" s="411">
        <f t="shared" si="138"/>
        <v>9.2044820848996428E-2</v>
      </c>
    </row>
    <row r="272" spans="1:56" ht="12.75" customHeight="1" x14ac:dyDescent="0.2">
      <c r="A272" s="570" t="s">
        <v>1785</v>
      </c>
      <c r="B272" s="365" t="s">
        <v>1828</v>
      </c>
      <c r="C272" s="365"/>
      <c r="D272" s="440" t="str">
        <f>IF([1]RENAME!$H$3=1,B272,A272)</f>
        <v>2T21</v>
      </c>
      <c r="E272" s="403">
        <f>+SUMIFS('Dados Mercado'!E:E,'Dados Mercado'!$C:$C,$D272)</f>
        <v>607259</v>
      </c>
      <c r="F272" s="404">
        <f>+SUMIFS('Dados Mercado'!F:F,'Dados Mercado'!$C:$C,$D272)</f>
        <v>509382</v>
      </c>
      <c r="G272" s="406">
        <f>+SUMIFS('Dados Mercado'!G:G,'Dados Mercado'!$C:$C,$D272)</f>
        <v>97877</v>
      </c>
      <c r="H272" s="368"/>
      <c r="I272" s="403" t="s">
        <v>160</v>
      </c>
      <c r="J272" s="405" t="s">
        <v>160</v>
      </c>
      <c r="K272" s="451" t="s">
        <v>160</v>
      </c>
      <c r="L272" s="368"/>
      <c r="M272" s="407">
        <f>+SUMIFS('Dados Mercado'!M:M,'Dados Mercado'!$C:$C,$D272)</f>
        <v>504509</v>
      </c>
      <c r="N272" s="406">
        <f>+SUMIFS('Dados Mercado'!N:N,'Dados Mercado'!$C:$C,$D272)</f>
        <v>59453</v>
      </c>
      <c r="O272" s="368"/>
      <c r="P272" s="407">
        <f>+SUMIFS('Dados Mercado'!P:P,'Dados Mercado'!$C:$C,$D272)</f>
        <v>226876.63740000001</v>
      </c>
      <c r="Q272" s="406">
        <f>+SUMIFS('Dados Mercado'!Q:Q,'Dados Mercado'!$C:$C,$D272)</f>
        <v>282505.36259999999</v>
      </c>
      <c r="R272" s="368"/>
      <c r="S272" s="407">
        <f>+SUMIFS('Dados Mercado'!S:S,'Dados Mercado'!$C:$C,$D272)</f>
        <v>2790487</v>
      </c>
      <c r="T272" s="408">
        <f t="shared" si="123"/>
        <v>5.4781814041328509</v>
      </c>
      <c r="U272" s="368"/>
      <c r="V272" s="407">
        <f>+SUMIFS('Dados Mercado'!V:V,'Dados Mercado'!$C:$C,$D272)</f>
        <v>49826</v>
      </c>
      <c r="W272" s="404">
        <f>+SUMIFS('Dados Mercado'!W:W,'Dados Mercado'!$C:$C,$D272)</f>
        <v>79306</v>
      </c>
      <c r="X272" s="404">
        <f>+SUMIFS('Dados Mercado'!X:X,'Dados Mercado'!$C:$C,$D272)</f>
        <v>160874</v>
      </c>
      <c r="Y272" s="404">
        <f>+SUMIFS('Dados Mercado'!Y:Y,'Dados Mercado'!$C:$C,$D272)</f>
        <v>45474</v>
      </c>
      <c r="Z272" s="404">
        <f>+SUMIFS('Dados Mercado'!Z:Z,'Dados Mercado'!$C:$C,$D272)</f>
        <v>52095</v>
      </c>
      <c r="AA272" s="404">
        <f>+SUMIFS('Dados Mercado'!AA:AA,'Dados Mercado'!$C:$C,$D272)</f>
        <v>57028</v>
      </c>
      <c r="AB272" s="404">
        <f>+SUMIFS('Dados Mercado'!AB:AB,'Dados Mercado'!$C:$C,$D272)</f>
        <v>19349</v>
      </c>
      <c r="AC272" s="404">
        <f>+SUMIFS('Dados Mercado'!AC:AC,'Dados Mercado'!$C:$C,$D272)</f>
        <v>0</v>
      </c>
      <c r="AD272" s="406">
        <f>+SUMIFS('Dados Mercado'!AD:AD,'Dados Mercado'!$C:$C,$D272)</f>
        <v>45430</v>
      </c>
      <c r="AE272" s="368"/>
      <c r="AF272" s="447" t="str">
        <f>IF([1]RENAME!$H$3=1,B272,A272)</f>
        <v>2T21</v>
      </c>
      <c r="AG272" s="670">
        <f t="shared" si="124"/>
        <v>9.7816569882720625E-2</v>
      </c>
      <c r="AH272" s="671">
        <f t="shared" si="125"/>
        <v>0.15569062118410151</v>
      </c>
      <c r="AI272" s="671">
        <f t="shared" si="126"/>
        <v>0.31582191753929273</v>
      </c>
      <c r="AJ272" s="671">
        <f t="shared" si="127"/>
        <v>8.927288361190619E-2</v>
      </c>
      <c r="AK272" s="671">
        <f t="shared" si="128"/>
        <v>0.10227098719624958</v>
      </c>
      <c r="AL272" s="671">
        <f t="shared" si="129"/>
        <v>0.11195527128952339</v>
      </c>
      <c r="AM272" s="671">
        <f t="shared" si="130"/>
        <v>3.7985244865346636E-2</v>
      </c>
      <c r="AN272" s="671" t="s">
        <v>160</v>
      </c>
      <c r="AO272" s="672">
        <f t="shared" si="131"/>
        <v>8.9186504430859362E-2</v>
      </c>
      <c r="AP272" s="368"/>
      <c r="AQ272" s="593">
        <f>+SUMIFS('Dados Mercado'!AQ:AQ,'Dados Mercado'!$C:$C,$D272)</f>
        <v>31037.198400000001</v>
      </c>
      <c r="AR272" s="594">
        <f>+SUMIFS('Dados Mercado'!AR:AR,'Dados Mercado'!$C:$C,$D272)</f>
        <v>82087.0864</v>
      </c>
      <c r="AS272" s="594">
        <f>+SUMIFS('Dados Mercado'!AS:AS,'Dados Mercado'!$C:$C,$D272)</f>
        <v>55454.113599999997</v>
      </c>
      <c r="AT272" s="594">
        <f>+SUMIFS('Dados Mercado'!AT:AT,'Dados Mercado'!$C:$C,$D272)</f>
        <v>259374.93029999998</v>
      </c>
      <c r="AU272" s="595">
        <f>+SUMIFS('Dados Mercado'!AU:AU,'Dados Mercado'!$C:$C,$D272)</f>
        <v>81193.303400000004</v>
      </c>
      <c r="AV272" s="365"/>
      <c r="AW272" s="675">
        <f t="shared" ref="AW272:BA273" si="143">+AQ272/SUM($AQ272:$AU272)</f>
        <v>6.0959253078009326E-2</v>
      </c>
      <c r="AX272" s="676">
        <f t="shared" si="143"/>
        <v>0.16122484413071306</v>
      </c>
      <c r="AY272" s="676">
        <f t="shared" si="143"/>
        <v>0.10891580166459477</v>
      </c>
      <c r="AZ272" s="676">
        <f t="shared" si="143"/>
        <v>0.50943071002983076</v>
      </c>
      <c r="BA272" s="409">
        <f t="shared" si="143"/>
        <v>0.15946939109685218</v>
      </c>
      <c r="BB272" s="365"/>
      <c r="BC272" s="410">
        <f t="shared" si="136"/>
        <v>0.1940044677101895</v>
      </c>
      <c r="BD272" s="411">
        <f t="shared" si="138"/>
        <v>0.11671594206312748</v>
      </c>
    </row>
    <row r="273" spans="1:56" ht="12.75" customHeight="1" x14ac:dyDescent="0.2">
      <c r="A273" s="570" t="s">
        <v>1786</v>
      </c>
      <c r="B273" s="365" t="s">
        <v>1829</v>
      </c>
      <c r="C273" s="365"/>
      <c r="D273" s="440" t="str">
        <f>IF([1]RENAME!$H$3=1,B273,A273)</f>
        <v>3T21</v>
      </c>
      <c r="E273" s="403">
        <f>+SUMIFS('Dados Mercado'!E:E,'Dados Mercado'!$C:$C,$D273)</f>
        <v>533317</v>
      </c>
      <c r="F273" s="404">
        <f>+SUMIFS('Dados Mercado'!F:F,'Dados Mercado'!$C:$C,$D273)</f>
        <v>463358</v>
      </c>
      <c r="G273" s="406">
        <f>+SUMIFS('Dados Mercado'!G:G,'Dados Mercado'!$C:$C,$D273)</f>
        <v>69959</v>
      </c>
      <c r="H273" s="368"/>
      <c r="I273" s="403" t="s">
        <v>160</v>
      </c>
      <c r="J273" s="405" t="s">
        <v>160</v>
      </c>
      <c r="K273" s="451" t="s">
        <v>160</v>
      </c>
      <c r="L273" s="368"/>
      <c r="M273" s="407">
        <f>+SUMIFS('Dados Mercado'!M:M,'Dados Mercado'!$C:$C,$D273)</f>
        <v>455752</v>
      </c>
      <c r="N273" s="406">
        <f>+SUMIFS('Dados Mercado'!N:N,'Dados Mercado'!$C:$C,$D273)</f>
        <v>67681</v>
      </c>
      <c r="O273" s="368"/>
      <c r="P273" s="407">
        <f>+SUMIFS('Dados Mercado'!P:P,'Dados Mercado'!$C:$C,$D273)</f>
        <v>183909.3731</v>
      </c>
      <c r="Q273" s="406">
        <f>+SUMIFS('Dados Mercado'!Q:Q,'Dados Mercado'!$C:$C,$D273)</f>
        <v>279448.62690000003</v>
      </c>
      <c r="R273" s="368"/>
      <c r="S273" s="407">
        <f>+SUMIFS('Dados Mercado'!S:S,'Dados Mercado'!$C:$C,$D273)</f>
        <v>3116247</v>
      </c>
      <c r="T273" s="408">
        <f t="shared" si="123"/>
        <v>6.7253549091631095</v>
      </c>
      <c r="U273" s="368"/>
      <c r="V273" s="407">
        <f>+SUMIFS('Dados Mercado'!V:V,'Dados Mercado'!$C:$C,$D273)</f>
        <v>36332</v>
      </c>
      <c r="W273" s="404">
        <f>+SUMIFS('Dados Mercado'!W:W,'Dados Mercado'!$C:$C,$D273)</f>
        <v>61647</v>
      </c>
      <c r="X273" s="404">
        <f>+SUMIFS('Dados Mercado'!X:X,'Dados Mercado'!$C:$C,$D273)</f>
        <v>150440</v>
      </c>
      <c r="Y273" s="404">
        <f>+SUMIFS('Dados Mercado'!Y:Y,'Dados Mercado'!$C:$C,$D273)</f>
        <v>48765</v>
      </c>
      <c r="Z273" s="404">
        <f>+SUMIFS('Dados Mercado'!Z:Z,'Dados Mercado'!$C:$C,$D273)</f>
        <v>41756</v>
      </c>
      <c r="AA273" s="404">
        <f>+SUMIFS('Dados Mercado'!AA:AA,'Dados Mercado'!$C:$C,$D273)</f>
        <v>56735</v>
      </c>
      <c r="AB273" s="404">
        <f>+SUMIFS('Dados Mercado'!AB:AB,'Dados Mercado'!$C:$C,$D273)</f>
        <v>21769</v>
      </c>
      <c r="AC273" s="404">
        <f>+SUMIFS('Dados Mercado'!AC:AC,'Dados Mercado'!$C:$C,$D273)</f>
        <v>0</v>
      </c>
      <c r="AD273" s="406">
        <f>+SUMIFS('Dados Mercado'!AD:AD,'Dados Mercado'!$C:$C,$D273)</f>
        <v>45914</v>
      </c>
      <c r="AE273" s="365"/>
      <c r="AF273" s="447" t="str">
        <f>IF([1]RENAME!$H$3=1,B273,A273)</f>
        <v>3T21</v>
      </c>
      <c r="AG273" s="670">
        <f t="shared" si="124"/>
        <v>7.8410214132485029E-2</v>
      </c>
      <c r="AH273" s="671">
        <f t="shared" si="125"/>
        <v>0.13304399621890634</v>
      </c>
      <c r="AI273" s="671">
        <f t="shared" si="126"/>
        <v>0.32467336271306418</v>
      </c>
      <c r="AJ273" s="671">
        <f t="shared" si="127"/>
        <v>0.10524259859547046</v>
      </c>
      <c r="AK273" s="671">
        <f t="shared" si="128"/>
        <v>9.0116065763405404E-2</v>
      </c>
      <c r="AL273" s="671">
        <f t="shared" si="129"/>
        <v>0.12244312173308759</v>
      </c>
      <c r="AM273" s="671">
        <f t="shared" si="130"/>
        <v>4.6980952093197914E-2</v>
      </c>
      <c r="AN273" s="671" t="s">
        <v>160</v>
      </c>
      <c r="AO273" s="672">
        <f t="shared" si="131"/>
        <v>9.908968875038307E-2</v>
      </c>
      <c r="AP273" s="368"/>
      <c r="AQ273" s="593">
        <f>+SUMIFS('Dados Mercado'!AQ:AQ,'Dados Mercado'!$C:$C,$D273)</f>
        <v>29402.133199999997</v>
      </c>
      <c r="AR273" s="594">
        <f>+SUMIFS('Dados Mercado'!AR:AR,'Dados Mercado'!$C:$C,$D273)</f>
        <v>70824.090300000011</v>
      </c>
      <c r="AS273" s="594">
        <f>+SUMIFS('Dados Mercado'!AS:AS,'Dados Mercado'!$C:$C,$D273)</f>
        <v>53855.637600000002</v>
      </c>
      <c r="AT273" s="594">
        <f>+SUMIFS('Dados Mercado'!AT:AT,'Dados Mercado'!$C:$C,$D273)</f>
        <v>230725.51179999998</v>
      </c>
      <c r="AU273" s="595">
        <f>+SUMIFS('Dados Mercado'!AU:AU,'Dados Mercado'!$C:$C,$D273)</f>
        <v>78566.482799999998</v>
      </c>
      <c r="AV273" s="365"/>
      <c r="AW273" s="675">
        <f t="shared" si="143"/>
        <v>6.345229200638304E-2</v>
      </c>
      <c r="AX273" s="676">
        <f t="shared" si="143"/>
        <v>0.15284438133223754</v>
      </c>
      <c r="AY273" s="676">
        <f t="shared" si="143"/>
        <v>0.11622502421644504</v>
      </c>
      <c r="AZ273" s="676">
        <f t="shared" si="143"/>
        <v>0.49792518279101522</v>
      </c>
      <c r="BA273" s="409">
        <f t="shared" si="143"/>
        <v>0.16955311965391923</v>
      </c>
      <c r="BB273" s="365"/>
      <c r="BC273" s="410">
        <f t="shared" si="136"/>
        <v>0.15350234337973284</v>
      </c>
      <c r="BD273" s="411">
        <f t="shared" si="138"/>
        <v>0.14606632452660795</v>
      </c>
    </row>
    <row r="274" spans="1:56" ht="12.75" customHeight="1" x14ac:dyDescent="0.2">
      <c r="A274" s="570" t="s">
        <v>1826</v>
      </c>
      <c r="B274" s="365" t="s">
        <v>1830</v>
      </c>
      <c r="C274" s="365"/>
      <c r="D274" s="440" t="str">
        <f>IF([1]RENAME!$H$3=1,B274,A274)</f>
        <v>4T21</v>
      </c>
      <c r="E274" s="403">
        <f>+SUMIFS('Dados Mercado'!E:E,'Dados Mercado'!$C:$C,$D274)</f>
        <v>597814</v>
      </c>
      <c r="F274" s="404">
        <f>+SUMIFS('Dados Mercado'!F:F,'Dados Mercado'!$C:$C,$D274)</f>
        <v>505836</v>
      </c>
      <c r="G274" s="406">
        <f>+SUMIFS('Dados Mercado'!G:G,'Dados Mercado'!$C:$C,$D274)</f>
        <v>91978</v>
      </c>
      <c r="H274" s="365"/>
      <c r="I274" s="403" t="s">
        <v>160</v>
      </c>
      <c r="J274" s="405" t="s">
        <v>160</v>
      </c>
      <c r="K274" s="451" t="s">
        <v>160</v>
      </c>
      <c r="L274" s="365"/>
      <c r="M274" s="407">
        <f>+SUMIFS('Dados Mercado'!M:M,'Dados Mercado'!$C:$C,$D274)</f>
        <v>550786</v>
      </c>
      <c r="N274" s="406">
        <f>+SUMIFS('Dados Mercado'!N:N,'Dados Mercado'!$C:$C,$D274)</f>
        <v>74901</v>
      </c>
      <c r="O274" s="368"/>
      <c r="P274" s="407">
        <f>+SUMIFS('Dados Mercado'!P:P,'Dados Mercado'!$C:$C,$D274)</f>
        <v>232289.55470000001</v>
      </c>
      <c r="Q274" s="406">
        <f>+SUMIFS('Dados Mercado'!Q:Q,'Dados Mercado'!$C:$C,$D274)</f>
        <v>273546.44530000002</v>
      </c>
      <c r="R274" s="368"/>
      <c r="S274" s="407">
        <f>+SUMIFS('Dados Mercado'!S:S,'Dados Mercado'!$C:$C,$D274)</f>
        <v>2667601</v>
      </c>
      <c r="T274" s="408">
        <f t="shared" si="123"/>
        <v>5.2736479807684704</v>
      </c>
      <c r="U274" s="368"/>
      <c r="V274" s="407">
        <f>+SUMIFS('Dados Mercado'!V:V,'Dados Mercado'!$C:$C,$D274)</f>
        <v>81222</v>
      </c>
      <c r="W274" s="404">
        <f>+SUMIFS('Dados Mercado'!W:W,'Dados Mercado'!$C:$C,$D274)</f>
        <v>75346</v>
      </c>
      <c r="X274" s="404">
        <f>+SUMIFS('Dados Mercado'!X:X,'Dados Mercado'!$C:$C,$D274)</f>
        <v>132657</v>
      </c>
      <c r="Y274" s="404">
        <f>+SUMIFS('Dados Mercado'!Y:Y,'Dados Mercado'!$C:$C,$D274)</f>
        <v>45978</v>
      </c>
      <c r="Z274" s="404">
        <f>+SUMIFS('Dados Mercado'!Z:Z,'Dados Mercado'!$C:$C,$D274)</f>
        <v>48230</v>
      </c>
      <c r="AA274" s="404">
        <f>+SUMIFS('Dados Mercado'!AA:AA,'Dados Mercado'!$C:$C,$D274)</f>
        <v>56724</v>
      </c>
      <c r="AB274" s="404">
        <f>+SUMIFS('Dados Mercado'!AB:AB,'Dados Mercado'!$C:$C,$D274)</f>
        <v>19523</v>
      </c>
      <c r="AC274" s="404">
        <f>+SUMIFS('Dados Mercado'!AC:AC,'Dados Mercado'!$C:$C,$D274)</f>
        <v>0</v>
      </c>
      <c r="AD274" s="406">
        <f>+SUMIFS('Dados Mercado'!AD:AD,'Dados Mercado'!$C:$C,$D274)</f>
        <v>46156</v>
      </c>
      <c r="AE274" s="365"/>
      <c r="AF274" s="447" t="str">
        <f>IF([1]RENAME!$H$3=1,B274,A274)</f>
        <v>4T21</v>
      </c>
      <c r="AG274" s="670">
        <f t="shared" si="124"/>
        <v>0.16056982895642066</v>
      </c>
      <c r="AH274" s="671">
        <f t="shared" si="125"/>
        <v>0.148953415731581</v>
      </c>
      <c r="AI274" s="671">
        <f t="shared" si="126"/>
        <v>0.26225298318031931</v>
      </c>
      <c r="AJ274" s="671">
        <f t="shared" si="127"/>
        <v>9.0895072711313543E-2</v>
      </c>
      <c r="AK274" s="671">
        <f t="shared" si="128"/>
        <v>9.5347108549015888E-2</v>
      </c>
      <c r="AL274" s="671">
        <f t="shared" si="129"/>
        <v>0.1121391122814509</v>
      </c>
      <c r="AM274" s="671">
        <f t="shared" si="130"/>
        <v>3.8595513170276534E-2</v>
      </c>
      <c r="AN274" s="671" t="s">
        <v>160</v>
      </c>
      <c r="AO274" s="672">
        <f t="shared" si="131"/>
        <v>9.124696541962217E-2</v>
      </c>
      <c r="AP274" s="368"/>
      <c r="AQ274" s="593">
        <f>+SUMIFS('Dados Mercado'!AQ:AQ,'Dados Mercado'!$C:$C,$D274)</f>
        <v>30292.9133</v>
      </c>
      <c r="AR274" s="594">
        <f>+SUMIFS('Dados Mercado'!AR:AR,'Dados Mercado'!$C:$C,$D274)</f>
        <v>71881.909799999994</v>
      </c>
      <c r="AS274" s="594">
        <f>+SUMIFS('Dados Mercado'!AS:AS,'Dados Mercado'!$C:$C,$D274)</f>
        <v>52144.209000000003</v>
      </c>
      <c r="AT274" s="594">
        <f>+SUMIFS('Dados Mercado'!AT:AT,'Dados Mercado'!$C:$C,$D274)</f>
        <v>260275.5986</v>
      </c>
      <c r="AU274" s="595">
        <f>+SUMIFS('Dados Mercado'!AU:AU,'Dados Mercado'!$C:$C,$D274)</f>
        <v>91225.224400000006</v>
      </c>
      <c r="AV274" s="365"/>
      <c r="AW274" s="675">
        <f t="shared" ref="AW274:BA275" si="144">+AQ274/SUM($AQ274:$AU274)</f>
        <v>5.988873903340771E-2</v>
      </c>
      <c r="AX274" s="676">
        <f t="shared" si="144"/>
        <v>0.14210970383080163</v>
      </c>
      <c r="AY274" s="676">
        <f t="shared" si="144"/>
        <v>0.10308849776110737</v>
      </c>
      <c r="AZ274" s="676">
        <f t="shared" si="144"/>
        <v>0.51456184642760572</v>
      </c>
      <c r="BA274" s="409">
        <f t="shared" si="144"/>
        <v>0.18035121294707754</v>
      </c>
      <c r="BB274" s="365"/>
      <c r="BC274" s="410">
        <f t="shared" si="136"/>
        <v>0.16699407755462195</v>
      </c>
      <c r="BD274" s="411">
        <f t="shared" si="138"/>
        <v>0.14807368396080944</v>
      </c>
    </row>
    <row r="275" spans="1:56" ht="12.75" customHeight="1" x14ac:dyDescent="0.2">
      <c r="A275" s="570" t="s">
        <v>1932</v>
      </c>
      <c r="B275" s="365" t="s">
        <v>1931</v>
      </c>
      <c r="C275" s="365"/>
      <c r="D275" s="440" t="str">
        <f>IF([1]RENAME!$H$3=1,B275,A275)</f>
        <v>1T22</v>
      </c>
      <c r="E275" s="403">
        <f>+SUMIFS('Dados Mercado'!E:E,'Dados Mercado'!$C:$C,$D275)</f>
        <v>477894</v>
      </c>
      <c r="F275" s="404">
        <f>+SUMIFS('Dados Mercado'!F:F,'Dados Mercado'!$C:$C,$D275)</f>
        <v>375494</v>
      </c>
      <c r="G275" s="406">
        <f>+SUMIFS('Dados Mercado'!G:G,'Dados Mercado'!$C:$C,$D275)</f>
        <v>102400</v>
      </c>
      <c r="H275" s="368"/>
      <c r="I275" s="403" t="s">
        <v>160</v>
      </c>
      <c r="J275" s="405" t="s">
        <v>160</v>
      </c>
      <c r="K275" s="451" t="s">
        <v>160</v>
      </c>
      <c r="L275" s="368"/>
      <c r="M275" s="407">
        <f>+SUMIFS('Dados Mercado'!M:M,'Dados Mercado'!$C:$C,$D275)</f>
        <v>456053</v>
      </c>
      <c r="N275" s="406">
        <f>+SUMIFS('Dados Mercado'!N:N,'Dados Mercado'!$C:$C,$D275)</f>
        <v>49921</v>
      </c>
      <c r="O275" s="368"/>
      <c r="P275" s="407">
        <f>+SUMIFS('Dados Mercado'!P:P,'Dados Mercado'!$C:$C,$D275)</f>
        <v>148155.28630000001</v>
      </c>
      <c r="Q275" s="406">
        <f>+SUMIFS('Dados Mercado'!Q:Q,'Dados Mercado'!$C:$C,$D275)</f>
        <v>227338.71370000002</v>
      </c>
      <c r="R275" s="368"/>
      <c r="S275" s="407">
        <f>+SUMIFS('Dados Mercado'!S:S,'Dados Mercado'!$C:$C,$D275)</f>
        <v>2003508</v>
      </c>
      <c r="T275" s="408">
        <f t="shared" si="123"/>
        <v>5.3356591583354191</v>
      </c>
      <c r="U275" s="368"/>
      <c r="V275" s="407">
        <f>+SUMIFS('Dados Mercado'!V:V,'Dados Mercado'!$C:$C,$D275)</f>
        <v>49745</v>
      </c>
      <c r="W275" s="404">
        <f>+SUMIFS('Dados Mercado'!W:W,'Dados Mercado'!$C:$C,$D275)</f>
        <v>37340</v>
      </c>
      <c r="X275" s="404">
        <f>+SUMIFS('Dados Mercado'!X:X,'Dados Mercado'!$C:$C,$D275)</f>
        <v>108803</v>
      </c>
      <c r="Y275" s="404">
        <f>+SUMIFS('Dados Mercado'!Y:Y,'Dados Mercado'!$C:$C,$D275)</f>
        <v>40382</v>
      </c>
      <c r="Z275" s="404">
        <f>+SUMIFS('Dados Mercado'!Z:Z,'Dados Mercado'!$C:$C,$D275)</f>
        <v>36338</v>
      </c>
      <c r="AA275" s="404">
        <f>+SUMIFS('Dados Mercado'!AA:AA,'Dados Mercado'!$C:$C,$D275)</f>
        <v>49867</v>
      </c>
      <c r="AB275" s="404">
        <f>+SUMIFS('Dados Mercado'!AB:AB,'Dados Mercado'!$C:$C,$D275)</f>
        <v>13438</v>
      </c>
      <c r="AC275" s="404">
        <f>+SUMIFS('Dados Mercado'!AC:AC,'Dados Mercado'!$C:$C,$D275)</f>
        <v>0</v>
      </c>
      <c r="AD275" s="406">
        <f>+SUMIFS('Dados Mercado'!AD:AD,'Dados Mercado'!$C:$C,$D275)</f>
        <v>39581</v>
      </c>
      <c r="AE275" s="368"/>
      <c r="AF275" s="447" t="str">
        <f>IF([1]RENAME!$H$3=1,B275,A275)</f>
        <v>1T22</v>
      </c>
      <c r="AG275" s="670">
        <f t="shared" si="124"/>
        <v>0.1324788145749333</v>
      </c>
      <c r="AH275" s="671">
        <f t="shared" si="125"/>
        <v>9.9442334631179199E-2</v>
      </c>
      <c r="AI275" s="671">
        <f t="shared" si="126"/>
        <v>0.28975962332287603</v>
      </c>
      <c r="AJ275" s="671">
        <f t="shared" si="127"/>
        <v>0.1075436624819571</v>
      </c>
      <c r="AK275" s="671">
        <f t="shared" si="128"/>
        <v>9.6773849915045243E-2</v>
      </c>
      <c r="AL275" s="671">
        <f t="shared" si="129"/>
        <v>0.1328037198996522</v>
      </c>
      <c r="AM275" s="671">
        <f t="shared" si="130"/>
        <v>3.5787522570267433E-2</v>
      </c>
      <c r="AN275" s="671" t="s">
        <v>160</v>
      </c>
      <c r="AO275" s="672">
        <f t="shared" si="131"/>
        <v>0.10541047260408955</v>
      </c>
      <c r="AP275" s="368"/>
      <c r="AQ275" s="593">
        <f>+SUMIFS('Dados Mercado'!AQ:AQ,'Dados Mercado'!$C:$C,$D275)</f>
        <v>21817.855500000001</v>
      </c>
      <c r="AR275" s="594">
        <f>+SUMIFS('Dados Mercado'!AR:AR,'Dados Mercado'!$C:$C,$D275)</f>
        <v>56596.435700000002</v>
      </c>
      <c r="AS275" s="594">
        <f>+SUMIFS('Dados Mercado'!AS:AS,'Dados Mercado'!$C:$C,$D275)</f>
        <v>42975.035600000003</v>
      </c>
      <c r="AT275" s="594">
        <f>+SUMIFS('Dados Mercado'!AT:AT,'Dados Mercado'!$C:$C,$D275)</f>
        <v>192836.04620000001</v>
      </c>
      <c r="AU275" s="595">
        <f>+SUMIFS('Dados Mercado'!AU:AU,'Dados Mercado'!$C:$C,$D275)</f>
        <v>61256.9496</v>
      </c>
      <c r="AV275" s="365"/>
      <c r="AW275" s="675">
        <f t="shared" si="144"/>
        <v>5.8106212161797254E-2</v>
      </c>
      <c r="AX275" s="676">
        <f t="shared" si="144"/>
        <v>0.15072996062265223</v>
      </c>
      <c r="AY275" s="676">
        <f t="shared" si="144"/>
        <v>0.11445288636339121</v>
      </c>
      <c r="AZ275" s="676">
        <f t="shared" si="144"/>
        <v>0.51356890749135897</v>
      </c>
      <c r="BA275" s="409">
        <f t="shared" si="144"/>
        <v>0.16314203336080035</v>
      </c>
      <c r="BB275" s="365"/>
      <c r="BC275" s="410">
        <f t="shared" si="136"/>
        <v>0.22453530620344564</v>
      </c>
      <c r="BD275" s="411">
        <f t="shared" si="138"/>
        <v>0.13294753045321631</v>
      </c>
    </row>
    <row r="276" spans="1:56" ht="12.75" customHeight="1" x14ac:dyDescent="0.2">
      <c r="A276" s="570" t="s">
        <v>1942</v>
      </c>
      <c r="B276" s="365" t="s">
        <v>1943</v>
      </c>
      <c r="C276" s="365"/>
      <c r="D276" s="440" t="str">
        <f>IF([1]RENAME!$H$3=1,B276,A276)</f>
        <v>2T22</v>
      </c>
      <c r="E276" s="403">
        <f>+SUMIFS('Dados Mercado'!E:E,'Dados Mercado'!$C:$C,$D276)</f>
        <v>608209</v>
      </c>
      <c r="F276" s="404">
        <f>+SUMIFS('Dados Mercado'!F:F,'Dados Mercado'!$C:$C,$D276)</f>
        <v>477633</v>
      </c>
      <c r="G276" s="406">
        <f>+SUMIFS('Dados Mercado'!G:G,'Dados Mercado'!$C:$C,$D276)</f>
        <v>130576</v>
      </c>
      <c r="H276" s="368"/>
      <c r="I276" s="403" t="s">
        <v>160</v>
      </c>
      <c r="J276" s="405" t="s">
        <v>160</v>
      </c>
      <c r="K276" s="451" t="s">
        <v>160</v>
      </c>
      <c r="L276" s="368"/>
      <c r="M276" s="407">
        <f>+SUMIFS('Dados Mercado'!M:M,'Dados Mercado'!$C:$C,$D276)</f>
        <v>550533</v>
      </c>
      <c r="N276" s="406">
        <f>+SUMIFS('Dados Mercado'!N:N,'Dados Mercado'!$C:$C,$D276)</f>
        <v>67253</v>
      </c>
      <c r="O276" s="368"/>
      <c r="P276" s="407">
        <f>+SUMIFS('Dados Mercado'!P:P,'Dados Mercado'!$C:$C,$D276)</f>
        <v>224724.10100000002</v>
      </c>
      <c r="Q276" s="406">
        <f>+SUMIFS('Dados Mercado'!Q:Q,'Dados Mercado'!$C:$C,$D276)</f>
        <v>252908.89899999998</v>
      </c>
      <c r="R276" s="368"/>
      <c r="S276" s="407">
        <f>+SUMIFS('Dados Mercado'!S:S,'Dados Mercado'!$C:$C,$D276)</f>
        <v>2368665</v>
      </c>
      <c r="T276" s="408">
        <f t="shared" si="123"/>
        <v>4.9591736751857596</v>
      </c>
      <c r="U276" s="368"/>
      <c r="V276" s="407">
        <f>+SUMIFS('Dados Mercado'!V:V,'Dados Mercado'!$C:$C,$D276)</f>
        <v>65692</v>
      </c>
      <c r="W276" s="404">
        <f>+SUMIFS('Dados Mercado'!W:W,'Dados Mercado'!$C:$C,$D276)</f>
        <v>58598</v>
      </c>
      <c r="X276" s="404">
        <f>+SUMIFS('Dados Mercado'!X:X,'Dados Mercado'!$C:$C,$D276)</f>
        <v>143493</v>
      </c>
      <c r="Y276" s="404">
        <f>+SUMIFS('Dados Mercado'!Y:Y,'Dados Mercado'!$C:$C,$D276)</f>
        <v>50196</v>
      </c>
      <c r="Z276" s="404">
        <f>+SUMIFS('Dados Mercado'!Z:Z,'Dados Mercado'!$C:$C,$D276)</f>
        <v>41708</v>
      </c>
      <c r="AA276" s="404">
        <f>+SUMIFS('Dados Mercado'!AA:AA,'Dados Mercado'!$C:$C,$D276)</f>
        <v>53336</v>
      </c>
      <c r="AB276" s="404">
        <f>+SUMIFS('Dados Mercado'!AB:AB,'Dados Mercado'!$C:$C,$D276)</f>
        <v>12436</v>
      </c>
      <c r="AC276" s="404">
        <f>+SUMIFS('Dados Mercado'!AC:AC,'Dados Mercado'!$C:$C,$D276)</f>
        <v>0</v>
      </c>
      <c r="AD276" s="406">
        <f>+SUMIFS('Dados Mercado'!AD:AD,'Dados Mercado'!$C:$C,$D276)</f>
        <v>52174</v>
      </c>
      <c r="AE276" s="368"/>
      <c r="AF276" s="447" t="str">
        <f>IF([1]RENAME!$H$3=1,B276,A276)</f>
        <v>2T22</v>
      </c>
      <c r="AG276" s="670">
        <f t="shared" si="124"/>
        <v>0.13753656049728558</v>
      </c>
      <c r="AH276" s="671">
        <f t="shared" si="125"/>
        <v>0.12268415289563325</v>
      </c>
      <c r="AI276" s="671">
        <f t="shared" si="126"/>
        <v>0.30042522187537291</v>
      </c>
      <c r="AJ276" s="671">
        <f t="shared" si="127"/>
        <v>0.10509324104490268</v>
      </c>
      <c r="AK276" s="671">
        <f t="shared" si="128"/>
        <v>8.7322274633452879E-2</v>
      </c>
      <c r="AL276" s="671">
        <f t="shared" si="129"/>
        <v>0.11166732616883675</v>
      </c>
      <c r="AM276" s="671">
        <f t="shared" si="130"/>
        <v>2.6036726943071353E-2</v>
      </c>
      <c r="AN276" s="671" t="s">
        <v>160</v>
      </c>
      <c r="AO276" s="672">
        <f t="shared" si="131"/>
        <v>0.10923449594144458</v>
      </c>
      <c r="AP276" s="368"/>
      <c r="AQ276" s="593">
        <f>+SUMIFS('Dados Mercado'!AQ:AQ,'Dados Mercado'!$C:$C,$D276)</f>
        <v>23896.252999999997</v>
      </c>
      <c r="AR276" s="594">
        <f>+SUMIFS('Dados Mercado'!AR:AR,'Dados Mercado'!$C:$C,$D276)</f>
        <v>60953.728900000002</v>
      </c>
      <c r="AS276" s="594">
        <f>+SUMIFS('Dados Mercado'!AS:AS,'Dados Mercado'!$C:$C,$D276)</f>
        <v>49840.509399999995</v>
      </c>
      <c r="AT276" s="594">
        <f>+SUMIFS('Dados Mercado'!AT:AT,'Dados Mercado'!$C:$C,$D276)</f>
        <v>271924.58369999996</v>
      </c>
      <c r="AU276" s="595">
        <f>+SUMIFS('Dados Mercado'!AU:AU,'Dados Mercado'!$C:$C,$D276)</f>
        <v>71000.403600000005</v>
      </c>
      <c r="AV276" s="365"/>
      <c r="AW276" s="675">
        <f t="shared" ref="AW276:BA277" si="145">+AQ276/SUM($AQ276:$AU276)</f>
        <v>5.0032409062715832E-2</v>
      </c>
      <c r="AX276" s="676">
        <f t="shared" si="145"/>
        <v>0.12762092442788767</v>
      </c>
      <c r="AY276" s="676">
        <f t="shared" si="145"/>
        <v>0.10435279347749346</v>
      </c>
      <c r="AZ276" s="676">
        <f t="shared" si="145"/>
        <v>0.5693378792853887</v>
      </c>
      <c r="BA276" s="409">
        <f t="shared" si="145"/>
        <v>0.14865599374651425</v>
      </c>
      <c r="BB276" s="365"/>
      <c r="BC276" s="410">
        <f t="shared" si="136"/>
        <v>0.23718105908274345</v>
      </c>
      <c r="BD276" s="411">
        <f t="shared" si="138"/>
        <v>0.14080476014010757</v>
      </c>
    </row>
    <row r="277" spans="1:56" ht="12.75" customHeight="1" x14ac:dyDescent="0.2">
      <c r="A277" s="570" t="s">
        <v>1944</v>
      </c>
      <c r="B277" s="365" t="s">
        <v>1945</v>
      </c>
      <c r="C277" s="365"/>
      <c r="D277" s="440" t="str">
        <f>IF([1]RENAME!$H$3=1,B277,A277)</f>
        <v>3T22</v>
      </c>
      <c r="E277" s="403">
        <f>+SUMIFS('Dados Mercado'!E:E,'Dados Mercado'!$C:$C,$D277)</f>
        <v>653016</v>
      </c>
      <c r="F277" s="404">
        <f>+SUMIFS('Dados Mercado'!F:F,'Dados Mercado'!$C:$C,$D277)</f>
        <v>544427</v>
      </c>
      <c r="G277" s="406">
        <f>+SUMIFS('Dados Mercado'!G:G,'Dados Mercado'!$C:$C,$D277)</f>
        <v>108589</v>
      </c>
      <c r="H277" s="368"/>
      <c r="I277" s="403" t="s">
        <v>160</v>
      </c>
      <c r="J277" s="405" t="s">
        <v>160</v>
      </c>
      <c r="K277" s="451" t="s">
        <v>160</v>
      </c>
      <c r="L277" s="368"/>
      <c r="M277" s="407">
        <f>+SUMIFS('Dados Mercado'!M:M,'Dados Mercado'!$C:$C,$D277)</f>
        <v>609277</v>
      </c>
      <c r="N277" s="406">
        <f>+SUMIFS('Dados Mercado'!N:N,'Dados Mercado'!$C:$C,$D277)</f>
        <v>70029</v>
      </c>
      <c r="O277" s="368"/>
      <c r="P277" s="407">
        <f>+SUMIFS('Dados Mercado'!P:P,'Dados Mercado'!$C:$C,$D277)</f>
        <v>289212.40740000003</v>
      </c>
      <c r="Q277" s="406">
        <f>+SUMIFS('Dados Mercado'!Q:Q,'Dados Mercado'!$C:$C,$D277)</f>
        <v>255214.59259999997</v>
      </c>
      <c r="R277" s="368"/>
      <c r="S277" s="407">
        <f>+SUMIFS('Dados Mercado'!S:S,'Dados Mercado'!$C:$C,$D277)</f>
        <v>2773264</v>
      </c>
      <c r="T277" s="408">
        <f t="shared" si="123"/>
        <v>5.0939134172258171</v>
      </c>
      <c r="U277" s="368"/>
      <c r="V277" s="407">
        <f>+SUMIFS('Dados Mercado'!V:V,'Dados Mercado'!$C:$C,$D277)</f>
        <v>87790</v>
      </c>
      <c r="W277" s="404">
        <f>+SUMIFS('Dados Mercado'!W:W,'Dados Mercado'!$C:$C,$D277)</f>
        <v>86197</v>
      </c>
      <c r="X277" s="404">
        <f>+SUMIFS('Dados Mercado'!X:X,'Dados Mercado'!$C:$C,$D277)</f>
        <v>152640</v>
      </c>
      <c r="Y277" s="404">
        <f>+SUMIFS('Dados Mercado'!Y:Y,'Dados Mercado'!$C:$C,$D277)</f>
        <v>47157</v>
      </c>
      <c r="Z277" s="404">
        <f>+SUMIFS('Dados Mercado'!Z:Z,'Dados Mercado'!$C:$C,$D277)</f>
        <v>52818</v>
      </c>
      <c r="AA277" s="404">
        <f>+SUMIFS('Dados Mercado'!AA:AA,'Dados Mercado'!$C:$C,$D277)</f>
        <v>48366</v>
      </c>
      <c r="AB277" s="404">
        <f>+SUMIFS('Dados Mercado'!AB:AB,'Dados Mercado'!$C:$C,$D277)</f>
        <v>14210</v>
      </c>
      <c r="AC277" s="404">
        <f>+SUMIFS('Dados Mercado'!AC:AC,'Dados Mercado'!$C:$C,$D277)</f>
        <v>0</v>
      </c>
      <c r="AD277" s="406">
        <f>+SUMIFS('Dados Mercado'!AD:AD,'Dados Mercado'!$C:$C,$D277)</f>
        <v>55249</v>
      </c>
      <c r="AE277" s="368"/>
      <c r="AF277" s="447" t="str">
        <f>IF([1]RENAME!$H$3=1,B277,A277)</f>
        <v>3T22</v>
      </c>
      <c r="AG277" s="670">
        <f t="shared" si="124"/>
        <v>0.16125210542460239</v>
      </c>
      <c r="AH277" s="671">
        <f t="shared" si="125"/>
        <v>0.15832609330543856</v>
      </c>
      <c r="AI277" s="671">
        <f t="shared" si="126"/>
        <v>0.28036816689840877</v>
      </c>
      <c r="AJ277" s="671">
        <f t="shared" si="127"/>
        <v>8.6617673260143233E-2</v>
      </c>
      <c r="AK277" s="671">
        <f t="shared" si="128"/>
        <v>9.701576152542031E-2</v>
      </c>
      <c r="AL277" s="671">
        <f t="shared" si="129"/>
        <v>8.8838356657550049E-2</v>
      </c>
      <c r="AM277" s="671">
        <f t="shared" si="130"/>
        <v>2.6100836292101606E-2</v>
      </c>
      <c r="AN277" s="671" t="s">
        <v>160</v>
      </c>
      <c r="AO277" s="672">
        <f t="shared" si="131"/>
        <v>0.10148100663633508</v>
      </c>
      <c r="AP277" s="368"/>
      <c r="AQ277" s="593">
        <f>+SUMIFS('Dados Mercado'!AQ:AQ,'Dados Mercado'!$C:$C,$D277)</f>
        <v>27299.039499999999</v>
      </c>
      <c r="AR277" s="594">
        <f>+SUMIFS('Dados Mercado'!AR:AR,'Dados Mercado'!$C:$C,$D277)</f>
        <v>68061.361100000009</v>
      </c>
      <c r="AS277" s="594">
        <f>+SUMIFS('Dados Mercado'!AS:AS,'Dados Mercado'!$C:$C,$D277)</f>
        <v>52185.866099999999</v>
      </c>
      <c r="AT277" s="594">
        <f>+SUMIFS('Dados Mercado'!AT:AT,'Dados Mercado'!$C:$C,$D277)</f>
        <v>313937.5208</v>
      </c>
      <c r="AU277" s="595">
        <f>+SUMIFS('Dados Mercado'!AU:AU,'Dados Mercado'!$C:$C,$D277)</f>
        <v>82925.128900000011</v>
      </c>
      <c r="AV277" s="365"/>
      <c r="AW277" s="675">
        <f t="shared" si="145"/>
        <v>5.0144365159409426E-2</v>
      </c>
      <c r="AX277" s="676">
        <f t="shared" si="145"/>
        <v>0.12501882142208059</v>
      </c>
      <c r="AY277" s="676">
        <f t="shared" si="145"/>
        <v>9.5857846056394969E-2</v>
      </c>
      <c r="AZ277" s="676">
        <f t="shared" si="145"/>
        <v>0.57665756629404097</v>
      </c>
      <c r="BA277" s="409">
        <f t="shared" si="145"/>
        <v>0.15232140106807407</v>
      </c>
      <c r="BB277" s="365"/>
      <c r="BC277" s="410">
        <f t="shared" si="136"/>
        <v>0.17822599572936448</v>
      </c>
      <c r="BD277" s="411">
        <f t="shared" si="138"/>
        <v>0.12862881524979475</v>
      </c>
    </row>
    <row r="278" spans="1:56" ht="12.75" customHeight="1" x14ac:dyDescent="0.2">
      <c r="A278" s="570" t="s">
        <v>1946</v>
      </c>
      <c r="B278" s="365" t="s">
        <v>1947</v>
      </c>
      <c r="C278" s="365"/>
      <c r="D278" s="440" t="str">
        <f>IF([1]RENAME!$H$3=1,B278,A278)</f>
        <v>4T22</v>
      </c>
      <c r="E278" s="403">
        <f>+SUMIFS('Dados Mercado'!E:E,'Dados Mercado'!$C:$C,$D278)</f>
        <v>671622</v>
      </c>
      <c r="F278" s="404">
        <f>+SUMIFS('Dados Mercado'!F:F,'Dados Mercado'!$C:$C,$D278)</f>
        <v>562908</v>
      </c>
      <c r="G278" s="406">
        <f>+SUMIFS('Dados Mercado'!G:G,'Dados Mercado'!$C:$C,$D278)</f>
        <v>108714</v>
      </c>
      <c r="H278" s="368"/>
      <c r="I278" s="403" t="s">
        <v>160</v>
      </c>
      <c r="J278" s="405" t="s">
        <v>160</v>
      </c>
      <c r="K278" s="451" t="s">
        <v>160</v>
      </c>
      <c r="L278" s="368"/>
      <c r="M278" s="407">
        <f>+SUMIFS('Dados Mercado'!M:M,'Dados Mercado'!$C:$C,$D278)</f>
        <v>560316</v>
      </c>
      <c r="N278" s="406">
        <f>+SUMIFS('Dados Mercado'!N:N,'Dados Mercado'!$C:$C,$D278)</f>
        <v>79755</v>
      </c>
      <c r="O278" s="368"/>
      <c r="P278" s="407">
        <f>+SUMIFS('Dados Mercado'!P:P,'Dados Mercado'!$C:$C,$D278)</f>
        <v>306842.27240000002</v>
      </c>
      <c r="Q278" s="406">
        <f>+SUMIFS('Dados Mercado'!Q:Q,'Dados Mercado'!$C:$C,$D278)</f>
        <v>256065.72759999998</v>
      </c>
      <c r="R278" s="368"/>
      <c r="S278" s="407">
        <f>+SUMIFS('Dados Mercado'!S:S,'Dados Mercado'!$C:$C,$D278)</f>
        <v>2657088</v>
      </c>
      <c r="T278" s="408">
        <f t="shared" si="123"/>
        <v>4.7202882176128247</v>
      </c>
      <c r="U278" s="368"/>
      <c r="V278" s="407">
        <f>+SUMIFS('Dados Mercado'!V:V,'Dados Mercado'!$C:$C,$D278)</f>
        <v>87779</v>
      </c>
      <c r="W278" s="404">
        <f>+SUMIFS('Dados Mercado'!W:W,'Dados Mercado'!$C:$C,$D278)</f>
        <v>86727</v>
      </c>
      <c r="X278" s="404">
        <f>+SUMIFS('Dados Mercado'!X:X,'Dados Mercado'!$C:$C,$D278)</f>
        <v>163729</v>
      </c>
      <c r="Y278" s="404">
        <f>+SUMIFS('Dados Mercado'!Y:Y,'Dados Mercado'!$C:$C,$D278)</f>
        <v>53678</v>
      </c>
      <c r="Z278" s="404">
        <f>+SUMIFS('Dados Mercado'!Z:Z,'Dados Mercado'!$C:$C,$D278)</f>
        <v>48759</v>
      </c>
      <c r="AA278" s="404">
        <f>+SUMIFS('Dados Mercado'!AA:AA,'Dados Mercado'!$C:$C,$D278)</f>
        <v>48998</v>
      </c>
      <c r="AB278" s="404">
        <f>+SUMIFS('Dados Mercado'!AB:AB,'Dados Mercado'!$C:$C,$D278)</f>
        <v>16537</v>
      </c>
      <c r="AC278" s="404">
        <f>+SUMIFS('Dados Mercado'!AC:AC,'Dados Mercado'!$C:$C,$D278)</f>
        <v>0</v>
      </c>
      <c r="AD278" s="406">
        <f>+SUMIFS('Dados Mercado'!AD:AD,'Dados Mercado'!$C:$C,$D278)</f>
        <v>56701</v>
      </c>
      <c r="AE278" s="368"/>
      <c r="AF278" s="447" t="str">
        <f>IF([1]RENAME!$H$3=1,B278,A278)</f>
        <v>4T22</v>
      </c>
      <c r="AG278" s="670">
        <f t="shared" si="124"/>
        <v>0.15593844820112701</v>
      </c>
      <c r="AH278" s="671">
        <f t="shared" si="125"/>
        <v>0.15406958153019676</v>
      </c>
      <c r="AI278" s="671">
        <f t="shared" si="126"/>
        <v>0.29086280528967434</v>
      </c>
      <c r="AJ278" s="671">
        <f t="shared" si="127"/>
        <v>9.5358388937446262E-2</v>
      </c>
      <c r="AK278" s="671">
        <f t="shared" si="128"/>
        <v>8.6619838410539551E-2</v>
      </c>
      <c r="AL278" s="671">
        <f t="shared" si="129"/>
        <v>8.7044419336729975E-2</v>
      </c>
      <c r="AM278" s="671">
        <f t="shared" si="130"/>
        <v>2.9377802411761779E-2</v>
      </c>
      <c r="AN278" s="671" t="s">
        <v>160</v>
      </c>
      <c r="AO278" s="672">
        <f t="shared" si="131"/>
        <v>0.10072871588252431</v>
      </c>
      <c r="AP278" s="368"/>
      <c r="AQ278" s="593">
        <f>+SUMIFS('Dados Mercado'!AQ:AQ,'Dados Mercado'!$C:$C,$D278)</f>
        <v>27287.322900000003</v>
      </c>
      <c r="AR278" s="594">
        <f>+SUMIFS('Dados Mercado'!AR:AR,'Dados Mercado'!$C:$C,$D278)</f>
        <v>70660.175100000008</v>
      </c>
      <c r="AS278" s="594">
        <f>+SUMIFS('Dados Mercado'!AS:AS,'Dados Mercado'!$C:$C,$D278)</f>
        <v>49839.651400000002</v>
      </c>
      <c r="AT278" s="594">
        <f>+SUMIFS('Dados Mercado'!AT:AT,'Dados Mercado'!$C:$C,$D278)</f>
        <v>322599.41810000001</v>
      </c>
      <c r="AU278" s="595">
        <f>+SUMIFS('Dados Mercado'!AU:AU,'Dados Mercado'!$C:$C,$D278)</f>
        <v>92538.302599999995</v>
      </c>
      <c r="AV278" s="365"/>
      <c r="AW278" s="675">
        <f t="shared" ref="AW278:AW284" si="146">+AQ278/SUM($AQ278:$AU278)</f>
        <v>4.8474182523064908E-2</v>
      </c>
      <c r="AX278" s="676">
        <f t="shared" ref="AX278:AX284" si="147">+AR278/SUM($AQ278:$AU278)</f>
        <v>0.12552327824394699</v>
      </c>
      <c r="AY278" s="676">
        <f t="shared" ref="AY278:AY284" si="148">+AS278/SUM($AQ278:$AU278)</f>
        <v>8.8536950572367337E-2</v>
      </c>
      <c r="AZ278" s="676">
        <f t="shared" ref="AZ278:AZ284" si="149">+AT278/SUM($AQ278:$AU278)</f>
        <v>0.57307721728956884</v>
      </c>
      <c r="BA278" s="409">
        <f t="shared" ref="BA278:BA284" si="150">+AU278/SUM($AQ278:$AU278)</f>
        <v>0.164388371371052</v>
      </c>
      <c r="BB278" s="365"/>
      <c r="BC278" s="410">
        <f t="shared" si="136"/>
        <v>0.19402265864262308</v>
      </c>
      <c r="BD278" s="411">
        <f t="shared" si="138"/>
        <v>0.14168389861220662</v>
      </c>
    </row>
    <row r="279" spans="1:56" ht="12.75" customHeight="1" x14ac:dyDescent="0.2">
      <c r="A279" s="570" t="s">
        <v>2027</v>
      </c>
      <c r="B279" s="365" t="s">
        <v>2009</v>
      </c>
      <c r="C279" s="365"/>
      <c r="D279" s="440" t="str">
        <f>IF([1]RENAME!$H$3=1,B279,A279)</f>
        <v>1T23</v>
      </c>
      <c r="E279" s="403">
        <f>+SUMIFS('Dados Mercado'!E:E,'Dados Mercado'!$C:$C,$D279)</f>
        <v>545827</v>
      </c>
      <c r="F279" s="404">
        <f>+SUMIFS('Dados Mercado'!F:F,'Dados Mercado'!$C:$C,$D279)</f>
        <v>436940</v>
      </c>
      <c r="G279" s="406">
        <f>+SUMIFS('Dados Mercado'!G:G,'Dados Mercado'!$C:$C,$D279)</f>
        <v>108887</v>
      </c>
      <c r="H279" s="368"/>
      <c r="I279" s="403" t="s">
        <v>160</v>
      </c>
      <c r="J279" s="405" t="s">
        <v>160</v>
      </c>
      <c r="K279" s="451" t="s">
        <v>160</v>
      </c>
      <c r="L279" s="368"/>
      <c r="M279" s="407">
        <f>+SUMIFS('Dados Mercado'!M:M,'Dados Mercado'!$C:$C,$D279)</f>
        <v>507507</v>
      </c>
      <c r="N279" s="406">
        <f>+SUMIFS('Dados Mercado'!N:N,'Dados Mercado'!$C:$C,$D279)</f>
        <v>63203</v>
      </c>
      <c r="O279" s="368"/>
      <c r="P279" s="407">
        <f>+SUMIFS('Dados Mercado'!P:P,'Dados Mercado'!$C:$C,$D279)</f>
        <v>201096.6384</v>
      </c>
      <c r="Q279" s="406">
        <f>+SUMIFS('Dados Mercado'!Q:Q,'Dados Mercado'!$C:$C,$D279)</f>
        <v>235843.3616</v>
      </c>
      <c r="R279" s="368"/>
      <c r="S279" s="407">
        <f>+SUMIFS('Dados Mercado'!S:S,'Dados Mercado'!$C:$C,$D279)</f>
        <v>2465110</v>
      </c>
      <c r="T279" s="408">
        <f t="shared" si="123"/>
        <v>5.6417585938572801</v>
      </c>
      <c r="U279" s="368"/>
      <c r="V279" s="407">
        <f>+SUMIFS('Dados Mercado'!V:V,'Dados Mercado'!$C:$C,$D279)</f>
        <v>71222</v>
      </c>
      <c r="W279" s="404">
        <f>+SUMIFS('Dados Mercado'!W:W,'Dados Mercado'!$C:$C,$D279)</f>
        <v>59712</v>
      </c>
      <c r="X279" s="404">
        <f>+SUMIFS('Dados Mercado'!X:X,'Dados Mercado'!$C:$C,$D279)</f>
        <v>96642</v>
      </c>
      <c r="Y279" s="404">
        <f>+SUMIFS('Dados Mercado'!Y:Y,'Dados Mercado'!$C:$C,$D279)</f>
        <v>42060</v>
      </c>
      <c r="Z279" s="404">
        <f>+SUMIFS('Dados Mercado'!Z:Z,'Dados Mercado'!$C:$C,$D279)</f>
        <v>26312</v>
      </c>
      <c r="AA279" s="404">
        <f>+SUMIFS('Dados Mercado'!AA:AA,'Dados Mercado'!$C:$C,$D279)</f>
        <v>36502</v>
      </c>
      <c r="AB279" s="404">
        <f>+SUMIFS('Dados Mercado'!AB:AB,'Dados Mercado'!$C:$C,$D279)</f>
        <v>14185</v>
      </c>
      <c r="AC279" s="404">
        <f>+SUMIFS('Dados Mercado'!AC:AC,'Dados Mercado'!$C:$C,$D279)</f>
        <v>209</v>
      </c>
      <c r="AD279" s="406">
        <f>+SUMIFS('Dados Mercado'!AD:AD,'Dados Mercado'!$C:$C,$D279)</f>
        <v>90096</v>
      </c>
      <c r="AE279" s="365"/>
      <c r="AF279" s="447" t="str">
        <f>IF([1]RENAME!$H$3=1,B279,A279)</f>
        <v>1T23</v>
      </c>
      <c r="AG279" s="670">
        <f t="shared" si="124"/>
        <v>0.16300178514212477</v>
      </c>
      <c r="AH279" s="671">
        <f t="shared" si="125"/>
        <v>0.13665949558291757</v>
      </c>
      <c r="AI279" s="671">
        <f t="shared" si="126"/>
        <v>0.22117910925985262</v>
      </c>
      <c r="AJ279" s="671">
        <f t="shared" si="127"/>
        <v>9.626035611296746E-2</v>
      </c>
      <c r="AK279" s="671">
        <f t="shared" si="128"/>
        <v>6.0218794342472654E-2</v>
      </c>
      <c r="AL279" s="671">
        <f t="shared" si="129"/>
        <v>8.3540074152057497E-2</v>
      </c>
      <c r="AM279" s="671">
        <f t="shared" si="130"/>
        <v>3.2464411589691947E-2</v>
      </c>
      <c r="AN279" s="671">
        <f>+AC279/SUM($V279:$AD279)</f>
        <v>4.7832654369020917E-4</v>
      </c>
      <c r="AO279" s="672">
        <f t="shared" si="131"/>
        <v>0.20619764727422529</v>
      </c>
      <c r="AP279" s="368"/>
      <c r="AQ279" s="593">
        <f>+SUMIFS('Dados Mercado'!AQ:AQ,'Dados Mercado'!$C:$C,$D279)</f>
        <v>22423.747300000003</v>
      </c>
      <c r="AR279" s="594">
        <f>+SUMIFS('Dados Mercado'!AR:AR,'Dados Mercado'!$C:$C,$D279)</f>
        <v>60803.4712</v>
      </c>
      <c r="AS279" s="594">
        <f>+SUMIFS('Dados Mercado'!AS:AS,'Dados Mercado'!$C:$C,$D279)</f>
        <v>45603.198099999994</v>
      </c>
      <c r="AT279" s="594">
        <f>+SUMIFS('Dados Mercado'!AT:AT,'Dados Mercado'!$C:$C,$D279)</f>
        <v>232779.21890000004</v>
      </c>
      <c r="AU279" s="595">
        <f>+SUMIFS('Dados Mercado'!AU:AU,'Dados Mercado'!$C:$C,$D279)</f>
        <v>75348.999800000005</v>
      </c>
      <c r="AV279" s="365"/>
      <c r="AW279" s="675">
        <f t="shared" si="146"/>
        <v>5.1317780422406957E-2</v>
      </c>
      <c r="AX279" s="676">
        <f t="shared" si="147"/>
        <v>0.13915154957002859</v>
      </c>
      <c r="AY279" s="676">
        <f t="shared" si="148"/>
        <v>0.1043650231759134</v>
      </c>
      <c r="AZ279" s="676">
        <f t="shared" si="149"/>
        <v>0.5327259838684324</v>
      </c>
      <c r="BA279" s="409">
        <f t="shared" si="150"/>
        <v>0.17243966296321872</v>
      </c>
      <c r="BB279" s="365"/>
      <c r="BC279" s="410">
        <f t="shared" si="136"/>
        <v>0.21455270567696602</v>
      </c>
      <c r="BD279" s="411">
        <f t="shared" si="138"/>
        <v>0.14464915091316885</v>
      </c>
    </row>
    <row r="280" spans="1:56" ht="12.75" customHeight="1" x14ac:dyDescent="0.2">
      <c r="A280" s="570" t="s">
        <v>2028</v>
      </c>
      <c r="B280" s="365" t="s">
        <v>2029</v>
      </c>
      <c r="C280" s="365"/>
      <c r="D280" s="440" t="str">
        <f>IF([1]RENAME!$H$3=1,B280,A280)</f>
        <v>2T23</v>
      </c>
      <c r="E280" s="403">
        <f>+SUMIFS('Dados Mercado'!E:E,'Dados Mercado'!$C:$C,$D280)</f>
        <v>608902</v>
      </c>
      <c r="F280" s="404">
        <f>+SUMIFS('Dados Mercado'!F:F,'Dados Mercado'!$C:$C,$D280)</f>
        <v>497748</v>
      </c>
      <c r="G280" s="406">
        <f>+SUMIFS('Dados Mercado'!G:G,'Dados Mercado'!$C:$C,$D280)</f>
        <v>111154</v>
      </c>
      <c r="H280" s="368"/>
      <c r="I280" s="403" t="s">
        <v>160</v>
      </c>
      <c r="J280" s="405" t="s">
        <v>160</v>
      </c>
      <c r="K280" s="451" t="s">
        <v>160</v>
      </c>
      <c r="L280" s="368"/>
      <c r="M280" s="407">
        <f>+SUMIFS('Dados Mercado'!M:M,'Dados Mercado'!$C:$C,$D280)</f>
        <v>567749</v>
      </c>
      <c r="N280" s="406">
        <f>+SUMIFS('Dados Mercado'!N:N,'Dados Mercado'!$C:$C,$D280)</f>
        <v>75993</v>
      </c>
      <c r="O280" s="368"/>
      <c r="P280" s="407">
        <f>+SUMIFS('Dados Mercado'!P:P,'Dados Mercado'!$C:$C,$D280)</f>
        <v>233463.3566</v>
      </c>
      <c r="Q280" s="406">
        <f>+SUMIFS('Dados Mercado'!Q:Q,'Dados Mercado'!$C:$C,$D280)</f>
        <v>264284.6434</v>
      </c>
      <c r="R280" s="368"/>
      <c r="S280" s="407">
        <f>+SUMIFS('Dados Mercado'!S:S,'Dados Mercado'!$C:$C,$D280)</f>
        <v>2552428</v>
      </c>
      <c r="T280" s="408">
        <f t="shared" si="123"/>
        <v>5.1279522971463471</v>
      </c>
      <c r="U280" s="368"/>
      <c r="V280" s="407">
        <f>+SUMIFS('Dados Mercado'!V:V,'Dados Mercado'!$C:$C,$D280)</f>
        <v>77665</v>
      </c>
      <c r="W280" s="404">
        <f>+SUMIFS('Dados Mercado'!W:W,'Dados Mercado'!$C:$C,$D280)</f>
        <v>78657</v>
      </c>
      <c r="X280" s="404">
        <f>+SUMIFS('Dados Mercado'!X:X,'Dados Mercado'!$C:$C,$D280)</f>
        <v>110248</v>
      </c>
      <c r="Y280" s="404">
        <f>+SUMIFS('Dados Mercado'!Y:Y,'Dados Mercado'!$C:$C,$D280)</f>
        <v>46108</v>
      </c>
      <c r="Z280" s="404">
        <f>+SUMIFS('Dados Mercado'!Z:Z,'Dados Mercado'!$C:$C,$D280)</f>
        <v>26706</v>
      </c>
      <c r="AA280" s="404">
        <f>+SUMIFS('Dados Mercado'!AA:AA,'Dados Mercado'!$C:$C,$D280)</f>
        <v>37109</v>
      </c>
      <c r="AB280" s="404">
        <f>+SUMIFS('Dados Mercado'!AB:AB,'Dados Mercado'!$C:$C,$D280)</f>
        <v>19925</v>
      </c>
      <c r="AC280" s="404">
        <f>+SUMIFS('Dados Mercado'!AC:AC,'Dados Mercado'!$C:$C,$D280)</f>
        <v>901</v>
      </c>
      <c r="AD280" s="406">
        <f>+SUMIFS('Dados Mercado'!AD:AD,'Dados Mercado'!$C:$C,$D280)</f>
        <v>100429</v>
      </c>
      <c r="AE280" s="365"/>
      <c r="AF280" s="447" t="str">
        <f>IF([1]RENAME!$H$3=1,B280,A280)</f>
        <v>2T23</v>
      </c>
      <c r="AG280" s="670">
        <f t="shared" si="124"/>
        <v>0.15603277160330126</v>
      </c>
      <c r="AH280" s="671">
        <f t="shared" si="125"/>
        <v>0.15802574796885172</v>
      </c>
      <c r="AI280" s="671">
        <f t="shared" si="126"/>
        <v>0.22149360720685971</v>
      </c>
      <c r="AJ280" s="671">
        <f t="shared" si="127"/>
        <v>9.263322002298352E-2</v>
      </c>
      <c r="AK280" s="671">
        <f t="shared" si="128"/>
        <v>5.3653656066925431E-2</v>
      </c>
      <c r="AL280" s="671">
        <f t="shared" si="129"/>
        <v>7.45537902713823E-2</v>
      </c>
      <c r="AM280" s="671">
        <f t="shared" si="130"/>
        <v>4.0030296455234378E-2</v>
      </c>
      <c r="AN280" s="671">
        <f>+AC280/SUM($V280:$AD280)</f>
        <v>1.8101529287912759E-3</v>
      </c>
      <c r="AO280" s="672">
        <f t="shared" si="131"/>
        <v>0.20176675747567041</v>
      </c>
      <c r="AP280" s="368"/>
      <c r="AQ280" s="593">
        <f>+SUMIFS('Dados Mercado'!AQ:AQ,'Dados Mercado'!$C:$C,$D280)</f>
        <v>24409.977700000003</v>
      </c>
      <c r="AR280" s="594">
        <f>+SUMIFS('Dados Mercado'!AR:AR,'Dados Mercado'!$C:$C,$D280)</f>
        <v>69397.107400000008</v>
      </c>
      <c r="AS280" s="594">
        <f>+SUMIFS('Dados Mercado'!AS:AS,'Dados Mercado'!$C:$C,$D280)</f>
        <v>51591.4899</v>
      </c>
      <c r="AT280" s="594">
        <f>+SUMIFS('Dados Mercado'!AT:AT,'Dados Mercado'!$C:$C,$D280)</f>
        <v>267770.12339999998</v>
      </c>
      <c r="AU280" s="595">
        <f>+SUMIFS('Dados Mercado'!AU:AU,'Dados Mercado'!$C:$C,$D280)</f>
        <v>85397.385399999999</v>
      </c>
      <c r="AV280" s="365"/>
      <c r="AW280" s="675">
        <f t="shared" si="146"/>
        <v>4.8960365522561451E-2</v>
      </c>
      <c r="AX280" s="676">
        <f t="shared" si="147"/>
        <v>0.13919339813704351</v>
      </c>
      <c r="AY280" s="676">
        <f t="shared" si="148"/>
        <v>0.10347974235787757</v>
      </c>
      <c r="AZ280" s="676">
        <f t="shared" si="149"/>
        <v>0.53708050366983262</v>
      </c>
      <c r="BA280" s="409">
        <f t="shared" si="150"/>
        <v>0.17128599031268479</v>
      </c>
      <c r="BB280" s="365"/>
      <c r="BC280" s="410">
        <f t="shared" si="136"/>
        <v>0.19578017750801852</v>
      </c>
      <c r="BD280" s="411">
        <f t="shared" si="138"/>
        <v>0.1526736420839461</v>
      </c>
    </row>
    <row r="281" spans="1:56" ht="12.75" customHeight="1" x14ac:dyDescent="0.2">
      <c r="A281" s="570" t="s">
        <v>2030</v>
      </c>
      <c r="B281" s="365" t="s">
        <v>2031</v>
      </c>
      <c r="C281" s="365"/>
      <c r="D281" s="440" t="str">
        <f>IF([1]RENAME!$H$3=1,B281,A281)</f>
        <v>3T23</v>
      </c>
      <c r="E281" s="403">
        <f>+SUMIFS('Dados Mercado'!E:E,'Dados Mercado'!$C:$C,$D281)</f>
        <v>686807</v>
      </c>
      <c r="F281" s="404">
        <f>+SUMIFS('Dados Mercado'!F:F,'Dados Mercado'!$C:$C,$D281)</f>
        <v>600154</v>
      </c>
      <c r="G281" s="406">
        <f>+SUMIFS('Dados Mercado'!G:G,'Dados Mercado'!$C:$C,$D281)</f>
        <v>86653</v>
      </c>
      <c r="H281" s="368"/>
      <c r="I281" s="403" t="s">
        <v>160</v>
      </c>
      <c r="J281" s="405" t="s">
        <v>160</v>
      </c>
      <c r="K281" s="451" t="s">
        <v>160</v>
      </c>
      <c r="L281" s="368"/>
      <c r="M281" s="407">
        <f>+SUMIFS('Dados Mercado'!M:M,'Dados Mercado'!$C:$C,$D281)</f>
        <v>588451</v>
      </c>
      <c r="N281" s="406">
        <f>+SUMIFS('Dados Mercado'!N:N,'Dados Mercado'!$C:$C,$D281)</f>
        <v>91712</v>
      </c>
      <c r="O281" s="368"/>
      <c r="P281" s="407">
        <f>+SUMIFS('Dados Mercado'!P:P,'Dados Mercado'!$C:$C,$D281)</f>
        <v>303185.07799999998</v>
      </c>
      <c r="Q281" s="406">
        <f>+SUMIFS('Dados Mercado'!Q:Q,'Dados Mercado'!$C:$C,$D281)</f>
        <v>296968.92200000002</v>
      </c>
      <c r="R281" s="368"/>
      <c r="S281" s="407">
        <f>+SUMIFS('Dados Mercado'!S:S,'Dados Mercado'!$C:$C,$D281)</f>
        <v>2798635</v>
      </c>
      <c r="T281" s="408">
        <f t="shared" si="123"/>
        <v>4.6631947800064646</v>
      </c>
      <c r="U281" s="368"/>
      <c r="V281" s="407">
        <f>+SUMIFS('Dados Mercado'!V:V,'Dados Mercado'!$C:$C,$D281)</f>
        <v>87179</v>
      </c>
      <c r="W281" s="404">
        <f>+SUMIFS('Dados Mercado'!W:W,'Dados Mercado'!$C:$C,$D281)</f>
        <v>99984</v>
      </c>
      <c r="X281" s="404">
        <f>+SUMIFS('Dados Mercado'!X:X,'Dados Mercado'!$C:$C,$D281)</f>
        <v>133119</v>
      </c>
      <c r="Y281" s="404">
        <f>+SUMIFS('Dados Mercado'!Y:Y,'Dados Mercado'!$C:$C,$D281)</f>
        <v>51287</v>
      </c>
      <c r="Z281" s="404">
        <f>+SUMIFS('Dados Mercado'!Z:Z,'Dados Mercado'!$C:$C,$D281)</f>
        <v>34257</v>
      </c>
      <c r="AA281" s="404">
        <f>+SUMIFS('Dados Mercado'!AA:AA,'Dados Mercado'!$C:$C,$D281)</f>
        <v>54098</v>
      </c>
      <c r="AB281" s="404">
        <f>+SUMIFS('Dados Mercado'!AB:AB,'Dados Mercado'!$C:$C,$D281)</f>
        <v>20121</v>
      </c>
      <c r="AC281" s="404">
        <f>+SUMIFS('Dados Mercado'!AC:AC,'Dados Mercado'!$C:$C,$D281)</f>
        <v>4243</v>
      </c>
      <c r="AD281" s="406">
        <f>+SUMIFS('Dados Mercado'!AD:AD,'Dados Mercado'!$C:$C,$D281)</f>
        <v>115866</v>
      </c>
      <c r="AE281" s="365"/>
      <c r="AF281" s="447" t="str">
        <f>IF([1]RENAME!$H$3=1,B281,A281)</f>
        <v>3T23</v>
      </c>
      <c r="AG281" s="670">
        <f t="shared" si="124"/>
        <v>0.14526104966391959</v>
      </c>
      <c r="AH281" s="671">
        <f t="shared" si="125"/>
        <v>0.16659724004172263</v>
      </c>
      <c r="AI281" s="671">
        <f t="shared" si="126"/>
        <v>0.22180806926222268</v>
      </c>
      <c r="AJ281" s="671">
        <f t="shared" si="127"/>
        <v>8.5456399524122137E-2</v>
      </c>
      <c r="AK281" s="671">
        <f t="shared" si="128"/>
        <v>5.7080349376993238E-2</v>
      </c>
      <c r="AL281" s="671">
        <f t="shared" si="129"/>
        <v>9.0140197349347001E-2</v>
      </c>
      <c r="AM281" s="671">
        <f t="shared" si="130"/>
        <v>3.3526394891977729E-2</v>
      </c>
      <c r="AN281" s="671">
        <f>+AC281/SUM($V281:$AD281)</f>
        <v>7.0698520713016995E-3</v>
      </c>
      <c r="AO281" s="672">
        <f t="shared" si="131"/>
        <v>0.19306044781839327</v>
      </c>
      <c r="AP281" s="368"/>
      <c r="AQ281" s="593">
        <f>+SUMIFS('Dados Mercado'!AQ:AQ,'Dados Mercado'!$C:$C,$D281)</f>
        <v>26751.2094</v>
      </c>
      <c r="AR281" s="594">
        <f>+SUMIFS('Dados Mercado'!AR:AR,'Dados Mercado'!$C:$C,$D281)</f>
        <v>77870.106599999999</v>
      </c>
      <c r="AS281" s="594">
        <f>+SUMIFS('Dados Mercado'!AS:AS,'Dados Mercado'!$C:$C,$D281)</f>
        <v>56105.636599999998</v>
      </c>
      <c r="AT281" s="594">
        <f>+SUMIFS('Dados Mercado'!AT:AT,'Dados Mercado'!$C:$C,$D281)</f>
        <v>346557.95380000002</v>
      </c>
      <c r="AU281" s="595">
        <f>+SUMIFS('Dados Mercado'!AU:AU,'Dados Mercado'!$C:$C,$D281)</f>
        <v>92867.218200000003</v>
      </c>
      <c r="AV281" s="365"/>
      <c r="AW281" s="675">
        <f t="shared" si="146"/>
        <v>4.4574047651384424E-2</v>
      </c>
      <c r="AX281" s="676">
        <f t="shared" si="147"/>
        <v>0.1297506138996013</v>
      </c>
      <c r="AY281" s="676">
        <f t="shared" si="148"/>
        <v>9.3485691877529017E-2</v>
      </c>
      <c r="AZ281" s="676">
        <f t="shared" si="149"/>
        <v>0.57745018236997847</v>
      </c>
      <c r="BA281" s="409">
        <f t="shared" si="150"/>
        <v>0.15473946420150689</v>
      </c>
      <c r="BB281" s="365"/>
      <c r="BC281" s="410">
        <f t="shared" si="136"/>
        <v>0.14725610118769447</v>
      </c>
      <c r="BD281" s="411">
        <f t="shared" si="138"/>
        <v>0.15281411104483184</v>
      </c>
    </row>
    <row r="282" spans="1:56" ht="12.75" customHeight="1" x14ac:dyDescent="0.2">
      <c r="A282" s="570" t="s">
        <v>2032</v>
      </c>
      <c r="B282" s="365" t="s">
        <v>2033</v>
      </c>
      <c r="C282" s="365"/>
      <c r="D282" s="440" t="str">
        <f>IF([1]RENAME!$H$3=1,B282,A282)</f>
        <v>4T23</v>
      </c>
      <c r="E282" s="403">
        <f>+SUMIFS('Dados Mercado'!E:E,'Dados Mercado'!$C:$C,$D282)</f>
        <v>720930</v>
      </c>
      <c r="F282" s="404">
        <f>+SUMIFS('Dados Mercado'!F:F,'Dados Mercado'!$C:$C,$D282)</f>
        <v>645388</v>
      </c>
      <c r="G282" s="406">
        <f>+SUMIFS('Dados Mercado'!G:G,'Dados Mercado'!$C:$C,$D282)</f>
        <v>75542</v>
      </c>
      <c r="H282" s="368"/>
      <c r="I282" s="403" t="s">
        <v>160</v>
      </c>
      <c r="J282" s="405" t="s">
        <v>160</v>
      </c>
      <c r="K282" s="451" t="s">
        <v>160</v>
      </c>
      <c r="L282" s="368"/>
      <c r="M282" s="407">
        <f>+SUMIFS('Dados Mercado'!M:M,'Dados Mercado'!$C:$C,$D282)</f>
        <v>538420</v>
      </c>
      <c r="N282" s="406">
        <f>+SUMIFS('Dados Mercado'!N:N,'Dados Mercado'!$C:$C,$D282)</f>
        <v>113124</v>
      </c>
      <c r="O282" s="368"/>
      <c r="P282" s="407">
        <f>+SUMIFS('Dados Mercado'!P:P,'Dados Mercado'!$C:$C,$D282)</f>
        <v>342889.7194</v>
      </c>
      <c r="Q282" s="406">
        <f>+SUMIFS('Dados Mercado'!Q:Q,'Dados Mercado'!$C:$C,$D282)</f>
        <v>302498.2806</v>
      </c>
      <c r="R282" s="368"/>
      <c r="S282" s="407">
        <f>+SUMIFS('Dados Mercado'!S:S,'Dados Mercado'!$C:$C,$D282)</f>
        <v>2855486</v>
      </c>
      <c r="T282" s="408">
        <f t="shared" si="123"/>
        <v>4.4244485487799583</v>
      </c>
      <c r="U282" s="368"/>
      <c r="V282" s="407">
        <f>+SUMIFS('Dados Mercado'!V:V,'Dados Mercado'!$C:$C,$D282)</f>
        <v>91658</v>
      </c>
      <c r="W282" s="404">
        <f>+SUMIFS('Dados Mercado'!W:W,'Dados Mercado'!$C:$C,$D282)</f>
        <v>106529</v>
      </c>
      <c r="X282" s="404">
        <f>+SUMIFS('Dados Mercado'!X:X,'Dados Mercado'!$C:$C,$D282)</f>
        <v>135525</v>
      </c>
      <c r="Y282" s="404">
        <f>+SUMIFS('Dados Mercado'!Y:Y,'Dados Mercado'!$C:$C,$D282)</f>
        <v>52721</v>
      </c>
      <c r="Z282" s="404">
        <f>+SUMIFS('Dados Mercado'!Z:Z,'Dados Mercado'!$C:$C,$D282)</f>
        <v>38824</v>
      </c>
      <c r="AA282" s="404">
        <f>+SUMIFS('Dados Mercado'!AA:AA,'Dados Mercado'!$C:$C,$D282)</f>
        <v>58197</v>
      </c>
      <c r="AB282" s="404">
        <f>+SUMIFS('Dados Mercado'!AB:AB,'Dados Mercado'!$C:$C,$D282)</f>
        <v>17630</v>
      </c>
      <c r="AC282" s="404">
        <f>+SUMIFS('Dados Mercado'!AC:AC,'Dados Mercado'!$C:$C,$D282)</f>
        <v>11714</v>
      </c>
      <c r="AD282" s="406">
        <f>+SUMIFS('Dados Mercado'!AD:AD,'Dados Mercado'!$C:$C,$D282)</f>
        <v>132590</v>
      </c>
      <c r="AE282" s="365"/>
      <c r="AF282" s="447" t="str">
        <f>IF([1]RENAME!$H$3=1,B282,A282)</f>
        <v>4T23</v>
      </c>
      <c r="AG282" s="670">
        <f t="shared" si="124"/>
        <v>0.14201999417404723</v>
      </c>
      <c r="AH282" s="671">
        <f t="shared" si="125"/>
        <v>0.16506194723174278</v>
      </c>
      <c r="AI282" s="671">
        <f t="shared" si="126"/>
        <v>0.20998995952822178</v>
      </c>
      <c r="AJ282" s="671">
        <f t="shared" si="127"/>
        <v>8.1688844540028629E-2</v>
      </c>
      <c r="AK282" s="671">
        <f t="shared" si="128"/>
        <v>6.015606116010834E-2</v>
      </c>
      <c r="AL282" s="671">
        <f t="shared" si="129"/>
        <v>9.0173662974830648E-2</v>
      </c>
      <c r="AM282" s="671">
        <f t="shared" si="130"/>
        <v>2.7316900841044458E-2</v>
      </c>
      <c r="AN282" s="671">
        <f>+AC282/SUM($V282:$AD282)</f>
        <v>1.8150321976857332E-2</v>
      </c>
      <c r="AO282" s="672">
        <f t="shared" si="131"/>
        <v>0.20544230757311879</v>
      </c>
      <c r="AP282" s="368"/>
      <c r="AQ282" s="593">
        <f>+SUMIFS('Dados Mercado'!AQ:AQ,'Dados Mercado'!$C:$C,$D282)</f>
        <v>28708.060099999995</v>
      </c>
      <c r="AR282" s="594">
        <f>+SUMIFS('Dados Mercado'!AR:AR,'Dados Mercado'!$C:$C,$D282)</f>
        <v>80105.340800000005</v>
      </c>
      <c r="AS282" s="594">
        <f>+SUMIFS('Dados Mercado'!AS:AS,'Dados Mercado'!$C:$C,$D282)</f>
        <v>57344.437600000005</v>
      </c>
      <c r="AT282" s="594">
        <f>+SUMIFS('Dados Mercado'!AT:AT,'Dados Mercado'!$C:$C,$D282)</f>
        <v>377075.1532</v>
      </c>
      <c r="AU282" s="595">
        <f>+SUMIFS('Dados Mercado'!AU:AU,'Dados Mercado'!$C:$C,$D282)</f>
        <v>102114.143</v>
      </c>
      <c r="AV282" s="365"/>
      <c r="AW282" s="675">
        <f t="shared" si="146"/>
        <v>4.4484678952429836E-2</v>
      </c>
      <c r="AX282" s="676">
        <f t="shared" si="147"/>
        <v>0.12412752221676518</v>
      </c>
      <c r="AY282" s="676">
        <f t="shared" si="148"/>
        <v>8.885828187128697E-2</v>
      </c>
      <c r="AZ282" s="676">
        <f t="shared" si="149"/>
        <v>0.58429817523756333</v>
      </c>
      <c r="BA282" s="409">
        <f t="shared" si="150"/>
        <v>0.15823134172195463</v>
      </c>
      <c r="BB282" s="365"/>
      <c r="BC282" s="410">
        <f t="shared" si="136"/>
        <v>0.14030310909698748</v>
      </c>
      <c r="BD282" s="411">
        <f t="shared" si="138"/>
        <v>0.17528060639491283</v>
      </c>
    </row>
    <row r="283" spans="1:56" ht="12.75" customHeight="1" x14ac:dyDescent="0.2">
      <c r="A283" s="570" t="s">
        <v>2129</v>
      </c>
      <c r="B283" s="365" t="s">
        <v>2128</v>
      </c>
      <c r="C283" s="365"/>
      <c r="D283" s="440" t="str">
        <f>IF([1]RENAME!$H$3=1,B283,A283)</f>
        <v>1T24</v>
      </c>
      <c r="E283" s="403">
        <f>+SUMIFS('Dados Mercado'!E:E,'Dados Mercado'!$C:$C,$D283)</f>
        <v>562040</v>
      </c>
      <c r="F283" s="404">
        <f>+SUMIFS('Dados Mercado'!F:F,'Dados Mercado'!$C:$C,$D283)</f>
        <v>483988</v>
      </c>
      <c r="G283" s="406">
        <f>+SUMIFS('Dados Mercado'!G:G,'Dados Mercado'!$C:$C,$D283)</f>
        <v>78052</v>
      </c>
      <c r="H283" s="368"/>
      <c r="I283" s="403" t="s">
        <v>160</v>
      </c>
      <c r="J283" s="405" t="s">
        <v>160</v>
      </c>
      <c r="K283" s="451" t="s">
        <v>160</v>
      </c>
      <c r="L283" s="368"/>
      <c r="M283" s="407">
        <f>+SUMIFS('Dados Mercado'!M:M,'Dados Mercado'!$C:$C,$D283)</f>
        <v>502182</v>
      </c>
      <c r="N283" s="406">
        <f>+SUMIFS('Dados Mercado'!N:N,'Dados Mercado'!$C:$C,$D283)</f>
        <v>88726</v>
      </c>
      <c r="O283" s="368"/>
      <c r="P283" s="407">
        <f>+SUMIFS('Dados Mercado'!P:P,'Dados Mercado'!$C:$C,$D283)</f>
        <v>214551.62119999999</v>
      </c>
      <c r="Q283" s="406">
        <f>+SUMIFS('Dados Mercado'!Q:Q,'Dados Mercado'!$C:$C,$D283)</f>
        <v>269436.37880000001</v>
      </c>
      <c r="R283" s="368"/>
      <c r="S283" s="407">
        <f>+SUMIFS('Dados Mercado'!S:S,'Dados Mercado'!$C:$C,$D283)</f>
        <v>2594151</v>
      </c>
      <c r="T283" s="408">
        <f t="shared" si="123"/>
        <v>5.3599490070001732</v>
      </c>
      <c r="U283" s="368"/>
      <c r="V283" s="407">
        <f>+SUMIFS('Dados Mercado'!V:V,'Dados Mercado'!$C:$C,$D283)</f>
        <v>56728</v>
      </c>
      <c r="W283" s="404">
        <f>+SUMIFS('Dados Mercado'!W:W,'Dados Mercado'!$C:$C,$D283)</f>
        <v>77209</v>
      </c>
      <c r="X283" s="404">
        <f>+SUMIFS('Dados Mercado'!X:X,'Dados Mercado'!$C:$C,$D283)</f>
        <v>101319</v>
      </c>
      <c r="Y283" s="404">
        <f>+SUMIFS('Dados Mercado'!Y:Y,'Dados Mercado'!$C:$C,$D283)</f>
        <v>41802</v>
      </c>
      <c r="Z283" s="404">
        <f>+SUMIFS('Dados Mercado'!Z:Z,'Dados Mercado'!$C:$C,$D283)</f>
        <v>26606</v>
      </c>
      <c r="AA283" s="404">
        <f>+SUMIFS('Dados Mercado'!AA:AA,'Dados Mercado'!$C:$C,$D283)</f>
        <v>37159</v>
      </c>
      <c r="AB283" s="404">
        <f>+SUMIFS('Dados Mercado'!AB:AB,'Dados Mercado'!$C:$C,$D283)</f>
        <v>16948</v>
      </c>
      <c r="AC283" s="404">
        <f>+SUMIFS('Dados Mercado'!AC:AC,'Dados Mercado'!$C:$C,$D283)</f>
        <v>14787</v>
      </c>
      <c r="AD283" s="406">
        <f>+SUMIFS('Dados Mercado'!AD:AD,'Dados Mercado'!$C:$C,$D283)</f>
        <v>111430</v>
      </c>
      <c r="AE283" s="365"/>
      <c r="AF283" s="447" t="str">
        <f>IF([1]RENAME!$H$3=1,B283,A283)</f>
        <v>1T24</v>
      </c>
      <c r="AG283" s="670">
        <f t="shared" si="124"/>
        <v>0.11720951759134524</v>
      </c>
      <c r="AH283" s="671">
        <f t="shared" si="125"/>
        <v>0.1595266824797309</v>
      </c>
      <c r="AI283" s="671">
        <f t="shared" si="126"/>
        <v>0.20934196715621048</v>
      </c>
      <c r="AJ283" s="671">
        <f t="shared" si="127"/>
        <v>8.6369909997768543E-2</v>
      </c>
      <c r="AK283" s="671">
        <f t="shared" si="128"/>
        <v>5.4972437333157022E-2</v>
      </c>
      <c r="AL283" s="671">
        <f t="shared" si="129"/>
        <v>7.6776696942899417E-2</v>
      </c>
      <c r="AM283" s="671">
        <f t="shared" si="130"/>
        <v>3.501739712554857E-2</v>
      </c>
      <c r="AN283" s="671">
        <f>+AC283/SUM($V283:$AD283)</f>
        <v>3.0552410390340255E-2</v>
      </c>
      <c r="AO283" s="672">
        <f t="shared" si="131"/>
        <v>0.23023298098299957</v>
      </c>
      <c r="AP283" s="368"/>
      <c r="AQ283" s="593">
        <f>+SUMIFS('Dados Mercado'!AQ:AQ,'Dados Mercado'!$C:$C,$D283)</f>
        <v>25123.0478</v>
      </c>
      <c r="AR283" s="594">
        <f>+SUMIFS('Dados Mercado'!AR:AR,'Dados Mercado'!$C:$C,$D283)</f>
        <v>68283.925300000003</v>
      </c>
      <c r="AS283" s="594">
        <f>+SUMIFS('Dados Mercado'!AS:AS,'Dados Mercado'!$C:$C,$D283)</f>
        <v>52522.366799999989</v>
      </c>
      <c r="AT283" s="594">
        <f>+SUMIFS('Dados Mercado'!AT:AT,'Dados Mercado'!$C:$C,$D283)</f>
        <v>254678.59450000001</v>
      </c>
      <c r="AU283" s="595">
        <f>+SUMIFS('Dados Mercado'!AU:AU,'Dados Mercado'!$C:$C,$D283)</f>
        <v>83380.065600000002</v>
      </c>
      <c r="AV283" s="365"/>
      <c r="AW283" s="675">
        <f t="shared" si="146"/>
        <v>5.1908410539104277E-2</v>
      </c>
      <c r="AX283" s="676">
        <f t="shared" si="147"/>
        <v>0.14108598828896585</v>
      </c>
      <c r="AY283" s="676">
        <f t="shared" si="148"/>
        <v>0.10851997735481042</v>
      </c>
      <c r="AZ283" s="676">
        <f t="shared" si="149"/>
        <v>0.5262084896732977</v>
      </c>
      <c r="BA283" s="409">
        <f t="shared" si="150"/>
        <v>0.17227713414382176</v>
      </c>
      <c r="BB283" s="365"/>
      <c r="BC283" s="410">
        <f t="shared" ref="BC283:BC288" si="151">+G283/M283</f>
        <v>0.15542572214854375</v>
      </c>
      <c r="BD283" s="411">
        <f t="shared" ref="BD283:BD288" si="152">+N283/F283</f>
        <v>0.18332272700976057</v>
      </c>
    </row>
    <row r="284" spans="1:56" ht="12.75" customHeight="1" x14ac:dyDescent="0.2">
      <c r="A284" s="570" t="s">
        <v>2139</v>
      </c>
      <c r="B284" s="365" t="s">
        <v>2142</v>
      </c>
      <c r="C284" s="365"/>
      <c r="D284" s="440" t="str">
        <f>IF([1]RENAME!$H$3=1,B284,A284)</f>
        <v>2T24</v>
      </c>
      <c r="E284" s="403">
        <f>+SUMIFS('Dados Mercado'!E:E,'Dados Mercado'!$C:$C,$D284)</f>
        <v>672423</v>
      </c>
      <c r="F284" s="404">
        <f>+SUMIFS('Dados Mercado'!F:F,'Dados Mercado'!$C:$C,$D284)</f>
        <v>594358</v>
      </c>
      <c r="G284" s="406">
        <f>+SUMIFS('Dados Mercado'!G:G,'Dados Mercado'!$C:$C,$D284)</f>
        <v>78065</v>
      </c>
      <c r="H284" s="368"/>
      <c r="I284" s="403" t="s">
        <v>160</v>
      </c>
      <c r="J284" s="405" t="s">
        <v>160</v>
      </c>
      <c r="K284" s="451" t="s">
        <v>160</v>
      </c>
      <c r="L284" s="368"/>
      <c r="M284" s="407">
        <f>+SUMIFS('Dados Mercado'!M:M,'Dados Mercado'!$C:$C,$D284)</f>
        <v>556640</v>
      </c>
      <c r="N284" s="406">
        <f>+SUMIFS('Dados Mercado'!N:N,'Dados Mercado'!$C:$C,$D284)</f>
        <v>105749</v>
      </c>
      <c r="O284" s="368"/>
      <c r="P284" s="407">
        <f>+SUMIFS('Dados Mercado'!P:P,'Dados Mercado'!$C:$C,$D284)</f>
        <v>282820.71660000004</v>
      </c>
      <c r="Q284" s="406">
        <f>+SUMIFS('Dados Mercado'!Q:Q,'Dados Mercado'!$C:$C,$D284)</f>
        <v>311537.28339999996</v>
      </c>
      <c r="R284" s="368"/>
      <c r="S284" s="407">
        <f>+SUMIFS('Dados Mercado'!S:S,'Dados Mercado'!$C:$C,$D284)</f>
        <v>2807576</v>
      </c>
      <c r="T284" s="408">
        <f t="shared" si="123"/>
        <v>4.7237119715726887</v>
      </c>
      <c r="U284" s="368"/>
      <c r="V284" s="407">
        <f>+SUMIFS('Dados Mercado'!V:V,'Dados Mercado'!$C:$C,$D284)</f>
        <v>84283</v>
      </c>
      <c r="W284" s="404">
        <f>+SUMIFS('Dados Mercado'!W:W,'Dados Mercado'!$C:$C,$D284)</f>
        <v>91077</v>
      </c>
      <c r="X284" s="404">
        <f>+SUMIFS('Dados Mercado'!X:X,'Dados Mercado'!$C:$C,$D284)</f>
        <v>119185</v>
      </c>
      <c r="Y284" s="404">
        <f>+SUMIFS('Dados Mercado'!Y:Y,'Dados Mercado'!$C:$C,$D284)</f>
        <v>49729</v>
      </c>
      <c r="Z284" s="404">
        <f>+SUMIFS('Dados Mercado'!Z:Z,'Dados Mercado'!$C:$C,$D284)</f>
        <v>29049</v>
      </c>
      <c r="AA284" s="404">
        <f>+SUMIFS('Dados Mercado'!AA:AA,'Dados Mercado'!$C:$C,$D284)</f>
        <v>50743</v>
      </c>
      <c r="AB284" s="404">
        <f>+SUMIFS('Dados Mercado'!AB:AB,'Dados Mercado'!$C:$C,$D284)</f>
        <v>21092</v>
      </c>
      <c r="AC284" s="404">
        <f>+SUMIFS('Dados Mercado'!AC:AC,'Dados Mercado'!$C:$C,$D284)</f>
        <v>17549</v>
      </c>
      <c r="AD284" s="406">
        <f>+SUMIFS('Dados Mercado'!AD:AD,'Dados Mercado'!$C:$C,$D284)</f>
        <v>131651</v>
      </c>
      <c r="AE284" s="365"/>
      <c r="AF284" s="447" t="str">
        <f>IF([1]RENAME!$H$3=1,B284,A284)</f>
        <v>2T24</v>
      </c>
      <c r="AG284" s="670">
        <f t="shared" si="124"/>
        <v>0.14180510735953752</v>
      </c>
      <c r="AH284" s="671">
        <f t="shared" si="125"/>
        <v>0.15323592851446435</v>
      </c>
      <c r="AI284" s="671">
        <f t="shared" si="126"/>
        <v>0.20052729163231589</v>
      </c>
      <c r="AJ284" s="671">
        <f t="shared" si="127"/>
        <v>8.3668428792074812E-2</v>
      </c>
      <c r="AK284" s="671">
        <f t="shared" si="128"/>
        <v>4.8874584004926322E-2</v>
      </c>
      <c r="AL284" s="671">
        <f t="shared" si="129"/>
        <v>8.5374471278253178E-2</v>
      </c>
      <c r="AM284" s="671">
        <f t="shared" si="130"/>
        <v>3.5487029702637132E-2</v>
      </c>
      <c r="AN284" s="671">
        <f t="shared" si="130"/>
        <v>2.9525975926966576E-2</v>
      </c>
      <c r="AO284" s="672">
        <f t="shared" si="131"/>
        <v>0.22150118278882425</v>
      </c>
      <c r="AP284" s="368"/>
      <c r="AQ284" s="593">
        <f>+SUMIFS('Dados Mercado'!AQ:AQ,'Dados Mercado'!$C:$C,$D284)</f>
        <v>29194.384399999999</v>
      </c>
      <c r="AR284" s="594">
        <f>+SUMIFS('Dados Mercado'!AR:AR,'Dados Mercado'!$C:$C,$D284)</f>
        <v>79262.74960000001</v>
      </c>
      <c r="AS284" s="594">
        <f>+SUMIFS('Dados Mercado'!AS:AS,'Dados Mercado'!$C:$C,$D284)</f>
        <v>60070.380799999999</v>
      </c>
      <c r="AT284" s="594">
        <f>+SUMIFS('Dados Mercado'!AT:AT,'Dados Mercado'!$C:$C,$D284)</f>
        <v>331140.71980000002</v>
      </c>
      <c r="AU284" s="595">
        <f>+SUMIFS('Dados Mercado'!AU:AU,'Dados Mercado'!$C:$C,$D284)</f>
        <v>94710.600200000001</v>
      </c>
      <c r="AV284" s="365"/>
      <c r="AW284" s="675">
        <f t="shared" si="146"/>
        <v>4.9117469685513768E-2</v>
      </c>
      <c r="AX284" s="676">
        <f t="shared" si="147"/>
        <v>0.13335392338906346</v>
      </c>
      <c r="AY284" s="676">
        <f t="shared" si="148"/>
        <v>0.10106413163283787</v>
      </c>
      <c r="AZ284" s="676">
        <f t="shared" si="149"/>
        <v>0.55712064496950686</v>
      </c>
      <c r="BA284" s="409">
        <f t="shared" si="150"/>
        <v>0.15934383032307797</v>
      </c>
      <c r="BB284" s="365"/>
      <c r="BC284" s="410">
        <f t="shared" si="151"/>
        <v>0.1402432451853981</v>
      </c>
      <c r="BD284" s="411">
        <f t="shared" si="152"/>
        <v>0.17792138744662309</v>
      </c>
    </row>
    <row r="285" spans="1:56" ht="12.75" customHeight="1" x14ac:dyDescent="0.2">
      <c r="A285" s="570" t="s">
        <v>2140</v>
      </c>
      <c r="B285" s="365" t="s">
        <v>2143</v>
      </c>
      <c r="C285" s="966">
        <v>3</v>
      </c>
      <c r="D285" s="440" t="str">
        <f>IF([1]RENAME!$H$3=1,B285,A285)</f>
        <v>3T24</v>
      </c>
      <c r="E285" s="403">
        <f>+SUMIFS('Dados Mercado'!E:E,'Dados Mercado'!$C:$C,$D285)</f>
        <v>786972</v>
      </c>
      <c r="F285" s="404">
        <f>+SUMIFS('Dados Mercado'!F:F,'Dados Mercado'!$C:$C,$D285)</f>
        <v>673821</v>
      </c>
      <c r="G285" s="406">
        <f>+SUMIFS('Dados Mercado'!G:G,'Dados Mercado'!$C:$C,$D285)</f>
        <v>113151</v>
      </c>
      <c r="H285" s="368"/>
      <c r="I285" s="403" t="s">
        <v>160</v>
      </c>
      <c r="J285" s="405" t="s">
        <v>160</v>
      </c>
      <c r="K285" s="451" t="s">
        <v>160</v>
      </c>
      <c r="L285" s="368"/>
      <c r="M285" s="407">
        <f>+SUMIFS('Dados Mercado'!M:M,'Dados Mercado'!$C:$C,$D285)</f>
        <v>691574</v>
      </c>
      <c r="N285" s="406">
        <f>+SUMIFS('Dados Mercado'!N:N,'Dados Mercado'!$C:$C,$D285)</f>
        <v>122493</v>
      </c>
      <c r="O285" s="368"/>
      <c r="P285" s="407">
        <f>+SUMIFS('Dados Mercado'!P:P,'Dados Mercado'!$C:$C,$D285)</f>
        <v>326773.69200000004</v>
      </c>
      <c r="Q285" s="406">
        <f>+SUMIFS('Dados Mercado'!Q:Q,'Dados Mercado'!$C:$C,$D285)</f>
        <v>347047.30799999996</v>
      </c>
      <c r="R285" s="368"/>
      <c r="S285" s="407">
        <f>+SUMIFS('Dados Mercado'!S:S,'Dados Mercado'!$C:$C,$D285)</f>
        <v>3135935</v>
      </c>
      <c r="T285" s="408">
        <f t="shared" ref="T285:T290" si="153">+S285/F285</f>
        <v>4.6539585438862847</v>
      </c>
      <c r="U285" s="368"/>
      <c r="V285" s="407">
        <f>+SUMIFS('Dados Mercado'!V:V,'Dados Mercado'!$C:$C,$D285)</f>
        <v>81660</v>
      </c>
      <c r="W285" s="404">
        <f>+SUMIFS('Dados Mercado'!W:W,'Dados Mercado'!$C:$C,$D285)</f>
        <v>109451</v>
      </c>
      <c r="X285" s="404">
        <f>+SUMIFS('Dados Mercado'!X:X,'Dados Mercado'!$C:$C,$D285)</f>
        <v>149546</v>
      </c>
      <c r="Y285" s="404">
        <f>+SUMIFS('Dados Mercado'!Y:Y,'Dados Mercado'!$C:$C,$D285)</f>
        <v>58531</v>
      </c>
      <c r="Z285" s="404">
        <f>+SUMIFS('Dados Mercado'!Z:Z,'Dados Mercado'!$C:$C,$D285)</f>
        <v>36578</v>
      </c>
      <c r="AA285" s="404">
        <f>+SUMIFS('Dados Mercado'!AA:AA,'Dados Mercado'!$C:$C,$D285)</f>
        <v>49427</v>
      </c>
      <c r="AB285" s="404">
        <f>+SUMIFS('Dados Mercado'!AB:AB,'Dados Mercado'!$C:$C,$D285)</f>
        <v>25572</v>
      </c>
      <c r="AC285" s="404">
        <f>+SUMIFS('Dados Mercado'!AC:AC,'Dados Mercado'!$C:$C,$D285)</f>
        <v>18741</v>
      </c>
      <c r="AD285" s="406">
        <f>+SUMIFS('Dados Mercado'!AD:AD,'Dados Mercado'!$C:$C,$D285)</f>
        <v>144315</v>
      </c>
      <c r="AE285" s="365"/>
      <c r="AF285" s="447" t="str">
        <f>IF([1]RENAME!$H$3=1,B285,A285)</f>
        <v>3T24</v>
      </c>
      <c r="AG285" s="670">
        <f t="shared" ref="AG285:AO285" si="154">+V285/SUM($V285:$AD285)</f>
        <v>0.12118945535980624</v>
      </c>
      <c r="AH285" s="671">
        <f t="shared" si="154"/>
        <v>0.16243334654158895</v>
      </c>
      <c r="AI285" s="671">
        <f t="shared" si="154"/>
        <v>0.22193728007883398</v>
      </c>
      <c r="AJ285" s="671">
        <f t="shared" si="154"/>
        <v>8.6864315597168978E-2</v>
      </c>
      <c r="AK285" s="671">
        <f t="shared" si="154"/>
        <v>5.428444646278463E-2</v>
      </c>
      <c r="AL285" s="671">
        <f t="shared" si="154"/>
        <v>7.335330896484378E-2</v>
      </c>
      <c r="AM285" s="671">
        <f t="shared" si="154"/>
        <v>3.7950731722519782E-2</v>
      </c>
      <c r="AN285" s="671">
        <f t="shared" si="154"/>
        <v>2.7813024527285436E-2</v>
      </c>
      <c r="AO285" s="672">
        <f t="shared" si="154"/>
        <v>0.21417409074516822</v>
      </c>
      <c r="AP285" s="368"/>
      <c r="AQ285" s="593">
        <f>+SUMIFS('Dados Mercado'!AQ:AQ,'Dados Mercado'!$C:$C,$D285)</f>
        <v>31824.079399999999</v>
      </c>
      <c r="AR285" s="594">
        <f>+SUMIFS('Dados Mercado'!AR:AR,'Dados Mercado'!$C:$C,$D285)</f>
        <v>92122.0573</v>
      </c>
      <c r="AS285" s="594">
        <f>+SUMIFS('Dados Mercado'!AS:AS,'Dados Mercado'!$C:$C,$D285)</f>
        <v>60500.914599999996</v>
      </c>
      <c r="AT285" s="594">
        <f>+SUMIFS('Dados Mercado'!AT:AT,'Dados Mercado'!$C:$C,$D285)</f>
        <v>374130.0036</v>
      </c>
      <c r="AU285" s="595">
        <f>+SUMIFS('Dados Mercado'!AU:AU,'Dados Mercado'!$C:$C,$D285)</f>
        <v>115221.6001</v>
      </c>
      <c r="AV285" s="365"/>
      <c r="AW285" s="675">
        <f t="shared" ref="AW285:BA286" si="155">+AQ285/SUM($AQ285:$AU285)</f>
        <v>4.7230844353644483E-2</v>
      </c>
      <c r="AX285" s="676">
        <f t="shared" si="155"/>
        <v>0.13672045293708696</v>
      </c>
      <c r="AY285" s="676">
        <f t="shared" si="155"/>
        <v>8.9790791582984086E-2</v>
      </c>
      <c r="AZ285" s="676">
        <f t="shared" si="155"/>
        <v>0.5552548982158475</v>
      </c>
      <c r="BA285" s="409">
        <f t="shared" si="155"/>
        <v>0.17100301291043685</v>
      </c>
      <c r="BB285" s="365"/>
      <c r="BC285" s="410">
        <f t="shared" si="151"/>
        <v>0.16361372752590467</v>
      </c>
      <c r="BD285" s="411">
        <f t="shared" si="152"/>
        <v>0.1817886352606998</v>
      </c>
    </row>
    <row r="286" spans="1:56" ht="12.75" customHeight="1" x14ac:dyDescent="0.2">
      <c r="A286" s="570" t="s">
        <v>2141</v>
      </c>
      <c r="B286" s="365" t="s">
        <v>2144</v>
      </c>
      <c r="C286" s="365"/>
      <c r="D286" s="440" t="str">
        <f>IF([1]RENAME!$H$3=1,B286,A286)</f>
        <v>4T24</v>
      </c>
      <c r="E286" s="403">
        <f>+SUMIFS('Dados Mercado'!E:E,'Dados Mercado'!$C:$C,$D286)</f>
        <v>841873</v>
      </c>
      <c r="F286" s="404">
        <f>+SUMIFS('Dados Mercado'!F:F,'Dados Mercado'!$C:$C,$D286)</f>
        <v>735369</v>
      </c>
      <c r="G286" s="406">
        <f>+SUMIFS('Dados Mercado'!G:G,'Dados Mercado'!$C:$C,$D286)</f>
        <v>106504</v>
      </c>
      <c r="H286" s="368"/>
      <c r="I286" s="403" t="s">
        <v>160</v>
      </c>
      <c r="J286" s="405" t="s">
        <v>160</v>
      </c>
      <c r="K286" s="451" t="s">
        <v>160</v>
      </c>
      <c r="L286" s="368"/>
      <c r="M286" s="407">
        <f>+SUMIFS('Dados Mercado'!M:M,'Dados Mercado'!$C:$C,$D286)</f>
        <v>630198</v>
      </c>
      <c r="N286" s="406">
        <f>+SUMIFS('Dados Mercado'!N:N,'Dados Mercado'!$C:$C,$D286)</f>
        <v>142405</v>
      </c>
      <c r="O286" s="368"/>
      <c r="P286" s="407">
        <f>+SUMIFS('Dados Mercado'!P:P,'Dados Mercado'!$C:$C,$D286)</f>
        <v>386660.43400000001</v>
      </c>
      <c r="Q286" s="406">
        <f>+SUMIFS('Dados Mercado'!Q:Q,'Dados Mercado'!$C:$C,$D286)</f>
        <v>348708.56599999999</v>
      </c>
      <c r="R286" s="368"/>
      <c r="S286" s="407">
        <f>+SUMIFS('Dados Mercado'!S:S,'Dados Mercado'!$C:$C,$D286)</f>
        <v>3138283</v>
      </c>
      <c r="T286" s="408">
        <f t="shared" si="153"/>
        <v>4.2676302645338602</v>
      </c>
      <c r="U286" s="368"/>
      <c r="V286" s="407">
        <f>+SUMIFS('Dados Mercado'!V:V,'Dados Mercado'!$C:$C,$D286)</f>
        <v>91989</v>
      </c>
      <c r="W286" s="404">
        <f>+SUMIFS('Dados Mercado'!W:W,'Dados Mercado'!$C:$C,$D286)</f>
        <v>124047</v>
      </c>
      <c r="X286" s="404">
        <f>+SUMIFS('Dados Mercado'!X:X,'Dados Mercado'!$C:$C,$D286)</f>
        <v>151075</v>
      </c>
      <c r="Y286" s="404">
        <f>+SUMIFS('Dados Mercado'!Y:Y,'Dados Mercado'!$C:$C,$D286)</f>
        <v>53518</v>
      </c>
      <c r="Z286" s="404">
        <f>+SUMIFS('Dados Mercado'!Z:Z,'Dados Mercado'!$C:$C,$D286)</f>
        <v>46741</v>
      </c>
      <c r="AA286" s="404">
        <f>+SUMIFS('Dados Mercado'!AA:AA,'Dados Mercado'!$C:$C,$D286)</f>
        <v>68525</v>
      </c>
      <c r="AB286" s="404">
        <f>+SUMIFS('Dados Mercado'!AB:AB,'Dados Mercado'!$C:$C,$D286)</f>
        <v>27726</v>
      </c>
      <c r="AC286" s="404">
        <f>+SUMIFS('Dados Mercado'!AC:AC,'Dados Mercado'!$C:$C,$D286)</f>
        <v>25538</v>
      </c>
      <c r="AD286" s="406">
        <f>+SUMIFS('Dados Mercado'!AD:AD,'Dados Mercado'!$C:$C,$D286)</f>
        <v>146210</v>
      </c>
      <c r="AE286" s="365"/>
      <c r="AF286" s="447" t="str">
        <f>IF([1]RENAME!$H$3=1,B286,A286)</f>
        <v>4T24</v>
      </c>
      <c r="AG286" s="670">
        <f t="shared" ref="AG286:AO291" si="156">+V286/SUM($V286:$AD286)</f>
        <v>0.1250923006001069</v>
      </c>
      <c r="AH286" s="671">
        <f t="shared" si="156"/>
        <v>0.16868674094230243</v>
      </c>
      <c r="AI286" s="671">
        <f t="shared" si="156"/>
        <v>0.20544107788062863</v>
      </c>
      <c r="AJ286" s="671">
        <f t="shared" si="156"/>
        <v>7.2777068383355834E-2</v>
      </c>
      <c r="AK286" s="671">
        <f t="shared" si="156"/>
        <v>6.3561286918540211E-2</v>
      </c>
      <c r="AL286" s="671">
        <f t="shared" si="156"/>
        <v>9.3184510089492481E-2</v>
      </c>
      <c r="AM286" s="671">
        <f t="shared" si="156"/>
        <v>3.7703520273495349E-2</v>
      </c>
      <c r="AN286" s="671">
        <f t="shared" si="156"/>
        <v>3.4728143285887768E-2</v>
      </c>
      <c r="AO286" s="672">
        <f t="shared" si="156"/>
        <v>0.19882535162619039</v>
      </c>
      <c r="AP286" s="368"/>
      <c r="AQ286" s="593">
        <f>+SUMIFS('Dados Mercado'!AQ:AQ,'Dados Mercado'!$C:$C,$D286)</f>
        <v>36900.028299999998</v>
      </c>
      <c r="AR286" s="594">
        <f>+SUMIFS('Dados Mercado'!AR:AR,'Dados Mercado'!$C:$C,$D286)</f>
        <v>95005.845700000005</v>
      </c>
      <c r="AS286" s="594">
        <f>+SUMIFS('Dados Mercado'!AS:AS,'Dados Mercado'!$C:$C,$D286)</f>
        <v>65771.857300000003</v>
      </c>
      <c r="AT286" s="594">
        <f>+SUMIFS('Dados Mercado'!AT:AT,'Dados Mercado'!$C:$C,$D286)</f>
        <v>408133.18949999998</v>
      </c>
      <c r="AU286" s="595">
        <f>+SUMIFS('Dados Mercado'!AU:AU,'Dados Mercado'!$C:$C,$D286)</f>
        <v>129558.07920000001</v>
      </c>
      <c r="AV286" s="365"/>
      <c r="AW286" s="675">
        <f t="shared" si="155"/>
        <v>5.0178928265945395E-2</v>
      </c>
      <c r="AX286" s="676">
        <f t="shared" si="155"/>
        <v>0.12919479295428554</v>
      </c>
      <c r="AY286" s="676">
        <f t="shared" si="155"/>
        <v>8.9440617295534625E-2</v>
      </c>
      <c r="AZ286" s="676">
        <f t="shared" si="155"/>
        <v>0.55500461604990148</v>
      </c>
      <c r="BA286" s="409">
        <f t="shared" si="155"/>
        <v>0.17618104543433297</v>
      </c>
      <c r="BB286" s="365"/>
      <c r="BC286" s="410">
        <f t="shared" si="151"/>
        <v>0.16900085369994827</v>
      </c>
      <c r="BD286" s="411">
        <f t="shared" si="152"/>
        <v>0.193651078574158</v>
      </c>
    </row>
    <row r="287" spans="1:56" ht="12.75" customHeight="1" x14ac:dyDescent="0.2">
      <c r="A287" s="570" t="s">
        <v>2238</v>
      </c>
      <c r="B287" s="365" t="s">
        <v>2239</v>
      </c>
      <c r="C287" s="365"/>
      <c r="D287" s="440" t="str">
        <f>IF([1]RENAME!$H$3=1,B287,A287)</f>
        <v>1T25</v>
      </c>
      <c r="E287" s="403">
        <f>+SUMIFS('Dados Mercado'!E:E,'Dados Mercado'!$C:$C,$D287)</f>
        <v>633496</v>
      </c>
      <c r="F287" s="404">
        <f>+SUMIFS('Dados Mercado'!F:F,'Dados Mercado'!$C:$C,$D287)</f>
        <v>518467</v>
      </c>
      <c r="G287" s="406">
        <f>+SUMIFS('Dados Mercado'!G:G,'Dados Mercado'!$C:$C,$D287)</f>
        <v>115029</v>
      </c>
      <c r="H287" s="368"/>
      <c r="I287" s="403" t="s">
        <v>160</v>
      </c>
      <c r="J287" s="405" t="s">
        <v>160</v>
      </c>
      <c r="K287" s="451" t="s">
        <v>160</v>
      </c>
      <c r="L287" s="368"/>
      <c r="M287" s="407">
        <f>+SUMIFS('Dados Mercado'!M:M,'Dados Mercado'!$C:$C,$D287)</f>
        <v>559918</v>
      </c>
      <c r="N287" s="406">
        <f>+SUMIFS('Dados Mercado'!N:N,'Dados Mercado'!$C:$C,$D287)</f>
        <v>111288</v>
      </c>
      <c r="O287" s="368"/>
      <c r="P287" s="407">
        <f>+SUMIFS('Dados Mercado'!P:P,'Dados Mercado'!$C:$C,$D287)</f>
        <v>240978.24599999998</v>
      </c>
      <c r="Q287" s="406">
        <f>+SUMIFS('Dados Mercado'!Q:Q,'Dados Mercado'!$C:$C,$D287)</f>
        <v>277488.75400000002</v>
      </c>
      <c r="R287" s="368"/>
      <c r="S287" s="407">
        <f>+SUMIFS('Dados Mercado'!S:S,'Dados Mercado'!$C:$C,$D287)</f>
        <v>2696213</v>
      </c>
      <c r="T287" s="408">
        <f t="shared" si="153"/>
        <v>5.2003560496617913</v>
      </c>
      <c r="U287" s="368"/>
      <c r="V287" s="407">
        <f>+SUMIFS('Dados Mercado'!V:V,'Dados Mercado'!$C:$C,$D287)</f>
        <v>55769</v>
      </c>
      <c r="W287" s="404">
        <f>+SUMIFS('Dados Mercado'!W:W,'Dados Mercado'!$C:$C,$D287)</f>
        <v>79296</v>
      </c>
      <c r="X287" s="404">
        <f>+SUMIFS('Dados Mercado'!X:X,'Dados Mercado'!$C:$C,$D287)</f>
        <v>110594</v>
      </c>
      <c r="Y287" s="404">
        <f>+SUMIFS('Dados Mercado'!Y:Y,'Dados Mercado'!$C:$C,$D287)</f>
        <v>42135</v>
      </c>
      <c r="Z287" s="404">
        <f>+SUMIFS('Dados Mercado'!Z:Z,'Dados Mercado'!$C:$C,$D287)</f>
        <v>29724</v>
      </c>
      <c r="AA287" s="404">
        <f>+SUMIFS('Dados Mercado'!AA:AA,'Dados Mercado'!$C:$C,$D287)</f>
        <v>34374</v>
      </c>
      <c r="AB287" s="404">
        <f>+SUMIFS('Dados Mercado'!AB:AB,'Dados Mercado'!$C:$C,$D287)</f>
        <v>23925</v>
      </c>
      <c r="AC287" s="404">
        <f>+SUMIFS('Dados Mercado'!AC:AC,'Dados Mercado'!$C:$C,$D287)</f>
        <v>21685</v>
      </c>
      <c r="AD287" s="406">
        <f>+SUMIFS('Dados Mercado'!AD:AD,'Dados Mercado'!$C:$C,$D287)</f>
        <v>120965</v>
      </c>
      <c r="AE287" s="365"/>
      <c r="AF287" s="447" t="str">
        <f>IF([1]RENAME!$H$3=1,B287,A287)</f>
        <v>1T25</v>
      </c>
      <c r="AG287" s="670">
        <f t="shared" si="156"/>
        <v>0.10756518736968794</v>
      </c>
      <c r="AH287" s="671">
        <f t="shared" si="156"/>
        <v>0.15294319599897391</v>
      </c>
      <c r="AI287" s="671">
        <f t="shared" si="156"/>
        <v>0.21330962240605478</v>
      </c>
      <c r="AJ287" s="671">
        <f t="shared" si="156"/>
        <v>8.1268431742039515E-2</v>
      </c>
      <c r="AK287" s="671">
        <f t="shared" si="156"/>
        <v>5.7330553342835704E-2</v>
      </c>
      <c r="AL287" s="671">
        <f t="shared" si="156"/>
        <v>6.6299301594894181E-2</v>
      </c>
      <c r="AM287" s="671">
        <f t="shared" si="156"/>
        <v>4.6145656329139556E-2</v>
      </c>
      <c r="AN287" s="671">
        <f t="shared" si="156"/>
        <v>4.1825227063631822E-2</v>
      </c>
      <c r="AO287" s="672">
        <f t="shared" si="156"/>
        <v>0.2333128241527426</v>
      </c>
      <c r="AP287" s="368"/>
      <c r="AQ287" s="593">
        <f>+SUMIFS('Dados Mercado'!AQ:AQ,'Dados Mercado'!$C:$C,$D287)</f>
        <v>29045.5795</v>
      </c>
      <c r="AR287" s="594">
        <f>+SUMIFS('Dados Mercado'!AR:AR,'Dados Mercado'!$C:$C,$D287)</f>
        <v>80815.890000000014</v>
      </c>
      <c r="AS287" s="594">
        <f>+SUMIFS('Dados Mercado'!AS:AS,'Dados Mercado'!$C:$C,$D287)</f>
        <v>55935.856100000005</v>
      </c>
      <c r="AT287" s="594">
        <f>+SUMIFS('Dados Mercado'!AT:AT,'Dados Mercado'!$C:$C,$D287)</f>
        <v>264489.391</v>
      </c>
      <c r="AU287" s="595">
        <f>+SUMIFS('Dados Mercado'!AU:AU,'Dados Mercado'!$C:$C,$D287)</f>
        <v>88146.873800000001</v>
      </c>
      <c r="AV287" s="365"/>
      <c r="AW287" s="675">
        <f t="shared" ref="AW287:BA291" si="157">+AQ287/SUM($AQ287:$AU287)</f>
        <v>5.6025651188206647E-2</v>
      </c>
      <c r="AX287" s="676">
        <f t="shared" si="157"/>
        <v>0.15588474878266687</v>
      </c>
      <c r="AY287" s="676">
        <f t="shared" si="157"/>
        <v>0.10789396585364465</v>
      </c>
      <c r="AZ287" s="676">
        <f t="shared" si="157"/>
        <v>0.51017024339787065</v>
      </c>
      <c r="BA287" s="409">
        <f t="shared" si="157"/>
        <v>0.17002539077761114</v>
      </c>
      <c r="BB287" s="365"/>
      <c r="BC287" s="410">
        <f t="shared" si="151"/>
        <v>0.20543901071228288</v>
      </c>
      <c r="BD287" s="411">
        <f t="shared" si="152"/>
        <v>0.21464818397313618</v>
      </c>
    </row>
    <row r="288" spans="1:56" ht="12.75" customHeight="1" x14ac:dyDescent="0.2">
      <c r="A288" s="570" t="s">
        <v>2240</v>
      </c>
      <c r="B288" s="365" t="s">
        <v>2267</v>
      </c>
      <c r="C288" s="365"/>
      <c r="D288" s="440" t="str">
        <f>IF([1]RENAME!$H$3=1,B288,A288)</f>
        <v>2T25</v>
      </c>
      <c r="E288" s="403">
        <f>+SUMIFS('Dados Mercado'!E:E,'Dados Mercado'!$C:$C,$D288)</f>
        <v>757131</v>
      </c>
      <c r="F288" s="404">
        <f>+SUMIFS('Dados Mercado'!F:F,'Dados Mercado'!$C:$C,$D288)</f>
        <v>613932</v>
      </c>
      <c r="G288" s="406">
        <f>+SUMIFS('Dados Mercado'!G:G,'Dados Mercado'!$C:$C,$D288)</f>
        <v>143199</v>
      </c>
      <c r="H288" s="368"/>
      <c r="I288" s="403" t="s">
        <v>160</v>
      </c>
      <c r="J288" s="405" t="s">
        <v>160</v>
      </c>
      <c r="K288" s="451" t="s">
        <v>160</v>
      </c>
      <c r="L288" s="368"/>
      <c r="M288" s="407">
        <f>+SUMIFS('Dados Mercado'!M:M,'Dados Mercado'!$C:$C,$D288)</f>
        <v>619609</v>
      </c>
      <c r="N288" s="406">
        <f>+SUMIFS('Dados Mercado'!N:N,'Dados Mercado'!$C:$C,$D288)</f>
        <v>113998</v>
      </c>
      <c r="O288" s="368"/>
      <c r="P288" s="407">
        <f>+SUMIFS('Dados Mercado'!P:P,'Dados Mercado'!$C:$C,$D288)</f>
        <v>322209.58600000001</v>
      </c>
      <c r="Q288" s="406">
        <f>+SUMIFS('Dados Mercado'!Q:Q,'Dados Mercado'!$C:$C,$D288)</f>
        <v>291722.41399999999</v>
      </c>
      <c r="R288" s="368"/>
      <c r="S288" s="407">
        <f>+SUMIFS('Dados Mercado'!S:S,'Dados Mercado'!$C:$C,$D288)</f>
        <v>3273618</v>
      </c>
      <c r="T288" s="408">
        <f t="shared" si="153"/>
        <v>5.332215945739919</v>
      </c>
      <c r="U288" s="368"/>
      <c r="V288" s="407">
        <f>+SUMIFS('Dados Mercado'!V:V,'Dados Mercado'!$C:$C,$D288)</f>
        <v>63996</v>
      </c>
      <c r="W288" s="404">
        <f>+SUMIFS('Dados Mercado'!W:W,'Dados Mercado'!$C:$C,$D288)</f>
        <v>106996</v>
      </c>
      <c r="X288" s="404">
        <f>+SUMIFS('Dados Mercado'!X:X,'Dados Mercado'!$C:$C,$D288)</f>
        <v>130833</v>
      </c>
      <c r="Y288" s="404">
        <f>+SUMIFS('Dados Mercado'!Y:Y,'Dados Mercado'!$C:$C,$D288)</f>
        <v>46827</v>
      </c>
      <c r="Z288" s="404">
        <f>+SUMIFS('Dados Mercado'!Z:Z,'Dados Mercado'!$C:$C,$D288)</f>
        <v>31113</v>
      </c>
      <c r="AA288" s="404">
        <f>+SUMIFS('Dados Mercado'!AA:AA,'Dados Mercado'!$C:$C,$D288)</f>
        <v>51757</v>
      </c>
      <c r="AB288" s="404">
        <f>+SUMIFS('Dados Mercado'!AB:AB,'Dados Mercado'!$C:$C,$D288)</f>
        <v>26682</v>
      </c>
      <c r="AC288" s="404">
        <f>+SUMIFS('Dados Mercado'!AC:AC,'Dados Mercado'!$C:$C,$D288)</f>
        <v>26052</v>
      </c>
      <c r="AD288" s="406">
        <f>+SUMIFS('Dados Mercado'!AD:AD,'Dados Mercado'!$C:$C,$D288)</f>
        <v>129676</v>
      </c>
      <c r="AE288" s="365"/>
      <c r="AF288" s="447" t="str">
        <f>IF([1]RENAME!$H$3=1,B288,A288)</f>
        <v>2T25</v>
      </c>
      <c r="AG288" s="670">
        <f t="shared" si="156"/>
        <v>0.10423955747542073</v>
      </c>
      <c r="AH288" s="671">
        <f t="shared" si="156"/>
        <v>0.1742798876748565</v>
      </c>
      <c r="AI288" s="671">
        <f t="shared" si="156"/>
        <v>0.21310666327866931</v>
      </c>
      <c r="AJ288" s="671">
        <f t="shared" si="156"/>
        <v>7.6273919587185546E-2</v>
      </c>
      <c r="AK288" s="671">
        <f t="shared" si="156"/>
        <v>5.0678251011512673E-2</v>
      </c>
      <c r="AL288" s="671">
        <f t="shared" si="156"/>
        <v>8.4304124886795284E-2</v>
      </c>
      <c r="AM288" s="671">
        <f t="shared" si="156"/>
        <v>4.3460839311194072E-2</v>
      </c>
      <c r="AN288" s="671">
        <f t="shared" si="156"/>
        <v>4.2434667031527921E-2</v>
      </c>
      <c r="AO288" s="672">
        <f t="shared" si="156"/>
        <v>0.21122208974283796</v>
      </c>
      <c r="AP288" s="368"/>
      <c r="AQ288" s="593">
        <f>+SUMIFS('Dados Mercado'!AQ:AQ,'Dados Mercado'!$C:$C,$D288)</f>
        <v>31183.776400000002</v>
      </c>
      <c r="AR288" s="594">
        <f>+SUMIFS('Dados Mercado'!AR:AR,'Dados Mercado'!$C:$C,$D288)</f>
        <v>88233.299599999998</v>
      </c>
      <c r="AS288" s="594">
        <f>+SUMIFS('Dados Mercado'!AS:AS,'Dados Mercado'!$C:$C,$D288)</f>
        <v>60132.666799999999</v>
      </c>
      <c r="AT288" s="594">
        <f>+SUMIFS('Dados Mercado'!AT:AT,'Dados Mercado'!$C:$C,$D288)</f>
        <v>332625.391</v>
      </c>
      <c r="AU288" s="595">
        <f>+SUMIFS('Dados Mercado'!AU:AU,'Dados Mercado'!$C:$C,$D288)</f>
        <v>105597.7644</v>
      </c>
      <c r="AV288" s="365"/>
      <c r="AW288" s="675">
        <f t="shared" si="157"/>
        <v>5.0477734602569845E-2</v>
      </c>
      <c r="AX288" s="676">
        <f t="shared" si="157"/>
        <v>0.14282481451854664</v>
      </c>
      <c r="AY288" s="676">
        <f t="shared" si="157"/>
        <v>9.7337819407759818E-2</v>
      </c>
      <c r="AZ288" s="676">
        <f t="shared" si="157"/>
        <v>0.53842664831877207</v>
      </c>
      <c r="BA288" s="409">
        <f t="shared" si="157"/>
        <v>0.17093298315235156</v>
      </c>
      <c r="BB288" s="365"/>
      <c r="BC288" s="410">
        <f t="shared" si="151"/>
        <v>0.23111187862022664</v>
      </c>
      <c r="BD288" s="411">
        <f t="shared" si="152"/>
        <v>0.18568505958314602</v>
      </c>
    </row>
    <row r="289" spans="1:56" ht="12.75" customHeight="1" x14ac:dyDescent="0.2">
      <c r="A289" s="570" t="s">
        <v>2242</v>
      </c>
      <c r="B289" s="365" t="s">
        <v>2243</v>
      </c>
      <c r="C289" s="365"/>
      <c r="D289" s="440" t="str">
        <f>IF([1]RENAME!$H$3=1,B289,A289)</f>
        <v>3T25</v>
      </c>
      <c r="E289" s="403">
        <f>+SUMIFS('Dados Mercado'!E:E,'Dados Mercado'!$C:$C,$D289)</f>
        <v>825182</v>
      </c>
      <c r="F289" s="404">
        <f>+SUMIFS('Dados Mercado'!F:F,'Dados Mercado'!$C:$C,$D289)</f>
        <v>676481</v>
      </c>
      <c r="G289" s="406">
        <f>+SUMIFS('Dados Mercado'!G:G,'Dados Mercado'!$C:$C,$D289)</f>
        <v>148701</v>
      </c>
      <c r="H289" s="368"/>
      <c r="I289" s="403" t="s">
        <v>160</v>
      </c>
      <c r="J289" s="405" t="s">
        <v>160</v>
      </c>
      <c r="K289" s="451" t="s">
        <v>160</v>
      </c>
      <c r="L289" s="368"/>
      <c r="M289" s="407">
        <f>+SUMIFS('Dados Mercado'!M:M,'Dados Mercado'!$C:$C,$D289)</f>
        <v>690563</v>
      </c>
      <c r="N289" s="406">
        <f>+SUMIFS('Dados Mercado'!N:N,'Dados Mercado'!$C:$C,$D289)</f>
        <v>125904</v>
      </c>
      <c r="O289" s="368"/>
      <c r="P289" s="407">
        <f>+SUMIFS('Dados Mercado'!P:P,'Dados Mercado'!$C:$C,$D289)</f>
        <v>320578.04800000001</v>
      </c>
      <c r="Q289" s="406">
        <f>+SUMIFS('Dados Mercado'!Q:Q,'Dados Mercado'!$C:$C,$D289)</f>
        <v>355902.95199999999</v>
      </c>
      <c r="R289" s="368"/>
      <c r="S289" s="407">
        <f>+SUMIFS('Dados Mercado'!S:S,'Dados Mercado'!$C:$C,$D289)</f>
        <v>0</v>
      </c>
      <c r="T289" s="408">
        <f t="shared" si="153"/>
        <v>0</v>
      </c>
      <c r="U289" s="368"/>
      <c r="V289" s="407">
        <f>+SUMIFS('Dados Mercado'!V:V,'Dados Mercado'!$C:$C,$D289)</f>
        <v>72072</v>
      </c>
      <c r="W289" s="404">
        <f>+SUMIFS('Dados Mercado'!W:W,'Dados Mercado'!$C:$C,$D289)</f>
        <v>121138</v>
      </c>
      <c r="X289" s="404">
        <f>+SUMIFS('Dados Mercado'!X:X,'Dados Mercado'!$C:$C,$D289)</f>
        <v>143211</v>
      </c>
      <c r="Y289" s="404">
        <f>+SUMIFS('Dados Mercado'!Y:Y,'Dados Mercado'!$C:$C,$D289)</f>
        <v>49026</v>
      </c>
      <c r="Z289" s="404">
        <f>+SUMIFS('Dados Mercado'!Z:Z,'Dados Mercado'!$C:$C,$D289)</f>
        <v>32223</v>
      </c>
      <c r="AA289" s="404">
        <f>+SUMIFS('Dados Mercado'!AA:AA,'Dados Mercado'!$C:$C,$D289)</f>
        <v>52503</v>
      </c>
      <c r="AB289" s="404">
        <f>+SUMIFS('Dados Mercado'!AB:AB,'Dados Mercado'!$C:$C,$D289)</f>
        <v>22888</v>
      </c>
      <c r="AC289" s="404">
        <f>+SUMIFS('Dados Mercado'!AC:AC,'Dados Mercado'!$C:$C,$D289)</f>
        <v>29531</v>
      </c>
      <c r="AD289" s="406">
        <f>+SUMIFS('Dados Mercado'!AD:AD,'Dados Mercado'!$C:$C,$D289)</f>
        <v>153889</v>
      </c>
      <c r="AE289" s="365"/>
      <c r="AF289" s="447" t="str">
        <f>IF([1]RENAME!$H$3=1,B289,A289)</f>
        <v>3T25</v>
      </c>
      <c r="AG289" s="670">
        <f t="shared" si="156"/>
        <v>0.10653957760824029</v>
      </c>
      <c r="AH289" s="671">
        <f t="shared" si="156"/>
        <v>0.17907080908406889</v>
      </c>
      <c r="AI289" s="671">
        <f t="shared" si="156"/>
        <v>0.21169995905280414</v>
      </c>
      <c r="AJ289" s="671">
        <f t="shared" si="156"/>
        <v>7.2472101951126494E-2</v>
      </c>
      <c r="AK289" s="671">
        <f t="shared" si="156"/>
        <v>4.7633266861892648E-2</v>
      </c>
      <c r="AL289" s="671">
        <f t="shared" si="156"/>
        <v>7.7611935885856367E-2</v>
      </c>
      <c r="AM289" s="671">
        <f t="shared" si="156"/>
        <v>3.3833914034540509E-2</v>
      </c>
      <c r="AN289" s="671">
        <f t="shared" si="156"/>
        <v>4.3653849849441449E-2</v>
      </c>
      <c r="AO289" s="672">
        <f t="shared" si="156"/>
        <v>0.22748458567202923</v>
      </c>
      <c r="AP289" s="368"/>
      <c r="AQ289" s="593">
        <f>+SUMIFS('Dados Mercado'!AQ:AQ,'Dados Mercado'!$C:$C,$D289)</f>
        <v>35187.717400000001</v>
      </c>
      <c r="AR289" s="594">
        <f>+SUMIFS('Dados Mercado'!AR:AR,'Dados Mercado'!$C:$C,$D289)</f>
        <v>99188.225399999996</v>
      </c>
      <c r="AS289" s="594">
        <f>+SUMIFS('Dados Mercado'!AS:AS,'Dados Mercado'!$C:$C,$D289)</f>
        <v>64278.979800000001</v>
      </c>
      <c r="AT289" s="594">
        <f>+SUMIFS('Dados Mercado'!AT:AT,'Dados Mercado'!$C:$C,$D289)</f>
        <v>360362.27360000001</v>
      </c>
      <c r="AU289" s="595">
        <f>+SUMIFS('Dados Mercado'!AU:AU,'Dados Mercado'!$C:$C,$D289)</f>
        <v>117442.2075</v>
      </c>
      <c r="AV289" s="365"/>
      <c r="AW289" s="675">
        <f t="shared" si="157"/>
        <v>5.2017485761207995E-2</v>
      </c>
      <c r="AX289" s="676">
        <f t="shared" si="157"/>
        <v>0.14662849663627198</v>
      </c>
      <c r="AY289" s="676">
        <f t="shared" si="157"/>
        <v>9.5022671646540963E-2</v>
      </c>
      <c r="AZ289" s="676">
        <f t="shared" si="157"/>
        <v>0.5327182557134138</v>
      </c>
      <c r="BA289" s="409">
        <f t="shared" si="157"/>
        <v>0.17361309024256527</v>
      </c>
      <c r="BB289" s="365"/>
      <c r="BC289" s="410">
        <f>+G289/M289</f>
        <v>0.21533299641017548</v>
      </c>
      <c r="BD289" s="411">
        <f>+N289/F289</f>
        <v>0.18611609195232387</v>
      </c>
    </row>
    <row r="290" spans="1:56" ht="12.75" customHeight="1" x14ac:dyDescent="0.2">
      <c r="A290" s="570" t="s">
        <v>2244</v>
      </c>
      <c r="B290" s="365" t="s">
        <v>2245</v>
      </c>
      <c r="C290" s="365"/>
      <c r="D290" s="440" t="str">
        <f>IF([1]RENAME!$H$3=1,B290,A290)</f>
        <v>4T25</v>
      </c>
      <c r="E290" s="403">
        <f>+SUMIFS('Dados Mercado'!E:E,'Dados Mercado'!$C:$C,$D290)</f>
        <v>831461</v>
      </c>
      <c r="F290" s="404">
        <f>+SUMIFS('Dados Mercado'!F:F,'Dados Mercado'!$C:$C,$D290)</f>
        <v>742999</v>
      </c>
      <c r="G290" s="406">
        <f>+SUMIFS('Dados Mercado'!G:G,'Dados Mercado'!$C:$C,$D290)</f>
        <v>88462</v>
      </c>
      <c r="H290" s="368"/>
      <c r="I290" s="403" t="s">
        <v>160</v>
      </c>
      <c r="J290" s="405" t="s">
        <v>160</v>
      </c>
      <c r="K290" s="451" t="s">
        <v>160</v>
      </c>
      <c r="L290" s="368"/>
      <c r="M290" s="407">
        <f>+SUMIFS('Dados Mercado'!M:M,'Dados Mercado'!$C:$C,$D290)</f>
        <v>621657</v>
      </c>
      <c r="N290" s="406">
        <f>+SUMIFS('Dados Mercado'!N:N,'Dados Mercado'!$C:$C,$D290)</f>
        <v>140712</v>
      </c>
      <c r="O290" s="368"/>
      <c r="P290" s="407">
        <f>+SUMIFS('Dados Mercado'!P:P,'Dados Mercado'!$C:$C,$D290)</f>
        <v>398567.05099999998</v>
      </c>
      <c r="Q290" s="406">
        <f>+SUMIFS('Dados Mercado'!Q:Q,'Dados Mercado'!$C:$C,$D290)</f>
        <v>344431.94900000002</v>
      </c>
      <c r="R290" s="368"/>
      <c r="S290" s="407">
        <f>+SUMIFS('Dados Mercado'!S:S,'Dados Mercado'!$C:$C,$D290)</f>
        <v>0</v>
      </c>
      <c r="T290" s="408">
        <f t="shared" si="153"/>
        <v>0</v>
      </c>
      <c r="U290" s="368"/>
      <c r="V290" s="407">
        <f>+SUMIFS('Dados Mercado'!V:V,'Dados Mercado'!$C:$C,$D290)</f>
        <v>83959</v>
      </c>
      <c r="W290" s="404">
        <f>+SUMIFS('Dados Mercado'!W:W,'Dados Mercado'!$C:$C,$D290)</f>
        <v>131008</v>
      </c>
      <c r="X290" s="404">
        <f>+SUMIFS('Dados Mercado'!X:X,'Dados Mercado'!$C:$C,$D290)</f>
        <v>149087</v>
      </c>
      <c r="Y290" s="404">
        <f>+SUMIFS('Dados Mercado'!Y:Y,'Dados Mercado'!$C:$C,$D290)</f>
        <v>32612</v>
      </c>
      <c r="Z290" s="404">
        <f>+SUMIFS('Dados Mercado'!Z:Z,'Dados Mercado'!$C:$C,$D290)</f>
        <v>38757</v>
      </c>
      <c r="AA290" s="404">
        <f>+SUMIFS('Dados Mercado'!AA:AA,'Dados Mercado'!$C:$C,$D290)</f>
        <v>64768</v>
      </c>
      <c r="AB290" s="404">
        <f>+SUMIFS('Dados Mercado'!AB:AB,'Dados Mercado'!$C:$C,$D290)</f>
        <v>29889</v>
      </c>
      <c r="AC290" s="404">
        <f>+SUMIFS('Dados Mercado'!AC:AC,'Dados Mercado'!$C:$C,$D290)</f>
        <v>35662</v>
      </c>
      <c r="AD290" s="406">
        <f>+SUMIFS('Dados Mercado'!AD:AD,'Dados Mercado'!$C:$C,$D290)</f>
        <v>177257</v>
      </c>
      <c r="AE290" s="365"/>
      <c r="AF290" s="447" t="str">
        <f>IF([1]RENAME!$H$3=1,B290,A290)</f>
        <v>4T25</v>
      </c>
      <c r="AG290" s="670">
        <f t="shared" si="156"/>
        <v>0.11300015208634197</v>
      </c>
      <c r="AH290" s="671">
        <f t="shared" si="156"/>
        <v>0.17632325211743219</v>
      </c>
      <c r="AI290" s="671">
        <f t="shared" si="156"/>
        <v>0.20065572093636735</v>
      </c>
      <c r="AJ290" s="671">
        <f t="shared" si="156"/>
        <v>4.3892387472930651E-2</v>
      </c>
      <c r="AK290" s="671">
        <f t="shared" si="156"/>
        <v>5.2162923503261779E-2</v>
      </c>
      <c r="AL290" s="671">
        <f t="shared" si="156"/>
        <v>8.7171045990640628E-2</v>
      </c>
      <c r="AM290" s="671">
        <f t="shared" si="156"/>
        <v>4.0227510400417769E-2</v>
      </c>
      <c r="AN290" s="671">
        <f t="shared" si="156"/>
        <v>4.7997372809384667E-2</v>
      </c>
      <c r="AO290" s="672">
        <f t="shared" si="156"/>
        <v>0.23856963468322298</v>
      </c>
      <c r="AP290" s="368"/>
      <c r="AQ290" s="593">
        <f>+SUMIFS('Dados Mercado'!AQ:AQ,'Dados Mercado'!$C:$C,$D290)</f>
        <v>37495.674599999998</v>
      </c>
      <c r="AR290" s="594">
        <f>+SUMIFS('Dados Mercado'!AR:AR,'Dados Mercado'!$C:$C,$D290)</f>
        <v>100557.18919999999</v>
      </c>
      <c r="AS290" s="594">
        <f>+SUMIFS('Dados Mercado'!AS:AS,'Dados Mercado'!$C:$C,$D290)</f>
        <v>67121.904999999999</v>
      </c>
      <c r="AT290" s="594">
        <f>+SUMIFS('Dados Mercado'!AT:AT,'Dados Mercado'!$C:$C,$D290)</f>
        <v>389701.17940000002</v>
      </c>
      <c r="AU290" s="595">
        <f>+SUMIFS('Dados Mercado'!AU:AU,'Dados Mercado'!$C:$C,$D290)</f>
        <v>148069.30660000001</v>
      </c>
      <c r="AV290" s="365"/>
      <c r="AW290" s="675">
        <f t="shared" si="157"/>
        <v>5.0468960340952433E-2</v>
      </c>
      <c r="AX290" s="676">
        <f t="shared" si="157"/>
        <v>0.13534939290657408</v>
      </c>
      <c r="AY290" s="676">
        <f t="shared" si="157"/>
        <v>9.0345694472561286E-2</v>
      </c>
      <c r="AZ290" s="676">
        <f t="shared" si="157"/>
        <v>0.5245355251712418</v>
      </c>
      <c r="BA290" s="409">
        <f t="shared" si="157"/>
        <v>0.19930042710867046</v>
      </c>
      <c r="BB290" s="365"/>
      <c r="BC290" s="410">
        <f>+G290/M290</f>
        <v>0.14230033603739684</v>
      </c>
      <c r="BD290" s="411">
        <f>+N290/F290</f>
        <v>0.18938383497151409</v>
      </c>
    </row>
    <row r="291" spans="1:56" ht="12.75" customHeight="1" x14ac:dyDescent="0.2">
      <c r="A291" s="570" t="s">
        <v>2284</v>
      </c>
      <c r="B291" s="365" t="s">
        <v>2267</v>
      </c>
      <c r="D291" s="440" t="str">
        <f>IF([1]RENAME!$H$3=1,B291,A291)</f>
        <v>1T26</v>
      </c>
      <c r="E291" s="403">
        <f>+SUMIFS('Dados Mercado'!E:E,'Dados Mercado'!$C:$C,$D291)</f>
        <v>692873</v>
      </c>
      <c r="F291" s="404">
        <f>+SUMIFS('Dados Mercado'!F:F,'Dados Mercado'!$C:$C,$D291)</f>
        <v>598839</v>
      </c>
      <c r="G291" s="406">
        <f>+SUMIFS('Dados Mercado'!G:G,'Dados Mercado'!$C:$C,$D291)</f>
        <v>94034</v>
      </c>
      <c r="H291" s="368"/>
      <c r="I291" s="403" t="s">
        <v>160</v>
      </c>
      <c r="J291" s="405" t="s">
        <v>160</v>
      </c>
      <c r="K291" s="451" t="s">
        <v>160</v>
      </c>
      <c r="L291" s="368"/>
      <c r="M291" s="407">
        <f>+SUMIFS('Dados Mercado'!M:M,'Dados Mercado'!$C:$C,$D291)</f>
        <v>601329</v>
      </c>
      <c r="N291" s="406">
        <f>+SUMIFS('Dados Mercado'!N:N,'Dados Mercado'!$C:$C,$D291)</f>
        <v>118189</v>
      </c>
      <c r="O291" s="368"/>
      <c r="P291" s="407">
        <f>+SUMIFS('Dados Mercado'!P:P,'Dados Mercado'!$C:$C,$D291)</f>
        <v>283350.58199999999</v>
      </c>
      <c r="Q291" s="406">
        <f>+SUMIFS('Dados Mercado'!Q:Q,'Dados Mercado'!$C:$C,$D291)</f>
        <v>315488.41800000001</v>
      </c>
      <c r="R291" s="368"/>
      <c r="S291" s="407">
        <f>+SUMIFS('Dados Mercado'!S:S,'Dados Mercado'!$C:$C,$D291)</f>
        <v>0</v>
      </c>
      <c r="T291" s="408">
        <f>+S291/F291</f>
        <v>0</v>
      </c>
      <c r="U291" s="368"/>
      <c r="V291" s="407">
        <f>+SUMIFS('Dados Mercado'!V:V,'Dados Mercado'!$C:$C,$D291)</f>
        <v>61105</v>
      </c>
      <c r="W291" s="404">
        <f>+SUMIFS('Dados Mercado'!W:W,'Dados Mercado'!$C:$C,$D291)</f>
        <v>97598</v>
      </c>
      <c r="X291" s="404">
        <f>+SUMIFS('Dados Mercado'!X:X,'Dados Mercado'!$C:$C,$D291)</f>
        <v>126602</v>
      </c>
      <c r="Y291" s="404">
        <f>+SUMIFS('Dados Mercado'!Y:Y,'Dados Mercado'!$C:$C,$D291)</f>
        <v>36017</v>
      </c>
      <c r="Z291" s="404">
        <f>+SUMIFS('Dados Mercado'!Z:Z,'Dados Mercado'!$C:$C,$D291)</f>
        <v>29868</v>
      </c>
      <c r="AA291" s="404">
        <f>+SUMIFS('Dados Mercado'!AA:AA,'Dados Mercado'!$C:$C,$D291)</f>
        <v>41499</v>
      </c>
      <c r="AB291" s="404">
        <f>+SUMIFS('Dados Mercado'!AB:AB,'Dados Mercado'!$C:$C,$D291)</f>
        <v>24204</v>
      </c>
      <c r="AC291" s="404">
        <f>+SUMIFS('Dados Mercado'!AC:AC,'Dados Mercado'!$C:$C,$D291)</f>
        <v>37643</v>
      </c>
      <c r="AD291" s="406">
        <f>+SUMIFS('Dados Mercado'!AD:AD,'Dados Mercado'!$C:$C,$D291)</f>
        <v>144303</v>
      </c>
      <c r="AE291" s="365"/>
      <c r="AF291" s="447" t="str">
        <f>IF([1]RENAME!$H$3=1,B291,A291)</f>
        <v>1T26</v>
      </c>
      <c r="AG291" s="670">
        <f t="shared" si="156"/>
        <v>0.1020391123490621</v>
      </c>
      <c r="AH291" s="671">
        <f t="shared" si="156"/>
        <v>0.16297869711224552</v>
      </c>
      <c r="AI291" s="671">
        <f t="shared" si="156"/>
        <v>0.21141241635898797</v>
      </c>
      <c r="AJ291" s="671">
        <f t="shared" si="156"/>
        <v>6.0144713353672691E-2</v>
      </c>
      <c r="AK291" s="671">
        <f t="shared" si="156"/>
        <v>4.9876511048879579E-2</v>
      </c>
      <c r="AL291" s="671">
        <f t="shared" si="156"/>
        <v>6.9299093746399282E-2</v>
      </c>
      <c r="AM291" s="671">
        <f t="shared" si="156"/>
        <v>4.0418209234869475E-2</v>
      </c>
      <c r="AN291" s="671">
        <f t="shared" si="156"/>
        <v>6.2859967370194655E-2</v>
      </c>
      <c r="AO291" s="672">
        <f t="shared" si="156"/>
        <v>0.24097127942568872</v>
      </c>
      <c r="AP291" s="368"/>
      <c r="AQ291" s="593">
        <f>+SUMIFS('Dados Mercado'!AQ:AQ,'Dados Mercado'!$C:$C,$D291)</f>
        <v>30790.207500000004</v>
      </c>
      <c r="AR291" s="594">
        <f>+SUMIFS('Dados Mercado'!AR:AR,'Dados Mercado'!$C:$C,$D291)</f>
        <v>86914.032000000007</v>
      </c>
      <c r="AS291" s="594">
        <f>+SUMIFS('Dados Mercado'!AS:AS,'Dados Mercado'!$C:$C,$D291)</f>
        <v>60918.607499999998</v>
      </c>
      <c r="AT291" s="594">
        <f>+SUMIFS('Dados Mercado'!AT:AT,'Dados Mercado'!$C:$C,$D291)</f>
        <v>315099.97649999999</v>
      </c>
      <c r="AU291" s="595">
        <f>+SUMIFS('Dados Mercado'!AU:AU,'Dados Mercado'!$C:$C,$D291)</f>
        <v>104973.40950000001</v>
      </c>
      <c r="AV291" s="365"/>
      <c r="AW291" s="675">
        <f t="shared" si="157"/>
        <v>5.14287643764079E-2</v>
      </c>
      <c r="AX291" s="676">
        <f t="shared" si="157"/>
        <v>0.14517217114342526</v>
      </c>
      <c r="AY291" s="676">
        <f t="shared" si="157"/>
        <v>0.10175211424789439</v>
      </c>
      <c r="AZ291" s="676">
        <f t="shared" si="157"/>
        <v>0.5263102707713212</v>
      </c>
      <c r="BA291" s="409">
        <f t="shared" si="157"/>
        <v>0.1753366794609513</v>
      </c>
      <c r="BB291" s="365"/>
      <c r="BC291" s="410">
        <f>+G291/M291</f>
        <v>0.15637695837054258</v>
      </c>
      <c r="BD291" s="411">
        <f>+N291/F291</f>
        <v>0.19736356516526143</v>
      </c>
    </row>
    <row r="292" spans="1:56" ht="12.75" customHeight="1" x14ac:dyDescent="0.2">
      <c r="A292" s="570" t="s">
        <v>2285</v>
      </c>
      <c r="B292" s="365" t="s">
        <v>2312</v>
      </c>
      <c r="D292" s="440" t="str">
        <f>IF([1]RENAME!$H$3=1,B292,A292)</f>
        <v>2T26</v>
      </c>
      <c r="E292" s="403">
        <f>+SUMIFS('Dados Mercado'!E:E,'Dados Mercado'!$C:$C,$D292)</f>
        <v>872221</v>
      </c>
      <c r="F292" s="404">
        <f>+SUMIFS('Dados Mercado'!F:F,'Dados Mercado'!$C:$C,$D292)</f>
        <v>762649</v>
      </c>
      <c r="G292" s="406">
        <f>+SUMIFS('Dados Mercado'!G:G,'Dados Mercado'!$C:$C,$D292)</f>
        <v>109572</v>
      </c>
      <c r="H292" s="368"/>
      <c r="I292" s="403" t="s">
        <v>160</v>
      </c>
      <c r="J292" s="405" t="s">
        <v>160</v>
      </c>
      <c r="K292" s="451" t="s">
        <v>160</v>
      </c>
      <c r="L292" s="368"/>
      <c r="M292" s="407">
        <f>+SUMIFS('Dados Mercado'!M:M,'Dados Mercado'!$C:$C,$D292)</f>
        <v>698767</v>
      </c>
      <c r="N292" s="406">
        <f>+SUMIFS('Dados Mercado'!N:N,'Dados Mercado'!$C:$C,$D292)</f>
        <v>159888</v>
      </c>
      <c r="O292" s="368"/>
      <c r="P292" s="407">
        <f>+SUMIFS('Dados Mercado'!P:P,'Dados Mercado'!$C:$C,$D292)</f>
        <v>393839.39500000002</v>
      </c>
      <c r="Q292" s="406">
        <f>+SUMIFS('Dados Mercado'!Q:Q,'Dados Mercado'!$C:$C,$D292)</f>
        <v>368809.60499999998</v>
      </c>
      <c r="R292" s="368"/>
      <c r="S292" s="407">
        <f>+SUMIFS('Dados Mercado'!S:S,'Dados Mercado'!$C:$C,$D292)</f>
        <v>0</v>
      </c>
      <c r="T292" s="408">
        <f>+S292/F292</f>
        <v>0</v>
      </c>
      <c r="U292" s="368"/>
      <c r="V292" s="407">
        <f>+SUMIFS('Dados Mercado'!V:V,'Dados Mercado'!$C:$C,$D292)</f>
        <v>79435</v>
      </c>
      <c r="W292" s="404">
        <f>+SUMIFS('Dados Mercado'!W:W,'Dados Mercado'!$C:$C,$D292)</f>
        <v>128600</v>
      </c>
      <c r="X292" s="404">
        <f>+SUMIFS('Dados Mercado'!X:X,'Dados Mercado'!$C:$C,$D292)</f>
        <v>144344</v>
      </c>
      <c r="Y292" s="404">
        <f>+SUMIFS('Dados Mercado'!Y:Y,'Dados Mercado'!$C:$C,$D292)</f>
        <v>43928</v>
      </c>
      <c r="Z292" s="404">
        <f>+SUMIFS('Dados Mercado'!Z:Z,'Dados Mercado'!$C:$C,$D292)</f>
        <v>34012</v>
      </c>
      <c r="AA292" s="404">
        <f>+SUMIFS('Dados Mercado'!AA:AA,'Dados Mercado'!$C:$C,$D292)</f>
        <v>55232</v>
      </c>
      <c r="AB292" s="404">
        <f>+SUMIFS('Dados Mercado'!AB:AB,'Dados Mercado'!$C:$C,$D292)</f>
        <v>29336</v>
      </c>
      <c r="AC292" s="404">
        <f>+SUMIFS('Dados Mercado'!AC:AC,'Dados Mercado'!$C:$C,$D292)</f>
        <v>61432</v>
      </c>
      <c r="AD292" s="406">
        <f>+SUMIFS('Dados Mercado'!AD:AD,'Dados Mercado'!$C:$C,$D292)</f>
        <v>186330</v>
      </c>
      <c r="AE292" s="365"/>
      <c r="AF292" s="447" t="str">
        <f>IF([1]RENAME!$H$3=1,B292,A292)</f>
        <v>2T26</v>
      </c>
      <c r="AG292" s="670">
        <f t="shared" ref="AG292:AO292" si="158">+V292/SUM($V292:$AD292)</f>
        <v>0.1041566959374496</v>
      </c>
      <c r="AH292" s="671">
        <f t="shared" si="158"/>
        <v>0.16862278715372339</v>
      </c>
      <c r="AI292" s="671">
        <f t="shared" si="158"/>
        <v>0.18926662199779978</v>
      </c>
      <c r="AJ292" s="671">
        <f t="shared" si="158"/>
        <v>5.7599236345946825E-2</v>
      </c>
      <c r="AK292" s="671">
        <f t="shared" si="158"/>
        <v>4.4597186910361124E-2</v>
      </c>
      <c r="AL292" s="671">
        <f t="shared" si="158"/>
        <v>7.24212580099102E-2</v>
      </c>
      <c r="AM292" s="671">
        <f t="shared" si="158"/>
        <v>3.8465926002656532E-2</v>
      </c>
      <c r="AN292" s="671">
        <f t="shared" si="158"/>
        <v>8.0550816955113028E-2</v>
      </c>
      <c r="AO292" s="672">
        <f t="shared" si="158"/>
        <v>0.24431947068703952</v>
      </c>
      <c r="AP292" s="368"/>
      <c r="AQ292" s="593">
        <f>+SUMIFS('Dados Mercado'!AQ:AQ,'Dados Mercado'!$C:$C,$D292)</f>
        <v>37978.190900000001</v>
      </c>
      <c r="AR292" s="594">
        <f>+SUMIFS('Dados Mercado'!AR:AR,'Dados Mercado'!$C:$C,$D292)</f>
        <v>101644.0895</v>
      </c>
      <c r="AS292" s="594">
        <f>+SUMIFS('Dados Mercado'!AS:AS,'Dados Mercado'!$C:$C,$D292)</f>
        <v>72963.020600000003</v>
      </c>
      <c r="AT292" s="594">
        <f>+SUMIFS('Dados Mercado'!AT:AT,'Dados Mercado'!$C:$C,$D292)</f>
        <v>409443.87349999999</v>
      </c>
      <c r="AU292" s="595">
        <f>+SUMIFS('Dados Mercado'!AU:AU,'Dados Mercado'!$C:$C,$D292)</f>
        <v>140617.10579999999</v>
      </c>
      <c r="AV292" s="365"/>
      <c r="AW292" s="675">
        <f>+AQ292/SUM($AQ292:$AU292)</f>
        <v>4.979791009412729E-2</v>
      </c>
      <c r="AX292" s="676">
        <f>+AR292/SUM($AQ292:$AU292)</f>
        <v>0.13327815545106514</v>
      </c>
      <c r="AY292" s="676">
        <f>+AS292/SUM($AQ292:$AU292)</f>
        <v>9.5670853559134586E-2</v>
      </c>
      <c r="AZ292" s="676">
        <f>+AT292/SUM($AQ292:$AU292)</f>
        <v>0.53687257654877463</v>
      </c>
      <c r="BA292" s="409">
        <f>+AU292/SUM($AQ292:$AU292)</f>
        <v>0.18438050434689834</v>
      </c>
      <c r="BB292" s="365"/>
      <c r="BC292" s="410">
        <f>+G292/M292</f>
        <v>0.15680763401820635</v>
      </c>
      <c r="BD292" s="411">
        <f>+N292/F292</f>
        <v>0.20964821300493411</v>
      </c>
    </row>
  </sheetData>
  <mergeCells count="8">
    <mergeCell ref="E3:G3"/>
    <mergeCell ref="S3:T3"/>
    <mergeCell ref="P3:Q3"/>
    <mergeCell ref="BC3:BD3"/>
    <mergeCell ref="AW3:BA3"/>
    <mergeCell ref="AQ3:AU3"/>
    <mergeCell ref="M3:N3"/>
    <mergeCell ref="I3:K3"/>
  </mergeCells>
  <phoneticPr fontId="186" type="noConversion"/>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8">
    <tabColor rgb="FF548235"/>
    <pageSetUpPr autoPageBreaks="0"/>
  </sheetPr>
  <dimension ref="A1:AK30"/>
  <sheetViews>
    <sheetView showGridLines="0" topLeftCell="D1" zoomScaleNormal="100" zoomScaleSheetLayoutView="50" workbookViewId="0">
      <pane xSplit="1" ySplit="6" topLeftCell="R7" activePane="bottomRight" state="frozen"/>
      <selection activeCell="D1" sqref="D1"/>
      <selection pane="topRight" activeCell="E1" sqref="E1"/>
      <selection pane="bottomLeft" activeCell="D7" sqref="D7"/>
      <selection pane="bottomRight" activeCell="AH14" sqref="AH14"/>
    </sheetView>
  </sheetViews>
  <sheetFormatPr defaultColWidth="9.140625" defaultRowHeight="12.75" x14ac:dyDescent="0.2"/>
  <cols>
    <col min="1" max="1" width="2.140625" style="17" hidden="1" customWidth="1"/>
    <col min="2" max="2" width="4.140625" style="17" hidden="1" customWidth="1"/>
    <col min="3" max="3" width="1.42578125" style="39" customWidth="1"/>
    <col min="4" max="4" width="53.140625" style="17" bestFit="1" customWidth="1"/>
    <col min="5" max="5" width="10" style="17" customWidth="1"/>
    <col min="6" max="7" width="9.140625" style="37" customWidth="1"/>
    <col min="8" max="8" width="9.140625" style="17" customWidth="1"/>
    <col min="9" max="9" width="10.42578125" style="17" bestFit="1" customWidth="1"/>
    <col min="10" max="11" width="9.140625" style="17" customWidth="1"/>
    <col min="12" max="29" width="10.85546875" style="17" customWidth="1"/>
    <col min="30" max="16384" width="9.140625" style="39"/>
  </cols>
  <sheetData>
    <row r="1" spans="1:37" s="583" customFormat="1" ht="16.5" customHeight="1" x14ac:dyDescent="0.2">
      <c r="A1" s="17"/>
      <c r="B1" s="17"/>
      <c r="D1" s="583" t="s">
        <v>626</v>
      </c>
      <c r="E1" s="549" t="str">
        <f t="shared" ref="E1:Y1" si="0">IF(LEFT(D1,1)="4","1T"&amp;RIGHT(D1,2)+1,LEFT(D1,1)+1&amp;RIGHT(D1,3))</f>
        <v>1T19</v>
      </c>
      <c r="F1" s="822" t="str">
        <f t="shared" si="0"/>
        <v>2T19</v>
      </c>
      <c r="G1" s="549" t="str">
        <f t="shared" si="0"/>
        <v>3T19</v>
      </c>
      <c r="H1" s="822" t="str">
        <f t="shared" si="0"/>
        <v>4T19</v>
      </c>
      <c r="I1" s="549" t="str">
        <f t="shared" si="0"/>
        <v>1T20</v>
      </c>
      <c r="J1" s="822" t="str">
        <f t="shared" si="0"/>
        <v>2T20</v>
      </c>
      <c r="K1" s="822" t="str">
        <f t="shared" si="0"/>
        <v>3T20</v>
      </c>
      <c r="L1" s="822" t="str">
        <f t="shared" si="0"/>
        <v>4T20</v>
      </c>
      <c r="M1" s="822" t="str">
        <f t="shared" si="0"/>
        <v>1T21</v>
      </c>
      <c r="N1" s="822" t="str">
        <f t="shared" si="0"/>
        <v>2T21</v>
      </c>
      <c r="O1" s="822" t="str">
        <f t="shared" si="0"/>
        <v>3T21</v>
      </c>
      <c r="P1" s="822" t="str">
        <f t="shared" si="0"/>
        <v>4T21</v>
      </c>
      <c r="Q1" s="822" t="str">
        <f t="shared" si="0"/>
        <v>1T22</v>
      </c>
      <c r="R1" s="822" t="str">
        <f t="shared" si="0"/>
        <v>2T22</v>
      </c>
      <c r="S1" s="822" t="str">
        <f t="shared" si="0"/>
        <v>3T22</v>
      </c>
      <c r="T1" s="822" t="str">
        <f t="shared" si="0"/>
        <v>4T22</v>
      </c>
      <c r="U1" s="822" t="str">
        <f t="shared" si="0"/>
        <v>1T23</v>
      </c>
      <c r="V1" s="822" t="str">
        <f t="shared" si="0"/>
        <v>2T23</v>
      </c>
      <c r="W1" s="822" t="str">
        <f t="shared" si="0"/>
        <v>3T23</v>
      </c>
      <c r="X1" s="822" t="str">
        <f t="shared" si="0"/>
        <v>4T23</v>
      </c>
      <c r="Y1" s="822" t="str">
        <f t="shared" si="0"/>
        <v>1T24</v>
      </c>
      <c r="Z1" s="822" t="str">
        <f>IF(LEFT(Y1,1)="4","1T"&amp;RIGHT(Y1,2)+1,LEFT(Y1,1)+1&amp;RIGHT(Y1,3))</f>
        <v>2T24</v>
      </c>
      <c r="AA1" s="822" t="str">
        <f>IF(LEFT(Z1,1)="4","1T"&amp;RIGHT(Z1,2)+1,LEFT(Z1,1)+1&amp;RIGHT(Z1,3))</f>
        <v>3T24</v>
      </c>
      <c r="AB1" s="822" t="str">
        <f t="shared" ref="AB1:AH1" si="1">IF(LEFT(AA1,1)="4","1T"&amp;RIGHT(AA1,2)+1,LEFT(AA1,1)+1&amp;RIGHT(AA1,3))</f>
        <v>4T24</v>
      </c>
      <c r="AC1" s="822" t="str">
        <f t="shared" si="1"/>
        <v>1T25</v>
      </c>
      <c r="AD1" s="822" t="str">
        <f t="shared" si="1"/>
        <v>2T25</v>
      </c>
      <c r="AE1" s="822" t="str">
        <f t="shared" si="1"/>
        <v>3T25</v>
      </c>
      <c r="AF1" s="822" t="str">
        <f t="shared" si="1"/>
        <v>4T25</v>
      </c>
      <c r="AG1" s="822" t="str">
        <f t="shared" si="1"/>
        <v>1T26</v>
      </c>
      <c r="AH1" s="822" t="str">
        <f t="shared" si="1"/>
        <v>2T26</v>
      </c>
      <c r="AI1" s="829"/>
      <c r="AJ1" s="829"/>
      <c r="AK1" s="829"/>
    </row>
    <row r="2" spans="1:37" s="583" customFormat="1" ht="12.75" customHeight="1" x14ac:dyDescent="0.2">
      <c r="A2" s="17"/>
      <c r="B2" s="17"/>
      <c r="E2" s="548" t="str">
        <f t="shared" ref="E2:Q2" si="2">SUBSTITUTE(E1,"T","Q")</f>
        <v>1Q19</v>
      </c>
      <c r="F2" s="823" t="str">
        <f t="shared" si="2"/>
        <v>2Q19</v>
      </c>
      <c r="G2" s="548" t="str">
        <f t="shared" si="2"/>
        <v>3Q19</v>
      </c>
      <c r="H2" s="823" t="str">
        <f t="shared" si="2"/>
        <v>4Q19</v>
      </c>
      <c r="I2" s="548" t="str">
        <f t="shared" si="2"/>
        <v>1Q20</v>
      </c>
      <c r="J2" s="823" t="str">
        <f t="shared" si="2"/>
        <v>2Q20</v>
      </c>
      <c r="K2" s="823" t="str">
        <f t="shared" si="2"/>
        <v>3Q20</v>
      </c>
      <c r="L2" s="823" t="str">
        <f t="shared" si="2"/>
        <v>4Q20</v>
      </c>
      <c r="M2" s="823" t="str">
        <f t="shared" si="2"/>
        <v>1Q21</v>
      </c>
      <c r="N2" s="823" t="str">
        <f t="shared" si="2"/>
        <v>2Q21</v>
      </c>
      <c r="O2" s="823" t="str">
        <f t="shared" si="2"/>
        <v>3Q21</v>
      </c>
      <c r="P2" s="823" t="str">
        <f t="shared" si="2"/>
        <v>4Q21</v>
      </c>
      <c r="Q2" s="823" t="str">
        <f t="shared" si="2"/>
        <v>1Q22</v>
      </c>
      <c r="R2" s="823" t="str">
        <f t="shared" ref="R2:W2" si="3">SUBSTITUTE(R1,"T","Q")</f>
        <v>2Q22</v>
      </c>
      <c r="S2" s="823" t="str">
        <f t="shared" si="3"/>
        <v>3Q22</v>
      </c>
      <c r="T2" s="823" t="str">
        <f t="shared" si="3"/>
        <v>4Q22</v>
      </c>
      <c r="U2" s="823" t="str">
        <f t="shared" si="3"/>
        <v>1Q23</v>
      </c>
      <c r="V2" s="823" t="str">
        <f t="shared" si="3"/>
        <v>2Q23</v>
      </c>
      <c r="W2" s="823" t="str">
        <f t="shared" si="3"/>
        <v>3Q23</v>
      </c>
      <c r="X2" s="823" t="str">
        <f t="shared" ref="X2:AG2" si="4">SUBSTITUTE(X1,"T","Q")</f>
        <v>4Q23</v>
      </c>
      <c r="Y2" s="823" t="str">
        <f t="shared" si="4"/>
        <v>1Q24</v>
      </c>
      <c r="Z2" s="823" t="str">
        <f t="shared" si="4"/>
        <v>2Q24</v>
      </c>
      <c r="AA2" s="823" t="str">
        <f t="shared" si="4"/>
        <v>3Q24</v>
      </c>
      <c r="AB2" s="823" t="str">
        <f t="shared" si="4"/>
        <v>4Q24</v>
      </c>
      <c r="AC2" s="823" t="str">
        <f t="shared" si="4"/>
        <v>1Q25</v>
      </c>
      <c r="AD2" s="823" t="str">
        <f t="shared" si="4"/>
        <v>2Q25</v>
      </c>
      <c r="AE2" s="823" t="str">
        <f t="shared" si="4"/>
        <v>3Q25</v>
      </c>
      <c r="AF2" s="823" t="str">
        <f t="shared" si="4"/>
        <v>4Q25</v>
      </c>
      <c r="AG2" s="823" t="str">
        <f t="shared" si="4"/>
        <v>1Q26</v>
      </c>
      <c r="AH2" s="823" t="str">
        <f>SUBSTITUTE(AH1,"T","Q")</f>
        <v>2Q26</v>
      </c>
      <c r="AI2" s="829"/>
      <c r="AJ2" s="829"/>
      <c r="AK2" s="829"/>
    </row>
    <row r="3" spans="1:37" ht="12.75" customHeight="1" x14ac:dyDescent="0.2">
      <c r="E3"/>
      <c r="F3" s="28"/>
      <c r="G3" s="28"/>
      <c r="H3" s="28"/>
      <c r="I3"/>
      <c r="J3" s="28"/>
      <c r="K3" s="553"/>
      <c r="L3" s="553"/>
      <c r="M3" s="553"/>
      <c r="N3" s="553"/>
      <c r="O3" s="553"/>
      <c r="P3" s="553"/>
      <c r="Q3" s="553"/>
      <c r="R3" s="830"/>
      <c r="S3" s="830"/>
      <c r="T3" s="830"/>
      <c r="U3" s="830"/>
      <c r="V3" s="830"/>
      <c r="W3" s="830"/>
      <c r="X3" s="830"/>
      <c r="Y3" s="830"/>
      <c r="Z3" s="830"/>
      <c r="AA3" s="830"/>
      <c r="AB3" s="830"/>
      <c r="AC3" s="830"/>
      <c r="AD3" s="830"/>
      <c r="AE3" s="830"/>
      <c r="AF3" s="830"/>
      <c r="AG3" s="830"/>
      <c r="AH3" s="830"/>
      <c r="AI3" s="831"/>
      <c r="AJ3" s="831"/>
      <c r="AK3" s="831"/>
    </row>
    <row r="4" spans="1:37" s="583" customFormat="1" x14ac:dyDescent="0.2">
      <c r="A4" s="17"/>
      <c r="B4" s="17"/>
      <c r="D4" s="550" t="s">
        <v>626</v>
      </c>
      <c r="E4"/>
      <c r="F4" s="28"/>
      <c r="G4" s="28"/>
      <c r="H4" s="28"/>
      <c r="I4"/>
      <c r="J4" s="28"/>
      <c r="K4" s="28"/>
      <c r="L4" s="28"/>
      <c r="M4" s="28"/>
      <c r="N4" s="28"/>
      <c r="O4" s="28"/>
      <c r="P4" s="28"/>
      <c r="Q4" s="28"/>
    </row>
    <row r="5" spans="1:37" x14ac:dyDescent="0.2">
      <c r="A5" s="17" t="s">
        <v>1635</v>
      </c>
      <c r="B5" s="17" t="s">
        <v>1636</v>
      </c>
      <c r="D5" s="128" t="str">
        <f>IF([1]RENAME!$H$3=1,B5,A5)</f>
        <v>Efeitos IFRS 16</v>
      </c>
      <c r="E5" s="197" t="str">
        <f>IF([1]RENAME!$H$3=1,E2,E1)</f>
        <v>1T19</v>
      </c>
      <c r="F5" s="197" t="str">
        <f>IF([1]RENAME!$H$3=1,F2,F1)</f>
        <v>2T19</v>
      </c>
      <c r="G5" s="197" t="str">
        <f>IF([1]RENAME!$H$3=1,G2,G1)</f>
        <v>3T19</v>
      </c>
      <c r="H5" s="197" t="str">
        <f>IF([1]RENAME!$H$3=1,H2,H1)</f>
        <v>4T19</v>
      </c>
      <c r="I5" s="197" t="str">
        <f>IF([1]RENAME!$H$3=1,I2,I1)</f>
        <v>1T20</v>
      </c>
      <c r="J5" s="197" t="str">
        <f>IF([1]RENAME!$H$3=1,J2,J1)</f>
        <v>2T20</v>
      </c>
      <c r="K5" s="197" t="str">
        <f>IF([1]RENAME!$H$3=1,K2,K1)</f>
        <v>3T20</v>
      </c>
      <c r="L5" s="197" t="str">
        <f>IF([1]RENAME!$H$3=1,L2,L1)</f>
        <v>4T20</v>
      </c>
      <c r="M5" s="197" t="str">
        <f>IF([1]RENAME!$H$3=1,M2,M1)</f>
        <v>1T21</v>
      </c>
      <c r="N5" s="197" t="str">
        <f>IF([1]RENAME!$H$3=1,N2,N1)</f>
        <v>2T21</v>
      </c>
      <c r="O5" s="197" t="str">
        <f>IF([1]RENAME!$H$3=1,O2,O1)</f>
        <v>3T21</v>
      </c>
      <c r="P5" s="197" t="str">
        <f>IF([1]RENAME!$H$3=1,P2,P1)</f>
        <v>4T21</v>
      </c>
      <c r="Q5" s="197" t="str">
        <f>IF([1]RENAME!$H$3=1,Q2,Q1)</f>
        <v>1T22</v>
      </c>
      <c r="R5" s="197" t="str">
        <f>IF([1]RENAME!$H$3=1,R2,R1)</f>
        <v>2T22</v>
      </c>
      <c r="S5" s="197" t="str">
        <f>IF([1]RENAME!$H$3=1,S2,S1)</f>
        <v>3T22</v>
      </c>
      <c r="T5" s="197" t="str">
        <f>IF([1]RENAME!$H$3=1,T2,T1)</f>
        <v>4T22</v>
      </c>
      <c r="U5" s="197" t="str">
        <f>IF([1]RENAME!$H$3=1,U2,U1)</f>
        <v>1T23</v>
      </c>
      <c r="V5" s="197" t="str">
        <f>IF([1]RENAME!$H$3=1,V2,V1)</f>
        <v>2T23</v>
      </c>
      <c r="W5" s="197" t="str">
        <f>IF([1]RENAME!$H$3=1,W2,W1)</f>
        <v>3T23</v>
      </c>
      <c r="X5" s="197" t="str">
        <f>IF([1]RENAME!$H$3=1,X2,X1)</f>
        <v>4T23</v>
      </c>
      <c r="Y5" s="197" t="str">
        <f>IF([1]RENAME!$H$3=1,Y2,Y1)</f>
        <v>1T24</v>
      </c>
      <c r="Z5" s="197" t="str">
        <f>IF([1]RENAME!$H$3=1,Z2,Z1)</f>
        <v>2T24</v>
      </c>
      <c r="AA5" s="197" t="str">
        <f>IF([1]RENAME!$H$3=1,AA2,AA1)</f>
        <v>3T24</v>
      </c>
      <c r="AB5" s="197" t="str">
        <f>IF([1]RENAME!$H$3=1,AB2,AB1)</f>
        <v>4T24</v>
      </c>
      <c r="AC5" s="197" t="str">
        <f>IF([1]RENAME!$H$3=1,AC2,AC1)</f>
        <v>1T25</v>
      </c>
      <c r="AD5" s="197" t="str">
        <f>IF([1]RENAME!$H$3=1,AD2,AD1)</f>
        <v>2T25</v>
      </c>
      <c r="AE5" s="197" t="str">
        <f>IF([1]RENAME!$H$3=1,AE2,AE1)</f>
        <v>3T25</v>
      </c>
      <c r="AF5" s="197" t="str">
        <f>IF([1]RENAME!$H$3=1,AF2,AF1)</f>
        <v>4T25</v>
      </c>
      <c r="AG5" s="197" t="str">
        <f>IF([1]RENAME!$H$3=1,AG2,AG1)</f>
        <v>1T26</v>
      </c>
      <c r="AH5" s="197" t="str">
        <f>IF([1]RENAME!$H$3=1,AH2,AH1)</f>
        <v>2T26</v>
      </c>
    </row>
    <row r="6" spans="1:37" x14ac:dyDescent="0.2">
      <c r="A6" s="17" t="s">
        <v>69</v>
      </c>
      <c r="B6" s="17" t="s">
        <v>692</v>
      </c>
      <c r="D6" s="119" t="str">
        <f>IF([1]RENAME!$H$3=1,B6,A6)</f>
        <v>Logística Automotiva</v>
      </c>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row>
    <row r="7" spans="1:37" x14ac:dyDescent="0.2">
      <c r="A7" s="17" t="s">
        <v>1649</v>
      </c>
      <c r="B7" s="17" t="s">
        <v>1506</v>
      </c>
      <c r="D7" s="713" t="str">
        <f>IF([1]RENAME!$H$3=1,B7,A7)</f>
        <v>Custos total de aluguel (IAS 17)</v>
      </c>
      <c r="E7" s="118">
        <v>-4981</v>
      </c>
      <c r="F7" s="118">
        <v>-4381</v>
      </c>
      <c r="G7" s="118">
        <v>-4770</v>
      </c>
      <c r="H7" s="118">
        <v>-4810.0787082777097</v>
      </c>
      <c r="I7" s="118">
        <v>-5221.6656000000103</v>
      </c>
      <c r="J7" s="118">
        <v>-4983.0441500000097</v>
      </c>
      <c r="K7" s="118">
        <v>-5318.7323999999899</v>
      </c>
      <c r="L7" s="118">
        <v>-5262.5423200000096</v>
      </c>
      <c r="M7" s="118">
        <v>-7298.4094699999896</v>
      </c>
      <c r="N7" s="118">
        <v>-6225.2279400000098</v>
      </c>
      <c r="O7" s="1016">
        <v>-5997.3069699999887</v>
      </c>
      <c r="P7" s="1016">
        <v>-5965.6264300000103</v>
      </c>
      <c r="Q7" s="1016">
        <v>-6375.8603899999998</v>
      </c>
      <c r="R7" s="1016">
        <v>-7005.7261199999921</v>
      </c>
      <c r="S7" s="1016">
        <v>-6648.5328399999698</v>
      </c>
      <c r="T7" s="1016">
        <v>-7125.4665299999797</v>
      </c>
      <c r="U7" s="1122">
        <v>-7315.9999799999896</v>
      </c>
      <c r="V7" s="1122">
        <v>-7304.5372799999996</v>
      </c>
      <c r="W7" s="1143">
        <v>-7948.7313800000102</v>
      </c>
      <c r="X7" s="1142">
        <v>-8621.4421400000192</v>
      </c>
      <c r="Y7" s="1156">
        <v>-6907.8126200000097</v>
      </c>
      <c r="Z7" s="1156">
        <v>-7069.81412000001</v>
      </c>
      <c r="AA7" s="1156">
        <v>-6995.6201300000002</v>
      </c>
      <c r="AB7" s="1156">
        <v>-6526.4769800000004</v>
      </c>
      <c r="AC7" s="1156">
        <v>-7229.6381000000001</v>
      </c>
      <c r="AD7" s="1156">
        <v>-7348.6779800000004</v>
      </c>
      <c r="AE7" s="1156">
        <v>-7539.0055199999997</v>
      </c>
      <c r="AF7" s="1156">
        <v>-7908.9215800000002</v>
      </c>
      <c r="AG7" s="1156">
        <v>-7770.7715099999996</v>
      </c>
      <c r="AH7" s="1156">
        <v>-9409.3086999999996</v>
      </c>
    </row>
    <row r="8" spans="1:37" x14ac:dyDescent="0.2">
      <c r="A8" s="17" t="s">
        <v>1507</v>
      </c>
      <c r="B8" s="17" t="s">
        <v>694</v>
      </c>
      <c r="D8" s="713" t="str">
        <f>IF([1]RENAME!$H$3=1,B8,A8)</f>
        <v>Amortização do direito de uso (custo) IFRS 16</v>
      </c>
      <c r="E8" s="118">
        <v>-4272</v>
      </c>
      <c r="F8" s="118">
        <v>-3494</v>
      </c>
      <c r="G8" s="118">
        <v>-4021.75416</v>
      </c>
      <c r="H8" s="118">
        <v>-4144.3807600000655</v>
      </c>
      <c r="I8" s="118">
        <v>-3810.7884600000052</v>
      </c>
      <c r="J8" s="118">
        <v>-4061.4094700000032</v>
      </c>
      <c r="K8" s="118">
        <v>-3924.1983000000018</v>
      </c>
      <c r="L8" s="118">
        <v>-3865.4446300000013</v>
      </c>
      <c r="M8" s="118">
        <v>-5501.1694200000056</v>
      </c>
      <c r="N8" s="118">
        <v>-4954.1161700000048</v>
      </c>
      <c r="O8" s="1016">
        <v>-4775.7531600000057</v>
      </c>
      <c r="P8" s="1016">
        <v>-4663.5948900000003</v>
      </c>
      <c r="Q8" s="1016">
        <v>-5553.500309999994</v>
      </c>
      <c r="R8" s="1016">
        <v>-5581.817279999992</v>
      </c>
      <c r="S8" s="1016">
        <v>-4409.7001599999994</v>
      </c>
      <c r="T8" s="1016">
        <v>-5095.7663600000069</v>
      </c>
      <c r="U8" s="1122">
        <v>-5053.6814900000018</v>
      </c>
      <c r="V8" s="1122">
        <v>-5095.7564200000015</v>
      </c>
      <c r="W8" s="1143">
        <v>-5920.678399999998</v>
      </c>
      <c r="X8" s="1142">
        <v>-6373.5846400000064</v>
      </c>
      <c r="Y8" s="1156">
        <v>-5198.6491800000003</v>
      </c>
      <c r="Z8" s="1156">
        <v>-5253.2675500000023</v>
      </c>
      <c r="AA8" s="1156">
        <v>-4965.0352899999998</v>
      </c>
      <c r="AB8" s="1156">
        <v>-4793.1115600000003</v>
      </c>
      <c r="AC8" s="1156">
        <v>-4813.7135399999997</v>
      </c>
      <c r="AD8" s="1156">
        <v>-4914.2713100000001</v>
      </c>
      <c r="AE8" s="1156">
        <v>-5054.678350000001</v>
      </c>
      <c r="AF8" s="1156">
        <v>-5101.2033500000016</v>
      </c>
      <c r="AG8" s="1156">
        <v>-5292.6441200000027</v>
      </c>
      <c r="AH8" s="1156">
        <v>-6163.9479500000025</v>
      </c>
    </row>
    <row r="9" spans="1:37" x14ac:dyDescent="0.2">
      <c r="A9" s="17" t="s">
        <v>1508</v>
      </c>
      <c r="B9" s="17" t="s">
        <v>1509</v>
      </c>
      <c r="D9" s="713" t="str">
        <f>IF([1]RENAME!$H$3=1,B9,A9)</f>
        <v>Amortização do direito de uso (despesa) IFRS 16</v>
      </c>
      <c r="E9" s="118">
        <v>-217</v>
      </c>
      <c r="F9" s="118">
        <v>-186</v>
      </c>
      <c r="G9" s="118">
        <v>-209</v>
      </c>
      <c r="H9" s="118">
        <v>-201.85305000000017</v>
      </c>
      <c r="I9" s="118">
        <v>-196.01873999999995</v>
      </c>
      <c r="J9" s="118">
        <v>-197.94529999999997</v>
      </c>
      <c r="K9" s="118">
        <v>-196.80850000000001</v>
      </c>
      <c r="L9" s="118">
        <v>-203.06792000000004</v>
      </c>
      <c r="M9" s="118">
        <v>-178.78923000000003</v>
      </c>
      <c r="N9" s="118">
        <v>-192.26224000000005</v>
      </c>
      <c r="O9" s="1016">
        <v>-181.80132000000003</v>
      </c>
      <c r="P9" s="1016">
        <v>-159.93155999999999</v>
      </c>
      <c r="Q9" s="1016">
        <v>-118.05309999999999</v>
      </c>
      <c r="R9" s="1016">
        <v>-177.22330999999997</v>
      </c>
      <c r="S9" s="1016">
        <v>-155.3493</v>
      </c>
      <c r="T9" s="1016">
        <v>-144.98169000000001</v>
      </c>
      <c r="U9" s="1122">
        <v>-147.01964999999998</v>
      </c>
      <c r="V9" s="1122">
        <v>-148.90146999999996</v>
      </c>
      <c r="W9" s="1143">
        <v>-160.21681000000001</v>
      </c>
      <c r="X9" s="1142">
        <v>-161.16570000000002</v>
      </c>
      <c r="Y9" s="1156">
        <v>-152.83681999999999</v>
      </c>
      <c r="Z9" s="1156">
        <v>-159.91055999999995</v>
      </c>
      <c r="AA9" s="1156">
        <v>-157.91458999999992</v>
      </c>
      <c r="AB9" s="1156">
        <v>-198.64352999999986</v>
      </c>
      <c r="AC9" s="1156">
        <v>-176.74209999999999</v>
      </c>
      <c r="AD9" s="1156">
        <v>-176.74209999999999</v>
      </c>
      <c r="AE9" s="1156">
        <v>-176.74209999999999</v>
      </c>
      <c r="AF9" s="1156">
        <v>-176.74207999999999</v>
      </c>
      <c r="AG9" s="1156">
        <v>-184.91507000000001</v>
      </c>
      <c r="AH9" s="1156">
        <v>-187.41446999999999</v>
      </c>
    </row>
    <row r="10" spans="1:37" x14ac:dyDescent="0.2">
      <c r="A10" s="17" t="s">
        <v>1620</v>
      </c>
      <c r="B10" s="17" t="s">
        <v>1621</v>
      </c>
      <c r="D10" s="713" t="str">
        <f>IF([1]RENAME!$H$3=1,B10,A10)</f>
        <v>Baixa de direito de uso (liquido) IFRS 16</v>
      </c>
      <c r="E10" s="118">
        <v>0</v>
      </c>
      <c r="F10" s="118">
        <v>0</v>
      </c>
      <c r="G10" s="118">
        <v>9.7541600000000184</v>
      </c>
      <c r="H10" s="118">
        <v>56.499990000000004</v>
      </c>
      <c r="I10" s="118">
        <v>-9.8000000000000007</v>
      </c>
      <c r="J10" s="118">
        <v>5.6092300000000108</v>
      </c>
      <c r="K10" s="118">
        <v>27.477259999999895</v>
      </c>
      <c r="L10" s="118">
        <v>0</v>
      </c>
      <c r="M10" s="118">
        <v>0</v>
      </c>
      <c r="N10" s="118">
        <v>0</v>
      </c>
      <c r="O10" s="1016">
        <v>0</v>
      </c>
      <c r="P10" s="1016">
        <v>0</v>
      </c>
      <c r="Q10" s="1016">
        <v>0</v>
      </c>
      <c r="R10" s="1016">
        <v>0</v>
      </c>
      <c r="S10" s="1016">
        <v>0</v>
      </c>
      <c r="T10" s="1016">
        <v>0</v>
      </c>
      <c r="U10" s="1122">
        <v>0</v>
      </c>
      <c r="V10" s="1122">
        <v>0</v>
      </c>
      <c r="W10" s="1143">
        <v>0</v>
      </c>
      <c r="X10" s="1142">
        <v>0</v>
      </c>
      <c r="Y10" s="1156">
        <v>0</v>
      </c>
      <c r="Z10" s="1156">
        <v>0</v>
      </c>
      <c r="AA10" s="1156">
        <v>0</v>
      </c>
      <c r="AB10" s="1156">
        <v>0</v>
      </c>
      <c r="AC10" s="1156">
        <v>0</v>
      </c>
      <c r="AD10" s="1156">
        <v>0</v>
      </c>
      <c r="AE10" s="1156">
        <v>0</v>
      </c>
      <c r="AF10" s="1156">
        <v>0</v>
      </c>
      <c r="AG10" s="1156">
        <v>0</v>
      </c>
      <c r="AH10" s="1156">
        <v>0</v>
      </c>
    </row>
    <row r="11" spans="1:37" x14ac:dyDescent="0.2">
      <c r="A11" s="17" t="s">
        <v>1521</v>
      </c>
      <c r="B11" s="17" t="s">
        <v>1522</v>
      </c>
      <c r="D11" s="713" t="str">
        <f>IF([1]RENAME!$H$3=1,B11,A11)</f>
        <v>Juros sobre arrendamento IFRS 16</v>
      </c>
      <c r="E11" s="118">
        <v>-838</v>
      </c>
      <c r="F11" s="118">
        <v>-917</v>
      </c>
      <c r="G11" s="118">
        <v>-1201</v>
      </c>
      <c r="H11" s="118">
        <v>-1224.1684900000091</v>
      </c>
      <c r="I11" s="118">
        <v>-1214.5590799999986</v>
      </c>
      <c r="J11" s="118">
        <v>-1178.78061</v>
      </c>
      <c r="K11" s="118">
        <v>-1044.0683999999987</v>
      </c>
      <c r="L11" s="118">
        <v>-974.2493999999997</v>
      </c>
      <c r="M11" s="118">
        <v>-1325.2262599999988</v>
      </c>
      <c r="N11" s="118">
        <v>-874.68511000000069</v>
      </c>
      <c r="O11" s="1016">
        <v>-1000.2897800000001</v>
      </c>
      <c r="P11" s="1016">
        <v>-857.40150000000051</v>
      </c>
      <c r="Q11" s="1016">
        <v>-763.18351999999925</v>
      </c>
      <c r="R11" s="1016">
        <v>-690.71831999999984</v>
      </c>
      <c r="S11" s="1016">
        <v>-1350.3123799999987</v>
      </c>
      <c r="T11" s="1016">
        <v>-1346.3791600000009</v>
      </c>
      <c r="U11" s="1122">
        <v>-1350.4075399999986</v>
      </c>
      <c r="V11" s="1122">
        <v>-1997.7186700000013</v>
      </c>
      <c r="W11" s="1143">
        <v>-1914.1340700000019</v>
      </c>
      <c r="X11" s="1142">
        <v>-2139.8714500000006</v>
      </c>
      <c r="Y11" s="1156">
        <v>-1822.4608600000006</v>
      </c>
      <c r="Z11" s="1156">
        <v>-1869.0719899999981</v>
      </c>
      <c r="AA11" s="1156">
        <v>-1829.7233800000001</v>
      </c>
      <c r="AB11" s="1156">
        <v>-2131.4848699999984</v>
      </c>
      <c r="AC11" s="1156">
        <v>-2272.0156100000008</v>
      </c>
      <c r="AD11" s="1156">
        <v>-2189.9028099999996</v>
      </c>
      <c r="AE11" s="1156">
        <v>-2225.7544799999996</v>
      </c>
      <c r="AF11" s="1156">
        <v>-1987.7027899999998</v>
      </c>
      <c r="AG11" s="1156">
        <v>-1670.5591600000002</v>
      </c>
      <c r="AH11" s="1156">
        <v>-2078.3409900000006</v>
      </c>
    </row>
    <row r="12" spans="1:37" x14ac:dyDescent="0.2">
      <c r="A12" s="17" t="s">
        <v>70</v>
      </c>
      <c r="B12" s="17" t="s">
        <v>695</v>
      </c>
      <c r="D12" s="119" t="str">
        <f>IF([1]RENAME!$H$3=1,B12,A12)</f>
        <v>Logística Integrada</v>
      </c>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row>
    <row r="13" spans="1:37" x14ac:dyDescent="0.2">
      <c r="A13" s="17" t="s">
        <v>1649</v>
      </c>
      <c r="B13" s="17" t="s">
        <v>1506</v>
      </c>
      <c r="D13" s="713" t="str">
        <f>IF([1]RENAME!$H$3=1,B13,A13)</f>
        <v>Custos total de aluguel (IAS 17)</v>
      </c>
      <c r="E13" s="118">
        <v>-4719</v>
      </c>
      <c r="F13" s="118">
        <v>-3891</v>
      </c>
      <c r="G13" s="118">
        <v>-4334</v>
      </c>
      <c r="H13" s="118">
        <v>-4368.29738</v>
      </c>
      <c r="I13" s="118">
        <v>-4649.11193</v>
      </c>
      <c r="J13" s="118">
        <v>-4410.0316700000003</v>
      </c>
      <c r="K13" s="118">
        <v>-4105.63141</v>
      </c>
      <c r="L13" s="118">
        <v>-4024.5754499999998</v>
      </c>
      <c r="M13" s="118">
        <v>-2208.1629600000001</v>
      </c>
      <c r="N13" s="118">
        <v>-2587.8254499999998</v>
      </c>
      <c r="O13" s="1017">
        <v>-2588.4667799999984</v>
      </c>
      <c r="P13" s="1017">
        <v>-2576.5198399999999</v>
      </c>
      <c r="Q13" s="1017">
        <v>-2932.1561299999998</v>
      </c>
      <c r="R13" s="1017">
        <v>-2939.8680899999995</v>
      </c>
      <c r="S13" s="1017">
        <v>-2957.4588600000002</v>
      </c>
      <c r="T13" s="1017">
        <v>-2981.36715</v>
      </c>
      <c r="U13" s="1122">
        <v>-2965.89284</v>
      </c>
      <c r="V13" s="1122">
        <v>-2687.7272699999999</v>
      </c>
      <c r="W13" s="1143">
        <v>-2919.9746599999999</v>
      </c>
      <c r="X13" s="1142">
        <v>-2809.4375100000002</v>
      </c>
      <c r="Y13" s="1156">
        <v>-2823.2623800000001</v>
      </c>
      <c r="Z13" s="1156">
        <v>-2831.43163</v>
      </c>
      <c r="AA13" s="1156">
        <v>-2885.5690199999999</v>
      </c>
      <c r="AB13" s="1156">
        <v>-2612.3018499999998</v>
      </c>
      <c r="AC13" s="1156">
        <v>-3474.6312899999998</v>
      </c>
      <c r="AD13" s="1156">
        <v>-3523.0232900000001</v>
      </c>
      <c r="AE13" s="1156">
        <v>-3551.6418600000002</v>
      </c>
      <c r="AF13" s="1156">
        <v>-3579.5062800000001</v>
      </c>
      <c r="AG13" s="1156">
        <v>-3404.48135</v>
      </c>
      <c r="AH13" s="1156">
        <v>-3392.7977099999998</v>
      </c>
    </row>
    <row r="14" spans="1:37" x14ac:dyDescent="0.2">
      <c r="A14" s="17" t="s">
        <v>1421</v>
      </c>
      <c r="B14" s="17" t="s">
        <v>694</v>
      </c>
      <c r="D14" s="713" t="str">
        <f>IF([1]RENAME!$H$3=1,B14,A14)</f>
        <v>Custos de amortização de arrendamento</v>
      </c>
      <c r="E14" s="118">
        <v>-4441</v>
      </c>
      <c r="F14" s="118">
        <v>-3463</v>
      </c>
      <c r="G14" s="118">
        <v>-4045</v>
      </c>
      <c r="H14" s="118">
        <v>-4098.6000999999724</v>
      </c>
      <c r="I14" s="118">
        <v>-3874.5827399999985</v>
      </c>
      <c r="J14" s="118">
        <v>-3625.8885200000004</v>
      </c>
      <c r="K14" s="118">
        <v>-3404.3640799999971</v>
      </c>
      <c r="L14" s="118">
        <v>-3263.7494699999993</v>
      </c>
      <c r="M14" s="118">
        <v>-1832.6725199999996</v>
      </c>
      <c r="N14" s="118">
        <v>-2154.1461500000005</v>
      </c>
      <c r="O14" s="1017">
        <v>-2149.62075</v>
      </c>
      <c r="P14" s="1017">
        <v>-2105.9890599999994</v>
      </c>
      <c r="Q14" s="1017">
        <v>-2128.59656</v>
      </c>
      <c r="R14" s="1017">
        <v>-2442.54612</v>
      </c>
      <c r="S14" s="1017">
        <v>-2467.9047399999999</v>
      </c>
      <c r="T14" s="1017">
        <v>-2486.7018399999997</v>
      </c>
      <c r="U14" s="1122">
        <v>-2208.9716399999993</v>
      </c>
      <c r="V14" s="1122">
        <v>-2098.15398</v>
      </c>
      <c r="W14" s="1143">
        <v>-2411.6025400000008</v>
      </c>
      <c r="X14" s="1142">
        <v>-2392.4915899999996</v>
      </c>
      <c r="Y14" s="1156">
        <v>-2162.65724</v>
      </c>
      <c r="Z14" s="1156">
        <v>-2159.1878899999992</v>
      </c>
      <c r="AA14" s="1156">
        <v>-2155.9959599999997</v>
      </c>
      <c r="AB14" s="1156">
        <v>-2127.8839999999996</v>
      </c>
      <c r="AC14" s="1156">
        <v>-2453.6142299999983</v>
      </c>
      <c r="AD14" s="1156">
        <v>-2371.6650499999996</v>
      </c>
      <c r="AE14" s="1156">
        <v>-2515.5637699999997</v>
      </c>
      <c r="AF14" s="1156">
        <v>-2517.5142999999994</v>
      </c>
      <c r="AG14" s="1156">
        <v>-2365.30771</v>
      </c>
      <c r="AH14" s="1156">
        <v>-2324.4256800000003</v>
      </c>
    </row>
    <row r="15" spans="1:37" x14ac:dyDescent="0.2">
      <c r="A15" s="17" t="s">
        <v>1620</v>
      </c>
      <c r="B15" s="17" t="s">
        <v>1621</v>
      </c>
      <c r="D15" s="713" t="str">
        <f>IF([1]RENAME!$H$3=1,B15,A15)</f>
        <v>Baixa de direito de uso (liquido) IFRS 16</v>
      </c>
      <c r="E15" s="118">
        <v>0</v>
      </c>
      <c r="F15" s="118">
        <v>0</v>
      </c>
      <c r="G15" s="118">
        <v>0</v>
      </c>
      <c r="H15" s="118">
        <v>49.165940000000063</v>
      </c>
      <c r="I15" s="118">
        <v>7.8098400000000252</v>
      </c>
      <c r="J15" s="118">
        <v>32.312469999999742</v>
      </c>
      <c r="K15" s="118">
        <v>8.2517399999999981</v>
      </c>
      <c r="L15" s="118">
        <v>34.996680000000154</v>
      </c>
      <c r="M15" s="118">
        <v>2.1621800000000002</v>
      </c>
      <c r="N15" s="118">
        <v>0</v>
      </c>
      <c r="O15" s="1017">
        <v>0</v>
      </c>
      <c r="P15" s="1017">
        <v>0</v>
      </c>
      <c r="Q15" s="1017">
        <v>0</v>
      </c>
      <c r="R15" s="1017">
        <v>0</v>
      </c>
      <c r="S15" s="1017">
        <v>0</v>
      </c>
      <c r="T15" s="1017">
        <v>0</v>
      </c>
      <c r="U15" s="1122">
        <v>0</v>
      </c>
      <c r="V15" s="1122">
        <v>0</v>
      </c>
      <c r="W15" s="1143">
        <v>0</v>
      </c>
      <c r="X15" s="1142">
        <v>0</v>
      </c>
      <c r="Y15" s="1156">
        <v>0</v>
      </c>
      <c r="Z15" s="1156">
        <v>0</v>
      </c>
      <c r="AA15" s="1156">
        <v>0</v>
      </c>
      <c r="AB15" s="1156">
        <v>0</v>
      </c>
      <c r="AC15" s="1156">
        <v>0</v>
      </c>
      <c r="AD15" s="1156">
        <v>0</v>
      </c>
      <c r="AE15" s="1156">
        <v>0</v>
      </c>
      <c r="AF15" s="1156">
        <v>0</v>
      </c>
      <c r="AG15" s="1156">
        <v>0</v>
      </c>
      <c r="AH15" s="1156">
        <v>0</v>
      </c>
    </row>
    <row r="16" spans="1:37" x14ac:dyDescent="0.2">
      <c r="A16" s="17" t="s">
        <v>1521</v>
      </c>
      <c r="B16" s="17" t="s">
        <v>1522</v>
      </c>
      <c r="D16" s="713" t="str">
        <f>IF([1]RENAME!$H$3=1,B16,A16)</f>
        <v>Juros sobre arrendamento IFRS 16</v>
      </c>
      <c r="E16" s="118">
        <v>-469</v>
      </c>
      <c r="F16" s="118">
        <v>-699</v>
      </c>
      <c r="G16" s="118">
        <v>-517</v>
      </c>
      <c r="H16" s="118">
        <v>-574.84391999999843</v>
      </c>
      <c r="I16" s="118">
        <v>-358.90522000000021</v>
      </c>
      <c r="J16" s="118">
        <v>-311.67889000000002</v>
      </c>
      <c r="K16" s="118">
        <v>-216.77308000000011</v>
      </c>
      <c r="L16" s="118">
        <v>-151.00315000000001</v>
      </c>
      <c r="M16" s="118">
        <v>-185.40473</v>
      </c>
      <c r="N16" s="118">
        <v>-290.75840999999991</v>
      </c>
      <c r="O16" s="1017">
        <v>-255.75893000000002</v>
      </c>
      <c r="P16" s="1017">
        <v>-231.56411999999997</v>
      </c>
      <c r="Q16" s="1017">
        <v>-479.7569400000001</v>
      </c>
      <c r="R16" s="1017">
        <v>-382.29656699999998</v>
      </c>
      <c r="S16" s="1017">
        <v>-70.824930000000037</v>
      </c>
      <c r="T16" s="1017">
        <v>-168.24672999999996</v>
      </c>
      <c r="U16" s="1122">
        <v>-478.61081999999982</v>
      </c>
      <c r="V16" s="1122">
        <v>-735.60271000000012</v>
      </c>
      <c r="W16" s="1143">
        <v>-792.15287999999975</v>
      </c>
      <c r="X16" s="1142">
        <v>-677.04791999999975</v>
      </c>
      <c r="Y16" s="1156">
        <v>-566.77583000000027</v>
      </c>
      <c r="Z16" s="1156">
        <v>-483.10908999999981</v>
      </c>
      <c r="AA16" s="1156">
        <v>-398.48783999999995</v>
      </c>
      <c r="AB16" s="1156">
        <v>-302.70145999999988</v>
      </c>
      <c r="AC16" s="1156">
        <v>-1059.2949600000004</v>
      </c>
      <c r="AD16" s="1156">
        <v>-1055.4812000000002</v>
      </c>
      <c r="AE16" s="1156">
        <v>-1020.9503000000001</v>
      </c>
      <c r="AF16" s="1156">
        <v>-997.18365000000017</v>
      </c>
      <c r="AG16" s="1156">
        <v>-863.14944000000025</v>
      </c>
      <c r="AH16" s="1156">
        <v>-777.41377</v>
      </c>
    </row>
    <row r="17" spans="1:34" x14ac:dyDescent="0.2">
      <c r="A17" s="17" t="s">
        <v>96</v>
      </c>
      <c r="B17" s="17" t="s">
        <v>866</v>
      </c>
      <c r="D17" s="119" t="str">
        <f>IF([1]RENAME!$H$3=1,B17,A17)</f>
        <v>Consolidado</v>
      </c>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row>
    <row r="18" spans="1:34" x14ac:dyDescent="0.2">
      <c r="A18" s="17" t="s">
        <v>1649</v>
      </c>
      <c r="B18" s="17" t="s">
        <v>1506</v>
      </c>
      <c r="D18" s="713" t="str">
        <f>IF([1]RENAME!$H$3=1,B18,A18)</f>
        <v>Custos total de aluguel (IAS 17)</v>
      </c>
      <c r="E18" s="118">
        <f t="shared" ref="E18:H19" si="5">+E13+E7</f>
        <v>-9700</v>
      </c>
      <c r="F18" s="118">
        <f t="shared" si="5"/>
        <v>-8272</v>
      </c>
      <c r="G18" s="118">
        <f t="shared" si="5"/>
        <v>-9104</v>
      </c>
      <c r="H18" s="118">
        <f t="shared" si="5"/>
        <v>-9178.3760882777096</v>
      </c>
      <c r="I18" s="118">
        <f t="shared" ref="I18:M19" si="6">+I13+I7</f>
        <v>-9870.7775300000103</v>
      </c>
      <c r="J18" s="118">
        <f t="shared" si="6"/>
        <v>-9393.0758200000091</v>
      </c>
      <c r="K18" s="118">
        <f t="shared" si="6"/>
        <v>-9424.3638099999898</v>
      </c>
      <c r="L18" s="118">
        <f t="shared" si="6"/>
        <v>-9287.1177700000098</v>
      </c>
      <c r="M18" s="118">
        <f t="shared" si="6"/>
        <v>-9506.5724299999893</v>
      </c>
      <c r="N18" s="118">
        <f t="shared" ref="N18:Q19" si="7">+N13+N7</f>
        <v>-8813.05339000001</v>
      </c>
      <c r="O18" s="118">
        <f t="shared" si="7"/>
        <v>-8585.7737499999876</v>
      </c>
      <c r="P18" s="118">
        <f t="shared" si="7"/>
        <v>-8542.1462700000102</v>
      </c>
      <c r="Q18" s="118">
        <f t="shared" si="7"/>
        <v>-9308.0165199999992</v>
      </c>
      <c r="R18" s="118">
        <f t="shared" ref="R18:Y19" si="8">+R13+R7</f>
        <v>-9945.594209999992</v>
      </c>
      <c r="S18" s="118">
        <f t="shared" si="8"/>
        <v>-9605.9916999999696</v>
      </c>
      <c r="T18" s="118">
        <f t="shared" si="8"/>
        <v>-10106.83367999998</v>
      </c>
      <c r="U18" s="118">
        <f t="shared" si="8"/>
        <v>-10281.89281999999</v>
      </c>
      <c r="V18" s="118">
        <f t="shared" si="8"/>
        <v>-9992.2645499999999</v>
      </c>
      <c r="W18" s="118">
        <f t="shared" si="8"/>
        <v>-10868.70604000001</v>
      </c>
      <c r="X18" s="118">
        <f t="shared" si="8"/>
        <v>-11430.879650000019</v>
      </c>
      <c r="Y18" s="118">
        <f t="shared" si="8"/>
        <v>-9731.0750000000098</v>
      </c>
      <c r="Z18" s="118">
        <f t="shared" ref="Z18:AB19" si="9">+Z13+Z7</f>
        <v>-9901.2457500000091</v>
      </c>
      <c r="AA18" s="118">
        <f t="shared" si="9"/>
        <v>-9881.1891500000002</v>
      </c>
      <c r="AB18" s="118">
        <f t="shared" si="9"/>
        <v>-9138.7788299999993</v>
      </c>
      <c r="AC18" s="118">
        <f t="shared" ref="AC18:AH18" si="10">+AC13+AC7</f>
        <v>-10704.269389999999</v>
      </c>
      <c r="AD18" s="118">
        <f t="shared" si="10"/>
        <v>-10871.701270000001</v>
      </c>
      <c r="AE18" s="118">
        <f t="shared" si="10"/>
        <v>-11090.64738</v>
      </c>
      <c r="AF18" s="118">
        <f t="shared" si="10"/>
        <v>-11488.42786</v>
      </c>
      <c r="AG18" s="118">
        <f t="shared" si="10"/>
        <v>-11175.252860000001</v>
      </c>
      <c r="AH18" s="118">
        <f t="shared" si="10"/>
        <v>-12802.10641</v>
      </c>
    </row>
    <row r="19" spans="1:34" x14ac:dyDescent="0.2">
      <c r="A19" s="17" t="s">
        <v>1507</v>
      </c>
      <c r="B19" s="17" t="s">
        <v>694</v>
      </c>
      <c r="D19" s="713" t="str">
        <f>IF([1]RENAME!$H$3=1,B19,A19)</f>
        <v>Amortização do direito de uso (custo) IFRS 16</v>
      </c>
      <c r="E19" s="118">
        <f t="shared" si="5"/>
        <v>-8713</v>
      </c>
      <c r="F19" s="118">
        <f t="shared" si="5"/>
        <v>-6957</v>
      </c>
      <c r="G19" s="118">
        <f t="shared" si="5"/>
        <v>-8066.7541600000004</v>
      </c>
      <c r="H19" s="118">
        <f t="shared" si="5"/>
        <v>-8242.9808600000379</v>
      </c>
      <c r="I19" s="118">
        <f t="shared" si="6"/>
        <v>-7685.3712000000032</v>
      </c>
      <c r="J19" s="118">
        <f t="shared" si="6"/>
        <v>-7687.2979900000037</v>
      </c>
      <c r="K19" s="118">
        <f t="shared" si="6"/>
        <v>-7328.5623799999994</v>
      </c>
      <c r="L19" s="118">
        <f t="shared" si="6"/>
        <v>-7129.1941000000006</v>
      </c>
      <c r="M19" s="118">
        <f t="shared" si="6"/>
        <v>-7333.8419400000057</v>
      </c>
      <c r="N19" s="118">
        <f t="shared" si="7"/>
        <v>-7108.2623200000053</v>
      </c>
      <c r="O19" s="118">
        <f t="shared" si="7"/>
        <v>-6925.3739100000057</v>
      </c>
      <c r="P19" s="118">
        <f t="shared" si="7"/>
        <v>-6769.5839500000002</v>
      </c>
      <c r="Q19" s="118">
        <f>+Q14+Q8</f>
        <v>-7682.0968699999939</v>
      </c>
      <c r="R19" s="118">
        <f t="shared" si="8"/>
        <v>-8024.363399999992</v>
      </c>
      <c r="S19" s="118">
        <f t="shared" si="8"/>
        <v>-6877.6048999999994</v>
      </c>
      <c r="T19" s="118">
        <f t="shared" si="8"/>
        <v>-7582.4682000000066</v>
      </c>
      <c r="U19" s="118">
        <f t="shared" si="8"/>
        <v>-7262.6531300000006</v>
      </c>
      <c r="V19" s="118">
        <f t="shared" si="8"/>
        <v>-7193.9104000000016</v>
      </c>
      <c r="W19" s="118">
        <f t="shared" si="8"/>
        <v>-8332.2809399999987</v>
      </c>
      <c r="X19" s="118">
        <f t="shared" si="8"/>
        <v>-8766.076230000006</v>
      </c>
      <c r="Y19" s="118">
        <f t="shared" si="8"/>
        <v>-7361.3064200000008</v>
      </c>
      <c r="Z19" s="118">
        <f t="shared" si="9"/>
        <v>-7412.4554400000015</v>
      </c>
      <c r="AA19" s="118">
        <f t="shared" si="9"/>
        <v>-7121.03125</v>
      </c>
      <c r="AB19" s="118">
        <f t="shared" si="9"/>
        <v>-6920.9955599999994</v>
      </c>
      <c r="AC19" s="118">
        <f t="shared" ref="AC19:AH19" si="11">+AC14+AC8</f>
        <v>-7267.3277699999981</v>
      </c>
      <c r="AD19" s="118">
        <f t="shared" si="11"/>
        <v>-7285.9363599999997</v>
      </c>
      <c r="AE19" s="118">
        <f t="shared" si="11"/>
        <v>-7570.2421200000008</v>
      </c>
      <c r="AF19" s="118">
        <f t="shared" si="11"/>
        <v>-7618.7176500000005</v>
      </c>
      <c r="AG19" s="118">
        <f t="shared" si="11"/>
        <v>-7657.9518300000027</v>
      </c>
      <c r="AH19" s="118">
        <f t="shared" si="11"/>
        <v>-8488.3736300000019</v>
      </c>
    </row>
    <row r="20" spans="1:34" x14ac:dyDescent="0.2">
      <c r="A20" s="17" t="s">
        <v>1508</v>
      </c>
      <c r="B20" s="17" t="s">
        <v>1509</v>
      </c>
      <c r="D20" s="713" t="str">
        <f>IF([1]RENAME!$H$3=1,B20,A20)</f>
        <v>Amortização do direito de uso (despesa) IFRS 16</v>
      </c>
      <c r="E20" s="118">
        <f t="shared" ref="E20:M21" si="12">+E9</f>
        <v>-217</v>
      </c>
      <c r="F20" s="118">
        <f t="shared" si="12"/>
        <v>-186</v>
      </c>
      <c r="G20" s="118">
        <f t="shared" si="12"/>
        <v>-209</v>
      </c>
      <c r="H20" s="118">
        <f t="shared" si="12"/>
        <v>-201.85305000000017</v>
      </c>
      <c r="I20" s="118">
        <f t="shared" si="12"/>
        <v>-196.01873999999995</v>
      </c>
      <c r="J20" s="118">
        <f t="shared" si="12"/>
        <v>-197.94529999999997</v>
      </c>
      <c r="K20" s="118">
        <f t="shared" si="12"/>
        <v>-196.80850000000001</v>
      </c>
      <c r="L20" s="118">
        <f t="shared" si="12"/>
        <v>-203.06792000000004</v>
      </c>
      <c r="M20" s="118">
        <f t="shared" si="12"/>
        <v>-178.78923000000003</v>
      </c>
      <c r="N20" s="118">
        <f t="shared" ref="N20:P21" si="13">+N9</f>
        <v>-192.26224000000005</v>
      </c>
      <c r="O20" s="118">
        <f t="shared" si="13"/>
        <v>-181.80132000000003</v>
      </c>
      <c r="P20" s="118">
        <f t="shared" si="13"/>
        <v>-159.93155999999999</v>
      </c>
      <c r="Q20" s="118">
        <f t="shared" ref="Q20:Y20" si="14">+Q9</f>
        <v>-118.05309999999999</v>
      </c>
      <c r="R20" s="118">
        <f t="shared" si="14"/>
        <v>-177.22330999999997</v>
      </c>
      <c r="S20" s="118">
        <f t="shared" si="14"/>
        <v>-155.3493</v>
      </c>
      <c r="T20" s="118">
        <f t="shared" si="14"/>
        <v>-144.98169000000001</v>
      </c>
      <c r="U20" s="118">
        <f t="shared" si="14"/>
        <v>-147.01964999999998</v>
      </c>
      <c r="V20" s="118">
        <f t="shared" si="14"/>
        <v>-148.90146999999996</v>
      </c>
      <c r="W20" s="118">
        <f t="shared" si="14"/>
        <v>-160.21681000000001</v>
      </c>
      <c r="X20" s="118">
        <f t="shared" si="14"/>
        <v>-161.16570000000002</v>
      </c>
      <c r="Y20" s="118">
        <f t="shared" si="14"/>
        <v>-152.83681999999999</v>
      </c>
      <c r="Z20" s="118">
        <f t="shared" ref="Z20:AB21" si="15">+Z9</f>
        <v>-159.91055999999995</v>
      </c>
      <c r="AA20" s="118">
        <f t="shared" si="15"/>
        <v>-157.91458999999992</v>
      </c>
      <c r="AB20" s="118">
        <f t="shared" si="15"/>
        <v>-198.64352999999986</v>
      </c>
      <c r="AC20" s="118">
        <f t="shared" ref="AC20:AH20" si="16">+AC9</f>
        <v>-176.74209999999999</v>
      </c>
      <c r="AD20" s="118">
        <f t="shared" si="16"/>
        <v>-176.74209999999999</v>
      </c>
      <c r="AE20" s="118">
        <f t="shared" si="16"/>
        <v>-176.74209999999999</v>
      </c>
      <c r="AF20" s="118">
        <f t="shared" si="16"/>
        <v>-176.74207999999999</v>
      </c>
      <c r="AG20" s="118">
        <f t="shared" si="16"/>
        <v>-184.91507000000001</v>
      </c>
      <c r="AH20" s="118">
        <f t="shared" si="16"/>
        <v>-187.41446999999999</v>
      </c>
    </row>
    <row r="21" spans="1:34" x14ac:dyDescent="0.2">
      <c r="A21" s="17" t="s">
        <v>1620</v>
      </c>
      <c r="B21" s="17" t="s">
        <v>1621</v>
      </c>
      <c r="D21" s="713" t="str">
        <f>IF([1]RENAME!$H$3=1,B21,A21)</f>
        <v>Baixa de direito de uso (liquido) IFRS 16</v>
      </c>
      <c r="E21" s="118">
        <v>0</v>
      </c>
      <c r="F21" s="118">
        <v>0</v>
      </c>
      <c r="G21" s="118">
        <f t="shared" ref="G21:L21" si="17">+G10</f>
        <v>9.7541600000000184</v>
      </c>
      <c r="H21" s="118">
        <f t="shared" si="17"/>
        <v>56.499990000000004</v>
      </c>
      <c r="I21" s="118">
        <f t="shared" si="17"/>
        <v>-9.8000000000000007</v>
      </c>
      <c r="J21" s="118">
        <f t="shared" si="17"/>
        <v>5.6092300000000108</v>
      </c>
      <c r="K21" s="118">
        <f t="shared" si="17"/>
        <v>27.477259999999895</v>
      </c>
      <c r="L21" s="118">
        <f t="shared" si="17"/>
        <v>0</v>
      </c>
      <c r="M21" s="118">
        <f t="shared" si="12"/>
        <v>0</v>
      </c>
      <c r="N21" s="118">
        <f t="shared" si="13"/>
        <v>0</v>
      </c>
      <c r="O21" s="118">
        <f t="shared" si="13"/>
        <v>0</v>
      </c>
      <c r="P21" s="118">
        <f t="shared" si="13"/>
        <v>0</v>
      </c>
      <c r="Q21" s="118">
        <f t="shared" ref="Q21:Y21" si="18">+Q10</f>
        <v>0</v>
      </c>
      <c r="R21" s="118">
        <f t="shared" si="18"/>
        <v>0</v>
      </c>
      <c r="S21" s="118">
        <f t="shared" si="18"/>
        <v>0</v>
      </c>
      <c r="T21" s="118">
        <f t="shared" si="18"/>
        <v>0</v>
      </c>
      <c r="U21" s="118">
        <f t="shared" si="18"/>
        <v>0</v>
      </c>
      <c r="V21" s="118">
        <f t="shared" si="18"/>
        <v>0</v>
      </c>
      <c r="W21" s="118">
        <f t="shared" si="18"/>
        <v>0</v>
      </c>
      <c r="X21" s="118">
        <f t="shared" si="18"/>
        <v>0</v>
      </c>
      <c r="Y21" s="118">
        <f t="shared" si="18"/>
        <v>0</v>
      </c>
      <c r="Z21" s="118">
        <f t="shared" si="15"/>
        <v>0</v>
      </c>
      <c r="AA21" s="118">
        <f t="shared" si="15"/>
        <v>0</v>
      </c>
      <c r="AB21" s="118">
        <f t="shared" si="15"/>
        <v>0</v>
      </c>
      <c r="AC21" s="118">
        <f t="shared" ref="AC21:AH21" si="19">+AC10</f>
        <v>0</v>
      </c>
      <c r="AD21" s="118">
        <f t="shared" si="19"/>
        <v>0</v>
      </c>
      <c r="AE21" s="118">
        <f t="shared" si="19"/>
        <v>0</v>
      </c>
      <c r="AF21" s="118">
        <f t="shared" si="19"/>
        <v>0</v>
      </c>
      <c r="AG21" s="118">
        <f t="shared" si="19"/>
        <v>0</v>
      </c>
      <c r="AH21" s="118">
        <f t="shared" si="19"/>
        <v>0</v>
      </c>
    </row>
    <row r="22" spans="1:34" x14ac:dyDescent="0.2">
      <c r="A22" s="17" t="s">
        <v>1521</v>
      </c>
      <c r="B22" s="17" t="s">
        <v>1522</v>
      </c>
      <c r="D22" s="713" t="str">
        <f>IF([1]RENAME!$H$3=1,B22,A22)</f>
        <v>Juros sobre arrendamento IFRS 16</v>
      </c>
      <c r="E22" s="118">
        <f t="shared" ref="E22:M22" si="20">+E16+E11</f>
        <v>-1307</v>
      </c>
      <c r="F22" s="118">
        <f t="shared" si="20"/>
        <v>-1616</v>
      </c>
      <c r="G22" s="118">
        <f t="shared" si="20"/>
        <v>-1718</v>
      </c>
      <c r="H22" s="118">
        <f t="shared" si="20"/>
        <v>-1799.0124100000075</v>
      </c>
      <c r="I22" s="118">
        <f t="shared" si="20"/>
        <v>-1573.4642999999987</v>
      </c>
      <c r="J22" s="118">
        <f t="shared" si="20"/>
        <v>-1490.4594999999999</v>
      </c>
      <c r="K22" s="118">
        <f t="shared" si="20"/>
        <v>-1260.8414799999989</v>
      </c>
      <c r="L22" s="118">
        <f t="shared" si="20"/>
        <v>-1125.2525499999997</v>
      </c>
      <c r="M22" s="118">
        <f t="shared" si="20"/>
        <v>-1510.6309899999987</v>
      </c>
      <c r="N22" s="118">
        <f t="shared" ref="N22:Y22" si="21">+N16+N11</f>
        <v>-1165.4435200000007</v>
      </c>
      <c r="O22" s="118">
        <f t="shared" si="21"/>
        <v>-1256.04871</v>
      </c>
      <c r="P22" s="118">
        <f t="shared" si="21"/>
        <v>-1088.9656200000004</v>
      </c>
      <c r="Q22" s="118">
        <f t="shared" si="21"/>
        <v>-1242.9404599999993</v>
      </c>
      <c r="R22" s="118">
        <f t="shared" si="21"/>
        <v>-1073.0148869999998</v>
      </c>
      <c r="S22" s="118">
        <f t="shared" si="21"/>
        <v>-1421.1373099999987</v>
      </c>
      <c r="T22" s="118">
        <f t="shared" si="21"/>
        <v>-1514.6258900000007</v>
      </c>
      <c r="U22" s="118">
        <f t="shared" si="21"/>
        <v>-1829.0183599999984</v>
      </c>
      <c r="V22" s="118">
        <f t="shared" si="21"/>
        <v>-2733.3213800000012</v>
      </c>
      <c r="W22" s="118">
        <f t="shared" si="21"/>
        <v>-2706.2869500000015</v>
      </c>
      <c r="X22" s="118">
        <f t="shared" si="21"/>
        <v>-2816.9193700000005</v>
      </c>
      <c r="Y22" s="118">
        <f t="shared" si="21"/>
        <v>-2389.2366900000006</v>
      </c>
      <c r="Z22" s="118">
        <f>+Z16+Z11</f>
        <v>-2352.181079999998</v>
      </c>
      <c r="AA22" s="118">
        <f>+AA16+AA11</f>
        <v>-2228.2112200000001</v>
      </c>
      <c r="AB22" s="118">
        <f>+AB16+AB11</f>
        <v>-2434.1863299999982</v>
      </c>
      <c r="AC22" s="118">
        <f t="shared" ref="AC22:AH22" si="22">+AC16+AC11</f>
        <v>-3331.3105700000015</v>
      </c>
      <c r="AD22" s="118">
        <f t="shared" si="22"/>
        <v>-3245.3840099999998</v>
      </c>
      <c r="AE22" s="118">
        <f t="shared" si="22"/>
        <v>-3246.7047799999996</v>
      </c>
      <c r="AF22" s="118">
        <f t="shared" si="22"/>
        <v>-2984.8864400000002</v>
      </c>
      <c r="AG22" s="118">
        <f t="shared" si="22"/>
        <v>-2533.7086000000004</v>
      </c>
      <c r="AH22" s="118">
        <f t="shared" si="22"/>
        <v>-2855.7547600000007</v>
      </c>
    </row>
    <row r="23" spans="1:34" x14ac:dyDescent="0.2">
      <c r="A23" s="17" t="s">
        <v>1526</v>
      </c>
      <c r="B23" s="17" t="s">
        <v>1527</v>
      </c>
      <c r="D23" s="119" t="str">
        <f>IF([1]RENAME!$H$3=1,B23,A23)</f>
        <v>Fluxo de caixa</v>
      </c>
      <c r="E23" s="120">
        <f t="shared" ref="E23:J23" si="23">+SUM(E24:E25)</f>
        <v>3957</v>
      </c>
      <c r="F23" s="120">
        <f t="shared" si="23"/>
        <v>610</v>
      </c>
      <c r="G23" s="120">
        <f t="shared" si="23"/>
        <v>672</v>
      </c>
      <c r="H23" s="120">
        <f t="shared" si="23"/>
        <v>-2093</v>
      </c>
      <c r="I23" s="120">
        <f t="shared" si="23"/>
        <v>-420</v>
      </c>
      <c r="J23" s="120">
        <f t="shared" si="23"/>
        <v>1442</v>
      </c>
      <c r="K23" s="120">
        <f t="shared" ref="K23:P23" si="24">+SUM(K24:K25)</f>
        <v>202</v>
      </c>
      <c r="L23" s="120">
        <f t="shared" si="24"/>
        <v>-647</v>
      </c>
      <c r="M23" s="120">
        <f t="shared" si="24"/>
        <v>-1461</v>
      </c>
      <c r="N23" s="120">
        <f t="shared" si="24"/>
        <v>-1131</v>
      </c>
      <c r="O23" s="120">
        <f t="shared" si="24"/>
        <v>-771</v>
      </c>
      <c r="P23" s="120">
        <f t="shared" si="24"/>
        <v>-945</v>
      </c>
      <c r="Q23" s="120">
        <f t="shared" ref="Q23:Y23" si="25">+SUM(Q24:Q25)</f>
        <v>176</v>
      </c>
      <c r="R23" s="120">
        <f t="shared" si="25"/>
        <v>-86</v>
      </c>
      <c r="S23" s="120">
        <f t="shared" si="25"/>
        <v>-4838</v>
      </c>
      <c r="T23" s="120">
        <f t="shared" si="25"/>
        <v>-1138</v>
      </c>
      <c r="U23" s="120">
        <f t="shared" si="25"/>
        <v>-668</v>
      </c>
      <c r="V23" s="120">
        <f t="shared" si="25"/>
        <v>-245</v>
      </c>
      <c r="W23" s="120">
        <f t="shared" si="25"/>
        <v>50</v>
      </c>
      <c r="X23" s="120">
        <f t="shared" si="25"/>
        <v>-1430</v>
      </c>
      <c r="Y23" s="120">
        <f t="shared" si="25"/>
        <v>-180</v>
      </c>
      <c r="Z23" s="120">
        <f t="shared" ref="Z23:AF23" si="26">+SUM(Z24:Z25)</f>
        <v>-123</v>
      </c>
      <c r="AA23" s="120">
        <f t="shared" si="26"/>
        <v>-680</v>
      </c>
      <c r="AB23" s="120">
        <f t="shared" si="26"/>
        <v>-1072</v>
      </c>
      <c r="AC23" s="120">
        <f t="shared" si="26"/>
        <v>-133</v>
      </c>
      <c r="AD23" s="120">
        <f t="shared" si="26"/>
        <v>-676</v>
      </c>
      <c r="AE23" s="120">
        <f t="shared" si="26"/>
        <v>-357</v>
      </c>
      <c r="AF23" s="120">
        <f t="shared" si="26"/>
        <v>-1004</v>
      </c>
      <c r="AG23" s="120">
        <f>+SUM(AG24:AG25)</f>
        <v>-1020</v>
      </c>
      <c r="AH23" s="120">
        <f>+SUM(AH24:AH25)</f>
        <v>-1120</v>
      </c>
    </row>
    <row r="24" spans="1:34" x14ac:dyDescent="0.2">
      <c r="A24" s="17" t="s">
        <v>1524</v>
      </c>
      <c r="B24" s="17" t="s">
        <v>1528</v>
      </c>
      <c r="D24" s="713" t="str">
        <f>IF([1]RENAME!$H$3=1,B24,A24)</f>
        <v>Fluxo de caixa operacional</v>
      </c>
      <c r="E24" s="118">
        <f>SUM(DFC!U20,DFC!U22,DFC!U57)</f>
        <v>9471</v>
      </c>
      <c r="F24" s="118">
        <f>SUM(DFC!V20,DFC!V22,DFC!V57)</f>
        <v>7150</v>
      </c>
      <c r="G24" s="118">
        <f>SUM(DFC!W20,DFC!W22,DFC!W57)</f>
        <v>8369</v>
      </c>
      <c r="H24" s="118">
        <f>SUM(DFC!X20,DFC!X22,DFC!X57)</f>
        <v>8150</v>
      </c>
      <c r="I24" s="118">
        <f>SUM(DFC!Y20,DFC!Y22,DFC!Y57)</f>
        <v>7898</v>
      </c>
      <c r="J24" s="118">
        <f>SUM(DFC!Z20,DFC!Z22,DFC!Z57)</f>
        <v>8186</v>
      </c>
      <c r="K24" s="118">
        <f>SUM(DFC!AA20,DFC!AA22,DFC!AA57)</f>
        <v>7700</v>
      </c>
      <c r="L24" s="118">
        <f>SUM(DFC!AB20,DFC!AB22,DFC!AB57)</f>
        <v>7232</v>
      </c>
      <c r="M24" s="118">
        <f>SUM(DFC!AC20,DFC!AC22,DFC!AC57)</f>
        <v>7477</v>
      </c>
      <c r="N24" s="118">
        <f>SUM(DFC!AD20,DFC!AD22,DFC!AD57)</f>
        <v>6858</v>
      </c>
      <c r="O24" s="118">
        <f>SUM(DFC!AE20,DFC!AE22,DFC!AE57)</f>
        <v>7050</v>
      </c>
      <c r="P24" s="118">
        <f>SUM(DFC!AF20,DFC!AF22,DFC!AF57)</f>
        <v>6856</v>
      </c>
      <c r="Q24" s="118">
        <f>SUM(DFC!AG20,DFC!AG22,DFC!AG57)</f>
        <v>7513</v>
      </c>
      <c r="R24" s="118">
        <f>SUM(DFC!AH20,DFC!AH22,DFC!AH57)</f>
        <v>7625</v>
      </c>
      <c r="S24" s="118">
        <f>SUM(DFC!AI20,DFC!AI22,DFC!AI57)</f>
        <v>6461</v>
      </c>
      <c r="T24" s="118">
        <f>SUM(DFC!AJ20,DFC!AJ22,DFC!AJ57)</f>
        <v>7600</v>
      </c>
      <c r="U24" s="118">
        <f>SUM(DFC!AK20,DFC!AK22,DFC!AK57)</f>
        <v>7471</v>
      </c>
      <c r="V24" s="118">
        <f>SUM(DFC!AL20,DFC!AL22,DFC!AL57)</f>
        <v>7605</v>
      </c>
      <c r="W24" s="118">
        <f>SUM(DFC!AM20,DFC!AM22,DFC!AM57)</f>
        <v>8291</v>
      </c>
      <c r="X24" s="118">
        <f>SUM(DFC!AN20,DFC!AN22,DFC!AN57)</f>
        <v>7330</v>
      </c>
      <c r="Y24" s="118">
        <f>SUM(DFC!AO20,DFC!AO22,DFC!AO57)</f>
        <v>7482</v>
      </c>
      <c r="Z24" s="118">
        <f>SUM(DFC!AP20,DFC!AP22,DFC!AP57)</f>
        <v>7620</v>
      </c>
      <c r="AA24" s="118">
        <f>SUM(DFC!AQ20,DFC!AQ22,DFC!AQ57)</f>
        <v>7376</v>
      </c>
      <c r="AB24" s="118">
        <f>SUM(DFC!AR20,DFC!AR22,DFC!AR57)</f>
        <v>7035</v>
      </c>
      <c r="AC24" s="118">
        <f>SUM(DFC!AS20,DFC!AS22,DFC!AS57)</f>
        <v>7310</v>
      </c>
      <c r="AD24" s="118">
        <f>SUM(DFC!AT20,DFC!AT22,DFC!AT57)</f>
        <v>7004</v>
      </c>
      <c r="AE24" s="118">
        <f>SUM(DFC!AU20,DFC!AU22,DFC!AU57)</f>
        <v>7505</v>
      </c>
      <c r="AF24" s="118">
        <f>SUM(DFC!AV20,DFC!AV22,DFC!AV57)</f>
        <v>7472</v>
      </c>
      <c r="AG24" s="118">
        <f>SUM(DFC!AW20,DFC!AW22,DFC!AW57)</f>
        <v>7496</v>
      </c>
      <c r="AH24" s="118">
        <f>SUM(DFC!AX20,DFC!AX22,DFC!AX57)</f>
        <v>8268</v>
      </c>
    </row>
    <row r="25" spans="1:34" x14ac:dyDescent="0.2">
      <c r="A25" s="17" t="s">
        <v>1525</v>
      </c>
      <c r="B25" s="17" t="s">
        <v>1529</v>
      </c>
      <c r="D25" s="713" t="str">
        <f>IF([1]RENAME!$H$3=1,B25,A25)</f>
        <v>Fluxo de caixa de financiamento</v>
      </c>
      <c r="E25" s="118">
        <f>DFC!U83</f>
        <v>-5514</v>
      </c>
      <c r="F25" s="118">
        <f>DFC!V83</f>
        <v>-6540</v>
      </c>
      <c r="G25" s="118">
        <f>DFC!W83</f>
        <v>-7697</v>
      </c>
      <c r="H25" s="118">
        <f>DFC!X83</f>
        <v>-10243</v>
      </c>
      <c r="I25" s="118">
        <f>DFC!Y83</f>
        <v>-8318</v>
      </c>
      <c r="J25" s="118">
        <f>DFC!Z83</f>
        <v>-6744</v>
      </c>
      <c r="K25" s="118">
        <f>DFC!AA83</f>
        <v>-7498</v>
      </c>
      <c r="L25" s="118">
        <f>DFC!AB83</f>
        <v>-7879</v>
      </c>
      <c r="M25" s="118">
        <f>DFC!AC83</f>
        <v>-8938</v>
      </c>
      <c r="N25" s="118">
        <f>DFC!AD83</f>
        <v>-7989</v>
      </c>
      <c r="O25" s="118">
        <f>DFC!AE83</f>
        <v>-7821</v>
      </c>
      <c r="P25" s="118">
        <f>DFC!AF83</f>
        <v>-7801</v>
      </c>
      <c r="Q25" s="118">
        <f>DFC!AG83</f>
        <v>-7337</v>
      </c>
      <c r="R25" s="118">
        <f>DFC!AH83</f>
        <v>-7711</v>
      </c>
      <c r="S25" s="118">
        <f>DFC!AI83</f>
        <v>-11299</v>
      </c>
      <c r="T25" s="118">
        <f>DFC!AJ83</f>
        <v>-8738</v>
      </c>
      <c r="U25" s="118">
        <f>DFC!AK83</f>
        <v>-8139</v>
      </c>
      <c r="V25" s="118">
        <f>DFC!AL83</f>
        <v>-7850</v>
      </c>
      <c r="W25" s="118">
        <f>DFC!AM83</f>
        <v>-8241</v>
      </c>
      <c r="X25" s="118">
        <f>DFC!AN83</f>
        <v>-8760</v>
      </c>
      <c r="Y25" s="118">
        <f>DFC!AO83</f>
        <v>-7662</v>
      </c>
      <c r="Z25" s="118">
        <f>DFC!AP83</f>
        <v>-7743</v>
      </c>
      <c r="AA25" s="118">
        <f>DFC!AQ83</f>
        <v>-8056</v>
      </c>
      <c r="AB25" s="118">
        <f>DFC!AR83</f>
        <v>-8107</v>
      </c>
      <c r="AC25" s="118">
        <f>DFC!AS83</f>
        <v>-7443</v>
      </c>
      <c r="AD25" s="118">
        <f>DFC!AT83</f>
        <v>-7680</v>
      </c>
      <c r="AE25" s="118">
        <f>DFC!AU83</f>
        <v>-7862</v>
      </c>
      <c r="AF25" s="118">
        <f>DFC!AV83</f>
        <v>-8476</v>
      </c>
      <c r="AG25" s="118">
        <f>DFC!AW83</f>
        <v>-8516</v>
      </c>
      <c r="AH25" s="118">
        <f>DFC!AX83</f>
        <v>-9388</v>
      </c>
    </row>
    <row r="26" spans="1:34" x14ac:dyDescent="0.2">
      <c r="D26"/>
      <c r="E26"/>
      <c r="F26"/>
      <c r="G26"/>
      <c r="H26"/>
      <c r="I26"/>
      <c r="J26"/>
      <c r="K26"/>
      <c r="L26"/>
      <c r="M26"/>
      <c r="N26"/>
      <c r="O26"/>
      <c r="P26"/>
    </row>
    <row r="27" spans="1:34" x14ac:dyDescent="0.2">
      <c r="D27"/>
      <c r="E27"/>
      <c r="F27"/>
      <c r="G27"/>
      <c r="H27"/>
      <c r="I27"/>
      <c r="J27"/>
      <c r="K27"/>
      <c r="L27"/>
      <c r="M27"/>
      <c r="N27"/>
      <c r="O27"/>
      <c r="P27"/>
    </row>
    <row r="28" spans="1:34" x14ac:dyDescent="0.2">
      <c r="D28"/>
      <c r="E28"/>
      <c r="F28"/>
      <c r="G28"/>
      <c r="H28"/>
      <c r="I28"/>
      <c r="J28"/>
      <c r="K28"/>
      <c r="L28"/>
      <c r="M28"/>
      <c r="N28"/>
      <c r="O28"/>
      <c r="P28"/>
      <c r="Y28" s="1222"/>
      <c r="Z28" s="1222"/>
      <c r="AA28" s="1222"/>
      <c r="AB28" s="1222"/>
      <c r="AC28" s="1222"/>
      <c r="AD28" s="1222"/>
    </row>
    <row r="29" spans="1:34" x14ac:dyDescent="0.2">
      <c r="AD29" s="17"/>
    </row>
    <row r="30" spans="1:34" x14ac:dyDescent="0.2">
      <c r="Y30" s="1222"/>
      <c r="Z30" s="1222"/>
      <c r="AA30" s="1222"/>
      <c r="AB30" s="1222"/>
      <c r="AC30" s="1222"/>
      <c r="AD30" s="1222"/>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19">
    <pageSetUpPr autoPageBreaks="0"/>
  </sheetPr>
  <dimension ref="A1:BB13"/>
  <sheetViews>
    <sheetView showGridLines="0" zoomScaleNormal="100" workbookViewId="0">
      <pane xSplit="4" ySplit="5" topLeftCell="AU6" activePane="bottomRight" state="frozen"/>
      <selection activeCell="AY7" sqref="AY7"/>
      <selection pane="topRight" activeCell="AY7" sqref="AY7"/>
      <selection pane="bottomLeft" activeCell="AY7" sqref="AY7"/>
      <selection pane="bottomRight" activeCell="BB7" sqref="BB7"/>
    </sheetView>
  </sheetViews>
  <sheetFormatPr defaultRowHeight="12.75" outlineLevelRow="1" x14ac:dyDescent="0.2"/>
  <cols>
    <col min="1" max="2" width="9.140625" hidden="1" customWidth="1"/>
    <col min="3" max="3" width="1.42578125" customWidth="1"/>
    <col min="4" max="4" width="58.5703125" customWidth="1"/>
    <col min="5" max="53" width="10.85546875" customWidth="1"/>
  </cols>
  <sheetData>
    <row r="1" spans="1:54" s="553" customFormat="1" ht="7.5" customHeight="1" x14ac:dyDescent="0.2">
      <c r="E1" s="553" t="s">
        <v>45</v>
      </c>
      <c r="F1" s="553" t="str">
        <f>IF(LEFT(E1,1)="4","1T"&amp;RIGHT(E1,2)+1,LEFT(E1,1)+1&amp;RIGHT(E1,3))</f>
        <v>2T14</v>
      </c>
      <c r="G1" s="553" t="str">
        <f t="shared" ref="G1:V1" si="0">IF(LEFT(F1,1)="4","1T"&amp;RIGHT(F1,2)+1,LEFT(F1,1)+1&amp;RIGHT(F1,3))</f>
        <v>3T14</v>
      </c>
      <c r="H1" s="553" t="str">
        <f t="shared" si="0"/>
        <v>4T14</v>
      </c>
      <c r="I1" s="553" t="str">
        <f t="shared" si="0"/>
        <v>1T15</v>
      </c>
      <c r="J1" s="553" t="str">
        <f t="shared" si="0"/>
        <v>2T15</v>
      </c>
      <c r="K1" s="553" t="str">
        <f t="shared" si="0"/>
        <v>3T15</v>
      </c>
      <c r="L1" s="553" t="str">
        <f t="shared" si="0"/>
        <v>4T15</v>
      </c>
      <c r="M1" s="553" t="str">
        <f t="shared" si="0"/>
        <v>1T16</v>
      </c>
      <c r="N1" s="553" t="str">
        <f t="shared" si="0"/>
        <v>2T16</v>
      </c>
      <c r="O1" s="553" t="str">
        <f t="shared" si="0"/>
        <v>3T16</v>
      </c>
      <c r="P1" s="553" t="str">
        <f t="shared" si="0"/>
        <v>4T16</v>
      </c>
      <c r="Q1" s="553" t="str">
        <f t="shared" si="0"/>
        <v>1T17</v>
      </c>
      <c r="R1" s="553" t="str">
        <f t="shared" si="0"/>
        <v>2T17</v>
      </c>
      <c r="S1" s="553" t="str">
        <f t="shared" si="0"/>
        <v>3T17</v>
      </c>
      <c r="T1" s="553" t="str">
        <f t="shared" si="0"/>
        <v>4T17</v>
      </c>
      <c r="U1" s="553" t="str">
        <f t="shared" si="0"/>
        <v>1T18</v>
      </c>
      <c r="V1" s="553" t="str">
        <f t="shared" si="0"/>
        <v>2T18</v>
      </c>
      <c r="W1" s="553" t="str">
        <f t="shared" ref="W1:AF1" si="1">IF(LEFT(V1,1)="4","1T"&amp;RIGHT(V1,2)+1,LEFT(V1,1)+1&amp;RIGHT(V1,3))</f>
        <v>3T18</v>
      </c>
      <c r="X1" s="553" t="str">
        <f t="shared" si="1"/>
        <v>4T18</v>
      </c>
      <c r="Y1" s="553" t="str">
        <f t="shared" si="1"/>
        <v>1T19</v>
      </c>
      <c r="Z1" s="553" t="str">
        <f t="shared" si="1"/>
        <v>2T19</v>
      </c>
      <c r="AA1" s="553" t="str">
        <f t="shared" si="1"/>
        <v>3T19</v>
      </c>
      <c r="AB1" s="553" t="str">
        <f t="shared" si="1"/>
        <v>4T19</v>
      </c>
      <c r="AC1" s="553" t="str">
        <f t="shared" si="1"/>
        <v>1T20</v>
      </c>
      <c r="AD1" s="553" t="str">
        <f t="shared" si="1"/>
        <v>2T20</v>
      </c>
      <c r="AE1" s="553" t="str">
        <f t="shared" si="1"/>
        <v>3T20</v>
      </c>
      <c r="AF1" s="553" t="str">
        <f t="shared" si="1"/>
        <v>4T20</v>
      </c>
      <c r="AG1" s="553" t="str">
        <f t="shared" ref="AG1:AS1" si="2">IF(LEFT(AF1,1)="4","1T"&amp;RIGHT(AF1,2)+1,LEFT(AF1,1)+1&amp;RIGHT(AF1,3))</f>
        <v>1T21</v>
      </c>
      <c r="AH1" s="553" t="str">
        <f t="shared" si="2"/>
        <v>2T21</v>
      </c>
      <c r="AI1" s="553" t="str">
        <f t="shared" si="2"/>
        <v>3T21</v>
      </c>
      <c r="AJ1" s="553" t="str">
        <f t="shared" si="2"/>
        <v>4T21</v>
      </c>
      <c r="AK1" s="553" t="str">
        <f t="shared" si="2"/>
        <v>1T22</v>
      </c>
      <c r="AL1" s="553" t="str">
        <f t="shared" si="2"/>
        <v>2T22</v>
      </c>
      <c r="AM1" s="553" t="str">
        <f t="shared" si="2"/>
        <v>3T22</v>
      </c>
      <c r="AN1" s="553" t="str">
        <f t="shared" si="2"/>
        <v>4T22</v>
      </c>
      <c r="AO1" s="553" t="str">
        <f t="shared" si="2"/>
        <v>1T23</v>
      </c>
      <c r="AP1" s="553" t="str">
        <f t="shared" si="2"/>
        <v>2T23</v>
      </c>
      <c r="AQ1" s="553" t="str">
        <f t="shared" si="2"/>
        <v>3T23</v>
      </c>
      <c r="AR1" s="553" t="str">
        <f t="shared" si="2"/>
        <v>4T23</v>
      </c>
      <c r="AS1" s="553" t="str">
        <f t="shared" si="2"/>
        <v>1T24</v>
      </c>
      <c r="AT1" s="553" t="str">
        <f t="shared" ref="AT1:AZ1" si="3">IF(LEFT(AS1,1)="4","1T"&amp;RIGHT(AS1,2)+1,LEFT(AS1,1)+1&amp;RIGHT(AS1,3))</f>
        <v>2T24</v>
      </c>
      <c r="AU1" s="553" t="str">
        <f t="shared" si="3"/>
        <v>3T24</v>
      </c>
      <c r="AV1" s="553" t="str">
        <f t="shared" si="3"/>
        <v>4T24</v>
      </c>
      <c r="AW1" s="553" t="str">
        <f t="shared" si="3"/>
        <v>1T25</v>
      </c>
      <c r="AX1" s="553" t="str">
        <f t="shared" si="3"/>
        <v>2T25</v>
      </c>
      <c r="AY1" s="553" t="str">
        <f t="shared" si="3"/>
        <v>3T25</v>
      </c>
      <c r="AZ1" s="553" t="str">
        <f t="shared" si="3"/>
        <v>4T25</v>
      </c>
      <c r="BA1" s="553" t="str">
        <f>IF(LEFT(AZ1,1)="4","1T"&amp;RIGHT(AZ1,2)+1,LEFT(AZ1,1)+1&amp;RIGHT(AZ1,3))</f>
        <v>1T26</v>
      </c>
      <c r="BB1" s="553" t="str">
        <f>IF(LEFT(BA1,1)="4","1T"&amp;RIGHT(BA1,2)+1,LEFT(BA1,1)+1&amp;RIGHT(BA1,3))</f>
        <v>2T26</v>
      </c>
    </row>
    <row r="2" spans="1:54" s="553" customFormat="1" x14ac:dyDescent="0.2">
      <c r="D2" s="584"/>
      <c r="E2" s="553" t="str">
        <f>SUBSTITUTE(E1,"T","Q")</f>
        <v>1Q14</v>
      </c>
      <c r="F2" s="553" t="str">
        <f>SUBSTITUTE(F1,"T","Q")</f>
        <v>2Q14</v>
      </c>
      <c r="G2" s="553" t="str">
        <f t="shared" ref="G2:S2" si="4">SUBSTITUTE(G1,"T","Q")</f>
        <v>3Q14</v>
      </c>
      <c r="H2" s="553" t="str">
        <f t="shared" si="4"/>
        <v>4Q14</v>
      </c>
      <c r="I2" s="553" t="str">
        <f t="shared" si="4"/>
        <v>1Q15</v>
      </c>
      <c r="J2" s="553" t="str">
        <f t="shared" si="4"/>
        <v>2Q15</v>
      </c>
      <c r="K2" s="553" t="str">
        <f t="shared" si="4"/>
        <v>3Q15</v>
      </c>
      <c r="L2" s="553" t="str">
        <f t="shared" si="4"/>
        <v>4Q15</v>
      </c>
      <c r="M2" s="553" t="str">
        <f t="shared" si="4"/>
        <v>1Q16</v>
      </c>
      <c r="N2" s="553" t="str">
        <f t="shared" si="4"/>
        <v>2Q16</v>
      </c>
      <c r="O2" s="553" t="str">
        <f t="shared" si="4"/>
        <v>3Q16</v>
      </c>
      <c r="P2" s="553" t="str">
        <f t="shared" si="4"/>
        <v>4Q16</v>
      </c>
      <c r="Q2" s="553" t="str">
        <f t="shared" si="4"/>
        <v>1Q17</v>
      </c>
      <c r="R2" s="553" t="str">
        <f t="shared" si="4"/>
        <v>2Q17</v>
      </c>
      <c r="S2" s="553" t="str">
        <f t="shared" si="4"/>
        <v>3Q17</v>
      </c>
      <c r="T2" s="553" t="str">
        <f t="shared" ref="T2:Y2" si="5">SUBSTITUTE(T1,"T","Q")</f>
        <v>4Q17</v>
      </c>
      <c r="U2" s="553" t="str">
        <f t="shared" si="5"/>
        <v>1Q18</v>
      </c>
      <c r="V2" s="553" t="str">
        <f t="shared" si="5"/>
        <v>2Q18</v>
      </c>
      <c r="W2" s="553" t="str">
        <f t="shared" si="5"/>
        <v>3Q18</v>
      </c>
      <c r="X2" s="553" t="str">
        <f t="shared" si="5"/>
        <v>4Q18</v>
      </c>
      <c r="Y2" s="553" t="str">
        <f t="shared" si="5"/>
        <v>1Q19</v>
      </c>
      <c r="Z2" s="553" t="str">
        <f t="shared" ref="Z2:AE2" si="6">SUBSTITUTE(Z1,"T","Q")</f>
        <v>2Q19</v>
      </c>
      <c r="AA2" s="553" t="str">
        <f t="shared" si="6"/>
        <v>3Q19</v>
      </c>
      <c r="AB2" s="553" t="str">
        <f t="shared" si="6"/>
        <v>4Q19</v>
      </c>
      <c r="AC2" s="553" t="str">
        <f t="shared" si="6"/>
        <v>1Q20</v>
      </c>
      <c r="AD2" s="553" t="str">
        <f t="shared" si="6"/>
        <v>2Q20</v>
      </c>
      <c r="AE2" s="553" t="str">
        <f t="shared" si="6"/>
        <v>3Q20</v>
      </c>
      <c r="AF2" s="553" t="str">
        <f t="shared" ref="AF2:AL2" si="7">SUBSTITUTE(AF1,"T","Q")</f>
        <v>4Q20</v>
      </c>
      <c r="AG2" s="553" t="str">
        <f t="shared" si="7"/>
        <v>1Q21</v>
      </c>
      <c r="AH2" s="553" t="str">
        <f t="shared" si="7"/>
        <v>2Q21</v>
      </c>
      <c r="AI2" s="553" t="str">
        <f t="shared" si="7"/>
        <v>3Q21</v>
      </c>
      <c r="AJ2" s="553" t="str">
        <f t="shared" si="7"/>
        <v>4Q21</v>
      </c>
      <c r="AK2" s="553" t="str">
        <f t="shared" si="7"/>
        <v>1Q22</v>
      </c>
      <c r="AL2" s="553" t="str">
        <f t="shared" si="7"/>
        <v>2Q22</v>
      </c>
      <c r="AM2" s="553" t="str">
        <f t="shared" ref="AM2:AS2" si="8">SUBSTITUTE(AM1,"T","Q")</f>
        <v>3Q22</v>
      </c>
      <c r="AN2" s="553" t="str">
        <f t="shared" si="8"/>
        <v>4Q22</v>
      </c>
      <c r="AO2" s="553" t="str">
        <f t="shared" si="8"/>
        <v>1Q23</v>
      </c>
      <c r="AP2" s="553" t="str">
        <f t="shared" si="8"/>
        <v>2Q23</v>
      </c>
      <c r="AQ2" s="553" t="str">
        <f t="shared" si="8"/>
        <v>3Q23</v>
      </c>
      <c r="AR2" s="553" t="str">
        <f t="shared" si="8"/>
        <v>4Q23</v>
      </c>
      <c r="AS2" s="553" t="str">
        <f t="shared" si="8"/>
        <v>1Q24</v>
      </c>
      <c r="AT2" s="553" t="str">
        <f t="shared" ref="AT2:BB2" si="9">SUBSTITUTE(AT1,"T","Q")</f>
        <v>2Q24</v>
      </c>
      <c r="AU2" s="553" t="str">
        <f t="shared" si="9"/>
        <v>3Q24</v>
      </c>
      <c r="AV2" s="553" t="str">
        <f t="shared" si="9"/>
        <v>4Q24</v>
      </c>
      <c r="AW2" s="553" t="str">
        <f t="shared" si="9"/>
        <v>1Q25</v>
      </c>
      <c r="AX2" s="553" t="str">
        <f t="shared" si="9"/>
        <v>2Q25</v>
      </c>
      <c r="AY2" s="553" t="str">
        <f t="shared" si="9"/>
        <v>3Q25</v>
      </c>
      <c r="AZ2" s="553" t="str">
        <f t="shared" si="9"/>
        <v>4Q25</v>
      </c>
      <c r="BA2" s="553" t="str">
        <f>SUBSTITUTE(BA1,"T","Q")</f>
        <v>1Q26</v>
      </c>
      <c r="BB2" s="553" t="str">
        <f t="shared" si="9"/>
        <v>2Q26</v>
      </c>
    </row>
    <row r="3" spans="1:54" ht="12.75" customHeight="1" x14ac:dyDescent="0.2">
      <c r="D3" s="44"/>
      <c r="X3" s="547"/>
      <c r="Y3" s="547"/>
      <c r="Z3" s="547"/>
      <c r="AA3" s="547"/>
      <c r="AB3" s="547"/>
      <c r="AC3" s="547"/>
      <c r="AD3" s="547"/>
      <c r="AE3" s="547"/>
      <c r="AF3" s="547"/>
      <c r="AG3" s="547"/>
      <c r="AH3" s="547"/>
      <c r="AI3" s="547"/>
      <c r="AJ3" s="547"/>
      <c r="AK3" s="547"/>
      <c r="AL3" s="547"/>
      <c r="AM3" s="547"/>
      <c r="AN3" s="547"/>
      <c r="AO3" s="547"/>
      <c r="AP3" s="547"/>
      <c r="AQ3" s="547"/>
      <c r="AR3" s="327"/>
      <c r="AS3" s="327"/>
      <c r="AT3" s="327"/>
      <c r="AU3" s="327"/>
      <c r="AV3" s="327"/>
      <c r="AW3" s="327"/>
      <c r="AX3" s="327"/>
      <c r="AY3" s="327"/>
      <c r="AZ3" s="327"/>
      <c r="BA3" s="327"/>
      <c r="BB3" s="327"/>
    </row>
    <row r="4" spans="1:54" ht="12.75" customHeight="1" x14ac:dyDescent="0.2">
      <c r="D4" s="44"/>
      <c r="X4" s="40"/>
      <c r="Y4" s="40"/>
      <c r="Z4" s="40"/>
      <c r="AA4" s="40"/>
      <c r="AB4" s="40"/>
      <c r="AC4" s="40"/>
    </row>
    <row r="5" spans="1:54" x14ac:dyDescent="0.2">
      <c r="A5" t="s">
        <v>96</v>
      </c>
      <c r="B5" t="s">
        <v>866</v>
      </c>
      <c r="D5" s="140" t="str">
        <f>IF([1]RENAME!$H$3=1,B5,A5)</f>
        <v>Consolidado</v>
      </c>
      <c r="E5" s="247" t="str">
        <f>IF([1]RENAME!$H$3=1,E2,E1)</f>
        <v>1T14</v>
      </c>
      <c r="F5" s="247" t="str">
        <f>IF([1]RENAME!$H$3=1,F2,F1)</f>
        <v>2T14</v>
      </c>
      <c r="G5" s="247" t="str">
        <f>IF([1]RENAME!$H$3=1,G2,G1)</f>
        <v>3T14</v>
      </c>
      <c r="H5" s="247" t="str">
        <f>IF([1]RENAME!$H$3=1,H2,H1)</f>
        <v>4T14</v>
      </c>
      <c r="I5" s="247" t="str">
        <f>IF([1]RENAME!$H$3=1,I2,I1)</f>
        <v>1T15</v>
      </c>
      <c r="J5" s="247" t="str">
        <f>IF([1]RENAME!$H$3=1,J2,J1)</f>
        <v>2T15</v>
      </c>
      <c r="K5" s="247" t="str">
        <f>IF([1]RENAME!$H$3=1,K2,K1)</f>
        <v>3T15</v>
      </c>
      <c r="L5" s="247" t="str">
        <f>IF([1]RENAME!$H$3=1,L2,L1)</f>
        <v>4T15</v>
      </c>
      <c r="M5" s="247" t="str">
        <f>IF([1]RENAME!$H$3=1,M2,M1)</f>
        <v>1T16</v>
      </c>
      <c r="N5" s="247" t="str">
        <f>IF([1]RENAME!$H$3=1,N2,N1)</f>
        <v>2T16</v>
      </c>
      <c r="O5" s="247" t="str">
        <f>IF([1]RENAME!$H$3=1,O2,O1)</f>
        <v>3T16</v>
      </c>
      <c r="P5" s="247" t="str">
        <f>IF([1]RENAME!$H$3=1,P2,P1)</f>
        <v>4T16</v>
      </c>
      <c r="Q5" s="247" t="str">
        <f>IF([1]RENAME!$H$3=1,Q2,Q1)</f>
        <v>1T17</v>
      </c>
      <c r="R5" s="247" t="str">
        <f>IF([1]RENAME!$H$3=1,R2,R1)</f>
        <v>2T17</v>
      </c>
      <c r="S5" s="247" t="str">
        <f>IF([1]RENAME!$H$3=1,S2,S1)</f>
        <v>3T17</v>
      </c>
      <c r="T5" s="247" t="str">
        <f>IF([1]RENAME!$H$3=1,T2,T1)</f>
        <v>4T17</v>
      </c>
      <c r="U5" s="247" t="str">
        <f>IF([1]RENAME!$H$3=1,U2,U1)</f>
        <v>1T18</v>
      </c>
      <c r="V5" s="247" t="str">
        <f>IF([1]RENAME!$H$3=1,V2,V1)</f>
        <v>2T18</v>
      </c>
      <c r="W5" s="247" t="str">
        <f>IF([1]RENAME!$H$3=1,W2,W1)</f>
        <v>3T18</v>
      </c>
      <c r="X5" s="247" t="str">
        <f>IF([1]RENAME!$H$3=1,X2,X1)</f>
        <v>4T18</v>
      </c>
      <c r="Y5" s="247" t="str">
        <f>IF([1]RENAME!$H$3=1,Y2,Y1)</f>
        <v>1T19</v>
      </c>
      <c r="Z5" s="247" t="str">
        <f>IF([1]RENAME!$H$3=1,Z2,Z1)</f>
        <v>2T19</v>
      </c>
      <c r="AA5" s="247" t="str">
        <f>IF([1]RENAME!$H$3=1,AA2,AA1)</f>
        <v>3T19</v>
      </c>
      <c r="AB5" s="247" t="str">
        <f>IF([1]RENAME!$H$3=1,AB2,AB1)</f>
        <v>4T19</v>
      </c>
      <c r="AC5" s="247" t="str">
        <f>IF([1]RENAME!$H$3=1,AC2,AC1)</f>
        <v>1T20</v>
      </c>
      <c r="AD5" s="247" t="str">
        <f>IF([1]RENAME!$H$3=1,AD2,AD1)</f>
        <v>2T20</v>
      </c>
      <c r="AE5" s="247" t="str">
        <f>IF([1]RENAME!$H$3=1,AE2,AE1)</f>
        <v>3T20</v>
      </c>
      <c r="AF5" s="247" t="str">
        <f>IF([1]RENAME!$H$3=1,AF2,AF1)</f>
        <v>4T20</v>
      </c>
      <c r="AG5" s="247" t="str">
        <f>IF([1]RENAME!$H$3=1,AG2,AG1)</f>
        <v>1T21</v>
      </c>
      <c r="AH5" s="247" t="str">
        <f>IF([1]RENAME!$H$3=1,AH2,AH1)</f>
        <v>2T21</v>
      </c>
      <c r="AI5" s="247" t="str">
        <f>IF([1]RENAME!$H$3=1,AI2,AI1)</f>
        <v>3T21</v>
      </c>
      <c r="AJ5" s="247" t="str">
        <f>IF([1]RENAME!$H$3=1,AJ2,AJ1)</f>
        <v>4T21</v>
      </c>
      <c r="AK5" s="247" t="str">
        <f>IF([1]RENAME!$H$3=1,AK2,AK1)</f>
        <v>1T22</v>
      </c>
      <c r="AL5" s="247" t="str">
        <f>IF([1]RENAME!$H$3=1,AL2,AL1)</f>
        <v>2T22</v>
      </c>
      <c r="AM5" s="247" t="str">
        <f>IF([1]RENAME!$H$3=1,AM2,AM1)</f>
        <v>3T22</v>
      </c>
      <c r="AN5" s="247" t="str">
        <f>IF([1]RENAME!$H$3=1,AN2,AN1)</f>
        <v>4T22</v>
      </c>
      <c r="AO5" s="247" t="str">
        <f>IF([1]RENAME!$H$3=1,AO2,AO1)</f>
        <v>1T23</v>
      </c>
      <c r="AP5" s="247" t="str">
        <f>IF([1]RENAME!$H$3=1,AP2,AP1)</f>
        <v>2T23</v>
      </c>
      <c r="AQ5" s="247" t="str">
        <f>IF([1]RENAME!$H$3=1,AQ2,AQ1)</f>
        <v>3T23</v>
      </c>
      <c r="AR5" s="247" t="str">
        <f>IF([1]RENAME!$H$3=1,AR2,AR1)</f>
        <v>4T23</v>
      </c>
      <c r="AS5" s="247" t="str">
        <f>IF([1]RENAME!$H$3=1,AS2,AS1)</f>
        <v>1T24</v>
      </c>
      <c r="AT5" s="247" t="str">
        <f>IF([1]RENAME!$H$3=1,AT2,AT1)</f>
        <v>2T24</v>
      </c>
      <c r="AU5" s="247" t="str">
        <f>IF([1]RENAME!$H$3=1,AU2,AU1)</f>
        <v>3T24</v>
      </c>
      <c r="AV5" s="247" t="str">
        <f>IF([1]RENAME!$H$3=1,AV2,AV1)</f>
        <v>4T24</v>
      </c>
      <c r="AW5" s="247" t="str">
        <f>IF([1]RENAME!$H$3=1,AW2,AW1)</f>
        <v>1T25</v>
      </c>
      <c r="AX5" s="247" t="str">
        <f>IF([1]RENAME!$H$3=1,AX2,AX1)</f>
        <v>2T25</v>
      </c>
      <c r="AY5" s="247" t="str">
        <f>IF([1]RENAME!$H$3=1,AY2,AY1)</f>
        <v>3T25</v>
      </c>
      <c r="AZ5" s="247" t="str">
        <f>IF([1]RENAME!$H$3=1,AZ2,AZ1)</f>
        <v>4T25</v>
      </c>
      <c r="BA5" s="247" t="str">
        <f>IF([1]RENAME!$H$3=1,BA2,BA1)</f>
        <v>1T26</v>
      </c>
      <c r="BB5" s="247" t="str">
        <f>IF([1]RENAME!$H$3=1,BB2,BB1)</f>
        <v>2T26</v>
      </c>
    </row>
    <row r="6" spans="1:54" x14ac:dyDescent="0.2">
      <c r="A6" t="s">
        <v>1396</v>
      </c>
      <c r="B6" t="s">
        <v>1397</v>
      </c>
      <c r="D6" s="129" t="str">
        <f>IF([1]RENAME!$H$3=1,B6,A6)</f>
        <v>Empréstimos e financiamentos - moeda estrangeira</v>
      </c>
      <c r="E6" s="118">
        <v>0</v>
      </c>
      <c r="F6" s="118">
        <v>0</v>
      </c>
      <c r="G6" s="118">
        <v>0</v>
      </c>
      <c r="H6" s="118">
        <v>0</v>
      </c>
      <c r="I6" s="118">
        <v>0</v>
      </c>
      <c r="J6" s="118">
        <v>0</v>
      </c>
      <c r="K6" s="118">
        <v>0</v>
      </c>
      <c r="L6" s="118">
        <v>0</v>
      </c>
      <c r="M6" s="118">
        <v>0</v>
      </c>
      <c r="N6" s="118">
        <v>0</v>
      </c>
      <c r="O6" s="118">
        <v>0</v>
      </c>
      <c r="P6" s="118">
        <v>0</v>
      </c>
      <c r="Q6" s="118">
        <v>0</v>
      </c>
      <c r="R6" s="260">
        <v>0</v>
      </c>
      <c r="S6" s="118">
        <v>0</v>
      </c>
      <c r="T6" s="118">
        <v>0</v>
      </c>
      <c r="U6" s="118">
        <v>0</v>
      </c>
      <c r="V6" s="118">
        <v>0</v>
      </c>
      <c r="W6" s="118">
        <v>-54312</v>
      </c>
      <c r="X6" s="118">
        <v>-52102</v>
      </c>
      <c r="Y6" s="118">
        <v>-53995</v>
      </c>
      <c r="Z6" s="118">
        <v>-53222</v>
      </c>
      <c r="AA6" s="118">
        <v>-57992</v>
      </c>
      <c r="AB6" s="118">
        <v>-57220</v>
      </c>
      <c r="AC6" s="118">
        <v>-69884</v>
      </c>
      <c r="AD6" s="118">
        <v>-74610</v>
      </c>
      <c r="AE6" s="118">
        <v>0</v>
      </c>
      <c r="AF6" s="118">
        <v>0</v>
      </c>
      <c r="AG6" s="118">
        <v>0</v>
      </c>
      <c r="AH6" s="118">
        <v>0</v>
      </c>
      <c r="AI6" s="118">
        <v>0</v>
      </c>
      <c r="AJ6" s="118">
        <v>0</v>
      </c>
      <c r="AK6" s="118">
        <v>0</v>
      </c>
      <c r="AL6" s="118">
        <v>0</v>
      </c>
      <c r="AM6" s="118">
        <v>0</v>
      </c>
      <c r="AN6" s="118">
        <v>0</v>
      </c>
      <c r="AO6" s="118">
        <v>0</v>
      </c>
      <c r="AP6" s="118">
        <v>0</v>
      </c>
      <c r="AQ6" s="118">
        <f>+'[3]4.2 Analise de Sensibilidade'!$B13</f>
        <v>0</v>
      </c>
      <c r="AR6" s="118">
        <v>0</v>
      </c>
      <c r="AS6" s="118">
        <v>0</v>
      </c>
      <c r="AT6" s="118">
        <v>0</v>
      </c>
      <c r="AU6" s="118">
        <v>0</v>
      </c>
      <c r="AV6" s="118">
        <v>0</v>
      </c>
      <c r="AW6" s="118">
        <v>0</v>
      </c>
      <c r="AX6" s="118">
        <v>0</v>
      </c>
      <c r="AY6" s="118">
        <f>+'[3]4.2 Analise de Sensibilidade'!$B13</f>
        <v>0</v>
      </c>
      <c r="AZ6" s="118">
        <v>0</v>
      </c>
      <c r="BA6" s="118">
        <v>0</v>
      </c>
      <c r="BB6" s="118">
        <f>+'[3]4.2 Analise de Sensibilidade'!$B13</f>
        <v>0</v>
      </c>
    </row>
    <row r="7" spans="1:54" x14ac:dyDescent="0.2">
      <c r="A7" t="s">
        <v>16</v>
      </c>
      <c r="B7" t="s">
        <v>661</v>
      </c>
      <c r="D7" s="129" t="str">
        <f>IF([1]RENAME!$H$3=1,B7,A7)</f>
        <v>Empréstimos e financiamentos</v>
      </c>
      <c r="E7" s="118">
        <v>-14651</v>
      </c>
      <c r="F7" s="118">
        <v>-7673</v>
      </c>
      <c r="G7" s="118">
        <v>-6695</v>
      </c>
      <c r="H7" s="118">
        <v>-5724</v>
      </c>
      <c r="I7" s="118">
        <v>-4844</v>
      </c>
      <c r="J7" s="118">
        <v>-3987</v>
      </c>
      <c r="K7" s="118">
        <v>-3216</v>
      </c>
      <c r="L7" s="118">
        <v>-2476</v>
      </c>
      <c r="M7" s="118">
        <v>-2051</v>
      </c>
      <c r="N7" s="118">
        <v>-1744</v>
      </c>
      <c r="O7" s="118">
        <v>-1445</v>
      </c>
      <c r="P7" s="118">
        <v>-1182</v>
      </c>
      <c r="Q7" s="118">
        <v>-2263</v>
      </c>
      <c r="R7" s="260">
        <v>-55148</v>
      </c>
      <c r="S7" s="118">
        <v>-55263</v>
      </c>
      <c r="T7" s="118">
        <v>-54747</v>
      </c>
      <c r="U7" s="118">
        <v>-54863</v>
      </c>
      <c r="V7" s="118">
        <v>-50020</v>
      </c>
      <c r="W7" s="118">
        <v>-10232</v>
      </c>
      <c r="X7" s="118">
        <v>-10015</v>
      </c>
      <c r="Y7" s="118">
        <v>-40232</v>
      </c>
      <c r="Z7" s="118">
        <v>-37227</v>
      </c>
      <c r="AA7" s="118">
        <v>-36828</v>
      </c>
      <c r="AB7" s="118">
        <v>-33802</v>
      </c>
      <c r="AC7" s="118">
        <v>-33402</v>
      </c>
      <c r="AD7" s="118">
        <v>-121744</v>
      </c>
      <c r="AE7" s="118">
        <v>-168276</v>
      </c>
      <c r="AF7" s="118">
        <v>-168764</v>
      </c>
      <c r="AG7" s="118">
        <v>-169300</v>
      </c>
      <c r="AH7" s="118">
        <v>-127243</v>
      </c>
      <c r="AI7" s="118">
        <v>-127676</v>
      </c>
      <c r="AJ7" s="118">
        <v>-128886</v>
      </c>
      <c r="AK7" s="118">
        <v>-119250</v>
      </c>
      <c r="AL7" s="118">
        <v>-68411</v>
      </c>
      <c r="AM7" s="118">
        <v>-66432</v>
      </c>
      <c r="AN7" s="118">
        <v>-101740</v>
      </c>
      <c r="AO7" s="118">
        <v>-90366</v>
      </c>
      <c r="AP7" s="118">
        <v>-91267</v>
      </c>
      <c r="AQ7" s="118">
        <v>-95806</v>
      </c>
      <c r="AR7" s="118">
        <v>-101599</v>
      </c>
      <c r="AS7" s="118">
        <v>-107217</v>
      </c>
      <c r="AT7" s="118">
        <v>-105966</v>
      </c>
      <c r="AU7" s="118">
        <v>-105679</v>
      </c>
      <c r="AV7" s="118">
        <v>-105996</v>
      </c>
      <c r="AW7" s="118">
        <v>-110285</v>
      </c>
      <c r="AX7" s="118">
        <v>-111205</v>
      </c>
      <c r="AY7" s="118">
        <v>-85819</v>
      </c>
      <c r="AZ7" s="118">
        <v>-125950</v>
      </c>
      <c r="BA7" s="118">
        <v>-125204</v>
      </c>
      <c r="BB7" s="118">
        <f>'[3]4.b Taxa de juros NL'!$J$7</f>
        <v>-126392</v>
      </c>
    </row>
    <row r="8" spans="1:54" x14ac:dyDescent="0.2">
      <c r="A8" t="s">
        <v>1398</v>
      </c>
      <c r="B8" t="s">
        <v>1399</v>
      </c>
      <c r="D8" s="129" t="str">
        <f>IF([1]RENAME!$H$3=1,B8,A8)</f>
        <v>Instrumento financeiros derivativos</v>
      </c>
      <c r="E8" s="118">
        <v>20576</v>
      </c>
      <c r="F8" s="118">
        <v>-1995</v>
      </c>
      <c r="G8" s="118">
        <v>8359</v>
      </c>
      <c r="H8" s="118">
        <v>16023</v>
      </c>
      <c r="I8" s="118">
        <v>48760</v>
      </c>
      <c r="J8" s="118">
        <v>0</v>
      </c>
      <c r="K8" s="118">
        <v>0</v>
      </c>
      <c r="L8" s="118">
        <v>0</v>
      </c>
      <c r="M8" s="118">
        <v>0</v>
      </c>
      <c r="N8" s="118">
        <v>0</v>
      </c>
      <c r="O8" s="118">
        <v>0</v>
      </c>
      <c r="P8" s="118">
        <v>0</v>
      </c>
      <c r="Q8" s="118">
        <v>0</v>
      </c>
      <c r="R8" s="118">
        <v>0</v>
      </c>
      <c r="S8" s="118">
        <v>0</v>
      </c>
      <c r="T8" s="118">
        <v>0</v>
      </c>
      <c r="U8" s="118">
        <v>0</v>
      </c>
      <c r="V8" s="118">
        <v>0</v>
      </c>
      <c r="W8" s="118">
        <v>3735</v>
      </c>
      <c r="X8" s="118">
        <v>2086</v>
      </c>
      <c r="Y8" s="118">
        <v>2642</v>
      </c>
      <c r="Z8" s="118">
        <v>1444</v>
      </c>
      <c r="AA8" s="118">
        <v>5294</v>
      </c>
      <c r="AB8" s="118">
        <v>3748</v>
      </c>
      <c r="AC8" s="118">
        <v>19506</v>
      </c>
      <c r="AD8" s="118">
        <v>23748</v>
      </c>
      <c r="AE8" s="118">
        <v>0</v>
      </c>
      <c r="AF8" s="118">
        <v>0</v>
      </c>
      <c r="AG8" s="118">
        <v>0</v>
      </c>
      <c r="AH8" s="118">
        <v>0</v>
      </c>
      <c r="AI8" s="118">
        <v>0</v>
      </c>
      <c r="AJ8" s="118">
        <v>0</v>
      </c>
      <c r="AK8" s="118">
        <v>0</v>
      </c>
      <c r="AL8" s="118">
        <v>0</v>
      </c>
      <c r="AM8" s="118">
        <v>0</v>
      </c>
      <c r="AN8" s="118">
        <v>0</v>
      </c>
      <c r="AO8" s="118">
        <v>0</v>
      </c>
      <c r="AP8" s="118">
        <v>0</v>
      </c>
      <c r="AQ8" s="118">
        <v>0</v>
      </c>
      <c r="AR8" s="118">
        <v>0</v>
      </c>
      <c r="AS8" s="118">
        <v>0</v>
      </c>
      <c r="AT8" s="118">
        <v>0</v>
      </c>
      <c r="AU8" s="118">
        <v>0</v>
      </c>
      <c r="AV8" s="118">
        <v>0</v>
      </c>
      <c r="AW8" s="118">
        <v>0</v>
      </c>
      <c r="AX8" s="118">
        <v>0</v>
      </c>
      <c r="AY8" s="118">
        <v>0</v>
      </c>
      <c r="AZ8" s="118">
        <v>0</v>
      </c>
      <c r="BA8" s="118">
        <v>0</v>
      </c>
      <c r="BB8" s="118">
        <f>+'[3]4.2 Analise de Sensibilidade'!$D$15</f>
        <v>-308</v>
      </c>
    </row>
    <row r="9" spans="1:54" x14ac:dyDescent="0.2">
      <c r="A9" t="s">
        <v>1400</v>
      </c>
      <c r="B9" t="s">
        <v>1401</v>
      </c>
      <c r="D9" s="129" t="str">
        <f>IF([1]RENAME!$H$3=1,B9,A9)</f>
        <v>Instrumento financeiros derivativos - valor justo</v>
      </c>
      <c r="E9" s="118"/>
      <c r="F9" s="118"/>
      <c r="G9" s="118"/>
      <c r="H9" s="118"/>
      <c r="I9" s="118"/>
      <c r="J9" s="118"/>
      <c r="K9" s="118"/>
      <c r="L9" s="118"/>
      <c r="M9" s="118"/>
      <c r="N9" s="118"/>
      <c r="O9" s="118"/>
      <c r="P9" s="118"/>
      <c r="Q9" s="118"/>
      <c r="R9" s="118"/>
      <c r="S9" s="118"/>
      <c r="T9" s="118"/>
      <c r="U9" s="118"/>
      <c r="V9" s="118"/>
      <c r="W9" s="118">
        <v>210</v>
      </c>
      <c r="X9" s="118">
        <v>-472</v>
      </c>
      <c r="Y9" s="118">
        <v>19</v>
      </c>
      <c r="Z9" s="118">
        <v>498</v>
      </c>
      <c r="AA9" s="118">
        <v>605</v>
      </c>
      <c r="AB9" s="118">
        <v>-9</v>
      </c>
      <c r="AC9" s="118">
        <v>1152</v>
      </c>
      <c r="AD9" s="118">
        <v>123</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v>0</v>
      </c>
      <c r="AY9" s="118">
        <v>0</v>
      </c>
      <c r="AZ9" s="118">
        <v>0</v>
      </c>
      <c r="BA9" s="118">
        <v>0</v>
      </c>
      <c r="BB9" s="118">
        <f>+'[3]4.2 Analise de Sensibilidade'!$B16</f>
        <v>0</v>
      </c>
    </row>
    <row r="10" spans="1:54" x14ac:dyDescent="0.2">
      <c r="A10" t="s">
        <v>366</v>
      </c>
      <c r="B10" t="s">
        <v>867</v>
      </c>
      <c r="D10" s="129" t="str">
        <f>IF([1]RENAME!$H$3=1,B10,A10)</f>
        <v xml:space="preserve">Debêntures </v>
      </c>
      <c r="E10" s="118">
        <v>-285063</v>
      </c>
      <c r="F10" s="118">
        <v>-358630</v>
      </c>
      <c r="G10" s="118">
        <v>-358318</v>
      </c>
      <c r="H10" s="118">
        <v>-359798</v>
      </c>
      <c r="I10" s="118">
        <v>-358645</v>
      </c>
      <c r="J10" s="118">
        <v>-360487</v>
      </c>
      <c r="K10" s="118">
        <v>-360340</v>
      </c>
      <c r="L10" s="118">
        <v>-361821</v>
      </c>
      <c r="M10" s="118">
        <v>-339814</v>
      </c>
      <c r="N10" s="118">
        <v>-340849</v>
      </c>
      <c r="O10" s="118">
        <v>-340288</v>
      </c>
      <c r="P10" s="118">
        <v>-290395</v>
      </c>
      <c r="Q10" s="118">
        <v>-219189</v>
      </c>
      <c r="R10" s="118">
        <v>-218703</v>
      </c>
      <c r="S10" s="118">
        <v>-164712</v>
      </c>
      <c r="T10" s="118">
        <v>-168127</v>
      </c>
      <c r="U10" s="118">
        <v>-99306</v>
      </c>
      <c r="V10" s="118">
        <v>-98093</v>
      </c>
      <c r="W10" s="118">
        <v>-98314</v>
      </c>
      <c r="X10" s="118">
        <v>-98083</v>
      </c>
      <c r="Y10" s="118">
        <v>-51160</v>
      </c>
      <c r="Z10" s="118">
        <v>-50140</v>
      </c>
      <c r="AA10" s="118">
        <v>-51179</v>
      </c>
      <c r="AB10" s="118">
        <v>-50135</v>
      </c>
      <c r="AC10" s="118">
        <v>-50891</v>
      </c>
      <c r="AD10" s="118">
        <v>-51514</v>
      </c>
      <c r="AE10" s="118">
        <v>-25167</v>
      </c>
      <c r="AF10" s="118">
        <v>-25047</v>
      </c>
      <c r="AG10" s="118">
        <v>-25289</v>
      </c>
      <c r="AH10" s="118">
        <v>-25070</v>
      </c>
      <c r="AI10" s="118">
        <v>0</v>
      </c>
      <c r="AJ10" s="118">
        <v>0</v>
      </c>
      <c r="AK10" s="118">
        <v>0</v>
      </c>
      <c r="AL10" s="118">
        <v>0</v>
      </c>
      <c r="AM10" s="118">
        <v>0</v>
      </c>
      <c r="AN10" s="118">
        <v>0</v>
      </c>
      <c r="AO10" s="118">
        <v>0</v>
      </c>
      <c r="AP10" s="118">
        <v>0</v>
      </c>
      <c r="AQ10" s="118">
        <v>0</v>
      </c>
      <c r="AR10" s="118">
        <v>0</v>
      </c>
      <c r="AS10" s="118">
        <v>0</v>
      </c>
      <c r="AT10" s="118">
        <v>0</v>
      </c>
      <c r="AU10" s="118">
        <v>0</v>
      </c>
      <c r="AV10" s="118">
        <v>0</v>
      </c>
      <c r="AW10" s="118">
        <v>0</v>
      </c>
      <c r="AX10" s="118">
        <v>0</v>
      </c>
      <c r="AY10" s="118">
        <v>0</v>
      </c>
      <c r="AZ10" s="118">
        <v>0</v>
      </c>
      <c r="BA10" s="118">
        <v>0</v>
      </c>
      <c r="BB10" s="118">
        <f>+'[3]4.2 Analise de Sensibilidade'!$B17</f>
        <v>0</v>
      </c>
    </row>
    <row r="11" spans="1:54" x14ac:dyDescent="0.2">
      <c r="A11" t="s">
        <v>17</v>
      </c>
      <c r="B11" t="s">
        <v>2111</v>
      </c>
      <c r="D11" s="129" t="str">
        <f>IF([1]RENAME!$H$3=1,B11,A11)</f>
        <v>Aplicações financeiras</v>
      </c>
      <c r="E11" s="118">
        <v>221474</v>
      </c>
      <c r="F11" s="118">
        <v>179882</v>
      </c>
      <c r="G11" s="118">
        <v>186093</v>
      </c>
      <c r="H11" s="118">
        <v>227857</v>
      </c>
      <c r="I11" s="118">
        <v>306960</v>
      </c>
      <c r="J11" s="118">
        <v>131505</v>
      </c>
      <c r="K11" s="118">
        <v>206751</v>
      </c>
      <c r="L11" s="118">
        <v>214259</v>
      </c>
      <c r="M11" s="118">
        <v>232693</v>
      </c>
      <c r="N11" s="118">
        <v>219216</v>
      </c>
      <c r="O11" s="118">
        <v>241918</v>
      </c>
      <c r="P11" s="118">
        <v>192858</v>
      </c>
      <c r="Q11" s="118">
        <v>125754</v>
      </c>
      <c r="R11" s="118">
        <v>182650</v>
      </c>
      <c r="S11" s="118">
        <v>145031</v>
      </c>
      <c r="T11" s="118">
        <v>148306</v>
      </c>
      <c r="U11" s="118">
        <v>125064</v>
      </c>
      <c r="V11" s="118">
        <v>90264</v>
      </c>
      <c r="W11" s="118">
        <v>96725</v>
      </c>
      <c r="X11" s="118">
        <v>82206</v>
      </c>
      <c r="Y11" s="118">
        <v>106975</v>
      </c>
      <c r="Z11" s="118">
        <v>105427</v>
      </c>
      <c r="AA11" s="118">
        <v>111177</v>
      </c>
      <c r="AB11" s="118">
        <v>65963</v>
      </c>
      <c r="AC11" s="118">
        <v>124996</v>
      </c>
      <c r="AD11" s="118">
        <v>242830</v>
      </c>
      <c r="AE11" s="118">
        <v>184150</v>
      </c>
      <c r="AF11" s="118">
        <v>210044</v>
      </c>
      <c r="AG11" s="118">
        <v>244408</v>
      </c>
      <c r="AH11" s="118">
        <v>198379</v>
      </c>
      <c r="AI11" s="118">
        <v>168681</v>
      </c>
      <c r="AJ11" s="118">
        <v>145942</v>
      </c>
      <c r="AK11" s="118">
        <v>207326</v>
      </c>
      <c r="AL11" s="118">
        <v>112430</v>
      </c>
      <c r="AM11" s="118">
        <v>135357</v>
      </c>
      <c r="AN11" s="118">
        <v>188735</v>
      </c>
      <c r="AO11" s="118">
        <v>241309</v>
      </c>
      <c r="AP11" s="118">
        <v>236287</v>
      </c>
      <c r="AQ11" s="118">
        <v>257994</v>
      </c>
      <c r="AR11" s="118">
        <v>230703</v>
      </c>
      <c r="AS11" s="118">
        <v>298820</v>
      </c>
      <c r="AT11" s="118">
        <v>281990</v>
      </c>
      <c r="AU11" s="118">
        <v>258267</v>
      </c>
      <c r="AV11" s="118">
        <v>239484</v>
      </c>
      <c r="AW11" s="118">
        <v>338645</v>
      </c>
      <c r="AX11" s="118">
        <v>346349</v>
      </c>
      <c r="AY11" s="118">
        <v>244670</v>
      </c>
      <c r="AZ11" s="118">
        <v>112111</v>
      </c>
      <c r="BA11" s="118">
        <v>183741</v>
      </c>
      <c r="BB11" s="118">
        <f>+'[3]4.2 Analise de Sensibilidade'!$D$18</f>
        <v>195834</v>
      </c>
    </row>
    <row r="12" spans="1:54" s="310" customFormat="1" hidden="1" outlineLevel="1" x14ac:dyDescent="0.2">
      <c r="A12" s="310" t="s">
        <v>379</v>
      </c>
      <c r="B12" s="310" t="s">
        <v>873</v>
      </c>
      <c r="D12" s="317" t="str">
        <f>IF([1]RENAME!$H$3=1,B12,A12)</f>
        <v xml:space="preserve">Operações com derivativos atrelados ao CDI </v>
      </c>
      <c r="E12" s="311">
        <v>-216263</v>
      </c>
      <c r="F12" s="311">
        <v>-48143</v>
      </c>
      <c r="G12" s="311">
        <v>-132397</v>
      </c>
      <c r="H12" s="311">
        <v>-143833</v>
      </c>
      <c r="I12" s="311">
        <v>-175920</v>
      </c>
      <c r="J12" s="311">
        <v>0</v>
      </c>
      <c r="K12" s="311">
        <v>0</v>
      </c>
      <c r="L12" s="311">
        <v>0</v>
      </c>
      <c r="M12" s="311">
        <v>0</v>
      </c>
      <c r="N12" s="311">
        <v>0</v>
      </c>
      <c r="O12" s="311">
        <v>0</v>
      </c>
      <c r="P12" s="311">
        <v>0</v>
      </c>
      <c r="Q12" s="311">
        <v>0</v>
      </c>
      <c r="R12" s="311">
        <v>0</v>
      </c>
      <c r="S12" s="311">
        <v>0</v>
      </c>
      <c r="T12" s="311">
        <v>0</v>
      </c>
      <c r="U12" s="311">
        <v>0</v>
      </c>
      <c r="V12" s="311" t="s">
        <v>160</v>
      </c>
      <c r="W12" s="311" t="s">
        <v>160</v>
      </c>
      <c r="X12" s="311"/>
      <c r="Y12" s="311" t="s">
        <v>160</v>
      </c>
      <c r="Z12" s="311"/>
      <c r="AA12" s="311" t="s">
        <v>160</v>
      </c>
      <c r="AB12" s="311" t="s">
        <v>160</v>
      </c>
      <c r="AC12" s="311" t="s">
        <v>160</v>
      </c>
      <c r="AD12" s="311" t="s">
        <v>160</v>
      </c>
      <c r="AE12" s="311" t="s">
        <v>160</v>
      </c>
      <c r="AF12" s="311" t="s">
        <v>160</v>
      </c>
      <c r="AG12" s="311" t="s">
        <v>160</v>
      </c>
      <c r="AH12" s="311" t="s">
        <v>160</v>
      </c>
      <c r="AI12" s="311" t="s">
        <v>160</v>
      </c>
      <c r="AJ12" s="311">
        <v>0</v>
      </c>
      <c r="AK12" s="311">
        <v>0</v>
      </c>
      <c r="AL12" s="118">
        <v>0</v>
      </c>
      <c r="AM12" s="118">
        <v>0</v>
      </c>
      <c r="AN12" s="118">
        <v>0</v>
      </c>
      <c r="AO12" s="118">
        <v>0</v>
      </c>
      <c r="AP12" s="118">
        <v>0</v>
      </c>
      <c r="AQ12" s="118">
        <f>+'[3]4.2 Analise de Sensibilidade'!$B19</f>
        <v>0</v>
      </c>
      <c r="AR12" s="118">
        <f>+'[3]4.2 Analise de Sensibilidade'!$B19</f>
        <v>0</v>
      </c>
      <c r="AS12" s="118">
        <f>+'[3]4.2 Analise de Sensibilidade'!$B19</f>
        <v>0</v>
      </c>
      <c r="AT12" s="118"/>
      <c r="AU12" s="118">
        <v>0</v>
      </c>
      <c r="AV12" s="118">
        <v>0</v>
      </c>
      <c r="AW12" s="118">
        <v>0</v>
      </c>
      <c r="AX12" s="118">
        <v>0</v>
      </c>
      <c r="AY12" s="118">
        <v>0</v>
      </c>
      <c r="AZ12" s="118">
        <v>0</v>
      </c>
      <c r="BA12" s="118">
        <v>0</v>
      </c>
      <c r="BB12" s="118">
        <v>0</v>
      </c>
    </row>
    <row r="13" spans="1:54" collapsed="1" x14ac:dyDescent="0.2">
      <c r="A13" t="s">
        <v>179</v>
      </c>
      <c r="B13" t="s">
        <v>875</v>
      </c>
      <c r="D13" s="126" t="str">
        <f>IF([1]RENAME!$H$3=1,B13,A13)</f>
        <v>Exposição líquida</v>
      </c>
      <c r="E13" s="120">
        <f>SUM(E6:E12)</f>
        <v>-273927</v>
      </c>
      <c r="F13" s="120">
        <f t="shared" ref="F13:AB13" si="10">SUM(F6:F12)</f>
        <v>-236559</v>
      </c>
      <c r="G13" s="120">
        <f t="shared" si="10"/>
        <v>-302958</v>
      </c>
      <c r="H13" s="120">
        <f t="shared" si="10"/>
        <v>-265475</v>
      </c>
      <c r="I13" s="120">
        <f t="shared" si="10"/>
        <v>-183689</v>
      </c>
      <c r="J13" s="120">
        <f t="shared" si="10"/>
        <v>-232969</v>
      </c>
      <c r="K13" s="120">
        <f t="shared" si="10"/>
        <v>-156805</v>
      </c>
      <c r="L13" s="120">
        <f t="shared" si="10"/>
        <v>-150038</v>
      </c>
      <c r="M13" s="120">
        <f t="shared" si="10"/>
        <v>-109172</v>
      </c>
      <c r="N13" s="120">
        <f t="shared" si="10"/>
        <v>-123377</v>
      </c>
      <c r="O13" s="120">
        <f t="shared" si="10"/>
        <v>-99815</v>
      </c>
      <c r="P13" s="120">
        <f t="shared" si="10"/>
        <v>-98719</v>
      </c>
      <c r="Q13" s="120">
        <f t="shared" si="10"/>
        <v>-95698</v>
      </c>
      <c r="R13" s="120">
        <f t="shared" si="10"/>
        <v>-91201</v>
      </c>
      <c r="S13" s="120">
        <f t="shared" si="10"/>
        <v>-74944</v>
      </c>
      <c r="T13" s="120">
        <f t="shared" si="10"/>
        <v>-74568</v>
      </c>
      <c r="U13" s="120">
        <f t="shared" si="10"/>
        <v>-29105</v>
      </c>
      <c r="V13" s="120">
        <f t="shared" si="10"/>
        <v>-57849</v>
      </c>
      <c r="W13" s="120">
        <f t="shared" si="10"/>
        <v>-62188</v>
      </c>
      <c r="X13" s="120">
        <f t="shared" si="10"/>
        <v>-76380</v>
      </c>
      <c r="Y13" s="120">
        <f t="shared" si="10"/>
        <v>-35751</v>
      </c>
      <c r="Z13" s="120">
        <f t="shared" si="10"/>
        <v>-33220</v>
      </c>
      <c r="AA13" s="120">
        <v>-28923</v>
      </c>
      <c r="AB13" s="120">
        <f t="shared" si="10"/>
        <v>-71455</v>
      </c>
      <c r="AC13" s="120">
        <f t="shared" ref="AC13:AK13" si="11">SUM(AC6:AC12)</f>
        <v>-8523</v>
      </c>
      <c r="AD13" s="120">
        <f t="shared" si="11"/>
        <v>18833</v>
      </c>
      <c r="AE13" s="120">
        <f t="shared" si="11"/>
        <v>-9293</v>
      </c>
      <c r="AF13" s="120">
        <f t="shared" si="11"/>
        <v>16233</v>
      </c>
      <c r="AG13" s="120">
        <f t="shared" si="11"/>
        <v>49819</v>
      </c>
      <c r="AH13" s="120">
        <f t="shared" si="11"/>
        <v>46066</v>
      </c>
      <c r="AI13" s="120">
        <f t="shared" si="11"/>
        <v>41005</v>
      </c>
      <c r="AJ13" s="120">
        <f t="shared" si="11"/>
        <v>17056</v>
      </c>
      <c r="AK13" s="120">
        <f t="shared" si="11"/>
        <v>88076</v>
      </c>
      <c r="AL13" s="120">
        <f t="shared" ref="AL13:AQ13" si="12">SUM(AL6:AL12)</f>
        <v>44019</v>
      </c>
      <c r="AM13" s="120">
        <f t="shared" si="12"/>
        <v>68925</v>
      </c>
      <c r="AN13" s="120">
        <f t="shared" si="12"/>
        <v>86995</v>
      </c>
      <c r="AO13" s="120">
        <f t="shared" si="12"/>
        <v>150943</v>
      </c>
      <c r="AP13" s="120">
        <f t="shared" si="12"/>
        <v>145020</v>
      </c>
      <c r="AQ13" s="120">
        <f t="shared" si="12"/>
        <v>162188</v>
      </c>
      <c r="AR13" s="120">
        <f t="shared" ref="AR13:AX13" si="13">SUM(AR6:AR12)</f>
        <v>129104</v>
      </c>
      <c r="AS13" s="120">
        <f t="shared" si="13"/>
        <v>191603</v>
      </c>
      <c r="AT13" s="120">
        <f t="shared" si="13"/>
        <v>176024</v>
      </c>
      <c r="AU13" s="120">
        <f t="shared" si="13"/>
        <v>152588</v>
      </c>
      <c r="AV13" s="120">
        <f>SUM(AV6:AV12)</f>
        <v>133488</v>
      </c>
      <c r="AW13" s="120">
        <f t="shared" si="13"/>
        <v>228360</v>
      </c>
      <c r="AX13" s="120">
        <f t="shared" si="13"/>
        <v>235144</v>
      </c>
      <c r="AY13" s="120">
        <f>SUM(AY6:AY12)</f>
        <v>158851</v>
      </c>
      <c r="AZ13" s="120">
        <f>SUM(AZ6:AZ12)</f>
        <v>-13839</v>
      </c>
      <c r="BA13" s="120">
        <f>SUM(BA6:BA12)</f>
        <v>58537</v>
      </c>
      <c r="BB13" s="120">
        <f>SUM(BB6:BB12)</f>
        <v>69134</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18">
    <pageSetUpPr autoPageBreaks="0"/>
  </sheetPr>
  <dimension ref="A1:Q378"/>
  <sheetViews>
    <sheetView showGridLines="0" zoomScaleNormal="100" workbookViewId="0">
      <pane xSplit="3" ySplit="5" topLeftCell="D6" activePane="bottomRight" state="frozen"/>
      <selection activeCell="AY7" sqref="AY7"/>
      <selection pane="topRight" activeCell="AY7" sqref="AY7"/>
      <selection pane="bottomLeft" activeCell="AY7" sqref="AY7"/>
      <selection pane="bottomRight" activeCell="E7" sqref="E7"/>
    </sheetView>
  </sheetViews>
  <sheetFormatPr defaultRowHeight="12.75" x14ac:dyDescent="0.2"/>
  <cols>
    <col min="1" max="1" width="27.140625" hidden="1" customWidth="1"/>
    <col min="2" max="2" width="20" hidden="1" customWidth="1"/>
    <col min="3" max="3" width="1.42578125" customWidth="1"/>
    <col min="4" max="4" width="38.42578125" bestFit="1" customWidth="1"/>
    <col min="5" max="9" width="10.85546875" customWidth="1"/>
    <col min="10" max="10" width="1.42578125" customWidth="1"/>
    <col min="11" max="11" width="38.42578125" bestFit="1" customWidth="1"/>
    <col min="12" max="18" width="10.85546875" customWidth="1"/>
  </cols>
  <sheetData>
    <row r="1" spans="1:17" ht="7.5" customHeight="1" x14ac:dyDescent="0.2">
      <c r="E1" s="547" t="s">
        <v>2186</v>
      </c>
      <c r="F1" s="547" t="s">
        <v>2188</v>
      </c>
      <c r="G1" s="547" t="s">
        <v>161</v>
      </c>
      <c r="H1" s="547" t="s">
        <v>162</v>
      </c>
      <c r="I1" s="547" t="s">
        <v>2104</v>
      </c>
      <c r="J1" s="547"/>
      <c r="K1" s="547" t="s">
        <v>97</v>
      </c>
      <c r="L1" s="547" t="s">
        <v>2186</v>
      </c>
      <c r="M1" s="547" t="s">
        <v>2188</v>
      </c>
      <c r="N1" s="547" t="s">
        <v>161</v>
      </c>
      <c r="O1" s="547" t="s">
        <v>162</v>
      </c>
      <c r="P1" s="547" t="s">
        <v>2104</v>
      </c>
      <c r="Q1" s="547"/>
    </row>
    <row r="2" spans="1:17" x14ac:dyDescent="0.2">
      <c r="E2" s="551" t="s">
        <v>2187</v>
      </c>
      <c r="F2" s="551" t="s">
        <v>2189</v>
      </c>
      <c r="G2" s="551" t="s">
        <v>1069</v>
      </c>
      <c r="H2" s="551" t="s">
        <v>1094</v>
      </c>
      <c r="I2" s="551" t="s">
        <v>2105</v>
      </c>
      <c r="J2" s="547"/>
      <c r="K2" s="547" t="s">
        <v>872</v>
      </c>
      <c r="L2" s="551" t="s">
        <v>2187</v>
      </c>
      <c r="M2" s="551" t="s">
        <v>2189</v>
      </c>
      <c r="N2" s="547" t="s">
        <v>1069</v>
      </c>
      <c r="O2" s="547" t="s">
        <v>1094</v>
      </c>
      <c r="P2" s="547" t="s">
        <v>2105</v>
      </c>
      <c r="Q2" s="547"/>
    </row>
    <row r="3" spans="1:17" x14ac:dyDescent="0.2">
      <c r="D3" s="40"/>
      <c r="E3" s="547"/>
      <c r="F3" s="547"/>
      <c r="G3" s="547"/>
      <c r="H3" s="547"/>
      <c r="I3" s="547"/>
      <c r="J3" s="547"/>
      <c r="K3" s="547"/>
      <c r="L3" s="547"/>
      <c r="M3" s="547"/>
      <c r="N3" s="547"/>
    </row>
    <row r="4" spans="1:17" x14ac:dyDescent="0.2">
      <c r="D4" s="40"/>
      <c r="H4" s="1175"/>
      <c r="I4" s="1175"/>
    </row>
    <row r="5" spans="1:17" ht="25.5" x14ac:dyDescent="0.2">
      <c r="A5" t="s">
        <v>96</v>
      </c>
      <c r="B5" t="s">
        <v>866</v>
      </c>
      <c r="D5" s="141" t="str">
        <f>IF([1]RENAME!$H$3=1,B5,A5)</f>
        <v>Consolidado</v>
      </c>
      <c r="E5" s="139" t="str">
        <f>IF([1]RENAME!$H$3=1,E2,E1)</f>
        <v>Valor contábil</v>
      </c>
      <c r="F5" s="139" t="str">
        <f>IF([1]RENAME!$H$3=1,F2,F1)</f>
        <v>Fluxo financeiro</v>
      </c>
      <c r="G5" s="139" t="str">
        <f>IF([1]RENAME!$H$3=1,G2,G1)</f>
        <v>Menos de 1 ano</v>
      </c>
      <c r="H5" s="139" t="str">
        <f>IF([1]RENAME!$H$3=1,H2,H1)</f>
        <v>Entre 1 e 2 anos</v>
      </c>
      <c r="I5" s="139" t="str">
        <f>IF([1]RENAME!$H$3=1,I2,I1)</f>
        <v>Entre 2 e 16 anos</v>
      </c>
      <c r="K5" s="139" t="str">
        <f>IF([1]RENAME!$H$3=1,K2,K1)</f>
        <v>Controladora</v>
      </c>
      <c r="L5" s="139" t="str">
        <f>IF([1]RENAME!$H$3=1,L2,L1)</f>
        <v>Valor contábil</v>
      </c>
      <c r="M5" s="139" t="str">
        <f>IF([1]RENAME!$H$3=1,M2,M1)</f>
        <v>Fluxo financeiro</v>
      </c>
      <c r="N5" s="139" t="str">
        <f>IF([1]RENAME!$H$3=1,N2,N1)</f>
        <v>Menos de 1 ano</v>
      </c>
      <c r="O5" s="139" t="str">
        <f>IF([1]RENAME!$H$3=1,O2,O1)</f>
        <v>Entre 1 e 2 anos</v>
      </c>
      <c r="P5" s="139" t="str">
        <f>IF([1]RENAME!$H$3=1,P2,P1)</f>
        <v>Entre 2 e 16 anos</v>
      </c>
    </row>
    <row r="6" spans="1:17" x14ac:dyDescent="0.2">
      <c r="A6" t="s">
        <v>16</v>
      </c>
      <c r="B6" t="s">
        <v>867</v>
      </c>
      <c r="D6" s="129" t="str">
        <f>IF([1]RENAME!$H$3=1,B6,A6)</f>
        <v>Empréstimos e financiamentos</v>
      </c>
      <c r="E6" s="118">
        <f>'[3]4.d Risco de Liquidez NL'!$F$32</f>
        <v>0</v>
      </c>
      <c r="F6" s="118">
        <f>'[3]4.d Risco de Liquidez NL'!$H32</f>
        <v>0</v>
      </c>
      <c r="G6" s="118">
        <f>'[3]4.d Risco de Liquidez NL'!$J$32</f>
        <v>0</v>
      </c>
      <c r="H6" s="118">
        <f>'[3]4.d Risco de Liquidez NL'!$L$32</f>
        <v>0</v>
      </c>
      <c r="I6" s="118">
        <f>'[3]4.d Risco de Liquidez NL'!$N$32</f>
        <v>0</v>
      </c>
      <c r="K6" s="129" t="str">
        <f t="shared" ref="K6:K11" si="0">D6</f>
        <v>Empréstimos e financiamentos</v>
      </c>
      <c r="L6" s="118">
        <f>'[3]4.d Risco de Liquidez NL'!$F$6</f>
        <v>112090</v>
      </c>
      <c r="M6" s="118">
        <f>'[3]4.d Risco de Liquidez NL'!$H$6</f>
        <v>144364</v>
      </c>
      <c r="N6" s="118">
        <f>'[3]4.d Risco de Liquidez NL'!$J$6</f>
        <v>42398</v>
      </c>
      <c r="O6" s="118">
        <f>'[3]4.d Risco de Liquidez NL'!$L$6</f>
        <v>58277</v>
      </c>
      <c r="P6" s="118">
        <f>'[3]4.d Risco de Liquidez NL'!$N$6</f>
        <v>43689</v>
      </c>
    </row>
    <row r="7" spans="1:17" x14ac:dyDescent="0.2">
      <c r="A7" t="s">
        <v>1779</v>
      </c>
      <c r="B7" t="s">
        <v>2103</v>
      </c>
      <c r="D7" s="129" t="str">
        <f>IF([1]RENAME!$H$3=1,B7,A7)</f>
        <v>Arrendamento</v>
      </c>
      <c r="E7" s="118">
        <f>'[3]4.d Risco de Liquidez NL'!$F$33</f>
        <v>141014</v>
      </c>
      <c r="F7" s="118">
        <f>'[3]4.d Risco de Liquidez NL'!H33</f>
        <v>197363</v>
      </c>
      <c r="G7" s="118">
        <f>'[3]4.d Risco de Liquidez NL'!$J$33</f>
        <v>48113</v>
      </c>
      <c r="H7" s="118">
        <f>'[3]4.d Risco de Liquidez NL'!$L$33</f>
        <v>65288</v>
      </c>
      <c r="I7" s="118">
        <f>'[3]4.d Risco de Liquidez NL'!$N$33</f>
        <v>83962</v>
      </c>
      <c r="K7" s="129" t="str">
        <f t="shared" si="0"/>
        <v>Arrendamento</v>
      </c>
      <c r="L7" s="118">
        <f>'[3]4.d Risco de Liquidez NL'!$F$7</f>
        <v>128</v>
      </c>
      <c r="M7" s="118">
        <f>'[3]4.d Risco de Liquidez NL'!$H$7</f>
        <v>128</v>
      </c>
      <c r="N7" s="118">
        <f>'[3]4.d Risco de Liquidez NL'!$J$7</f>
        <v>0</v>
      </c>
      <c r="O7" s="118">
        <f>'[3]4.d Risco de Liquidez NL'!$L$7</f>
        <v>0</v>
      </c>
      <c r="P7" s="118">
        <f>'[3]4.d Risco de Liquidez NL'!$N$7</f>
        <v>128</v>
      </c>
    </row>
    <row r="8" spans="1:17" x14ac:dyDescent="0.2">
      <c r="A8" t="s">
        <v>164</v>
      </c>
      <c r="B8" t="s">
        <v>667</v>
      </c>
      <c r="D8" s="129" t="str">
        <f>IF([1]RENAME!$H$3=1,B8,A8)</f>
        <v>Fornecedores e fretes a pagar</v>
      </c>
      <c r="E8" s="118">
        <f>'[3]4.d Risco de Liquidez NL'!$F$34</f>
        <v>308</v>
      </c>
      <c r="F8" s="118">
        <f>'[3]4.d Risco de Liquidez NL'!$H$34</f>
        <v>308</v>
      </c>
      <c r="G8" s="118">
        <f>'[3]4.d Risco de Liquidez NL'!$J$34</f>
        <v>0</v>
      </c>
      <c r="H8" s="118">
        <f>'[3]4.d Risco de Liquidez NL'!$L$34</f>
        <v>0</v>
      </c>
      <c r="I8" s="118">
        <f>'[3]4.d Risco de Liquidez NL'!$N$34</f>
        <v>308</v>
      </c>
      <c r="K8" s="129" t="str">
        <f t="shared" si="0"/>
        <v>Fornecedores e fretes a pagar</v>
      </c>
      <c r="L8" s="118">
        <f>'[3]4.d Risco de Liquidez NL'!$F$8</f>
        <v>74359</v>
      </c>
      <c r="M8" s="118">
        <f>'[3]4.d Risco de Liquidez NL'!$H$8</f>
        <v>97093</v>
      </c>
      <c r="N8" s="118">
        <f>'[3]4.d Risco de Liquidez NL'!$J$8</f>
        <v>38770</v>
      </c>
      <c r="O8" s="118">
        <f>'[3]4.d Risco de Liquidez NL'!$L$8</f>
        <v>22880</v>
      </c>
      <c r="P8" s="118">
        <f>'[3]4.d Risco de Liquidez NL'!$N$8</f>
        <v>35443</v>
      </c>
    </row>
    <row r="9" spans="1:17" x14ac:dyDescent="0.2">
      <c r="A9" t="s">
        <v>24</v>
      </c>
      <c r="B9" t="s">
        <v>868</v>
      </c>
      <c r="D9" s="129" t="str">
        <f>IF([1]RENAME!$H$3=1,B9,A9)</f>
        <v>Demais contas a pagar</v>
      </c>
      <c r="E9" s="118">
        <f>'[3]4.d Risco de Liquidez NL'!$F$35</f>
        <v>83244</v>
      </c>
      <c r="F9" s="118">
        <f>'[3]4.d Risco de Liquidez NL'!$H$35</f>
        <v>107481</v>
      </c>
      <c r="G9" s="118">
        <f>'[3]4.d Risco de Liquidez NL'!$J$35</f>
        <v>44879</v>
      </c>
      <c r="H9" s="118">
        <f>'[3]4.d Risco de Liquidez NL'!$L$35</f>
        <v>26237</v>
      </c>
      <c r="I9" s="118">
        <f>'[3]4.d Risco de Liquidez NL'!$N$35</f>
        <v>36365</v>
      </c>
      <c r="K9" s="129" t="str">
        <f t="shared" si="0"/>
        <v>Demais contas a pagar</v>
      </c>
      <c r="L9" s="118">
        <f>'[3]4.d Risco de Liquidez NL'!$F$9</f>
        <v>70640</v>
      </c>
      <c r="M9" s="118">
        <f>'[3]4.d Risco de Liquidez NL'!$H$9</f>
        <v>70640</v>
      </c>
      <c r="N9" s="118">
        <f>'[3]4.d Risco de Liquidez NL'!$J$9</f>
        <v>70640</v>
      </c>
      <c r="O9" s="118">
        <f>'[3]4.d Risco de Liquidez NL'!$L$9</f>
        <v>0</v>
      </c>
      <c r="P9" s="118">
        <f>'[3]4.d Risco de Liquidez NL'!$N$9</f>
        <v>0</v>
      </c>
    </row>
    <row r="10" spans="1:17" x14ac:dyDescent="0.2">
      <c r="A10" t="s">
        <v>25</v>
      </c>
      <c r="B10" t="s">
        <v>1349</v>
      </c>
      <c r="D10" s="129" t="str">
        <f>IF([1]RENAME!$H$3=1,B10,A10)</f>
        <v>Partes relacionadas</v>
      </c>
      <c r="E10" s="118">
        <f>'[3]4.d Risco de Liquidez NL'!$F$36</f>
        <v>77654</v>
      </c>
      <c r="F10" s="118">
        <f>'[3]4.d Risco de Liquidez NL'!$H$36</f>
        <v>77654</v>
      </c>
      <c r="G10" s="118">
        <f>'[3]4.d Risco de Liquidez NL'!$J$36</f>
        <v>77654</v>
      </c>
      <c r="H10" s="118">
        <f>'[3]4.d Risco de Liquidez NL'!$L$36</f>
        <v>0</v>
      </c>
      <c r="I10" s="118">
        <f>'[3]4.d Risco de Liquidez NL'!$N$36</f>
        <v>0</v>
      </c>
      <c r="K10" s="129" t="str">
        <f t="shared" si="0"/>
        <v>Partes relacionadas</v>
      </c>
      <c r="L10" s="118">
        <f>'[3]4.d Risco de Liquidez NL'!$F$10</f>
        <v>37454</v>
      </c>
      <c r="M10" s="118">
        <f>'[3]4.d Risco de Liquidez NL'!$H$10</f>
        <v>37454</v>
      </c>
      <c r="N10" s="118">
        <f>'[3]4.d Risco de Liquidez NL'!$J$10</f>
        <v>37454</v>
      </c>
      <c r="O10" s="118">
        <f>'[3]4.d Risco de Liquidez NL'!$L$10</f>
        <v>0</v>
      </c>
      <c r="P10" s="118">
        <f>'[3]4.d Risco de Liquidez NL'!$N$10</f>
        <v>0</v>
      </c>
    </row>
    <row r="11" spans="1:17" x14ac:dyDescent="0.2">
      <c r="A11" t="s">
        <v>2393</v>
      </c>
      <c r="B11" t="s">
        <v>2392</v>
      </c>
      <c r="D11" s="126" t="str">
        <f>IF([1]RENAME!$H$3=1,B11,A11)</f>
        <v>Em 30 junho de 2026</v>
      </c>
      <c r="E11" s="120">
        <f>SUM(E6:E10)</f>
        <v>302220</v>
      </c>
      <c r="F11" s="120">
        <f>SUM(F6:F10)</f>
        <v>382806</v>
      </c>
      <c r="G11" s="120">
        <f>SUM(G6:G10)</f>
        <v>170646</v>
      </c>
      <c r="H11" s="120">
        <f>SUM(H6:H10)</f>
        <v>91525</v>
      </c>
      <c r="I11" s="120">
        <f>SUM(I6:I10)</f>
        <v>120635</v>
      </c>
      <c r="K11" s="126" t="str">
        <f t="shared" si="0"/>
        <v>Em 30 junho de 2026</v>
      </c>
      <c r="L11" s="120">
        <f>SUM(L6:L10)</f>
        <v>294671</v>
      </c>
      <c r="M11" s="120">
        <f>SUM(M6:M10)</f>
        <v>349679</v>
      </c>
      <c r="N11" s="120">
        <f>SUM(N6:N10)</f>
        <v>189262</v>
      </c>
      <c r="O11" s="120">
        <f>SUM(O6:O10)</f>
        <v>81157</v>
      </c>
      <c r="P11" s="120">
        <f>SUM(P6:P10)</f>
        <v>79260</v>
      </c>
    </row>
    <row r="12" spans="1:17" x14ac:dyDescent="0.2">
      <c r="A12" t="s">
        <v>16</v>
      </c>
      <c r="B12" t="s">
        <v>867</v>
      </c>
      <c r="D12" s="129" t="str">
        <f>IF([1]RENAME!$H$3=1,B12,A12)</f>
        <v>Empréstimos e financiamentos</v>
      </c>
      <c r="E12" s="118">
        <v>125204</v>
      </c>
      <c r="F12" s="118">
        <v>421248</v>
      </c>
      <c r="G12" s="118">
        <v>44914</v>
      </c>
      <c r="H12" s="118">
        <v>60933</v>
      </c>
      <c r="I12" s="118">
        <v>77974</v>
      </c>
      <c r="K12" s="129" t="str">
        <f t="shared" ref="K12:K17" si="1">D12</f>
        <v>Empréstimos e financiamentos</v>
      </c>
      <c r="L12" s="118">
        <f>'[3]4.d Risco de Liquidez NL'!$F$6</f>
        <v>112090</v>
      </c>
      <c r="M12" s="118">
        <f>'[3]4.d Risco de Liquidez NL'!$H$6</f>
        <v>144364</v>
      </c>
      <c r="N12" s="118">
        <f>'[3]4.d Risco de Liquidez NL'!$J$6</f>
        <v>42398</v>
      </c>
      <c r="O12" s="118">
        <f>'[3]4.d Risco de Liquidez NL'!$L$6</f>
        <v>58277</v>
      </c>
      <c r="P12" s="118">
        <f>'[3]4.d Risco de Liquidez NL'!$N$6</f>
        <v>43689</v>
      </c>
    </row>
    <row r="13" spans="1:17" x14ac:dyDescent="0.2">
      <c r="A13" t="s">
        <v>1779</v>
      </c>
      <c r="B13" t="s">
        <v>2103</v>
      </c>
      <c r="D13" s="129" t="str">
        <f>IF([1]RENAME!$H$3=1,B13,A13)</f>
        <v>Arrendamento</v>
      </c>
      <c r="E13" s="118">
        <v>67191</v>
      </c>
      <c r="F13" s="118">
        <v>0</v>
      </c>
      <c r="G13" s="118">
        <v>46196</v>
      </c>
      <c r="H13" s="118">
        <v>26428</v>
      </c>
      <c r="I13" s="118">
        <v>22994</v>
      </c>
      <c r="K13" s="129" t="str">
        <f t="shared" si="1"/>
        <v>Arrendamento</v>
      </c>
      <c r="L13" s="118">
        <f>'[3]4.d Risco de Liquidez NL'!$F$7</f>
        <v>128</v>
      </c>
      <c r="M13" s="118">
        <f>'[3]4.d Risco de Liquidez NL'!$H$7</f>
        <v>128</v>
      </c>
      <c r="N13" s="118">
        <f>'[3]4.d Risco de Liquidez NL'!$J$7</f>
        <v>0</v>
      </c>
      <c r="O13" s="118">
        <f>'[3]4.d Risco de Liquidez NL'!$L$7</f>
        <v>0</v>
      </c>
      <c r="P13" s="118">
        <f>'[3]4.d Risco de Liquidez NL'!$N$7</f>
        <v>128</v>
      </c>
    </row>
    <row r="14" spans="1:17" x14ac:dyDescent="0.2">
      <c r="A14" t="s">
        <v>164</v>
      </c>
      <c r="B14" t="s">
        <v>667</v>
      </c>
      <c r="D14" s="129" t="str">
        <f>IF([1]RENAME!$H$3=1,B14,A14)</f>
        <v>Fornecedores e fretes a pagar</v>
      </c>
      <c r="E14" s="118">
        <v>68197</v>
      </c>
      <c r="F14" s="118">
        <v>68197</v>
      </c>
      <c r="G14" s="118">
        <v>68197</v>
      </c>
      <c r="H14" s="118">
        <v>0</v>
      </c>
      <c r="I14" s="118">
        <v>0</v>
      </c>
      <c r="K14" s="129" t="str">
        <f t="shared" si="1"/>
        <v>Fornecedores e fretes a pagar</v>
      </c>
      <c r="L14" s="118">
        <f>'[3]4.d Risco de Liquidez NL'!$F$8</f>
        <v>74359</v>
      </c>
      <c r="M14" s="118">
        <f>'[3]4.d Risco de Liquidez NL'!$H$8</f>
        <v>97093</v>
      </c>
      <c r="N14" s="118">
        <f>'[3]4.d Risco de Liquidez NL'!$J$8</f>
        <v>38770</v>
      </c>
      <c r="O14" s="118">
        <f>'[3]4.d Risco de Liquidez NL'!$L$8</f>
        <v>22880</v>
      </c>
      <c r="P14" s="118">
        <f>'[3]4.d Risco de Liquidez NL'!$N$8</f>
        <v>35443</v>
      </c>
    </row>
    <row r="15" spans="1:17" x14ac:dyDescent="0.2">
      <c r="A15" t="s">
        <v>24</v>
      </c>
      <c r="B15" t="s">
        <v>868</v>
      </c>
      <c r="D15" s="129" t="str">
        <f>IF([1]RENAME!$H$3=1,B15,A15)</f>
        <v>Demais contas a pagar</v>
      </c>
      <c r="E15" s="118">
        <v>65281</v>
      </c>
      <c r="F15" s="118">
        <v>65281</v>
      </c>
      <c r="G15" s="118">
        <v>65281</v>
      </c>
      <c r="H15" s="118">
        <v>0</v>
      </c>
      <c r="I15" s="118">
        <v>0</v>
      </c>
      <c r="K15" s="129" t="str">
        <f t="shared" si="1"/>
        <v>Demais contas a pagar</v>
      </c>
      <c r="L15" s="118">
        <f>'[3]4.d Risco de Liquidez NL'!$F$9</f>
        <v>70640</v>
      </c>
      <c r="M15" s="118">
        <f>'[3]4.d Risco de Liquidez NL'!$H$9</f>
        <v>70640</v>
      </c>
      <c r="N15" s="118">
        <f>'[3]4.d Risco de Liquidez NL'!$J$9</f>
        <v>70640</v>
      </c>
      <c r="O15" s="118">
        <f>'[3]4.d Risco de Liquidez NL'!$L$9</f>
        <v>0</v>
      </c>
      <c r="P15" s="118">
        <f>'[3]4.d Risco de Liquidez NL'!$N$9</f>
        <v>0</v>
      </c>
    </row>
    <row r="16" spans="1:17" x14ac:dyDescent="0.2">
      <c r="A16" t="s">
        <v>25</v>
      </c>
      <c r="B16" t="s">
        <v>1349</v>
      </c>
      <c r="D16" s="129" t="str">
        <f>IF([1]RENAME!$H$3=1,B16,A16)</f>
        <v>Partes relacionadas</v>
      </c>
      <c r="E16" s="118">
        <v>8331</v>
      </c>
      <c r="F16" s="118">
        <v>8331</v>
      </c>
      <c r="G16" s="118">
        <v>952</v>
      </c>
      <c r="H16" s="118">
        <v>7379</v>
      </c>
      <c r="I16" s="118">
        <v>0</v>
      </c>
      <c r="K16" s="129" t="str">
        <f t="shared" si="1"/>
        <v>Partes relacionadas</v>
      </c>
      <c r="L16" s="118">
        <f>'[3]4.d Risco de Liquidez NL'!$F$10</f>
        <v>37454</v>
      </c>
      <c r="M16" s="118">
        <f>'[3]4.d Risco de Liquidez NL'!$H$10</f>
        <v>37454</v>
      </c>
      <c r="N16" s="118">
        <f>'[3]4.d Risco de Liquidez NL'!$J$10</f>
        <v>37454</v>
      </c>
      <c r="O16" s="118">
        <f>'[3]4.d Risco de Liquidez NL'!$L$10</f>
        <v>0</v>
      </c>
      <c r="P16" s="118">
        <f>'[3]4.d Risco de Liquidez NL'!$N$10</f>
        <v>0</v>
      </c>
    </row>
    <row r="17" spans="1:16" x14ac:dyDescent="0.2">
      <c r="A17" t="s">
        <v>2323</v>
      </c>
      <c r="B17" t="s">
        <v>2322</v>
      </c>
      <c r="D17" s="126" t="str">
        <f>IF([1]RENAME!$H$3=1,B17,A17)</f>
        <v>Em 31 março de 2026</v>
      </c>
      <c r="E17" s="120">
        <f>SUM(E12:E16)</f>
        <v>334204</v>
      </c>
      <c r="F17" s="120">
        <f>SUM(F12:F16)</f>
        <v>563057</v>
      </c>
      <c r="G17" s="120">
        <f>SUM(G12:G16)</f>
        <v>225540</v>
      </c>
      <c r="H17" s="120">
        <f>SUM(H12:H16)</f>
        <v>94740</v>
      </c>
      <c r="I17" s="120">
        <f>SUM(I12:I16)</f>
        <v>100968</v>
      </c>
      <c r="K17" s="126" t="str">
        <f t="shared" si="1"/>
        <v>Em 31 março de 2026</v>
      </c>
      <c r="L17" s="120">
        <f>SUM(L12:L16)</f>
        <v>294671</v>
      </c>
      <c r="M17" s="120">
        <f>SUM(M12:M16)</f>
        <v>349679</v>
      </c>
      <c r="N17" s="120">
        <f>SUM(N12:N16)</f>
        <v>189262</v>
      </c>
      <c r="O17" s="120">
        <f>SUM(O12:O16)</f>
        <v>81157</v>
      </c>
      <c r="P17" s="120">
        <f>SUM(P12:P16)</f>
        <v>79260</v>
      </c>
    </row>
    <row r="18" spans="1:16" x14ac:dyDescent="0.2">
      <c r="A18" t="s">
        <v>16</v>
      </c>
      <c r="B18" t="s">
        <v>867</v>
      </c>
      <c r="D18" s="129" t="str">
        <f>IF([1]RENAME!$H$3=1,B18,A18)</f>
        <v>Empréstimos e financiamentos</v>
      </c>
      <c r="E18" s="118">
        <v>125950</v>
      </c>
      <c r="F18" s="118">
        <v>188291</v>
      </c>
      <c r="G18" s="118">
        <v>46609</v>
      </c>
      <c r="H18" s="118">
        <v>60802</v>
      </c>
      <c r="I18" s="118">
        <v>80880</v>
      </c>
      <c r="K18" s="129" t="str">
        <f t="shared" ref="K18:K23" si="2">D18</f>
        <v>Empréstimos e financiamentos</v>
      </c>
      <c r="L18" s="118">
        <v>105560</v>
      </c>
      <c r="M18" s="118">
        <v>144022</v>
      </c>
      <c r="N18" s="118">
        <v>36618</v>
      </c>
      <c r="O18" s="118">
        <v>32628</v>
      </c>
      <c r="P18" s="118">
        <v>41114</v>
      </c>
    </row>
    <row r="19" spans="1:16" x14ac:dyDescent="0.2">
      <c r="A19" t="s">
        <v>1779</v>
      </c>
      <c r="B19" t="s">
        <v>2103</v>
      </c>
      <c r="D19" s="129" t="str">
        <f>IF([1]RENAME!$H$3=1,B19,A19)</f>
        <v>Arrendamento</v>
      </c>
      <c r="E19" s="118">
        <v>76067</v>
      </c>
      <c r="F19" s="118">
        <v>95618</v>
      </c>
      <c r="G19" s="118">
        <v>46196</v>
      </c>
      <c r="H19" s="118">
        <v>26428</v>
      </c>
      <c r="I19" s="118">
        <v>22994</v>
      </c>
      <c r="K19" s="129" t="str">
        <f t="shared" si="2"/>
        <v>Arrendamento</v>
      </c>
      <c r="L19" s="118">
        <v>63253</v>
      </c>
      <c r="M19" s="118">
        <v>77239</v>
      </c>
      <c r="N19" s="118">
        <v>39438</v>
      </c>
      <c r="O19" s="118">
        <v>24997</v>
      </c>
      <c r="P19" s="118">
        <v>33711</v>
      </c>
    </row>
    <row r="20" spans="1:16" x14ac:dyDescent="0.2">
      <c r="A20" t="s">
        <v>164</v>
      </c>
      <c r="B20" t="s">
        <v>667</v>
      </c>
      <c r="D20" s="129" t="str">
        <f>IF([1]RENAME!$H$3=1,B20,A20)</f>
        <v>Fornecedores e fretes a pagar</v>
      </c>
      <c r="E20" s="118">
        <v>62248</v>
      </c>
      <c r="F20" s="118">
        <v>62248</v>
      </c>
      <c r="G20" s="118">
        <v>62248</v>
      </c>
      <c r="H20" s="118">
        <v>0</v>
      </c>
      <c r="I20" s="118">
        <v>0</v>
      </c>
      <c r="K20" s="129" t="str">
        <f t="shared" si="2"/>
        <v>Fornecedores e fretes a pagar</v>
      </c>
      <c r="L20" s="118">
        <v>55064</v>
      </c>
      <c r="M20" s="118">
        <v>55064</v>
      </c>
      <c r="N20" s="118">
        <v>56755</v>
      </c>
      <c r="O20" s="118">
        <v>0</v>
      </c>
      <c r="P20" s="118">
        <v>0</v>
      </c>
    </row>
    <row r="21" spans="1:16" x14ac:dyDescent="0.2">
      <c r="A21" t="s">
        <v>24</v>
      </c>
      <c r="B21" t="s">
        <v>868</v>
      </c>
      <c r="D21" s="129" t="str">
        <f>IF([1]RENAME!$H$3=1,B21,A21)</f>
        <v>Demais contas a pagar</v>
      </c>
      <c r="E21" s="118">
        <v>71554</v>
      </c>
      <c r="F21" s="118">
        <v>71554</v>
      </c>
      <c r="G21" s="118">
        <v>71554</v>
      </c>
      <c r="H21" s="118">
        <v>0</v>
      </c>
      <c r="I21" s="118">
        <v>0</v>
      </c>
      <c r="K21" s="129" t="str">
        <f t="shared" si="2"/>
        <v>Demais contas a pagar</v>
      </c>
      <c r="L21" s="118">
        <v>41050</v>
      </c>
      <c r="M21" s="118">
        <v>41050</v>
      </c>
      <c r="N21" s="118">
        <v>39441</v>
      </c>
      <c r="O21" s="118">
        <v>0</v>
      </c>
      <c r="P21" s="118">
        <v>0</v>
      </c>
    </row>
    <row r="22" spans="1:16" x14ac:dyDescent="0.2">
      <c r="A22" t="s">
        <v>25</v>
      </c>
      <c r="B22" t="s">
        <v>1349</v>
      </c>
      <c r="D22" s="129" t="str">
        <f>IF([1]RENAME!$H$3=1,B22,A22)</f>
        <v>Partes relacionadas</v>
      </c>
      <c r="E22" s="118">
        <v>8329</v>
      </c>
      <c r="F22" s="118">
        <v>8329</v>
      </c>
      <c r="G22" s="118">
        <v>950</v>
      </c>
      <c r="H22" s="118">
        <v>7379</v>
      </c>
      <c r="I22" s="118">
        <v>0</v>
      </c>
      <c r="K22" s="129" t="str">
        <f t="shared" si="2"/>
        <v>Partes relacionadas</v>
      </c>
      <c r="L22" s="118">
        <v>2055</v>
      </c>
      <c r="M22" s="118">
        <v>2055</v>
      </c>
      <c r="N22" s="118">
        <v>1209</v>
      </c>
      <c r="O22" s="118">
        <v>504</v>
      </c>
      <c r="P22" s="118">
        <v>0</v>
      </c>
    </row>
    <row r="23" spans="1:16" x14ac:dyDescent="0.2">
      <c r="A23" t="s">
        <v>2299</v>
      </c>
      <c r="B23" t="s">
        <v>2298</v>
      </c>
      <c r="D23" s="126" t="str">
        <f>IF([1]RENAME!$H$3=1,B23,A23)</f>
        <v>Em 31 dezembro de 2025</v>
      </c>
      <c r="E23" s="120">
        <f>SUM(E18:E22)</f>
        <v>344148</v>
      </c>
      <c r="F23" s="120">
        <f>SUM(F18:F22)</f>
        <v>426040</v>
      </c>
      <c r="G23" s="120">
        <f>SUM(G18:G22)</f>
        <v>227557</v>
      </c>
      <c r="H23" s="120">
        <f>SUM(H18:H22)</f>
        <v>94609</v>
      </c>
      <c r="I23" s="120">
        <f>SUM(I18:I22)</f>
        <v>103874</v>
      </c>
      <c r="K23" s="126" t="str">
        <f t="shared" si="2"/>
        <v>Em 31 dezembro de 2025</v>
      </c>
      <c r="L23" s="120">
        <f>SUM(L18:L22)</f>
        <v>266982</v>
      </c>
      <c r="M23" s="120">
        <f>SUM(M18:M22)</f>
        <v>319430</v>
      </c>
      <c r="N23" s="120">
        <f>SUM(N18:N22)</f>
        <v>173461</v>
      </c>
      <c r="O23" s="120">
        <f>SUM(O18:O22)</f>
        <v>58129</v>
      </c>
      <c r="P23" s="120">
        <f>SUM(P18:P22)</f>
        <v>74825</v>
      </c>
    </row>
    <row r="24" spans="1:16" x14ac:dyDescent="0.2">
      <c r="A24" t="s">
        <v>16</v>
      </c>
      <c r="B24" t="s">
        <v>867</v>
      </c>
      <c r="D24" s="129" t="str">
        <f>IF([1]RENAME!$H$3=1,B24,A24)</f>
        <v>Empréstimos e financiamentos</v>
      </c>
      <c r="E24" s="118">
        <v>85819</v>
      </c>
      <c r="F24" s="118">
        <v>139918</v>
      </c>
      <c r="G24" s="118">
        <v>40027</v>
      </c>
      <c r="H24" s="118">
        <v>15278</v>
      </c>
      <c r="I24" s="118">
        <v>84613</v>
      </c>
      <c r="K24" s="129" t="str">
        <f t="shared" ref="K24:K61" si="3">D24</f>
        <v>Empréstimos e financiamentos</v>
      </c>
      <c r="L24" s="118">
        <v>65050</v>
      </c>
      <c r="M24" s="118">
        <v>94444</v>
      </c>
      <c r="N24" s="118">
        <v>36770</v>
      </c>
      <c r="O24" s="118">
        <v>10637</v>
      </c>
      <c r="P24" s="118">
        <v>47037</v>
      </c>
    </row>
    <row r="25" spans="1:16" x14ac:dyDescent="0.2">
      <c r="A25" t="s">
        <v>1779</v>
      </c>
      <c r="B25" t="s">
        <v>2103</v>
      </c>
      <c r="D25" s="129" t="str">
        <f>IF([1]RENAME!$H$3=1,B25,A25)</f>
        <v>Arrendamento</v>
      </c>
      <c r="E25" s="118">
        <v>80989</v>
      </c>
      <c r="F25" s="118">
        <v>99368</v>
      </c>
      <c r="G25" s="118">
        <v>42994</v>
      </c>
      <c r="H25" s="118">
        <v>29569</v>
      </c>
      <c r="I25" s="118">
        <v>26805</v>
      </c>
      <c r="K25" s="129" t="str">
        <f t="shared" si="3"/>
        <v>Arrendamento</v>
      </c>
      <c r="L25" s="118">
        <v>69707</v>
      </c>
      <c r="M25" s="118">
        <v>86157</v>
      </c>
      <c r="N25" s="118">
        <v>36667</v>
      </c>
      <c r="O25" s="118">
        <v>22918</v>
      </c>
      <c r="P25" s="118">
        <v>26572</v>
      </c>
    </row>
    <row r="26" spans="1:16" x14ac:dyDescent="0.2">
      <c r="A26" t="s">
        <v>164</v>
      </c>
      <c r="B26" t="s">
        <v>667</v>
      </c>
      <c r="D26" s="129" t="str">
        <f>IF([1]RENAME!$H$3=1,B26,A26)</f>
        <v>Fornecedores e fretes a pagar</v>
      </c>
      <c r="E26" s="118">
        <v>59589</v>
      </c>
      <c r="F26" s="118">
        <v>59589</v>
      </c>
      <c r="G26" s="118">
        <v>59589</v>
      </c>
      <c r="H26" s="118">
        <v>0</v>
      </c>
      <c r="I26" s="118">
        <v>0</v>
      </c>
      <c r="K26" s="129" t="str">
        <f t="shared" si="3"/>
        <v>Fornecedores e fretes a pagar</v>
      </c>
      <c r="L26" s="118">
        <v>53580</v>
      </c>
      <c r="M26" s="118">
        <v>53580</v>
      </c>
      <c r="N26" s="118">
        <v>53580</v>
      </c>
      <c r="O26" s="118">
        <v>0</v>
      </c>
      <c r="P26" s="118">
        <v>0</v>
      </c>
    </row>
    <row r="27" spans="1:16" x14ac:dyDescent="0.2">
      <c r="A27" t="s">
        <v>24</v>
      </c>
      <c r="B27" t="s">
        <v>868</v>
      </c>
      <c r="D27" s="129" t="str">
        <f>IF([1]RENAME!$H$3=1,B27,A27)</f>
        <v>Demais contas a pagar</v>
      </c>
      <c r="E27" s="118">
        <v>42920</v>
      </c>
      <c r="F27" s="118">
        <v>42920</v>
      </c>
      <c r="G27" s="118">
        <v>42920</v>
      </c>
      <c r="H27" s="118">
        <v>0</v>
      </c>
      <c r="I27" s="118">
        <v>0</v>
      </c>
      <c r="K27" s="129" t="str">
        <f t="shared" si="3"/>
        <v>Demais contas a pagar</v>
      </c>
      <c r="L27" s="118">
        <v>35957</v>
      </c>
      <c r="M27" s="118">
        <v>35957</v>
      </c>
      <c r="N27" s="118">
        <v>35957</v>
      </c>
      <c r="O27" s="118">
        <v>0</v>
      </c>
      <c r="P27" s="118">
        <v>0</v>
      </c>
    </row>
    <row r="28" spans="1:16" x14ac:dyDescent="0.2">
      <c r="A28" t="s">
        <v>25</v>
      </c>
      <c r="B28" t="s">
        <v>1349</v>
      </c>
      <c r="D28" s="129" t="str">
        <f>IF([1]RENAME!$H$3=1,B28,A28)</f>
        <v>Partes relacionadas</v>
      </c>
      <c r="E28" s="118">
        <v>8264</v>
      </c>
      <c r="F28" s="118">
        <v>8264</v>
      </c>
      <c r="G28" s="118">
        <v>885</v>
      </c>
      <c r="H28" s="118">
        <v>7379</v>
      </c>
      <c r="I28" s="118">
        <v>0</v>
      </c>
      <c r="K28" s="129" t="str">
        <f t="shared" si="3"/>
        <v>Partes relacionadas</v>
      </c>
      <c r="L28" s="118">
        <v>1945</v>
      </c>
      <c r="M28" s="118">
        <v>1945</v>
      </c>
      <c r="N28" s="118">
        <v>1441</v>
      </c>
      <c r="O28" s="118">
        <v>504</v>
      </c>
      <c r="P28" s="118">
        <v>0</v>
      </c>
    </row>
    <row r="29" spans="1:16" x14ac:dyDescent="0.2">
      <c r="A29" t="s">
        <v>2281</v>
      </c>
      <c r="B29" t="s">
        <v>2280</v>
      </c>
      <c r="D29" s="126" t="str">
        <f>IF([1]RENAME!$H$3=1,B29,A29)</f>
        <v>Em 30 setembro de 2025</v>
      </c>
      <c r="E29" s="120">
        <f>SUM(E24:E28)</f>
        <v>277581</v>
      </c>
      <c r="F29" s="120">
        <f>SUM(F24:F28)</f>
        <v>350059</v>
      </c>
      <c r="G29" s="120">
        <f>SUM(G24:G28)</f>
        <v>186415</v>
      </c>
      <c r="H29" s="120">
        <f>SUM(H24:H28)</f>
        <v>52226</v>
      </c>
      <c r="I29" s="120">
        <f>SUM(I24:I28)</f>
        <v>111418</v>
      </c>
      <c r="K29" s="126" t="str">
        <f t="shared" si="3"/>
        <v>Em 30 setembro de 2025</v>
      </c>
      <c r="L29" s="120">
        <f>SUM(L24:L28)</f>
        <v>226239</v>
      </c>
      <c r="M29" s="120">
        <f>SUM(M24:M28)</f>
        <v>272083</v>
      </c>
      <c r="N29" s="120">
        <f>SUM(N24:N28)</f>
        <v>164415</v>
      </c>
      <c r="O29" s="120">
        <f>SUM(O24:O28)</f>
        <v>34059</v>
      </c>
      <c r="P29" s="120">
        <f>SUM(P24:P28)</f>
        <v>73609</v>
      </c>
    </row>
    <row r="30" spans="1:16" x14ac:dyDescent="0.2">
      <c r="A30" t="s">
        <v>16</v>
      </c>
      <c r="B30" t="s">
        <v>867</v>
      </c>
      <c r="D30" s="129" t="s">
        <v>16</v>
      </c>
      <c r="E30" s="118">
        <v>111205</v>
      </c>
      <c r="F30" s="118">
        <v>168750</v>
      </c>
      <c r="G30" s="118">
        <v>41716</v>
      </c>
      <c r="H30" s="118">
        <v>39023</v>
      </c>
      <c r="I30" s="118">
        <v>88011</v>
      </c>
      <c r="K30" s="129" t="s">
        <v>16</v>
      </c>
      <c r="L30" s="118">
        <v>90861</v>
      </c>
      <c r="M30" s="118">
        <v>123220</v>
      </c>
      <c r="N30" s="118">
        <v>38556</v>
      </c>
      <c r="O30" s="118">
        <v>35123</v>
      </c>
      <c r="P30" s="118">
        <v>49541</v>
      </c>
    </row>
    <row r="31" spans="1:16" x14ac:dyDescent="0.2">
      <c r="A31" t="s">
        <v>1779</v>
      </c>
      <c r="B31" t="s">
        <v>2103</v>
      </c>
      <c r="D31" s="129" t="s">
        <v>1779</v>
      </c>
      <c r="E31" s="118">
        <v>85858</v>
      </c>
      <c r="F31" s="118">
        <v>106854</v>
      </c>
      <c r="G31" s="118">
        <v>42442</v>
      </c>
      <c r="H31" s="118">
        <v>31415</v>
      </c>
      <c r="I31" s="118">
        <v>32997</v>
      </c>
      <c r="K31" s="129" t="s">
        <v>1779</v>
      </c>
      <c r="L31" s="118">
        <v>74073</v>
      </c>
      <c r="M31" s="118">
        <v>92836</v>
      </c>
      <c r="N31" s="118">
        <v>36297</v>
      </c>
      <c r="O31" s="118">
        <v>25550</v>
      </c>
      <c r="P31" s="118">
        <v>30989</v>
      </c>
    </row>
    <row r="32" spans="1:16" x14ac:dyDescent="0.2">
      <c r="A32" t="s">
        <v>164</v>
      </c>
      <c r="B32" t="s">
        <v>667</v>
      </c>
      <c r="D32" s="129" t="s">
        <v>164</v>
      </c>
      <c r="E32" s="118">
        <v>52246</v>
      </c>
      <c r="F32" s="118">
        <v>52246</v>
      </c>
      <c r="G32" s="118">
        <v>52246</v>
      </c>
      <c r="H32" s="118">
        <v>0</v>
      </c>
      <c r="I32" s="118">
        <v>0</v>
      </c>
      <c r="K32" s="129" t="s">
        <v>164</v>
      </c>
      <c r="L32" s="118">
        <v>45279</v>
      </c>
      <c r="M32" s="118">
        <v>45279</v>
      </c>
      <c r="N32" s="118">
        <v>45279</v>
      </c>
      <c r="O32" s="118">
        <v>0</v>
      </c>
      <c r="P32" s="118">
        <v>0</v>
      </c>
    </row>
    <row r="33" spans="1:16" x14ac:dyDescent="0.2">
      <c r="A33" t="s">
        <v>24</v>
      </c>
      <c r="B33" t="s">
        <v>868</v>
      </c>
      <c r="D33" s="129" t="s">
        <v>24</v>
      </c>
      <c r="E33" s="118">
        <v>39066</v>
      </c>
      <c r="F33" s="118">
        <v>39066</v>
      </c>
      <c r="G33" s="118">
        <v>39066</v>
      </c>
      <c r="H33" s="118">
        <v>0</v>
      </c>
      <c r="I33" s="118">
        <v>0</v>
      </c>
      <c r="K33" s="129" t="s">
        <v>24</v>
      </c>
      <c r="L33" s="118">
        <v>32733</v>
      </c>
      <c r="M33" s="118">
        <v>32733</v>
      </c>
      <c r="N33" s="118">
        <v>32733</v>
      </c>
      <c r="O33" s="118">
        <v>0</v>
      </c>
      <c r="P33" s="118">
        <v>0</v>
      </c>
    </row>
    <row r="34" spans="1:16" x14ac:dyDescent="0.2">
      <c r="A34" t="s">
        <v>25</v>
      </c>
      <c r="B34" t="s">
        <v>1349</v>
      </c>
      <c r="D34" s="129" t="s">
        <v>25</v>
      </c>
      <c r="E34" s="118">
        <v>1545</v>
      </c>
      <c r="F34" s="118">
        <v>1545</v>
      </c>
      <c r="G34" s="118">
        <v>1021</v>
      </c>
      <c r="H34" s="118">
        <v>524</v>
      </c>
      <c r="I34" s="118">
        <v>0</v>
      </c>
      <c r="K34" s="129" t="s">
        <v>25</v>
      </c>
      <c r="L34" s="118">
        <v>2096</v>
      </c>
      <c r="M34" s="118">
        <v>2096</v>
      </c>
      <c r="N34" s="118">
        <v>1592</v>
      </c>
      <c r="O34" s="118">
        <v>504</v>
      </c>
      <c r="P34" s="118">
        <v>0</v>
      </c>
    </row>
    <row r="35" spans="1:16" x14ac:dyDescent="0.2">
      <c r="A35" t="s">
        <v>2270</v>
      </c>
      <c r="B35" t="s">
        <v>2269</v>
      </c>
      <c r="D35" s="126" t="s">
        <v>2270</v>
      </c>
      <c r="E35" s="120">
        <v>289920</v>
      </c>
      <c r="F35" s="120">
        <v>368461</v>
      </c>
      <c r="G35" s="120">
        <v>176491</v>
      </c>
      <c r="H35" s="120">
        <v>70962</v>
      </c>
      <c r="I35" s="120">
        <v>121008</v>
      </c>
      <c r="K35" s="126" t="s">
        <v>2270</v>
      </c>
      <c r="L35" s="120">
        <v>245042</v>
      </c>
      <c r="M35" s="120">
        <v>296164</v>
      </c>
      <c r="N35" s="120">
        <v>154457</v>
      </c>
      <c r="O35" s="120">
        <v>61177</v>
      </c>
      <c r="P35" s="120">
        <v>80530</v>
      </c>
    </row>
    <row r="36" spans="1:16" x14ac:dyDescent="0.2">
      <c r="A36" t="s">
        <v>16</v>
      </c>
      <c r="B36" t="s">
        <v>867</v>
      </c>
      <c r="D36" s="129" t="str">
        <f>IF([1]RENAME!$H$3=1,B36,A36)</f>
        <v>Empréstimos e financiamentos</v>
      </c>
      <c r="E36" s="118">
        <v>110285</v>
      </c>
      <c r="F36" s="118">
        <v>167226</v>
      </c>
      <c r="G36" s="118">
        <v>38611</v>
      </c>
      <c r="H36" s="118">
        <v>36741</v>
      </c>
      <c r="I36" s="118">
        <v>91874</v>
      </c>
      <c r="K36" s="129" t="str">
        <f t="shared" ref="K36:K41" si="4">D36</f>
        <v>Empréstimos e financiamentos</v>
      </c>
      <c r="L36" s="118">
        <v>89721</v>
      </c>
      <c r="M36" s="118">
        <v>122880</v>
      </c>
      <c r="N36" s="118">
        <v>37701</v>
      </c>
      <c r="O36" s="118">
        <v>34342</v>
      </c>
      <c r="P36" s="118">
        <v>50837</v>
      </c>
    </row>
    <row r="37" spans="1:16" x14ac:dyDescent="0.2">
      <c r="A37" t="s">
        <v>1779</v>
      </c>
      <c r="B37" t="s">
        <v>2103</v>
      </c>
      <c r="D37" s="129" t="str">
        <f>IF([1]RENAME!$H$3=1,B37,A37)</f>
        <v>Arrendamento</v>
      </c>
      <c r="E37" s="118">
        <v>88423</v>
      </c>
      <c r="F37" s="118">
        <v>111772</v>
      </c>
      <c r="G37" s="118">
        <v>40028</v>
      </c>
      <c r="H37" s="118">
        <v>43243</v>
      </c>
      <c r="I37" s="118">
        <v>28501</v>
      </c>
      <c r="K37" s="129" t="str">
        <f t="shared" si="4"/>
        <v>Arrendamento</v>
      </c>
      <c r="L37" s="118">
        <v>75721</v>
      </c>
      <c r="M37" s="118">
        <v>96388</v>
      </c>
      <c r="N37" s="118">
        <v>33864</v>
      </c>
      <c r="O37" s="118">
        <v>30904</v>
      </c>
      <c r="P37" s="118">
        <v>31620</v>
      </c>
    </row>
    <row r="38" spans="1:16" x14ac:dyDescent="0.2">
      <c r="A38" t="s">
        <v>164</v>
      </c>
      <c r="B38" t="s">
        <v>667</v>
      </c>
      <c r="D38" s="129" t="str">
        <f>IF([1]RENAME!$H$3=1,B38,A38)</f>
        <v>Fornecedores e fretes a pagar</v>
      </c>
      <c r="E38" s="118">
        <v>48147</v>
      </c>
      <c r="F38" s="118">
        <v>48147</v>
      </c>
      <c r="G38" s="118">
        <v>48147</v>
      </c>
      <c r="H38" s="118">
        <v>0</v>
      </c>
      <c r="I38" s="118">
        <v>0</v>
      </c>
      <c r="K38" s="129" t="str">
        <f t="shared" si="4"/>
        <v>Fornecedores e fretes a pagar</v>
      </c>
      <c r="L38" s="118">
        <v>40717</v>
      </c>
      <c r="M38" s="118">
        <v>40717</v>
      </c>
      <c r="N38" s="118">
        <v>40717</v>
      </c>
      <c r="O38" s="118">
        <v>0</v>
      </c>
      <c r="P38" s="118">
        <v>0</v>
      </c>
    </row>
    <row r="39" spans="1:16" x14ac:dyDescent="0.2">
      <c r="A39" t="s">
        <v>24</v>
      </c>
      <c r="B39" t="s">
        <v>868</v>
      </c>
      <c r="D39" s="129" t="str">
        <f>IF([1]RENAME!$H$3=1,B39,A39)</f>
        <v>Demais contas a pagar</v>
      </c>
      <c r="E39" s="118">
        <v>41642</v>
      </c>
      <c r="F39" s="118">
        <v>41642</v>
      </c>
      <c r="G39" s="118">
        <v>41642</v>
      </c>
      <c r="H39" s="118">
        <v>0</v>
      </c>
      <c r="I39" s="118">
        <v>0</v>
      </c>
      <c r="K39" s="129" t="str">
        <f t="shared" si="4"/>
        <v>Demais contas a pagar</v>
      </c>
      <c r="L39" s="118">
        <v>35319</v>
      </c>
      <c r="M39" s="118">
        <v>35319</v>
      </c>
      <c r="N39" s="118">
        <v>35319</v>
      </c>
      <c r="O39" s="118">
        <v>0</v>
      </c>
      <c r="P39" s="118">
        <v>0</v>
      </c>
    </row>
    <row r="40" spans="1:16" x14ac:dyDescent="0.2">
      <c r="A40" t="s">
        <v>25</v>
      </c>
      <c r="B40" t="s">
        <v>1349</v>
      </c>
      <c r="D40" s="129" t="str">
        <f>IF([1]RENAME!$H$3=1,B40,A40)</f>
        <v>Partes relacionadas</v>
      </c>
      <c r="E40" s="118">
        <v>1644</v>
      </c>
      <c r="F40" s="118">
        <v>1644</v>
      </c>
      <c r="G40" s="118">
        <v>1120</v>
      </c>
      <c r="H40" s="118">
        <v>524</v>
      </c>
      <c r="I40" s="118">
        <v>0</v>
      </c>
      <c r="K40" s="129" t="str">
        <f t="shared" si="4"/>
        <v>Partes relacionadas</v>
      </c>
      <c r="L40" s="118">
        <v>2152</v>
      </c>
      <c r="M40" s="118">
        <v>2152</v>
      </c>
      <c r="N40" s="118">
        <v>1648</v>
      </c>
      <c r="O40" s="118">
        <v>504</v>
      </c>
      <c r="P40" s="118">
        <v>0</v>
      </c>
    </row>
    <row r="41" spans="1:16" x14ac:dyDescent="0.2">
      <c r="A41" t="s">
        <v>2258</v>
      </c>
      <c r="B41" t="s">
        <v>2257</v>
      </c>
      <c r="D41" s="126" t="str">
        <f>IF([1]RENAME!$H$3=1,B41,A41)</f>
        <v>Em 31 março de 2025</v>
      </c>
      <c r="E41" s="120">
        <f>SUM(E36:E40)</f>
        <v>290141</v>
      </c>
      <c r="F41" s="120">
        <f>SUM(F36:F40)</f>
        <v>370431</v>
      </c>
      <c r="G41" s="120">
        <f>SUM(G36:G40)</f>
        <v>169548</v>
      </c>
      <c r="H41" s="120">
        <f>SUM(H36:H40)</f>
        <v>80508</v>
      </c>
      <c r="I41" s="120">
        <f>SUM(I36:I40)</f>
        <v>120375</v>
      </c>
      <c r="K41" s="126" t="str">
        <f t="shared" si="4"/>
        <v>Em 31 março de 2025</v>
      </c>
      <c r="L41" s="120">
        <f>SUM(L36:L40)</f>
        <v>243630</v>
      </c>
      <c r="M41" s="120">
        <f>SUM(M36:M40)</f>
        <v>297456</v>
      </c>
      <c r="N41" s="120">
        <f>SUM(N36:N40)</f>
        <v>149249</v>
      </c>
      <c r="O41" s="120">
        <f>SUM(O36:O40)</f>
        <v>65750</v>
      </c>
      <c r="P41" s="120">
        <f>SUM(P36:P40)</f>
        <v>82457</v>
      </c>
    </row>
    <row r="42" spans="1:16" x14ac:dyDescent="0.2">
      <c r="A42" t="s">
        <v>16</v>
      </c>
      <c r="B42" t="s">
        <v>867</v>
      </c>
      <c r="D42" s="129" t="str">
        <f>IF([1]RENAME!$H$3=1,B42,A42)</f>
        <v>Empréstimos e financiamentos</v>
      </c>
      <c r="E42" s="118">
        <v>105996</v>
      </c>
      <c r="F42" s="118">
        <v>151975</v>
      </c>
      <c r="G42" s="118">
        <v>39131</v>
      </c>
      <c r="H42" s="118">
        <v>35452</v>
      </c>
      <c r="I42" s="118">
        <v>77392</v>
      </c>
      <c r="K42" s="129" t="str">
        <f t="shared" ref="K42:K47" si="5">D42</f>
        <v>Empréstimos e financiamentos</v>
      </c>
      <c r="L42" s="118">
        <v>85708</v>
      </c>
      <c r="M42" s="118">
        <v>110360</v>
      </c>
      <c r="N42" s="118">
        <v>36618</v>
      </c>
      <c r="O42" s="118">
        <v>32628</v>
      </c>
      <c r="P42" s="118">
        <v>41114</v>
      </c>
    </row>
    <row r="43" spans="1:16" x14ac:dyDescent="0.2">
      <c r="A43" t="s">
        <v>1779</v>
      </c>
      <c r="B43" t="s">
        <v>2103</v>
      </c>
      <c r="D43" s="129" t="str">
        <f>IF([1]RENAME!$H$3=1,B43,A43)</f>
        <v>Arrendamento</v>
      </c>
      <c r="E43" s="118">
        <v>71077</v>
      </c>
      <c r="F43" s="118">
        <v>91717</v>
      </c>
      <c r="G43" s="118">
        <v>37539</v>
      </c>
      <c r="H43" s="118">
        <v>23394</v>
      </c>
      <c r="I43" s="118">
        <v>30784</v>
      </c>
      <c r="K43" s="129" t="str">
        <f t="shared" si="5"/>
        <v>Arrendamento</v>
      </c>
      <c r="L43" s="118">
        <v>78782</v>
      </c>
      <c r="M43" s="118">
        <v>98146</v>
      </c>
      <c r="N43" s="118">
        <v>39438</v>
      </c>
      <c r="O43" s="118">
        <v>24997</v>
      </c>
      <c r="P43" s="118">
        <v>33711</v>
      </c>
    </row>
    <row r="44" spans="1:16" x14ac:dyDescent="0.2">
      <c r="A44" t="s">
        <v>164</v>
      </c>
      <c r="B44" t="s">
        <v>667</v>
      </c>
      <c r="D44" s="129" t="str">
        <f>IF([1]RENAME!$H$3=1,B44,A44)</f>
        <v>Fornecedores e fretes a pagar</v>
      </c>
      <c r="E44" s="118">
        <v>62418</v>
      </c>
      <c r="F44" s="118">
        <v>62418</v>
      </c>
      <c r="G44" s="118">
        <v>62418</v>
      </c>
      <c r="H44" s="118">
        <v>0</v>
      </c>
      <c r="I44" s="118">
        <v>0</v>
      </c>
      <c r="K44" s="129" t="str">
        <f t="shared" si="5"/>
        <v>Fornecedores e fretes a pagar</v>
      </c>
      <c r="L44" s="118">
        <v>56755</v>
      </c>
      <c r="M44" s="118">
        <v>56755</v>
      </c>
      <c r="N44" s="118">
        <v>56755</v>
      </c>
      <c r="O44" s="118">
        <v>0</v>
      </c>
      <c r="P44" s="118">
        <v>0</v>
      </c>
    </row>
    <row r="45" spans="1:16" x14ac:dyDescent="0.2">
      <c r="A45" t="s">
        <v>24</v>
      </c>
      <c r="B45" t="s">
        <v>868</v>
      </c>
      <c r="D45" s="129" t="str">
        <f>IF([1]RENAME!$H$3=1,B45,A45)</f>
        <v>Demais contas a pagar</v>
      </c>
      <c r="E45" s="118">
        <v>45780</v>
      </c>
      <c r="F45" s="118">
        <v>45780</v>
      </c>
      <c r="G45" s="118">
        <v>45780</v>
      </c>
      <c r="H45" s="118">
        <v>0</v>
      </c>
      <c r="I45" s="118">
        <v>0</v>
      </c>
      <c r="K45" s="129" t="str">
        <f t="shared" si="5"/>
        <v>Demais contas a pagar</v>
      </c>
      <c r="L45" s="118">
        <v>39441</v>
      </c>
      <c r="M45" s="118">
        <v>39441</v>
      </c>
      <c r="N45" s="118">
        <v>39441</v>
      </c>
      <c r="O45" s="118">
        <v>0</v>
      </c>
      <c r="P45" s="118">
        <v>0</v>
      </c>
    </row>
    <row r="46" spans="1:16" x14ac:dyDescent="0.2">
      <c r="A46" t="s">
        <v>25</v>
      </c>
      <c r="B46" t="s">
        <v>1349</v>
      </c>
      <c r="D46" s="129" t="str">
        <f>IF([1]RENAME!$H$3=1,B46,A46)</f>
        <v>Partes relacionadas</v>
      </c>
      <c r="E46" s="118">
        <v>1185</v>
      </c>
      <c r="F46" s="118">
        <v>1185</v>
      </c>
      <c r="G46" s="118">
        <v>661</v>
      </c>
      <c r="H46" s="118">
        <v>524</v>
      </c>
      <c r="I46" s="118">
        <v>0</v>
      </c>
      <c r="K46" s="129" t="str">
        <f t="shared" si="5"/>
        <v>Partes relacionadas</v>
      </c>
      <c r="L46" s="118">
        <v>1713</v>
      </c>
      <c r="M46" s="118">
        <v>1713</v>
      </c>
      <c r="N46" s="118">
        <v>1209</v>
      </c>
      <c r="O46" s="118">
        <v>504</v>
      </c>
      <c r="P46" s="118">
        <v>0</v>
      </c>
    </row>
    <row r="47" spans="1:16" x14ac:dyDescent="0.2">
      <c r="A47" t="s">
        <v>2234</v>
      </c>
      <c r="B47" t="s">
        <v>2233</v>
      </c>
      <c r="D47" s="126" t="str">
        <f>IF([1]RENAME!$H$3=1,B47,A47)</f>
        <v>Em 30 de dezembro de 2024</v>
      </c>
      <c r="E47" s="120">
        <f>SUM(E42:E46)</f>
        <v>286456</v>
      </c>
      <c r="F47" s="120">
        <f>SUM(F42:F46)</f>
        <v>353075</v>
      </c>
      <c r="G47" s="120">
        <f>SUM(G42:G46)</f>
        <v>185529</v>
      </c>
      <c r="H47" s="120">
        <f>SUM(H42:H46)</f>
        <v>59370</v>
      </c>
      <c r="I47" s="120">
        <f>SUM(I42:I46)</f>
        <v>108176</v>
      </c>
      <c r="K47" s="126" t="str">
        <f t="shared" si="5"/>
        <v>Em 30 de dezembro de 2024</v>
      </c>
      <c r="L47" s="120">
        <f>SUM(L42:L46)</f>
        <v>262399</v>
      </c>
      <c r="M47" s="120">
        <f>SUM(M42:M46)</f>
        <v>306415</v>
      </c>
      <c r="N47" s="120">
        <f>SUM(N42:N46)</f>
        <v>173461</v>
      </c>
      <c r="O47" s="120">
        <f>SUM(O42:O46)</f>
        <v>58129</v>
      </c>
      <c r="P47" s="120">
        <f>SUM(P42:P46)</f>
        <v>74825</v>
      </c>
    </row>
    <row r="48" spans="1:16" x14ac:dyDescent="0.2">
      <c r="A48" t="s">
        <v>16</v>
      </c>
      <c r="B48" t="s">
        <v>867</v>
      </c>
      <c r="D48" s="129" t="str">
        <f>IF([1]RENAME!$H$3=1,B48,A48)</f>
        <v>Empréstimos e financiamentos</v>
      </c>
      <c r="E48" s="118">
        <v>105996</v>
      </c>
      <c r="F48" s="118">
        <v>151975</v>
      </c>
      <c r="G48" s="118">
        <v>39131</v>
      </c>
      <c r="H48" s="118">
        <v>35452</v>
      </c>
      <c r="I48" s="118">
        <v>77392</v>
      </c>
      <c r="K48" s="129" t="str">
        <f t="shared" si="3"/>
        <v>Empréstimos e financiamentos</v>
      </c>
      <c r="L48" s="118">
        <v>85708</v>
      </c>
      <c r="M48" s="118">
        <v>110360</v>
      </c>
      <c r="N48" s="118">
        <v>36618</v>
      </c>
      <c r="O48" s="118">
        <v>32628</v>
      </c>
      <c r="P48" s="118">
        <v>41114</v>
      </c>
    </row>
    <row r="49" spans="1:16" x14ac:dyDescent="0.2">
      <c r="A49" t="s">
        <v>1779</v>
      </c>
      <c r="B49" t="s">
        <v>2103</v>
      </c>
      <c r="D49" s="129" t="str">
        <f>IF([1]RENAME!$H$3=1,B49,A49)</f>
        <v>Arrendamento</v>
      </c>
      <c r="E49" s="118">
        <v>68195</v>
      </c>
      <c r="F49" s="118">
        <v>72723</v>
      </c>
      <c r="G49" s="118">
        <v>29663</v>
      </c>
      <c r="H49" s="118">
        <v>21721</v>
      </c>
      <c r="I49" s="118">
        <v>21339</v>
      </c>
      <c r="K49" s="129" t="str">
        <f t="shared" si="3"/>
        <v>Arrendamento</v>
      </c>
      <c r="L49" s="118">
        <v>75900</v>
      </c>
      <c r="M49" s="118">
        <v>77518</v>
      </c>
      <c r="N49" s="118">
        <v>28939</v>
      </c>
      <c r="O49" s="118">
        <v>23459</v>
      </c>
      <c r="P49" s="118">
        <v>25120</v>
      </c>
    </row>
    <row r="50" spans="1:16" x14ac:dyDescent="0.2">
      <c r="A50" t="s">
        <v>164</v>
      </c>
      <c r="B50" t="s">
        <v>667</v>
      </c>
      <c r="D50" s="129" t="str">
        <f>IF([1]RENAME!$H$3=1,B50,A50)</f>
        <v>Fornecedores e fretes a pagar</v>
      </c>
      <c r="E50" s="118">
        <v>59614</v>
      </c>
      <c r="F50" s="118">
        <v>59614</v>
      </c>
      <c r="G50" s="118">
        <v>59614</v>
      </c>
      <c r="H50" s="118">
        <v>0</v>
      </c>
      <c r="I50" s="118">
        <v>0</v>
      </c>
      <c r="K50" s="129" t="str">
        <f t="shared" si="3"/>
        <v>Fornecedores e fretes a pagar</v>
      </c>
      <c r="L50" s="118">
        <v>53951</v>
      </c>
      <c r="M50" s="118">
        <v>53951</v>
      </c>
      <c r="N50" s="118">
        <v>53951</v>
      </c>
      <c r="O50" s="118">
        <v>0</v>
      </c>
      <c r="P50" s="118">
        <v>0</v>
      </c>
    </row>
    <row r="51" spans="1:16" x14ac:dyDescent="0.2">
      <c r="A51" t="s">
        <v>24</v>
      </c>
      <c r="B51" t="s">
        <v>868</v>
      </c>
      <c r="D51" s="129" t="str">
        <f>IF([1]RENAME!$H$3=1,B51,A51)</f>
        <v>Demais contas a pagar</v>
      </c>
      <c r="E51" s="118">
        <v>52870</v>
      </c>
      <c r="F51" s="118">
        <v>52870</v>
      </c>
      <c r="G51" s="118">
        <v>52870</v>
      </c>
      <c r="H51" s="118">
        <v>0</v>
      </c>
      <c r="I51" s="118">
        <v>0</v>
      </c>
      <c r="K51" s="129" t="str">
        <f t="shared" si="3"/>
        <v>Demais contas a pagar</v>
      </c>
      <c r="L51" s="118">
        <v>46531</v>
      </c>
      <c r="M51" s="118">
        <v>46531</v>
      </c>
      <c r="N51" s="118">
        <v>46531</v>
      </c>
      <c r="O51" s="118">
        <v>0</v>
      </c>
      <c r="P51" s="118">
        <v>0</v>
      </c>
    </row>
    <row r="52" spans="1:16" x14ac:dyDescent="0.2">
      <c r="A52" t="s">
        <v>25</v>
      </c>
      <c r="B52" t="s">
        <v>1349</v>
      </c>
      <c r="D52" s="129" t="str">
        <f>IF([1]RENAME!$H$3=1,B52,A52)</f>
        <v>Partes relacionadas</v>
      </c>
      <c r="E52" s="118">
        <v>1185</v>
      </c>
      <c r="F52" s="118">
        <v>1185</v>
      </c>
      <c r="G52" s="118">
        <v>661</v>
      </c>
      <c r="H52" s="118">
        <v>524</v>
      </c>
      <c r="I52" s="118">
        <v>0</v>
      </c>
      <c r="K52" s="129" t="str">
        <f t="shared" si="3"/>
        <v>Partes relacionadas</v>
      </c>
      <c r="L52" s="118">
        <v>1713</v>
      </c>
      <c r="M52" s="118">
        <v>1713</v>
      </c>
      <c r="N52" s="118">
        <v>1209</v>
      </c>
      <c r="O52" s="118">
        <v>504</v>
      </c>
      <c r="P52" s="118">
        <v>0</v>
      </c>
    </row>
    <row r="53" spans="1:16" x14ac:dyDescent="0.2">
      <c r="A53" t="s">
        <v>2205</v>
      </c>
      <c r="B53" t="s">
        <v>2204</v>
      </c>
      <c r="D53" s="126" t="str">
        <f>IF([1]RENAME!$H$3=1,B53,A53)</f>
        <v>Em 30 de setembro de 2024</v>
      </c>
      <c r="E53" s="120">
        <f>SUM(E48:E52)</f>
        <v>287860</v>
      </c>
      <c r="F53" s="120">
        <f>SUM(F48:F52)</f>
        <v>338367</v>
      </c>
      <c r="G53" s="120">
        <f>SUM(G48:G52)</f>
        <v>181939</v>
      </c>
      <c r="H53" s="120">
        <f>SUM(H48:H52)</f>
        <v>57697</v>
      </c>
      <c r="I53" s="120">
        <f>SUM(I48:I52)</f>
        <v>98731</v>
      </c>
      <c r="K53" s="126" t="str">
        <f t="shared" si="3"/>
        <v>Em 30 de setembro de 2024</v>
      </c>
      <c r="L53" s="120">
        <v>263803</v>
      </c>
      <c r="M53" s="120">
        <v>290073</v>
      </c>
      <c r="N53" s="120">
        <v>167248</v>
      </c>
      <c r="O53" s="120">
        <v>56591</v>
      </c>
      <c r="P53" s="120">
        <v>66234</v>
      </c>
    </row>
    <row r="54" spans="1:16" x14ac:dyDescent="0.2">
      <c r="A54" t="s">
        <v>16</v>
      </c>
      <c r="B54" t="s">
        <v>867</v>
      </c>
      <c r="D54" s="129" t="str">
        <f>IF([1]RENAME!$H$3=1,B54,A54)</f>
        <v>Empréstimos e financiamentos</v>
      </c>
      <c r="E54" s="118">
        <v>105966</v>
      </c>
      <c r="F54" s="118">
        <v>156807</v>
      </c>
      <c r="G54" s="118">
        <v>14299</v>
      </c>
      <c r="H54" s="118">
        <v>37282</v>
      </c>
      <c r="I54" s="118">
        <v>105226</v>
      </c>
      <c r="K54" s="129" t="str">
        <f t="shared" si="3"/>
        <v>Empréstimos e financiamentos</v>
      </c>
      <c r="L54" s="118">
        <v>85634</v>
      </c>
      <c r="M54" s="118">
        <v>115172</v>
      </c>
      <c r="N54" s="118">
        <v>11855</v>
      </c>
      <c r="O54" s="118">
        <v>34916</v>
      </c>
      <c r="P54" s="118">
        <v>68401</v>
      </c>
    </row>
    <row r="55" spans="1:16" x14ac:dyDescent="0.2">
      <c r="A55" t="s">
        <v>1779</v>
      </c>
      <c r="B55" t="s">
        <v>2103</v>
      </c>
      <c r="D55" s="129" t="str">
        <f>IF([1]RENAME!$H$3=1,B55,A55)</f>
        <v>Arrendamento</v>
      </c>
      <c r="E55" s="118">
        <v>67477</v>
      </c>
      <c r="F55" s="118">
        <v>82758</v>
      </c>
      <c r="G55" s="118">
        <v>33679</v>
      </c>
      <c r="H55" s="118">
        <v>22582</v>
      </c>
      <c r="I55" s="118">
        <v>26497</v>
      </c>
      <c r="K55" s="129" t="str">
        <f t="shared" si="3"/>
        <v>Arrendamento</v>
      </c>
      <c r="L55" s="118">
        <v>72095</v>
      </c>
      <c r="M55" s="118">
        <v>90166</v>
      </c>
      <c r="N55" s="118">
        <v>32609</v>
      </c>
      <c r="O55" s="118">
        <v>25628</v>
      </c>
      <c r="P55" s="118">
        <v>31929</v>
      </c>
    </row>
    <row r="56" spans="1:16" x14ac:dyDescent="0.2">
      <c r="A56" t="s">
        <v>164</v>
      </c>
      <c r="B56" t="s">
        <v>667</v>
      </c>
      <c r="D56" s="129" t="str">
        <f>IF([1]RENAME!$H$3=1,B56,A56)</f>
        <v>Fornecedores e fretes a pagar</v>
      </c>
      <c r="E56" s="118">
        <v>54715</v>
      </c>
      <c r="F56" s="118">
        <v>54715</v>
      </c>
      <c r="G56" s="118">
        <v>54715</v>
      </c>
      <c r="H56" s="118">
        <v>0</v>
      </c>
      <c r="I56" s="118">
        <v>0</v>
      </c>
      <c r="K56" s="129" t="str">
        <f t="shared" si="3"/>
        <v>Fornecedores e fretes a pagar</v>
      </c>
      <c r="L56" s="118">
        <v>44198</v>
      </c>
      <c r="M56" s="118">
        <v>44198</v>
      </c>
      <c r="N56" s="118">
        <v>44198</v>
      </c>
      <c r="O56" s="118">
        <v>0</v>
      </c>
      <c r="P56" s="118">
        <v>0</v>
      </c>
    </row>
    <row r="57" spans="1:16" x14ac:dyDescent="0.2">
      <c r="A57" t="s">
        <v>24</v>
      </c>
      <c r="B57" t="s">
        <v>868</v>
      </c>
      <c r="D57" s="129" t="str">
        <f>IF([1]RENAME!$H$3=1,B57,A57)</f>
        <v>Demais contas a pagar</v>
      </c>
      <c r="E57" s="118">
        <v>34519</v>
      </c>
      <c r="F57" s="118">
        <v>34519</v>
      </c>
      <c r="G57" s="118">
        <v>34519</v>
      </c>
      <c r="H57" s="118">
        <v>0</v>
      </c>
      <c r="I57" s="118">
        <v>0</v>
      </c>
      <c r="K57" s="129" t="str">
        <f t="shared" si="3"/>
        <v>Demais contas a pagar</v>
      </c>
      <c r="L57" s="118">
        <v>29252</v>
      </c>
      <c r="M57" s="118">
        <v>29252</v>
      </c>
      <c r="N57" s="118">
        <v>29252</v>
      </c>
      <c r="O57" s="118">
        <v>0</v>
      </c>
      <c r="P57" s="118">
        <v>0</v>
      </c>
    </row>
    <row r="58" spans="1:16" x14ac:dyDescent="0.2">
      <c r="A58" t="s">
        <v>25</v>
      </c>
      <c r="B58" t="s">
        <v>1349</v>
      </c>
      <c r="D58" s="129" t="str">
        <f>IF([1]RENAME!$H$3=1,B58,A58)</f>
        <v>Partes relacionadas</v>
      </c>
      <c r="E58" s="118">
        <v>1418</v>
      </c>
      <c r="F58" s="118">
        <v>1418</v>
      </c>
      <c r="G58" s="118">
        <v>894</v>
      </c>
      <c r="H58" s="118">
        <v>524</v>
      </c>
      <c r="I58" s="118">
        <v>0</v>
      </c>
      <c r="K58" s="129" t="str">
        <f t="shared" si="3"/>
        <v>Partes relacionadas</v>
      </c>
      <c r="L58" s="118">
        <v>1827</v>
      </c>
      <c r="M58" s="118">
        <v>1827</v>
      </c>
      <c r="N58" s="118">
        <v>1323</v>
      </c>
      <c r="O58" s="118">
        <v>504</v>
      </c>
      <c r="P58" s="118">
        <v>0</v>
      </c>
    </row>
    <row r="59" spans="1:16" x14ac:dyDescent="0.2">
      <c r="A59" t="s">
        <v>2177</v>
      </c>
      <c r="B59" t="s">
        <v>2176</v>
      </c>
      <c r="D59" s="126" t="str">
        <f>IF([1]RENAME!$H$3=1,B59,A59)</f>
        <v>Em 30 de junho de 2024</v>
      </c>
      <c r="E59" s="120">
        <f>SUM(E54:E58)</f>
        <v>264095</v>
      </c>
      <c r="F59" s="120">
        <f>SUM(F54:F58)</f>
        <v>330217</v>
      </c>
      <c r="G59" s="120">
        <f>SUM(G54:G58)</f>
        <v>138106</v>
      </c>
      <c r="H59" s="120">
        <f>SUM(H54:H58)</f>
        <v>60388</v>
      </c>
      <c r="I59" s="120">
        <f>SUM(I54:I58)</f>
        <v>131723</v>
      </c>
      <c r="K59" s="126" t="str">
        <f t="shared" si="3"/>
        <v>Em 30 de junho de 2024</v>
      </c>
      <c r="L59" s="120">
        <f>SUM(L54:L58)</f>
        <v>233006</v>
      </c>
      <c r="M59" s="120">
        <f>SUM(M54:M58)</f>
        <v>280615</v>
      </c>
      <c r="N59" s="120">
        <f>SUM(N54:N58)</f>
        <v>119237</v>
      </c>
      <c r="O59" s="120">
        <f>SUM(O54:O58)</f>
        <v>61048</v>
      </c>
      <c r="P59" s="120">
        <f>SUM(P54:P58)</f>
        <v>100330</v>
      </c>
    </row>
    <row r="60" spans="1:16" x14ac:dyDescent="0.2">
      <c r="A60" t="s">
        <v>16</v>
      </c>
      <c r="B60" t="s">
        <v>867</v>
      </c>
      <c r="D60" s="129" t="str">
        <f>IF([1]RENAME!$H$3=1,B60,A60)</f>
        <v>Empréstimos e financiamentos</v>
      </c>
      <c r="E60" s="118">
        <v>107217</v>
      </c>
      <c r="F60" s="118">
        <v>152183</v>
      </c>
      <c r="G60" s="118">
        <v>24137</v>
      </c>
      <c r="H60" s="118">
        <v>36269</v>
      </c>
      <c r="I60" s="118">
        <v>91777</v>
      </c>
      <c r="K60" s="129" t="str">
        <f t="shared" si="3"/>
        <v>Empréstimos e financiamentos</v>
      </c>
      <c r="L60" s="118">
        <v>95722</v>
      </c>
      <c r="M60" s="118">
        <v>128440</v>
      </c>
      <c r="N60" s="118">
        <v>22730</v>
      </c>
      <c r="O60" s="118">
        <v>34900</v>
      </c>
      <c r="P60" s="118">
        <v>70810</v>
      </c>
    </row>
    <row r="61" spans="1:16" x14ac:dyDescent="0.2">
      <c r="A61" t="s">
        <v>1779</v>
      </c>
      <c r="B61" t="s">
        <v>2103</v>
      </c>
      <c r="D61" s="129" t="str">
        <f>IF([1]RENAME!$H$3=1,B61,A61)</f>
        <v>Arrendamento</v>
      </c>
      <c r="E61" s="118">
        <v>66175</v>
      </c>
      <c r="F61" s="118">
        <v>81422</v>
      </c>
      <c r="G61" s="118">
        <v>33685</v>
      </c>
      <c r="H61" s="118">
        <v>21645</v>
      </c>
      <c r="I61" s="118">
        <v>26092</v>
      </c>
      <c r="K61" s="129" t="str">
        <f t="shared" si="3"/>
        <v>Arrendamento</v>
      </c>
      <c r="L61" s="118">
        <v>65625</v>
      </c>
      <c r="M61" s="118">
        <v>82892</v>
      </c>
      <c r="N61" s="118">
        <v>29242</v>
      </c>
      <c r="O61" s="118">
        <v>22973</v>
      </c>
      <c r="P61" s="118">
        <v>30677</v>
      </c>
    </row>
    <row r="62" spans="1:16" x14ac:dyDescent="0.2">
      <c r="A62" t="s">
        <v>164</v>
      </c>
      <c r="B62" t="s">
        <v>667</v>
      </c>
      <c r="D62" s="129" t="str">
        <f>IF([1]RENAME!$H$3=1,B62,A62)</f>
        <v>Fornecedores e fretes a pagar</v>
      </c>
      <c r="E62" s="118">
        <v>45666</v>
      </c>
      <c r="F62" s="118">
        <v>45666</v>
      </c>
      <c r="G62" s="118">
        <v>45666</v>
      </c>
      <c r="H62" s="118">
        <v>0</v>
      </c>
      <c r="I62" s="118">
        <v>0</v>
      </c>
      <c r="K62" s="129" t="str">
        <f t="shared" ref="K62:K78" si="6">D62</f>
        <v>Fornecedores e fretes a pagar</v>
      </c>
      <c r="L62" s="118">
        <v>34620</v>
      </c>
      <c r="M62" s="118">
        <v>34620</v>
      </c>
      <c r="N62" s="118">
        <v>34620</v>
      </c>
      <c r="O62" s="118">
        <v>0</v>
      </c>
      <c r="P62" s="118">
        <v>0</v>
      </c>
    </row>
    <row r="63" spans="1:16" x14ac:dyDescent="0.2">
      <c r="A63" t="s">
        <v>24</v>
      </c>
      <c r="B63" t="s">
        <v>868</v>
      </c>
      <c r="D63" s="129" t="str">
        <f>IF([1]RENAME!$H$3=1,B63,A63)</f>
        <v>Demais contas a pagar</v>
      </c>
      <c r="E63" s="118">
        <v>30730</v>
      </c>
      <c r="F63" s="118">
        <v>30730</v>
      </c>
      <c r="G63" s="118">
        <v>30730</v>
      </c>
      <c r="H63" s="118">
        <v>0</v>
      </c>
      <c r="I63" s="118">
        <v>0</v>
      </c>
      <c r="K63" s="129" t="str">
        <f t="shared" si="6"/>
        <v>Demais contas a pagar</v>
      </c>
      <c r="L63" s="118">
        <v>24216</v>
      </c>
      <c r="M63" s="118">
        <v>24216</v>
      </c>
      <c r="N63" s="118">
        <v>24216</v>
      </c>
      <c r="O63" s="118">
        <v>0</v>
      </c>
      <c r="P63" s="118">
        <v>0</v>
      </c>
    </row>
    <row r="64" spans="1:16" x14ac:dyDescent="0.2">
      <c r="A64" t="s">
        <v>25</v>
      </c>
      <c r="B64" t="s">
        <v>1349</v>
      </c>
      <c r="D64" s="129" t="str">
        <f>IF([1]RENAME!$H$3=1,B64,A64)</f>
        <v>Partes relacionadas</v>
      </c>
      <c r="E64" s="118">
        <v>1679</v>
      </c>
      <c r="F64" s="118">
        <v>1679</v>
      </c>
      <c r="G64" s="118">
        <v>1155</v>
      </c>
      <c r="H64" s="118">
        <v>524</v>
      </c>
      <c r="I64" s="118">
        <v>0</v>
      </c>
      <c r="K64" s="129" t="str">
        <f t="shared" si="6"/>
        <v>Partes relacionadas</v>
      </c>
      <c r="L64" s="118">
        <v>2041</v>
      </c>
      <c r="M64" s="118">
        <v>2041</v>
      </c>
      <c r="N64" s="118">
        <v>1537</v>
      </c>
      <c r="O64" s="118">
        <v>504</v>
      </c>
      <c r="P64" s="118">
        <v>0</v>
      </c>
    </row>
    <row r="65" spans="1:16" x14ac:dyDescent="0.2">
      <c r="A65" t="s">
        <v>2158</v>
      </c>
      <c r="B65" t="s">
        <v>2159</v>
      </c>
      <c r="D65" s="126" t="str">
        <f>IF([1]RENAME!$H$3=1,B65,A65)</f>
        <v>Em 31 de março de 2024</v>
      </c>
      <c r="E65" s="120">
        <f>+SUM(E60:E64)</f>
        <v>251467</v>
      </c>
      <c r="F65" s="120">
        <f>+SUM(F60:F64)</f>
        <v>311680</v>
      </c>
      <c r="G65" s="120">
        <f>+SUM(G60:G64)</f>
        <v>135373</v>
      </c>
      <c r="H65" s="120">
        <f>+SUM(H60:H64)</f>
        <v>58438</v>
      </c>
      <c r="I65" s="120">
        <f>+SUM(I60:I64)</f>
        <v>117869</v>
      </c>
      <c r="K65" s="126" t="str">
        <f t="shared" si="6"/>
        <v>Em 31 de março de 2024</v>
      </c>
      <c r="L65" s="120">
        <f>+SUM(L60:L64)</f>
        <v>222224</v>
      </c>
      <c r="M65" s="120">
        <f>+SUM(M60:M64)</f>
        <v>272209</v>
      </c>
      <c r="N65" s="120">
        <f>+SUM(N60:N64)</f>
        <v>112345</v>
      </c>
      <c r="O65" s="120">
        <f>+SUM(O60:O64)</f>
        <v>58377</v>
      </c>
      <c r="P65" s="120">
        <f>+SUM(P60:P64)</f>
        <v>101487</v>
      </c>
    </row>
    <row r="66" spans="1:16" x14ac:dyDescent="0.2">
      <c r="A66" t="s">
        <v>16</v>
      </c>
      <c r="B66" t="s">
        <v>867</v>
      </c>
      <c r="D66" s="129" t="str">
        <f>IF([1]RENAME!$H$3=1,B66,A66)</f>
        <v>Empréstimos e financiamentos</v>
      </c>
      <c r="E66" s="121" t="s">
        <v>2190</v>
      </c>
      <c r="F66" s="121" t="s">
        <v>2190</v>
      </c>
      <c r="G66" s="118">
        <v>20811</v>
      </c>
      <c r="H66" s="118">
        <v>36295</v>
      </c>
      <c r="I66" s="118">
        <v>66569</v>
      </c>
      <c r="K66" s="129" t="str">
        <f t="shared" si="6"/>
        <v>Empréstimos e financiamentos</v>
      </c>
      <c r="L66" s="121" t="s">
        <v>160</v>
      </c>
      <c r="M66" s="121" t="s">
        <v>160</v>
      </c>
      <c r="N66" s="118">
        <v>20811</v>
      </c>
      <c r="O66" s="118">
        <v>36295</v>
      </c>
      <c r="P66" s="118">
        <v>66569</v>
      </c>
    </row>
    <row r="67" spans="1:16" x14ac:dyDescent="0.2">
      <c r="A67" t="s">
        <v>164</v>
      </c>
      <c r="B67" t="s">
        <v>667</v>
      </c>
      <c r="D67" s="129" t="str">
        <f>IF([1]RENAME!$H$3=1,B67,A67)</f>
        <v>Fornecedores e fretes a pagar</v>
      </c>
      <c r="E67" s="121" t="s">
        <v>2190</v>
      </c>
      <c r="F67" s="121" t="s">
        <v>2190</v>
      </c>
      <c r="G67" s="118">
        <v>49620</v>
      </c>
      <c r="H67" s="118">
        <v>0</v>
      </c>
      <c r="I67" s="118">
        <v>0</v>
      </c>
      <c r="K67" s="129" t="str">
        <f t="shared" si="6"/>
        <v>Fornecedores e fretes a pagar</v>
      </c>
      <c r="L67" s="121" t="s">
        <v>160</v>
      </c>
      <c r="M67" s="121" t="s">
        <v>160</v>
      </c>
      <c r="N67" s="118">
        <v>39751</v>
      </c>
      <c r="O67" s="118">
        <v>0</v>
      </c>
      <c r="P67" s="118">
        <v>0</v>
      </c>
    </row>
    <row r="68" spans="1:16" x14ac:dyDescent="0.2">
      <c r="A68" t="s">
        <v>24</v>
      </c>
      <c r="B68" t="s">
        <v>868</v>
      </c>
      <c r="D68" s="129" t="str">
        <f>IF([1]RENAME!$H$3=1,B68,A68)</f>
        <v>Demais contas a pagar</v>
      </c>
      <c r="E68" s="121" t="s">
        <v>2190</v>
      </c>
      <c r="F68" s="121" t="s">
        <v>2190</v>
      </c>
      <c r="G68" s="118">
        <v>36632</v>
      </c>
      <c r="H68" s="118">
        <v>0</v>
      </c>
      <c r="I68" s="118">
        <v>0</v>
      </c>
      <c r="K68" s="129" t="str">
        <f t="shared" si="6"/>
        <v>Demais contas a pagar</v>
      </c>
      <c r="L68" s="121" t="s">
        <v>160</v>
      </c>
      <c r="M68" s="121" t="s">
        <v>160</v>
      </c>
      <c r="N68" s="118">
        <v>29766</v>
      </c>
      <c r="O68" s="118">
        <v>0</v>
      </c>
      <c r="P68" s="118">
        <v>0</v>
      </c>
    </row>
    <row r="69" spans="1:16" x14ac:dyDescent="0.2">
      <c r="A69" t="s">
        <v>1779</v>
      </c>
      <c r="B69" t="s">
        <v>2103</v>
      </c>
      <c r="D69" s="129" t="str">
        <f>IF([1]RENAME!$H$3=1,B69,A69)</f>
        <v>Arrendamento</v>
      </c>
      <c r="E69" s="121" t="s">
        <v>2190</v>
      </c>
      <c r="F69" s="121" t="s">
        <v>2190</v>
      </c>
      <c r="G69" s="118">
        <v>37128</v>
      </c>
      <c r="H69" s="118">
        <v>19927</v>
      </c>
      <c r="I69" s="118">
        <v>30586</v>
      </c>
      <c r="K69" s="129" t="str">
        <f t="shared" si="6"/>
        <v>Arrendamento</v>
      </c>
      <c r="L69" s="121" t="s">
        <v>160</v>
      </c>
      <c r="M69" s="121" t="s">
        <v>160</v>
      </c>
      <c r="N69" s="118">
        <v>30781</v>
      </c>
      <c r="O69" s="118">
        <v>20944</v>
      </c>
      <c r="P69" s="118">
        <v>35254</v>
      </c>
    </row>
    <row r="70" spans="1:16" x14ac:dyDescent="0.2">
      <c r="A70" t="s">
        <v>25</v>
      </c>
      <c r="B70" t="s">
        <v>1349</v>
      </c>
      <c r="D70" s="129" t="str">
        <f>IF([1]RENAME!$H$3=1,B70,A70)</f>
        <v>Partes relacionadas</v>
      </c>
      <c r="E70" s="121" t="s">
        <v>2190</v>
      </c>
      <c r="F70" s="121" t="s">
        <v>2190</v>
      </c>
      <c r="G70" s="118">
        <v>731</v>
      </c>
      <c r="H70" s="118">
        <v>524</v>
      </c>
      <c r="I70" s="118">
        <v>0</v>
      </c>
      <c r="K70" s="129" t="str">
        <f t="shared" si="6"/>
        <v>Partes relacionadas</v>
      </c>
      <c r="L70" s="121" t="s">
        <v>160</v>
      </c>
      <c r="M70" s="121" t="s">
        <v>160</v>
      </c>
      <c r="N70" s="118">
        <v>1316</v>
      </c>
      <c r="O70" s="118">
        <v>504</v>
      </c>
      <c r="P70" s="118">
        <v>0</v>
      </c>
    </row>
    <row r="71" spans="1:16" x14ac:dyDescent="0.2">
      <c r="A71" t="s">
        <v>2131</v>
      </c>
      <c r="B71" t="s">
        <v>2132</v>
      </c>
      <c r="D71" s="126" t="str">
        <f>IF([1]RENAME!$H$3=1,B71,A71)</f>
        <v>Em 31 de dezembro de 2023</v>
      </c>
      <c r="E71" s="120" t="s">
        <v>2190</v>
      </c>
      <c r="F71" s="120" t="s">
        <v>2190</v>
      </c>
      <c r="G71" s="120">
        <f>SUM(G66:G70)</f>
        <v>144922</v>
      </c>
      <c r="H71" s="120">
        <f>SUM(H66:H70)</f>
        <v>56746</v>
      </c>
      <c r="I71" s="120">
        <f>SUM(I66:I70)</f>
        <v>97155</v>
      </c>
      <c r="K71" s="126" t="str">
        <f t="shared" si="6"/>
        <v>Em 31 de dezembro de 2023</v>
      </c>
      <c r="L71" s="120" t="s">
        <v>160</v>
      </c>
      <c r="M71" s="120" t="s">
        <v>160</v>
      </c>
      <c r="N71" s="120">
        <f>SUM(N66:N70)</f>
        <v>122425</v>
      </c>
      <c r="O71" s="120">
        <f>SUM(O66:O70)</f>
        <v>57743</v>
      </c>
      <c r="P71" s="120">
        <f>SUM(P66:P70)</f>
        <v>101823</v>
      </c>
    </row>
    <row r="72" spans="1:16" x14ac:dyDescent="0.2">
      <c r="A72" t="s">
        <v>16</v>
      </c>
      <c r="B72" t="s">
        <v>867</v>
      </c>
      <c r="D72" s="129" t="str">
        <f>IF([1]RENAME!$H$3=1,B72,A72)</f>
        <v>Empréstimos e financiamentos</v>
      </c>
      <c r="E72" s="121" t="s">
        <v>2190</v>
      </c>
      <c r="F72" s="121" t="s">
        <v>2190</v>
      </c>
      <c r="G72" s="118">
        <v>21505</v>
      </c>
      <c r="H72" s="118">
        <v>37278</v>
      </c>
      <c r="I72" s="118">
        <v>69721</v>
      </c>
      <c r="K72" s="129" t="str">
        <f t="shared" si="6"/>
        <v>Empréstimos e financiamentos</v>
      </c>
      <c r="L72" s="121" t="s">
        <v>160</v>
      </c>
      <c r="M72" s="121" t="s">
        <v>160</v>
      </c>
      <c r="N72" s="118">
        <v>21505</v>
      </c>
      <c r="O72" s="118">
        <v>37278</v>
      </c>
      <c r="P72" s="118">
        <v>69721</v>
      </c>
    </row>
    <row r="73" spans="1:16" x14ac:dyDescent="0.2">
      <c r="A73" t="s">
        <v>164</v>
      </c>
      <c r="B73" t="s">
        <v>667</v>
      </c>
      <c r="D73" s="129" t="str">
        <f>IF([1]RENAME!$H$3=1,B73,A73)</f>
        <v>Fornecedores e fretes a pagar</v>
      </c>
      <c r="E73" s="121" t="s">
        <v>2190</v>
      </c>
      <c r="F73" s="121" t="s">
        <v>2190</v>
      </c>
      <c r="G73" s="118">
        <v>43470</v>
      </c>
      <c r="H73" s="118">
        <v>0</v>
      </c>
      <c r="I73" s="118">
        <v>0</v>
      </c>
      <c r="K73" s="129" t="str">
        <f t="shared" si="6"/>
        <v>Fornecedores e fretes a pagar</v>
      </c>
      <c r="L73" s="121" t="s">
        <v>160</v>
      </c>
      <c r="M73" s="121" t="s">
        <v>160</v>
      </c>
      <c r="N73" s="118">
        <v>33351</v>
      </c>
      <c r="O73" s="118">
        <v>0</v>
      </c>
      <c r="P73" s="118">
        <v>0</v>
      </c>
    </row>
    <row r="74" spans="1:16" x14ac:dyDescent="0.2">
      <c r="A74" t="s">
        <v>24</v>
      </c>
      <c r="B74" t="s">
        <v>868</v>
      </c>
      <c r="D74" s="129" t="str">
        <f>IF([1]RENAME!$H$3=1,B74,A74)</f>
        <v>Demais contas a pagar</v>
      </c>
      <c r="E74" s="121" t="s">
        <v>2190</v>
      </c>
      <c r="F74" s="121" t="s">
        <v>2190</v>
      </c>
      <c r="G74" s="118">
        <v>29824</v>
      </c>
      <c r="H74" s="118">
        <v>0</v>
      </c>
      <c r="I74" s="118">
        <v>0</v>
      </c>
      <c r="K74" s="129" t="str">
        <f t="shared" si="6"/>
        <v>Demais contas a pagar</v>
      </c>
      <c r="L74" s="121" t="s">
        <v>160</v>
      </c>
      <c r="M74" s="121" t="s">
        <v>160</v>
      </c>
      <c r="N74" s="118">
        <v>22423</v>
      </c>
      <c r="O74" s="118">
        <v>0</v>
      </c>
      <c r="P74" s="118">
        <v>0</v>
      </c>
    </row>
    <row r="75" spans="1:16" x14ac:dyDescent="0.2">
      <c r="A75" t="s">
        <v>1779</v>
      </c>
      <c r="B75" t="s">
        <v>2103</v>
      </c>
      <c r="D75" s="129" t="str">
        <f>IF([1]RENAME!$H$3=1,B75,A75)</f>
        <v>Arrendamento</v>
      </c>
      <c r="E75" s="121" t="s">
        <v>2190</v>
      </c>
      <c r="F75" s="121" t="s">
        <v>2190</v>
      </c>
      <c r="G75" s="118">
        <v>35192</v>
      </c>
      <c r="H75" s="118">
        <v>22648</v>
      </c>
      <c r="I75" s="118">
        <v>34159</v>
      </c>
      <c r="K75" s="129" t="str">
        <f t="shared" si="6"/>
        <v>Arrendamento</v>
      </c>
      <c r="L75" s="121" t="s">
        <v>160</v>
      </c>
      <c r="M75" s="121" t="s">
        <v>160</v>
      </c>
      <c r="N75" s="118">
        <v>29364</v>
      </c>
      <c r="O75" s="118">
        <v>22360</v>
      </c>
      <c r="P75" s="118">
        <v>39944</v>
      </c>
    </row>
    <row r="76" spans="1:16" x14ac:dyDescent="0.2">
      <c r="A76" t="s">
        <v>25</v>
      </c>
      <c r="B76" t="s">
        <v>1349</v>
      </c>
      <c r="D76" s="129" t="str">
        <f>IF([1]RENAME!$H$3=1,B76,A76)</f>
        <v>Partes relacionadas</v>
      </c>
      <c r="E76" s="121" t="s">
        <v>2190</v>
      </c>
      <c r="F76" s="121" t="s">
        <v>2190</v>
      </c>
      <c r="G76" s="118">
        <v>656</v>
      </c>
      <c r="H76" s="118">
        <v>524</v>
      </c>
      <c r="I76" s="118">
        <v>0</v>
      </c>
      <c r="K76" s="129" t="str">
        <f t="shared" si="6"/>
        <v>Partes relacionadas</v>
      </c>
      <c r="L76" s="121" t="s">
        <v>160</v>
      </c>
      <c r="M76" s="121" t="s">
        <v>160</v>
      </c>
      <c r="N76" s="118">
        <v>1044</v>
      </c>
      <c r="O76" s="118">
        <v>504</v>
      </c>
      <c r="P76" s="118">
        <v>0</v>
      </c>
    </row>
    <row r="77" spans="1:16" x14ac:dyDescent="0.2">
      <c r="A77" t="s">
        <v>2095</v>
      </c>
      <c r="B77" t="s">
        <v>2094</v>
      </c>
      <c r="D77" s="126" t="str">
        <f>IF([1]RENAME!$H$3=1,B77,A77)</f>
        <v>Em 30 de setembros de 2023</v>
      </c>
      <c r="E77" s="120" t="s">
        <v>2190</v>
      </c>
      <c r="F77" s="120" t="s">
        <v>2190</v>
      </c>
      <c r="G77" s="120">
        <f>SUM(G72:G76)</f>
        <v>130647</v>
      </c>
      <c r="H77" s="120">
        <f>SUM(H72:H76)</f>
        <v>60450</v>
      </c>
      <c r="I77" s="120">
        <f>SUM(I72:I76)</f>
        <v>103880</v>
      </c>
      <c r="K77" s="126" t="str">
        <f t="shared" si="6"/>
        <v>Em 30 de setembros de 2023</v>
      </c>
      <c r="L77" s="120" t="s">
        <v>160</v>
      </c>
      <c r="M77" s="120" t="s">
        <v>160</v>
      </c>
      <c r="N77" s="120">
        <f>SUM(N72:N76)</f>
        <v>107687</v>
      </c>
      <c r="O77" s="120">
        <f>SUM(O72:O76)</f>
        <v>60142</v>
      </c>
      <c r="P77" s="120">
        <f>SUM(P72:P76)</f>
        <v>109665</v>
      </c>
    </row>
    <row r="78" spans="1:16" x14ac:dyDescent="0.2">
      <c r="A78" t="s">
        <v>16</v>
      </c>
      <c r="B78" t="s">
        <v>867</v>
      </c>
      <c r="D78" s="129" t="str">
        <f>IF([1]RENAME!$H$3=1,B78,A78)</f>
        <v>Empréstimos e financiamentos</v>
      </c>
      <c r="E78" s="121" t="s">
        <v>2190</v>
      </c>
      <c r="F78" s="121" t="s">
        <v>2190</v>
      </c>
      <c r="G78" s="118">
        <v>64763</v>
      </c>
      <c r="H78" s="118">
        <v>6730</v>
      </c>
      <c r="I78" s="118">
        <v>47119</v>
      </c>
      <c r="K78" s="129" t="str">
        <f t="shared" si="6"/>
        <v>Empréstimos e financiamentos</v>
      </c>
      <c r="L78" s="121" t="s">
        <v>160</v>
      </c>
      <c r="M78" s="121" t="s">
        <v>160</v>
      </c>
      <c r="N78" s="118">
        <v>64763</v>
      </c>
      <c r="O78" s="118">
        <v>6730</v>
      </c>
      <c r="P78" s="118">
        <v>47119</v>
      </c>
    </row>
    <row r="79" spans="1:16" x14ac:dyDescent="0.2">
      <c r="A79" t="s">
        <v>23</v>
      </c>
      <c r="B79" t="s">
        <v>770</v>
      </c>
      <c r="D79" s="129" t="str">
        <f>IF([1]RENAME!$H$3=1,B79,A79)</f>
        <v>Debêntures</v>
      </c>
      <c r="E79" s="121" t="s">
        <v>2190</v>
      </c>
      <c r="F79" s="121" t="s">
        <v>2190</v>
      </c>
      <c r="G79" s="118">
        <v>0</v>
      </c>
      <c r="H79" s="118">
        <v>0</v>
      </c>
      <c r="I79" s="118">
        <v>0</v>
      </c>
      <c r="K79" s="129" t="str">
        <f t="shared" ref="K79:K84" si="7">D79</f>
        <v>Debêntures</v>
      </c>
      <c r="L79" s="121" t="s">
        <v>160</v>
      </c>
      <c r="M79" s="121" t="s">
        <v>160</v>
      </c>
      <c r="N79" s="118">
        <v>0</v>
      </c>
      <c r="O79" s="118">
        <v>0</v>
      </c>
      <c r="P79" s="118">
        <v>0</v>
      </c>
    </row>
    <row r="80" spans="1:16" x14ac:dyDescent="0.2">
      <c r="A80" t="s">
        <v>164</v>
      </c>
      <c r="B80" t="s">
        <v>667</v>
      </c>
      <c r="D80" s="129" t="str">
        <f>IF([1]RENAME!$H$3=1,B80,A80)</f>
        <v>Fornecedores e fretes a pagar</v>
      </c>
      <c r="E80" s="121" t="s">
        <v>2190</v>
      </c>
      <c r="F80" s="121" t="s">
        <v>2190</v>
      </c>
      <c r="G80" s="118">
        <v>36160</v>
      </c>
      <c r="H80" s="118">
        <v>0</v>
      </c>
      <c r="I80" s="118">
        <v>0</v>
      </c>
      <c r="K80" s="129" t="str">
        <f t="shared" si="7"/>
        <v>Fornecedores e fretes a pagar</v>
      </c>
      <c r="L80" s="121" t="s">
        <v>160</v>
      </c>
      <c r="M80" s="121" t="s">
        <v>160</v>
      </c>
      <c r="N80" s="118">
        <v>0</v>
      </c>
      <c r="O80" s="118">
        <v>0</v>
      </c>
      <c r="P80" s="118">
        <v>0</v>
      </c>
    </row>
    <row r="81" spans="1:16" x14ac:dyDescent="0.2">
      <c r="A81" t="s">
        <v>24</v>
      </c>
      <c r="B81" t="s">
        <v>868</v>
      </c>
      <c r="D81" s="129" t="str">
        <f>IF([1]RENAME!$H$3=1,B81,A81)</f>
        <v>Demais contas a pagar</v>
      </c>
      <c r="E81" s="121" t="s">
        <v>2190</v>
      </c>
      <c r="F81" s="121" t="s">
        <v>2190</v>
      </c>
      <c r="G81" s="118">
        <v>30478</v>
      </c>
      <c r="H81" s="118">
        <v>0</v>
      </c>
      <c r="I81" s="118">
        <v>0</v>
      </c>
      <c r="K81" s="129" t="str">
        <f t="shared" si="7"/>
        <v>Demais contas a pagar</v>
      </c>
      <c r="L81" s="121" t="s">
        <v>160</v>
      </c>
      <c r="M81" s="121" t="s">
        <v>160</v>
      </c>
      <c r="N81" s="118">
        <v>28711</v>
      </c>
      <c r="O81" s="118">
        <v>0</v>
      </c>
      <c r="P81" s="118">
        <v>0</v>
      </c>
    </row>
    <row r="82" spans="1:16" x14ac:dyDescent="0.2">
      <c r="A82" t="s">
        <v>1398</v>
      </c>
      <c r="B82" t="s">
        <v>1399</v>
      </c>
      <c r="D82" s="129" t="str">
        <f>IF([1]RENAME!$H$3=1,B82,A82)</f>
        <v>Instrumento financeiros derivativos</v>
      </c>
      <c r="E82" s="121" t="s">
        <v>2190</v>
      </c>
      <c r="F82" s="121" t="s">
        <v>2190</v>
      </c>
      <c r="G82" s="118">
        <v>0</v>
      </c>
      <c r="H82" s="118">
        <v>0</v>
      </c>
      <c r="I82" s="118">
        <v>0</v>
      </c>
      <c r="K82" s="129" t="str">
        <f t="shared" si="7"/>
        <v>Instrumento financeiros derivativos</v>
      </c>
      <c r="L82" s="121" t="s">
        <v>160</v>
      </c>
      <c r="M82" s="121" t="s">
        <v>160</v>
      </c>
      <c r="N82" s="118">
        <v>24159</v>
      </c>
      <c r="O82" s="118">
        <v>0</v>
      </c>
      <c r="P82" s="118">
        <v>0</v>
      </c>
    </row>
    <row r="83" spans="1:16" x14ac:dyDescent="0.2">
      <c r="A83" t="s">
        <v>566</v>
      </c>
      <c r="B83" t="s">
        <v>869</v>
      </c>
      <c r="D83" s="129" t="str">
        <f>IF([1]RENAME!$H$3=1,B83,A83)</f>
        <v>Dividendos a pagar</v>
      </c>
      <c r="E83" s="121" t="s">
        <v>2190</v>
      </c>
      <c r="F83" s="121" t="s">
        <v>2190</v>
      </c>
      <c r="G83" s="118">
        <v>0</v>
      </c>
      <c r="H83" s="118">
        <v>0</v>
      </c>
      <c r="I83" s="118">
        <v>0</v>
      </c>
      <c r="K83" s="129" t="str">
        <f t="shared" si="7"/>
        <v>Dividendos a pagar</v>
      </c>
      <c r="L83" s="121" t="s">
        <v>160</v>
      </c>
      <c r="M83" s="121" t="s">
        <v>160</v>
      </c>
      <c r="N83" s="118">
        <v>0</v>
      </c>
      <c r="O83" s="118">
        <v>0</v>
      </c>
      <c r="P83" s="118">
        <v>0</v>
      </c>
    </row>
    <row r="84" spans="1:16" x14ac:dyDescent="0.2">
      <c r="A84" t="s">
        <v>25</v>
      </c>
      <c r="B84" t="s">
        <v>1349</v>
      </c>
      <c r="D84" s="129" t="str">
        <f>IF([1]RENAME!$H$3=1,B84,A84)</f>
        <v>Partes relacionadas</v>
      </c>
      <c r="E84" s="121" t="s">
        <v>2190</v>
      </c>
      <c r="F84" s="121" t="s">
        <v>2190</v>
      </c>
      <c r="G84" s="118">
        <v>684</v>
      </c>
      <c r="H84" s="118">
        <v>524</v>
      </c>
      <c r="I84" s="118">
        <v>0</v>
      </c>
      <c r="K84" s="129" t="str">
        <f t="shared" si="7"/>
        <v>Partes relacionadas</v>
      </c>
      <c r="L84" s="121" t="s">
        <v>160</v>
      </c>
      <c r="M84" s="121" t="s">
        <v>160</v>
      </c>
      <c r="N84" s="118">
        <v>1254</v>
      </c>
      <c r="O84" s="118">
        <v>504</v>
      </c>
      <c r="P84" s="118">
        <v>0</v>
      </c>
    </row>
    <row r="85" spans="1:16" x14ac:dyDescent="0.2">
      <c r="A85" t="s">
        <v>2074</v>
      </c>
      <c r="B85" t="s">
        <v>2073</v>
      </c>
      <c r="D85" s="126" t="str">
        <f>IF([1]RENAME!$H$3=1,B85,A85)</f>
        <v>Em 30 de junho de 2023</v>
      </c>
      <c r="E85" s="120" t="s">
        <v>2190</v>
      </c>
      <c r="F85" s="120" t="s">
        <v>2190</v>
      </c>
      <c r="G85" s="120">
        <f>SUM(G78:G84)</f>
        <v>132085</v>
      </c>
      <c r="H85" s="120">
        <f>SUM(H78:H84)</f>
        <v>7254</v>
      </c>
      <c r="I85" s="120">
        <f>SUM(I78:I84)</f>
        <v>47119</v>
      </c>
      <c r="K85" s="126" t="str">
        <f>D85</f>
        <v>Em 30 de junho de 2023</v>
      </c>
      <c r="L85" s="120" t="s">
        <v>160</v>
      </c>
      <c r="M85" s="120" t="s">
        <v>160</v>
      </c>
      <c r="N85" s="120">
        <f>SUM(N78:N84)</f>
        <v>118887</v>
      </c>
      <c r="O85" s="120">
        <f>SUM(O78:O84)</f>
        <v>7234</v>
      </c>
      <c r="P85" s="120">
        <f>SUM(P78:P84)</f>
        <v>47119</v>
      </c>
    </row>
    <row r="86" spans="1:16" x14ac:dyDescent="0.2">
      <c r="A86" t="s">
        <v>16</v>
      </c>
      <c r="B86" t="s">
        <v>867</v>
      </c>
      <c r="D86" s="129" t="str">
        <f>IF([1]RENAME!$H$3=1,B86,A86)</f>
        <v>Empréstimos e financiamentos</v>
      </c>
      <c r="E86" s="121" t="s">
        <v>2190</v>
      </c>
      <c r="F86" s="121" t="s">
        <v>2190</v>
      </c>
      <c r="G86" s="118">
        <v>54076</v>
      </c>
      <c r="H86" s="118">
        <v>17670</v>
      </c>
      <c r="I86" s="118">
        <v>49258</v>
      </c>
      <c r="K86" s="129" t="str">
        <f>D86</f>
        <v>Empréstimos e financiamentos</v>
      </c>
      <c r="L86" s="121" t="s">
        <v>160</v>
      </c>
      <c r="M86" s="121" t="s">
        <v>160</v>
      </c>
      <c r="N86" s="118">
        <v>54076</v>
      </c>
      <c r="O86" s="118">
        <v>17670</v>
      </c>
      <c r="P86" s="118">
        <v>49258</v>
      </c>
    </row>
    <row r="87" spans="1:16" x14ac:dyDescent="0.2">
      <c r="A87" t="s">
        <v>23</v>
      </c>
      <c r="B87" t="s">
        <v>770</v>
      </c>
      <c r="D87" s="129" t="str">
        <f>IF([1]RENAME!$H$3=1,B87,A87)</f>
        <v>Debêntures</v>
      </c>
      <c r="E87" s="121" t="s">
        <v>2190</v>
      </c>
      <c r="F87" s="121" t="s">
        <v>2190</v>
      </c>
      <c r="G87" s="118">
        <v>0</v>
      </c>
      <c r="H87" s="118">
        <v>0</v>
      </c>
      <c r="I87" s="118">
        <v>0</v>
      </c>
      <c r="K87" s="129" t="str">
        <f t="shared" ref="K87:K92" si="8">D87</f>
        <v>Debêntures</v>
      </c>
      <c r="L87" s="121" t="s">
        <v>160</v>
      </c>
      <c r="M87" s="121" t="s">
        <v>160</v>
      </c>
      <c r="N87" s="118">
        <v>0</v>
      </c>
      <c r="O87" s="118">
        <v>0</v>
      </c>
      <c r="P87" s="118">
        <v>0</v>
      </c>
    </row>
    <row r="88" spans="1:16" x14ac:dyDescent="0.2">
      <c r="A88" t="s">
        <v>164</v>
      </c>
      <c r="B88" t="s">
        <v>667</v>
      </c>
      <c r="D88" s="129" t="str">
        <f>IF([1]RENAME!$H$3=1,B88,A88)</f>
        <v>Fornecedores e fretes a pagar</v>
      </c>
      <c r="E88" s="121" t="s">
        <v>2190</v>
      </c>
      <c r="F88" s="121" t="s">
        <v>2190</v>
      </c>
      <c r="G88" s="118">
        <v>36895</v>
      </c>
      <c r="H88" s="118">
        <v>0</v>
      </c>
      <c r="I88" s="118">
        <v>0</v>
      </c>
      <c r="K88" s="129" t="str">
        <f t="shared" si="8"/>
        <v>Fornecedores e fretes a pagar</v>
      </c>
      <c r="L88" s="121" t="s">
        <v>160</v>
      </c>
      <c r="M88" s="121" t="s">
        <v>160</v>
      </c>
      <c r="N88" s="118">
        <v>0</v>
      </c>
      <c r="O88" s="118">
        <v>0</v>
      </c>
      <c r="P88" s="118">
        <v>0</v>
      </c>
    </row>
    <row r="89" spans="1:16" x14ac:dyDescent="0.2">
      <c r="A89" t="s">
        <v>24</v>
      </c>
      <c r="B89" t="s">
        <v>868</v>
      </c>
      <c r="D89" s="129" t="str">
        <f>IF([1]RENAME!$H$3=1,B89,A89)</f>
        <v>Demais contas a pagar</v>
      </c>
      <c r="E89" s="121" t="s">
        <v>2190</v>
      </c>
      <c r="F89" s="121" t="s">
        <v>2190</v>
      </c>
      <c r="G89" s="118">
        <v>32255</v>
      </c>
      <c r="H89" s="118">
        <v>0</v>
      </c>
      <c r="I89" s="118">
        <v>0</v>
      </c>
      <c r="K89" s="129" t="str">
        <f t="shared" si="8"/>
        <v>Demais contas a pagar</v>
      </c>
      <c r="L89" s="121" t="s">
        <v>160</v>
      </c>
      <c r="M89" s="121" t="s">
        <v>160</v>
      </c>
      <c r="N89" s="118">
        <v>28843</v>
      </c>
      <c r="O89" s="118">
        <v>0</v>
      </c>
      <c r="P89" s="118">
        <v>0</v>
      </c>
    </row>
    <row r="90" spans="1:16" x14ac:dyDescent="0.2">
      <c r="A90" t="s">
        <v>1398</v>
      </c>
      <c r="B90" t="s">
        <v>1399</v>
      </c>
      <c r="D90" s="129" t="str">
        <f>IF([1]RENAME!$H$3=1,B90,A90)</f>
        <v>Instrumento financeiros derivativos</v>
      </c>
      <c r="E90" s="121" t="s">
        <v>2190</v>
      </c>
      <c r="F90" s="121" t="s">
        <v>2190</v>
      </c>
      <c r="G90" s="118">
        <v>0</v>
      </c>
      <c r="H90" s="118">
        <v>0</v>
      </c>
      <c r="I90" s="118">
        <v>0</v>
      </c>
      <c r="K90" s="129" t="str">
        <f t="shared" si="8"/>
        <v>Instrumento financeiros derivativos</v>
      </c>
      <c r="L90" s="121" t="s">
        <v>160</v>
      </c>
      <c r="M90" s="121" t="s">
        <v>160</v>
      </c>
      <c r="N90" s="118">
        <v>21893</v>
      </c>
      <c r="O90" s="118">
        <v>0</v>
      </c>
      <c r="P90" s="118">
        <v>0</v>
      </c>
    </row>
    <row r="91" spans="1:16" x14ac:dyDescent="0.2">
      <c r="A91" t="s">
        <v>566</v>
      </c>
      <c r="B91" t="s">
        <v>869</v>
      </c>
      <c r="D91" s="129" t="str">
        <f>IF([1]RENAME!$H$3=1,B91,A91)</f>
        <v>Dividendos a pagar</v>
      </c>
      <c r="E91" s="121" t="s">
        <v>2190</v>
      </c>
      <c r="F91" s="121" t="s">
        <v>2190</v>
      </c>
      <c r="G91" s="118">
        <v>0</v>
      </c>
      <c r="H91" s="118">
        <v>0</v>
      </c>
      <c r="I91" s="118">
        <v>0</v>
      </c>
      <c r="K91" s="129" t="str">
        <f t="shared" si="8"/>
        <v>Dividendos a pagar</v>
      </c>
      <c r="L91" s="121" t="s">
        <v>160</v>
      </c>
      <c r="M91" s="121" t="s">
        <v>160</v>
      </c>
      <c r="N91" s="118">
        <v>0</v>
      </c>
      <c r="O91" s="118">
        <v>0</v>
      </c>
      <c r="P91" s="118">
        <v>0</v>
      </c>
    </row>
    <row r="92" spans="1:16" x14ac:dyDescent="0.2">
      <c r="A92" t="s">
        <v>25</v>
      </c>
      <c r="B92" t="s">
        <v>1349</v>
      </c>
      <c r="D92" s="129" t="str">
        <f>IF([1]RENAME!$H$3=1,B92,A92)</f>
        <v>Partes relacionadas</v>
      </c>
      <c r="E92" s="121" t="s">
        <v>2190</v>
      </c>
      <c r="F92" s="121" t="s">
        <v>2190</v>
      </c>
      <c r="G92" s="118">
        <v>749</v>
      </c>
      <c r="H92" s="118">
        <v>524</v>
      </c>
      <c r="I92" s="118">
        <v>0</v>
      </c>
      <c r="K92" s="129" t="str">
        <f t="shared" si="8"/>
        <v>Partes relacionadas</v>
      </c>
      <c r="L92" s="121" t="s">
        <v>160</v>
      </c>
      <c r="M92" s="121" t="s">
        <v>160</v>
      </c>
      <c r="N92" s="118">
        <v>1638</v>
      </c>
      <c r="O92" s="118">
        <v>504</v>
      </c>
      <c r="P92" s="118">
        <v>0</v>
      </c>
    </row>
    <row r="93" spans="1:16" x14ac:dyDescent="0.2">
      <c r="A93" t="s">
        <v>2035</v>
      </c>
      <c r="B93" t="s">
        <v>2036</v>
      </c>
      <c r="D93" s="126" t="str">
        <f>IF([1]RENAME!$H$3=1,B93,A93)</f>
        <v>Em 31 de março de 2023</v>
      </c>
      <c r="E93" s="120" t="s">
        <v>2190</v>
      </c>
      <c r="F93" s="120" t="s">
        <v>2190</v>
      </c>
      <c r="G93" s="120">
        <f>SUM(G86:G92)</f>
        <v>123975</v>
      </c>
      <c r="H93" s="120">
        <f>SUM(H86:H92)</f>
        <v>18194</v>
      </c>
      <c r="I93" s="120">
        <f>SUM(I86:I92)</f>
        <v>49258</v>
      </c>
      <c r="K93" s="126" t="str">
        <f>D93</f>
        <v>Em 31 de março de 2023</v>
      </c>
      <c r="L93" s="120" t="s">
        <v>160</v>
      </c>
      <c r="M93" s="120" t="s">
        <v>160</v>
      </c>
      <c r="N93" s="120">
        <f>SUM(N86:N92)</f>
        <v>106450</v>
      </c>
      <c r="O93" s="120">
        <f>SUM(O86:O92)</f>
        <v>18174</v>
      </c>
      <c r="P93" s="120">
        <f>SUM(P86:P92)</f>
        <v>49258</v>
      </c>
    </row>
    <row r="94" spans="1:16" x14ac:dyDescent="0.2">
      <c r="A94" t="s">
        <v>16</v>
      </c>
      <c r="B94" t="s">
        <v>867</v>
      </c>
      <c r="D94" s="129" t="str">
        <f>IF([1]RENAME!$H$3=1,B94,A94)</f>
        <v>Empréstimos e financiamentos</v>
      </c>
      <c r="E94" s="121" t="s">
        <v>2190</v>
      </c>
      <c r="F94" s="121" t="s">
        <v>2190</v>
      </c>
      <c r="G94" s="118">
        <v>69133</v>
      </c>
      <c r="H94" s="118">
        <v>15549</v>
      </c>
      <c r="I94" s="118">
        <v>30359</v>
      </c>
      <c r="K94" s="129" t="str">
        <f>D94</f>
        <v>Empréstimos e financiamentos</v>
      </c>
      <c r="L94" s="121" t="s">
        <v>160</v>
      </c>
      <c r="M94" s="121" t="s">
        <v>160</v>
      </c>
      <c r="N94" s="118">
        <v>69133</v>
      </c>
      <c r="O94" s="118">
        <v>15549</v>
      </c>
      <c r="P94" s="118">
        <v>30359</v>
      </c>
    </row>
    <row r="95" spans="1:16" x14ac:dyDescent="0.2">
      <c r="A95" t="s">
        <v>23</v>
      </c>
      <c r="B95" t="s">
        <v>770</v>
      </c>
      <c r="D95" s="129" t="str">
        <f>IF([1]RENAME!$H$3=1,B95,A95)</f>
        <v>Debêntures</v>
      </c>
      <c r="E95" s="121" t="s">
        <v>2190</v>
      </c>
      <c r="F95" s="121" t="s">
        <v>2190</v>
      </c>
      <c r="G95" s="118">
        <v>0</v>
      </c>
      <c r="H95" s="118">
        <v>0</v>
      </c>
      <c r="I95" s="118">
        <v>0</v>
      </c>
      <c r="K95" s="129" t="str">
        <f t="shared" ref="K95:K100" si="9">D95</f>
        <v>Debêntures</v>
      </c>
      <c r="L95" s="121" t="s">
        <v>160</v>
      </c>
      <c r="M95" s="121" t="s">
        <v>160</v>
      </c>
      <c r="N95" s="118">
        <v>0</v>
      </c>
      <c r="O95" s="118">
        <v>0</v>
      </c>
      <c r="P95" s="118">
        <v>0</v>
      </c>
    </row>
    <row r="96" spans="1:16" x14ac:dyDescent="0.2">
      <c r="A96" t="s">
        <v>164</v>
      </c>
      <c r="B96" t="s">
        <v>667</v>
      </c>
      <c r="D96" s="129" t="str">
        <f>IF([1]RENAME!$H$3=1,B96,A96)</f>
        <v>Fornecedores e fretes a pagar</v>
      </c>
      <c r="E96" s="121" t="s">
        <v>2190</v>
      </c>
      <c r="F96" s="121" t="s">
        <v>2190</v>
      </c>
      <c r="G96" s="118">
        <v>49406</v>
      </c>
      <c r="H96" s="118">
        <v>0</v>
      </c>
      <c r="I96" s="118">
        <v>0</v>
      </c>
      <c r="K96" s="129" t="str">
        <f t="shared" si="9"/>
        <v>Fornecedores e fretes a pagar</v>
      </c>
      <c r="L96" s="121" t="s">
        <v>160</v>
      </c>
      <c r="M96" s="121" t="s">
        <v>160</v>
      </c>
      <c r="N96" s="118">
        <v>41128</v>
      </c>
      <c r="O96" s="118">
        <v>0</v>
      </c>
      <c r="P96" s="118">
        <v>0</v>
      </c>
    </row>
    <row r="97" spans="1:16" x14ac:dyDescent="0.2">
      <c r="A97" t="s">
        <v>24</v>
      </c>
      <c r="B97" t="s">
        <v>868</v>
      </c>
      <c r="D97" s="129" t="str">
        <f>IF([1]RENAME!$H$3=1,B97,A97)</f>
        <v>Demais contas a pagar</v>
      </c>
      <c r="E97" s="121" t="s">
        <v>2190</v>
      </c>
      <c r="F97" s="121" t="s">
        <v>2190</v>
      </c>
      <c r="G97" s="118">
        <v>39126</v>
      </c>
      <c r="H97" s="118">
        <v>0</v>
      </c>
      <c r="I97" s="118">
        <v>0</v>
      </c>
      <c r="K97" s="129" t="str">
        <f t="shared" si="9"/>
        <v>Demais contas a pagar</v>
      </c>
      <c r="L97" s="121" t="s">
        <v>160</v>
      </c>
      <c r="M97" s="121" t="s">
        <v>160</v>
      </c>
      <c r="N97" s="118">
        <v>28310</v>
      </c>
      <c r="O97" s="118">
        <v>0</v>
      </c>
      <c r="P97" s="118">
        <v>0</v>
      </c>
    </row>
    <row r="98" spans="1:16" x14ac:dyDescent="0.2">
      <c r="A98" t="s">
        <v>1398</v>
      </c>
      <c r="B98" t="s">
        <v>1399</v>
      </c>
      <c r="D98" s="129" t="str">
        <f>IF([1]RENAME!$H$3=1,B98,A98)</f>
        <v>Instrumento financeiros derivativos</v>
      </c>
      <c r="E98" s="121" t="s">
        <v>2190</v>
      </c>
      <c r="F98" s="121" t="s">
        <v>2190</v>
      </c>
      <c r="G98" s="118">
        <v>0</v>
      </c>
      <c r="H98" s="118">
        <v>0</v>
      </c>
      <c r="I98" s="118">
        <v>0</v>
      </c>
      <c r="K98" s="129" t="str">
        <f t="shared" si="9"/>
        <v>Instrumento financeiros derivativos</v>
      </c>
      <c r="L98" s="121" t="s">
        <v>160</v>
      </c>
      <c r="M98" s="121" t="s">
        <v>160</v>
      </c>
      <c r="N98" s="118">
        <v>0</v>
      </c>
      <c r="O98" s="118">
        <v>0</v>
      </c>
      <c r="P98" s="118">
        <v>0</v>
      </c>
    </row>
    <row r="99" spans="1:16" x14ac:dyDescent="0.2">
      <c r="A99" t="s">
        <v>566</v>
      </c>
      <c r="B99" t="s">
        <v>869</v>
      </c>
      <c r="D99" s="129" t="str">
        <f>IF([1]RENAME!$H$3=1,B99,A99)</f>
        <v>Dividendos a pagar</v>
      </c>
      <c r="E99" s="121" t="s">
        <v>2190</v>
      </c>
      <c r="F99" s="121" t="s">
        <v>2190</v>
      </c>
      <c r="G99" s="118">
        <v>0</v>
      </c>
      <c r="H99" s="118">
        <v>0</v>
      </c>
      <c r="I99" s="118">
        <v>0</v>
      </c>
      <c r="K99" s="129" t="str">
        <f t="shared" si="9"/>
        <v>Dividendos a pagar</v>
      </c>
      <c r="L99" s="121" t="s">
        <v>160</v>
      </c>
      <c r="M99" s="121" t="s">
        <v>160</v>
      </c>
      <c r="N99" s="118">
        <v>0</v>
      </c>
      <c r="O99" s="118">
        <v>0</v>
      </c>
      <c r="P99" s="118">
        <v>0</v>
      </c>
    </row>
    <row r="100" spans="1:16" ht="12.75" customHeight="1" x14ac:dyDescent="0.2">
      <c r="A100" t="s">
        <v>25</v>
      </c>
      <c r="B100" t="s">
        <v>1349</v>
      </c>
      <c r="D100" s="129" t="str">
        <f>IF([1]RENAME!$H$3=1,B100,A100)</f>
        <v>Partes relacionadas</v>
      </c>
      <c r="E100" s="121" t="s">
        <v>2190</v>
      </c>
      <c r="F100" s="121" t="s">
        <v>2190</v>
      </c>
      <c r="G100" s="118">
        <v>806</v>
      </c>
      <c r="H100" s="118">
        <v>524</v>
      </c>
      <c r="I100" s="118">
        <v>0</v>
      </c>
      <c r="K100" s="129" t="str">
        <f t="shared" si="9"/>
        <v>Partes relacionadas</v>
      </c>
      <c r="L100" s="121" t="s">
        <v>160</v>
      </c>
      <c r="M100" s="121" t="s">
        <v>160</v>
      </c>
      <c r="N100" s="118">
        <v>1546</v>
      </c>
      <c r="O100" s="118">
        <v>504</v>
      </c>
      <c r="P100" s="118">
        <v>0</v>
      </c>
    </row>
    <row r="101" spans="1:16" x14ac:dyDescent="0.2">
      <c r="A101" t="s">
        <v>2000</v>
      </c>
      <c r="B101" t="s">
        <v>2001</v>
      </c>
      <c r="D101" s="126" t="str">
        <f>IF([1]RENAME!$H$3=1,B101,A101)</f>
        <v>Em 31 de dezembro de 2022</v>
      </c>
      <c r="E101" s="120" t="s">
        <v>2190</v>
      </c>
      <c r="F101" s="120" t="s">
        <v>2190</v>
      </c>
      <c r="G101" s="120">
        <f>SUM(G94:G100)</f>
        <v>158471</v>
      </c>
      <c r="H101" s="120">
        <f>SUM(H94:H100)</f>
        <v>16073</v>
      </c>
      <c r="I101" s="120">
        <f>SUM(I94:I100)</f>
        <v>30359</v>
      </c>
      <c r="K101" s="126" t="str">
        <f>D101</f>
        <v>Em 31 de dezembro de 2022</v>
      </c>
      <c r="L101" s="120" t="s">
        <v>160</v>
      </c>
      <c r="M101" s="120" t="s">
        <v>160</v>
      </c>
      <c r="N101" s="120">
        <f>SUM(N94:N100)</f>
        <v>140117</v>
      </c>
      <c r="O101" s="120">
        <f>SUM(O94:O100)</f>
        <v>16053</v>
      </c>
      <c r="P101" s="120">
        <f>SUM(P94:P100)</f>
        <v>30359</v>
      </c>
    </row>
    <row r="102" spans="1:16" x14ac:dyDescent="0.2">
      <c r="A102" t="s">
        <v>16</v>
      </c>
      <c r="B102" t="s">
        <v>867</v>
      </c>
      <c r="D102" s="129" t="str">
        <f>IF([1]RENAME!$H$3=1,B102,A102)</f>
        <v>Empréstimos e financiamentos</v>
      </c>
      <c r="E102" s="121" t="s">
        <v>2190</v>
      </c>
      <c r="F102" s="121" t="s">
        <v>2190</v>
      </c>
      <c r="G102" s="118">
        <v>64310</v>
      </c>
      <c r="H102" s="118">
        <v>10707</v>
      </c>
      <c r="I102" s="118">
        <v>0</v>
      </c>
      <c r="K102" s="129" t="str">
        <f>D102</f>
        <v>Empréstimos e financiamentos</v>
      </c>
      <c r="L102" s="121" t="s">
        <v>160</v>
      </c>
      <c r="M102" s="121" t="s">
        <v>160</v>
      </c>
      <c r="N102" s="118">
        <v>64310</v>
      </c>
      <c r="O102" s="118">
        <v>10707</v>
      </c>
      <c r="P102" s="118">
        <v>0</v>
      </c>
    </row>
    <row r="103" spans="1:16" x14ac:dyDescent="0.2">
      <c r="A103" t="s">
        <v>23</v>
      </c>
      <c r="B103" t="s">
        <v>770</v>
      </c>
      <c r="D103" s="129" t="str">
        <f>IF([1]RENAME!$H$3=1,B103,A103)</f>
        <v>Debêntures</v>
      </c>
      <c r="E103" s="121" t="s">
        <v>2190</v>
      </c>
      <c r="F103" s="121" t="s">
        <v>2190</v>
      </c>
      <c r="G103" s="118">
        <v>0</v>
      </c>
      <c r="H103" s="118">
        <v>0</v>
      </c>
      <c r="I103" s="118">
        <v>0</v>
      </c>
      <c r="K103" s="129" t="str">
        <f t="shared" ref="K103:K108" si="10">D103</f>
        <v>Debêntures</v>
      </c>
      <c r="L103" s="121" t="s">
        <v>160</v>
      </c>
      <c r="M103" s="121" t="s">
        <v>160</v>
      </c>
      <c r="N103" s="118">
        <v>0</v>
      </c>
      <c r="O103" s="118">
        <v>0</v>
      </c>
      <c r="P103" s="118">
        <v>0</v>
      </c>
    </row>
    <row r="104" spans="1:16" x14ac:dyDescent="0.2">
      <c r="A104" t="s">
        <v>164</v>
      </c>
      <c r="B104" t="s">
        <v>667</v>
      </c>
      <c r="D104" s="129" t="str">
        <f>IF([1]RENAME!$H$3=1,B104,A104)</f>
        <v>Fornecedores e fretes a pagar</v>
      </c>
      <c r="E104" s="121" t="s">
        <v>2190</v>
      </c>
      <c r="F104" s="121" t="s">
        <v>2190</v>
      </c>
      <c r="G104" s="118">
        <v>30411</v>
      </c>
      <c r="H104" s="118">
        <v>0</v>
      </c>
      <c r="I104" s="118">
        <v>0</v>
      </c>
      <c r="K104" s="129" t="str">
        <f t="shared" si="10"/>
        <v>Fornecedores e fretes a pagar</v>
      </c>
      <c r="L104" s="121" t="s">
        <v>160</v>
      </c>
      <c r="M104" s="121" t="s">
        <v>160</v>
      </c>
      <c r="N104" s="118">
        <v>23083</v>
      </c>
      <c r="O104" s="118">
        <v>0</v>
      </c>
      <c r="P104" s="118">
        <v>0</v>
      </c>
    </row>
    <row r="105" spans="1:16" x14ac:dyDescent="0.2">
      <c r="A105" t="s">
        <v>24</v>
      </c>
      <c r="B105" t="s">
        <v>868</v>
      </c>
      <c r="D105" s="129" t="str">
        <f>IF([1]RENAME!$H$3=1,B105,A105)</f>
        <v>Demais contas a pagar</v>
      </c>
      <c r="E105" s="121" t="s">
        <v>2190</v>
      </c>
      <c r="F105" s="121" t="s">
        <v>2190</v>
      </c>
      <c r="G105" s="118">
        <v>31363</v>
      </c>
      <c r="H105" s="118">
        <v>0</v>
      </c>
      <c r="I105" s="118">
        <v>0</v>
      </c>
      <c r="K105" s="129" t="str">
        <f t="shared" si="10"/>
        <v>Demais contas a pagar</v>
      </c>
      <c r="L105" s="121" t="s">
        <v>160</v>
      </c>
      <c r="M105" s="121" t="s">
        <v>160</v>
      </c>
      <c r="N105" s="118">
        <v>25659</v>
      </c>
      <c r="O105" s="118">
        <v>0</v>
      </c>
      <c r="P105" s="118">
        <v>0</v>
      </c>
    </row>
    <row r="106" spans="1:16" x14ac:dyDescent="0.2">
      <c r="A106" t="s">
        <v>1398</v>
      </c>
      <c r="B106" t="s">
        <v>1399</v>
      </c>
      <c r="D106" s="129" t="str">
        <f>IF([1]RENAME!$H$3=1,B106,A106)</f>
        <v>Instrumento financeiros derivativos</v>
      </c>
      <c r="E106" s="121" t="s">
        <v>2190</v>
      </c>
      <c r="F106" s="121" t="s">
        <v>2190</v>
      </c>
      <c r="G106" s="118">
        <v>0</v>
      </c>
      <c r="H106" s="118">
        <v>0</v>
      </c>
      <c r="I106" s="118">
        <v>0</v>
      </c>
      <c r="K106" s="129" t="str">
        <f t="shared" si="10"/>
        <v>Instrumento financeiros derivativos</v>
      </c>
      <c r="L106" s="121" t="s">
        <v>160</v>
      </c>
      <c r="M106" s="121" t="s">
        <v>160</v>
      </c>
      <c r="N106" s="118">
        <v>0</v>
      </c>
      <c r="O106" s="118">
        <v>0</v>
      </c>
      <c r="P106" s="118">
        <v>0</v>
      </c>
    </row>
    <row r="107" spans="1:16" x14ac:dyDescent="0.2">
      <c r="A107" t="s">
        <v>566</v>
      </c>
      <c r="B107" t="s">
        <v>869</v>
      </c>
      <c r="D107" s="129" t="str">
        <f>IF([1]RENAME!$H$3=1,B107,A107)</f>
        <v>Dividendos a pagar</v>
      </c>
      <c r="E107" s="121" t="s">
        <v>2190</v>
      </c>
      <c r="F107" s="121" t="s">
        <v>2190</v>
      </c>
      <c r="G107" s="118">
        <v>0</v>
      </c>
      <c r="H107" s="118">
        <v>0</v>
      </c>
      <c r="I107" s="118">
        <v>0</v>
      </c>
      <c r="K107" s="129" t="str">
        <f t="shared" si="10"/>
        <v>Dividendos a pagar</v>
      </c>
      <c r="L107" s="121" t="s">
        <v>160</v>
      </c>
      <c r="M107" s="121" t="s">
        <v>160</v>
      </c>
      <c r="N107" s="118">
        <v>0</v>
      </c>
      <c r="O107" s="118">
        <v>0</v>
      </c>
      <c r="P107" s="118">
        <v>0</v>
      </c>
    </row>
    <row r="108" spans="1:16" x14ac:dyDescent="0.2">
      <c r="A108" t="s">
        <v>25</v>
      </c>
      <c r="B108" t="s">
        <v>1349</v>
      </c>
      <c r="D108" s="129" t="str">
        <f>IF([1]RENAME!$H$3=1,B108,A108)</f>
        <v>Partes relacionadas</v>
      </c>
      <c r="E108" s="121" t="s">
        <v>2190</v>
      </c>
      <c r="F108" s="121" t="s">
        <v>2190</v>
      </c>
      <c r="G108" s="118">
        <v>169</v>
      </c>
      <c r="H108" s="118">
        <v>524</v>
      </c>
      <c r="I108" s="118">
        <v>0</v>
      </c>
      <c r="K108" s="129" t="str">
        <f t="shared" si="10"/>
        <v>Partes relacionadas</v>
      </c>
      <c r="L108" s="121" t="s">
        <v>160</v>
      </c>
      <c r="M108" s="121" t="s">
        <v>160</v>
      </c>
      <c r="N108" s="118">
        <v>925</v>
      </c>
      <c r="O108" s="118">
        <v>504</v>
      </c>
      <c r="P108" s="118">
        <v>0</v>
      </c>
    </row>
    <row r="109" spans="1:16" x14ac:dyDescent="0.2">
      <c r="A109" t="s">
        <v>1986</v>
      </c>
      <c r="B109" t="s">
        <v>1987</v>
      </c>
      <c r="D109" s="126" t="str">
        <f>IF([1]RENAME!$H$3=1,B109,A109)</f>
        <v>Em 30 de setembro de 2022</v>
      </c>
      <c r="E109" s="120" t="s">
        <v>2190</v>
      </c>
      <c r="F109" s="120" t="s">
        <v>2190</v>
      </c>
      <c r="G109" s="120">
        <f>SUM(G102:G108)</f>
        <v>126253</v>
      </c>
      <c r="H109" s="120">
        <f>SUM(H102:H108)</f>
        <v>11231</v>
      </c>
      <c r="I109" s="120">
        <f>SUM(I102:I108)</f>
        <v>0</v>
      </c>
      <c r="K109" s="126" t="str">
        <f>D109</f>
        <v>Em 30 de setembro de 2022</v>
      </c>
      <c r="L109" s="120" t="s">
        <v>160</v>
      </c>
      <c r="M109" s="120" t="s">
        <v>160</v>
      </c>
      <c r="N109" s="120">
        <f>SUM(N102:N108)</f>
        <v>113977</v>
      </c>
      <c r="O109" s="120">
        <f>SUM(O102:O108)</f>
        <v>11211</v>
      </c>
      <c r="P109" s="120">
        <f>SUM(P102:P108)</f>
        <v>0</v>
      </c>
    </row>
    <row r="110" spans="1:16" x14ac:dyDescent="0.2">
      <c r="A110" t="s">
        <v>16</v>
      </c>
      <c r="B110" t="s">
        <v>867</v>
      </c>
      <c r="D110" s="129" t="str">
        <f>IF([1]RENAME!$H$3=1,B110,A110)</f>
        <v>Empréstimos e financiamentos</v>
      </c>
      <c r="E110" s="121" t="s">
        <v>2190</v>
      </c>
      <c r="F110" s="121" t="s">
        <v>2190</v>
      </c>
      <c r="G110" s="118">
        <v>19413</v>
      </c>
      <c r="H110" s="118">
        <v>59835</v>
      </c>
      <c r="I110" s="118">
        <v>0</v>
      </c>
      <c r="K110" s="129" t="str">
        <f>D110</f>
        <v>Empréstimos e financiamentos</v>
      </c>
      <c r="L110" s="121" t="s">
        <v>160</v>
      </c>
      <c r="M110" s="121" t="s">
        <v>160</v>
      </c>
      <c r="N110" s="118">
        <v>19413</v>
      </c>
      <c r="O110" s="118">
        <v>59835</v>
      </c>
      <c r="P110" s="118">
        <v>0</v>
      </c>
    </row>
    <row r="111" spans="1:16" x14ac:dyDescent="0.2">
      <c r="A111" t="s">
        <v>23</v>
      </c>
      <c r="B111" t="s">
        <v>770</v>
      </c>
      <c r="D111" s="129" t="str">
        <f>IF([1]RENAME!$H$3=1,B111,A111)</f>
        <v>Debêntures</v>
      </c>
      <c r="E111" s="121" t="s">
        <v>2190</v>
      </c>
      <c r="F111" s="121" t="s">
        <v>2190</v>
      </c>
      <c r="G111" s="118">
        <v>0</v>
      </c>
      <c r="H111" s="118">
        <v>0</v>
      </c>
      <c r="I111" s="118">
        <v>0</v>
      </c>
      <c r="K111" s="129" t="str">
        <f t="shared" ref="K111:K116" si="11">D111</f>
        <v>Debêntures</v>
      </c>
      <c r="L111" s="121" t="s">
        <v>160</v>
      </c>
      <c r="M111" s="121" t="s">
        <v>160</v>
      </c>
      <c r="N111" s="118">
        <v>0</v>
      </c>
      <c r="O111" s="118">
        <v>0</v>
      </c>
      <c r="P111" s="118">
        <v>0</v>
      </c>
    </row>
    <row r="112" spans="1:16" x14ac:dyDescent="0.2">
      <c r="A112" t="s">
        <v>164</v>
      </c>
      <c r="B112" t="s">
        <v>667</v>
      </c>
      <c r="D112" s="129" t="str">
        <f>IF([1]RENAME!$H$3=1,B112,A112)</f>
        <v>Fornecedores e fretes a pagar</v>
      </c>
      <c r="E112" s="121" t="s">
        <v>2190</v>
      </c>
      <c r="F112" s="121" t="s">
        <v>2190</v>
      </c>
      <c r="G112" s="118">
        <v>34064</v>
      </c>
      <c r="H112" s="118">
        <v>0</v>
      </c>
      <c r="I112" s="118">
        <v>0</v>
      </c>
      <c r="K112" s="129" t="str">
        <f t="shared" si="11"/>
        <v>Fornecedores e fretes a pagar</v>
      </c>
      <c r="L112" s="121" t="s">
        <v>160</v>
      </c>
      <c r="M112" s="121" t="s">
        <v>160</v>
      </c>
      <c r="N112" s="118">
        <v>24428</v>
      </c>
      <c r="O112" s="118">
        <v>0</v>
      </c>
      <c r="P112" s="118">
        <v>0</v>
      </c>
    </row>
    <row r="113" spans="1:16" x14ac:dyDescent="0.2">
      <c r="A113" t="s">
        <v>24</v>
      </c>
      <c r="B113" t="s">
        <v>868</v>
      </c>
      <c r="D113" s="129" t="str">
        <f>IF([1]RENAME!$H$3=1,B113,A113)</f>
        <v>Demais contas a pagar</v>
      </c>
      <c r="E113" s="121" t="s">
        <v>2190</v>
      </c>
      <c r="F113" s="121" t="s">
        <v>2190</v>
      </c>
      <c r="G113" s="118">
        <v>26414</v>
      </c>
      <c r="H113" s="118">
        <v>0</v>
      </c>
      <c r="I113" s="118">
        <v>0</v>
      </c>
      <c r="K113" s="129" t="str">
        <f t="shared" si="11"/>
        <v>Demais contas a pagar</v>
      </c>
      <c r="L113" s="121" t="s">
        <v>160</v>
      </c>
      <c r="M113" s="121" t="s">
        <v>160</v>
      </c>
      <c r="N113" s="118">
        <v>23802</v>
      </c>
      <c r="O113" s="118">
        <v>0</v>
      </c>
      <c r="P113" s="118">
        <v>0</v>
      </c>
    </row>
    <row r="114" spans="1:16" x14ac:dyDescent="0.2">
      <c r="A114" t="s">
        <v>1398</v>
      </c>
      <c r="B114" t="s">
        <v>1399</v>
      </c>
      <c r="D114" s="129" t="str">
        <f>IF([1]RENAME!$H$3=1,B114,A114)</f>
        <v>Instrumento financeiros derivativos</v>
      </c>
      <c r="E114" s="121" t="s">
        <v>2190</v>
      </c>
      <c r="F114" s="121" t="s">
        <v>2190</v>
      </c>
      <c r="G114" s="118">
        <v>0</v>
      </c>
      <c r="H114" s="118">
        <v>0</v>
      </c>
      <c r="I114" s="118">
        <v>0</v>
      </c>
      <c r="K114" s="129" t="str">
        <f t="shared" si="11"/>
        <v>Instrumento financeiros derivativos</v>
      </c>
      <c r="L114" s="121" t="s">
        <v>160</v>
      </c>
      <c r="M114" s="121" t="s">
        <v>160</v>
      </c>
      <c r="N114" s="118">
        <v>0</v>
      </c>
      <c r="O114" s="118">
        <v>0</v>
      </c>
      <c r="P114" s="118">
        <v>0</v>
      </c>
    </row>
    <row r="115" spans="1:16" x14ac:dyDescent="0.2">
      <c r="A115" t="s">
        <v>566</v>
      </c>
      <c r="B115" t="s">
        <v>869</v>
      </c>
      <c r="D115" s="129" t="str">
        <f>IF([1]RENAME!$H$3=1,B115,A115)</f>
        <v>Dividendos a pagar</v>
      </c>
      <c r="E115" s="121" t="s">
        <v>2190</v>
      </c>
      <c r="F115" s="121" t="s">
        <v>2190</v>
      </c>
      <c r="G115" s="118">
        <v>0</v>
      </c>
      <c r="H115" s="118">
        <v>0</v>
      </c>
      <c r="I115" s="118">
        <v>0</v>
      </c>
      <c r="K115" s="129" t="str">
        <f t="shared" si="11"/>
        <v>Dividendos a pagar</v>
      </c>
      <c r="L115" s="121" t="s">
        <v>160</v>
      </c>
      <c r="M115" s="121" t="s">
        <v>160</v>
      </c>
      <c r="N115" s="118">
        <v>0</v>
      </c>
      <c r="O115" s="118">
        <v>0</v>
      </c>
      <c r="P115" s="118">
        <v>0</v>
      </c>
    </row>
    <row r="116" spans="1:16" x14ac:dyDescent="0.2">
      <c r="A116" t="s">
        <v>25</v>
      </c>
      <c r="B116" t="s">
        <v>1349</v>
      </c>
      <c r="D116" s="129" t="str">
        <f>IF([1]RENAME!$H$3=1,B116,A116)</f>
        <v>Partes relacionadas</v>
      </c>
      <c r="E116" s="121" t="s">
        <v>2190</v>
      </c>
      <c r="F116" s="121" t="s">
        <v>2190</v>
      </c>
      <c r="G116" s="118">
        <v>137</v>
      </c>
      <c r="H116" s="118">
        <v>524</v>
      </c>
      <c r="I116" s="118">
        <v>0</v>
      </c>
      <c r="K116" s="129" t="str">
        <f t="shared" si="11"/>
        <v>Partes relacionadas</v>
      </c>
      <c r="L116" s="121" t="s">
        <v>160</v>
      </c>
      <c r="M116" s="121" t="s">
        <v>160</v>
      </c>
      <c r="N116" s="118">
        <v>662</v>
      </c>
      <c r="O116" s="118">
        <v>504</v>
      </c>
      <c r="P116" s="118">
        <v>0</v>
      </c>
    </row>
    <row r="117" spans="1:16" x14ac:dyDescent="0.2">
      <c r="A117" t="s">
        <v>1965</v>
      </c>
      <c r="B117" t="s">
        <v>1966</v>
      </c>
      <c r="D117" s="126" t="str">
        <f>IF([1]RENAME!$H$3=1,B117,A117)</f>
        <v>Em 30 de junho de 2022</v>
      </c>
      <c r="E117" s="120" t="s">
        <v>2190</v>
      </c>
      <c r="F117" s="120" t="s">
        <v>2190</v>
      </c>
      <c r="G117" s="120">
        <f>SUM(G110:G116)</f>
        <v>80028</v>
      </c>
      <c r="H117" s="120">
        <f>SUM(H110:H116)</f>
        <v>60359</v>
      </c>
      <c r="I117" s="120">
        <f>SUM(I110:I116)</f>
        <v>0</v>
      </c>
      <c r="K117" s="126" t="str">
        <f>D117</f>
        <v>Em 30 de junho de 2022</v>
      </c>
      <c r="L117" s="120" t="s">
        <v>160</v>
      </c>
      <c r="M117" s="120" t="s">
        <v>160</v>
      </c>
      <c r="N117" s="120">
        <f>SUM(N110:N116)</f>
        <v>68305</v>
      </c>
      <c r="O117" s="120">
        <f>SUM(O110:O116)</f>
        <v>60339</v>
      </c>
      <c r="P117" s="120">
        <f>SUM(P110:P116)</f>
        <v>0</v>
      </c>
    </row>
    <row r="118" spans="1:16" x14ac:dyDescent="0.2">
      <c r="A118" t="s">
        <v>16</v>
      </c>
      <c r="B118" t="s">
        <v>867</v>
      </c>
      <c r="D118" s="129" t="str">
        <f>IF([1]RENAME!$H$3=1,B118,A118)</f>
        <v>Empréstimos e financiamentos</v>
      </c>
      <c r="E118" s="121" t="s">
        <v>2190</v>
      </c>
      <c r="F118" s="121" t="s">
        <v>2190</v>
      </c>
      <c r="G118" s="118">
        <v>71924</v>
      </c>
      <c r="H118" s="118">
        <v>48740</v>
      </c>
      <c r="I118" s="118">
        <v>10614</v>
      </c>
      <c r="K118" s="129" t="str">
        <f>D118</f>
        <v>Empréstimos e financiamentos</v>
      </c>
      <c r="L118" s="121" t="s">
        <v>160</v>
      </c>
      <c r="M118" s="121" t="s">
        <v>160</v>
      </c>
      <c r="N118" s="118">
        <v>71924</v>
      </c>
      <c r="O118" s="118">
        <v>48740</v>
      </c>
      <c r="P118" s="118">
        <v>10614</v>
      </c>
    </row>
    <row r="119" spans="1:16" x14ac:dyDescent="0.2">
      <c r="A119" t="s">
        <v>23</v>
      </c>
      <c r="B119" t="s">
        <v>770</v>
      </c>
      <c r="D119" s="129" t="str">
        <f>IF([1]RENAME!$H$3=1,B119,A119)</f>
        <v>Debêntures</v>
      </c>
      <c r="E119" s="121" t="s">
        <v>2190</v>
      </c>
      <c r="F119" s="121" t="s">
        <v>2190</v>
      </c>
      <c r="G119" s="118">
        <v>0</v>
      </c>
      <c r="H119" s="118">
        <v>0</v>
      </c>
      <c r="I119" s="118">
        <v>0</v>
      </c>
      <c r="K119" s="129" t="str">
        <f t="shared" ref="K119:K124" si="12">D119</f>
        <v>Debêntures</v>
      </c>
      <c r="L119" s="121" t="s">
        <v>160</v>
      </c>
      <c r="M119" s="121" t="s">
        <v>160</v>
      </c>
      <c r="N119" s="118">
        <v>0</v>
      </c>
      <c r="O119" s="118">
        <v>0</v>
      </c>
      <c r="P119" s="118">
        <v>0</v>
      </c>
    </row>
    <row r="120" spans="1:16" x14ac:dyDescent="0.2">
      <c r="A120" t="s">
        <v>164</v>
      </c>
      <c r="B120" t="s">
        <v>667</v>
      </c>
      <c r="D120" s="129" t="str">
        <f>IF([1]RENAME!$H$3=1,B120,A120)</f>
        <v>Fornecedores e fretes a pagar</v>
      </c>
      <c r="E120" s="121" t="s">
        <v>2190</v>
      </c>
      <c r="F120" s="121" t="s">
        <v>2190</v>
      </c>
      <c r="G120" s="118">
        <v>39307</v>
      </c>
      <c r="H120" s="118">
        <v>0</v>
      </c>
      <c r="I120" s="118">
        <v>0</v>
      </c>
      <c r="K120" s="129" t="str">
        <f t="shared" si="12"/>
        <v>Fornecedores e fretes a pagar</v>
      </c>
      <c r="L120" s="121" t="s">
        <v>160</v>
      </c>
      <c r="M120" s="121" t="s">
        <v>160</v>
      </c>
      <c r="N120" s="118">
        <v>30470</v>
      </c>
      <c r="O120" s="118">
        <v>0</v>
      </c>
      <c r="P120" s="118">
        <v>0</v>
      </c>
    </row>
    <row r="121" spans="1:16" x14ac:dyDescent="0.2">
      <c r="A121" t="s">
        <v>24</v>
      </c>
      <c r="B121" t="s">
        <v>868</v>
      </c>
      <c r="D121" s="129" t="str">
        <f>IF([1]RENAME!$H$3=1,B121,A121)</f>
        <v>Demais contas a pagar</v>
      </c>
      <c r="E121" s="121" t="s">
        <v>2190</v>
      </c>
      <c r="F121" s="121" t="s">
        <v>2190</v>
      </c>
      <c r="G121" s="118">
        <v>23261</v>
      </c>
      <c r="H121" s="118">
        <v>0</v>
      </c>
      <c r="I121" s="118">
        <v>0</v>
      </c>
      <c r="K121" s="129" t="str">
        <f t="shared" si="12"/>
        <v>Demais contas a pagar</v>
      </c>
      <c r="L121" s="121" t="s">
        <v>160</v>
      </c>
      <c r="M121" s="121" t="s">
        <v>160</v>
      </c>
      <c r="N121" s="118">
        <v>20465</v>
      </c>
      <c r="O121" s="118">
        <v>0</v>
      </c>
      <c r="P121" s="118">
        <v>0</v>
      </c>
    </row>
    <row r="122" spans="1:16" x14ac:dyDescent="0.2">
      <c r="A122" t="s">
        <v>1398</v>
      </c>
      <c r="B122" t="s">
        <v>1399</v>
      </c>
      <c r="D122" s="129" t="str">
        <f>IF([1]RENAME!$H$3=1,B122,A122)</f>
        <v>Instrumento financeiros derivativos</v>
      </c>
      <c r="E122" s="121" t="s">
        <v>2190</v>
      </c>
      <c r="F122" s="121" t="s">
        <v>2190</v>
      </c>
      <c r="G122" s="118">
        <v>0</v>
      </c>
      <c r="H122" s="118">
        <v>0</v>
      </c>
      <c r="I122" s="118">
        <v>0</v>
      </c>
      <c r="K122" s="129" t="str">
        <f t="shared" si="12"/>
        <v>Instrumento financeiros derivativos</v>
      </c>
      <c r="L122" s="121" t="s">
        <v>160</v>
      </c>
      <c r="M122" s="121" t="s">
        <v>160</v>
      </c>
      <c r="N122" s="118">
        <v>0</v>
      </c>
      <c r="O122" s="118">
        <v>0</v>
      </c>
      <c r="P122" s="118">
        <v>0</v>
      </c>
    </row>
    <row r="123" spans="1:16" x14ac:dyDescent="0.2">
      <c r="A123" t="s">
        <v>566</v>
      </c>
      <c r="B123" t="s">
        <v>869</v>
      </c>
      <c r="D123" s="129" t="str">
        <f>IF([1]RENAME!$H$3=1,B123,A123)</f>
        <v>Dividendos a pagar</v>
      </c>
      <c r="E123" s="121" t="s">
        <v>2190</v>
      </c>
      <c r="F123" s="121" t="s">
        <v>2190</v>
      </c>
      <c r="G123" s="118">
        <v>0</v>
      </c>
      <c r="H123" s="118">
        <v>0</v>
      </c>
      <c r="I123" s="118">
        <v>0</v>
      </c>
      <c r="K123" s="129" t="str">
        <f t="shared" si="12"/>
        <v>Dividendos a pagar</v>
      </c>
      <c r="L123" s="121" t="s">
        <v>160</v>
      </c>
      <c r="M123" s="121" t="s">
        <v>160</v>
      </c>
      <c r="N123" s="118">
        <v>0</v>
      </c>
      <c r="O123" s="118">
        <v>0</v>
      </c>
      <c r="P123" s="118">
        <v>0</v>
      </c>
    </row>
    <row r="124" spans="1:16" x14ac:dyDescent="0.2">
      <c r="A124" t="s">
        <v>25</v>
      </c>
      <c r="B124" t="s">
        <v>1349</v>
      </c>
      <c r="D124" s="129" t="str">
        <f>IF([1]RENAME!$H$3=1,B124,A124)</f>
        <v>Partes relacionadas</v>
      </c>
      <c r="E124" s="121" t="s">
        <v>2190</v>
      </c>
      <c r="F124" s="121" t="s">
        <v>2190</v>
      </c>
      <c r="G124" s="118">
        <v>69</v>
      </c>
      <c r="H124" s="118">
        <v>528</v>
      </c>
      <c r="I124" s="118">
        <v>0</v>
      </c>
      <c r="K124" s="129" t="str">
        <f t="shared" si="12"/>
        <v>Partes relacionadas</v>
      </c>
      <c r="L124" s="121" t="s">
        <v>160</v>
      </c>
      <c r="M124" s="121" t="s">
        <v>160</v>
      </c>
      <c r="N124" s="118">
        <v>636</v>
      </c>
      <c r="O124" s="118">
        <v>509</v>
      </c>
      <c r="P124" s="118">
        <v>0</v>
      </c>
    </row>
    <row r="125" spans="1:16" x14ac:dyDescent="0.2">
      <c r="A125" t="s">
        <v>1954</v>
      </c>
      <c r="B125" t="s">
        <v>1955</v>
      </c>
      <c r="D125" s="126" t="str">
        <f>IF([1]RENAME!$H$3=1,B125,A125)</f>
        <v>Em 31 de março de 2022</v>
      </c>
      <c r="E125" s="120" t="s">
        <v>2190</v>
      </c>
      <c r="F125" s="120" t="s">
        <v>2190</v>
      </c>
      <c r="G125" s="120">
        <f>SUM(G118:G124)</f>
        <v>134561</v>
      </c>
      <c r="H125" s="120">
        <f>SUM(H118:H124)</f>
        <v>49268</v>
      </c>
      <c r="I125" s="120">
        <f>SUM(I118:I124)</f>
        <v>10614</v>
      </c>
      <c r="K125" s="126" t="str">
        <f>D125</f>
        <v>Em 31 de março de 2022</v>
      </c>
      <c r="L125" s="120" t="s">
        <v>160</v>
      </c>
      <c r="M125" s="120" t="s">
        <v>160</v>
      </c>
      <c r="N125" s="120">
        <f>SUM(N118:N124)</f>
        <v>123495</v>
      </c>
      <c r="O125" s="120">
        <f>SUM(O118:O124)</f>
        <v>49249</v>
      </c>
      <c r="P125" s="120">
        <f>SUM(P118:P124)</f>
        <v>10614</v>
      </c>
    </row>
    <row r="126" spans="1:16" x14ac:dyDescent="0.2">
      <c r="A126" t="s">
        <v>16</v>
      </c>
      <c r="B126" t="s">
        <v>867</v>
      </c>
      <c r="D126" s="129" t="str">
        <f>IF([1]RENAME!$H$3=1,B126,A126)</f>
        <v>Empréstimos e financiamentos</v>
      </c>
      <c r="E126" s="121" t="s">
        <v>2190</v>
      </c>
      <c r="F126" s="121" t="s">
        <v>2190</v>
      </c>
      <c r="G126" s="118">
        <v>70190</v>
      </c>
      <c r="H126" s="118">
        <v>61774</v>
      </c>
      <c r="I126" s="118">
        <v>10498</v>
      </c>
      <c r="K126" s="129" t="str">
        <f>D126</f>
        <v>Empréstimos e financiamentos</v>
      </c>
      <c r="L126" s="121" t="s">
        <v>160</v>
      </c>
      <c r="M126" s="121" t="s">
        <v>160</v>
      </c>
      <c r="N126" s="118">
        <v>70190</v>
      </c>
      <c r="O126" s="118">
        <v>61774</v>
      </c>
      <c r="P126" s="118">
        <v>10498</v>
      </c>
    </row>
    <row r="127" spans="1:16" x14ac:dyDescent="0.2">
      <c r="A127" t="s">
        <v>23</v>
      </c>
      <c r="B127" t="s">
        <v>770</v>
      </c>
      <c r="D127" s="129" t="str">
        <f>IF([1]RENAME!$H$3=1,B127,A127)</f>
        <v>Debêntures</v>
      </c>
      <c r="E127" s="121" t="s">
        <v>2190</v>
      </c>
      <c r="F127" s="121" t="s">
        <v>2190</v>
      </c>
      <c r="G127" s="118">
        <v>0</v>
      </c>
      <c r="H127" s="118">
        <v>0</v>
      </c>
      <c r="I127" s="118">
        <v>0</v>
      </c>
      <c r="K127" s="129" t="str">
        <f t="shared" ref="K127:K132" si="13">D127</f>
        <v>Debêntures</v>
      </c>
      <c r="L127" s="121" t="s">
        <v>160</v>
      </c>
      <c r="M127" s="121" t="s">
        <v>160</v>
      </c>
      <c r="N127" s="118">
        <v>0</v>
      </c>
      <c r="O127" s="118">
        <v>0</v>
      </c>
      <c r="P127" s="118">
        <v>0</v>
      </c>
    </row>
    <row r="128" spans="1:16" x14ac:dyDescent="0.2">
      <c r="A128" t="s">
        <v>164</v>
      </c>
      <c r="B128" t="s">
        <v>667</v>
      </c>
      <c r="D128" s="129" t="str">
        <f>IF([1]RENAME!$H$3=1,B128,A128)</f>
        <v>Fornecedores e fretes a pagar</v>
      </c>
      <c r="E128" s="121" t="s">
        <v>2190</v>
      </c>
      <c r="F128" s="121" t="s">
        <v>2190</v>
      </c>
      <c r="G128" s="118">
        <v>47838</v>
      </c>
      <c r="H128" s="118">
        <v>0</v>
      </c>
      <c r="I128" s="118">
        <v>0</v>
      </c>
      <c r="K128" s="129" t="str">
        <f t="shared" si="13"/>
        <v>Fornecedores e fretes a pagar</v>
      </c>
      <c r="L128" s="121" t="s">
        <v>160</v>
      </c>
      <c r="M128" s="121" t="s">
        <v>160</v>
      </c>
      <c r="N128" s="118">
        <v>39785</v>
      </c>
      <c r="O128" s="118">
        <v>0</v>
      </c>
      <c r="P128" s="118">
        <v>0</v>
      </c>
    </row>
    <row r="129" spans="1:16" x14ac:dyDescent="0.2">
      <c r="A129" t="s">
        <v>24</v>
      </c>
      <c r="B129" t="s">
        <v>868</v>
      </c>
      <c r="D129" s="129" t="str">
        <f>IF([1]RENAME!$H$3=1,B129,A129)</f>
        <v>Demais contas a pagar</v>
      </c>
      <c r="E129" s="121" t="s">
        <v>2190</v>
      </c>
      <c r="F129" s="121" t="s">
        <v>2190</v>
      </c>
      <c r="G129" s="118">
        <v>27057</v>
      </c>
      <c r="H129" s="118">
        <v>0</v>
      </c>
      <c r="I129" s="118">
        <v>0</v>
      </c>
      <c r="K129" s="129" t="str">
        <f t="shared" si="13"/>
        <v>Demais contas a pagar</v>
      </c>
      <c r="L129" s="121" t="s">
        <v>160</v>
      </c>
      <c r="M129" s="121" t="s">
        <v>160</v>
      </c>
      <c r="N129" s="118">
        <v>23556</v>
      </c>
      <c r="O129" s="118">
        <v>0</v>
      </c>
      <c r="P129" s="118">
        <v>0</v>
      </c>
    </row>
    <row r="130" spans="1:16" x14ac:dyDescent="0.2">
      <c r="A130" t="s">
        <v>1398</v>
      </c>
      <c r="B130" t="s">
        <v>1399</v>
      </c>
      <c r="D130" s="129" t="str">
        <f>IF([1]RENAME!$H$3=1,B130,A130)</f>
        <v>Instrumento financeiros derivativos</v>
      </c>
      <c r="E130" s="121" t="s">
        <v>2190</v>
      </c>
      <c r="F130" s="121" t="s">
        <v>2190</v>
      </c>
      <c r="G130" s="118">
        <v>0</v>
      </c>
      <c r="H130" s="118">
        <v>0</v>
      </c>
      <c r="I130" s="118">
        <v>0</v>
      </c>
      <c r="K130" s="129" t="str">
        <f t="shared" si="13"/>
        <v>Instrumento financeiros derivativos</v>
      </c>
      <c r="L130" s="121" t="s">
        <v>160</v>
      </c>
      <c r="M130" s="121" t="s">
        <v>160</v>
      </c>
      <c r="N130" s="118">
        <v>0</v>
      </c>
      <c r="O130" s="118">
        <v>0</v>
      </c>
      <c r="P130" s="118">
        <v>0</v>
      </c>
    </row>
    <row r="131" spans="1:16" x14ac:dyDescent="0.2">
      <c r="A131" t="s">
        <v>566</v>
      </c>
      <c r="B131" t="s">
        <v>869</v>
      </c>
      <c r="D131" s="129" t="str">
        <f>IF([1]RENAME!$H$3=1,B131,A131)</f>
        <v>Dividendos a pagar</v>
      </c>
      <c r="E131" s="121" t="s">
        <v>2190</v>
      </c>
      <c r="F131" s="121" t="s">
        <v>2190</v>
      </c>
      <c r="G131" s="118">
        <v>0</v>
      </c>
      <c r="H131" s="118">
        <v>0</v>
      </c>
      <c r="I131" s="118">
        <v>0</v>
      </c>
      <c r="K131" s="129" t="str">
        <f t="shared" si="13"/>
        <v>Dividendos a pagar</v>
      </c>
      <c r="L131" s="121" t="s">
        <v>160</v>
      </c>
      <c r="M131" s="121" t="s">
        <v>160</v>
      </c>
      <c r="N131" s="118">
        <v>0</v>
      </c>
      <c r="O131" s="118">
        <v>0</v>
      </c>
      <c r="P131" s="118">
        <v>0</v>
      </c>
    </row>
    <row r="132" spans="1:16" x14ac:dyDescent="0.2">
      <c r="A132" t="s">
        <v>25</v>
      </c>
      <c r="B132" t="s">
        <v>1349</v>
      </c>
      <c r="D132" s="129" t="str">
        <f>IF([1]RENAME!$H$3=1,B132,A132)</f>
        <v>Partes relacionadas</v>
      </c>
      <c r="E132" s="121" t="s">
        <v>2190</v>
      </c>
      <c r="F132" s="121" t="s">
        <v>2190</v>
      </c>
      <c r="G132" s="118">
        <v>141</v>
      </c>
      <c r="H132" s="118">
        <v>551</v>
      </c>
      <c r="I132" s="118">
        <v>0</v>
      </c>
      <c r="K132" s="129" t="str">
        <f t="shared" si="13"/>
        <v>Partes relacionadas</v>
      </c>
      <c r="L132" s="121" t="s">
        <v>160</v>
      </c>
      <c r="M132" s="121" t="s">
        <v>160</v>
      </c>
      <c r="N132" s="118">
        <v>412</v>
      </c>
      <c r="O132" s="118">
        <v>532</v>
      </c>
      <c r="P132" s="118">
        <v>0</v>
      </c>
    </row>
    <row r="133" spans="1:16" x14ac:dyDescent="0.2">
      <c r="A133" t="s">
        <v>1921</v>
      </c>
      <c r="B133" t="s">
        <v>1920</v>
      </c>
      <c r="D133" s="126" t="str">
        <f>IF([1]RENAME!$H$3=1,B133,A133)</f>
        <v>Em 31 de dezembro de 2021</v>
      </c>
      <c r="E133" s="120" t="s">
        <v>2190</v>
      </c>
      <c r="F133" s="120" t="s">
        <v>2190</v>
      </c>
      <c r="G133" s="120">
        <f>SUM(G126:G132)</f>
        <v>145226</v>
      </c>
      <c r="H133" s="120">
        <f>SUM(H126:H132)</f>
        <v>62325</v>
      </c>
      <c r="I133" s="120">
        <f>SUM(I126:I132)</f>
        <v>10498</v>
      </c>
      <c r="K133" s="126" t="str">
        <f>D133</f>
        <v>Em 31 de dezembro de 2021</v>
      </c>
      <c r="L133" s="120" t="s">
        <v>160</v>
      </c>
      <c r="M133" s="120" t="s">
        <v>160</v>
      </c>
      <c r="N133" s="120">
        <f>SUM(N126:N132)</f>
        <v>133943</v>
      </c>
      <c r="O133" s="120">
        <f>SUM(O126:O132)</f>
        <v>62306</v>
      </c>
      <c r="P133" s="120">
        <f>SUM(P126:P132)</f>
        <v>10498</v>
      </c>
    </row>
    <row r="134" spans="1:16" x14ac:dyDescent="0.2">
      <c r="A134" t="s">
        <v>16</v>
      </c>
      <c r="B134" t="s">
        <v>867</v>
      </c>
      <c r="D134" s="129" t="s">
        <v>16</v>
      </c>
      <c r="E134" s="121" t="s">
        <v>2190</v>
      </c>
      <c r="F134" s="121" t="s">
        <v>2190</v>
      </c>
      <c r="G134" s="118">
        <v>70151</v>
      </c>
      <c r="H134" s="118">
        <v>55028</v>
      </c>
      <c r="I134" s="118">
        <v>15356</v>
      </c>
      <c r="K134" s="129" t="s">
        <v>16</v>
      </c>
      <c r="L134" s="121" t="s">
        <v>160</v>
      </c>
      <c r="M134" s="121" t="s">
        <v>160</v>
      </c>
      <c r="N134" s="118">
        <v>70151</v>
      </c>
      <c r="O134" s="118">
        <v>55028</v>
      </c>
      <c r="P134" s="118">
        <v>15356</v>
      </c>
    </row>
    <row r="135" spans="1:16" x14ac:dyDescent="0.2">
      <c r="A135" t="s">
        <v>23</v>
      </c>
      <c r="B135" t="s">
        <v>770</v>
      </c>
      <c r="D135" s="129" t="s">
        <v>23</v>
      </c>
      <c r="E135" s="121" t="s">
        <v>2190</v>
      </c>
      <c r="F135" s="121" t="s">
        <v>2190</v>
      </c>
      <c r="G135" s="118">
        <v>0</v>
      </c>
      <c r="H135" s="118">
        <v>0</v>
      </c>
      <c r="I135" s="118">
        <v>0</v>
      </c>
      <c r="K135" s="129" t="s">
        <v>23</v>
      </c>
      <c r="L135" s="121" t="s">
        <v>160</v>
      </c>
      <c r="M135" s="121" t="s">
        <v>160</v>
      </c>
      <c r="N135" s="118">
        <v>0</v>
      </c>
      <c r="O135" s="118">
        <v>0</v>
      </c>
      <c r="P135" s="118">
        <v>0</v>
      </c>
    </row>
    <row r="136" spans="1:16" x14ac:dyDescent="0.2">
      <c r="A136" t="s">
        <v>164</v>
      </c>
      <c r="B136" t="s">
        <v>667</v>
      </c>
      <c r="D136" s="129" t="s">
        <v>164</v>
      </c>
      <c r="E136" s="121" t="s">
        <v>2190</v>
      </c>
      <c r="F136" s="121" t="s">
        <v>2190</v>
      </c>
      <c r="G136" s="118">
        <v>37709</v>
      </c>
      <c r="H136" s="118">
        <v>0</v>
      </c>
      <c r="I136" s="118">
        <v>0</v>
      </c>
      <c r="K136" s="129" t="s">
        <v>164</v>
      </c>
      <c r="L136" s="121" t="s">
        <v>160</v>
      </c>
      <c r="M136" s="121" t="s">
        <v>160</v>
      </c>
      <c r="N136" s="118">
        <v>29852</v>
      </c>
      <c r="O136" s="118">
        <v>0</v>
      </c>
      <c r="P136" s="118">
        <v>0</v>
      </c>
    </row>
    <row r="137" spans="1:16" x14ac:dyDescent="0.2">
      <c r="A137" t="s">
        <v>24</v>
      </c>
      <c r="B137" t="s">
        <v>868</v>
      </c>
      <c r="D137" s="129" t="s">
        <v>24</v>
      </c>
      <c r="E137" s="121" t="s">
        <v>2190</v>
      </c>
      <c r="F137" s="121" t="s">
        <v>2190</v>
      </c>
      <c r="G137" s="118">
        <v>23986</v>
      </c>
      <c r="H137" s="118">
        <v>0</v>
      </c>
      <c r="I137" s="118">
        <v>0</v>
      </c>
      <c r="K137" s="129" t="s">
        <v>24</v>
      </c>
      <c r="L137" s="121" t="s">
        <v>160</v>
      </c>
      <c r="M137" s="121" t="s">
        <v>160</v>
      </c>
      <c r="N137" s="118">
        <v>19688</v>
      </c>
      <c r="O137" s="118">
        <v>0</v>
      </c>
      <c r="P137" s="118">
        <v>0</v>
      </c>
    </row>
    <row r="138" spans="1:16" x14ac:dyDescent="0.2">
      <c r="A138" t="s">
        <v>1398</v>
      </c>
      <c r="B138" t="s">
        <v>1399</v>
      </c>
      <c r="D138" s="129" t="s">
        <v>1398</v>
      </c>
      <c r="E138" s="121" t="s">
        <v>2190</v>
      </c>
      <c r="F138" s="121" t="s">
        <v>2190</v>
      </c>
      <c r="G138" s="118">
        <v>0</v>
      </c>
      <c r="H138" s="118">
        <v>0</v>
      </c>
      <c r="I138" s="118">
        <v>0</v>
      </c>
      <c r="K138" s="129" t="s">
        <v>1398</v>
      </c>
      <c r="L138" s="121" t="s">
        <v>160</v>
      </c>
      <c r="M138" s="121" t="s">
        <v>160</v>
      </c>
      <c r="N138" s="118">
        <v>0</v>
      </c>
      <c r="O138" s="118">
        <v>0</v>
      </c>
      <c r="P138" s="118">
        <v>0</v>
      </c>
    </row>
    <row r="139" spans="1:16" x14ac:dyDescent="0.2">
      <c r="A139" t="s">
        <v>566</v>
      </c>
      <c r="B139" t="s">
        <v>869</v>
      </c>
      <c r="D139" s="129" t="s">
        <v>566</v>
      </c>
      <c r="E139" s="121" t="s">
        <v>2190</v>
      </c>
      <c r="F139" s="121" t="s">
        <v>2190</v>
      </c>
      <c r="G139" s="118">
        <v>0</v>
      </c>
      <c r="H139" s="118">
        <v>0</v>
      </c>
      <c r="I139" s="118">
        <v>0</v>
      </c>
      <c r="K139" s="129" t="s">
        <v>566</v>
      </c>
      <c r="L139" s="121" t="s">
        <v>160</v>
      </c>
      <c r="M139" s="121" t="s">
        <v>160</v>
      </c>
      <c r="N139" s="118">
        <v>0</v>
      </c>
      <c r="O139" s="118">
        <v>0</v>
      </c>
      <c r="P139" s="118">
        <v>0</v>
      </c>
    </row>
    <row r="140" spans="1:16" x14ac:dyDescent="0.2">
      <c r="A140" t="s">
        <v>25</v>
      </c>
      <c r="B140" t="s">
        <v>1349</v>
      </c>
      <c r="D140" s="129" t="s">
        <v>25</v>
      </c>
      <c r="E140" s="121" t="s">
        <v>2190</v>
      </c>
      <c r="F140" s="121" t="s">
        <v>2190</v>
      </c>
      <c r="G140" s="118">
        <v>421</v>
      </c>
      <c r="H140" s="118">
        <v>553</v>
      </c>
      <c r="I140" s="118">
        <v>0</v>
      </c>
      <c r="K140" s="129" t="s">
        <v>25</v>
      </c>
      <c r="L140" s="121" t="s">
        <v>160</v>
      </c>
      <c r="M140" s="121" t="s">
        <v>160</v>
      </c>
      <c r="N140" s="118">
        <v>605</v>
      </c>
      <c r="O140" s="118">
        <v>533</v>
      </c>
      <c r="P140" s="118">
        <v>0</v>
      </c>
    </row>
    <row r="141" spans="1:16" x14ac:dyDescent="0.2">
      <c r="A141" t="s">
        <v>1905</v>
      </c>
      <c r="B141" t="s">
        <v>1906</v>
      </c>
      <c r="D141" s="126" t="str">
        <f>IF([1]RENAME!$H$3=1,B141,A141)</f>
        <v>Em 30 de setembro de 2021</v>
      </c>
      <c r="E141" s="120" t="s">
        <v>2190</v>
      </c>
      <c r="F141" s="120" t="s">
        <v>2190</v>
      </c>
      <c r="G141" s="120">
        <f>SUM(G134:G140)</f>
        <v>132267</v>
      </c>
      <c r="H141" s="120">
        <f>SUM(H134:H140)</f>
        <v>55581</v>
      </c>
      <c r="I141" s="120">
        <f>SUM(I134:I140)</f>
        <v>15356</v>
      </c>
      <c r="K141" s="126" t="str">
        <f>D141</f>
        <v>Em 30 de setembro de 2021</v>
      </c>
      <c r="L141" s="120" t="s">
        <v>160</v>
      </c>
      <c r="M141" s="120" t="s">
        <v>160</v>
      </c>
      <c r="N141" s="120">
        <f>SUM(N134:N140)</f>
        <v>120296</v>
      </c>
      <c r="O141" s="120">
        <f>SUM(O134:O140)</f>
        <v>55561</v>
      </c>
      <c r="P141" s="120">
        <f>SUM(P134:P140)</f>
        <v>15356</v>
      </c>
    </row>
    <row r="142" spans="1:16" x14ac:dyDescent="0.2">
      <c r="A142" t="s">
        <v>16</v>
      </c>
      <c r="B142" t="s">
        <v>867</v>
      </c>
      <c r="D142" s="129" t="s">
        <v>16</v>
      </c>
      <c r="E142" s="121" t="s">
        <v>2190</v>
      </c>
      <c r="F142" s="121" t="s">
        <v>2190</v>
      </c>
      <c r="G142" s="118">
        <v>68193</v>
      </c>
      <c r="H142" s="118">
        <v>14130</v>
      </c>
      <c r="I142" s="118">
        <v>57035</v>
      </c>
      <c r="K142" s="129" t="s">
        <v>16</v>
      </c>
      <c r="L142" s="121" t="s">
        <v>160</v>
      </c>
      <c r="M142" s="121" t="s">
        <v>160</v>
      </c>
      <c r="N142" s="118">
        <v>68193</v>
      </c>
      <c r="O142" s="118">
        <v>14130</v>
      </c>
      <c r="P142" s="118">
        <v>57035</v>
      </c>
    </row>
    <row r="143" spans="1:16" x14ac:dyDescent="0.2">
      <c r="A143" t="s">
        <v>23</v>
      </c>
      <c r="B143" t="s">
        <v>770</v>
      </c>
      <c r="D143" s="129" t="s">
        <v>23</v>
      </c>
      <c r="E143" s="121" t="s">
        <v>2190</v>
      </c>
      <c r="F143" s="121" t="s">
        <v>2190</v>
      </c>
      <c r="G143" s="118">
        <v>25202</v>
      </c>
      <c r="H143" s="118">
        <v>0</v>
      </c>
      <c r="I143" s="118">
        <v>0</v>
      </c>
      <c r="K143" s="129" t="s">
        <v>23</v>
      </c>
      <c r="L143" s="121" t="s">
        <v>160</v>
      </c>
      <c r="M143" s="121" t="s">
        <v>160</v>
      </c>
      <c r="N143" s="118">
        <v>25202</v>
      </c>
      <c r="O143" s="118">
        <v>0</v>
      </c>
      <c r="P143" s="118">
        <v>0</v>
      </c>
    </row>
    <row r="144" spans="1:16" x14ac:dyDescent="0.2">
      <c r="A144" t="s">
        <v>164</v>
      </c>
      <c r="B144" t="s">
        <v>667</v>
      </c>
      <c r="D144" s="129" t="s">
        <v>164</v>
      </c>
      <c r="E144" s="121" t="s">
        <v>2190</v>
      </c>
      <c r="F144" s="121" t="s">
        <v>2190</v>
      </c>
      <c r="G144" s="118">
        <v>29673</v>
      </c>
      <c r="H144" s="118">
        <v>0</v>
      </c>
      <c r="I144" s="118">
        <v>0</v>
      </c>
      <c r="K144" s="129" t="s">
        <v>164</v>
      </c>
      <c r="L144" s="121" t="s">
        <v>160</v>
      </c>
      <c r="M144" s="121" t="s">
        <v>160</v>
      </c>
      <c r="N144" s="118">
        <v>23087</v>
      </c>
      <c r="O144" s="118">
        <v>0</v>
      </c>
      <c r="P144" s="118">
        <v>0</v>
      </c>
    </row>
    <row r="145" spans="1:16" x14ac:dyDescent="0.2">
      <c r="A145" t="s">
        <v>24</v>
      </c>
      <c r="B145" t="s">
        <v>868</v>
      </c>
      <c r="D145" s="129" t="s">
        <v>24</v>
      </c>
      <c r="E145" s="121" t="s">
        <v>2190</v>
      </c>
      <c r="F145" s="121" t="s">
        <v>2190</v>
      </c>
      <c r="G145" s="118">
        <v>26483</v>
      </c>
      <c r="H145" s="118">
        <v>0</v>
      </c>
      <c r="I145" s="118">
        <v>0</v>
      </c>
      <c r="K145" s="129" t="s">
        <v>24</v>
      </c>
      <c r="L145" s="121" t="s">
        <v>160</v>
      </c>
      <c r="M145" s="121" t="s">
        <v>160</v>
      </c>
      <c r="N145" s="118">
        <v>22422</v>
      </c>
      <c r="O145" s="118">
        <v>0</v>
      </c>
      <c r="P145" s="118">
        <v>0</v>
      </c>
    </row>
    <row r="146" spans="1:16" x14ac:dyDescent="0.2">
      <c r="A146" t="s">
        <v>1398</v>
      </c>
      <c r="B146" t="s">
        <v>1399</v>
      </c>
      <c r="D146" s="129" t="s">
        <v>1398</v>
      </c>
      <c r="E146" s="121" t="s">
        <v>2190</v>
      </c>
      <c r="F146" s="121" t="s">
        <v>2190</v>
      </c>
      <c r="G146" s="118">
        <v>0</v>
      </c>
      <c r="H146" s="118">
        <v>0</v>
      </c>
      <c r="I146" s="118">
        <v>0</v>
      </c>
      <c r="K146" s="129" t="s">
        <v>1398</v>
      </c>
      <c r="L146" s="121" t="s">
        <v>160</v>
      </c>
      <c r="M146" s="121" t="s">
        <v>160</v>
      </c>
      <c r="N146" s="118">
        <v>0</v>
      </c>
      <c r="O146" s="118">
        <v>0</v>
      </c>
      <c r="P146" s="118">
        <v>0</v>
      </c>
    </row>
    <row r="147" spans="1:16" x14ac:dyDescent="0.2">
      <c r="A147" t="s">
        <v>566</v>
      </c>
      <c r="B147" t="s">
        <v>869</v>
      </c>
      <c r="D147" s="129" t="s">
        <v>566</v>
      </c>
      <c r="E147" s="121" t="s">
        <v>2190</v>
      </c>
      <c r="F147" s="121" t="s">
        <v>2190</v>
      </c>
      <c r="G147" s="118">
        <v>0</v>
      </c>
      <c r="H147" s="118">
        <v>0</v>
      </c>
      <c r="I147" s="118">
        <v>0</v>
      </c>
      <c r="K147" s="129" t="s">
        <v>566</v>
      </c>
      <c r="L147" s="121" t="s">
        <v>160</v>
      </c>
      <c r="M147" s="121" t="s">
        <v>160</v>
      </c>
      <c r="N147" s="118">
        <v>0</v>
      </c>
      <c r="O147" s="118">
        <v>0</v>
      </c>
      <c r="P147" s="118">
        <v>0</v>
      </c>
    </row>
    <row r="148" spans="1:16" x14ac:dyDescent="0.2">
      <c r="A148" t="s">
        <v>25</v>
      </c>
      <c r="B148" t="s">
        <v>1349</v>
      </c>
      <c r="D148" s="129" t="s">
        <v>25</v>
      </c>
      <c r="E148" s="121" t="s">
        <v>2190</v>
      </c>
      <c r="F148" s="121" t="s">
        <v>2190</v>
      </c>
      <c r="G148" s="118">
        <v>25</v>
      </c>
      <c r="H148" s="118">
        <v>553</v>
      </c>
      <c r="I148" s="118">
        <v>0</v>
      </c>
      <c r="K148" s="129" t="s">
        <v>25</v>
      </c>
      <c r="L148" s="121" t="s">
        <v>160</v>
      </c>
      <c r="M148" s="121" t="s">
        <v>160</v>
      </c>
      <c r="N148" s="118">
        <v>147</v>
      </c>
      <c r="O148" s="118">
        <v>533</v>
      </c>
      <c r="P148" s="118">
        <v>0</v>
      </c>
    </row>
    <row r="149" spans="1:16" x14ac:dyDescent="0.2">
      <c r="A149" t="s">
        <v>1859</v>
      </c>
      <c r="B149" t="s">
        <v>1860</v>
      </c>
      <c r="D149" s="126" t="str">
        <f>IF([1]RENAME!$H$3=1,B149,A149)</f>
        <v>Em 30 de junho de 2021</v>
      </c>
      <c r="E149" s="120" t="s">
        <v>2190</v>
      </c>
      <c r="F149" s="120" t="s">
        <v>2190</v>
      </c>
      <c r="G149" s="120">
        <f>SUM(G142:G148)</f>
        <v>149576</v>
      </c>
      <c r="H149" s="120">
        <f>SUM(H142:H148)</f>
        <v>14683</v>
      </c>
      <c r="I149" s="120">
        <f>SUM(I142:I148)</f>
        <v>57035</v>
      </c>
      <c r="K149" s="126" t="str">
        <f>D149</f>
        <v>Em 30 de junho de 2021</v>
      </c>
      <c r="L149" s="120" t="s">
        <v>160</v>
      </c>
      <c r="M149" s="120" t="s">
        <v>160</v>
      </c>
      <c r="N149" s="120">
        <f>SUM(N142:N148)</f>
        <v>139051</v>
      </c>
      <c r="O149" s="120">
        <f>SUM(O142:O148)</f>
        <v>14663</v>
      </c>
      <c r="P149" s="120">
        <f>SUM(P142:P148)</f>
        <v>57035</v>
      </c>
    </row>
    <row r="150" spans="1:16" x14ac:dyDescent="0.2">
      <c r="A150" t="s">
        <v>16</v>
      </c>
      <c r="B150" t="s">
        <v>867</v>
      </c>
      <c r="D150" s="129" t="str">
        <f>IF([1]RENAME!$H$3=1,B150,A150)</f>
        <v>Empréstimos e financiamentos</v>
      </c>
      <c r="E150" s="121" t="s">
        <v>2190</v>
      </c>
      <c r="F150" s="121" t="s">
        <v>2190</v>
      </c>
      <c r="G150" s="118">
        <v>59039</v>
      </c>
      <c r="H150" s="118">
        <v>64778</v>
      </c>
      <c r="I150" s="118">
        <v>56558</v>
      </c>
      <c r="K150" s="129" t="str">
        <f>D150</f>
        <v>Empréstimos e financiamentos</v>
      </c>
      <c r="L150" s="121" t="s">
        <v>160</v>
      </c>
      <c r="M150" s="121" t="s">
        <v>160</v>
      </c>
      <c r="N150" s="118">
        <v>59039</v>
      </c>
      <c r="O150" s="118">
        <v>64778</v>
      </c>
      <c r="P150" s="118">
        <v>56558</v>
      </c>
    </row>
    <row r="151" spans="1:16" x14ac:dyDescent="0.2">
      <c r="A151" t="s">
        <v>23</v>
      </c>
      <c r="B151" t="s">
        <v>770</v>
      </c>
      <c r="D151" s="129" t="str">
        <f>IF([1]RENAME!$H$3=1,B151,A151)</f>
        <v>Debêntures</v>
      </c>
      <c r="E151" s="121" t="s">
        <v>2190</v>
      </c>
      <c r="F151" s="121" t="s">
        <v>2190</v>
      </c>
      <c r="G151" s="118">
        <v>25676</v>
      </c>
      <c r="H151" s="118">
        <v>0</v>
      </c>
      <c r="I151" s="118">
        <v>0</v>
      </c>
      <c r="K151" s="129" t="str">
        <f t="shared" ref="K151:K156" si="14">D151</f>
        <v>Debêntures</v>
      </c>
      <c r="L151" s="121" t="s">
        <v>160</v>
      </c>
      <c r="M151" s="121" t="s">
        <v>160</v>
      </c>
      <c r="N151" s="118">
        <v>25676</v>
      </c>
      <c r="O151" s="118">
        <v>0</v>
      </c>
      <c r="P151" s="118">
        <v>0</v>
      </c>
    </row>
    <row r="152" spans="1:16" x14ac:dyDescent="0.2">
      <c r="A152" t="s">
        <v>164</v>
      </c>
      <c r="B152" t="s">
        <v>667</v>
      </c>
      <c r="D152" s="129" t="str">
        <f>IF([1]RENAME!$H$3=1,B152,A152)</f>
        <v>Fornecedores e fretes a pagar</v>
      </c>
      <c r="E152" s="121" t="s">
        <v>2190</v>
      </c>
      <c r="F152" s="121" t="s">
        <v>2190</v>
      </c>
      <c r="G152" s="118">
        <v>27426</v>
      </c>
      <c r="H152" s="118">
        <v>0</v>
      </c>
      <c r="I152" s="118">
        <v>0</v>
      </c>
      <c r="K152" s="129" t="str">
        <f t="shared" si="14"/>
        <v>Fornecedores e fretes a pagar</v>
      </c>
      <c r="L152" s="121" t="s">
        <v>160</v>
      </c>
      <c r="M152" s="121" t="s">
        <v>160</v>
      </c>
      <c r="N152" s="118">
        <v>22320</v>
      </c>
      <c r="O152" s="118">
        <v>0</v>
      </c>
      <c r="P152" s="118">
        <v>0</v>
      </c>
    </row>
    <row r="153" spans="1:16" x14ac:dyDescent="0.2">
      <c r="A153" t="s">
        <v>24</v>
      </c>
      <c r="B153" t="s">
        <v>868</v>
      </c>
      <c r="D153" s="129" t="str">
        <f>IF([1]RENAME!$H$3=1,B153,A153)</f>
        <v>Demais contas a pagar</v>
      </c>
      <c r="E153" s="121" t="s">
        <v>2190</v>
      </c>
      <c r="F153" s="121" t="s">
        <v>2190</v>
      </c>
      <c r="G153" s="118">
        <v>25480</v>
      </c>
      <c r="H153" s="118">
        <v>0</v>
      </c>
      <c r="I153" s="118">
        <v>0</v>
      </c>
      <c r="K153" s="129" t="str">
        <f t="shared" si="14"/>
        <v>Demais contas a pagar</v>
      </c>
      <c r="L153" s="121" t="s">
        <v>160</v>
      </c>
      <c r="M153" s="121" t="s">
        <v>160</v>
      </c>
      <c r="N153" s="118">
        <v>21455</v>
      </c>
      <c r="O153" s="118">
        <v>0</v>
      </c>
      <c r="P153" s="118">
        <v>0</v>
      </c>
    </row>
    <row r="154" spans="1:16" x14ac:dyDescent="0.2">
      <c r="A154" t="s">
        <v>1398</v>
      </c>
      <c r="B154" t="s">
        <v>1399</v>
      </c>
      <c r="D154" s="129" t="str">
        <f>IF([1]RENAME!$H$3=1,B154,A154)</f>
        <v>Instrumento financeiros derivativos</v>
      </c>
      <c r="E154" s="121" t="s">
        <v>2190</v>
      </c>
      <c r="F154" s="121" t="s">
        <v>2190</v>
      </c>
      <c r="G154" s="118">
        <v>0</v>
      </c>
      <c r="H154" s="118">
        <v>0</v>
      </c>
      <c r="I154" s="118">
        <v>0</v>
      </c>
      <c r="K154" s="129" t="str">
        <f t="shared" si="14"/>
        <v>Instrumento financeiros derivativos</v>
      </c>
      <c r="L154" s="121" t="s">
        <v>160</v>
      </c>
      <c r="M154" s="121" t="s">
        <v>160</v>
      </c>
      <c r="N154" s="118">
        <v>0</v>
      </c>
      <c r="O154" s="118">
        <v>0</v>
      </c>
      <c r="P154" s="118">
        <v>0</v>
      </c>
    </row>
    <row r="155" spans="1:16" x14ac:dyDescent="0.2">
      <c r="A155" t="s">
        <v>566</v>
      </c>
      <c r="B155" t="s">
        <v>869</v>
      </c>
      <c r="D155" s="129" t="str">
        <f>IF([1]RENAME!$H$3=1,B155,A155)</f>
        <v>Dividendos a pagar</v>
      </c>
      <c r="E155" s="121" t="s">
        <v>2190</v>
      </c>
      <c r="F155" s="121" t="s">
        <v>2190</v>
      </c>
      <c r="G155" s="118">
        <v>0</v>
      </c>
      <c r="H155" s="118">
        <v>0</v>
      </c>
      <c r="I155" s="118">
        <v>0</v>
      </c>
      <c r="K155" s="129" t="str">
        <f t="shared" si="14"/>
        <v>Dividendos a pagar</v>
      </c>
      <c r="L155" s="121" t="s">
        <v>160</v>
      </c>
      <c r="M155" s="121" t="s">
        <v>160</v>
      </c>
      <c r="N155" s="118">
        <v>0</v>
      </c>
      <c r="O155" s="118">
        <v>0</v>
      </c>
      <c r="P155" s="118">
        <v>0</v>
      </c>
    </row>
    <row r="156" spans="1:16" x14ac:dyDescent="0.2">
      <c r="A156" t="s">
        <v>25</v>
      </c>
      <c r="B156" t="s">
        <v>1349</v>
      </c>
      <c r="D156" s="129" t="str">
        <f>IF([1]RENAME!$H$3=1,B156,A156)</f>
        <v>Partes relacionadas</v>
      </c>
      <c r="E156" s="121" t="s">
        <v>2190</v>
      </c>
      <c r="F156" s="121" t="s">
        <v>2190</v>
      </c>
      <c r="G156" s="118">
        <v>54</v>
      </c>
      <c r="H156" s="118">
        <v>559</v>
      </c>
      <c r="I156" s="118">
        <v>0</v>
      </c>
      <c r="K156" s="129" t="str">
        <f t="shared" si="14"/>
        <v>Partes relacionadas</v>
      </c>
      <c r="L156" s="121" t="s">
        <v>160</v>
      </c>
      <c r="M156" s="121" t="s">
        <v>160</v>
      </c>
      <c r="N156" s="118">
        <v>217</v>
      </c>
      <c r="O156" s="118">
        <v>539</v>
      </c>
      <c r="P156" s="118">
        <v>0</v>
      </c>
    </row>
    <row r="157" spans="1:16" x14ac:dyDescent="0.2">
      <c r="A157" t="s">
        <v>1850</v>
      </c>
      <c r="B157" t="s">
        <v>1851</v>
      </c>
      <c r="D157" s="126" t="str">
        <f>IF([1]RENAME!$H$3=1,B157,A157)</f>
        <v>Em 31 de março de 2021</v>
      </c>
      <c r="E157" s="120" t="s">
        <v>2190</v>
      </c>
      <c r="F157" s="120" t="s">
        <v>2190</v>
      </c>
      <c r="G157" s="120">
        <f>SUM(G150:G156)</f>
        <v>137675</v>
      </c>
      <c r="H157" s="120">
        <f>SUM(H150:H156)</f>
        <v>65337</v>
      </c>
      <c r="I157" s="120">
        <f>SUM(I150:I156)</f>
        <v>56558</v>
      </c>
      <c r="K157" s="126" t="str">
        <f>D157</f>
        <v>Em 31 de março de 2021</v>
      </c>
      <c r="L157" s="120" t="s">
        <v>160</v>
      </c>
      <c r="M157" s="120" t="s">
        <v>160</v>
      </c>
      <c r="N157" s="120">
        <f>SUM(N150:N156)</f>
        <v>128707</v>
      </c>
      <c r="O157" s="120">
        <f>SUM(O150:O156)</f>
        <v>65317</v>
      </c>
      <c r="P157" s="120">
        <f>SUM(P150:P156)</f>
        <v>56558</v>
      </c>
    </row>
    <row r="158" spans="1:16" x14ac:dyDescent="0.2">
      <c r="A158" t="s">
        <v>16</v>
      </c>
      <c r="B158" t="s">
        <v>867</v>
      </c>
      <c r="D158" s="129" t="str">
        <f>IF([1]RENAME!$H$3=1,B158,A158)</f>
        <v>Empréstimos e financiamentos</v>
      </c>
      <c r="E158" s="121" t="s">
        <v>2190</v>
      </c>
      <c r="F158" s="121" t="s">
        <v>2190</v>
      </c>
      <c r="G158" s="118">
        <v>48366</v>
      </c>
      <c r="H158" s="118">
        <v>64262</v>
      </c>
      <c r="I158" s="118">
        <v>67663</v>
      </c>
      <c r="K158" s="129" t="str">
        <f>D158</f>
        <v>Empréstimos e financiamentos</v>
      </c>
      <c r="L158" s="121" t="s">
        <v>160</v>
      </c>
      <c r="M158" s="121" t="s">
        <v>160</v>
      </c>
      <c r="N158" s="118">
        <v>48366</v>
      </c>
      <c r="O158" s="118">
        <v>64262</v>
      </c>
      <c r="P158" s="118">
        <v>67663</v>
      </c>
    </row>
    <row r="159" spans="1:16" x14ac:dyDescent="0.2">
      <c r="A159" t="s">
        <v>23</v>
      </c>
      <c r="B159" t="s">
        <v>770</v>
      </c>
      <c r="D159" s="129" t="str">
        <f>IF([1]RENAME!$H$3=1,B159,A159)</f>
        <v>Debêntures</v>
      </c>
      <c r="E159" s="121" t="s">
        <v>2190</v>
      </c>
      <c r="F159" s="121" t="s">
        <v>2190</v>
      </c>
      <c r="G159" s="118">
        <v>25608</v>
      </c>
      <c r="H159" s="118">
        <v>0</v>
      </c>
      <c r="I159" s="118">
        <v>0</v>
      </c>
      <c r="K159" s="129" t="str">
        <f t="shared" ref="K159:K164" si="15">D159</f>
        <v>Debêntures</v>
      </c>
      <c r="L159" s="121" t="s">
        <v>160</v>
      </c>
      <c r="M159" s="121" t="s">
        <v>160</v>
      </c>
      <c r="N159" s="118">
        <v>25608</v>
      </c>
      <c r="O159" s="118">
        <v>0</v>
      </c>
      <c r="P159" s="118">
        <v>0</v>
      </c>
    </row>
    <row r="160" spans="1:16" x14ac:dyDescent="0.2">
      <c r="A160" t="s">
        <v>164</v>
      </c>
      <c r="B160" t="s">
        <v>667</v>
      </c>
      <c r="D160" s="129" t="str">
        <f>IF([1]RENAME!$H$3=1,B160,A160)</f>
        <v>Fornecedores e fretes a pagar</v>
      </c>
      <c r="E160" s="121" t="s">
        <v>2190</v>
      </c>
      <c r="F160" s="121" t="s">
        <v>2190</v>
      </c>
      <c r="G160" s="118">
        <v>31268</v>
      </c>
      <c r="H160" s="118">
        <v>0</v>
      </c>
      <c r="I160" s="118">
        <v>0</v>
      </c>
      <c r="K160" s="129" t="str">
        <f t="shared" si="15"/>
        <v>Fornecedores e fretes a pagar</v>
      </c>
      <c r="L160" s="121" t="s">
        <v>160</v>
      </c>
      <c r="M160" s="121" t="s">
        <v>160</v>
      </c>
      <c r="N160" s="118">
        <v>26651</v>
      </c>
      <c r="O160" s="118">
        <v>0</v>
      </c>
      <c r="P160" s="118">
        <v>0</v>
      </c>
    </row>
    <row r="161" spans="1:16" x14ac:dyDescent="0.2">
      <c r="A161" t="s">
        <v>24</v>
      </c>
      <c r="B161" t="s">
        <v>868</v>
      </c>
      <c r="D161" s="129" t="str">
        <f>IF([1]RENAME!$H$3=1,B161,A161)</f>
        <v>Demais contas a pagar</v>
      </c>
      <c r="E161" s="121" t="s">
        <v>2190</v>
      </c>
      <c r="F161" s="121" t="s">
        <v>2190</v>
      </c>
      <c r="G161" s="118">
        <v>30588</v>
      </c>
      <c r="H161" s="118">
        <v>0</v>
      </c>
      <c r="I161" s="118">
        <v>0</v>
      </c>
      <c r="K161" s="129" t="str">
        <f t="shared" si="15"/>
        <v>Demais contas a pagar</v>
      </c>
      <c r="L161" s="121" t="s">
        <v>160</v>
      </c>
      <c r="M161" s="121" t="s">
        <v>160</v>
      </c>
      <c r="N161" s="118">
        <v>24054</v>
      </c>
      <c r="O161" s="118">
        <v>0</v>
      </c>
      <c r="P161" s="118">
        <v>0</v>
      </c>
    </row>
    <row r="162" spans="1:16" x14ac:dyDescent="0.2">
      <c r="A162" t="s">
        <v>1398</v>
      </c>
      <c r="B162" t="s">
        <v>1399</v>
      </c>
      <c r="D162" s="129" t="str">
        <f>IF([1]RENAME!$H$3=1,B162,A162)</f>
        <v>Instrumento financeiros derivativos</v>
      </c>
      <c r="E162" s="121" t="s">
        <v>2190</v>
      </c>
      <c r="F162" s="121" t="s">
        <v>2190</v>
      </c>
      <c r="G162" s="118">
        <v>0</v>
      </c>
      <c r="H162" s="118">
        <v>0</v>
      </c>
      <c r="I162" s="118">
        <v>0</v>
      </c>
      <c r="K162" s="129" t="str">
        <f t="shared" si="15"/>
        <v>Instrumento financeiros derivativos</v>
      </c>
      <c r="L162" s="121" t="s">
        <v>160</v>
      </c>
      <c r="M162" s="121" t="s">
        <v>160</v>
      </c>
      <c r="N162" s="118">
        <v>0</v>
      </c>
      <c r="O162" s="118">
        <v>0</v>
      </c>
      <c r="P162" s="118">
        <v>0</v>
      </c>
    </row>
    <row r="163" spans="1:16" x14ac:dyDescent="0.2">
      <c r="A163" t="s">
        <v>566</v>
      </c>
      <c r="B163" t="s">
        <v>869</v>
      </c>
      <c r="D163" s="129" t="str">
        <f>IF([1]RENAME!$H$3=1,B163,A163)</f>
        <v>Dividendos a pagar</v>
      </c>
      <c r="E163" s="121" t="s">
        <v>2190</v>
      </c>
      <c r="F163" s="121" t="s">
        <v>2190</v>
      </c>
      <c r="G163" s="118">
        <v>0</v>
      </c>
      <c r="H163" s="118">
        <v>0</v>
      </c>
      <c r="I163" s="118">
        <v>0</v>
      </c>
      <c r="K163" s="129" t="str">
        <f t="shared" si="15"/>
        <v>Dividendos a pagar</v>
      </c>
      <c r="L163" s="121" t="s">
        <v>160</v>
      </c>
      <c r="M163" s="121" t="s">
        <v>160</v>
      </c>
      <c r="N163" s="118">
        <v>0</v>
      </c>
      <c r="O163" s="118">
        <v>0</v>
      </c>
      <c r="P163" s="118">
        <v>0</v>
      </c>
    </row>
    <row r="164" spans="1:16" x14ac:dyDescent="0.2">
      <c r="A164" t="s">
        <v>25</v>
      </c>
      <c r="B164" t="s">
        <v>1349</v>
      </c>
      <c r="D164" s="129" t="str">
        <f>IF([1]RENAME!$H$3=1,B164,A164)</f>
        <v>Partes relacionadas</v>
      </c>
      <c r="E164" s="121" t="s">
        <v>2190</v>
      </c>
      <c r="F164" s="121" t="s">
        <v>2190</v>
      </c>
      <c r="G164" s="118">
        <v>73</v>
      </c>
      <c r="H164" s="118">
        <v>559</v>
      </c>
      <c r="I164" s="118">
        <v>0</v>
      </c>
      <c r="K164" s="129" t="str">
        <f t="shared" si="15"/>
        <v>Partes relacionadas</v>
      </c>
      <c r="L164" s="121" t="s">
        <v>160</v>
      </c>
      <c r="M164" s="121" t="s">
        <v>160</v>
      </c>
      <c r="N164" s="118">
        <v>150</v>
      </c>
      <c r="O164" s="118">
        <v>539</v>
      </c>
      <c r="P164" s="118">
        <v>0</v>
      </c>
    </row>
    <row r="165" spans="1:16" x14ac:dyDescent="0.2">
      <c r="A165" t="s">
        <v>1819</v>
      </c>
      <c r="B165" t="s">
        <v>1820</v>
      </c>
      <c r="D165" s="126" t="str">
        <f>IF([1]RENAME!$H$3=1,B165,A165)</f>
        <v>Em 30 de dezembro de 2020</v>
      </c>
      <c r="E165" s="120" t="s">
        <v>2190</v>
      </c>
      <c r="F165" s="120" t="s">
        <v>2190</v>
      </c>
      <c r="G165" s="120">
        <f>SUM(G158:G164)</f>
        <v>135903</v>
      </c>
      <c r="H165" s="120">
        <f>SUM(H158:H164)</f>
        <v>64821</v>
      </c>
      <c r="I165" s="120">
        <f>SUM(I158:I164)</f>
        <v>67663</v>
      </c>
      <c r="K165" s="126" t="str">
        <f>D165</f>
        <v>Em 30 de dezembro de 2020</v>
      </c>
      <c r="L165" s="120" t="s">
        <v>160</v>
      </c>
      <c r="M165" s="120" t="s">
        <v>160</v>
      </c>
      <c r="N165" s="120">
        <f>SUM(N158:N164)</f>
        <v>124829</v>
      </c>
      <c r="O165" s="120">
        <f>SUM(O158:O164)</f>
        <v>64801</v>
      </c>
      <c r="P165" s="120">
        <f>SUM(P158:P164)</f>
        <v>67663</v>
      </c>
    </row>
    <row r="166" spans="1:16" x14ac:dyDescent="0.2">
      <c r="A166" t="s">
        <v>16</v>
      </c>
      <c r="B166" t="s">
        <v>867</v>
      </c>
      <c r="D166" s="129" t="str">
        <f>IF([1]RENAME!$H$3=1,B166,A166)</f>
        <v>Empréstimos e financiamentos</v>
      </c>
      <c r="E166" s="121" t="s">
        <v>2190</v>
      </c>
      <c r="F166" s="121" t="s">
        <v>2190</v>
      </c>
      <c r="G166" s="118">
        <v>48504</v>
      </c>
      <c r="H166" s="118">
        <v>65705</v>
      </c>
      <c r="I166" s="118">
        <v>67663</v>
      </c>
      <c r="K166" s="129" t="str">
        <f>D166</f>
        <v>Empréstimos e financiamentos</v>
      </c>
      <c r="L166" s="121" t="s">
        <v>160</v>
      </c>
      <c r="M166" s="121" t="s">
        <v>160</v>
      </c>
      <c r="N166" s="118">
        <v>48504</v>
      </c>
      <c r="O166" s="118">
        <v>65705</v>
      </c>
      <c r="P166" s="118">
        <v>67663</v>
      </c>
    </row>
    <row r="167" spans="1:16" x14ac:dyDescent="0.2">
      <c r="A167" t="s">
        <v>23</v>
      </c>
      <c r="B167" t="s">
        <v>770</v>
      </c>
      <c r="D167" s="129" t="str">
        <f>IF([1]RENAME!$H$3=1,B167,A167)</f>
        <v>Debêntures</v>
      </c>
      <c r="E167" s="121" t="s">
        <v>2190</v>
      </c>
      <c r="F167" s="121" t="s">
        <v>2190</v>
      </c>
      <c r="G167" s="118">
        <v>25972</v>
      </c>
      <c r="H167" s="118">
        <v>0</v>
      </c>
      <c r="I167" s="118">
        <v>0</v>
      </c>
      <c r="K167" s="129" t="str">
        <f t="shared" ref="K167:K172" si="16">D167</f>
        <v>Debêntures</v>
      </c>
      <c r="L167" s="121" t="s">
        <v>160</v>
      </c>
      <c r="M167" s="121" t="s">
        <v>160</v>
      </c>
      <c r="N167" s="118">
        <v>25972</v>
      </c>
      <c r="O167" s="118">
        <v>0</v>
      </c>
      <c r="P167" s="118">
        <v>0</v>
      </c>
    </row>
    <row r="168" spans="1:16" x14ac:dyDescent="0.2">
      <c r="A168" t="s">
        <v>164</v>
      </c>
      <c r="B168" t="s">
        <v>667</v>
      </c>
      <c r="D168" s="129" t="str">
        <f>IF([1]RENAME!$H$3=1,B168,A168)</f>
        <v>Fornecedores e fretes a pagar</v>
      </c>
      <c r="E168" s="121" t="s">
        <v>2190</v>
      </c>
      <c r="F168" s="121" t="s">
        <v>2190</v>
      </c>
      <c r="G168" s="118">
        <v>28173</v>
      </c>
      <c r="H168" s="118">
        <v>0</v>
      </c>
      <c r="I168" s="118">
        <v>0</v>
      </c>
      <c r="K168" s="129" t="str">
        <f t="shared" si="16"/>
        <v>Fornecedores e fretes a pagar</v>
      </c>
      <c r="L168" s="121" t="s">
        <v>160</v>
      </c>
      <c r="M168" s="121" t="s">
        <v>160</v>
      </c>
      <c r="N168" s="118">
        <v>24061</v>
      </c>
      <c r="O168" s="118">
        <v>0</v>
      </c>
      <c r="P168" s="118">
        <v>0</v>
      </c>
    </row>
    <row r="169" spans="1:16" x14ac:dyDescent="0.2">
      <c r="A169" t="s">
        <v>24</v>
      </c>
      <c r="B169" t="s">
        <v>868</v>
      </c>
      <c r="D169" s="129" t="str">
        <f>IF([1]RENAME!$H$3=1,B169,A169)</f>
        <v>Demais contas a pagar</v>
      </c>
      <c r="E169" s="121" t="s">
        <v>2190</v>
      </c>
      <c r="F169" s="121" t="s">
        <v>2190</v>
      </c>
      <c r="G169" s="118">
        <v>30252</v>
      </c>
      <c r="H169" s="118">
        <v>0</v>
      </c>
      <c r="I169" s="118">
        <v>0</v>
      </c>
      <c r="K169" s="129" t="str">
        <f t="shared" si="16"/>
        <v>Demais contas a pagar</v>
      </c>
      <c r="L169" s="121" t="s">
        <v>160</v>
      </c>
      <c r="M169" s="121" t="s">
        <v>160</v>
      </c>
      <c r="N169" s="118">
        <v>23922</v>
      </c>
      <c r="O169" s="118">
        <v>0</v>
      </c>
      <c r="P169" s="118">
        <v>0</v>
      </c>
    </row>
    <row r="170" spans="1:16" x14ac:dyDescent="0.2">
      <c r="A170" t="s">
        <v>1398</v>
      </c>
      <c r="B170" t="s">
        <v>1399</v>
      </c>
      <c r="D170" s="129" t="str">
        <f>IF([1]RENAME!$H$3=1,B170,A170)</f>
        <v>Instrumento financeiros derivativos</v>
      </c>
      <c r="E170" s="121" t="s">
        <v>2190</v>
      </c>
      <c r="F170" s="121" t="s">
        <v>2190</v>
      </c>
      <c r="G170" s="118">
        <v>0</v>
      </c>
      <c r="H170" s="118">
        <v>0</v>
      </c>
      <c r="I170" s="118">
        <v>0</v>
      </c>
      <c r="K170" s="129" t="str">
        <f t="shared" si="16"/>
        <v>Instrumento financeiros derivativos</v>
      </c>
      <c r="L170" s="121" t="s">
        <v>160</v>
      </c>
      <c r="M170" s="121" t="s">
        <v>160</v>
      </c>
      <c r="N170" s="118">
        <v>0</v>
      </c>
      <c r="O170" s="118">
        <v>0</v>
      </c>
      <c r="P170" s="118">
        <v>0</v>
      </c>
    </row>
    <row r="171" spans="1:16" x14ac:dyDescent="0.2">
      <c r="A171" t="s">
        <v>566</v>
      </c>
      <c r="B171" t="s">
        <v>869</v>
      </c>
      <c r="D171" s="129" t="str">
        <f>IF([1]RENAME!$H$3=1,B171,A171)</f>
        <v>Dividendos a pagar</v>
      </c>
      <c r="E171" s="121" t="s">
        <v>2190</v>
      </c>
      <c r="F171" s="121" t="s">
        <v>2190</v>
      </c>
      <c r="G171" s="118">
        <v>0</v>
      </c>
      <c r="H171" s="118">
        <v>0</v>
      </c>
      <c r="I171" s="118">
        <v>0</v>
      </c>
      <c r="K171" s="129" t="str">
        <f t="shared" si="16"/>
        <v>Dividendos a pagar</v>
      </c>
      <c r="L171" s="121" t="s">
        <v>160</v>
      </c>
      <c r="M171" s="121" t="s">
        <v>160</v>
      </c>
      <c r="N171" s="118">
        <v>0</v>
      </c>
      <c r="O171" s="118">
        <v>0</v>
      </c>
      <c r="P171" s="118">
        <v>0</v>
      </c>
    </row>
    <row r="172" spans="1:16" x14ac:dyDescent="0.2">
      <c r="A172" t="s">
        <v>25</v>
      </c>
      <c r="B172" t="s">
        <v>1349</v>
      </c>
      <c r="D172" s="129" t="str">
        <f>IF([1]RENAME!$H$3=1,B172,A172)</f>
        <v>Partes relacionadas</v>
      </c>
      <c r="E172" s="121" t="s">
        <v>2190</v>
      </c>
      <c r="F172" s="121" t="s">
        <v>2190</v>
      </c>
      <c r="G172" s="118">
        <v>35</v>
      </c>
      <c r="H172" s="118">
        <v>592</v>
      </c>
      <c r="I172" s="118">
        <v>0</v>
      </c>
      <c r="K172" s="129" t="str">
        <f t="shared" si="16"/>
        <v>Partes relacionadas</v>
      </c>
      <c r="L172" s="121" t="s">
        <v>160</v>
      </c>
      <c r="M172" s="121" t="s">
        <v>160</v>
      </c>
      <c r="N172" s="118">
        <v>87</v>
      </c>
      <c r="O172" s="118">
        <v>573</v>
      </c>
      <c r="P172" s="118">
        <v>0</v>
      </c>
    </row>
    <row r="173" spans="1:16" x14ac:dyDescent="0.2">
      <c r="A173" t="s">
        <v>1780</v>
      </c>
      <c r="B173" t="s">
        <v>1781</v>
      </c>
      <c r="D173" s="126" t="str">
        <f>IF([1]RENAME!$H$3=1,B173,A173)</f>
        <v>Em 30 de setembro de 2020</v>
      </c>
      <c r="E173" s="120" t="s">
        <v>2190</v>
      </c>
      <c r="F173" s="120" t="s">
        <v>2190</v>
      </c>
      <c r="G173" s="120">
        <f>SUM(G166:G172)</f>
        <v>132936</v>
      </c>
      <c r="H173" s="120">
        <f>SUM(H166:H172)</f>
        <v>66297</v>
      </c>
      <c r="I173" s="120">
        <f>SUM(I166:I172)</f>
        <v>67663</v>
      </c>
      <c r="K173" s="126" t="str">
        <f>D173</f>
        <v>Em 30 de setembro de 2020</v>
      </c>
      <c r="L173" s="120" t="s">
        <v>160</v>
      </c>
      <c r="M173" s="120" t="s">
        <v>160</v>
      </c>
      <c r="N173" s="120">
        <f>SUM(N166:N172)</f>
        <v>122546</v>
      </c>
      <c r="O173" s="120">
        <f>SUM(O166:O172)</f>
        <v>66278</v>
      </c>
      <c r="P173" s="120">
        <f>SUM(P166:P172)</f>
        <v>67663</v>
      </c>
    </row>
    <row r="174" spans="1:16" x14ac:dyDescent="0.2">
      <c r="A174" t="s">
        <v>16</v>
      </c>
      <c r="B174" t="s">
        <v>867</v>
      </c>
      <c r="D174" s="129" t="str">
        <f>IF([1]RENAME!$H$3=1,B174,A174)</f>
        <v>Empréstimos e financiamentos</v>
      </c>
      <c r="E174" s="121" t="s">
        <v>2190</v>
      </c>
      <c r="F174" s="121" t="s">
        <v>2190</v>
      </c>
      <c r="G174" s="118">
        <v>121422</v>
      </c>
      <c r="H174" s="118">
        <v>63963</v>
      </c>
      <c r="I174" s="118">
        <v>20991</v>
      </c>
      <c r="K174" s="129" t="str">
        <f>D174</f>
        <v>Empréstimos e financiamentos</v>
      </c>
      <c r="L174" s="121" t="s">
        <v>160</v>
      </c>
      <c r="M174" s="121" t="s">
        <v>160</v>
      </c>
      <c r="N174" s="118">
        <v>121422</v>
      </c>
      <c r="O174" s="118">
        <v>63963</v>
      </c>
      <c r="P174" s="118">
        <v>20991</v>
      </c>
    </row>
    <row r="175" spans="1:16" x14ac:dyDescent="0.2">
      <c r="A175" t="s">
        <v>23</v>
      </c>
      <c r="B175" t="s">
        <v>770</v>
      </c>
      <c r="D175" s="129" t="str">
        <f>IF([1]RENAME!$H$3=1,B175,A175)</f>
        <v>Debêntures</v>
      </c>
      <c r="E175" s="121" t="s">
        <v>2190</v>
      </c>
      <c r="F175" s="121" t="s">
        <v>2190</v>
      </c>
      <c r="G175" s="118">
        <v>27595</v>
      </c>
      <c r="H175" s="118">
        <v>25140</v>
      </c>
      <c r="I175" s="118">
        <v>0</v>
      </c>
      <c r="K175" s="129" t="str">
        <f t="shared" ref="K175:K181" si="17">D175</f>
        <v>Debêntures</v>
      </c>
      <c r="L175" s="121" t="s">
        <v>160</v>
      </c>
      <c r="M175" s="121" t="s">
        <v>160</v>
      </c>
      <c r="N175" s="118">
        <v>27595</v>
      </c>
      <c r="O175" s="118">
        <v>25140</v>
      </c>
      <c r="P175" s="118">
        <v>0</v>
      </c>
    </row>
    <row r="176" spans="1:16" x14ac:dyDescent="0.2">
      <c r="A176" t="s">
        <v>1427</v>
      </c>
      <c r="B176" t="s">
        <v>1447</v>
      </c>
      <c r="D176" s="129" t="str">
        <f>IF([1]RENAME!$H$3=1,B176,A176)</f>
        <v>Arrendamento mercantil</v>
      </c>
      <c r="E176" s="121" t="s">
        <v>2190</v>
      </c>
      <c r="F176" s="121" t="s">
        <v>2190</v>
      </c>
      <c r="G176" s="118">
        <v>0</v>
      </c>
      <c r="H176" s="118">
        <v>0</v>
      </c>
      <c r="I176" s="118">
        <v>0</v>
      </c>
      <c r="K176" s="129" t="str">
        <f t="shared" si="17"/>
        <v>Arrendamento mercantil</v>
      </c>
      <c r="L176" s="121" t="s">
        <v>160</v>
      </c>
      <c r="M176" s="121" t="s">
        <v>160</v>
      </c>
      <c r="N176" s="118">
        <v>0</v>
      </c>
      <c r="O176" s="118">
        <v>0</v>
      </c>
      <c r="P176" s="118">
        <v>0</v>
      </c>
    </row>
    <row r="177" spans="1:16" x14ac:dyDescent="0.2">
      <c r="A177" t="s">
        <v>164</v>
      </c>
      <c r="B177" t="s">
        <v>667</v>
      </c>
      <c r="D177" s="129" t="str">
        <f>IF([1]RENAME!$H$3=1,B177,A177)</f>
        <v>Fornecedores e fretes a pagar</v>
      </c>
      <c r="E177" s="121" t="s">
        <v>2190</v>
      </c>
      <c r="F177" s="121" t="s">
        <v>2190</v>
      </c>
      <c r="G177" s="118">
        <v>17169</v>
      </c>
      <c r="H177" s="118">
        <v>0</v>
      </c>
      <c r="I177" s="118">
        <v>0</v>
      </c>
      <c r="K177" s="129" t="str">
        <f t="shared" si="17"/>
        <v>Fornecedores e fretes a pagar</v>
      </c>
      <c r="L177" s="121" t="s">
        <v>160</v>
      </c>
      <c r="M177" s="121" t="s">
        <v>160</v>
      </c>
      <c r="N177" s="118">
        <v>13870</v>
      </c>
      <c r="O177" s="118">
        <v>0</v>
      </c>
      <c r="P177" s="118">
        <v>0</v>
      </c>
    </row>
    <row r="178" spans="1:16" x14ac:dyDescent="0.2">
      <c r="A178" t="s">
        <v>24</v>
      </c>
      <c r="B178" t="s">
        <v>868</v>
      </c>
      <c r="D178" s="129" t="str">
        <f>IF([1]RENAME!$H$3=1,B178,A178)</f>
        <v>Demais contas a pagar</v>
      </c>
      <c r="E178" s="121" t="s">
        <v>2190</v>
      </c>
      <c r="F178" s="121" t="s">
        <v>2190</v>
      </c>
      <c r="G178" s="118">
        <v>29862</v>
      </c>
      <c r="H178" s="118">
        <v>0</v>
      </c>
      <c r="I178" s="118">
        <v>0</v>
      </c>
      <c r="K178" s="129" t="str">
        <f t="shared" si="17"/>
        <v>Demais contas a pagar</v>
      </c>
      <c r="L178" s="121" t="s">
        <v>160</v>
      </c>
      <c r="M178" s="121" t="s">
        <v>160</v>
      </c>
      <c r="N178" s="118">
        <v>24591</v>
      </c>
      <c r="O178" s="118">
        <v>0</v>
      </c>
      <c r="P178" s="118">
        <v>0</v>
      </c>
    </row>
    <row r="179" spans="1:16" x14ac:dyDescent="0.2">
      <c r="A179" t="s">
        <v>1398</v>
      </c>
      <c r="B179" t="s">
        <v>1399</v>
      </c>
      <c r="D179" s="129" t="str">
        <f>IF([1]RENAME!$H$3=1,B179,A179)</f>
        <v>Instrumento financeiros derivativos</v>
      </c>
      <c r="E179" s="121" t="s">
        <v>2190</v>
      </c>
      <c r="F179" s="121" t="s">
        <v>2190</v>
      </c>
      <c r="G179" s="118">
        <v>-23871</v>
      </c>
      <c r="H179" s="118">
        <v>0</v>
      </c>
      <c r="I179" s="118">
        <v>0</v>
      </c>
      <c r="K179" s="129" t="str">
        <f t="shared" si="17"/>
        <v>Instrumento financeiros derivativos</v>
      </c>
      <c r="L179" s="121" t="s">
        <v>160</v>
      </c>
      <c r="M179" s="121" t="s">
        <v>160</v>
      </c>
      <c r="N179" s="118">
        <v>-23871</v>
      </c>
      <c r="O179" s="118">
        <v>0</v>
      </c>
      <c r="P179" s="118">
        <v>0</v>
      </c>
    </row>
    <row r="180" spans="1:16" x14ac:dyDescent="0.2">
      <c r="A180" t="s">
        <v>566</v>
      </c>
      <c r="B180" t="s">
        <v>869</v>
      </c>
      <c r="D180" s="129" t="str">
        <f>IF([1]RENAME!$H$3=1,B180,A180)</f>
        <v>Dividendos a pagar</v>
      </c>
      <c r="E180" s="121" t="s">
        <v>2190</v>
      </c>
      <c r="F180" s="121" t="s">
        <v>2190</v>
      </c>
      <c r="G180" s="118">
        <v>0</v>
      </c>
      <c r="H180" s="118">
        <v>0</v>
      </c>
      <c r="I180" s="118">
        <v>0</v>
      </c>
      <c r="K180" s="129" t="str">
        <f t="shared" si="17"/>
        <v>Dividendos a pagar</v>
      </c>
      <c r="L180" s="121" t="s">
        <v>160</v>
      </c>
      <c r="M180" s="121" t="s">
        <v>160</v>
      </c>
      <c r="N180" s="118">
        <v>0</v>
      </c>
      <c r="O180" s="118">
        <v>0</v>
      </c>
      <c r="P180" s="118">
        <v>0</v>
      </c>
    </row>
    <row r="181" spans="1:16" x14ac:dyDescent="0.2">
      <c r="A181" t="s">
        <v>25</v>
      </c>
      <c r="B181" t="s">
        <v>1349</v>
      </c>
      <c r="D181" s="129" t="str">
        <f>IF([1]RENAME!$H$3=1,B181,A181)</f>
        <v>Partes relacionadas</v>
      </c>
      <c r="E181" s="121" t="s">
        <v>2190</v>
      </c>
      <c r="F181" s="121" t="s">
        <v>2190</v>
      </c>
      <c r="G181" s="118">
        <v>37</v>
      </c>
      <c r="H181" s="118">
        <v>700</v>
      </c>
      <c r="I181" s="118">
        <v>0</v>
      </c>
      <c r="K181" s="129" t="str">
        <f t="shared" si="17"/>
        <v>Partes relacionadas</v>
      </c>
      <c r="L181" s="121" t="s">
        <v>160</v>
      </c>
      <c r="M181" s="121" t="s">
        <v>160</v>
      </c>
      <c r="N181" s="118">
        <v>44</v>
      </c>
      <c r="O181" s="118">
        <v>681</v>
      </c>
      <c r="P181" s="118">
        <v>0</v>
      </c>
    </row>
    <row r="182" spans="1:16" x14ac:dyDescent="0.2">
      <c r="A182" t="s">
        <v>1670</v>
      </c>
      <c r="B182" t="s">
        <v>1671</v>
      </c>
      <c r="D182" s="126" t="str">
        <f>IF([1]RENAME!$H$3=1,B182,A182)</f>
        <v>Em 30 de junho de 2020</v>
      </c>
      <c r="E182" s="120" t="s">
        <v>2190</v>
      </c>
      <c r="F182" s="120" t="s">
        <v>2190</v>
      </c>
      <c r="G182" s="120">
        <f>SUM(G174:G181)</f>
        <v>172214</v>
      </c>
      <c r="H182" s="120">
        <f>SUM(H174:H181)</f>
        <v>89803</v>
      </c>
      <c r="I182" s="120">
        <f>SUM(I174:I181)</f>
        <v>20991</v>
      </c>
      <c r="K182" s="126" t="str">
        <f>D182</f>
        <v>Em 30 de junho de 2020</v>
      </c>
      <c r="L182" s="120" t="s">
        <v>160</v>
      </c>
      <c r="M182" s="120" t="s">
        <v>160</v>
      </c>
      <c r="N182" s="120">
        <f>SUM(N174:N181)</f>
        <v>163651</v>
      </c>
      <c r="O182" s="120">
        <f>SUM(O174:O181)</f>
        <v>89784</v>
      </c>
      <c r="P182" s="120">
        <f>SUM(P174:P181)</f>
        <v>20991</v>
      </c>
    </row>
    <row r="183" spans="1:16" x14ac:dyDescent="0.2">
      <c r="A183" t="s">
        <v>16</v>
      </c>
      <c r="B183" t="s">
        <v>867</v>
      </c>
      <c r="D183" s="129" t="str">
        <f>IF([1]RENAME!$H$3=1,B183,A183)</f>
        <v>Empréstimos e financiamentos</v>
      </c>
      <c r="E183" s="121" t="s">
        <v>2190</v>
      </c>
      <c r="F183" s="121" t="s">
        <v>2190</v>
      </c>
      <c r="G183" s="118">
        <v>75513</v>
      </c>
      <c r="H183" s="118">
        <v>11437</v>
      </c>
      <c r="I183" s="118">
        <v>21436</v>
      </c>
      <c r="K183" s="129" t="str">
        <f>D183</f>
        <v>Empréstimos e financiamentos</v>
      </c>
      <c r="L183" s="121" t="s">
        <v>160</v>
      </c>
      <c r="M183" s="121" t="s">
        <v>160</v>
      </c>
      <c r="N183" s="118">
        <v>75513</v>
      </c>
      <c r="O183" s="118">
        <v>11437</v>
      </c>
      <c r="P183" s="118">
        <v>21436</v>
      </c>
    </row>
    <row r="184" spans="1:16" x14ac:dyDescent="0.2">
      <c r="A184" t="s">
        <v>23</v>
      </c>
      <c r="B184" t="s">
        <v>770</v>
      </c>
      <c r="D184" s="129" t="str">
        <f>IF([1]RENAME!$H$3=1,B184,A184)</f>
        <v>Debêntures</v>
      </c>
      <c r="E184" s="121" t="s">
        <v>2190</v>
      </c>
      <c r="F184" s="121" t="s">
        <v>2190</v>
      </c>
      <c r="G184" s="118">
        <v>27364</v>
      </c>
      <c r="H184" s="118">
        <v>25876</v>
      </c>
      <c r="I184" s="118">
        <v>0</v>
      </c>
      <c r="K184" s="129" t="str">
        <f t="shared" ref="K184:K190" si="18">D184</f>
        <v>Debêntures</v>
      </c>
      <c r="L184" s="121" t="s">
        <v>160</v>
      </c>
      <c r="M184" s="121" t="s">
        <v>160</v>
      </c>
      <c r="N184" s="118">
        <v>27364</v>
      </c>
      <c r="O184" s="118">
        <v>25876</v>
      </c>
      <c r="P184" s="118">
        <v>0</v>
      </c>
    </row>
    <row r="185" spans="1:16" x14ac:dyDescent="0.2">
      <c r="A185" t="s">
        <v>1427</v>
      </c>
      <c r="B185" t="s">
        <v>1447</v>
      </c>
      <c r="D185" s="129" t="str">
        <f>IF([1]RENAME!$H$3=1,B185,A185)</f>
        <v>Arrendamento mercantil</v>
      </c>
      <c r="E185" s="121" t="s">
        <v>2190</v>
      </c>
      <c r="F185" s="121" t="s">
        <v>2190</v>
      </c>
      <c r="G185" s="118">
        <v>0</v>
      </c>
      <c r="H185" s="118">
        <v>0</v>
      </c>
      <c r="I185" s="118">
        <v>0</v>
      </c>
      <c r="K185" s="129" t="str">
        <f t="shared" si="18"/>
        <v>Arrendamento mercantil</v>
      </c>
      <c r="L185" s="121" t="s">
        <v>160</v>
      </c>
      <c r="M185" s="121" t="s">
        <v>160</v>
      </c>
      <c r="N185" s="118">
        <v>0</v>
      </c>
      <c r="O185" s="118">
        <v>0</v>
      </c>
      <c r="P185" s="118">
        <v>0</v>
      </c>
    </row>
    <row r="186" spans="1:16" x14ac:dyDescent="0.2">
      <c r="A186" t="s">
        <v>164</v>
      </c>
      <c r="B186" t="s">
        <v>667</v>
      </c>
      <c r="D186" s="129" t="str">
        <f>IF([1]RENAME!$H$3=1,B186,A186)</f>
        <v>Fornecedores e fretes a pagar</v>
      </c>
      <c r="E186" s="121" t="s">
        <v>2190</v>
      </c>
      <c r="F186" s="121" t="s">
        <v>2190</v>
      </c>
      <c r="G186" s="118">
        <v>21287</v>
      </c>
      <c r="H186" s="118">
        <v>0</v>
      </c>
      <c r="I186" s="118">
        <v>0</v>
      </c>
      <c r="K186" s="129" t="str">
        <f t="shared" si="18"/>
        <v>Fornecedores e fretes a pagar</v>
      </c>
      <c r="L186" s="121" t="s">
        <v>160</v>
      </c>
      <c r="M186" s="121" t="s">
        <v>160</v>
      </c>
      <c r="N186" s="118">
        <v>21287</v>
      </c>
      <c r="O186" s="118">
        <v>0</v>
      </c>
      <c r="P186" s="118">
        <v>0</v>
      </c>
    </row>
    <row r="187" spans="1:16" x14ac:dyDescent="0.2">
      <c r="A187" t="s">
        <v>24</v>
      </c>
      <c r="B187" t="s">
        <v>868</v>
      </c>
      <c r="D187" s="129" t="str">
        <f>IF([1]RENAME!$H$3=1,B187,A187)</f>
        <v>Demais contas a pagar</v>
      </c>
      <c r="E187" s="121" t="s">
        <v>2190</v>
      </c>
      <c r="F187" s="121" t="s">
        <v>2190</v>
      </c>
      <c r="G187" s="118">
        <v>28825</v>
      </c>
      <c r="H187" s="118">
        <v>0</v>
      </c>
      <c r="I187" s="118">
        <v>0</v>
      </c>
      <c r="K187" s="129" t="str">
        <f t="shared" si="18"/>
        <v>Demais contas a pagar</v>
      </c>
      <c r="L187" s="121" t="s">
        <v>160</v>
      </c>
      <c r="M187" s="121" t="s">
        <v>160</v>
      </c>
      <c r="N187" s="118">
        <v>28825</v>
      </c>
      <c r="O187" s="118">
        <v>0</v>
      </c>
      <c r="P187" s="118">
        <v>0</v>
      </c>
    </row>
    <row r="188" spans="1:16" x14ac:dyDescent="0.2">
      <c r="A188" t="s">
        <v>1398</v>
      </c>
      <c r="B188" t="s">
        <v>1399</v>
      </c>
      <c r="D188" s="129" t="str">
        <f>IF([1]RENAME!$H$3=1,B188,A188)</f>
        <v>Instrumento financeiros derivativos</v>
      </c>
      <c r="E188" s="121" t="s">
        <v>2190</v>
      </c>
      <c r="F188" s="121" t="s">
        <v>2190</v>
      </c>
      <c r="G188" s="118">
        <v>-20658</v>
      </c>
      <c r="H188" s="118">
        <v>0</v>
      </c>
      <c r="I188" s="118">
        <v>0</v>
      </c>
      <c r="K188" s="129" t="str">
        <f t="shared" si="18"/>
        <v>Instrumento financeiros derivativos</v>
      </c>
      <c r="L188" s="121" t="s">
        <v>160</v>
      </c>
      <c r="M188" s="121" t="s">
        <v>160</v>
      </c>
      <c r="N188" s="118">
        <v>-20658</v>
      </c>
      <c r="O188" s="118">
        <v>0</v>
      </c>
      <c r="P188" s="118">
        <v>0</v>
      </c>
    </row>
    <row r="189" spans="1:16" x14ac:dyDescent="0.2">
      <c r="A189" t="s">
        <v>566</v>
      </c>
      <c r="B189" t="s">
        <v>869</v>
      </c>
      <c r="D189" s="129" t="str">
        <f>IF([1]RENAME!$H$3=1,B189,A189)</f>
        <v>Dividendos a pagar</v>
      </c>
      <c r="E189" s="121" t="s">
        <v>2190</v>
      </c>
      <c r="F189" s="121" t="s">
        <v>2190</v>
      </c>
      <c r="G189" s="118">
        <v>0</v>
      </c>
      <c r="H189" s="118">
        <v>0</v>
      </c>
      <c r="I189" s="118">
        <v>0</v>
      </c>
      <c r="K189" s="129" t="str">
        <f t="shared" si="18"/>
        <v>Dividendos a pagar</v>
      </c>
      <c r="L189" s="121" t="s">
        <v>160</v>
      </c>
      <c r="M189" s="121" t="s">
        <v>160</v>
      </c>
      <c r="N189" s="118">
        <v>0</v>
      </c>
      <c r="O189" s="118">
        <v>0</v>
      </c>
      <c r="P189" s="118">
        <v>0</v>
      </c>
    </row>
    <row r="190" spans="1:16" x14ac:dyDescent="0.2">
      <c r="A190" t="s">
        <v>25</v>
      </c>
      <c r="B190" t="s">
        <v>1349</v>
      </c>
      <c r="D190" s="129" t="str">
        <f>IF([1]RENAME!$H$3=1,B190,A190)</f>
        <v>Partes relacionadas</v>
      </c>
      <c r="E190" s="121" t="s">
        <v>2190</v>
      </c>
      <c r="F190" s="121" t="s">
        <v>2190</v>
      </c>
      <c r="G190" s="118">
        <v>28</v>
      </c>
      <c r="H190" s="118">
        <v>663</v>
      </c>
      <c r="I190" s="118">
        <v>0</v>
      </c>
      <c r="K190" s="129" t="str">
        <f t="shared" si="18"/>
        <v>Partes relacionadas</v>
      </c>
      <c r="L190" s="121" t="s">
        <v>160</v>
      </c>
      <c r="M190" s="121" t="s">
        <v>160</v>
      </c>
      <c r="N190" s="118">
        <v>28</v>
      </c>
      <c r="O190" s="118">
        <v>663</v>
      </c>
      <c r="P190" s="118">
        <v>0</v>
      </c>
    </row>
    <row r="191" spans="1:16" x14ac:dyDescent="0.2">
      <c r="A191" t="s">
        <v>1424</v>
      </c>
      <c r="B191" t="s">
        <v>1632</v>
      </c>
      <c r="D191" s="126" t="str">
        <f>IF([1]RENAME!$H$3=1,B191,A191)</f>
        <v>Em 31 de março de 2019</v>
      </c>
      <c r="E191" s="120" t="s">
        <v>2190</v>
      </c>
      <c r="F191" s="120" t="s">
        <v>2190</v>
      </c>
      <c r="G191" s="120">
        <f>SUM(G183:G190)</f>
        <v>132359</v>
      </c>
      <c r="H191" s="120">
        <f>SUM(H183:H190)</f>
        <v>37976</v>
      </c>
      <c r="I191" s="120">
        <f>SUM(I183:I190)</f>
        <v>21436</v>
      </c>
      <c r="K191" s="126" t="str">
        <f>D191</f>
        <v>Em 31 de março de 2019</v>
      </c>
      <c r="L191" s="120" t="s">
        <v>160</v>
      </c>
      <c r="M191" s="120" t="s">
        <v>160</v>
      </c>
      <c r="N191" s="120">
        <f>SUM(N183:N190)</f>
        <v>132359</v>
      </c>
      <c r="O191" s="120">
        <f>SUM(O183:O190)</f>
        <v>37976</v>
      </c>
      <c r="P191" s="120">
        <f>SUM(P183:P190)</f>
        <v>21436</v>
      </c>
    </row>
    <row r="192" spans="1:16" x14ac:dyDescent="0.2">
      <c r="A192" t="s">
        <v>16</v>
      </c>
      <c r="B192" t="s">
        <v>867</v>
      </c>
      <c r="D192" s="129" t="str">
        <f>IF([1]RENAME!$H$3=1,B192,A192)</f>
        <v>Empréstimos e financiamentos</v>
      </c>
      <c r="E192" s="121" t="s">
        <v>2190</v>
      </c>
      <c r="F192" s="121" t="s">
        <v>2190</v>
      </c>
      <c r="G192" s="118">
        <v>64886</v>
      </c>
      <c r="H192" s="118">
        <v>1654</v>
      </c>
      <c r="I192" s="118">
        <v>32474</v>
      </c>
      <c r="K192" s="129" t="str">
        <f>D192</f>
        <v>Empréstimos e financiamentos</v>
      </c>
      <c r="L192" s="121" t="s">
        <v>160</v>
      </c>
      <c r="M192" s="121" t="s">
        <v>160</v>
      </c>
      <c r="N192" s="118">
        <v>64886</v>
      </c>
      <c r="O192" s="118">
        <v>1654</v>
      </c>
      <c r="P192" s="118">
        <v>32474</v>
      </c>
    </row>
    <row r="193" spans="1:16" x14ac:dyDescent="0.2">
      <c r="A193" t="s">
        <v>23</v>
      </c>
      <c r="B193" t="s">
        <v>770</v>
      </c>
      <c r="D193" s="129" t="str">
        <f>IF([1]RENAME!$H$3=1,B193,A193)</f>
        <v>Debêntures</v>
      </c>
      <c r="E193" s="121" t="s">
        <v>2190</v>
      </c>
      <c r="F193" s="121" t="s">
        <v>2190</v>
      </c>
      <c r="G193" s="118">
        <v>27583</v>
      </c>
      <c r="H193" s="118">
        <v>25991</v>
      </c>
      <c r="I193" s="118">
        <v>0</v>
      </c>
      <c r="K193" s="129" t="str">
        <f t="shared" ref="K193:K200" si="19">D193</f>
        <v>Debêntures</v>
      </c>
      <c r="L193" s="121" t="s">
        <v>160</v>
      </c>
      <c r="M193" s="121" t="s">
        <v>160</v>
      </c>
      <c r="N193" s="118">
        <v>27583</v>
      </c>
      <c r="O193" s="118">
        <v>25991</v>
      </c>
      <c r="P193" s="118">
        <v>0</v>
      </c>
    </row>
    <row r="194" spans="1:16" x14ac:dyDescent="0.2">
      <c r="A194" t="s">
        <v>1427</v>
      </c>
      <c r="B194" t="s">
        <v>1447</v>
      </c>
      <c r="D194" s="129" t="str">
        <f>IF([1]RENAME!$H$3=1,B194,A194)</f>
        <v>Arrendamento mercantil</v>
      </c>
      <c r="E194" s="121" t="s">
        <v>2190</v>
      </c>
      <c r="F194" s="121" t="s">
        <v>2190</v>
      </c>
      <c r="G194" s="118">
        <v>0</v>
      </c>
      <c r="H194" s="118">
        <v>0</v>
      </c>
      <c r="I194" s="118">
        <v>0</v>
      </c>
      <c r="K194" s="129" t="str">
        <f t="shared" si="19"/>
        <v>Arrendamento mercantil</v>
      </c>
      <c r="L194" s="121" t="s">
        <v>160</v>
      </c>
      <c r="M194" s="121" t="s">
        <v>160</v>
      </c>
      <c r="N194" s="118">
        <v>0</v>
      </c>
      <c r="O194" s="118">
        <v>0</v>
      </c>
      <c r="P194" s="118">
        <v>0</v>
      </c>
    </row>
    <row r="195" spans="1:16" x14ac:dyDescent="0.2">
      <c r="A195" t="s">
        <v>164</v>
      </c>
      <c r="B195" t="s">
        <v>667</v>
      </c>
      <c r="D195" s="129" t="str">
        <f>IF([1]RENAME!$H$3=1,B195,A195)</f>
        <v>Fornecedores e fretes a pagar</v>
      </c>
      <c r="E195" s="121" t="s">
        <v>2190</v>
      </c>
      <c r="F195" s="121" t="s">
        <v>2190</v>
      </c>
      <c r="G195" s="118">
        <v>36312</v>
      </c>
      <c r="H195" s="118">
        <v>0</v>
      </c>
      <c r="I195" s="118">
        <v>0</v>
      </c>
      <c r="K195" s="129" t="str">
        <f t="shared" si="19"/>
        <v>Fornecedores e fretes a pagar</v>
      </c>
      <c r="L195" s="121" t="s">
        <v>160</v>
      </c>
      <c r="M195" s="121" t="s">
        <v>160</v>
      </c>
      <c r="N195" s="118">
        <v>33452</v>
      </c>
      <c r="O195" s="118">
        <v>0</v>
      </c>
      <c r="P195" s="118">
        <v>0</v>
      </c>
    </row>
    <row r="196" spans="1:16" x14ac:dyDescent="0.2">
      <c r="A196" t="s">
        <v>24</v>
      </c>
      <c r="B196" t="s">
        <v>868</v>
      </c>
      <c r="D196" s="129" t="str">
        <f>IF([1]RENAME!$H$3=1,B196,A196)</f>
        <v>Demais contas a pagar</v>
      </c>
      <c r="E196" s="121" t="s">
        <v>2190</v>
      </c>
      <c r="F196" s="121" t="s">
        <v>2190</v>
      </c>
      <c r="G196" s="118">
        <v>29637</v>
      </c>
      <c r="H196" s="118">
        <v>0</v>
      </c>
      <c r="I196" s="118">
        <v>0</v>
      </c>
      <c r="K196" s="129" t="str">
        <f t="shared" si="19"/>
        <v>Demais contas a pagar</v>
      </c>
      <c r="L196" s="121" t="s">
        <v>160</v>
      </c>
      <c r="M196" s="121" t="s">
        <v>160</v>
      </c>
      <c r="N196" s="118">
        <v>23585</v>
      </c>
      <c r="O196" s="118">
        <v>0</v>
      </c>
      <c r="P196" s="118">
        <v>0</v>
      </c>
    </row>
    <row r="197" spans="1:16" x14ac:dyDescent="0.2">
      <c r="A197" t="s">
        <v>1398</v>
      </c>
      <c r="B197" t="s">
        <v>1399</v>
      </c>
      <c r="D197" s="129" t="str">
        <f>IF([1]RENAME!$H$3=1,B197,A197)</f>
        <v>Instrumento financeiros derivativos</v>
      </c>
      <c r="E197" s="121" t="s">
        <v>2190</v>
      </c>
      <c r="F197" s="121" t="s">
        <v>2190</v>
      </c>
      <c r="G197" s="118">
        <v>-3739</v>
      </c>
      <c r="H197" s="118">
        <v>0</v>
      </c>
      <c r="I197" s="118">
        <v>0</v>
      </c>
      <c r="K197" s="129" t="str">
        <f t="shared" si="19"/>
        <v>Instrumento financeiros derivativos</v>
      </c>
      <c r="L197" s="121" t="s">
        <v>160</v>
      </c>
      <c r="M197" s="121" t="s">
        <v>160</v>
      </c>
      <c r="N197" s="118">
        <v>-3739</v>
      </c>
      <c r="O197" s="118">
        <v>0</v>
      </c>
      <c r="P197" s="118">
        <v>0</v>
      </c>
    </row>
    <row r="198" spans="1:16" x14ac:dyDescent="0.2">
      <c r="A198" t="s">
        <v>566</v>
      </c>
      <c r="B198" t="s">
        <v>869</v>
      </c>
      <c r="D198" s="129" t="str">
        <f>IF([1]RENAME!$H$3=1,B198,A198)</f>
        <v>Dividendos a pagar</v>
      </c>
      <c r="E198" s="121" t="s">
        <v>2190</v>
      </c>
      <c r="F198" s="121" t="s">
        <v>2190</v>
      </c>
      <c r="G198" s="118">
        <v>0</v>
      </c>
      <c r="H198" s="118">
        <v>0</v>
      </c>
      <c r="I198" s="118">
        <v>0</v>
      </c>
      <c r="K198" s="129" t="str">
        <f t="shared" si="19"/>
        <v>Dividendos a pagar</v>
      </c>
      <c r="L198" s="121" t="s">
        <v>160</v>
      </c>
      <c r="M198" s="121" t="s">
        <v>160</v>
      </c>
      <c r="N198" s="118">
        <v>0</v>
      </c>
      <c r="O198" s="118">
        <v>0</v>
      </c>
      <c r="P198" s="118">
        <v>0</v>
      </c>
    </row>
    <row r="199" spans="1:16" x14ac:dyDescent="0.2">
      <c r="A199" t="s">
        <v>25</v>
      </c>
      <c r="B199" t="s">
        <v>1349</v>
      </c>
      <c r="D199" s="129" t="str">
        <f>IF([1]RENAME!$H$3=1,B199,A199)</f>
        <v>Partes relacionadas</v>
      </c>
      <c r="E199" s="121" t="s">
        <v>2190</v>
      </c>
      <c r="F199" s="121" t="s">
        <v>2190</v>
      </c>
      <c r="G199" s="118">
        <v>72</v>
      </c>
      <c r="H199" s="118">
        <v>542</v>
      </c>
      <c r="I199" s="118">
        <v>0</v>
      </c>
      <c r="K199" s="129" t="str">
        <f t="shared" si="19"/>
        <v>Partes relacionadas</v>
      </c>
      <c r="L199" s="121" t="s">
        <v>160</v>
      </c>
      <c r="M199" s="121" t="s">
        <v>160</v>
      </c>
      <c r="N199" s="118">
        <v>148</v>
      </c>
      <c r="O199" s="118">
        <v>542</v>
      </c>
      <c r="P199" s="118">
        <v>0</v>
      </c>
    </row>
    <row r="200" spans="1:16" x14ac:dyDescent="0.2">
      <c r="A200" t="s">
        <v>1586</v>
      </c>
      <c r="B200" t="s">
        <v>1588</v>
      </c>
      <c r="D200" s="126" t="str">
        <f>IF([1]RENAME!$H$3=1,B200,A200)</f>
        <v>Em 30 de dezembro de 2019</v>
      </c>
      <c r="E200" s="120" t="s">
        <v>2190</v>
      </c>
      <c r="F200" s="120" t="s">
        <v>2190</v>
      </c>
      <c r="G200" s="120">
        <f>SUM(G192:G199)</f>
        <v>154751</v>
      </c>
      <c r="H200" s="120">
        <f>SUM(H192:H199)</f>
        <v>28187</v>
      </c>
      <c r="I200" s="120">
        <f>SUM(I192:I199)</f>
        <v>32474</v>
      </c>
      <c r="K200" s="126" t="str">
        <f t="shared" si="19"/>
        <v>Em 30 de dezembro de 2019</v>
      </c>
      <c r="L200" s="120" t="s">
        <v>160</v>
      </c>
      <c r="M200" s="120" t="s">
        <v>160</v>
      </c>
      <c r="N200" s="120">
        <f>SUM(N192:N199)</f>
        <v>145915</v>
      </c>
      <c r="O200" s="120">
        <f>SUM(O192:O199)</f>
        <v>28187</v>
      </c>
      <c r="P200" s="120">
        <f>SUM(P192:P199)</f>
        <v>32474</v>
      </c>
    </row>
    <row r="201" spans="1:16" x14ac:dyDescent="0.2">
      <c r="A201" t="s">
        <v>16</v>
      </c>
      <c r="B201" t="s">
        <v>867</v>
      </c>
      <c r="D201" s="129" t="str">
        <f>IF([1]RENAME!$H$3=1,B201,A201)</f>
        <v>Empréstimos e financiamentos</v>
      </c>
      <c r="E201" s="121" t="s">
        <v>2190</v>
      </c>
      <c r="F201" s="121" t="s">
        <v>2190</v>
      </c>
      <c r="G201" s="118">
        <v>70504</v>
      </c>
      <c r="H201" s="118">
        <v>1947</v>
      </c>
      <c r="I201" s="118">
        <v>32913</v>
      </c>
      <c r="K201" s="129" t="str">
        <f>D201</f>
        <v>Empréstimos e financiamentos</v>
      </c>
      <c r="L201" s="121" t="s">
        <v>160</v>
      </c>
      <c r="M201" s="121" t="s">
        <v>160</v>
      </c>
      <c r="N201" s="118">
        <v>70504</v>
      </c>
      <c r="O201" s="118">
        <v>1947</v>
      </c>
      <c r="P201" s="118">
        <v>32913</v>
      </c>
    </row>
    <row r="202" spans="1:16" x14ac:dyDescent="0.2">
      <c r="A202" t="s">
        <v>23</v>
      </c>
      <c r="B202" t="s">
        <v>770</v>
      </c>
      <c r="D202" s="129" t="str">
        <f>IF([1]RENAME!$H$3=1,B202,A202)</f>
        <v>Debêntures</v>
      </c>
      <c r="E202" s="121" t="s">
        <v>2190</v>
      </c>
      <c r="F202" s="121" t="s">
        <v>2190</v>
      </c>
      <c r="G202" s="118">
        <v>29267</v>
      </c>
      <c r="H202" s="118">
        <v>26827</v>
      </c>
      <c r="I202" s="118">
        <v>0</v>
      </c>
      <c r="K202" s="129" t="str">
        <f t="shared" ref="K202:K209" si="20">D202</f>
        <v>Debêntures</v>
      </c>
      <c r="L202" s="121" t="s">
        <v>160</v>
      </c>
      <c r="M202" s="121" t="s">
        <v>160</v>
      </c>
      <c r="N202" s="118">
        <v>29267</v>
      </c>
      <c r="O202" s="118">
        <v>26827</v>
      </c>
      <c r="P202" s="118">
        <v>0</v>
      </c>
    </row>
    <row r="203" spans="1:16" x14ac:dyDescent="0.2">
      <c r="A203" t="s">
        <v>1427</v>
      </c>
      <c r="B203" t="s">
        <v>1447</v>
      </c>
      <c r="D203" s="129" t="str">
        <f>IF([1]RENAME!$H$3=1,B203,A203)</f>
        <v>Arrendamento mercantil</v>
      </c>
      <c r="E203" s="121" t="s">
        <v>2190</v>
      </c>
      <c r="F203" s="121" t="s">
        <v>2190</v>
      </c>
      <c r="G203" s="118">
        <v>32360</v>
      </c>
      <c r="H203" s="118">
        <v>23588</v>
      </c>
      <c r="I203" s="118">
        <v>33921</v>
      </c>
      <c r="K203" s="129" t="str">
        <f t="shared" si="20"/>
        <v>Arrendamento mercantil</v>
      </c>
      <c r="L203" s="121" t="s">
        <v>160</v>
      </c>
      <c r="M203" s="121" t="s">
        <v>160</v>
      </c>
      <c r="N203" s="118">
        <v>20104</v>
      </c>
      <c r="O203" s="118">
        <v>16897</v>
      </c>
      <c r="P203" s="118">
        <v>35691</v>
      </c>
    </row>
    <row r="204" spans="1:16" x14ac:dyDescent="0.2">
      <c r="A204" t="s">
        <v>164</v>
      </c>
      <c r="B204" t="s">
        <v>667</v>
      </c>
      <c r="D204" s="129" t="str">
        <f>IF([1]RENAME!$H$3=1,B204,A204)</f>
        <v>Fornecedores e fretes a pagar</v>
      </c>
      <c r="E204" s="121" t="s">
        <v>2190</v>
      </c>
      <c r="F204" s="121" t="s">
        <v>2190</v>
      </c>
      <c r="G204" s="118">
        <v>30325</v>
      </c>
      <c r="H204" s="118">
        <v>0</v>
      </c>
      <c r="I204" s="118">
        <v>0</v>
      </c>
      <c r="K204" s="129" t="str">
        <f t="shared" si="20"/>
        <v>Fornecedores e fretes a pagar</v>
      </c>
      <c r="L204" s="121" t="s">
        <v>160</v>
      </c>
      <c r="M204" s="121" t="s">
        <v>160</v>
      </c>
      <c r="N204" s="118">
        <v>28023</v>
      </c>
      <c r="O204" s="118">
        <v>0</v>
      </c>
      <c r="P204" s="118">
        <v>0</v>
      </c>
    </row>
    <row r="205" spans="1:16" x14ac:dyDescent="0.2">
      <c r="A205" t="s">
        <v>24</v>
      </c>
      <c r="B205" t="s">
        <v>868</v>
      </c>
      <c r="D205" s="129" t="str">
        <f>IF([1]RENAME!$H$3=1,B205,A205)</f>
        <v>Demais contas a pagar</v>
      </c>
      <c r="E205" s="121" t="s">
        <v>2190</v>
      </c>
      <c r="F205" s="121" t="s">
        <v>2190</v>
      </c>
      <c r="G205" s="118">
        <v>31858</v>
      </c>
      <c r="H205" s="118">
        <v>0</v>
      </c>
      <c r="I205" s="118">
        <v>0</v>
      </c>
      <c r="K205" s="129" t="str">
        <f t="shared" si="20"/>
        <v>Demais contas a pagar</v>
      </c>
      <c r="L205" s="121" t="s">
        <v>160</v>
      </c>
      <c r="M205" s="121" t="s">
        <v>160</v>
      </c>
      <c r="N205" s="118">
        <v>26897</v>
      </c>
      <c r="O205" s="118">
        <v>0</v>
      </c>
      <c r="P205" s="118">
        <v>0</v>
      </c>
    </row>
    <row r="206" spans="1:16" x14ac:dyDescent="0.2">
      <c r="A206" t="s">
        <v>1398</v>
      </c>
      <c r="B206" t="s">
        <v>1399</v>
      </c>
      <c r="D206" s="129" t="str">
        <f>IF([1]RENAME!$H$3=1,B206,A206)</f>
        <v>Instrumento financeiros derivativos</v>
      </c>
      <c r="E206" s="121" t="s">
        <v>2190</v>
      </c>
      <c r="F206" s="121" t="s">
        <v>2190</v>
      </c>
      <c r="G206" s="118">
        <v>-5899</v>
      </c>
      <c r="H206" s="118">
        <v>0</v>
      </c>
      <c r="I206" s="118">
        <v>0</v>
      </c>
      <c r="K206" s="129" t="str">
        <f t="shared" si="20"/>
        <v>Instrumento financeiros derivativos</v>
      </c>
      <c r="L206" s="121" t="s">
        <v>160</v>
      </c>
      <c r="M206" s="121" t="s">
        <v>160</v>
      </c>
      <c r="N206" s="118">
        <v>-5899</v>
      </c>
      <c r="O206" s="118">
        <v>0</v>
      </c>
      <c r="P206" s="118">
        <v>0</v>
      </c>
    </row>
    <row r="207" spans="1:16" x14ac:dyDescent="0.2">
      <c r="A207" t="s">
        <v>566</v>
      </c>
      <c r="B207" t="s">
        <v>869</v>
      </c>
      <c r="D207" s="129" t="str">
        <f>IF([1]RENAME!$H$3=1,B207,A207)</f>
        <v>Dividendos a pagar</v>
      </c>
      <c r="E207" s="121" t="s">
        <v>2190</v>
      </c>
      <c r="F207" s="121" t="s">
        <v>2190</v>
      </c>
      <c r="G207" s="118">
        <v>0</v>
      </c>
      <c r="H207" s="118">
        <v>0</v>
      </c>
      <c r="I207" s="118">
        <v>0</v>
      </c>
      <c r="K207" s="129" t="str">
        <f t="shared" si="20"/>
        <v>Dividendos a pagar</v>
      </c>
      <c r="L207" s="121" t="s">
        <v>160</v>
      </c>
      <c r="M207" s="121" t="s">
        <v>160</v>
      </c>
      <c r="N207" s="118">
        <v>0</v>
      </c>
      <c r="O207" s="118">
        <v>0</v>
      </c>
      <c r="P207" s="118">
        <v>0</v>
      </c>
    </row>
    <row r="208" spans="1:16" x14ac:dyDescent="0.2">
      <c r="A208" t="s">
        <v>25</v>
      </c>
      <c r="B208" t="s">
        <v>1349</v>
      </c>
      <c r="D208" s="129" t="str">
        <f>IF([1]RENAME!$H$3=1,B208,A208)</f>
        <v>Partes relacionadas</v>
      </c>
      <c r="E208" s="121" t="s">
        <v>2190</v>
      </c>
      <c r="F208" s="121" t="s">
        <v>2190</v>
      </c>
      <c r="G208" s="118">
        <v>32</v>
      </c>
      <c r="H208" s="118">
        <v>2829</v>
      </c>
      <c r="I208" s="118">
        <v>0</v>
      </c>
      <c r="K208" s="129" t="str">
        <f t="shared" si="20"/>
        <v>Partes relacionadas</v>
      </c>
      <c r="L208" s="121" t="s">
        <v>160</v>
      </c>
      <c r="M208" s="121" t="s">
        <v>160</v>
      </c>
      <c r="N208" s="118">
        <v>185</v>
      </c>
      <c r="O208" s="118">
        <v>2829</v>
      </c>
      <c r="P208" s="118">
        <v>0</v>
      </c>
    </row>
    <row r="209" spans="1:16" x14ac:dyDescent="0.2">
      <c r="A209" t="s">
        <v>1542</v>
      </c>
      <c r="B209" t="s">
        <v>1543</v>
      </c>
      <c r="D209" s="126" t="str">
        <f>IF([1]RENAME!$H$3=1,B209,A209)</f>
        <v>Em 30 de setembro de 2019</v>
      </c>
      <c r="E209" s="120" t="s">
        <v>2190</v>
      </c>
      <c r="F209" s="120" t="s">
        <v>2190</v>
      </c>
      <c r="G209" s="120">
        <v>188447</v>
      </c>
      <c r="H209" s="120">
        <v>55191</v>
      </c>
      <c r="I209" s="120">
        <v>66834</v>
      </c>
      <c r="K209" s="126" t="str">
        <f t="shared" si="20"/>
        <v>Em 30 de setembro de 2019</v>
      </c>
      <c r="L209" s="120" t="s">
        <v>160</v>
      </c>
      <c r="M209" s="120" t="s">
        <v>160</v>
      </c>
      <c r="N209" s="120">
        <v>169081</v>
      </c>
      <c r="O209" s="120">
        <v>48500</v>
      </c>
      <c r="P209" s="120">
        <v>68604</v>
      </c>
    </row>
    <row r="210" spans="1:16" x14ac:dyDescent="0.2">
      <c r="A210" t="s">
        <v>16</v>
      </c>
      <c r="B210" t="s">
        <v>867</v>
      </c>
      <c r="D210" s="129" t="str">
        <f>IF([1]RENAME!$H$3=1,B210,A210)</f>
        <v>Empréstimos e financiamentos</v>
      </c>
      <c r="E210" s="118" t="s">
        <v>2190</v>
      </c>
      <c r="F210" s="118" t="s">
        <v>2190</v>
      </c>
      <c r="G210" s="118">
        <v>12448</v>
      </c>
      <c r="H210" s="118">
        <v>55937</v>
      </c>
      <c r="I210" s="118">
        <v>34502</v>
      </c>
      <c r="K210" s="129" t="str">
        <f>D210</f>
        <v>Empréstimos e financiamentos</v>
      </c>
      <c r="L210" s="118"/>
      <c r="M210" s="118"/>
      <c r="N210" s="118">
        <v>12448</v>
      </c>
      <c r="O210" s="118">
        <v>55937</v>
      </c>
      <c r="P210" s="118">
        <v>34502</v>
      </c>
    </row>
    <row r="211" spans="1:16" x14ac:dyDescent="0.2">
      <c r="A211" t="s">
        <v>23</v>
      </c>
      <c r="B211" t="s">
        <v>770</v>
      </c>
      <c r="D211" s="129" t="str">
        <f>IF([1]RENAME!$H$3=1,B211,A211)</f>
        <v>Debêntures</v>
      </c>
      <c r="E211" s="118" t="s">
        <v>2190</v>
      </c>
      <c r="F211" s="118" t="s">
        <v>2190</v>
      </c>
      <c r="G211" s="118">
        <v>2123</v>
      </c>
      <c r="H211" s="118">
        <v>29398</v>
      </c>
      <c r="I211" s="118">
        <v>25274</v>
      </c>
      <c r="K211" s="129" t="str">
        <f t="shared" ref="K211:K218" si="21">D211</f>
        <v>Debêntures</v>
      </c>
      <c r="L211" s="118"/>
      <c r="M211" s="118"/>
      <c r="N211" s="118">
        <v>2123</v>
      </c>
      <c r="O211" s="118">
        <v>29398</v>
      </c>
      <c r="P211" s="118">
        <v>25274</v>
      </c>
    </row>
    <row r="212" spans="1:16" x14ac:dyDescent="0.2">
      <c r="A212" t="s">
        <v>1427</v>
      </c>
      <c r="B212" t="s">
        <v>1447</v>
      </c>
      <c r="D212" s="129" t="str">
        <f>IF([1]RENAME!$H$3=1,B212,A212)</f>
        <v>Arrendamento mercantil</v>
      </c>
      <c r="E212" s="118" t="s">
        <v>2190</v>
      </c>
      <c r="F212" s="118" t="s">
        <v>2190</v>
      </c>
      <c r="G212" s="118">
        <v>33741</v>
      </c>
      <c r="H212" s="118">
        <v>26035</v>
      </c>
      <c r="I212" s="118">
        <v>38520</v>
      </c>
      <c r="K212" s="129" t="str">
        <f t="shared" si="21"/>
        <v>Arrendamento mercantil</v>
      </c>
      <c r="L212" s="118"/>
      <c r="M212" s="118"/>
      <c r="N212" s="118">
        <v>21988</v>
      </c>
      <c r="O212" s="118">
        <v>17327</v>
      </c>
      <c r="P212" s="118">
        <v>40172</v>
      </c>
    </row>
    <row r="213" spans="1:16" x14ac:dyDescent="0.2">
      <c r="A213" t="s">
        <v>164</v>
      </c>
      <c r="B213" t="s">
        <v>667</v>
      </c>
      <c r="D213" s="129" t="str">
        <f>IF([1]RENAME!$H$3=1,B213,A213)</f>
        <v>Fornecedores e fretes a pagar</v>
      </c>
      <c r="E213" s="118" t="s">
        <v>2190</v>
      </c>
      <c r="F213" s="118" t="s">
        <v>2190</v>
      </c>
      <c r="G213" s="118">
        <v>30700</v>
      </c>
      <c r="H213" s="118">
        <v>0</v>
      </c>
      <c r="I213" s="118">
        <v>0</v>
      </c>
      <c r="K213" s="129" t="str">
        <f t="shared" si="21"/>
        <v>Fornecedores e fretes a pagar</v>
      </c>
      <c r="L213" s="118"/>
      <c r="M213" s="118"/>
      <c r="N213" s="118">
        <v>27991</v>
      </c>
      <c r="O213" s="118">
        <v>0</v>
      </c>
      <c r="P213" s="118">
        <v>0</v>
      </c>
    </row>
    <row r="214" spans="1:16" x14ac:dyDescent="0.2">
      <c r="A214" t="s">
        <v>24</v>
      </c>
      <c r="B214" t="s">
        <v>868</v>
      </c>
      <c r="D214" s="129" t="str">
        <f>IF([1]RENAME!$H$3=1,B214,A214)</f>
        <v>Demais contas a pagar</v>
      </c>
      <c r="E214" s="118" t="s">
        <v>2190</v>
      </c>
      <c r="F214" s="118" t="s">
        <v>2190</v>
      </c>
      <c r="G214" s="118">
        <v>25260</v>
      </c>
      <c r="H214" s="118">
        <v>0</v>
      </c>
      <c r="I214" s="118">
        <v>0</v>
      </c>
      <c r="K214" s="129" t="str">
        <f t="shared" si="21"/>
        <v>Demais contas a pagar</v>
      </c>
      <c r="L214" s="118"/>
      <c r="M214" s="118"/>
      <c r="N214" s="118">
        <v>20659</v>
      </c>
      <c r="O214" s="118">
        <v>0</v>
      </c>
      <c r="P214" s="118">
        <v>0</v>
      </c>
    </row>
    <row r="215" spans="1:16" x14ac:dyDescent="0.2">
      <c r="A215" t="s">
        <v>1398</v>
      </c>
      <c r="B215" t="s">
        <v>1399</v>
      </c>
      <c r="D215" s="129" t="str">
        <f>IF([1]RENAME!$H$3=1,B215,A215)</f>
        <v>Instrumento financeiros derivativos</v>
      </c>
      <c r="E215" s="118" t="s">
        <v>2190</v>
      </c>
      <c r="F215" s="118" t="s">
        <v>2190</v>
      </c>
      <c r="G215" s="118">
        <v>0</v>
      </c>
      <c r="H215" s="118">
        <v>-1942</v>
      </c>
      <c r="I215" s="118">
        <v>0</v>
      </c>
      <c r="K215" s="129" t="str">
        <f t="shared" si="21"/>
        <v>Instrumento financeiros derivativos</v>
      </c>
      <c r="L215" s="118"/>
      <c r="M215" s="118"/>
      <c r="N215" s="118">
        <v>0</v>
      </c>
      <c r="O215" s="118">
        <v>-1942</v>
      </c>
      <c r="P215" s="118">
        <v>0</v>
      </c>
    </row>
    <row r="216" spans="1:16" x14ac:dyDescent="0.2">
      <c r="A216" t="s">
        <v>566</v>
      </c>
      <c r="B216" t="s">
        <v>869</v>
      </c>
      <c r="D216" s="129" t="str">
        <f>IF([1]RENAME!$H$3=1,B216,A216)</f>
        <v>Dividendos a pagar</v>
      </c>
      <c r="E216" s="118" t="s">
        <v>2190</v>
      </c>
      <c r="F216" s="118" t="s">
        <v>2190</v>
      </c>
      <c r="G216" s="118">
        <v>0</v>
      </c>
      <c r="H216" s="118">
        <v>0</v>
      </c>
      <c r="I216" s="118">
        <v>0</v>
      </c>
      <c r="K216" s="129" t="str">
        <f t="shared" si="21"/>
        <v>Dividendos a pagar</v>
      </c>
      <c r="L216" s="118"/>
      <c r="M216" s="118"/>
      <c r="N216" s="118">
        <v>0</v>
      </c>
      <c r="O216" s="118">
        <v>0</v>
      </c>
      <c r="P216" s="118">
        <v>0</v>
      </c>
    </row>
    <row r="217" spans="1:16" x14ac:dyDescent="0.2">
      <c r="A217" t="s">
        <v>25</v>
      </c>
      <c r="B217" t="s">
        <v>1349</v>
      </c>
      <c r="D217" s="129" t="str">
        <f>IF([1]RENAME!$H$3=1,B217,A217)</f>
        <v>Partes relacionadas</v>
      </c>
      <c r="E217" s="118" t="s">
        <v>2190</v>
      </c>
      <c r="F217" s="118" t="s">
        <v>2190</v>
      </c>
      <c r="G217" s="118">
        <v>1025</v>
      </c>
      <c r="H217" s="118">
        <v>2445</v>
      </c>
      <c r="I217" s="118">
        <v>0</v>
      </c>
      <c r="K217" s="129" t="str">
        <f t="shared" si="21"/>
        <v>Partes relacionadas</v>
      </c>
      <c r="L217" s="118"/>
      <c r="M217" s="118"/>
      <c r="N217" s="118">
        <v>1428</v>
      </c>
      <c r="O217" s="118">
        <v>2445</v>
      </c>
      <c r="P217" s="118">
        <v>0</v>
      </c>
    </row>
    <row r="218" spans="1:16" x14ac:dyDescent="0.2">
      <c r="A218" t="s">
        <v>1515</v>
      </c>
      <c r="B218" t="s">
        <v>1516</v>
      </c>
      <c r="D218" s="126" t="str">
        <f>IF([1]RENAME!$H$3=1,B218,A218)</f>
        <v>Em 30 de junho de 2019</v>
      </c>
      <c r="E218" s="207" t="s">
        <v>2190</v>
      </c>
      <c r="F218" s="207" t="s">
        <v>2190</v>
      </c>
      <c r="G218" s="120">
        <f>SUM(G210:G217)</f>
        <v>105297</v>
      </c>
      <c r="H218" s="120">
        <f>SUM(H210:H217)</f>
        <v>111873</v>
      </c>
      <c r="I218" s="120">
        <f>SUM(I210:I217)</f>
        <v>98296</v>
      </c>
      <c r="K218" s="126" t="str">
        <f t="shared" si="21"/>
        <v>Em 30 de junho de 2019</v>
      </c>
      <c r="L218" s="120"/>
      <c r="M218" s="120"/>
      <c r="N218" s="120">
        <f>SUM(N210:N217)</f>
        <v>86637</v>
      </c>
      <c r="O218" s="120">
        <f>SUM(O210:O217)</f>
        <v>103165</v>
      </c>
      <c r="P218" s="120">
        <f>SUM(P210:P217)</f>
        <v>99948</v>
      </c>
    </row>
    <row r="219" spans="1:16" x14ac:dyDescent="0.2">
      <c r="A219" t="s">
        <v>16</v>
      </c>
      <c r="B219" t="s">
        <v>867</v>
      </c>
      <c r="D219" s="129" t="str">
        <f>IF([1]RENAME!$H$3=1,B219,A219)</f>
        <v>Empréstimos e financiamentos</v>
      </c>
      <c r="E219" s="118" t="s">
        <v>2190</v>
      </c>
      <c r="F219" s="118" t="s">
        <v>2190</v>
      </c>
      <c r="G219" s="118">
        <v>13749</v>
      </c>
      <c r="H219" s="118">
        <v>60813</v>
      </c>
      <c r="I219" s="118">
        <v>34502.196987412302</v>
      </c>
      <c r="K219" s="129" t="str">
        <f>D219</f>
        <v>Empréstimos e financiamentos</v>
      </c>
      <c r="L219" s="118"/>
      <c r="M219" s="118"/>
      <c r="N219" s="118">
        <v>13749</v>
      </c>
      <c r="O219" s="118">
        <v>60813</v>
      </c>
      <c r="P219" s="118">
        <v>34502.196987412302</v>
      </c>
    </row>
    <row r="220" spans="1:16" x14ac:dyDescent="0.2">
      <c r="A220" t="s">
        <v>23</v>
      </c>
      <c r="B220" t="s">
        <v>770</v>
      </c>
      <c r="D220" s="129" t="str">
        <f>IF([1]RENAME!$H$3=1,B220,A220)</f>
        <v>Debêntures</v>
      </c>
      <c r="E220" s="118" t="s">
        <v>2190</v>
      </c>
      <c r="F220" s="118" t="s">
        <v>2190</v>
      </c>
      <c r="G220" s="118">
        <v>4178</v>
      </c>
      <c r="H220" s="118">
        <v>28379</v>
      </c>
      <c r="I220" s="118">
        <v>26293</v>
      </c>
      <c r="K220" s="129" t="str">
        <f t="shared" ref="K220:K227" si="22">D220</f>
        <v>Debêntures</v>
      </c>
      <c r="L220" s="118"/>
      <c r="M220" s="118"/>
      <c r="N220" s="118">
        <v>4178</v>
      </c>
      <c r="O220" s="118">
        <v>28379</v>
      </c>
      <c r="P220" s="118">
        <v>26293</v>
      </c>
    </row>
    <row r="221" spans="1:16" x14ac:dyDescent="0.2">
      <c r="A221" t="s">
        <v>1427</v>
      </c>
      <c r="D221" s="129" t="str">
        <f>IF([1]RENAME!$H$3=1,B221,A221)</f>
        <v>Arrendamento mercantil</v>
      </c>
      <c r="E221" s="118" t="s">
        <v>2190</v>
      </c>
      <c r="F221" s="118" t="s">
        <v>2190</v>
      </c>
      <c r="G221" s="118">
        <v>31132.019873079851</v>
      </c>
      <c r="H221" s="118">
        <v>19861.033317466306</v>
      </c>
      <c r="I221" s="118">
        <v>28682.253733049885</v>
      </c>
      <c r="K221" s="129" t="str">
        <f t="shared" si="22"/>
        <v>Arrendamento mercantil</v>
      </c>
      <c r="L221" s="118"/>
      <c r="M221" s="118"/>
      <c r="N221" s="118">
        <v>17525.26439848372</v>
      </c>
      <c r="O221" s="118">
        <v>10941.18317264281</v>
      </c>
      <c r="P221" s="118">
        <v>28434.334334638861</v>
      </c>
    </row>
    <row r="222" spans="1:16" x14ac:dyDescent="0.2">
      <c r="A222" t="s">
        <v>164</v>
      </c>
      <c r="B222" t="s">
        <v>667</v>
      </c>
      <c r="D222" s="129" t="str">
        <f>IF([1]RENAME!$H$3=1,B222,A222)</f>
        <v>Fornecedores e fretes a pagar</v>
      </c>
      <c r="E222" s="118" t="s">
        <v>2190</v>
      </c>
      <c r="F222" s="118" t="s">
        <v>2190</v>
      </c>
      <c r="G222" s="118">
        <v>32147</v>
      </c>
      <c r="H222" s="118">
        <v>0</v>
      </c>
      <c r="I222" s="118">
        <v>0</v>
      </c>
      <c r="K222" s="129" t="str">
        <f t="shared" si="22"/>
        <v>Fornecedores e fretes a pagar</v>
      </c>
      <c r="L222" s="118"/>
      <c r="M222" s="118"/>
      <c r="N222" s="118">
        <v>29322</v>
      </c>
      <c r="O222" s="118">
        <v>0</v>
      </c>
      <c r="P222" s="118">
        <v>0</v>
      </c>
    </row>
    <row r="223" spans="1:16" x14ac:dyDescent="0.2">
      <c r="A223" t="s">
        <v>24</v>
      </c>
      <c r="B223" t="s">
        <v>868</v>
      </c>
      <c r="D223" s="129" t="str">
        <f>IF([1]RENAME!$H$3=1,B223,A223)</f>
        <v>Demais contas a pagar</v>
      </c>
      <c r="E223" s="118" t="s">
        <v>2190</v>
      </c>
      <c r="F223" s="118" t="s">
        <v>2190</v>
      </c>
      <c r="G223" s="118">
        <v>22572</v>
      </c>
      <c r="H223" s="118">
        <v>0</v>
      </c>
      <c r="I223" s="118">
        <v>0</v>
      </c>
      <c r="K223" s="129" t="str">
        <f t="shared" si="22"/>
        <v>Demais contas a pagar</v>
      </c>
      <c r="L223" s="118"/>
      <c r="M223" s="118"/>
      <c r="N223" s="118">
        <v>17505</v>
      </c>
      <c r="O223" s="118">
        <v>0</v>
      </c>
      <c r="P223" s="118">
        <v>0</v>
      </c>
    </row>
    <row r="224" spans="1:16" x14ac:dyDescent="0.2">
      <c r="A224" t="s">
        <v>1398</v>
      </c>
      <c r="B224" t="s">
        <v>1399</v>
      </c>
      <c r="D224" s="129" t="str">
        <f>IF([1]RENAME!$H$3=1,B224,A224)</f>
        <v>Instrumento financeiros derivativos</v>
      </c>
      <c r="E224" s="118" t="s">
        <v>2190</v>
      </c>
      <c r="F224" s="118" t="s">
        <v>2190</v>
      </c>
      <c r="G224" s="118">
        <v>0</v>
      </c>
      <c r="H224" s="118">
        <v>-2661</v>
      </c>
      <c r="I224" s="118">
        <v>0</v>
      </c>
      <c r="K224" s="129" t="str">
        <f t="shared" si="22"/>
        <v>Instrumento financeiros derivativos</v>
      </c>
      <c r="L224" s="118"/>
      <c r="M224" s="118"/>
      <c r="N224" s="118">
        <v>0</v>
      </c>
      <c r="O224" s="118">
        <v>-2661</v>
      </c>
      <c r="P224" s="118">
        <v>0</v>
      </c>
    </row>
    <row r="225" spans="1:16" x14ac:dyDescent="0.2">
      <c r="A225" t="s">
        <v>566</v>
      </c>
      <c r="B225" t="s">
        <v>869</v>
      </c>
      <c r="D225" s="129" t="str">
        <f>IF([1]RENAME!$H$3=1,B225,A225)</f>
        <v>Dividendos a pagar</v>
      </c>
      <c r="E225" s="118" t="s">
        <v>2190</v>
      </c>
      <c r="F225" s="118" t="s">
        <v>2190</v>
      </c>
      <c r="G225" s="118">
        <v>0</v>
      </c>
      <c r="H225" s="118">
        <v>0</v>
      </c>
      <c r="I225" s="118">
        <v>0</v>
      </c>
      <c r="K225" s="129" t="str">
        <f t="shared" si="22"/>
        <v>Dividendos a pagar</v>
      </c>
      <c r="L225" s="118"/>
      <c r="M225" s="118"/>
      <c r="N225" s="118">
        <v>0</v>
      </c>
      <c r="O225" s="118">
        <v>0</v>
      </c>
      <c r="P225" s="118">
        <v>0</v>
      </c>
    </row>
    <row r="226" spans="1:16" x14ac:dyDescent="0.2">
      <c r="A226" t="s">
        <v>25</v>
      </c>
      <c r="B226" t="s">
        <v>1349</v>
      </c>
      <c r="D226" s="129" t="str">
        <f>IF([1]RENAME!$H$3=1,B226,A226)</f>
        <v>Partes relacionadas</v>
      </c>
      <c r="E226" s="118" t="s">
        <v>2190</v>
      </c>
      <c r="F226" s="118" t="s">
        <v>2190</v>
      </c>
      <c r="G226" s="118">
        <v>98</v>
      </c>
      <c r="H226" s="118">
        <v>2087</v>
      </c>
      <c r="I226" s="118">
        <v>0</v>
      </c>
      <c r="K226" s="129" t="str">
        <f t="shared" si="22"/>
        <v>Partes relacionadas</v>
      </c>
      <c r="L226" s="118"/>
      <c r="M226" s="118"/>
      <c r="N226" s="118">
        <v>3606</v>
      </c>
      <c r="O226" s="118">
        <v>2086</v>
      </c>
      <c r="P226" s="118">
        <v>0</v>
      </c>
    </row>
    <row r="227" spans="1:16" x14ac:dyDescent="0.2">
      <c r="A227" t="s">
        <v>1424</v>
      </c>
      <c r="B227" t="s">
        <v>1425</v>
      </c>
      <c r="D227" s="126" t="str">
        <f>IF([1]RENAME!$H$3=1,B227,A227)</f>
        <v>Em 31 de março de 2019</v>
      </c>
      <c r="E227" s="207" t="s">
        <v>2190</v>
      </c>
      <c r="F227" s="207" t="s">
        <v>2190</v>
      </c>
      <c r="G227" s="120">
        <f>SUM(G219:G226)</f>
        <v>103876.01987307984</v>
      </c>
      <c r="H227" s="120">
        <f>SUM(H219:H226)</f>
        <v>108479.03331746631</v>
      </c>
      <c r="I227" s="120">
        <f>SUM(I219:I226)</f>
        <v>89477.450720462191</v>
      </c>
      <c r="K227" s="126" t="str">
        <f t="shared" si="22"/>
        <v>Em 31 de março de 2019</v>
      </c>
      <c r="L227" s="120"/>
      <c r="M227" s="120"/>
      <c r="N227" s="120">
        <f>SUM(N219:N226)</f>
        <v>85885.26439848372</v>
      </c>
      <c r="O227" s="120">
        <f>SUM(O219:O226)</f>
        <v>99558.183172642806</v>
      </c>
      <c r="P227" s="120">
        <f>SUM(P219:P226)</f>
        <v>89229.53132205116</v>
      </c>
    </row>
    <row r="228" spans="1:16" x14ac:dyDescent="0.2">
      <c r="A228" t="s">
        <v>16</v>
      </c>
      <c r="B228" t="s">
        <v>867</v>
      </c>
      <c r="D228" s="129" t="str">
        <f>IF([1]RENAME!$H$3=1,B228,A228)</f>
        <v>Empréstimos e financiamentos</v>
      </c>
      <c r="E228" s="118" t="s">
        <v>2190</v>
      </c>
      <c r="F228" s="118" t="s">
        <v>2190</v>
      </c>
      <c r="G228" s="118">
        <v>7410</v>
      </c>
      <c r="H228" s="118">
        <v>61386</v>
      </c>
      <c r="I228" s="118">
        <v>0</v>
      </c>
      <c r="K228" s="129" t="str">
        <f>D228</f>
        <v>Empréstimos e financiamentos</v>
      </c>
      <c r="L228" s="118"/>
      <c r="M228" s="118"/>
      <c r="N228" s="118">
        <v>7410</v>
      </c>
      <c r="O228" s="118">
        <v>61386</v>
      </c>
      <c r="P228" s="118">
        <v>0</v>
      </c>
    </row>
    <row r="229" spans="1:16" x14ac:dyDescent="0.2">
      <c r="A229" t="s">
        <v>23</v>
      </c>
      <c r="B229" t="s">
        <v>770</v>
      </c>
      <c r="D229" s="129" t="str">
        <f>IF([1]RENAME!$H$3=1,B229,A229)</f>
        <v>Debêntures</v>
      </c>
      <c r="E229" s="118" t="s">
        <v>2190</v>
      </c>
      <c r="F229" s="118" t="s">
        <v>2190</v>
      </c>
      <c r="G229" s="118">
        <v>52556</v>
      </c>
      <c r="H229" s="118">
        <v>28379</v>
      </c>
      <c r="I229" s="118">
        <v>26302</v>
      </c>
      <c r="K229" s="129" t="str">
        <f t="shared" ref="K229:K235" si="23">D229</f>
        <v>Debêntures</v>
      </c>
      <c r="L229" s="118"/>
      <c r="M229" s="118"/>
      <c r="N229" s="118">
        <v>52556</v>
      </c>
      <c r="O229" s="118">
        <v>28379</v>
      </c>
      <c r="P229" s="118">
        <v>26302</v>
      </c>
    </row>
    <row r="230" spans="1:16" x14ac:dyDescent="0.2">
      <c r="A230" t="s">
        <v>164</v>
      </c>
      <c r="B230" t="s">
        <v>667</v>
      </c>
      <c r="D230" s="129" t="str">
        <f>IF([1]RENAME!$H$3=1,B230,A230)</f>
        <v>Fornecedores e fretes a pagar</v>
      </c>
      <c r="E230" s="118" t="s">
        <v>2190</v>
      </c>
      <c r="F230" s="118" t="s">
        <v>2190</v>
      </c>
      <c r="G230" s="118">
        <v>36898</v>
      </c>
      <c r="H230" s="118">
        <v>0</v>
      </c>
      <c r="I230" s="118">
        <v>0</v>
      </c>
      <c r="K230" s="129" t="str">
        <f t="shared" si="23"/>
        <v>Fornecedores e fretes a pagar</v>
      </c>
      <c r="L230" s="118"/>
      <c r="M230" s="118"/>
      <c r="N230" s="118">
        <v>32774</v>
      </c>
      <c r="O230" s="118">
        <v>0</v>
      </c>
      <c r="P230" s="118">
        <v>0</v>
      </c>
    </row>
    <row r="231" spans="1:16" x14ac:dyDescent="0.2">
      <c r="A231" t="s">
        <v>24</v>
      </c>
      <c r="B231" t="s">
        <v>868</v>
      </c>
      <c r="D231" s="129" t="str">
        <f>IF([1]RENAME!$H$3=1,B231,A231)</f>
        <v>Demais contas a pagar</v>
      </c>
      <c r="E231" s="118" t="s">
        <v>2190</v>
      </c>
      <c r="F231" s="118" t="s">
        <v>2190</v>
      </c>
      <c r="G231" s="118">
        <v>0</v>
      </c>
      <c r="H231" s="118">
        <v>0</v>
      </c>
      <c r="I231" s="118">
        <v>0</v>
      </c>
      <c r="K231" s="129" t="str">
        <f t="shared" si="23"/>
        <v>Demais contas a pagar</v>
      </c>
      <c r="L231" s="118"/>
      <c r="M231" s="118"/>
      <c r="N231" s="118">
        <v>37990</v>
      </c>
      <c r="O231" s="118">
        <v>0</v>
      </c>
      <c r="P231" s="118">
        <v>0</v>
      </c>
    </row>
    <row r="232" spans="1:16" x14ac:dyDescent="0.2">
      <c r="A232" t="s">
        <v>1398</v>
      </c>
      <c r="B232" t="s">
        <v>1399</v>
      </c>
      <c r="D232" s="129" t="str">
        <f>IF([1]RENAME!$H$3=1,B232,A232)</f>
        <v>Instrumento financeiros derivativos</v>
      </c>
      <c r="E232" s="118" t="s">
        <v>2190</v>
      </c>
      <c r="F232" s="118" t="s">
        <v>2190</v>
      </c>
      <c r="G232" s="118">
        <v>0</v>
      </c>
      <c r="H232" s="118">
        <v>0</v>
      </c>
      <c r="I232" s="118">
        <v>0</v>
      </c>
      <c r="K232" s="129" t="str">
        <f t="shared" si="23"/>
        <v>Instrumento financeiros derivativos</v>
      </c>
      <c r="L232" s="118"/>
      <c r="M232" s="118"/>
      <c r="N232" s="118">
        <v>13833</v>
      </c>
      <c r="O232" s="118">
        <v>0</v>
      </c>
      <c r="P232" s="118">
        <v>0</v>
      </c>
    </row>
    <row r="233" spans="1:16" x14ac:dyDescent="0.2">
      <c r="A233" t="s">
        <v>566</v>
      </c>
      <c r="B233" t="s">
        <v>869</v>
      </c>
      <c r="D233" s="129" t="str">
        <f>IF([1]RENAME!$H$3=1,B233,A233)</f>
        <v>Dividendos a pagar</v>
      </c>
      <c r="E233" s="118" t="s">
        <v>2190</v>
      </c>
      <c r="F233" s="118" t="s">
        <v>2190</v>
      </c>
      <c r="G233" s="118">
        <v>0</v>
      </c>
      <c r="H233" s="118">
        <v>0</v>
      </c>
      <c r="I233" s="118">
        <v>0</v>
      </c>
      <c r="K233" s="129" t="str">
        <f t="shared" si="23"/>
        <v>Dividendos a pagar</v>
      </c>
      <c r="L233" s="118"/>
      <c r="M233" s="118"/>
      <c r="N233" s="118">
        <v>0</v>
      </c>
      <c r="O233" s="118">
        <v>0</v>
      </c>
      <c r="P233" s="118">
        <v>0</v>
      </c>
    </row>
    <row r="234" spans="1:16" x14ac:dyDescent="0.2">
      <c r="A234" t="s">
        <v>25</v>
      </c>
      <c r="B234" t="s">
        <v>1349</v>
      </c>
      <c r="D234" s="129" t="str">
        <f>IF([1]RENAME!$H$3=1,B234,A234)</f>
        <v>Partes relacionadas</v>
      </c>
      <c r="E234" s="118" t="s">
        <v>2190</v>
      </c>
      <c r="F234" s="118" t="s">
        <v>2190</v>
      </c>
      <c r="G234" s="118">
        <v>2311</v>
      </c>
      <c r="H234" s="118">
        <v>1958</v>
      </c>
      <c r="I234" s="118" t="s">
        <v>160</v>
      </c>
      <c r="K234" s="129" t="str">
        <f t="shared" si="23"/>
        <v>Partes relacionadas</v>
      </c>
      <c r="L234" s="118"/>
      <c r="M234" s="118"/>
      <c r="N234" s="118">
        <v>7869</v>
      </c>
      <c r="O234" s="118">
        <v>1958</v>
      </c>
      <c r="P234" s="118">
        <v>0</v>
      </c>
    </row>
    <row r="235" spans="1:16" x14ac:dyDescent="0.2">
      <c r="A235" t="s">
        <v>1488</v>
      </c>
      <c r="B235" t="s">
        <v>1517</v>
      </c>
      <c r="D235" s="126" t="str">
        <f>IF([1]RENAME!$H$3=1,B235,A235)</f>
        <v>Em 31 de dezembro de 2018</v>
      </c>
      <c r="E235" s="207" t="s">
        <v>2190</v>
      </c>
      <c r="F235" s="207" t="s">
        <v>2190</v>
      </c>
      <c r="G235" s="120">
        <f>SUM(G228:G234)</f>
        <v>99175</v>
      </c>
      <c r="H235" s="120">
        <f>SUM(H228:H234)</f>
        <v>91723</v>
      </c>
      <c r="I235" s="120">
        <f>SUM(I228:I234)</f>
        <v>26302</v>
      </c>
      <c r="K235" s="126" t="str">
        <f t="shared" si="23"/>
        <v>Em 31 de dezembro de 2018</v>
      </c>
      <c r="L235" s="120"/>
      <c r="M235" s="120"/>
      <c r="N235" s="120">
        <f>SUM(N228:N234)</f>
        <v>152432</v>
      </c>
      <c r="O235" s="120">
        <f>SUM(O228:O234)</f>
        <v>91723</v>
      </c>
      <c r="P235" s="120">
        <f>SUM(P228:P234)</f>
        <v>26302</v>
      </c>
    </row>
    <row r="236" spans="1:16" x14ac:dyDescent="0.2">
      <c r="A236" t="s">
        <v>16</v>
      </c>
      <c r="B236" t="s">
        <v>867</v>
      </c>
      <c r="D236" s="129" t="str">
        <f>IF([1]RENAME!$H$3=1,B236,A236)</f>
        <v>Empréstimos e financiamentos</v>
      </c>
      <c r="E236" s="118" t="s">
        <v>2190</v>
      </c>
      <c r="F236" s="118" t="s">
        <v>2190</v>
      </c>
      <c r="G236" s="118">
        <v>5702</v>
      </c>
      <c r="H236" s="118">
        <v>66820</v>
      </c>
      <c r="I236" s="118">
        <v>0</v>
      </c>
      <c r="K236" s="129" t="str">
        <f>D236</f>
        <v>Empréstimos e financiamentos</v>
      </c>
      <c r="L236" s="118"/>
      <c r="M236" s="118"/>
      <c r="N236" s="118">
        <v>5702</v>
      </c>
      <c r="O236" s="118">
        <v>66820</v>
      </c>
      <c r="P236" s="118">
        <v>0</v>
      </c>
    </row>
    <row r="237" spans="1:16" x14ac:dyDescent="0.2">
      <c r="A237" t="s">
        <v>23</v>
      </c>
      <c r="B237" t="s">
        <v>770</v>
      </c>
      <c r="D237" s="129" t="str">
        <f>IF([1]RENAME!$H$3=1,B237,A237)</f>
        <v>Debêntures</v>
      </c>
      <c r="E237" s="118" t="s">
        <v>2190</v>
      </c>
      <c r="F237" s="118" t="s">
        <v>2190</v>
      </c>
      <c r="G237" s="118">
        <v>52533</v>
      </c>
      <c r="H237" s="118">
        <v>29721</v>
      </c>
      <c r="I237" s="118">
        <v>27074</v>
      </c>
      <c r="K237" s="129" t="str">
        <f t="shared" ref="K237:K242" si="24">D237</f>
        <v>Debêntures</v>
      </c>
      <c r="L237" s="118"/>
      <c r="M237" s="118"/>
      <c r="N237" s="118">
        <v>52533</v>
      </c>
      <c r="O237" s="118">
        <v>29721</v>
      </c>
      <c r="P237" s="118">
        <v>27074</v>
      </c>
    </row>
    <row r="238" spans="1:16" x14ac:dyDescent="0.2">
      <c r="A238" t="s">
        <v>164</v>
      </c>
      <c r="B238" t="s">
        <v>667</v>
      </c>
      <c r="D238" s="129" t="str">
        <f>IF([1]RENAME!$H$3=1,B238,A238)</f>
        <v>Fornecedores e fretes a pagar</v>
      </c>
      <c r="E238" s="118" t="s">
        <v>2190</v>
      </c>
      <c r="F238" s="118" t="s">
        <v>2190</v>
      </c>
      <c r="G238" s="118">
        <v>27786</v>
      </c>
      <c r="H238" s="118">
        <v>0</v>
      </c>
      <c r="I238" s="118">
        <v>0</v>
      </c>
      <c r="K238" s="129" t="str">
        <f t="shared" si="24"/>
        <v>Fornecedores e fretes a pagar</v>
      </c>
      <c r="L238" s="118"/>
      <c r="M238" s="118"/>
      <c r="N238" s="118">
        <v>25294</v>
      </c>
      <c r="O238" s="118">
        <v>0</v>
      </c>
      <c r="P238" s="118">
        <v>0</v>
      </c>
    </row>
    <row r="239" spans="1:16" x14ac:dyDescent="0.2">
      <c r="A239" t="s">
        <v>24</v>
      </c>
      <c r="B239" t="s">
        <v>868</v>
      </c>
      <c r="D239" s="129" t="str">
        <f>IF([1]RENAME!$H$3=1,B239,A239)</f>
        <v>Demais contas a pagar</v>
      </c>
      <c r="E239" s="118" t="s">
        <v>2190</v>
      </c>
      <c r="F239" s="118" t="s">
        <v>2190</v>
      </c>
      <c r="G239" s="118">
        <v>26432</v>
      </c>
      <c r="H239" s="118">
        <v>0</v>
      </c>
      <c r="I239" s="118">
        <v>0</v>
      </c>
      <c r="K239" s="129" t="str">
        <f t="shared" si="24"/>
        <v>Demais contas a pagar</v>
      </c>
      <c r="L239" s="118"/>
      <c r="M239" s="118"/>
      <c r="N239" s="118">
        <v>18257</v>
      </c>
      <c r="O239" s="118">
        <v>0</v>
      </c>
      <c r="P239" s="118">
        <v>0</v>
      </c>
    </row>
    <row r="240" spans="1:16" x14ac:dyDescent="0.2">
      <c r="A240" t="s">
        <v>566</v>
      </c>
      <c r="B240" t="s">
        <v>869</v>
      </c>
      <c r="D240" s="129" t="str">
        <f>IF([1]RENAME!$H$3=1,B240,A240)</f>
        <v>Dividendos a pagar</v>
      </c>
      <c r="E240" s="118" t="s">
        <v>2190</v>
      </c>
      <c r="F240" s="118" t="s">
        <v>2190</v>
      </c>
      <c r="G240" s="118">
        <v>0</v>
      </c>
      <c r="H240" s="118">
        <v>0</v>
      </c>
      <c r="I240" s="118">
        <v>0</v>
      </c>
      <c r="K240" s="129" t="str">
        <f t="shared" si="24"/>
        <v>Dividendos a pagar</v>
      </c>
      <c r="L240" s="118"/>
      <c r="M240" s="118"/>
      <c r="N240" s="118">
        <v>0</v>
      </c>
      <c r="O240" s="118">
        <v>0</v>
      </c>
      <c r="P240" s="118">
        <v>0</v>
      </c>
    </row>
    <row r="241" spans="1:16" x14ac:dyDescent="0.2">
      <c r="A241" t="s">
        <v>25</v>
      </c>
      <c r="B241" t="s">
        <v>1349</v>
      </c>
      <c r="D241" s="129" t="str">
        <f>IF([1]RENAME!$H$3=1,B241,A241)</f>
        <v>Partes relacionadas</v>
      </c>
      <c r="E241" s="118" t="s">
        <v>2190</v>
      </c>
      <c r="F241" s="118" t="s">
        <v>2190</v>
      </c>
      <c r="G241" s="118">
        <v>1588</v>
      </c>
      <c r="H241" s="118">
        <v>1503</v>
      </c>
      <c r="I241" s="118" t="s">
        <v>160</v>
      </c>
      <c r="K241" s="129" t="str">
        <f t="shared" si="24"/>
        <v>Partes relacionadas</v>
      </c>
      <c r="L241" s="118"/>
      <c r="M241" s="118"/>
      <c r="N241" s="118">
        <v>7460</v>
      </c>
      <c r="O241" s="118">
        <v>1503</v>
      </c>
      <c r="P241" s="118">
        <v>0</v>
      </c>
    </row>
    <row r="242" spans="1:16" x14ac:dyDescent="0.2">
      <c r="A242" t="s">
        <v>1339</v>
      </c>
      <c r="B242" t="s">
        <v>1348</v>
      </c>
      <c r="D242" s="126" t="str">
        <f>IF([1]RENAME!$H$3=1,B242,A242)</f>
        <v>Em 30 de setembro de 2018</v>
      </c>
      <c r="E242" s="207" t="s">
        <v>2190</v>
      </c>
      <c r="F242" s="207" t="s">
        <v>2190</v>
      </c>
      <c r="G242" s="120">
        <f>SUM(G236:G241)</f>
        <v>114041</v>
      </c>
      <c r="H242" s="120">
        <f>SUM(H236:H241)</f>
        <v>98044</v>
      </c>
      <c r="I242" s="120">
        <f>SUM(I236:I241)</f>
        <v>27074</v>
      </c>
      <c r="K242" s="126" t="str">
        <f t="shared" si="24"/>
        <v>Em 30 de setembro de 2018</v>
      </c>
      <c r="L242" s="120"/>
      <c r="M242" s="120"/>
      <c r="N242" s="120">
        <f>SUM(N236:N241)</f>
        <v>109246</v>
      </c>
      <c r="O242" s="120">
        <f>SUM(O236:O241)</f>
        <v>98044</v>
      </c>
      <c r="P242" s="120">
        <f>SUM(P236:P241)</f>
        <v>27074</v>
      </c>
    </row>
    <row r="243" spans="1:16" x14ac:dyDescent="0.2">
      <c r="A243" t="s">
        <v>16</v>
      </c>
      <c r="B243" t="s">
        <v>867</v>
      </c>
      <c r="D243" s="129" t="str">
        <f>IF([1]RENAME!$H$3=1,B243,A243)</f>
        <v>Empréstimos e financiamentos</v>
      </c>
      <c r="E243" s="118" t="s">
        <v>2190</v>
      </c>
      <c r="F243" s="118" t="s">
        <v>2190</v>
      </c>
      <c r="G243" s="118">
        <v>47473</v>
      </c>
      <c r="H243" s="118">
        <v>7114</v>
      </c>
      <c r="I243" s="118">
        <v>0</v>
      </c>
      <c r="K243" s="129" t="str">
        <f>D243</f>
        <v>Empréstimos e financiamentos</v>
      </c>
      <c r="L243" s="118"/>
      <c r="M243" s="118"/>
      <c r="N243" s="118">
        <v>47473</v>
      </c>
      <c r="O243" s="118">
        <v>7114</v>
      </c>
      <c r="P243" s="118">
        <v>0</v>
      </c>
    </row>
    <row r="244" spans="1:16" x14ac:dyDescent="0.2">
      <c r="A244" t="s">
        <v>23</v>
      </c>
      <c r="B244" t="s">
        <v>770</v>
      </c>
      <c r="D244" s="129" t="str">
        <f>IF([1]RENAME!$H$3=1,B244,A244)</f>
        <v>Debêntures</v>
      </c>
      <c r="E244" s="118" t="s">
        <v>2190</v>
      </c>
      <c r="F244" s="118" t="s">
        <v>2190</v>
      </c>
      <c r="G244" s="118">
        <v>54245</v>
      </c>
      <c r="H244" s="118">
        <v>2120</v>
      </c>
      <c r="I244" s="118">
        <v>54675</v>
      </c>
      <c r="K244" s="129" t="str">
        <f t="shared" ref="K244:K249" si="25">D244</f>
        <v>Debêntures</v>
      </c>
      <c r="L244" s="118"/>
      <c r="M244" s="118"/>
      <c r="N244" s="118">
        <v>54245</v>
      </c>
      <c r="O244" s="118">
        <v>2120</v>
      </c>
      <c r="P244" s="118">
        <v>54675</v>
      </c>
    </row>
    <row r="245" spans="1:16" x14ac:dyDescent="0.2">
      <c r="A245" t="s">
        <v>164</v>
      </c>
      <c r="B245" t="s">
        <v>667</v>
      </c>
      <c r="D245" s="129" t="str">
        <f>IF([1]RENAME!$H$3=1,B245,A245)</f>
        <v>Fornecedores e fretes a pagar</v>
      </c>
      <c r="E245" s="118" t="s">
        <v>2190</v>
      </c>
      <c r="F245" s="118" t="s">
        <v>2190</v>
      </c>
      <c r="G245" s="118">
        <v>24553</v>
      </c>
      <c r="H245" s="118">
        <v>0</v>
      </c>
      <c r="I245" s="118">
        <v>0</v>
      </c>
      <c r="K245" s="129" t="str">
        <f t="shared" si="25"/>
        <v>Fornecedores e fretes a pagar</v>
      </c>
      <c r="L245" s="118"/>
      <c r="M245" s="118"/>
      <c r="N245" s="118">
        <v>22834</v>
      </c>
      <c r="O245" s="118">
        <v>0</v>
      </c>
      <c r="P245" s="118">
        <v>0</v>
      </c>
    </row>
    <row r="246" spans="1:16" x14ac:dyDescent="0.2">
      <c r="A246" t="s">
        <v>24</v>
      </c>
      <c r="B246" t="s">
        <v>868</v>
      </c>
      <c r="D246" s="129" t="str">
        <f>IF([1]RENAME!$H$3=1,B246,A246)</f>
        <v>Demais contas a pagar</v>
      </c>
      <c r="E246" s="118" t="s">
        <v>2190</v>
      </c>
      <c r="F246" s="118" t="s">
        <v>2190</v>
      </c>
      <c r="G246" s="118">
        <v>22510</v>
      </c>
      <c r="H246" s="118">
        <v>0</v>
      </c>
      <c r="I246" s="118">
        <v>0</v>
      </c>
      <c r="K246" s="129" t="str">
        <f t="shared" si="25"/>
        <v>Demais contas a pagar</v>
      </c>
      <c r="L246" s="118"/>
      <c r="M246" s="118"/>
      <c r="N246" s="118">
        <v>16473</v>
      </c>
      <c r="O246" s="118">
        <v>0</v>
      </c>
      <c r="P246" s="118">
        <v>0</v>
      </c>
    </row>
    <row r="247" spans="1:16" x14ac:dyDescent="0.2">
      <c r="A247" t="s">
        <v>566</v>
      </c>
      <c r="B247" t="s">
        <v>869</v>
      </c>
      <c r="D247" s="129" t="str">
        <f>IF([1]RENAME!$H$3=1,B247,A247)</f>
        <v>Dividendos a pagar</v>
      </c>
      <c r="E247" s="118" t="s">
        <v>2190</v>
      </c>
      <c r="F247" s="118" t="s">
        <v>2190</v>
      </c>
      <c r="G247" s="118">
        <v>0</v>
      </c>
      <c r="H247" s="118">
        <v>0</v>
      </c>
      <c r="I247" s="118">
        <v>0</v>
      </c>
      <c r="K247" s="129" t="str">
        <f t="shared" si="25"/>
        <v>Dividendos a pagar</v>
      </c>
      <c r="L247" s="118"/>
      <c r="M247" s="118"/>
      <c r="N247" s="118">
        <v>0</v>
      </c>
      <c r="O247" s="118">
        <v>0</v>
      </c>
      <c r="P247" s="118">
        <v>0</v>
      </c>
    </row>
    <row r="248" spans="1:16" x14ac:dyDescent="0.2">
      <c r="A248" t="s">
        <v>25</v>
      </c>
      <c r="B248" t="s">
        <v>1349</v>
      </c>
      <c r="D248" s="129" t="str">
        <f>IF([1]RENAME!$H$3=1,B248,A248)</f>
        <v>Partes relacionadas</v>
      </c>
      <c r="E248" s="118" t="s">
        <v>2190</v>
      </c>
      <c r="F248" s="118" t="s">
        <v>2190</v>
      </c>
      <c r="G248" s="118">
        <v>784</v>
      </c>
      <c r="H248" s="118">
        <v>1042</v>
      </c>
      <c r="I248" s="118" t="s">
        <v>160</v>
      </c>
      <c r="K248" s="129" t="str">
        <f t="shared" si="25"/>
        <v>Partes relacionadas</v>
      </c>
      <c r="L248" s="118"/>
      <c r="M248" s="118"/>
      <c r="N248" s="118">
        <v>6457</v>
      </c>
      <c r="O248" s="118">
        <v>1042</v>
      </c>
      <c r="P248" s="118">
        <v>0</v>
      </c>
    </row>
    <row r="249" spans="1:16" x14ac:dyDescent="0.2">
      <c r="A249" t="s">
        <v>1306</v>
      </c>
      <c r="B249" t="s">
        <v>1350</v>
      </c>
      <c r="D249" s="126" t="str">
        <f>IF([1]RENAME!$H$3=1,B249,A249)</f>
        <v>Em 30 de junho de 2018</v>
      </c>
      <c r="E249" s="207" t="s">
        <v>2190</v>
      </c>
      <c r="F249" s="207" t="s">
        <v>2190</v>
      </c>
      <c r="G249" s="120">
        <f>SUM(G243:G248)</f>
        <v>149565</v>
      </c>
      <c r="H249" s="120">
        <f>SUM(H243:H248)</f>
        <v>10276</v>
      </c>
      <c r="I249" s="120">
        <f>SUM(I243:I248)</f>
        <v>54675</v>
      </c>
      <c r="K249" s="126" t="str">
        <f t="shared" si="25"/>
        <v>Em 30 de junho de 2018</v>
      </c>
      <c r="L249" s="120"/>
      <c r="M249" s="120"/>
      <c r="N249" s="120">
        <f>SUM(N243:N248)</f>
        <v>147482</v>
      </c>
      <c r="O249" s="120">
        <f>SUM(O243:O248)</f>
        <v>10276</v>
      </c>
      <c r="P249" s="120">
        <f>SUM(P243:P248)</f>
        <v>54675</v>
      </c>
    </row>
    <row r="250" spans="1:16" x14ac:dyDescent="0.2">
      <c r="A250" t="s">
        <v>16</v>
      </c>
      <c r="B250" t="s">
        <v>867</v>
      </c>
      <c r="D250" s="129" t="str">
        <f>IF([1]RENAME!$H$3=1,B250,A250)</f>
        <v>Empréstimos e financiamentos</v>
      </c>
      <c r="E250" s="118" t="s">
        <v>2190</v>
      </c>
      <c r="F250" s="118" t="s">
        <v>2190</v>
      </c>
      <c r="G250" s="118">
        <v>5434</v>
      </c>
      <c r="H250" s="118">
        <v>49462</v>
      </c>
      <c r="I250" s="118">
        <v>5807</v>
      </c>
      <c r="K250" s="129" t="str">
        <f>D250</f>
        <v>Empréstimos e financiamentos</v>
      </c>
      <c r="L250" s="118"/>
      <c r="M250" s="118"/>
      <c r="N250" s="118">
        <v>4152</v>
      </c>
      <c r="O250" s="118">
        <v>48228</v>
      </c>
      <c r="P250" s="118">
        <v>3478</v>
      </c>
    </row>
    <row r="251" spans="1:16" x14ac:dyDescent="0.2">
      <c r="A251" t="s">
        <v>23</v>
      </c>
      <c r="B251" t="s">
        <v>770</v>
      </c>
      <c r="D251" s="129" t="str">
        <f>IF([1]RENAME!$H$3=1,B251,A251)</f>
        <v>Debêntures</v>
      </c>
      <c r="E251" s="118" t="s">
        <v>2190</v>
      </c>
      <c r="F251" s="118" t="s">
        <v>2190</v>
      </c>
      <c r="G251" s="118">
        <v>55291</v>
      </c>
      <c r="H251" s="118">
        <v>4173</v>
      </c>
      <c r="I251" s="118">
        <v>54675</v>
      </c>
      <c r="K251" s="129" t="str">
        <f t="shared" ref="K251:K256" si="26">D251</f>
        <v>Debêntures</v>
      </c>
      <c r="L251" s="118"/>
      <c r="M251" s="118"/>
      <c r="N251" s="118">
        <v>55291</v>
      </c>
      <c r="O251" s="118">
        <v>4173</v>
      </c>
      <c r="P251" s="118">
        <v>54675</v>
      </c>
    </row>
    <row r="252" spans="1:16" x14ac:dyDescent="0.2">
      <c r="A252" t="s">
        <v>164</v>
      </c>
      <c r="B252" t="s">
        <v>667</v>
      </c>
      <c r="D252" s="129" t="str">
        <f>IF([1]RENAME!$H$3=1,B252,A252)</f>
        <v>Fornecedores e fretes a pagar</v>
      </c>
      <c r="E252" s="118" t="s">
        <v>2190</v>
      </c>
      <c r="F252" s="118" t="s">
        <v>2190</v>
      </c>
      <c r="G252" s="118">
        <v>28016</v>
      </c>
      <c r="H252" s="118">
        <v>0</v>
      </c>
      <c r="I252" s="118">
        <v>0</v>
      </c>
      <c r="K252" s="129" t="str">
        <f t="shared" si="26"/>
        <v>Fornecedores e fretes a pagar</v>
      </c>
      <c r="L252" s="118"/>
      <c r="M252" s="118"/>
      <c r="N252" s="118">
        <v>25222</v>
      </c>
      <c r="O252" s="118">
        <v>0</v>
      </c>
      <c r="P252" s="118">
        <v>0</v>
      </c>
    </row>
    <row r="253" spans="1:16" x14ac:dyDescent="0.2">
      <c r="A253" t="s">
        <v>24</v>
      </c>
      <c r="B253" t="s">
        <v>868</v>
      </c>
      <c r="D253" s="129" t="str">
        <f>IF([1]RENAME!$H$3=1,B253,A253)</f>
        <v>Demais contas a pagar</v>
      </c>
      <c r="E253" s="118" t="s">
        <v>2190</v>
      </c>
      <c r="F253" s="118" t="s">
        <v>2190</v>
      </c>
      <c r="G253" s="118">
        <v>22736</v>
      </c>
      <c r="H253" s="118">
        <v>0</v>
      </c>
      <c r="I253" s="118">
        <v>0</v>
      </c>
      <c r="K253" s="129" t="str">
        <f t="shared" si="26"/>
        <v>Demais contas a pagar</v>
      </c>
      <c r="L253" s="118"/>
      <c r="M253" s="118"/>
      <c r="N253" s="118">
        <v>18132</v>
      </c>
      <c r="O253" s="118">
        <v>0</v>
      </c>
      <c r="P253" s="118">
        <v>0</v>
      </c>
    </row>
    <row r="254" spans="1:16" x14ac:dyDescent="0.2">
      <c r="A254" t="s">
        <v>566</v>
      </c>
      <c r="B254" t="s">
        <v>869</v>
      </c>
      <c r="D254" s="129" t="str">
        <f>IF([1]RENAME!$H$3=1,B254,A254)</f>
        <v>Dividendos a pagar</v>
      </c>
      <c r="E254" s="118" t="s">
        <v>2190</v>
      </c>
      <c r="F254" s="118" t="s">
        <v>2190</v>
      </c>
      <c r="G254" s="118">
        <v>3128</v>
      </c>
      <c r="H254" s="118">
        <v>0</v>
      </c>
      <c r="I254" s="118">
        <v>0</v>
      </c>
      <c r="K254" s="129" t="str">
        <f t="shared" si="26"/>
        <v>Dividendos a pagar</v>
      </c>
      <c r="L254" s="118"/>
      <c r="M254" s="118"/>
      <c r="N254" s="118">
        <v>3128</v>
      </c>
      <c r="O254" s="118">
        <v>0</v>
      </c>
      <c r="P254" s="118">
        <v>0</v>
      </c>
    </row>
    <row r="255" spans="1:16" x14ac:dyDescent="0.2">
      <c r="A255" t="s">
        <v>25</v>
      </c>
      <c r="B255" t="s">
        <v>1349</v>
      </c>
      <c r="D255" s="129" t="str">
        <f>IF([1]RENAME!$H$3=1,B255,A255)</f>
        <v>Partes relacionadas</v>
      </c>
      <c r="E255" s="118" t="s">
        <v>2190</v>
      </c>
      <c r="F255" s="118" t="s">
        <v>2190</v>
      </c>
      <c r="G255" s="118">
        <v>812</v>
      </c>
      <c r="H255" s="118">
        <v>0</v>
      </c>
      <c r="I255" s="118">
        <v>0</v>
      </c>
      <c r="K255" s="129" t="str">
        <f t="shared" si="26"/>
        <v>Partes relacionadas</v>
      </c>
      <c r="L255" s="118"/>
      <c r="M255" s="118"/>
      <c r="N255" s="118">
        <v>7011</v>
      </c>
      <c r="O255" s="118">
        <v>0</v>
      </c>
      <c r="P255" s="118">
        <v>0</v>
      </c>
    </row>
    <row r="256" spans="1:16" x14ac:dyDescent="0.2">
      <c r="A256" t="s">
        <v>1289</v>
      </c>
      <c r="B256" t="s">
        <v>1351</v>
      </c>
      <c r="D256" s="126" t="str">
        <f>IF([1]RENAME!$H$3=1,B256,A256)</f>
        <v>Em 30 de março de 2018</v>
      </c>
      <c r="E256" s="207" t="s">
        <v>2190</v>
      </c>
      <c r="F256" s="207" t="s">
        <v>2190</v>
      </c>
      <c r="G256" s="120">
        <f>SUM(G250:G255)</f>
        <v>115417</v>
      </c>
      <c r="H256" s="120">
        <f>SUM(H250:H255)</f>
        <v>53635</v>
      </c>
      <c r="I256" s="120">
        <f>SUM(I250:I255)</f>
        <v>60482</v>
      </c>
      <c r="K256" s="126" t="str">
        <f t="shared" si="26"/>
        <v>Em 30 de março de 2018</v>
      </c>
      <c r="L256" s="120"/>
      <c r="M256" s="120"/>
      <c r="N256" s="120">
        <f>SUM(N250:N255)</f>
        <v>112936</v>
      </c>
      <c r="O256" s="120">
        <f>SUM(O250:O255)</f>
        <v>52401</v>
      </c>
      <c r="P256" s="120">
        <f>SUM(P250:P255)</f>
        <v>58153</v>
      </c>
    </row>
    <row r="257" spans="1:16" x14ac:dyDescent="0.2">
      <c r="A257" t="s">
        <v>16</v>
      </c>
      <c r="B257" t="s">
        <v>867</v>
      </c>
      <c r="D257" s="129" t="str">
        <f>IF([1]RENAME!$H$3=1,B257,A257)</f>
        <v>Empréstimos e financiamentos</v>
      </c>
      <c r="E257" s="118" t="s">
        <v>2190</v>
      </c>
      <c r="F257" s="118" t="s">
        <v>2190</v>
      </c>
      <c r="G257" s="118">
        <v>5552</v>
      </c>
      <c r="H257" s="118">
        <v>50401</v>
      </c>
      <c r="I257" s="118">
        <v>6118</v>
      </c>
      <c r="K257" s="129" t="str">
        <f>D257</f>
        <v>Empréstimos e financiamentos</v>
      </c>
      <c r="L257" s="118"/>
      <c r="M257" s="118"/>
      <c r="N257" s="118">
        <v>4513</v>
      </c>
      <c r="O257" s="118">
        <v>49155</v>
      </c>
      <c r="P257" s="118">
        <v>3486</v>
      </c>
    </row>
    <row r="258" spans="1:16" x14ac:dyDescent="0.2">
      <c r="A258" t="s">
        <v>23</v>
      </c>
      <c r="B258" t="s">
        <v>770</v>
      </c>
      <c r="D258" s="129" t="str">
        <f>IF([1]RENAME!$H$3=1,B258,A258)</f>
        <v>Debêntures</v>
      </c>
      <c r="E258" s="118" t="s">
        <v>2190</v>
      </c>
      <c r="F258" s="118" t="s">
        <v>2190</v>
      </c>
      <c r="G258" s="118">
        <v>78591</v>
      </c>
      <c r="H258" s="118">
        <v>52908</v>
      </c>
      <c r="I258" s="118">
        <v>54949</v>
      </c>
      <c r="K258" s="129" t="str">
        <f t="shared" ref="K258:K320" si="27">D258</f>
        <v>Debêntures</v>
      </c>
      <c r="L258" s="118"/>
      <c r="M258" s="118"/>
      <c r="N258" s="118">
        <v>78591</v>
      </c>
      <c r="O258" s="118">
        <v>52908</v>
      </c>
      <c r="P258" s="118">
        <v>54949</v>
      </c>
    </row>
    <row r="259" spans="1:16" x14ac:dyDescent="0.2">
      <c r="A259" t="s">
        <v>164</v>
      </c>
      <c r="B259" t="s">
        <v>667</v>
      </c>
      <c r="D259" s="129" t="str">
        <f>IF([1]RENAME!$H$3=1,B259,A259)</f>
        <v>Fornecedores e fretes a pagar</v>
      </c>
      <c r="E259" s="118" t="s">
        <v>2190</v>
      </c>
      <c r="F259" s="118" t="s">
        <v>2190</v>
      </c>
      <c r="G259" s="118">
        <v>32237</v>
      </c>
      <c r="H259" s="118">
        <v>0</v>
      </c>
      <c r="I259" s="118">
        <v>0</v>
      </c>
      <c r="K259" s="129" t="str">
        <f t="shared" si="27"/>
        <v>Fornecedores e fretes a pagar</v>
      </c>
      <c r="L259" s="118"/>
      <c r="M259" s="118"/>
      <c r="N259" s="118">
        <v>29406</v>
      </c>
      <c r="O259" s="118">
        <v>0</v>
      </c>
      <c r="P259" s="118">
        <v>0</v>
      </c>
    </row>
    <row r="260" spans="1:16" x14ac:dyDescent="0.2">
      <c r="A260" t="s">
        <v>24</v>
      </c>
      <c r="B260" t="s">
        <v>868</v>
      </c>
      <c r="D260" s="129" t="str">
        <f>IF([1]RENAME!$H$3=1,B260,A260)</f>
        <v>Demais contas a pagar</v>
      </c>
      <c r="E260" s="118" t="s">
        <v>2190</v>
      </c>
      <c r="F260" s="118" t="s">
        <v>2190</v>
      </c>
      <c r="G260" s="118">
        <v>26067</v>
      </c>
      <c r="H260" s="118">
        <v>0</v>
      </c>
      <c r="I260" s="118">
        <v>0</v>
      </c>
      <c r="K260" s="129" t="str">
        <f t="shared" si="27"/>
        <v>Demais contas a pagar</v>
      </c>
      <c r="L260" s="118"/>
      <c r="M260" s="118"/>
      <c r="N260" s="118">
        <v>20320</v>
      </c>
      <c r="O260" s="118">
        <v>0</v>
      </c>
      <c r="P260" s="118">
        <v>0</v>
      </c>
    </row>
    <row r="261" spans="1:16" x14ac:dyDescent="0.2">
      <c r="A261" t="s">
        <v>566</v>
      </c>
      <c r="B261" t="s">
        <v>869</v>
      </c>
      <c r="D261" s="129" t="str">
        <f>IF([1]RENAME!$H$3=1,B261,A261)</f>
        <v>Dividendos a pagar</v>
      </c>
      <c r="E261" s="118" t="s">
        <v>2190</v>
      </c>
      <c r="F261" s="118" t="s">
        <v>2190</v>
      </c>
      <c r="G261" s="118">
        <v>3128</v>
      </c>
      <c r="H261" s="118">
        <v>0</v>
      </c>
      <c r="I261" s="118">
        <v>0</v>
      </c>
      <c r="K261" s="129" t="str">
        <f t="shared" si="27"/>
        <v>Dividendos a pagar</v>
      </c>
      <c r="L261" s="118"/>
      <c r="M261" s="118"/>
      <c r="N261" s="118">
        <v>3128</v>
      </c>
      <c r="O261" s="118">
        <v>0</v>
      </c>
      <c r="P261" s="118">
        <v>0</v>
      </c>
    </row>
    <row r="262" spans="1:16" x14ac:dyDescent="0.2">
      <c r="A262" t="s">
        <v>25</v>
      </c>
      <c r="B262" t="s">
        <v>1349</v>
      </c>
      <c r="D262" s="129" t="str">
        <f>IF([1]RENAME!$H$3=1,B262,A262)</f>
        <v>Partes relacionadas</v>
      </c>
      <c r="E262" s="118" t="s">
        <v>2190</v>
      </c>
      <c r="F262" s="118" t="s">
        <v>2190</v>
      </c>
      <c r="G262" s="118">
        <v>826</v>
      </c>
      <c r="H262" s="118">
        <v>0</v>
      </c>
      <c r="I262" s="118">
        <v>0</v>
      </c>
      <c r="K262" s="129" t="str">
        <f t="shared" si="27"/>
        <v>Partes relacionadas</v>
      </c>
      <c r="L262" s="118"/>
      <c r="M262" s="118"/>
      <c r="N262" s="118">
        <v>1297</v>
      </c>
      <c r="O262" s="118">
        <v>0</v>
      </c>
      <c r="P262" s="118">
        <v>0</v>
      </c>
    </row>
    <row r="263" spans="1:16" x14ac:dyDescent="0.2">
      <c r="A263" t="s">
        <v>1167</v>
      </c>
      <c r="B263" t="s">
        <v>1352</v>
      </c>
      <c r="D263" s="126" t="str">
        <f>IF([1]RENAME!$H$3=1,B263,A263)</f>
        <v>Em 30 de dezembro de 2017</v>
      </c>
      <c r="E263" s="207" t="s">
        <v>2190</v>
      </c>
      <c r="F263" s="207" t="s">
        <v>2190</v>
      </c>
      <c r="G263" s="120">
        <f>SUM(G257:G262)</f>
        <v>146401</v>
      </c>
      <c r="H263" s="120">
        <f>SUM(H257:H262)</f>
        <v>103309</v>
      </c>
      <c r="I263" s="120">
        <f>SUM(I257:I262)</f>
        <v>61067</v>
      </c>
      <c r="K263" s="126" t="str">
        <f t="shared" si="27"/>
        <v>Em 30 de dezembro de 2017</v>
      </c>
      <c r="L263" s="120"/>
      <c r="M263" s="120"/>
      <c r="N263" s="120">
        <f>SUM(N257:N262)</f>
        <v>137255</v>
      </c>
      <c r="O263" s="120">
        <f>SUM(O257:O262)</f>
        <v>102063</v>
      </c>
      <c r="P263" s="120">
        <f>SUM(P257:P262)</f>
        <v>58435</v>
      </c>
    </row>
    <row r="264" spans="1:16" x14ac:dyDescent="0.2">
      <c r="A264" t="s">
        <v>16</v>
      </c>
      <c r="B264" t="s">
        <v>867</v>
      </c>
      <c r="D264" s="129" t="s">
        <v>16</v>
      </c>
      <c r="E264" s="118" t="s">
        <v>2190</v>
      </c>
      <c r="F264" s="118" t="s">
        <v>2190</v>
      </c>
      <c r="G264" s="118">
        <v>5749.8968440162789</v>
      </c>
      <c r="H264" s="118">
        <v>48755.824826898111</v>
      </c>
      <c r="I264" s="118">
        <v>10039.639121399066</v>
      </c>
      <c r="K264" s="129" t="s">
        <v>16</v>
      </c>
      <c r="L264" s="118"/>
      <c r="M264" s="118"/>
      <c r="N264" s="118">
        <v>5058.1188241579403</v>
      </c>
      <c r="O264" s="118">
        <v>47495.633562386676</v>
      </c>
      <c r="P264" s="118">
        <v>6999.4209869006991</v>
      </c>
    </row>
    <row r="265" spans="1:16" x14ac:dyDescent="0.2">
      <c r="A265" t="s">
        <v>23</v>
      </c>
      <c r="B265" t="s">
        <v>770</v>
      </c>
      <c r="D265" s="129" t="s">
        <v>23</v>
      </c>
      <c r="E265" s="118" t="s">
        <v>2190</v>
      </c>
      <c r="F265" s="118" t="s">
        <v>2190</v>
      </c>
      <c r="G265" s="118">
        <v>77363.945685988001</v>
      </c>
      <c r="H265" s="118">
        <v>53758.682839744004</v>
      </c>
      <c r="I265" s="118">
        <v>58184.243896650005</v>
      </c>
      <c r="K265" s="129" t="s">
        <v>23</v>
      </c>
      <c r="L265" s="118"/>
      <c r="M265" s="118"/>
      <c r="N265" s="118">
        <v>77363.945685988001</v>
      </c>
      <c r="O265" s="118">
        <v>53758.682839744004</v>
      </c>
      <c r="P265" s="118">
        <v>0</v>
      </c>
    </row>
    <row r="266" spans="1:16" x14ac:dyDescent="0.2">
      <c r="A266" t="s">
        <v>164</v>
      </c>
      <c r="B266" t="s">
        <v>667</v>
      </c>
      <c r="D266" s="129" t="s">
        <v>164</v>
      </c>
      <c r="E266" s="118" t="s">
        <v>2190</v>
      </c>
      <c r="F266" s="118" t="s">
        <v>2190</v>
      </c>
      <c r="G266" s="118">
        <v>26706</v>
      </c>
      <c r="H266" s="118">
        <v>0</v>
      </c>
      <c r="I266" s="118">
        <v>0</v>
      </c>
      <c r="K266" s="129" t="s">
        <v>164</v>
      </c>
      <c r="L266" s="118"/>
      <c r="M266" s="118"/>
      <c r="N266" s="118">
        <v>24179</v>
      </c>
      <c r="O266" s="118">
        <v>0</v>
      </c>
      <c r="P266" s="118">
        <v>0</v>
      </c>
    </row>
    <row r="267" spans="1:16" x14ac:dyDescent="0.2">
      <c r="A267" t="s">
        <v>24</v>
      </c>
      <c r="B267" t="s">
        <v>868</v>
      </c>
      <c r="D267" s="129" t="s">
        <v>24</v>
      </c>
      <c r="E267" s="118" t="s">
        <v>2190</v>
      </c>
      <c r="F267" s="118" t="s">
        <v>2190</v>
      </c>
      <c r="G267" s="118">
        <v>20787</v>
      </c>
      <c r="H267" s="118">
        <v>0</v>
      </c>
      <c r="I267" s="118">
        <v>0</v>
      </c>
      <c r="K267" s="129" t="s">
        <v>24</v>
      </c>
      <c r="L267" s="118"/>
      <c r="M267" s="118"/>
      <c r="N267" s="118">
        <v>15389</v>
      </c>
      <c r="O267" s="118">
        <v>0</v>
      </c>
      <c r="P267" s="118">
        <v>0</v>
      </c>
    </row>
    <row r="268" spans="1:16" x14ac:dyDescent="0.2">
      <c r="A268" t="s">
        <v>573</v>
      </c>
      <c r="B268" t="s">
        <v>869</v>
      </c>
      <c r="D268" s="129" t="s">
        <v>573</v>
      </c>
      <c r="E268" s="118" t="s">
        <v>2190</v>
      </c>
      <c r="F268" s="118" t="s">
        <v>2190</v>
      </c>
      <c r="G268" s="118">
        <v>0</v>
      </c>
      <c r="H268" s="118">
        <v>0</v>
      </c>
      <c r="I268" s="118">
        <v>0</v>
      </c>
      <c r="K268" s="129" t="s">
        <v>573</v>
      </c>
      <c r="L268" s="118"/>
      <c r="M268" s="118"/>
      <c r="N268" s="118">
        <v>0</v>
      </c>
      <c r="O268" s="118">
        <v>0</v>
      </c>
      <c r="P268" s="118">
        <v>0</v>
      </c>
    </row>
    <row r="269" spans="1:16" x14ac:dyDescent="0.2">
      <c r="A269" t="s">
        <v>566</v>
      </c>
      <c r="B269" t="s">
        <v>869</v>
      </c>
      <c r="D269" s="129" t="s">
        <v>566</v>
      </c>
      <c r="E269" s="118" t="s">
        <v>2190</v>
      </c>
      <c r="F269" s="118" t="s">
        <v>2190</v>
      </c>
      <c r="G269" s="118">
        <v>0</v>
      </c>
      <c r="H269" s="118">
        <v>0</v>
      </c>
      <c r="I269" s="118">
        <v>0</v>
      </c>
      <c r="K269" s="129" t="s">
        <v>566</v>
      </c>
      <c r="L269" s="118"/>
      <c r="M269" s="118"/>
      <c r="N269" s="118">
        <v>0</v>
      </c>
      <c r="O269" s="118">
        <v>0</v>
      </c>
      <c r="P269" s="118">
        <v>0</v>
      </c>
    </row>
    <row r="270" spans="1:16" x14ac:dyDescent="0.2">
      <c r="A270" t="s">
        <v>25</v>
      </c>
      <c r="B270" t="s">
        <v>1349</v>
      </c>
      <c r="D270" s="129" t="s">
        <v>25</v>
      </c>
      <c r="E270" s="118" t="s">
        <v>2190</v>
      </c>
      <c r="F270" s="118" t="s">
        <v>2190</v>
      </c>
      <c r="G270" s="118">
        <v>826</v>
      </c>
      <c r="H270" s="118">
        <v>0</v>
      </c>
      <c r="I270" s="118">
        <v>0</v>
      </c>
      <c r="K270" s="129" t="s">
        <v>25</v>
      </c>
      <c r="L270" s="118"/>
      <c r="M270" s="118"/>
      <c r="N270" s="118">
        <v>15068</v>
      </c>
      <c r="O270" s="118">
        <v>0</v>
      </c>
      <c r="P270" s="118">
        <v>0</v>
      </c>
    </row>
    <row r="271" spans="1:16" x14ac:dyDescent="0.2">
      <c r="A271" t="s">
        <v>598</v>
      </c>
      <c r="B271" t="s">
        <v>1353</v>
      </c>
      <c r="D271" s="126" t="s">
        <v>598</v>
      </c>
      <c r="E271" s="207" t="s">
        <v>2190</v>
      </c>
      <c r="F271" s="207" t="s">
        <v>2190</v>
      </c>
      <c r="G271" s="120">
        <v>131432.84253000427</v>
      </c>
      <c r="H271" s="120">
        <v>102514.50766664211</v>
      </c>
      <c r="I271" s="120">
        <v>68223.883018049077</v>
      </c>
      <c r="K271" s="126" t="s">
        <v>598</v>
      </c>
      <c r="L271" s="120"/>
      <c r="M271" s="120"/>
      <c r="N271" s="120">
        <v>137058.06451014592</v>
      </c>
      <c r="O271" s="120">
        <v>101254.31640213067</v>
      </c>
      <c r="P271" s="120">
        <v>6999.4209869006991</v>
      </c>
    </row>
    <row r="272" spans="1:16" x14ac:dyDescent="0.2">
      <c r="A272" t="s">
        <v>16</v>
      </c>
      <c r="B272" t="s">
        <v>870</v>
      </c>
      <c r="D272" s="129" t="str">
        <f>IF([1]RENAME!$H$3=1,B272,A272)</f>
        <v>Empréstimos e financiamentos</v>
      </c>
      <c r="E272" s="118" t="s">
        <v>2190</v>
      </c>
      <c r="F272" s="118" t="s">
        <v>2190</v>
      </c>
      <c r="G272" s="118">
        <v>7175.2015286857295</v>
      </c>
      <c r="H272" s="118">
        <v>50616.114076211648</v>
      </c>
      <c r="I272" s="118">
        <v>10698.597012035214</v>
      </c>
      <c r="K272" s="129" t="str">
        <f t="shared" si="27"/>
        <v>Empréstimos e financiamentos</v>
      </c>
      <c r="L272" s="118"/>
      <c r="M272" s="118"/>
      <c r="N272" s="118">
        <v>6544.4125176342641</v>
      </c>
      <c r="O272" s="118">
        <v>49206</v>
      </c>
      <c r="P272" s="118">
        <v>7278.6670000000004</v>
      </c>
    </row>
    <row r="273" spans="1:16" x14ac:dyDescent="0.2">
      <c r="A273" t="s">
        <v>23</v>
      </c>
      <c r="B273" t="s">
        <v>867</v>
      </c>
      <c r="D273" s="129" t="str">
        <f>IF([1]RENAME!$H$3=1,B273,A273)</f>
        <v>Debêntures</v>
      </c>
      <c r="E273" s="118" t="s">
        <v>2190</v>
      </c>
      <c r="F273" s="118" t="s">
        <v>2190</v>
      </c>
      <c r="G273" s="118">
        <v>137978.40153308402</v>
      </c>
      <c r="H273" s="118">
        <v>107107.025158274</v>
      </c>
      <c r="I273" s="118">
        <v>0</v>
      </c>
      <c r="K273" s="129" t="str">
        <f t="shared" si="27"/>
        <v>Debêntures</v>
      </c>
      <c r="L273" s="118"/>
      <c r="M273" s="118"/>
      <c r="N273" s="118">
        <v>137978.40153308402</v>
      </c>
      <c r="O273" s="118">
        <v>107107.025158274</v>
      </c>
      <c r="P273" s="118">
        <v>0</v>
      </c>
    </row>
    <row r="274" spans="1:16" x14ac:dyDescent="0.2">
      <c r="A274" t="s">
        <v>164</v>
      </c>
      <c r="B274" t="s">
        <v>770</v>
      </c>
      <c r="D274" s="129" t="str">
        <f>IF([1]RENAME!$H$3=1,B274,A274)</f>
        <v>Fornecedores e fretes a pagar</v>
      </c>
      <c r="E274" s="118" t="s">
        <v>2190</v>
      </c>
      <c r="F274" s="118" t="s">
        <v>2190</v>
      </c>
      <c r="G274" s="118">
        <v>23235</v>
      </c>
      <c r="H274" s="118">
        <v>0</v>
      </c>
      <c r="I274" s="118">
        <v>0</v>
      </c>
      <c r="K274" s="129" t="str">
        <f t="shared" si="27"/>
        <v>Fornecedores e fretes a pagar</v>
      </c>
      <c r="L274" s="118"/>
      <c r="M274" s="118"/>
      <c r="N274" s="118">
        <v>20278</v>
      </c>
      <c r="O274" s="118">
        <v>0</v>
      </c>
      <c r="P274" s="118">
        <v>0</v>
      </c>
    </row>
    <row r="275" spans="1:16" x14ac:dyDescent="0.2">
      <c r="A275" t="s">
        <v>24</v>
      </c>
      <c r="B275" t="s">
        <v>667</v>
      </c>
      <c r="D275" s="129" t="str">
        <f>IF([1]RENAME!$H$3=1,B275,A275)</f>
        <v>Demais contas a pagar</v>
      </c>
      <c r="E275" s="118" t="s">
        <v>2190</v>
      </c>
      <c r="F275" s="118" t="s">
        <v>2190</v>
      </c>
      <c r="G275" s="118">
        <v>18806</v>
      </c>
      <c r="H275" s="118">
        <v>0</v>
      </c>
      <c r="I275" s="118">
        <v>0</v>
      </c>
      <c r="K275" s="129" t="str">
        <f t="shared" si="27"/>
        <v>Demais contas a pagar</v>
      </c>
      <c r="L275" s="118"/>
      <c r="M275" s="118"/>
      <c r="N275" s="118">
        <v>14136</v>
      </c>
      <c r="O275" s="118">
        <v>0</v>
      </c>
      <c r="P275" s="118">
        <v>0</v>
      </c>
    </row>
    <row r="276" spans="1:16" x14ac:dyDescent="0.2">
      <c r="A276" t="s">
        <v>573</v>
      </c>
      <c r="B276" t="s">
        <v>868</v>
      </c>
      <c r="D276" s="129" t="str">
        <f>IF([1]RENAME!$H$3=1,B276,A276)</f>
        <v>Contas a pagar - aquisição de controlada</v>
      </c>
      <c r="E276" s="118" t="s">
        <v>2190</v>
      </c>
      <c r="F276" s="118" t="s">
        <v>2190</v>
      </c>
      <c r="G276" s="118">
        <v>0</v>
      </c>
      <c r="H276" s="118">
        <v>0</v>
      </c>
      <c r="I276" s="118">
        <v>0</v>
      </c>
      <c r="K276" s="129" t="str">
        <f t="shared" si="27"/>
        <v>Contas a pagar - aquisição de controlada</v>
      </c>
      <c r="L276" s="118"/>
      <c r="M276" s="118"/>
      <c r="N276" s="118">
        <v>0</v>
      </c>
      <c r="O276" s="118">
        <v>0</v>
      </c>
      <c r="P276" s="118">
        <v>0</v>
      </c>
    </row>
    <row r="277" spans="1:16" x14ac:dyDescent="0.2">
      <c r="A277" t="s">
        <v>566</v>
      </c>
      <c r="B277" t="s">
        <v>869</v>
      </c>
      <c r="D277" s="129" t="str">
        <f>IF([1]RENAME!$H$3=1,B277,A277)</f>
        <v>Dividendos a pagar</v>
      </c>
      <c r="E277" s="118" t="s">
        <v>2190</v>
      </c>
      <c r="F277" s="118" t="s">
        <v>2190</v>
      </c>
      <c r="G277" s="118">
        <v>0</v>
      </c>
      <c r="H277" s="118">
        <v>0</v>
      </c>
      <c r="I277" s="118">
        <v>0</v>
      </c>
      <c r="K277" s="129" t="str">
        <f t="shared" si="27"/>
        <v>Dividendos a pagar</v>
      </c>
      <c r="L277" s="118"/>
      <c r="M277" s="118"/>
      <c r="N277" s="118">
        <v>0</v>
      </c>
      <c r="O277" s="118">
        <v>0</v>
      </c>
      <c r="P277" s="118">
        <v>0</v>
      </c>
    </row>
    <row r="278" spans="1:16" x14ac:dyDescent="0.2">
      <c r="A278" t="s">
        <v>25</v>
      </c>
      <c r="B278" t="s">
        <v>1349</v>
      </c>
      <c r="D278" s="129" t="str">
        <f>IF([1]RENAME!$H$3=1,B278,A278)</f>
        <v>Partes relacionadas</v>
      </c>
      <c r="E278" s="118" t="s">
        <v>2190</v>
      </c>
      <c r="F278" s="118" t="s">
        <v>2190</v>
      </c>
      <c r="G278" s="118">
        <v>882</v>
      </c>
      <c r="H278" s="118">
        <v>0</v>
      </c>
      <c r="I278" s="118">
        <v>0</v>
      </c>
      <c r="K278" s="129" t="str">
        <f t="shared" si="27"/>
        <v>Partes relacionadas</v>
      </c>
      <c r="L278" s="118"/>
      <c r="M278" s="118"/>
      <c r="N278" s="118">
        <v>17985</v>
      </c>
      <c r="O278" s="118">
        <v>0</v>
      </c>
      <c r="P278" s="118">
        <v>0</v>
      </c>
    </row>
    <row r="279" spans="1:16" x14ac:dyDescent="0.2">
      <c r="A279" t="s">
        <v>577</v>
      </c>
      <c r="B279" t="s">
        <v>1354</v>
      </c>
      <c r="D279" s="126" t="str">
        <f>IF([1]RENAME!$H$3=1,B279,A279)</f>
        <v>Em 30 de junho de 2017</v>
      </c>
      <c r="E279" s="207" t="s">
        <v>2190</v>
      </c>
      <c r="F279" s="207" t="s">
        <v>2190</v>
      </c>
      <c r="G279" s="120">
        <f>SUM(G272:G278)</f>
        <v>188076.60306176974</v>
      </c>
      <c r="H279" s="120">
        <f>SUM(H272:H278)</f>
        <v>157723.13923448566</v>
      </c>
      <c r="I279" s="120">
        <f>SUM(I272:I278)</f>
        <v>10698.597012035214</v>
      </c>
      <c r="K279" s="126" t="str">
        <f t="shared" si="27"/>
        <v>Em 30 de junho de 2017</v>
      </c>
      <c r="L279" s="120"/>
      <c r="M279" s="120"/>
      <c r="N279" s="120">
        <f>SUM(N272:N278)</f>
        <v>196921.81405071827</v>
      </c>
      <c r="O279" s="120">
        <f>SUM(O272:O278)</f>
        <v>156313.02515827399</v>
      </c>
      <c r="P279" s="120">
        <f>SUM(P272:P278)</f>
        <v>7278.6670000000004</v>
      </c>
    </row>
    <row r="280" spans="1:16" x14ac:dyDescent="0.2">
      <c r="A280" t="s">
        <v>16</v>
      </c>
      <c r="B280" t="s">
        <v>870</v>
      </c>
      <c r="D280" s="129" t="str">
        <f>IF([1]RENAME!$H$3=1,B280,A280)</f>
        <v>Empréstimos e financiamentos</v>
      </c>
      <c r="E280" s="118" t="s">
        <v>2190</v>
      </c>
      <c r="F280" s="118" t="s">
        <v>2190</v>
      </c>
      <c r="G280" s="118">
        <v>1092</v>
      </c>
      <c r="H280" s="118">
        <v>476</v>
      </c>
      <c r="I280" s="118">
        <v>1213</v>
      </c>
      <c r="K280" s="129" t="str">
        <f t="shared" si="27"/>
        <v>Empréstimos e financiamentos</v>
      </c>
      <c r="L280" s="118"/>
      <c r="M280" s="118"/>
      <c r="N280" s="118">
        <v>931</v>
      </c>
      <c r="O280" s="118">
        <v>0</v>
      </c>
      <c r="P280" s="118">
        <v>0</v>
      </c>
    </row>
    <row r="281" spans="1:16" x14ac:dyDescent="0.2">
      <c r="A281" t="s">
        <v>23</v>
      </c>
      <c r="B281" t="s">
        <v>867</v>
      </c>
      <c r="D281" s="129" t="str">
        <f>IF([1]RENAME!$H$3=1,B281,A281)</f>
        <v>Debêntures</v>
      </c>
      <c r="E281" s="118" t="s">
        <v>2190</v>
      </c>
      <c r="F281" s="118" t="s">
        <v>2190</v>
      </c>
      <c r="G281" s="118">
        <v>147149</v>
      </c>
      <c r="H281" s="118">
        <v>106770</v>
      </c>
      <c r="I281" s="118">
        <v>0</v>
      </c>
      <c r="K281" s="129" t="str">
        <f t="shared" si="27"/>
        <v>Debêntures</v>
      </c>
      <c r="L281" s="118"/>
      <c r="M281" s="118"/>
      <c r="N281" s="118">
        <v>147149</v>
      </c>
      <c r="O281" s="118">
        <v>106770</v>
      </c>
      <c r="P281" s="118">
        <v>0</v>
      </c>
    </row>
    <row r="282" spans="1:16" x14ac:dyDescent="0.2">
      <c r="A282" t="s">
        <v>164</v>
      </c>
      <c r="B282" t="s">
        <v>770</v>
      </c>
      <c r="D282" s="129" t="str">
        <f>IF([1]RENAME!$H$3=1,B282,A282)</f>
        <v>Fornecedores e fretes a pagar</v>
      </c>
      <c r="E282" s="118" t="s">
        <v>2190</v>
      </c>
      <c r="F282" s="118" t="s">
        <v>2190</v>
      </c>
      <c r="G282" s="118">
        <v>23189</v>
      </c>
      <c r="H282" s="118">
        <v>0</v>
      </c>
      <c r="I282" s="118">
        <v>0</v>
      </c>
      <c r="K282" s="129" t="str">
        <f t="shared" si="27"/>
        <v>Fornecedores e fretes a pagar</v>
      </c>
      <c r="L282" s="118"/>
      <c r="M282" s="118"/>
      <c r="N282" s="118">
        <v>19429</v>
      </c>
      <c r="O282" s="118">
        <v>0</v>
      </c>
      <c r="P282" s="118">
        <v>0</v>
      </c>
    </row>
    <row r="283" spans="1:16" x14ac:dyDescent="0.2">
      <c r="A283" t="s">
        <v>24</v>
      </c>
      <c r="B283" t="s">
        <v>667</v>
      </c>
      <c r="D283" s="129" t="str">
        <f>IF([1]RENAME!$H$3=1,B283,A283)</f>
        <v>Demais contas a pagar</v>
      </c>
      <c r="E283" s="118" t="s">
        <v>2190</v>
      </c>
      <c r="F283" s="118" t="s">
        <v>2190</v>
      </c>
      <c r="G283" s="118">
        <v>19131</v>
      </c>
      <c r="H283" s="118">
        <v>0</v>
      </c>
      <c r="I283" s="118">
        <v>0</v>
      </c>
      <c r="K283" s="129" t="str">
        <f t="shared" si="27"/>
        <v>Demais contas a pagar</v>
      </c>
      <c r="L283" s="118"/>
      <c r="M283" s="118"/>
      <c r="N283" s="118">
        <v>13169</v>
      </c>
      <c r="O283" s="118">
        <v>0</v>
      </c>
      <c r="P283" s="118">
        <v>0</v>
      </c>
    </row>
    <row r="284" spans="1:16" x14ac:dyDescent="0.2">
      <c r="A284" t="s">
        <v>573</v>
      </c>
      <c r="B284" t="s">
        <v>868</v>
      </c>
      <c r="D284" s="129" t="str">
        <f>IF([1]RENAME!$H$3=1,B284,A284)</f>
        <v>Contas a pagar - aquisição de controlada</v>
      </c>
      <c r="E284" s="118" t="s">
        <v>2190</v>
      </c>
      <c r="F284" s="118" t="s">
        <v>2190</v>
      </c>
      <c r="G284" s="118">
        <v>0</v>
      </c>
      <c r="H284" s="118">
        <v>0</v>
      </c>
      <c r="I284" s="118">
        <v>0</v>
      </c>
      <c r="K284" s="129" t="str">
        <f t="shared" si="27"/>
        <v>Contas a pagar - aquisição de controlada</v>
      </c>
      <c r="L284" s="118"/>
      <c r="M284" s="118"/>
      <c r="N284" s="118">
        <v>0</v>
      </c>
      <c r="O284" s="118">
        <v>0</v>
      </c>
      <c r="P284" s="118">
        <v>0</v>
      </c>
    </row>
    <row r="285" spans="1:16" x14ac:dyDescent="0.2">
      <c r="A285" t="s">
        <v>566</v>
      </c>
      <c r="B285" t="s">
        <v>869</v>
      </c>
      <c r="D285" s="129" t="str">
        <f>IF([1]RENAME!$H$3=1,B285,A285)</f>
        <v>Dividendos a pagar</v>
      </c>
      <c r="E285" s="118" t="s">
        <v>2190</v>
      </c>
      <c r="F285" s="118" t="s">
        <v>2190</v>
      </c>
      <c r="G285" s="118">
        <v>3284</v>
      </c>
      <c r="H285" s="118">
        <v>0</v>
      </c>
      <c r="I285" s="118">
        <v>0</v>
      </c>
      <c r="K285" s="129" t="str">
        <f t="shared" si="27"/>
        <v>Dividendos a pagar</v>
      </c>
      <c r="L285" s="118"/>
      <c r="M285" s="118"/>
      <c r="N285" s="118">
        <v>3284</v>
      </c>
      <c r="O285" s="118">
        <v>0</v>
      </c>
      <c r="P285" s="118">
        <v>0</v>
      </c>
    </row>
    <row r="286" spans="1:16" x14ac:dyDescent="0.2">
      <c r="A286" t="s">
        <v>25</v>
      </c>
      <c r="B286" t="s">
        <v>1349</v>
      </c>
      <c r="D286" s="129" t="str">
        <f>IF([1]RENAME!$H$3=1,B286,A286)</f>
        <v>Partes relacionadas</v>
      </c>
      <c r="E286" s="118" t="s">
        <v>2190</v>
      </c>
      <c r="F286" s="118" t="s">
        <v>2190</v>
      </c>
      <c r="G286" s="118">
        <v>1158</v>
      </c>
      <c r="H286" s="118">
        <v>0</v>
      </c>
      <c r="I286" s="118">
        <v>0</v>
      </c>
      <c r="K286" s="129" t="str">
        <f t="shared" si="27"/>
        <v>Partes relacionadas</v>
      </c>
      <c r="L286" s="118"/>
      <c r="M286" s="118"/>
      <c r="N286" s="118">
        <v>18202</v>
      </c>
      <c r="O286" s="118">
        <v>0</v>
      </c>
      <c r="P286" s="118">
        <v>0</v>
      </c>
    </row>
    <row r="287" spans="1:16" x14ac:dyDescent="0.2">
      <c r="A287" t="s">
        <v>568</v>
      </c>
      <c r="B287" t="s">
        <v>1355</v>
      </c>
      <c r="D287" s="126" t="str">
        <f>IF([1]RENAME!$H$3=1,B287,A287)</f>
        <v>Em 31 de março de 2017</v>
      </c>
      <c r="E287" s="207" t="s">
        <v>2190</v>
      </c>
      <c r="F287" s="207" t="s">
        <v>2190</v>
      </c>
      <c r="G287" s="120">
        <f>SUM(G280:G286)</f>
        <v>195003</v>
      </c>
      <c r="H287" s="120">
        <f>SUM(H280:H286)</f>
        <v>107246</v>
      </c>
      <c r="I287" s="120">
        <f>SUM(I280:I286)</f>
        <v>1213</v>
      </c>
      <c r="K287" s="126" t="str">
        <f t="shared" si="27"/>
        <v>Em 31 de março de 2017</v>
      </c>
      <c r="L287" s="120"/>
      <c r="M287" s="120"/>
      <c r="N287" s="120">
        <f>SUM(N280:N286)</f>
        <v>202164</v>
      </c>
      <c r="O287" s="120">
        <f>SUM(O280:O286)</f>
        <v>106770</v>
      </c>
      <c r="P287" s="120">
        <f>SUM(P280:P286)</f>
        <v>0</v>
      </c>
    </row>
    <row r="288" spans="1:16" x14ac:dyDescent="0.2">
      <c r="A288" t="s">
        <v>16</v>
      </c>
      <c r="B288" t="s">
        <v>870</v>
      </c>
      <c r="D288" s="129" t="str">
        <f>IF([1]RENAME!$H$3=1,B288,A288)</f>
        <v>Empréstimos e financiamentos</v>
      </c>
      <c r="E288" s="118" t="s">
        <v>2190</v>
      </c>
      <c r="F288" s="118" t="s">
        <v>2190</v>
      </c>
      <c r="G288" s="118">
        <v>1048</v>
      </c>
      <c r="H288" s="118">
        <v>0</v>
      </c>
      <c r="I288" s="118">
        <v>134</v>
      </c>
      <c r="K288" s="129" t="str">
        <f t="shared" si="27"/>
        <v>Empréstimos e financiamentos</v>
      </c>
      <c r="L288" s="118"/>
      <c r="M288" s="118"/>
      <c r="N288" s="118">
        <v>1048</v>
      </c>
      <c r="O288" s="118">
        <v>0</v>
      </c>
      <c r="P288" s="118">
        <v>134</v>
      </c>
    </row>
    <row r="289" spans="1:16" x14ac:dyDescent="0.2">
      <c r="A289" t="s">
        <v>366</v>
      </c>
      <c r="B289" t="s">
        <v>867</v>
      </c>
      <c r="D289" s="129" t="str">
        <f>IF([1]RENAME!$H$3=1,B289,A289)</f>
        <v xml:space="preserve">Debêntures </v>
      </c>
      <c r="E289" s="118" t="s">
        <v>2190</v>
      </c>
      <c r="F289" s="118" t="s">
        <v>2190</v>
      </c>
      <c r="G289" s="118">
        <v>127043</v>
      </c>
      <c r="H289" s="118">
        <v>0</v>
      </c>
      <c r="I289" s="118">
        <v>113342</v>
      </c>
      <c r="K289" s="129" t="str">
        <f t="shared" si="27"/>
        <v xml:space="preserve">Debêntures </v>
      </c>
      <c r="L289" s="118"/>
      <c r="M289" s="118"/>
      <c r="N289" s="118">
        <v>127043</v>
      </c>
      <c r="O289" s="118">
        <v>0</v>
      </c>
      <c r="P289" s="118">
        <v>113342</v>
      </c>
    </row>
    <row r="290" spans="1:16" x14ac:dyDescent="0.2">
      <c r="A290" t="s">
        <v>164</v>
      </c>
      <c r="B290" t="s">
        <v>770</v>
      </c>
      <c r="D290" s="129" t="str">
        <f>IF([1]RENAME!$H$3=1,B290,A290)</f>
        <v>Fornecedores e fretes a pagar</v>
      </c>
      <c r="E290" s="118" t="s">
        <v>2190</v>
      </c>
      <c r="F290" s="118" t="s">
        <v>2190</v>
      </c>
      <c r="G290" s="118">
        <v>43164</v>
      </c>
      <c r="H290" s="118">
        <v>0</v>
      </c>
      <c r="I290" s="118">
        <v>0</v>
      </c>
      <c r="K290" s="129" t="str">
        <f t="shared" si="27"/>
        <v>Fornecedores e fretes a pagar</v>
      </c>
      <c r="L290" s="118"/>
      <c r="M290" s="118"/>
      <c r="N290" s="118">
        <v>37990</v>
      </c>
      <c r="O290" s="118">
        <v>0</v>
      </c>
      <c r="P290" s="118">
        <v>0</v>
      </c>
    </row>
    <row r="291" spans="1:16" x14ac:dyDescent="0.2">
      <c r="A291" t="s">
        <v>24</v>
      </c>
      <c r="B291" t="s">
        <v>667</v>
      </c>
      <c r="D291" s="129" t="str">
        <f>IF([1]RENAME!$H$3=1,B291,A291)</f>
        <v>Demais contas a pagar</v>
      </c>
      <c r="E291" s="118" t="s">
        <v>2190</v>
      </c>
      <c r="F291" s="118" t="s">
        <v>2190</v>
      </c>
      <c r="G291" s="118">
        <v>18011</v>
      </c>
      <c r="H291" s="118">
        <v>0</v>
      </c>
      <c r="I291" s="118">
        <v>0</v>
      </c>
      <c r="K291" s="129" t="str">
        <f t="shared" si="27"/>
        <v>Demais contas a pagar</v>
      </c>
      <c r="L291" s="118"/>
      <c r="M291" s="118"/>
      <c r="N291" s="118">
        <v>13833</v>
      </c>
      <c r="O291" s="118">
        <v>0</v>
      </c>
      <c r="P291" s="118">
        <v>0</v>
      </c>
    </row>
    <row r="292" spans="1:16" x14ac:dyDescent="0.2">
      <c r="A292" t="s">
        <v>377</v>
      </c>
      <c r="B292" t="s">
        <v>868</v>
      </c>
      <c r="D292" s="129" t="str">
        <f>IF([1]RENAME!$H$3=1,B292,A292)</f>
        <v xml:space="preserve">Contas a pagar - aquisição de controlada </v>
      </c>
      <c r="E292" s="118" t="s">
        <v>2190</v>
      </c>
      <c r="F292" s="118" t="s">
        <v>2190</v>
      </c>
      <c r="G292" s="118">
        <v>12541</v>
      </c>
      <c r="H292" s="118">
        <v>0</v>
      </c>
      <c r="I292" s="118">
        <v>0</v>
      </c>
      <c r="K292" s="129" t="str">
        <f t="shared" si="27"/>
        <v xml:space="preserve">Contas a pagar - aquisição de controlada </v>
      </c>
      <c r="L292" s="118"/>
      <c r="M292" s="118"/>
      <c r="N292" s="118">
        <v>0</v>
      </c>
      <c r="O292" s="118">
        <v>0</v>
      </c>
      <c r="P292" s="118">
        <v>0</v>
      </c>
    </row>
    <row r="293" spans="1:16" x14ac:dyDescent="0.2">
      <c r="A293" t="s">
        <v>554</v>
      </c>
      <c r="B293" t="s">
        <v>1356</v>
      </c>
      <c r="D293" s="126" t="str">
        <f>IF([1]RENAME!$H$3=1,B293,A293)</f>
        <v>Em 31 de dezembro de 2016</v>
      </c>
      <c r="E293" s="207" t="s">
        <v>2190</v>
      </c>
      <c r="F293" s="207" t="s">
        <v>2190</v>
      </c>
      <c r="G293" s="120">
        <f>SUM(G288:G292)</f>
        <v>201807</v>
      </c>
      <c r="H293" s="120">
        <f>SUM(H288:H292)</f>
        <v>0</v>
      </c>
      <c r="I293" s="120">
        <f>SUM(I288:I292)</f>
        <v>113476</v>
      </c>
      <c r="K293" s="126" t="str">
        <f t="shared" si="27"/>
        <v>Em 31 de dezembro de 2016</v>
      </c>
      <c r="L293" s="120"/>
      <c r="M293" s="120"/>
      <c r="N293" s="120">
        <f>SUM(N288:N292)</f>
        <v>179914</v>
      </c>
      <c r="O293" s="120">
        <f>SUM(O288:O292)</f>
        <v>0</v>
      </c>
      <c r="P293" s="120">
        <f>SUM(P288:P292)</f>
        <v>113476</v>
      </c>
    </row>
    <row r="294" spans="1:16" x14ac:dyDescent="0.2">
      <c r="A294" t="s">
        <v>16</v>
      </c>
      <c r="B294" t="s">
        <v>870</v>
      </c>
      <c r="D294" s="129" t="str">
        <f>IF([1]RENAME!$H$3=1,B294,A294)</f>
        <v>Empréstimos e financiamentos</v>
      </c>
      <c r="E294" s="118" t="s">
        <v>2190</v>
      </c>
      <c r="F294" s="118" t="s">
        <v>2190</v>
      </c>
      <c r="G294" s="118">
        <v>1049</v>
      </c>
      <c r="H294" s="118">
        <v>396</v>
      </c>
      <c r="I294" s="118">
        <v>0</v>
      </c>
      <c r="K294" s="129" t="str">
        <f t="shared" si="27"/>
        <v>Empréstimos e financiamentos</v>
      </c>
      <c r="L294" s="118"/>
      <c r="M294" s="118"/>
      <c r="N294" s="118">
        <v>1049</v>
      </c>
      <c r="O294" s="118">
        <v>396</v>
      </c>
      <c r="P294" s="118">
        <v>0</v>
      </c>
    </row>
    <row r="295" spans="1:16" x14ac:dyDescent="0.2">
      <c r="A295" t="s">
        <v>366</v>
      </c>
      <c r="B295" t="s">
        <v>867</v>
      </c>
      <c r="D295" s="129" t="str">
        <f>IF([1]RENAME!$H$3=1,B295,A295)</f>
        <v xml:space="preserve">Debêntures </v>
      </c>
      <c r="E295" s="118" t="s">
        <v>2190</v>
      </c>
      <c r="F295" s="118" t="s">
        <v>2190</v>
      </c>
      <c r="G295" s="118">
        <v>126941</v>
      </c>
      <c r="H295" s="118">
        <v>116661</v>
      </c>
      <c r="I295" s="118">
        <v>96686</v>
      </c>
      <c r="K295" s="129" t="str">
        <f t="shared" si="27"/>
        <v xml:space="preserve">Debêntures </v>
      </c>
      <c r="L295" s="118"/>
      <c r="M295" s="118"/>
      <c r="N295" s="118">
        <v>126941</v>
      </c>
      <c r="O295" s="118">
        <v>116661</v>
      </c>
      <c r="P295" s="118">
        <v>96686</v>
      </c>
    </row>
    <row r="296" spans="1:16" x14ac:dyDescent="0.2">
      <c r="A296" t="s">
        <v>164</v>
      </c>
      <c r="B296" t="s">
        <v>770</v>
      </c>
      <c r="D296" s="129" t="str">
        <f>IF([1]RENAME!$H$3=1,B296,A296)</f>
        <v>Fornecedores e fretes a pagar</v>
      </c>
      <c r="E296" s="118" t="s">
        <v>2190</v>
      </c>
      <c r="F296" s="118" t="s">
        <v>2190</v>
      </c>
      <c r="G296" s="118">
        <v>32399</v>
      </c>
      <c r="H296" s="118">
        <v>0</v>
      </c>
      <c r="I296" s="118">
        <v>0</v>
      </c>
      <c r="K296" s="129" t="str">
        <f t="shared" si="27"/>
        <v>Fornecedores e fretes a pagar</v>
      </c>
      <c r="L296" s="118"/>
      <c r="M296" s="118"/>
      <c r="N296" s="118">
        <v>28948</v>
      </c>
      <c r="O296" s="118">
        <v>0</v>
      </c>
      <c r="P296" s="118">
        <v>0</v>
      </c>
    </row>
    <row r="297" spans="1:16" x14ac:dyDescent="0.2">
      <c r="A297" t="s">
        <v>24</v>
      </c>
      <c r="B297" t="s">
        <v>667</v>
      </c>
      <c r="D297" s="129" t="str">
        <f>IF([1]RENAME!$H$3=1,B297,A297)</f>
        <v>Demais contas a pagar</v>
      </c>
      <c r="E297" s="118" t="s">
        <v>2190</v>
      </c>
      <c r="F297" s="118" t="s">
        <v>2190</v>
      </c>
      <c r="G297" s="118">
        <v>22518</v>
      </c>
      <c r="H297" s="118">
        <v>0</v>
      </c>
      <c r="I297" s="118">
        <v>0</v>
      </c>
      <c r="K297" s="129" t="str">
        <f t="shared" si="27"/>
        <v>Demais contas a pagar</v>
      </c>
      <c r="L297" s="118"/>
      <c r="M297" s="118"/>
      <c r="N297" s="118">
        <v>11479</v>
      </c>
      <c r="O297" s="118">
        <v>0</v>
      </c>
      <c r="P297" s="118">
        <v>0</v>
      </c>
    </row>
    <row r="298" spans="1:16" x14ac:dyDescent="0.2">
      <c r="A298" t="s">
        <v>377</v>
      </c>
      <c r="B298" t="s">
        <v>868</v>
      </c>
      <c r="D298" s="129" t="str">
        <f>IF([1]RENAME!$H$3=1,B298,A298)</f>
        <v xml:space="preserve">Contas a pagar - aquisição de controlada </v>
      </c>
      <c r="E298" s="118" t="s">
        <v>2190</v>
      </c>
      <c r="F298" s="118" t="s">
        <v>2190</v>
      </c>
      <c r="G298" s="118">
        <v>12157</v>
      </c>
      <c r="H298" s="118">
        <v>0</v>
      </c>
      <c r="I298" s="118">
        <v>0</v>
      </c>
      <c r="K298" s="129" t="str">
        <f t="shared" si="27"/>
        <v xml:space="preserve">Contas a pagar - aquisição de controlada </v>
      </c>
      <c r="L298" s="118"/>
      <c r="M298" s="118"/>
      <c r="N298" s="118"/>
      <c r="O298" s="118">
        <v>0</v>
      </c>
      <c r="P298" s="118">
        <v>0</v>
      </c>
    </row>
    <row r="299" spans="1:16" x14ac:dyDescent="0.2">
      <c r="A299" t="s">
        <v>518</v>
      </c>
      <c r="B299" t="s">
        <v>1357</v>
      </c>
      <c r="D299" s="126" t="str">
        <f>IF([1]RENAME!$H$3=1,B299,A299)</f>
        <v>Em 30 de setembro de 2016</v>
      </c>
      <c r="E299" s="207" t="s">
        <v>2190</v>
      </c>
      <c r="F299" s="207" t="s">
        <v>2190</v>
      </c>
      <c r="G299" s="120">
        <f>SUM(G294:G298)</f>
        <v>195064</v>
      </c>
      <c r="H299" s="120">
        <f>SUM(H294:H298)</f>
        <v>117057</v>
      </c>
      <c r="I299" s="120">
        <f>SUM(I294:I298)</f>
        <v>96686</v>
      </c>
      <c r="K299" s="126" t="str">
        <f t="shared" si="27"/>
        <v>Em 30 de setembro de 2016</v>
      </c>
      <c r="L299" s="120"/>
      <c r="M299" s="120"/>
      <c r="N299" s="120">
        <f>SUM(N294:N298)</f>
        <v>168417</v>
      </c>
      <c r="O299" s="120">
        <f>SUM(O294:O297)</f>
        <v>117057</v>
      </c>
      <c r="P299" s="120">
        <f>SUM(P294:P297)</f>
        <v>96686</v>
      </c>
    </row>
    <row r="300" spans="1:16" x14ac:dyDescent="0.2">
      <c r="A300" t="s">
        <v>16</v>
      </c>
      <c r="B300" t="s">
        <v>870</v>
      </c>
      <c r="D300" s="129" t="str">
        <f>IF([1]RENAME!$H$3=1,B300,A300)</f>
        <v>Empréstimos e financiamentos</v>
      </c>
      <c r="E300" s="118" t="s">
        <v>2190</v>
      </c>
      <c r="F300" s="118" t="s">
        <v>2190</v>
      </c>
      <c r="G300" s="118">
        <v>1087</v>
      </c>
      <c r="H300" s="118">
        <v>657</v>
      </c>
      <c r="I300" s="118">
        <v>0</v>
      </c>
      <c r="K300" s="129" t="str">
        <f t="shared" si="27"/>
        <v>Empréstimos e financiamentos</v>
      </c>
      <c r="L300" s="118"/>
      <c r="M300" s="118"/>
      <c r="N300" s="334">
        <v>1087</v>
      </c>
      <c r="O300" s="334">
        <v>657</v>
      </c>
      <c r="P300" s="334">
        <v>0</v>
      </c>
    </row>
    <row r="301" spans="1:16" x14ac:dyDescent="0.2">
      <c r="A301" t="s">
        <v>366</v>
      </c>
      <c r="B301" t="s">
        <v>867</v>
      </c>
      <c r="D301" s="129" t="str">
        <f>IF([1]RENAME!$H$3=1,B301,A301)</f>
        <v xml:space="preserve">Debêntures </v>
      </c>
      <c r="E301" s="118" t="s">
        <v>2190</v>
      </c>
      <c r="F301" s="118" t="s">
        <v>2190</v>
      </c>
      <c r="G301" s="118">
        <v>127502</v>
      </c>
      <c r="H301" s="118">
        <v>116661</v>
      </c>
      <c r="I301" s="118">
        <v>96686</v>
      </c>
      <c r="K301" s="129" t="str">
        <f t="shared" si="27"/>
        <v xml:space="preserve">Debêntures </v>
      </c>
      <c r="L301" s="118"/>
      <c r="M301" s="118"/>
      <c r="N301" s="334">
        <v>127502</v>
      </c>
      <c r="O301" s="334">
        <v>116661</v>
      </c>
      <c r="P301" s="334">
        <v>96686</v>
      </c>
    </row>
    <row r="302" spans="1:16" x14ac:dyDescent="0.2">
      <c r="A302" t="s">
        <v>164</v>
      </c>
      <c r="B302" t="s">
        <v>770</v>
      </c>
      <c r="D302" s="129" t="str">
        <f>IF([1]RENAME!$H$3=1,B302,A302)</f>
        <v>Fornecedores e fretes a pagar</v>
      </c>
      <c r="E302" s="118" t="s">
        <v>2190</v>
      </c>
      <c r="F302" s="118" t="s">
        <v>2190</v>
      </c>
      <c r="G302" s="118">
        <v>30891</v>
      </c>
      <c r="H302" s="118">
        <v>0</v>
      </c>
      <c r="I302" s="118">
        <v>0</v>
      </c>
      <c r="K302" s="129" t="str">
        <f t="shared" si="27"/>
        <v>Fornecedores e fretes a pagar</v>
      </c>
      <c r="L302" s="118"/>
      <c r="M302" s="118"/>
      <c r="N302" s="334">
        <v>27377</v>
      </c>
      <c r="O302" s="334">
        <v>0</v>
      </c>
      <c r="P302" s="334">
        <v>0</v>
      </c>
    </row>
    <row r="303" spans="1:16" x14ac:dyDescent="0.2">
      <c r="A303" t="s">
        <v>24</v>
      </c>
      <c r="B303" t="s">
        <v>667</v>
      </c>
      <c r="D303" s="129" t="str">
        <f>IF([1]RENAME!$H$3=1,B303,A303)</f>
        <v>Demais contas a pagar</v>
      </c>
      <c r="E303" s="118" t="s">
        <v>2190</v>
      </c>
      <c r="F303" s="118" t="s">
        <v>2190</v>
      </c>
      <c r="G303" s="118">
        <v>24228</v>
      </c>
      <c r="H303" s="118">
        <v>0</v>
      </c>
      <c r="I303" s="118">
        <v>0</v>
      </c>
      <c r="K303" s="129" t="str">
        <f t="shared" si="27"/>
        <v>Demais contas a pagar</v>
      </c>
      <c r="L303" s="118"/>
      <c r="M303" s="118"/>
      <c r="N303" s="334">
        <v>11215</v>
      </c>
      <c r="O303" s="334">
        <v>0</v>
      </c>
      <c r="P303" s="334">
        <v>0</v>
      </c>
    </row>
    <row r="304" spans="1:16" x14ac:dyDescent="0.2">
      <c r="A304" t="s">
        <v>377</v>
      </c>
      <c r="B304" t="s">
        <v>868</v>
      </c>
      <c r="D304" s="129" t="str">
        <f>IF([1]RENAME!$H$3=1,B304,A304)</f>
        <v xml:space="preserve">Contas a pagar - aquisição de controlada </v>
      </c>
      <c r="E304" s="118" t="s">
        <v>2190</v>
      </c>
      <c r="F304" s="118" t="s">
        <v>2190</v>
      </c>
      <c r="G304" s="118">
        <v>11749</v>
      </c>
      <c r="H304" s="118">
        <v>0</v>
      </c>
      <c r="I304" s="118">
        <v>0</v>
      </c>
      <c r="K304" s="129" t="str">
        <f t="shared" si="27"/>
        <v xml:space="preserve">Contas a pagar - aquisição de controlada </v>
      </c>
      <c r="L304" s="118"/>
      <c r="M304" s="118"/>
      <c r="N304" s="334"/>
      <c r="O304" s="334">
        <v>0</v>
      </c>
      <c r="P304" s="334">
        <v>0</v>
      </c>
    </row>
    <row r="305" spans="1:16" x14ac:dyDescent="0.2">
      <c r="A305" t="s">
        <v>501</v>
      </c>
      <c r="B305" t="s">
        <v>1358</v>
      </c>
      <c r="D305" s="126" t="str">
        <f>IF([1]RENAME!$H$3=1,B305,A305)</f>
        <v>Em 30 de junho de 2016</v>
      </c>
      <c r="E305" s="207" t="s">
        <v>2190</v>
      </c>
      <c r="F305" s="207" t="s">
        <v>2190</v>
      </c>
      <c r="G305" s="120">
        <f>SUM(G300:G304)</f>
        <v>195457</v>
      </c>
      <c r="H305" s="120">
        <f>SUM(H300:H304)</f>
        <v>117318</v>
      </c>
      <c r="I305" s="120">
        <f>SUM(I300:I304)</f>
        <v>96686</v>
      </c>
      <c r="K305" s="126" t="str">
        <f t="shared" si="27"/>
        <v>Em 30 de junho de 2016</v>
      </c>
      <c r="L305" s="120"/>
      <c r="M305" s="120"/>
      <c r="N305" s="120">
        <f>SUM(N300:N304)</f>
        <v>167181</v>
      </c>
      <c r="O305" s="120">
        <f>SUM(O300:O304)</f>
        <v>117318</v>
      </c>
      <c r="P305" s="120">
        <f>SUM(P300:P304)</f>
        <v>96686</v>
      </c>
    </row>
    <row r="306" spans="1:16" x14ac:dyDescent="0.2">
      <c r="A306" t="s">
        <v>16</v>
      </c>
      <c r="B306" t="s">
        <v>870</v>
      </c>
      <c r="D306" s="129" t="str">
        <f>IF([1]RENAME!$H$3=1,B306,A306)</f>
        <v>Empréstimos e financiamentos</v>
      </c>
      <c r="E306" s="118" t="s">
        <v>2190</v>
      </c>
      <c r="F306" s="118" t="s">
        <v>2190</v>
      </c>
      <c r="G306" s="118">
        <v>1132</v>
      </c>
      <c r="H306" s="118">
        <v>919</v>
      </c>
      <c r="I306" s="118">
        <v>0</v>
      </c>
      <c r="K306" s="129" t="str">
        <f t="shared" si="27"/>
        <v>Empréstimos e financiamentos</v>
      </c>
      <c r="L306" s="118"/>
      <c r="M306" s="118"/>
      <c r="N306" s="118">
        <v>1132</v>
      </c>
      <c r="O306" s="118">
        <v>919</v>
      </c>
      <c r="P306" s="118">
        <v>0</v>
      </c>
    </row>
    <row r="307" spans="1:16" x14ac:dyDescent="0.2">
      <c r="A307" t="s">
        <v>366</v>
      </c>
      <c r="B307" t="s">
        <v>867</v>
      </c>
      <c r="D307" s="129" t="str">
        <f>IF([1]RENAME!$H$3=1,B307,A307)</f>
        <v xml:space="preserve">Debêntures </v>
      </c>
      <c r="E307" s="118" t="s">
        <v>2190</v>
      </c>
      <c r="F307" s="118" t="s">
        <v>2190</v>
      </c>
      <c r="G307" s="118">
        <v>126467</v>
      </c>
      <c r="H307" s="118">
        <v>116661</v>
      </c>
      <c r="I307" s="118">
        <v>96686</v>
      </c>
      <c r="K307" s="129" t="str">
        <f t="shared" si="27"/>
        <v xml:space="preserve">Debêntures </v>
      </c>
      <c r="L307" s="118"/>
      <c r="M307" s="118"/>
      <c r="N307" s="118">
        <v>126467</v>
      </c>
      <c r="O307" s="118">
        <v>116661</v>
      </c>
      <c r="P307" s="118">
        <v>96686</v>
      </c>
    </row>
    <row r="308" spans="1:16" x14ac:dyDescent="0.2">
      <c r="A308" t="s">
        <v>164</v>
      </c>
      <c r="B308" t="s">
        <v>770</v>
      </c>
      <c r="D308" s="129" t="str">
        <f>IF([1]RENAME!$H$3=1,B308,A308)</f>
        <v>Fornecedores e fretes a pagar</v>
      </c>
      <c r="E308" s="118" t="s">
        <v>2190</v>
      </c>
      <c r="F308" s="118" t="s">
        <v>2190</v>
      </c>
      <c r="G308" s="118">
        <v>33904</v>
      </c>
      <c r="H308" s="118">
        <v>0</v>
      </c>
      <c r="I308" s="118">
        <v>0</v>
      </c>
      <c r="K308" s="129" t="str">
        <f t="shared" si="27"/>
        <v>Fornecedores e fretes a pagar</v>
      </c>
      <c r="L308" s="118"/>
      <c r="M308" s="118"/>
      <c r="N308" s="118">
        <v>29390</v>
      </c>
      <c r="O308" s="118">
        <v>0</v>
      </c>
      <c r="P308" s="118">
        <v>0</v>
      </c>
    </row>
    <row r="309" spans="1:16" x14ac:dyDescent="0.2">
      <c r="A309" t="s">
        <v>24</v>
      </c>
      <c r="B309" t="s">
        <v>667</v>
      </c>
      <c r="D309" s="129" t="str">
        <f>IF([1]RENAME!$H$3=1,B309,A309)</f>
        <v>Demais contas a pagar</v>
      </c>
      <c r="E309" s="118" t="s">
        <v>2190</v>
      </c>
      <c r="F309" s="118" t="s">
        <v>2190</v>
      </c>
      <c r="G309" s="118">
        <v>31994</v>
      </c>
      <c r="H309" s="118">
        <v>0</v>
      </c>
      <c r="I309" s="118">
        <v>0</v>
      </c>
      <c r="K309" s="129" t="str">
        <f t="shared" si="27"/>
        <v>Demais contas a pagar</v>
      </c>
      <c r="L309" s="118"/>
      <c r="M309" s="118"/>
      <c r="N309" s="118">
        <v>10766</v>
      </c>
      <c r="O309" s="118">
        <v>0</v>
      </c>
      <c r="P309" s="118">
        <v>0</v>
      </c>
    </row>
    <row r="310" spans="1:16" x14ac:dyDescent="0.2">
      <c r="A310" t="s">
        <v>377</v>
      </c>
      <c r="B310" t="s">
        <v>868</v>
      </c>
      <c r="D310" s="129" t="str">
        <f>IF([1]RENAME!$H$3=1,B310,A310)</f>
        <v xml:space="preserve">Contas a pagar - aquisição de controlada </v>
      </c>
      <c r="E310" s="118" t="s">
        <v>2190</v>
      </c>
      <c r="F310" s="118" t="s">
        <v>2190</v>
      </c>
      <c r="G310" s="118">
        <v>11366</v>
      </c>
      <c r="H310" s="118">
        <v>0</v>
      </c>
      <c r="I310" s="118">
        <v>0</v>
      </c>
      <c r="K310" s="129" t="str">
        <f t="shared" si="27"/>
        <v xml:space="preserve">Contas a pagar - aquisição de controlada </v>
      </c>
      <c r="L310" s="118"/>
      <c r="M310" s="118"/>
      <c r="N310" s="118">
        <v>0</v>
      </c>
      <c r="O310" s="118">
        <v>0</v>
      </c>
      <c r="P310" s="118">
        <v>0</v>
      </c>
    </row>
    <row r="311" spans="1:16" x14ac:dyDescent="0.2">
      <c r="A311" t="s">
        <v>165</v>
      </c>
      <c r="B311" t="s">
        <v>871</v>
      </c>
      <c r="D311" s="129" t="str">
        <f>IF([1]RENAME!$H$3=1,B311,A311)</f>
        <v>Seguros e aluguéis a pagar</v>
      </c>
      <c r="E311" s="118" t="s">
        <v>2190</v>
      </c>
      <c r="F311" s="118" t="s">
        <v>2190</v>
      </c>
      <c r="G311" s="118">
        <v>0</v>
      </c>
      <c r="H311" s="118">
        <v>0</v>
      </c>
      <c r="I311" s="118">
        <v>0</v>
      </c>
      <c r="K311" s="129" t="str">
        <f t="shared" si="27"/>
        <v>Seguros e aluguéis a pagar</v>
      </c>
      <c r="L311" s="118"/>
      <c r="M311" s="118"/>
      <c r="N311" s="118">
        <v>0</v>
      </c>
      <c r="O311" s="118">
        <v>0</v>
      </c>
      <c r="P311" s="118">
        <v>0</v>
      </c>
    </row>
    <row r="312" spans="1:16" x14ac:dyDescent="0.2">
      <c r="A312" t="s">
        <v>474</v>
      </c>
      <c r="B312" t="s">
        <v>1359</v>
      </c>
      <c r="D312" s="126" t="str">
        <f>IF([1]RENAME!$H$3=1,B312,A312)</f>
        <v>Em 31 de março de 2016</v>
      </c>
      <c r="E312" s="207" t="s">
        <v>2190</v>
      </c>
      <c r="F312" s="207" t="s">
        <v>2190</v>
      </c>
      <c r="G312" s="120">
        <f>SUM(G306:G311)</f>
        <v>204863</v>
      </c>
      <c r="H312" s="120">
        <f>SUM(H306:H311)</f>
        <v>117580</v>
      </c>
      <c r="I312" s="120">
        <f>SUM(I306:I311)</f>
        <v>96686</v>
      </c>
      <c r="K312" s="126" t="str">
        <f t="shared" si="27"/>
        <v>Em 31 de março de 2016</v>
      </c>
      <c r="L312" s="120"/>
      <c r="M312" s="120"/>
      <c r="N312" s="120">
        <f>SUM(N306:N311)</f>
        <v>167755</v>
      </c>
      <c r="O312" s="120">
        <f>SUM(O306:O311)</f>
        <v>117580</v>
      </c>
      <c r="P312" s="120">
        <f>SUM(P306:P311)</f>
        <v>96686</v>
      </c>
    </row>
    <row r="313" spans="1:16" x14ac:dyDescent="0.2">
      <c r="A313" t="s">
        <v>16</v>
      </c>
      <c r="B313" t="s">
        <v>870</v>
      </c>
      <c r="D313" s="129" t="str">
        <f>IF([1]RENAME!$H$3=1,B313,A313)</f>
        <v>Empréstimos e financiamentos</v>
      </c>
      <c r="E313" s="118" t="s">
        <v>2190</v>
      </c>
      <c r="F313" s="118" t="s">
        <v>2190</v>
      </c>
      <c r="G313" s="118">
        <v>1295</v>
      </c>
      <c r="H313" s="118">
        <v>1047</v>
      </c>
      <c r="I313" s="118">
        <v>134</v>
      </c>
      <c r="K313" s="129" t="str">
        <f t="shared" si="27"/>
        <v>Empréstimos e financiamentos</v>
      </c>
      <c r="L313" s="118"/>
      <c r="M313" s="118"/>
      <c r="N313" s="118">
        <v>1295</v>
      </c>
      <c r="O313" s="118">
        <v>1047</v>
      </c>
      <c r="P313" s="118">
        <v>134</v>
      </c>
    </row>
    <row r="314" spans="1:16" x14ac:dyDescent="0.2">
      <c r="A314" t="s">
        <v>366</v>
      </c>
      <c r="B314" t="s">
        <v>867</v>
      </c>
      <c r="D314" s="129" t="str">
        <f>IF([1]RENAME!$H$3=1,B314,A314)</f>
        <v xml:space="preserve">Debêntures </v>
      </c>
      <c r="E314" s="118" t="s">
        <v>2190</v>
      </c>
      <c r="F314" s="118" t="s">
        <v>2190</v>
      </c>
      <c r="G314" s="118">
        <v>81814</v>
      </c>
      <c r="H314" s="118">
        <v>116655</v>
      </c>
      <c r="I314" s="118">
        <v>163352</v>
      </c>
      <c r="K314" s="129" t="str">
        <f t="shared" si="27"/>
        <v xml:space="preserve">Debêntures </v>
      </c>
      <c r="L314" s="118"/>
      <c r="M314" s="118"/>
      <c r="N314" s="118">
        <v>81814</v>
      </c>
      <c r="O314" s="118">
        <v>116655</v>
      </c>
      <c r="P314" s="118">
        <v>163352</v>
      </c>
    </row>
    <row r="315" spans="1:16" x14ac:dyDescent="0.2">
      <c r="A315" t="s">
        <v>164</v>
      </c>
      <c r="B315" t="s">
        <v>770</v>
      </c>
      <c r="D315" s="129" t="str">
        <f>IF([1]RENAME!$H$3=1,B315,A315)</f>
        <v>Fornecedores e fretes a pagar</v>
      </c>
      <c r="E315" s="118" t="s">
        <v>2190</v>
      </c>
      <c r="F315" s="118" t="s">
        <v>2190</v>
      </c>
      <c r="G315" s="118">
        <v>45404</v>
      </c>
      <c r="H315" s="118">
        <v>0</v>
      </c>
      <c r="I315" s="118">
        <v>0</v>
      </c>
      <c r="K315" s="129" t="str">
        <f t="shared" si="27"/>
        <v>Fornecedores e fretes a pagar</v>
      </c>
      <c r="L315" s="118"/>
      <c r="M315" s="118"/>
      <c r="N315" s="118">
        <v>39617</v>
      </c>
      <c r="O315" s="118">
        <v>0</v>
      </c>
      <c r="P315" s="118">
        <v>0</v>
      </c>
    </row>
    <row r="316" spans="1:16" x14ac:dyDescent="0.2">
      <c r="A316" t="s">
        <v>24</v>
      </c>
      <c r="B316" t="s">
        <v>667</v>
      </c>
      <c r="D316" s="129" t="str">
        <f>IF([1]RENAME!$H$3=1,B316,A316)</f>
        <v>Demais contas a pagar</v>
      </c>
      <c r="E316" s="118" t="s">
        <v>2190</v>
      </c>
      <c r="F316" s="118" t="s">
        <v>2190</v>
      </c>
      <c r="G316" s="118">
        <v>30643</v>
      </c>
      <c r="H316" s="118">
        <v>0</v>
      </c>
      <c r="I316" s="118">
        <v>0</v>
      </c>
      <c r="K316" s="129" t="str">
        <f t="shared" si="27"/>
        <v>Demais contas a pagar</v>
      </c>
      <c r="L316" s="118"/>
      <c r="M316" s="118"/>
      <c r="N316" s="118">
        <v>12692</v>
      </c>
      <c r="O316" s="118">
        <v>0</v>
      </c>
      <c r="P316" s="118">
        <v>0</v>
      </c>
    </row>
    <row r="317" spans="1:16" x14ac:dyDescent="0.2">
      <c r="A317" t="s">
        <v>377</v>
      </c>
      <c r="B317" t="s">
        <v>868</v>
      </c>
      <c r="D317" s="129" t="str">
        <f>IF([1]RENAME!$H$3=1,B317,A317)</f>
        <v xml:space="preserve">Contas a pagar - aquisição de controlada </v>
      </c>
      <c r="E317" s="118" t="s">
        <v>2190</v>
      </c>
      <c r="F317" s="118" t="s">
        <v>2190</v>
      </c>
      <c r="G317" s="118">
        <v>0</v>
      </c>
      <c r="H317" s="118">
        <v>11008</v>
      </c>
      <c r="I317" s="118">
        <v>0</v>
      </c>
      <c r="K317" s="129" t="str">
        <f t="shared" si="27"/>
        <v xml:space="preserve">Contas a pagar - aquisição de controlada </v>
      </c>
      <c r="L317" s="118"/>
      <c r="M317" s="118"/>
      <c r="N317" s="118">
        <v>0</v>
      </c>
      <c r="O317" s="118">
        <v>0</v>
      </c>
      <c r="P317" s="118">
        <v>0</v>
      </c>
    </row>
    <row r="318" spans="1:16" x14ac:dyDescent="0.2">
      <c r="A318" t="s">
        <v>165</v>
      </c>
      <c r="B318" t="s">
        <v>871</v>
      </c>
      <c r="D318" s="129" t="str">
        <f>IF([1]RENAME!$H$3=1,B318,A318)</f>
        <v>Seguros e aluguéis a pagar</v>
      </c>
      <c r="E318" s="118" t="s">
        <v>2190</v>
      </c>
      <c r="F318" s="118" t="s">
        <v>2190</v>
      </c>
      <c r="G318" s="118">
        <v>0</v>
      </c>
      <c r="H318" s="118">
        <v>0</v>
      </c>
      <c r="I318" s="118">
        <v>0</v>
      </c>
      <c r="K318" s="129" t="str">
        <f t="shared" si="27"/>
        <v>Seguros e aluguéis a pagar</v>
      </c>
      <c r="L318" s="118"/>
      <c r="M318" s="118"/>
      <c r="N318" s="118">
        <v>0</v>
      </c>
      <c r="O318" s="118">
        <v>0</v>
      </c>
      <c r="P318" s="118">
        <v>0</v>
      </c>
    </row>
    <row r="319" spans="1:16" x14ac:dyDescent="0.2">
      <c r="A319" t="s">
        <v>412</v>
      </c>
      <c r="B319" t="s">
        <v>1360</v>
      </c>
      <c r="D319" s="126" t="str">
        <f>IF([1]RENAME!$H$3=1,B319,A319)</f>
        <v>Em 31 de dezembro de 2015</v>
      </c>
      <c r="E319" s="207" t="s">
        <v>2190</v>
      </c>
      <c r="F319" s="207" t="s">
        <v>2190</v>
      </c>
      <c r="G319" s="120">
        <f>SUM(G313:G318)</f>
        <v>159156</v>
      </c>
      <c r="H319" s="120">
        <f>SUM(H313:H318)</f>
        <v>128710</v>
      </c>
      <c r="I319" s="120">
        <f>SUM(I313:I318)</f>
        <v>163486</v>
      </c>
      <c r="K319" s="126" t="str">
        <f t="shared" si="27"/>
        <v>Em 31 de dezembro de 2015</v>
      </c>
      <c r="L319" s="120"/>
      <c r="M319" s="120"/>
      <c r="N319" s="120">
        <f>SUM(N313:N318)</f>
        <v>135418</v>
      </c>
      <c r="O319" s="120">
        <f>SUM(O313:O318)</f>
        <v>117702</v>
      </c>
      <c r="P319" s="120">
        <f>SUM(P313:P318)</f>
        <v>163486</v>
      </c>
    </row>
    <row r="320" spans="1:16" x14ac:dyDescent="0.2">
      <c r="A320" t="s">
        <v>16</v>
      </c>
      <c r="B320" t="s">
        <v>870</v>
      </c>
      <c r="D320" s="129" t="str">
        <f>IF([1]RENAME!$H$3=1,B320,A320)</f>
        <v>Empréstimos e financiamentos</v>
      </c>
      <c r="E320" s="118" t="s">
        <v>2190</v>
      </c>
      <c r="F320" s="118" t="s">
        <v>2190</v>
      </c>
      <c r="G320" s="118">
        <v>1694</v>
      </c>
      <c r="H320" s="118">
        <v>1126</v>
      </c>
      <c r="I320" s="118">
        <v>396</v>
      </c>
      <c r="K320" s="129" t="str">
        <f t="shared" si="27"/>
        <v>Empréstimos e financiamentos</v>
      </c>
      <c r="L320" s="118"/>
      <c r="M320" s="118"/>
      <c r="N320" s="118">
        <v>1295</v>
      </c>
      <c r="O320" s="118">
        <v>1047</v>
      </c>
      <c r="P320" s="118">
        <v>134</v>
      </c>
    </row>
    <row r="321" spans="1:16" x14ac:dyDescent="0.2">
      <c r="A321" t="s">
        <v>366</v>
      </c>
      <c r="B321" t="s">
        <v>867</v>
      </c>
      <c r="D321" s="129" t="str">
        <f>IF([1]RENAME!$H$3=1,B321,A321)</f>
        <v xml:space="preserve">Debêntures </v>
      </c>
      <c r="E321" s="118" t="s">
        <v>2190</v>
      </c>
      <c r="F321" s="118" t="s">
        <v>2190</v>
      </c>
      <c r="G321" s="118">
        <v>30338</v>
      </c>
      <c r="H321" s="118">
        <v>116655</v>
      </c>
      <c r="I321" s="118">
        <v>213347</v>
      </c>
      <c r="K321" s="129" t="str">
        <f t="shared" ref="K321:K377" si="28">D321</f>
        <v xml:space="preserve">Debêntures </v>
      </c>
      <c r="L321" s="118"/>
      <c r="M321" s="118"/>
      <c r="N321" s="118">
        <v>81814</v>
      </c>
      <c r="O321" s="118">
        <v>116655</v>
      </c>
      <c r="P321" s="118">
        <v>163352</v>
      </c>
    </row>
    <row r="322" spans="1:16" x14ac:dyDescent="0.2">
      <c r="A322" t="s">
        <v>164</v>
      </c>
      <c r="B322" t="s">
        <v>770</v>
      </c>
      <c r="D322" s="129" t="str">
        <f>IF([1]RENAME!$H$3=1,B322,A322)</f>
        <v>Fornecedores e fretes a pagar</v>
      </c>
      <c r="E322" s="118" t="s">
        <v>2190</v>
      </c>
      <c r="F322" s="118" t="s">
        <v>2190</v>
      </c>
      <c r="G322" s="118">
        <v>39489</v>
      </c>
      <c r="H322" s="118">
        <v>0</v>
      </c>
      <c r="I322" s="118">
        <v>0</v>
      </c>
      <c r="K322" s="129" t="str">
        <f t="shared" si="28"/>
        <v>Fornecedores e fretes a pagar</v>
      </c>
      <c r="L322" s="118"/>
      <c r="M322" s="118"/>
      <c r="N322" s="118">
        <v>39617</v>
      </c>
      <c r="O322" s="118">
        <v>0</v>
      </c>
      <c r="P322" s="118">
        <v>0</v>
      </c>
    </row>
    <row r="323" spans="1:16" x14ac:dyDescent="0.2">
      <c r="A323" t="s">
        <v>24</v>
      </c>
      <c r="B323" t="s">
        <v>667</v>
      </c>
      <c r="D323" s="129" t="str">
        <f>IF([1]RENAME!$H$3=1,B323,A323)</f>
        <v>Demais contas a pagar</v>
      </c>
      <c r="E323" s="118" t="s">
        <v>2190</v>
      </c>
      <c r="F323" s="118" t="s">
        <v>2190</v>
      </c>
      <c r="G323" s="118">
        <v>18667</v>
      </c>
      <c r="H323" s="118">
        <v>0</v>
      </c>
      <c r="I323" s="118">
        <v>0</v>
      </c>
      <c r="K323" s="129" t="str">
        <f t="shared" si="28"/>
        <v>Demais contas a pagar</v>
      </c>
      <c r="L323" s="118"/>
      <c r="M323" s="118"/>
      <c r="N323" s="118">
        <v>12692</v>
      </c>
      <c r="O323" s="118">
        <v>0</v>
      </c>
      <c r="P323" s="118">
        <v>0</v>
      </c>
    </row>
    <row r="324" spans="1:16" x14ac:dyDescent="0.2">
      <c r="A324" t="s">
        <v>377</v>
      </c>
      <c r="B324" t="s">
        <v>868</v>
      </c>
      <c r="D324" s="129" t="str">
        <f>IF([1]RENAME!$H$3=1,B324,A324)</f>
        <v xml:space="preserve">Contas a pagar - aquisição de controlada </v>
      </c>
      <c r="E324" s="118" t="s">
        <v>2190</v>
      </c>
      <c r="F324" s="118" t="s">
        <v>2190</v>
      </c>
      <c r="G324" s="118">
        <v>0</v>
      </c>
      <c r="H324" s="118">
        <v>10650</v>
      </c>
      <c r="I324" s="118">
        <v>0</v>
      </c>
      <c r="K324" s="129" t="str">
        <f t="shared" si="28"/>
        <v xml:space="preserve">Contas a pagar - aquisição de controlada </v>
      </c>
      <c r="L324" s="118"/>
      <c r="M324" s="118"/>
      <c r="N324" s="118">
        <v>0</v>
      </c>
      <c r="O324" s="118" t="s">
        <v>160</v>
      </c>
      <c r="P324" s="118">
        <v>0</v>
      </c>
    </row>
    <row r="325" spans="1:16" x14ac:dyDescent="0.2">
      <c r="A325" t="s">
        <v>165</v>
      </c>
      <c r="B325" t="s">
        <v>871</v>
      </c>
      <c r="D325" s="129" t="str">
        <f>IF([1]RENAME!$H$3=1,B325,A325)</f>
        <v>Seguros e aluguéis a pagar</v>
      </c>
      <c r="E325" s="118" t="s">
        <v>2190</v>
      </c>
      <c r="F325" s="118" t="s">
        <v>2190</v>
      </c>
      <c r="G325" s="118">
        <v>2167</v>
      </c>
      <c r="H325" s="118">
        <v>0</v>
      </c>
      <c r="I325" s="118">
        <v>0</v>
      </c>
      <c r="K325" s="129" t="str">
        <f t="shared" si="28"/>
        <v>Seguros e aluguéis a pagar</v>
      </c>
      <c r="L325" s="118"/>
      <c r="M325" s="118"/>
      <c r="N325" s="118">
        <v>0</v>
      </c>
      <c r="O325" s="118">
        <v>0</v>
      </c>
      <c r="P325" s="118">
        <v>0</v>
      </c>
    </row>
    <row r="326" spans="1:16" x14ac:dyDescent="0.2">
      <c r="A326" t="s">
        <v>376</v>
      </c>
      <c r="B326" t="s">
        <v>1361</v>
      </c>
      <c r="D326" s="126" t="str">
        <f>IF([1]RENAME!$H$3=1,B326,A326)</f>
        <v>Em 30 de setembro de 2015</v>
      </c>
      <c r="E326" s="207" t="s">
        <v>2190</v>
      </c>
      <c r="F326" s="207" t="s">
        <v>2190</v>
      </c>
      <c r="G326" s="120">
        <f>SUM(G320:G325)</f>
        <v>92355</v>
      </c>
      <c r="H326" s="120">
        <f>SUM(H320:H325)</f>
        <v>128431</v>
      </c>
      <c r="I326" s="120">
        <f>SUM(I320:I325)</f>
        <v>213743</v>
      </c>
      <c r="K326" s="126" t="str">
        <f t="shared" si="28"/>
        <v>Em 30 de setembro de 2015</v>
      </c>
      <c r="L326" s="120"/>
      <c r="M326" s="120"/>
      <c r="N326" s="120">
        <f>SUM(N320:N325)</f>
        <v>135418</v>
      </c>
      <c r="O326" s="120">
        <f>SUM(O320:O325)</f>
        <v>117702</v>
      </c>
      <c r="P326" s="120">
        <f>SUM(P320:P325)</f>
        <v>163486</v>
      </c>
    </row>
    <row r="327" spans="1:16" x14ac:dyDescent="0.2">
      <c r="A327" t="s">
        <v>365</v>
      </c>
      <c r="B327" t="s">
        <v>870</v>
      </c>
      <c r="D327" s="129" t="str">
        <f>IF([1]RENAME!$H$3=1,B327,A327)</f>
        <v xml:space="preserve">Empréstimos e financiamentos </v>
      </c>
      <c r="E327" s="118" t="s">
        <v>2190</v>
      </c>
      <c r="F327" s="118" t="s">
        <v>2190</v>
      </c>
      <c r="G327" s="118">
        <v>1949</v>
      </c>
      <c r="H327" s="118">
        <v>1119</v>
      </c>
      <c r="I327" s="118">
        <v>919</v>
      </c>
      <c r="K327" s="129" t="str">
        <f t="shared" si="28"/>
        <v xml:space="preserve">Empréstimos e financiamentos </v>
      </c>
      <c r="L327" s="118"/>
      <c r="M327" s="118"/>
      <c r="N327" s="118">
        <v>1949</v>
      </c>
      <c r="O327" s="118">
        <v>1119</v>
      </c>
      <c r="P327" s="118">
        <v>919</v>
      </c>
    </row>
    <row r="328" spans="1:16" x14ac:dyDescent="0.2">
      <c r="A328" t="s">
        <v>366</v>
      </c>
      <c r="B328" t="s">
        <v>867</v>
      </c>
      <c r="D328" s="129" t="str">
        <f>IF([1]RENAME!$H$3=1,B328,A328)</f>
        <v xml:space="preserve">Debêntures </v>
      </c>
      <c r="E328" s="118" t="s">
        <v>2190</v>
      </c>
      <c r="F328" s="118" t="s">
        <v>2190</v>
      </c>
      <c r="G328" s="118">
        <v>30485</v>
      </c>
      <c r="H328" s="118">
        <v>116655</v>
      </c>
      <c r="I328" s="118">
        <v>213347</v>
      </c>
      <c r="K328" s="129" t="str">
        <f t="shared" si="28"/>
        <v xml:space="preserve">Debêntures </v>
      </c>
      <c r="L328" s="118"/>
      <c r="M328" s="118"/>
      <c r="N328" s="118">
        <v>30485</v>
      </c>
      <c r="O328" s="118">
        <v>116655</v>
      </c>
      <c r="P328" s="118">
        <v>213347</v>
      </c>
    </row>
    <row r="329" spans="1:16" x14ac:dyDescent="0.2">
      <c r="A329" t="s">
        <v>164</v>
      </c>
      <c r="B329" t="s">
        <v>770</v>
      </c>
      <c r="D329" s="129" t="str">
        <f>IF([1]RENAME!$H$3=1,B329,A329)</f>
        <v>Fornecedores e fretes a pagar</v>
      </c>
      <c r="E329" s="118" t="s">
        <v>2190</v>
      </c>
      <c r="F329" s="118" t="s">
        <v>2190</v>
      </c>
      <c r="G329" s="118">
        <v>39196</v>
      </c>
      <c r="H329" s="118">
        <v>0</v>
      </c>
      <c r="I329" s="118">
        <v>0</v>
      </c>
      <c r="K329" s="129" t="str">
        <f t="shared" si="28"/>
        <v>Fornecedores e fretes a pagar</v>
      </c>
      <c r="L329" s="118"/>
      <c r="M329" s="118"/>
      <c r="N329" s="118">
        <v>33210</v>
      </c>
      <c r="O329" s="118">
        <v>0</v>
      </c>
      <c r="P329" s="118">
        <v>0</v>
      </c>
    </row>
    <row r="330" spans="1:16" x14ac:dyDescent="0.2">
      <c r="A330" t="s">
        <v>367</v>
      </c>
      <c r="B330" t="s">
        <v>667</v>
      </c>
      <c r="D330" s="129" t="str">
        <f>IF([1]RENAME!$H$3=1,B330,A330)</f>
        <v xml:space="preserve">Demais contas a pagar </v>
      </c>
      <c r="E330" s="118" t="s">
        <v>2190</v>
      </c>
      <c r="F330" s="118" t="s">
        <v>2190</v>
      </c>
      <c r="G330" s="118">
        <v>25575</v>
      </c>
      <c r="H330" s="118">
        <v>0</v>
      </c>
      <c r="I330" s="118">
        <v>0</v>
      </c>
      <c r="K330" s="129" t="str">
        <f t="shared" si="28"/>
        <v xml:space="preserve">Demais contas a pagar </v>
      </c>
      <c r="L330" s="118"/>
      <c r="M330" s="118"/>
      <c r="N330" s="118">
        <v>8525</v>
      </c>
      <c r="O330" s="118">
        <v>0</v>
      </c>
      <c r="P330" s="118">
        <v>0</v>
      </c>
    </row>
    <row r="331" spans="1:16" x14ac:dyDescent="0.2">
      <c r="A331" t="s">
        <v>369</v>
      </c>
      <c r="B331" t="s">
        <v>1362</v>
      </c>
      <c r="D331" s="129" t="str">
        <f>IF([1]RENAME!$H$3=1,B331,A331)</f>
        <v xml:space="preserve">Contas a pagar - preço variável </v>
      </c>
      <c r="E331" s="118" t="s">
        <v>2190</v>
      </c>
      <c r="F331" s="118" t="s">
        <v>2190</v>
      </c>
      <c r="G331" s="118">
        <v>0</v>
      </c>
      <c r="H331" s="118">
        <v>10283</v>
      </c>
      <c r="I331" s="118">
        <v>0</v>
      </c>
      <c r="K331" s="129" t="str">
        <f t="shared" si="28"/>
        <v xml:space="preserve">Contas a pagar - preço variável </v>
      </c>
      <c r="L331" s="118"/>
      <c r="M331" s="118"/>
      <c r="N331" s="118">
        <v>0</v>
      </c>
      <c r="O331" s="118">
        <v>0</v>
      </c>
      <c r="P331" s="118">
        <v>0</v>
      </c>
    </row>
    <row r="332" spans="1:16" x14ac:dyDescent="0.2">
      <c r="A332" t="s">
        <v>165</v>
      </c>
      <c r="B332" t="s">
        <v>871</v>
      </c>
      <c r="D332" s="129" t="str">
        <f>IF([1]RENAME!$H$3=1,B332,A332)</f>
        <v>Seguros e aluguéis a pagar</v>
      </c>
      <c r="E332" s="118" t="s">
        <v>2190</v>
      </c>
      <c r="F332" s="118" t="s">
        <v>2190</v>
      </c>
      <c r="G332" s="118">
        <v>3474</v>
      </c>
      <c r="H332" s="118">
        <v>0</v>
      </c>
      <c r="I332" s="118">
        <v>0</v>
      </c>
      <c r="K332" s="129" t="str">
        <f t="shared" si="28"/>
        <v>Seguros e aluguéis a pagar</v>
      </c>
      <c r="L332" s="118"/>
      <c r="M332" s="118"/>
      <c r="N332" s="118">
        <v>3349</v>
      </c>
      <c r="O332" s="118">
        <v>0</v>
      </c>
      <c r="P332" s="118">
        <v>0</v>
      </c>
    </row>
    <row r="333" spans="1:16" x14ac:dyDescent="0.2">
      <c r="A333" t="s">
        <v>163</v>
      </c>
      <c r="B333" t="s">
        <v>1363</v>
      </c>
      <c r="D333" s="126" t="str">
        <f>IF([1]RENAME!$H$3=1,B333,A333)</f>
        <v>Em 30 de junho de 2015</v>
      </c>
      <c r="E333" s="207" t="s">
        <v>2190</v>
      </c>
      <c r="F333" s="207" t="s">
        <v>2190</v>
      </c>
      <c r="G333" s="120">
        <f>SUM(G327:G332)</f>
        <v>100679</v>
      </c>
      <c r="H333" s="120">
        <f>SUM(H327:H332)</f>
        <v>128057</v>
      </c>
      <c r="I333" s="120">
        <f>SUM(I327:I332)</f>
        <v>214266</v>
      </c>
      <c r="K333" s="126" t="str">
        <f t="shared" si="28"/>
        <v>Em 30 de junho de 2015</v>
      </c>
      <c r="L333" s="120"/>
      <c r="M333" s="120"/>
      <c r="N333" s="120">
        <f>SUM(N327:N332)</f>
        <v>77518</v>
      </c>
      <c r="O333" s="120">
        <f>SUM(O327:O332)</f>
        <v>117774</v>
      </c>
      <c r="P333" s="120">
        <f>SUM(P327:P332)</f>
        <v>214266</v>
      </c>
    </row>
    <row r="334" spans="1:16" x14ac:dyDescent="0.2">
      <c r="A334" t="s">
        <v>365</v>
      </c>
      <c r="B334" t="s">
        <v>870</v>
      </c>
      <c r="D334" s="129" t="str">
        <f>IF([1]RENAME!$H$3=1,B334,A334)</f>
        <v xml:space="preserve">Empréstimos e financiamentos </v>
      </c>
      <c r="E334" s="118" t="s">
        <v>2190</v>
      </c>
      <c r="F334" s="118" t="s">
        <v>2190</v>
      </c>
      <c r="G334" s="118">
        <v>100937</v>
      </c>
      <c r="H334" s="118">
        <v>78902</v>
      </c>
      <c r="I334" s="118">
        <v>925</v>
      </c>
      <c r="K334" s="129" t="str">
        <f t="shared" si="28"/>
        <v xml:space="preserve">Empréstimos e financiamentos </v>
      </c>
      <c r="L334" s="118"/>
      <c r="M334" s="118"/>
      <c r="N334" s="118">
        <v>100937</v>
      </c>
      <c r="O334" s="118">
        <v>78902</v>
      </c>
      <c r="P334" s="118">
        <v>925</v>
      </c>
    </row>
    <row r="335" spans="1:16" x14ac:dyDescent="0.2">
      <c r="A335" t="s">
        <v>366</v>
      </c>
      <c r="B335" t="s">
        <v>867</v>
      </c>
      <c r="D335" s="129" t="str">
        <f>IF([1]RENAME!$H$3=1,B335,A335)</f>
        <v xml:space="preserve">Debêntures </v>
      </c>
      <c r="E335" s="118" t="s">
        <v>2190</v>
      </c>
      <c r="F335" s="118" t="s">
        <v>2190</v>
      </c>
      <c r="G335" s="118">
        <v>28643</v>
      </c>
      <c r="H335" s="118">
        <v>116655</v>
      </c>
      <c r="I335" s="118">
        <v>213347</v>
      </c>
      <c r="K335" s="129" t="str">
        <f t="shared" si="28"/>
        <v xml:space="preserve">Debêntures </v>
      </c>
      <c r="L335" s="118"/>
      <c r="M335" s="118"/>
      <c r="N335" s="118">
        <v>28643</v>
      </c>
      <c r="O335" s="118">
        <v>116655</v>
      </c>
      <c r="P335" s="118">
        <v>213347</v>
      </c>
    </row>
    <row r="336" spans="1:16" x14ac:dyDescent="0.2">
      <c r="A336" t="s">
        <v>164</v>
      </c>
      <c r="B336" t="s">
        <v>770</v>
      </c>
      <c r="D336" s="129" t="str">
        <f>IF([1]RENAME!$H$3=1,B336,A336)</f>
        <v>Fornecedores e fretes a pagar</v>
      </c>
      <c r="E336" s="118" t="s">
        <v>2190</v>
      </c>
      <c r="F336" s="118" t="s">
        <v>2190</v>
      </c>
      <c r="G336" s="118">
        <v>48471</v>
      </c>
      <c r="H336" s="118">
        <v>0</v>
      </c>
      <c r="I336" s="118">
        <v>0</v>
      </c>
      <c r="K336" s="129" t="str">
        <f t="shared" si="28"/>
        <v>Fornecedores e fretes a pagar</v>
      </c>
      <c r="L336" s="118"/>
      <c r="M336" s="118"/>
      <c r="N336" s="118">
        <v>42184</v>
      </c>
      <c r="O336" s="118">
        <v>0</v>
      </c>
      <c r="P336" s="118">
        <v>0</v>
      </c>
    </row>
    <row r="337" spans="1:16" x14ac:dyDescent="0.2">
      <c r="A337" t="s">
        <v>367</v>
      </c>
      <c r="B337" t="s">
        <v>667</v>
      </c>
      <c r="D337" s="129" t="str">
        <f>IF([1]RENAME!$H$3=1,B337,A337)</f>
        <v xml:space="preserve">Demais contas a pagar </v>
      </c>
      <c r="E337" s="118" t="s">
        <v>2190</v>
      </c>
      <c r="F337" s="118" t="s">
        <v>2190</v>
      </c>
      <c r="G337" s="118">
        <v>22014</v>
      </c>
      <c r="H337" s="118">
        <v>0</v>
      </c>
      <c r="I337" s="118">
        <v>0</v>
      </c>
      <c r="K337" s="129" t="str">
        <f t="shared" si="28"/>
        <v xml:space="preserve">Demais contas a pagar </v>
      </c>
      <c r="L337" s="118"/>
      <c r="M337" s="118"/>
      <c r="N337" s="118">
        <v>15086</v>
      </c>
      <c r="O337" s="118">
        <v>0</v>
      </c>
      <c r="P337" s="118">
        <v>0</v>
      </c>
    </row>
    <row r="338" spans="1:16" x14ac:dyDescent="0.2">
      <c r="A338" t="s">
        <v>370</v>
      </c>
      <c r="B338" t="s">
        <v>1362</v>
      </c>
      <c r="D338" s="129" t="str">
        <f>IF([1]RENAME!$H$3=1,B338,A338)</f>
        <v xml:space="preserve">Contas a pagar - Preço variável </v>
      </c>
      <c r="E338" s="118" t="s">
        <v>2190</v>
      </c>
      <c r="F338" s="118" t="s">
        <v>2190</v>
      </c>
      <c r="G338" s="118">
        <v>0</v>
      </c>
      <c r="H338" s="118">
        <v>9981</v>
      </c>
      <c r="I338" s="118">
        <v>0</v>
      </c>
      <c r="K338" s="129" t="str">
        <f t="shared" si="28"/>
        <v xml:space="preserve">Contas a pagar - Preço variável </v>
      </c>
      <c r="L338" s="118"/>
      <c r="M338" s="118"/>
      <c r="N338" s="118">
        <v>0</v>
      </c>
      <c r="O338" s="118">
        <v>0</v>
      </c>
      <c r="P338" s="118">
        <v>0</v>
      </c>
    </row>
    <row r="339" spans="1:16" x14ac:dyDescent="0.2">
      <c r="A339" t="s">
        <v>165</v>
      </c>
      <c r="B339" t="s">
        <v>871</v>
      </c>
      <c r="D339" s="129" t="str">
        <f>IF([1]RENAME!$H$3=1,B339,A339)</f>
        <v>Seguros e aluguéis a pagar</v>
      </c>
      <c r="E339" s="118" t="s">
        <v>2190</v>
      </c>
      <c r="F339" s="118" t="s">
        <v>2190</v>
      </c>
      <c r="G339" s="118">
        <v>3753</v>
      </c>
      <c r="H339" s="118">
        <v>0</v>
      </c>
      <c r="I339" s="118">
        <v>0</v>
      </c>
      <c r="K339" s="129" t="str">
        <f t="shared" si="28"/>
        <v>Seguros e aluguéis a pagar</v>
      </c>
      <c r="L339" s="118"/>
      <c r="M339" s="118"/>
      <c r="N339" s="118">
        <v>4181</v>
      </c>
      <c r="O339" s="118">
        <v>0</v>
      </c>
      <c r="P339" s="118">
        <v>0</v>
      </c>
    </row>
    <row r="340" spans="1:16" x14ac:dyDescent="0.2">
      <c r="A340" t="s">
        <v>166</v>
      </c>
      <c r="B340" t="s">
        <v>1364</v>
      </c>
      <c r="D340" s="126" t="str">
        <f>IF([1]RENAME!$H$3=1,B340,A340)</f>
        <v>Em 31 de março de 2015</v>
      </c>
      <c r="E340" s="207" t="s">
        <v>2190</v>
      </c>
      <c r="F340" s="207" t="s">
        <v>2190</v>
      </c>
      <c r="G340" s="120">
        <f>SUM(G334:G339)</f>
        <v>203818</v>
      </c>
      <c r="H340" s="120">
        <f>SUM(H334:H339)</f>
        <v>205538</v>
      </c>
      <c r="I340" s="120">
        <f>SUM(I334:I339)</f>
        <v>214272</v>
      </c>
      <c r="K340" s="126" t="str">
        <f t="shared" si="28"/>
        <v>Em 31 de março de 2015</v>
      </c>
      <c r="L340" s="120"/>
      <c r="M340" s="120"/>
      <c r="N340" s="120">
        <f>SUM(N334:N339)</f>
        <v>191031</v>
      </c>
      <c r="O340" s="120">
        <f>SUM(O334:O339)</f>
        <v>195557</v>
      </c>
      <c r="P340" s="120">
        <f>SUM(P334:P339)</f>
        <v>214272</v>
      </c>
    </row>
    <row r="341" spans="1:16" x14ac:dyDescent="0.2">
      <c r="A341" t="s">
        <v>365</v>
      </c>
      <c r="B341" t="s">
        <v>870</v>
      </c>
      <c r="D341" s="129" t="str">
        <f>IF([1]RENAME!$H$3=1,B341,A341)</f>
        <v xml:space="preserve">Empréstimos e financiamentos </v>
      </c>
      <c r="E341" s="118" t="s">
        <v>2190</v>
      </c>
      <c r="F341" s="118" t="s">
        <v>2190</v>
      </c>
      <c r="G341" s="118">
        <v>25980</v>
      </c>
      <c r="H341" s="118">
        <v>122336</v>
      </c>
      <c r="I341" s="118">
        <v>1241</v>
      </c>
      <c r="K341" s="129" t="str">
        <f t="shared" si="28"/>
        <v xml:space="preserve">Empréstimos e financiamentos </v>
      </c>
      <c r="L341" s="118"/>
      <c r="M341" s="118"/>
      <c r="N341" s="118">
        <v>25980</v>
      </c>
      <c r="O341" s="118">
        <v>122336</v>
      </c>
      <c r="P341" s="118">
        <v>1241</v>
      </c>
    </row>
    <row r="342" spans="1:16" x14ac:dyDescent="0.2">
      <c r="A342" t="s">
        <v>366</v>
      </c>
      <c r="B342" t="s">
        <v>867</v>
      </c>
      <c r="D342" s="129" t="str">
        <f>IF([1]RENAME!$H$3=1,B342,A342)</f>
        <v xml:space="preserve">Debêntures </v>
      </c>
      <c r="E342" s="118" t="s">
        <v>2190</v>
      </c>
      <c r="F342" s="118" t="s">
        <v>2190</v>
      </c>
      <c r="G342" s="118">
        <v>9798</v>
      </c>
      <c r="H342" s="118">
        <v>116667</v>
      </c>
      <c r="I342" s="118">
        <v>233333</v>
      </c>
      <c r="K342" s="129" t="str">
        <f t="shared" si="28"/>
        <v xml:space="preserve">Debêntures </v>
      </c>
      <c r="L342" s="118"/>
      <c r="M342" s="118"/>
      <c r="N342" s="118">
        <v>9798</v>
      </c>
      <c r="O342" s="118">
        <v>116667</v>
      </c>
      <c r="P342" s="118">
        <v>233333</v>
      </c>
    </row>
    <row r="343" spans="1:16" x14ac:dyDescent="0.2">
      <c r="A343" t="s">
        <v>164</v>
      </c>
      <c r="B343" t="s">
        <v>770</v>
      </c>
      <c r="D343" s="129" t="str">
        <f>IF([1]RENAME!$H$3=1,B343,A343)</f>
        <v>Fornecedores e fretes a pagar</v>
      </c>
      <c r="E343" s="118" t="s">
        <v>2190</v>
      </c>
      <c r="F343" s="118" t="s">
        <v>2190</v>
      </c>
      <c r="G343" s="118">
        <v>51894</v>
      </c>
      <c r="H343" s="118">
        <v>0</v>
      </c>
      <c r="I343" s="118">
        <v>0</v>
      </c>
      <c r="K343" s="129" t="str">
        <f t="shared" si="28"/>
        <v>Fornecedores e fretes a pagar</v>
      </c>
      <c r="L343" s="118"/>
      <c r="M343" s="118"/>
      <c r="N343" s="118">
        <v>47545</v>
      </c>
      <c r="O343" s="118">
        <v>0</v>
      </c>
      <c r="P343" s="118">
        <v>0</v>
      </c>
    </row>
    <row r="344" spans="1:16" x14ac:dyDescent="0.2">
      <c r="A344" t="s">
        <v>367</v>
      </c>
      <c r="B344" t="s">
        <v>667</v>
      </c>
      <c r="D344" s="129" t="str">
        <f>IF([1]RENAME!$H$3=1,B344,A344)</f>
        <v xml:space="preserve">Demais contas a pagar </v>
      </c>
      <c r="E344" s="118" t="s">
        <v>2190</v>
      </c>
      <c r="F344" s="118" t="s">
        <v>2190</v>
      </c>
      <c r="G344" s="118">
        <v>31656</v>
      </c>
      <c r="H344" s="118">
        <v>0</v>
      </c>
      <c r="I344" s="118">
        <v>0</v>
      </c>
      <c r="K344" s="129" t="str">
        <f t="shared" si="28"/>
        <v xml:space="preserve">Demais contas a pagar </v>
      </c>
      <c r="L344" s="118"/>
      <c r="M344" s="118"/>
      <c r="N344" s="118">
        <v>25167</v>
      </c>
      <c r="O344" s="118">
        <v>0</v>
      </c>
      <c r="P344" s="118">
        <v>0</v>
      </c>
    </row>
    <row r="345" spans="1:16" x14ac:dyDescent="0.2">
      <c r="A345" t="s">
        <v>370</v>
      </c>
      <c r="B345" t="s">
        <v>1362</v>
      </c>
      <c r="D345" s="129" t="str">
        <f>IF([1]RENAME!$H$3=1,B345,A345)</f>
        <v xml:space="preserve">Contas a pagar - Preço variável </v>
      </c>
      <c r="E345" s="118" t="s">
        <v>2190</v>
      </c>
      <c r="F345" s="118" t="s">
        <v>2190</v>
      </c>
      <c r="G345" s="118">
        <v>0</v>
      </c>
      <c r="H345" s="118">
        <v>9709</v>
      </c>
      <c r="I345" s="118">
        <v>0</v>
      </c>
      <c r="K345" s="129" t="str">
        <f t="shared" si="28"/>
        <v xml:space="preserve">Contas a pagar - Preço variável </v>
      </c>
      <c r="L345" s="118"/>
      <c r="M345" s="118"/>
      <c r="N345" s="118">
        <v>0</v>
      </c>
      <c r="O345" s="118">
        <v>0</v>
      </c>
      <c r="P345" s="118">
        <v>0</v>
      </c>
    </row>
    <row r="346" spans="1:16" x14ac:dyDescent="0.2">
      <c r="A346" t="s">
        <v>165</v>
      </c>
      <c r="B346" t="s">
        <v>871</v>
      </c>
      <c r="D346" s="129" t="str">
        <f>IF([1]RENAME!$H$3=1,B346,A346)</f>
        <v>Seguros e aluguéis a pagar</v>
      </c>
      <c r="E346" s="118" t="s">
        <v>2190</v>
      </c>
      <c r="F346" s="118" t="s">
        <v>2190</v>
      </c>
      <c r="G346" s="118">
        <v>4673</v>
      </c>
      <c r="H346" s="118">
        <v>0</v>
      </c>
      <c r="I346" s="118">
        <v>0</v>
      </c>
      <c r="K346" s="129" t="str">
        <f t="shared" si="28"/>
        <v>Seguros e aluguéis a pagar</v>
      </c>
      <c r="L346" s="118"/>
      <c r="M346" s="118"/>
      <c r="N346" s="118">
        <v>4576</v>
      </c>
      <c r="O346" s="118">
        <v>0</v>
      </c>
      <c r="P346" s="118">
        <v>0</v>
      </c>
    </row>
    <row r="347" spans="1:16" x14ac:dyDescent="0.2">
      <c r="A347" t="s">
        <v>167</v>
      </c>
      <c r="B347" t="s">
        <v>1365</v>
      </c>
      <c r="D347" s="126" t="str">
        <f>IF([1]RENAME!$H$3=1,B347,A347)</f>
        <v>Em 31 de dezembro de 2014</v>
      </c>
      <c r="E347" s="207" t="s">
        <v>2190</v>
      </c>
      <c r="F347" s="207" t="s">
        <v>2190</v>
      </c>
      <c r="G347" s="120">
        <f>SUM(G341:G346)</f>
        <v>124001</v>
      </c>
      <c r="H347" s="120">
        <f>SUM(H341:H346)</f>
        <v>248712</v>
      </c>
      <c r="I347" s="120">
        <f>SUM(I341:I346)</f>
        <v>234574</v>
      </c>
      <c r="K347" s="126" t="str">
        <f t="shared" si="28"/>
        <v>Em 31 de dezembro de 2014</v>
      </c>
      <c r="L347" s="120"/>
      <c r="M347" s="120"/>
      <c r="N347" s="120">
        <f>SUM(N341:N346)</f>
        <v>113066</v>
      </c>
      <c r="O347" s="120">
        <f>SUM(O341:O346)</f>
        <v>239003</v>
      </c>
      <c r="P347" s="120">
        <f>SUM(P341:P346)</f>
        <v>234574</v>
      </c>
    </row>
    <row r="348" spans="1:16" x14ac:dyDescent="0.2">
      <c r="A348" t="s">
        <v>365</v>
      </c>
      <c r="B348" t="s">
        <v>870</v>
      </c>
      <c r="D348" s="129" t="str">
        <f>IF([1]RENAME!$H$3=1,B348,A348)</f>
        <v xml:space="preserve">Empréstimos e financiamentos </v>
      </c>
      <c r="E348" s="118" t="s">
        <v>2190</v>
      </c>
      <c r="F348" s="118" t="s">
        <v>2190</v>
      </c>
      <c r="G348" s="118">
        <v>24323</v>
      </c>
      <c r="H348" s="118">
        <v>114332</v>
      </c>
      <c r="I348" s="118">
        <v>437</v>
      </c>
      <c r="K348" s="129" t="str">
        <f t="shared" si="28"/>
        <v xml:space="preserve">Empréstimos e financiamentos </v>
      </c>
      <c r="L348" s="118"/>
      <c r="M348" s="118"/>
      <c r="N348" s="118">
        <v>24323</v>
      </c>
      <c r="O348" s="118">
        <v>114332</v>
      </c>
      <c r="P348" s="118">
        <v>437</v>
      </c>
    </row>
    <row r="349" spans="1:16" x14ac:dyDescent="0.2">
      <c r="A349" t="s">
        <v>366</v>
      </c>
      <c r="B349" t="s">
        <v>867</v>
      </c>
      <c r="D349" s="129" t="str">
        <f>IF([1]RENAME!$H$3=1,B349,A349)</f>
        <v xml:space="preserve">Debêntures </v>
      </c>
      <c r="E349" s="118" t="s">
        <v>2190</v>
      </c>
      <c r="F349" s="118" t="s">
        <v>2190</v>
      </c>
      <c r="G349" s="118">
        <v>8318</v>
      </c>
      <c r="H349" s="118">
        <v>57370</v>
      </c>
      <c r="I349" s="118">
        <v>292630</v>
      </c>
      <c r="K349" s="129" t="str">
        <f t="shared" si="28"/>
        <v xml:space="preserve">Debêntures </v>
      </c>
      <c r="L349" s="118"/>
      <c r="M349" s="118"/>
      <c r="N349" s="118">
        <v>8318</v>
      </c>
      <c r="O349" s="118">
        <v>57370</v>
      </c>
      <c r="P349" s="118">
        <v>292630</v>
      </c>
    </row>
    <row r="350" spans="1:16" x14ac:dyDescent="0.2">
      <c r="A350" t="s">
        <v>164</v>
      </c>
      <c r="B350" t="s">
        <v>770</v>
      </c>
      <c r="D350" s="129" t="str">
        <f>IF([1]RENAME!$H$3=1,B350,A350)</f>
        <v>Fornecedores e fretes a pagar</v>
      </c>
      <c r="E350" s="118" t="s">
        <v>2190</v>
      </c>
      <c r="F350" s="118" t="s">
        <v>2190</v>
      </c>
      <c r="G350" s="118">
        <v>53006</v>
      </c>
      <c r="H350" s="118">
        <v>0</v>
      </c>
      <c r="I350" s="118">
        <v>0</v>
      </c>
      <c r="K350" s="129" t="str">
        <f t="shared" si="28"/>
        <v>Fornecedores e fretes a pagar</v>
      </c>
      <c r="L350" s="118"/>
      <c r="M350" s="118"/>
      <c r="N350" s="118">
        <v>48126</v>
      </c>
      <c r="O350" s="118">
        <v>0</v>
      </c>
      <c r="P350" s="118">
        <v>0</v>
      </c>
    </row>
    <row r="351" spans="1:16" x14ac:dyDescent="0.2">
      <c r="A351" t="s">
        <v>367</v>
      </c>
      <c r="B351" t="s">
        <v>667</v>
      </c>
      <c r="D351" s="129" t="str">
        <f>IF([1]RENAME!$H$3=1,B351,A351)</f>
        <v xml:space="preserve">Demais contas a pagar </v>
      </c>
      <c r="E351" s="118" t="s">
        <v>2190</v>
      </c>
      <c r="F351" s="118" t="s">
        <v>2190</v>
      </c>
      <c r="G351" s="118">
        <v>20672</v>
      </c>
      <c r="H351" s="118">
        <v>0</v>
      </c>
      <c r="I351" s="118">
        <v>0</v>
      </c>
      <c r="K351" s="129" t="str">
        <f t="shared" si="28"/>
        <v xml:space="preserve">Demais contas a pagar </v>
      </c>
      <c r="L351" s="118"/>
      <c r="M351" s="118"/>
      <c r="N351" s="118">
        <v>9344</v>
      </c>
      <c r="O351" s="118">
        <v>0</v>
      </c>
      <c r="P351" s="118">
        <v>0</v>
      </c>
    </row>
    <row r="352" spans="1:16" x14ac:dyDescent="0.2">
      <c r="A352" t="s">
        <v>370</v>
      </c>
      <c r="B352" t="s">
        <v>1362</v>
      </c>
      <c r="D352" s="129" t="str">
        <f>IF([1]RENAME!$H$3=1,B352,A352)</f>
        <v xml:space="preserve">Contas a pagar - Preço variável </v>
      </c>
      <c r="E352" s="118" t="s">
        <v>2190</v>
      </c>
      <c r="F352" s="118" t="s">
        <v>2190</v>
      </c>
      <c r="G352" s="118">
        <v>0</v>
      </c>
      <c r="H352" s="118">
        <v>9448</v>
      </c>
      <c r="I352" s="118">
        <v>0</v>
      </c>
      <c r="K352" s="129" t="str">
        <f t="shared" si="28"/>
        <v xml:space="preserve">Contas a pagar - Preço variável </v>
      </c>
      <c r="L352" s="118"/>
      <c r="M352" s="118"/>
      <c r="N352" s="118">
        <v>0</v>
      </c>
      <c r="O352" s="118">
        <v>0</v>
      </c>
      <c r="P352" s="118">
        <v>0</v>
      </c>
    </row>
    <row r="353" spans="1:16" x14ac:dyDescent="0.2">
      <c r="A353" t="s">
        <v>165</v>
      </c>
      <c r="B353" t="s">
        <v>871</v>
      </c>
      <c r="D353" s="129" t="str">
        <f>IF([1]RENAME!$H$3=1,B353,A353)</f>
        <v>Seguros e aluguéis a pagar</v>
      </c>
      <c r="E353" s="118" t="s">
        <v>2190</v>
      </c>
      <c r="F353" s="118" t="s">
        <v>2190</v>
      </c>
      <c r="G353" s="118">
        <v>5992</v>
      </c>
      <c r="H353" s="118">
        <v>0</v>
      </c>
      <c r="I353" s="118">
        <v>0</v>
      </c>
      <c r="K353" s="129" t="str">
        <f t="shared" si="28"/>
        <v>Seguros e aluguéis a pagar</v>
      </c>
      <c r="L353" s="118"/>
      <c r="M353" s="118"/>
      <c r="N353" s="118">
        <v>4947</v>
      </c>
      <c r="O353" s="118">
        <v>0</v>
      </c>
      <c r="P353" s="118">
        <v>0</v>
      </c>
    </row>
    <row r="354" spans="1:16" x14ac:dyDescent="0.2">
      <c r="A354" t="s">
        <v>168</v>
      </c>
      <c r="B354" t="s">
        <v>1366</v>
      </c>
      <c r="D354" s="126" t="str">
        <f>IF([1]RENAME!$H$3=1,B354,A354)</f>
        <v>Em 30 de setembro de 2014</v>
      </c>
      <c r="E354" s="207" t="s">
        <v>2190</v>
      </c>
      <c r="F354" s="207" t="s">
        <v>2190</v>
      </c>
      <c r="G354" s="120">
        <f>SUM(G348:G353)</f>
        <v>112311</v>
      </c>
      <c r="H354" s="120">
        <f>SUM(H348:H353)</f>
        <v>181150</v>
      </c>
      <c r="I354" s="120">
        <f>SUM(I348:I353)</f>
        <v>293067</v>
      </c>
      <c r="K354" s="126" t="str">
        <f t="shared" si="28"/>
        <v>Em 30 de setembro de 2014</v>
      </c>
      <c r="L354" s="120"/>
      <c r="M354" s="120"/>
      <c r="N354" s="120">
        <f>SUM(N348:N353)</f>
        <v>95058</v>
      </c>
      <c r="O354" s="120">
        <f>SUM(O348:O353)</f>
        <v>171702</v>
      </c>
      <c r="P354" s="120">
        <f>SUM(P348:P353)</f>
        <v>293067</v>
      </c>
    </row>
    <row r="355" spans="1:16" x14ac:dyDescent="0.2">
      <c r="A355" t="s">
        <v>365</v>
      </c>
      <c r="B355" t="s">
        <v>870</v>
      </c>
      <c r="D355" s="129" t="str">
        <f>IF([1]RENAME!$H$3=1,B355,A355)</f>
        <v xml:space="preserve">Empréstimos e financiamentos </v>
      </c>
      <c r="E355" s="118" t="s">
        <v>2190</v>
      </c>
      <c r="F355" s="118" t="s">
        <v>2190</v>
      </c>
      <c r="G355" s="118">
        <v>3909</v>
      </c>
      <c r="H355" s="118">
        <v>51250</v>
      </c>
      <c r="I355" s="118">
        <v>657</v>
      </c>
      <c r="K355" s="129" t="str">
        <f t="shared" si="28"/>
        <v xml:space="preserve">Empréstimos e financiamentos </v>
      </c>
      <c r="L355" s="118"/>
      <c r="M355" s="118"/>
      <c r="N355" s="118">
        <v>3909</v>
      </c>
      <c r="O355" s="118">
        <v>51250</v>
      </c>
      <c r="P355" s="118">
        <v>657</v>
      </c>
    </row>
    <row r="356" spans="1:16" x14ac:dyDescent="0.2">
      <c r="A356" t="s">
        <v>366</v>
      </c>
      <c r="B356" t="s">
        <v>867</v>
      </c>
      <c r="D356" s="129" t="str">
        <f>IF([1]RENAME!$H$3=1,B356,A356)</f>
        <v xml:space="preserve">Debêntures </v>
      </c>
      <c r="E356" s="118" t="s">
        <v>2190</v>
      </c>
      <c r="F356" s="118" t="s">
        <v>2190</v>
      </c>
      <c r="G356" s="118">
        <v>8630</v>
      </c>
      <c r="H356" s="118">
        <v>57370</v>
      </c>
      <c r="I356" s="118">
        <v>292630</v>
      </c>
      <c r="K356" s="129" t="str">
        <f t="shared" si="28"/>
        <v xml:space="preserve">Debêntures </v>
      </c>
      <c r="L356" s="118"/>
      <c r="M356" s="118"/>
      <c r="N356" s="118">
        <v>8630</v>
      </c>
      <c r="O356" s="118">
        <v>57370</v>
      </c>
      <c r="P356" s="118">
        <v>292630</v>
      </c>
    </row>
    <row r="357" spans="1:16" x14ac:dyDescent="0.2">
      <c r="A357" t="s">
        <v>164</v>
      </c>
      <c r="B357" t="s">
        <v>770</v>
      </c>
      <c r="D357" s="129" t="str">
        <f>IF([1]RENAME!$H$3=1,B357,A357)</f>
        <v>Fornecedores e fretes a pagar</v>
      </c>
      <c r="E357" s="118" t="s">
        <v>2190</v>
      </c>
      <c r="F357" s="118" t="s">
        <v>2190</v>
      </c>
      <c r="G357" s="118">
        <v>46278</v>
      </c>
      <c r="H357" s="118">
        <v>0</v>
      </c>
      <c r="I357" s="118">
        <v>0</v>
      </c>
      <c r="K357" s="129" t="str">
        <f t="shared" si="28"/>
        <v>Fornecedores e fretes a pagar</v>
      </c>
      <c r="L357" s="118"/>
      <c r="M357" s="118"/>
      <c r="N357" s="118">
        <v>40697</v>
      </c>
      <c r="O357" s="118">
        <v>0</v>
      </c>
      <c r="P357" s="118">
        <v>0</v>
      </c>
    </row>
    <row r="358" spans="1:16" x14ac:dyDescent="0.2">
      <c r="A358" t="s">
        <v>367</v>
      </c>
      <c r="B358" t="s">
        <v>667</v>
      </c>
      <c r="D358" s="129" t="str">
        <f>IF([1]RENAME!$H$3=1,B358,A358)</f>
        <v xml:space="preserve">Demais contas a pagar </v>
      </c>
      <c r="E358" s="118" t="s">
        <v>2190</v>
      </c>
      <c r="F358" s="118" t="s">
        <v>2190</v>
      </c>
      <c r="G358" s="118">
        <v>21772</v>
      </c>
      <c r="H358" s="118">
        <v>0</v>
      </c>
      <c r="I358" s="118">
        <v>0</v>
      </c>
      <c r="K358" s="129" t="str">
        <f t="shared" si="28"/>
        <v xml:space="preserve">Demais contas a pagar </v>
      </c>
      <c r="L358" s="118"/>
      <c r="M358" s="118"/>
      <c r="N358" s="118">
        <v>11235</v>
      </c>
      <c r="O358" s="118">
        <v>0</v>
      </c>
      <c r="P358" s="118">
        <v>0</v>
      </c>
    </row>
    <row r="359" spans="1:16" x14ac:dyDescent="0.2">
      <c r="A359" t="s">
        <v>172</v>
      </c>
      <c r="B359" t="s">
        <v>1362</v>
      </c>
      <c r="D359" s="129" t="str">
        <f>IF([1]RENAME!$H$3=1,B359,A359)</f>
        <v>Contas a pagar - Preço variável</v>
      </c>
      <c r="E359" s="118" t="s">
        <v>2190</v>
      </c>
      <c r="F359" s="118" t="s">
        <v>2190</v>
      </c>
      <c r="G359" s="118">
        <v>0</v>
      </c>
      <c r="H359" s="118">
        <v>9197</v>
      </c>
      <c r="I359" s="118">
        <v>0</v>
      </c>
      <c r="K359" s="129" t="str">
        <f t="shared" si="28"/>
        <v>Contas a pagar - Preço variável</v>
      </c>
      <c r="L359" s="118"/>
      <c r="M359" s="118"/>
      <c r="N359" s="118">
        <v>0</v>
      </c>
      <c r="O359" s="118">
        <v>0</v>
      </c>
      <c r="P359" s="118">
        <v>0</v>
      </c>
    </row>
    <row r="360" spans="1:16" x14ac:dyDescent="0.2">
      <c r="A360" t="s">
        <v>165</v>
      </c>
      <c r="B360" t="s">
        <v>871</v>
      </c>
      <c r="D360" s="129" t="str">
        <f>IF([1]RENAME!$H$3=1,B360,A360)</f>
        <v>Seguros e aluguéis a pagar</v>
      </c>
      <c r="E360" s="118" t="s">
        <v>2190</v>
      </c>
      <c r="F360" s="118" t="s">
        <v>2190</v>
      </c>
      <c r="G360" s="118">
        <v>6459</v>
      </c>
      <c r="H360" s="118">
        <v>0</v>
      </c>
      <c r="I360" s="118">
        <v>0</v>
      </c>
      <c r="K360" s="129" t="str">
        <f t="shared" si="28"/>
        <v>Seguros e aluguéis a pagar</v>
      </c>
      <c r="L360" s="118"/>
      <c r="M360" s="118"/>
      <c r="N360" s="118">
        <v>6182</v>
      </c>
      <c r="O360" s="118">
        <v>0</v>
      </c>
      <c r="P360" s="118">
        <v>0</v>
      </c>
    </row>
    <row r="361" spans="1:16" x14ac:dyDescent="0.2">
      <c r="A361" t="s">
        <v>368</v>
      </c>
      <c r="B361" t="s">
        <v>1367</v>
      </c>
      <c r="D361" s="129" t="str">
        <f>IF([1]RENAME!$H$3=1,B361,A361)</f>
        <v xml:space="preserve">Partes relacionadas </v>
      </c>
      <c r="E361" s="118" t="s">
        <v>2190</v>
      </c>
      <c r="F361" s="118" t="s">
        <v>2190</v>
      </c>
      <c r="G361" s="118">
        <v>1420</v>
      </c>
      <c r="H361" s="118">
        <v>0</v>
      </c>
      <c r="I361" s="118">
        <v>0</v>
      </c>
      <c r="K361" s="129" t="str">
        <f t="shared" si="28"/>
        <v xml:space="preserve">Partes relacionadas </v>
      </c>
      <c r="L361" s="118"/>
      <c r="M361" s="118"/>
      <c r="N361" s="118">
        <v>35</v>
      </c>
      <c r="O361" s="118">
        <v>0</v>
      </c>
      <c r="P361" s="118">
        <v>0</v>
      </c>
    </row>
    <row r="362" spans="1:16" x14ac:dyDescent="0.2">
      <c r="A362" t="s">
        <v>169</v>
      </c>
      <c r="B362" t="s">
        <v>1368</v>
      </c>
      <c r="D362" s="126" t="str">
        <f>IF([1]RENAME!$H$3=1,B362,A362)</f>
        <v>Em 30 de junho de 2014</v>
      </c>
      <c r="E362" s="207" t="s">
        <v>2190</v>
      </c>
      <c r="F362" s="207" t="s">
        <v>2190</v>
      </c>
      <c r="G362" s="120">
        <f>SUM(G355:G361)</f>
        <v>88468</v>
      </c>
      <c r="H362" s="120">
        <f>SUM(H355:H361)</f>
        <v>117817</v>
      </c>
      <c r="I362" s="120">
        <f>SUM(I355:I361)</f>
        <v>293287</v>
      </c>
      <c r="K362" s="126" t="str">
        <f t="shared" si="28"/>
        <v>Em 30 de junho de 2014</v>
      </c>
      <c r="L362" s="120"/>
      <c r="M362" s="120"/>
      <c r="N362" s="120">
        <f>SUM(N355:N361)</f>
        <v>70688</v>
      </c>
      <c r="O362" s="120">
        <f>SUM(O355:O361)</f>
        <v>108620</v>
      </c>
      <c r="P362" s="120">
        <f>SUM(P355:P361)</f>
        <v>293287</v>
      </c>
    </row>
    <row r="363" spans="1:16" x14ac:dyDescent="0.2">
      <c r="A363" t="s">
        <v>365</v>
      </c>
      <c r="B363" t="s">
        <v>870</v>
      </c>
      <c r="D363" s="129" t="str">
        <f>IF([1]RENAME!$H$3=1,B363,A363)</f>
        <v xml:space="preserve">Empréstimos e financiamentos </v>
      </c>
      <c r="E363" s="118" t="s">
        <v>2190</v>
      </c>
      <c r="F363" s="118" t="s">
        <v>2190</v>
      </c>
      <c r="G363" s="118">
        <v>80949</v>
      </c>
      <c r="H363" s="118">
        <v>39811</v>
      </c>
      <c r="I363" s="118">
        <v>110154</v>
      </c>
      <c r="K363" s="129" t="str">
        <f t="shared" si="28"/>
        <v xml:space="preserve">Empréstimos e financiamentos </v>
      </c>
      <c r="L363" s="118"/>
      <c r="M363" s="118"/>
      <c r="N363" s="118">
        <v>3851</v>
      </c>
      <c r="O363" s="118">
        <v>52121</v>
      </c>
      <c r="P363" s="118">
        <v>2138</v>
      </c>
    </row>
    <row r="364" spans="1:16" x14ac:dyDescent="0.2">
      <c r="A364" t="s">
        <v>366</v>
      </c>
      <c r="B364" t="s">
        <v>867</v>
      </c>
      <c r="D364" s="129" t="str">
        <f>IF([1]RENAME!$H$3=1,B364,A364)</f>
        <v xml:space="preserve">Debêntures </v>
      </c>
      <c r="E364" s="118" t="s">
        <v>2190</v>
      </c>
      <c r="F364" s="118" t="s">
        <v>2190</v>
      </c>
      <c r="G364" s="118">
        <v>0</v>
      </c>
      <c r="H364" s="118">
        <v>95021</v>
      </c>
      <c r="I364" s="118">
        <v>190042</v>
      </c>
      <c r="K364" s="129" t="str">
        <f t="shared" si="28"/>
        <v xml:space="preserve">Debêntures </v>
      </c>
      <c r="L364" s="118"/>
      <c r="M364" s="118"/>
      <c r="N364" s="118">
        <v>0</v>
      </c>
      <c r="O364" s="118">
        <v>95021</v>
      </c>
      <c r="P364" s="118">
        <v>190042</v>
      </c>
    </row>
    <row r="365" spans="1:16" x14ac:dyDescent="0.2">
      <c r="A365" t="s">
        <v>164</v>
      </c>
      <c r="B365" t="s">
        <v>770</v>
      </c>
      <c r="D365" s="129" t="str">
        <f>IF([1]RENAME!$H$3=1,B365,A365)</f>
        <v>Fornecedores e fretes a pagar</v>
      </c>
      <c r="E365" s="118" t="s">
        <v>2190</v>
      </c>
      <c r="F365" s="118" t="s">
        <v>2190</v>
      </c>
      <c r="G365" s="118">
        <v>53213</v>
      </c>
      <c r="H365" s="118">
        <v>0</v>
      </c>
      <c r="I365" s="118">
        <v>0</v>
      </c>
      <c r="K365" s="129" t="str">
        <f t="shared" si="28"/>
        <v>Fornecedores e fretes a pagar</v>
      </c>
      <c r="L365" s="118"/>
      <c r="M365" s="118"/>
      <c r="N365" s="118">
        <v>39443</v>
      </c>
      <c r="O365" s="118">
        <v>0</v>
      </c>
      <c r="P365" s="118">
        <v>0</v>
      </c>
    </row>
    <row r="366" spans="1:16" x14ac:dyDescent="0.2">
      <c r="A366" t="s">
        <v>367</v>
      </c>
      <c r="B366" t="s">
        <v>667</v>
      </c>
      <c r="D366" s="129" t="str">
        <f>IF([1]RENAME!$H$3=1,B366,A366)</f>
        <v xml:space="preserve">Demais contas a pagar </v>
      </c>
      <c r="E366" s="118" t="s">
        <v>2190</v>
      </c>
      <c r="F366" s="118" t="s">
        <v>2190</v>
      </c>
      <c r="G366" s="118">
        <v>45861</v>
      </c>
      <c r="H366" s="118">
        <v>0</v>
      </c>
      <c r="I366" s="118">
        <v>0</v>
      </c>
      <c r="K366" s="129" t="str">
        <f t="shared" si="28"/>
        <v xml:space="preserve">Demais contas a pagar </v>
      </c>
      <c r="L366" s="118"/>
      <c r="M366" s="118"/>
      <c r="N366" s="118">
        <v>12028</v>
      </c>
      <c r="O366" s="118">
        <v>0</v>
      </c>
      <c r="P366" s="118">
        <v>0</v>
      </c>
    </row>
    <row r="367" spans="1:16" x14ac:dyDescent="0.2">
      <c r="A367" t="s">
        <v>172</v>
      </c>
      <c r="B367" t="s">
        <v>1362</v>
      </c>
      <c r="D367" s="129" t="str">
        <f>IF([1]RENAME!$H$3=1,B367,A367)</f>
        <v>Contas a pagar - Preço variável</v>
      </c>
      <c r="E367" s="118" t="s">
        <v>2190</v>
      </c>
      <c r="F367" s="118" t="s">
        <v>2190</v>
      </c>
      <c r="G367" s="118">
        <v>0</v>
      </c>
      <c r="H367" s="118">
        <v>8972</v>
      </c>
      <c r="I367" s="118">
        <v>0</v>
      </c>
      <c r="K367" s="129" t="str">
        <f t="shared" si="28"/>
        <v>Contas a pagar - Preço variável</v>
      </c>
      <c r="L367" s="118"/>
      <c r="M367" s="118"/>
      <c r="N367" s="118">
        <v>0</v>
      </c>
      <c r="O367" s="118">
        <v>0</v>
      </c>
      <c r="P367" s="118">
        <v>0</v>
      </c>
    </row>
    <row r="368" spans="1:16" x14ac:dyDescent="0.2">
      <c r="A368" t="s">
        <v>165</v>
      </c>
      <c r="B368" t="s">
        <v>871</v>
      </c>
      <c r="D368" s="129" t="str">
        <f>IF([1]RENAME!$H$3=1,B368,A368)</f>
        <v>Seguros e aluguéis a pagar</v>
      </c>
      <c r="E368" s="118" t="s">
        <v>2190</v>
      </c>
      <c r="F368" s="118" t="s">
        <v>2190</v>
      </c>
      <c r="G368" s="118">
        <v>4106</v>
      </c>
      <c r="H368" s="118">
        <v>0</v>
      </c>
      <c r="I368" s="118">
        <v>0</v>
      </c>
      <c r="K368" s="129" t="str">
        <f t="shared" si="28"/>
        <v>Seguros e aluguéis a pagar</v>
      </c>
      <c r="L368" s="118"/>
      <c r="M368" s="118"/>
      <c r="N368" s="118">
        <v>3269</v>
      </c>
      <c r="O368" s="118">
        <v>0</v>
      </c>
      <c r="P368" s="118">
        <v>0</v>
      </c>
    </row>
    <row r="369" spans="1:16" x14ac:dyDescent="0.2">
      <c r="A369" t="s">
        <v>368</v>
      </c>
      <c r="B369" t="s">
        <v>1367</v>
      </c>
      <c r="D369" s="129" t="str">
        <f>IF([1]RENAME!$H$3=1,B369,A369)</f>
        <v xml:space="preserve">Partes relacionadas </v>
      </c>
      <c r="E369" s="118" t="s">
        <v>2190</v>
      </c>
      <c r="F369" s="118" t="s">
        <v>2190</v>
      </c>
      <c r="G369" s="118">
        <v>756</v>
      </c>
      <c r="H369" s="118">
        <v>0</v>
      </c>
      <c r="I369" s="118">
        <v>0</v>
      </c>
      <c r="K369" s="129" t="str">
        <f t="shared" si="28"/>
        <v xml:space="preserve">Partes relacionadas </v>
      </c>
      <c r="L369" s="118"/>
      <c r="M369" s="118"/>
      <c r="N369" s="118">
        <v>14075</v>
      </c>
      <c r="O369" s="118">
        <v>0</v>
      </c>
      <c r="P369" s="118">
        <v>0</v>
      </c>
    </row>
    <row r="370" spans="1:16" x14ac:dyDescent="0.2">
      <c r="A370" t="s">
        <v>170</v>
      </c>
      <c r="B370" t="s">
        <v>1369</v>
      </c>
      <c r="D370" s="126" t="str">
        <f>IF([1]RENAME!$H$3=1,B370,A370)</f>
        <v>Em 31 de março de 2014</v>
      </c>
      <c r="E370" s="207" t="s">
        <v>2190</v>
      </c>
      <c r="F370" s="207" t="s">
        <v>2190</v>
      </c>
      <c r="G370" s="120">
        <f>SUM(G363:G369)</f>
        <v>184885</v>
      </c>
      <c r="H370" s="120">
        <f>SUM(H363:H369)</f>
        <v>143804</v>
      </c>
      <c r="I370" s="120">
        <f>SUM(I363:I369)</f>
        <v>300196</v>
      </c>
      <c r="K370" s="126" t="str">
        <f t="shared" si="28"/>
        <v>Em 31 de março de 2014</v>
      </c>
      <c r="L370" s="120"/>
      <c r="M370" s="120"/>
      <c r="N370" s="120">
        <f>SUM(N363:N369)</f>
        <v>72666</v>
      </c>
      <c r="O370" s="120">
        <f>SUM(O363:O369)</f>
        <v>147142</v>
      </c>
      <c r="P370" s="120">
        <f>SUM(P363:P369)</f>
        <v>192180</v>
      </c>
    </row>
    <row r="371" spans="1:16" x14ac:dyDescent="0.2">
      <c r="A371" t="s">
        <v>365</v>
      </c>
      <c r="B371" t="s">
        <v>870</v>
      </c>
      <c r="D371" s="129" t="str">
        <f>IF([1]RENAME!$H$3=1,B371,A371)</f>
        <v xml:space="preserve">Empréstimos e financiamentos </v>
      </c>
      <c r="E371" s="118" t="s">
        <v>2190</v>
      </c>
      <c r="F371" s="118" t="s">
        <v>2190</v>
      </c>
      <c r="G371" s="118">
        <v>83235</v>
      </c>
      <c r="H371" s="118">
        <v>151621</v>
      </c>
      <c r="I371" s="118">
        <v>5339</v>
      </c>
      <c r="K371" s="129" t="str">
        <f t="shared" si="28"/>
        <v xml:space="preserve">Empréstimos e financiamentos </v>
      </c>
      <c r="L371" s="118"/>
      <c r="M371" s="118"/>
      <c r="N371" s="118">
        <v>3914</v>
      </c>
      <c r="O371" s="118">
        <v>55822</v>
      </c>
      <c r="P371" s="118">
        <v>1239</v>
      </c>
    </row>
    <row r="372" spans="1:16" x14ac:dyDescent="0.2">
      <c r="A372" t="s">
        <v>366</v>
      </c>
      <c r="B372" t="s">
        <v>867</v>
      </c>
      <c r="D372" s="129" t="str">
        <f>IF([1]RENAME!$H$3=1,B372,A372)</f>
        <v xml:space="preserve">Debêntures </v>
      </c>
      <c r="E372" s="118" t="s">
        <v>2190</v>
      </c>
      <c r="F372" s="118" t="s">
        <v>2190</v>
      </c>
      <c r="G372" s="118">
        <v>0</v>
      </c>
      <c r="H372" s="118">
        <v>93333</v>
      </c>
      <c r="I372" s="118">
        <v>194512</v>
      </c>
      <c r="K372" s="129" t="str">
        <f t="shared" si="28"/>
        <v xml:space="preserve">Debêntures </v>
      </c>
      <c r="L372" s="118"/>
      <c r="M372" s="118"/>
      <c r="N372" s="118">
        <v>0</v>
      </c>
      <c r="O372" s="118">
        <v>93333</v>
      </c>
      <c r="P372" s="118">
        <v>194512</v>
      </c>
    </row>
    <row r="373" spans="1:16" x14ac:dyDescent="0.2">
      <c r="A373" t="s">
        <v>164</v>
      </c>
      <c r="B373" t="s">
        <v>770</v>
      </c>
      <c r="D373" s="129" t="str">
        <f>IF([1]RENAME!$H$3=1,B373,A373)</f>
        <v>Fornecedores e fretes a pagar</v>
      </c>
      <c r="E373" s="118" t="s">
        <v>2190</v>
      </c>
      <c r="F373" s="118" t="s">
        <v>2190</v>
      </c>
      <c r="G373" s="118">
        <v>64297</v>
      </c>
      <c r="H373" s="118">
        <v>0</v>
      </c>
      <c r="I373" s="118">
        <v>0</v>
      </c>
      <c r="K373" s="129" t="str">
        <f t="shared" si="28"/>
        <v>Fornecedores e fretes a pagar</v>
      </c>
      <c r="L373" s="118"/>
      <c r="M373" s="118"/>
      <c r="N373" s="118">
        <v>45129</v>
      </c>
      <c r="O373" s="118">
        <v>0</v>
      </c>
      <c r="P373" s="118">
        <v>0</v>
      </c>
    </row>
    <row r="374" spans="1:16" x14ac:dyDescent="0.2">
      <c r="A374" t="s">
        <v>367</v>
      </c>
      <c r="B374" t="s">
        <v>667</v>
      </c>
      <c r="D374" s="129" t="str">
        <f>IF([1]RENAME!$H$3=1,B374,A374)</f>
        <v xml:space="preserve">Demais contas a pagar </v>
      </c>
      <c r="E374" s="118" t="s">
        <v>2190</v>
      </c>
      <c r="F374" s="118" t="s">
        <v>2190</v>
      </c>
      <c r="G374" s="118">
        <v>47352</v>
      </c>
      <c r="H374" s="118">
        <v>0</v>
      </c>
      <c r="I374" s="118">
        <v>0</v>
      </c>
      <c r="K374" s="129" t="str">
        <f t="shared" si="28"/>
        <v xml:space="preserve">Demais contas a pagar </v>
      </c>
      <c r="L374" s="118"/>
      <c r="M374" s="118"/>
      <c r="N374" s="118">
        <v>15219</v>
      </c>
      <c r="O374" s="118">
        <v>0</v>
      </c>
      <c r="P374" s="118">
        <v>0</v>
      </c>
    </row>
    <row r="375" spans="1:16" x14ac:dyDescent="0.2">
      <c r="A375" t="s">
        <v>172</v>
      </c>
      <c r="B375" t="s">
        <v>1362</v>
      </c>
      <c r="D375" s="129" t="str">
        <f>IF([1]RENAME!$H$3=1,B375,A375)</f>
        <v>Contas a pagar - Preço variável</v>
      </c>
      <c r="E375" s="118" t="s">
        <v>2190</v>
      </c>
      <c r="F375" s="118" t="s">
        <v>2190</v>
      </c>
      <c r="G375" s="118">
        <v>0</v>
      </c>
      <c r="H375" s="118">
        <v>8762</v>
      </c>
      <c r="I375" s="118">
        <v>0</v>
      </c>
      <c r="K375" s="129" t="str">
        <f t="shared" si="28"/>
        <v>Contas a pagar - Preço variável</v>
      </c>
      <c r="L375" s="118"/>
      <c r="M375" s="118"/>
      <c r="N375" s="118">
        <v>3681</v>
      </c>
      <c r="O375" s="118">
        <v>0</v>
      </c>
      <c r="P375" s="118">
        <v>0</v>
      </c>
    </row>
    <row r="376" spans="1:16" x14ac:dyDescent="0.2">
      <c r="A376" t="s">
        <v>165</v>
      </c>
      <c r="B376" t="s">
        <v>871</v>
      </c>
      <c r="D376" s="129" t="str">
        <f>IF([1]RENAME!$H$3=1,B376,A376)</f>
        <v>Seguros e aluguéis a pagar</v>
      </c>
      <c r="E376" s="118" t="s">
        <v>2190</v>
      </c>
      <c r="F376" s="118" t="s">
        <v>2190</v>
      </c>
      <c r="G376" s="118">
        <v>4279</v>
      </c>
      <c r="H376" s="118">
        <v>0</v>
      </c>
      <c r="I376" s="118">
        <v>0</v>
      </c>
      <c r="K376" s="129" t="str">
        <f t="shared" si="28"/>
        <v>Seguros e aluguéis a pagar</v>
      </c>
      <c r="L376" s="118"/>
      <c r="M376" s="118"/>
      <c r="N376" s="118">
        <v>14278</v>
      </c>
      <c r="O376" s="118">
        <v>0</v>
      </c>
      <c r="P376" s="118">
        <v>0</v>
      </c>
    </row>
    <row r="377" spans="1:16" x14ac:dyDescent="0.2">
      <c r="A377" t="s">
        <v>171</v>
      </c>
      <c r="B377" t="s">
        <v>1370</v>
      </c>
      <c r="D377" s="126" t="str">
        <f>IF([1]RENAME!$H$3=1,B377,A377)</f>
        <v>Em 31 de dezembro de 2013</v>
      </c>
      <c r="E377" s="207" t="s">
        <v>2190</v>
      </c>
      <c r="F377" s="207" t="s">
        <v>2190</v>
      </c>
      <c r="G377" s="120">
        <f>SUM(G371:G376)</f>
        <v>199163</v>
      </c>
      <c r="H377" s="120">
        <f>SUM(H371:H376)</f>
        <v>253716</v>
      </c>
      <c r="I377" s="120">
        <f>SUM(I371:I376)</f>
        <v>199851</v>
      </c>
      <c r="K377" s="126" t="str">
        <f t="shared" si="28"/>
        <v>Em 31 de dezembro de 2013</v>
      </c>
      <c r="L377" s="120"/>
      <c r="M377" s="120"/>
      <c r="N377" s="120">
        <f>SUM(N371:N376)</f>
        <v>82221</v>
      </c>
      <c r="O377" s="120">
        <f>SUM(O371:O376)</f>
        <v>149155</v>
      </c>
      <c r="P377" s="120">
        <f>SUM(P371:P376)</f>
        <v>195751</v>
      </c>
    </row>
    <row r="378" spans="1:16" x14ac:dyDescent="0.2">
      <c r="D378" t="s">
        <v>2191</v>
      </c>
    </row>
  </sheetData>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E41:I41 L41:P41" formulaRange="1"/>
  </ignoredErrors>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21">
    <pageSetUpPr autoPageBreaks="0"/>
  </sheetPr>
  <dimension ref="A1:BC33"/>
  <sheetViews>
    <sheetView showGridLines="0" zoomScaleNormal="100" workbookViewId="0">
      <pane xSplit="4" ySplit="5" topLeftCell="AQ6" activePane="bottomRight" state="frozen"/>
      <selection activeCell="AY7" sqref="AY7"/>
      <selection pane="topRight" activeCell="AY7" sqref="AY7"/>
      <selection pane="bottomLeft" activeCell="AY7" sqref="AY7"/>
      <selection pane="bottomRight" activeCell="BC19" sqref="BC19"/>
    </sheetView>
  </sheetViews>
  <sheetFormatPr defaultRowHeight="12.75" x14ac:dyDescent="0.2"/>
  <cols>
    <col min="1" max="2" width="9.140625" hidden="1" customWidth="1"/>
    <col min="3" max="3" width="1.42578125" customWidth="1"/>
    <col min="4" max="4" width="33.42578125" bestFit="1" customWidth="1"/>
    <col min="5" max="54" width="10.85546875" customWidth="1"/>
  </cols>
  <sheetData>
    <row r="1" spans="1:55" s="553" customFormat="1" ht="7.5" customHeight="1" x14ac:dyDescent="0.2">
      <c r="E1" s="553" t="s">
        <v>0</v>
      </c>
      <c r="F1" s="553" t="str">
        <f>IF(LEFT(E1,1)="4","1T"&amp;RIGHT(E1,2)+1,LEFT(E1,1)+1&amp;RIGHT(E1,3))</f>
        <v>1T14</v>
      </c>
      <c r="G1" s="553" t="str">
        <f t="shared" ref="G1:W1" si="0">IF(LEFT(F1,1)="4","1T"&amp;RIGHT(F1,2)+1,LEFT(F1,1)+1&amp;RIGHT(F1,3))</f>
        <v>2T14</v>
      </c>
      <c r="H1" s="553" t="str">
        <f t="shared" si="0"/>
        <v>3T14</v>
      </c>
      <c r="I1" s="553" t="str">
        <f t="shared" si="0"/>
        <v>4T14</v>
      </c>
      <c r="J1" s="553" t="str">
        <f t="shared" si="0"/>
        <v>1T15</v>
      </c>
      <c r="K1" s="553" t="str">
        <f t="shared" si="0"/>
        <v>2T15</v>
      </c>
      <c r="L1" s="553" t="str">
        <f t="shared" si="0"/>
        <v>3T15</v>
      </c>
      <c r="M1" s="553" t="str">
        <f t="shared" si="0"/>
        <v>4T15</v>
      </c>
      <c r="N1" s="553" t="str">
        <f t="shared" si="0"/>
        <v>1T16</v>
      </c>
      <c r="O1" s="553" t="str">
        <f t="shared" si="0"/>
        <v>2T16</v>
      </c>
      <c r="P1" s="553" t="str">
        <f t="shared" si="0"/>
        <v>3T16</v>
      </c>
      <c r="Q1" s="553" t="str">
        <f t="shared" si="0"/>
        <v>4T16</v>
      </c>
      <c r="R1" s="553" t="str">
        <f t="shared" si="0"/>
        <v>1T17</v>
      </c>
      <c r="S1" s="553" t="str">
        <f t="shared" si="0"/>
        <v>2T17</v>
      </c>
      <c r="T1" s="553" t="str">
        <f t="shared" si="0"/>
        <v>3T17</v>
      </c>
      <c r="U1" s="553" t="str">
        <f t="shared" si="0"/>
        <v>4T17</v>
      </c>
      <c r="V1" s="553" t="str">
        <f t="shared" si="0"/>
        <v>1T18</v>
      </c>
      <c r="W1" s="553" t="str">
        <f t="shared" si="0"/>
        <v>2T18</v>
      </c>
      <c r="X1" s="553" t="str">
        <f t="shared" ref="X1:AE1" si="1">IF(LEFT(W1,1)="4","1T"&amp;RIGHT(W1,2)+1,LEFT(W1,1)+1&amp;RIGHT(W1,3))</f>
        <v>3T18</v>
      </c>
      <c r="Y1" s="553" t="str">
        <f t="shared" si="1"/>
        <v>4T18</v>
      </c>
      <c r="Z1" s="553" t="str">
        <f t="shared" si="1"/>
        <v>1T19</v>
      </c>
      <c r="AA1" s="553" t="str">
        <f t="shared" si="1"/>
        <v>2T19</v>
      </c>
      <c r="AB1" s="553" t="str">
        <f t="shared" si="1"/>
        <v>3T19</v>
      </c>
      <c r="AC1" s="553" t="str">
        <f t="shared" si="1"/>
        <v>4T19</v>
      </c>
      <c r="AD1" s="553" t="str">
        <f t="shared" si="1"/>
        <v>1T20</v>
      </c>
      <c r="AE1" s="553" t="str">
        <f t="shared" si="1"/>
        <v>2T20</v>
      </c>
      <c r="AF1" s="553" t="str">
        <f t="shared" ref="AF1:AK1" si="2">IF(LEFT(AE1,1)="4","1T"&amp;RIGHT(AE1,2)+1,LEFT(AE1,1)+1&amp;RIGHT(AE1,3))</f>
        <v>3T20</v>
      </c>
      <c r="AG1" s="553" t="str">
        <f t="shared" si="2"/>
        <v>4T20</v>
      </c>
      <c r="AH1" s="553" t="str">
        <f t="shared" si="2"/>
        <v>1T21</v>
      </c>
      <c r="AI1" s="553" t="str">
        <f t="shared" si="2"/>
        <v>2T21</v>
      </c>
      <c r="AJ1" s="553" t="str">
        <f t="shared" si="2"/>
        <v>3T21</v>
      </c>
      <c r="AK1" s="553" t="str">
        <f t="shared" si="2"/>
        <v>4T21</v>
      </c>
      <c r="AL1" s="553" t="str">
        <f t="shared" ref="AL1:AT1" si="3">IF(LEFT(AK1,1)="4","1T"&amp;RIGHT(AK1,2)+1,LEFT(AK1,1)+1&amp;RIGHT(AK1,3))</f>
        <v>1T22</v>
      </c>
      <c r="AM1" s="553" t="str">
        <f t="shared" si="3"/>
        <v>2T22</v>
      </c>
      <c r="AN1" s="553" t="str">
        <f t="shared" si="3"/>
        <v>3T22</v>
      </c>
      <c r="AO1" s="553" t="str">
        <f t="shared" si="3"/>
        <v>4T22</v>
      </c>
      <c r="AP1" s="553" t="str">
        <f t="shared" si="3"/>
        <v>1T23</v>
      </c>
      <c r="AQ1" s="553" t="str">
        <f t="shared" si="3"/>
        <v>2T23</v>
      </c>
      <c r="AR1" s="553" t="str">
        <f t="shared" si="3"/>
        <v>3T23</v>
      </c>
      <c r="AS1" s="553" t="str">
        <f t="shared" si="3"/>
        <v>4T23</v>
      </c>
      <c r="AT1" s="553" t="str">
        <f t="shared" si="3"/>
        <v>1T24</v>
      </c>
      <c r="AU1" s="553" t="str">
        <f t="shared" ref="AU1:BA1" si="4">IF(LEFT(AT1,1)="4","1T"&amp;RIGHT(AT1,2)+1,LEFT(AT1,1)+1&amp;RIGHT(AT1,3))</f>
        <v>2T24</v>
      </c>
      <c r="AV1" s="553" t="str">
        <f t="shared" si="4"/>
        <v>3T24</v>
      </c>
      <c r="AW1" s="553" t="str">
        <f t="shared" si="4"/>
        <v>4T24</v>
      </c>
      <c r="AX1" s="553" t="str">
        <f t="shared" si="4"/>
        <v>1T25</v>
      </c>
      <c r="AY1" s="553" t="str">
        <f t="shared" si="4"/>
        <v>2T25</v>
      </c>
      <c r="AZ1" s="553" t="str">
        <f t="shared" si="4"/>
        <v>3T25</v>
      </c>
      <c r="BA1" s="553" t="str">
        <f t="shared" si="4"/>
        <v>4T25</v>
      </c>
      <c r="BB1" s="553" t="str">
        <f>IF(LEFT(BA1,1)="4","1T"&amp;RIGHT(BA1,2)+1,LEFT(BA1,1)+1&amp;RIGHT(BA1,3))</f>
        <v>1T26</v>
      </c>
      <c r="BC1" s="553" t="str">
        <f>IF(LEFT(BB1,1)="4","1T"&amp;RIGHT(BB1,2)+1,LEFT(BB1,1)+1&amp;RIGHT(BB1,3))</f>
        <v>2T26</v>
      </c>
    </row>
    <row r="2" spans="1:55" s="553" customFormat="1" ht="12.75" customHeight="1" x14ac:dyDescent="0.2">
      <c r="E2" s="553" t="str">
        <f>SUBSTITUTE(E1,"T","Q")</f>
        <v>4Q13</v>
      </c>
      <c r="F2" s="553" t="str">
        <f t="shared" ref="F2:T2" si="5">SUBSTITUTE(F1,"T","Q")</f>
        <v>1Q14</v>
      </c>
      <c r="G2" s="553" t="str">
        <f t="shared" si="5"/>
        <v>2Q14</v>
      </c>
      <c r="H2" s="553" t="str">
        <f t="shared" si="5"/>
        <v>3Q14</v>
      </c>
      <c r="I2" s="553" t="str">
        <f t="shared" si="5"/>
        <v>4Q14</v>
      </c>
      <c r="J2" s="553" t="str">
        <f t="shared" si="5"/>
        <v>1Q15</v>
      </c>
      <c r="K2" s="553" t="str">
        <f t="shared" si="5"/>
        <v>2Q15</v>
      </c>
      <c r="L2" s="553" t="str">
        <f t="shared" si="5"/>
        <v>3Q15</v>
      </c>
      <c r="M2" s="553" t="str">
        <f t="shared" si="5"/>
        <v>4Q15</v>
      </c>
      <c r="N2" s="553" t="str">
        <f t="shared" si="5"/>
        <v>1Q16</v>
      </c>
      <c r="O2" s="553" t="str">
        <f t="shared" si="5"/>
        <v>2Q16</v>
      </c>
      <c r="P2" s="553" t="str">
        <f t="shared" si="5"/>
        <v>3Q16</v>
      </c>
      <c r="Q2" s="553" t="str">
        <f t="shared" si="5"/>
        <v>4Q16</v>
      </c>
      <c r="R2" s="553" t="str">
        <f t="shared" si="5"/>
        <v>1Q17</v>
      </c>
      <c r="S2" s="553" t="str">
        <f t="shared" si="5"/>
        <v>2Q17</v>
      </c>
      <c r="T2" s="553" t="str">
        <f t="shared" si="5"/>
        <v>3Q17</v>
      </c>
      <c r="U2" s="553" t="str">
        <f t="shared" ref="U2:Z2" si="6">SUBSTITUTE(U1,"T","Q")</f>
        <v>4Q17</v>
      </c>
      <c r="V2" s="553" t="str">
        <f t="shared" si="6"/>
        <v>1Q18</v>
      </c>
      <c r="W2" s="553" t="str">
        <f t="shared" si="6"/>
        <v>2Q18</v>
      </c>
      <c r="X2" s="553" t="str">
        <f t="shared" si="6"/>
        <v>3Q18</v>
      </c>
      <c r="Y2" s="553" t="str">
        <f t="shared" si="6"/>
        <v>4Q18</v>
      </c>
      <c r="Z2" s="553" t="str">
        <f t="shared" si="6"/>
        <v>1Q19</v>
      </c>
      <c r="AA2" s="553" t="str">
        <f>SUBSTITUTE(AA1,"T","Q")</f>
        <v>2Q19</v>
      </c>
      <c r="AB2" s="553" t="str">
        <f>SUBSTITUTE(AB1,"T","Q")</f>
        <v>3Q19</v>
      </c>
      <c r="AC2" s="553" t="str">
        <f>SUBSTITUTE(AC1,"T","Q")</f>
        <v>4Q19</v>
      </c>
      <c r="AD2" s="553" t="str">
        <f>SUBSTITUTE(AD1,"T","Q")</f>
        <v>1Q20</v>
      </c>
      <c r="AE2" s="553" t="str">
        <f>SUBSTITUTE(AE1,"T","Q")</f>
        <v>2Q20</v>
      </c>
      <c r="AF2" s="553" t="str">
        <f t="shared" ref="AF2:AK2" si="7">SUBSTITUTE(AF1,"T","Q")</f>
        <v>3Q20</v>
      </c>
      <c r="AG2" s="553" t="str">
        <f t="shared" si="7"/>
        <v>4Q20</v>
      </c>
      <c r="AH2" s="553" t="str">
        <f t="shared" si="7"/>
        <v>1Q21</v>
      </c>
      <c r="AI2" s="553" t="str">
        <f t="shared" si="7"/>
        <v>2Q21</v>
      </c>
      <c r="AJ2" s="553" t="str">
        <f t="shared" si="7"/>
        <v>3Q21</v>
      </c>
      <c r="AK2" s="553" t="str">
        <f t="shared" si="7"/>
        <v>4Q21</v>
      </c>
      <c r="AL2" s="553" t="str">
        <f t="shared" ref="AL2:AQ2" si="8">SUBSTITUTE(AL1,"T","Q")</f>
        <v>1Q22</v>
      </c>
      <c r="AM2" s="553" t="str">
        <f t="shared" si="8"/>
        <v>2Q22</v>
      </c>
      <c r="AN2" s="553" t="str">
        <f t="shared" si="8"/>
        <v>3Q22</v>
      </c>
      <c r="AO2" s="553" t="str">
        <f t="shared" si="8"/>
        <v>4Q22</v>
      </c>
      <c r="AP2" s="553" t="str">
        <f t="shared" si="8"/>
        <v>1Q23</v>
      </c>
      <c r="AQ2" s="553" t="str">
        <f t="shared" si="8"/>
        <v>2Q23</v>
      </c>
      <c r="AR2" s="553" t="str">
        <f t="shared" ref="AR2:BC2" si="9">SUBSTITUTE(AR1,"T","Q")</f>
        <v>3Q23</v>
      </c>
      <c r="AS2" s="553" t="str">
        <f t="shared" si="9"/>
        <v>4Q23</v>
      </c>
      <c r="AT2" s="553" t="str">
        <f t="shared" si="9"/>
        <v>1Q24</v>
      </c>
      <c r="AU2" s="553" t="str">
        <f t="shared" si="9"/>
        <v>2Q24</v>
      </c>
      <c r="AV2" s="553" t="str">
        <f t="shared" si="9"/>
        <v>3Q24</v>
      </c>
      <c r="AW2" s="553" t="str">
        <f t="shared" si="9"/>
        <v>4Q24</v>
      </c>
      <c r="AX2" s="553" t="str">
        <f t="shared" si="9"/>
        <v>1Q25</v>
      </c>
      <c r="AY2" s="553" t="str">
        <f t="shared" si="9"/>
        <v>2Q25</v>
      </c>
      <c r="AZ2" s="553" t="str">
        <f t="shared" si="9"/>
        <v>3Q25</v>
      </c>
      <c r="BA2" s="553" t="str">
        <f t="shared" si="9"/>
        <v>4Q25</v>
      </c>
      <c r="BB2" s="553" t="str">
        <f>SUBSTITUTE(BB1,"T","Q")</f>
        <v>1Q26</v>
      </c>
      <c r="BC2" s="553" t="str">
        <f t="shared" si="9"/>
        <v>2Q26</v>
      </c>
    </row>
    <row r="3" spans="1:55" ht="12.75" customHeight="1" x14ac:dyDescent="0.2">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row>
    <row r="4" spans="1:55" ht="12.75" customHeight="1" x14ac:dyDescent="0.2">
      <c r="S4" s="744"/>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row>
    <row r="5" spans="1:55" x14ac:dyDescent="0.2">
      <c r="A5" t="s">
        <v>96</v>
      </c>
      <c r="B5" t="s">
        <v>866</v>
      </c>
      <c r="D5" s="140" t="str">
        <f>IF([1]RENAME!$H$3=1,B5,A5)</f>
        <v>Consolidado</v>
      </c>
      <c r="E5" s="247" t="str">
        <f>IF([1]RENAME!$H$3=1,E2,E1)</f>
        <v>4T13</v>
      </c>
      <c r="F5" s="247" t="str">
        <f>IF([1]RENAME!$H$3=1,F2,F1)</f>
        <v>1T14</v>
      </c>
      <c r="G5" s="247" t="str">
        <f>IF([1]RENAME!$H$3=1,G2,G1)</f>
        <v>2T14</v>
      </c>
      <c r="H5" s="247" t="str">
        <f>IF([1]RENAME!$H$3=1,H2,H1)</f>
        <v>3T14</v>
      </c>
      <c r="I5" s="247" t="str">
        <f>IF([1]RENAME!$H$3=1,I2,I1)</f>
        <v>4T14</v>
      </c>
      <c r="J5" s="247" t="str">
        <f>IF([1]RENAME!$H$3=1,J2,J1)</f>
        <v>1T15</v>
      </c>
      <c r="K5" s="247" t="str">
        <f>IF([1]RENAME!$H$3=1,K2,K1)</f>
        <v>2T15</v>
      </c>
      <c r="L5" s="247" t="str">
        <f>IF([1]RENAME!$H$3=1,L2,L1)</f>
        <v>3T15</v>
      </c>
      <c r="M5" s="247" t="str">
        <f>IF([1]RENAME!$H$3=1,M2,M1)</f>
        <v>4T15</v>
      </c>
      <c r="N5" s="247" t="str">
        <f>IF([1]RENAME!$H$3=1,N2,N1)</f>
        <v>1T16</v>
      </c>
      <c r="O5" s="247" t="str">
        <f>IF([1]RENAME!$H$3=1,O2,O1)</f>
        <v>2T16</v>
      </c>
      <c r="P5" s="247" t="str">
        <f>IF([1]RENAME!$H$3=1,P2,P1)</f>
        <v>3T16</v>
      </c>
      <c r="Q5" s="247" t="str">
        <f>IF([1]RENAME!$H$3=1,Q2,Q1)</f>
        <v>4T16</v>
      </c>
      <c r="R5" s="247" t="str">
        <f>IF([1]RENAME!$H$3=1,R2,R1)</f>
        <v>1T17</v>
      </c>
      <c r="S5" s="247" t="str">
        <f>IF([1]RENAME!$H$3=1,S2,S1)</f>
        <v>2T17</v>
      </c>
      <c r="T5" s="247" t="str">
        <f>IF([1]RENAME!$H$3=1,T2,T1)</f>
        <v>3T17</v>
      </c>
      <c r="U5" s="247" t="str">
        <f>IF([1]RENAME!$H$3=1,U2,U1)</f>
        <v>4T17</v>
      </c>
      <c r="V5" s="247" t="str">
        <f>IF([1]RENAME!$H$3=1,V2,V1)</f>
        <v>1T18</v>
      </c>
      <c r="W5" s="247" t="str">
        <f>IF([1]RENAME!$H$3=1,W2,W1)</f>
        <v>2T18</v>
      </c>
      <c r="X5" s="247" t="str">
        <f>IF([1]RENAME!$H$3=1,X2,X1)</f>
        <v>3T18</v>
      </c>
      <c r="Y5" s="247" t="str">
        <f>IF([1]RENAME!$H$3=1,Y2,Y1)</f>
        <v>4T18</v>
      </c>
      <c r="Z5" s="247" t="str">
        <f>IF([1]RENAME!$H$3=1,Z2,Z1)</f>
        <v>1T19</v>
      </c>
      <c r="AA5" s="247" t="str">
        <f>IF([1]RENAME!$H$3=1,AA2,AA1)</f>
        <v>2T19</v>
      </c>
      <c r="AB5" s="247" t="str">
        <f>IF([1]RENAME!$H$3=1,AB2,AB1)</f>
        <v>3T19</v>
      </c>
      <c r="AC5" s="247" t="str">
        <f>IF([1]RENAME!$H$3=1,AC2,AC1)</f>
        <v>4T19</v>
      </c>
      <c r="AD5" s="247" t="str">
        <f>IF([1]RENAME!$H$3=1,AD2,AD1)</f>
        <v>1T20</v>
      </c>
      <c r="AE5" s="247" t="str">
        <f>IF([1]RENAME!$H$3=1,AE2,AE1)</f>
        <v>2T20</v>
      </c>
      <c r="AF5" s="247" t="str">
        <f>IF([1]RENAME!$H$3=1,AF2,AF1)</f>
        <v>3T20</v>
      </c>
      <c r="AG5" s="247" t="str">
        <f>IF([1]RENAME!$H$3=1,AG2,AG1)</f>
        <v>4T20</v>
      </c>
      <c r="AH5" s="247" t="str">
        <f>IF([1]RENAME!$H$3=1,AH2,AH1)</f>
        <v>1T21</v>
      </c>
      <c r="AI5" s="247" t="str">
        <f>IF([1]RENAME!$H$3=1,AI2,AI1)</f>
        <v>2T21</v>
      </c>
      <c r="AJ5" s="247" t="str">
        <f>IF([1]RENAME!$H$3=1,AJ2,AJ1)</f>
        <v>3T21</v>
      </c>
      <c r="AK5" s="247" t="str">
        <f>IF([1]RENAME!$H$3=1,AK2,AK1)</f>
        <v>4T21</v>
      </c>
      <c r="AL5" s="247" t="str">
        <f>IF([1]RENAME!$H$3=1,AL2,AL1)</f>
        <v>1T22</v>
      </c>
      <c r="AM5" s="247" t="str">
        <f>IF([1]RENAME!$H$3=1,AM2,AM1)</f>
        <v>2T22</v>
      </c>
      <c r="AN5" s="247" t="str">
        <f>IF([1]RENAME!$H$3=1,AN2,AN1)</f>
        <v>3T22</v>
      </c>
      <c r="AO5" s="247" t="str">
        <f>IF([1]RENAME!$H$3=1,AO2,AO1)</f>
        <v>4T22</v>
      </c>
      <c r="AP5" s="247" t="str">
        <f>IF([1]RENAME!$H$3=1,AP2,AP1)</f>
        <v>1T23</v>
      </c>
      <c r="AQ5" s="247" t="str">
        <f>IF([1]RENAME!$H$3=1,AQ2,AQ1)</f>
        <v>2T23</v>
      </c>
      <c r="AR5" s="247" t="str">
        <f>IF([1]RENAME!$H$3=1,AR2,AR1)</f>
        <v>3T23</v>
      </c>
      <c r="AS5" s="247" t="str">
        <f>IF([1]RENAME!$H$3=1,AS2,AS1)</f>
        <v>4T23</v>
      </c>
      <c r="AT5" s="247" t="str">
        <f>IF([1]RENAME!$H$3=1,AT2,AT1)</f>
        <v>1T24</v>
      </c>
      <c r="AU5" s="247" t="str">
        <f>IF([1]RENAME!$H$3=1,AU2,AU1)</f>
        <v>2T24</v>
      </c>
      <c r="AV5" s="247" t="str">
        <f>IF([1]RENAME!$H$3=1,AV2,AV1)</f>
        <v>3T24</v>
      </c>
      <c r="AW5" s="247" t="str">
        <f>IF([1]RENAME!$H$3=1,AW2,AW1)</f>
        <v>4T24</v>
      </c>
      <c r="AX5" s="247" t="str">
        <f>IF([1]RENAME!$H$3=1,AX2,AX1)</f>
        <v>1T25</v>
      </c>
      <c r="AY5" s="247" t="str">
        <f>IF([1]RENAME!$H$3=1,AY2,AY1)</f>
        <v>2T25</v>
      </c>
      <c r="AZ5" s="247" t="str">
        <f>IF([1]RENAME!$H$3=1,AZ2,AZ1)</f>
        <v>3T25</v>
      </c>
      <c r="BA5" s="247" t="str">
        <f>IF([1]RENAME!$H$3=1,BA2,BA1)</f>
        <v>4T25</v>
      </c>
      <c r="BB5" s="247" t="str">
        <f>IF([1]RENAME!$H$3=1,BB2,BB1)</f>
        <v>1T26</v>
      </c>
      <c r="BC5" s="247" t="str">
        <f>IF([1]RENAME!$H$3=1,BC2,BC1)</f>
        <v>2T26</v>
      </c>
    </row>
    <row r="6" spans="1:55" x14ac:dyDescent="0.2">
      <c r="A6" t="s">
        <v>380</v>
      </c>
      <c r="B6" t="s">
        <v>877</v>
      </c>
      <c r="D6" s="129" t="str">
        <f>IF([1]RENAME!$H$3=1,B6,A6)</f>
        <v xml:space="preserve">Total dos empréstimos </v>
      </c>
      <c r="E6" s="118">
        <v>240195</v>
      </c>
      <c r="F6" s="118">
        <v>230914</v>
      </c>
      <c r="G6" s="118">
        <v>55816</v>
      </c>
      <c r="H6" s="118">
        <v>139092</v>
      </c>
      <c r="I6" s="118">
        <v>149557</v>
      </c>
      <c r="J6" s="118">
        <v>180764</v>
      </c>
      <c r="K6" s="118">
        <v>3987</v>
      </c>
      <c r="L6" s="118">
        <v>3216</v>
      </c>
      <c r="M6" s="118">
        <v>2476</v>
      </c>
      <c r="N6" s="118">
        <v>2051</v>
      </c>
      <c r="O6" s="118">
        <v>1744</v>
      </c>
      <c r="P6" s="118">
        <v>1445</v>
      </c>
      <c r="Q6" s="118">
        <v>1182</v>
      </c>
      <c r="R6" s="118">
        <v>2263</v>
      </c>
      <c r="S6" s="260">
        <v>55148</v>
      </c>
      <c r="T6" s="118">
        <v>55263</v>
      </c>
      <c r="U6" s="118">
        <v>54747</v>
      </c>
      <c r="V6" s="118">
        <v>54863</v>
      </c>
      <c r="W6" s="118">
        <v>50020</v>
      </c>
      <c r="X6" s="118">
        <v>64544</v>
      </c>
      <c r="Y6" s="118">
        <v>62117</v>
      </c>
      <c r="Z6" s="118">
        <v>94227</v>
      </c>
      <c r="AA6" s="118">
        <v>90449</v>
      </c>
      <c r="AB6" s="118">
        <v>94820</v>
      </c>
      <c r="AC6" s="118">
        <v>91022</v>
      </c>
      <c r="AD6" s="118">
        <v>103286</v>
      </c>
      <c r="AE6" s="118">
        <v>196354</v>
      </c>
      <c r="AF6" s="118">
        <v>168276</v>
      </c>
      <c r="AG6" s="118">
        <v>168764</v>
      </c>
      <c r="AH6" s="118">
        <v>169300</v>
      </c>
      <c r="AI6" s="118">
        <v>127243</v>
      </c>
      <c r="AJ6" s="118">
        <v>127676</v>
      </c>
      <c r="AK6" s="118">
        <v>128886</v>
      </c>
      <c r="AL6" s="118">
        <v>119250</v>
      </c>
      <c r="AM6" s="118">
        <v>68411</v>
      </c>
      <c r="AN6" s="118">
        <v>66432</v>
      </c>
      <c r="AO6" s="118">
        <v>101740</v>
      </c>
      <c r="AP6" s="118">
        <v>90366</v>
      </c>
      <c r="AQ6" s="118">
        <v>91267</v>
      </c>
      <c r="AR6" s="118">
        <v>95806</v>
      </c>
      <c r="AS6" s="118">
        <v>101599</v>
      </c>
      <c r="AT6" s="118">
        <v>107217</v>
      </c>
      <c r="AU6" s="118">
        <v>105966</v>
      </c>
      <c r="AV6" s="118">
        <v>105679</v>
      </c>
      <c r="AW6" s="118">
        <v>105996</v>
      </c>
      <c r="AX6" s="118">
        <v>110285</v>
      </c>
      <c r="AY6" s="118">
        <v>111205</v>
      </c>
      <c r="AZ6" s="118">
        <v>85819</v>
      </c>
      <c r="BA6" s="118">
        <v>125950</v>
      </c>
      <c r="BB6" s="118">
        <v>125204</v>
      </c>
      <c r="BC6" s="118">
        <f>'[3]4.f Gestão NL'!$J$7</f>
        <v>141014</v>
      </c>
    </row>
    <row r="7" spans="1:55" x14ac:dyDescent="0.2">
      <c r="A7" t="s">
        <v>23</v>
      </c>
      <c r="B7" t="s">
        <v>867</v>
      </c>
      <c r="D7" s="129" t="str">
        <f>IF([1]RENAME!$H$3=1,B7,A7)</f>
        <v>Debêntures</v>
      </c>
      <c r="E7" s="118">
        <v>287845</v>
      </c>
      <c r="F7" s="118">
        <v>285063</v>
      </c>
      <c r="G7" s="118">
        <v>358630</v>
      </c>
      <c r="H7" s="118">
        <v>358318</v>
      </c>
      <c r="I7" s="118">
        <v>359798</v>
      </c>
      <c r="J7" s="118">
        <v>358645</v>
      </c>
      <c r="K7" s="118">
        <v>360487</v>
      </c>
      <c r="L7" s="118">
        <v>360340</v>
      </c>
      <c r="M7" s="118">
        <v>361821</v>
      </c>
      <c r="N7" s="118">
        <v>339814</v>
      </c>
      <c r="O7" s="118">
        <v>340849</v>
      </c>
      <c r="P7" s="118">
        <v>340288</v>
      </c>
      <c r="Q7" s="118">
        <v>290395</v>
      </c>
      <c r="R7" s="118">
        <v>219189</v>
      </c>
      <c r="S7" s="118">
        <v>218703</v>
      </c>
      <c r="T7" s="118">
        <v>164712</v>
      </c>
      <c r="U7" s="118">
        <v>168127</v>
      </c>
      <c r="V7" s="118">
        <v>99306</v>
      </c>
      <c r="W7" s="118">
        <v>98093</v>
      </c>
      <c r="X7" s="118">
        <v>98314</v>
      </c>
      <c r="Y7" s="118">
        <v>98083</v>
      </c>
      <c r="Z7" s="118">
        <v>51160</v>
      </c>
      <c r="AA7" s="118">
        <v>50140</v>
      </c>
      <c r="AB7" s="118">
        <v>51179</v>
      </c>
      <c r="AC7" s="118">
        <v>50135</v>
      </c>
      <c r="AD7" s="118">
        <v>50891</v>
      </c>
      <c r="AE7" s="118">
        <v>51514</v>
      </c>
      <c r="AF7" s="118">
        <v>25167</v>
      </c>
      <c r="AG7" s="118">
        <v>25047</v>
      </c>
      <c r="AH7" s="118">
        <v>25289</v>
      </c>
      <c r="AI7" s="118">
        <v>25070</v>
      </c>
      <c r="AJ7" s="118">
        <v>0</v>
      </c>
      <c r="AK7" s="118">
        <v>0</v>
      </c>
      <c r="AL7" s="118">
        <v>0</v>
      </c>
      <c r="AM7" s="118">
        <v>0</v>
      </c>
      <c r="AN7" s="118">
        <v>0</v>
      </c>
      <c r="AO7" s="118">
        <v>0</v>
      </c>
      <c r="AP7" s="118">
        <v>0</v>
      </c>
      <c r="AQ7" s="118">
        <v>0</v>
      </c>
      <c r="AR7" s="118">
        <v>0</v>
      </c>
      <c r="AS7" s="118">
        <v>0</v>
      </c>
      <c r="AT7" s="118">
        <v>0</v>
      </c>
      <c r="AU7" s="118">
        <v>0</v>
      </c>
      <c r="AV7" s="118">
        <v>0</v>
      </c>
      <c r="AW7" s="118">
        <v>0</v>
      </c>
      <c r="AX7" s="118">
        <v>0</v>
      </c>
      <c r="AY7" s="118">
        <v>0</v>
      </c>
      <c r="AZ7" s="118">
        <v>0</v>
      </c>
      <c r="BA7" s="118">
        <v>0</v>
      </c>
      <c r="BB7" s="118">
        <v>0</v>
      </c>
      <c r="BC7" s="118">
        <v>0</v>
      </c>
    </row>
    <row r="8" spans="1:55" x14ac:dyDescent="0.2">
      <c r="A8" t="s">
        <v>381</v>
      </c>
      <c r="B8" t="s">
        <v>878</v>
      </c>
      <c r="D8" s="129" t="str">
        <f>IF([1]RENAME!$H$3=1,B8,A8)</f>
        <v>Derivativos - Swap</v>
      </c>
      <c r="E8" s="118">
        <v>-43393</v>
      </c>
      <c r="F8" s="118">
        <v>-20576</v>
      </c>
      <c r="G8" s="118">
        <v>1995</v>
      </c>
      <c r="H8" s="118">
        <v>-8359</v>
      </c>
      <c r="I8" s="118">
        <v>-16023</v>
      </c>
      <c r="J8" s="118">
        <v>-48760</v>
      </c>
      <c r="K8" s="118">
        <v>0</v>
      </c>
      <c r="L8" s="118">
        <v>0</v>
      </c>
      <c r="M8" s="118">
        <v>0</v>
      </c>
      <c r="N8" s="118">
        <v>0</v>
      </c>
      <c r="O8" s="118">
        <v>0</v>
      </c>
      <c r="P8" s="118">
        <v>0</v>
      </c>
      <c r="Q8" s="118">
        <v>0</v>
      </c>
      <c r="R8" s="118">
        <v>0</v>
      </c>
      <c r="S8" s="118">
        <v>0</v>
      </c>
      <c r="T8" s="118">
        <v>0</v>
      </c>
      <c r="U8" s="118">
        <v>0</v>
      </c>
      <c r="V8" s="118">
        <v>0</v>
      </c>
      <c r="W8" s="118">
        <v>0</v>
      </c>
      <c r="X8" s="118">
        <v>-3945</v>
      </c>
      <c r="Y8" s="118">
        <v>-1614</v>
      </c>
      <c r="Z8" s="118">
        <v>-2661</v>
      </c>
      <c r="AA8" s="118">
        <v>-1942</v>
      </c>
      <c r="AB8" s="118">
        <v>-5899</v>
      </c>
      <c r="AC8" s="118">
        <v>-3739</v>
      </c>
      <c r="AD8" s="118">
        <v>-20658</v>
      </c>
      <c r="AE8" s="118">
        <v>-23871</v>
      </c>
      <c r="AF8" s="118">
        <v>0</v>
      </c>
      <c r="AG8" s="118">
        <v>0</v>
      </c>
      <c r="AH8" s="118">
        <v>0</v>
      </c>
      <c r="AI8" s="118">
        <v>0</v>
      </c>
      <c r="AJ8" s="118">
        <v>0</v>
      </c>
      <c r="AK8" s="118">
        <v>0</v>
      </c>
      <c r="AL8" s="118">
        <v>0</v>
      </c>
      <c r="AM8" s="118">
        <v>0</v>
      </c>
      <c r="AN8" s="118">
        <v>0</v>
      </c>
      <c r="AO8" s="118">
        <v>0</v>
      </c>
      <c r="AP8" s="118">
        <v>0</v>
      </c>
      <c r="AQ8" s="118">
        <v>0</v>
      </c>
      <c r="AR8" s="118">
        <v>0</v>
      </c>
      <c r="AS8" s="118">
        <v>0</v>
      </c>
      <c r="AT8" s="118">
        <v>0</v>
      </c>
      <c r="AU8" s="118">
        <v>0</v>
      </c>
      <c r="AV8" s="118">
        <v>0</v>
      </c>
      <c r="AW8" s="118">
        <v>0</v>
      </c>
      <c r="AX8" s="118">
        <v>0</v>
      </c>
      <c r="AY8" s="118">
        <v>0</v>
      </c>
      <c r="AZ8" s="118">
        <v>0</v>
      </c>
      <c r="BA8" s="118">
        <v>0</v>
      </c>
      <c r="BB8" s="118">
        <v>0</v>
      </c>
      <c r="BC8" s="118">
        <f>'[3]4.f Gestão NL'!$J$8</f>
        <v>308</v>
      </c>
    </row>
    <row r="9" spans="1:55" x14ac:dyDescent="0.2">
      <c r="A9" t="s">
        <v>382</v>
      </c>
      <c r="B9" t="s">
        <v>874</v>
      </c>
      <c r="D9" s="129" t="str">
        <f>IF([1]RENAME!$H$3=1,B9,A9)</f>
        <v xml:space="preserve">Caixa e equivalentes de caixa </v>
      </c>
      <c r="E9" s="118">
        <v>-204448</v>
      </c>
      <c r="F9" s="118">
        <v>-221474</v>
      </c>
      <c r="G9" s="118">
        <v>-179882</v>
      </c>
      <c r="H9" s="118">
        <v>-186093</v>
      </c>
      <c r="I9" s="118">
        <v>-227857</v>
      </c>
      <c r="J9" s="118">
        <v>-306960</v>
      </c>
      <c r="K9" s="118">
        <v>-131505</v>
      </c>
      <c r="L9" s="118">
        <v>-206751</v>
      </c>
      <c r="M9" s="118">
        <v>-214259</v>
      </c>
      <c r="N9" s="118">
        <v>-232693</v>
      </c>
      <c r="O9" s="118">
        <v>-219216</v>
      </c>
      <c r="P9" s="118">
        <v>-241918</v>
      </c>
      <c r="Q9" s="118">
        <v>-192858</v>
      </c>
      <c r="R9" s="118">
        <v>-126013</v>
      </c>
      <c r="S9" s="118">
        <v>-183030</v>
      </c>
      <c r="T9" s="118">
        <v>-145307</v>
      </c>
      <c r="U9" s="118">
        <v>-148732</v>
      </c>
      <c r="V9" s="118">
        <v>-125466</v>
      </c>
      <c r="W9" s="118">
        <v>-90689</v>
      </c>
      <c r="X9" s="118">
        <v>-97964</v>
      </c>
      <c r="Y9" s="118">
        <v>-83542</v>
      </c>
      <c r="Z9" s="118">
        <v>-107994</v>
      </c>
      <c r="AA9" s="118">
        <v>-106775</v>
      </c>
      <c r="AB9" s="118">
        <v>-112108</v>
      </c>
      <c r="AC9" s="118">
        <v>-67332</v>
      </c>
      <c r="AD9" s="118">
        <v>-125940</v>
      </c>
      <c r="AE9" s="118">
        <v>-286503</v>
      </c>
      <c r="AF9" s="118">
        <v>-247793</v>
      </c>
      <c r="AG9" s="118">
        <v>-260387</v>
      </c>
      <c r="AH9" s="118">
        <v>-304909</v>
      </c>
      <c r="AI9" s="118">
        <v>-244529</v>
      </c>
      <c r="AJ9" s="118">
        <v>-221421</v>
      </c>
      <c r="AK9" s="118">
        <v>-147128</v>
      </c>
      <c r="AL9" s="118">
        <v>-210504</v>
      </c>
      <c r="AM9" s="118">
        <v>-119723</v>
      </c>
      <c r="AN9" s="118">
        <v>-137242</v>
      </c>
      <c r="AO9" s="118">
        <v>-190299</v>
      </c>
      <c r="AP9" s="118">
        <v>-242048</v>
      </c>
      <c r="AQ9" s="118">
        <v>-237038</v>
      </c>
      <c r="AR9" s="118">
        <v>-258630</v>
      </c>
      <c r="AS9" s="118">
        <v>-232539</v>
      </c>
      <c r="AT9" s="118">
        <v>-299796</v>
      </c>
      <c r="AU9" s="118">
        <v>-282802</v>
      </c>
      <c r="AV9" s="118">
        <v>-264126</v>
      </c>
      <c r="AW9" s="118">
        <v>-241335</v>
      </c>
      <c r="AX9" s="118">
        <v>-339197</v>
      </c>
      <c r="AY9" s="118">
        <v>-347151</v>
      </c>
      <c r="AZ9" s="118">
        <v>-245664</v>
      </c>
      <c r="BA9" s="118">
        <v>-113860</v>
      </c>
      <c r="BB9" s="118">
        <v>-184189</v>
      </c>
      <c r="BC9" s="118">
        <f>'[3]4.f Gestão NL'!$J$9</f>
        <v>-196923</v>
      </c>
    </row>
    <row r="10" spans="1:55" x14ac:dyDescent="0.2">
      <c r="A10" t="s">
        <v>76</v>
      </c>
      <c r="B10" t="s">
        <v>833</v>
      </c>
      <c r="D10" s="126" t="str">
        <f>IF([1]RENAME!$H$3=1,B10,A10)</f>
        <v>Dívida líquida</v>
      </c>
      <c r="E10" s="120">
        <f>SUM(E6:E9)</f>
        <v>280199</v>
      </c>
      <c r="F10" s="120">
        <f t="shared" ref="F10:K10" si="10">SUM(F6:F9)</f>
        <v>273927</v>
      </c>
      <c r="G10" s="120">
        <f t="shared" si="10"/>
        <v>236559</v>
      </c>
      <c r="H10" s="120">
        <f t="shared" si="10"/>
        <v>302958</v>
      </c>
      <c r="I10" s="120">
        <f t="shared" si="10"/>
        <v>265475</v>
      </c>
      <c r="J10" s="120">
        <f t="shared" si="10"/>
        <v>183689</v>
      </c>
      <c r="K10" s="120">
        <f t="shared" si="10"/>
        <v>232969</v>
      </c>
      <c r="L10" s="120">
        <f t="shared" ref="L10:S10" si="11">SUM(L6:L9)</f>
        <v>156805</v>
      </c>
      <c r="M10" s="120">
        <f t="shared" si="11"/>
        <v>150038</v>
      </c>
      <c r="N10" s="120">
        <f t="shared" si="11"/>
        <v>109172</v>
      </c>
      <c r="O10" s="120">
        <f t="shared" si="11"/>
        <v>123377</v>
      </c>
      <c r="P10" s="120">
        <f t="shared" si="11"/>
        <v>99815</v>
      </c>
      <c r="Q10" s="120">
        <f t="shared" si="11"/>
        <v>98719</v>
      </c>
      <c r="R10" s="120">
        <f t="shared" si="11"/>
        <v>95439</v>
      </c>
      <c r="S10" s="120">
        <f t="shared" si="11"/>
        <v>90821</v>
      </c>
      <c r="T10" s="120">
        <f t="shared" ref="T10:Z10" si="12">SUM(T6:T9)</f>
        <v>74668</v>
      </c>
      <c r="U10" s="120">
        <f t="shared" si="12"/>
        <v>74142</v>
      </c>
      <c r="V10" s="120">
        <f t="shared" si="12"/>
        <v>28703</v>
      </c>
      <c r="W10" s="120">
        <f t="shared" si="12"/>
        <v>57424</v>
      </c>
      <c r="X10" s="120">
        <f t="shared" si="12"/>
        <v>60949</v>
      </c>
      <c r="Y10" s="120">
        <f t="shared" si="12"/>
        <v>75044</v>
      </c>
      <c r="Z10" s="120">
        <f t="shared" si="12"/>
        <v>34732</v>
      </c>
      <c r="AA10" s="120">
        <f t="shared" ref="AA10:AF10" si="13">SUM(AA6:AA9)</f>
        <v>31872</v>
      </c>
      <c r="AB10" s="120">
        <f t="shared" si="13"/>
        <v>27992</v>
      </c>
      <c r="AC10" s="120">
        <f t="shared" si="13"/>
        <v>70086</v>
      </c>
      <c r="AD10" s="120">
        <f t="shared" si="13"/>
        <v>7579</v>
      </c>
      <c r="AE10" s="120">
        <f t="shared" si="13"/>
        <v>-62506</v>
      </c>
      <c r="AF10" s="120">
        <f t="shared" si="13"/>
        <v>-54350</v>
      </c>
      <c r="AG10" s="120">
        <f t="shared" ref="AG10:AM10" si="14">SUM(AG6:AG9)</f>
        <v>-66576</v>
      </c>
      <c r="AH10" s="120">
        <f t="shared" si="14"/>
        <v>-110320</v>
      </c>
      <c r="AI10" s="120">
        <f t="shared" si="14"/>
        <v>-92216</v>
      </c>
      <c r="AJ10" s="120">
        <f t="shared" si="14"/>
        <v>-93745</v>
      </c>
      <c r="AK10" s="120">
        <f t="shared" si="14"/>
        <v>-18242</v>
      </c>
      <c r="AL10" s="120">
        <f t="shared" si="14"/>
        <v>-91254</v>
      </c>
      <c r="AM10" s="120">
        <f t="shared" si="14"/>
        <v>-51312</v>
      </c>
      <c r="AN10" s="120">
        <f t="shared" ref="AN10:AX10" si="15">SUM(AN6:AN9)</f>
        <v>-70810</v>
      </c>
      <c r="AO10" s="120">
        <f t="shared" si="15"/>
        <v>-88559</v>
      </c>
      <c r="AP10" s="120">
        <f t="shared" si="15"/>
        <v>-151682</v>
      </c>
      <c r="AQ10" s="120">
        <f t="shared" si="15"/>
        <v>-145771</v>
      </c>
      <c r="AR10" s="120">
        <f t="shared" si="15"/>
        <v>-162824</v>
      </c>
      <c r="AS10" s="120">
        <f t="shared" si="15"/>
        <v>-130940</v>
      </c>
      <c r="AT10" s="120">
        <f t="shared" si="15"/>
        <v>-192579</v>
      </c>
      <c r="AU10" s="120">
        <f t="shared" si="15"/>
        <v>-176836</v>
      </c>
      <c r="AV10" s="120">
        <f t="shared" si="15"/>
        <v>-158447</v>
      </c>
      <c r="AW10" s="120">
        <f t="shared" si="15"/>
        <v>-135339</v>
      </c>
      <c r="AX10" s="120">
        <f t="shared" si="15"/>
        <v>-228912</v>
      </c>
      <c r="AY10" s="120">
        <f>SUM(AY6:AY9)</f>
        <v>-235946</v>
      </c>
      <c r="AZ10" s="120">
        <f>SUM(AZ6:AZ9)</f>
        <v>-159845</v>
      </c>
      <c r="BA10" s="120">
        <f>SUM(BA6:BA9)</f>
        <v>12090</v>
      </c>
      <c r="BB10" s="120">
        <f>SUM(BB6:BB9)</f>
        <v>-58985</v>
      </c>
      <c r="BC10" s="120">
        <f>SUM(BC6:BC9)</f>
        <v>-55601</v>
      </c>
    </row>
    <row r="11" spans="1:55" x14ac:dyDescent="0.2">
      <c r="A11" t="s">
        <v>181</v>
      </c>
      <c r="B11" t="s">
        <v>879</v>
      </c>
      <c r="D11" s="129" t="str">
        <f>IF([1]RENAME!$H$3=1,B11,A11)</f>
        <v>Total do patrimônio líquido</v>
      </c>
      <c r="E11" s="118">
        <v>401598</v>
      </c>
      <c r="F11" s="118">
        <v>403040</v>
      </c>
      <c r="G11" s="118">
        <v>376446</v>
      </c>
      <c r="H11" s="118">
        <v>348621</v>
      </c>
      <c r="I11" s="118">
        <v>362172</v>
      </c>
      <c r="J11" s="118">
        <v>369830</v>
      </c>
      <c r="K11" s="118">
        <v>371095</v>
      </c>
      <c r="L11" s="118">
        <v>370984</v>
      </c>
      <c r="M11" s="118">
        <v>363359</v>
      </c>
      <c r="N11" s="118">
        <v>362782</v>
      </c>
      <c r="O11" s="118">
        <v>362054</v>
      </c>
      <c r="P11" s="118">
        <v>365895</v>
      </c>
      <c r="Q11" s="118">
        <v>378999</v>
      </c>
      <c r="R11" s="118">
        <v>380528</v>
      </c>
      <c r="S11" s="118">
        <v>400073</v>
      </c>
      <c r="T11" s="118">
        <v>400609</v>
      </c>
      <c r="U11" s="118">
        <v>448806</v>
      </c>
      <c r="V11" s="118">
        <v>462802</v>
      </c>
      <c r="W11" s="118">
        <v>455259</v>
      </c>
      <c r="X11" s="118">
        <v>465415</v>
      </c>
      <c r="Y11" s="118">
        <v>484372</v>
      </c>
      <c r="Z11" s="118">
        <v>511005</v>
      </c>
      <c r="AA11" s="118">
        <v>515840</v>
      </c>
      <c r="AB11" s="118">
        <v>577735</v>
      </c>
      <c r="AC11" s="118">
        <v>575079</v>
      </c>
      <c r="AD11" s="118">
        <v>595131</v>
      </c>
      <c r="AE11" s="118">
        <v>590088</v>
      </c>
      <c r="AF11" s="118">
        <v>619947</v>
      </c>
      <c r="AG11" s="118">
        <v>625639</v>
      </c>
      <c r="AH11" s="118">
        <v>645797</v>
      </c>
      <c r="AI11" s="118">
        <v>657412</v>
      </c>
      <c r="AJ11" s="118">
        <v>669448</v>
      </c>
      <c r="AK11" s="118">
        <v>681301</v>
      </c>
      <c r="AL11" s="118">
        <v>700082</v>
      </c>
      <c r="AM11" s="118">
        <v>708327</v>
      </c>
      <c r="AN11" s="118">
        <v>737207</v>
      </c>
      <c r="AO11" s="118">
        <v>767127</v>
      </c>
      <c r="AP11" s="118">
        <v>802006</v>
      </c>
      <c r="AQ11" s="118">
        <v>802300</v>
      </c>
      <c r="AR11" s="118">
        <v>820964</v>
      </c>
      <c r="AS11" s="118">
        <v>836545</v>
      </c>
      <c r="AT11" s="118">
        <v>874060</v>
      </c>
      <c r="AU11" s="118">
        <v>889862</v>
      </c>
      <c r="AV11" s="118">
        <v>893863</v>
      </c>
      <c r="AW11" s="118">
        <v>921409</v>
      </c>
      <c r="AX11" s="118">
        <v>965143</v>
      </c>
      <c r="AY11" s="118">
        <v>993359</v>
      </c>
      <c r="AZ11" s="118">
        <v>984234</v>
      </c>
      <c r="BA11" s="118">
        <v>872233</v>
      </c>
      <c r="BB11" s="118">
        <v>911018</v>
      </c>
      <c r="BC11" s="118">
        <f>'[3]4.f Gestão NL'!$J$15</f>
        <v>938533</v>
      </c>
    </row>
    <row r="12" spans="1:55" x14ac:dyDescent="0.2">
      <c r="A12" t="s">
        <v>2106</v>
      </c>
      <c r="B12" t="s">
        <v>2107</v>
      </c>
      <c r="D12" s="126" t="str">
        <f>IF([1]RENAME!$H$3=1,B12,A12)</f>
        <v>Total das fontes de capital</v>
      </c>
      <c r="E12" s="120">
        <f>SUM(E10:E11)</f>
        <v>681797</v>
      </c>
      <c r="F12" s="120">
        <f t="shared" ref="F12:K12" si="16">SUM(F10:F11)</f>
        <v>676967</v>
      </c>
      <c r="G12" s="120">
        <f t="shared" si="16"/>
        <v>613005</v>
      </c>
      <c r="H12" s="120">
        <f t="shared" si="16"/>
        <v>651579</v>
      </c>
      <c r="I12" s="120">
        <f t="shared" si="16"/>
        <v>627647</v>
      </c>
      <c r="J12" s="120">
        <f t="shared" si="16"/>
        <v>553519</v>
      </c>
      <c r="K12" s="120">
        <f t="shared" si="16"/>
        <v>604064</v>
      </c>
      <c r="L12" s="120">
        <f t="shared" ref="L12:Z12" si="17">SUM(L10:L11)</f>
        <v>527789</v>
      </c>
      <c r="M12" s="120">
        <f t="shared" si="17"/>
        <v>513397</v>
      </c>
      <c r="N12" s="120">
        <f t="shared" si="17"/>
        <v>471954</v>
      </c>
      <c r="O12" s="120">
        <f t="shared" si="17"/>
        <v>485431</v>
      </c>
      <c r="P12" s="120">
        <f t="shared" si="17"/>
        <v>465710</v>
      </c>
      <c r="Q12" s="120">
        <f t="shared" si="17"/>
        <v>477718</v>
      </c>
      <c r="R12" s="120">
        <f t="shared" si="17"/>
        <v>475967</v>
      </c>
      <c r="S12" s="120">
        <f t="shared" si="17"/>
        <v>490894</v>
      </c>
      <c r="T12" s="120">
        <f t="shared" si="17"/>
        <v>475277</v>
      </c>
      <c r="U12" s="120">
        <f t="shared" si="17"/>
        <v>522948</v>
      </c>
      <c r="V12" s="120">
        <f t="shared" si="17"/>
        <v>491505</v>
      </c>
      <c r="W12" s="120">
        <f t="shared" si="17"/>
        <v>512683</v>
      </c>
      <c r="X12" s="120">
        <f t="shared" si="17"/>
        <v>526364</v>
      </c>
      <c r="Y12" s="120">
        <f t="shared" si="17"/>
        <v>559416</v>
      </c>
      <c r="Z12" s="120">
        <f t="shared" si="17"/>
        <v>545737</v>
      </c>
      <c r="AA12" s="120">
        <f t="shared" ref="AA12:AF12" si="18">SUM(AA10:AA11)</f>
        <v>547712</v>
      </c>
      <c r="AB12" s="120">
        <f t="shared" si="18"/>
        <v>605727</v>
      </c>
      <c r="AC12" s="120">
        <f t="shared" si="18"/>
        <v>645165</v>
      </c>
      <c r="AD12" s="120">
        <f t="shared" si="18"/>
        <v>602710</v>
      </c>
      <c r="AE12" s="120">
        <f t="shared" si="18"/>
        <v>527582</v>
      </c>
      <c r="AF12" s="120">
        <f t="shared" si="18"/>
        <v>565597</v>
      </c>
      <c r="AG12" s="120">
        <f t="shared" ref="AG12:AM12" si="19">SUM(AG10:AG11)</f>
        <v>559063</v>
      </c>
      <c r="AH12" s="120">
        <f t="shared" si="19"/>
        <v>535477</v>
      </c>
      <c r="AI12" s="120">
        <f t="shared" si="19"/>
        <v>565196</v>
      </c>
      <c r="AJ12" s="120">
        <f t="shared" si="19"/>
        <v>575703</v>
      </c>
      <c r="AK12" s="120">
        <f t="shared" si="19"/>
        <v>663059</v>
      </c>
      <c r="AL12" s="120">
        <f>SUM(AL10:AL11)</f>
        <v>608828</v>
      </c>
      <c r="AM12" s="120">
        <f t="shared" si="19"/>
        <v>657015</v>
      </c>
      <c r="AN12" s="120">
        <f t="shared" ref="AN12:AT12" si="20">SUM(AN10:AN11)</f>
        <v>666397</v>
      </c>
      <c r="AO12" s="120">
        <f t="shared" si="20"/>
        <v>678568</v>
      </c>
      <c r="AP12" s="120">
        <f t="shared" si="20"/>
        <v>650324</v>
      </c>
      <c r="AQ12" s="120">
        <f t="shared" si="20"/>
        <v>656529</v>
      </c>
      <c r="AR12" s="120">
        <f t="shared" si="20"/>
        <v>658140</v>
      </c>
      <c r="AS12" s="120">
        <f t="shared" si="20"/>
        <v>705605</v>
      </c>
      <c r="AT12" s="120">
        <f t="shared" si="20"/>
        <v>681481</v>
      </c>
      <c r="AU12" s="120">
        <f t="shared" ref="AU12:BC12" si="21">SUM(AU10:AU11)</f>
        <v>713026</v>
      </c>
      <c r="AV12" s="120">
        <f t="shared" si="21"/>
        <v>735416</v>
      </c>
      <c r="AW12" s="120">
        <f t="shared" si="21"/>
        <v>786070</v>
      </c>
      <c r="AX12" s="120">
        <f t="shared" si="21"/>
        <v>736231</v>
      </c>
      <c r="AY12" s="120">
        <f t="shared" si="21"/>
        <v>757413</v>
      </c>
      <c r="AZ12" s="120">
        <f t="shared" si="21"/>
        <v>824389</v>
      </c>
      <c r="BA12" s="120">
        <f t="shared" si="21"/>
        <v>884323</v>
      </c>
      <c r="BB12" s="120">
        <f>SUM(BB10:BB11)</f>
        <v>852033</v>
      </c>
      <c r="BC12" s="120">
        <f t="shared" si="21"/>
        <v>882932</v>
      </c>
    </row>
    <row r="13" spans="1:55" x14ac:dyDescent="0.2">
      <c r="A13" t="s">
        <v>182</v>
      </c>
      <c r="B13" t="s">
        <v>880</v>
      </c>
      <c r="D13" s="126" t="str">
        <f>IF([1]RENAME!$H$3=1,B13,A13)</f>
        <v>Índice de alavancagem financeira</v>
      </c>
      <c r="E13" s="144">
        <f>+E10/E12</f>
        <v>0.41097130084174616</v>
      </c>
      <c r="F13" s="144">
        <f t="shared" ref="F13:K13" si="22">+F10/F12</f>
        <v>0.40463863083429474</v>
      </c>
      <c r="G13" s="144">
        <f t="shared" si="22"/>
        <v>0.38590060439963786</v>
      </c>
      <c r="H13" s="144">
        <f t="shared" si="22"/>
        <v>0.46495973627142678</v>
      </c>
      <c r="I13" s="144">
        <f t="shared" si="22"/>
        <v>0.42296864320230959</v>
      </c>
      <c r="J13" s="144">
        <f t="shared" si="22"/>
        <v>0.33185672036551589</v>
      </c>
      <c r="K13" s="144">
        <f t="shared" si="22"/>
        <v>0.38566939926895161</v>
      </c>
      <c r="L13" s="144">
        <f t="shared" ref="L13:Z13" si="23">+L10/L12</f>
        <v>0.29709789328690062</v>
      </c>
      <c r="M13" s="144">
        <f t="shared" si="23"/>
        <v>0.29224557214007874</v>
      </c>
      <c r="N13" s="144">
        <f t="shared" si="23"/>
        <v>0.23131915398534603</v>
      </c>
      <c r="O13" s="144">
        <f t="shared" si="23"/>
        <v>0.25415970549882477</v>
      </c>
      <c r="P13" s="144">
        <f t="shared" si="23"/>
        <v>0.2143286594661914</v>
      </c>
      <c r="Q13" s="144">
        <f t="shared" si="23"/>
        <v>0.20664701769663274</v>
      </c>
      <c r="R13" s="144">
        <f t="shared" si="23"/>
        <v>0.20051600215981361</v>
      </c>
      <c r="S13" s="144">
        <f t="shared" si="23"/>
        <v>0.18501142812908694</v>
      </c>
      <c r="T13" s="144">
        <f t="shared" si="23"/>
        <v>0.15710417293494111</v>
      </c>
      <c r="U13" s="144">
        <f t="shared" si="23"/>
        <v>0.14177700268477936</v>
      </c>
      <c r="V13" s="144">
        <f t="shared" si="23"/>
        <v>5.8398185165969826E-2</v>
      </c>
      <c r="W13" s="144">
        <f t="shared" si="23"/>
        <v>0.11200683463270676</v>
      </c>
      <c r="X13" s="144">
        <f t="shared" si="23"/>
        <v>0.11579249340760386</v>
      </c>
      <c r="Y13" s="144">
        <f t="shared" si="23"/>
        <v>0.13414703905501452</v>
      </c>
      <c r="Z13" s="144">
        <f t="shared" si="23"/>
        <v>6.3642377189012292E-2</v>
      </c>
      <c r="AA13" s="144">
        <f t="shared" ref="AA13:AF13" si="24">+AA10/AA12</f>
        <v>5.8191166160317831E-2</v>
      </c>
      <c r="AB13" s="144">
        <f t="shared" si="24"/>
        <v>4.6212237526146269E-2</v>
      </c>
      <c r="AC13" s="144">
        <f t="shared" si="24"/>
        <v>0.10863267536211667</v>
      </c>
      <c r="AD13" s="144">
        <f t="shared" si="24"/>
        <v>1.2574870169733372E-2</v>
      </c>
      <c r="AE13" s="144">
        <f t="shared" si="24"/>
        <v>-0.11847636955013628</v>
      </c>
      <c r="AF13" s="144">
        <f t="shared" si="24"/>
        <v>-9.6093154666661948E-2</v>
      </c>
      <c r="AG13" s="144">
        <f t="shared" ref="AG13:AM13" si="25">+AG10/AG12</f>
        <v>-0.11908496895698696</v>
      </c>
      <c r="AH13" s="144">
        <f t="shared" si="25"/>
        <v>-0.20602192064271668</v>
      </c>
      <c r="AI13" s="144">
        <f t="shared" si="25"/>
        <v>-0.16315755950148267</v>
      </c>
      <c r="AJ13" s="144">
        <f t="shared" si="25"/>
        <v>-0.16283569826803057</v>
      </c>
      <c r="AK13" s="144">
        <f t="shared" si="25"/>
        <v>-2.7511880541550602E-2</v>
      </c>
      <c r="AL13" s="144">
        <f>+AL10/AL12</f>
        <v>-0.14988469649884698</v>
      </c>
      <c r="AM13" s="144">
        <f t="shared" si="25"/>
        <v>-7.8098673546266068E-2</v>
      </c>
      <c r="AN13" s="144">
        <f t="shared" ref="AN13:AT13" si="26">+AN10/AN12</f>
        <v>-0.10625798135345747</v>
      </c>
      <c r="AO13" s="144">
        <f t="shared" si="26"/>
        <v>-0.13050865941217388</v>
      </c>
      <c r="AP13" s="144">
        <f t="shared" si="26"/>
        <v>-0.23324066157792117</v>
      </c>
      <c r="AQ13" s="144">
        <f t="shared" si="26"/>
        <v>-0.22203284241823285</v>
      </c>
      <c r="AR13" s="144">
        <f t="shared" si="26"/>
        <v>-0.24740024918710304</v>
      </c>
      <c r="AS13" s="144">
        <f t="shared" si="26"/>
        <v>-0.18557124736927885</v>
      </c>
      <c r="AT13" s="144">
        <f t="shared" si="26"/>
        <v>-0.28258894965523618</v>
      </c>
      <c r="AU13" s="144">
        <f t="shared" ref="AU13:BC13" si="27">+AU10/AU12</f>
        <v>-0.24800778653232841</v>
      </c>
      <c r="AV13" s="144">
        <f t="shared" si="27"/>
        <v>-0.21545220664222697</v>
      </c>
      <c r="AW13" s="144">
        <f t="shared" si="27"/>
        <v>-0.17217168954418818</v>
      </c>
      <c r="AX13" s="144">
        <f t="shared" si="27"/>
        <v>-0.31092415288136466</v>
      </c>
      <c r="AY13" s="144">
        <f t="shared" si="27"/>
        <v>-0.31151564602139126</v>
      </c>
      <c r="AZ13" s="144">
        <f t="shared" si="27"/>
        <v>-0.19389511504884224</v>
      </c>
      <c r="BA13" s="144">
        <f t="shared" si="27"/>
        <v>1.3671475241512434E-2</v>
      </c>
      <c r="BB13" s="144">
        <f>+BB10/BB12</f>
        <v>-6.9228539270192582E-2</v>
      </c>
      <c r="BC13" s="144">
        <f t="shared" si="27"/>
        <v>-6.2973139494321193E-2</v>
      </c>
    </row>
    <row r="14" spans="1:55" x14ac:dyDescent="0.2">
      <c r="D14" s="40"/>
    </row>
    <row r="15" spans="1:55" x14ac:dyDescent="0.2">
      <c r="A15" t="s">
        <v>97</v>
      </c>
      <c r="B15" t="s">
        <v>872</v>
      </c>
      <c r="D15" s="143" t="str">
        <f>IF([1]RENAME!$H$3=1,B15,A15)</f>
        <v>Controladora</v>
      </c>
      <c r="E15" s="247" t="str">
        <f>E5</f>
        <v>4T13</v>
      </c>
      <c r="F15" s="247" t="str">
        <f t="shared" ref="F15:T15" si="28">F5</f>
        <v>1T14</v>
      </c>
      <c r="G15" s="247" t="str">
        <f t="shared" si="28"/>
        <v>2T14</v>
      </c>
      <c r="H15" s="247" t="str">
        <f t="shared" si="28"/>
        <v>3T14</v>
      </c>
      <c r="I15" s="247" t="str">
        <f t="shared" si="28"/>
        <v>4T14</v>
      </c>
      <c r="J15" s="247" t="str">
        <f t="shared" si="28"/>
        <v>1T15</v>
      </c>
      <c r="K15" s="247" t="str">
        <f t="shared" si="28"/>
        <v>2T15</v>
      </c>
      <c r="L15" s="247" t="str">
        <f t="shared" si="28"/>
        <v>3T15</v>
      </c>
      <c r="M15" s="247" t="str">
        <f t="shared" si="28"/>
        <v>4T15</v>
      </c>
      <c r="N15" s="247" t="str">
        <f t="shared" si="28"/>
        <v>1T16</v>
      </c>
      <c r="O15" s="247" t="str">
        <f t="shared" si="28"/>
        <v>2T16</v>
      </c>
      <c r="P15" s="247" t="str">
        <f t="shared" si="28"/>
        <v>3T16</v>
      </c>
      <c r="Q15" s="247" t="str">
        <f t="shared" si="28"/>
        <v>4T16</v>
      </c>
      <c r="R15" s="247" t="str">
        <f t="shared" si="28"/>
        <v>1T17</v>
      </c>
      <c r="S15" s="247" t="str">
        <f t="shared" si="28"/>
        <v>2T17</v>
      </c>
      <c r="T15" s="247" t="str">
        <f t="shared" si="28"/>
        <v>3T17</v>
      </c>
      <c r="U15" s="247" t="str">
        <f t="shared" ref="U15:AE15" si="29">U5</f>
        <v>4T17</v>
      </c>
      <c r="V15" s="247" t="str">
        <f t="shared" si="29"/>
        <v>1T18</v>
      </c>
      <c r="W15" s="247" t="str">
        <f t="shared" si="29"/>
        <v>2T18</v>
      </c>
      <c r="X15" s="247" t="str">
        <f t="shared" si="29"/>
        <v>3T18</v>
      </c>
      <c r="Y15" s="247" t="str">
        <f t="shared" si="29"/>
        <v>4T18</v>
      </c>
      <c r="Z15" s="247" t="str">
        <f t="shared" si="29"/>
        <v>1T19</v>
      </c>
      <c r="AA15" s="247" t="str">
        <f t="shared" si="29"/>
        <v>2T19</v>
      </c>
      <c r="AB15" s="247" t="str">
        <f t="shared" si="29"/>
        <v>3T19</v>
      </c>
      <c r="AC15" s="247" t="str">
        <f t="shared" si="29"/>
        <v>4T19</v>
      </c>
      <c r="AD15" s="247" t="str">
        <f t="shared" si="29"/>
        <v>1T20</v>
      </c>
      <c r="AE15" s="247" t="str">
        <f t="shared" si="29"/>
        <v>2T20</v>
      </c>
      <c r="AF15" s="247" t="str">
        <f>AF5</f>
        <v>3T20</v>
      </c>
      <c r="AG15" s="247" t="str">
        <f t="shared" ref="AG15:AM15" si="30">AG5</f>
        <v>4T20</v>
      </c>
      <c r="AH15" s="247" t="str">
        <f t="shared" si="30"/>
        <v>1T21</v>
      </c>
      <c r="AI15" s="247" t="str">
        <f t="shared" si="30"/>
        <v>2T21</v>
      </c>
      <c r="AJ15" s="247" t="str">
        <f t="shared" si="30"/>
        <v>3T21</v>
      </c>
      <c r="AK15" s="247" t="str">
        <f t="shared" si="30"/>
        <v>4T21</v>
      </c>
      <c r="AL15" s="247" t="str">
        <f t="shared" si="30"/>
        <v>1T22</v>
      </c>
      <c r="AM15" s="247" t="str">
        <f t="shared" si="30"/>
        <v>2T22</v>
      </c>
      <c r="AN15" s="247" t="str">
        <f t="shared" ref="AN15:AU15" si="31">AN5</f>
        <v>3T22</v>
      </c>
      <c r="AO15" s="247" t="str">
        <f t="shared" si="31"/>
        <v>4T22</v>
      </c>
      <c r="AP15" s="247" t="str">
        <f t="shared" si="31"/>
        <v>1T23</v>
      </c>
      <c r="AQ15" s="247" t="str">
        <f t="shared" si="31"/>
        <v>2T23</v>
      </c>
      <c r="AR15" s="247" t="str">
        <f t="shared" si="31"/>
        <v>3T23</v>
      </c>
      <c r="AS15" s="247" t="str">
        <f t="shared" si="31"/>
        <v>4T23</v>
      </c>
      <c r="AT15" s="247" t="str">
        <f t="shared" si="31"/>
        <v>1T24</v>
      </c>
      <c r="AU15" s="247" t="str">
        <f t="shared" si="31"/>
        <v>2T24</v>
      </c>
      <c r="AV15" s="247" t="str">
        <f t="shared" ref="AV15:BC15" si="32">AV5</f>
        <v>3T24</v>
      </c>
      <c r="AW15" s="247" t="str">
        <f t="shared" si="32"/>
        <v>4T24</v>
      </c>
      <c r="AX15" s="247" t="str">
        <f t="shared" si="32"/>
        <v>1T25</v>
      </c>
      <c r="AY15" s="247" t="str">
        <f t="shared" si="32"/>
        <v>2T25</v>
      </c>
      <c r="AZ15" s="247" t="str">
        <f t="shared" si="32"/>
        <v>3T25</v>
      </c>
      <c r="BA15" s="247" t="str">
        <f t="shared" si="32"/>
        <v>4T25</v>
      </c>
      <c r="BB15" s="247" t="str">
        <f>BB5</f>
        <v>1T26</v>
      </c>
      <c r="BC15" s="247" t="str">
        <f t="shared" si="32"/>
        <v>2T26</v>
      </c>
    </row>
    <row r="16" spans="1:55" x14ac:dyDescent="0.2">
      <c r="A16" t="s">
        <v>380</v>
      </c>
      <c r="B16" t="s">
        <v>877</v>
      </c>
      <c r="D16" s="129" t="str">
        <f>IF([1]RENAME!$H$3=1,B16,A16)</f>
        <v xml:space="preserve">Total dos empréstimos </v>
      </c>
      <c r="E16" s="118">
        <v>60975</v>
      </c>
      <c r="F16" s="118">
        <v>58110</v>
      </c>
      <c r="G16" s="118">
        <v>55816</v>
      </c>
      <c r="H16" s="118">
        <v>139092</v>
      </c>
      <c r="I16" s="118">
        <v>149557</v>
      </c>
      <c r="J16" s="118">
        <v>180764</v>
      </c>
      <c r="K16" s="118">
        <v>3987</v>
      </c>
      <c r="L16" s="118">
        <v>3216</v>
      </c>
      <c r="M16" s="118">
        <v>2476</v>
      </c>
      <c r="N16" s="118">
        <v>2051</v>
      </c>
      <c r="O16" s="118">
        <v>1744</v>
      </c>
      <c r="P16" s="118">
        <v>1445</v>
      </c>
      <c r="Q16" s="118">
        <v>1182</v>
      </c>
      <c r="R16" s="118">
        <v>920</v>
      </c>
      <c r="S16" s="260">
        <v>50658</v>
      </c>
      <c r="T16" s="118">
        <v>50706</v>
      </c>
      <c r="U16" s="118">
        <v>50151</v>
      </c>
      <c r="V16" s="118">
        <v>50242</v>
      </c>
      <c r="W16" s="118">
        <v>50020</v>
      </c>
      <c r="X16" s="118">
        <v>64544</v>
      </c>
      <c r="Y16" s="118">
        <v>62117</v>
      </c>
      <c r="Z16" s="118">
        <v>94227</v>
      </c>
      <c r="AA16" s="118">
        <v>90449</v>
      </c>
      <c r="AB16" s="118">
        <v>94820</v>
      </c>
      <c r="AC16" s="118">
        <v>91022</v>
      </c>
      <c r="AD16" s="118">
        <v>103286</v>
      </c>
      <c r="AE16" s="118">
        <v>196354</v>
      </c>
      <c r="AF16" s="118">
        <v>168276</v>
      </c>
      <c r="AG16" s="118">
        <v>168764</v>
      </c>
      <c r="AH16" s="118">
        <v>169300</v>
      </c>
      <c r="AI16" s="118">
        <v>127243</v>
      </c>
      <c r="AJ16" s="118">
        <v>127676</v>
      </c>
      <c r="AK16" s="118">
        <v>128886</v>
      </c>
      <c r="AL16" s="118">
        <v>119250</v>
      </c>
      <c r="AM16" s="118">
        <v>68411</v>
      </c>
      <c r="AN16" s="118">
        <v>66432</v>
      </c>
      <c r="AO16" s="118">
        <v>101740</v>
      </c>
      <c r="AP16" s="118">
        <v>90366</v>
      </c>
      <c r="AQ16" s="118">
        <v>91267</v>
      </c>
      <c r="AR16" s="118">
        <v>89505</v>
      </c>
      <c r="AS16" s="118">
        <v>90045</v>
      </c>
      <c r="AT16" s="118">
        <v>95722</v>
      </c>
      <c r="AU16" s="118">
        <v>85634</v>
      </c>
      <c r="AV16" s="118">
        <v>85107</v>
      </c>
      <c r="AW16" s="118">
        <v>85708</v>
      </c>
      <c r="AX16" s="118">
        <v>89721</v>
      </c>
      <c r="AY16" s="118">
        <v>90861</v>
      </c>
      <c r="AZ16" s="118">
        <v>65050</v>
      </c>
      <c r="BA16" s="118">
        <v>105560</v>
      </c>
      <c r="BB16" s="118">
        <v>104537</v>
      </c>
      <c r="BC16" s="118">
        <f>'[3]4.f Gestão NL'!$F$7</f>
        <v>112090</v>
      </c>
    </row>
    <row r="17" spans="1:55" x14ac:dyDescent="0.2">
      <c r="A17" t="s">
        <v>366</v>
      </c>
      <c r="B17" t="s">
        <v>867</v>
      </c>
      <c r="D17" s="129" t="str">
        <f>IF([1]RENAME!$H$3=1,B17,A17)</f>
        <v xml:space="preserve">Debêntures </v>
      </c>
      <c r="E17" s="118">
        <v>287845</v>
      </c>
      <c r="F17" s="118">
        <v>285063</v>
      </c>
      <c r="G17" s="118">
        <v>358630</v>
      </c>
      <c r="H17" s="118">
        <v>358318</v>
      </c>
      <c r="I17" s="118">
        <v>359798</v>
      </c>
      <c r="J17" s="118">
        <v>358645</v>
      </c>
      <c r="K17" s="118">
        <v>360487</v>
      </c>
      <c r="L17" s="118">
        <v>360340</v>
      </c>
      <c r="M17" s="118">
        <v>361821</v>
      </c>
      <c r="N17" s="118">
        <v>339814</v>
      </c>
      <c r="O17" s="118">
        <v>340849</v>
      </c>
      <c r="P17" s="118">
        <v>340288</v>
      </c>
      <c r="Q17" s="118">
        <v>290395</v>
      </c>
      <c r="R17" s="118">
        <v>219189</v>
      </c>
      <c r="S17" s="118">
        <v>218703</v>
      </c>
      <c r="T17" s="118">
        <v>164712</v>
      </c>
      <c r="U17" s="118">
        <v>168127</v>
      </c>
      <c r="V17" s="118">
        <v>99306</v>
      </c>
      <c r="W17" s="118">
        <v>98093</v>
      </c>
      <c r="X17" s="118">
        <v>98314</v>
      </c>
      <c r="Y17" s="118">
        <v>98083</v>
      </c>
      <c r="Z17" s="118">
        <v>51160</v>
      </c>
      <c r="AA17" s="118">
        <v>50140</v>
      </c>
      <c r="AB17" s="118">
        <v>51179</v>
      </c>
      <c r="AC17" s="118">
        <v>50135</v>
      </c>
      <c r="AD17" s="118">
        <v>50891</v>
      </c>
      <c r="AE17" s="118">
        <v>51514</v>
      </c>
      <c r="AF17" s="118">
        <v>25167</v>
      </c>
      <c r="AG17" s="118">
        <v>25047</v>
      </c>
      <c r="AH17" s="118">
        <v>25289</v>
      </c>
      <c r="AI17" s="118">
        <v>25070</v>
      </c>
      <c r="AJ17" s="118">
        <v>0</v>
      </c>
      <c r="AK17" s="118">
        <v>0</v>
      </c>
      <c r="AL17" s="118">
        <v>0</v>
      </c>
      <c r="AM17" s="118">
        <v>0</v>
      </c>
      <c r="AN17" s="118">
        <v>0</v>
      </c>
      <c r="AO17" s="118">
        <v>0</v>
      </c>
      <c r="AP17" s="118">
        <v>0</v>
      </c>
      <c r="AQ17" s="118">
        <v>0</v>
      </c>
      <c r="AR17" s="118">
        <v>0</v>
      </c>
      <c r="AS17" s="118">
        <v>0</v>
      </c>
      <c r="AT17" s="118">
        <v>0</v>
      </c>
      <c r="AU17" s="118">
        <v>0</v>
      </c>
      <c r="AV17" s="118">
        <v>0</v>
      </c>
      <c r="AW17" s="118">
        <v>0</v>
      </c>
      <c r="AX17" s="118">
        <v>0</v>
      </c>
      <c r="AY17" s="118">
        <v>0</v>
      </c>
      <c r="AZ17" s="118">
        <v>0</v>
      </c>
      <c r="BA17" s="118">
        <v>0</v>
      </c>
      <c r="BB17" s="118">
        <v>0</v>
      </c>
      <c r="BC17" s="118">
        <v>0</v>
      </c>
    </row>
    <row r="18" spans="1:55" x14ac:dyDescent="0.2">
      <c r="A18" t="s">
        <v>381</v>
      </c>
      <c r="B18" t="s">
        <v>878</v>
      </c>
      <c r="D18" s="129" t="str">
        <f>IF([1]RENAME!$H$3=1,B18,A18)</f>
        <v>Derivativos - Swap</v>
      </c>
      <c r="E18" s="118">
        <v>-16379</v>
      </c>
      <c r="F18" s="118">
        <v>318</v>
      </c>
      <c r="G18" s="118">
        <v>1995</v>
      </c>
      <c r="H18" s="118">
        <v>-8359</v>
      </c>
      <c r="I18" s="118">
        <v>-16023</v>
      </c>
      <c r="J18" s="118">
        <v>-48760</v>
      </c>
      <c r="K18" s="118">
        <v>0</v>
      </c>
      <c r="L18" s="118">
        <v>0</v>
      </c>
      <c r="M18" s="118">
        <v>0</v>
      </c>
      <c r="N18" s="118">
        <v>0</v>
      </c>
      <c r="O18" s="118">
        <v>0</v>
      </c>
      <c r="P18" s="118">
        <v>0</v>
      </c>
      <c r="Q18" s="118">
        <v>0</v>
      </c>
      <c r="R18" s="118">
        <v>0</v>
      </c>
      <c r="S18" s="118">
        <v>0</v>
      </c>
      <c r="T18" s="118">
        <v>0</v>
      </c>
      <c r="U18" s="118">
        <v>0</v>
      </c>
      <c r="V18" s="118">
        <v>0</v>
      </c>
      <c r="W18" s="118">
        <v>0</v>
      </c>
      <c r="X18" s="118">
        <v>-3945</v>
      </c>
      <c r="Y18" s="118">
        <v>-1614</v>
      </c>
      <c r="Z18" s="118">
        <v>-2661</v>
      </c>
      <c r="AA18" s="118">
        <v>-1942</v>
      </c>
      <c r="AB18" s="118">
        <v>-5899</v>
      </c>
      <c r="AC18" s="118">
        <v>-3739</v>
      </c>
      <c r="AD18" s="118">
        <v>-20658</v>
      </c>
      <c r="AE18" s="118">
        <v>-23871</v>
      </c>
      <c r="AF18" s="118">
        <v>0</v>
      </c>
      <c r="AG18" s="118">
        <v>0</v>
      </c>
      <c r="AH18" s="118">
        <v>0</v>
      </c>
      <c r="AI18" s="118">
        <v>0</v>
      </c>
      <c r="AJ18" s="118">
        <v>0</v>
      </c>
      <c r="AK18" s="118">
        <v>0</v>
      </c>
      <c r="AL18" s="118">
        <v>0</v>
      </c>
      <c r="AM18" s="118">
        <v>0</v>
      </c>
      <c r="AN18" s="118">
        <v>0</v>
      </c>
      <c r="AO18" s="118">
        <v>0</v>
      </c>
      <c r="AP18" s="118">
        <v>0</v>
      </c>
      <c r="AQ18" s="118">
        <v>0</v>
      </c>
      <c r="AR18" s="118">
        <v>0</v>
      </c>
      <c r="AS18" s="118">
        <v>0</v>
      </c>
      <c r="AT18" s="118">
        <v>0</v>
      </c>
      <c r="AU18" s="118">
        <v>0</v>
      </c>
      <c r="AV18" s="118">
        <v>0</v>
      </c>
      <c r="AW18" s="118">
        <v>0</v>
      </c>
      <c r="AX18" s="118">
        <v>0</v>
      </c>
      <c r="AY18" s="118">
        <v>0</v>
      </c>
      <c r="AZ18" s="118">
        <v>0</v>
      </c>
      <c r="BA18" s="118">
        <v>0</v>
      </c>
      <c r="BB18" s="118">
        <v>0</v>
      </c>
      <c r="BC18" s="118">
        <f>'[3]4.f Gestão NL'!$F$8</f>
        <v>128</v>
      </c>
    </row>
    <row r="19" spans="1:55" x14ac:dyDescent="0.2">
      <c r="A19" t="s">
        <v>382</v>
      </c>
      <c r="B19" t="s">
        <v>874</v>
      </c>
      <c r="D19" s="129" t="str">
        <f>IF([1]RENAME!$H$3=1,B19,A19)</f>
        <v xml:space="preserve">Caixa e equivalentes de caixa </v>
      </c>
      <c r="E19" s="118">
        <v>-161132</v>
      </c>
      <c r="F19" s="118">
        <v>-200090</v>
      </c>
      <c r="G19" s="118">
        <v>-163798</v>
      </c>
      <c r="H19" s="118">
        <v>-163219</v>
      </c>
      <c r="I19" s="118">
        <v>-134926</v>
      </c>
      <c r="J19" s="118">
        <v>-211638</v>
      </c>
      <c r="K19" s="118">
        <v>-46116</v>
      </c>
      <c r="L19" s="118">
        <v>-126576</v>
      </c>
      <c r="M19" s="118">
        <v>-128579</v>
      </c>
      <c r="N19" s="118">
        <v>-127008</v>
      </c>
      <c r="O19" s="118">
        <v>-121845</v>
      </c>
      <c r="P19" s="118">
        <v>-140246</v>
      </c>
      <c r="Q19" s="118">
        <v>-93402</v>
      </c>
      <c r="R19" s="118">
        <v>-33388</v>
      </c>
      <c r="S19" s="118">
        <v>-91363</v>
      </c>
      <c r="T19" s="118">
        <v>-46963</v>
      </c>
      <c r="U19" s="118">
        <v>-46534</v>
      </c>
      <c r="V19" s="118">
        <v>-24814</v>
      </c>
      <c r="W19" s="118">
        <v>-55649</v>
      </c>
      <c r="X19" s="118">
        <v>-86324</v>
      </c>
      <c r="Y19" s="118">
        <v>-75713</v>
      </c>
      <c r="Z19" s="118">
        <v>-98399</v>
      </c>
      <c r="AA19" s="118">
        <v>-92534</v>
      </c>
      <c r="AB19" s="118">
        <v>-93877</v>
      </c>
      <c r="AC19" s="118">
        <v>-36764</v>
      </c>
      <c r="AD19" s="118">
        <v>-85266</v>
      </c>
      <c r="AE19" s="118">
        <v>-243342</v>
      </c>
      <c r="AF19" s="118">
        <v>-184785</v>
      </c>
      <c r="AG19" s="118">
        <v>-211363</v>
      </c>
      <c r="AH19" s="118">
        <v>-245436</v>
      </c>
      <c r="AI19" s="118">
        <v>-199049</v>
      </c>
      <c r="AJ19" s="118">
        <v>-169591</v>
      </c>
      <c r="AK19" s="118">
        <v>-99935</v>
      </c>
      <c r="AL19" s="118">
        <v>-129520</v>
      </c>
      <c r="AM19" s="118">
        <v>-62132</v>
      </c>
      <c r="AN19" s="118">
        <v>-84903</v>
      </c>
      <c r="AO19" s="118">
        <v>-131031</v>
      </c>
      <c r="AP19" s="118">
        <v>-178506</v>
      </c>
      <c r="AQ19" s="118">
        <v>-161094</v>
      </c>
      <c r="AR19" s="118">
        <v>-182083</v>
      </c>
      <c r="AS19" s="118">
        <v>-141442</v>
      </c>
      <c r="AT19" s="118">
        <v>-204034</v>
      </c>
      <c r="AU19" s="118">
        <v>-215126</v>
      </c>
      <c r="AV19" s="118">
        <v>-190071</v>
      </c>
      <c r="AW19" s="118">
        <v>-158813</v>
      </c>
      <c r="AX19" s="118">
        <v>-257724</v>
      </c>
      <c r="AY19" s="118">
        <v>-276095</v>
      </c>
      <c r="AZ19" s="118">
        <v>-184151</v>
      </c>
      <c r="BA19" s="118">
        <v>-69629</v>
      </c>
      <c r="BB19" s="118">
        <v>-110252</v>
      </c>
      <c r="BC19" s="118">
        <f>'[3]4.f Gestão NL'!$F$9</f>
        <v>-107049</v>
      </c>
    </row>
    <row r="20" spans="1:55" x14ac:dyDescent="0.2">
      <c r="A20" t="s">
        <v>76</v>
      </c>
      <c r="B20" t="s">
        <v>833</v>
      </c>
      <c r="D20" s="126" t="str">
        <f>IF([1]RENAME!$H$3=1,B20,A20)</f>
        <v>Dívida líquida</v>
      </c>
      <c r="E20" s="120">
        <f>SUM(E16:E19)</f>
        <v>171309</v>
      </c>
      <c r="F20" s="120">
        <f t="shared" ref="F20:K20" si="33">SUM(F16:F19)</f>
        <v>143401</v>
      </c>
      <c r="G20" s="120">
        <f t="shared" si="33"/>
        <v>252643</v>
      </c>
      <c r="H20" s="120">
        <f t="shared" si="33"/>
        <v>325832</v>
      </c>
      <c r="I20" s="120">
        <f t="shared" si="33"/>
        <v>358406</v>
      </c>
      <c r="J20" s="120">
        <f t="shared" si="33"/>
        <v>279011</v>
      </c>
      <c r="K20" s="120">
        <f t="shared" si="33"/>
        <v>318358</v>
      </c>
      <c r="L20" s="120">
        <f t="shared" ref="L20:S20" si="34">SUM(L16:L19)</f>
        <v>236980</v>
      </c>
      <c r="M20" s="120">
        <f t="shared" si="34"/>
        <v>235718</v>
      </c>
      <c r="N20" s="120">
        <f t="shared" si="34"/>
        <v>214857</v>
      </c>
      <c r="O20" s="120">
        <f t="shared" si="34"/>
        <v>220748</v>
      </c>
      <c r="P20" s="120">
        <f t="shared" si="34"/>
        <v>201487</v>
      </c>
      <c r="Q20" s="120">
        <f t="shared" si="34"/>
        <v>198175</v>
      </c>
      <c r="R20" s="120">
        <f t="shared" si="34"/>
        <v>186721</v>
      </c>
      <c r="S20" s="120">
        <f t="shared" si="34"/>
        <v>177998</v>
      </c>
      <c r="T20" s="120">
        <f t="shared" ref="T20:Z20" si="35">SUM(T16:T19)</f>
        <v>168455</v>
      </c>
      <c r="U20" s="120">
        <f t="shared" si="35"/>
        <v>171744</v>
      </c>
      <c r="V20" s="120">
        <f t="shared" si="35"/>
        <v>124734</v>
      </c>
      <c r="W20" s="120">
        <f t="shared" si="35"/>
        <v>92464</v>
      </c>
      <c r="X20" s="120">
        <f t="shared" si="35"/>
        <v>72589</v>
      </c>
      <c r="Y20" s="120">
        <f t="shared" si="35"/>
        <v>82873</v>
      </c>
      <c r="Z20" s="120">
        <f t="shared" si="35"/>
        <v>44327</v>
      </c>
      <c r="AA20" s="120">
        <f t="shared" ref="AA20:AF20" si="36">SUM(AA16:AA19)</f>
        <v>46113</v>
      </c>
      <c r="AB20" s="120">
        <f t="shared" si="36"/>
        <v>46223</v>
      </c>
      <c r="AC20" s="120">
        <f t="shared" si="36"/>
        <v>100654</v>
      </c>
      <c r="AD20" s="120">
        <f t="shared" si="36"/>
        <v>48253</v>
      </c>
      <c r="AE20" s="120">
        <f t="shared" si="36"/>
        <v>-19345</v>
      </c>
      <c r="AF20" s="120">
        <f t="shared" si="36"/>
        <v>8658</v>
      </c>
      <c r="AG20" s="120">
        <f t="shared" ref="AG20:AM20" si="37">SUM(AG16:AG19)</f>
        <v>-17552</v>
      </c>
      <c r="AH20" s="120">
        <f t="shared" si="37"/>
        <v>-50847</v>
      </c>
      <c r="AI20" s="120">
        <f t="shared" si="37"/>
        <v>-46736</v>
      </c>
      <c r="AJ20" s="120">
        <f t="shared" si="37"/>
        <v>-41915</v>
      </c>
      <c r="AK20" s="120">
        <f t="shared" si="37"/>
        <v>28951</v>
      </c>
      <c r="AL20" s="120">
        <f t="shared" si="37"/>
        <v>-10270</v>
      </c>
      <c r="AM20" s="120">
        <f t="shared" si="37"/>
        <v>6279</v>
      </c>
      <c r="AN20" s="120">
        <f t="shared" ref="AN20:AU20" si="38">SUM(AN16:AN19)</f>
        <v>-18471</v>
      </c>
      <c r="AO20" s="120">
        <f t="shared" si="38"/>
        <v>-29291</v>
      </c>
      <c r="AP20" s="120">
        <f t="shared" si="38"/>
        <v>-88140</v>
      </c>
      <c r="AQ20" s="120">
        <f t="shared" si="38"/>
        <v>-69827</v>
      </c>
      <c r="AR20" s="120">
        <f t="shared" si="38"/>
        <v>-92578</v>
      </c>
      <c r="AS20" s="120">
        <f t="shared" si="38"/>
        <v>-51397</v>
      </c>
      <c r="AT20" s="120">
        <f t="shared" si="38"/>
        <v>-108312</v>
      </c>
      <c r="AU20" s="120">
        <f t="shared" si="38"/>
        <v>-129492</v>
      </c>
      <c r="AV20" s="120">
        <f t="shared" ref="AV20:BA20" si="39">SUM(AV16:AV19)</f>
        <v>-104964</v>
      </c>
      <c r="AW20" s="120">
        <f t="shared" si="39"/>
        <v>-73105</v>
      </c>
      <c r="AX20" s="120">
        <f t="shared" si="39"/>
        <v>-168003</v>
      </c>
      <c r="AY20" s="120">
        <f t="shared" si="39"/>
        <v>-185234</v>
      </c>
      <c r="AZ20" s="120">
        <f t="shared" si="39"/>
        <v>-119101</v>
      </c>
      <c r="BA20" s="120">
        <f t="shared" si="39"/>
        <v>35931</v>
      </c>
      <c r="BB20" s="120">
        <f>SUM(BB16:BB19)</f>
        <v>-5715</v>
      </c>
      <c r="BC20" s="120">
        <f>SUM(BC16:BC19)</f>
        <v>5169</v>
      </c>
    </row>
    <row r="21" spans="1:55" x14ac:dyDescent="0.2">
      <c r="A21" t="s">
        <v>181</v>
      </c>
      <c r="B21" t="s">
        <v>879</v>
      </c>
      <c r="D21" s="129" t="str">
        <f>IF([1]RENAME!$H$3=1,B21,A21)</f>
        <v>Total do patrimônio líquido</v>
      </c>
      <c r="E21" s="118">
        <v>401540</v>
      </c>
      <c r="F21" s="118">
        <v>402978</v>
      </c>
      <c r="G21" s="118">
        <v>376377</v>
      </c>
      <c r="H21" s="118">
        <v>348548</v>
      </c>
      <c r="I21" s="118">
        <v>362097</v>
      </c>
      <c r="J21" s="118">
        <v>369830</v>
      </c>
      <c r="K21" s="118">
        <v>371095</v>
      </c>
      <c r="L21" s="118">
        <v>370984</v>
      </c>
      <c r="M21" s="118">
        <v>363359</v>
      </c>
      <c r="N21" s="118">
        <v>362782</v>
      </c>
      <c r="O21" s="118">
        <v>362054</v>
      </c>
      <c r="P21" s="118">
        <v>365895</v>
      </c>
      <c r="Q21" s="118">
        <v>378999</v>
      </c>
      <c r="R21" s="118">
        <v>380528</v>
      </c>
      <c r="S21" s="118">
        <v>400073</v>
      </c>
      <c r="T21" s="118">
        <v>400609</v>
      </c>
      <c r="U21" s="118">
        <v>448806</v>
      </c>
      <c r="V21" s="118">
        <v>462802</v>
      </c>
      <c r="W21" s="118">
        <v>455259</v>
      </c>
      <c r="X21" s="118">
        <v>465415</v>
      </c>
      <c r="Y21" s="118">
        <v>484372</v>
      </c>
      <c r="Z21" s="118">
        <v>511005</v>
      </c>
      <c r="AA21" s="118">
        <v>515840</v>
      </c>
      <c r="AB21" s="118">
        <v>577735</v>
      </c>
      <c r="AC21" s="118">
        <v>575079</v>
      </c>
      <c r="AD21" s="118">
        <v>595131</v>
      </c>
      <c r="AE21" s="118">
        <v>590088</v>
      </c>
      <c r="AF21" s="118">
        <v>619947</v>
      </c>
      <c r="AG21" s="118">
        <v>624663</v>
      </c>
      <c r="AH21" s="118">
        <v>644911</v>
      </c>
      <c r="AI21" s="118">
        <v>656554</v>
      </c>
      <c r="AJ21" s="118">
        <v>668634</v>
      </c>
      <c r="AK21" s="118">
        <v>680734</v>
      </c>
      <c r="AL21" s="118">
        <v>699442</v>
      </c>
      <c r="AM21" s="118">
        <v>707573</v>
      </c>
      <c r="AN21" s="118">
        <v>736379</v>
      </c>
      <c r="AO21" s="118">
        <v>766189</v>
      </c>
      <c r="AP21" s="118">
        <v>800844</v>
      </c>
      <c r="AQ21" s="118">
        <v>800942</v>
      </c>
      <c r="AR21" s="118">
        <v>819533</v>
      </c>
      <c r="AS21" s="118">
        <v>835170</v>
      </c>
      <c r="AT21" s="118">
        <v>872453</v>
      </c>
      <c r="AU21" s="118">
        <v>888230</v>
      </c>
      <c r="AV21" s="118">
        <v>892007</v>
      </c>
      <c r="AW21" s="118">
        <v>921409</v>
      </c>
      <c r="AX21" s="118">
        <v>965143</v>
      </c>
      <c r="AY21" s="118">
        <v>993359</v>
      </c>
      <c r="AZ21" s="118">
        <v>984234</v>
      </c>
      <c r="BA21" s="118">
        <v>872233</v>
      </c>
      <c r="BB21" s="118">
        <v>911018</v>
      </c>
      <c r="BC21" s="118">
        <f>'[3]4.f Gestão NL'!$F$13</f>
        <v>994134</v>
      </c>
    </row>
    <row r="22" spans="1:55" x14ac:dyDescent="0.2">
      <c r="A22" t="s">
        <v>2106</v>
      </c>
      <c r="B22" t="s">
        <v>2107</v>
      </c>
      <c r="D22" s="126" t="str">
        <f>IF([1]RENAME!$H$3=1,B22,A22)</f>
        <v>Total das fontes de capital</v>
      </c>
      <c r="E22" s="120">
        <f>SUM(E20:E21)</f>
        <v>572849</v>
      </c>
      <c r="F22" s="120">
        <f t="shared" ref="F22:K22" si="40">SUM(F20:F21)</f>
        <v>546379</v>
      </c>
      <c r="G22" s="120">
        <f t="shared" si="40"/>
        <v>629020</v>
      </c>
      <c r="H22" s="120">
        <f t="shared" si="40"/>
        <v>674380</v>
      </c>
      <c r="I22" s="120">
        <f t="shared" si="40"/>
        <v>720503</v>
      </c>
      <c r="J22" s="120">
        <f t="shared" si="40"/>
        <v>648841</v>
      </c>
      <c r="K22" s="120">
        <f t="shared" si="40"/>
        <v>689453</v>
      </c>
      <c r="L22" s="120">
        <f t="shared" ref="L22:Z22" si="41">SUM(L20:L21)</f>
        <v>607964</v>
      </c>
      <c r="M22" s="120">
        <f t="shared" si="41"/>
        <v>599077</v>
      </c>
      <c r="N22" s="120">
        <f t="shared" si="41"/>
        <v>577639</v>
      </c>
      <c r="O22" s="120">
        <f t="shared" si="41"/>
        <v>582802</v>
      </c>
      <c r="P22" s="120">
        <f t="shared" si="41"/>
        <v>567382</v>
      </c>
      <c r="Q22" s="120">
        <f t="shared" si="41"/>
        <v>577174</v>
      </c>
      <c r="R22" s="120">
        <f t="shared" si="41"/>
        <v>567249</v>
      </c>
      <c r="S22" s="120">
        <f t="shared" si="41"/>
        <v>578071</v>
      </c>
      <c r="T22" s="120">
        <f t="shared" si="41"/>
        <v>569064</v>
      </c>
      <c r="U22" s="120">
        <f t="shared" si="41"/>
        <v>620550</v>
      </c>
      <c r="V22" s="120">
        <f t="shared" si="41"/>
        <v>587536</v>
      </c>
      <c r="W22" s="120">
        <f t="shared" si="41"/>
        <v>547723</v>
      </c>
      <c r="X22" s="120">
        <f t="shared" si="41"/>
        <v>538004</v>
      </c>
      <c r="Y22" s="120">
        <f t="shared" si="41"/>
        <v>567245</v>
      </c>
      <c r="Z22" s="120">
        <f t="shared" si="41"/>
        <v>555332</v>
      </c>
      <c r="AA22" s="120">
        <f t="shared" ref="AA22:AF22" si="42">SUM(AA20:AA21)</f>
        <v>561953</v>
      </c>
      <c r="AB22" s="120">
        <f t="shared" si="42"/>
        <v>623958</v>
      </c>
      <c r="AC22" s="120">
        <f t="shared" si="42"/>
        <v>675733</v>
      </c>
      <c r="AD22" s="120">
        <f t="shared" si="42"/>
        <v>643384</v>
      </c>
      <c r="AE22" s="120">
        <f t="shared" si="42"/>
        <v>570743</v>
      </c>
      <c r="AF22" s="120">
        <f t="shared" si="42"/>
        <v>628605</v>
      </c>
      <c r="AG22" s="120">
        <f t="shared" ref="AG22:AM22" si="43">SUM(AG20:AG21)</f>
        <v>607111</v>
      </c>
      <c r="AH22" s="120">
        <f t="shared" si="43"/>
        <v>594064</v>
      </c>
      <c r="AI22" s="120">
        <f t="shared" si="43"/>
        <v>609818</v>
      </c>
      <c r="AJ22" s="120">
        <f t="shared" si="43"/>
        <v>626719</v>
      </c>
      <c r="AK22" s="120">
        <f t="shared" si="43"/>
        <v>709685</v>
      </c>
      <c r="AL22" s="120">
        <f>SUM(AL20:AL21)</f>
        <v>689172</v>
      </c>
      <c r="AM22" s="120">
        <f t="shared" si="43"/>
        <v>713852</v>
      </c>
      <c r="AN22" s="120">
        <f t="shared" ref="AN22:AT22" si="44">SUM(AN20:AN21)</f>
        <v>717908</v>
      </c>
      <c r="AO22" s="120">
        <f t="shared" si="44"/>
        <v>736898</v>
      </c>
      <c r="AP22" s="120">
        <f t="shared" si="44"/>
        <v>712704</v>
      </c>
      <c r="AQ22" s="120">
        <f t="shared" si="44"/>
        <v>731115</v>
      </c>
      <c r="AR22" s="120">
        <f t="shared" si="44"/>
        <v>726955</v>
      </c>
      <c r="AS22" s="120">
        <f t="shared" si="44"/>
        <v>783773</v>
      </c>
      <c r="AT22" s="120">
        <f t="shared" si="44"/>
        <v>764141</v>
      </c>
      <c r="AU22" s="120">
        <f>SUM(AU20:AU21)</f>
        <v>758738</v>
      </c>
      <c r="AV22" s="120">
        <f t="shared" ref="AV22:BA22" si="45">SUM(AV20:AV21)</f>
        <v>787043</v>
      </c>
      <c r="AW22" s="120">
        <f t="shared" si="45"/>
        <v>848304</v>
      </c>
      <c r="AX22" s="120">
        <f t="shared" si="45"/>
        <v>797140</v>
      </c>
      <c r="AY22" s="120">
        <f t="shared" si="45"/>
        <v>808125</v>
      </c>
      <c r="AZ22" s="120">
        <f t="shared" si="45"/>
        <v>865133</v>
      </c>
      <c r="BA22" s="120">
        <f t="shared" si="45"/>
        <v>908164</v>
      </c>
      <c r="BB22" s="120">
        <f>SUM(BB20:BB21)</f>
        <v>905303</v>
      </c>
      <c r="BC22" s="120">
        <f>SUM(BC20:BC21)</f>
        <v>999303</v>
      </c>
    </row>
    <row r="23" spans="1:55" x14ac:dyDescent="0.2">
      <c r="A23" t="s">
        <v>182</v>
      </c>
      <c r="B23" t="s">
        <v>880</v>
      </c>
      <c r="D23" s="126" t="str">
        <f>IF([1]RENAME!$H$3=1,B23,A23)</f>
        <v>Índice de alavancagem financeira</v>
      </c>
      <c r="E23" s="144">
        <f>+E20/E22</f>
        <v>0.29904739294299199</v>
      </c>
      <c r="F23" s="144">
        <f t="shared" ref="F23:K23" si="46">+F20/F22</f>
        <v>0.26245701244008279</v>
      </c>
      <c r="G23" s="144">
        <f t="shared" si="46"/>
        <v>0.40164541667991477</v>
      </c>
      <c r="H23" s="144">
        <f t="shared" si="46"/>
        <v>0.48315786351908419</v>
      </c>
      <c r="I23" s="144">
        <f t="shared" si="46"/>
        <v>0.49743859498156151</v>
      </c>
      <c r="J23" s="144">
        <f t="shared" si="46"/>
        <v>0.43001444113426862</v>
      </c>
      <c r="K23" s="144">
        <f t="shared" si="46"/>
        <v>0.46175446332092251</v>
      </c>
      <c r="L23" s="144">
        <f t="shared" ref="L23:Z23" si="47">+L20/L22</f>
        <v>0.38979281667993498</v>
      </c>
      <c r="M23" s="144">
        <f t="shared" si="47"/>
        <v>0.3934686192259092</v>
      </c>
      <c r="N23" s="144">
        <f t="shared" si="47"/>
        <v>0.37195722587983154</v>
      </c>
      <c r="O23" s="144">
        <f t="shared" si="47"/>
        <v>0.37877014835227057</v>
      </c>
      <c r="P23" s="144">
        <f t="shared" si="47"/>
        <v>0.35511701111420524</v>
      </c>
      <c r="Q23" s="144">
        <f t="shared" si="47"/>
        <v>0.3433539972348027</v>
      </c>
      <c r="R23" s="144">
        <f t="shared" si="47"/>
        <v>0.3291693771165749</v>
      </c>
      <c r="S23" s="144">
        <f t="shared" si="47"/>
        <v>0.30791719356272845</v>
      </c>
      <c r="T23" s="144">
        <f t="shared" si="47"/>
        <v>0.2960211856662871</v>
      </c>
      <c r="U23" s="144">
        <f t="shared" si="47"/>
        <v>0.27676093787768913</v>
      </c>
      <c r="V23" s="144">
        <f t="shared" si="47"/>
        <v>0.21230018245690477</v>
      </c>
      <c r="W23" s="144">
        <f t="shared" si="47"/>
        <v>0.16881525880782805</v>
      </c>
      <c r="X23" s="144">
        <f t="shared" si="47"/>
        <v>0.13492278867815108</v>
      </c>
      <c r="Y23" s="144">
        <f t="shared" si="47"/>
        <v>0.14609736533596593</v>
      </c>
      <c r="Z23" s="144">
        <f t="shared" si="47"/>
        <v>7.9820719857670724E-2</v>
      </c>
      <c r="AA23" s="144">
        <f t="shared" ref="AA23:AF23" si="48">+AA20/AA22</f>
        <v>8.2058463964068171E-2</v>
      </c>
      <c r="AB23" s="144">
        <f t="shared" si="48"/>
        <v>7.4080306687309083E-2</v>
      </c>
      <c r="AC23" s="144">
        <f t="shared" si="48"/>
        <v>0.14895528263382135</v>
      </c>
      <c r="AD23" s="144">
        <f t="shared" si="48"/>
        <v>7.4998756574611747E-2</v>
      </c>
      <c r="AE23" s="144">
        <f t="shared" si="48"/>
        <v>-3.3894414824185315E-2</v>
      </c>
      <c r="AF23" s="144">
        <f t="shared" si="48"/>
        <v>1.3773355286706278E-2</v>
      </c>
      <c r="AG23" s="144">
        <f t="shared" ref="AG23:AM23" si="49">+AG20/AG22</f>
        <v>-2.8910693431678885E-2</v>
      </c>
      <c r="AH23" s="144">
        <f t="shared" si="49"/>
        <v>-8.5591788090172108E-2</v>
      </c>
      <c r="AI23" s="144">
        <f t="shared" si="49"/>
        <v>-7.6639259582367197E-2</v>
      </c>
      <c r="AJ23" s="144">
        <f t="shared" si="49"/>
        <v>-6.6880053101948403E-2</v>
      </c>
      <c r="AK23" s="144">
        <f t="shared" si="49"/>
        <v>4.0794155153342677E-2</v>
      </c>
      <c r="AL23" s="144">
        <f>+AL20/AL22</f>
        <v>-1.4901940299373742E-2</v>
      </c>
      <c r="AM23" s="144">
        <f t="shared" si="49"/>
        <v>8.7959408953116325E-3</v>
      </c>
      <c r="AN23" s="144">
        <f t="shared" ref="AN23:AT23" si="50">+AN20/AN22</f>
        <v>-2.5728923483231834E-2</v>
      </c>
      <c r="AO23" s="144">
        <f t="shared" si="50"/>
        <v>-3.9749056178738439E-2</v>
      </c>
      <c r="AP23" s="144">
        <f t="shared" si="50"/>
        <v>-0.12366985452586207</v>
      </c>
      <c r="AQ23" s="144">
        <f t="shared" si="50"/>
        <v>-9.5507546692380818E-2</v>
      </c>
      <c r="AR23" s="144">
        <f t="shared" si="50"/>
        <v>-0.12735038619997111</v>
      </c>
      <c r="AS23" s="144">
        <f t="shared" si="50"/>
        <v>-6.5576384999228091E-2</v>
      </c>
      <c r="AT23" s="144">
        <f t="shared" si="50"/>
        <v>-0.14174347404471163</v>
      </c>
      <c r="AU23" s="144">
        <f>+AU20/AU22</f>
        <v>-0.17066760858161842</v>
      </c>
      <c r="AV23" s="144">
        <f t="shared" ref="AV23:BA23" si="51">+AV20/AV22</f>
        <v>-0.13336501309331256</v>
      </c>
      <c r="AW23" s="144">
        <f t="shared" si="51"/>
        <v>-8.6177832475150415E-2</v>
      </c>
      <c r="AX23" s="144">
        <f t="shared" si="51"/>
        <v>-0.21075720701507891</v>
      </c>
      <c r="AY23" s="144">
        <f t="shared" si="51"/>
        <v>-0.22921453982985304</v>
      </c>
      <c r="AZ23" s="144">
        <f t="shared" si="51"/>
        <v>-0.13766784991440623</v>
      </c>
      <c r="BA23" s="144">
        <f t="shared" si="51"/>
        <v>3.9564439902925019E-2</v>
      </c>
      <c r="BB23" s="144">
        <f>+BB20/BB22</f>
        <v>-6.3128035585875665E-3</v>
      </c>
      <c r="BC23" s="144">
        <f>+BC20/BC22</f>
        <v>5.1726053058982107E-3</v>
      </c>
    </row>
    <row r="24" spans="1:55" x14ac:dyDescent="0.2">
      <c r="D24" s="40"/>
      <c r="F24" s="142"/>
      <c r="G24" s="142"/>
      <c r="H24" s="142"/>
      <c r="I24" s="142"/>
      <c r="J24" s="142"/>
    </row>
    <row r="27" spans="1:55" x14ac:dyDescent="0.2">
      <c r="M27" s="184"/>
    </row>
    <row r="29" spans="1:55" x14ac:dyDescent="0.2">
      <c r="E29" s="184">
        <f>+E6-BP!T43-BP!T62</f>
        <v>0</v>
      </c>
      <c r="F29" s="184">
        <f>+F6-BP!U43-BP!U62</f>
        <v>0</v>
      </c>
      <c r="G29" s="184">
        <f>+G6-BP!V43-BP!V62</f>
        <v>0</v>
      </c>
      <c r="H29" s="184">
        <f>+H6-BP!W43-BP!W62</f>
        <v>0</v>
      </c>
      <c r="I29" s="184">
        <f>+I6-BP!X43-BP!X62</f>
        <v>0</v>
      </c>
      <c r="J29" s="184">
        <f>+J6-BP!Y43-BP!Y62</f>
        <v>0</v>
      </c>
      <c r="K29" s="184">
        <f>+K6-BP!Z43-BP!Z62</f>
        <v>0</v>
      </c>
      <c r="L29" s="184">
        <f>+L6-BP!AA43-BP!AA62</f>
        <v>0</v>
      </c>
      <c r="M29" s="184"/>
      <c r="N29" s="184"/>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row>
    <row r="30" spans="1:55" x14ac:dyDescent="0.2">
      <c r="E30" s="184">
        <f>+E7-BP!T44-BP!T64</f>
        <v>0</v>
      </c>
      <c r="F30" s="184">
        <f>+F7-BP!U44-BP!U64</f>
        <v>0</v>
      </c>
      <c r="G30" s="184">
        <f>+G7-BP!V44-BP!V64</f>
        <v>0</v>
      </c>
      <c r="H30" s="184">
        <f>+H7-BP!W44-BP!W64</f>
        <v>0</v>
      </c>
      <c r="I30" s="184">
        <f>+I7-BP!X44-BP!X64</f>
        <v>0</v>
      </c>
      <c r="J30" s="184">
        <f>+J7-BP!Y44-BP!Y64</f>
        <v>0</v>
      </c>
      <c r="K30" s="184">
        <f>+K7-BP!Z44-BP!Z64</f>
        <v>0</v>
      </c>
      <c r="L30" s="184">
        <f>+L7-BP!AA44-BP!AA64</f>
        <v>0</v>
      </c>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row>
    <row r="31" spans="1:55" x14ac:dyDescent="0.2">
      <c r="E31" s="184">
        <f>+E8+BP!T16+BP!T30-BP!T57-BP!T66</f>
        <v>0</v>
      </c>
      <c r="F31" s="184">
        <f>+F8+BP!U16+BP!U30-BP!U57-BP!U66</f>
        <v>0</v>
      </c>
      <c r="G31" s="184">
        <f>+G8+BP!V16+BP!V30-BP!V57-BP!V66</f>
        <v>0</v>
      </c>
      <c r="H31" s="184">
        <f>+H8+BP!W16+BP!W30-BP!W57-BP!W66</f>
        <v>0</v>
      </c>
      <c r="I31" s="184">
        <f>+I8+BP!X16+BP!X30-BP!X57-BP!X66</f>
        <v>0</v>
      </c>
      <c r="J31" s="184">
        <f>+J8+BP!Y16+BP!Y30-BP!Y57-BP!Y66</f>
        <v>0</v>
      </c>
      <c r="K31" s="184">
        <f>+K8+BP!Z16+BP!Z30-BP!Z57-BP!Z66</f>
        <v>0</v>
      </c>
      <c r="L31" s="184">
        <f>+L8+BP!AA16+BP!AA30-BP!AA57-BP!AA66</f>
        <v>0</v>
      </c>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row>
    <row r="32" spans="1:55" x14ac:dyDescent="0.2">
      <c r="E32" s="184">
        <f>+E9+BP!T7+BP!T19</f>
        <v>0</v>
      </c>
      <c r="F32" s="184">
        <f>+F9+BP!U7+BP!U19</f>
        <v>0</v>
      </c>
      <c r="G32" s="184">
        <f>+G9+BP!V7+BP!V19</f>
        <v>0</v>
      </c>
      <c r="H32" s="184">
        <f>+H9+BP!W7+BP!W19</f>
        <v>0</v>
      </c>
      <c r="I32" s="184">
        <f>+I9+BP!X7+BP!X19</f>
        <v>0</v>
      </c>
      <c r="J32" s="184">
        <f>+J9+BP!Y7+BP!Y19</f>
        <v>0</v>
      </c>
      <c r="K32" s="184">
        <f>+K9+BP!Z7+BP!Z19</f>
        <v>0</v>
      </c>
      <c r="L32" s="184">
        <f>+L9+BP!AA7+BP!AA19</f>
        <v>0</v>
      </c>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A32" s="184"/>
      <c r="BB32" s="184"/>
      <c r="BC32" s="184"/>
    </row>
    <row r="33" spans="5:55" x14ac:dyDescent="0.2">
      <c r="E33" s="184">
        <f>+E11-BP!T78-BP!T88</f>
        <v>0</v>
      </c>
      <c r="F33" s="184">
        <f>+F11-BP!U78-BP!U88</f>
        <v>0</v>
      </c>
      <c r="G33" s="184">
        <f>+G11-BP!V78-BP!V88</f>
        <v>0</v>
      </c>
      <c r="H33" s="184">
        <f>+H11-BP!W78-BP!W88</f>
        <v>0</v>
      </c>
      <c r="I33" s="184">
        <f>+I11-BP!X78-BP!X88</f>
        <v>0</v>
      </c>
      <c r="J33" s="184">
        <f>+J11-BP!Y78-BP!Y88</f>
        <v>0</v>
      </c>
      <c r="K33" s="184">
        <f>+K11-BP!Z78-BP!Z88</f>
        <v>0</v>
      </c>
      <c r="L33" s="184">
        <f>+L11-BP!AA78-BP!AA88</f>
        <v>0</v>
      </c>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9">
    <tabColor theme="4"/>
    <pageSetUpPr autoPageBreaks="0"/>
  </sheetPr>
  <dimension ref="A1:CJ195"/>
  <sheetViews>
    <sheetView showGridLines="0" zoomScaleNormal="100" workbookViewId="0">
      <pane xSplit="4" ySplit="5" topLeftCell="AM66" activePane="bottomRight" state="frozen"/>
      <selection activeCell="C1" sqref="C1"/>
      <selection pane="topRight" activeCell="E1" sqref="E1"/>
      <selection pane="bottomLeft" activeCell="C6" sqref="C6"/>
      <selection pane="bottomRight" activeCell="AS98" sqref="AS98"/>
    </sheetView>
  </sheetViews>
  <sheetFormatPr defaultColWidth="9.140625" defaultRowHeight="14.25" customHeight="1" outlineLevelCol="1" x14ac:dyDescent="0.2"/>
  <cols>
    <col min="1" max="1" width="11.140625" style="1" hidden="1" customWidth="1"/>
    <col min="2" max="2" width="9.140625" style="1" hidden="1" customWidth="1"/>
    <col min="3" max="3" width="1.42578125" style="1" customWidth="1"/>
    <col min="4" max="4" width="50.42578125" style="1" customWidth="1"/>
    <col min="5" max="5" width="7.85546875" style="1" customWidth="1" outlineLevel="1"/>
    <col min="6" max="6" width="8.85546875" style="1" customWidth="1" outlineLevel="1"/>
    <col min="7" max="7" width="8.5703125" style="1" customWidth="1" outlineLevel="1"/>
    <col min="8" max="8" width="10.140625" style="1" customWidth="1" outlineLevel="1"/>
    <col min="9" max="9" width="10.140625" style="1" customWidth="1"/>
    <col min="10" max="13" width="10.140625" style="1" customWidth="1" outlineLevel="1"/>
    <col min="14" max="14" width="10.140625" style="1" customWidth="1"/>
    <col min="15" max="18" width="10.140625" style="1" customWidth="1" outlineLevel="1"/>
    <col min="19" max="19" width="10.140625" style="1" customWidth="1"/>
    <col min="20" max="22" width="10.140625" style="1" customWidth="1" outlineLevel="1"/>
    <col min="23" max="23" width="7.85546875" style="1" customWidth="1" outlineLevel="1"/>
    <col min="24" max="24" width="10.140625" style="1" customWidth="1"/>
    <col min="25" max="28" width="10.140625" style="1" customWidth="1" outlineLevel="1"/>
    <col min="29" max="29" width="10.140625" style="1" customWidth="1"/>
    <col min="30" max="33" width="10.140625" style="1" customWidth="1" outlineLevel="1"/>
    <col min="34" max="34" width="10.140625" style="1" customWidth="1"/>
    <col min="35" max="38" width="10.140625" style="1" customWidth="1" outlineLevel="1"/>
    <col min="39" max="39" width="10.140625" style="1" customWidth="1"/>
    <col min="40" max="43" width="10.140625" style="1" customWidth="1" outlineLevel="1"/>
    <col min="44" max="44" width="10.140625" style="1" customWidth="1"/>
    <col min="45" max="51" width="10.140625" style="1" customWidth="1" outlineLevel="1"/>
    <col min="52" max="52" width="17.85546875" style="266" customWidth="1"/>
    <col min="53" max="53" width="9.85546875" style="266" customWidth="1"/>
    <col min="54" max="55" width="9.140625" style="266"/>
    <col min="56" max="57" width="15.42578125" style="266" bestFit="1" customWidth="1"/>
    <col min="58" max="60" width="9.140625" style="266"/>
    <col min="61" max="62" width="9.140625" style="1"/>
    <col min="63" max="65" width="9.140625" style="266"/>
    <col min="66" max="16384" width="9.140625" style="1"/>
  </cols>
  <sheetData>
    <row r="1" spans="1:88" s="266" customFormat="1" ht="12" customHeight="1" x14ac:dyDescent="0.2">
      <c r="E1" s="717" t="s">
        <v>567</v>
      </c>
      <c r="F1" s="717" t="str">
        <f>IF(LEFT(E1,1)="4","1T"&amp;RIGHT(E1,2)+1,LEFT(E1,1)+1&amp;RIGHT(E1,3))</f>
        <v>2T17</v>
      </c>
      <c r="G1" s="717" t="str">
        <f>IF(LEFT(F1,1)="4","1T"&amp;RIGHT(F1,2)+1,LEFT(F1,1)+1&amp;RIGHT(F1,3))</f>
        <v>3T17</v>
      </c>
      <c r="H1" s="717" t="str">
        <f>IF(LEFT(G1,1)="4","1T"&amp;RIGHT(G1,2)+1,LEFT(G1,1)+1&amp;RIGHT(G1,3))</f>
        <v>4T17</v>
      </c>
      <c r="J1" s="717" t="str">
        <f>IF(LEFT(H1,1)="4","1T"&amp;RIGHT(H1,2)+1,LEFT(H1,1)+1&amp;RIGHT(H1,3))</f>
        <v>1T18</v>
      </c>
      <c r="K1" s="717" t="str">
        <f>IF(LEFT(J1,1)="4","1T"&amp;RIGHT(J1,2)+1,LEFT(J1,1)+1&amp;RIGHT(J1,3))</f>
        <v>2T18</v>
      </c>
      <c r="L1" s="717" t="str">
        <f>IF(LEFT(K1,1)="4","1T"&amp;RIGHT(K1,2)+1,LEFT(K1,1)+1&amp;RIGHT(K1,3))</f>
        <v>3T18</v>
      </c>
      <c r="M1" s="717" t="str">
        <f>IF(LEFT(L1,1)="4","1T"&amp;RIGHT(L1,2)+1,LEFT(L1,1)+1&amp;RIGHT(L1,3))</f>
        <v>4T18</v>
      </c>
      <c r="O1" s="717" t="str">
        <f>IF(LEFT(M1,1)="4","1T"&amp;RIGHT(M1,2)+1,LEFT(M1,1)+1&amp;RIGHT(M1,3))</f>
        <v>1T19</v>
      </c>
      <c r="P1" s="717" t="str">
        <f>IF(LEFT(O1,1)="4","1T"&amp;RIGHT(O1,2)+1,LEFT(O1,1)+1&amp;RIGHT(O1,3))</f>
        <v>2T19</v>
      </c>
      <c r="Q1" s="717" t="str">
        <f>IF(LEFT(P1,1)="4","1T"&amp;RIGHT(P1,2)+1,LEFT(P1,1)+1&amp;RIGHT(P1,3))</f>
        <v>3T19</v>
      </c>
      <c r="R1" s="717" t="str">
        <f>IF(LEFT(Q1,1)="4","1T"&amp;RIGHT(Q1,2)+1,LEFT(Q1,1)+1&amp;RIGHT(Q1,3))</f>
        <v>4T19</v>
      </c>
      <c r="S1" s="717"/>
      <c r="T1" s="717" t="str">
        <f>IF(LEFT(R1,1)="4","1T"&amp;RIGHT(R1,2)+1,LEFT(R1,1)+1&amp;RIGHT(R1,3))</f>
        <v>1T20</v>
      </c>
      <c r="U1" s="717" t="str">
        <f>IF(LEFT(T1,1)="4","1T"&amp;RIGHT(T1,2)+1,LEFT(T1,1)+1&amp;RIGHT(T1,3))</f>
        <v>2T20</v>
      </c>
      <c r="V1" s="717" t="str">
        <f>IF(LEFT(U1,1)="4","1T"&amp;RIGHT(U1,2)+1,LEFT(U1,1)+1&amp;RIGHT(U1,3))</f>
        <v>3T20</v>
      </c>
      <c r="W1" s="717" t="str">
        <f>IF(LEFT(V1,1)="4","1T"&amp;RIGHT(V1,2)+1,LEFT(V1,1)+1&amp;RIGHT(V1,3))</f>
        <v>4T20</v>
      </c>
      <c r="X1" s="984"/>
      <c r="Y1" s="717" t="str">
        <f>IF(LEFT(W1,1)="4","1T"&amp;RIGHT(W1,2)+1,LEFT(W1,1)+1&amp;RIGHT(W1,3))</f>
        <v>1T21</v>
      </c>
      <c r="Z1" s="717" t="str">
        <f>IF(LEFT(Y1,1)="4","1T"&amp;RIGHT(Y1,2)+1,LEFT(Y1,1)+1&amp;RIGHT(Y1,3))</f>
        <v>2T21</v>
      </c>
      <c r="AA1" s="717" t="str">
        <f>IF(LEFT(Z1,1)="4","1T"&amp;RIGHT(Z1,2)+1,LEFT(Z1,1)+1&amp;RIGHT(Z1,3))</f>
        <v>3T21</v>
      </c>
      <c r="AB1" s="717" t="str">
        <f>IF(LEFT(AA1,1)="4","1T"&amp;RIGHT(AA1,2)+1,LEFT(AA1,1)+1&amp;RIGHT(AA1,3))</f>
        <v>4T21</v>
      </c>
      <c r="AC1" s="717"/>
      <c r="AD1" s="717" t="str">
        <f>IF(LEFT(AB1,1)="4","1T"&amp;RIGHT(AB1,2)+1,LEFT(AB1,1)+1&amp;RIGHT(AB1,3))</f>
        <v>1T22</v>
      </c>
      <c r="AE1" s="717" t="str">
        <f>IF(LEFT(AD1,1)="4","1T"&amp;RIGHT(AD1,2)+1,LEFT(AD1,1)+1&amp;RIGHT(AD1,3))</f>
        <v>2T22</v>
      </c>
      <c r="AF1" s="717" t="str">
        <f>IF(LEFT(AE1,1)="4","1T"&amp;RIGHT(AE1,2)+1,LEFT(AE1,1)+1&amp;RIGHT(AE1,3))</f>
        <v>3T22</v>
      </c>
      <c r="AG1" s="717" t="str">
        <f>IF(LEFT(AF1,1)="4","1T"&amp;RIGHT(AF1,2)+1,LEFT(AF1,1)+1&amp;RIGHT(AF1,3))</f>
        <v>4T22</v>
      </c>
      <c r="AH1" s="717"/>
      <c r="AI1" s="717" t="str">
        <f>IF(LEFT(AG1,1)="4","1T"&amp;RIGHT(AG1,2)+1,LEFT(AG1,1)+1&amp;RIGHT(AG1,3))</f>
        <v>1T23</v>
      </c>
      <c r="AJ1" s="717" t="str">
        <f>IF(LEFT(AI1,1)="4","1T"&amp;RIGHT(AI1,2)+1,LEFT(AI1,1)+1&amp;RIGHT(AI1,3))</f>
        <v>2T23</v>
      </c>
      <c r="AK1" s="717" t="str">
        <f>IF(LEFT(AJ1,1)="4","1T"&amp;RIGHT(AJ1,2)+1,LEFT(AJ1,1)+1&amp;RIGHT(AJ1,3))</f>
        <v>3T23</v>
      </c>
      <c r="AL1" s="717" t="str">
        <f>IF(LEFT(AK1,1)="4","1T"&amp;RIGHT(AK1,2)+1,LEFT(AK1,1)+1&amp;RIGHT(AK1,3))</f>
        <v>4T23</v>
      </c>
      <c r="AM1" s="717"/>
      <c r="AN1" s="717" t="str">
        <f>IF(LEFT(AL1,1)="4","1T"&amp;RIGHT(AL1,2)+1,LEFT(AL1,1)+1&amp;RIGHT(AL1,3))</f>
        <v>1T24</v>
      </c>
      <c r="AO1" s="717" t="str">
        <f>IF(LEFT(AN1,1)="4","1T"&amp;RIGHT(AN1,2)+1,LEFT(AN1,1)+1&amp;RIGHT(AN1,3))</f>
        <v>2T24</v>
      </c>
      <c r="AP1" s="717" t="str">
        <f>IF(LEFT(AO1,1)="4","1T"&amp;RIGHT(AO1,2)+1,LEFT(AO1,1)+1&amp;RIGHT(AO1,3))</f>
        <v>3T24</v>
      </c>
      <c r="AQ1" s="717" t="str">
        <f>IF(LEFT(AP1,1)="4","1T"&amp;RIGHT(AP1,2)+1,LEFT(AP1,1)+1&amp;RIGHT(AP1,3))</f>
        <v>4T24</v>
      </c>
      <c r="AS1" s="717" t="str">
        <f>IF(LEFT(AQ1,1)="4","1T"&amp;RIGHT(AQ1,2)+1,LEFT(AQ1,1)+1&amp;RIGHT(AQ1,3))</f>
        <v>1T25</v>
      </c>
      <c r="AT1" s="717" t="str">
        <f>IF(LEFT(AS1,1)="4","1T"&amp;RIGHT(AS1,2)+1,LEFT(AS1,1)+1&amp;RIGHT(AS1,3))</f>
        <v>2T25</v>
      </c>
      <c r="AU1" s="717" t="str">
        <f>IF(LEFT(AT1,1)="4","1T"&amp;RIGHT(AT1,2)+1,LEFT(AT1,1)+1&amp;RIGHT(AT1,3))</f>
        <v>3T25</v>
      </c>
      <c r="AV1" s="717" t="str">
        <f>IF(LEFT(AU1,1)="4","1T"&amp;RIGHT(AU1,2)+1,LEFT(AU1,1)+1&amp;RIGHT(AU1,3))</f>
        <v>4T25</v>
      </c>
      <c r="AW1" s="717" t="str">
        <f>IF(LEFT(AU1,1)="4","1T"&amp;RIGHT(AU1,2)+1,LEFT(AU1,1)+1&amp;RIGHT(AU1,3))</f>
        <v>4T25</v>
      </c>
      <c r="AX1" s="717" t="str">
        <f>IF(LEFT(AW1,1)="4","1T"&amp;RIGHT(AW1,2)+1,LEFT(AW1,1)+1&amp;RIGHT(AW1,3))</f>
        <v>1T26</v>
      </c>
      <c r="AY1" s="717" t="str">
        <f>IF(LEFT(AX1,1)="4","1T"&amp;RIGHT(AX1,2)+1,LEFT(AX1,1)+1&amp;RIGHT(AX1,3))</f>
        <v>2T26</v>
      </c>
      <c r="BI1" s="1"/>
      <c r="BJ1" s="1"/>
    </row>
    <row r="2" spans="1:88" s="266" customFormat="1" ht="10.5" customHeight="1" x14ac:dyDescent="0.2">
      <c r="B2" s="632"/>
      <c r="C2" s="633"/>
      <c r="E2" s="718" t="str">
        <f>SUBSTITUTE(E1,"T","Q")</f>
        <v>1Q17</v>
      </c>
      <c r="F2" s="718" t="str">
        <f>SUBSTITUTE(F1,"T","Q")</f>
        <v>2Q17</v>
      </c>
      <c r="G2" s="718" t="str">
        <f>SUBSTITUTE(G1,"T","Q")</f>
        <v>3Q17</v>
      </c>
      <c r="H2" s="718" t="str">
        <f>SUBSTITUTE(H1,"T","Q")</f>
        <v>4Q17</v>
      </c>
      <c r="J2" s="718" t="str">
        <f>SUBSTITUTE(J1,"T","Q")</f>
        <v>1Q18</v>
      </c>
      <c r="K2" s="806" t="str">
        <f>SUBSTITUTE(K1,"T","Q")</f>
        <v>2Q18</v>
      </c>
      <c r="L2" s="806" t="str">
        <f>SUBSTITUTE(L1,"T","Q")</f>
        <v>3Q18</v>
      </c>
      <c r="M2" s="806" t="str">
        <f>SUBSTITUTE(M1,"T","Q")</f>
        <v>4Q18</v>
      </c>
      <c r="O2" s="806" t="str">
        <f>SUBSTITUTE(O1,"T","Q")</f>
        <v>1Q19</v>
      </c>
      <c r="P2" s="806" t="str">
        <f>SUBSTITUTE(P1,"T","Q")</f>
        <v>2Q19</v>
      </c>
      <c r="Q2" s="806" t="str">
        <f>SUBSTITUTE(Q1,"T","Q")</f>
        <v>3Q19</v>
      </c>
      <c r="R2" s="806" t="str">
        <f>SUBSTITUTE(R1,"T","Q")</f>
        <v>4Q19</v>
      </c>
      <c r="S2" s="806"/>
      <c r="T2" s="806" t="str">
        <f>SUBSTITUTE(T1,"T","Q")</f>
        <v>1Q20</v>
      </c>
      <c r="U2" s="806" t="str">
        <f>SUBSTITUTE(U1,"T","Q")</f>
        <v>2Q20</v>
      </c>
      <c r="V2" s="806" t="str">
        <f>SUBSTITUTE(V1,"T","Q")</f>
        <v>3Q20</v>
      </c>
      <c r="W2" s="806" t="str">
        <f>SUBSTITUTE(W1,"T","Q")</f>
        <v>4Q20</v>
      </c>
      <c r="X2" s="985"/>
      <c r="Y2" s="806" t="str">
        <f>SUBSTITUTE(Y1,"T","Q")</f>
        <v>1Q21</v>
      </c>
      <c r="Z2" s="806" t="str">
        <f>SUBSTITUTE(Z1,"T","Q")</f>
        <v>2Q21</v>
      </c>
      <c r="AA2" s="806" t="str">
        <f>SUBSTITUTE(AA1,"T","Q")</f>
        <v>3Q21</v>
      </c>
      <c r="AB2" s="806" t="str">
        <f>SUBSTITUTE(AB1,"T","Q")</f>
        <v>4Q21</v>
      </c>
      <c r="AC2" s="806"/>
      <c r="AD2" s="806" t="str">
        <f>SUBSTITUTE(AD1,"T","Q")</f>
        <v>1Q22</v>
      </c>
      <c r="AE2" s="806" t="str">
        <f>SUBSTITUTE(AE1,"T","Q")</f>
        <v>2Q22</v>
      </c>
      <c r="AF2" s="806" t="str">
        <f>SUBSTITUTE(AF1,"T","Q")</f>
        <v>3Q22</v>
      </c>
      <c r="AG2" s="806" t="str">
        <f>SUBSTITUTE(AG1,"T","Q")</f>
        <v>4Q22</v>
      </c>
      <c r="AH2" s="806"/>
      <c r="AI2" s="806" t="str">
        <f>SUBSTITUTE(AI1,"T","Q")</f>
        <v>1Q23</v>
      </c>
      <c r="AJ2" s="806" t="str">
        <f>SUBSTITUTE(AJ1,"T","Q")</f>
        <v>2Q23</v>
      </c>
      <c r="AK2" s="806" t="str">
        <f>SUBSTITUTE(AK1,"T","Q")</f>
        <v>3Q23</v>
      </c>
      <c r="AL2" s="806" t="str">
        <f>SUBSTITUTE(AL1,"T","Q")</f>
        <v>4Q23</v>
      </c>
      <c r="AM2" s="806"/>
      <c r="AN2" s="806" t="str">
        <f>SUBSTITUTE(AN1,"T","Q")</f>
        <v>1Q24</v>
      </c>
      <c r="AO2" s="806" t="str">
        <f>SUBSTITUTE(AO1,"T","Q")</f>
        <v>2Q24</v>
      </c>
      <c r="AP2" s="806" t="str">
        <f>SUBSTITUTE(AP1,"T","Q")</f>
        <v>3Q24</v>
      </c>
      <c r="AQ2" s="806" t="str">
        <f>SUBSTITUTE(AQ1,"T","Q")</f>
        <v>4Q24</v>
      </c>
      <c r="AS2" s="806" t="str">
        <f t="shared" ref="AS2:AX2" si="0">SUBSTITUTE(AS1,"T","Q")</f>
        <v>1Q25</v>
      </c>
      <c r="AT2" s="806" t="str">
        <f t="shared" si="0"/>
        <v>2Q25</v>
      </c>
      <c r="AU2" s="806" t="str">
        <f t="shared" si="0"/>
        <v>3Q25</v>
      </c>
      <c r="AV2" s="806" t="str">
        <f t="shared" si="0"/>
        <v>4Q25</v>
      </c>
      <c r="AW2" s="806" t="str">
        <f t="shared" si="0"/>
        <v>4Q25</v>
      </c>
      <c r="AX2" s="806" t="str">
        <f t="shared" si="0"/>
        <v>1Q26</v>
      </c>
      <c r="AY2" s="806" t="str">
        <f>SUBSTITUTE(AY1,"T","Q")</f>
        <v>2Q26</v>
      </c>
      <c r="BI2" s="1"/>
      <c r="BJ2" s="1"/>
    </row>
    <row r="3" spans="1:88" ht="11.25" customHeight="1" x14ac:dyDescent="0.2">
      <c r="B3" s="19"/>
      <c r="C3" s="15"/>
      <c r="D3" s="923"/>
      <c r="E3" s="921"/>
      <c r="F3" s="921"/>
      <c r="G3" s="921"/>
      <c r="H3" s="921"/>
      <c r="I3" s="922"/>
      <c r="J3" s="921"/>
      <c r="K3" s="921"/>
      <c r="L3" s="921"/>
      <c r="M3" s="921"/>
      <c r="N3" s="922"/>
      <c r="O3" s="921"/>
      <c r="P3" s="921"/>
      <c r="Q3" s="921"/>
      <c r="R3" s="921"/>
      <c r="T3" s="921"/>
      <c r="U3" s="921"/>
      <c r="V3" s="921"/>
      <c r="W3" s="921"/>
      <c r="X3" s="926"/>
      <c r="Y3" s="986"/>
      <c r="Z3" s="986"/>
      <c r="AA3" s="986"/>
      <c r="AB3" s="986"/>
      <c r="AC3" s="926"/>
      <c r="AD3" s="986"/>
      <c r="AE3" s="986"/>
      <c r="AF3" s="986"/>
      <c r="AG3" s="986"/>
      <c r="AH3" s="926"/>
      <c r="AI3" s="986"/>
      <c r="AJ3" s="986"/>
      <c r="AK3" s="986"/>
      <c r="AL3" s="986"/>
      <c r="AM3" s="926"/>
      <c r="AN3" s="1212"/>
      <c r="AO3" s="1212"/>
      <c r="AP3" s="1212"/>
      <c r="AQ3" s="1212"/>
      <c r="AR3" s="266"/>
      <c r="AS3" s="1212"/>
      <c r="AT3" s="1212"/>
      <c r="AU3" s="1212"/>
      <c r="AV3" s="1212"/>
      <c r="AW3" s="1212"/>
      <c r="AX3" s="1212"/>
      <c r="AY3" s="1212"/>
    </row>
    <row r="4" spans="1:88" ht="14.25" customHeight="1" x14ac:dyDescent="0.2">
      <c r="AN4" s="266"/>
      <c r="AO4" s="266"/>
      <c r="AP4" s="266"/>
      <c r="AQ4" s="266"/>
      <c r="AR4" s="266"/>
      <c r="AS4" s="266"/>
      <c r="AT4" s="266"/>
      <c r="AU4" s="266"/>
      <c r="AV4" s="266"/>
      <c r="AW4" s="266"/>
      <c r="AX4" s="266"/>
      <c r="AY4" s="266"/>
    </row>
    <row r="5" spans="1:88" ht="13.5" customHeight="1" x14ac:dyDescent="0.2">
      <c r="A5" s="920" t="s">
        <v>1766</v>
      </c>
      <c r="B5" s="19" t="s">
        <v>689</v>
      </c>
      <c r="C5" s="15"/>
      <c r="D5" s="919" t="str">
        <f>IF([1]RENAME!$H$3=1,B5,A5)</f>
        <v>Resultado (Em R$ Mil)</v>
      </c>
      <c r="E5" s="867" t="str">
        <f>IF([1]RENAME!$H$3=1,E2,E1)</f>
        <v>1T17</v>
      </c>
      <c r="F5" s="867" t="str">
        <f>IF([1]RENAME!$H$3=1,F2,F1)</f>
        <v>2T17</v>
      </c>
      <c r="G5" s="867" t="str">
        <f>IF([1]RENAME!$H$3=1,G2,G1)</f>
        <v>3T17</v>
      </c>
      <c r="H5" s="867" t="str">
        <f>IF([1]RENAME!$H$3=1,H2,H1)</f>
        <v>4T17</v>
      </c>
      <c r="I5" s="867" t="s">
        <v>1294</v>
      </c>
      <c r="J5" s="867" t="str">
        <f>IF([1]RENAME!$H$3=1,J2,J1)</f>
        <v>1T18</v>
      </c>
      <c r="K5" s="867" t="str">
        <f>IF([1]RENAME!$H$3=1,K2,K1)</f>
        <v>2T18</v>
      </c>
      <c r="L5" s="867" t="str">
        <f>IF([1]RENAME!$H$3=1,L2,L1)</f>
        <v>3T18</v>
      </c>
      <c r="M5" s="867" t="str">
        <f>IF([1]RENAME!$H$3=1,M2,M1)</f>
        <v>4T18</v>
      </c>
      <c r="N5" s="867" t="s">
        <v>1765</v>
      </c>
      <c r="O5" s="867" t="str">
        <f>IF([1]RENAME!$H$3=1,O2,O1)</f>
        <v>1T19</v>
      </c>
      <c r="P5" s="867" t="str">
        <f>IF([1]RENAME!$H$3=1,P2,P1)</f>
        <v>2T19</v>
      </c>
      <c r="Q5" s="867" t="str">
        <f>IF([1]RENAME!$H$3=1,Q2,Q1)</f>
        <v>3T19</v>
      </c>
      <c r="R5" s="867" t="str">
        <f>IF([1]RENAME!$H$3=1,R2,R1)</f>
        <v>4T19</v>
      </c>
      <c r="S5" s="867" t="s">
        <v>1764</v>
      </c>
      <c r="T5" s="867" t="str">
        <f>IF([1]RENAME!$H$3=1,T2,T1)</f>
        <v>1T20</v>
      </c>
      <c r="U5" s="867" t="str">
        <f>IF([1]RENAME!$H$3=1,U2,U1)</f>
        <v>2T20</v>
      </c>
      <c r="V5" s="867" t="str">
        <f>IF([1]RENAME!$H$3=1,V2,V1)</f>
        <v>3T20</v>
      </c>
      <c r="W5" s="867" t="str">
        <f>IF([1]RENAME!$H$3=1,W2,W1)</f>
        <v>4T20</v>
      </c>
      <c r="X5" s="867" t="s">
        <v>1835</v>
      </c>
      <c r="Y5" s="867" t="str">
        <f>IF([1]RENAME!$H$3=1,Y2,Y1)</f>
        <v>1T21</v>
      </c>
      <c r="Z5" s="867" t="str">
        <f>IF([1]RENAME!$H$3=1,Z2,Z1)</f>
        <v>2T21</v>
      </c>
      <c r="AA5" s="867" t="str">
        <f>IF([1]RENAME!$H$3=1,AA2,AA1)</f>
        <v>3T21</v>
      </c>
      <c r="AB5" s="867" t="str">
        <f>IF([1]RENAME!$H$3=1,AB2,AB1)</f>
        <v>4T21</v>
      </c>
      <c r="AC5" s="867" t="s">
        <v>1928</v>
      </c>
      <c r="AD5" s="867" t="str">
        <f>IF([1]RENAME!$H$3=1,AD2,AD1)</f>
        <v>1T22</v>
      </c>
      <c r="AE5" s="867" t="str">
        <f>IF([1]RENAME!$H$3=1,AE2,AE1)</f>
        <v>2T22</v>
      </c>
      <c r="AF5" s="867" t="str">
        <f>IF([1]RENAME!$H$3=1,AF2,AF1)</f>
        <v>3T22</v>
      </c>
      <c r="AG5" s="867" t="str">
        <f>IF([1]RENAME!$H$3=1,AG2,AG1)</f>
        <v>4T22</v>
      </c>
      <c r="AH5" s="867" t="s">
        <v>1999</v>
      </c>
      <c r="AI5" s="867" t="str">
        <f>IF([1]RENAME!$H$3=1,AI2,AI1)</f>
        <v>1T23</v>
      </c>
      <c r="AJ5" s="867" t="str">
        <f>IF([1]RENAME!$H$3=1,AJ2,AJ1)</f>
        <v>2T23</v>
      </c>
      <c r="AK5" s="867" t="str">
        <f>IF([1]RENAME!$H$3=1,AK2,AK1)</f>
        <v>3T23</v>
      </c>
      <c r="AL5" s="867" t="str">
        <f>IF([1]RENAME!$H$3=1,AL2,AL1)</f>
        <v>4T23</v>
      </c>
      <c r="AM5" s="867" t="s">
        <v>2136</v>
      </c>
      <c r="AN5" s="867" t="str">
        <f>IF([1]RENAME!$H$3=1,AN2,AN1)</f>
        <v>1T24</v>
      </c>
      <c r="AO5" s="867" t="str">
        <f>IF([1]RENAME!$H$3=1,AO2,AO1)</f>
        <v>2T24</v>
      </c>
      <c r="AP5" s="867" t="str">
        <f>IF([1]RENAME!$H$3=1,AP2,AP1)</f>
        <v>3T24</v>
      </c>
      <c r="AQ5" s="867" t="str">
        <f>IF([1]RENAME!$H$3=1,AQ2,AQ1)</f>
        <v>4T24</v>
      </c>
      <c r="AR5" s="867" t="s">
        <v>2237</v>
      </c>
      <c r="AS5" s="867" t="str">
        <f>IF([1]RENAME!$H$3=1,AS2,AS1)</f>
        <v>1T25</v>
      </c>
      <c r="AT5" s="867" t="str">
        <f>IF([1]RENAME!$H$3=1,AT2,AT1)</f>
        <v>2T25</v>
      </c>
      <c r="AU5" s="867" t="str">
        <f>IF([1]RENAME!$H$3=1,AU2,AU1)</f>
        <v>3T25</v>
      </c>
      <c r="AV5" s="867" t="str">
        <f>IF([1]RENAME!$H$3=1,AV2,AV1)</f>
        <v>4T25</v>
      </c>
      <c r="AW5" s="867" t="s">
        <v>2300</v>
      </c>
      <c r="AX5" s="867" t="str">
        <f>IF([1]RENAME!$H$3=1,AX2,AX1)</f>
        <v>1T26</v>
      </c>
      <c r="AY5" s="867" t="str">
        <f>IF([1]RENAME!$H$3=1,AY2,AY1)</f>
        <v>2T26</v>
      </c>
    </row>
    <row r="6" spans="1:88" ht="13.5" customHeight="1" x14ac:dyDescent="0.2">
      <c r="A6" s="518" t="s">
        <v>33</v>
      </c>
      <c r="B6" s="518" t="s">
        <v>692</v>
      </c>
      <c r="D6" s="858" t="str">
        <f>IF([1]RENAME!$H$3=1,B6,A6)</f>
        <v>Logística automotiva</v>
      </c>
      <c r="E6" s="857">
        <f ca="1">+E67</f>
        <v>214422.15101999999</v>
      </c>
      <c r="F6" s="857">
        <f ca="1">+F67</f>
        <v>268717.10787999997</v>
      </c>
      <c r="G6" s="857">
        <f ca="1">+G67</f>
        <v>305185.31597000005</v>
      </c>
      <c r="H6" s="857">
        <f ca="1">+H67</f>
        <v>340565.25495999999</v>
      </c>
      <c r="I6" s="647">
        <f ca="1">+SUM(E6:H6)</f>
        <v>1128889.8298299999</v>
      </c>
      <c r="J6" s="857">
        <f ca="1">+J67</f>
        <v>275057.54545999999</v>
      </c>
      <c r="K6" s="857">
        <f ca="1">+K67</f>
        <v>315279.75394999998</v>
      </c>
      <c r="L6" s="857">
        <f ca="1">+L67</f>
        <v>365789.47778999998</v>
      </c>
      <c r="M6" s="857">
        <f ca="1">+M67</f>
        <v>391684.40824000002</v>
      </c>
      <c r="N6" s="647">
        <f ca="1">+SUM(J6:M6)</f>
        <v>1347811.1854399999</v>
      </c>
      <c r="O6" s="857">
        <f ca="1">+O67</f>
        <v>321706.25628999999</v>
      </c>
      <c r="P6" s="857">
        <f ca="1">+P67</f>
        <v>360853.55104000005</v>
      </c>
      <c r="Q6" s="857">
        <f ca="1">+Q67</f>
        <v>366405.11531000002</v>
      </c>
      <c r="R6" s="857">
        <f ca="1">+R67</f>
        <v>414841.17645000003</v>
      </c>
      <c r="S6" s="647">
        <f ca="1">+SUM(O6:R6)</f>
        <v>1463806.0990900001</v>
      </c>
      <c r="T6" s="857">
        <f ca="1">+T67</f>
        <v>298654.90463999996</v>
      </c>
      <c r="U6" s="857">
        <f ca="1">+U67</f>
        <v>108624.88222</v>
      </c>
      <c r="V6" s="857">
        <f ca="1">+V67</f>
        <v>305501.52506000001</v>
      </c>
      <c r="W6" s="857">
        <f ca="1">+W67</f>
        <v>337571.33675999998</v>
      </c>
      <c r="X6" s="647">
        <f ca="1">+SUM(T6:W6)</f>
        <v>1050352.6486800001</v>
      </c>
      <c r="Y6" s="857">
        <f ca="1">+Y67</f>
        <v>250078.92903</v>
      </c>
      <c r="Z6" s="857">
        <f ca="1">+Z67</f>
        <v>249944.68143999999</v>
      </c>
      <c r="AA6" s="857">
        <f ca="1">+AA67</f>
        <v>243798.95912000004</v>
      </c>
      <c r="AB6" s="857">
        <f ca="1">+AB67</f>
        <v>339046.03587999992</v>
      </c>
      <c r="AC6" s="647">
        <f ca="1">+SUM(Y6:AB6)</f>
        <v>1082868.6054699998</v>
      </c>
      <c r="AD6" s="857">
        <f ca="1">+AD67</f>
        <v>249984.01542999997</v>
      </c>
      <c r="AE6" s="857">
        <f ca="1">+AE67</f>
        <v>329187.05628000002</v>
      </c>
      <c r="AF6" s="857">
        <f ca="1">+AF67</f>
        <v>460036.70981000003</v>
      </c>
      <c r="AG6" s="857">
        <f ca="1">+AG67</f>
        <v>461462.62537999998</v>
      </c>
      <c r="AH6" s="647">
        <f ca="1">+SUM(AD6:AG6)</f>
        <v>1500670.4069000001</v>
      </c>
      <c r="AI6" s="857">
        <f ca="1">+AI67</f>
        <v>369902.34818999982</v>
      </c>
      <c r="AJ6" s="857">
        <f ca="1">+AJ67</f>
        <v>413999.29704000009</v>
      </c>
      <c r="AK6" s="857">
        <f ca="1">+AK67</f>
        <v>481071.89130000008</v>
      </c>
      <c r="AL6" s="857">
        <f ca="1">+AL67</f>
        <v>516751.48728000012</v>
      </c>
      <c r="AM6" s="647">
        <f ca="1">+SUM(AI6:AL6)</f>
        <v>1781725.0238100002</v>
      </c>
      <c r="AN6" s="857">
        <f ca="1">+AN67</f>
        <v>432552.07787999994</v>
      </c>
      <c r="AO6" s="857">
        <f ca="1">+AO67</f>
        <v>529168.94435000001</v>
      </c>
      <c r="AP6" s="857">
        <f ca="1">+AP67</f>
        <v>695890.14059000008</v>
      </c>
      <c r="AQ6" s="857">
        <f ca="1">+AQ67</f>
        <v>720353.22578999994</v>
      </c>
      <c r="AR6" s="647">
        <f ca="1">+SUM(AN6:AQ6)</f>
        <v>2377964.3886100003</v>
      </c>
      <c r="AS6" s="857">
        <f ca="1">+AS67</f>
        <v>489547.18824999995</v>
      </c>
      <c r="AT6" s="857">
        <f ca="1">+AT67</f>
        <v>621439.08457999991</v>
      </c>
      <c r="AU6" s="857">
        <f ca="1">+AU67</f>
        <v>744446</v>
      </c>
      <c r="AV6" s="857">
        <f ca="1">+AV67</f>
        <v>717391.32421999995</v>
      </c>
      <c r="AW6" s="647">
        <f ca="1">+SUM(AS6:AV6)</f>
        <v>2572823.59705</v>
      </c>
      <c r="AX6" s="857">
        <f ca="1">+AX67</f>
        <v>599235.42489999998</v>
      </c>
      <c r="AY6" s="857">
        <f ca="1">+AY67</f>
        <v>866484.33464999998</v>
      </c>
      <c r="AZ6" s="1167"/>
      <c r="BN6" s="266"/>
      <c r="BO6" s="266"/>
      <c r="BP6" s="266"/>
      <c r="BQ6" s="266"/>
      <c r="BR6" s="266"/>
      <c r="BS6" s="266"/>
      <c r="BT6" s="266"/>
      <c r="BU6" s="266"/>
      <c r="BV6" s="266"/>
      <c r="BW6" s="266"/>
      <c r="BX6" s="266"/>
      <c r="BY6" s="266"/>
      <c r="BZ6" s="266"/>
      <c r="CA6" s="266"/>
      <c r="CB6" s="266"/>
      <c r="CC6" s="266"/>
      <c r="CD6" s="266"/>
      <c r="CE6" s="266"/>
      <c r="CF6" s="266"/>
      <c r="CG6" s="266"/>
      <c r="CH6" s="266"/>
      <c r="CI6" s="266"/>
      <c r="CJ6" s="266"/>
    </row>
    <row r="7" spans="1:88" ht="13.5" customHeight="1" x14ac:dyDescent="0.2">
      <c r="A7" s="516" t="s">
        <v>34</v>
      </c>
      <c r="B7" s="516" t="s">
        <v>693</v>
      </c>
      <c r="D7" s="858" t="str">
        <f>IF([1]RENAME!$H$3=1,B7,A7)</f>
        <v>Logística integrada</v>
      </c>
      <c r="E7" s="857">
        <f ca="1">+E97</f>
        <v>48717.342169999996</v>
      </c>
      <c r="F7" s="857">
        <f ca="1">+F97</f>
        <v>48049.863870000001</v>
      </c>
      <c r="G7" s="857">
        <f ca="1">+G97</f>
        <v>50445.274439999994</v>
      </c>
      <c r="H7" s="857">
        <f ca="1">+H97</f>
        <v>54087.619529999996</v>
      </c>
      <c r="I7" s="647">
        <f ca="1">+SUM(E7:H7)</f>
        <v>201300.10000999997</v>
      </c>
      <c r="J7" s="857">
        <f ca="1">+J97</f>
        <v>47791.897820000006</v>
      </c>
      <c r="K7" s="857">
        <f ca="1">+K97</f>
        <v>45118.782989999992</v>
      </c>
      <c r="L7" s="857">
        <f ca="1">+L97</f>
        <v>50056.113029999993</v>
      </c>
      <c r="M7" s="857">
        <f ca="1">+M97</f>
        <v>47941.790019999993</v>
      </c>
      <c r="N7" s="647">
        <f ca="1">+SUM(J7:M7)</f>
        <v>190908.58385999998</v>
      </c>
      <c r="O7" s="857">
        <f ca="1">+O97</f>
        <v>45576.200000000004</v>
      </c>
      <c r="P7" s="857">
        <f ca="1">+P97</f>
        <v>45477.30472</v>
      </c>
      <c r="Q7" s="857">
        <f ca="1">+Q97</f>
        <v>49444.072350000002</v>
      </c>
      <c r="R7" s="857">
        <f ca="1">+R97</f>
        <v>49006.12429</v>
      </c>
      <c r="S7" s="647">
        <f ca="1">+SUM(O7:R7)</f>
        <v>189503.70136000001</v>
      </c>
      <c r="T7" s="857">
        <f ca="1">+T97</f>
        <v>46798.437100000003</v>
      </c>
      <c r="U7" s="857">
        <f ca="1">+U97</f>
        <v>51640.242859999998</v>
      </c>
      <c r="V7" s="857">
        <f ca="1">+V97</f>
        <v>52814.545720000002</v>
      </c>
      <c r="W7" s="857">
        <f ca="1">+W97</f>
        <v>49157.816579999999</v>
      </c>
      <c r="X7" s="647">
        <f ca="1">+SUM(T7:W7)</f>
        <v>200411.04226000002</v>
      </c>
      <c r="Y7" s="857">
        <f ca="1">+Y97</f>
        <v>40685.805</v>
      </c>
      <c r="Z7" s="857">
        <f ca="1">+Z97</f>
        <v>44766.588499999998</v>
      </c>
      <c r="AA7" s="857">
        <f ca="1">+AA97</f>
        <v>45483.075720000001</v>
      </c>
      <c r="AB7" s="857">
        <f ca="1">+AB97</f>
        <v>40436.241730000009</v>
      </c>
      <c r="AC7" s="647">
        <f ca="1">+SUM(Y7:AB7)</f>
        <v>171371.71095000001</v>
      </c>
      <c r="AD7" s="857">
        <f ca="1">+AD97</f>
        <v>48354.774229999995</v>
      </c>
      <c r="AE7" s="857">
        <f ca="1">+AE97</f>
        <v>46644.168120000002</v>
      </c>
      <c r="AF7" s="857">
        <f ca="1">+AF97</f>
        <v>51373.626230000002</v>
      </c>
      <c r="AG7" s="857">
        <f ca="1">+AG97</f>
        <v>44837.835890000002</v>
      </c>
      <c r="AH7" s="647">
        <f ca="1">+SUM(AD7:AG7)</f>
        <v>191210.40447000001</v>
      </c>
      <c r="AI7" s="857">
        <f ca="1">+AI97</f>
        <v>47323.97638</v>
      </c>
      <c r="AJ7" s="857">
        <f ca="1">+AJ97</f>
        <v>43144.14963</v>
      </c>
      <c r="AK7" s="857">
        <f ca="1">+AK97</f>
        <v>50027.470160000004</v>
      </c>
      <c r="AL7" s="857">
        <f ca="1">+AL97</f>
        <v>49218.7</v>
      </c>
      <c r="AM7" s="647">
        <f ca="1">+SUM(AI7:AL7)</f>
        <v>189714.29616999999</v>
      </c>
      <c r="AN7" s="857">
        <f ca="1">+AN97</f>
        <v>50683.687290000002</v>
      </c>
      <c r="AO7" s="857">
        <f ca="1">+AO97</f>
        <v>55719.131580000001</v>
      </c>
      <c r="AP7" s="857">
        <f ca="1">+AP97</f>
        <v>50868.375529999998</v>
      </c>
      <c r="AQ7" s="857">
        <f ca="1">+AQ97</f>
        <v>49988.152990000002</v>
      </c>
      <c r="AR7" s="647">
        <f ca="1">+SUM(AN7:AQ7)</f>
        <v>207259.34739000001</v>
      </c>
      <c r="AS7" s="857">
        <f ca="1">+AS97</f>
        <v>55602.698880000004</v>
      </c>
      <c r="AT7" s="857">
        <f ca="1">+AT97</f>
        <v>54247.260320000001</v>
      </c>
      <c r="AU7" s="857">
        <f ca="1">+AU97</f>
        <v>41985.478689999996</v>
      </c>
      <c r="AV7" s="857">
        <f ca="1">+AV97</f>
        <v>47361.427729999996</v>
      </c>
      <c r="AW7" s="647">
        <f ca="1">+SUM(AS7:AV7)</f>
        <v>199196.86562</v>
      </c>
      <c r="AX7" s="857">
        <f ca="1">+AX97</f>
        <v>50799.559020000001</v>
      </c>
      <c r="AY7" s="857">
        <f ca="1">+AY97</f>
        <v>58255.544399999999</v>
      </c>
      <c r="AZ7" s="1167"/>
      <c r="BN7" s="266"/>
      <c r="BO7" s="266"/>
      <c r="BP7" s="266"/>
      <c r="BQ7" s="266"/>
      <c r="BR7" s="266"/>
      <c r="BS7" s="266"/>
      <c r="BT7" s="266"/>
      <c r="BU7" s="266"/>
      <c r="BV7" s="266"/>
      <c r="BW7" s="266"/>
      <c r="BX7" s="266"/>
      <c r="BY7" s="266"/>
      <c r="BZ7" s="266"/>
      <c r="CA7" s="266"/>
      <c r="CB7" s="266"/>
      <c r="CC7" s="266"/>
      <c r="CD7" s="266"/>
      <c r="CE7" s="266"/>
      <c r="CF7" s="266"/>
      <c r="CG7" s="266"/>
      <c r="CH7" s="266"/>
      <c r="CI7" s="266"/>
      <c r="CJ7" s="266"/>
    </row>
    <row r="8" spans="1:88" ht="13.5" customHeight="1" x14ac:dyDescent="0.2">
      <c r="A8" s="516" t="s">
        <v>66</v>
      </c>
      <c r="B8" s="516" t="s">
        <v>691</v>
      </c>
      <c r="D8" s="866" t="str">
        <f>IF([1]RENAME!$H$3=1,B8,A8)</f>
        <v>Receita bruta</v>
      </c>
      <c r="E8" s="865">
        <f ca="1">+SUM(E6:E7)</f>
        <v>263139.49319000001</v>
      </c>
      <c r="F8" s="865">
        <f ca="1">+SUM(F6:F7)</f>
        <v>316766.97174999997</v>
      </c>
      <c r="G8" s="865">
        <f ca="1">+SUM(G6:G7)</f>
        <v>355630.59041000006</v>
      </c>
      <c r="H8" s="865">
        <f ca="1">+SUM(H6:H7)</f>
        <v>394652.87448999996</v>
      </c>
      <c r="I8" s="864">
        <f ca="1">+SUM(E8:H8)</f>
        <v>1330189.9298399999</v>
      </c>
      <c r="J8" s="865">
        <f ca="1">+SUM(J6:J7)</f>
        <v>322849.44328000001</v>
      </c>
      <c r="K8" s="865">
        <f ca="1">+SUM(K6:K7)</f>
        <v>360398.53693999996</v>
      </c>
      <c r="L8" s="865">
        <f ca="1">+SUM(L6:L7)</f>
        <v>415845.59081999998</v>
      </c>
      <c r="M8" s="865">
        <f ca="1">+SUM(M6:M7)</f>
        <v>439626.19826000003</v>
      </c>
      <c r="N8" s="864">
        <f ca="1">+SUM(J8:M8)</f>
        <v>1538719.7693</v>
      </c>
      <c r="O8" s="865">
        <f ca="1">+SUM(O6:O7)</f>
        <v>367282.45629</v>
      </c>
      <c r="P8" s="865">
        <f ca="1">+SUM(P6:P7)</f>
        <v>406330.85576000006</v>
      </c>
      <c r="Q8" s="865">
        <f ca="1">+SUM(Q6:Q7)</f>
        <v>415849.18766000005</v>
      </c>
      <c r="R8" s="865">
        <f ca="1">+SUM(R6:R7)</f>
        <v>463847.30074000004</v>
      </c>
      <c r="S8" s="864">
        <f ca="1">+SUM(O8:R8)</f>
        <v>1653309.8004500002</v>
      </c>
      <c r="T8" s="865">
        <f ca="1">+SUM(T6:T7)</f>
        <v>345453.34173999995</v>
      </c>
      <c r="U8" s="865">
        <f ca="1">+SUM(U6:U7)</f>
        <v>160265.12508</v>
      </c>
      <c r="V8" s="865">
        <f ca="1">+SUM(V6:V7)</f>
        <v>358316.07078000001</v>
      </c>
      <c r="W8" s="865">
        <f ca="1">+SUM(W6:W7)</f>
        <v>386729.15333999996</v>
      </c>
      <c r="X8" s="864">
        <f ca="1">+SUM(T8:W8)</f>
        <v>1250763.6909399999</v>
      </c>
      <c r="Y8" s="865">
        <f ca="1">+SUM(Y6:Y7)</f>
        <v>290764.73402999999</v>
      </c>
      <c r="Z8" s="865">
        <f ca="1">+SUM(Z6:Z7)</f>
        <v>294711.26993999997</v>
      </c>
      <c r="AA8" s="865">
        <f ca="1">+SUM(AA6:AA7)</f>
        <v>289282.03484000004</v>
      </c>
      <c r="AB8" s="865">
        <f ca="1">+SUM(AB6:AB7)</f>
        <v>379482.27760999993</v>
      </c>
      <c r="AC8" s="864">
        <f ca="1">+SUM(Y8:AB8)</f>
        <v>1254240.31642</v>
      </c>
      <c r="AD8" s="865">
        <f ca="1">+SUM(AD6:AD7)</f>
        <v>298338.78965999995</v>
      </c>
      <c r="AE8" s="865">
        <f ca="1">+SUM(AE6:AE7)</f>
        <v>375831.22440000001</v>
      </c>
      <c r="AF8" s="865">
        <f ca="1">+SUM(AF6:AF7)</f>
        <v>511410.33604000002</v>
      </c>
      <c r="AG8" s="865">
        <f ca="1">+SUM(AG6:AG7)</f>
        <v>506300.46126999997</v>
      </c>
      <c r="AH8" s="864">
        <f ca="1">+SUM(AD8:AG8)</f>
        <v>1691880.8113699998</v>
      </c>
      <c r="AI8" s="865">
        <f ca="1">+SUM(AI6:AI7)</f>
        <v>417226.32456999982</v>
      </c>
      <c r="AJ8" s="865">
        <f ca="1">+SUM(AJ6:AJ7)</f>
        <v>457143.44667000009</v>
      </c>
      <c r="AK8" s="865">
        <f ca="1">+SUM(AK6:AK7)</f>
        <v>531099.36146000004</v>
      </c>
      <c r="AL8" s="865">
        <f ca="1">+SUM(AL6:AL7)</f>
        <v>565970.18728000007</v>
      </c>
      <c r="AM8" s="864">
        <f ca="1">+SUM(AI8:AL8)</f>
        <v>1971439.3199800001</v>
      </c>
      <c r="AN8" s="865">
        <f ca="1">+SUM(AN6:AN7)</f>
        <v>483235.76516999991</v>
      </c>
      <c r="AO8" s="865">
        <f ca="1">+SUM(AO6:AO7)</f>
        <v>584888.07593000005</v>
      </c>
      <c r="AP8" s="865">
        <f ca="1">+SUM(AP6:AP7)</f>
        <v>746758.51612000004</v>
      </c>
      <c r="AQ8" s="865">
        <f ca="1">+SUM(AQ6:AQ7)</f>
        <v>770341.37877999991</v>
      </c>
      <c r="AR8" s="864">
        <f ca="1">+SUM(AN8:AQ8)</f>
        <v>2585223.7359999996</v>
      </c>
      <c r="AS8" s="865">
        <f ca="1">+SUM(AS6:AS7)</f>
        <v>545149.88712999993</v>
      </c>
      <c r="AT8" s="865">
        <f ca="1">+SUM(AT6:AT7)</f>
        <v>675686.34489999991</v>
      </c>
      <c r="AU8" s="865">
        <f ca="1">+SUM(AU6:AU7)</f>
        <v>786431.47869000002</v>
      </c>
      <c r="AV8" s="865">
        <f ca="1">+SUM(AV6:AV7)</f>
        <v>764752.75194999995</v>
      </c>
      <c r="AW8" s="864">
        <v>2772020.4626699998</v>
      </c>
      <c r="AX8" s="865">
        <f ca="1">+SUM(AX6:AX7)</f>
        <v>650034.98392000003</v>
      </c>
      <c r="AY8" s="865">
        <f ca="1">+SUM(AY6:AY7)</f>
        <v>924739.87904999999</v>
      </c>
      <c r="AZ8" s="1239"/>
      <c r="BN8" s="266"/>
      <c r="BO8" s="266"/>
      <c r="BP8" s="266"/>
      <c r="BQ8" s="266"/>
      <c r="BR8" s="266"/>
      <c r="BS8" s="266"/>
      <c r="BT8" s="266"/>
      <c r="BU8" s="266"/>
      <c r="BV8" s="266"/>
      <c r="BW8" s="266"/>
      <c r="BX8" s="266"/>
      <c r="BY8" s="266"/>
      <c r="BZ8" s="266"/>
      <c r="CA8" s="266"/>
      <c r="CB8" s="266"/>
      <c r="CC8" s="266"/>
      <c r="CD8" s="266"/>
      <c r="CE8" s="266"/>
      <c r="CF8" s="266"/>
      <c r="CG8" s="266"/>
      <c r="CH8" s="266"/>
      <c r="CI8" s="266"/>
      <c r="CJ8" s="266"/>
    </row>
    <row r="9" spans="1:88" ht="13.5" customHeight="1" x14ac:dyDescent="0.2">
      <c r="A9" s="516" t="s">
        <v>1881</v>
      </c>
      <c r="B9" s="516" t="s">
        <v>1892</v>
      </c>
      <c r="D9" s="858" t="str">
        <f>IF([1]RENAME!$H$3=1,B9,A9)</f>
        <v>Deduções da receita bruta (ajustado eventos ñ recorr)</v>
      </c>
      <c r="E9" s="857">
        <f ca="1">+E68+E98</f>
        <v>-49624.916319999989</v>
      </c>
      <c r="F9" s="901">
        <f ca="1">+F68+F98</f>
        <v>-51660.569389999968</v>
      </c>
      <c r="G9" s="857">
        <f ca="1">+G68+G98</f>
        <v>-69751.736580000055</v>
      </c>
      <c r="H9" s="857">
        <f ca="1">+H68+H98</f>
        <v>-75177.268309999956</v>
      </c>
      <c r="I9" s="916">
        <f ca="1">+SUM(E9:H9)</f>
        <v>-246214.49059999996</v>
      </c>
      <c r="J9" s="857">
        <f ca="1">+J68+J98</f>
        <v>-60777.078839999995</v>
      </c>
      <c r="K9" s="857">
        <f ca="1">+K68+K98</f>
        <v>-67123.213439999963</v>
      </c>
      <c r="L9" s="901">
        <f ca="1">+L68+L98</f>
        <v>-79388.163690000001</v>
      </c>
      <c r="M9" s="901">
        <f ca="1">+M68+M98</f>
        <v>-76878.744012542491</v>
      </c>
      <c r="N9" s="916">
        <f ca="1">+SUM(J9:M9)</f>
        <v>-284167.19998254243</v>
      </c>
      <c r="O9" s="857">
        <f ca="1">+O68+O98</f>
        <v>-70601.690199999983</v>
      </c>
      <c r="P9" s="857">
        <f ca="1">+P68+P98</f>
        <v>-74742.844070000036</v>
      </c>
      <c r="Q9" s="857">
        <f ca="1">+Q68+Q98</f>
        <v>-75126.040760000004</v>
      </c>
      <c r="R9" s="857">
        <f ca="1">+R68+R98</f>
        <v>-85518.78118000002</v>
      </c>
      <c r="S9" s="647">
        <f ca="1">+SUM(O9:R9)</f>
        <v>-305989.35621</v>
      </c>
      <c r="T9" s="857">
        <f ca="1">+T68+T98</f>
        <v>-65706.918319999953</v>
      </c>
      <c r="U9" s="857">
        <f ca="1">+U68+U98</f>
        <v>-30124.582640000001</v>
      </c>
      <c r="V9" s="857">
        <f ca="1">+V68+V98</f>
        <v>-69134.587800000008</v>
      </c>
      <c r="W9" s="857">
        <f ca="1">+W68+W98</f>
        <v>-73762.623569999952</v>
      </c>
      <c r="X9" s="647">
        <f ca="1">+SUM(T9:W9)</f>
        <v>-238728.71232999989</v>
      </c>
      <c r="Y9" s="857">
        <f ca="1">+Y68+Y98</f>
        <v>-56852.589729999978</v>
      </c>
      <c r="Z9" s="857">
        <f ca="1">+Z68+Z98</f>
        <v>-57645.011709999999</v>
      </c>
      <c r="AA9" s="857">
        <f ca="1">+AA68+AA98</f>
        <v>-57843.520080000009</v>
      </c>
      <c r="AB9" s="857">
        <f ca="1">+AB68+AB98</f>
        <v>-74556.185990000013</v>
      </c>
      <c r="AC9" s="647">
        <f ca="1">+SUM(Y9:AB9)</f>
        <v>-246897.30751000001</v>
      </c>
      <c r="AD9" s="857">
        <f ca="1">+AD68+AD98</f>
        <v>-57272.680549999983</v>
      </c>
      <c r="AE9" s="857">
        <f ca="1">+AE68+AE98</f>
        <v>-71296.049840000051</v>
      </c>
      <c r="AF9" s="857">
        <f ca="1">+AF68+AF98</f>
        <v>-95901.64496000002</v>
      </c>
      <c r="AG9" s="857">
        <f ca="1">+AG68+AG98</f>
        <v>-96900.989790000051</v>
      </c>
      <c r="AH9" s="647">
        <f ca="1">+SUM(AD9:AG9)</f>
        <v>-321371.36514000013</v>
      </c>
      <c r="AI9" s="857">
        <f ca="1">+AI68+AI98</f>
        <v>-81188.375400000019</v>
      </c>
      <c r="AJ9" s="901">
        <f ca="1">+AJ68+AJ98</f>
        <v>-90492.71663000001</v>
      </c>
      <c r="AK9" s="857">
        <f ca="1">+AK68+AK98</f>
        <v>-104121.76996999999</v>
      </c>
      <c r="AL9" s="901">
        <f ca="1">+AL68+AL98</f>
        <v>-112168.91354999997</v>
      </c>
      <c r="AM9" s="916">
        <f ca="1">+SUM(AI9:AL9)</f>
        <v>-387971.77555000002</v>
      </c>
      <c r="AN9" s="857">
        <f ca="1">+AN68+AN98</f>
        <v>-94064.972370000003</v>
      </c>
      <c r="AO9" s="857">
        <f ca="1">+AO68+AO98</f>
        <v>-112045.88618999999</v>
      </c>
      <c r="AP9" s="857">
        <f ca="1">+AP68+AP98</f>
        <v>-143004.25521</v>
      </c>
      <c r="AQ9" s="857">
        <f ca="1">+AQ68+AQ98</f>
        <v>-145981.2050999999</v>
      </c>
      <c r="AR9" s="647">
        <f ca="1">+SUM(AN9:AQ9)</f>
        <v>-495096.3188699999</v>
      </c>
      <c r="AS9" s="857">
        <f ca="1">+AS68+AS98</f>
        <v>-104792.60045000003</v>
      </c>
      <c r="AT9" s="857">
        <f ca="1">+AT68+AT98</f>
        <v>-135146.78451999999</v>
      </c>
      <c r="AU9" s="857">
        <f ca="1">+AU68+AU98</f>
        <v>-152208.72914000001</v>
      </c>
      <c r="AV9" s="857">
        <f ca="1">+AV68+AV98</f>
        <v>-154444.44124999997</v>
      </c>
      <c r="AW9" s="647">
        <f ca="1">+SUM(AS9:AV9)</f>
        <v>-546592.55536</v>
      </c>
      <c r="AX9" s="857">
        <f ca="1">+AX68+AX98</f>
        <v>-128756.31159</v>
      </c>
      <c r="AY9" s="857">
        <f ca="1">+AY68+AY98</f>
        <v>-184623.29667999997</v>
      </c>
      <c r="BN9" s="266"/>
      <c r="BO9" s="266"/>
      <c r="BP9" s="266"/>
      <c r="BQ9" s="266"/>
      <c r="BR9" s="266"/>
      <c r="BS9" s="266"/>
      <c r="BT9" s="266"/>
      <c r="BU9" s="266"/>
      <c r="BV9" s="266"/>
      <c r="BW9" s="266"/>
      <c r="BX9" s="266"/>
      <c r="BY9" s="266"/>
      <c r="BZ9" s="266"/>
      <c r="CA9" s="266"/>
      <c r="CB9" s="266"/>
      <c r="CC9" s="266"/>
      <c r="CD9" s="266"/>
      <c r="CE9" s="266"/>
      <c r="CF9" s="266"/>
      <c r="CG9" s="266"/>
      <c r="CH9" s="266"/>
      <c r="CI9" s="266"/>
      <c r="CJ9" s="266"/>
    </row>
    <row r="10" spans="1:88" s="850" customFormat="1" ht="13.5" customHeight="1" x14ac:dyDescent="0.2">
      <c r="A10" s="516" t="s">
        <v>1883</v>
      </c>
      <c r="B10" s="516" t="s">
        <v>1891</v>
      </c>
      <c r="C10" s="855"/>
      <c r="D10" s="861" t="str">
        <f>IF([1]RENAME!$H$3=1,B10,A10)</f>
        <v>% Receita bruta  (ajustado eventos ñ recorr)</v>
      </c>
      <c r="E10" s="860">
        <f ca="1">+E9/E8</f>
        <v>-0.18858786918833309</v>
      </c>
      <c r="F10" s="860">
        <f ca="1">+F9/F8</f>
        <v>-0.16308698190533488</v>
      </c>
      <c r="G10" s="860">
        <f ca="1">+G9/G8</f>
        <v>-0.1961353676003646</v>
      </c>
      <c r="H10" s="860">
        <f ca="1">+H9/H8</f>
        <v>-0.19048960027758485</v>
      </c>
      <c r="I10" s="859">
        <f ca="1">+I11/I8-1</f>
        <v>-0.18509724444359255</v>
      </c>
      <c r="J10" s="860">
        <f ca="1">+J9/J8</f>
        <v>-0.18825207880965558</v>
      </c>
      <c r="K10" s="860">
        <f ca="1">+K9/K8</f>
        <v>-0.18624718626750364</v>
      </c>
      <c r="L10" s="860">
        <f ca="1">+L9/L8</f>
        <v>-0.19090779232131719</v>
      </c>
      <c r="M10" s="860">
        <f ca="1">+M9/M8</f>
        <v>-0.17487298144837926</v>
      </c>
      <c r="N10" s="859">
        <f ca="1">+N11/N8-1</f>
        <v>-0.18467768183144673</v>
      </c>
      <c r="O10" s="860">
        <f ca="1">+O9/O8</f>
        <v>-0.19222723272209355</v>
      </c>
      <c r="P10" s="860">
        <f ca="1">+P9/P8</f>
        <v>-0.18394577475589746</v>
      </c>
      <c r="Q10" s="860">
        <f ca="1">+Q9/Q8</f>
        <v>-0.18065693763341761</v>
      </c>
      <c r="R10" s="860">
        <f ca="1">+R9/R8</f>
        <v>-0.18436839245063494</v>
      </c>
      <c r="S10" s="859">
        <f ca="1">+S11/S8-1</f>
        <v>-0.18507684169459071</v>
      </c>
      <c r="T10" s="860">
        <f ca="1">+T9/T8</f>
        <v>-0.19020489999906626</v>
      </c>
      <c r="U10" s="860">
        <f ca="1">+U9/U8</f>
        <v>-0.18796717392484877</v>
      </c>
      <c r="V10" s="860">
        <f ca="1">+V9/V8</f>
        <v>-0.19294302834228017</v>
      </c>
      <c r="W10" s="860">
        <f ca="1">+W9/W8</f>
        <v>-0.1907345824149704</v>
      </c>
      <c r="X10" s="859">
        <f ca="1">+X11/X8-1</f>
        <v>-0.19086635953637698</v>
      </c>
      <c r="Y10" s="860">
        <f ca="1">+Y9/Y8</f>
        <v>-0.19552780332753197</v>
      </c>
      <c r="Z10" s="860">
        <f ca="1">+Z9/Z8</f>
        <v>-0.19559826036424022</v>
      </c>
      <c r="AA10" s="860">
        <f ca="1">+AA9/AA8</f>
        <v>-0.19995545216623242</v>
      </c>
      <c r="AB10" s="860">
        <f ca="1">+AB9/AB8</f>
        <v>-0.19646816304455358</v>
      </c>
      <c r="AC10" s="859">
        <f ca="1">+AC11/AC8-1</f>
        <v>-0.19685008070440879</v>
      </c>
      <c r="AD10" s="860">
        <f ca="1">+AD9/AD8</f>
        <v>-0.19197195448594015</v>
      </c>
      <c r="AE10" s="860">
        <f ca="1">+AE9/AE8</f>
        <v>-0.18970230574594071</v>
      </c>
      <c r="AF10" s="860">
        <f ca="1">+AF9/AF8</f>
        <v>-0.18752386919395203</v>
      </c>
      <c r="AG10" s="860">
        <f ca="1">+AG9/AG8</f>
        <v>-0.1913902854185327</v>
      </c>
      <c r="AH10" s="859">
        <f ca="1">+AH11/AH8-1</f>
        <v>-0.18994917548581303</v>
      </c>
      <c r="AI10" s="860">
        <f ca="1">+AI9/AI8</f>
        <v>-0.19459073078304459</v>
      </c>
      <c r="AJ10" s="860">
        <f ca="1">+AJ9/AJ8</f>
        <v>-0.19795256235035638</v>
      </c>
      <c r="AK10" s="860">
        <f ca="1">+AK9/AK8</f>
        <v>-0.19604951074271243</v>
      </c>
      <c r="AL10" s="860">
        <f ca="1">+AL9/AL8</f>
        <v>-0.1981887316168954</v>
      </c>
      <c r="AM10" s="859">
        <f ca="1">+AM11/AM8-1</f>
        <v>-0.19679620448776292</v>
      </c>
      <c r="AN10" s="860">
        <f ca="1">+AN9/AN8</f>
        <v>-0.19465647857605992</v>
      </c>
      <c r="AO10" s="860">
        <f ca="1">+AO9/AO8</f>
        <v>-0.19156808080219737</v>
      </c>
      <c r="AP10" s="860">
        <f ca="1">+AP9/AP8</f>
        <v>-0.19149999916039792</v>
      </c>
      <c r="AQ10" s="860">
        <f ca="1">+AQ9/AQ8</f>
        <v>-0.18950196513030668</v>
      </c>
      <c r="AR10" s="859">
        <f ca="1">+AR11/AR8-1</f>
        <v>-0.19151004687742801</v>
      </c>
      <c r="AS10" s="860">
        <f ca="1">+AS9/AS8</f>
        <v>-0.19222713408543826</v>
      </c>
      <c r="AT10" s="860">
        <f ca="1">+AT9/AT8</f>
        <v>-0.20001408277682658</v>
      </c>
      <c r="AU10" s="860">
        <f ca="1">+AU9/AU8</f>
        <v>-0.19354353591433299</v>
      </c>
      <c r="AV10" s="860">
        <f ca="1">+AV9/AV8</f>
        <v>-0.20195342985846182</v>
      </c>
      <c r="AW10" s="859">
        <f ca="1">+AW11/AW8-1</f>
        <v>-0.19718200594865887</v>
      </c>
      <c r="AX10" s="860">
        <f ca="1">+AX9/AX8</f>
        <v>-0.19807597248619171</v>
      </c>
      <c r="AY10" s="860">
        <f ca="1">+AY9/AY8</f>
        <v>-0.19964889680075917</v>
      </c>
      <c r="AZ10" s="851"/>
      <c r="BA10" s="851"/>
      <c r="BB10" s="851"/>
      <c r="BC10" s="851"/>
      <c r="BD10" s="851"/>
      <c r="BE10" s="851"/>
      <c r="BF10" s="851"/>
      <c r="BG10" s="851"/>
      <c r="BH10" s="851"/>
      <c r="BK10" s="851"/>
      <c r="BL10" s="851"/>
      <c r="BM10" s="851"/>
      <c r="BN10" s="851"/>
      <c r="BO10" s="851"/>
      <c r="BP10" s="851"/>
      <c r="BQ10" s="851"/>
      <c r="BR10" s="851"/>
      <c r="BS10" s="851"/>
      <c r="BT10" s="851"/>
      <c r="BU10" s="851"/>
      <c r="BV10" s="851"/>
      <c r="BW10" s="851"/>
      <c r="BX10" s="851"/>
      <c r="BY10" s="851"/>
      <c r="BZ10" s="851"/>
      <c r="CA10" s="851"/>
      <c r="CB10" s="851"/>
      <c r="CC10" s="851"/>
      <c r="CD10" s="851"/>
      <c r="CE10" s="851"/>
      <c r="CF10" s="851"/>
      <c r="CG10" s="851"/>
      <c r="CH10" s="851"/>
      <c r="CI10" s="851"/>
      <c r="CJ10" s="851"/>
    </row>
    <row r="11" spans="1:88" ht="13.5" customHeight="1" x14ac:dyDescent="0.2">
      <c r="A11" s="516" t="s">
        <v>1882</v>
      </c>
      <c r="B11" s="516" t="s">
        <v>1890</v>
      </c>
      <c r="D11" s="866" t="str">
        <f>IF([1]RENAME!$H$3=1,B11,A11)</f>
        <v>Receita líquida (ajustado eventos ñ recorr)</v>
      </c>
      <c r="E11" s="865">
        <f ca="1">+E8+E9</f>
        <v>213514.57687000002</v>
      </c>
      <c r="F11" s="1004">
        <f ca="1">+F8+F9</f>
        <v>265106.40236000001</v>
      </c>
      <c r="G11" s="865">
        <f ca="1">+G8+G9</f>
        <v>285878.85383000004</v>
      </c>
      <c r="H11" s="865">
        <f ca="1">+H8+H9</f>
        <v>319475.60618</v>
      </c>
      <c r="I11" s="1005">
        <f ca="1">+SUM(E11:H11)</f>
        <v>1083975.4392400002</v>
      </c>
      <c r="J11" s="865">
        <f ca="1">+J8+J9</f>
        <v>262072.36444</v>
      </c>
      <c r="K11" s="865">
        <f ca="1">+K8+K9</f>
        <v>293275.3235</v>
      </c>
      <c r="L11" s="1004">
        <f ca="1">+L8+L9</f>
        <v>336457.42712999997</v>
      </c>
      <c r="M11" s="1004">
        <f ca="1">+M8+M9</f>
        <v>362747.45424745756</v>
      </c>
      <c r="N11" s="1005">
        <f ca="1">+SUM(J11:M11)</f>
        <v>1254552.5693174575</v>
      </c>
      <c r="O11" s="865">
        <f ca="1">+O8+O9</f>
        <v>296680.76609000005</v>
      </c>
      <c r="P11" s="865">
        <f ca="1">+P8+P9</f>
        <v>331588.01169000001</v>
      </c>
      <c r="Q11" s="865">
        <f ca="1">+Q8+Q9</f>
        <v>340723.14690000005</v>
      </c>
      <c r="R11" s="865">
        <f ca="1">+R8+R9</f>
        <v>378328.51956000004</v>
      </c>
      <c r="S11" s="864">
        <f ca="1">+SUM(O11:R11)</f>
        <v>1347320.4442400001</v>
      </c>
      <c r="T11" s="865">
        <f ca="1">+T8+T9</f>
        <v>279746.42342000001</v>
      </c>
      <c r="U11" s="865">
        <f ca="1">+U8+U9</f>
        <v>130140.54243999999</v>
      </c>
      <c r="V11" s="865">
        <f ca="1">+V8+V9</f>
        <v>289181.48297999997</v>
      </c>
      <c r="W11" s="865">
        <f ca="1">+W8+W9</f>
        <v>312966.52977000002</v>
      </c>
      <c r="X11" s="864">
        <f ca="1">+SUM(T11:W11)</f>
        <v>1012034.97861</v>
      </c>
      <c r="Y11" s="865">
        <f ca="1">+Y8+Y9</f>
        <v>233912.14430000001</v>
      </c>
      <c r="Z11" s="865">
        <f ca="1">+Z8+Z9</f>
        <v>237066.25822999998</v>
      </c>
      <c r="AA11" s="865">
        <f ca="1">+AA8+AA9</f>
        <v>231438.51476000002</v>
      </c>
      <c r="AB11" s="865">
        <f ca="1">+AB8+AB9</f>
        <v>304926.0916199999</v>
      </c>
      <c r="AC11" s="864">
        <f ca="1">+SUM(Y11:AB11)</f>
        <v>1007343.0089099999</v>
      </c>
      <c r="AD11" s="865">
        <f ca="1">+AD8+AD9</f>
        <v>241066.10910999996</v>
      </c>
      <c r="AE11" s="865">
        <f ca="1">+AE8+AE9</f>
        <v>304535.17455999996</v>
      </c>
      <c r="AF11" s="865">
        <f ca="1">+AF8+AF9</f>
        <v>415508.69108000002</v>
      </c>
      <c r="AG11" s="865">
        <f ca="1">+AG8+AG9</f>
        <v>409399.47147999995</v>
      </c>
      <c r="AH11" s="864">
        <f ca="1">+SUM(AD11:AG11)</f>
        <v>1370509.4462299999</v>
      </c>
      <c r="AI11" s="865">
        <f ca="1">+AI8+AI9</f>
        <v>336037.9491699998</v>
      </c>
      <c r="AJ11" s="865">
        <f ca="1">+AJ8+AJ9</f>
        <v>366650.73004000005</v>
      </c>
      <c r="AK11" s="865">
        <f ca="1">+AK8+AK9</f>
        <v>426977.59149000002</v>
      </c>
      <c r="AL11" s="865">
        <f ca="1">+AL8+AL9</f>
        <v>453801.27373000013</v>
      </c>
      <c r="AM11" s="864">
        <f ca="1">+SUM(AI11:AL11)</f>
        <v>1583467.5444299998</v>
      </c>
      <c r="AN11" s="865">
        <f ca="1">+AN8+AN9</f>
        <v>389170.79279999994</v>
      </c>
      <c r="AO11" s="865">
        <f ca="1">+AO8+AO9</f>
        <v>472842.18974000006</v>
      </c>
      <c r="AP11" s="865">
        <f ca="1">+AP8+AP9</f>
        <v>603754.26091000007</v>
      </c>
      <c r="AQ11" s="865">
        <f ca="1">+AQ8+AQ9</f>
        <v>624360.17368000001</v>
      </c>
      <c r="AR11" s="864">
        <f ca="1">+SUM(AN11:AQ11)</f>
        <v>2090127.41713</v>
      </c>
      <c r="AS11" s="865">
        <f ca="1">+AS8+AS9</f>
        <v>440357.2866799999</v>
      </c>
      <c r="AT11" s="865">
        <f ca="1">+AT8+AT9</f>
        <v>540539.56037999992</v>
      </c>
      <c r="AU11" s="865">
        <f ca="1">+AU8+AU9</f>
        <v>634222.74955000007</v>
      </c>
      <c r="AV11" s="865">
        <f ca="1">+AV8+AV9</f>
        <v>610308.31070000003</v>
      </c>
      <c r="AW11" s="864">
        <f ca="1">+SUM(AS11:AV11)</f>
        <v>2225427.9073099997</v>
      </c>
      <c r="AX11" s="865">
        <f ca="1">+AX8+AX9</f>
        <v>521278.67233000003</v>
      </c>
      <c r="AY11" s="865">
        <f ca="1">+AY8+AY9</f>
        <v>740116.58236999996</v>
      </c>
      <c r="BN11" s="266"/>
      <c r="BO11" s="266"/>
      <c r="BP11" s="266"/>
      <c r="BQ11" s="266"/>
      <c r="BR11" s="266"/>
      <c r="BS11" s="266"/>
      <c r="BT11" s="266"/>
      <c r="BU11" s="266"/>
      <c r="BV11" s="266"/>
      <c r="BW11" s="266"/>
      <c r="BX11" s="266"/>
      <c r="BY11" s="266"/>
      <c r="BZ11" s="266"/>
      <c r="CA11" s="266"/>
      <c r="CB11" s="266"/>
      <c r="CC11" s="266"/>
      <c r="CD11" s="266"/>
      <c r="CE11" s="266"/>
      <c r="CF11" s="266"/>
      <c r="CG11" s="266"/>
      <c r="CH11" s="266"/>
      <c r="CI11" s="266"/>
      <c r="CJ11" s="266"/>
    </row>
    <row r="12" spans="1:88" ht="13.5" customHeight="1" x14ac:dyDescent="0.2">
      <c r="A12" s="516" t="s">
        <v>1884</v>
      </c>
      <c r="B12" s="516" t="s">
        <v>1889</v>
      </c>
      <c r="D12" s="858" t="str">
        <f>IF([1]RENAME!$H$3=1,B12,A12)</f>
        <v>Custo dos serviços prestados (sem deprec/amort e ajustado eventos ñ recorr)</v>
      </c>
      <c r="E12" s="857">
        <f ca="1">+E101+E71</f>
        <v>-174885.20908999996</v>
      </c>
      <c r="F12" s="857">
        <f ca="1">+F101+F71</f>
        <v>-205921.02704999998</v>
      </c>
      <c r="G12" s="857">
        <f ca="1">+G101+G71</f>
        <v>-226186.00294999999</v>
      </c>
      <c r="H12" s="901">
        <f ca="1">+H101+H71</f>
        <v>-247342.45374</v>
      </c>
      <c r="I12" s="916">
        <f ca="1">+SUM(E12:H12)</f>
        <v>-854334.69282999996</v>
      </c>
      <c r="J12" s="857">
        <f ca="1">+J101+J71</f>
        <v>-207146.03266</v>
      </c>
      <c r="K12" s="857">
        <f ca="1">+K101+K71</f>
        <v>-229983.15228000004</v>
      </c>
      <c r="L12" s="857">
        <f ca="1">+L101+L71</f>
        <v>-258371.40411000003</v>
      </c>
      <c r="M12" s="857">
        <f ca="1">+M101+M71</f>
        <v>-274428.48563000001</v>
      </c>
      <c r="N12" s="647">
        <f ca="1">+SUM(J12:M12)</f>
        <v>-969929.07468000008</v>
      </c>
      <c r="O12" s="857">
        <f ca="1">+O101+O71</f>
        <v>-219858.89009999999</v>
      </c>
      <c r="P12" s="857">
        <f ca="1">+P101+P71</f>
        <v>-249765.45636999997</v>
      </c>
      <c r="Q12" s="901">
        <f ca="1">+Q101+Q71</f>
        <v>-251705.60509</v>
      </c>
      <c r="R12" s="857">
        <f ca="1">+R101+R71</f>
        <v>-279067.12414000003</v>
      </c>
      <c r="S12" s="916">
        <f ca="1">+SUM(O12:R12)</f>
        <v>-1000397.0756999999</v>
      </c>
      <c r="T12" s="857">
        <f ca="1">+T101+T71</f>
        <v>-207887.47123</v>
      </c>
      <c r="U12" s="857">
        <f ca="1">+U101+U71</f>
        <v>-105924.01414000001</v>
      </c>
      <c r="V12" s="857">
        <f ca="1">+V101+V71</f>
        <v>-212365.89350000001</v>
      </c>
      <c r="W12" s="901">
        <f ca="1">+W101+W71</f>
        <v>-233198.58012999999</v>
      </c>
      <c r="X12" s="916">
        <f ca="1">+SUM(T12:W12)</f>
        <v>-759375.95900000003</v>
      </c>
      <c r="Y12" s="857">
        <f ca="1">+Y101+Y71</f>
        <v>-179455.29472000001</v>
      </c>
      <c r="Z12" s="857">
        <f ca="1">+Z101+Z71</f>
        <v>-180934.97625000001</v>
      </c>
      <c r="AA12" s="857">
        <f ca="1">+AA101+AA71</f>
        <v>-178037.60190000004</v>
      </c>
      <c r="AB12" s="857">
        <f ca="1">+AB101+AB71</f>
        <v>-234425.64186999999</v>
      </c>
      <c r="AC12" s="647">
        <f ca="1">+SUM(Y12:AB12)</f>
        <v>-772853.51474000001</v>
      </c>
      <c r="AD12" s="857">
        <f ca="1">+AD101+AD71</f>
        <v>-189639.96300000002</v>
      </c>
      <c r="AE12" s="857">
        <f ca="1">+AE101+AE71</f>
        <v>-234569.45392</v>
      </c>
      <c r="AF12" s="857">
        <f ca="1">+AF101+AF71</f>
        <v>-308460.46995000006</v>
      </c>
      <c r="AG12" s="857">
        <f ca="1">+AG101+AG71</f>
        <v>-314562.2389</v>
      </c>
      <c r="AH12" s="647">
        <f ca="1">+SUM(AD12:AG12)</f>
        <v>-1047232.12577</v>
      </c>
      <c r="AI12" s="857">
        <f ca="1">+AI101+AI71</f>
        <v>-263831.30074999994</v>
      </c>
      <c r="AJ12" s="857">
        <f ca="1">+AJ101+AJ71</f>
        <v>-285486.00792</v>
      </c>
      <c r="AK12" s="857">
        <f ca="1">+AK101+AK71</f>
        <v>-323024.90090000001</v>
      </c>
      <c r="AL12" s="857">
        <f ca="1">+AL101+AL71</f>
        <v>-349351.46576999989</v>
      </c>
      <c r="AM12" s="647">
        <f ca="1">+SUM(AI12:AL12)</f>
        <v>-1221693.6753399998</v>
      </c>
      <c r="AN12" s="857">
        <f ca="1">+AN101+AN71</f>
        <v>-302974.08583000011</v>
      </c>
      <c r="AO12" s="857">
        <f ca="1">+AO101+AO71</f>
        <v>-364045.45872</v>
      </c>
      <c r="AP12" s="857">
        <f ca="1">+AP101+AP71</f>
        <v>-451605.84516999999</v>
      </c>
      <c r="AQ12" s="857">
        <f ca="1">+AQ101+AQ71</f>
        <v>-469944.28493000008</v>
      </c>
      <c r="AR12" s="647">
        <f ca="1">+SUM(AN12:AQ12)</f>
        <v>-1588569.6746500002</v>
      </c>
      <c r="AS12" s="857">
        <f ca="1">+AS101+AS71</f>
        <v>-343085.97573999997</v>
      </c>
      <c r="AT12" s="857">
        <f ca="1">+AT101+AT71</f>
        <v>-416201.83328000014</v>
      </c>
      <c r="AU12" s="857">
        <f ca="1">+AU101+AU71</f>
        <v>-489089.24266999989</v>
      </c>
      <c r="AV12" s="857">
        <f ca="1">+AV101+AV71</f>
        <v>-494983.74732000002</v>
      </c>
      <c r="AW12" s="647">
        <f ca="1">+SUM(AS12:AV12)</f>
        <v>-1743360.79901</v>
      </c>
      <c r="AX12" s="857">
        <f ca="1">+AX101+AX71</f>
        <v>-423037.62692999997</v>
      </c>
      <c r="AY12" s="857">
        <f ca="1">+AY101+AY71</f>
        <v>-572448.36044000019</v>
      </c>
      <c r="BN12" s="266"/>
      <c r="BO12" s="266"/>
      <c r="BP12" s="266"/>
      <c r="BQ12" s="266"/>
      <c r="BR12" s="266"/>
      <c r="BS12" s="266"/>
      <c r="BT12" s="266"/>
      <c r="BU12" s="266"/>
      <c r="BV12" s="266"/>
      <c r="BW12" s="266"/>
      <c r="BX12" s="266"/>
      <c r="BY12" s="266"/>
      <c r="BZ12" s="266"/>
      <c r="CA12" s="266"/>
      <c r="CB12" s="266"/>
      <c r="CC12" s="266"/>
      <c r="CD12" s="266"/>
      <c r="CE12" s="266"/>
      <c r="CF12" s="266"/>
      <c r="CG12" s="266"/>
      <c r="CH12" s="266"/>
      <c r="CI12" s="266"/>
      <c r="CJ12" s="266"/>
    </row>
    <row r="13" spans="1:88" s="850" customFormat="1" ht="13.5" customHeight="1" x14ac:dyDescent="0.2">
      <c r="A13" s="516" t="s">
        <v>1885</v>
      </c>
      <c r="B13" s="516" t="s">
        <v>1893</v>
      </c>
      <c r="C13" s="855"/>
      <c r="D13" s="861" t="str">
        <f>IF([1]RENAME!$H$3=1,B13,A13)</f>
        <v>% Receita líquida (sem deprec/amort e ajustado eventos ñ recorr)</v>
      </c>
      <c r="E13" s="860">
        <f t="shared" ref="E13:U13" ca="1" si="1">+E12/E11</f>
        <v>-0.81907854561368032</v>
      </c>
      <c r="F13" s="860">
        <f t="shared" ca="1" si="1"/>
        <v>-0.77674860062553475</v>
      </c>
      <c r="G13" s="860">
        <f t="shared" ca="1" si="1"/>
        <v>-0.79119529101128683</v>
      </c>
      <c r="H13" s="860">
        <f t="shared" ca="1" si="1"/>
        <v>-0.77421389600757651</v>
      </c>
      <c r="I13" s="859">
        <f t="shared" ca="1" si="1"/>
        <v>-0.78814949297097858</v>
      </c>
      <c r="J13" s="860">
        <f t="shared" ca="1" si="1"/>
        <v>-0.79041539958870755</v>
      </c>
      <c r="K13" s="860">
        <f t="shared" ca="1" si="1"/>
        <v>-0.78418855543432731</v>
      </c>
      <c r="L13" s="860">
        <f t="shared" ca="1" si="1"/>
        <v>-0.76791707739645421</v>
      </c>
      <c r="M13" s="860">
        <f t="shared" ca="1" si="1"/>
        <v>-0.75652766798686211</v>
      </c>
      <c r="N13" s="859">
        <f t="shared" ca="1" si="1"/>
        <v>-0.77312748656494523</v>
      </c>
      <c r="O13" s="860">
        <f t="shared" ca="1" si="1"/>
        <v>-0.7410621625309689</v>
      </c>
      <c r="P13" s="860">
        <f t="shared" ca="1" si="1"/>
        <v>-0.75324030895153249</v>
      </c>
      <c r="Q13" s="860">
        <f t="shared" ca="1" si="1"/>
        <v>-0.73873937647058041</v>
      </c>
      <c r="R13" s="860">
        <f t="shared" ca="1" si="1"/>
        <v>-0.73763173990836839</v>
      </c>
      <c r="S13" s="859">
        <f t="shared" ca="1" si="1"/>
        <v>-0.74250864371341629</v>
      </c>
      <c r="T13" s="860">
        <f t="shared" ca="1" si="1"/>
        <v>-0.7431282541113533</v>
      </c>
      <c r="U13" s="860">
        <f t="shared" ca="1" si="1"/>
        <v>-0.81392018316532866</v>
      </c>
      <c r="V13" s="860">
        <f t="shared" ref="V13:AA13" ca="1" si="2">+V12/V11</f>
        <v>-0.73436892055321334</v>
      </c>
      <c r="W13" s="860">
        <f t="shared" ca="1" si="2"/>
        <v>-0.74512306572008924</v>
      </c>
      <c r="X13" s="859">
        <f t="shared" ca="1" si="2"/>
        <v>-0.75034556616114234</v>
      </c>
      <c r="Y13" s="860">
        <f t="shared" ca="1" si="2"/>
        <v>-0.76719101206580664</v>
      </c>
      <c r="Z13" s="860">
        <f t="shared" ca="1" si="2"/>
        <v>-0.76322534299443912</v>
      </c>
      <c r="AA13" s="860">
        <f t="shared" ca="1" si="2"/>
        <v>-0.76926522832478283</v>
      </c>
      <c r="AB13" s="860">
        <f t="shared" ref="AB13:AH13" ca="1" si="3">+AB12/AB11</f>
        <v>-0.76879495822922939</v>
      </c>
      <c r="AC13" s="859">
        <f t="shared" ca="1" si="3"/>
        <v>-0.76721981281854501</v>
      </c>
      <c r="AD13" s="860">
        <f t="shared" ca="1" si="3"/>
        <v>-0.78667201997053071</v>
      </c>
      <c r="AE13" s="860">
        <f t="shared" ca="1" si="3"/>
        <v>-0.77025405770913591</v>
      </c>
      <c r="AF13" s="860">
        <f t="shared" ca="1" si="3"/>
        <v>-0.74236827429106789</v>
      </c>
      <c r="AG13" s="860">
        <f t="shared" ca="1" si="3"/>
        <v>-0.76835037857484645</v>
      </c>
      <c r="AH13" s="859">
        <f t="shared" ca="1" si="3"/>
        <v>-0.76411886736769907</v>
      </c>
      <c r="AI13" s="860">
        <f t="shared" ref="AI13:AO13" ca="1" si="4">+AI12/AI11</f>
        <v>-0.78512352965387577</v>
      </c>
      <c r="AJ13" s="860">
        <f t="shared" ca="1" si="4"/>
        <v>-0.77863204551332732</v>
      </c>
      <c r="AK13" s="860">
        <f t="shared" ca="1" si="4"/>
        <v>-0.75653829928816152</v>
      </c>
      <c r="AL13" s="860">
        <f t="shared" ca="1" si="4"/>
        <v>-0.76983359455675493</v>
      </c>
      <c r="AM13" s="859">
        <f t="shared" ca="1" si="4"/>
        <v>-0.77153060676072938</v>
      </c>
      <c r="AN13" s="860">
        <f t="shared" ca="1" si="4"/>
        <v>-0.7785118807353627</v>
      </c>
      <c r="AO13" s="860">
        <f t="shared" ca="1" si="4"/>
        <v>-0.76990900266360807</v>
      </c>
      <c r="AP13" s="860">
        <f t="shared" ref="AP13:AX13" ca="1" si="5">+AP12/AP11</f>
        <v>-0.74799612095378587</v>
      </c>
      <c r="AQ13" s="860">
        <f t="shared" ca="1" si="5"/>
        <v>-0.75268139247276544</v>
      </c>
      <c r="AR13" s="859">
        <f t="shared" ca="1" si="5"/>
        <v>-0.76003484841670577</v>
      </c>
      <c r="AS13" s="860">
        <f t="shared" ca="1" si="5"/>
        <v>-0.77910820626278099</v>
      </c>
      <c r="AT13" s="860">
        <f t="shared" ca="1" si="5"/>
        <v>-0.76997478776097306</v>
      </c>
      <c r="AU13" s="860">
        <f t="shared" ca="1" si="5"/>
        <v>-0.7711631962382669</v>
      </c>
      <c r="AV13" s="860">
        <f t="shared" ca="1" si="5"/>
        <v>-0.81103884486231692</v>
      </c>
      <c r="AW13" s="859">
        <f t="shared" ca="1" si="5"/>
        <v>-0.78338228494550455</v>
      </c>
      <c r="AX13" s="860">
        <f t="shared" ca="1" si="5"/>
        <v>-0.81153833714146717</v>
      </c>
      <c r="AY13" s="860">
        <f ca="1">+AY12/AY11</f>
        <v>-0.77345701214652851</v>
      </c>
      <c r="AZ13" s="851"/>
      <c r="BA13" s="851"/>
      <c r="BB13" s="851"/>
      <c r="BC13" s="851"/>
      <c r="BD13" s="851"/>
      <c r="BE13" s="851"/>
      <c r="BF13" s="851"/>
      <c r="BG13" s="851"/>
      <c r="BH13" s="851"/>
      <c r="BK13" s="851"/>
      <c r="BL13" s="851"/>
      <c r="BM13" s="851"/>
      <c r="BN13" s="851"/>
      <c r="BO13" s="851"/>
      <c r="BP13" s="851"/>
      <c r="BQ13" s="851"/>
      <c r="BR13" s="851"/>
      <c r="BS13" s="851"/>
      <c r="BT13" s="851"/>
      <c r="BU13" s="851"/>
      <c r="BV13" s="851"/>
      <c r="BW13" s="851"/>
      <c r="BX13" s="851"/>
      <c r="BY13" s="851"/>
      <c r="BZ13" s="851"/>
      <c r="CA13" s="851"/>
      <c r="CB13" s="851"/>
      <c r="CC13" s="851"/>
      <c r="CD13" s="851"/>
      <c r="CE13" s="851"/>
      <c r="CF13" s="851"/>
      <c r="CG13" s="851"/>
      <c r="CH13" s="851"/>
      <c r="CI13" s="851"/>
      <c r="CJ13" s="851"/>
    </row>
    <row r="14" spans="1:88" ht="13.5" customHeight="1" x14ac:dyDescent="0.2">
      <c r="A14" s="516" t="s">
        <v>1886</v>
      </c>
      <c r="B14" s="516" t="s">
        <v>1894</v>
      </c>
      <c r="C14" s="24"/>
      <c r="D14" s="866" t="str">
        <f>IF([1]RENAME!$H$3=1,B14,A14)</f>
        <v>Lucro bruto (sem deprec/amort e ajustado eventos ñ recorr)</v>
      </c>
      <c r="E14" s="865">
        <f t="shared" ref="E14:U14" ca="1" si="6">+E11+E12</f>
        <v>38629.367780000059</v>
      </c>
      <c r="F14" s="865">
        <f t="shared" ca="1" si="6"/>
        <v>59185.375310000032</v>
      </c>
      <c r="G14" s="865">
        <f t="shared" ca="1" si="6"/>
        <v>59692.850880000042</v>
      </c>
      <c r="H14" s="1004">
        <f t="shared" ca="1" si="6"/>
        <v>72133.152440000005</v>
      </c>
      <c r="I14" s="1005">
        <f t="shared" ca="1" si="6"/>
        <v>229640.74641000025</v>
      </c>
      <c r="J14" s="865">
        <f t="shared" ca="1" si="6"/>
        <v>54926.331780000008</v>
      </c>
      <c r="K14" s="865">
        <f t="shared" ca="1" si="6"/>
        <v>63292.17121999996</v>
      </c>
      <c r="L14" s="1004">
        <f t="shared" ca="1" si="6"/>
        <v>78086.023019999935</v>
      </c>
      <c r="M14" s="1004">
        <f t="shared" ca="1" si="6"/>
        <v>88318.968617457547</v>
      </c>
      <c r="N14" s="1005">
        <f t="shared" ca="1" si="6"/>
        <v>284623.49463745742</v>
      </c>
      <c r="O14" s="865">
        <f t="shared" ca="1" si="6"/>
        <v>76821.875990000059</v>
      </c>
      <c r="P14" s="865">
        <f t="shared" ca="1" si="6"/>
        <v>81822.555320000043</v>
      </c>
      <c r="Q14" s="1004">
        <f t="shared" ca="1" si="6"/>
        <v>89017.541810000053</v>
      </c>
      <c r="R14" s="865">
        <f t="shared" ca="1" si="6"/>
        <v>99261.395420000015</v>
      </c>
      <c r="S14" s="1005">
        <f t="shared" ca="1" si="6"/>
        <v>346923.36854000017</v>
      </c>
      <c r="T14" s="865">
        <f t="shared" ca="1" si="6"/>
        <v>71858.952190000011</v>
      </c>
      <c r="U14" s="865">
        <f t="shared" ca="1" si="6"/>
        <v>24216.528299999976</v>
      </c>
      <c r="V14" s="865">
        <f t="shared" ref="V14:AA14" ca="1" si="7">+V11+V12</f>
        <v>76815.589479999966</v>
      </c>
      <c r="W14" s="1004">
        <f t="shared" ca="1" si="7"/>
        <v>79767.949640000035</v>
      </c>
      <c r="X14" s="1005">
        <f t="shared" ca="1" si="7"/>
        <v>252659.01960999996</v>
      </c>
      <c r="Y14" s="865">
        <f t="shared" ca="1" si="7"/>
        <v>54456.849580000009</v>
      </c>
      <c r="Z14" s="865">
        <f t="shared" ca="1" si="7"/>
        <v>56131.281979999971</v>
      </c>
      <c r="AA14" s="865">
        <f t="shared" ca="1" si="7"/>
        <v>53400.912859999982</v>
      </c>
      <c r="AB14" s="865">
        <f t="shared" ref="AB14:AH14" ca="1" si="8">+AB11+AB12</f>
        <v>70500.449749999912</v>
      </c>
      <c r="AC14" s="864">
        <f t="shared" ca="1" si="8"/>
        <v>234489.49416999985</v>
      </c>
      <c r="AD14" s="865">
        <f t="shared" ca="1" si="8"/>
        <v>51426.146109999943</v>
      </c>
      <c r="AE14" s="865">
        <f t="shared" ca="1" si="8"/>
        <v>69965.720639999956</v>
      </c>
      <c r="AF14" s="865">
        <f t="shared" ca="1" si="8"/>
        <v>107048.22112999996</v>
      </c>
      <c r="AG14" s="865">
        <f t="shared" ca="1" si="8"/>
        <v>94837.232579999953</v>
      </c>
      <c r="AH14" s="864">
        <f t="shared" ca="1" si="8"/>
        <v>323277.32045999984</v>
      </c>
      <c r="AI14" s="865">
        <f t="shared" ref="AI14:AO14" ca="1" si="9">+AI11+AI12</f>
        <v>72206.648419999867</v>
      </c>
      <c r="AJ14" s="865">
        <f t="shared" ca="1" si="9"/>
        <v>81164.722120000049</v>
      </c>
      <c r="AK14" s="865">
        <f t="shared" ca="1" si="9"/>
        <v>103952.69059000001</v>
      </c>
      <c r="AL14" s="865">
        <f t="shared" ca="1" si="9"/>
        <v>104449.80796000024</v>
      </c>
      <c r="AM14" s="864">
        <f t="shared" ca="1" si="9"/>
        <v>361773.86908999993</v>
      </c>
      <c r="AN14" s="865">
        <f t="shared" ca="1" si="9"/>
        <v>86196.706969999825</v>
      </c>
      <c r="AO14" s="865">
        <f t="shared" ca="1" si="9"/>
        <v>108796.73102000006</v>
      </c>
      <c r="AP14" s="865">
        <f t="shared" ref="AP14:AX14" ca="1" si="10">+AP11+AP12</f>
        <v>152148.41574000008</v>
      </c>
      <c r="AQ14" s="865">
        <f t="shared" ca="1" si="10"/>
        <v>154415.88874999993</v>
      </c>
      <c r="AR14" s="864">
        <f t="shared" ca="1" si="10"/>
        <v>501557.74247999978</v>
      </c>
      <c r="AS14" s="865">
        <f t="shared" ca="1" si="10"/>
        <v>97271.310939999938</v>
      </c>
      <c r="AT14" s="865">
        <f t="shared" ca="1" si="10"/>
        <v>124337.72709999979</v>
      </c>
      <c r="AU14" s="865">
        <f t="shared" ca="1" si="10"/>
        <v>145133.50688000018</v>
      </c>
      <c r="AV14" s="865">
        <f t="shared" ca="1" si="10"/>
        <v>115324.56338000001</v>
      </c>
      <c r="AW14" s="864">
        <f t="shared" ca="1" si="10"/>
        <v>482067.10829999973</v>
      </c>
      <c r="AX14" s="865">
        <f t="shared" ca="1" si="10"/>
        <v>98241.045400000061</v>
      </c>
      <c r="AY14" s="865">
        <f ca="1">+AY11+AY12</f>
        <v>167668.22192999977</v>
      </c>
      <c r="AZ14" s="926"/>
      <c r="BN14" s="266"/>
      <c r="BO14" s="266"/>
      <c r="BP14" s="266"/>
      <c r="BQ14" s="266"/>
      <c r="BR14" s="266"/>
      <c r="BS14" s="266"/>
      <c r="BT14" s="266"/>
      <c r="BU14" s="266"/>
      <c r="BV14" s="266"/>
      <c r="BW14" s="266"/>
      <c r="BX14" s="266"/>
      <c r="BY14" s="266"/>
      <c r="BZ14" s="266"/>
      <c r="CA14" s="266"/>
      <c r="CB14" s="266"/>
      <c r="CC14" s="266"/>
      <c r="CD14" s="266"/>
      <c r="CE14" s="266"/>
      <c r="CF14" s="266"/>
      <c r="CG14" s="266"/>
      <c r="CH14" s="266"/>
      <c r="CI14" s="266"/>
      <c r="CJ14" s="266"/>
    </row>
    <row r="15" spans="1:88" s="850" customFormat="1" ht="13.5" customHeight="1" x14ac:dyDescent="0.2">
      <c r="A15" s="516" t="s">
        <v>1887</v>
      </c>
      <c r="B15" s="516" t="s">
        <v>1895</v>
      </c>
      <c r="C15" s="855"/>
      <c r="D15" s="861" t="str">
        <f>IF([1]RENAME!$H$3=1,B15,A15)</f>
        <v>Margem bruta (sem deprec/amort e ajustado eventos ñ recorr)</v>
      </c>
      <c r="E15" s="860">
        <f t="shared" ref="E15:U15" ca="1" si="11">+E14/E11</f>
        <v>0.18092145438631971</v>
      </c>
      <c r="F15" s="860">
        <f t="shared" ca="1" si="11"/>
        <v>0.22325139937446523</v>
      </c>
      <c r="G15" s="860">
        <f t="shared" ca="1" si="11"/>
        <v>0.20880470898871323</v>
      </c>
      <c r="H15" s="860">
        <f t="shared" ca="1" si="11"/>
        <v>0.22578610399242346</v>
      </c>
      <c r="I15" s="859">
        <f t="shared" ca="1" si="11"/>
        <v>0.21185050702902142</v>
      </c>
      <c r="J15" s="860">
        <f t="shared" ca="1" si="11"/>
        <v>0.20958460041129245</v>
      </c>
      <c r="K15" s="860">
        <f t="shared" ca="1" si="11"/>
        <v>0.21581144456567264</v>
      </c>
      <c r="L15" s="860">
        <f t="shared" ca="1" si="11"/>
        <v>0.23208292260354579</v>
      </c>
      <c r="M15" s="860">
        <f t="shared" ca="1" si="11"/>
        <v>0.24347233201313792</v>
      </c>
      <c r="N15" s="859">
        <f t="shared" ca="1" si="11"/>
        <v>0.22687251343505482</v>
      </c>
      <c r="O15" s="860">
        <f t="shared" ca="1" si="11"/>
        <v>0.2589378374690311</v>
      </c>
      <c r="P15" s="860">
        <f t="shared" ca="1" si="11"/>
        <v>0.24675969104846754</v>
      </c>
      <c r="Q15" s="860">
        <f t="shared" ca="1" si="11"/>
        <v>0.26126062352941964</v>
      </c>
      <c r="R15" s="860">
        <f t="shared" ca="1" si="11"/>
        <v>0.26236826009163156</v>
      </c>
      <c r="S15" s="859">
        <f t="shared" ca="1" si="11"/>
        <v>0.25749135628658376</v>
      </c>
      <c r="T15" s="860">
        <f t="shared" ca="1" si="11"/>
        <v>0.2568717458886467</v>
      </c>
      <c r="U15" s="860">
        <f t="shared" ca="1" si="11"/>
        <v>0.1860798168346714</v>
      </c>
      <c r="V15" s="860">
        <f t="shared" ref="V15:AA15" ca="1" si="12">+V14/V11</f>
        <v>0.26563107944678671</v>
      </c>
      <c r="W15" s="860">
        <f t="shared" ca="1" si="12"/>
        <v>0.25487693427991076</v>
      </c>
      <c r="X15" s="859">
        <f t="shared" ca="1" si="12"/>
        <v>0.24965443383885766</v>
      </c>
      <c r="Y15" s="860">
        <f t="shared" ca="1" si="12"/>
        <v>0.23280898793419341</v>
      </c>
      <c r="Z15" s="860">
        <f t="shared" ca="1" si="12"/>
        <v>0.23677465700556088</v>
      </c>
      <c r="AA15" s="860">
        <f t="shared" ca="1" si="12"/>
        <v>0.23073477167521717</v>
      </c>
      <c r="AB15" s="860">
        <f t="shared" ref="AB15:AH15" ca="1" si="13">+AB14/AB11</f>
        <v>0.23120504177077064</v>
      </c>
      <c r="AC15" s="859">
        <f t="shared" ca="1" si="13"/>
        <v>0.23278018718145499</v>
      </c>
      <c r="AD15" s="860">
        <f t="shared" ca="1" si="13"/>
        <v>0.21332798002946932</v>
      </c>
      <c r="AE15" s="860">
        <f t="shared" ca="1" si="13"/>
        <v>0.22974594229086404</v>
      </c>
      <c r="AF15" s="860">
        <f t="shared" ca="1" si="13"/>
        <v>0.25763172570893211</v>
      </c>
      <c r="AG15" s="860">
        <f t="shared" ca="1" si="13"/>
        <v>0.23164962142515358</v>
      </c>
      <c r="AH15" s="859">
        <f t="shared" ca="1" si="13"/>
        <v>0.2358811326323009</v>
      </c>
      <c r="AI15" s="860">
        <f t="shared" ref="AI15:AO15" ca="1" si="14">+AI14/AI11</f>
        <v>0.21487647034612423</v>
      </c>
      <c r="AJ15" s="860">
        <f t="shared" ca="1" si="14"/>
        <v>0.22136795448667271</v>
      </c>
      <c r="AK15" s="860">
        <f t="shared" ca="1" si="14"/>
        <v>0.24346170071183848</v>
      </c>
      <c r="AL15" s="860">
        <f t="shared" ca="1" si="14"/>
        <v>0.23016640544324504</v>
      </c>
      <c r="AM15" s="859">
        <f t="shared" ca="1" si="14"/>
        <v>0.22846939323927068</v>
      </c>
      <c r="AN15" s="860">
        <f t="shared" ca="1" si="14"/>
        <v>0.22148811926463727</v>
      </c>
      <c r="AO15" s="860">
        <f t="shared" ca="1" si="14"/>
        <v>0.23009099733639191</v>
      </c>
      <c r="AP15" s="860">
        <f t="shared" ref="AP15:AX15" ca="1" si="15">+AP14/AP11</f>
        <v>0.25200387904621419</v>
      </c>
      <c r="AQ15" s="860">
        <f t="shared" ca="1" si="15"/>
        <v>0.24731860752723456</v>
      </c>
      <c r="AR15" s="859">
        <f t="shared" ca="1" si="15"/>
        <v>0.23996515158329426</v>
      </c>
      <c r="AS15" s="860">
        <f t="shared" ca="1" si="15"/>
        <v>0.22089179373721896</v>
      </c>
      <c r="AT15" s="860">
        <f t="shared" ca="1" si="15"/>
        <v>0.23002521223902692</v>
      </c>
      <c r="AU15" s="860">
        <f t="shared" ca="1" si="15"/>
        <v>0.22883680376173313</v>
      </c>
      <c r="AV15" s="860">
        <f t="shared" ca="1" si="15"/>
        <v>0.18896115513768311</v>
      </c>
      <c r="AW15" s="859">
        <f t="shared" ca="1" si="15"/>
        <v>0.21661771505449551</v>
      </c>
      <c r="AX15" s="860">
        <f t="shared" ca="1" si="15"/>
        <v>0.1884616628585328</v>
      </c>
      <c r="AY15" s="860">
        <f ca="1">+AY14/AY11</f>
        <v>0.22654298785347154</v>
      </c>
      <c r="AZ15" s="851"/>
      <c r="BA15" s="851"/>
      <c r="BB15" s="851"/>
      <c r="BC15" s="851"/>
      <c r="BD15" s="851"/>
      <c r="BE15" s="851"/>
      <c r="BF15" s="851"/>
      <c r="BG15" s="851"/>
      <c r="BH15" s="851"/>
      <c r="BK15" s="851"/>
      <c r="BL15" s="851"/>
      <c r="BM15" s="851"/>
      <c r="BN15" s="851"/>
      <c r="BO15" s="851"/>
      <c r="BP15" s="851"/>
      <c r="BQ15" s="851"/>
      <c r="BR15" s="851"/>
      <c r="BS15" s="851"/>
      <c r="BT15" s="851"/>
      <c r="BU15" s="851"/>
      <c r="BV15" s="851"/>
      <c r="BW15" s="851"/>
      <c r="BX15" s="851"/>
      <c r="BY15" s="851"/>
      <c r="BZ15" s="851"/>
      <c r="CA15" s="851"/>
      <c r="CB15" s="851"/>
      <c r="CC15" s="851"/>
      <c r="CD15" s="851"/>
      <c r="CE15" s="851"/>
      <c r="CF15" s="851"/>
      <c r="CG15" s="851"/>
      <c r="CH15" s="851"/>
      <c r="CI15" s="851"/>
      <c r="CJ15" s="851"/>
    </row>
    <row r="16" spans="1:88" ht="13.5" customHeight="1" x14ac:dyDescent="0.2">
      <c r="A16" s="516" t="s">
        <v>2007</v>
      </c>
      <c r="B16" s="516" t="s">
        <v>2008</v>
      </c>
      <c r="D16" s="858" t="str">
        <f>IF([1]RENAME!$H$3=1,B16,A16)</f>
        <v>Despesas e não operacionais (sem deprec/amort e ajustado eventos ñ recorr)</v>
      </c>
      <c r="E16" s="857">
        <f ca="1">+E78+E103</f>
        <v>-17695.995060000001</v>
      </c>
      <c r="F16" s="901">
        <f ca="1">+F78+F103</f>
        <v>-24252.330109999999</v>
      </c>
      <c r="G16" s="901">
        <f ca="1">+G78+G103</f>
        <v>-18719.20796</v>
      </c>
      <c r="H16" s="901">
        <f ca="1">+H78+H103</f>
        <v>-34123.040829999998</v>
      </c>
      <c r="I16" s="916">
        <f ca="1">+SUM(E16:H16)</f>
        <v>-94790.573959999994</v>
      </c>
      <c r="J16" s="857">
        <f ca="1">+J78+J103</f>
        <v>-25473.017780000002</v>
      </c>
      <c r="K16" s="857">
        <f ca="1">+K78+K103</f>
        <v>-18143.764510000001</v>
      </c>
      <c r="L16" s="857">
        <f ca="1">+L78+L103</f>
        <v>-20294.234779999999</v>
      </c>
      <c r="M16" s="901">
        <f ca="1">+M78+M103</f>
        <v>-20244.595869999997</v>
      </c>
      <c r="N16" s="916">
        <f ca="1">+SUM(J16:M16)</f>
        <v>-84155.612939999992</v>
      </c>
      <c r="O16" s="857">
        <f ca="1">+O78+O103</f>
        <v>-20796.36764</v>
      </c>
      <c r="P16" s="857">
        <f ca="1">+P78+P103</f>
        <v>-22379.204980000002</v>
      </c>
      <c r="Q16" s="901">
        <f ca="1">+Q78+Q103</f>
        <v>-24499.702029999997</v>
      </c>
      <c r="R16" s="901">
        <f ca="1">+R78+R103</f>
        <v>-29164.964039999995</v>
      </c>
      <c r="S16" s="916">
        <f ca="1">+SUM(O16:R16)</f>
        <v>-96840.238689999998</v>
      </c>
      <c r="T16" s="901">
        <f ca="1">+T78+T103</f>
        <v>-27638.607609999999</v>
      </c>
      <c r="U16" s="857">
        <f ca="1">+U78+U103</f>
        <v>-19563.079310000001</v>
      </c>
      <c r="V16" s="857">
        <f ca="1">+V78+V103</f>
        <v>-21506.14314</v>
      </c>
      <c r="W16" s="901">
        <f ca="1">+W78+W103</f>
        <v>-21432.583190000001</v>
      </c>
      <c r="X16" s="916">
        <f ca="1">+SUM(T16:W16)</f>
        <v>-90140.413250000012</v>
      </c>
      <c r="Y16" s="901">
        <f ca="1">+Y78+Y103</f>
        <v>-11265.121420000003</v>
      </c>
      <c r="Z16" s="901">
        <f ca="1">+Z78+Z103</f>
        <v>-20808.684389999999</v>
      </c>
      <c r="AA16" s="901">
        <f ca="1">+AA78+AA103</f>
        <v>-15920.432490000005</v>
      </c>
      <c r="AB16" s="901">
        <f ca="1">+AB78+AB103</f>
        <v>-24627.792750000004</v>
      </c>
      <c r="AC16" s="916">
        <f ca="1">+SUM(Y16:AB16)</f>
        <v>-72622.031050000005</v>
      </c>
      <c r="AD16" s="857">
        <f ca="1">+AD78+AD103</f>
        <v>-16337.01467</v>
      </c>
      <c r="AE16" s="857">
        <f ca="1">+AE78+AE103</f>
        <v>-20816.767250000004</v>
      </c>
      <c r="AF16" s="901">
        <f ca="1">+AF78+AF103</f>
        <v>-19123.052080000005</v>
      </c>
      <c r="AG16" s="901">
        <f ca="1">+AG78+AG103</f>
        <v>-22108.771789999999</v>
      </c>
      <c r="AH16" s="916">
        <f ca="1">+SUM(AD16:AG16)</f>
        <v>-78385.605790000016</v>
      </c>
      <c r="AI16" s="857">
        <f ca="1">+AI78+AI103</f>
        <v>-18553.174040000002</v>
      </c>
      <c r="AJ16" s="857">
        <f ca="1">+AJ78+AJ103</f>
        <v>-23152.087519999994</v>
      </c>
      <c r="AK16" s="857">
        <f ca="1">+AK78+AK103</f>
        <v>-24698.852590000006</v>
      </c>
      <c r="AL16" s="857">
        <f ca="1">+AL78+AL103</f>
        <v>-30322.880150000001</v>
      </c>
      <c r="AM16" s="647">
        <f ca="1">+SUM(AI16:AL16)</f>
        <v>-96726.994300000006</v>
      </c>
      <c r="AN16" s="857">
        <f ca="1">+AN78+AN103</f>
        <v>-27878.327630000007</v>
      </c>
      <c r="AO16" s="857">
        <f ca="1">+AO78+AO103</f>
        <v>-23627.80445</v>
      </c>
      <c r="AP16" s="857">
        <f ca="1">+AP78+AP103</f>
        <v>-26576.082479999997</v>
      </c>
      <c r="AQ16" s="857">
        <f ca="1">+AQ78+AQ103</f>
        <v>-28410.735970000009</v>
      </c>
      <c r="AR16" s="647">
        <f ca="1">+SUM(AN16:AQ16)</f>
        <v>-106492.95053000002</v>
      </c>
      <c r="AS16" s="857">
        <f ca="1">+AS78+AS103</f>
        <v>-28369.065570000006</v>
      </c>
      <c r="AT16" s="857">
        <f ca="1">+AT78+AT103</f>
        <v>-29629.767380000008</v>
      </c>
      <c r="AU16" s="857">
        <f ca="1">+AU78+AU103</f>
        <v>-28304.894340000003</v>
      </c>
      <c r="AV16" s="857">
        <f ca="1">+AV78+AV103</f>
        <v>-33970.064079999996</v>
      </c>
      <c r="AW16" s="647">
        <f ca="1">+SUM(AS16:AV16)</f>
        <v>-120273.79137000001</v>
      </c>
      <c r="AX16" s="901">
        <f ca="1">+AX78+AX103</f>
        <v>-24015.683099999998</v>
      </c>
      <c r="AY16" s="901">
        <f ca="1">+AY78+AY103</f>
        <v>-29133.318219999997</v>
      </c>
      <c r="BN16" s="266"/>
      <c r="BO16" s="266"/>
      <c r="BP16" s="266"/>
      <c r="BQ16" s="266"/>
      <c r="BR16" s="266"/>
      <c r="BS16" s="266"/>
      <c r="BT16" s="266"/>
      <c r="BU16" s="266"/>
      <c r="BV16" s="266"/>
      <c r="BW16" s="266"/>
      <c r="BX16" s="266"/>
      <c r="BY16" s="266"/>
      <c r="BZ16" s="266"/>
      <c r="CA16" s="266"/>
      <c r="CB16" s="266"/>
      <c r="CC16" s="266"/>
      <c r="CD16" s="266"/>
      <c r="CE16" s="266"/>
      <c r="CF16" s="266"/>
      <c r="CG16" s="266"/>
      <c r="CH16" s="266"/>
      <c r="CI16" s="266"/>
      <c r="CJ16" s="266"/>
    </row>
    <row r="17" spans="1:88" s="850" customFormat="1" ht="13.5" customHeight="1" x14ac:dyDescent="0.2">
      <c r="A17" s="516" t="s">
        <v>1885</v>
      </c>
      <c r="B17" s="516" t="s">
        <v>1893</v>
      </c>
      <c r="C17" s="855"/>
      <c r="D17" s="861" t="str">
        <f>IF([1]RENAME!$H$3=1,B17,A17)</f>
        <v>% Receita líquida (sem deprec/amort e ajustado eventos ñ recorr)</v>
      </c>
      <c r="E17" s="860">
        <f t="shared" ref="E17:U17" ca="1" si="16">+E16/E11</f>
        <v>-8.2879564100086442E-2</v>
      </c>
      <c r="F17" s="860">
        <f t="shared" ca="1" si="16"/>
        <v>-9.1481495332076737E-2</v>
      </c>
      <c r="G17" s="860">
        <f t="shared" ca="1" si="16"/>
        <v>-6.5479512420080974E-2</v>
      </c>
      <c r="H17" s="860">
        <f t="shared" ca="1" si="16"/>
        <v>-0.10680953465590823</v>
      </c>
      <c r="I17" s="859">
        <f t="shared" ca="1" si="16"/>
        <v>-8.7447160266343138E-2</v>
      </c>
      <c r="J17" s="860">
        <f t="shared" ca="1" si="16"/>
        <v>-9.7198412485922023E-2</v>
      </c>
      <c r="K17" s="860">
        <f t="shared" ca="1" si="16"/>
        <v>-6.1865977312612189E-2</v>
      </c>
      <c r="L17" s="860">
        <f t="shared" ca="1" si="16"/>
        <v>-6.0317392762320385E-2</v>
      </c>
      <c r="M17" s="860">
        <f t="shared" ca="1" si="16"/>
        <v>-5.5809063945048733E-2</v>
      </c>
      <c r="N17" s="859">
        <f t="shared" ca="1" si="16"/>
        <v>-6.7080180614340512E-2</v>
      </c>
      <c r="O17" s="860">
        <f t="shared" ca="1" si="16"/>
        <v>-7.0096784210444185E-2</v>
      </c>
      <c r="P17" s="860">
        <f t="shared" ca="1" si="16"/>
        <v>-6.7490995425136813E-2</v>
      </c>
      <c r="Q17" s="860">
        <f t="shared" ca="1" si="16"/>
        <v>-7.1905012186302963E-2</v>
      </c>
      <c r="R17" s="860">
        <f t="shared" ca="1" si="16"/>
        <v>-7.7088991530215978E-2</v>
      </c>
      <c r="S17" s="859">
        <f t="shared" ca="1" si="16"/>
        <v>-7.1876174004489243E-2</v>
      </c>
      <c r="T17" s="860">
        <f t="shared" ca="1" si="16"/>
        <v>-9.8798788102840221E-2</v>
      </c>
      <c r="U17" s="860">
        <f t="shared" ca="1" si="16"/>
        <v>-0.15032271222489613</v>
      </c>
      <c r="V17" s="860">
        <f t="shared" ref="V17:AA17" ca="1" si="17">+V16/V11</f>
        <v>-7.4369018784952362E-2</v>
      </c>
      <c r="W17" s="860">
        <f t="shared" ca="1" si="17"/>
        <v>-6.848202971017657E-2</v>
      </c>
      <c r="X17" s="859">
        <f t="shared" ca="1" si="17"/>
        <v>-8.9068476045961562E-2</v>
      </c>
      <c r="Y17" s="860">
        <f t="shared" ca="1" si="17"/>
        <v>-4.8159626143874402E-2</v>
      </c>
      <c r="Z17" s="860">
        <f t="shared" ca="1" si="17"/>
        <v>-8.7775816539068852E-2</v>
      </c>
      <c r="AA17" s="860">
        <f t="shared" ca="1" si="17"/>
        <v>-6.8789036718928873E-2</v>
      </c>
      <c r="AB17" s="860">
        <f t="shared" ref="AB17:AH17" ca="1" si="18">+AB16/AB11</f>
        <v>-8.0766433004005628E-2</v>
      </c>
      <c r="AC17" s="859">
        <f t="shared" ca="1" si="18"/>
        <v>-7.209265404897286E-2</v>
      </c>
      <c r="AD17" s="860">
        <f t="shared" ca="1" si="18"/>
        <v>-6.7769852553372895E-2</v>
      </c>
      <c r="AE17" s="860">
        <f t="shared" ca="1" si="18"/>
        <v>-6.8355871468957871E-2</v>
      </c>
      <c r="AF17" s="860">
        <f t="shared" ca="1" si="18"/>
        <v>-4.6023230056379608E-2</v>
      </c>
      <c r="AG17" s="860">
        <f t="shared" ca="1" si="18"/>
        <v>-5.4002931928748374E-2</v>
      </c>
      <c r="AH17" s="859">
        <f t="shared" ca="1" si="18"/>
        <v>-5.7194502384221649E-2</v>
      </c>
      <c r="AI17" s="860">
        <f t="shared" ref="AI17:AO17" ca="1" si="19">+AI16/AI11</f>
        <v>-5.5211544070619387E-2</v>
      </c>
      <c r="AJ17" s="860">
        <f t="shared" ca="1" si="19"/>
        <v>-6.3144801368523656E-2</v>
      </c>
      <c r="AK17" s="860">
        <f t="shared" ca="1" si="19"/>
        <v>-5.7845781798079358E-2</v>
      </c>
      <c r="AL17" s="860">
        <f t="shared" ca="1" si="19"/>
        <v>-6.6819733450200314E-2</v>
      </c>
      <c r="AM17" s="859">
        <f t="shared" ca="1" si="19"/>
        <v>-6.1085555330923302E-2</v>
      </c>
      <c r="AN17" s="860">
        <f t="shared" ca="1" si="19"/>
        <v>-7.1635200137763297E-2</v>
      </c>
      <c r="AO17" s="860">
        <f t="shared" ca="1" si="19"/>
        <v>-4.9969746699193934E-2</v>
      </c>
      <c r="AP17" s="860">
        <f t="shared" ref="AP17:AX17" ca="1" si="20">+AP16/AP11</f>
        <v>-4.4018045421234081E-2</v>
      </c>
      <c r="AQ17" s="860">
        <f t="shared" ca="1" si="20"/>
        <v>-4.5503760758067203E-2</v>
      </c>
      <c r="AR17" s="859">
        <f t="shared" ca="1" si="20"/>
        <v>-5.0950458645352747E-2</v>
      </c>
      <c r="AS17" s="860">
        <f t="shared" ca="1" si="20"/>
        <v>-6.4422836701270081E-2</v>
      </c>
      <c r="AT17" s="860">
        <f t="shared" ca="1" si="20"/>
        <v>-5.4815169049181614E-2</v>
      </c>
      <c r="AU17" s="860">
        <f t="shared" ca="1" si="20"/>
        <v>-4.4629263709135579E-2</v>
      </c>
      <c r="AV17" s="860">
        <f t="shared" ca="1" si="20"/>
        <v>-5.5660497300188565E-2</v>
      </c>
      <c r="AW17" s="859">
        <f t="shared" ca="1" si="20"/>
        <v>-5.4045242703629849E-2</v>
      </c>
      <c r="AX17" s="860">
        <f t="shared" ca="1" si="20"/>
        <v>-4.6070718743690821E-2</v>
      </c>
      <c r="AY17" s="860">
        <f ca="1">+AY16/AY11</f>
        <v>-3.9363147528338492E-2</v>
      </c>
      <c r="AZ17" s="851"/>
      <c r="BA17" s="851"/>
      <c r="BB17" s="851"/>
      <c r="BC17" s="851"/>
      <c r="BD17" s="851"/>
      <c r="BE17" s="851"/>
      <c r="BF17" s="851"/>
      <c r="BG17" s="851"/>
      <c r="BH17" s="851"/>
      <c r="BK17" s="851"/>
      <c r="BL17" s="851"/>
      <c r="BM17" s="851"/>
      <c r="BN17" s="851"/>
      <c r="BO17" s="851"/>
      <c r="BP17" s="851"/>
      <c r="BQ17" s="851"/>
      <c r="BR17" s="851"/>
      <c r="BS17" s="851"/>
      <c r="BT17" s="851"/>
      <c r="BU17" s="851"/>
      <c r="BV17" s="851"/>
      <c r="BW17" s="851"/>
      <c r="BX17" s="851"/>
      <c r="BY17" s="851"/>
      <c r="BZ17" s="851"/>
      <c r="CA17" s="851"/>
      <c r="CB17" s="851"/>
      <c r="CC17" s="851"/>
      <c r="CD17" s="851"/>
      <c r="CE17" s="851"/>
      <c r="CF17" s="851"/>
      <c r="CG17" s="851"/>
      <c r="CH17" s="851"/>
      <c r="CI17" s="851"/>
      <c r="CJ17" s="851"/>
    </row>
    <row r="18" spans="1:88" ht="13.5" customHeight="1" x14ac:dyDescent="0.2">
      <c r="A18" s="516" t="s">
        <v>1731</v>
      </c>
      <c r="B18" s="516" t="s">
        <v>1730</v>
      </c>
      <c r="C18" s="24"/>
      <c r="D18" s="924" t="str">
        <f>IF([1]RENAME!$H$3=1,B18,A18)</f>
        <v>EBITDA ajustado (a-b-c)</v>
      </c>
      <c r="E18" s="925">
        <f ca="1">E14+E16</f>
        <v>20933.372720000058</v>
      </c>
      <c r="F18" s="1007">
        <f ca="1">F14+F16</f>
        <v>34933.045200000037</v>
      </c>
      <c r="G18" s="1007">
        <f ca="1">G14+G16</f>
        <v>40973.642920000042</v>
      </c>
      <c r="H18" s="1007">
        <f ca="1">H14+H16</f>
        <v>38010.111610000007</v>
      </c>
      <c r="I18" s="1008">
        <f ca="1">+SUM(E18:H18)</f>
        <v>134850.17245000013</v>
      </c>
      <c r="J18" s="925">
        <f ca="1">J14+J16</f>
        <v>29453.314000000006</v>
      </c>
      <c r="K18" s="925">
        <f ca="1">K14+K16</f>
        <v>45148.406709999959</v>
      </c>
      <c r="L18" s="1007">
        <f ca="1">L14+L16</f>
        <v>57791.788239999936</v>
      </c>
      <c r="M18" s="1007">
        <f ca="1">M14+M16</f>
        <v>68074.372747457557</v>
      </c>
      <c r="N18" s="1008">
        <f ca="1">+SUM(J18:M18)</f>
        <v>200467.88169745746</v>
      </c>
      <c r="O18" s="925">
        <f ca="1">O14+O16</f>
        <v>56025.508350000062</v>
      </c>
      <c r="P18" s="925">
        <f ca="1">P14+P16</f>
        <v>59443.350340000041</v>
      </c>
      <c r="Q18" s="1007">
        <f ca="1">Q14+Q16</f>
        <v>64517.839780000053</v>
      </c>
      <c r="R18" s="1007">
        <f ca="1">R14+R16</f>
        <v>70096.431380000024</v>
      </c>
      <c r="S18" s="1008">
        <f ca="1">+SUM(O18:R18)</f>
        <v>250083.1298500002</v>
      </c>
      <c r="T18" s="1007">
        <f ca="1">T14+T16</f>
        <v>44220.344580000012</v>
      </c>
      <c r="U18" s="925">
        <f ca="1">U14+U16</f>
        <v>4653.4489899999753</v>
      </c>
      <c r="V18" s="925">
        <f ca="1">V14+V16</f>
        <v>55309.446339999966</v>
      </c>
      <c r="W18" s="1007">
        <f ca="1">W14+W16</f>
        <v>58335.36645000003</v>
      </c>
      <c r="X18" s="1008">
        <f ca="1">+SUM(T18:W18)</f>
        <v>162518.60635999998</v>
      </c>
      <c r="Y18" s="925">
        <f ca="1">Y14+Y16</f>
        <v>43191.728160000006</v>
      </c>
      <c r="Z18" s="1007">
        <f ca="1">Z14+Z16</f>
        <v>35322.597589999976</v>
      </c>
      <c r="AA18" s="1007">
        <f ca="1">AA14+AA16</f>
        <v>37480.480369999976</v>
      </c>
      <c r="AB18" s="1007">
        <f ca="1">AB14+AB16</f>
        <v>45872.656999999905</v>
      </c>
      <c r="AC18" s="1008">
        <f ca="1">+SUM(Y18:AB18)</f>
        <v>161867.46311999985</v>
      </c>
      <c r="AD18" s="925">
        <f ca="1">AD14+AD16</f>
        <v>35089.131439999939</v>
      </c>
      <c r="AE18" s="925">
        <f ca="1">AE14+AE16</f>
        <v>49148.953389999951</v>
      </c>
      <c r="AF18" s="1007">
        <f ca="1">AF14+AF16</f>
        <v>87925.169049999953</v>
      </c>
      <c r="AG18" s="1007">
        <f ca="1">AG14+AG16</f>
        <v>72728.460789999954</v>
      </c>
      <c r="AH18" s="1008">
        <f ca="1">+SUM(AD18:AG18)</f>
        <v>244891.71466999981</v>
      </c>
      <c r="AI18" s="925">
        <f ca="1">AI14+AI16</f>
        <v>53653.474379999869</v>
      </c>
      <c r="AJ18" s="925">
        <f ca="1">AJ14+AJ16</f>
        <v>58012.634600000056</v>
      </c>
      <c r="AK18" s="925">
        <f ca="1">AK14+AK16</f>
        <v>79253.838000000003</v>
      </c>
      <c r="AL18" s="925">
        <f ca="1">AL14+AL16</f>
        <v>74126.927810000241</v>
      </c>
      <c r="AM18" s="1109">
        <f ca="1">+SUM(AI18:AL18)</f>
        <v>265046.87479000021</v>
      </c>
      <c r="AN18" s="925">
        <f ca="1">AN14+AN16</f>
        <v>58318.379339999818</v>
      </c>
      <c r="AO18" s="925">
        <f ca="1">AO14+AO16</f>
        <v>85168.926570000069</v>
      </c>
      <c r="AP18" s="925">
        <f ca="1">AP14+AP16</f>
        <v>125572.33326000009</v>
      </c>
      <c r="AQ18" s="925">
        <f ca="1">AQ14+AQ16</f>
        <v>126005.15277999992</v>
      </c>
      <c r="AR18" s="1109">
        <f ca="1">+SUM(AN18:AQ18)</f>
        <v>395064.79194999987</v>
      </c>
      <c r="AS18" s="925">
        <f ca="1">AS14+AS16</f>
        <v>68902.245369999931</v>
      </c>
      <c r="AT18" s="925">
        <f ca="1">AT14+AT16</f>
        <v>94707.959719999781</v>
      </c>
      <c r="AU18" s="925">
        <f ca="1">AU14+AU16</f>
        <v>116828.61254000018</v>
      </c>
      <c r="AV18" s="925">
        <f ca="1">AV14+AV16</f>
        <v>81354.49930000001</v>
      </c>
      <c r="AW18" s="1109">
        <f ca="1">+SUM(AS18:AV18)</f>
        <v>361793.31692999991</v>
      </c>
      <c r="AX18" s="925">
        <f ca="1">AX14+AX16</f>
        <v>74225.362300000066</v>
      </c>
      <c r="AY18" s="925">
        <f ca="1">AY14+AY16</f>
        <v>138534.90370999978</v>
      </c>
      <c r="AZ18" s="1213"/>
      <c r="BN18" s="266"/>
      <c r="BO18" s="266"/>
      <c r="BP18" s="266"/>
      <c r="BQ18" s="266"/>
      <c r="BR18" s="266"/>
      <c r="BS18" s="266"/>
      <c r="BT18" s="266"/>
      <c r="BU18" s="266"/>
      <c r="BV18" s="266"/>
      <c r="BW18" s="266"/>
      <c r="BX18" s="266"/>
      <c r="BY18" s="266"/>
      <c r="BZ18" s="266"/>
      <c r="CA18" s="266"/>
      <c r="CB18" s="266"/>
      <c r="CC18" s="266"/>
      <c r="CD18" s="266"/>
      <c r="CE18" s="266"/>
      <c r="CF18" s="266"/>
      <c r="CG18" s="266"/>
      <c r="CH18" s="266"/>
      <c r="CI18" s="266"/>
      <c r="CJ18" s="266"/>
    </row>
    <row r="19" spans="1:88" s="850" customFormat="1" ht="13.5" customHeight="1" x14ac:dyDescent="0.2">
      <c r="A19" s="516" t="s">
        <v>1741</v>
      </c>
      <c r="B19" s="516" t="s">
        <v>1740</v>
      </c>
      <c r="C19" s="855"/>
      <c r="D19" s="861" t="str">
        <f>IF([1]RENAME!$H$3=1,B19,A19)</f>
        <v>% Receita líquida</v>
      </c>
      <c r="E19" s="860">
        <f t="shared" ref="E19:Z19" ca="1" si="21">+E18/E11</f>
        <v>9.8041890286233252E-2</v>
      </c>
      <c r="F19" s="860">
        <f t="shared" ca="1" si="21"/>
        <v>0.1317699040423885</v>
      </c>
      <c r="G19" s="860">
        <f t="shared" ca="1" si="21"/>
        <v>0.14332519656863224</v>
      </c>
      <c r="H19" s="860">
        <f t="shared" ca="1" si="21"/>
        <v>0.11897656933651524</v>
      </c>
      <c r="I19" s="859">
        <f t="shared" ca="1" si="21"/>
        <v>0.12440334676267817</v>
      </c>
      <c r="J19" s="860">
        <f t="shared" ca="1" si="21"/>
        <v>0.11238618792537042</v>
      </c>
      <c r="K19" s="860">
        <f t="shared" ca="1" si="21"/>
        <v>0.15394546725306044</v>
      </c>
      <c r="L19" s="860">
        <f t="shared" ca="1" si="21"/>
        <v>0.17176552984122542</v>
      </c>
      <c r="M19" s="860">
        <f t="shared" ca="1" si="21"/>
        <v>0.18766326806808922</v>
      </c>
      <c r="N19" s="859">
        <f t="shared" ca="1" si="21"/>
        <v>0.15979233282071434</v>
      </c>
      <c r="O19" s="860">
        <f t="shared" ca="1" si="21"/>
        <v>0.18884105325858691</v>
      </c>
      <c r="P19" s="860">
        <f t="shared" ca="1" si="21"/>
        <v>0.17926869562333073</v>
      </c>
      <c r="Q19" s="860">
        <f t="shared" ca="1" si="21"/>
        <v>0.18935561134311665</v>
      </c>
      <c r="R19" s="860">
        <f t="shared" ca="1" si="21"/>
        <v>0.18527926856141561</v>
      </c>
      <c r="S19" s="859">
        <f t="shared" ca="1" si="21"/>
        <v>0.18561518228209453</v>
      </c>
      <c r="T19" s="860">
        <f t="shared" ca="1" si="21"/>
        <v>0.15807295778580649</v>
      </c>
      <c r="U19" s="860">
        <f t="shared" ca="1" si="21"/>
        <v>3.5757104609775249E-2</v>
      </c>
      <c r="V19" s="860">
        <f t="shared" ca="1" si="21"/>
        <v>0.19126206066183432</v>
      </c>
      <c r="W19" s="860">
        <f t="shared" ca="1" si="21"/>
        <v>0.1863949045697342</v>
      </c>
      <c r="X19" s="859">
        <f t="shared" ca="1" si="21"/>
        <v>0.16058595779289611</v>
      </c>
      <c r="Y19" s="860">
        <f t="shared" ca="1" si="21"/>
        <v>0.18464936179031899</v>
      </c>
      <c r="Z19" s="860">
        <f t="shared" ca="1" si="21"/>
        <v>0.14899884046649206</v>
      </c>
      <c r="AA19" s="860">
        <f t="shared" ref="AA19:AF19" ca="1" si="22">+AA18/AA11</f>
        <v>0.16194573495628828</v>
      </c>
      <c r="AB19" s="860">
        <f t="shared" ca="1" si="22"/>
        <v>0.15043860876676499</v>
      </c>
      <c r="AC19" s="859">
        <f t="shared" ca="1" si="22"/>
        <v>0.16068753313248213</v>
      </c>
      <c r="AD19" s="860">
        <f t="shared" ca="1" si="22"/>
        <v>0.14555812747609639</v>
      </c>
      <c r="AE19" s="860">
        <f t="shared" ca="1" si="22"/>
        <v>0.16139007082190618</v>
      </c>
      <c r="AF19" s="860">
        <f t="shared" ca="1" si="22"/>
        <v>0.21160849565255246</v>
      </c>
      <c r="AG19" s="860">
        <f t="shared" ref="AG19:AO19" ca="1" si="23">+AG18/AG11</f>
        <v>0.17764668949640522</v>
      </c>
      <c r="AH19" s="859">
        <f t="shared" ca="1" si="23"/>
        <v>0.17868663024807924</v>
      </c>
      <c r="AI19" s="860">
        <f t="shared" ca="1" si="23"/>
        <v>0.15966492627550485</v>
      </c>
      <c r="AJ19" s="860">
        <f t="shared" ca="1" si="23"/>
        <v>0.15822315311814905</v>
      </c>
      <c r="AK19" s="860">
        <f t="shared" ca="1" si="23"/>
        <v>0.18561591891375911</v>
      </c>
      <c r="AL19" s="860">
        <f t="shared" ca="1" si="23"/>
        <v>0.16334667199304473</v>
      </c>
      <c r="AM19" s="859">
        <f t="shared" ca="1" si="23"/>
        <v>0.16738383790834754</v>
      </c>
      <c r="AN19" s="860">
        <f t="shared" ca="1" si="23"/>
        <v>0.14985291912687396</v>
      </c>
      <c r="AO19" s="860">
        <f t="shared" ca="1" si="23"/>
        <v>0.18012125063719797</v>
      </c>
      <c r="AP19" s="860">
        <f t="shared" ref="AP19:AX19" ca="1" si="24">+AP18/AP11</f>
        <v>0.20798583362498008</v>
      </c>
      <c r="AQ19" s="860">
        <f t="shared" ca="1" si="24"/>
        <v>0.20181484676916736</v>
      </c>
      <c r="AR19" s="859">
        <f t="shared" ca="1" si="24"/>
        <v>0.18901469293794157</v>
      </c>
      <c r="AS19" s="860">
        <f t="shared" ca="1" si="24"/>
        <v>0.15646895703594887</v>
      </c>
      <c r="AT19" s="860">
        <f t="shared" ca="1" si="24"/>
        <v>0.17521004318984532</v>
      </c>
      <c r="AU19" s="860">
        <f t="shared" ca="1" si="24"/>
        <v>0.18420754005259754</v>
      </c>
      <c r="AV19" s="860">
        <f t="shared" ca="1" si="24"/>
        <v>0.13330065783749454</v>
      </c>
      <c r="AW19" s="859">
        <f t="shared" ca="1" si="24"/>
        <v>0.16257247235086572</v>
      </c>
      <c r="AX19" s="860">
        <f t="shared" ca="1" si="24"/>
        <v>0.14239094411484199</v>
      </c>
      <c r="AY19" s="860">
        <f ca="1">+AY18/AY11</f>
        <v>0.18717984032513305</v>
      </c>
      <c r="AZ19" s="1214"/>
      <c r="BA19" s="851"/>
      <c r="BB19" s="851"/>
      <c r="BC19" s="851"/>
      <c r="BD19" s="851"/>
      <c r="BE19" s="851"/>
      <c r="BF19" s="851"/>
      <c r="BG19" s="851"/>
      <c r="BH19" s="851"/>
      <c r="BK19" s="851"/>
      <c r="BL19" s="851"/>
      <c r="BM19" s="851"/>
      <c r="BN19" s="851"/>
      <c r="BO19" s="851"/>
      <c r="BP19" s="851"/>
      <c r="BQ19" s="851"/>
      <c r="BR19" s="851"/>
      <c r="BS19" s="851"/>
      <c r="BT19" s="851"/>
      <c r="BU19" s="851"/>
      <c r="BV19" s="851"/>
      <c r="BW19" s="851"/>
      <c r="BX19" s="851"/>
      <c r="BY19" s="851"/>
      <c r="BZ19" s="851"/>
      <c r="CA19" s="851"/>
      <c r="CB19" s="851"/>
      <c r="CC19" s="851"/>
      <c r="CD19" s="851"/>
      <c r="CE19" s="851"/>
      <c r="CF19" s="851"/>
      <c r="CG19" s="851"/>
      <c r="CH19" s="851"/>
      <c r="CI19" s="851"/>
      <c r="CJ19" s="851"/>
    </row>
    <row r="20" spans="1:88" ht="13.5" customHeight="1" x14ac:dyDescent="0.2">
      <c r="A20" s="516" t="s">
        <v>1888</v>
      </c>
      <c r="B20" s="1" t="s">
        <v>1727</v>
      </c>
      <c r="C20" s="899"/>
      <c r="D20" s="858" t="str">
        <f>IF([1]RENAME!$H$3=1,B20,A20)</f>
        <v>(d) Custos com aluguel (IAS-17)</v>
      </c>
      <c r="E20" s="857">
        <v>0</v>
      </c>
      <c r="F20" s="857">
        <v>0</v>
      </c>
      <c r="G20" s="857">
        <v>0</v>
      </c>
      <c r="H20" s="857">
        <v>0</v>
      </c>
      <c r="I20" s="647">
        <f>+SUM(E20:H20)</f>
        <v>0</v>
      </c>
      <c r="J20" s="857">
        <v>0</v>
      </c>
      <c r="K20" s="857">
        <v>0</v>
      </c>
      <c r="L20" s="857">
        <v>0</v>
      </c>
      <c r="M20" s="857">
        <v>0</v>
      </c>
      <c r="N20" s="647">
        <f>+SUM(J20:M20)</f>
        <v>0</v>
      </c>
      <c r="O20" s="857">
        <f ca="1">+O82+O107</f>
        <v>-9700</v>
      </c>
      <c r="P20" s="857">
        <f ca="1">+P82+P107</f>
        <v>-8272</v>
      </c>
      <c r="Q20" s="857">
        <f ca="1">+Q82+Q107</f>
        <v>-9104</v>
      </c>
      <c r="R20" s="857">
        <f ca="1">+R82+R107</f>
        <v>-9178.3760882777096</v>
      </c>
      <c r="S20" s="647">
        <f ca="1">+SUM(O20:R20)</f>
        <v>-36254.376088277713</v>
      </c>
      <c r="T20" s="857">
        <f ca="1">+T82+T107</f>
        <v>-9870.7775300000103</v>
      </c>
      <c r="U20" s="857">
        <f ca="1">+U82+U107</f>
        <v>-9393.0758200000091</v>
      </c>
      <c r="V20" s="857">
        <f ca="1">+V82+V107</f>
        <v>-9424.3638099999898</v>
      </c>
      <c r="W20" s="857">
        <f ca="1">+W82+W107</f>
        <v>-9287.1177700000098</v>
      </c>
      <c r="X20" s="647">
        <f ca="1">+SUM(T20:W20)</f>
        <v>-37975.334930000019</v>
      </c>
      <c r="Y20" s="857">
        <f ca="1">+Y82+Y107</f>
        <v>-9506.5724299999893</v>
      </c>
      <c r="Z20" s="857">
        <f ca="1">+Z82+Z107</f>
        <v>-8813.05339000001</v>
      </c>
      <c r="AA20" s="857">
        <f ca="1">+AA82+AA107</f>
        <v>-8585.7737499999876</v>
      </c>
      <c r="AB20" s="857">
        <f ca="1">+AB82+AB107</f>
        <v>-8542.1462700000102</v>
      </c>
      <c r="AC20" s="647">
        <f ca="1">+SUM(Y20:AB20)</f>
        <v>-35447.545839999999</v>
      </c>
      <c r="AD20" s="857">
        <f ca="1">+AD82+AD107</f>
        <v>-9308.0165199999992</v>
      </c>
      <c r="AE20" s="857">
        <f ca="1">+AE82+AE107</f>
        <v>-9945.594209999992</v>
      </c>
      <c r="AF20" s="857">
        <f ca="1">+AF82+AF107</f>
        <v>-9605.9916999999696</v>
      </c>
      <c r="AG20" s="857">
        <f ca="1">+AG82+AG107</f>
        <v>-10106.83367999998</v>
      </c>
      <c r="AH20" s="647">
        <f ca="1">+SUM(AD20:AG20)</f>
        <v>-38966.436109999944</v>
      </c>
      <c r="AI20" s="857">
        <f ca="1">+AI82+AI107</f>
        <v>-10281.89281999999</v>
      </c>
      <c r="AJ20" s="857">
        <f ca="1">+AJ82+AJ107</f>
        <v>-9992.2645499999999</v>
      </c>
      <c r="AK20" s="857">
        <f ca="1">+AK82+AK107</f>
        <v>-10868.70604000001</v>
      </c>
      <c r="AL20" s="857">
        <f ca="1">+AL82+AL107</f>
        <v>-11430.879650000019</v>
      </c>
      <c r="AM20" s="647">
        <f ca="1">+SUM(AI20:AL20)</f>
        <v>-42573.743060000015</v>
      </c>
      <c r="AN20" s="857">
        <f ca="1">+AN82+AN107</f>
        <v>-9731.0750000000098</v>
      </c>
      <c r="AO20" s="857">
        <f ca="1">+AO82+AO107</f>
        <v>-9901.2457500000091</v>
      </c>
      <c r="AP20" s="857">
        <f ca="1">+AP82+AP107</f>
        <v>-9881.1891500000002</v>
      </c>
      <c r="AQ20" s="857">
        <f ca="1">+AQ82+AQ107</f>
        <v>-9138.7788299999993</v>
      </c>
      <c r="AR20" s="647">
        <f ca="1">+SUM(AN20:AQ20)</f>
        <v>-38652.288730000015</v>
      </c>
      <c r="AS20" s="857">
        <f ca="1">+AS82+AS107</f>
        <v>-10704.269389999999</v>
      </c>
      <c r="AT20" s="857">
        <f ca="1">+AT82+AT107</f>
        <v>-10871.701270000001</v>
      </c>
      <c r="AU20" s="857">
        <f ca="1">+AU82+AU107</f>
        <v>-11090.64738</v>
      </c>
      <c r="AV20" s="857">
        <f ca="1">+AV82+AV107</f>
        <v>-11488.42786</v>
      </c>
      <c r="AW20" s="647">
        <f ca="1">+SUM(AS20:AV20)</f>
        <v>-44155.045899999997</v>
      </c>
      <c r="AX20" s="857">
        <f ca="1">+AX82+AX107</f>
        <v>-11175.252860000001</v>
      </c>
      <c r="AY20" s="857">
        <f ca="1">+AY82+AY107</f>
        <v>-12802.10641</v>
      </c>
      <c r="BN20" s="266"/>
      <c r="BO20" s="266"/>
      <c r="BP20" s="266"/>
      <c r="BQ20" s="266"/>
      <c r="BR20" s="266"/>
      <c r="BS20" s="266"/>
      <c r="BT20" s="266"/>
      <c r="BU20" s="266"/>
      <c r="BV20" s="266"/>
      <c r="BW20" s="266"/>
      <c r="BX20" s="266"/>
      <c r="BY20" s="266"/>
      <c r="BZ20" s="266"/>
      <c r="CA20" s="266"/>
      <c r="CB20" s="266"/>
      <c r="CC20" s="266"/>
      <c r="CD20" s="266"/>
      <c r="CE20" s="266"/>
      <c r="CF20" s="266"/>
      <c r="CG20" s="266"/>
      <c r="CH20" s="266"/>
      <c r="CI20" s="266"/>
      <c r="CJ20" s="266"/>
    </row>
    <row r="21" spans="1:88" ht="13.5" customHeight="1" x14ac:dyDescent="0.2">
      <c r="A21" s="516" t="s">
        <v>1724</v>
      </c>
      <c r="B21" s="516" t="s">
        <v>1723</v>
      </c>
      <c r="C21" s="24"/>
      <c r="D21" s="866" t="str">
        <f>IF([1]RENAME!$H$3=1,B21,A21)</f>
        <v>EBITDA ajustado ex-IFRS-16 (a-b-c+d)</v>
      </c>
      <c r="E21" s="865">
        <f ca="1">E14+E16+E20</f>
        <v>20933.372720000058</v>
      </c>
      <c r="F21" s="1004">
        <f ca="1">F14+F16+F20</f>
        <v>34933.045200000037</v>
      </c>
      <c r="G21" s="1004">
        <f ca="1">G14+G16+G20</f>
        <v>40973.642920000042</v>
      </c>
      <c r="H21" s="1004">
        <f ca="1">H14+H16+H20</f>
        <v>38010.111610000007</v>
      </c>
      <c r="I21" s="1005">
        <f ca="1">+SUM(E21:H21)</f>
        <v>134850.17245000013</v>
      </c>
      <c r="J21" s="865">
        <f ca="1">J14+J16+J20</f>
        <v>29453.314000000006</v>
      </c>
      <c r="K21" s="865">
        <f ca="1">K14+K16+K20</f>
        <v>45148.406709999959</v>
      </c>
      <c r="L21" s="1004">
        <f ca="1">L14+L16+L20</f>
        <v>57791.788239999936</v>
      </c>
      <c r="M21" s="1004">
        <f ca="1">M14+M16+M20</f>
        <v>68074.372747457557</v>
      </c>
      <c r="N21" s="1005">
        <f ca="1">+SUM(J21:M21)</f>
        <v>200467.88169745746</v>
      </c>
      <c r="O21" s="865">
        <f ca="1">O14+O16+O20</f>
        <v>46325.508350000062</v>
      </c>
      <c r="P21" s="865">
        <f ca="1">P14+P16+P20</f>
        <v>51171.350340000041</v>
      </c>
      <c r="Q21" s="1004">
        <f ca="1">Q14+Q16+Q20</f>
        <v>55413.839780000053</v>
      </c>
      <c r="R21" s="1004">
        <f ca="1">R14+R16+R20</f>
        <v>60918.05529172231</v>
      </c>
      <c r="S21" s="1005">
        <f ca="1">+SUM(O21:R21)</f>
        <v>213828.75376172247</v>
      </c>
      <c r="T21" s="1004">
        <f ca="1">T14+T16+T20</f>
        <v>34349.567049999998</v>
      </c>
      <c r="U21" s="865">
        <f ca="1">U14+U16+U20</f>
        <v>-4739.6268300000338</v>
      </c>
      <c r="V21" s="865">
        <f ca="1">V14+V16+V20</f>
        <v>45885.082529999978</v>
      </c>
      <c r="W21" s="1004">
        <f ca="1">W14+W16+W20</f>
        <v>49048.248680000019</v>
      </c>
      <c r="X21" s="1005">
        <f ca="1">+SUM(T21:W21)</f>
        <v>124543.27142999996</v>
      </c>
      <c r="Y21" s="865">
        <f ca="1">Y14+Y16+Y20</f>
        <v>33685.155730000013</v>
      </c>
      <c r="Z21" s="1004">
        <f ca="1">Z14+Z16+Z20</f>
        <v>26509.544199999968</v>
      </c>
      <c r="AA21" s="1004">
        <f ca="1">AA14+AA16+AA20</f>
        <v>28894.70661999999</v>
      </c>
      <c r="AB21" s="1004">
        <f ca="1">AB14+AB16+AB20</f>
        <v>37330.510729999893</v>
      </c>
      <c r="AC21" s="1005">
        <f ca="1">+SUM(Y21:AB21)</f>
        <v>126419.91727999986</v>
      </c>
      <c r="AD21" s="865">
        <f ca="1">AD14+AD16+AD20</f>
        <v>25781.114919999942</v>
      </c>
      <c r="AE21" s="865">
        <f ca="1">AE14+AE16+AE20</f>
        <v>39203.359179999956</v>
      </c>
      <c r="AF21" s="1004">
        <f ca="1">AF14+AF16+AF20</f>
        <v>78319.177349999984</v>
      </c>
      <c r="AG21" s="1004">
        <f ca="1">AG14+AG16+AG20</f>
        <v>62621.627109999972</v>
      </c>
      <c r="AH21" s="1005">
        <f ca="1">+SUM(AD21:AG21)</f>
        <v>205925.27855999986</v>
      </c>
      <c r="AI21" s="865">
        <f ca="1">AI14+AI16+AI20</f>
        <v>43371.581559999875</v>
      </c>
      <c r="AJ21" s="865">
        <f ca="1">AJ14+AJ16+AJ20</f>
        <v>48020.370050000056</v>
      </c>
      <c r="AK21" s="865">
        <f ca="1">AK14+AK16+AK20</f>
        <v>68385.131959999999</v>
      </c>
      <c r="AL21" s="865">
        <f ca="1">AL14+AL16+AL20</f>
        <v>62696.048160000224</v>
      </c>
      <c r="AM21" s="864">
        <f ca="1">+SUM(AI21:AL21)</f>
        <v>222473.13173000014</v>
      </c>
      <c r="AN21" s="865">
        <f ca="1">AN14+AN16+AN20</f>
        <v>48587.304339999806</v>
      </c>
      <c r="AO21" s="865">
        <f ca="1">AO14+AO16+AO20</f>
        <v>75267.680820000067</v>
      </c>
      <c r="AP21" s="865">
        <f ca="1">AP14+AP16+AP20</f>
        <v>115691.14411000008</v>
      </c>
      <c r="AQ21" s="865">
        <f ca="1">AQ14+AQ16+AQ20</f>
        <v>116866.37394999992</v>
      </c>
      <c r="AR21" s="864">
        <f ca="1">+SUM(AN21:AQ21)</f>
        <v>356412.50321999984</v>
      </c>
      <c r="AS21" s="865">
        <f ca="1">AS14+AS16+AS20</f>
        <v>58197.97597999993</v>
      </c>
      <c r="AT21" s="865">
        <f ca="1">AT14+AT16+AT20</f>
        <v>83836.258449999776</v>
      </c>
      <c r="AU21" s="865">
        <f ca="1">AU14+AU16+AU20</f>
        <v>105737.96516000018</v>
      </c>
      <c r="AV21" s="865">
        <f ca="1">AV14+AV16+AV20</f>
        <v>69866.071440000014</v>
      </c>
      <c r="AW21" s="864">
        <f ca="1">+SUM(AS21:AV21)</f>
        <v>317638.27102999995</v>
      </c>
      <c r="AX21" s="865">
        <f ca="1">AX14+AX16+AX20</f>
        <v>63050.109440000066</v>
      </c>
      <c r="AY21" s="865">
        <f ca="1">AY14+AY16+AY20</f>
        <v>125732.79729999977</v>
      </c>
      <c r="AZ21" s="1243"/>
      <c r="BN21" s="266"/>
      <c r="BO21" s="266"/>
      <c r="BP21" s="266"/>
      <c r="BQ21" s="266"/>
      <c r="BR21" s="266"/>
      <c r="BS21" s="266"/>
      <c r="BT21" s="266"/>
      <c r="BU21" s="266"/>
      <c r="BV21" s="266"/>
      <c r="BW21" s="266"/>
      <c r="BX21" s="266"/>
      <c r="BY21" s="266"/>
      <c r="BZ21" s="266"/>
      <c r="CA21" s="266"/>
      <c r="CB21" s="266"/>
      <c r="CC21" s="266"/>
      <c r="CD21" s="266"/>
      <c r="CE21" s="266"/>
      <c r="CF21" s="266"/>
      <c r="CG21" s="266"/>
      <c r="CH21" s="266"/>
      <c r="CI21" s="266"/>
      <c r="CJ21" s="266"/>
    </row>
    <row r="22" spans="1:88" s="850" customFormat="1" ht="13.5" customHeight="1" x14ac:dyDescent="0.2">
      <c r="A22" s="516" t="s">
        <v>1722</v>
      </c>
      <c r="B22" s="516" t="s">
        <v>1721</v>
      </c>
      <c r="C22" s="855"/>
      <c r="D22" s="854" t="str">
        <f>IF([1]RENAME!$H$3=1,B22,A22)</f>
        <v>Margem EBITDA Ajustado ex-IFRS-16</v>
      </c>
      <c r="E22" s="853">
        <f t="shared" ref="E22:Z22" ca="1" si="25">+E21/E11</f>
        <v>9.8041890286233252E-2</v>
      </c>
      <c r="F22" s="853">
        <f t="shared" ca="1" si="25"/>
        <v>0.1317699040423885</v>
      </c>
      <c r="G22" s="853">
        <f t="shared" ca="1" si="25"/>
        <v>0.14332519656863224</v>
      </c>
      <c r="H22" s="853">
        <f t="shared" ca="1" si="25"/>
        <v>0.11897656933651524</v>
      </c>
      <c r="I22" s="852">
        <f t="shared" ca="1" si="25"/>
        <v>0.12440334676267817</v>
      </c>
      <c r="J22" s="853">
        <f t="shared" ca="1" si="25"/>
        <v>0.11238618792537042</v>
      </c>
      <c r="K22" s="853">
        <f t="shared" ca="1" si="25"/>
        <v>0.15394546725306044</v>
      </c>
      <c r="L22" s="853">
        <f t="shared" ca="1" si="25"/>
        <v>0.17176552984122542</v>
      </c>
      <c r="M22" s="853">
        <f t="shared" ca="1" si="25"/>
        <v>0.18766326806808922</v>
      </c>
      <c r="N22" s="852">
        <f t="shared" ca="1" si="25"/>
        <v>0.15979233282071434</v>
      </c>
      <c r="O22" s="853">
        <f t="shared" ca="1" si="25"/>
        <v>0.15614597791603019</v>
      </c>
      <c r="P22" s="853">
        <f t="shared" ca="1" si="25"/>
        <v>0.15432207599784964</v>
      </c>
      <c r="Q22" s="853">
        <f t="shared" ca="1" si="25"/>
        <v>0.16263597082901926</v>
      </c>
      <c r="R22" s="853">
        <f t="shared" ca="1" si="25"/>
        <v>0.16101893497897179</v>
      </c>
      <c r="S22" s="852">
        <f t="shared" ca="1" si="25"/>
        <v>0.15870667937673844</v>
      </c>
      <c r="T22" s="853">
        <f t="shared" ca="1" si="25"/>
        <v>0.12278822595858158</v>
      </c>
      <c r="U22" s="853">
        <f t="shared" ca="1" si="25"/>
        <v>-3.6419295179941268E-2</v>
      </c>
      <c r="V22" s="853">
        <f t="shared" ca="1" si="25"/>
        <v>0.15867227063488512</v>
      </c>
      <c r="W22" s="853">
        <f t="shared" ca="1" si="25"/>
        <v>0.1567204285903854</v>
      </c>
      <c r="X22" s="852">
        <f t="shared" ca="1" si="25"/>
        <v>0.1230622202416921</v>
      </c>
      <c r="Y22" s="853">
        <f t="shared" ca="1" si="25"/>
        <v>0.14400772491229738</v>
      </c>
      <c r="Z22" s="853">
        <f t="shared" ca="1" si="25"/>
        <v>0.1118233543564036</v>
      </c>
      <c r="AA22" s="853">
        <f t="shared" ref="AA22:AF22" ca="1" si="26">+AA21/AA11</f>
        <v>0.12484830647121799</v>
      </c>
      <c r="AB22" s="853">
        <f t="shared" ca="1" si="26"/>
        <v>0.12242478343414877</v>
      </c>
      <c r="AC22" s="852">
        <f t="shared" ca="1" si="26"/>
        <v>0.12549838154611617</v>
      </c>
      <c r="AD22" s="853">
        <f t="shared" ca="1" si="26"/>
        <v>0.10694624397922256</v>
      </c>
      <c r="AE22" s="853">
        <f t="shared" ca="1" si="26"/>
        <v>0.12873179341809021</v>
      </c>
      <c r="AF22" s="853">
        <f t="shared" ca="1" si="26"/>
        <v>0.18848986563056219</v>
      </c>
      <c r="AG22" s="853">
        <f t="shared" ref="AG22:AO22" ca="1" si="27">+AG21/AG11</f>
        <v>0.15295971654193788</v>
      </c>
      <c r="AH22" s="852">
        <f t="shared" ca="1" si="27"/>
        <v>0.15025454886608738</v>
      </c>
      <c r="AI22" s="853">
        <f t="shared" ca="1" si="27"/>
        <v>0.12906751058065297</v>
      </c>
      <c r="AJ22" s="853">
        <f t="shared" ca="1" si="27"/>
        <v>0.13097033802376784</v>
      </c>
      <c r="AK22" s="853">
        <f t="shared" ca="1" si="27"/>
        <v>0.16016093894145639</v>
      </c>
      <c r="AL22" s="853">
        <f t="shared" ca="1" si="27"/>
        <v>0.13815749710147956</v>
      </c>
      <c r="AM22" s="852">
        <f t="shared" ca="1" si="27"/>
        <v>0.14049743710413951</v>
      </c>
      <c r="AN22" s="853">
        <f t="shared" ca="1" si="27"/>
        <v>0.12484828059789541</v>
      </c>
      <c r="AO22" s="853">
        <f t="shared" ca="1" si="27"/>
        <v>0.15918139805034576</v>
      </c>
      <c r="AP22" s="853">
        <f t="shared" ref="AP22:AX22" ca="1" si="28">+AP21/AP11</f>
        <v>0.19161959028765485</v>
      </c>
      <c r="AQ22" s="853">
        <f t="shared" ca="1" si="28"/>
        <v>0.1871778163895137</v>
      </c>
      <c r="AR22" s="852">
        <f t="shared" ca="1" si="28"/>
        <v>0.17052190230076869</v>
      </c>
      <c r="AS22" s="853">
        <f t="shared" ca="1" si="28"/>
        <v>0.13216081064258942</v>
      </c>
      <c r="AT22" s="853">
        <f t="shared" ca="1" si="28"/>
        <v>0.15509735937007607</v>
      </c>
      <c r="AU22" s="853">
        <f t="shared" ca="1" si="28"/>
        <v>0.16672054926289606</v>
      </c>
      <c r="AV22" s="853">
        <f t="shared" ca="1" si="28"/>
        <v>0.11447668369428941</v>
      </c>
      <c r="AW22" s="852">
        <f t="shared" ca="1" si="28"/>
        <v>0.14273132370931182</v>
      </c>
      <c r="AX22" s="853">
        <f t="shared" ca="1" si="28"/>
        <v>0.12095278933661349</v>
      </c>
      <c r="AY22" s="853">
        <f ca="1">+AY21/AY11</f>
        <v>0.16988242162792574</v>
      </c>
      <c r="AZ22" s="1214"/>
      <c r="BA22" s="266" t="str">
        <f>"$"&amp;ROW(DRE!$D$5)</f>
        <v>$5</v>
      </c>
      <c r="BB22" s="266" t="str">
        <f>"$"&amp;ROW(DRE!$D$5)</f>
        <v>$5</v>
      </c>
      <c r="BC22" s="851"/>
      <c r="BD22" s="851"/>
      <c r="BE22" s="851"/>
      <c r="BF22" s="851"/>
      <c r="BG22" s="851"/>
      <c r="BH22" s="851"/>
      <c r="BK22" s="851"/>
      <c r="BL22" s="851"/>
      <c r="BM22" s="851"/>
      <c r="BN22" s="851"/>
      <c r="BO22" s="851"/>
      <c r="BP22" s="851"/>
      <c r="BQ22" s="851"/>
      <c r="BR22" s="851"/>
      <c r="BS22" s="851"/>
      <c r="BT22" s="851"/>
      <c r="BU22" s="851"/>
      <c r="BV22" s="851"/>
      <c r="BW22" s="851"/>
      <c r="BX22" s="851"/>
      <c r="BY22" s="851"/>
      <c r="BZ22" s="851"/>
      <c r="CA22" s="851"/>
      <c r="CB22" s="851"/>
      <c r="CC22" s="851"/>
      <c r="CD22" s="851"/>
      <c r="CE22" s="851"/>
      <c r="CF22" s="851"/>
      <c r="CG22" s="851"/>
      <c r="CH22" s="851"/>
      <c r="CI22" s="851"/>
      <c r="CJ22" s="851"/>
    </row>
    <row r="23" spans="1:88" s="282" customFormat="1" ht="13.5" customHeight="1" x14ac:dyDescent="0.2">
      <c r="A23" s="1000" t="s">
        <v>1763</v>
      </c>
      <c r="B23" s="1000" t="s">
        <v>1762</v>
      </c>
      <c r="C23" s="918"/>
      <c r="D23" s="917" t="str">
        <f>IF([1]RENAME!$H$3=1,B23,A23)</f>
        <v>Não recorrentes</v>
      </c>
      <c r="E23" s="1001">
        <f>-SUM(Consolidado!Y15:Y23)</f>
        <v>0</v>
      </c>
      <c r="F23" s="1001">
        <f>-SUM(Consolidado!Z15:Z23)</f>
        <v>-15000</v>
      </c>
      <c r="G23" s="1001">
        <f>-SUM(Consolidado!AA15:AA23)</f>
        <v>-5733</v>
      </c>
      <c r="H23" s="1001">
        <f>-SUM(Consolidado!AB15:AB23)</f>
        <v>23499.404609999947</v>
      </c>
      <c r="I23" s="1002">
        <f>+SUM(E23:H23)</f>
        <v>2766.4046099999468</v>
      </c>
      <c r="J23" s="1001">
        <v>0</v>
      </c>
      <c r="K23" s="1001">
        <v>0</v>
      </c>
      <c r="L23" s="1001">
        <v>-5251.7599300000002</v>
      </c>
      <c r="M23" s="1001">
        <v>-12881.039347457499</v>
      </c>
      <c r="N23" s="1002">
        <f>+SUM(J23:M23)</f>
        <v>-18132.7992774575</v>
      </c>
      <c r="O23" s="1001">
        <v>0</v>
      </c>
      <c r="P23" s="1001">
        <v>0</v>
      </c>
      <c r="Q23" s="1001">
        <v>50391.444189999995</v>
      </c>
      <c r="R23" s="1001">
        <v>-2254</v>
      </c>
      <c r="S23" s="1002">
        <f>+SUM(O23:R23)</f>
        <v>48137.444189999995</v>
      </c>
      <c r="T23" s="1001">
        <v>-3317</v>
      </c>
      <c r="U23" s="1001">
        <v>0</v>
      </c>
      <c r="V23" s="1001">
        <v>0</v>
      </c>
      <c r="W23" s="1001">
        <f>-2875-2345</f>
        <v>-5220</v>
      </c>
      <c r="X23" s="1002">
        <f>+SUM(T23:W23)</f>
        <v>-8537</v>
      </c>
      <c r="Y23" s="1003">
        <v>0</v>
      </c>
      <c r="Z23" s="1001">
        <v>5732.7137899999998</v>
      </c>
      <c r="AA23" s="1001">
        <v>-1159</v>
      </c>
      <c r="AB23" s="1001">
        <v>2591</v>
      </c>
      <c r="AC23" s="1002">
        <f>+SUM(Y23:AB23)</f>
        <v>7164.7137899999998</v>
      </c>
      <c r="AD23" s="1003">
        <v>0</v>
      </c>
      <c r="AE23" s="1003">
        <v>0</v>
      </c>
      <c r="AF23" s="1001">
        <v>-6645</v>
      </c>
      <c r="AG23" s="1001">
        <v>5459</v>
      </c>
      <c r="AH23" s="1002">
        <f>+SUM(AD23:AG23)</f>
        <v>-1186</v>
      </c>
      <c r="AI23" s="1001">
        <v>0</v>
      </c>
      <c r="AJ23" s="1001">
        <v>0</v>
      </c>
      <c r="AK23" s="1001">
        <v>0</v>
      </c>
      <c r="AL23" s="1001">
        <v>0</v>
      </c>
      <c r="AM23" s="1002">
        <f>+SUM(AI23:AL23)</f>
        <v>0</v>
      </c>
      <c r="AN23" s="1001">
        <v>0</v>
      </c>
      <c r="AO23" s="1001">
        <v>0</v>
      </c>
      <c r="AP23" s="1001">
        <v>0</v>
      </c>
      <c r="AQ23" s="1001">
        <v>0</v>
      </c>
      <c r="AR23" s="1002">
        <f>+SUM(AN23:AQ23)</f>
        <v>0</v>
      </c>
      <c r="AS23" s="1001">
        <v>0</v>
      </c>
      <c r="AT23" s="1001">
        <v>0</v>
      </c>
      <c r="AU23" s="1001">
        <v>0</v>
      </c>
      <c r="AV23" s="1001">
        <v>0</v>
      </c>
      <c r="AW23" s="1002">
        <f>+SUM(AS23:AV23)</f>
        <v>0</v>
      </c>
      <c r="AX23" s="1001">
        <v>0</v>
      </c>
      <c r="AY23" s="1001">
        <f>+AY85+AY110</f>
        <v>-7212</v>
      </c>
      <c r="AZ23" s="889"/>
      <c r="BA23" s="889"/>
      <c r="BB23" s="889"/>
      <c r="BC23" s="889"/>
      <c r="BD23" s="889"/>
      <c r="BE23" s="889"/>
      <c r="BF23" s="889"/>
      <c r="BG23" s="889"/>
      <c r="BH23" s="889"/>
      <c r="BK23" s="889"/>
      <c r="BL23" s="889"/>
      <c r="BM23" s="889"/>
      <c r="BN23" s="889"/>
      <c r="BO23" s="889"/>
      <c r="BP23" s="889"/>
      <c r="BQ23" s="889"/>
      <c r="BR23" s="889"/>
      <c r="BS23" s="889"/>
      <c r="BT23" s="889"/>
      <c r="BU23" s="889"/>
      <c r="BV23" s="889"/>
      <c r="BW23" s="889"/>
      <c r="BX23" s="889"/>
      <c r="BY23" s="889"/>
      <c r="BZ23" s="889"/>
      <c r="CA23" s="889"/>
      <c r="CB23" s="889"/>
      <c r="CC23" s="889"/>
      <c r="CD23" s="889"/>
      <c r="CE23" s="889"/>
      <c r="CF23" s="889"/>
      <c r="CG23" s="889"/>
      <c r="CH23" s="889"/>
      <c r="CI23" s="889"/>
      <c r="CJ23" s="889"/>
    </row>
    <row r="24" spans="1:88" ht="13.5" customHeight="1" x14ac:dyDescent="0.2">
      <c r="A24" s="516" t="s">
        <v>1747</v>
      </c>
      <c r="B24" s="516" t="s">
        <v>1738</v>
      </c>
      <c r="D24" s="858" t="str">
        <f>IF([1]RENAME!$H$3=1,B24,A24)</f>
        <v xml:space="preserve">(b) Depreciação </v>
      </c>
      <c r="E24" s="857">
        <f ca="1">+E86+E111</f>
        <v>-6572.8270099999991</v>
      </c>
      <c r="F24" s="857">
        <f ca="1">+F86+F111</f>
        <v>-6829.9387999999999</v>
      </c>
      <c r="G24" s="857">
        <f ca="1">+G86+G111</f>
        <v>-7304.7968499999997</v>
      </c>
      <c r="H24" s="857">
        <f ca="1">+H86+H111</f>
        <v>-7437.1136699999997</v>
      </c>
      <c r="I24" s="647">
        <f ca="1">+SUM(E24:H24)</f>
        <v>-28144.676329999998</v>
      </c>
      <c r="J24" s="857">
        <f ca="1">+J86+J111</f>
        <v>-6909.8206200000004</v>
      </c>
      <c r="K24" s="857">
        <f ca="1">+K86+K111</f>
        <v>-8910.3279299999995</v>
      </c>
      <c r="L24" s="857">
        <f ca="1">+L86+L111</f>
        <v>-6853.8500800000002</v>
      </c>
      <c r="M24" s="857">
        <f ca="1">+M86+M111</f>
        <v>-6616.8089600000003</v>
      </c>
      <c r="N24" s="647">
        <f ca="1">+SUM(J24:M24)</f>
        <v>-29290.807590000004</v>
      </c>
      <c r="O24" s="857">
        <f t="shared" ref="O24:R25" ca="1" si="29">+O86+O111</f>
        <v>-6470.4337500000011</v>
      </c>
      <c r="P24" s="857">
        <f t="shared" ca="1" si="29"/>
        <v>-6497.1605399999999</v>
      </c>
      <c r="Q24" s="857">
        <f t="shared" ca="1" si="29"/>
        <v>-6557.1626199999992</v>
      </c>
      <c r="R24" s="857">
        <f t="shared" ca="1" si="29"/>
        <v>-6287.6961199999623</v>
      </c>
      <c r="S24" s="647">
        <f ca="1">+SUM(O24:R24)</f>
        <v>-25812.453029999961</v>
      </c>
      <c r="T24" s="857">
        <f t="shared" ref="T24:W25" ca="1" si="30">+T86+T111</f>
        <v>-6271.5990399999955</v>
      </c>
      <c r="U24" s="857">
        <f t="shared" ca="1" si="30"/>
        <v>-5954.5594999999958</v>
      </c>
      <c r="V24" s="857">
        <f t="shared" ca="1" si="30"/>
        <v>-5670.903650000002</v>
      </c>
      <c r="W24" s="857">
        <f t="shared" ca="1" si="30"/>
        <v>-5528.0551799999994</v>
      </c>
      <c r="X24" s="647">
        <f ca="1">+SUM(T24:W24)</f>
        <v>-23425.117369999993</v>
      </c>
      <c r="Y24" s="857">
        <f t="shared" ref="Y24:AB25" ca="1" si="31">+Y86+Y111</f>
        <v>-5446.8750299999938</v>
      </c>
      <c r="Z24" s="857">
        <f t="shared" ca="1" si="31"/>
        <v>-5539.0725499999953</v>
      </c>
      <c r="AA24" s="857">
        <f t="shared" ca="1" si="31"/>
        <v>-5486.5851399999947</v>
      </c>
      <c r="AB24" s="857">
        <f t="shared" ca="1" si="31"/>
        <v>-5543.7589000000007</v>
      </c>
      <c r="AC24" s="647">
        <f ca="1">+SUM(Y24:AB24)</f>
        <v>-22016.291619999985</v>
      </c>
      <c r="AD24" s="857">
        <f t="shared" ref="AD24:AF25" ca="1" si="32">+AD86+AD111</f>
        <v>-5687.2723600000081</v>
      </c>
      <c r="AE24" s="857">
        <f t="shared" ca="1" si="32"/>
        <v>-5488.8768400000108</v>
      </c>
      <c r="AF24" s="857">
        <f t="shared" ca="1" si="32"/>
        <v>-5513.0401600000014</v>
      </c>
      <c r="AG24" s="857">
        <f ca="1">+AG86+AG111</f>
        <v>-5644.8604499999938</v>
      </c>
      <c r="AH24" s="647">
        <f ca="1">+SUM(AD24:AG24)</f>
        <v>-22334.049810000011</v>
      </c>
      <c r="AI24" s="857">
        <f t="shared" ref="AI24:AL25" ca="1" si="33">+AI86+AI111</f>
        <v>-6004.488519999999</v>
      </c>
      <c r="AJ24" s="857">
        <f t="shared" ca="1" si="33"/>
        <v>-6047.8056299999971</v>
      </c>
      <c r="AK24" s="857">
        <f t="shared" ca="1" si="33"/>
        <v>-5292.2757200000015</v>
      </c>
      <c r="AL24" s="857">
        <f t="shared" ca="1" si="33"/>
        <v>-5246.8640199999954</v>
      </c>
      <c r="AM24" s="647">
        <f ca="1">+SUM(AI24:AL24)</f>
        <v>-22591.433889999993</v>
      </c>
      <c r="AN24" s="857">
        <f t="shared" ref="AN24:AP25" ca="1" si="34">+AN86+AN111</f>
        <v>-6323.4949099999976</v>
      </c>
      <c r="AO24" s="857">
        <f t="shared" ca="1" si="34"/>
        <v>-6356.5628400000005</v>
      </c>
      <c r="AP24" s="857">
        <f t="shared" ca="1" si="34"/>
        <v>-6564.9639100000004</v>
      </c>
      <c r="AQ24" s="857">
        <f ca="1">+AQ86+AQ111</f>
        <v>-6905.3735500000003</v>
      </c>
      <c r="AR24" s="647">
        <f ca="1">+SUM(AN24:AQ24)</f>
        <v>-26150.395209999999</v>
      </c>
      <c r="AS24" s="857">
        <f t="shared" ref="AS24:AV25" ca="1" si="35">+AS86+AS111</f>
        <v>-7603.9781900000016</v>
      </c>
      <c r="AT24" s="857">
        <f t="shared" ca="1" si="35"/>
        <v>-7601.3765200000025</v>
      </c>
      <c r="AU24" s="857">
        <f t="shared" ca="1" si="35"/>
        <v>-7840.8174299999982</v>
      </c>
      <c r="AV24" s="857">
        <f t="shared" ca="1" si="35"/>
        <v>-8225.1487400000005</v>
      </c>
      <c r="AW24" s="647">
        <f ca="1">+SUM(AS24:AV24)</f>
        <v>-31271.320880000003</v>
      </c>
      <c r="AX24" s="857">
        <f ca="1">+AX86+AX111</f>
        <v>-8869.9946899999977</v>
      </c>
      <c r="AY24" s="857">
        <f ca="1">+AY86+AY111</f>
        <v>-8788.3971899999979</v>
      </c>
      <c r="BN24" s="266"/>
      <c r="BO24" s="266"/>
      <c r="BP24" s="266"/>
      <c r="BQ24" s="266"/>
      <c r="BR24" s="266"/>
      <c r="BS24" s="266"/>
      <c r="BT24" s="266"/>
      <c r="BU24" s="266"/>
      <c r="BV24" s="266"/>
      <c r="BW24" s="266"/>
      <c r="BX24" s="266"/>
      <c r="BY24" s="266"/>
      <c r="BZ24" s="266"/>
      <c r="CA24" s="266"/>
      <c r="CB24" s="266"/>
      <c r="CC24" s="266"/>
      <c r="CD24" s="266"/>
      <c r="CE24" s="266"/>
      <c r="CF24" s="266"/>
      <c r="CG24" s="266"/>
      <c r="CH24" s="266"/>
      <c r="CI24" s="266"/>
      <c r="CJ24" s="266"/>
    </row>
    <row r="25" spans="1:88" ht="13.5" customHeight="1" x14ac:dyDescent="0.2">
      <c r="A25" s="516" t="s">
        <v>1744</v>
      </c>
      <c r="B25" s="516" t="s">
        <v>1734</v>
      </c>
      <c r="D25" s="858" t="str">
        <f>IF([1]RENAME!$H$3=1,B25,A25)</f>
        <v>(c) Amortização (IFRS 16)</v>
      </c>
      <c r="E25" s="857">
        <v>0</v>
      </c>
      <c r="F25" s="857">
        <v>0</v>
      </c>
      <c r="G25" s="857">
        <v>0</v>
      </c>
      <c r="H25" s="857">
        <v>0</v>
      </c>
      <c r="I25" s="647" t="s">
        <v>160</v>
      </c>
      <c r="J25" s="857">
        <v>0</v>
      </c>
      <c r="K25" s="857">
        <v>0</v>
      </c>
      <c r="L25" s="857">
        <v>0</v>
      </c>
      <c r="M25" s="857">
        <v>0</v>
      </c>
      <c r="N25" s="647" t="s">
        <v>160</v>
      </c>
      <c r="O25" s="857">
        <f t="shared" ca="1" si="29"/>
        <v>-8930</v>
      </c>
      <c r="P25" s="857">
        <f t="shared" ca="1" si="29"/>
        <v>-7143</v>
      </c>
      <c r="Q25" s="857">
        <f t="shared" ca="1" si="29"/>
        <v>-8275.7541600000004</v>
      </c>
      <c r="R25" s="857">
        <f t="shared" ca="1" si="29"/>
        <v>-8444.8339100000376</v>
      </c>
      <c r="S25" s="647">
        <f ca="1">+SUM(O25:R25)</f>
        <v>-32793.588070000042</v>
      </c>
      <c r="T25" s="857">
        <f t="shared" ca="1" si="30"/>
        <v>-7881.3899400000037</v>
      </c>
      <c r="U25" s="857">
        <f t="shared" ca="1" si="30"/>
        <v>-7885.243290000004</v>
      </c>
      <c r="V25" s="857">
        <f t="shared" ca="1" si="30"/>
        <v>-7525.3708799999986</v>
      </c>
      <c r="W25" s="857">
        <f t="shared" ca="1" si="30"/>
        <v>-7332.2620200000001</v>
      </c>
      <c r="X25" s="647">
        <f ca="1">+SUM(T25:W25)</f>
        <v>-30624.266130000004</v>
      </c>
      <c r="Y25" s="857">
        <f t="shared" ca="1" si="31"/>
        <v>-7512.631170000006</v>
      </c>
      <c r="Z25" s="857">
        <f t="shared" ca="1" si="31"/>
        <v>-7300.5245600000053</v>
      </c>
      <c r="AA25" s="857">
        <f t="shared" ca="1" si="31"/>
        <v>-7107.1752300000062</v>
      </c>
      <c r="AB25" s="857">
        <f t="shared" ca="1" si="31"/>
        <v>-6929.5155099999993</v>
      </c>
      <c r="AC25" s="647">
        <f ca="1">+SUM(Y25:AB25)</f>
        <v>-28849.846470000019</v>
      </c>
      <c r="AD25" s="857">
        <f t="shared" ca="1" si="32"/>
        <v>-7800.149969999994</v>
      </c>
      <c r="AE25" s="857">
        <f t="shared" ca="1" si="32"/>
        <v>-8201.5867099999923</v>
      </c>
      <c r="AF25" s="857">
        <f t="shared" ca="1" si="32"/>
        <v>-7032.9541999999992</v>
      </c>
      <c r="AG25" s="857">
        <f ca="1">+AG87+AG112</f>
        <v>-7727.4498900000062</v>
      </c>
      <c r="AH25" s="647">
        <f ca="1">+SUM(AD25:AG25)</f>
        <v>-30762.140769999995</v>
      </c>
      <c r="AI25" s="857">
        <f t="shared" ca="1" si="33"/>
        <v>-7409.6727800000008</v>
      </c>
      <c r="AJ25" s="857">
        <f t="shared" ca="1" si="33"/>
        <v>-7342.8118700000014</v>
      </c>
      <c r="AK25" s="857">
        <f t="shared" ca="1" si="33"/>
        <v>-8492.4977499999986</v>
      </c>
      <c r="AL25" s="857">
        <f t="shared" ca="1" si="33"/>
        <v>-8927.2419300000056</v>
      </c>
      <c r="AM25" s="647">
        <f ca="1">+SUM(AI25:AL25)</f>
        <v>-32172.224330000005</v>
      </c>
      <c r="AN25" s="857">
        <f t="shared" ca="1" si="34"/>
        <v>-7514.1432400000012</v>
      </c>
      <c r="AO25" s="857">
        <f t="shared" ca="1" si="34"/>
        <v>-7572.3660000000018</v>
      </c>
      <c r="AP25" s="857">
        <f t="shared" ca="1" si="34"/>
        <v>-7278.9458400000003</v>
      </c>
      <c r="AQ25" s="857">
        <f ca="1">+AQ87+AQ112</f>
        <v>-7119.6390900000006</v>
      </c>
      <c r="AR25" s="647">
        <f ca="1">+SUM(AN25:AQ25)</f>
        <v>-29485.094170000004</v>
      </c>
      <c r="AS25" s="857">
        <f t="shared" ca="1" si="35"/>
        <v>-7444.0698699999984</v>
      </c>
      <c r="AT25" s="857">
        <f t="shared" ca="1" si="35"/>
        <v>-7462.6784600000001</v>
      </c>
      <c r="AU25" s="857">
        <f t="shared" ca="1" si="35"/>
        <v>-7746.9842200000012</v>
      </c>
      <c r="AV25" s="857">
        <f t="shared" ca="1" si="35"/>
        <v>-7795.4597300000005</v>
      </c>
      <c r="AW25" s="647">
        <f ca="1">+SUM(AS25:AV25)</f>
        <v>-30449.192280000003</v>
      </c>
      <c r="AX25" s="857">
        <f ca="1">+AX87+AX112</f>
        <v>-7842.8669000000027</v>
      </c>
      <c r="AY25" s="857">
        <f ca="1">+AY87+AY112</f>
        <v>-8675.7881000000016</v>
      </c>
      <c r="BN25" s="266"/>
      <c r="BO25" s="266"/>
      <c r="BP25" s="266"/>
      <c r="BQ25" s="266"/>
      <c r="BR25" s="266"/>
      <c r="BS25" s="266"/>
      <c r="BT25" s="266"/>
      <c r="BU25" s="266"/>
      <c r="BV25" s="266"/>
      <c r="BW25" s="266"/>
      <c r="BX25" s="266"/>
      <c r="BY25" s="266"/>
      <c r="BZ25" s="266"/>
      <c r="CA25" s="266"/>
      <c r="CB25" s="266"/>
      <c r="CC25" s="266"/>
      <c r="CD25" s="266"/>
      <c r="CE25" s="266"/>
      <c r="CF25" s="266"/>
      <c r="CG25" s="266"/>
      <c r="CH25" s="266"/>
      <c r="CI25" s="266"/>
      <c r="CJ25" s="266"/>
    </row>
    <row r="26" spans="1:88" ht="13.5" customHeight="1" x14ac:dyDescent="0.2">
      <c r="A26" s="516" t="s">
        <v>1875</v>
      </c>
      <c r="B26" s="516" t="s">
        <v>1876</v>
      </c>
      <c r="D26" s="866" t="str">
        <f>IF([1]RENAME!$H$3=1,B26,A26)</f>
        <v>(a) Lucro operacional</v>
      </c>
      <c r="E26" s="865">
        <f ca="1">+E14+E16+E24+E25+E23</f>
        <v>14360.545710000059</v>
      </c>
      <c r="F26" s="865">
        <f ca="1">+F14+F16+F24+F25+F23</f>
        <v>13103.106400000037</v>
      </c>
      <c r="G26" s="865">
        <f ca="1">+G14+G16+G24+G25+G23</f>
        <v>27935.846070000043</v>
      </c>
      <c r="H26" s="865">
        <f ca="1">+H14+H16+H24+H25+H23</f>
        <v>54072.402549999955</v>
      </c>
      <c r="I26" s="864">
        <f ca="1">SUM(E26:H26)</f>
        <v>109471.9007300001</v>
      </c>
      <c r="J26" s="865">
        <f ca="1">+J14+J16+J24+J25+J23</f>
        <v>22543.493380000007</v>
      </c>
      <c r="K26" s="865">
        <f ca="1">+K14+K16+K24+K25+K23</f>
        <v>36238.07877999996</v>
      </c>
      <c r="L26" s="865">
        <f ca="1">+L14+L16+L24+L25+L23</f>
        <v>45686.178229999932</v>
      </c>
      <c r="M26" s="865">
        <f ca="1">+M14+M16+M24+M25+M23</f>
        <v>48576.524440000052</v>
      </c>
      <c r="N26" s="864">
        <f ca="1">SUM(J26:M26)</f>
        <v>153044.27482999995</v>
      </c>
      <c r="O26" s="865">
        <f ca="1">+O14+O16+O24+O25+O23</f>
        <v>40625.074600000058</v>
      </c>
      <c r="P26" s="865">
        <f ca="1">+P14+P16+P24+P25+P23</f>
        <v>45803.189800000044</v>
      </c>
      <c r="Q26" s="865">
        <f ca="1">+Q14+Q16+Q24+Q25+Q23</f>
        <v>100076.36719000005</v>
      </c>
      <c r="R26" s="865">
        <f ca="1">+R14+R16+R24+R25+R23</f>
        <v>53109.901350000022</v>
      </c>
      <c r="S26" s="864">
        <f ca="1">SUM(O26:R26)</f>
        <v>239614.53294000018</v>
      </c>
      <c r="T26" s="865">
        <f ca="1">+T14+T16+T24+T25+T23</f>
        <v>26750.355600000014</v>
      </c>
      <c r="U26" s="865">
        <f ca="1">+U14+U16+U24+U25+U23</f>
        <v>-9186.3538000000244</v>
      </c>
      <c r="V26" s="865">
        <f ca="1">+V14+V16+V24+V25+V23</f>
        <v>42113.171809999971</v>
      </c>
      <c r="W26" s="865">
        <f ca="1">+W14+W16+W24+W25+W23</f>
        <v>40255.049250000033</v>
      </c>
      <c r="X26" s="864">
        <f ca="1">SUM(T26:W26)</f>
        <v>99932.222859999994</v>
      </c>
      <c r="Y26" s="865">
        <f ca="1">+Y14+Y16+Y24+Y25+Y23</f>
        <v>30232.221960000003</v>
      </c>
      <c r="Z26" s="865">
        <f ca="1">+Z14+Z16+Z24+Z25+Z23</f>
        <v>28215.714269999975</v>
      </c>
      <c r="AA26" s="865">
        <f ca="1">+AA14+AA16+AA24+AA25+AA23</f>
        <v>23727.719999999972</v>
      </c>
      <c r="AB26" s="865">
        <f ca="1">+AB14+AB16+AB24+AB25+AB23</f>
        <v>35990.382589999906</v>
      </c>
      <c r="AC26" s="864">
        <f ca="1">SUM(Y26:AB26)</f>
        <v>118166.03881999986</v>
      </c>
      <c r="AD26" s="865">
        <f ca="1">+AD14+AD16+AD24+AD25+AD23</f>
        <v>21601.709109999934</v>
      </c>
      <c r="AE26" s="865">
        <f ca="1">+AE14+AE16+AE24+AE25+AE23</f>
        <v>35458.489839999951</v>
      </c>
      <c r="AF26" s="865">
        <f ca="1">+AF14+AF16+AF24+AF25+AF23</f>
        <v>68734.174689999956</v>
      </c>
      <c r="AG26" s="865">
        <f ca="1">+AG14+AG16+AG24+AG25+AG23</f>
        <v>64815.150449999957</v>
      </c>
      <c r="AH26" s="864">
        <f ca="1">SUM(AD26:AG26)</f>
        <v>190609.52408999979</v>
      </c>
      <c r="AI26" s="865">
        <f ca="1">+AI14+AI16+AI24+AI25+AI23</f>
        <v>40239.313079999869</v>
      </c>
      <c r="AJ26" s="865">
        <f ca="1">+AJ14+AJ16+AJ24+AJ25+AJ23</f>
        <v>44622.017100000056</v>
      </c>
      <c r="AK26" s="865">
        <f ca="1">+AK14+AK16+AK24+AK25+AK23</f>
        <v>65469.064530000003</v>
      </c>
      <c r="AL26" s="865">
        <f ca="1">+AL14+AL16+AL24+AL25+AL23</f>
        <v>59952.821860000244</v>
      </c>
      <c r="AM26" s="864">
        <f ca="1">SUM(AI26:AL26)</f>
        <v>210283.21657000016</v>
      </c>
      <c r="AN26" s="865">
        <f ca="1">+AN14+AN16+AN24+AN25+AN23</f>
        <v>44480.741189999811</v>
      </c>
      <c r="AO26" s="865">
        <f ca="1">+AO14+AO16+AO24+AO25+AO23</f>
        <v>71239.997730000061</v>
      </c>
      <c r="AP26" s="865">
        <f ca="1">+AP14+AP16+AP24+AP25+AP23</f>
        <v>111728.42351000008</v>
      </c>
      <c r="AQ26" s="865">
        <f ca="1">+AQ14+AQ16+AQ24+AQ25+AQ23</f>
        <v>111980.14013999992</v>
      </c>
      <c r="AR26" s="864">
        <f ca="1">SUM(AN26:AQ26)</f>
        <v>339429.30256999988</v>
      </c>
      <c r="AS26" s="865">
        <f ca="1">+AS14+AS16+AS24+AS25+AS23</f>
        <v>53854.19730999993</v>
      </c>
      <c r="AT26" s="865">
        <f ca="1">+AT14+AT16+AT24+AT25+AT23</f>
        <v>79643.90473999978</v>
      </c>
      <c r="AU26" s="865">
        <f ca="1">+AU14+AU16+AU24+AU25+AU23</f>
        <v>101240.81089000018</v>
      </c>
      <c r="AV26" s="865">
        <f ca="1">+AV14+AV16+AV24+AV25+AV23</f>
        <v>65333.890830000004</v>
      </c>
      <c r="AW26" s="864">
        <f ca="1">SUM(AS26:AV26)</f>
        <v>300072.80376999988</v>
      </c>
      <c r="AX26" s="865">
        <f ca="1">+AX14+AX16+AX24+AX25+AX23</f>
        <v>57512.500710000066</v>
      </c>
      <c r="AY26" s="865">
        <f ca="1">+AY14+AY16+AY24+AY25+AY23</f>
        <v>113858.71841999977</v>
      </c>
      <c r="BN26" s="266"/>
      <c r="BO26" s="266"/>
      <c r="BP26" s="266"/>
      <c r="BQ26" s="266"/>
      <c r="BR26" s="266"/>
      <c r="BS26" s="266"/>
      <c r="BT26" s="266"/>
      <c r="BU26" s="266"/>
      <c r="BV26" s="266"/>
      <c r="BW26" s="266"/>
      <c r="BX26" s="266"/>
      <c r="BY26" s="266"/>
      <c r="BZ26" s="266"/>
      <c r="CA26" s="266"/>
      <c r="CB26" s="266"/>
      <c r="CC26" s="266"/>
      <c r="CD26" s="266"/>
      <c r="CE26" s="266"/>
      <c r="CF26" s="266"/>
      <c r="CG26" s="266"/>
      <c r="CH26" s="266"/>
      <c r="CI26" s="266"/>
      <c r="CJ26" s="266"/>
    </row>
    <row r="27" spans="1:88" s="850" customFormat="1" ht="13.5" customHeight="1" x14ac:dyDescent="0.2">
      <c r="A27" s="516" t="s">
        <v>1733</v>
      </c>
      <c r="B27" s="516" t="s">
        <v>1732</v>
      </c>
      <c r="C27" s="855"/>
      <c r="D27" s="854" t="str">
        <f>IF([1]RENAME!$H$3=1,B27,A27)</f>
        <v>Margem operacional</v>
      </c>
      <c r="E27" s="853">
        <f t="shared" ref="E27:Z27" ca="1" si="36">+E26/E11</f>
        <v>6.7257917096421885E-2</v>
      </c>
      <c r="F27" s="853">
        <f t="shared" ca="1" si="36"/>
        <v>4.9425839147433093E-2</v>
      </c>
      <c r="G27" s="853">
        <f t="shared" ca="1" si="36"/>
        <v>9.7719176132601601E-2</v>
      </c>
      <c r="H27" s="853">
        <f t="shared" ca="1" si="36"/>
        <v>0.16925361906828751</v>
      </c>
      <c r="I27" s="852">
        <f t="shared" ca="1" si="36"/>
        <v>0.1009911265210523</v>
      </c>
      <c r="J27" s="853">
        <f t="shared" ca="1" si="36"/>
        <v>8.6020109095330477E-2</v>
      </c>
      <c r="K27" s="853">
        <f t="shared" ca="1" si="36"/>
        <v>0.12356334091640669</v>
      </c>
      <c r="L27" s="853">
        <f t="shared" ca="1" si="36"/>
        <v>0.1357859109240224</v>
      </c>
      <c r="M27" s="853">
        <f t="shared" ca="1" si="36"/>
        <v>0.13391279214012711</v>
      </c>
      <c r="N27" s="852">
        <f t="shared" ca="1" si="36"/>
        <v>0.12199112143484277</v>
      </c>
      <c r="O27" s="853">
        <f t="shared" ca="1" si="36"/>
        <v>0.1369319458602051</v>
      </c>
      <c r="P27" s="853">
        <f t="shared" ca="1" si="36"/>
        <v>0.13813282804331664</v>
      </c>
      <c r="Q27" s="853">
        <f t="shared" ca="1" si="36"/>
        <v>0.2937175478112492</v>
      </c>
      <c r="R27" s="853">
        <f t="shared" ca="1" si="36"/>
        <v>0.14038038002466052</v>
      </c>
      <c r="S27" s="852">
        <f t="shared" ca="1" si="36"/>
        <v>0.17784524384261277</v>
      </c>
      <c r="T27" s="853">
        <f t="shared" ca="1" si="36"/>
        <v>9.5623583933504341E-2</v>
      </c>
      <c r="U27" s="853">
        <f t="shared" ca="1" si="36"/>
        <v>-7.0587947673841162E-2</v>
      </c>
      <c r="V27" s="853">
        <f t="shared" ca="1" si="36"/>
        <v>0.14562886729823069</v>
      </c>
      <c r="W27" s="853">
        <f t="shared" ca="1" si="36"/>
        <v>0.12862413523766769</v>
      </c>
      <c r="X27" s="852">
        <f t="shared" ca="1" si="36"/>
        <v>9.8743842823747E-2</v>
      </c>
      <c r="Y27" s="853">
        <f t="shared" ca="1" si="36"/>
        <v>0.1292460553960216</v>
      </c>
      <c r="Z27" s="853">
        <f t="shared" ca="1" si="36"/>
        <v>0.11902037211312161</v>
      </c>
      <c r="AA27" s="853">
        <f t="shared" ref="AA27:AF27" ca="1" si="37">+AA26/AA11</f>
        <v>0.10252278029266407</v>
      </c>
      <c r="AB27" s="853">
        <f t="shared" ca="1" si="37"/>
        <v>0.11802985568991999</v>
      </c>
      <c r="AC27" s="852">
        <f t="shared" ca="1" si="37"/>
        <v>0.11730466958604494</v>
      </c>
      <c r="AD27" s="853">
        <f t="shared" ca="1" si="37"/>
        <v>8.9609066947452742E-2</v>
      </c>
      <c r="AE27" s="853">
        <f t="shared" ca="1" si="37"/>
        <v>0.11643479243811906</v>
      </c>
      <c r="AF27" s="853">
        <f t="shared" ca="1" si="37"/>
        <v>0.16542174969034815</v>
      </c>
      <c r="AG27" s="853">
        <f t="shared" ref="AG27:AO27" ca="1" si="38">+AG26/AG11</f>
        <v>0.15831762121160023</v>
      </c>
      <c r="AH27" s="852">
        <f t="shared" ca="1" si="38"/>
        <v>0.13907932164519468</v>
      </c>
      <c r="AI27" s="853">
        <f t="shared" ca="1" si="38"/>
        <v>0.11974633573198905</v>
      </c>
      <c r="AJ27" s="853">
        <f t="shared" ca="1" si="38"/>
        <v>0.12170169985787832</v>
      </c>
      <c r="AK27" s="853">
        <f t="shared" ca="1" si="38"/>
        <v>0.15333138280521055</v>
      </c>
      <c r="AL27" s="853">
        <f t="shared" ca="1" si="38"/>
        <v>0.13211250238947236</v>
      </c>
      <c r="AM27" s="852">
        <f t="shared" ca="1" si="38"/>
        <v>0.13279919585954997</v>
      </c>
      <c r="AN27" s="853">
        <f t="shared" ca="1" si="38"/>
        <v>0.11429619594515424</v>
      </c>
      <c r="AO27" s="853">
        <f t="shared" ca="1" si="38"/>
        <v>0.15066336988493462</v>
      </c>
      <c r="AP27" s="853">
        <f t="shared" ref="AP27:AX27" ca="1" si="39">+AP26/AP11</f>
        <v>0.18505612422775947</v>
      </c>
      <c r="AQ27" s="853">
        <f t="shared" ca="1" si="39"/>
        <v>0.17935183065887303</v>
      </c>
      <c r="AR27" s="852">
        <f t="shared" ca="1" si="39"/>
        <v>0.16239646434382346</v>
      </c>
      <c r="AS27" s="853">
        <f t="shared" ca="1" si="39"/>
        <v>0.12229659628440497</v>
      </c>
      <c r="AT27" s="853">
        <f t="shared" ca="1" si="39"/>
        <v>0.14734149094288312</v>
      </c>
      <c r="AU27" s="853">
        <f t="shared" ca="1" si="39"/>
        <v>0.15962973728368077</v>
      </c>
      <c r="AV27" s="853">
        <f t="shared" ca="1" si="39"/>
        <v>0.10705063274505398</v>
      </c>
      <c r="AW27" s="852">
        <f t="shared" ca="1" si="39"/>
        <v>0.13483824966170879</v>
      </c>
      <c r="AX27" s="853">
        <f t="shared" ca="1" si="39"/>
        <v>0.11032966388770894</v>
      </c>
      <c r="AY27" s="853">
        <f ca="1">+AY26/AY11</f>
        <v>0.15383889664436592</v>
      </c>
      <c r="AZ27" s="851"/>
      <c r="BA27" s="851"/>
      <c r="BB27" s="851"/>
      <c r="BC27" s="851"/>
      <c r="BD27" s="851"/>
      <c r="BE27" s="851"/>
      <c r="BF27" s="851"/>
      <c r="BG27" s="851"/>
      <c r="BH27" s="851"/>
      <c r="BK27" s="851"/>
      <c r="BL27" s="851"/>
      <c r="BM27" s="851"/>
      <c r="BN27" s="851"/>
      <c r="BO27" s="851"/>
      <c r="BP27" s="851"/>
      <c r="BQ27" s="851"/>
      <c r="BR27" s="851"/>
      <c r="BS27" s="851"/>
      <c r="BT27" s="851"/>
      <c r="BU27" s="851"/>
      <c r="BV27" s="851"/>
      <c r="BW27" s="851"/>
      <c r="BX27" s="851"/>
      <c r="BY27" s="851"/>
      <c r="BZ27" s="851"/>
      <c r="CA27" s="851"/>
      <c r="CB27" s="851"/>
      <c r="CC27" s="851"/>
      <c r="CD27" s="851"/>
      <c r="CE27" s="851"/>
      <c r="CF27" s="851"/>
      <c r="CG27" s="851"/>
      <c r="CH27" s="851"/>
      <c r="CI27" s="851"/>
      <c r="CJ27" s="851"/>
    </row>
    <row r="28" spans="1:88" ht="13.5" customHeight="1" x14ac:dyDescent="0.2">
      <c r="A28" s="516" t="s">
        <v>46</v>
      </c>
      <c r="B28" s="516" t="s">
        <v>1761</v>
      </c>
      <c r="D28" s="858" t="str">
        <f>IF([1]RENAME!$H$3=1,B28,A28)</f>
        <v>(-) Resultado financeiro</v>
      </c>
      <c r="E28" s="857">
        <f t="shared" ref="E28:H29" ca="1" si="40">+SUMIFS(INDIRECT(CONCATENATE("'",$AZ28,$BA28,":",$BB28)),INDIRECT(CONCATENATE("'",$AZ28,$BA$22,":",$BB$22)),E$35)</f>
        <v>-4287.1967700000005</v>
      </c>
      <c r="F28" s="857">
        <f t="shared" ca="1" si="40"/>
        <v>3566.6795899999997</v>
      </c>
      <c r="G28" s="857">
        <f t="shared" ca="1" si="40"/>
        <v>-3113.1098000000002</v>
      </c>
      <c r="H28" s="857">
        <f t="shared" ca="1" si="40"/>
        <v>12617.618369999998</v>
      </c>
      <c r="I28" s="647">
        <f ca="1">+SUM(E28:H28)</f>
        <v>8783.9913899999974</v>
      </c>
      <c r="J28" s="857">
        <f t="shared" ref="J28:M29" ca="1" si="41">+SUMIFS(INDIRECT(CONCATENATE("'",$AZ28,$BA28,":",$BB28)),INDIRECT(CONCATENATE("'",$AZ28,$BA$22,":",$BB$22)),J$35)</f>
        <v>-1889.4519500000006</v>
      </c>
      <c r="K28" s="857">
        <f t="shared" ca="1" si="41"/>
        <v>-825.25070000000005</v>
      </c>
      <c r="L28" s="857">
        <f t="shared" ca="1" si="41"/>
        <v>-4991.2516099999993</v>
      </c>
      <c r="M28" s="857">
        <f t="shared" ca="1" si="41"/>
        <v>-1413.8592499999995</v>
      </c>
      <c r="N28" s="647">
        <f ca="1">+SUM(J28:M28)</f>
        <v>-9119.81351</v>
      </c>
      <c r="O28" s="857">
        <f t="shared" ref="O28:R29" ca="1" si="42">+SUMIFS(INDIRECT(CONCATENATE("'",$AZ28,$BA28,":",$BB28)),INDIRECT(CONCATENATE("'",$AZ28,$BA$22,":",$BB$22)),O$35)</f>
        <v>-1898</v>
      </c>
      <c r="P28" s="857">
        <f t="shared" ca="1" si="42"/>
        <v>-2688</v>
      </c>
      <c r="Q28" s="901">
        <f t="shared" ca="1" si="42"/>
        <v>30529</v>
      </c>
      <c r="R28" s="857">
        <f t="shared" ca="1" si="42"/>
        <v>-3245.5405300000002</v>
      </c>
      <c r="S28" s="916">
        <f ca="1">+SUM(O28:R28)</f>
        <v>22697.459470000002</v>
      </c>
      <c r="T28" s="857">
        <f t="shared" ref="T28:W29" ca="1" si="43">+SUMIFS(INDIRECT(CONCATENATE("'",$AZ28,$BA28,":",$BB28)),INDIRECT(CONCATENATE("'",$AZ28,$BA$22,":",$BB$22)),T$35)</f>
        <v>-2007.30314</v>
      </c>
      <c r="U28" s="857">
        <f t="shared" ca="1" si="43"/>
        <v>-2212.7467099999976</v>
      </c>
      <c r="V28" s="857">
        <f t="shared" ca="1" si="43"/>
        <v>-2784.8866099999996</v>
      </c>
      <c r="W28" s="857">
        <f t="shared" ca="1" si="43"/>
        <v>-2152.0314800000006</v>
      </c>
      <c r="X28" s="647">
        <f ca="1">+SUM(T28:W28)</f>
        <v>-9156.9679399999986</v>
      </c>
      <c r="Y28" s="857">
        <f t="shared" ref="Y28:AB29" ca="1" si="44">+SUMIFS(INDIRECT(CONCATENATE("'",$AZ28,$BA28,":",$BB28)),INDIRECT(CONCATENATE("'",$AZ28,$BA$22,":",$BB$22)),Y$35)</f>
        <v>-2893.5208399999997</v>
      </c>
      <c r="Z28" s="901">
        <f t="shared" ca="1" si="44"/>
        <v>1719.5772200000001</v>
      </c>
      <c r="AA28" s="857">
        <f t="shared" ca="1" si="44"/>
        <v>-896.09401000000025</v>
      </c>
      <c r="AB28" s="857">
        <f t="shared" ca="1" si="44"/>
        <v>-952.37159000000065</v>
      </c>
      <c r="AC28" s="916">
        <f ca="1">+SUM(Y28:AB28)</f>
        <v>-3022.4092200000005</v>
      </c>
      <c r="AD28" s="857">
        <f t="shared" ref="AD28:AG29" ca="1" si="45">+SUMIFS(INDIRECT(CONCATENATE("'",$AZ28,$BA28,":",$BB28)),INDIRECT(CONCATENATE("'",$AZ28,$BA$22,":",$BB$22)),AD$35)</f>
        <v>-540.99999999999909</v>
      </c>
      <c r="AE28" s="857">
        <f t="shared" ca="1" si="45"/>
        <v>164.84838000000036</v>
      </c>
      <c r="AF28" s="857">
        <f t="shared" ca="1" si="45"/>
        <v>-52.790259999998852</v>
      </c>
      <c r="AG28" s="901">
        <f t="shared" ca="1" si="45"/>
        <v>7143.2795999999998</v>
      </c>
      <c r="AH28" s="916">
        <f ca="1">+SUM(AD28:AG28)</f>
        <v>6714.3377200000023</v>
      </c>
      <c r="AI28" s="857">
        <f t="shared" ref="AI28:AL29" ca="1" si="46">+SUMIFS(INDIRECT(CONCATENATE("'",$AZ28,$BA28,":",$BB28)),INDIRECT(CONCATENATE("'",$AZ28,$BA$22,":",$BB$22)),AI$35)</f>
        <v>1279.2891100000006</v>
      </c>
      <c r="AJ28" s="901">
        <f t="shared" ca="1" si="46"/>
        <v>2933.0279499999979</v>
      </c>
      <c r="AK28" s="857">
        <f t="shared" ca="1" si="46"/>
        <v>2517.9430699999984</v>
      </c>
      <c r="AL28" s="857">
        <f t="shared" ca="1" si="46"/>
        <v>2208.5117899999996</v>
      </c>
      <c r="AM28" s="916">
        <f ca="1">+SUM(AI28:AL28)</f>
        <v>8938.7719199999956</v>
      </c>
      <c r="AN28" s="857">
        <f t="shared" ref="AN28:AQ29" ca="1" si="47">+SUMIFS(INDIRECT(CONCATENATE("'",$AZ28,$BA28,":",$BB28)),INDIRECT(CONCATENATE("'",$AZ28,$BA$22,":",$BB$22)),AN$35)</f>
        <v>2039.7343800000008</v>
      </c>
      <c r="AO28" s="901">
        <f t="shared" ca="1" si="47"/>
        <v>4056.5603300000002</v>
      </c>
      <c r="AP28" s="857">
        <f t="shared" ca="1" si="47"/>
        <v>1218.2220500000021</v>
      </c>
      <c r="AQ28" s="857">
        <f t="shared" ca="1" si="47"/>
        <v>1460.4212000000007</v>
      </c>
      <c r="AR28" s="916">
        <f ca="1">+SUM(AN28:AQ28)</f>
        <v>8774.9379600000029</v>
      </c>
      <c r="AS28" s="857">
        <f t="shared" ref="AS28:AV29" ca="1" si="48">+SUMIFS(INDIRECT(CONCATENATE("'",$AZ28,$BA28,":",$BB28)),INDIRECT(CONCATENATE("'",$AZ28,$BA$22,":",$BB$22)),AS$35)</f>
        <v>2351.3270400000001</v>
      </c>
      <c r="AT28" s="857">
        <f t="shared" ca="1" si="48"/>
        <v>3260.8603000000021</v>
      </c>
      <c r="AU28" s="857">
        <f t="shared" ca="1" si="48"/>
        <v>3306.933340000005</v>
      </c>
      <c r="AV28" s="857">
        <f t="shared" ca="1" si="48"/>
        <v>2568.8136299999987</v>
      </c>
      <c r="AW28" s="915">
        <f ca="1">+SUM(AS28:AV28)</f>
        <v>11487.934310000006</v>
      </c>
      <c r="AX28" s="857">
        <f ca="1">+SUMIFS(INDIRECT(CONCATENATE("'",$AZ28,$BA28,":",$BB28)),INDIRECT(CONCATENATE("'",$AZ28,$BA$22,":",$BB$22)),AX$35)</f>
        <v>-1121.6847400000006</v>
      </c>
      <c r="AY28" s="857">
        <f ca="1">+SUMIFS(INDIRECT(CONCATENATE("'",$AZ28,$BA28,":",$BB28)),INDIRECT(CONCATENATE("'",$AZ28,$BA$22,":",$BB$22)),AY$35)</f>
        <v>-1331.1711999999998</v>
      </c>
      <c r="AZ28" s="266" t="str">
        <f>IF([1]RENAME!$H$3=0,BD28,BC28)</f>
        <v>DRE'!</v>
      </c>
      <c r="BA28" s="266" t="str">
        <f>"$"&amp;ROW(DRE!$D$21)</f>
        <v>$21</v>
      </c>
      <c r="BB28" s="266" t="str">
        <f>"$"&amp;ROW(DRE!$D$21)</f>
        <v>$21</v>
      </c>
      <c r="BC28" s="266" t="s">
        <v>1760</v>
      </c>
      <c r="BD28" s="266" t="s">
        <v>1759</v>
      </c>
      <c r="BN28" s="266"/>
      <c r="BO28" s="266"/>
      <c r="BP28" s="266"/>
      <c r="BQ28" s="266"/>
      <c r="BR28" s="266"/>
      <c r="BS28" s="266"/>
      <c r="BT28" s="266"/>
      <c r="BU28" s="266"/>
      <c r="BV28" s="266"/>
      <c r="BW28" s="266"/>
      <c r="BX28" s="266"/>
      <c r="BY28" s="266"/>
      <c r="BZ28" s="266"/>
      <c r="CA28" s="266"/>
      <c r="CB28" s="266"/>
      <c r="CC28" s="266"/>
      <c r="CD28" s="266"/>
      <c r="CE28" s="266"/>
      <c r="CF28" s="266"/>
      <c r="CG28" s="266"/>
      <c r="CH28" s="266"/>
      <c r="CI28" s="266"/>
      <c r="CJ28" s="266"/>
    </row>
    <row r="29" spans="1:88" ht="13.5" customHeight="1" x14ac:dyDescent="0.2">
      <c r="A29" s="516" t="s">
        <v>47</v>
      </c>
      <c r="B29" s="516" t="s">
        <v>1998</v>
      </c>
      <c r="D29" s="858" t="str">
        <f>IF([1]RENAME!$H$3=1,B29,A29)</f>
        <v>(-) Equivalência patrimonial</v>
      </c>
      <c r="E29" s="857">
        <f t="shared" ca="1" si="40"/>
        <v>-322.19973999999996</v>
      </c>
      <c r="F29" s="857">
        <f t="shared" ca="1" si="40"/>
        <v>-379.92368999999991</v>
      </c>
      <c r="G29" s="857">
        <f t="shared" ca="1" si="40"/>
        <v>-656.57451999999967</v>
      </c>
      <c r="H29" s="857">
        <f t="shared" ca="1" si="40"/>
        <v>595.71961999999996</v>
      </c>
      <c r="I29" s="915">
        <f ca="1">+SUM(E29:H29)</f>
        <v>-762.97832999999957</v>
      </c>
      <c r="J29" s="857">
        <f t="shared" ca="1" si="41"/>
        <v>-425</v>
      </c>
      <c r="K29" s="857">
        <f t="shared" ca="1" si="41"/>
        <v>-226.81720999999999</v>
      </c>
      <c r="L29" s="857">
        <f t="shared" ca="1" si="41"/>
        <v>341.39789999999994</v>
      </c>
      <c r="M29" s="857">
        <f t="shared" ca="1" si="41"/>
        <v>681.55288999999982</v>
      </c>
      <c r="N29" s="915">
        <f ca="1">+SUM(J29:M29)</f>
        <v>371.13357999999982</v>
      </c>
      <c r="O29" s="857">
        <f t="shared" ca="1" si="42"/>
        <v>-528.95529999999997</v>
      </c>
      <c r="P29" s="857">
        <f t="shared" ca="1" si="42"/>
        <v>322.18200999999976</v>
      </c>
      <c r="Q29" s="857">
        <f t="shared" ca="1" si="42"/>
        <v>843.61563999999998</v>
      </c>
      <c r="R29" s="857">
        <f t="shared" ca="1" si="42"/>
        <v>2349.8983000000007</v>
      </c>
      <c r="S29" s="915">
        <f ca="1">+SUM(O29:R29)</f>
        <v>2986.7406500000006</v>
      </c>
      <c r="T29" s="857">
        <f t="shared" ca="1" si="43"/>
        <v>1394.2409299999999</v>
      </c>
      <c r="U29" s="857">
        <f t="shared" ca="1" si="43"/>
        <v>2411.7455300000011</v>
      </c>
      <c r="V29" s="857">
        <f t="shared" ca="1" si="43"/>
        <v>2631.5309200000002</v>
      </c>
      <c r="W29" s="857">
        <f t="shared" ca="1" si="43"/>
        <v>-161.1788199999996</v>
      </c>
      <c r="X29" s="915">
        <f ca="1">+SUM(T29:W29)</f>
        <v>6276.338560000002</v>
      </c>
      <c r="Y29" s="857">
        <f t="shared" ca="1" si="44"/>
        <v>810.82394999999951</v>
      </c>
      <c r="Z29" s="857">
        <f t="shared" ca="1" si="44"/>
        <v>2401.2292212000002</v>
      </c>
      <c r="AA29" s="857">
        <f t="shared" ca="1" si="44"/>
        <v>1798.9342100000003</v>
      </c>
      <c r="AB29" s="857">
        <f t="shared" ca="1" si="44"/>
        <v>4231.8650900000002</v>
      </c>
      <c r="AC29" s="915">
        <f ca="1">+SUM(Y29:AB29)</f>
        <v>9242.8524711999999</v>
      </c>
      <c r="AD29" s="857">
        <f t="shared" ca="1" si="45"/>
        <v>3013</v>
      </c>
      <c r="AE29" s="857">
        <f t="shared" ca="1" si="45"/>
        <v>3005.671455575</v>
      </c>
      <c r="AF29" s="857">
        <f t="shared" ca="1" si="45"/>
        <v>2435.9022784000003</v>
      </c>
      <c r="AG29" s="857">
        <f t="shared" ca="1" si="45"/>
        <v>2116.9677172000002</v>
      </c>
      <c r="AH29" s="915">
        <f ca="1">+SUM(AD29:AG29)</f>
        <v>10571.541451175002</v>
      </c>
      <c r="AI29" s="857">
        <f t="shared" ca="1" si="46"/>
        <v>3837.9019078000001</v>
      </c>
      <c r="AJ29" s="857">
        <f t="shared" ca="1" si="46"/>
        <v>2883.4226600000002</v>
      </c>
      <c r="AK29" s="857">
        <f t="shared" ca="1" si="46"/>
        <v>5093.8337000000001</v>
      </c>
      <c r="AL29" s="857">
        <f t="shared" ca="1" si="46"/>
        <v>4439.7830400000003</v>
      </c>
      <c r="AM29" s="915">
        <f ca="1">+SUM(AI29:AL29)</f>
        <v>16254.941307800002</v>
      </c>
      <c r="AN29" s="857">
        <f t="shared" ca="1" si="47"/>
        <v>6603.9437900000003</v>
      </c>
      <c r="AO29" s="857">
        <f t="shared" ca="1" si="47"/>
        <v>9362.2939999999999</v>
      </c>
      <c r="AP29" s="857">
        <f t="shared" ca="1" si="47"/>
        <v>7432.3453100000006</v>
      </c>
      <c r="AQ29" s="857">
        <f t="shared" ca="1" si="47"/>
        <v>5865.9073797000001</v>
      </c>
      <c r="AR29" s="915">
        <f ca="1">+SUM(AN29:AQ29)</f>
        <v>29264.490479699998</v>
      </c>
      <c r="AS29" s="857">
        <f t="shared" ca="1" si="48"/>
        <v>6307.3868199999988</v>
      </c>
      <c r="AT29" s="857">
        <f t="shared" ca="1" si="48"/>
        <v>8941.1631000000052</v>
      </c>
      <c r="AU29" s="857">
        <f t="shared" ca="1" si="48"/>
        <v>7375.3358299999982</v>
      </c>
      <c r="AV29" s="857">
        <f t="shared" ca="1" si="48"/>
        <v>4187.0581799999964</v>
      </c>
      <c r="AW29" s="915">
        <f ca="1">+SUM(AS29:AV29)</f>
        <v>26810.943929999998</v>
      </c>
      <c r="AX29" s="857">
        <f ca="1">+SUMIFS(INDIRECT(CONCATENATE("'",$AZ29,$BA29,":",$BB29)),INDIRECT(CONCATENATE("'",$AZ29,$BA$22,":",$BB$22)),AX$35)</f>
        <v>1431.1687999999999</v>
      </c>
      <c r="AY29" s="857">
        <f ca="1">+SUMIFS(INDIRECT(CONCATENATE("'",$AZ29,$BA29,":",$BB29)),INDIRECT(CONCATENATE("'",$AZ29,$BA$22,":",$BB$22)),AY$35)</f>
        <v>5691.9000899999992</v>
      </c>
      <c r="AZ29" s="266" t="str">
        <f>IF([1]RENAME!$H$3=0,BD29,BC29)</f>
        <v>DRE'!</v>
      </c>
      <c r="BA29" s="266" t="str">
        <f>"$"&amp;ROW(DRE!$D$20)</f>
        <v>$20</v>
      </c>
      <c r="BB29" s="266" t="str">
        <f>"$"&amp;ROW(DRE!$D$20)</f>
        <v>$20</v>
      </c>
      <c r="BC29" s="266" t="s">
        <v>1760</v>
      </c>
      <c r="BD29" s="266" t="s">
        <v>1759</v>
      </c>
      <c r="BN29" s="266"/>
      <c r="BO29" s="266"/>
      <c r="BP29" s="266"/>
      <c r="BQ29" s="266"/>
      <c r="BR29" s="266"/>
      <c r="BS29" s="266"/>
      <c r="BT29" s="266"/>
      <c r="BU29" s="266"/>
      <c r="BV29" s="266"/>
      <c r="BW29" s="266"/>
      <c r="BX29" s="266"/>
      <c r="BY29" s="266"/>
      <c r="BZ29" s="266"/>
      <c r="CA29" s="266"/>
      <c r="CB29" s="266"/>
      <c r="CC29" s="266"/>
      <c r="CD29" s="266"/>
      <c r="CE29" s="266"/>
      <c r="CF29" s="266"/>
      <c r="CG29" s="266"/>
      <c r="CH29" s="266"/>
      <c r="CI29" s="266"/>
      <c r="CJ29" s="266"/>
    </row>
    <row r="30" spans="1:88" ht="13.5" customHeight="1" x14ac:dyDescent="0.2">
      <c r="A30" s="516" t="s">
        <v>14</v>
      </c>
      <c r="B30" s="516" t="s">
        <v>709</v>
      </c>
      <c r="D30" s="866" t="str">
        <f>IF([1]RENAME!$H$3=1,B30,A30)</f>
        <v>Lucro antes do IR e da CS</v>
      </c>
      <c r="E30" s="865">
        <f ca="1">+E26+E28+E29</f>
        <v>9751.149200000058</v>
      </c>
      <c r="F30" s="865">
        <f ca="1">+F26+F28+F29</f>
        <v>16289.862300000037</v>
      </c>
      <c r="G30" s="865">
        <f ca="1">+G26+G28+G29</f>
        <v>24166.161750000047</v>
      </c>
      <c r="H30" s="865">
        <f ca="1">+H26+H28+H29</f>
        <v>67285.740539999955</v>
      </c>
      <c r="I30" s="864">
        <f ca="1">+SUM(E30:H30)</f>
        <v>117492.91379000009</v>
      </c>
      <c r="J30" s="865">
        <f ca="1">+J26+J28+J29</f>
        <v>20229.041430000005</v>
      </c>
      <c r="K30" s="865">
        <f ca="1">+K26+K28+K29</f>
        <v>35186.010869999962</v>
      </c>
      <c r="L30" s="865">
        <f ca="1">+L26+L28+L29</f>
        <v>41036.324519999936</v>
      </c>
      <c r="M30" s="865">
        <f ca="1">+M26+M28+M29</f>
        <v>47844.21808000005</v>
      </c>
      <c r="N30" s="864">
        <f ca="1">+SUM(J30:M30)</f>
        <v>144295.59489999997</v>
      </c>
      <c r="O30" s="865">
        <f ca="1">+O26+O28+O29</f>
        <v>38198.119300000057</v>
      </c>
      <c r="P30" s="865">
        <f ca="1">+P26+P28+P29</f>
        <v>43437.371810000041</v>
      </c>
      <c r="Q30" s="865">
        <f ca="1">+Q26+Q28+Q29</f>
        <v>131448.98283000005</v>
      </c>
      <c r="R30" s="865">
        <f ca="1">+R26+R28+R29</f>
        <v>52214.259120000024</v>
      </c>
      <c r="S30" s="864">
        <f ca="1">+SUM(O30:R30)</f>
        <v>265298.73306000017</v>
      </c>
      <c r="T30" s="865">
        <f ca="1">+T26+T28+T29</f>
        <v>26137.293390000013</v>
      </c>
      <c r="U30" s="865">
        <f ca="1">+U26+U28+U29</f>
        <v>-8987.3549800000219</v>
      </c>
      <c r="V30" s="865">
        <f ca="1">+V26+V28+V29</f>
        <v>41959.816119999967</v>
      </c>
      <c r="W30" s="865">
        <f ca="1">+W26+W28+W29</f>
        <v>37941.838950000034</v>
      </c>
      <c r="X30" s="864">
        <f ca="1">+SUM(T30:W30)</f>
        <v>97051.593479999996</v>
      </c>
      <c r="Y30" s="865">
        <f ca="1">+Y26+Y28+Y29</f>
        <v>28149.52507</v>
      </c>
      <c r="Z30" s="865">
        <f ca="1">+Z26+Z28+Z29</f>
        <v>32336.520711199973</v>
      </c>
      <c r="AA30" s="865">
        <f ca="1">+AA26+AA28+AA29</f>
        <v>24630.560199999971</v>
      </c>
      <c r="AB30" s="865">
        <f ca="1">+AB26+AB28+AB29</f>
        <v>39269.876089999903</v>
      </c>
      <c r="AC30" s="864">
        <f ca="1">+SUM(Y30:AB30)</f>
        <v>124386.48207119985</v>
      </c>
      <c r="AD30" s="865">
        <f ca="1">+AD26+AD28+AD29</f>
        <v>24073.709109999934</v>
      </c>
      <c r="AE30" s="865">
        <f ca="1">+AE26+AE28+AE29</f>
        <v>38629.009675574955</v>
      </c>
      <c r="AF30" s="865">
        <f ca="1">+AF26+AF28+AF29</f>
        <v>71117.286708399959</v>
      </c>
      <c r="AG30" s="865">
        <f ca="1">+AG26+AG28+AG29</f>
        <v>74075.397767199946</v>
      </c>
      <c r="AH30" s="864">
        <f ca="1">+SUM(AD30:AG30)</f>
        <v>207895.4032611748</v>
      </c>
      <c r="AI30" s="865">
        <f ca="1">+AI26+AI28+AI29</f>
        <v>45356.504097799865</v>
      </c>
      <c r="AJ30" s="865">
        <f ca="1">+AJ26+AJ28+AJ29</f>
        <v>50438.467710000055</v>
      </c>
      <c r="AK30" s="865">
        <f ca="1">+AK26+AK28+AK29</f>
        <v>73080.8413</v>
      </c>
      <c r="AL30" s="865">
        <f ca="1">+AL26+AL28+AL29</f>
        <v>66601.116690000243</v>
      </c>
      <c r="AM30" s="864">
        <f ca="1">+SUM(AI30:AL30)</f>
        <v>235476.92979780014</v>
      </c>
      <c r="AN30" s="865">
        <f ca="1">+AN26+AN28+AN29</f>
        <v>53124.419359999811</v>
      </c>
      <c r="AO30" s="865">
        <f ca="1">+AO26+AO28+AO29</f>
        <v>84658.852060000063</v>
      </c>
      <c r="AP30" s="865">
        <f ca="1">+AP26+AP28+AP29</f>
        <v>120378.99087000008</v>
      </c>
      <c r="AQ30" s="865">
        <f ca="1">+AQ26+AQ28+AQ29</f>
        <v>119306.46871969991</v>
      </c>
      <c r="AR30" s="864">
        <f ca="1">+SUM(AN30:AQ30)</f>
        <v>377468.73100969987</v>
      </c>
      <c r="AS30" s="865">
        <f ca="1">+AS26+AS28+AS29</f>
        <v>62512.911169999934</v>
      </c>
      <c r="AT30" s="865">
        <f ca="1">+AT26+AT28+AT29</f>
        <v>91845.928139999785</v>
      </c>
      <c r="AU30" s="865">
        <f ca="1">+AU26+AU28+AU29</f>
        <v>111923.08006000018</v>
      </c>
      <c r="AV30" s="865">
        <f ca="1">+AV26+AV28+AV29</f>
        <v>72089.762640000001</v>
      </c>
      <c r="AW30" s="864">
        <f ca="1">+SUM(AS30:AV30)</f>
        <v>338371.68200999987</v>
      </c>
      <c r="AX30" s="865">
        <f ca="1">+AX26+AX28+AX29</f>
        <v>57821.984770000068</v>
      </c>
      <c r="AY30" s="865">
        <f ca="1">+AY26+AY28+AY29</f>
        <v>118219.44730999977</v>
      </c>
      <c r="AZ30" s="266">
        <f>37*1</f>
        <v>37</v>
      </c>
      <c r="BN30" s="266"/>
      <c r="BO30" s="266"/>
      <c r="BP30" s="266"/>
      <c r="BQ30" s="266"/>
      <c r="BR30" s="266"/>
      <c r="BS30" s="266"/>
      <c r="BT30" s="266"/>
      <c r="BU30" s="266"/>
      <c r="BV30" s="266"/>
      <c r="BW30" s="266"/>
      <c r="BX30" s="266"/>
      <c r="BY30" s="266"/>
      <c r="BZ30" s="266"/>
      <c r="CA30" s="266"/>
      <c r="CB30" s="266"/>
      <c r="CC30" s="266"/>
      <c r="CD30" s="266"/>
      <c r="CE30" s="266"/>
      <c r="CF30" s="266"/>
      <c r="CG30" s="266"/>
      <c r="CH30" s="266"/>
      <c r="CI30" s="266"/>
      <c r="CJ30" s="266"/>
    </row>
    <row r="31" spans="1:88" ht="13.5" customHeight="1" x14ac:dyDescent="0.2">
      <c r="A31" s="516" t="s">
        <v>10</v>
      </c>
      <c r="B31" s="516" t="s">
        <v>732</v>
      </c>
      <c r="D31" s="858" t="str">
        <f>IF([1]RENAME!$H$3=1,B31,A31)</f>
        <v>(-) Imposto de renda e contribuição social</v>
      </c>
      <c r="E31" s="857">
        <f ca="1">+SUMIFS(INDIRECT(CONCATENATE("'",$AZ31,$BA31,":",$BB31)),INDIRECT(CONCATENATE("'",$AZ31,$BA$22,":",$BB$22)),E$35)</f>
        <v>-4298.9160000000002</v>
      </c>
      <c r="F31" s="901">
        <f ca="1">+SUMIFS(INDIRECT(CONCATENATE("'",$AZ31,$BA31,":",$BB31)),INDIRECT(CONCATENATE("'",$AZ31,$BA$22,":",$BB$22)),F$35)</f>
        <v>7766.8676799999994</v>
      </c>
      <c r="G31" s="857">
        <f ca="1">+SUMIFS(INDIRECT(CONCATENATE("'",$AZ31,$BA31,":",$BB31)),INDIRECT(CONCATENATE("'",$AZ31,$BA$22,":",$BB$22)),G$35)</f>
        <v>-8879.3011299999998</v>
      </c>
      <c r="H31" s="901">
        <f ca="1">+SUMIFS(INDIRECT(CONCATENATE("'",$AZ31,$BA31,":",$BB31)),INDIRECT(CONCATENATE("'",$AZ31,$BA$22,":",$BB$22)),H$35)</f>
        <v>-8319.4488999999994</v>
      </c>
      <c r="I31" s="916">
        <f ca="1">+SUM(E31:H31)</f>
        <v>-13730.798350000001</v>
      </c>
      <c r="J31" s="857">
        <f ca="1">+SUMIFS(INDIRECT(CONCATENATE("'",$AZ31,$BA31,":",$BB31)),INDIRECT(CONCATENATE("'",$AZ31,$BA$22,":",$BB$22)),J$35)</f>
        <v>-6233</v>
      </c>
      <c r="K31" s="857">
        <f ca="1">+SUMIFS(INDIRECT(CONCATENATE("'",$AZ31,$BA31,":",$BB31)),INDIRECT(CONCATENATE("'",$AZ31,$BA$22,":",$BB$22)),K$35)</f>
        <v>-7000.1369300000006</v>
      </c>
      <c r="L31" s="857">
        <f ca="1">+SUMIFS(INDIRECT(CONCATENATE("'",$AZ31,$BA31,":",$BB31)),INDIRECT(CONCATENATE("'",$AZ31,$BA$22,":",$BB$22)),L$35)</f>
        <v>-9929.7333699999999</v>
      </c>
      <c r="M31" s="901">
        <f ca="1">+SUMIFS(INDIRECT(CONCATENATE("'",$AZ31,$BA31,":",$BB31)),INDIRECT(CONCATENATE("'",$AZ31,$BA$22,":",$BB$22)),M$35)</f>
        <v>-12883.216170000002</v>
      </c>
      <c r="N31" s="916">
        <f ca="1">+SUM(J31:M31)</f>
        <v>-36046.086470000002</v>
      </c>
      <c r="O31" s="857">
        <f ca="1">+SUMIFS(INDIRECT(CONCATENATE("'",$AZ31,$BA31,":",$BB31)),INDIRECT(CONCATENATE("'",$AZ31,$BA$22,":",$BB$22)),O$35)</f>
        <v>-11575.73976</v>
      </c>
      <c r="P31" s="857">
        <f ca="1">+SUMIFS(INDIRECT(CONCATENATE("'",$AZ31,$BA31,":",$BB31)),INDIRECT(CONCATENATE("'",$AZ31,$BA$22,":",$BB$22)),P$35)</f>
        <v>-10923.94203</v>
      </c>
      <c r="Q31" s="901">
        <f ca="1">+SUMIFS(INDIRECT(CONCATENATE("'",$AZ31,$BA31,":",$BB31)),INDIRECT(CONCATENATE("'",$AZ31,$BA$22,":",$BB$22)),Q$35)</f>
        <v>-40057.514449999995</v>
      </c>
      <c r="R31" s="857">
        <f ca="1">+SUMIFS(INDIRECT(CONCATENATE("'",$AZ31,$BA31,":",$BB31)),INDIRECT(CONCATENATE("'",$AZ31,$BA$22,":",$BB$22)),R$35)</f>
        <v>-8769.3005799999992</v>
      </c>
      <c r="S31" s="916">
        <f ca="1">+SUM(O31:R31)</f>
        <v>-71326.49682</v>
      </c>
      <c r="T31" s="857">
        <f ca="1">+SUMIFS(INDIRECT(CONCATENATE("'",$AZ31,$BA31,":",$BB31)),INDIRECT(CONCATENATE("'",$AZ31,$BA$22,":",$BB$22)),T$35)</f>
        <v>-6850.96893</v>
      </c>
      <c r="U31" s="857">
        <f ca="1">+SUMIFS(INDIRECT(CONCATENATE("'",$AZ31,$BA31,":",$BB31)),INDIRECT(CONCATENATE("'",$AZ31,$BA$22,":",$BB$22)),U$35)</f>
        <v>4624.6438899999994</v>
      </c>
      <c r="V31" s="857">
        <f ca="1">+SUMIFS(INDIRECT(CONCATENATE("'",$AZ31,$BA31,":",$BB31)),INDIRECT(CONCATENATE("'",$AZ31,$BA$22,":",$BB$22)),V$35)</f>
        <v>-12021.130280000001</v>
      </c>
      <c r="W31" s="857">
        <f ca="1">+SUMIFS(INDIRECT(CONCATENATE("'",$AZ31,$BA31,":",$BB31)),INDIRECT(CONCATENATE("'",$AZ31,$BA$22,":",$BB$22)),W$35)</f>
        <v>-9295.3423600000006</v>
      </c>
      <c r="X31" s="647">
        <f ca="1">+SUM(T31:W31)</f>
        <v>-23542.797680000003</v>
      </c>
      <c r="Y31" s="857">
        <f ca="1">+SUMIFS(INDIRECT(CONCATENATE("'",$AZ31,$BA31,":",$BB31)),INDIRECT(CONCATENATE("'",$AZ31,$BA$22,":",$BB$22)),Y$35)</f>
        <v>-7991.2797200000005</v>
      </c>
      <c r="Z31" s="857">
        <f ca="1">+SUMIFS(INDIRECT(CONCATENATE("'",$AZ31,$BA31,":",$BB31)),INDIRECT(CONCATENATE("'",$AZ31,$BA$22,":",$BB$22)),Z$35)</f>
        <v>-8180.5598599999994</v>
      </c>
      <c r="AA31" s="901">
        <f ca="1">+SUMIFS(INDIRECT(CONCATENATE("'",$AZ31,$BA31,":",$BB31)),INDIRECT(CONCATENATE("'",$AZ31,$BA$22,":",$BB$22)),AA$35)</f>
        <v>9562.4</v>
      </c>
      <c r="AB31" s="857">
        <f ca="1">+SUMIFS(INDIRECT(CONCATENATE("'",$AZ31,$BA31,":",$BB31)),INDIRECT(CONCATENATE("'",$AZ31,$BA$22,":",$BB$22)),AB$35)</f>
        <v>-9991.3930700000001</v>
      </c>
      <c r="AC31" s="916">
        <f ca="1">+SUM(Y31:AB31)</f>
        <v>-16600.83265</v>
      </c>
      <c r="AD31" s="857">
        <f ca="1">+SUMIFS(INDIRECT(CONCATENATE("'",$AZ31,$BA31,":",$BB31)),INDIRECT(CONCATENATE("'",$AZ31,$BA$22,":",$BB$22)),AD$35)</f>
        <v>-5291</v>
      </c>
      <c r="AE31" s="857">
        <f ca="1">+SUMIFS(INDIRECT(CONCATENATE("'",$AZ31,$BA31,":",$BB31)),INDIRECT(CONCATENATE("'",$AZ31,$BA$22,":",$BB$22)),AE$35)</f>
        <v>-8048.3106200000002</v>
      </c>
      <c r="AF31" s="857">
        <f ca="1">+SUMIFS(INDIRECT(CONCATENATE("'",$AZ31,$BA31,":",$BB31)),INDIRECT(CONCATENATE("'",$AZ31,$BA$22,":",$BB$22)),AF$35)</f>
        <v>-17648.283640000001</v>
      </c>
      <c r="AG31" s="857">
        <f ca="1">+SUMIFS(INDIRECT(CONCATENATE("'",$AZ31,$BA31,":",$BB31)),INDIRECT(CONCATENATE("'",$AZ31,$BA$22,":",$BB$22)),AG$35)</f>
        <v>-17243.035919999998</v>
      </c>
      <c r="AH31" s="647">
        <f ca="1">+SUM(AD31:AG31)</f>
        <v>-48230.63018</v>
      </c>
      <c r="AI31" s="857">
        <f ca="1">+SUMIFS(INDIRECT(CONCATENATE("'",$AZ31,$BA31,":",$BB31)),INDIRECT(CONCATENATE("'",$AZ31,$BA$22,":",$BB$22)),AI$35)</f>
        <v>-10633.6551</v>
      </c>
      <c r="AJ31" s="857">
        <f ca="1">+SUMIFS(INDIRECT(CONCATENATE("'",$AZ31,$BA31,":",$BB31)),INDIRECT(CONCATENATE("'",$AZ31,$BA$22,":",$BB$22)),AJ$35)</f>
        <v>-10582.149069999999</v>
      </c>
      <c r="AK31" s="857">
        <f ca="1">+SUMIFS(INDIRECT(CONCATENATE("'",$AZ31,$BA31,":",$BB31)),INDIRECT(CONCATENATE("'",$AZ31,$BA$22,":",$BB$22)),AK$35)</f>
        <v>-16768.140070000001</v>
      </c>
      <c r="AL31" s="857">
        <f ca="1">+SUMIFS(INDIRECT(CONCATENATE("'",$AZ31,$BA31,":",$BB31)),INDIRECT(CONCATENATE("'",$AZ31,$BA$22,":",$BB$22)),AL$35)</f>
        <v>-15580.425179999998</v>
      </c>
      <c r="AM31" s="647">
        <f ca="1">+SUM(AI31:AL31)</f>
        <v>-53564.369419999995</v>
      </c>
      <c r="AN31" s="857">
        <f ca="1">+SUMIFS(INDIRECT(CONCATENATE("'",$AZ31,$BA31,":",$BB31)),INDIRECT(CONCATENATE("'",$AZ31,$BA$22,":",$BB$22)),AN$35)</f>
        <v>-15609.352519999997</v>
      </c>
      <c r="AO31" s="857">
        <f ca="1">+SUMIFS(INDIRECT(CONCATENATE("'",$AZ31,$BA31,":",$BB31)),INDIRECT(CONCATENATE("'",$AZ31,$BA$22,":",$BB$22)),AO$35)</f>
        <v>-21144.194380000001</v>
      </c>
      <c r="AP31" s="857">
        <f ca="1">+SUMIFS(INDIRECT(CONCATENATE("'",$AZ31,$BA31,":",$BB31)),INDIRECT(CONCATENATE("'",$AZ31,$BA$22,":",$BB$22)),AP$35)</f>
        <v>-35933.303370000001</v>
      </c>
      <c r="AQ31" s="857">
        <f ca="1">+SUMIFS(INDIRECT(CONCATENATE("'",$AZ31,$BA31,":",$BB31)),INDIRECT(CONCATENATE("'",$AZ31,$BA$22,":",$BB$22)),AQ$35)</f>
        <v>-34169.50647</v>
      </c>
      <c r="AR31" s="647">
        <f ca="1">+SUM(AN31:AQ31)</f>
        <v>-106856.35673999999</v>
      </c>
      <c r="AS31" s="857">
        <f ca="1">+SUMIFS(INDIRECT(CONCATENATE("'",$AZ31,$BA31,":",$BB31)),INDIRECT(CONCATENATE("'",$AZ31,$BA$22,":",$BB$22)),AS$35)</f>
        <v>-18778.226869999999</v>
      </c>
      <c r="AT31" s="857">
        <f ca="1">+SUMIFS(INDIRECT(CONCATENATE("'",$AZ31,$BA31,":",$BB31)),INDIRECT(CONCATENATE("'",$AZ31,$BA$22,":",$BB$22)),AT$35)</f>
        <v>-24727.419260000002</v>
      </c>
      <c r="AU31" s="857">
        <f ca="1">+SUMIFS(INDIRECT(CONCATENATE("'",$AZ31,$BA31,":",$BB31)),INDIRECT(CONCATENATE("'",$AZ31,$BA$22,":",$BB$22)),AU$35)</f>
        <v>-32032.358809999994</v>
      </c>
      <c r="AV31" s="857">
        <f ca="1">+SUMIFS(INDIRECT(CONCATENATE("'",$AZ31,$BA31,":",$BB31)),INDIRECT(CONCATENATE("'",$AZ31,$BA$22,":",$BB$22)),AV$35)</f>
        <v>-19871.384720000002</v>
      </c>
      <c r="AW31" s="647">
        <f ca="1">+SUM(AS31:AV31)</f>
        <v>-95409.389660000001</v>
      </c>
      <c r="AX31" s="857">
        <f ca="1">+SUMIFS(INDIRECT(CONCATENATE("'",$AZ31,$BA31,":",$BB31)),INDIRECT(CONCATENATE("'",$AZ31,$BA$22,":",$BB$22)),AX$35)</f>
        <v>-19037.088650000002</v>
      </c>
      <c r="AY31" s="857">
        <f ca="1">+SUMIFS(INDIRECT(CONCATENATE("'",$AZ31,$BA31,":",$BB31)),INDIRECT(CONCATENATE("'",$AZ31,$BA$22,":",$BB$22)),AY$35)</f>
        <v>-35103.761790000004</v>
      </c>
      <c r="AZ31" s="266" t="str">
        <f>IF([1]RENAME!$H$3=0,BD31,BC31)</f>
        <v>DRE'!</v>
      </c>
      <c r="BA31" s="266" t="str">
        <f>"$"&amp;ROW(DRE!$D$25)</f>
        <v>$25</v>
      </c>
      <c r="BB31" s="266" t="str">
        <f>"$"&amp;ROW(DRE!$D$25)</f>
        <v>$25</v>
      </c>
      <c r="BC31" s="266" t="s">
        <v>1760</v>
      </c>
      <c r="BD31" s="266" t="s">
        <v>1759</v>
      </c>
      <c r="BN31" s="266"/>
      <c r="BO31" s="266"/>
      <c r="BP31" s="266"/>
      <c r="BQ31" s="266"/>
      <c r="BR31" s="266"/>
      <c r="BS31" s="266"/>
      <c r="BT31" s="266"/>
      <c r="BU31" s="266"/>
      <c r="BV31" s="266"/>
      <c r="BW31" s="266"/>
      <c r="BX31" s="266"/>
      <c r="BY31" s="266"/>
      <c r="BZ31" s="266"/>
      <c r="CA31" s="266"/>
      <c r="CB31" s="266"/>
      <c r="CC31" s="266"/>
      <c r="CD31" s="266"/>
      <c r="CE31" s="266"/>
      <c r="CF31" s="266"/>
      <c r="CG31" s="266"/>
      <c r="CH31" s="266"/>
      <c r="CI31" s="266"/>
      <c r="CJ31" s="266"/>
    </row>
    <row r="32" spans="1:88" s="850" customFormat="1" ht="13.5" customHeight="1" x14ac:dyDescent="0.2">
      <c r="A32" s="516" t="s">
        <v>1693</v>
      </c>
      <c r="B32" s="516" t="s">
        <v>1692</v>
      </c>
      <c r="C32" s="855"/>
      <c r="D32" s="861" t="str">
        <f>IF([1]RENAME!$H$3=1,B32,A32)</f>
        <v>% Lair</v>
      </c>
      <c r="E32" s="875">
        <f t="shared" ref="E32:U32" ca="1" si="49">+E31/E30</f>
        <v>-0.44086249854529708</v>
      </c>
      <c r="F32" s="875">
        <f t="shared" ca="1" si="49"/>
        <v>0.47679148767267243</v>
      </c>
      <c r="G32" s="875">
        <f t="shared" ca="1" si="49"/>
        <v>-0.36742703379447433</v>
      </c>
      <c r="H32" s="875">
        <f t="shared" ca="1" si="49"/>
        <v>-0.12364356598043626</v>
      </c>
      <c r="I32" s="900">
        <f t="shared" ca="1" si="49"/>
        <v>-0.11686490620652766</v>
      </c>
      <c r="J32" s="875">
        <f t="shared" ca="1" si="49"/>
        <v>-0.30812137201698331</v>
      </c>
      <c r="K32" s="875">
        <f t="shared" ca="1" si="49"/>
        <v>-0.19894659146963448</v>
      </c>
      <c r="L32" s="875">
        <f t="shared" ca="1" si="49"/>
        <v>-0.24197423833999876</v>
      </c>
      <c r="M32" s="875">
        <f t="shared" ca="1" si="49"/>
        <v>-0.2692742548004034</v>
      </c>
      <c r="N32" s="862">
        <f t="shared" ca="1" si="49"/>
        <v>-0.24980725499611223</v>
      </c>
      <c r="O32" s="875">
        <f t="shared" ca="1" si="49"/>
        <v>-0.3030447564469485</v>
      </c>
      <c r="P32" s="875">
        <f t="shared" ca="1" si="49"/>
        <v>-0.2514871773960578</v>
      </c>
      <c r="Q32" s="875">
        <f t="shared" ca="1" si="49"/>
        <v>-0.30473810894227654</v>
      </c>
      <c r="R32" s="875">
        <f t="shared" ca="1" si="49"/>
        <v>-0.16794838666284986</v>
      </c>
      <c r="S32" s="862">
        <f t="shared" ca="1" si="49"/>
        <v>-0.26885351466743995</v>
      </c>
      <c r="T32" s="875">
        <f t="shared" ca="1" si="49"/>
        <v>-0.26211470437184375</v>
      </c>
      <c r="U32" s="875">
        <f t="shared" ca="1" si="49"/>
        <v>-0.51457229633094881</v>
      </c>
      <c r="V32" s="875">
        <f t="shared" ref="V32:AA32" ca="1" si="50">+V31/V30</f>
        <v>-0.28649149094507542</v>
      </c>
      <c r="W32" s="875">
        <f t="shared" ca="1" si="50"/>
        <v>-0.24498924188280527</v>
      </c>
      <c r="X32" s="862">
        <f t="shared" ca="1" si="50"/>
        <v>-0.24258022806036264</v>
      </c>
      <c r="Y32" s="875">
        <f t="shared" ca="1" si="50"/>
        <v>-0.28388684001338998</v>
      </c>
      <c r="Z32" s="875">
        <f t="shared" ca="1" si="50"/>
        <v>-0.2529820673368427</v>
      </c>
      <c r="AA32" s="875">
        <f t="shared" ca="1" si="50"/>
        <v>0.38823315110794804</v>
      </c>
      <c r="AB32" s="875">
        <f t="shared" ref="AB32:AH32" ca="1" si="51">+AB31/AB30</f>
        <v>-0.25442894311918429</v>
      </c>
      <c r="AC32" s="862">
        <f t="shared" ca="1" si="51"/>
        <v>-0.13346171041719426</v>
      </c>
      <c r="AD32" s="875">
        <f t="shared" ca="1" si="51"/>
        <v>-0.21978333192545643</v>
      </c>
      <c r="AE32" s="875">
        <f t="shared" ca="1" si="51"/>
        <v>-0.20834887271492572</v>
      </c>
      <c r="AF32" s="875">
        <f t="shared" ca="1" si="51"/>
        <v>-0.24815743761938952</v>
      </c>
      <c r="AG32" s="875">
        <f t="shared" ca="1" si="51"/>
        <v>-0.2327768252313738</v>
      </c>
      <c r="AH32" s="862">
        <f t="shared" ca="1" si="51"/>
        <v>-0.23199469263593497</v>
      </c>
      <c r="AI32" s="875">
        <f t="shared" ref="AI32:AO32" ca="1" si="52">+AI31/AI30</f>
        <v>-0.23444609128320834</v>
      </c>
      <c r="AJ32" s="875">
        <f t="shared" ca="1" si="52"/>
        <v>-0.20980314332391894</v>
      </c>
      <c r="AK32" s="875">
        <f t="shared" ca="1" si="52"/>
        <v>-0.22944645644083467</v>
      </c>
      <c r="AL32" s="875">
        <f t="shared" ca="1" si="52"/>
        <v>-0.2339363955790745</v>
      </c>
      <c r="AM32" s="862">
        <f t="shared" ca="1" si="52"/>
        <v>-0.22747183541926919</v>
      </c>
      <c r="AN32" s="875">
        <f t="shared" ca="1" si="52"/>
        <v>-0.29382631769060058</v>
      </c>
      <c r="AO32" s="875">
        <f t="shared" ca="1" si="52"/>
        <v>-0.24975763154707706</v>
      </c>
      <c r="AP32" s="875">
        <f t="shared" ref="AP32:AX32" ca="1" si="53">+AP31/AP30</f>
        <v>-0.29850145038020104</v>
      </c>
      <c r="AQ32" s="875">
        <f t="shared" ca="1" si="53"/>
        <v>-0.28640112172189303</v>
      </c>
      <c r="AR32" s="862">
        <f t="shared" ca="1" si="53"/>
        <v>-0.28308664522798338</v>
      </c>
      <c r="AS32" s="875">
        <f t="shared" ca="1" si="53"/>
        <v>-0.30038957582592485</v>
      </c>
      <c r="AT32" s="875">
        <f t="shared" ca="1" si="53"/>
        <v>-0.26922716946480474</v>
      </c>
      <c r="AU32" s="875">
        <f t="shared" ca="1" si="53"/>
        <v>-0.28619976141496423</v>
      </c>
      <c r="AV32" s="875">
        <f t="shared" ca="1" si="53"/>
        <v>-0.27564780340910833</v>
      </c>
      <c r="AW32" s="862">
        <f t="shared" ca="1" si="53"/>
        <v>-0.28196623633883278</v>
      </c>
      <c r="AX32" s="875">
        <f t="shared" ca="1" si="53"/>
        <v>-0.32923616727658689</v>
      </c>
      <c r="AY32" s="875">
        <f ca="1">+AY31/AY30</f>
        <v>-0.29693728560538363</v>
      </c>
      <c r="AZ32" s="851"/>
      <c r="BA32" s="851"/>
      <c r="BB32" s="851"/>
      <c r="BC32" s="851"/>
      <c r="BD32" s="851"/>
      <c r="BE32" s="851"/>
      <c r="BF32" s="851"/>
      <c r="BG32" s="851"/>
      <c r="BH32" s="851"/>
      <c r="BK32" s="851"/>
      <c r="BL32" s="851"/>
      <c r="BM32" s="851"/>
      <c r="BN32" s="851"/>
      <c r="BO32" s="851"/>
      <c r="BP32" s="851"/>
      <c r="BQ32" s="851"/>
      <c r="BR32" s="851"/>
      <c r="BS32" s="851"/>
      <c r="BT32" s="851"/>
      <c r="BU32" s="851"/>
      <c r="BV32" s="851"/>
      <c r="BW32" s="851"/>
      <c r="BX32" s="851"/>
      <c r="BY32" s="851"/>
      <c r="BZ32" s="851"/>
      <c r="CA32" s="851"/>
      <c r="CB32" s="851"/>
      <c r="CC32" s="851"/>
      <c r="CD32" s="851"/>
      <c r="CE32" s="851"/>
      <c r="CF32" s="851"/>
      <c r="CG32" s="851"/>
      <c r="CH32" s="851"/>
      <c r="CI32" s="851"/>
      <c r="CJ32" s="851"/>
    </row>
    <row r="33" spans="1:88" ht="13.5" customHeight="1" x14ac:dyDescent="0.2">
      <c r="A33" s="516" t="s">
        <v>72</v>
      </c>
      <c r="B33" s="516" t="s">
        <v>714</v>
      </c>
      <c r="D33" s="873" t="str">
        <f>IF([1]RENAME!$H$3=1,B33,A33)</f>
        <v>Lucro líquido</v>
      </c>
      <c r="E33" s="914">
        <f ca="1">+E30+E31</f>
        <v>5452.2332000000579</v>
      </c>
      <c r="F33" s="914">
        <f ca="1">+F30+F31</f>
        <v>24056.729980000036</v>
      </c>
      <c r="G33" s="914">
        <f ca="1">+G30+G31</f>
        <v>15286.860620000047</v>
      </c>
      <c r="H33" s="914">
        <f ca="1">+H30+H31</f>
        <v>58966.291639999952</v>
      </c>
      <c r="I33" s="913">
        <f ca="1">+SUM(E33:H33)</f>
        <v>103762.1154400001</v>
      </c>
      <c r="J33" s="914">
        <f ca="1">+J30+J31</f>
        <v>13996.041430000005</v>
      </c>
      <c r="K33" s="914">
        <f ca="1">+K30+K31</f>
        <v>28185.873939999961</v>
      </c>
      <c r="L33" s="914">
        <f ca="1">+L30+L31</f>
        <v>31106.591149999935</v>
      </c>
      <c r="M33" s="914">
        <f ca="1">+M30+M31</f>
        <v>34961.00191000005</v>
      </c>
      <c r="N33" s="913">
        <f ca="1">+SUM(J33:M33)</f>
        <v>108249.50842999996</v>
      </c>
      <c r="O33" s="914">
        <f ca="1">+O30+O31</f>
        <v>26622.379540000056</v>
      </c>
      <c r="P33" s="914">
        <f ca="1">+P30+P31</f>
        <v>32513.429780000042</v>
      </c>
      <c r="Q33" s="914">
        <f ca="1">+Q30+Q31</f>
        <v>91391.468380000064</v>
      </c>
      <c r="R33" s="914">
        <f ca="1">+R30+R31</f>
        <v>43444.958540000021</v>
      </c>
      <c r="S33" s="913">
        <f ca="1">+SUM(O33:R33)</f>
        <v>193972.23624000017</v>
      </c>
      <c r="T33" s="914">
        <f ca="1">+T30+T31</f>
        <v>19286.324460000014</v>
      </c>
      <c r="U33" s="914">
        <f ca="1">+U30+U31</f>
        <v>-4362.7110900000225</v>
      </c>
      <c r="V33" s="914">
        <f ca="1">+V30+V31</f>
        <v>29938.685839999966</v>
      </c>
      <c r="W33" s="914">
        <f ca="1">+W30+W31</f>
        <v>28646.496590000032</v>
      </c>
      <c r="X33" s="913">
        <f ca="1">+SUM(T33:W33)</f>
        <v>73508.795799999993</v>
      </c>
      <c r="Y33" s="914">
        <f ca="1">+Y30+Y31</f>
        <v>20158.245349999997</v>
      </c>
      <c r="Z33" s="914">
        <f ca="1">+Z30+Z31</f>
        <v>24155.960851199976</v>
      </c>
      <c r="AA33" s="914">
        <f ca="1">+AA30+AA31</f>
        <v>34192.960199999972</v>
      </c>
      <c r="AB33" s="914">
        <f ca="1">+AB30+AB31</f>
        <v>29278.483019999905</v>
      </c>
      <c r="AC33" s="913">
        <f ca="1">+SUM(Y33:AB33)</f>
        <v>107785.64942119984</v>
      </c>
      <c r="AD33" s="914">
        <f ca="1">+AD30+AD31</f>
        <v>18782.709109999934</v>
      </c>
      <c r="AE33" s="914">
        <f ca="1">+AE30+AE31</f>
        <v>30580.699055574954</v>
      </c>
      <c r="AF33" s="914">
        <f ca="1">+AF30+AF31</f>
        <v>53469.003068399958</v>
      </c>
      <c r="AG33" s="914">
        <f ca="1">+AG30+AG31</f>
        <v>56832.361847199951</v>
      </c>
      <c r="AH33" s="913">
        <f ca="1">+SUM(AD33:AG33)</f>
        <v>159664.77308117482</v>
      </c>
      <c r="AI33" s="914">
        <f ca="1">+AI30+AI31</f>
        <v>34722.848997799869</v>
      </c>
      <c r="AJ33" s="914">
        <f ca="1">+AJ30+AJ31</f>
        <v>39856.318640000056</v>
      </c>
      <c r="AK33" s="914">
        <f ca="1">+AK30+AK31</f>
        <v>56312.701229999999</v>
      </c>
      <c r="AL33" s="914">
        <f ca="1">+AL30+AL31</f>
        <v>51020.691510000244</v>
      </c>
      <c r="AM33" s="913">
        <f ca="1">+SUM(AI33:AL33)</f>
        <v>181912.56037780017</v>
      </c>
      <c r="AN33" s="914">
        <f ca="1">+AN30+AN31</f>
        <v>37515.06683999981</v>
      </c>
      <c r="AO33" s="914">
        <f ca="1">+AO30+AO31</f>
        <v>63514.657680000062</v>
      </c>
      <c r="AP33" s="914">
        <f ca="1">+AP30+AP31</f>
        <v>84445.687500000087</v>
      </c>
      <c r="AQ33" s="914">
        <f ca="1">+AQ30+AQ31</f>
        <v>85136.962249699922</v>
      </c>
      <c r="AR33" s="913">
        <f ca="1">+SUM(AN33:AQ33)</f>
        <v>270612.37426969991</v>
      </c>
      <c r="AS33" s="914">
        <f ca="1">+AS30+AS31</f>
        <v>43734.684299999935</v>
      </c>
      <c r="AT33" s="914">
        <f ca="1">+AT30+AT31</f>
        <v>67118.508879999776</v>
      </c>
      <c r="AU33" s="914">
        <f ca="1">+AU30+AU31</f>
        <v>79890.721250000192</v>
      </c>
      <c r="AV33" s="914">
        <f ca="1">+AV30+AV31</f>
        <v>52218.377919999999</v>
      </c>
      <c r="AW33" s="913">
        <f ca="1">+SUM(AS33:AV33)</f>
        <v>242962.29234999989</v>
      </c>
      <c r="AX33" s="914">
        <f ca="1">+AX30+AX31</f>
        <v>38784.896120000063</v>
      </c>
      <c r="AY33" s="914">
        <f ca="1">+AY30+AY31</f>
        <v>83115.685519999766</v>
      </c>
      <c r="BN33" s="266"/>
      <c r="BO33" s="266"/>
      <c r="BP33" s="266"/>
      <c r="BQ33" s="266"/>
      <c r="BR33" s="266"/>
      <c r="BS33" s="266"/>
      <c r="BT33" s="266"/>
      <c r="BU33" s="266"/>
      <c r="BV33" s="266"/>
      <c r="BW33" s="266"/>
      <c r="BX33" s="266"/>
      <c r="BY33" s="266"/>
      <c r="BZ33" s="266"/>
      <c r="CA33" s="266"/>
      <c r="CB33" s="266"/>
      <c r="CC33" s="266"/>
      <c r="CD33" s="266"/>
      <c r="CE33" s="266"/>
      <c r="CF33" s="266"/>
      <c r="CG33" s="266"/>
      <c r="CH33" s="266"/>
      <c r="CI33" s="266"/>
      <c r="CJ33" s="266"/>
    </row>
    <row r="34" spans="1:88" ht="13.5" customHeight="1" x14ac:dyDescent="0.2">
      <c r="C34" s="636"/>
      <c r="D34" s="945"/>
      <c r="E34" s="857"/>
      <c r="F34" s="857"/>
      <c r="G34" s="857"/>
      <c r="H34" s="857"/>
      <c r="I34" s="274"/>
      <c r="J34" s="857"/>
      <c r="K34" s="857"/>
      <c r="L34" s="857"/>
      <c r="M34" s="857"/>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265"/>
      <c r="AY34" s="265"/>
      <c r="BN34" s="266"/>
      <c r="BO34" s="266"/>
      <c r="BP34" s="266"/>
      <c r="BQ34" s="266"/>
      <c r="BR34" s="266"/>
      <c r="BS34" s="266"/>
      <c r="BT34" s="266"/>
      <c r="BU34" s="266"/>
      <c r="BV34" s="266"/>
      <c r="BW34" s="266"/>
      <c r="BX34" s="266"/>
      <c r="BY34" s="266"/>
      <c r="BZ34" s="266"/>
      <c r="CA34" s="266"/>
      <c r="CB34" s="266"/>
      <c r="CC34" s="266"/>
      <c r="CD34" s="266"/>
      <c r="CE34" s="266"/>
      <c r="CF34" s="266"/>
      <c r="CG34" s="266"/>
      <c r="CH34" s="266"/>
      <c r="CI34" s="266"/>
      <c r="CJ34" s="266"/>
    </row>
    <row r="35" spans="1:88" ht="13.5" customHeight="1" thickBot="1" x14ac:dyDescent="0.25">
      <c r="A35" s="516" t="s">
        <v>1758</v>
      </c>
      <c r="B35" s="516" t="s">
        <v>1757</v>
      </c>
      <c r="C35" s="23"/>
      <c r="D35" s="868" t="str">
        <f>IF([1]RENAME!$H$3=1,B35,A35)</f>
        <v>DRE Divisão automotiva</v>
      </c>
      <c r="E35" s="867" t="str">
        <f t="shared" ref="E35:Z35" si="54">E5</f>
        <v>1T17</v>
      </c>
      <c r="F35" s="867" t="str">
        <f t="shared" si="54"/>
        <v>2T17</v>
      </c>
      <c r="G35" s="867" t="str">
        <f t="shared" si="54"/>
        <v>3T17</v>
      </c>
      <c r="H35" s="867" t="str">
        <f t="shared" si="54"/>
        <v>4T17</v>
      </c>
      <c r="I35" s="867" t="str">
        <f t="shared" si="54"/>
        <v>2017</v>
      </c>
      <c r="J35" s="867" t="str">
        <f t="shared" si="54"/>
        <v>1T18</v>
      </c>
      <c r="K35" s="867" t="str">
        <f t="shared" si="54"/>
        <v>2T18</v>
      </c>
      <c r="L35" s="867" t="str">
        <f t="shared" si="54"/>
        <v>3T18</v>
      </c>
      <c r="M35" s="867" t="str">
        <f t="shared" si="54"/>
        <v>4T18</v>
      </c>
      <c r="N35" s="867" t="str">
        <f t="shared" si="54"/>
        <v>2018</v>
      </c>
      <c r="O35" s="867" t="str">
        <f t="shared" si="54"/>
        <v>1T19</v>
      </c>
      <c r="P35" s="867" t="str">
        <f t="shared" si="54"/>
        <v>2T19</v>
      </c>
      <c r="Q35" s="867" t="str">
        <f t="shared" si="54"/>
        <v>3T19</v>
      </c>
      <c r="R35" s="867" t="str">
        <f t="shared" si="54"/>
        <v>4T19</v>
      </c>
      <c r="S35" s="867" t="str">
        <f t="shared" si="54"/>
        <v>2019</v>
      </c>
      <c r="T35" s="867" t="str">
        <f t="shared" si="54"/>
        <v>1T20</v>
      </c>
      <c r="U35" s="867" t="str">
        <f t="shared" si="54"/>
        <v>2T20</v>
      </c>
      <c r="V35" s="867" t="str">
        <f t="shared" si="54"/>
        <v>3T20</v>
      </c>
      <c r="W35" s="867" t="str">
        <f t="shared" si="54"/>
        <v>4T20</v>
      </c>
      <c r="X35" s="867" t="str">
        <f t="shared" si="54"/>
        <v>2020</v>
      </c>
      <c r="Y35" s="867" t="str">
        <f t="shared" si="54"/>
        <v>1T21</v>
      </c>
      <c r="Z35" s="867" t="str">
        <f t="shared" si="54"/>
        <v>2T21</v>
      </c>
      <c r="AA35" s="867" t="str">
        <f t="shared" ref="AA35:AF35" si="55">AA5</f>
        <v>3T21</v>
      </c>
      <c r="AB35" s="867" t="str">
        <f t="shared" si="55"/>
        <v>4T21</v>
      </c>
      <c r="AC35" s="867" t="str">
        <f t="shared" si="55"/>
        <v>2021</v>
      </c>
      <c r="AD35" s="867" t="str">
        <f t="shared" si="55"/>
        <v>1T22</v>
      </c>
      <c r="AE35" s="867" t="str">
        <f t="shared" si="55"/>
        <v>2T22</v>
      </c>
      <c r="AF35" s="867" t="str">
        <f t="shared" si="55"/>
        <v>3T22</v>
      </c>
      <c r="AG35" s="867" t="str">
        <f t="shared" ref="AG35:AO35" si="56">AG5</f>
        <v>4T22</v>
      </c>
      <c r="AH35" s="867" t="str">
        <f t="shared" si="56"/>
        <v>2022</v>
      </c>
      <c r="AI35" s="867" t="str">
        <f t="shared" si="56"/>
        <v>1T23</v>
      </c>
      <c r="AJ35" s="867" t="str">
        <f t="shared" si="56"/>
        <v>2T23</v>
      </c>
      <c r="AK35" s="867" t="str">
        <f t="shared" si="56"/>
        <v>3T23</v>
      </c>
      <c r="AL35" s="867" t="str">
        <f t="shared" si="56"/>
        <v>4T23</v>
      </c>
      <c r="AM35" s="867" t="str">
        <f t="shared" si="56"/>
        <v>2023</v>
      </c>
      <c r="AN35" s="867" t="str">
        <f t="shared" si="56"/>
        <v>1T24</v>
      </c>
      <c r="AO35" s="867" t="str">
        <f t="shared" si="56"/>
        <v>2T24</v>
      </c>
      <c r="AP35" s="867" t="str">
        <f t="shared" ref="AP35:AX35" si="57">AP5</f>
        <v>3T24</v>
      </c>
      <c r="AQ35" s="867" t="str">
        <f t="shared" si="57"/>
        <v>4T24</v>
      </c>
      <c r="AR35" s="867" t="str">
        <f t="shared" si="57"/>
        <v>2024</v>
      </c>
      <c r="AS35" s="867" t="str">
        <f t="shared" si="57"/>
        <v>1T25</v>
      </c>
      <c r="AT35" s="867" t="str">
        <f t="shared" si="57"/>
        <v>2T25</v>
      </c>
      <c r="AU35" s="867" t="str">
        <f t="shared" si="57"/>
        <v>3T25</v>
      </c>
      <c r="AV35" s="867" t="str">
        <f t="shared" si="57"/>
        <v>4T25</v>
      </c>
      <c r="AW35" s="867" t="str">
        <f t="shared" si="57"/>
        <v>2025</v>
      </c>
      <c r="AX35" s="867" t="str">
        <f t="shared" si="57"/>
        <v>1T26</v>
      </c>
      <c r="AY35" s="867" t="str">
        <f>AY5</f>
        <v>2T26</v>
      </c>
      <c r="BA35" s="266" t="str">
        <f>"$"&amp;ROW(DRE!$D$5)</f>
        <v>$5</v>
      </c>
      <c r="BB35" s="266" t="str">
        <f>"$"&amp;ROW(DRE!$D$5)</f>
        <v>$5</v>
      </c>
      <c r="BN35" s="266"/>
      <c r="BO35" s="266"/>
      <c r="BP35" s="266"/>
      <c r="BQ35" s="266"/>
      <c r="BR35" s="266"/>
      <c r="BS35" s="266"/>
      <c r="BT35" s="266"/>
      <c r="BU35" s="266"/>
      <c r="BV35" s="266"/>
      <c r="BW35" s="266"/>
      <c r="BX35" s="266"/>
      <c r="BY35" s="266"/>
      <c r="BZ35" s="266"/>
      <c r="CA35" s="266"/>
      <c r="CB35" s="266"/>
      <c r="CC35" s="266"/>
      <c r="CD35" s="266"/>
      <c r="CE35" s="266"/>
      <c r="CF35" s="266"/>
      <c r="CG35" s="266"/>
      <c r="CH35" s="266"/>
      <c r="CI35" s="266"/>
      <c r="CJ35" s="266"/>
    </row>
    <row r="36" spans="1:88" ht="13.5" customHeight="1" x14ac:dyDescent="0.2">
      <c r="A36" s="516" t="s">
        <v>2079</v>
      </c>
      <c r="B36" s="516" t="s">
        <v>1687</v>
      </c>
      <c r="C36" s="15"/>
      <c r="D36" s="1129" t="str">
        <f>IF([1]RENAME!$H$3=1,B36,A36)</f>
        <v>Mercado Automotivo</v>
      </c>
      <c r="E36" s="1130" t="s">
        <v>2080</v>
      </c>
      <c r="F36" s="1130" t="s">
        <v>2080</v>
      </c>
      <c r="G36" s="1130" t="s">
        <v>2080</v>
      </c>
      <c r="H36" s="1130" t="s">
        <v>2080</v>
      </c>
      <c r="I36" s="1130" t="s">
        <v>2080</v>
      </c>
      <c r="J36" s="1130" t="s">
        <v>2080</v>
      </c>
      <c r="K36" s="1130" t="s">
        <v>2080</v>
      </c>
      <c r="L36" s="1130" t="s">
        <v>2080</v>
      </c>
      <c r="M36" s="1130" t="s">
        <v>2080</v>
      </c>
      <c r="N36" s="1130" t="s">
        <v>2080</v>
      </c>
      <c r="O36" s="1130" t="s">
        <v>2080</v>
      </c>
      <c r="P36" s="1130" t="s">
        <v>2080</v>
      </c>
      <c r="Q36" s="1130" t="s">
        <v>2080</v>
      </c>
      <c r="R36" s="1130" t="s">
        <v>2080</v>
      </c>
      <c r="S36" s="1130" t="s">
        <v>2080</v>
      </c>
      <c r="T36" s="1130" t="s">
        <v>2080</v>
      </c>
      <c r="U36" s="1130" t="s">
        <v>2080</v>
      </c>
      <c r="V36" s="1130" t="s">
        <v>2080</v>
      </c>
      <c r="W36" s="1130" t="s">
        <v>2080</v>
      </c>
      <c r="X36" s="1130" t="s">
        <v>2080</v>
      </c>
      <c r="Y36" s="1130" t="s">
        <v>2080</v>
      </c>
      <c r="Z36" s="1130" t="s">
        <v>2080</v>
      </c>
      <c r="AA36" s="1130" t="s">
        <v>2080</v>
      </c>
      <c r="AB36" s="1130" t="s">
        <v>2080</v>
      </c>
      <c r="AC36" s="1130" t="s">
        <v>2080</v>
      </c>
      <c r="AD36" s="1130" t="s">
        <v>2080</v>
      </c>
      <c r="AE36" s="1130" t="s">
        <v>2080</v>
      </c>
      <c r="AF36" s="1130" t="s">
        <v>2080</v>
      </c>
      <c r="AG36" s="1130" t="s">
        <v>2080</v>
      </c>
      <c r="AH36" s="1130" t="s">
        <v>2080</v>
      </c>
      <c r="AI36" s="1130" t="s">
        <v>2080</v>
      </c>
      <c r="AJ36" s="1130" t="s">
        <v>2085</v>
      </c>
      <c r="AK36" s="1130" t="s">
        <v>2085</v>
      </c>
      <c r="AL36" s="1130" t="s">
        <v>2085</v>
      </c>
      <c r="AM36" s="1130" t="s">
        <v>2080</v>
      </c>
      <c r="AN36" s="1130" t="s">
        <v>2080</v>
      </c>
      <c r="AO36" s="1130" t="s">
        <v>2184</v>
      </c>
      <c r="AP36" s="1130" t="s">
        <v>2184</v>
      </c>
      <c r="AQ36" s="1130" t="s">
        <v>2184</v>
      </c>
      <c r="AR36" s="1130" t="s">
        <v>2080</v>
      </c>
      <c r="AS36" s="1130" t="s">
        <v>2184</v>
      </c>
      <c r="AT36" s="1130" t="s">
        <v>2184</v>
      </c>
      <c r="AU36" s="1130" t="s">
        <v>2184</v>
      </c>
      <c r="AV36" s="1130" t="s">
        <v>2184</v>
      </c>
      <c r="AW36" s="1130" t="s">
        <v>2184</v>
      </c>
      <c r="AX36" s="1130" t="s">
        <v>2184</v>
      </c>
      <c r="AY36" s="1187" t="s">
        <v>2184</v>
      </c>
      <c r="AZ36" s="983"/>
      <c r="BN36" s="266"/>
      <c r="BO36" s="266"/>
      <c r="BP36" s="266"/>
      <c r="BQ36" s="266"/>
      <c r="BR36" s="266"/>
      <c r="BS36" s="266"/>
      <c r="BT36" s="266"/>
      <c r="BU36" s="266"/>
      <c r="BV36" s="266"/>
      <c r="BW36" s="266"/>
      <c r="BX36" s="266"/>
      <c r="BY36" s="266"/>
      <c r="BZ36" s="266"/>
      <c r="CA36" s="266"/>
      <c r="CB36" s="266"/>
      <c r="CC36" s="266"/>
      <c r="CD36" s="266"/>
      <c r="CE36" s="266"/>
      <c r="CF36" s="266"/>
      <c r="CG36" s="266"/>
      <c r="CH36" s="266"/>
      <c r="CI36" s="266"/>
      <c r="CJ36" s="266"/>
    </row>
    <row r="37" spans="1:88" ht="13.5" customHeight="1" x14ac:dyDescent="0.2">
      <c r="A37" s="1" t="s">
        <v>2081</v>
      </c>
      <c r="B37" s="1" t="s">
        <v>2084</v>
      </c>
      <c r="D37" s="1131" t="str">
        <f>IF([1]RENAME!$H$3=1,B37,A37)</f>
        <v>Vendas domésticas (ANFAVEA)</v>
      </c>
      <c r="E37" s="857">
        <f>+VLOOKUP(E$35,'Dados Mercado'!$D:$G,3,0)</f>
        <v>460582</v>
      </c>
      <c r="F37" s="857">
        <f>+VLOOKUP(F$35,'Dados Mercado'!$D:$G,3,0)</f>
        <v>532511</v>
      </c>
      <c r="G37" s="857">
        <f>+VLOOKUP(G$35,'Dados Mercado'!$D:$G,3,0)</f>
        <v>582986</v>
      </c>
      <c r="H37" s="857">
        <f>+VLOOKUP(H$35,'Dados Mercado'!$D:$G,3,0)</f>
        <v>599907</v>
      </c>
      <c r="I37" s="647">
        <f>+SUM(E37:H37)</f>
        <v>2175986</v>
      </c>
      <c r="J37" s="857">
        <f>+VLOOKUP(J$35,'Dados Mercado'!$D:$G,3,0)</f>
        <v>528244</v>
      </c>
      <c r="K37" s="857">
        <f>+VLOOKUP(K$35,'Dados Mercado'!$D:$G,3,0)</f>
        <v>600898</v>
      </c>
      <c r="L37" s="857">
        <f>+VLOOKUP(L$35,'Dados Mercado'!$D:$G,3,0)</f>
        <v>653805</v>
      </c>
      <c r="M37" s="857">
        <f>+VLOOKUP(M$35,'Dados Mercado'!$D:$G,3,0)</f>
        <v>692391</v>
      </c>
      <c r="N37" s="647">
        <f>+SUM(J37:M37)</f>
        <v>2475338</v>
      </c>
      <c r="O37" s="857">
        <f>+VLOOKUP(O$35,'Dados Mercado'!$D:$G,3,0)</f>
        <v>581456</v>
      </c>
      <c r="P37" s="857">
        <f>+VLOOKUP(P$35,'Dados Mercado'!$D:$G,3,0)</f>
        <v>670317</v>
      </c>
      <c r="Q37" s="857">
        <f>+VLOOKUP(Q$35,'Dados Mercado'!$D:$G,3,0)</f>
        <v>688397</v>
      </c>
      <c r="R37" s="857">
        <f>+VLOOKUP(R$35,'Dados Mercado'!$D:$G,3,0)</f>
        <v>725413</v>
      </c>
      <c r="S37" s="647">
        <f>+SUM(O37:R37)</f>
        <v>2665583</v>
      </c>
      <c r="T37" s="857">
        <f>+VLOOKUP(T$35,'Dados Mercado'!$D:$G,3,0)</f>
        <v>534285</v>
      </c>
      <c r="U37" s="857">
        <f>+VLOOKUP(U$35,'Dados Mercado'!$D:$G,3,0)</f>
        <v>230963</v>
      </c>
      <c r="V37" s="857">
        <f>+VLOOKUP(V$35,'Dados Mercado'!$D:$G,3,0)</f>
        <v>536411</v>
      </c>
      <c r="W37" s="857">
        <f>+VLOOKUP(W$35,'Dados Mercado'!$D:$G,3,0)</f>
        <v>653169</v>
      </c>
      <c r="X37" s="647">
        <f>+SUM(T37:W37)</f>
        <v>1954828</v>
      </c>
      <c r="Y37" s="857">
        <f>+VLOOKUP(Y$35,'Dados Mercado'!$D:$G,3,0)</f>
        <v>498518</v>
      </c>
      <c r="Z37" s="857">
        <f>+VLOOKUP(Z$35,'Dados Mercado'!$D:$G,3,0)</f>
        <v>509382</v>
      </c>
      <c r="AA37" s="857">
        <f>+VLOOKUP(AA$35,'Dados Mercado'!$D:$G,3,0)</f>
        <v>463358</v>
      </c>
      <c r="AB37" s="857">
        <f>+VLOOKUP(AB$35,'Dados Mercado'!$D:$G,3,0)</f>
        <v>505836</v>
      </c>
      <c r="AC37" s="647">
        <f>+SUM(Y37:AB37)</f>
        <v>1977094</v>
      </c>
      <c r="AD37" s="857">
        <f>+VLOOKUP(AD$35,'Dados Mercado'!$D:$G,3,0)</f>
        <v>375494</v>
      </c>
      <c r="AE37" s="857">
        <f>+VLOOKUP(AE$35,'Dados Mercado'!$D:$G,3,0)</f>
        <v>477633</v>
      </c>
      <c r="AF37" s="857">
        <f>+VLOOKUP(AF$35,'Dados Mercado'!$D:$G,3,0)</f>
        <v>544427</v>
      </c>
      <c r="AG37" s="857">
        <f>+VLOOKUP(AG$35,'Dados Mercado'!$D:$G,3,0)</f>
        <v>562908</v>
      </c>
      <c r="AH37" s="647">
        <f>+SUM(AD37:AG37)</f>
        <v>1960462</v>
      </c>
      <c r="AI37" s="857">
        <f>+VLOOKUP(AI$35,'Dados Mercado'!$D:$G,3,0)</f>
        <v>436940</v>
      </c>
      <c r="AJ37" s="857">
        <f>+VLOOKUP(AJ$35,'Dados Mercado'!$D:$G,3,0)</f>
        <v>497748</v>
      </c>
      <c r="AK37" s="857">
        <f>+VLOOKUP(AK$35,'Dados Mercado'!$D:$G,3,0)</f>
        <v>600154</v>
      </c>
      <c r="AL37" s="857">
        <f>+VLOOKUP(AL$35,'Dados Mercado'!$D:$G,3,0)</f>
        <v>645388</v>
      </c>
      <c r="AM37" s="647">
        <f>+SUM(AI37:AL37)</f>
        <v>2180230</v>
      </c>
      <c r="AN37" s="857">
        <f>+VLOOKUP(AN$35,'Dados Mercado'!$D:$G,3,0)</f>
        <v>483988</v>
      </c>
      <c r="AO37" s="857">
        <f>+VLOOKUP(AO$35,'Dados Mercado'!$D:$G,3,0)</f>
        <v>594358</v>
      </c>
      <c r="AP37" s="857">
        <f>+VLOOKUP(AP$35,'Dados Mercado'!$D:$G,3,0)</f>
        <v>673821</v>
      </c>
      <c r="AQ37" s="857">
        <f>+VLOOKUP(AQ$35,'Dados Mercado'!$D:$G,3,0)</f>
        <v>735369</v>
      </c>
      <c r="AR37" s="647">
        <f>+SUM(AN37:AQ37)</f>
        <v>2487536</v>
      </c>
      <c r="AS37" s="857">
        <f>+VLOOKUP(AS$35,'Dados Mercado'!$D:$G,3,0)</f>
        <v>518467</v>
      </c>
      <c r="AT37" s="857">
        <f>+VLOOKUP(AT$35,'Dados Mercado'!$D:$G,3,0)</f>
        <v>613932</v>
      </c>
      <c r="AU37" s="857">
        <f>+VLOOKUP(AU$35,'Dados Mercado'!$D:$G,3,0)</f>
        <v>676481</v>
      </c>
      <c r="AV37" s="857">
        <f>+VLOOKUP(AV$35,'Dados Mercado'!$D:$G,3,0)</f>
        <v>742999</v>
      </c>
      <c r="AW37" s="647">
        <f>+SUM(AS37:AV37)</f>
        <v>2551879</v>
      </c>
      <c r="AX37" s="857">
        <f>+VLOOKUP(AX$35,'Dados Mercado'!$D:$G,3,0)</f>
        <v>598839</v>
      </c>
      <c r="AY37" s="1235">
        <f>+VLOOKUP(AY$35,'Dados Mercado'!$D:$G,3,0)</f>
        <v>762649</v>
      </c>
      <c r="AZ37" s="983">
        <v>20</v>
      </c>
      <c r="BA37" s="983">
        <v>13</v>
      </c>
      <c r="BN37" s="266"/>
      <c r="BO37" s="266"/>
      <c r="BP37" s="266"/>
      <c r="BQ37" s="266"/>
      <c r="BR37" s="266"/>
      <c r="BS37" s="266"/>
      <c r="BT37" s="266"/>
      <c r="BU37" s="266"/>
      <c r="BV37" s="266"/>
      <c r="BW37" s="266"/>
      <c r="BX37" s="266"/>
      <c r="BY37" s="266"/>
      <c r="BZ37" s="266"/>
      <c r="CA37" s="266"/>
      <c r="CB37" s="266"/>
      <c r="CC37" s="266"/>
      <c r="CD37" s="266"/>
      <c r="CE37" s="266"/>
      <c r="CF37" s="266"/>
      <c r="CG37" s="266"/>
      <c r="CH37" s="266"/>
      <c r="CI37" s="266"/>
      <c r="CJ37" s="266"/>
    </row>
    <row r="38" spans="1:88" s="850" customFormat="1" ht="13.5" customHeight="1" x14ac:dyDescent="0.2">
      <c r="A38" s="850" t="s">
        <v>1679</v>
      </c>
      <c r="B38" s="856" t="s">
        <v>1678</v>
      </c>
      <c r="C38" s="855"/>
      <c r="D38" s="1132" t="str">
        <f>IF([1]RENAME!$H$3=1,B38,A38)</f>
        <v>Variação %</v>
      </c>
      <c r="E38" s="860" t="s">
        <v>160</v>
      </c>
      <c r="F38" s="860" t="s">
        <v>160</v>
      </c>
      <c r="G38" s="860" t="s">
        <v>160</v>
      </c>
      <c r="H38" s="860" t="s">
        <v>160</v>
      </c>
      <c r="I38" s="859" t="s">
        <v>160</v>
      </c>
      <c r="J38" s="860">
        <f>J37/E37-1</f>
        <v>0.14690543703401349</v>
      </c>
      <c r="K38" s="860">
        <f>K37/F37-1</f>
        <v>0.12842363819714531</v>
      </c>
      <c r="L38" s="860">
        <f>L37/G37-1</f>
        <v>0.12147633047791895</v>
      </c>
      <c r="M38" s="860">
        <f>M37/H37-1</f>
        <v>0.15416389540378761</v>
      </c>
      <c r="N38" s="859">
        <f>+N37/I37-1</f>
        <v>0.13757073804702791</v>
      </c>
      <c r="O38" s="860">
        <f>O37/J37-1</f>
        <v>0.10073375182680722</v>
      </c>
      <c r="P38" s="860">
        <f>P37/K37-1</f>
        <v>0.1155254302726918</v>
      </c>
      <c r="Q38" s="860">
        <f>Q37/L37-1</f>
        <v>5.2908741903166856E-2</v>
      </c>
      <c r="R38" s="860">
        <f>R37/M37-1</f>
        <v>4.7692705422225368E-2</v>
      </c>
      <c r="S38" s="859">
        <f>+S37/N37-1</f>
        <v>7.6856170753246689E-2</v>
      </c>
      <c r="T38" s="860">
        <f>T37/O37-1</f>
        <v>-8.1125656971464788E-2</v>
      </c>
      <c r="U38" s="860">
        <f>U37/P37-1</f>
        <v>-0.65544212663560675</v>
      </c>
      <c r="V38" s="860">
        <f>V37/Q37-1</f>
        <v>-0.22078248452564431</v>
      </c>
      <c r="W38" s="860">
        <f>W37/R37-1</f>
        <v>-9.9590164499395506E-2</v>
      </c>
      <c r="X38" s="859">
        <f>+X37/S37-1</f>
        <v>-0.26664148143201694</v>
      </c>
      <c r="Y38" s="860">
        <f>Y37/T37-1</f>
        <v>-6.6943672384588759E-2</v>
      </c>
      <c r="Z38" s="860">
        <f>Z37/U37-1</f>
        <v>1.2054701402389125</v>
      </c>
      <c r="AA38" s="860">
        <f>AA37/V37-1</f>
        <v>-0.13618848233910197</v>
      </c>
      <c r="AB38" s="860">
        <f>AB37/W37-1</f>
        <v>-0.22556643073997695</v>
      </c>
      <c r="AC38" s="859">
        <f>+AC37/X37-1</f>
        <v>1.1390260421888732E-2</v>
      </c>
      <c r="AD38" s="860">
        <f>AD37/Y37-1</f>
        <v>-0.24677945430255277</v>
      </c>
      <c r="AE38" s="860">
        <f>AE37/Z37-1</f>
        <v>-6.2328468614909815E-2</v>
      </c>
      <c r="AF38" s="860">
        <f>AF37/AA37-1</f>
        <v>0.17495975034422617</v>
      </c>
      <c r="AG38" s="860">
        <f>AG37/AB37-1</f>
        <v>0.11282708229544758</v>
      </c>
      <c r="AH38" s="859">
        <f>+AH37/AC37-1</f>
        <v>-8.4123466056748031E-3</v>
      </c>
      <c r="AI38" s="860">
        <f>AI37/AD37-1</f>
        <v>0.16364043100555525</v>
      </c>
      <c r="AJ38" s="860">
        <f>AJ37/AE37-1</f>
        <v>4.2113924289150839E-2</v>
      </c>
      <c r="AK38" s="860">
        <f>AK37/AF37-1</f>
        <v>0.10235899395143888</v>
      </c>
      <c r="AL38" s="860">
        <f>AL37/AG37-1</f>
        <v>0.1465248317664698</v>
      </c>
      <c r="AM38" s="859">
        <f>+AM37/AH37-1</f>
        <v>0.11210010701559114</v>
      </c>
      <c r="AN38" s="860">
        <f>AN37/AI37-1</f>
        <v>0.10767611113654052</v>
      </c>
      <c r="AO38" s="860">
        <f>AO37/AJ37-1</f>
        <v>0.19409420027805235</v>
      </c>
      <c r="AP38" s="860">
        <f>AP37/AK37-1</f>
        <v>0.12274682831406603</v>
      </c>
      <c r="AQ38" s="860">
        <f>AQ37/AL37-1</f>
        <v>0.13942155726477723</v>
      </c>
      <c r="AR38" s="859">
        <f>+AR37/AM37-1</f>
        <v>0.14095118404938933</v>
      </c>
      <c r="AS38" s="860">
        <f>AS37/AN37-1</f>
        <v>7.1239369571146405E-2</v>
      </c>
      <c r="AT38" s="860">
        <f>AT37/AO37-1</f>
        <v>3.2933013436346359E-2</v>
      </c>
      <c r="AU38" s="860">
        <f>AU37/AP37-1</f>
        <v>3.947635944857808E-3</v>
      </c>
      <c r="AV38" s="860">
        <f>AV37/AQ37-1</f>
        <v>1.0375743334298804E-2</v>
      </c>
      <c r="AW38" s="859">
        <f>+AW37/AR37-1</f>
        <v>2.5866158318914811E-2</v>
      </c>
      <c r="AX38" s="860">
        <f>AX37/AS37-1</f>
        <v>0.15501854505686952</v>
      </c>
      <c r="AY38" s="1236">
        <f>AY37/AT37-1</f>
        <v>0.24223692526208107</v>
      </c>
      <c r="AZ38" s="1168"/>
      <c r="BA38" s="1168"/>
      <c r="BB38" s="851"/>
      <c r="BC38" s="851"/>
      <c r="BD38" s="851"/>
      <c r="BE38" s="851"/>
      <c r="BF38" s="851"/>
      <c r="BG38" s="851"/>
      <c r="BH38" s="851"/>
      <c r="BK38" s="851"/>
      <c r="BL38" s="851"/>
      <c r="BM38" s="851"/>
      <c r="BN38" s="851"/>
      <c r="BO38" s="851"/>
      <c r="BP38" s="851"/>
      <c r="BQ38" s="851"/>
      <c r="BR38" s="851"/>
      <c r="BS38" s="851"/>
      <c r="BT38" s="851"/>
      <c r="BU38" s="851"/>
      <c r="BV38" s="851"/>
      <c r="BW38" s="851"/>
      <c r="BX38" s="851"/>
      <c r="BY38" s="851"/>
      <c r="BZ38" s="851"/>
      <c r="CA38" s="851"/>
      <c r="CB38" s="851"/>
      <c r="CC38" s="851"/>
      <c r="CD38" s="851"/>
      <c r="CE38" s="851"/>
      <c r="CF38" s="851"/>
      <c r="CG38" s="851"/>
      <c r="CH38" s="851"/>
      <c r="CI38" s="851"/>
      <c r="CJ38" s="851"/>
    </row>
    <row r="39" spans="1:88" ht="13.5" customHeight="1" x14ac:dyDescent="0.2">
      <c r="A39" s="1" t="s">
        <v>2082</v>
      </c>
      <c r="B39" s="1" t="s">
        <v>2083</v>
      </c>
      <c r="D39" s="1131" t="str">
        <f>IF([1]RENAME!$H$3=1,B39,A39)</f>
        <v>Exportação (ANFAVEA)</v>
      </c>
      <c r="E39" s="857">
        <f>+VLOOKUP(E$35,'Dados Mercado'!$D:$G,4,0)</f>
        <v>165503</v>
      </c>
      <c r="F39" s="857">
        <f>+VLOOKUP(F$35,'Dados Mercado'!$D:$G,4,0)</f>
        <v>190626</v>
      </c>
      <c r="G39" s="857">
        <f>+VLOOKUP(G$35,'Dados Mercado'!$D:$G,4,0)</f>
        <v>181907</v>
      </c>
      <c r="H39" s="857">
        <f>+VLOOKUP(H$35,'Dados Mercado'!$D:$G,4,0)</f>
        <v>186572</v>
      </c>
      <c r="I39" s="647">
        <f>+SUM(E39:H39)</f>
        <v>724608</v>
      </c>
      <c r="J39" s="857">
        <f>+VLOOKUP(J$35,'Dados Mercado'!$D:$G,4,0)</f>
        <v>170403</v>
      </c>
      <c r="K39" s="857">
        <f>+VLOOKUP(K$35,'Dados Mercado'!$D:$G,4,0)</f>
        <v>189533</v>
      </c>
      <c r="L39" s="857">
        <f>+VLOOKUP(L$35,'Dados Mercado'!$D:$G,4,0)</f>
        <v>137425</v>
      </c>
      <c r="M39" s="857">
        <f>+VLOOKUP(M$35,'Dados Mercado'!$D:$G,4,0)</f>
        <v>98071</v>
      </c>
      <c r="N39" s="647">
        <f>+SUM(J39:M39)</f>
        <v>595432</v>
      </c>
      <c r="O39" s="857">
        <f>+VLOOKUP(O$35,'Dados Mercado'!$D:$G,4,0)</f>
        <v>99963</v>
      </c>
      <c r="P39" s="857">
        <f>+VLOOKUP(P$35,'Dados Mercado'!$D:$G,4,0)</f>
        <v>112276</v>
      </c>
      <c r="Q39" s="857">
        <f>+VLOOKUP(Q$35,'Dados Mercado'!$D:$G,4,0)</f>
        <v>110203</v>
      </c>
      <c r="R39" s="857">
        <f>+VLOOKUP(R$35,'Dados Mercado'!$D:$G,4,0)</f>
        <v>85068</v>
      </c>
      <c r="S39" s="647">
        <f>+SUM(O39:R39)</f>
        <v>407510</v>
      </c>
      <c r="T39" s="857">
        <f>+VLOOKUP(T$35,'Dados Mercado'!$D:$G,4,0)</f>
        <v>85230</v>
      </c>
      <c r="U39" s="857">
        <f>+VLOOKUP(U$35,'Dados Mercado'!$D:$G,4,0)</f>
        <v>27739</v>
      </c>
      <c r="V39" s="857">
        <f>+VLOOKUP(V$35,'Dados Mercado'!$D:$G,4,0)</f>
        <v>82550</v>
      </c>
      <c r="W39" s="857">
        <f>+VLOOKUP(W$35,'Dados Mercado'!$D:$G,4,0)</f>
        <v>111449</v>
      </c>
      <c r="X39" s="647">
        <f>+SUM(T39:W39)</f>
        <v>306968</v>
      </c>
      <c r="Y39" s="857">
        <f>+VLOOKUP(Y$35,'Dados Mercado'!$D:$G,4,0)</f>
        <v>89635</v>
      </c>
      <c r="Z39" s="857">
        <f>+VLOOKUP(Z$35,'Dados Mercado'!$D:$G,4,0)</f>
        <v>97877</v>
      </c>
      <c r="AA39" s="857">
        <f>+VLOOKUP(AA$35,'Dados Mercado'!$D:$G,4,0)</f>
        <v>69959</v>
      </c>
      <c r="AB39" s="857">
        <f>+VLOOKUP(AB$35,'Dados Mercado'!$D:$G,4,0)</f>
        <v>91978</v>
      </c>
      <c r="AC39" s="647">
        <f>+SUM(Y39:AB39)</f>
        <v>349449</v>
      </c>
      <c r="AD39" s="857">
        <f>+VLOOKUP(AD$35,'Dados Mercado'!$D:$G,4,0)</f>
        <v>102400</v>
      </c>
      <c r="AE39" s="857">
        <f>+VLOOKUP(AE$35,'Dados Mercado'!$D:$G,4,0)</f>
        <v>130576</v>
      </c>
      <c r="AF39" s="857">
        <f>+VLOOKUP(AF$35,'Dados Mercado'!$D:$G,4,0)</f>
        <v>108589</v>
      </c>
      <c r="AG39" s="857">
        <f>+VLOOKUP(AG$35,'Dados Mercado'!$D:$G,4,0)</f>
        <v>108714</v>
      </c>
      <c r="AH39" s="647">
        <f>+SUM(AD39:AG39)</f>
        <v>450279</v>
      </c>
      <c r="AI39" s="857">
        <f>+VLOOKUP(AI$35,'Dados Mercado'!$D:$G,4,0)</f>
        <v>108887</v>
      </c>
      <c r="AJ39" s="857">
        <f>+VLOOKUP(AJ$35,'Dados Mercado'!$D:$G,4,0)</f>
        <v>111154</v>
      </c>
      <c r="AK39" s="857">
        <f>+VLOOKUP(AK$35,'Dados Mercado'!$D:$G,4,0)</f>
        <v>86653</v>
      </c>
      <c r="AL39" s="857">
        <f>+VLOOKUP(AL$35,'Dados Mercado'!$D:$G,4,0)</f>
        <v>75542</v>
      </c>
      <c r="AM39" s="647">
        <f>+SUM(AI39:AL39)</f>
        <v>382236</v>
      </c>
      <c r="AN39" s="857">
        <f>+VLOOKUP(AN$35,'Dados Mercado'!$D:$G,4,0)</f>
        <v>78052</v>
      </c>
      <c r="AO39" s="857">
        <f>+VLOOKUP(AO$35,'Dados Mercado'!$D:$G,4,0)</f>
        <v>78065</v>
      </c>
      <c r="AP39" s="857">
        <f>+VLOOKUP(AP$35,'Dados Mercado'!$D:$G,4,0)</f>
        <v>113151</v>
      </c>
      <c r="AQ39" s="857">
        <f>+VLOOKUP(AQ$35,'Dados Mercado'!$D:$G,4,0)</f>
        <v>106504</v>
      </c>
      <c r="AR39" s="647">
        <f>+SUM(AN39:AQ39)</f>
        <v>375772</v>
      </c>
      <c r="AS39" s="857">
        <f>+VLOOKUP(AS$35,'Dados Mercado'!$D:$G,4,0)</f>
        <v>115029</v>
      </c>
      <c r="AT39" s="857">
        <f>+VLOOKUP(AT$35,'Dados Mercado'!$D:$G,4,0)</f>
        <v>143199</v>
      </c>
      <c r="AU39" s="857">
        <f>+VLOOKUP(AU$35,'Dados Mercado'!$D:$G,4,0)</f>
        <v>148701</v>
      </c>
      <c r="AV39" s="857">
        <f>+VLOOKUP(AV$35,'Dados Mercado'!$D:$G,4,0)</f>
        <v>88462</v>
      </c>
      <c r="AW39" s="647">
        <f>+SUM(AS39:AV39)</f>
        <v>495391</v>
      </c>
      <c r="AX39" s="857">
        <f>+VLOOKUP(AX$35,'Dados Mercado'!$D:$G,4,0)</f>
        <v>94034</v>
      </c>
      <c r="AY39" s="1235">
        <f>+VLOOKUP(AY$35,'Dados Mercado'!$D:$G,4,0)</f>
        <v>109572</v>
      </c>
      <c r="AZ39" s="983">
        <v>21</v>
      </c>
      <c r="BA39" s="983">
        <v>14</v>
      </c>
      <c r="BN39" s="266"/>
      <c r="BO39" s="266"/>
      <c r="BP39" s="266"/>
      <c r="BQ39" s="266"/>
      <c r="BR39" s="266"/>
      <c r="BS39" s="266"/>
      <c r="BT39" s="266"/>
      <c r="BU39" s="266"/>
      <c r="BV39" s="266"/>
      <c r="BW39" s="266"/>
      <c r="BX39" s="266"/>
      <c r="BY39" s="266"/>
      <c r="BZ39" s="266"/>
      <c r="CA39" s="266"/>
      <c r="CB39" s="266"/>
      <c r="CC39" s="266"/>
      <c r="CD39" s="266"/>
      <c r="CE39" s="266"/>
      <c r="CF39" s="266"/>
      <c r="CG39" s="266"/>
      <c r="CH39" s="266"/>
      <c r="CI39" s="266"/>
      <c r="CJ39" s="266"/>
    </row>
    <row r="40" spans="1:88" s="850" customFormat="1" ht="13.5" customHeight="1" x14ac:dyDescent="0.2">
      <c r="A40" s="850" t="s">
        <v>1679</v>
      </c>
      <c r="B40" s="856" t="s">
        <v>1678</v>
      </c>
      <c r="C40" s="855"/>
      <c r="D40" s="1132" t="str">
        <f>IF([1]RENAME!$H$3=1,B40,A40)</f>
        <v>Variação %</v>
      </c>
      <c r="E40" s="860" t="s">
        <v>160</v>
      </c>
      <c r="F40" s="860" t="s">
        <v>160</v>
      </c>
      <c r="G40" s="860" t="s">
        <v>160</v>
      </c>
      <c r="H40" s="860" t="s">
        <v>160</v>
      </c>
      <c r="I40" s="859" t="s">
        <v>160</v>
      </c>
      <c r="J40" s="860">
        <f>J39/E39-1</f>
        <v>2.9606714077690333E-2</v>
      </c>
      <c r="K40" s="860">
        <f>K39/F39-1</f>
        <v>-5.7337404131651004E-3</v>
      </c>
      <c r="L40" s="860">
        <f>L39/G39-1</f>
        <v>-0.24453154633961305</v>
      </c>
      <c r="M40" s="860">
        <f>M39/H39-1</f>
        <v>-0.47435306476856121</v>
      </c>
      <c r="N40" s="859">
        <f>+N39/I39-1</f>
        <v>-0.17827018194665256</v>
      </c>
      <c r="O40" s="860">
        <f>O39/J39-1</f>
        <v>-0.41337300399640853</v>
      </c>
      <c r="P40" s="860">
        <f>P39/K39-1</f>
        <v>-0.40761767080139077</v>
      </c>
      <c r="Q40" s="860">
        <f>Q39/L39-1</f>
        <v>-0.19808622885210114</v>
      </c>
      <c r="R40" s="860">
        <f>R39/M39-1</f>
        <v>-0.13258761509518613</v>
      </c>
      <c r="S40" s="859">
        <f>+S39/N39-1</f>
        <v>-0.31560614814118149</v>
      </c>
      <c r="T40" s="860">
        <f>T39/O39-1</f>
        <v>-0.14738453227694248</v>
      </c>
      <c r="U40" s="860">
        <f>U39/P39-1</f>
        <v>-0.75293918557839612</v>
      </c>
      <c r="V40" s="860">
        <f>V39/Q39-1</f>
        <v>-0.25092783318058487</v>
      </c>
      <c r="W40" s="860">
        <f>W39/R39-1</f>
        <v>0.31011661259227918</v>
      </c>
      <c r="X40" s="859">
        <f>+X39/S39-1</f>
        <v>-0.24672277980908441</v>
      </c>
      <c r="Y40" s="860">
        <f>Y39/T39-1</f>
        <v>5.1683679455590825E-2</v>
      </c>
      <c r="Z40" s="860">
        <f>Z39/U39-1</f>
        <v>2.5284977829049353</v>
      </c>
      <c r="AA40" s="860">
        <f>AA39/V39-1</f>
        <v>-0.15252574197456092</v>
      </c>
      <c r="AB40" s="860">
        <f>AB39/W39-1</f>
        <v>-0.17470771384220585</v>
      </c>
      <c r="AC40" s="859">
        <f>+AC39/X39-1</f>
        <v>0.13838901774777823</v>
      </c>
      <c r="AD40" s="860">
        <f>AD39/Y39-1</f>
        <v>0.14241088860378204</v>
      </c>
      <c r="AE40" s="860">
        <f>AE39/Z39-1</f>
        <v>0.33408257302532762</v>
      </c>
      <c r="AF40" s="860">
        <f>AF39/AA39-1</f>
        <v>0.55218056290112782</v>
      </c>
      <c r="AG40" s="860">
        <f>AG39/AB39-1</f>
        <v>0.18195655482832862</v>
      </c>
      <c r="AH40" s="859">
        <f>+AH39/AC39-1</f>
        <v>0.28853995862057125</v>
      </c>
      <c r="AI40" s="860">
        <f>AI39/AD39-1</f>
        <v>6.3349609374999893E-2</v>
      </c>
      <c r="AJ40" s="860">
        <f>AJ39/AE39-1</f>
        <v>-0.14874096311726503</v>
      </c>
      <c r="AK40" s="860">
        <f>AK39/AF39-1</f>
        <v>-0.20200941163469599</v>
      </c>
      <c r="AL40" s="860">
        <f>AL39/AG39-1</f>
        <v>-0.30513089390510884</v>
      </c>
      <c r="AM40" s="859">
        <f>+AM39/AH39-1</f>
        <v>-0.15111297662116152</v>
      </c>
      <c r="AN40" s="860">
        <f>AN39/AI39-1</f>
        <v>-0.28318348379512703</v>
      </c>
      <c r="AO40" s="860">
        <f>AO39/AJ39-1</f>
        <v>-0.29768609316803718</v>
      </c>
      <c r="AP40" s="860">
        <f>AP39/AK39-1</f>
        <v>0.30579437526686903</v>
      </c>
      <c r="AQ40" s="860">
        <f>AQ39/AL39-1</f>
        <v>0.40986471102168331</v>
      </c>
      <c r="AR40" s="859">
        <f>+AR39/AM39-1</f>
        <v>-1.6911018323758076E-2</v>
      </c>
      <c r="AS40" s="860">
        <f>AS39/AN39-1</f>
        <v>0.4737482703838467</v>
      </c>
      <c r="AT40" s="860">
        <f>AT39/AO39-1</f>
        <v>0.83435598539678479</v>
      </c>
      <c r="AU40" s="860">
        <f>AU39/AP39-1</f>
        <v>0.31418193387597104</v>
      </c>
      <c r="AV40" s="860">
        <f>AV39/AQ39-1</f>
        <v>-0.16940208818448133</v>
      </c>
      <c r="AW40" s="859">
        <f>+AW39/AR39-1</f>
        <v>0.31832866738341337</v>
      </c>
      <c r="AX40" s="860">
        <f>AX39/AS39-1</f>
        <v>-0.18251919081275159</v>
      </c>
      <c r="AY40" s="1236">
        <f>AY39/AT39-1</f>
        <v>-0.23482705884817634</v>
      </c>
      <c r="AZ40" s="1168"/>
      <c r="BA40" s="1168"/>
      <c r="BB40" s="851"/>
      <c r="BC40" s="851"/>
      <c r="BD40" s="851"/>
      <c r="BE40" s="851"/>
      <c r="BF40" s="851"/>
      <c r="BG40" s="851"/>
      <c r="BH40" s="851"/>
      <c r="BK40" s="851"/>
      <c r="BL40" s="851"/>
      <c r="BM40" s="851"/>
      <c r="BN40" s="851"/>
      <c r="BO40" s="851"/>
      <c r="BP40" s="851"/>
      <c r="BQ40" s="851"/>
      <c r="BR40" s="851"/>
      <c r="BS40" s="851"/>
      <c r="BT40" s="851"/>
      <c r="BU40" s="851"/>
      <c r="BV40" s="851"/>
      <c r="BW40" s="851"/>
      <c r="BX40" s="851"/>
      <c r="BY40" s="851"/>
      <c r="BZ40" s="851"/>
      <c r="CA40" s="851"/>
      <c r="CB40" s="851"/>
      <c r="CC40" s="851"/>
      <c r="CD40" s="851"/>
      <c r="CE40" s="851"/>
      <c r="CF40" s="851"/>
      <c r="CG40" s="851"/>
      <c r="CH40" s="851"/>
      <c r="CI40" s="851"/>
      <c r="CJ40" s="851"/>
    </row>
    <row r="41" spans="1:88" ht="13.5" customHeight="1" thickBot="1" x14ac:dyDescent="0.25">
      <c r="A41" s="1" t="s">
        <v>1770</v>
      </c>
      <c r="B41" s="21" t="s">
        <v>1771</v>
      </c>
      <c r="C41" s="24"/>
      <c r="D41" s="1133" t="str">
        <f>IF([1]RENAME!$H$3=1,B41,A41)</f>
        <v>Vendas</v>
      </c>
      <c r="E41" s="1134">
        <f>+E39+E37</f>
        <v>626085</v>
      </c>
      <c r="F41" s="1134">
        <f>+F39+F37</f>
        <v>723137</v>
      </c>
      <c r="G41" s="1134">
        <f>+G39+G37</f>
        <v>764893</v>
      </c>
      <c r="H41" s="1134">
        <f>+H39+H37</f>
        <v>786479</v>
      </c>
      <c r="I41" s="1135">
        <f>+SUM(E41:H41)</f>
        <v>2900594</v>
      </c>
      <c r="J41" s="1134">
        <f>+J39+J37</f>
        <v>698647</v>
      </c>
      <c r="K41" s="1134">
        <f>+K39+K37</f>
        <v>790431</v>
      </c>
      <c r="L41" s="1134">
        <f>+L39+L37</f>
        <v>791230</v>
      </c>
      <c r="M41" s="1134">
        <f>+M39+M37</f>
        <v>790462</v>
      </c>
      <c r="N41" s="1135">
        <f>+SUM(J41:M41)</f>
        <v>3070770</v>
      </c>
      <c r="O41" s="1134">
        <f>+O39+O37</f>
        <v>681419</v>
      </c>
      <c r="P41" s="1134">
        <f>+P39+P37</f>
        <v>782593</v>
      </c>
      <c r="Q41" s="1134">
        <f>+Q39+Q37</f>
        <v>798600</v>
      </c>
      <c r="R41" s="1134">
        <f>+R39+R37</f>
        <v>810481</v>
      </c>
      <c r="S41" s="1135">
        <f>+SUM(O41:R41)</f>
        <v>3073093</v>
      </c>
      <c r="T41" s="1134">
        <f>+T39+T37</f>
        <v>619515</v>
      </c>
      <c r="U41" s="1134">
        <f>+U39+U37</f>
        <v>258702</v>
      </c>
      <c r="V41" s="1134">
        <f>+V39+V37</f>
        <v>618961</v>
      </c>
      <c r="W41" s="1134">
        <f>+W39+W37</f>
        <v>764618</v>
      </c>
      <c r="X41" s="1135">
        <f>+SUM(T41:W41)</f>
        <v>2261796</v>
      </c>
      <c r="Y41" s="1134">
        <f>+Y39+Y37</f>
        <v>588153</v>
      </c>
      <c r="Z41" s="1134">
        <f>+Z39+Z37</f>
        <v>607259</v>
      </c>
      <c r="AA41" s="1134">
        <f>+AA39+AA37</f>
        <v>533317</v>
      </c>
      <c r="AB41" s="1134">
        <f>+AB39+AB37</f>
        <v>597814</v>
      </c>
      <c r="AC41" s="1135">
        <f>+SUM(Y41:AB41)</f>
        <v>2326543</v>
      </c>
      <c r="AD41" s="1134">
        <f>+AD39+AD37</f>
        <v>477894</v>
      </c>
      <c r="AE41" s="1134">
        <f>+AE39+AE37</f>
        <v>608209</v>
      </c>
      <c r="AF41" s="1134">
        <f>+AF39+AF37</f>
        <v>653016</v>
      </c>
      <c r="AG41" s="1134">
        <f>+AG39+AG37</f>
        <v>671622</v>
      </c>
      <c r="AH41" s="1135">
        <f>+SUM(AD41:AG41)</f>
        <v>2410741</v>
      </c>
      <c r="AI41" s="1134">
        <f>+AI39+AI37</f>
        <v>545827</v>
      </c>
      <c r="AJ41" s="1134">
        <f>+AJ39+AJ37</f>
        <v>608902</v>
      </c>
      <c r="AK41" s="1134">
        <f>+AK39+AK37</f>
        <v>686807</v>
      </c>
      <c r="AL41" s="1134">
        <f>+AL39+AL37</f>
        <v>720930</v>
      </c>
      <c r="AM41" s="1135">
        <f>+SUM(AI41:AL41)</f>
        <v>2562466</v>
      </c>
      <c r="AN41" s="1134">
        <f>+AN39+AN37</f>
        <v>562040</v>
      </c>
      <c r="AO41" s="1134">
        <f>+AO39+AO37</f>
        <v>672423</v>
      </c>
      <c r="AP41" s="1134">
        <f>+AP39+AP37</f>
        <v>786972</v>
      </c>
      <c r="AQ41" s="1134">
        <f>+AQ39+AQ37</f>
        <v>841873</v>
      </c>
      <c r="AR41" s="1135">
        <f>+SUM(AN41:AQ41)</f>
        <v>2863308</v>
      </c>
      <c r="AS41" s="1134">
        <f>+AS39+AS37</f>
        <v>633496</v>
      </c>
      <c r="AT41" s="1134">
        <f>+AT39+AT37</f>
        <v>757131</v>
      </c>
      <c r="AU41" s="1134">
        <f>+AU39+AU37</f>
        <v>825182</v>
      </c>
      <c r="AV41" s="1134">
        <f>+AV39+AV37</f>
        <v>831461</v>
      </c>
      <c r="AW41" s="1135">
        <f>+SUM(AS41:AV41)</f>
        <v>3047270</v>
      </c>
      <c r="AX41" s="1134">
        <f>+AX39+AX37</f>
        <v>692873</v>
      </c>
      <c r="AY41" s="1237">
        <f>+AY39+AY37</f>
        <v>872221</v>
      </c>
      <c r="AZ41" s="1203"/>
      <c r="BA41" s="983">
        <v>22</v>
      </c>
      <c r="BN41" s="266"/>
      <c r="BO41" s="266"/>
      <c r="BP41" s="266"/>
      <c r="BQ41" s="266"/>
      <c r="BR41" s="266"/>
      <c r="BS41" s="266"/>
      <c r="BT41" s="266"/>
      <c r="BU41" s="266"/>
      <c r="BV41" s="266"/>
      <c r="BW41" s="266"/>
      <c r="BX41" s="266"/>
      <c r="BY41" s="266"/>
      <c r="BZ41" s="266"/>
      <c r="CA41" s="266"/>
      <c r="CB41" s="266"/>
      <c r="CC41" s="266"/>
      <c r="CD41" s="266"/>
      <c r="CE41" s="266"/>
      <c r="CF41" s="266"/>
      <c r="CG41" s="266"/>
      <c r="CH41" s="266"/>
      <c r="CI41" s="266"/>
      <c r="CJ41" s="266"/>
    </row>
    <row r="42" spans="1:88" s="885" customFormat="1" ht="13.5" customHeight="1" x14ac:dyDescent="0.2">
      <c r="A42" s="516" t="s">
        <v>1756</v>
      </c>
      <c r="B42" s="516" t="s">
        <v>1755</v>
      </c>
      <c r="C42" s="24"/>
      <c r="D42" s="912" t="str">
        <f>IF([1]RENAME!$H$3=1,B42,A42)</f>
        <v># veículos Total</v>
      </c>
      <c r="E42" s="865">
        <f>SUM(E45,E48)</f>
        <v>164393</v>
      </c>
      <c r="F42" s="865">
        <f>SUM(F45,F48)</f>
        <v>183183</v>
      </c>
      <c r="G42" s="865">
        <f>SUM(G45,G48)</f>
        <v>195353</v>
      </c>
      <c r="H42" s="865">
        <f>SUM(H45,H48)</f>
        <v>211414</v>
      </c>
      <c r="I42" s="648">
        <f>+SUM(E42:H42)</f>
        <v>754343</v>
      </c>
      <c r="J42" s="865">
        <f>+J45+J48</f>
        <v>177211</v>
      </c>
      <c r="K42" s="865">
        <f>+K45+K48</f>
        <v>193885</v>
      </c>
      <c r="L42" s="865">
        <f>+L45+L48</f>
        <v>206690</v>
      </c>
      <c r="M42" s="865">
        <f>+M45+M48</f>
        <v>203627</v>
      </c>
      <c r="N42" s="648">
        <f>+SUM(J42:M42)</f>
        <v>781413</v>
      </c>
      <c r="O42" s="865">
        <f>+O45+O48</f>
        <v>179325</v>
      </c>
      <c r="P42" s="865">
        <f>+P45+P48</f>
        <v>208179</v>
      </c>
      <c r="Q42" s="865">
        <f>+Q45+Q48</f>
        <v>204497</v>
      </c>
      <c r="R42" s="865">
        <f>+R45+R48</f>
        <v>229266</v>
      </c>
      <c r="S42" s="648">
        <f>+SUM(O42:R42)</f>
        <v>821267</v>
      </c>
      <c r="T42" s="865">
        <f>+T45+T48</f>
        <v>156694</v>
      </c>
      <c r="U42" s="865">
        <f>+U45+U48</f>
        <v>56642</v>
      </c>
      <c r="V42" s="865">
        <f>+V45+V48</f>
        <v>161762</v>
      </c>
      <c r="W42" s="865">
        <f>+W45+W48</f>
        <v>185760</v>
      </c>
      <c r="X42" s="648">
        <f>+SUM(T42:W42)</f>
        <v>560858</v>
      </c>
      <c r="Y42" s="865">
        <f>+Y45+Y48</f>
        <v>137310</v>
      </c>
      <c r="Z42" s="865">
        <f>+Z45+Z48</f>
        <v>127793</v>
      </c>
      <c r="AA42" s="865">
        <f>+AA45+AA48</f>
        <v>113879</v>
      </c>
      <c r="AB42" s="865">
        <f>+AB45+AB48</f>
        <v>148403</v>
      </c>
      <c r="AC42" s="648">
        <f>+SUM(Y42:AB42)</f>
        <v>527385</v>
      </c>
      <c r="AD42" s="865">
        <f>+AD45+AD48</f>
        <v>116692</v>
      </c>
      <c r="AE42" s="865">
        <f>+AE45+AE48</f>
        <v>137691</v>
      </c>
      <c r="AF42" s="865">
        <f>+AF45+AF48</f>
        <v>166066</v>
      </c>
      <c r="AG42" s="865">
        <f>+AG45+AG48</f>
        <v>164900</v>
      </c>
      <c r="AH42" s="648">
        <f>+SUM(AD42:AG42)</f>
        <v>585349</v>
      </c>
      <c r="AI42" s="865">
        <f>+AI45+AI48</f>
        <v>137811</v>
      </c>
      <c r="AJ42" s="865">
        <f>+AJ45+AJ48</f>
        <v>157020</v>
      </c>
      <c r="AK42" s="865">
        <f>+AK45+AK48</f>
        <v>169720</v>
      </c>
      <c r="AL42" s="865">
        <f>+AL45+AL48</f>
        <v>175304</v>
      </c>
      <c r="AM42" s="648">
        <f>+SUM(AI42:AL42)</f>
        <v>639855</v>
      </c>
      <c r="AN42" s="865">
        <f>+AN45+AN48</f>
        <v>140292</v>
      </c>
      <c r="AO42" s="865">
        <f>+AO45+AO48</f>
        <v>167078</v>
      </c>
      <c r="AP42" s="865">
        <f>+AP45+AP48</f>
        <v>202844</v>
      </c>
      <c r="AQ42" s="865">
        <f>+AQ45+AQ48</f>
        <v>202207</v>
      </c>
      <c r="AR42" s="648">
        <f>+SUM(AN42:AQ42)</f>
        <v>712421</v>
      </c>
      <c r="AS42" s="865">
        <f>+AS45+AS48</f>
        <v>144750</v>
      </c>
      <c r="AT42" s="865">
        <f>+AT45+AT48</f>
        <v>170543</v>
      </c>
      <c r="AU42" s="865">
        <f>+AU45+AU48</f>
        <v>197518</v>
      </c>
      <c r="AV42" s="865">
        <f>+AV45+AV48</f>
        <v>188962</v>
      </c>
      <c r="AW42" s="648">
        <f>+SUM(AS42:AV42)</f>
        <v>701773</v>
      </c>
      <c r="AX42" s="865">
        <f>+AX45+AX48</f>
        <v>154716</v>
      </c>
      <c r="AY42" s="865">
        <f>+AY45+AY48</f>
        <v>207232</v>
      </c>
      <c r="AZ42" s="886"/>
      <c r="BA42" s="886"/>
      <c r="BB42" s="886"/>
      <c r="BC42" s="886"/>
      <c r="BD42" s="886"/>
      <c r="BE42" s="886"/>
      <c r="BF42" s="886"/>
      <c r="BG42" s="886"/>
      <c r="BH42" s="886"/>
      <c r="BK42" s="886"/>
      <c r="BL42" s="886"/>
      <c r="BM42" s="886"/>
      <c r="BN42" s="886"/>
      <c r="BO42" s="886"/>
      <c r="BP42" s="886"/>
      <c r="BQ42" s="886"/>
      <c r="BR42" s="886"/>
      <c r="BS42" s="886"/>
      <c r="BT42" s="886"/>
      <c r="BU42" s="886"/>
      <c r="BV42" s="886"/>
      <c r="BW42" s="886"/>
      <c r="BX42" s="886"/>
      <c r="BY42" s="886"/>
      <c r="BZ42" s="886"/>
      <c r="CA42" s="886"/>
      <c r="CB42" s="886"/>
      <c r="CC42" s="886"/>
      <c r="CD42" s="886"/>
      <c r="CE42" s="886"/>
      <c r="CF42" s="886"/>
      <c r="CG42" s="886"/>
      <c r="CH42" s="886"/>
      <c r="CI42" s="886"/>
      <c r="CJ42" s="886"/>
    </row>
    <row r="43" spans="1:88" s="850" customFormat="1" ht="13.5" customHeight="1" x14ac:dyDescent="0.2">
      <c r="A43" s="516" t="s">
        <v>1679</v>
      </c>
      <c r="B43" s="516" t="s">
        <v>1678</v>
      </c>
      <c r="C43" s="855"/>
      <c r="D43" s="861" t="str">
        <f>IF([1]RENAME!$H$3=1,B43,A43)</f>
        <v>Variação %</v>
      </c>
      <c r="E43" s="860" t="s">
        <v>160</v>
      </c>
      <c r="F43" s="860" t="s">
        <v>160</v>
      </c>
      <c r="G43" s="860" t="s">
        <v>160</v>
      </c>
      <c r="H43" s="860" t="s">
        <v>160</v>
      </c>
      <c r="I43" s="859" t="s">
        <v>160</v>
      </c>
      <c r="J43" s="860">
        <f>J42/E42-1</f>
        <v>7.7971689792144527E-2</v>
      </c>
      <c r="K43" s="860">
        <f>K42/F42-1</f>
        <v>5.8422451865074887E-2</v>
      </c>
      <c r="L43" s="860">
        <f>L42/G42-1</f>
        <v>5.8033406192891768E-2</v>
      </c>
      <c r="M43" s="860">
        <f>M42/H42-1</f>
        <v>-3.6832943892079029E-2</v>
      </c>
      <c r="N43" s="859">
        <f>+N42/I42-1</f>
        <v>3.588553217833268E-2</v>
      </c>
      <c r="O43" s="860">
        <f>O42/J42-1</f>
        <v>1.192928204231114E-2</v>
      </c>
      <c r="P43" s="860">
        <f>P42/K42-1</f>
        <v>7.3724114810325814E-2</v>
      </c>
      <c r="Q43" s="860">
        <f>Q42/L42-1</f>
        <v>-1.0610092408921523E-2</v>
      </c>
      <c r="R43" s="860">
        <f>R42/M42-1</f>
        <v>0.12591159325629708</v>
      </c>
      <c r="S43" s="859">
        <f>+S42/N42-1</f>
        <v>5.1002478842814281E-2</v>
      </c>
      <c r="T43" s="860">
        <f>T42/O42-1</f>
        <v>-0.12620103164645202</v>
      </c>
      <c r="U43" s="860">
        <f>U42/P42-1</f>
        <v>-0.72791684079566144</v>
      </c>
      <c r="V43" s="860">
        <f>V42/Q42-1</f>
        <v>-0.20897617079957165</v>
      </c>
      <c r="W43" s="860">
        <f>W42/R42-1</f>
        <v>-0.18976211038706137</v>
      </c>
      <c r="X43" s="859">
        <f>+X42/S42-1</f>
        <v>-0.31708202082879255</v>
      </c>
      <c r="Y43" s="860">
        <f>Y42/T42-1</f>
        <v>-0.12370607681213064</v>
      </c>
      <c r="Z43" s="860">
        <f>Z42/U42-1</f>
        <v>1.2561526782246388</v>
      </c>
      <c r="AA43" s="860">
        <f>AA42/V42-1</f>
        <v>-0.2960089514224602</v>
      </c>
      <c r="AB43" s="860">
        <f>AB42/W42-1</f>
        <v>-0.20110357450473726</v>
      </c>
      <c r="AC43" s="859">
        <f>+AC42/X42-1</f>
        <v>-5.9681773283077E-2</v>
      </c>
      <c r="AD43" s="860">
        <f>AD42/Y42-1</f>
        <v>-0.1501565800014566</v>
      </c>
      <c r="AE43" s="860">
        <f>AE42/Z42-1</f>
        <v>7.7453381640621988E-2</v>
      </c>
      <c r="AF43" s="860">
        <f>AF42/AA42-1</f>
        <v>0.45826710807084714</v>
      </c>
      <c r="AG43" s="860">
        <f>AG42/AB42-1</f>
        <v>0.11116352095308035</v>
      </c>
      <c r="AH43" s="859">
        <f>+AH42/AC42-1</f>
        <v>0.10990832124538996</v>
      </c>
      <c r="AI43" s="860">
        <f>AI42/AD42-1</f>
        <v>0.18098070133342481</v>
      </c>
      <c r="AJ43" s="860">
        <f>AJ42/AE42-1</f>
        <v>0.14037954550406351</v>
      </c>
      <c r="AK43" s="860">
        <f>AK42/AF42-1</f>
        <v>2.2003299892813688E-2</v>
      </c>
      <c r="AL43" s="860">
        <f>AL42/AG42-1</f>
        <v>6.3092783505154681E-2</v>
      </c>
      <c r="AM43" s="859">
        <f>+AM42/AH42-1</f>
        <v>9.3117097663103499E-2</v>
      </c>
      <c r="AN43" s="860">
        <f>AN42/AI42-1</f>
        <v>1.8002917038552724E-2</v>
      </c>
      <c r="AO43" s="860">
        <f>AO42/AJ42-1</f>
        <v>6.4055534326837416E-2</v>
      </c>
      <c r="AP43" s="860">
        <f>AP42/AK42-1</f>
        <v>0.19516851284468539</v>
      </c>
      <c r="AQ43" s="860">
        <f>AQ42/AL42-1</f>
        <v>0.15346483822388546</v>
      </c>
      <c r="AR43" s="859">
        <f>+AR42/AM42-1</f>
        <v>0.11341006946886401</v>
      </c>
      <c r="AS43" s="860">
        <f>AS42/AN42-1</f>
        <v>3.1776580275425514E-2</v>
      </c>
      <c r="AT43" s="860">
        <f>AT42/AO42-1</f>
        <v>2.0738816600629706E-2</v>
      </c>
      <c r="AU43" s="860">
        <f>AU42/AP42-1</f>
        <v>-2.6256630711285478E-2</v>
      </c>
      <c r="AV43" s="860">
        <f>AV42/AQ42-1</f>
        <v>-6.5502183406113579E-2</v>
      </c>
      <c r="AW43" s="859">
        <f>+AW42/AR42-1</f>
        <v>-1.4946218598272609E-2</v>
      </c>
      <c r="AX43" s="860">
        <f>AX42/AS42-1</f>
        <v>6.8849740932642511E-2</v>
      </c>
      <c r="AY43" s="860">
        <f>AY42/AT42-1</f>
        <v>0.21513049494848802</v>
      </c>
      <c r="AZ43" s="851"/>
      <c r="BA43" s="851"/>
      <c r="BB43" s="851"/>
      <c r="BC43" s="851"/>
      <c r="BD43" s="851"/>
      <c r="BE43" s="851"/>
      <c r="BF43" s="851"/>
      <c r="BG43" s="851"/>
      <c r="BH43" s="851"/>
      <c r="BK43" s="851"/>
      <c r="BL43" s="851"/>
      <c r="BM43" s="851"/>
      <c r="BN43" s="851"/>
      <c r="BO43" s="851"/>
      <c r="BP43" s="851"/>
      <c r="BQ43" s="851"/>
      <c r="BR43" s="851"/>
      <c r="BS43" s="851"/>
      <c r="BT43" s="851"/>
      <c r="BU43" s="851"/>
      <c r="BV43" s="851"/>
      <c r="BW43" s="851"/>
      <c r="BX43" s="851"/>
      <c r="BY43" s="851"/>
      <c r="BZ43" s="851"/>
      <c r="CA43" s="851"/>
      <c r="CB43" s="851"/>
      <c r="CC43" s="851"/>
      <c r="CD43" s="851"/>
      <c r="CE43" s="851"/>
      <c r="CF43" s="851"/>
      <c r="CG43" s="851"/>
      <c r="CH43" s="851"/>
      <c r="CI43" s="851"/>
      <c r="CJ43" s="851"/>
    </row>
    <row r="44" spans="1:88" s="850" customFormat="1" ht="13.5" customHeight="1" x14ac:dyDescent="0.2">
      <c r="A44" s="850" t="s">
        <v>1682</v>
      </c>
      <c r="B44" s="850" t="s">
        <v>1682</v>
      </c>
      <c r="C44" s="855"/>
      <c r="D44" s="861" t="str">
        <f>IF([1]RENAME!$H$3=1,B44,A44)</f>
        <v>Mkt share Tegma %</v>
      </c>
      <c r="E44" s="863">
        <f t="shared" ref="E44:AK44" si="58">+E42/E41</f>
        <v>0.26257297331831941</v>
      </c>
      <c r="F44" s="863">
        <f t="shared" si="58"/>
        <v>0.25331714460745336</v>
      </c>
      <c r="G44" s="863">
        <f t="shared" si="58"/>
        <v>0.25539912118427022</v>
      </c>
      <c r="H44" s="863">
        <f t="shared" si="58"/>
        <v>0.26881073747677942</v>
      </c>
      <c r="I44" s="862">
        <f t="shared" si="58"/>
        <v>0.26006500737435162</v>
      </c>
      <c r="J44" s="863">
        <f t="shared" si="58"/>
        <v>0.25364883839764574</v>
      </c>
      <c r="K44" s="863">
        <f t="shared" si="58"/>
        <v>0.24529022773651338</v>
      </c>
      <c r="L44" s="863">
        <f t="shared" si="58"/>
        <v>0.26122619213123871</v>
      </c>
      <c r="M44" s="863">
        <f t="shared" si="58"/>
        <v>0.25760504616287688</v>
      </c>
      <c r="N44" s="862">
        <f t="shared" si="58"/>
        <v>0.25446809757813188</v>
      </c>
      <c r="O44" s="863">
        <f t="shared" si="58"/>
        <v>0.26316407379307005</v>
      </c>
      <c r="P44" s="863">
        <f t="shared" si="58"/>
        <v>0.26601183501513559</v>
      </c>
      <c r="Q44" s="863">
        <f t="shared" si="58"/>
        <v>0.2560693713999499</v>
      </c>
      <c r="R44" s="863">
        <f t="shared" si="58"/>
        <v>0.28287646471663125</v>
      </c>
      <c r="S44" s="862">
        <f t="shared" si="58"/>
        <v>0.26724443419056959</v>
      </c>
      <c r="T44" s="863">
        <f t="shared" si="58"/>
        <v>0.25293011468648863</v>
      </c>
      <c r="U44" s="863">
        <f t="shared" si="58"/>
        <v>0.21894689642909604</v>
      </c>
      <c r="V44" s="863">
        <f t="shared" si="58"/>
        <v>0.26134441426842725</v>
      </c>
      <c r="W44" s="863">
        <f t="shared" si="58"/>
        <v>0.24294484304580849</v>
      </c>
      <c r="X44" s="862">
        <f t="shared" si="58"/>
        <v>0.24797019713537383</v>
      </c>
      <c r="Y44" s="863">
        <f t="shared" si="58"/>
        <v>0.23345966100657481</v>
      </c>
      <c r="Z44" s="863">
        <f t="shared" si="58"/>
        <v>0.2104423318551063</v>
      </c>
      <c r="AA44" s="863">
        <f t="shared" si="58"/>
        <v>0.21352966434597059</v>
      </c>
      <c r="AB44" s="863">
        <f t="shared" si="58"/>
        <v>0.24824276447189259</v>
      </c>
      <c r="AC44" s="862">
        <f t="shared" si="58"/>
        <v>0.22668181933452336</v>
      </c>
      <c r="AD44" s="863">
        <f t="shared" si="58"/>
        <v>0.24417967164266552</v>
      </c>
      <c r="AE44" s="863">
        <f t="shared" si="58"/>
        <v>0.22638763977514309</v>
      </c>
      <c r="AF44" s="863">
        <f t="shared" si="58"/>
        <v>0.25430617320249427</v>
      </c>
      <c r="AG44" s="863">
        <f t="shared" si="58"/>
        <v>0.24552501258148185</v>
      </c>
      <c r="AH44" s="862">
        <f t="shared" si="58"/>
        <v>0.24280874635641075</v>
      </c>
      <c r="AI44" s="863">
        <f t="shared" si="58"/>
        <v>0.25248109749059683</v>
      </c>
      <c r="AJ44" s="863">
        <f t="shared" si="58"/>
        <v>0.25787400928228188</v>
      </c>
      <c r="AK44" s="863">
        <f t="shared" si="58"/>
        <v>0.24711454600783045</v>
      </c>
      <c r="AL44" s="863">
        <f t="shared" ref="AL44:AR44" si="59">+AL42/AL41</f>
        <v>0.24316369134312624</v>
      </c>
      <c r="AM44" s="862">
        <f t="shared" si="59"/>
        <v>0.24970282532529212</v>
      </c>
      <c r="AN44" s="863">
        <f t="shared" si="59"/>
        <v>0.24961212725072948</v>
      </c>
      <c r="AO44" s="863">
        <f t="shared" si="59"/>
        <v>0.24847157220975488</v>
      </c>
      <c r="AP44" s="863">
        <f t="shared" si="59"/>
        <v>0.2577524994536019</v>
      </c>
      <c r="AQ44" s="863">
        <f t="shared" si="59"/>
        <v>0.24018705909323615</v>
      </c>
      <c r="AR44" s="862">
        <f t="shared" si="59"/>
        <v>0.24881046677479335</v>
      </c>
      <c r="AS44" s="863">
        <f t="shared" ref="AS44:AX44" si="60">+AS42/AS41</f>
        <v>0.22849394471314735</v>
      </c>
      <c r="AT44" s="863">
        <f t="shared" si="60"/>
        <v>0.22524899918244004</v>
      </c>
      <c r="AU44" s="863">
        <f t="shared" si="60"/>
        <v>0.23936295265771673</v>
      </c>
      <c r="AV44" s="863">
        <f t="shared" si="60"/>
        <v>0.22726501904478982</v>
      </c>
      <c r="AW44" s="862">
        <f t="shared" si="60"/>
        <v>0.23029564167271033</v>
      </c>
      <c r="AX44" s="863">
        <f t="shared" si="60"/>
        <v>0.22329633280557909</v>
      </c>
      <c r="AY44" s="863">
        <f>+AY42/AY41</f>
        <v>0.23759116095576693</v>
      </c>
      <c r="AZ44" s="983"/>
      <c r="BA44" s="983"/>
      <c r="BB44" s="851"/>
      <c r="BC44" s="851"/>
      <c r="BD44" s="851"/>
      <c r="BE44" s="851"/>
      <c r="BF44" s="851"/>
      <c r="BG44" s="851"/>
      <c r="BH44" s="851"/>
      <c r="BK44" s="851"/>
      <c r="BL44" s="851"/>
      <c r="BM44" s="851"/>
      <c r="BN44" s="851"/>
      <c r="BO44" s="851"/>
      <c r="BP44" s="851"/>
      <c r="BQ44" s="851"/>
      <c r="BR44" s="851"/>
      <c r="BS44" s="851"/>
      <c r="BT44" s="851"/>
      <c r="BU44" s="851"/>
      <c r="BV44" s="851"/>
      <c r="BW44" s="851"/>
      <c r="BX44" s="851"/>
      <c r="BY44" s="851"/>
      <c r="BZ44" s="851"/>
      <c r="CA44" s="851"/>
      <c r="CB44" s="851"/>
      <c r="CC44" s="851"/>
      <c r="CD44" s="851"/>
      <c r="CE44" s="851"/>
      <c r="CF44" s="851"/>
      <c r="CG44" s="851"/>
      <c r="CH44" s="851"/>
      <c r="CI44" s="851"/>
      <c r="CJ44" s="851"/>
    </row>
    <row r="45" spans="1:88" ht="13.5" customHeight="1" x14ac:dyDescent="0.2">
      <c r="A45" s="516" t="s">
        <v>1750</v>
      </c>
      <c r="B45" s="516" t="s">
        <v>1749</v>
      </c>
      <c r="C45" s="24"/>
      <c r="D45" s="858" t="str">
        <f>IF([1]RENAME!$H$3=1,B45,A45)</f>
        <v>Doméstico</v>
      </c>
      <c r="E45" s="857">
        <f>HLOOKUP(E35,'Dados Operacionais Auto'!$D$5:$BI$15,3,0)</f>
        <v>124821</v>
      </c>
      <c r="F45" s="857">
        <f>HLOOKUP(F35,'Dados Operacionais Auto'!$D$5:$BI$15,3,0)</f>
        <v>139792</v>
      </c>
      <c r="G45" s="857">
        <f>HLOOKUP(G35,'Dados Operacionais Auto'!$D$5:$BI$15,3,0)</f>
        <v>160254</v>
      </c>
      <c r="H45" s="857">
        <f>HLOOKUP(H35,'Dados Operacionais Auto'!$D$5:$BI$15,3,0)</f>
        <v>168868</v>
      </c>
      <c r="I45" s="647">
        <f>+SUM(E45:H45)</f>
        <v>593735</v>
      </c>
      <c r="J45" s="857">
        <f>HLOOKUP(J35,'Dados Operacionais Auto'!$D$5:$BI$15,3,0)</f>
        <v>135287</v>
      </c>
      <c r="K45" s="857">
        <f>HLOOKUP(K35,'Dados Operacionais Auto'!$D$5:$BI$15,3,0)</f>
        <v>155381</v>
      </c>
      <c r="L45" s="857">
        <f>HLOOKUP(L35,'Dados Operacionais Auto'!$D$5:$BI$15,3,0)</f>
        <v>177801</v>
      </c>
      <c r="M45" s="857">
        <f>HLOOKUP(M35,'Dados Operacionais Auto'!$D$5:$BI$15,3,0)</f>
        <v>185303</v>
      </c>
      <c r="N45" s="647">
        <f>+SUM(J45:M45)</f>
        <v>653772</v>
      </c>
      <c r="O45" s="857">
        <f>HLOOKUP(O35,'Dados Operacionais Auto'!$D$5:$BI$15,3,0)</f>
        <v>155292</v>
      </c>
      <c r="P45" s="857">
        <f>HLOOKUP(P35,'Dados Operacionais Auto'!$D$5:$BI$15,3,0)</f>
        <v>181552</v>
      </c>
      <c r="Q45" s="857">
        <f>HLOOKUP(Q35,'Dados Operacionais Auto'!$D$5:$BI$15,3,0)</f>
        <v>179754</v>
      </c>
      <c r="R45" s="857">
        <f>HLOOKUP(R35,'Dados Operacionais Auto'!$D$5:$BI$15,3,0)</f>
        <v>208381</v>
      </c>
      <c r="S45" s="647">
        <f>+SUM(O45:R45)</f>
        <v>724979</v>
      </c>
      <c r="T45" s="857">
        <f>HLOOKUP(T35,'Dados Operacionais Auto'!$D$5:$BI$15,3,0)</f>
        <v>135460</v>
      </c>
      <c r="U45" s="857">
        <f>HLOOKUP(U35,'Dados Operacionais Auto'!$D$5:$BI$15,3,0)</f>
        <v>51802</v>
      </c>
      <c r="V45" s="857">
        <f>HLOOKUP(V35,'Dados Operacionais Auto'!$D$5:$BI$15,3,0)</f>
        <v>140610</v>
      </c>
      <c r="W45" s="857">
        <f>HLOOKUP(W35,'Dados Operacionais Auto'!$D$5:$BI$15,3,0)</f>
        <v>155815</v>
      </c>
      <c r="X45" s="647">
        <f>+SUM(T45:W45)</f>
        <v>483687</v>
      </c>
      <c r="Y45" s="857">
        <f>HLOOKUP(Y35,'Dados Operacionais Auto'!$D$5:$BI$15,3,0)</f>
        <v>114662</v>
      </c>
      <c r="Z45" s="857">
        <f>HLOOKUP(Z35,'Dados Operacionais Auto'!$D$5:$BI$15,3,0)</f>
        <v>104646</v>
      </c>
      <c r="AA45" s="857">
        <f>HLOOKUP(AA35,'Dados Operacionais Auto'!$D$5:$BI$15,3,0)</f>
        <v>96425</v>
      </c>
      <c r="AB45" s="857">
        <f>HLOOKUP(AB35,'Dados Operacionais Auto'!$D$5:$BI$15,3,0)</f>
        <v>126503</v>
      </c>
      <c r="AC45" s="647">
        <f>+SUM(Y45:AB45)</f>
        <v>442236</v>
      </c>
      <c r="AD45" s="857">
        <f>HLOOKUP(AD35,'Dados Operacionais Auto'!$D$5:$BI$15,3,0)</f>
        <v>91310</v>
      </c>
      <c r="AE45" s="857">
        <f>HLOOKUP(AE35,'Dados Operacionais Auto'!$D$5:$BI$15,3,0)</f>
        <v>107786</v>
      </c>
      <c r="AF45" s="857">
        <f>HLOOKUP(AF35,'Dados Operacionais Auto'!$D$5:$BI$15,3,0)</f>
        <v>135887</v>
      </c>
      <c r="AG45" s="857">
        <f>HLOOKUP(AG35,'Dados Operacionais Auto'!$D$5:$BI$15,3,0)</f>
        <v>139730</v>
      </c>
      <c r="AH45" s="647">
        <f>+SUM(AD45:AG45)</f>
        <v>474713</v>
      </c>
      <c r="AI45" s="857">
        <f>HLOOKUP(AI35,'Dados Operacionais Auto'!$D$5:$BI$15,3,0)</f>
        <v>114282</v>
      </c>
      <c r="AJ45" s="857">
        <f>HLOOKUP(AJ35,'Dados Operacionais Auto'!$D$5:$BJ$15,3,0)</f>
        <v>130493</v>
      </c>
      <c r="AK45" s="857">
        <f>HLOOKUP(AK35,'Dados Operacionais Auto'!$D$5:$BO$15,3,0)</f>
        <v>151401</v>
      </c>
      <c r="AL45" s="857">
        <f>HLOOKUP(AL35,'Dados Operacionais Auto'!$D$5:$BO$15,3,0)</f>
        <v>158461</v>
      </c>
      <c r="AM45" s="647">
        <f>+SUM(AI45:AL45)</f>
        <v>554637</v>
      </c>
      <c r="AN45" s="857">
        <f>HLOOKUP(AN35,'Dados Operacionais Auto'!$D$5:$BO$15,3,0)</f>
        <v>123998</v>
      </c>
      <c r="AO45" s="857">
        <f>HLOOKUP(AO35,'Dados Operacionais Auto'!$D$5:$BO$15,3,0)</f>
        <v>146715</v>
      </c>
      <c r="AP45" s="857">
        <f>HLOOKUP(AP35,'Dados Operacionais Auto'!$D$5:$BO$15,3,0)</f>
        <v>178415</v>
      </c>
      <c r="AQ45" s="857">
        <f>HLOOKUP(AQ35,'Dados Operacionais Auto'!$D$5:$CD$15,3,0)</f>
        <v>179387</v>
      </c>
      <c r="AR45" s="647">
        <f>+SUM(AN45:AQ45)</f>
        <v>628515</v>
      </c>
      <c r="AS45" s="857">
        <f>HLOOKUP(AS35,'Dados Operacionais Auto'!$D$5:$CD$15,3,0)</f>
        <v>119957</v>
      </c>
      <c r="AT45" s="857">
        <f>HLOOKUP(AT35,'Dados Operacionais Auto'!$D$5:$CD$15,3,0)</f>
        <v>141192</v>
      </c>
      <c r="AU45" s="857">
        <f>HLOOKUP(AU35,'Dados Operacionais Auto'!$D$5:$CD$15,3,0)</f>
        <v>164705</v>
      </c>
      <c r="AV45" s="857">
        <f>HLOOKUP(AV35,'Dados Operacionais Auto'!$D$5:$CD$15,3,0)</f>
        <v>166516</v>
      </c>
      <c r="AW45" s="647">
        <f>+SUM(AS45:AV45)</f>
        <v>592370</v>
      </c>
      <c r="AX45" s="857">
        <f>HLOOKUP(AX35,'Dados Operacionais Auto'!$D$5:$CD$15,3,0)</f>
        <v>137099</v>
      </c>
      <c r="AY45" s="857">
        <f>HLOOKUP(AY35,'Dados Operacionais Auto'!$D$5:$CD$15,3,0)</f>
        <v>182528</v>
      </c>
      <c r="BN45" s="266"/>
      <c r="BO45" s="266"/>
      <c r="BP45" s="266"/>
      <c r="BQ45" s="266"/>
      <c r="BR45" s="266"/>
      <c r="BS45" s="266"/>
      <c r="BT45" s="266"/>
      <c r="BU45" s="266"/>
      <c r="BV45" s="266"/>
      <c r="BW45" s="266"/>
      <c r="BX45" s="266"/>
      <c r="BY45" s="266"/>
      <c r="BZ45" s="266"/>
      <c r="CA45" s="266"/>
      <c r="CB45" s="266"/>
      <c r="CC45" s="266"/>
      <c r="CD45" s="266"/>
      <c r="CE45" s="266"/>
      <c r="CF45" s="266"/>
      <c r="CG45" s="266"/>
      <c r="CH45" s="266"/>
      <c r="CI45" s="266"/>
      <c r="CJ45" s="266"/>
    </row>
    <row r="46" spans="1:88" s="850" customFormat="1" ht="13.5" customHeight="1" x14ac:dyDescent="0.2">
      <c r="A46" s="516" t="s">
        <v>1679</v>
      </c>
      <c r="B46" s="516" t="s">
        <v>1678</v>
      </c>
      <c r="C46" s="855"/>
      <c r="D46" s="861" t="str">
        <f>IF([1]RENAME!$H$3=1,B46,A46)</f>
        <v>Variação %</v>
      </c>
      <c r="E46" s="875" t="s">
        <v>160</v>
      </c>
      <c r="F46" s="875" t="s">
        <v>160</v>
      </c>
      <c r="G46" s="875" t="s">
        <v>160</v>
      </c>
      <c r="H46" s="875" t="s">
        <v>160</v>
      </c>
      <c r="I46" s="900" t="s">
        <v>160</v>
      </c>
      <c r="J46" s="875">
        <f>+J45/E45-1</f>
        <v>8.3848070436865596E-2</v>
      </c>
      <c r="K46" s="875">
        <f>+K45/F45-1</f>
        <v>0.1115156804395101</v>
      </c>
      <c r="L46" s="875">
        <f>+L45/G45-1</f>
        <v>0.1094949268036991</v>
      </c>
      <c r="M46" s="875">
        <f>+M45/H45-1</f>
        <v>9.7324537508586495E-2</v>
      </c>
      <c r="N46" s="862">
        <f t="shared" ref="N46:AS46" si="61">+N45/I45-1</f>
        <v>0.1011175019158379</v>
      </c>
      <c r="O46" s="875">
        <f t="shared" si="61"/>
        <v>0.14787082276937169</v>
      </c>
      <c r="P46" s="875">
        <f t="shared" si="61"/>
        <v>0.16843114666529369</v>
      </c>
      <c r="Q46" s="875">
        <f t="shared" si="61"/>
        <v>1.0984190190156395E-2</v>
      </c>
      <c r="R46" s="875">
        <f t="shared" si="61"/>
        <v>0.1245419664009757</v>
      </c>
      <c r="S46" s="862">
        <f t="shared" si="61"/>
        <v>0.10891717601855078</v>
      </c>
      <c r="T46" s="875">
        <f t="shared" si="61"/>
        <v>-0.12770780207608889</v>
      </c>
      <c r="U46" s="875">
        <f t="shared" si="61"/>
        <v>-0.71467127875209302</v>
      </c>
      <c r="V46" s="875">
        <f t="shared" si="61"/>
        <v>-0.21776427784639008</v>
      </c>
      <c r="W46" s="875">
        <f t="shared" si="61"/>
        <v>-0.25225908312178169</v>
      </c>
      <c r="X46" s="862">
        <f t="shared" si="61"/>
        <v>-0.33282619220694665</v>
      </c>
      <c r="Y46" s="875">
        <f t="shared" si="61"/>
        <v>-0.15353609921748113</v>
      </c>
      <c r="Z46" s="875">
        <f t="shared" si="61"/>
        <v>1.0201150534728387</v>
      </c>
      <c r="AA46" s="875">
        <f t="shared" si="61"/>
        <v>-0.31423796316051489</v>
      </c>
      <c r="AB46" s="875">
        <f t="shared" si="61"/>
        <v>-0.18812052754869557</v>
      </c>
      <c r="AC46" s="862">
        <f t="shared" si="61"/>
        <v>-8.5697982372898163E-2</v>
      </c>
      <c r="AD46" s="875">
        <f t="shared" si="61"/>
        <v>-0.20365945125673723</v>
      </c>
      <c r="AE46" s="875">
        <f t="shared" si="61"/>
        <v>3.0005924736731471E-2</v>
      </c>
      <c r="AF46" s="875">
        <f t="shared" si="61"/>
        <v>0.40925071298936988</v>
      </c>
      <c r="AG46" s="875">
        <f t="shared" si="61"/>
        <v>0.10455878516715011</v>
      </c>
      <c r="AH46" s="862">
        <f t="shared" si="61"/>
        <v>7.3438164238099013E-2</v>
      </c>
      <c r="AI46" s="875">
        <f t="shared" si="61"/>
        <v>0.25158252108202817</v>
      </c>
      <c r="AJ46" s="875">
        <f t="shared" si="61"/>
        <v>0.21066743361846618</v>
      </c>
      <c r="AK46" s="875">
        <f t="shared" si="61"/>
        <v>0.11416838991220657</v>
      </c>
      <c r="AL46" s="875">
        <f t="shared" si="61"/>
        <v>0.13405138481356893</v>
      </c>
      <c r="AM46" s="862">
        <f t="shared" si="61"/>
        <v>0.16836277919500842</v>
      </c>
      <c r="AN46" s="875">
        <f t="shared" si="61"/>
        <v>8.5017763077299913E-2</v>
      </c>
      <c r="AO46" s="875">
        <f t="shared" si="61"/>
        <v>0.12431318154996829</v>
      </c>
      <c r="AP46" s="875">
        <f t="shared" si="61"/>
        <v>0.1784268267712894</v>
      </c>
      <c r="AQ46" s="875">
        <f t="shared" si="61"/>
        <v>0.13205773029325818</v>
      </c>
      <c r="AR46" s="862">
        <f t="shared" si="61"/>
        <v>0.13320063392813686</v>
      </c>
      <c r="AS46" s="875">
        <f t="shared" si="61"/>
        <v>-3.2589235310246933E-2</v>
      </c>
      <c r="AT46" s="875">
        <f t="shared" ref="AT46:AY46" si="62">+AT45/AO45-1</f>
        <v>-3.7644412636744673E-2</v>
      </c>
      <c r="AU46" s="875">
        <f t="shared" si="62"/>
        <v>-7.684331474371553E-2</v>
      </c>
      <c r="AV46" s="875">
        <f t="shared" si="62"/>
        <v>-7.1749903839185669E-2</v>
      </c>
      <c r="AW46" s="862">
        <f t="shared" si="62"/>
        <v>-5.7508571792240448E-2</v>
      </c>
      <c r="AX46" s="875">
        <f t="shared" si="62"/>
        <v>0.14290120626557856</v>
      </c>
      <c r="AY46" s="875">
        <f t="shared" si="62"/>
        <v>0.29276446257578326</v>
      </c>
      <c r="AZ46" s="851"/>
      <c r="BA46" s="851"/>
      <c r="BB46" s="851"/>
      <c r="BC46" s="851"/>
      <c r="BD46" s="851"/>
      <c r="BE46" s="851"/>
      <c r="BF46" s="851"/>
      <c r="BG46" s="851"/>
      <c r="BH46" s="851"/>
      <c r="BK46" s="851"/>
      <c r="BL46" s="851"/>
      <c r="BM46" s="851"/>
      <c r="BN46" s="851"/>
      <c r="BO46" s="851"/>
      <c r="BP46" s="851"/>
      <c r="BQ46" s="851"/>
      <c r="BR46" s="851"/>
      <c r="BS46" s="851"/>
      <c r="BT46" s="851"/>
      <c r="BU46" s="851"/>
      <c r="BV46" s="851"/>
      <c r="BW46" s="851"/>
      <c r="BX46" s="851"/>
      <c r="BY46" s="851"/>
      <c r="BZ46" s="851"/>
      <c r="CA46" s="851"/>
      <c r="CB46" s="851"/>
      <c r="CC46" s="851"/>
      <c r="CD46" s="851"/>
      <c r="CE46" s="851"/>
      <c r="CF46" s="851"/>
      <c r="CG46" s="851"/>
      <c r="CH46" s="851"/>
      <c r="CI46" s="851"/>
      <c r="CJ46" s="851"/>
    </row>
    <row r="47" spans="1:88" s="850" customFormat="1" ht="13.5" customHeight="1" x14ac:dyDescent="0.2">
      <c r="A47" s="850" t="s">
        <v>2089</v>
      </c>
      <c r="B47" s="850" t="s">
        <v>2086</v>
      </c>
      <c r="C47" s="855"/>
      <c r="D47" s="861" t="str">
        <f>IF([1]RENAME!$H$3=1,B47,A47)</f>
        <v>Mkt share Doméstico %</v>
      </c>
      <c r="E47" s="863">
        <f t="shared" ref="E47:AI47" si="63">+E45/E37</f>
        <v>0.27100711708230024</v>
      </c>
      <c r="F47" s="863">
        <f t="shared" si="63"/>
        <v>0.26251476495321224</v>
      </c>
      <c r="G47" s="863">
        <f t="shared" si="63"/>
        <v>0.27488481713111462</v>
      </c>
      <c r="H47" s="863">
        <f t="shared" si="63"/>
        <v>0.28149029766280442</v>
      </c>
      <c r="I47" s="862">
        <f t="shared" si="63"/>
        <v>0.27285791360790007</v>
      </c>
      <c r="J47" s="863">
        <f t="shared" si="63"/>
        <v>0.256107026298453</v>
      </c>
      <c r="K47" s="863">
        <f t="shared" si="63"/>
        <v>0.25858132328614841</v>
      </c>
      <c r="L47" s="863">
        <f t="shared" si="63"/>
        <v>0.27194805790717413</v>
      </c>
      <c r="M47" s="863">
        <f t="shared" si="63"/>
        <v>0.26762768435753787</v>
      </c>
      <c r="N47" s="862">
        <f t="shared" si="63"/>
        <v>0.2641142340965153</v>
      </c>
      <c r="O47" s="863">
        <f t="shared" si="63"/>
        <v>0.26707437880080348</v>
      </c>
      <c r="P47" s="863">
        <f t="shared" si="63"/>
        <v>0.27084498826674541</v>
      </c>
      <c r="Q47" s="863">
        <f t="shared" si="63"/>
        <v>0.26111967367667205</v>
      </c>
      <c r="R47" s="863">
        <f t="shared" si="63"/>
        <v>0.28725843071464119</v>
      </c>
      <c r="S47" s="862">
        <f t="shared" si="63"/>
        <v>0.27197764991748524</v>
      </c>
      <c r="T47" s="863">
        <f t="shared" si="63"/>
        <v>0.25353509830895493</v>
      </c>
      <c r="U47" s="863">
        <f t="shared" si="63"/>
        <v>0.2242870070097808</v>
      </c>
      <c r="V47" s="863">
        <f t="shared" si="63"/>
        <v>0.26213108978003807</v>
      </c>
      <c r="W47" s="863">
        <f t="shared" si="63"/>
        <v>0.23855235015746307</v>
      </c>
      <c r="X47" s="862">
        <f t="shared" si="63"/>
        <v>0.24743199913240449</v>
      </c>
      <c r="Y47" s="863">
        <f t="shared" si="63"/>
        <v>0.23000573700448129</v>
      </c>
      <c r="Z47" s="863">
        <f t="shared" si="63"/>
        <v>0.20543717681425727</v>
      </c>
      <c r="AA47" s="863">
        <f t="shared" si="63"/>
        <v>0.20810043206332901</v>
      </c>
      <c r="AB47" s="863">
        <f t="shared" si="63"/>
        <v>0.25008698471441337</v>
      </c>
      <c r="AC47" s="862">
        <f t="shared" si="63"/>
        <v>0.22367980480442509</v>
      </c>
      <c r="AD47" s="863">
        <f t="shared" si="63"/>
        <v>0.24317299344330401</v>
      </c>
      <c r="AE47" s="863">
        <f t="shared" si="63"/>
        <v>0.22566698699629215</v>
      </c>
      <c r="AF47" s="863">
        <f t="shared" si="63"/>
        <v>0.24959636461821327</v>
      </c>
      <c r="AG47" s="863">
        <f t="shared" si="63"/>
        <v>0.2482288402367705</v>
      </c>
      <c r="AH47" s="862">
        <f t="shared" si="63"/>
        <v>0.24214343353760492</v>
      </c>
      <c r="AI47" s="863">
        <f t="shared" si="63"/>
        <v>0.26155078500480616</v>
      </c>
      <c r="AJ47" s="863">
        <f t="shared" ref="AJ47:AO47" si="64">+AJ45/AJ37</f>
        <v>0.26216679926388453</v>
      </c>
      <c r="AK47" s="863">
        <f t="shared" si="64"/>
        <v>0.25227025063567016</v>
      </c>
      <c r="AL47" s="863">
        <f t="shared" si="64"/>
        <v>0.2455282713654422</v>
      </c>
      <c r="AM47" s="862">
        <f t="shared" si="64"/>
        <v>0.25439380248872823</v>
      </c>
      <c r="AN47" s="863">
        <f t="shared" si="64"/>
        <v>0.25620056695620552</v>
      </c>
      <c r="AO47" s="863">
        <f t="shared" si="64"/>
        <v>0.24684617688329255</v>
      </c>
      <c r="AP47" s="863">
        <f t="shared" ref="AP47:AX47" si="65">+AP45/AP37</f>
        <v>0.2647810026698485</v>
      </c>
      <c r="AQ47" s="863">
        <f t="shared" si="65"/>
        <v>0.24394147699998231</v>
      </c>
      <c r="AR47" s="862">
        <f t="shared" si="65"/>
        <v>0.252665690064385</v>
      </c>
      <c r="AS47" s="863">
        <f t="shared" si="65"/>
        <v>0.23136863098326413</v>
      </c>
      <c r="AT47" s="863">
        <f t="shared" si="65"/>
        <v>0.22997986747717988</v>
      </c>
      <c r="AU47" s="863">
        <f t="shared" si="65"/>
        <v>0.24347320915147655</v>
      </c>
      <c r="AV47" s="863">
        <f t="shared" si="65"/>
        <v>0.22411335681474673</v>
      </c>
      <c r="AW47" s="862">
        <f t="shared" si="65"/>
        <v>0.23213091216315507</v>
      </c>
      <c r="AX47" s="863">
        <f t="shared" si="65"/>
        <v>0.22894133481620269</v>
      </c>
      <c r="AY47" s="863">
        <f>+AY45/AY37</f>
        <v>0.23933421534677157</v>
      </c>
      <c r="AZ47" s="983"/>
      <c r="BA47" s="983"/>
      <c r="BB47" s="851"/>
      <c r="BC47" s="851"/>
      <c r="BD47" s="851"/>
      <c r="BE47" s="851"/>
      <c r="BF47" s="851"/>
      <c r="BG47" s="851"/>
      <c r="BH47" s="851"/>
      <c r="BK47" s="851"/>
      <c r="BL47" s="851"/>
      <c r="BM47" s="851"/>
      <c r="BN47" s="851"/>
      <c r="BO47" s="851"/>
      <c r="BP47" s="851"/>
      <c r="BQ47" s="851"/>
      <c r="BR47" s="851"/>
      <c r="BS47" s="851"/>
      <c r="BT47" s="851"/>
      <c r="BU47" s="851"/>
      <c r="BV47" s="851"/>
      <c r="BW47" s="851"/>
      <c r="BX47" s="851"/>
      <c r="BY47" s="851"/>
      <c r="BZ47" s="851"/>
      <c r="CA47" s="851"/>
      <c r="CB47" s="851"/>
      <c r="CC47" s="851"/>
      <c r="CD47" s="851"/>
      <c r="CE47" s="851"/>
      <c r="CF47" s="851"/>
      <c r="CG47" s="851"/>
      <c r="CH47" s="851"/>
      <c r="CI47" s="851"/>
      <c r="CJ47" s="851"/>
    </row>
    <row r="48" spans="1:88" ht="13.5" customHeight="1" x14ac:dyDescent="0.2">
      <c r="A48" s="516" t="s">
        <v>1681</v>
      </c>
      <c r="B48" s="516" t="s">
        <v>1680</v>
      </c>
      <c r="C48" s="24"/>
      <c r="D48" s="858" t="str">
        <f>IF([1]RENAME!$H$3=1,B48,A48)</f>
        <v>Exportação</v>
      </c>
      <c r="E48" s="857">
        <f>HLOOKUP(E35,'Dados Operacionais Auto'!$D$5:$BI$15,4,0)</f>
        <v>39572</v>
      </c>
      <c r="F48" s="857">
        <f>HLOOKUP(F35,'Dados Operacionais Auto'!$D$5:$BI$15,4,0)</f>
        <v>43391</v>
      </c>
      <c r="G48" s="857">
        <f>HLOOKUP(G35,'Dados Operacionais Auto'!$D$5:$BI$15,4,0)</f>
        <v>35099</v>
      </c>
      <c r="H48" s="857">
        <f>HLOOKUP(H35,'Dados Operacionais Auto'!$D$5:$BI$15,4,0)</f>
        <v>42546</v>
      </c>
      <c r="I48" s="647">
        <f>+SUM(E48:H48)</f>
        <v>160608</v>
      </c>
      <c r="J48" s="857">
        <f>HLOOKUP(J35,'Dados Operacionais Auto'!$D$5:$BI$15,4,0)</f>
        <v>41924</v>
      </c>
      <c r="K48" s="857">
        <f>HLOOKUP(K35,'Dados Operacionais Auto'!$D$5:$BI$15,4,0)</f>
        <v>38504</v>
      </c>
      <c r="L48" s="857">
        <f>HLOOKUP(L35,'Dados Operacionais Auto'!$D$5:$BI$15,4,0)</f>
        <v>28889</v>
      </c>
      <c r="M48" s="857">
        <f>HLOOKUP(M35,'Dados Operacionais Auto'!$D$5:$BI$15,4,0)</f>
        <v>18324</v>
      </c>
      <c r="N48" s="647">
        <f>+SUM(J48:M48)</f>
        <v>127641</v>
      </c>
      <c r="O48" s="857">
        <f>HLOOKUP(O35,'Dados Operacionais Auto'!$D$5:$BI$15,4,0)</f>
        <v>24033</v>
      </c>
      <c r="P48" s="857">
        <f>HLOOKUP(P35,'Dados Operacionais Auto'!$D$5:$BI$15,4,0)</f>
        <v>26627</v>
      </c>
      <c r="Q48" s="857">
        <f>HLOOKUP(Q35,'Dados Operacionais Auto'!$D$5:$BI$15,4,0)</f>
        <v>24743</v>
      </c>
      <c r="R48" s="857">
        <f>HLOOKUP(R35,'Dados Operacionais Auto'!$D$5:$BI$15,4,0)</f>
        <v>20885</v>
      </c>
      <c r="S48" s="647">
        <f>+SUM(O48:R48)</f>
        <v>96288</v>
      </c>
      <c r="T48" s="857">
        <f>HLOOKUP(T35,'Dados Operacionais Auto'!$D$5:$BI$15,4,0)</f>
        <v>21234</v>
      </c>
      <c r="U48" s="857">
        <f>HLOOKUP(U35,'Dados Operacionais Auto'!$D$5:$BI$15,4,0)</f>
        <v>4840</v>
      </c>
      <c r="V48" s="857">
        <f>HLOOKUP(V35,'Dados Operacionais Auto'!$D$5:$BI$15,4,0)</f>
        <v>21152</v>
      </c>
      <c r="W48" s="857">
        <f>HLOOKUP(W35,'Dados Operacionais Auto'!$D$5:$BI$15,4,0)</f>
        <v>29945</v>
      </c>
      <c r="X48" s="647">
        <f>+SUM(T48:W48)</f>
        <v>77171</v>
      </c>
      <c r="Y48" s="857">
        <f>HLOOKUP(Y35,'Dados Operacionais Auto'!$D$5:$BI$15,4,0)</f>
        <v>22648</v>
      </c>
      <c r="Z48" s="857">
        <f>HLOOKUP(Z35,'Dados Operacionais Auto'!$D$5:$BI$15,4,0)</f>
        <v>23147</v>
      </c>
      <c r="AA48" s="857">
        <f>HLOOKUP(AA35,'Dados Operacionais Auto'!$D$5:$BI$15,4,0)</f>
        <v>17454</v>
      </c>
      <c r="AB48" s="857">
        <f>HLOOKUP(AB35,'Dados Operacionais Auto'!$D$5:$BI$15,4,0)</f>
        <v>21900</v>
      </c>
      <c r="AC48" s="647">
        <f>+SUM(Y48:AB48)</f>
        <v>85149</v>
      </c>
      <c r="AD48" s="857">
        <f>HLOOKUP(AD35,'Dados Operacionais Auto'!$D$5:$BI$15,4,0)</f>
        <v>25382</v>
      </c>
      <c r="AE48" s="857">
        <f>HLOOKUP(AE35,'Dados Operacionais Auto'!$D$5:$BI$15,4,0)</f>
        <v>29905</v>
      </c>
      <c r="AF48" s="857">
        <f>HLOOKUP(AF35,'Dados Operacionais Auto'!$D$5:$BI$15,4,0)</f>
        <v>30179</v>
      </c>
      <c r="AG48" s="857">
        <f>HLOOKUP(AG35,'Dados Operacionais Auto'!$D$5:$BI$15,4,0)</f>
        <v>25170</v>
      </c>
      <c r="AH48" s="647">
        <f>+SUM(AD48:AG48)</f>
        <v>110636</v>
      </c>
      <c r="AI48" s="857">
        <f>HLOOKUP(AI35,'Dados Operacionais Auto'!$D$5:$BI$15,4,0)</f>
        <v>23529</v>
      </c>
      <c r="AJ48" s="857">
        <f>HLOOKUP(AJ35,'Dados Operacionais Auto'!$D$5:$BJ$15,4,0)</f>
        <v>26527</v>
      </c>
      <c r="AK48" s="857">
        <f>HLOOKUP(AK35,'Dados Operacionais Auto'!$D$5:$BO$15,4,0)</f>
        <v>18319</v>
      </c>
      <c r="AL48" s="857">
        <f>HLOOKUP(AL35,'Dados Operacionais Auto'!$D$5:$BO$15,4,0)</f>
        <v>16843</v>
      </c>
      <c r="AM48" s="647">
        <f>+SUM(AI48:AL48)</f>
        <v>85218</v>
      </c>
      <c r="AN48" s="857">
        <f>HLOOKUP(AN35,'Dados Operacionais Auto'!$D$5:$BO$15,4,0)</f>
        <v>16294</v>
      </c>
      <c r="AO48" s="857">
        <f>HLOOKUP(AO35,'Dados Operacionais Auto'!$D$5:$BO$15,4,0)</f>
        <v>20363</v>
      </c>
      <c r="AP48" s="857">
        <f>HLOOKUP(AP35,'Dados Operacionais Auto'!$D$5:$BO$15,4,0)</f>
        <v>24429</v>
      </c>
      <c r="AQ48" s="857">
        <f>HLOOKUP(AQ35,'Dados Operacionais Auto'!$D$5:$CD$15,4,0)</f>
        <v>22820</v>
      </c>
      <c r="AR48" s="647">
        <f>+SUM(AN48:AQ48)</f>
        <v>83906</v>
      </c>
      <c r="AS48" s="857">
        <f>HLOOKUP(AS35,'Dados Operacionais Auto'!$D$5:$CD$15,4,0)</f>
        <v>24793</v>
      </c>
      <c r="AT48" s="857">
        <f>HLOOKUP(AT35,'Dados Operacionais Auto'!$D$5:$CD$15,4,0)</f>
        <v>29351</v>
      </c>
      <c r="AU48" s="857">
        <f>HLOOKUP(AU35,'Dados Operacionais Auto'!$D$5:$CD$15,4,0)</f>
        <v>32813</v>
      </c>
      <c r="AV48" s="857">
        <f>HLOOKUP(AV35,'Dados Operacionais Auto'!$D$5:$CD$15,4,0)</f>
        <v>22446</v>
      </c>
      <c r="AW48" s="647">
        <f>+SUM(AS48:AV48)</f>
        <v>109403</v>
      </c>
      <c r="AX48" s="857">
        <f>HLOOKUP(AX35,'Dados Operacionais Auto'!$D$5:$CD$15,4,0)</f>
        <v>17617</v>
      </c>
      <c r="AY48" s="857">
        <f>HLOOKUP(AY35,'Dados Operacionais Auto'!$D$5:$CD$15,4,0)</f>
        <v>24704</v>
      </c>
      <c r="BN48" s="266"/>
      <c r="BO48" s="266"/>
      <c r="BP48" s="266"/>
      <c r="BQ48" s="266"/>
      <c r="BR48" s="266"/>
      <c r="BS48" s="266"/>
      <c r="BT48" s="266"/>
      <c r="BU48" s="266"/>
      <c r="BV48" s="266"/>
      <c r="BW48" s="266"/>
      <c r="BX48" s="266"/>
      <c r="BY48" s="266"/>
      <c r="BZ48" s="266"/>
      <c r="CA48" s="266"/>
      <c r="CB48" s="266"/>
      <c r="CC48" s="266"/>
      <c r="CD48" s="266"/>
      <c r="CE48" s="266"/>
      <c r="CF48" s="266"/>
      <c r="CG48" s="266"/>
      <c r="CH48" s="266"/>
      <c r="CI48" s="266"/>
      <c r="CJ48" s="266"/>
    </row>
    <row r="49" spans="1:88" s="850" customFormat="1" ht="13.5" customHeight="1" x14ac:dyDescent="0.2">
      <c r="A49" s="516" t="s">
        <v>1679</v>
      </c>
      <c r="B49" s="516" t="s">
        <v>1678</v>
      </c>
      <c r="C49" s="855"/>
      <c r="D49" s="861" t="str">
        <f>IF([1]RENAME!$H$3=1,B49,A49)</f>
        <v>Variação %</v>
      </c>
      <c r="E49" s="875" t="s">
        <v>160</v>
      </c>
      <c r="F49" s="875" t="s">
        <v>160</v>
      </c>
      <c r="G49" s="875" t="s">
        <v>160</v>
      </c>
      <c r="H49" s="875" t="s">
        <v>160</v>
      </c>
      <c r="I49" s="900" t="s">
        <v>160</v>
      </c>
      <c r="J49" s="875">
        <f>+J48/E48-1</f>
        <v>5.9435964823612686E-2</v>
      </c>
      <c r="K49" s="875">
        <f>+K48/F48-1</f>
        <v>-0.11262704247424582</v>
      </c>
      <c r="L49" s="875">
        <f>+L48/G48-1</f>
        <v>-0.17692811761018834</v>
      </c>
      <c r="M49" s="875">
        <f>+M48/H48-1</f>
        <v>-0.5693132139331547</v>
      </c>
      <c r="N49" s="862">
        <f t="shared" ref="N49:AS49" si="66">+N48/I48-1</f>
        <v>-0.20526374775851763</v>
      </c>
      <c r="O49" s="875">
        <f t="shared" si="66"/>
        <v>-0.42674840187005059</v>
      </c>
      <c r="P49" s="875">
        <f t="shared" si="66"/>
        <v>-0.30846145854976104</v>
      </c>
      <c r="Q49" s="875">
        <f t="shared" si="66"/>
        <v>-0.1435148326352591</v>
      </c>
      <c r="R49" s="875">
        <f t="shared" si="66"/>
        <v>0.13976206068543995</v>
      </c>
      <c r="S49" s="862">
        <f t="shared" si="66"/>
        <v>-0.24563423978188825</v>
      </c>
      <c r="T49" s="875">
        <f t="shared" si="66"/>
        <v>-0.11646486081637752</v>
      </c>
      <c r="U49" s="875">
        <f t="shared" si="66"/>
        <v>-0.81822961655462501</v>
      </c>
      <c r="V49" s="875">
        <f t="shared" si="66"/>
        <v>-0.14513195651295319</v>
      </c>
      <c r="W49" s="875">
        <f t="shared" si="66"/>
        <v>0.43380416566914048</v>
      </c>
      <c r="X49" s="862">
        <f t="shared" si="66"/>
        <v>-0.19853979727484217</v>
      </c>
      <c r="Y49" s="875">
        <f t="shared" si="66"/>
        <v>6.6591315814260144E-2</v>
      </c>
      <c r="Z49" s="875">
        <f t="shared" si="66"/>
        <v>3.7824380165289258</v>
      </c>
      <c r="AA49" s="875">
        <f t="shared" si="66"/>
        <v>-0.17482980332829046</v>
      </c>
      <c r="AB49" s="875">
        <f t="shared" si="66"/>
        <v>-0.26865920854900649</v>
      </c>
      <c r="AC49" s="862">
        <f t="shared" si="66"/>
        <v>0.10338080366977231</v>
      </c>
      <c r="AD49" s="875">
        <f t="shared" si="66"/>
        <v>0.12071706110914882</v>
      </c>
      <c r="AE49" s="875">
        <f t="shared" si="66"/>
        <v>0.29196008122002848</v>
      </c>
      <c r="AF49" s="875">
        <f t="shared" si="66"/>
        <v>0.72905924143462819</v>
      </c>
      <c r="AG49" s="875">
        <f t="shared" si="66"/>
        <v>0.14931506849315079</v>
      </c>
      <c r="AH49" s="862">
        <f t="shared" si="66"/>
        <v>0.29932236432606363</v>
      </c>
      <c r="AI49" s="875">
        <f t="shared" si="66"/>
        <v>-7.3004491371838287E-2</v>
      </c>
      <c r="AJ49" s="875">
        <f t="shared" si="66"/>
        <v>-0.11295769938137434</v>
      </c>
      <c r="AK49" s="875">
        <f t="shared" si="66"/>
        <v>-0.39298850193843404</v>
      </c>
      <c r="AL49" s="875">
        <f t="shared" si="66"/>
        <v>-0.33083035359555024</v>
      </c>
      <c r="AM49" s="862">
        <f t="shared" si="66"/>
        <v>-0.22974438699880695</v>
      </c>
      <c r="AN49" s="875">
        <f t="shared" si="66"/>
        <v>-0.30749288112541973</v>
      </c>
      <c r="AO49" s="875">
        <f t="shared" si="66"/>
        <v>-0.23236702227918726</v>
      </c>
      <c r="AP49" s="875">
        <f t="shared" si="66"/>
        <v>0.33353348981931319</v>
      </c>
      <c r="AQ49" s="875">
        <f t="shared" si="66"/>
        <v>0.35486552276910288</v>
      </c>
      <c r="AR49" s="862">
        <f t="shared" si="66"/>
        <v>-1.5395808397286936E-2</v>
      </c>
      <c r="AS49" s="875">
        <f t="shared" si="66"/>
        <v>0.52160304406530011</v>
      </c>
      <c r="AT49" s="875">
        <f t="shared" ref="AT49:AY49" si="67">+AT48/AO48-1</f>
        <v>0.44138879339979376</v>
      </c>
      <c r="AU49" s="875">
        <f t="shared" si="67"/>
        <v>0.34319865733349708</v>
      </c>
      <c r="AV49" s="875">
        <f t="shared" si="67"/>
        <v>-1.638913234005257E-2</v>
      </c>
      <c r="AW49" s="862">
        <f t="shared" si="67"/>
        <v>0.30387576573784947</v>
      </c>
      <c r="AX49" s="875">
        <f t="shared" si="67"/>
        <v>-0.28943653450570728</v>
      </c>
      <c r="AY49" s="875">
        <f t="shared" si="67"/>
        <v>-0.15832509965588903</v>
      </c>
      <c r="AZ49" s="851"/>
      <c r="BA49" s="851"/>
      <c r="BB49" s="851"/>
      <c r="BC49" s="851"/>
      <c r="BD49" s="851"/>
      <c r="BE49" s="851"/>
      <c r="BF49" s="851"/>
      <c r="BG49" s="851"/>
      <c r="BH49" s="851"/>
      <c r="BK49" s="851"/>
      <c r="BL49" s="851"/>
      <c r="BM49" s="851"/>
      <c r="BN49" s="851"/>
      <c r="BO49" s="851"/>
      <c r="BP49" s="851"/>
      <c r="BQ49" s="851"/>
      <c r="BR49" s="851"/>
      <c r="BS49" s="851"/>
      <c r="BT49" s="851"/>
      <c r="BU49" s="851"/>
      <c r="BV49" s="851"/>
      <c r="BW49" s="851"/>
      <c r="BX49" s="851"/>
      <c r="BY49" s="851"/>
      <c r="BZ49" s="851"/>
      <c r="CA49" s="851"/>
      <c r="CB49" s="851"/>
      <c r="CC49" s="851"/>
      <c r="CD49" s="851"/>
      <c r="CE49" s="851"/>
      <c r="CF49" s="851"/>
      <c r="CG49" s="851"/>
      <c r="CH49" s="851"/>
      <c r="CI49" s="851"/>
      <c r="CJ49" s="851"/>
    </row>
    <row r="50" spans="1:88" s="850" customFormat="1" ht="13.5" customHeight="1" x14ac:dyDescent="0.2">
      <c r="A50" s="850" t="s">
        <v>2088</v>
      </c>
      <c r="B50" s="850" t="s">
        <v>2087</v>
      </c>
      <c r="C50" s="855"/>
      <c r="D50" s="861" t="str">
        <f>IF([1]RENAME!$H$3=1,B50,A50)</f>
        <v>Mkt share Exportação %</v>
      </c>
      <c r="E50" s="863">
        <f t="shared" ref="E50:AI50" si="68">+E48/E39</f>
        <v>0.23910140601680938</v>
      </c>
      <c r="F50" s="863">
        <f t="shared" si="68"/>
        <v>0.22762372394112032</v>
      </c>
      <c r="G50" s="863">
        <f t="shared" si="68"/>
        <v>0.19295024380590081</v>
      </c>
      <c r="H50" s="863">
        <f t="shared" si="68"/>
        <v>0.2280406491863731</v>
      </c>
      <c r="I50" s="862">
        <f t="shared" si="68"/>
        <v>0.22164811870694223</v>
      </c>
      <c r="J50" s="863">
        <f t="shared" si="68"/>
        <v>0.24602853236151945</v>
      </c>
      <c r="K50" s="863">
        <f t="shared" si="68"/>
        <v>0.20315195770657352</v>
      </c>
      <c r="L50" s="863">
        <f t="shared" si="68"/>
        <v>0.21021648171730034</v>
      </c>
      <c r="M50" s="863">
        <f t="shared" si="68"/>
        <v>0.18684422510222187</v>
      </c>
      <c r="N50" s="862">
        <f t="shared" si="68"/>
        <v>0.21436704779051177</v>
      </c>
      <c r="O50" s="863">
        <f t="shared" si="68"/>
        <v>0.24041895501335495</v>
      </c>
      <c r="P50" s="863">
        <f t="shared" si="68"/>
        <v>0.23715664968470554</v>
      </c>
      <c r="Q50" s="863">
        <f t="shared" si="68"/>
        <v>0.22452201845684783</v>
      </c>
      <c r="R50" s="863">
        <f t="shared" si="68"/>
        <v>0.24550947477312268</v>
      </c>
      <c r="S50" s="862">
        <f t="shared" si="68"/>
        <v>0.23628377217736987</v>
      </c>
      <c r="T50" s="863">
        <f t="shared" si="68"/>
        <v>0.24913762759591693</v>
      </c>
      <c r="U50" s="863">
        <f t="shared" si="68"/>
        <v>0.17448357907639064</v>
      </c>
      <c r="V50" s="863">
        <f t="shared" si="68"/>
        <v>0.25623258631132645</v>
      </c>
      <c r="W50" s="863">
        <f t="shared" si="68"/>
        <v>0.26868792003517306</v>
      </c>
      <c r="X50" s="862">
        <f t="shared" si="68"/>
        <v>0.25139753980870971</v>
      </c>
      <c r="Y50" s="863">
        <f t="shared" si="68"/>
        <v>0.25266915825291458</v>
      </c>
      <c r="Z50" s="863">
        <f t="shared" si="68"/>
        <v>0.2364906975080969</v>
      </c>
      <c r="AA50" s="863">
        <f t="shared" si="68"/>
        <v>0.24948898640632369</v>
      </c>
      <c r="AB50" s="863">
        <f t="shared" si="68"/>
        <v>0.23810041531670617</v>
      </c>
      <c r="AC50" s="862">
        <f t="shared" si="68"/>
        <v>0.24366645776636933</v>
      </c>
      <c r="AD50" s="863">
        <f t="shared" si="68"/>
        <v>0.24787109374999999</v>
      </c>
      <c r="AE50" s="863">
        <f t="shared" si="68"/>
        <v>0.22902371032961646</v>
      </c>
      <c r="AF50" s="863">
        <f t="shared" si="68"/>
        <v>0.2779194946081095</v>
      </c>
      <c r="AG50" s="863">
        <f t="shared" si="68"/>
        <v>0.23152491859374139</v>
      </c>
      <c r="AH50" s="862">
        <f t="shared" si="68"/>
        <v>0.24570544040472686</v>
      </c>
      <c r="AI50" s="863">
        <f t="shared" si="68"/>
        <v>0.21608640149880151</v>
      </c>
      <c r="AJ50" s="863">
        <f t="shared" ref="AJ50:AO50" si="69">+AJ48/AJ39</f>
        <v>0.23865088076002663</v>
      </c>
      <c r="AK50" s="863">
        <f t="shared" si="69"/>
        <v>0.21140641408837549</v>
      </c>
      <c r="AL50" s="863">
        <f t="shared" si="69"/>
        <v>0.22296206084032724</v>
      </c>
      <c r="AM50" s="862">
        <f t="shared" si="69"/>
        <v>0.22294603334065866</v>
      </c>
      <c r="AN50" s="863">
        <f t="shared" si="69"/>
        <v>0.20875826372162148</v>
      </c>
      <c r="AO50" s="863">
        <f t="shared" si="69"/>
        <v>0.26084673028886185</v>
      </c>
      <c r="AP50" s="863">
        <f t="shared" ref="AP50:AX50" si="70">+AP48/AP39</f>
        <v>0.21589734072169048</v>
      </c>
      <c r="AQ50" s="863">
        <f t="shared" si="70"/>
        <v>0.21426425298580334</v>
      </c>
      <c r="AR50" s="862">
        <f t="shared" si="70"/>
        <v>0.22328965436488082</v>
      </c>
      <c r="AS50" s="863">
        <f t="shared" si="70"/>
        <v>0.21553695155134792</v>
      </c>
      <c r="AT50" s="863">
        <f t="shared" si="70"/>
        <v>0.20496651512929559</v>
      </c>
      <c r="AU50" s="863">
        <f t="shared" si="70"/>
        <v>0.22066428605053093</v>
      </c>
      <c r="AV50" s="863">
        <f t="shared" si="70"/>
        <v>0.25373606746399585</v>
      </c>
      <c r="AW50" s="862">
        <f t="shared" si="70"/>
        <v>0.22084171896542326</v>
      </c>
      <c r="AX50" s="863">
        <f t="shared" si="70"/>
        <v>0.18734712976157561</v>
      </c>
      <c r="AY50" s="863">
        <f>+AY48/AY39</f>
        <v>0.22545905888365642</v>
      </c>
      <c r="AZ50" s="983"/>
      <c r="BA50" s="983"/>
      <c r="BB50" s="851"/>
      <c r="BC50" s="851"/>
      <c r="BD50" s="851"/>
      <c r="BE50" s="851"/>
      <c r="BF50" s="851"/>
      <c r="BG50" s="851"/>
      <c r="BH50" s="851"/>
      <c r="BK50" s="851"/>
      <c r="BL50" s="851"/>
      <c r="BM50" s="851"/>
      <c r="BN50" s="851"/>
      <c r="BO50" s="851"/>
      <c r="BP50" s="851"/>
      <c r="BQ50" s="851"/>
      <c r="BR50" s="851"/>
      <c r="BS50" s="851"/>
      <c r="BT50" s="851"/>
      <c r="BU50" s="851"/>
      <c r="BV50" s="851"/>
      <c r="BW50" s="851"/>
      <c r="BX50" s="851"/>
      <c r="BY50" s="851"/>
      <c r="BZ50" s="851"/>
      <c r="CA50" s="851"/>
      <c r="CB50" s="851"/>
      <c r="CC50" s="851"/>
      <c r="CD50" s="851"/>
      <c r="CE50" s="851"/>
      <c r="CF50" s="851"/>
      <c r="CG50" s="851"/>
      <c r="CH50" s="851"/>
      <c r="CI50" s="851"/>
      <c r="CJ50" s="851"/>
    </row>
    <row r="51" spans="1:88" s="282" customFormat="1" ht="13.5" customHeight="1" x14ac:dyDescent="0.2">
      <c r="A51" s="516" t="s">
        <v>1754</v>
      </c>
      <c r="B51" s="516" t="s">
        <v>1753</v>
      </c>
      <c r="C51" s="893"/>
      <c r="D51" s="908" t="str">
        <f>IF([1]RENAME!$H$3=1,B51,A51)</f>
        <v>Km total</v>
      </c>
      <c r="E51" s="911">
        <f>+E53+E55</f>
        <v>146476</v>
      </c>
      <c r="F51" s="911">
        <f>+F53+F55</f>
        <v>162583.91403599072</v>
      </c>
      <c r="G51" s="911">
        <f>+G53+G55</f>
        <v>191069.34900000002</v>
      </c>
      <c r="H51" s="911">
        <f>+H53+H55</f>
        <v>204238.15900000001</v>
      </c>
      <c r="I51" s="910">
        <f>+SUM(E51:H51)</f>
        <v>704367.42203599075</v>
      </c>
      <c r="J51" s="911">
        <f>+J53+J55</f>
        <v>171756.394</v>
      </c>
      <c r="K51" s="911">
        <f>+K53+K55</f>
        <v>190005.42499999999</v>
      </c>
      <c r="L51" s="911">
        <f>+L53+L55</f>
        <v>214950.23199999999</v>
      </c>
      <c r="M51" s="911">
        <f>+M53+M55</f>
        <v>214723.65</v>
      </c>
      <c r="N51" s="910">
        <f>+SUM(J51:M51)</f>
        <v>791435.701</v>
      </c>
      <c r="O51" s="911">
        <f>+O53+O55</f>
        <v>188746.21</v>
      </c>
      <c r="P51" s="911">
        <f>+P53+P55</f>
        <v>220205.95</v>
      </c>
      <c r="Q51" s="911">
        <f>+Q53+Q55</f>
        <v>226176.014</v>
      </c>
      <c r="R51" s="911">
        <f>+R53+R55</f>
        <v>245769.12599999996</v>
      </c>
      <c r="S51" s="910">
        <f>+SUM(O51:R51)</f>
        <v>880897.29999999993</v>
      </c>
      <c r="T51" s="911">
        <f>+T53+T55</f>
        <v>175905.11800000002</v>
      </c>
      <c r="U51" s="911">
        <f>+U53+U55</f>
        <v>61170.718000000001</v>
      </c>
      <c r="V51" s="911">
        <f>+V53+V55</f>
        <v>189941.20500000002</v>
      </c>
      <c r="W51" s="911">
        <f>+W53+W55</f>
        <v>208718.51</v>
      </c>
      <c r="X51" s="910">
        <f>+SUM(T51:W51)</f>
        <v>635735.55099999998</v>
      </c>
      <c r="Y51" s="911">
        <f>+Y53+Y55</f>
        <v>143978.22500000001</v>
      </c>
      <c r="Z51" s="911">
        <f>+Z53+Z55</f>
        <v>126444.726</v>
      </c>
      <c r="AA51" s="911">
        <f>+AA53+AA55</f>
        <v>118061.787</v>
      </c>
      <c r="AB51" s="911">
        <f>+AB53+AB55</f>
        <v>164257.378</v>
      </c>
      <c r="AC51" s="910">
        <f>+SUM(Y51:AB51)</f>
        <v>552742.11600000004</v>
      </c>
      <c r="AD51" s="911">
        <f>+AD53+AD55</f>
        <v>114198.70800000001</v>
      </c>
      <c r="AE51" s="911">
        <f>+AE53+AE55</f>
        <v>132858.51699999999</v>
      </c>
      <c r="AF51" s="911">
        <f>+AF53+AF55</f>
        <v>171164.14800000002</v>
      </c>
      <c r="AG51" s="911">
        <f>+AG53+AG55</f>
        <v>169468.625</v>
      </c>
      <c r="AH51" s="910">
        <f>+SUM(AD51:AG51)</f>
        <v>587689.99800000002</v>
      </c>
      <c r="AI51" s="911">
        <f>+AI53+AI55</f>
        <v>136753.524</v>
      </c>
      <c r="AJ51" s="911">
        <f>+AJ53+AJ55</f>
        <v>150424.709</v>
      </c>
      <c r="AK51" s="911">
        <f>+AK53+AK55</f>
        <v>177419.495</v>
      </c>
      <c r="AL51" s="911">
        <f>+AL53+AL55</f>
        <v>188849.85100000002</v>
      </c>
      <c r="AM51" s="910">
        <f>+SUM(AI51:AL51)</f>
        <v>653447.57900000003</v>
      </c>
      <c r="AN51" s="911">
        <f>+AN53+AN55</f>
        <v>148802.24500000002</v>
      </c>
      <c r="AO51" s="911">
        <f>+AO53+AO55</f>
        <v>181918.48200000002</v>
      </c>
      <c r="AP51" s="911">
        <f>+AP53+AP55</f>
        <v>216435.628</v>
      </c>
      <c r="AQ51" s="911">
        <f>+AQ53+AQ55</f>
        <v>220136.647</v>
      </c>
      <c r="AR51" s="910">
        <f>+SUM(AN51:AQ51)</f>
        <v>767293.00200000009</v>
      </c>
      <c r="AS51" s="911">
        <f>+AS53+AS55</f>
        <v>148441.32200000001</v>
      </c>
      <c r="AT51" s="911">
        <f>+AT53+AT55</f>
        <v>184598.698</v>
      </c>
      <c r="AU51" s="911">
        <f>+AU53+AU55</f>
        <v>220453.951</v>
      </c>
      <c r="AV51" s="911">
        <f>+AV53+AV55</f>
        <v>218079.30499999999</v>
      </c>
      <c r="AW51" s="910">
        <f>+SUM(AS51:AV51)</f>
        <v>771573.27600000007</v>
      </c>
      <c r="AX51" s="911">
        <f>+AX53+AX55</f>
        <v>176140.91100000002</v>
      </c>
      <c r="AY51" s="911">
        <f>+AY53+AY55</f>
        <v>241699.96000000002</v>
      </c>
      <c r="AZ51" s="889"/>
      <c r="BA51" s="889"/>
      <c r="BB51" s="889"/>
      <c r="BC51" s="889"/>
      <c r="BD51" s="889"/>
      <c r="BE51" s="889"/>
      <c r="BF51" s="889"/>
      <c r="BG51" s="889"/>
      <c r="BH51" s="889"/>
      <c r="BK51" s="889"/>
      <c r="BL51" s="889"/>
      <c r="BM51" s="889"/>
      <c r="BN51" s="889"/>
      <c r="BO51" s="889"/>
      <c r="BP51" s="889"/>
      <c r="BQ51" s="889"/>
      <c r="BR51" s="889"/>
      <c r="BS51" s="889"/>
      <c r="BT51" s="889"/>
      <c r="BU51" s="889"/>
      <c r="BV51" s="889"/>
      <c r="BW51" s="889"/>
      <c r="BX51" s="889"/>
      <c r="BY51" s="889"/>
      <c r="BZ51" s="889"/>
      <c r="CA51" s="889"/>
      <c r="CB51" s="889"/>
      <c r="CC51" s="889"/>
      <c r="CD51" s="889"/>
      <c r="CE51" s="889"/>
      <c r="CF51" s="889"/>
      <c r="CG51" s="889"/>
      <c r="CH51" s="889"/>
      <c r="CI51" s="889"/>
      <c r="CJ51" s="889"/>
    </row>
    <row r="52" spans="1:88" s="282" customFormat="1" ht="13.5" customHeight="1" x14ac:dyDescent="0.2">
      <c r="A52" s="516" t="s">
        <v>1679</v>
      </c>
      <c r="B52" s="516" t="s">
        <v>1678</v>
      </c>
      <c r="C52" s="893"/>
      <c r="D52" s="861" t="str">
        <f>IF([1]RENAME!$H$3=1,B52,A52)</f>
        <v>Variação %</v>
      </c>
      <c r="E52" s="875" t="s">
        <v>160</v>
      </c>
      <c r="F52" s="875" t="s">
        <v>160</v>
      </c>
      <c r="G52" s="875" t="s">
        <v>160</v>
      </c>
      <c r="H52" s="875" t="s">
        <v>160</v>
      </c>
      <c r="I52" s="862" t="s">
        <v>160</v>
      </c>
      <c r="J52" s="875">
        <f>+J51/E51-1</f>
        <v>0.17259069062508536</v>
      </c>
      <c r="K52" s="875">
        <f>+K51/F51-1</f>
        <v>0.1686606644119728</v>
      </c>
      <c r="L52" s="875">
        <f>+L51/G51-1</f>
        <v>0.12498542086936171</v>
      </c>
      <c r="M52" s="875">
        <f>+M51/H51-1</f>
        <v>5.1339529553828367E-2</v>
      </c>
      <c r="N52" s="862">
        <f>+N51/I51-1</f>
        <v>0.12361201872786265</v>
      </c>
      <c r="O52" s="875">
        <f>O51/J51-1</f>
        <v>9.8918099083985078E-2</v>
      </c>
      <c r="P52" s="875">
        <f>P51/K51-1</f>
        <v>0.15894559326398183</v>
      </c>
      <c r="Q52" s="875">
        <f>Q51/L51-1</f>
        <v>5.2225028535907825E-2</v>
      </c>
      <c r="R52" s="875">
        <f>R51/M51-1</f>
        <v>0.14458340289949412</v>
      </c>
      <c r="S52" s="862">
        <f>+S51/N51-1</f>
        <v>0.11303710318723659</v>
      </c>
      <c r="T52" s="875">
        <f>T51/O51-1</f>
        <v>-6.8033641576167203E-2</v>
      </c>
      <c r="U52" s="875">
        <f>U51/P51-1</f>
        <v>-0.72221132989367454</v>
      </c>
      <c r="V52" s="875">
        <f>V51/Q51-1</f>
        <v>-0.1602062409677093</v>
      </c>
      <c r="W52" s="875">
        <f>W51/R51-1</f>
        <v>-0.15075374439017197</v>
      </c>
      <c r="X52" s="862">
        <f>+X51/S51-1</f>
        <v>-0.2783091161705229</v>
      </c>
      <c r="Y52" s="875">
        <f>Y51/T51-1</f>
        <v>-0.18150064854849768</v>
      </c>
      <c r="Z52" s="875">
        <f>Z51/U51-1</f>
        <v>1.0670793172641848</v>
      </c>
      <c r="AA52" s="875">
        <f>AA51/V51-1</f>
        <v>-0.37842983043094847</v>
      </c>
      <c r="AB52" s="875">
        <f>AB51/W51-1</f>
        <v>-0.21301959275197979</v>
      </c>
      <c r="AC52" s="862">
        <f>+AC51/X51-1</f>
        <v>-0.13054710385387891</v>
      </c>
      <c r="AD52" s="875">
        <f>AD51/Y51-1</f>
        <v>-0.20683347777068362</v>
      </c>
      <c r="AE52" s="875">
        <f>AE51/Z51-1</f>
        <v>5.0724068950096068E-2</v>
      </c>
      <c r="AF52" s="875">
        <f>AF51/AA51-1</f>
        <v>0.44978449292826661</v>
      </c>
      <c r="AG52" s="875">
        <f>AG51/AB51-1</f>
        <v>3.172610608699733E-2</v>
      </c>
      <c r="AH52" s="862">
        <f>+AH51/AC51-1</f>
        <v>6.3226378067416933E-2</v>
      </c>
      <c r="AI52" s="875">
        <f>AI51/AD51-1</f>
        <v>0.19750500154520134</v>
      </c>
      <c r="AJ52" s="875">
        <f>AJ51/AE51-1</f>
        <v>0.13221728193759685</v>
      </c>
      <c r="AK52" s="875">
        <f>AK51/AF51-1</f>
        <v>3.6545895113502258E-2</v>
      </c>
      <c r="AL52" s="875">
        <f>AL51/AG51-1</f>
        <v>0.1143646854985696</v>
      </c>
      <c r="AM52" s="862">
        <f>+AM51/AH51-1</f>
        <v>0.11189161160438865</v>
      </c>
      <c r="AN52" s="875">
        <f>AN51/AI51-1</f>
        <v>8.8105378549513835E-2</v>
      </c>
      <c r="AO52" s="875">
        <f>AO51/AJ51-1</f>
        <v>0.20936569004763705</v>
      </c>
      <c r="AP52" s="875">
        <f>AP51/AK51-1</f>
        <v>0.21990893954466495</v>
      </c>
      <c r="AQ52" s="875">
        <f>AQ51/AL51-1</f>
        <v>0.16567021808240656</v>
      </c>
      <c r="AR52" s="862">
        <f>+AR51/AM51-1</f>
        <v>0.17422273286898204</v>
      </c>
      <c r="AS52" s="875">
        <f>AS51/AN51-1</f>
        <v>-2.4255212009738347E-3</v>
      </c>
      <c r="AT52" s="875">
        <f>AT51/AO51-1</f>
        <v>1.473306049244627E-2</v>
      </c>
      <c r="AU52" s="875">
        <f>AU51/AP51-1</f>
        <v>1.8565903576651444E-2</v>
      </c>
      <c r="AV52" s="875">
        <f>AV51/AQ51-1</f>
        <v>-9.345749687920013E-3</v>
      </c>
      <c r="AW52" s="862">
        <f>+AW51/AR51-1</f>
        <v>5.5784087549908268E-3</v>
      </c>
      <c r="AX52" s="875">
        <f>AX51/AS51-1</f>
        <v>0.18660295278157113</v>
      </c>
      <c r="AY52" s="875">
        <f>AY51/AT51-1</f>
        <v>0.30932646122997043</v>
      </c>
      <c r="AZ52" s="889"/>
      <c r="BA52" s="889"/>
      <c r="BB52" s="889"/>
      <c r="BC52" s="889"/>
      <c r="BD52" s="889"/>
      <c r="BE52" s="889"/>
      <c r="BF52" s="889"/>
      <c r="BG52" s="889"/>
      <c r="BH52" s="889"/>
      <c r="BK52" s="889"/>
      <c r="BL52" s="889"/>
      <c r="BM52" s="889"/>
      <c r="BN52" s="889"/>
      <c r="BO52" s="889"/>
      <c r="BP52" s="889"/>
      <c r="BQ52" s="889"/>
      <c r="BR52" s="889"/>
      <c r="BS52" s="889"/>
      <c r="BT52" s="889"/>
      <c r="BU52" s="889"/>
      <c r="BV52" s="889"/>
      <c r="BW52" s="889"/>
      <c r="BX52" s="889"/>
      <c r="BY52" s="889"/>
      <c r="BZ52" s="889"/>
      <c r="CA52" s="889"/>
      <c r="CB52" s="889"/>
      <c r="CC52" s="889"/>
      <c r="CD52" s="889"/>
      <c r="CE52" s="889"/>
      <c r="CF52" s="889"/>
      <c r="CG52" s="889"/>
      <c r="CH52" s="889"/>
      <c r="CI52" s="889"/>
      <c r="CJ52" s="889"/>
    </row>
    <row r="53" spans="1:88" s="282" customFormat="1" ht="13.5" customHeight="1" x14ac:dyDescent="0.2">
      <c r="A53" s="516" t="s">
        <v>1750</v>
      </c>
      <c r="B53" s="516" t="s">
        <v>1749</v>
      </c>
      <c r="C53" s="893"/>
      <c r="D53" s="858" t="str">
        <f>IF([1]RENAME!$H$3=1,B53,A53)</f>
        <v>Doméstico</v>
      </c>
      <c r="E53" s="857">
        <f>HLOOKUP(E35,'Dados Operacionais Auto'!$D$5:$BI$15,6,0)/1000</f>
        <v>140848</v>
      </c>
      <c r="F53" s="857">
        <f>HLOOKUP(F35,'Dados Operacionais Auto'!$D$5:$BI$15,6,0)/1000</f>
        <v>162583.91403599072</v>
      </c>
      <c r="G53" s="857">
        <f>HLOOKUP(G35,'Dados Operacionais Auto'!$D$5:$BI$15,6,0)/1000</f>
        <v>183273.679</v>
      </c>
      <c r="H53" s="857">
        <f>HLOOKUP(H35,'Dados Operacionais Auto'!$D$5:$BI$15,6,0)/1000</f>
        <v>195783.342</v>
      </c>
      <c r="I53" s="647">
        <f>+SUM(E53:H53)</f>
        <v>682488.93503599078</v>
      </c>
      <c r="J53" s="857">
        <f>HLOOKUP(J35,'Dados Operacionais Auto'!$D$5:$BI$15,6,0)/1000</f>
        <v>163476.99900000001</v>
      </c>
      <c r="K53" s="857">
        <f>HLOOKUP(K35,'Dados Operacionais Auto'!$D$5:$BI$15,6,0)/1000</f>
        <v>182617.81599999999</v>
      </c>
      <c r="L53" s="857">
        <f>HLOOKUP(L35,'Dados Operacionais Auto'!$D$5:$BI$15,6,0)/1000</f>
        <v>209050.106</v>
      </c>
      <c r="M53" s="857">
        <f>HLOOKUP(M35,'Dados Operacionais Auto'!$D$5:$BI$15,6,0)/1000</f>
        <v>210511.05100000001</v>
      </c>
      <c r="N53" s="647">
        <f>+SUM(J53:M53)</f>
        <v>765655.97199999995</v>
      </c>
      <c r="O53" s="857">
        <f>HLOOKUP(O35,'Dados Operacionais Auto'!$D$5:$BI$15,6,0)/1000</f>
        <v>183672.549</v>
      </c>
      <c r="P53" s="857">
        <f>HLOOKUP(P35,'Dados Operacionais Auto'!$D$5:$BI$15,6,0)/1000</f>
        <v>215426.712</v>
      </c>
      <c r="Q53" s="857">
        <f>HLOOKUP(Q35,'Dados Operacionais Auto'!$D$5:$BI$15,6,0)/1000</f>
        <v>221039.09099999999</v>
      </c>
      <c r="R53" s="857">
        <f>HLOOKUP(R35,'Dados Operacionais Auto'!$D$5:$BI$15,6,0)/1000</f>
        <v>241840.08899999995</v>
      </c>
      <c r="S53" s="647">
        <f>+SUM(O53:R53)</f>
        <v>861978.44099999988</v>
      </c>
      <c r="T53" s="857">
        <f>HLOOKUP(T35,'Dados Operacionais Auto'!$D$5:$BI$15,6,0)/1000</f>
        <v>171622.198</v>
      </c>
      <c r="U53" s="857">
        <f>HLOOKUP(U35,'Dados Operacionais Auto'!$D$5:$BI$15,6,0)/1000</f>
        <v>60373.783000000003</v>
      </c>
      <c r="V53" s="857">
        <f>HLOOKUP(V35,'Dados Operacionais Auto'!$D$5:$BI$15,6,0)/1000</f>
        <v>185264.00700000001</v>
      </c>
      <c r="W53" s="857">
        <f>HLOOKUP(W35,'Dados Operacionais Auto'!$D$5:$BI$15,6,0)/1000</f>
        <v>203052.00700000001</v>
      </c>
      <c r="X53" s="647">
        <f>+SUM(T53:W53)</f>
        <v>620311.995</v>
      </c>
      <c r="Y53" s="857">
        <f>HLOOKUP(Y35,'Dados Operacionais Auto'!$D$5:$BI$15,6,0)/1000</f>
        <v>137419.23300000001</v>
      </c>
      <c r="Z53" s="857">
        <f>HLOOKUP(Z35,'Dados Operacionais Auto'!$D$5:$BI$15,6,0)/1000</f>
        <v>121411.53</v>
      </c>
      <c r="AA53" s="857">
        <f>HLOOKUP(AA35,'Dados Operacionais Auto'!$D$5:$BI$15,6,0)/1000</f>
        <v>113637.50599999999</v>
      </c>
      <c r="AB53" s="857">
        <f>HLOOKUP(AB35,'Dados Operacionais Auto'!$D$5:$BI$15,6,0)/1000</f>
        <v>156694.08499999999</v>
      </c>
      <c r="AC53" s="647">
        <f>+SUM(Y53:AB53)</f>
        <v>529162.35399999993</v>
      </c>
      <c r="AD53" s="857">
        <f>HLOOKUP(AD35,'Dados Operacionais Auto'!$D$5:$BI$15,6,0)/1000</f>
        <v>106370.03200000001</v>
      </c>
      <c r="AE53" s="857">
        <f>HLOOKUP(AE35,'Dados Operacionais Auto'!$D$5:$BI$15,6,0)/1000</f>
        <v>125059.697</v>
      </c>
      <c r="AF53" s="857">
        <f>HLOOKUP(AF35,'Dados Operacionais Auto'!$D$5:$BI$15,6,0)/1000</f>
        <v>163033.67800000001</v>
      </c>
      <c r="AG53" s="857">
        <f>HLOOKUP(AG35,'Dados Operacionais Auto'!$D$5:$BI$15,6,0)/1000</f>
        <v>160421.22700000001</v>
      </c>
      <c r="AH53" s="647">
        <f>+SUM(AD53:AG53)</f>
        <v>554884.63400000008</v>
      </c>
      <c r="AI53" s="857">
        <f>HLOOKUP(AI35,'Dados Operacionais Auto'!$D$5:$BI$15,6,0)/1000</f>
        <v>128142.26300000001</v>
      </c>
      <c r="AJ53" s="857">
        <f>HLOOKUP(AJ35,'Dados Operacionais Auto'!$D$5:$BJ$15,6,0)/1000</f>
        <v>141472.60399999999</v>
      </c>
      <c r="AK53" s="857">
        <f>HLOOKUP(AK35,'Dados Operacionais Auto'!$D$5:$BO$15,6,0)/1000</f>
        <v>171539.61799999999</v>
      </c>
      <c r="AL53" s="857">
        <f>HLOOKUP(AL35,'Dados Operacionais Auto'!$D$5:$BO$15,6,0)/1000</f>
        <v>182304.51500000001</v>
      </c>
      <c r="AM53" s="647">
        <f>+SUM(AI53:AL53)</f>
        <v>623459</v>
      </c>
      <c r="AN53" s="857">
        <f>HLOOKUP(AN35,'Dados Operacionais Auto'!$D$5:$BO$15,6,0)/1000</f>
        <v>143945.39300000001</v>
      </c>
      <c r="AO53" s="857">
        <f>HLOOKUP(AO35,'Dados Operacionais Auto'!$D$5:$BO$15,6,0)/1000</f>
        <v>174959.81400000001</v>
      </c>
      <c r="AP53" s="857">
        <f>HLOOKUP(AP35,'Dados Operacionais Auto'!$D$5:$BO$15,6,0)/1000</f>
        <v>209792.79</v>
      </c>
      <c r="AQ53" s="857">
        <f>HLOOKUP(AQ35,'Dados Operacionais Auto'!$D$5:$CD$15,6,0)/1000</f>
        <v>212965.9</v>
      </c>
      <c r="AR53" s="647">
        <f>+SUM(AN53:AQ53)</f>
        <v>741663.89700000011</v>
      </c>
      <c r="AS53" s="857">
        <f>HLOOKUP(AS35,'Dados Operacionais Auto'!$D$5:$CD$15,6,0)/1000</f>
        <v>138002.35200000001</v>
      </c>
      <c r="AT53" s="857">
        <f>HLOOKUP(AT35,'Dados Operacionais Auto'!$D$5:$CD$15,6,0)/1000</f>
        <v>175360.451</v>
      </c>
      <c r="AU53" s="857">
        <f>HLOOKUP(AU35,'Dados Operacionais Auto'!$D$5:$CD$15,6,0)/1000</f>
        <v>207112.63699999999</v>
      </c>
      <c r="AV53" s="857">
        <f>HLOOKUP(AV35,'Dados Operacionais Auto'!$D$5:$CD$15,6,0)/1000</f>
        <v>209031.50200000001</v>
      </c>
      <c r="AW53" s="647">
        <f>+SUM(AS53:AV53)</f>
        <v>729506.94200000004</v>
      </c>
      <c r="AX53" s="857">
        <f>HLOOKUP(AX35,'Dados Operacionais Auto'!$D$5:$CD$15,6,0)/1000</f>
        <v>170133.43100000001</v>
      </c>
      <c r="AY53" s="857">
        <f>HLOOKUP(AY35,'Dados Operacionais Auto'!$D$5:$CD$15,6,0)/1000</f>
        <v>234547.73800000001</v>
      </c>
      <c r="AZ53" s="889"/>
      <c r="BA53" s="889"/>
      <c r="BB53" s="889"/>
      <c r="BC53" s="889"/>
      <c r="BD53" s="889"/>
      <c r="BE53" s="889"/>
      <c r="BF53" s="889"/>
      <c r="BG53" s="889"/>
      <c r="BH53" s="889"/>
      <c r="BK53" s="889"/>
      <c r="BL53" s="889"/>
      <c r="BM53" s="889"/>
      <c r="BN53" s="889"/>
      <c r="BO53" s="889"/>
      <c r="BP53" s="889"/>
      <c r="BQ53" s="889"/>
      <c r="BR53" s="889"/>
      <c r="BS53" s="889"/>
      <c r="BT53" s="889"/>
      <c r="BU53" s="889"/>
      <c r="BV53" s="889"/>
      <c r="BW53" s="889"/>
      <c r="BX53" s="889"/>
      <c r="BY53" s="889"/>
      <c r="BZ53" s="889"/>
      <c r="CA53" s="889"/>
      <c r="CB53" s="889"/>
      <c r="CC53" s="889"/>
      <c r="CD53" s="889"/>
      <c r="CE53" s="889"/>
      <c r="CF53" s="889"/>
      <c r="CG53" s="889"/>
      <c r="CH53" s="889"/>
      <c r="CI53" s="889"/>
      <c r="CJ53" s="889"/>
    </row>
    <row r="54" spans="1:88" s="282" customFormat="1" ht="13.5" customHeight="1" x14ac:dyDescent="0.2">
      <c r="A54" s="516" t="s">
        <v>1679</v>
      </c>
      <c r="B54" s="516" t="s">
        <v>1678</v>
      </c>
      <c r="C54" s="893"/>
      <c r="D54" s="861" t="str">
        <f>IF([1]RENAME!$H$3=1,B54,A54)</f>
        <v>Variação %</v>
      </c>
      <c r="E54" s="875" t="s">
        <v>160</v>
      </c>
      <c r="F54" s="875" t="s">
        <v>160</v>
      </c>
      <c r="G54" s="875" t="s">
        <v>160</v>
      </c>
      <c r="H54" s="875" t="s">
        <v>160</v>
      </c>
      <c r="I54" s="862" t="s">
        <v>160</v>
      </c>
      <c r="J54" s="875">
        <f>+J53/E53-1</f>
        <v>0.16066255111893679</v>
      </c>
      <c r="K54" s="875">
        <f>+K53/F53-1</f>
        <v>0.12322191947952743</v>
      </c>
      <c r="L54" s="875">
        <f>+L53/G53-1</f>
        <v>0.14064445664344416</v>
      </c>
      <c r="M54" s="875">
        <f>+M53/H53-1</f>
        <v>7.5224525485932281E-2</v>
      </c>
      <c r="N54" s="862">
        <f t="shared" ref="N54:AS54" si="71">+N53/I53-1</f>
        <v>0.12185844003408408</v>
      </c>
      <c r="O54" s="875">
        <f t="shared" si="71"/>
        <v>0.12353756261454252</v>
      </c>
      <c r="P54" s="875">
        <f t="shared" si="71"/>
        <v>0.17965879079399349</v>
      </c>
      <c r="Q54" s="875">
        <f t="shared" si="71"/>
        <v>5.7349815455247866E-2</v>
      </c>
      <c r="R54" s="875">
        <f t="shared" si="71"/>
        <v>0.14882372137318312</v>
      </c>
      <c r="S54" s="862">
        <f t="shared" si="71"/>
        <v>0.12580384993065774</v>
      </c>
      <c r="T54" s="875">
        <f t="shared" si="71"/>
        <v>-6.5607795316217854E-2</v>
      </c>
      <c r="U54" s="875">
        <f t="shared" si="71"/>
        <v>-0.71974792522479758</v>
      </c>
      <c r="V54" s="875">
        <f t="shared" si="71"/>
        <v>-0.16184957981029691</v>
      </c>
      <c r="W54" s="875">
        <f t="shared" si="71"/>
        <v>-0.16038731279163543</v>
      </c>
      <c r="X54" s="862">
        <f t="shared" si="71"/>
        <v>-0.2803625177906276</v>
      </c>
      <c r="Y54" s="875">
        <f t="shared" si="71"/>
        <v>-0.19929219762119577</v>
      </c>
      <c r="Z54" s="875">
        <f t="shared" si="71"/>
        <v>1.0109975550148977</v>
      </c>
      <c r="AA54" s="875">
        <f t="shared" si="71"/>
        <v>-0.38661854593267009</v>
      </c>
      <c r="AB54" s="875">
        <f t="shared" si="71"/>
        <v>-0.22830565767320887</v>
      </c>
      <c r="AC54" s="862">
        <f t="shared" si="71"/>
        <v>-0.14694160637664289</v>
      </c>
      <c r="AD54" s="875">
        <f t="shared" si="71"/>
        <v>-0.22594509023347553</v>
      </c>
      <c r="AE54" s="875">
        <f t="shared" si="71"/>
        <v>3.0047945199273896E-2</v>
      </c>
      <c r="AF54" s="875">
        <f t="shared" si="71"/>
        <v>0.43468194382935521</v>
      </c>
      <c r="AG54" s="875">
        <f t="shared" si="71"/>
        <v>2.3786105263641666E-2</v>
      </c>
      <c r="AH54" s="862">
        <f t="shared" si="71"/>
        <v>4.8609429233887225E-2</v>
      </c>
      <c r="AI54" s="875">
        <f t="shared" si="71"/>
        <v>0.2046838812646028</v>
      </c>
      <c r="AJ54" s="875">
        <f t="shared" si="71"/>
        <v>0.13124057864941086</v>
      </c>
      <c r="AK54" s="875">
        <f t="shared" si="71"/>
        <v>5.2172901356000612E-2</v>
      </c>
      <c r="AL54" s="875">
        <f t="shared" si="71"/>
        <v>0.13641142390713656</v>
      </c>
      <c r="AM54" s="862">
        <f t="shared" si="71"/>
        <v>0.12358310502431369</v>
      </c>
      <c r="AN54" s="875">
        <f t="shared" si="71"/>
        <v>0.12332488618528625</v>
      </c>
      <c r="AO54" s="875">
        <f t="shared" si="71"/>
        <v>0.23670455659386902</v>
      </c>
      <c r="AP54" s="875">
        <f t="shared" si="71"/>
        <v>0.22299905086648852</v>
      </c>
      <c r="AQ54" s="875">
        <f t="shared" si="71"/>
        <v>0.16818774345769749</v>
      </c>
      <c r="AR54" s="862">
        <f t="shared" si="71"/>
        <v>0.18959530137507064</v>
      </c>
      <c r="AS54" s="875">
        <f t="shared" si="71"/>
        <v>-4.1286774631265843E-2</v>
      </c>
      <c r="AT54" s="875">
        <f t="shared" ref="AT54:AY54" si="72">+AT53/AO53-1</f>
        <v>2.289880120700083E-3</v>
      </c>
      <c r="AU54" s="875">
        <f t="shared" si="72"/>
        <v>-1.2775238844004222E-2</v>
      </c>
      <c r="AV54" s="875">
        <f t="shared" si="72"/>
        <v>-1.8474309736910888E-2</v>
      </c>
      <c r="AW54" s="862">
        <f t="shared" si="72"/>
        <v>-1.6391461211978209E-2</v>
      </c>
      <c r="AX54" s="875">
        <f t="shared" si="72"/>
        <v>0.23282993756512194</v>
      </c>
      <c r="AY54" s="875">
        <f t="shared" si="72"/>
        <v>0.33751787625135621</v>
      </c>
      <c r="AZ54" s="889"/>
      <c r="BA54" s="889"/>
      <c r="BB54" s="889"/>
      <c r="BC54" s="889"/>
      <c r="BD54" s="889"/>
      <c r="BE54" s="889"/>
      <c r="BF54" s="889"/>
      <c r="BG54" s="889"/>
      <c r="BH54" s="889"/>
      <c r="BK54" s="889"/>
      <c r="BL54" s="889"/>
      <c r="BM54" s="889"/>
      <c r="BN54" s="889"/>
      <c r="BO54" s="889"/>
      <c r="BP54" s="889"/>
      <c r="BQ54" s="889"/>
      <c r="BR54" s="889"/>
      <c r="BS54" s="889"/>
      <c r="BT54" s="889"/>
      <c r="BU54" s="889"/>
      <c r="BV54" s="889"/>
      <c r="BW54" s="889"/>
      <c r="BX54" s="889"/>
      <c r="BY54" s="889"/>
      <c r="BZ54" s="889"/>
      <c r="CA54" s="889"/>
      <c r="CB54" s="889"/>
      <c r="CC54" s="889"/>
      <c r="CD54" s="889"/>
      <c r="CE54" s="889"/>
      <c r="CF54" s="889"/>
      <c r="CG54" s="889"/>
      <c r="CH54" s="889"/>
      <c r="CI54" s="889"/>
      <c r="CJ54" s="889"/>
    </row>
    <row r="55" spans="1:88" s="282" customFormat="1" ht="13.5" customHeight="1" x14ac:dyDescent="0.2">
      <c r="A55" s="516" t="s">
        <v>1681</v>
      </c>
      <c r="B55" s="516" t="s">
        <v>1680</v>
      </c>
      <c r="C55" s="893"/>
      <c r="D55" s="858" t="str">
        <f>IF([1]RENAME!$H$3=1,B55,A55)</f>
        <v>Exportação</v>
      </c>
      <c r="E55" s="857">
        <f>HLOOKUP(E35,'Dados Operacionais Auto'!$D$5:$BI$15,7,0)/1000</f>
        <v>5628</v>
      </c>
      <c r="F55" s="857">
        <f>HLOOKUP(F35,'Dados Operacionais Auto'!$D$5:$BI$15,7,0)/1000</f>
        <v>0</v>
      </c>
      <c r="G55" s="857">
        <f>HLOOKUP(G35,'Dados Operacionais Auto'!$D$5:$BI$15,7,0)/1000</f>
        <v>7795.67</v>
      </c>
      <c r="H55" s="857">
        <f>HLOOKUP(H35,'Dados Operacionais Auto'!$D$5:$BI$15,7,0)/1000</f>
        <v>8454.8169999999991</v>
      </c>
      <c r="I55" s="647">
        <f>+SUM(E55:H55)</f>
        <v>21878.487000000001</v>
      </c>
      <c r="J55" s="857">
        <f>HLOOKUP(J35,'Dados Operacionais Auto'!$D$5:$BI$15,7,0)/1000</f>
        <v>8279.3950000000004</v>
      </c>
      <c r="K55" s="857">
        <f>HLOOKUP(K35,'Dados Operacionais Auto'!$D$5:$BI$15,7,0)/1000</f>
        <v>7387.6090000000004</v>
      </c>
      <c r="L55" s="857">
        <f>HLOOKUP(L35,'Dados Operacionais Auto'!$D$5:$BI$15,7,0)/1000</f>
        <v>5900.1260000000002</v>
      </c>
      <c r="M55" s="857">
        <f>HLOOKUP(M35,'Dados Operacionais Auto'!$D$5:$BI$15,7,0)/1000</f>
        <v>4212.5990000000002</v>
      </c>
      <c r="N55" s="647">
        <f>+SUM(J55:M55)</f>
        <v>25779.728999999999</v>
      </c>
      <c r="O55" s="857">
        <f>HLOOKUP(O35,'Dados Operacionais Auto'!$D$5:$BI$15,7,0)/1000</f>
        <v>5073.6610000000001</v>
      </c>
      <c r="P55" s="857">
        <f>HLOOKUP(P35,'Dados Operacionais Auto'!$D$5:$BI$15,7,0)/1000</f>
        <v>4779.2380000000003</v>
      </c>
      <c r="Q55" s="857">
        <f>HLOOKUP(Q35,'Dados Operacionais Auto'!$D$5:$BI$15,7,0)/1000</f>
        <v>5136.9229999999998</v>
      </c>
      <c r="R55" s="857">
        <f>HLOOKUP(R35,'Dados Operacionais Auto'!$D$5:$BI$15,7,0)/1000</f>
        <v>3929.0369999999998</v>
      </c>
      <c r="S55" s="647">
        <f>+SUM(O55:R55)</f>
        <v>18918.859</v>
      </c>
      <c r="T55" s="857">
        <f>HLOOKUP(T35,'Dados Operacionais Auto'!$D$5:$BI$15,7,0)/1000</f>
        <v>4282.92</v>
      </c>
      <c r="U55" s="857">
        <f>HLOOKUP(U35,'Dados Operacionais Auto'!$D$5:$BI$15,7,0)/1000</f>
        <v>796.93499999999995</v>
      </c>
      <c r="V55" s="857">
        <f>HLOOKUP(V35,'Dados Operacionais Auto'!$D$5:$BI$15,7,0)/1000</f>
        <v>4677.1980000000003</v>
      </c>
      <c r="W55" s="857">
        <f>HLOOKUP(W35,'Dados Operacionais Auto'!$D$5:$BI$15,7,0)/1000</f>
        <v>5666.5029999999997</v>
      </c>
      <c r="X55" s="647">
        <f>+SUM(T55:W55)</f>
        <v>15423.556</v>
      </c>
      <c r="Y55" s="857">
        <f>HLOOKUP(Y35,'Dados Operacionais Auto'!$D$5:$BI$15,7,0)/1000</f>
        <v>6558.9920000000002</v>
      </c>
      <c r="Z55" s="857">
        <f>HLOOKUP(Z35,'Dados Operacionais Auto'!$D$5:$BI$15,7,0)/1000</f>
        <v>5033.1959999999999</v>
      </c>
      <c r="AA55" s="857">
        <f>HLOOKUP(AA35,'Dados Operacionais Auto'!$D$5:$BI$15,7,0)/1000</f>
        <v>4424.2809999999999</v>
      </c>
      <c r="AB55" s="857">
        <f>HLOOKUP(AB35,'Dados Operacionais Auto'!$D$5:$BI$15,7,0)/1000</f>
        <v>7563.2929999999997</v>
      </c>
      <c r="AC55" s="647">
        <f>+SUM(Y55:AB55)</f>
        <v>23579.762000000002</v>
      </c>
      <c r="AD55" s="857">
        <f>HLOOKUP(AD35,'Dados Operacionais Auto'!$D$5:$BI$15,7,0)/1000</f>
        <v>7828.6760000000004</v>
      </c>
      <c r="AE55" s="857">
        <f>HLOOKUP(AE35,'Dados Operacionais Auto'!$D$5:$BI$15,7,0)/1000</f>
        <v>7798.82</v>
      </c>
      <c r="AF55" s="857">
        <f>HLOOKUP(AF35,'Dados Operacionais Auto'!$D$5:$BI$15,7,0)/1000</f>
        <v>8130.47</v>
      </c>
      <c r="AG55" s="857">
        <f>HLOOKUP(AG35,'Dados Operacionais Auto'!$D$5:$BI$15,7,0)/1000</f>
        <v>9047.3979999999992</v>
      </c>
      <c r="AH55" s="647">
        <f>+SUM(AD55:AG55)</f>
        <v>32805.364000000001</v>
      </c>
      <c r="AI55" s="857">
        <f>HLOOKUP(AI35,'Dados Operacionais Auto'!$D$5:$BI$15,7,0)/1000</f>
        <v>8611.2610000000004</v>
      </c>
      <c r="AJ55" s="857">
        <f>HLOOKUP(AJ35,'Dados Operacionais Auto'!$D$5:$BJ$15,7,0)/1000</f>
        <v>8952.1049999999996</v>
      </c>
      <c r="AK55" s="857">
        <f>HLOOKUP(AK35,'Dados Operacionais Auto'!$D$5:$BO$15,7,0)/1000</f>
        <v>5879.8770000000004</v>
      </c>
      <c r="AL55" s="857">
        <f>HLOOKUP(AL35,'Dados Operacionais Auto'!$D$5:$BO$15,7,0)/1000</f>
        <v>6545.3360000000002</v>
      </c>
      <c r="AM55" s="647">
        <f>+SUM(AI55:AL55)</f>
        <v>29988.579000000002</v>
      </c>
      <c r="AN55" s="857">
        <f>HLOOKUP(AN35,'Dados Operacionais Auto'!$D$5:$BO$15,7,0)/1000</f>
        <v>4856.8519999999999</v>
      </c>
      <c r="AO55" s="857">
        <f>HLOOKUP(AO35,'Dados Operacionais Auto'!$D$5:$BO$15,7,0)/1000</f>
        <v>6958.6679999999997</v>
      </c>
      <c r="AP55" s="857">
        <f>HLOOKUP(AP35,'Dados Operacionais Auto'!$D$5:$BO$15,7,0)/1000</f>
        <v>6642.8379999999997</v>
      </c>
      <c r="AQ55" s="857">
        <f>HLOOKUP(AQ35,'Dados Operacionais Auto'!$D$5:$CD$15,7,0)/1000</f>
        <v>7170.7470000000003</v>
      </c>
      <c r="AR55" s="647">
        <f>+SUM(AN55:AQ55)</f>
        <v>25629.105</v>
      </c>
      <c r="AS55" s="857">
        <f>HLOOKUP(AS35,'Dados Operacionais Auto'!$D$5:$CD$15,7,0)/1000</f>
        <v>10438.969999999999</v>
      </c>
      <c r="AT55" s="857">
        <f>HLOOKUP(AT35,'Dados Operacionais Auto'!$D$5:$CD$15,7,0)/1000</f>
        <v>9238.2469999999994</v>
      </c>
      <c r="AU55" s="857">
        <f>HLOOKUP(AU35,'Dados Operacionais Auto'!$D$5:$CD$15,7,0)/1000</f>
        <v>13341.314</v>
      </c>
      <c r="AV55" s="857">
        <f>HLOOKUP(AV35,'Dados Operacionais Auto'!$D$5:$CD$15,7,0)/1000</f>
        <v>9047.8029999999999</v>
      </c>
      <c r="AW55" s="647">
        <f>+SUM(AS55:AV55)</f>
        <v>42066.333999999995</v>
      </c>
      <c r="AX55" s="857">
        <f>HLOOKUP(AX35,'Dados Operacionais Auto'!$D$5:$CD$15,7,0)/1000</f>
        <v>6007.48</v>
      </c>
      <c r="AY55" s="857">
        <f>HLOOKUP(AY35,'Dados Operacionais Auto'!$D$5:$CD$15,7,0)/1000</f>
        <v>7152.2219999999998</v>
      </c>
      <c r="AZ55" s="889"/>
      <c r="BA55" s="889"/>
      <c r="BB55" s="889"/>
      <c r="BC55" s="889"/>
      <c r="BD55" s="889"/>
      <c r="BE55" s="889"/>
      <c r="BF55" s="889"/>
      <c r="BG55" s="889"/>
      <c r="BH55" s="889"/>
      <c r="BK55" s="889"/>
      <c r="BL55" s="889"/>
      <c r="BM55" s="889"/>
      <c r="BN55" s="889"/>
      <c r="BO55" s="889"/>
      <c r="BP55" s="889"/>
      <c r="BQ55" s="889"/>
      <c r="BR55" s="889"/>
      <c r="BS55" s="889"/>
      <c r="BT55" s="889"/>
      <c r="BU55" s="889"/>
      <c r="BV55" s="889"/>
      <c r="BW55" s="889"/>
      <c r="BX55" s="889"/>
      <c r="BY55" s="889"/>
      <c r="BZ55" s="889"/>
      <c r="CA55" s="889"/>
      <c r="CB55" s="889"/>
      <c r="CC55" s="889"/>
      <c r="CD55" s="889"/>
      <c r="CE55" s="889"/>
      <c r="CF55" s="889"/>
      <c r="CG55" s="889"/>
      <c r="CH55" s="889"/>
      <c r="CI55" s="889"/>
      <c r="CJ55" s="889"/>
    </row>
    <row r="56" spans="1:88" s="282" customFormat="1" ht="13.5" customHeight="1" x14ac:dyDescent="0.2">
      <c r="A56" s="516" t="s">
        <v>1679</v>
      </c>
      <c r="B56" s="516" t="s">
        <v>1678</v>
      </c>
      <c r="C56" s="893"/>
      <c r="D56" s="905" t="str">
        <f>IF([1]RENAME!$H$3=1,B56,A56)</f>
        <v>Variação %</v>
      </c>
      <c r="E56" s="903" t="s">
        <v>160</v>
      </c>
      <c r="F56" s="903" t="s">
        <v>160</v>
      </c>
      <c r="G56" s="903" t="s">
        <v>160</v>
      </c>
      <c r="H56" s="903" t="s">
        <v>160</v>
      </c>
      <c r="I56" s="902" t="s">
        <v>160</v>
      </c>
      <c r="J56" s="903">
        <f>+J55/E55-1</f>
        <v>0.47110785358919705</v>
      </c>
      <c r="K56" s="903" t="e">
        <f>+K55/F55-1</f>
        <v>#DIV/0!</v>
      </c>
      <c r="L56" s="903">
        <f>+L55/G55-1</f>
        <v>-0.24315344287277418</v>
      </c>
      <c r="M56" s="903">
        <f>+M55/H55-1</f>
        <v>-0.5017516050317824</v>
      </c>
      <c r="N56" s="902">
        <f t="shared" ref="N56:AS56" si="73">+N55/I55-1</f>
        <v>0.17831406714733045</v>
      </c>
      <c r="O56" s="903">
        <f t="shared" si="73"/>
        <v>-0.38719423339507297</v>
      </c>
      <c r="P56" s="903">
        <f t="shared" si="73"/>
        <v>-0.35307377529048978</v>
      </c>
      <c r="Q56" s="903">
        <f t="shared" si="73"/>
        <v>-0.1293536782095841</v>
      </c>
      <c r="R56" s="903">
        <f t="shared" si="73"/>
        <v>-6.7312839413388392E-2</v>
      </c>
      <c r="S56" s="902">
        <f t="shared" si="73"/>
        <v>-0.2661342948950316</v>
      </c>
      <c r="T56" s="903">
        <f t="shared" si="73"/>
        <v>-0.15585215488382054</v>
      </c>
      <c r="U56" s="903">
        <f t="shared" si="73"/>
        <v>-0.83325061442849258</v>
      </c>
      <c r="V56" s="903">
        <f t="shared" si="73"/>
        <v>-8.9494236140973737E-2</v>
      </c>
      <c r="W56" s="903">
        <f t="shared" si="73"/>
        <v>0.4422116666246716</v>
      </c>
      <c r="X56" s="902">
        <f t="shared" si="73"/>
        <v>-0.18475231513697521</v>
      </c>
      <c r="Y56" s="903">
        <f t="shared" si="73"/>
        <v>0.53142995899993473</v>
      </c>
      <c r="Z56" s="903">
        <f t="shared" si="73"/>
        <v>5.3156919949556745</v>
      </c>
      <c r="AA56" s="903">
        <f t="shared" si="73"/>
        <v>-5.4074469372474843E-2</v>
      </c>
      <c r="AB56" s="903">
        <f t="shared" si="73"/>
        <v>0.33473731506009963</v>
      </c>
      <c r="AC56" s="902">
        <f t="shared" si="73"/>
        <v>0.52881488549073907</v>
      </c>
      <c r="AD56" s="903">
        <f t="shared" si="73"/>
        <v>0.19357913533055071</v>
      </c>
      <c r="AE56" s="903">
        <f t="shared" si="73"/>
        <v>0.54947671419908928</v>
      </c>
      <c r="AF56" s="903">
        <f t="shared" si="73"/>
        <v>0.83769294943065331</v>
      </c>
      <c r="AG56" s="903">
        <f t="shared" si="73"/>
        <v>0.19622471323007051</v>
      </c>
      <c r="AH56" s="902">
        <f t="shared" si="73"/>
        <v>0.39125085316806829</v>
      </c>
      <c r="AI56" s="903">
        <f t="shared" si="73"/>
        <v>9.9963901942039746E-2</v>
      </c>
      <c r="AJ56" s="903">
        <f t="shared" si="73"/>
        <v>0.14787942278447241</v>
      </c>
      <c r="AK56" s="903">
        <f t="shared" si="73"/>
        <v>-0.27680970472801691</v>
      </c>
      <c r="AL56" s="903">
        <f t="shared" si="73"/>
        <v>-0.27655045130102596</v>
      </c>
      <c r="AM56" s="902">
        <f t="shared" si="73"/>
        <v>-8.5863549631700509E-2</v>
      </c>
      <c r="AN56" s="903">
        <f t="shared" si="73"/>
        <v>-0.43598829486180946</v>
      </c>
      <c r="AO56" s="903">
        <f t="shared" si="73"/>
        <v>-0.22267801818678401</v>
      </c>
      <c r="AP56" s="903">
        <f t="shared" si="73"/>
        <v>0.12975798643406988</v>
      </c>
      <c r="AQ56" s="903">
        <f t="shared" si="73"/>
        <v>9.5550633305914401E-2</v>
      </c>
      <c r="AR56" s="902">
        <f t="shared" si="73"/>
        <v>-0.14537114279406171</v>
      </c>
      <c r="AS56" s="903">
        <f t="shared" si="73"/>
        <v>1.1493284127249503</v>
      </c>
      <c r="AT56" s="903">
        <f t="shared" ref="AT56:AY56" si="74">+AT55/AO55-1</f>
        <v>0.32758841203517686</v>
      </c>
      <c r="AU56" s="903">
        <f t="shared" si="74"/>
        <v>1.0083756370394701</v>
      </c>
      <c r="AV56" s="903">
        <f t="shared" si="74"/>
        <v>0.26176575466963192</v>
      </c>
      <c r="AW56" s="902">
        <f t="shared" si="74"/>
        <v>0.64135009786724884</v>
      </c>
      <c r="AX56" s="903">
        <f t="shared" si="74"/>
        <v>-0.42451410436087089</v>
      </c>
      <c r="AY56" s="903">
        <f t="shared" si="74"/>
        <v>-0.22580312044049045</v>
      </c>
      <c r="AZ56" s="889"/>
      <c r="BA56" s="889"/>
      <c r="BB56" s="889"/>
      <c r="BC56" s="889"/>
      <c r="BD56" s="889"/>
      <c r="BE56" s="889"/>
      <c r="BF56" s="889"/>
      <c r="BG56" s="889"/>
      <c r="BH56" s="889"/>
      <c r="BK56" s="889"/>
      <c r="BL56" s="889"/>
      <c r="BM56" s="889"/>
      <c r="BN56" s="889"/>
      <c r="BO56" s="889"/>
      <c r="BP56" s="889"/>
      <c r="BQ56" s="889"/>
      <c r="BR56" s="889"/>
      <c r="BS56" s="889"/>
      <c r="BT56" s="889"/>
      <c r="BU56" s="889"/>
      <c r="BV56" s="889"/>
      <c r="BW56" s="889"/>
      <c r="BX56" s="889"/>
      <c r="BY56" s="889"/>
      <c r="BZ56" s="889"/>
      <c r="CA56" s="889"/>
      <c r="CB56" s="889"/>
      <c r="CC56" s="889"/>
      <c r="CD56" s="889"/>
      <c r="CE56" s="889"/>
      <c r="CF56" s="889"/>
      <c r="CG56" s="889"/>
      <c r="CH56" s="889"/>
      <c r="CI56" s="889"/>
      <c r="CJ56" s="889"/>
    </row>
    <row r="57" spans="1:88" s="885" customFormat="1" ht="13.5" customHeight="1" x14ac:dyDescent="0.2">
      <c r="A57" s="516" t="s">
        <v>1752</v>
      </c>
      <c r="B57" s="516" t="s">
        <v>1751</v>
      </c>
      <c r="C57" s="24"/>
      <c r="D57" s="888" t="str">
        <f>IF([1]RENAME!$H$3=1,B57,A57)</f>
        <v>Km média</v>
      </c>
      <c r="E57" s="865">
        <f>HLOOKUP(E35,'Dados Operacionais Auto'!$D$5:$BI$15,8,0)</f>
        <v>891.01117444173417</v>
      </c>
      <c r="F57" s="865">
        <f>HLOOKUP(F35,'Dados Operacionais Auto'!$D$5:$BI$15,8,0)</f>
        <v>887.54913958167901</v>
      </c>
      <c r="G57" s="865">
        <f>HLOOKUP(G35,'Dados Operacionais Auto'!$D$5:$BI$15,8,0)</f>
        <v>978.07225381744843</v>
      </c>
      <c r="H57" s="865">
        <f>HLOOKUP(H35,'Dados Operacionais Auto'!$D$5:$BI$15,8,0)</f>
        <v>966.0578722317349</v>
      </c>
      <c r="I57" s="648">
        <f>+SUMPRODUCT(E57:H57,E42:H42)/SUM(E42:H42)</f>
        <v>933.74953043375592</v>
      </c>
      <c r="J57" s="865">
        <f>HLOOKUP(J35,'Dados Operacionais Auto'!$D$5:$BI$15,8,0)</f>
        <v>969.2197098374254</v>
      </c>
      <c r="K57" s="865">
        <f>HLOOKUP(K35,'Dados Operacionais Auto'!$D$5:$BI$15,8,0)</f>
        <v>979.99032931892611</v>
      </c>
      <c r="L57" s="865">
        <f>HLOOKUP(L35,'Dados Operacionais Auto'!$D$5:$BI$15,8,0)</f>
        <v>1039.9643524118244</v>
      </c>
      <c r="M57" s="865">
        <f>HLOOKUP(M35,'Dados Operacionais Auto'!$D$5:$BI$15,8,0)</f>
        <v>1054.4949834746865</v>
      </c>
      <c r="N57" s="648">
        <f>+N51*1000/N42</f>
        <v>1012.8263811838298</v>
      </c>
      <c r="O57" s="865">
        <f>HLOOKUP(O35,'Dados Operacionais Auto'!$D$5:$BI$15,8,0)</f>
        <v>1052.5370695664296</v>
      </c>
      <c r="P57" s="865">
        <f>HLOOKUP(P35,'Dados Operacionais Auto'!$D$5:$BI$15,8,0)</f>
        <v>1057.7721576143608</v>
      </c>
      <c r="Q57" s="865">
        <f>HLOOKUP(Q35,'Dados Operacionais Auto'!$D$5:$BI$15,8,0)</f>
        <v>1106.0114035902727</v>
      </c>
      <c r="R57" s="865">
        <f>HLOOKUP(R35,'Dados Operacionais Auto'!$D$5:$BI$15,8,0)</f>
        <v>1071.9824396116298</v>
      </c>
      <c r="S57" s="648">
        <f>+S51*1000/S42</f>
        <v>1072.6076903126509</v>
      </c>
      <c r="T57" s="865">
        <f>HLOOKUP(T35,'Dados Operacionais Auto'!$D$5:$BI$15,8,0)</f>
        <v>1122.6027671767904</v>
      </c>
      <c r="U57" s="865">
        <f>HLOOKUP(U35,'Dados Operacionais Auto'!$D$5:$BI$15,8,0)</f>
        <v>1079.953356166802</v>
      </c>
      <c r="V57" s="865">
        <f>HLOOKUP(V35,'Dados Operacionais Auto'!$D$5:$BI$15,8,0)</f>
        <v>1174.2016357364523</v>
      </c>
      <c r="W57" s="865">
        <f>HLOOKUP(W35,'Dados Operacionais Auto'!$D$5:$BI$15,8,0)</f>
        <v>1123.5923234280792</v>
      </c>
      <c r="X57" s="648">
        <f>+X51*1000/X42</f>
        <v>1133.5053632113654</v>
      </c>
      <c r="Y57" s="865">
        <f>HLOOKUP(Y35,'Dados Operacionais Auto'!$D$5:$BI$15,8,0)</f>
        <v>1048.5632874517514</v>
      </c>
      <c r="Z57" s="865">
        <f>HLOOKUP(Z35,'Dados Operacionais Auto'!$D$5:$BI$15,8,0)</f>
        <v>989.44954731479811</v>
      </c>
      <c r="AA57" s="865">
        <f>HLOOKUP(AA35,'Dados Operacionais Auto'!$D$5:$BI$15,8,0)</f>
        <v>1036.7300994915656</v>
      </c>
      <c r="AB57" s="865">
        <f>HLOOKUP(AB35,'Dados Operacionais Auto'!$D$5:$BI$15,8,0)</f>
        <v>1106.8332715645911</v>
      </c>
      <c r="AC57" s="648">
        <f>+AC51*1000/AC42</f>
        <v>1048.0808441650786</v>
      </c>
      <c r="AD57" s="865">
        <f>HLOOKUP(AD35,'Dados Operacionais Auto'!$D$5:$BI$15,8,0)</f>
        <v>978.63356528296708</v>
      </c>
      <c r="AE57" s="865">
        <f>HLOOKUP(AE35,'Dados Operacionais Auto'!$D$5:$BI$15,8,0)</f>
        <v>964.9034214291421</v>
      </c>
      <c r="AF57" s="865">
        <f>HLOOKUP(AF35,'Dados Operacionais Auto'!$D$5:$BI$15,8,0)</f>
        <v>1030.6995291028868</v>
      </c>
      <c r="AG57" s="865">
        <f>HLOOKUP(AG35,'Dados Operacionais Auto'!$D$5:$BI$15,8,0)</f>
        <v>1027.7054275318376</v>
      </c>
      <c r="AH57" s="648">
        <f>+AH51*1000/AH42</f>
        <v>1003.9993200637568</v>
      </c>
      <c r="AI57" s="865">
        <f>HLOOKUP(AI35,'Dados Operacionais Auto'!$D$5:$BI$15,8,0)</f>
        <v>992.32662124213596</v>
      </c>
      <c r="AJ57" s="865">
        <f>HLOOKUP(AJ35,'Dados Operacionais Auto'!$D$5:$BJ$15,8,0)</f>
        <v>957.99712775442617</v>
      </c>
      <c r="AK57" s="865">
        <f>HLOOKUP(AK35,'Dados Operacionais Auto'!$D$5:$BO$15,8,0)</f>
        <v>1045.365867310865</v>
      </c>
      <c r="AL57" s="865">
        <f>HLOOKUP(AL35,'Dados Operacionais Auto'!$D$5:$BO$15,8,0)</f>
        <v>1077.27063272943</v>
      </c>
      <c r="AM57" s="648">
        <f>+AM51*1000/AM42</f>
        <v>1021.2432176039885</v>
      </c>
      <c r="AN57" s="865">
        <f>HLOOKUP(AN35,'Dados Operacionais Auto'!$D$5:$BO$15,8,0)</f>
        <v>1060.6609428905426</v>
      </c>
      <c r="AO57" s="865">
        <f>HLOOKUP(AO35,'Dados Operacionais Auto'!$D$5:$BO$15,8,0)</f>
        <v>1088.8236751696813</v>
      </c>
      <c r="AP57" s="865">
        <f>HLOOKUP(AP35,'Dados Operacionais Auto'!$D$5:$BO$15,8,0)</f>
        <v>1067.0053242886158</v>
      </c>
      <c r="AQ57" s="865">
        <f>HLOOKUP(AQ35,'Dados Operacionais Auto'!$D$5:$CD$15,8,0)</f>
        <v>1088.6697641525764</v>
      </c>
      <c r="AR57" s="648">
        <f>+AR51*1000/AR42</f>
        <v>1077.0218761097724</v>
      </c>
      <c r="AS57" s="865">
        <f>HLOOKUP(AS35,'Dados Operacionais Auto'!$D$5:$CD$15,8,0)</f>
        <v>1025.5013609671848</v>
      </c>
      <c r="AT57" s="865">
        <f>HLOOKUP(AT35,'Dados Operacionais Auto'!$D$5:$CD$15,8,0)</f>
        <v>1082.417325835713</v>
      </c>
      <c r="AU57" s="865">
        <f>HLOOKUP(AU35,'Dados Operacionais Auto'!$D$5:$CD$15,8,0)</f>
        <v>1116.1208143055317</v>
      </c>
      <c r="AV57" s="865">
        <f>HLOOKUP(AV35,'Dados Operacionais Auto'!$D$5:$CD$15,8,0)</f>
        <v>1154.0907960330649</v>
      </c>
      <c r="AW57" s="648">
        <f>+AW51*1000/AW42</f>
        <v>1099.4627550504224</v>
      </c>
      <c r="AX57" s="865">
        <f>HLOOKUP(AX35,'Dados Operacionais Auto'!$D$5:$CD$15,8,0)</f>
        <v>1138.4789614519507</v>
      </c>
      <c r="AY57" s="865">
        <f>HLOOKUP(AY35,'Dados Operacionais Auto'!$D$5:$CD$15,8,0)</f>
        <v>1166.3254709697344</v>
      </c>
      <c r="AZ57" s="1225"/>
      <c r="BA57" s="886"/>
      <c r="BB57" s="886"/>
      <c r="BC57" s="886"/>
      <c r="BD57" s="886"/>
      <c r="BE57" s="886"/>
      <c r="BF57" s="886"/>
      <c r="BG57" s="886"/>
      <c r="BH57" s="886"/>
      <c r="BK57" s="886"/>
      <c r="BL57" s="886"/>
      <c r="BM57" s="886"/>
      <c r="BN57" s="886"/>
      <c r="BO57" s="886"/>
      <c r="BP57" s="886"/>
      <c r="BQ57" s="886"/>
      <c r="BR57" s="886"/>
      <c r="BS57" s="886"/>
      <c r="BT57" s="886"/>
      <c r="BU57" s="886"/>
      <c r="BV57" s="886"/>
      <c r="BW57" s="886"/>
      <c r="BX57" s="886"/>
      <c r="BY57" s="886"/>
      <c r="BZ57" s="886"/>
      <c r="CA57" s="886"/>
      <c r="CB57" s="886"/>
      <c r="CC57" s="886"/>
      <c r="CD57" s="886"/>
      <c r="CE57" s="886"/>
      <c r="CF57" s="886"/>
      <c r="CG57" s="886"/>
      <c r="CH57" s="886"/>
      <c r="CI57" s="886"/>
      <c r="CJ57" s="886"/>
    </row>
    <row r="58" spans="1:88" s="850" customFormat="1" ht="13.5" customHeight="1" x14ac:dyDescent="0.2">
      <c r="A58" s="516" t="s">
        <v>1679</v>
      </c>
      <c r="B58" s="516" t="s">
        <v>1678</v>
      </c>
      <c r="C58" s="855"/>
      <c r="D58" s="861" t="str">
        <f>IF([1]RENAME!$H$3=1,B58,A58)</f>
        <v>Variação %</v>
      </c>
      <c r="E58" s="875" t="s">
        <v>160</v>
      </c>
      <c r="F58" s="875" t="s">
        <v>160</v>
      </c>
      <c r="G58" s="875" t="s">
        <v>160</v>
      </c>
      <c r="H58" s="875" t="s">
        <v>160</v>
      </c>
      <c r="I58" s="900" t="s">
        <v>160</v>
      </c>
      <c r="J58" s="875">
        <f>J57/E57-1</f>
        <v>8.7775033174744443E-2</v>
      </c>
      <c r="K58" s="875">
        <f>K57/F57-1</f>
        <v>0.10415332021032286</v>
      </c>
      <c r="L58" s="875">
        <f>L57/G57-1</f>
        <v>6.327967934148937E-2</v>
      </c>
      <c r="M58" s="875">
        <f>M57/H57-1</f>
        <v>9.1544320257593848E-2</v>
      </c>
      <c r="N58" s="862">
        <f>+N57/I57-1</f>
        <v>8.4687432949326569E-2</v>
      </c>
      <c r="O58" s="875">
        <f>O57/J57-1</f>
        <v>8.5963336159331494E-2</v>
      </c>
      <c r="P58" s="875">
        <f>P57/K57-1</f>
        <v>7.9369995772806901E-2</v>
      </c>
      <c r="Q58" s="875">
        <f>Q57/L57-1</f>
        <v>6.3508956845757192E-2</v>
      </c>
      <c r="R58" s="875">
        <f>R57/M57-1</f>
        <v>1.6583726249052466E-2</v>
      </c>
      <c r="S58" s="862">
        <f>+S57/N57-1</f>
        <v>5.9024241705618374E-2</v>
      </c>
      <c r="T58" s="875">
        <f>T57/O57-1</f>
        <v>6.656838950026045E-2</v>
      </c>
      <c r="U58" s="875">
        <f>U57/P57-1</f>
        <v>2.096973189620277E-2</v>
      </c>
      <c r="V58" s="875">
        <f>V57/Q57-1</f>
        <v>6.1654185413300588E-2</v>
      </c>
      <c r="W58" s="875">
        <f>W57/R57-1</f>
        <v>4.814433698666476E-2</v>
      </c>
      <c r="X58" s="862">
        <f>+X57/S57-1</f>
        <v>5.6775346148193018E-2</v>
      </c>
      <c r="Y58" s="875">
        <f>Y57/T57-1</f>
        <v>-6.5953409246655714E-2</v>
      </c>
      <c r="Z58" s="875">
        <f>Z57/U57-1</f>
        <v>-8.3803442375732895E-2</v>
      </c>
      <c r="AA58" s="875">
        <f>AA57/V57-1</f>
        <v>-0.1170766008673334</v>
      </c>
      <c r="AB58" s="875">
        <f>AB57/W57-1</f>
        <v>-1.4915598401701646E-2</v>
      </c>
      <c r="AC58" s="862">
        <f>+AC57/X57-1</f>
        <v>-7.53631361780841E-2</v>
      </c>
      <c r="AD58" s="875">
        <f>AD57/Y57-1</f>
        <v>-6.6690988522714267E-2</v>
      </c>
      <c r="AE58" s="875">
        <f>AE57/Z57-1</f>
        <v>-2.4807860039220975E-2</v>
      </c>
      <c r="AF58" s="875">
        <f>AF57/AA57-1</f>
        <v>-5.8169145389299626E-3</v>
      </c>
      <c r="AG58" s="875">
        <f>AG57/AB57-1</f>
        <v>-7.1490301263622436E-2</v>
      </c>
      <c r="AH58" s="862">
        <f>+AH57/AC57-1</f>
        <v>-4.2059278486706764E-2</v>
      </c>
      <c r="AI58" s="875">
        <f>AI57/AD57-1</f>
        <v>1.399201544370654E-2</v>
      </c>
      <c r="AJ58" s="875">
        <f>AJ57/AE57-1</f>
        <v>-7.1574973425700961E-3</v>
      </c>
      <c r="AK58" s="875">
        <f>AK57/AF57-1</f>
        <v>1.422949928069106E-2</v>
      </c>
      <c r="AL58" s="875">
        <f>AL57/AG57-1</f>
        <v>4.8229000129569544E-2</v>
      </c>
      <c r="AM58" s="862">
        <f>+AM57/AH57-1</f>
        <v>1.7175208384739404E-2</v>
      </c>
      <c r="AN58" s="875">
        <f>AN57/AI57-1</f>
        <v>6.8862731469271576E-2</v>
      </c>
      <c r="AO58" s="875">
        <f>AO57/AJ57-1</f>
        <v>0.13656256749111195</v>
      </c>
      <c r="AP58" s="875">
        <f>AP57/AK57-1</f>
        <v>2.0700366880560983E-2</v>
      </c>
      <c r="AQ58" s="875">
        <f>AQ57/AL57-1</f>
        <v>1.0581492780755486E-2</v>
      </c>
      <c r="AR58" s="862">
        <f>+AR57/AM57-1</f>
        <v>5.4618388200070811E-2</v>
      </c>
      <c r="AS58" s="875">
        <f>AS57/AN57-1</f>
        <v>-3.3148747636110643E-2</v>
      </c>
      <c r="AT58" s="875">
        <f>AT57/AO57-1</f>
        <v>-5.8837344191381424E-3</v>
      </c>
      <c r="AU58" s="875">
        <f>AU57/AP57-1</f>
        <v>4.6031157388705335E-2</v>
      </c>
      <c r="AV58" s="875">
        <f>AV57/AQ57-1</f>
        <v>6.0092632343300645E-2</v>
      </c>
      <c r="AW58" s="862">
        <f>+AW57/AR57-1</f>
        <v>2.0836047473526742E-2</v>
      </c>
      <c r="AX58" s="875">
        <f>AX57/AS57-1</f>
        <v>0.11016816240810523</v>
      </c>
      <c r="AY58" s="875">
        <f>AY57/AT57-1</f>
        <v>7.7519218448612426E-2</v>
      </c>
      <c r="AZ58" s="1226"/>
      <c r="BA58" s="851"/>
      <c r="BB58" s="851"/>
      <c r="BC58" s="851"/>
      <c r="BD58" s="851"/>
      <c r="BE58" s="851"/>
      <c r="BF58" s="851"/>
      <c r="BG58" s="851"/>
      <c r="BH58" s="851"/>
      <c r="BK58" s="851"/>
      <c r="BL58" s="851"/>
      <c r="BM58" s="851"/>
      <c r="BN58" s="851"/>
      <c r="BO58" s="851"/>
      <c r="BP58" s="851"/>
      <c r="BQ58" s="851"/>
      <c r="BR58" s="851"/>
      <c r="BS58" s="851"/>
      <c r="BT58" s="851"/>
      <c r="BU58" s="851"/>
      <c r="BV58" s="851"/>
      <c r="BW58" s="851"/>
      <c r="BX58" s="851"/>
      <c r="BY58" s="851"/>
      <c r="BZ58" s="851"/>
      <c r="CA58" s="851"/>
      <c r="CB58" s="851"/>
      <c r="CC58" s="851"/>
      <c r="CD58" s="851"/>
      <c r="CE58" s="851"/>
      <c r="CF58" s="851"/>
      <c r="CG58" s="851"/>
      <c r="CH58" s="851"/>
      <c r="CI58" s="851"/>
      <c r="CJ58" s="851"/>
    </row>
    <row r="59" spans="1:88" ht="13.5" customHeight="1" x14ac:dyDescent="0.2">
      <c r="A59" s="516" t="s">
        <v>1750</v>
      </c>
      <c r="B59" s="516" t="s">
        <v>1749</v>
      </c>
      <c r="C59" s="24"/>
      <c r="D59" s="858" t="str">
        <f>IF([1]RENAME!$H$3=1,B59,A59)</f>
        <v>Doméstico</v>
      </c>
      <c r="E59" s="857">
        <f>HLOOKUP(E35,'Dados Operacionais Auto'!$D$5:$BI$15,9,0)</f>
        <v>1128.3998686118521</v>
      </c>
      <c r="F59" s="857">
        <f>HLOOKUP(F35,'Dados Operacionais Auto'!$D$5:$BI$15,9,0)</f>
        <v>1163.0416192342245</v>
      </c>
      <c r="G59" s="857">
        <f>HLOOKUP(G35,'Dados Operacionais Auto'!$D$5:$BI$15,9,0)</f>
        <v>1143.644957380159</v>
      </c>
      <c r="H59" s="857">
        <f>HLOOKUP(H35,'Dados Operacionais Auto'!$D$5:$BI$15,9,0)</f>
        <v>1159.3868702181585</v>
      </c>
      <c r="I59" s="890">
        <f>+I53*1000/I45</f>
        <v>1149.4840880796835</v>
      </c>
      <c r="J59" s="857">
        <f>HLOOKUP(J35,'Dados Operacionais Auto'!$D$5:$BI$15,9,0)</f>
        <v>1208.3718243438025</v>
      </c>
      <c r="K59" s="857">
        <f>HLOOKUP(K35,'Dados Operacionais Auto'!$D$5:$BI$15,9,0)</f>
        <v>1175.2905181457193</v>
      </c>
      <c r="L59" s="857">
        <f>HLOOKUP(L35,'Dados Operacionais Auto'!$D$5:$BI$15,9,0)</f>
        <v>1175.7532634799579</v>
      </c>
      <c r="M59" s="857">
        <f>HLOOKUP(M35,'Dados Operacionais Auto'!$D$5:$BI$15,9,0)</f>
        <v>1136.0369287059573</v>
      </c>
      <c r="N59" s="647">
        <f>+N53*1000/N45</f>
        <v>1171.1360719027427</v>
      </c>
      <c r="O59" s="857">
        <f>HLOOKUP(O35,'Dados Operacionais Auto'!$D$5:$BI$15,9,0)</f>
        <v>1182.7560273549184</v>
      </c>
      <c r="P59" s="857">
        <f>HLOOKUP(P35,'Dados Operacionais Auto'!$D$5:$BI$15,9,0)</f>
        <v>1186.5840750859259</v>
      </c>
      <c r="Q59" s="857">
        <f>HLOOKUP(Q35,'Dados Operacionais Auto'!$D$5:$BI$15,9,0)</f>
        <v>1229.675506525585</v>
      </c>
      <c r="R59" s="857">
        <f>HLOOKUP(R35,'Dados Operacionais Auto'!$D$5:$BI$15,9,0)</f>
        <v>1160.5668894956832</v>
      </c>
      <c r="S59" s="647">
        <f>+S53*1000/S45</f>
        <v>1188.970219827057</v>
      </c>
      <c r="T59" s="857">
        <f>HLOOKUP(T35,'Dados Operacionais Auto'!$D$5:$BI$15,9,0)</f>
        <v>1266.9584969732762</v>
      </c>
      <c r="U59" s="857">
        <f>HLOOKUP(U35,'Dados Operacionais Auto'!$D$5:$BI$15,9,0)</f>
        <v>1165.4720474112969</v>
      </c>
      <c r="V59" s="857">
        <f>HLOOKUP(V35,'Dados Operacionais Auto'!$D$5:$BI$15,9,0)</f>
        <v>1317.5734798378494</v>
      </c>
      <c r="W59" s="857">
        <f>HLOOKUP(W35,'Dados Operacionais Auto'!$D$5:$BI$15,9,0)</f>
        <v>1303.1608445913423</v>
      </c>
      <c r="X59" s="647">
        <f>+X53*1000/X45</f>
        <v>1282.4657164654002</v>
      </c>
      <c r="Y59" s="857">
        <f>HLOOKUP(Y35,'Dados Operacionais Auto'!$D$5:$BI$15,9,0)</f>
        <v>1198.4723186408748</v>
      </c>
      <c r="Z59" s="857">
        <f>HLOOKUP(Z35,'Dados Operacionais Auto'!$D$5:$BI$15,9,0)</f>
        <v>1160.2118571182846</v>
      </c>
      <c r="AA59" s="857">
        <f>HLOOKUP(AA35,'Dados Operacionais Auto'!$D$5:$BI$15,9,0)</f>
        <v>1178.506673580503</v>
      </c>
      <c r="AB59" s="857">
        <f>HLOOKUP(AB35,'Dados Operacionais Auto'!$D$5:$BI$15,9,0)</f>
        <v>1238.6590436590436</v>
      </c>
      <c r="AC59" s="647">
        <f>+AC53*1000/AC45</f>
        <v>1196.5610081494947</v>
      </c>
      <c r="AD59" s="857">
        <f>HLOOKUP(AD35,'Dados Operacionais Auto'!$D$5:$BI$15,9,0)</f>
        <v>1164.9329974811083</v>
      </c>
      <c r="AE59" s="857">
        <f>HLOOKUP(AE35,'Dados Operacionais Auto'!$D$5:$BI$15,9,0)</f>
        <v>1160.2591895051305</v>
      </c>
      <c r="AF59" s="857">
        <f>HLOOKUP(AF35,'Dados Operacionais Auto'!$D$5:$BI$15,9,0)</f>
        <v>1199.7739150912155</v>
      </c>
      <c r="AG59" s="857">
        <f>HLOOKUP(AG35,'Dados Operacionais Auto'!$D$5:$BI$15,9,0)</f>
        <v>1148.0800615472697</v>
      </c>
      <c r="AH59" s="647">
        <f>+AH53*1000/AH45</f>
        <v>1168.8844291182254</v>
      </c>
      <c r="AI59" s="857">
        <f>HLOOKUP(AI35,'Dados Operacionais Auto'!$D$5:$BI$15,9,0)</f>
        <v>1121.281242890394</v>
      </c>
      <c r="AJ59" s="857">
        <f>HLOOKUP(AJ35,'Dados Operacionais Auto'!$D$5:$BJ$15,9,0)</f>
        <v>1084.1394097767695</v>
      </c>
      <c r="AK59" s="857">
        <f>HLOOKUP(AK35,'Dados Operacionais Auto'!$D$5:$BO$15,9,0)</f>
        <v>1133.0150923705919</v>
      </c>
      <c r="AL59" s="857">
        <f>HLOOKUP(AL35,'Dados Operacionais Auto'!$D$5:$BO$15,9,0)</f>
        <v>1150.469295284013</v>
      </c>
      <c r="AM59" s="647">
        <f>+AM53*1000/AM45</f>
        <v>1124.0847617450693</v>
      </c>
      <c r="AN59" s="857">
        <f>HLOOKUP(AN35,'Dados Operacionais Auto'!$D$5:$BO$15,9,0)</f>
        <v>1160.8686672365684</v>
      </c>
      <c r="AO59" s="857">
        <f>HLOOKUP(AO35,'Dados Operacionais Auto'!$D$5:$BO$15,9,0)</f>
        <v>1192.5148348839587</v>
      </c>
      <c r="AP59" s="857">
        <f>HLOOKUP(AP35,'Dados Operacionais Auto'!$D$5:$BO$15,9,0)</f>
        <v>1175.8696858448</v>
      </c>
      <c r="AQ59" s="857">
        <f>HLOOKUP(AQ35,'Dados Operacionais Auto'!$D$5:$CD$15,9,0)</f>
        <v>1187.1869198994352</v>
      </c>
      <c r="AR59" s="647">
        <f>+AR53*1000/AR45</f>
        <v>1180.0257702680128</v>
      </c>
      <c r="AS59" s="857">
        <f>HLOOKUP(AS35,'Dados Operacionais Auto'!$D$5:$CD$15,9,0)</f>
        <v>1150.4318380753102</v>
      </c>
      <c r="AT59" s="857">
        <f>HLOOKUP(AT35,'Dados Operacionais Auto'!$D$5:$CD$15,9,0)</f>
        <v>1241.9999079267948</v>
      </c>
      <c r="AU59" s="857">
        <f>HLOOKUP(AU35,'Dados Operacionais Auto'!$D$5:$CD$15,9,0)</f>
        <v>1257.4763182659908</v>
      </c>
      <c r="AV59" s="857">
        <f>HLOOKUP(AV35,'Dados Operacionais Auto'!$D$5:$CD$15,9,0)</f>
        <v>1255.3238247375627</v>
      </c>
      <c r="AW59" s="647">
        <f>+AW53*1000/AW45</f>
        <v>1231.5055488968044</v>
      </c>
      <c r="AX59" s="857">
        <f>HLOOKUP(AX35,'Dados Operacionais Auto'!$D$5:$CD$15,9,0)</f>
        <v>1240.9531141729699</v>
      </c>
      <c r="AY59" s="857">
        <f>HLOOKUP(AY35,'Dados Operacionais Auto'!$D$5:$CD$15,9,0)</f>
        <v>1284.9959348702664</v>
      </c>
      <c r="AZ59" s="926"/>
      <c r="BN59" s="266"/>
      <c r="BO59" s="266"/>
      <c r="BP59" s="266"/>
      <c r="BQ59" s="266"/>
      <c r="BR59" s="266"/>
      <c r="BS59" s="266"/>
      <c r="BT59" s="266"/>
      <c r="BU59" s="266"/>
      <c r="BV59" s="266"/>
      <c r="BW59" s="266"/>
      <c r="BX59" s="266"/>
      <c r="BY59" s="266"/>
      <c r="BZ59" s="266"/>
      <c r="CA59" s="266"/>
      <c r="CB59" s="266"/>
      <c r="CC59" s="266"/>
      <c r="CD59" s="266"/>
      <c r="CE59" s="266"/>
      <c r="CF59" s="266"/>
      <c r="CG59" s="266"/>
      <c r="CH59" s="266"/>
      <c r="CI59" s="266"/>
      <c r="CJ59" s="266"/>
    </row>
    <row r="60" spans="1:88" s="850" customFormat="1" ht="13.5" customHeight="1" x14ac:dyDescent="0.2">
      <c r="A60" s="516" t="s">
        <v>1679</v>
      </c>
      <c r="B60" s="516" t="s">
        <v>1678</v>
      </c>
      <c r="C60" s="855"/>
      <c r="D60" s="861" t="str">
        <f>IF([1]RENAME!$H$3=1,B60,A60)</f>
        <v>Variação %</v>
      </c>
      <c r="E60" s="875" t="s">
        <v>160</v>
      </c>
      <c r="F60" s="875" t="s">
        <v>160</v>
      </c>
      <c r="G60" s="875" t="s">
        <v>160</v>
      </c>
      <c r="H60" s="875" t="s">
        <v>160</v>
      </c>
      <c r="I60" s="900" t="s">
        <v>160</v>
      </c>
      <c r="J60" s="875">
        <f>+J59/E59-1</f>
        <v>7.0872000215961739E-2</v>
      </c>
      <c r="K60" s="875">
        <f>+K59/F59-1</f>
        <v>1.0531780384230638E-2</v>
      </c>
      <c r="L60" s="875">
        <f>+L59/G59-1</f>
        <v>2.8075414395523746E-2</v>
      </c>
      <c r="M60" s="875">
        <f>+M59/H59-1</f>
        <v>-2.0139905075695297E-2</v>
      </c>
      <c r="N60" s="862">
        <f t="shared" ref="N60:AS60" si="75">+N59/I59-1</f>
        <v>1.8836262326371811E-2</v>
      </c>
      <c r="O60" s="875">
        <f t="shared" si="75"/>
        <v>-2.1198604992957781E-2</v>
      </c>
      <c r="P60" s="875">
        <f t="shared" si="75"/>
        <v>9.6091619610993995E-3</v>
      </c>
      <c r="Q60" s="875">
        <f t="shared" si="75"/>
        <v>4.5861869765115193E-2</v>
      </c>
      <c r="R60" s="875">
        <f t="shared" si="75"/>
        <v>2.1592573418953487E-2</v>
      </c>
      <c r="S60" s="862">
        <f t="shared" si="75"/>
        <v>1.522807498819434E-2</v>
      </c>
      <c r="T60" s="875">
        <f t="shared" si="75"/>
        <v>7.1191748484821238E-2</v>
      </c>
      <c r="U60" s="875">
        <f t="shared" si="75"/>
        <v>-1.7792272893178751E-2</v>
      </c>
      <c r="V60" s="875">
        <f t="shared" si="75"/>
        <v>7.1480624641063084E-2</v>
      </c>
      <c r="W60" s="875">
        <f t="shared" si="75"/>
        <v>0.12286577911732643</v>
      </c>
      <c r="X60" s="862">
        <f t="shared" si="75"/>
        <v>7.8635692533949753E-2</v>
      </c>
      <c r="Y60" s="875">
        <f t="shared" si="75"/>
        <v>-5.4055581533264618E-2</v>
      </c>
      <c r="Z60" s="875">
        <f t="shared" si="75"/>
        <v>-4.5133560300275599E-3</v>
      </c>
      <c r="AA60" s="875">
        <f t="shared" si="75"/>
        <v>-0.10554766651379544</v>
      </c>
      <c r="AB60" s="875">
        <f t="shared" si="75"/>
        <v>-4.9496423407753509E-2</v>
      </c>
      <c r="AC60" s="862">
        <f t="shared" si="75"/>
        <v>-6.6984019309823895E-2</v>
      </c>
      <c r="AD60" s="875">
        <f t="shared" si="75"/>
        <v>-2.7985061180054394E-2</v>
      </c>
      <c r="AE60" s="875">
        <f t="shared" si="75"/>
        <v>4.079633090769974E-5</v>
      </c>
      <c r="AF60" s="875">
        <f t="shared" si="75"/>
        <v>1.8045923699438138E-2</v>
      </c>
      <c r="AG60" s="875">
        <f t="shared" si="75"/>
        <v>-7.3126646574347309E-2</v>
      </c>
      <c r="AH60" s="862">
        <f t="shared" si="75"/>
        <v>-2.3130102721692136E-2</v>
      </c>
      <c r="AI60" s="875">
        <f t="shared" si="75"/>
        <v>-3.7471472337980649E-2</v>
      </c>
      <c r="AJ60" s="875">
        <f t="shared" si="75"/>
        <v>-6.560584084736043E-2</v>
      </c>
      <c r="AK60" s="875">
        <f t="shared" si="75"/>
        <v>-5.5642835605029917E-2</v>
      </c>
      <c r="AL60" s="875">
        <f t="shared" si="75"/>
        <v>2.0810689226005152E-3</v>
      </c>
      <c r="AM60" s="862">
        <f t="shared" si="75"/>
        <v>-3.8326857863058228E-2</v>
      </c>
      <c r="AN60" s="875">
        <f t="shared" si="75"/>
        <v>3.5305526242575436E-2</v>
      </c>
      <c r="AO60" s="875">
        <f t="shared" si="75"/>
        <v>9.996447332313485E-2</v>
      </c>
      <c r="AP60" s="875">
        <f t="shared" si="75"/>
        <v>3.7823497465107936E-2</v>
      </c>
      <c r="AQ60" s="875">
        <f t="shared" si="75"/>
        <v>3.1915345125623551E-2</v>
      </c>
      <c r="AR60" s="862">
        <f t="shared" si="75"/>
        <v>4.9765827655290584E-2</v>
      </c>
      <c r="AS60" s="875">
        <f t="shared" si="75"/>
        <v>-8.9905339473955737E-3</v>
      </c>
      <c r="AT60" s="875">
        <f t="shared" ref="AT60:AY60" si="76">+AT59/AO59-1</f>
        <v>4.1496400376143994E-2</v>
      </c>
      <c r="AU60" s="875">
        <f t="shared" si="76"/>
        <v>6.9401085344385605E-2</v>
      </c>
      <c r="AV60" s="875">
        <f t="shared" si="76"/>
        <v>5.739357778967058E-2</v>
      </c>
      <c r="AW60" s="862">
        <f t="shared" si="76"/>
        <v>4.3625978284439704E-2</v>
      </c>
      <c r="AX60" s="875">
        <f t="shared" si="76"/>
        <v>7.8684606164154181E-2</v>
      </c>
      <c r="AY60" s="875">
        <f t="shared" si="76"/>
        <v>3.4618381747904214E-2</v>
      </c>
      <c r="AZ60" s="851"/>
      <c r="BA60" s="851"/>
      <c r="BB60" s="851"/>
      <c r="BC60" s="851"/>
      <c r="BD60" s="851"/>
      <c r="BE60" s="851"/>
      <c r="BF60" s="851"/>
      <c r="BG60" s="851"/>
      <c r="BH60" s="851"/>
      <c r="BK60" s="851"/>
      <c r="BL60" s="851"/>
      <c r="BM60" s="851"/>
      <c r="BN60" s="851"/>
      <c r="BO60" s="851"/>
      <c r="BP60" s="851"/>
      <c r="BQ60" s="851"/>
      <c r="BR60" s="851"/>
      <c r="BS60" s="851"/>
      <c r="BT60" s="851"/>
      <c r="BU60" s="851"/>
      <c r="BV60" s="851"/>
      <c r="BW60" s="851"/>
      <c r="BX60" s="851"/>
      <c r="BY60" s="851"/>
      <c r="BZ60" s="851"/>
      <c r="CA60" s="851"/>
      <c r="CB60" s="851"/>
      <c r="CC60" s="851"/>
      <c r="CD60" s="851"/>
      <c r="CE60" s="851"/>
      <c r="CF60" s="851"/>
      <c r="CG60" s="851"/>
      <c r="CH60" s="851"/>
      <c r="CI60" s="851"/>
      <c r="CJ60" s="851"/>
    </row>
    <row r="61" spans="1:88" ht="13.5" customHeight="1" x14ac:dyDescent="0.2">
      <c r="A61" s="516" t="s">
        <v>1681</v>
      </c>
      <c r="B61" s="516" t="s">
        <v>1680</v>
      </c>
      <c r="C61" s="24"/>
      <c r="D61" s="858" t="str">
        <f>IF([1]RENAME!$H$3=1,B61,A61)</f>
        <v>Exportação</v>
      </c>
      <c r="E61" s="857">
        <f>HLOOKUP(E35,'Dados Operacionais Auto'!$D$5:$BI$15,10,0)</f>
        <v>142.22177297078741</v>
      </c>
      <c r="F61" s="857">
        <f>HLOOKUP(F35,'Dados Operacionais Auto'!$D$5:$BI$15,10,0)</f>
        <v>0</v>
      </c>
      <c r="G61" s="857">
        <f>HLOOKUP(G35,'Dados Operacionais Auto'!$D$5:$BI$15,10,0)</f>
        <v>222.10518818199949</v>
      </c>
      <c r="H61" s="857">
        <f>HLOOKUP(H35,'Dados Operacionais Auto'!$D$5:$BI$15,10,0)</f>
        <v>198.72178348140835</v>
      </c>
      <c r="I61" s="890">
        <f>+I55*1000/I48</f>
        <v>136.22289674237896</v>
      </c>
      <c r="J61" s="857">
        <f>HLOOKUP(J35,'Dados Operacionais Auto'!$D$5:$BI$15,10,0)</f>
        <v>197.4858076519416</v>
      </c>
      <c r="K61" s="857">
        <f>HLOOKUP(K35,'Dados Operacionais Auto'!$D$5:$BI$15,10,0)</f>
        <v>191.86601392063162</v>
      </c>
      <c r="L61" s="857">
        <f>HLOOKUP(L35,'Dados Operacionais Auto'!$D$5:$BI$15,10,0)</f>
        <v>204.23434525251827</v>
      </c>
      <c r="M61" s="857">
        <f>HLOOKUP(M35,'Dados Operacionais Auto'!$D$5:$BI$15,10,0)</f>
        <v>229.89516481117658</v>
      </c>
      <c r="N61" s="647">
        <f>+N55*1000/N48</f>
        <v>201.97059722189579</v>
      </c>
      <c r="O61" s="857">
        <f>HLOOKUP(O35,'Dados Operacionais Auto'!$D$5:$BI$15,10,0)</f>
        <v>211.11226230599593</v>
      </c>
      <c r="P61" s="857">
        <f>HLOOKUP(P35,'Dados Operacionais Auto'!$D$5:$BI$15,10,0)</f>
        <v>179.48841401584858</v>
      </c>
      <c r="Q61" s="857">
        <f>HLOOKUP(Q35,'Dados Operacionais Auto'!$D$5:$BI$15,10,0)</f>
        <v>207.61116275310189</v>
      </c>
      <c r="R61" s="857">
        <f>HLOOKUP(R35,'Dados Operacionais Auto'!$D$5:$BI$15,10,0)</f>
        <v>188.12722049317694</v>
      </c>
      <c r="S61" s="647">
        <f>+S55*1000/S48</f>
        <v>196.48200191093386</v>
      </c>
      <c r="T61" s="857">
        <f>HLOOKUP(T35,'Dados Operacionais Auto'!$D$5:$BI$15,10,0)</f>
        <v>201.70104549307715</v>
      </c>
      <c r="U61" s="857">
        <f>HLOOKUP(U35,'Dados Operacionais Auto'!$D$5:$BI$15,10,0)</f>
        <v>164.65599173553719</v>
      </c>
      <c r="V61" s="857">
        <f>HLOOKUP(V35,'Dados Operacionais Auto'!$D$5:$BI$15,10,0)</f>
        <v>221.1232034795764</v>
      </c>
      <c r="W61" s="857">
        <f>HLOOKUP(W35,'Dados Operacionais Auto'!$D$5:$BI$15,10,0)</f>
        <v>189.23035565202872</v>
      </c>
      <c r="X61" s="647">
        <f>+X55*1000/X48</f>
        <v>199.86207254020292</v>
      </c>
      <c r="Y61" s="857">
        <f>HLOOKUP(Y35,'Dados Operacionais Auto'!$D$5:$BI$15,10,0)</f>
        <v>289.60579300600494</v>
      </c>
      <c r="Z61" s="857">
        <f>HLOOKUP(Z35,'Dados Operacionais Auto'!$D$5:$BI$15,10,0)</f>
        <v>217.44485246468224</v>
      </c>
      <c r="AA61" s="857">
        <f>HLOOKUP(AA35,'Dados Operacionais Auto'!$D$5:$BI$15,10,0)</f>
        <v>253.48235361521714</v>
      </c>
      <c r="AB61" s="857">
        <f>HLOOKUP(AB35,'Dados Operacionais Auto'!$D$5:$BI$15,10,0)</f>
        <v>345.35584474885843</v>
      </c>
      <c r="AC61" s="647">
        <f>+AC55*1000/AC48</f>
        <v>276.92353404032934</v>
      </c>
      <c r="AD61" s="857">
        <f>HLOOKUP(AD35,'Dados Operacionais Auto'!$D$5:$BI$15,10,0)</f>
        <v>308.43416594437002</v>
      </c>
      <c r="AE61" s="857">
        <f>HLOOKUP(AE35,'Dados Operacionais Auto'!$D$5:$BI$15,10,0)</f>
        <v>260.78649055341918</v>
      </c>
      <c r="AF61" s="857">
        <f>HLOOKUP(AF35,'Dados Operacionais Auto'!$D$5:$BI$15,10,0)</f>
        <v>269.40819775340469</v>
      </c>
      <c r="AG61" s="857">
        <f>HLOOKUP(AG35,'Dados Operacionais Auto'!$D$5:$BI$15,10,0)</f>
        <v>359.45164878823999</v>
      </c>
      <c r="AH61" s="647">
        <f>+AH55*1000/AH48</f>
        <v>296.51617918218301</v>
      </c>
      <c r="AI61" s="857">
        <f>HLOOKUP(AI35,'Dados Operacionais Auto'!$D$5:$BI$15,10,0)</f>
        <v>365.98499723745164</v>
      </c>
      <c r="AJ61" s="857">
        <f>HLOOKUP(AJ35,'Dados Operacionais Auto'!$D$5:$BJ$15,10,0)</f>
        <v>337.47144418893959</v>
      </c>
      <c r="AK61" s="857">
        <f>HLOOKUP(AK35,'Dados Operacionais Auto'!$D$5:$BO$15,10,0)</f>
        <v>320.97150499481415</v>
      </c>
      <c r="AL61" s="857">
        <f>HLOOKUP(AL35,'Dados Operacionais Auto'!$D$5:$BO$15,10,0)</f>
        <v>388.60868016386627</v>
      </c>
      <c r="AM61" s="647">
        <f>+AM55*1000/AM48</f>
        <v>351.90428078574951</v>
      </c>
      <c r="AN61" s="857">
        <f>HLOOKUP(AN35,'Dados Operacionais Auto'!$D$5:$BO$15,10,0)</f>
        <v>298.07610163250274</v>
      </c>
      <c r="AO61" s="857">
        <f>HLOOKUP(AO35,'Dados Operacionais Auto'!$D$5:$BO$15,10,0)</f>
        <v>341.73098266463683</v>
      </c>
      <c r="AP61" s="857">
        <f>HLOOKUP(AP35,'Dados Operacionais Auto'!$D$5:$BO$15,10,0)</f>
        <v>271.92427033443857</v>
      </c>
      <c r="AQ61" s="857">
        <f>HLOOKUP(AQ35,'Dados Operacionais Auto'!$D$5:$CD$15,10,0)</f>
        <v>314.23080631025414</v>
      </c>
      <c r="AR61" s="647">
        <f>+AR55*1000/AR48</f>
        <v>305.45020618310969</v>
      </c>
      <c r="AS61" s="857">
        <f>HLOOKUP(AS35,'Dados Operacionais Auto'!$D$5:$CD$15,10,0)</f>
        <v>421.04505303916426</v>
      </c>
      <c r="AT61" s="857">
        <f>HLOOKUP(AT35,'Dados Operacionais Auto'!$D$5:$CD$15,10,0)</f>
        <v>314.75067289019114</v>
      </c>
      <c r="AU61" s="857">
        <f>HLOOKUP(AU35,'Dados Operacionais Auto'!$D$5:$CD$15,10,0)</f>
        <v>406.58623106695518</v>
      </c>
      <c r="AV61" s="857">
        <f>HLOOKUP(AV35,'Dados Operacionais Auto'!$D$5:$CD$15,10,0)</f>
        <v>403.09199857435624</v>
      </c>
      <c r="AW61" s="647">
        <f>+AW55*1000/AW48</f>
        <v>384.5080482253685</v>
      </c>
      <c r="AX61" s="857">
        <f>HLOOKUP(AX35,'Dados Operacionais Auto'!$D$5:$CD$15,10,0)</f>
        <v>341.00471135834704</v>
      </c>
      <c r="AY61" s="857">
        <f>HLOOKUP(AY35,'Dados Operacionais Auto'!$D$5:$CD$15,10,0)</f>
        <v>289.5167584196891</v>
      </c>
      <c r="BN61" s="266"/>
      <c r="BO61" s="266"/>
      <c r="BP61" s="266"/>
      <c r="BQ61" s="266"/>
      <c r="BR61" s="266"/>
      <c r="BS61" s="266"/>
      <c r="BT61" s="266"/>
      <c r="BU61" s="266"/>
      <c r="BV61" s="266"/>
      <c r="BW61" s="266"/>
      <c r="BX61" s="266"/>
      <c r="BY61" s="266"/>
      <c r="BZ61" s="266"/>
      <c r="CA61" s="266"/>
      <c r="CB61" s="266"/>
      <c r="CC61" s="266"/>
      <c r="CD61" s="266"/>
      <c r="CE61" s="266"/>
      <c r="CF61" s="266"/>
      <c r="CG61" s="266"/>
      <c r="CH61" s="266"/>
      <c r="CI61" s="266"/>
      <c r="CJ61" s="266"/>
    </row>
    <row r="62" spans="1:88" s="850" customFormat="1" ht="13.5" customHeight="1" x14ac:dyDescent="0.2">
      <c r="A62" s="516" t="s">
        <v>1679</v>
      </c>
      <c r="B62" s="516" t="s">
        <v>1678</v>
      </c>
      <c r="C62" s="855"/>
      <c r="D62" s="861" t="str">
        <f>IF([1]RENAME!$H$3=1,B62,A62)</f>
        <v>Variação %</v>
      </c>
      <c r="E62" s="875" t="s">
        <v>160</v>
      </c>
      <c r="F62" s="875" t="s">
        <v>160</v>
      </c>
      <c r="G62" s="875" t="s">
        <v>160</v>
      </c>
      <c r="H62" s="875" t="s">
        <v>160</v>
      </c>
      <c r="I62" s="900" t="s">
        <v>160</v>
      </c>
      <c r="J62" s="875">
        <f>+J61/E61-1</f>
        <v>0.38857647128689288</v>
      </c>
      <c r="K62" s="875" t="e">
        <f>+K61/F61-1</f>
        <v>#DIV/0!</v>
      </c>
      <c r="L62" s="875">
        <f>+L61/G61-1</f>
        <v>-8.0461168312904729E-2</v>
      </c>
      <c r="M62" s="875">
        <f>+M61/H61-1</f>
        <v>0.15686947240328442</v>
      </c>
      <c r="N62" s="862">
        <f t="shared" ref="N62:AS62" si="77">+N61/I61-1</f>
        <v>0.48264793989704313</v>
      </c>
      <c r="O62" s="875">
        <f t="shared" si="77"/>
        <v>6.8999665424414935E-2</v>
      </c>
      <c r="P62" s="875">
        <f t="shared" si="77"/>
        <v>-6.4511685273782926E-2</v>
      </c>
      <c r="Q62" s="875">
        <f t="shared" si="77"/>
        <v>1.6534033472227705E-2</v>
      </c>
      <c r="R62" s="875">
        <f t="shared" si="77"/>
        <v>-0.18168256975872277</v>
      </c>
      <c r="S62" s="862">
        <f t="shared" si="77"/>
        <v>-2.7175219494607217E-2</v>
      </c>
      <c r="T62" s="875">
        <f t="shared" si="77"/>
        <v>-4.4579204969523389E-2</v>
      </c>
      <c r="U62" s="875">
        <f t="shared" si="77"/>
        <v>-8.2637212889973499E-2</v>
      </c>
      <c r="V62" s="875">
        <f t="shared" si="77"/>
        <v>6.5083401813723629E-2</v>
      </c>
      <c r="W62" s="875">
        <f t="shared" si="77"/>
        <v>5.8637721641765506E-3</v>
      </c>
      <c r="X62" s="862">
        <f t="shared" si="77"/>
        <v>1.7202952923908388E-2</v>
      </c>
      <c r="Y62" s="875">
        <f t="shared" si="77"/>
        <v>0.4358170147211502</v>
      </c>
      <c r="Z62" s="875">
        <f t="shared" si="77"/>
        <v>0.32060090964641041</v>
      </c>
      <c r="AA62" s="875">
        <f t="shared" si="77"/>
        <v>0.14633991198770557</v>
      </c>
      <c r="AB62" s="875">
        <f t="shared" si="77"/>
        <v>0.82505520088925488</v>
      </c>
      <c r="AC62" s="862">
        <f t="shared" si="77"/>
        <v>0.38557321316992388</v>
      </c>
      <c r="AD62" s="875">
        <f t="shared" si="77"/>
        <v>6.5013799423462082E-2</v>
      </c>
      <c r="AE62" s="875">
        <f t="shared" si="77"/>
        <v>0.19932243783870018</v>
      </c>
      <c r="AF62" s="875">
        <f t="shared" si="77"/>
        <v>6.2828216288234318E-2</v>
      </c>
      <c r="AG62" s="875">
        <f t="shared" si="77"/>
        <v>4.0815304717463086E-2</v>
      </c>
      <c r="AH62" s="862">
        <f t="shared" si="77"/>
        <v>7.0751101778877112E-2</v>
      </c>
      <c r="AI62" s="875">
        <f t="shared" si="77"/>
        <v>0.18659032509213525</v>
      </c>
      <c r="AJ62" s="875">
        <f t="shared" si="77"/>
        <v>0.29405263084290145</v>
      </c>
      <c r="AK62" s="875">
        <f t="shared" si="77"/>
        <v>0.1913947224746535</v>
      </c>
      <c r="AL62" s="875">
        <f t="shared" si="77"/>
        <v>8.1115308481456649E-2</v>
      </c>
      <c r="AM62" s="862">
        <f t="shared" si="77"/>
        <v>0.18679622055137646</v>
      </c>
      <c r="AN62" s="875">
        <f t="shared" si="77"/>
        <v>-0.18555103656582261</v>
      </c>
      <c r="AO62" s="875">
        <f t="shared" si="77"/>
        <v>1.2621922681293363E-2</v>
      </c>
      <c r="AP62" s="875">
        <f t="shared" si="77"/>
        <v>-0.1528086883013744</v>
      </c>
      <c r="AQ62" s="875">
        <f t="shared" si="77"/>
        <v>-0.19139529724927629</v>
      </c>
      <c r="AR62" s="862">
        <f t="shared" si="77"/>
        <v>-0.13200769964751446</v>
      </c>
      <c r="AS62" s="875">
        <f t="shared" si="77"/>
        <v>0.41254213515671112</v>
      </c>
      <c r="AT62" s="875">
        <f t="shared" ref="AT62:AY62" si="78">+AT61/AO61-1</f>
        <v>-7.8951898256539588E-2</v>
      </c>
      <c r="AU62" s="875">
        <f t="shared" si="78"/>
        <v>0.4952186157083236</v>
      </c>
      <c r="AV62" s="875">
        <f t="shared" si="78"/>
        <v>0.28278956257511378</v>
      </c>
      <c r="AW62" s="862">
        <f t="shared" si="78"/>
        <v>0.25882399305000181</v>
      </c>
      <c r="AX62" s="875">
        <f t="shared" si="78"/>
        <v>-0.19009923309411769</v>
      </c>
      <c r="AY62" s="875">
        <f t="shared" si="78"/>
        <v>-8.017112160171791E-2</v>
      </c>
      <c r="AZ62" s="851"/>
      <c r="BA62" s="851"/>
      <c r="BB62" s="851"/>
      <c r="BC62" s="851"/>
      <c r="BD62" s="851"/>
      <c r="BE62" s="851"/>
      <c r="BF62" s="851"/>
      <c r="BG62" s="851"/>
      <c r="BH62" s="851"/>
      <c r="BK62" s="851"/>
      <c r="BL62" s="851"/>
      <c r="BM62" s="851"/>
      <c r="BN62" s="851"/>
      <c r="BO62" s="851"/>
      <c r="BP62" s="851"/>
      <c r="BQ62" s="851"/>
      <c r="BR62" s="851"/>
      <c r="BS62" s="851"/>
      <c r="BT62" s="851"/>
      <c r="BU62" s="851"/>
      <c r="BV62" s="851"/>
      <c r="BW62" s="851"/>
      <c r="BX62" s="851"/>
      <c r="BY62" s="851"/>
      <c r="BZ62" s="851"/>
      <c r="CA62" s="851"/>
      <c r="CB62" s="851"/>
      <c r="CC62" s="851"/>
      <c r="CD62" s="851"/>
      <c r="CE62" s="851"/>
      <c r="CF62" s="851"/>
      <c r="CG62" s="851"/>
      <c r="CH62" s="851"/>
      <c r="CI62" s="851"/>
      <c r="CJ62" s="851"/>
    </row>
    <row r="63" spans="1:88" s="885" customFormat="1" ht="13.5" customHeight="1" x14ac:dyDescent="0.2">
      <c r="A63" s="885" t="s">
        <v>2090</v>
      </c>
      <c r="B63" s="909" t="s">
        <v>2091</v>
      </c>
      <c r="C63" s="24"/>
      <c r="D63" s="908" t="str">
        <f>IF([1]RENAME!$H$3=1,B63,A63)</f>
        <v>Receita por km*</v>
      </c>
      <c r="E63" s="907">
        <f t="shared" ref="E63:U63" ca="1" si="79">+E65/(E42*E57/1000)</f>
        <v>1.4638722454190447</v>
      </c>
      <c r="F63" s="907">
        <f t="shared" ca="1" si="79"/>
        <v>1.6527902497199991</v>
      </c>
      <c r="G63" s="907">
        <f t="shared" ca="1" si="79"/>
        <v>1.5972489442563604</v>
      </c>
      <c r="H63" s="907">
        <f t="shared" ca="1" si="79"/>
        <v>1.6674908186966177</v>
      </c>
      <c r="I63" s="906">
        <f t="shared" ca="1" si="79"/>
        <v>1.6027002307501916</v>
      </c>
      <c r="J63" s="907">
        <f t="shared" ca="1" si="79"/>
        <v>1.6014399176312468</v>
      </c>
      <c r="K63" s="907">
        <f t="shared" ca="1" si="79"/>
        <v>1.6593197481071922</v>
      </c>
      <c r="L63" s="907">
        <f t="shared" ca="1" si="79"/>
        <v>1.7017403255931356</v>
      </c>
      <c r="M63" s="907">
        <f t="shared" ca="1" si="79"/>
        <v>1.8241325920083795</v>
      </c>
      <c r="N63" s="906">
        <f t="shared" ca="1" si="79"/>
        <v>1.7029951817147049</v>
      </c>
      <c r="O63" s="907">
        <f t="shared" ca="1" si="79"/>
        <v>1.704438231051103</v>
      </c>
      <c r="P63" s="907">
        <f t="shared" ca="1" si="79"/>
        <v>1.6387093583983539</v>
      </c>
      <c r="Q63" s="907">
        <f t="shared" ca="1" si="79"/>
        <v>1.6199998789880523</v>
      </c>
      <c r="R63" s="907">
        <f t="shared" ca="1" si="79"/>
        <v>1.6879303889862884</v>
      </c>
      <c r="S63" s="906">
        <f t="shared" ca="1" si="79"/>
        <v>1.6617216321244261</v>
      </c>
      <c r="T63" s="907">
        <f t="shared" ca="1" si="79"/>
        <v>1.6978181649041046</v>
      </c>
      <c r="U63" s="907">
        <f t="shared" ca="1" si="79"/>
        <v>1.7757660163478872</v>
      </c>
      <c r="V63" s="907">
        <f t="shared" ref="V63:AA63" ca="1" si="80">+V65/(V42*V57/1000)</f>
        <v>1.6084004787692068</v>
      </c>
      <c r="W63" s="907">
        <f t="shared" ca="1" si="80"/>
        <v>1.6173521781082087</v>
      </c>
      <c r="X63" s="906">
        <f t="shared" ca="1" si="80"/>
        <v>1.6521848542649775</v>
      </c>
      <c r="Y63" s="907">
        <f t="shared" ca="1" si="80"/>
        <v>1.7369218784993354</v>
      </c>
      <c r="Z63" s="907">
        <f t="shared" ca="1" si="80"/>
        <v>1.9767110052498353</v>
      </c>
      <c r="AA63" s="907">
        <f t="shared" ca="1" si="80"/>
        <v>2.065011595326776</v>
      </c>
      <c r="AB63" s="907">
        <f t="shared" ref="AB63:AH63" ca="1" si="81">+AB65/(AB42*AB57/1000)</f>
        <v>2.0641145013285183</v>
      </c>
      <c r="AC63" s="906">
        <f t="shared" ca="1" si="81"/>
        <v>1.959084669187755</v>
      </c>
      <c r="AD63" s="907">
        <f t="shared" ca="1" si="81"/>
        <v>2.1890266519477608</v>
      </c>
      <c r="AE63" s="907">
        <f t="shared" ca="1" si="81"/>
        <v>2.4777264093652351</v>
      </c>
      <c r="AF63" s="907">
        <f t="shared" ca="1" si="81"/>
        <v>2.6876931599601108</v>
      </c>
      <c r="AG63" s="907">
        <f t="shared" ca="1" si="81"/>
        <v>2.7229974007283055</v>
      </c>
      <c r="AH63" s="906">
        <f t="shared" ca="1" si="81"/>
        <v>2.5535068012166509</v>
      </c>
      <c r="AI63" s="907">
        <f t="shared" ref="AI63:AO63" ca="1" si="82">+AI65/(AI42*AI57/1000)</f>
        <v>2.7048834821251102</v>
      </c>
      <c r="AJ63" s="907">
        <f t="shared" ca="1" si="82"/>
        <v>2.7522027450955555</v>
      </c>
      <c r="AK63" s="907">
        <f t="shared" ca="1" si="82"/>
        <v>2.711493972519762</v>
      </c>
      <c r="AL63" s="907">
        <f t="shared" ca="1" si="82"/>
        <v>2.7363086840878692</v>
      </c>
      <c r="AM63" s="906">
        <f t="shared" ca="1" si="82"/>
        <v>2.7266533400225517</v>
      </c>
      <c r="AN63" s="907">
        <f t="shared" ca="1" si="82"/>
        <v>2.9068921499134639</v>
      </c>
      <c r="AO63" s="907">
        <f t="shared" ca="1" si="82"/>
        <v>2.9088245379598097</v>
      </c>
      <c r="AP63" s="907">
        <f t="shared" ref="AP63:AX63" ca="1" si="83">+AP65/(AP42*AP57/1000)</f>
        <v>3.2152291515979066</v>
      </c>
      <c r="AQ63" s="907">
        <f t="shared" ca="1" si="83"/>
        <v>3.2723003443856395</v>
      </c>
      <c r="AR63" s="906">
        <f t="shared" ca="1" si="83"/>
        <v>3.0991607930890526</v>
      </c>
      <c r="AS63" s="907">
        <f t="shared" ca="1" si="83"/>
        <v>3.2979171948495583</v>
      </c>
      <c r="AT63" s="907">
        <f t="shared" ca="1" si="83"/>
        <v>3.3664326526290012</v>
      </c>
      <c r="AU63" s="907">
        <f t="shared" ca="1" si="83"/>
        <v>3.3768775593411795</v>
      </c>
      <c r="AV63" s="907">
        <f t="shared" ca="1" si="83"/>
        <v>3.2895891896757465</v>
      </c>
      <c r="AW63" s="906">
        <f t="shared" ca="1" si="83"/>
        <v>3.3345162113287081</v>
      </c>
      <c r="AX63" s="907">
        <f t="shared" ca="1" si="83"/>
        <v>3.4020229684175982</v>
      </c>
      <c r="AY63" s="907">
        <f ca="1">+AY65/(AY42*AY57/1000)</f>
        <v>3.5849585355744371</v>
      </c>
      <c r="AZ63" s="886"/>
      <c r="BA63" s="886"/>
      <c r="BB63" s="886"/>
      <c r="BC63" s="886"/>
      <c r="BD63" s="886"/>
      <c r="BE63" s="886"/>
      <c r="BF63" s="886"/>
      <c r="BG63" s="886"/>
      <c r="BH63" s="886"/>
      <c r="BK63" s="886"/>
      <c r="BL63" s="886"/>
      <c r="BM63" s="886"/>
      <c r="BN63" s="886"/>
      <c r="BO63" s="886"/>
      <c r="BP63" s="886"/>
      <c r="BQ63" s="886"/>
      <c r="BR63" s="886"/>
      <c r="BS63" s="886"/>
      <c r="BT63" s="886"/>
      <c r="BU63" s="886"/>
      <c r="BV63" s="886"/>
      <c r="BW63" s="886"/>
      <c r="BX63" s="886"/>
      <c r="BY63" s="886"/>
      <c r="BZ63" s="886"/>
      <c r="CA63" s="886"/>
      <c r="CB63" s="886"/>
      <c r="CC63" s="886"/>
      <c r="CD63" s="886"/>
      <c r="CE63" s="886"/>
      <c r="CF63" s="886"/>
      <c r="CG63" s="886"/>
      <c r="CH63" s="886"/>
      <c r="CI63" s="886"/>
      <c r="CJ63" s="886"/>
    </row>
    <row r="64" spans="1:88" s="850" customFormat="1" ht="13.5" customHeight="1" x14ac:dyDescent="0.2">
      <c r="A64" s="850" t="s">
        <v>1679</v>
      </c>
      <c r="B64" s="516" t="s">
        <v>1678</v>
      </c>
      <c r="C64" s="855"/>
      <c r="D64" s="905" t="str">
        <f>IF([1]RENAME!$H$3=1,B64,A64)</f>
        <v>Variação %</v>
      </c>
      <c r="E64" s="903" t="s">
        <v>160</v>
      </c>
      <c r="F64" s="903" t="s">
        <v>160</v>
      </c>
      <c r="G64" s="903" t="s">
        <v>160</v>
      </c>
      <c r="H64" s="903" t="s">
        <v>160</v>
      </c>
      <c r="I64" s="904" t="s">
        <v>160</v>
      </c>
      <c r="J64" s="903">
        <f ca="1">+J63/E63-1</f>
        <v>9.3975189872407494E-2</v>
      </c>
      <c r="K64" s="903">
        <f ca="1">+K63/F63-1</f>
        <v>3.9505910615695861E-3</v>
      </c>
      <c r="L64" s="903">
        <f ca="1">+L63/G63-1</f>
        <v>6.5419596433305971E-2</v>
      </c>
      <c r="M64" s="903">
        <f ca="1">+M63/H63-1</f>
        <v>9.3938612168311453E-2</v>
      </c>
      <c r="N64" s="902">
        <f ca="1">+N63/I63-1</f>
        <v>6.2578733714643064E-2</v>
      </c>
      <c r="O64" s="903">
        <f ca="1">O63/J63-1</f>
        <v>6.4316064740165269E-2</v>
      </c>
      <c r="P64" s="903">
        <f ca="1">P63/K63-1</f>
        <v>-1.2420987415083129E-2</v>
      </c>
      <c r="Q64" s="903">
        <f t="shared" ref="Q64:AS64" ca="1" si="84">+Q63/L63-1</f>
        <v>-4.8033442808962601E-2</v>
      </c>
      <c r="R64" s="903">
        <f t="shared" ca="1" si="84"/>
        <v>-7.4666832673677352E-2</v>
      </c>
      <c r="S64" s="902">
        <f t="shared" ca="1" si="84"/>
        <v>-2.4235858112482411E-2</v>
      </c>
      <c r="T64" s="903">
        <f t="shared" ca="1" si="84"/>
        <v>-3.8840164614917239E-3</v>
      </c>
      <c r="U64" s="903">
        <f t="shared" ca="1" si="84"/>
        <v>8.3636953219996313E-2</v>
      </c>
      <c r="V64" s="903">
        <f t="shared" ca="1" si="84"/>
        <v>-7.1601241267321702E-3</v>
      </c>
      <c r="W64" s="903">
        <f t="shared" ca="1" si="84"/>
        <v>-4.1813460637121658E-2</v>
      </c>
      <c r="X64" s="902">
        <f t="shared" ca="1" si="84"/>
        <v>-5.7390947286738436E-3</v>
      </c>
      <c r="Y64" s="903">
        <f t="shared" ca="1" si="84"/>
        <v>2.3031744154674794E-2</v>
      </c>
      <c r="Z64" s="903">
        <f t="shared" ca="1" si="84"/>
        <v>0.1131596094598204</v>
      </c>
      <c r="AA64" s="903">
        <f t="shared" ca="1" si="84"/>
        <v>0.28389143287682983</v>
      </c>
      <c r="AB64" s="903">
        <f t="shared" ca="1" si="84"/>
        <v>0.27623069932912214</v>
      </c>
      <c r="AC64" s="902">
        <f t="shared" ca="1" si="84"/>
        <v>0.18575392101588473</v>
      </c>
      <c r="AD64" s="903">
        <f t="shared" ca="1" si="84"/>
        <v>0.26029079318123083</v>
      </c>
      <c r="AE64" s="903">
        <f t="shared" ca="1" si="84"/>
        <v>0.25345910595164445</v>
      </c>
      <c r="AF64" s="903">
        <f t="shared" ca="1" si="84"/>
        <v>0.30153901607259459</v>
      </c>
      <c r="AG64" s="903">
        <f t="shared" ca="1" si="84"/>
        <v>0.31920850271422108</v>
      </c>
      <c r="AH64" s="902">
        <f t="shared" ca="1" si="84"/>
        <v>0.30341829599194692</v>
      </c>
      <c r="AI64" s="903">
        <f t="shared" ca="1" si="84"/>
        <v>0.23565580150353505</v>
      </c>
      <c r="AJ64" s="903">
        <f t="shared" ca="1" si="84"/>
        <v>0.11077749936105263</v>
      </c>
      <c r="AK64" s="903">
        <f t="shared" ca="1" si="84"/>
        <v>8.8554798271704982E-3</v>
      </c>
      <c r="AL64" s="903">
        <f t="shared" ca="1" si="84"/>
        <v>4.8884671560844861E-3</v>
      </c>
      <c r="AM64" s="902">
        <f t="shared" ca="1" si="84"/>
        <v>6.7807353684510518E-2</v>
      </c>
      <c r="AN64" s="903">
        <f t="shared" ca="1" si="84"/>
        <v>7.4682946279683859E-2</v>
      </c>
      <c r="AO64" s="903">
        <f t="shared" ca="1" si="84"/>
        <v>5.6907796180116099E-2</v>
      </c>
      <c r="AP64" s="903">
        <f t="shared" ca="1" si="84"/>
        <v>0.18577772408250226</v>
      </c>
      <c r="AQ64" s="903">
        <f ca="1">+AQ63/AL63-1</f>
        <v>0.19588128467181321</v>
      </c>
      <c r="AR64" s="902">
        <f t="shared" ca="1" si="84"/>
        <v>0.13661709304910019</v>
      </c>
      <c r="AS64" s="903">
        <f t="shared" ca="1" si="84"/>
        <v>0.13451652994684893</v>
      </c>
      <c r="AT64" s="903">
        <f t="shared" ref="AT64:AY64" ca="1" si="85">+AT63/AO63-1</f>
        <v>0.15731719417842527</v>
      </c>
      <c r="AU64" s="903">
        <f t="shared" ca="1" si="85"/>
        <v>5.0275859082372643E-2</v>
      </c>
      <c r="AV64" s="903">
        <f t="shared" ca="1" si="85"/>
        <v>5.2833919477379698E-3</v>
      </c>
      <c r="AW64" s="902">
        <f t="shared" ca="1" si="85"/>
        <v>7.5941660969796931E-2</v>
      </c>
      <c r="AX64" s="903">
        <f t="shared" ca="1" si="85"/>
        <v>3.1567127801336081E-2</v>
      </c>
      <c r="AY64" s="903">
        <f t="shared" ca="1" si="85"/>
        <v>6.4913190161335566E-2</v>
      </c>
      <c r="AZ64" s="851"/>
      <c r="BA64" s="851"/>
      <c r="BB64" s="851"/>
      <c r="BC64" s="851"/>
      <c r="BD64" s="851"/>
      <c r="BE64" s="851"/>
      <c r="BF64" s="851"/>
      <c r="BG64" s="851"/>
      <c r="BH64" s="851"/>
      <c r="BK64" s="851"/>
      <c r="BL64" s="851"/>
      <c r="BM64" s="851"/>
      <c r="BN64" s="851"/>
      <c r="BO64" s="851"/>
      <c r="BP64" s="851"/>
      <c r="BQ64" s="851"/>
      <c r="BR64" s="851"/>
      <c r="BS64" s="851"/>
      <c r="BT64" s="851"/>
      <c r="BU64" s="851"/>
      <c r="BV64" s="851"/>
      <c r="BW64" s="851"/>
      <c r="BX64" s="851"/>
      <c r="BY64" s="851"/>
      <c r="BZ64" s="851"/>
      <c r="CA64" s="851"/>
      <c r="CB64" s="851"/>
      <c r="CC64" s="851"/>
      <c r="CD64" s="851"/>
      <c r="CE64" s="851"/>
      <c r="CF64" s="851"/>
      <c r="CG64" s="851"/>
      <c r="CH64" s="851"/>
      <c r="CI64" s="851"/>
      <c r="CJ64" s="851"/>
    </row>
    <row r="65" spans="1:88" ht="13.5" customHeight="1" x14ac:dyDescent="0.2">
      <c r="A65" s="1" t="s">
        <v>11</v>
      </c>
      <c r="B65" s="21" t="s">
        <v>1748</v>
      </c>
      <c r="C65" s="24"/>
      <c r="D65" s="858" t="str">
        <f>IF([1]RENAME!$H$3=1,B65,A65)</f>
        <v>Logística de Veículos</v>
      </c>
      <c r="E65" s="857">
        <f ca="1">+SUMIFS(INDIRECT(CONCATENATE("'",$AZ65,$BA65,":",$BB65)),INDIRECT(CONCATENATE("'",$AZ65,$BA$35,":",$BB$35)),E$35)</f>
        <v>214422.15101999999</v>
      </c>
      <c r="F65" s="857">
        <f ca="1">+SUMIFS(INDIRECT(CONCATENATE("'",$AZ65,$BA65,":",$BB65)),INDIRECT(CONCATENATE("'",$AZ65,$BA$35,":",$BB$35)),F$35)</f>
        <v>268717.10787999997</v>
      </c>
      <c r="G65" s="857">
        <f ca="1">+SUMIFS(INDIRECT(CONCATENATE("'",$AZ65,$BA65,":",$BB65)),INDIRECT(CONCATENATE("'",$AZ65,$BA$35,":",$BB$35)),G$35)</f>
        <v>305185.31597000005</v>
      </c>
      <c r="H65" s="857">
        <f ca="1">+SUMIFS(INDIRECT(CONCATENATE("'",$AZ65,$BA65,":",$BB65)),INDIRECT(CONCATENATE("'",$AZ65,$BA$35,":",$BB$35)),H$35)</f>
        <v>340565.25495999999</v>
      </c>
      <c r="I65" s="647">
        <f ca="1">SUM(E65:H65)</f>
        <v>1128889.8298299999</v>
      </c>
      <c r="J65" s="857">
        <f ca="1">+SUMIFS(INDIRECT(CONCATENATE("'",$AZ65,$BA65,":",$BB65)),INDIRECT(CONCATENATE("'",$AZ65,$BA$35,":",$BB$35)),J$35)</f>
        <v>275057.54545999999</v>
      </c>
      <c r="K65" s="857">
        <f ca="1">+SUMIFS(INDIRECT(CONCATENATE("'",$AZ65,$BA65,":",$BB65)),INDIRECT(CONCATENATE("'",$AZ65,$BA$35,":",$BB$35)),K$35)</f>
        <v>315279.75394999998</v>
      </c>
      <c r="L65" s="857">
        <f ca="1">+SUMIFS(INDIRECT(CONCATENATE("'",$AZ65,$BA65,":",$BB65)),INDIRECT(CONCATENATE("'",$AZ65,$BA$35,":",$BB$35)),L$35)</f>
        <v>365789.47778999998</v>
      </c>
      <c r="M65" s="857">
        <f ca="1">+SUMIFS(INDIRECT(CONCATENATE("'",$AZ65,$BA65,":",$BB65)),INDIRECT(CONCATENATE("'",$AZ65,$BA$35,":",$BB$35)),M$35)</f>
        <v>391684.40824000002</v>
      </c>
      <c r="N65" s="647">
        <f ca="1">+SUM(J65:M65)</f>
        <v>1347811.1854399999</v>
      </c>
      <c r="O65" s="857">
        <f ca="1">+SUMIFS(INDIRECT(CONCATENATE("'",$AZ65,$BA65,":",$BB65)),INDIRECT(CONCATENATE("'",$AZ65,$BA$35,":",$BB$35)),O$35)</f>
        <v>321706.25628999999</v>
      </c>
      <c r="P65" s="857">
        <f ca="1">+SUMIFS(INDIRECT(CONCATENATE("'",$AZ65,$BA65,":",$BB65)),INDIRECT(CONCATENATE("'",$AZ65,$BA$35,":",$BB$35)),P$35)</f>
        <v>360853.55104000005</v>
      </c>
      <c r="Q65" s="857">
        <f ca="1">+SUMIFS(INDIRECT(CONCATENATE("'",$AZ65,$BA65,":",$BB65)),INDIRECT(CONCATENATE("'",$AZ65,$BA$35,":",$BB$35)),Q$35)</f>
        <v>366405.11531000002</v>
      </c>
      <c r="R65" s="857">
        <f ca="1">+SUMIFS(INDIRECT(CONCATENATE("'",$AZ65,$BA65,":",$BB65)),INDIRECT(CONCATENATE("'",$AZ65,$BA$35,":",$BB$35)),R$35)</f>
        <v>414841.17645000003</v>
      </c>
      <c r="S65" s="647">
        <f ca="1">+SUM(O65:R65)</f>
        <v>1463806.0990900001</v>
      </c>
      <c r="T65" s="857">
        <f ca="1">+SUMIFS(INDIRECT(CONCATENATE("'",$AZ65,$BA65,":",$BB65)),INDIRECT(CONCATENATE("'",$AZ65,$BA$35,":",$BB$35)),T$35)</f>
        <v>298654.90463999996</v>
      </c>
      <c r="U65" s="857">
        <f ca="1">+SUMIFS(INDIRECT(CONCATENATE("'",$AZ65,$BA65,":",$BB65)),INDIRECT(CONCATENATE("'",$AZ65,$BA$35,":",$BB$35)),U$35)</f>
        <v>108624.88222</v>
      </c>
      <c r="V65" s="857">
        <f ca="1">+SUMIFS(INDIRECT(CONCATENATE("'",$AZ65,$BA65,":",$BB65)),INDIRECT(CONCATENATE("'",$AZ65,$BA$35,":",$BB$35)),V$35)</f>
        <v>305501.52506000001</v>
      </c>
      <c r="W65" s="857">
        <f ca="1">+SUMIFS(INDIRECT(CONCATENATE("'",$AZ65,$BA65,":",$BB65)),INDIRECT(CONCATENATE("'",$AZ65,$BA$35,":",$BB$35)),W$35)</f>
        <v>337571.33675999998</v>
      </c>
      <c r="X65" s="647">
        <f ca="1">+SUM(T65:W65)</f>
        <v>1050352.6486800001</v>
      </c>
      <c r="Y65" s="857">
        <f ca="1">+SUMIFS(INDIRECT(CONCATENATE("'",$AZ65,$BA65,":",$BB65)),INDIRECT(CONCATENATE("'",$AZ65,$BA$35,":",$BB$35)),Y$35)</f>
        <v>250078.92903</v>
      </c>
      <c r="Z65" s="857">
        <f ca="1">+SUMIFS(INDIRECT(CONCATENATE("'",$AZ65,$BA65,":",$BB65)),INDIRECT(CONCATENATE("'",$AZ65,$BA$35,":",$BB$35)),Z$35)</f>
        <v>249944.68143999999</v>
      </c>
      <c r="AA65" s="857">
        <f ca="1">+SUMIFS(INDIRECT(CONCATENATE("'",$AZ65,$BA65,":",$BB65)),INDIRECT(CONCATENATE("'",$AZ65,$BA$35,":",$BB$35)),AA$35)</f>
        <v>243798.95912000004</v>
      </c>
      <c r="AB65" s="857">
        <f ca="1">+SUMIFS(INDIRECT(CONCATENATE("'",$AZ65,$BA65,":",$BB65)),INDIRECT(CONCATENATE("'",$AZ65,$BA$35,":",$BB$35)),AB$35)</f>
        <v>339046.03587999992</v>
      </c>
      <c r="AC65" s="647">
        <f ca="1">+SUM(Y65:AB65)</f>
        <v>1082868.6054699998</v>
      </c>
      <c r="AD65" s="857">
        <f ca="1">+SUMIFS(INDIRECT(CONCATENATE("'",$AZ65,$BA65,":",$BB65)),INDIRECT(CONCATENATE("'",$AZ65,$BA$35,":",$BB$35)),AD$35)</f>
        <v>249984.01542999997</v>
      </c>
      <c r="AE65" s="857">
        <f ca="1">+SUMIFS(INDIRECT(CONCATENATE("'",$AZ65,$BA65,":",$BB65)),INDIRECT(CONCATENATE("'",$AZ65,$BA$35,":",$BB$35)),AE$35)</f>
        <v>329187.05628000002</v>
      </c>
      <c r="AF65" s="857">
        <f ca="1">+SUMIFS(INDIRECT(CONCATENATE("'",$AZ65,$BA65,":",$BB65)),INDIRECT(CONCATENATE("'",$AZ65,$BA$35,":",$BB$35)),AF$35)</f>
        <v>460036.70981000003</v>
      </c>
      <c r="AG65" s="857">
        <f ca="1">+SUMIFS(INDIRECT(CONCATENATE("'",$AZ65,$BA65,":",$BB65)),INDIRECT(CONCATENATE("'",$AZ65,$BA$35,":",$BB$35)),AG$35)</f>
        <v>461462.62537999998</v>
      </c>
      <c r="AH65" s="647">
        <f ca="1">+SUM(AD65:AG65)</f>
        <v>1500670.4069000001</v>
      </c>
      <c r="AI65" s="857">
        <f ca="1">+SUMIFS(INDIRECT(CONCATENATE("'",$AZ65,$BA65,":",$BB65)),INDIRECT(CONCATENATE("'",$AZ65,$BA$35,":",$BB$35)),AI$35)</f>
        <v>369902.34818999982</v>
      </c>
      <c r="AJ65" s="857">
        <f ca="1">+SUMIFS(INDIRECT(CONCATENATE("'",$AZ65,$BA65,":",$BB65)),INDIRECT(CONCATENATE("'",$AZ65,$BA$35,":",$BB$35)),AJ$35)</f>
        <v>413999.29704000009</v>
      </c>
      <c r="AK65" s="857">
        <f ca="1">+SUMIFS(INDIRECT(CONCATENATE("'",$AZ65,$BA65,":",$BB65)),INDIRECT(CONCATENATE("'",$AZ65,$BA$35,":",$BB$35)),AK$35)</f>
        <v>481071.89130000008</v>
      </c>
      <c r="AL65" s="857">
        <f ca="1">+SUMIFS(INDIRECT(CONCATENATE("'",$AZ65,$BA65,":",$BB65)),INDIRECT(CONCATENATE("'",$AZ65,$BA$35,":",$BB$35)),AL$35)</f>
        <v>516751.48728000012</v>
      </c>
      <c r="AM65" s="647">
        <f ca="1">+SUM(AI65:AL65)</f>
        <v>1781725.0238100002</v>
      </c>
      <c r="AN65" s="857">
        <f ca="1">+SUMIFS(INDIRECT(CONCATENATE("'",$AZ65,$BA65,":",$BB65)),INDIRECT(CONCATENATE("'",$AZ65,$BA$35,":",$BB$35)),AN$35)</f>
        <v>432552.07787999994</v>
      </c>
      <c r="AO65" s="857">
        <f ca="1">+SUMIFS(INDIRECT(CONCATENATE("'",$AZ65,$BA65,":",$BB65)),INDIRECT(CONCATENATE("'",$AZ65,$BA$35,":",$BB$35)),AO$35)</f>
        <v>529168.94435000001</v>
      </c>
      <c r="AP65" s="857">
        <f ca="1">+SUMIFS(INDIRECT(CONCATENATE("'",$AZ65,$BA65,":",$BB65)),INDIRECT(CONCATENATE("'",$AZ65,$BA$35,":",$BB$35)),AP$35)</f>
        <v>695890.14059000008</v>
      </c>
      <c r="AQ65" s="857">
        <f ca="1">+SUMIFS(INDIRECT(CONCATENATE("'",$AZ65,$BA65,":",$BB65)),INDIRECT(CONCATENATE("'",$AZ65,$BA$35,":",$BB$35)),AQ$35)</f>
        <v>720353.22578999994</v>
      </c>
      <c r="AR65" s="647">
        <f ca="1">+SUM(AN65:AQ65)</f>
        <v>2377964.3886100003</v>
      </c>
      <c r="AS65" s="857">
        <f ca="1">+SUMIFS(INDIRECT(CONCATENATE("'",$AZ65,$BA65,":",$BB65)),INDIRECT(CONCATENATE("'",$AZ65,$BA$35,":",$BB$35)),AS$35)</f>
        <v>489547.18824999995</v>
      </c>
      <c r="AT65" s="857">
        <f ca="1">+SUMIFS(INDIRECT(CONCATENATE("'",$AZ65,$BA65,":",$BB65)),INDIRECT(CONCATENATE("'",$AZ65,$BA$35,":",$BB$35)),AT$35)</f>
        <v>621439.08457999991</v>
      </c>
      <c r="AU65" s="857">
        <f ca="1">+SUMIFS(INDIRECT(CONCATENATE("'",$AZ65,$BA65,":",$BB65)),INDIRECT(CONCATENATE("'",$AZ65,$BA$35,":",$BB$35)),AU$35)</f>
        <v>744446</v>
      </c>
      <c r="AV65" s="857">
        <f ca="1">+SUMIFS(INDIRECT(CONCATENATE("'",$AZ65,$BA65,":",$BB65)),INDIRECT(CONCATENATE("'",$AZ65,$BA$35,":",$BB$35)),AV$35)</f>
        <v>717391.32421999995</v>
      </c>
      <c r="AW65" s="647">
        <f ca="1">+SUM(AS65:AV65)</f>
        <v>2572823.59705</v>
      </c>
      <c r="AX65" s="857">
        <f ca="1">+SUMIFS(INDIRECT(CONCATENATE("'",$AZ65,$BA65,":",$BB65)),INDIRECT(CONCATENATE("'",$AZ65,$BA$35,":",$BB$35)),AX$35)</f>
        <v>599235.42489999998</v>
      </c>
      <c r="AY65" s="857">
        <f ca="1">+SUMIFS(INDIRECT(CONCATENATE("'",$AZ65,$BA65,":",$BB65)),INDIRECT(CONCATENATE("'",$AZ65,$BA$35,":",$BB$35)),AY$35)</f>
        <v>866484.33464999998</v>
      </c>
      <c r="AZ65" s="266" t="str">
        <f>IF([1]RENAME!$H$3=0,BD65,BC65)</f>
        <v>Auto'!</v>
      </c>
      <c r="BA65" s="266" t="str">
        <f>"$"&amp;ROW(Auto!$D$6)</f>
        <v>$6</v>
      </c>
      <c r="BB65" s="266" t="str">
        <f>"$"&amp;ROW(Auto!$D$6)</f>
        <v>$6</v>
      </c>
      <c r="BC65" s="266" t="s">
        <v>1746</v>
      </c>
      <c r="BD65" s="266" t="s">
        <v>1745</v>
      </c>
      <c r="BN65" s="266"/>
      <c r="BO65" s="266"/>
      <c r="BP65" s="266"/>
      <c r="BQ65" s="266"/>
      <c r="BR65" s="266"/>
      <c r="BS65" s="266"/>
      <c r="BT65" s="266"/>
      <c r="BU65" s="266"/>
      <c r="BV65" s="266"/>
      <c r="BW65" s="266"/>
      <c r="BX65" s="266"/>
      <c r="BY65" s="266"/>
      <c r="BZ65" s="266"/>
      <c r="CA65" s="266"/>
      <c r="CB65" s="266"/>
      <c r="CC65" s="266"/>
      <c r="CD65" s="266"/>
      <c r="CE65" s="266"/>
      <c r="CF65" s="266"/>
      <c r="CG65" s="266"/>
      <c r="CH65" s="266"/>
      <c r="CI65" s="266"/>
      <c r="CJ65" s="266"/>
    </row>
    <row r="66" spans="1:88" s="850" customFormat="1" ht="13.5" customHeight="1" x14ac:dyDescent="0.2">
      <c r="A66" s="850" t="s">
        <v>1679</v>
      </c>
      <c r="B66" s="516" t="s">
        <v>1678</v>
      </c>
      <c r="C66" s="855"/>
      <c r="D66" s="861" t="str">
        <f>IF([1]RENAME!$H$3=1,B66,A66)</f>
        <v>Variação %</v>
      </c>
      <c r="E66" s="860" t="s">
        <v>160</v>
      </c>
      <c r="F66" s="860" t="s">
        <v>160</v>
      </c>
      <c r="G66" s="860" t="s">
        <v>160</v>
      </c>
      <c r="H66" s="860" t="s">
        <v>160</v>
      </c>
      <c r="I66" s="859" t="s">
        <v>160</v>
      </c>
      <c r="J66" s="860">
        <f t="shared" ref="J66:AS66" ca="1" si="86">J65/E65-1</f>
        <v>0.28278512341919515</v>
      </c>
      <c r="K66" s="860">
        <f t="shared" ca="1" si="86"/>
        <v>0.17327756478680678</v>
      </c>
      <c r="L66" s="860">
        <f t="shared" ca="1" si="86"/>
        <v>0.19858151309598848</v>
      </c>
      <c r="M66" s="860">
        <f t="shared" ca="1" si="86"/>
        <v>0.15010090587780023</v>
      </c>
      <c r="N66" s="859">
        <f t="shared" ca="1" si="86"/>
        <v>0.19392623604640624</v>
      </c>
      <c r="O66" s="860">
        <f t="shared" ca="1" si="86"/>
        <v>0.16959618668881005</v>
      </c>
      <c r="P66" s="860">
        <f t="shared" ca="1" si="86"/>
        <v>0.14455034463528404</v>
      </c>
      <c r="Q66" s="860">
        <f t="shared" ca="1" si="86"/>
        <v>1.6830378055694428E-3</v>
      </c>
      <c r="R66" s="860">
        <f t="shared" ca="1" si="86"/>
        <v>5.9120985474129473E-2</v>
      </c>
      <c r="S66" s="859">
        <f t="shared" ca="1" si="86"/>
        <v>8.6061693880462364E-2</v>
      </c>
      <c r="T66" s="860">
        <f t="shared" ca="1" si="86"/>
        <v>-7.1653414253841974E-2</v>
      </c>
      <c r="U66" s="860">
        <f t="shared" ca="1" si="86"/>
        <v>-0.6989779318869469</v>
      </c>
      <c r="V66" s="860">
        <f t="shared" ca="1" si="86"/>
        <v>-0.16621926852323565</v>
      </c>
      <c r="W66" s="860">
        <f t="shared" ca="1" si="86"/>
        <v>-0.18626366927033633</v>
      </c>
      <c r="X66" s="859">
        <f t="shared" ca="1" si="86"/>
        <v>-0.28245096851764073</v>
      </c>
      <c r="Y66" s="860">
        <f t="shared" ca="1" si="86"/>
        <v>-0.16264918089509928</v>
      </c>
      <c r="Z66" s="860">
        <f t="shared" ca="1" si="86"/>
        <v>1.3009892055282726</v>
      </c>
      <c r="AA66" s="860">
        <f t="shared" ca="1" si="86"/>
        <v>-0.20197138435849604</v>
      </c>
      <c r="AB66" s="860">
        <f t="shared" ca="1" si="86"/>
        <v>4.3685555004582266E-3</v>
      </c>
      <c r="AC66" s="859">
        <f t="shared" ca="1" si="86"/>
        <v>3.0957180743879986E-2</v>
      </c>
      <c r="AD66" s="860">
        <f t="shared" ca="1" si="86"/>
        <v>-3.7953457481676445E-4</v>
      </c>
      <c r="AE66" s="860">
        <f t="shared" ca="1" si="86"/>
        <v>0.31703965206806139</v>
      </c>
      <c r="AF66" s="860">
        <f t="shared" ca="1" si="86"/>
        <v>0.88695108244316101</v>
      </c>
      <c r="AG66" s="860">
        <f t="shared" ca="1" si="86"/>
        <v>0.36106185162220128</v>
      </c>
      <c r="AH66" s="859">
        <f t="shared" ca="1" si="86"/>
        <v>0.38582871395432217</v>
      </c>
      <c r="AI66" s="860">
        <f t="shared" ca="1" si="86"/>
        <v>0.47970400248882772</v>
      </c>
      <c r="AJ66" s="860">
        <f t="shared" ca="1" si="86"/>
        <v>0.25764148116401175</v>
      </c>
      <c r="AK66" s="860">
        <f t="shared" ca="1" si="86"/>
        <v>4.5725006377616673E-2</v>
      </c>
      <c r="AL66" s="860">
        <f t="shared" ca="1" si="86"/>
        <v>0.11981222066352926</v>
      </c>
      <c r="AM66" s="859">
        <f t="shared" ca="1" si="86"/>
        <v>0.18728603937128785</v>
      </c>
      <c r="AN66" s="860">
        <f t="shared" ca="1" si="86"/>
        <v>0.16936829408236198</v>
      </c>
      <c r="AO66" s="860">
        <f t="shared" ca="1" si="86"/>
        <v>0.27818802624409367</v>
      </c>
      <c r="AP66" s="860">
        <f t="shared" ca="1" si="86"/>
        <v>0.44654084592117171</v>
      </c>
      <c r="AQ66" s="860">
        <f t="shared" ca="1" si="86"/>
        <v>0.39400319790406124</v>
      </c>
      <c r="AR66" s="859">
        <f t="shared" ca="1" si="86"/>
        <v>0.33464162922571261</v>
      </c>
      <c r="AS66" s="860">
        <f t="shared" ca="1" si="86"/>
        <v>0.13176473605060757</v>
      </c>
      <c r="AT66" s="860">
        <f t="shared" ref="AT66:AY66" ca="1" si="87">AT65/AO65-1</f>
        <v>0.17436801840920402</v>
      </c>
      <c r="AU66" s="860">
        <f t="shared" ca="1" si="87"/>
        <v>6.9775179410980881E-2</v>
      </c>
      <c r="AV66" s="860">
        <f t="shared" ca="1" si="87"/>
        <v>-4.1117349988287755E-3</v>
      </c>
      <c r="AW66" s="859">
        <f t="shared" ca="1" si="87"/>
        <v>8.1943703351210262E-2</v>
      </c>
      <c r="AX66" s="860">
        <f t="shared" ca="1" si="87"/>
        <v>0.22406059984146998</v>
      </c>
      <c r="AY66" s="860">
        <f t="shared" ca="1" si="87"/>
        <v>0.39431901879105991</v>
      </c>
      <c r="AZ66" s="851"/>
      <c r="BA66" s="851"/>
      <c r="BB66" s="851"/>
      <c r="BC66" s="851"/>
      <c r="BD66" s="851"/>
      <c r="BE66" s="851"/>
      <c r="BF66" s="851"/>
      <c r="BG66" s="851"/>
      <c r="BH66" s="851"/>
      <c r="BK66" s="851"/>
      <c r="BL66" s="851"/>
      <c r="BM66" s="851"/>
      <c r="BN66" s="851"/>
      <c r="BO66" s="851"/>
      <c r="BP66" s="851"/>
      <c r="BQ66" s="851"/>
      <c r="BR66" s="851"/>
      <c r="BS66" s="851"/>
      <c r="BT66" s="851"/>
      <c r="BU66" s="851"/>
      <c r="BV66" s="851"/>
      <c r="BW66" s="851"/>
      <c r="BX66" s="851"/>
      <c r="BY66" s="851"/>
      <c r="BZ66" s="851"/>
      <c r="CA66" s="851"/>
      <c r="CB66" s="851"/>
      <c r="CC66" s="851"/>
      <c r="CD66" s="851"/>
      <c r="CE66" s="851"/>
      <c r="CF66" s="851"/>
      <c r="CG66" s="851"/>
      <c r="CH66" s="851"/>
      <c r="CI66" s="851"/>
      <c r="CJ66" s="851"/>
    </row>
    <row r="67" spans="1:88" ht="13.5" customHeight="1" x14ac:dyDescent="0.2">
      <c r="A67" s="516" t="s">
        <v>66</v>
      </c>
      <c r="B67" s="516" t="s">
        <v>691</v>
      </c>
      <c r="C67" s="24"/>
      <c r="D67" s="866" t="str">
        <f>IF([1]RENAME!$H$3=1,B67,A67)</f>
        <v>Receita bruta</v>
      </c>
      <c r="E67" s="865">
        <f ca="1">E65</f>
        <v>214422.15101999999</v>
      </c>
      <c r="F67" s="865">
        <f ca="1">F65</f>
        <v>268717.10787999997</v>
      </c>
      <c r="G67" s="865">
        <f ca="1">G65</f>
        <v>305185.31597000005</v>
      </c>
      <c r="H67" s="865">
        <f ca="1">H65</f>
        <v>340565.25495999999</v>
      </c>
      <c r="I67" s="864">
        <f ca="1">SUM(E67:H67)</f>
        <v>1128889.8298299999</v>
      </c>
      <c r="J67" s="865">
        <f t="shared" ref="J67:R67" ca="1" si="88">J65</f>
        <v>275057.54545999999</v>
      </c>
      <c r="K67" s="865">
        <f t="shared" ca="1" si="88"/>
        <v>315279.75394999998</v>
      </c>
      <c r="L67" s="865">
        <f t="shared" ca="1" si="88"/>
        <v>365789.47778999998</v>
      </c>
      <c r="M67" s="865">
        <f t="shared" ca="1" si="88"/>
        <v>391684.40824000002</v>
      </c>
      <c r="N67" s="864">
        <f t="shared" ca="1" si="88"/>
        <v>1347811.1854399999</v>
      </c>
      <c r="O67" s="865">
        <f t="shared" ca="1" si="88"/>
        <v>321706.25628999999</v>
      </c>
      <c r="P67" s="865">
        <f t="shared" ca="1" si="88"/>
        <v>360853.55104000005</v>
      </c>
      <c r="Q67" s="865">
        <f t="shared" ca="1" si="88"/>
        <v>366405.11531000002</v>
      </c>
      <c r="R67" s="865">
        <f t="shared" ca="1" si="88"/>
        <v>414841.17645000003</v>
      </c>
      <c r="S67" s="864">
        <f ca="1">+SUM(O67:R67)</f>
        <v>1463806.0990900001</v>
      </c>
      <c r="T67" s="865">
        <f ca="1">T65</f>
        <v>298654.90463999996</v>
      </c>
      <c r="U67" s="865">
        <f ca="1">U65</f>
        <v>108624.88222</v>
      </c>
      <c r="V67" s="865">
        <f ca="1">V65</f>
        <v>305501.52506000001</v>
      </c>
      <c r="W67" s="865">
        <f ca="1">W65</f>
        <v>337571.33675999998</v>
      </c>
      <c r="X67" s="864">
        <f ca="1">+SUM(T67:W67)</f>
        <v>1050352.6486800001</v>
      </c>
      <c r="Y67" s="865">
        <f ca="1">Y65</f>
        <v>250078.92903</v>
      </c>
      <c r="Z67" s="865">
        <f ca="1">Z65</f>
        <v>249944.68143999999</v>
      </c>
      <c r="AA67" s="865">
        <f ca="1">AA65</f>
        <v>243798.95912000004</v>
      </c>
      <c r="AB67" s="865">
        <f ca="1">AB65</f>
        <v>339046.03587999992</v>
      </c>
      <c r="AC67" s="864">
        <f ca="1">+SUM(Y67:AB67)</f>
        <v>1082868.6054699998</v>
      </c>
      <c r="AD67" s="865">
        <f ca="1">AD65</f>
        <v>249984.01542999997</v>
      </c>
      <c r="AE67" s="865">
        <f ca="1">AE65</f>
        <v>329187.05628000002</v>
      </c>
      <c r="AF67" s="865">
        <f ca="1">AF65</f>
        <v>460036.70981000003</v>
      </c>
      <c r="AG67" s="865">
        <f ca="1">AG65</f>
        <v>461462.62537999998</v>
      </c>
      <c r="AH67" s="864">
        <f ca="1">+SUM(AD67:AG67)</f>
        <v>1500670.4069000001</v>
      </c>
      <c r="AI67" s="865">
        <f ca="1">AI65</f>
        <v>369902.34818999982</v>
      </c>
      <c r="AJ67" s="865">
        <f ca="1">AJ65</f>
        <v>413999.29704000009</v>
      </c>
      <c r="AK67" s="865">
        <f ca="1">AK65</f>
        <v>481071.89130000008</v>
      </c>
      <c r="AL67" s="865">
        <f ca="1">AL65</f>
        <v>516751.48728000012</v>
      </c>
      <c r="AM67" s="864">
        <f ca="1">+SUM(AI67:AL67)</f>
        <v>1781725.0238100002</v>
      </c>
      <c r="AN67" s="865">
        <f ca="1">AN65</f>
        <v>432552.07787999994</v>
      </c>
      <c r="AO67" s="865">
        <f ca="1">AO65</f>
        <v>529168.94435000001</v>
      </c>
      <c r="AP67" s="865">
        <f ca="1">AP65</f>
        <v>695890.14059000008</v>
      </c>
      <c r="AQ67" s="865">
        <f ca="1">AQ65</f>
        <v>720353.22578999994</v>
      </c>
      <c r="AR67" s="864">
        <f ca="1">+SUM(AN67:AQ67)</f>
        <v>2377964.3886100003</v>
      </c>
      <c r="AS67" s="865">
        <f ca="1">AS65</f>
        <v>489547.18824999995</v>
      </c>
      <c r="AT67" s="865">
        <f ca="1">AT65</f>
        <v>621439.08457999991</v>
      </c>
      <c r="AU67" s="865">
        <f ca="1">AU65</f>
        <v>744446</v>
      </c>
      <c r="AV67" s="865">
        <f ca="1">AV65</f>
        <v>717391.32421999995</v>
      </c>
      <c r="AW67" s="864">
        <f ca="1">+SUM(AS67:AV67)</f>
        <v>2572823.59705</v>
      </c>
      <c r="AX67" s="865">
        <f ca="1">AX65</f>
        <v>599235.42489999998</v>
      </c>
      <c r="AY67" s="865">
        <f ca="1">AY65</f>
        <v>866484.33464999998</v>
      </c>
      <c r="BN67" s="266"/>
      <c r="BO67" s="266"/>
      <c r="BP67" s="266"/>
      <c r="BQ67" s="266"/>
      <c r="BR67" s="266"/>
      <c r="BS67" s="266"/>
      <c r="BT67" s="266"/>
      <c r="BU67" s="266"/>
      <c r="BV67" s="266"/>
      <c r="BW67" s="266"/>
      <c r="BX67" s="266"/>
      <c r="BY67" s="266"/>
      <c r="BZ67" s="266"/>
      <c r="CA67" s="266"/>
      <c r="CB67" s="266"/>
      <c r="CC67" s="266"/>
      <c r="CD67" s="266"/>
      <c r="CE67" s="266"/>
      <c r="CF67" s="266"/>
      <c r="CG67" s="266"/>
      <c r="CH67" s="266"/>
      <c r="CI67" s="266"/>
      <c r="CJ67" s="266"/>
    </row>
    <row r="68" spans="1:88" ht="13.5" customHeight="1" x14ac:dyDescent="0.2">
      <c r="A68" s="516" t="s">
        <v>1881</v>
      </c>
      <c r="B68" s="516" t="s">
        <v>1892</v>
      </c>
      <c r="C68" s="899"/>
      <c r="D68" s="858" t="str">
        <f>IF([1]RENAME!$H$3=1,B68,A68)</f>
        <v>Deduções da receita bruta (ajustado eventos ñ recorr)</v>
      </c>
      <c r="E68" s="857">
        <f ca="1">+SUMIFS(INDIRECT(CONCATENATE("'",$AZ68,$BA68,":",$BB68)),INDIRECT(CONCATENATE("'",$AZ68,$BA$35,":",$BB$35)),E$35)-E67</f>
        <v>-41103.315629999997</v>
      </c>
      <c r="F68" s="857">
        <f ca="1">+SUMIFS(INDIRECT(CONCATENATE("'",$AZ68,$BA68,":",$BB68)),INDIRECT(CONCATENATE("'",$AZ68,$BA$35,":",$BB$35)),F$35)-F67</f>
        <v>-52946.743019999965</v>
      </c>
      <c r="G68" s="857">
        <f ca="1">+SUMIFS(INDIRECT(CONCATENATE("'",$AZ68,$BA68,":",$BB68)),INDIRECT(CONCATENATE("'",$AZ68,$BA$35,":",$BB$35)),G$35)-G67</f>
        <v>-61019.876960000052</v>
      </c>
      <c r="H68" s="857">
        <f ca="1">+SUMIFS(INDIRECT(CONCATENATE("'",$AZ68,$BA68,":",$BB68)),INDIRECT(CONCATENATE("'",$AZ68,$BA$35,":",$BB$35)),H$35)-H67</f>
        <v>-65737.152109999966</v>
      </c>
      <c r="I68" s="647">
        <f ca="1">SUM(E68:H68)</f>
        <v>-220807.08771999998</v>
      </c>
      <c r="J68" s="857">
        <f ca="1">+SUMIFS(INDIRECT(CONCATENATE("'",$AZ68,$BA68,":",$BB68)),INDIRECT(CONCATENATE("'",$AZ68,$BA$35,":",$BB$35)),J$35)-J67</f>
        <v>-52596.962559999985</v>
      </c>
      <c r="K68" s="857">
        <f ca="1">+SUMIFS(INDIRECT(CONCATENATE("'",$AZ68,$BA68,":",$BB68)),INDIRECT(CONCATENATE("'",$AZ68,$BA$35,":",$BB$35)),K$35)-K67</f>
        <v>-59289.149159999972</v>
      </c>
      <c r="L68" s="857">
        <f ca="1">+SUMIFS(INDIRECT(CONCATENATE("'",$AZ68,$BA68,":",$BB68)),INDIRECT(CONCATENATE("'",$AZ68,$BA$35,":",$BB$35)),L$35)-L67</f>
        <v>-69708.742150000005</v>
      </c>
      <c r="M68" s="901">
        <f ca="1">+SUMIFS(INDIRECT(CONCATENATE("'",$AZ68,$BA68,":",$BB68)),INDIRECT(CONCATENATE("'",$AZ68,$BA$35,":",$BB$35)),M$35)-M67-4105.6676015285</f>
        <v>-69515.308851528491</v>
      </c>
      <c r="N68" s="916">
        <f ca="1">SUM(J68:M68)</f>
        <v>-251110.16272152844</v>
      </c>
      <c r="O68" s="857">
        <f ca="1">+SUMIFS(INDIRECT(CONCATENATE("'",$AZ68,$BA68,":",$BB68)),INDIRECT(CONCATENATE("'",$AZ68,$BA$35,":",$BB$35)),O$35)-O67</f>
        <v>-62799.635449999972</v>
      </c>
      <c r="P68" s="857">
        <f ca="1">+SUMIFS(INDIRECT(CONCATENATE("'",$AZ68,$BA68,":",$BB68)),INDIRECT(CONCATENATE("'",$AZ68,$BA$35,":",$BB$35)),P$35)-P67</f>
        <v>-66748.686060000036</v>
      </c>
      <c r="Q68" s="857">
        <f ca="1">+SUMIFS(INDIRECT(CONCATENATE("'",$AZ68,$BA68,":",$BB68)),INDIRECT(CONCATENATE("'",$AZ68,$BA$35,":",$BB$35)),Q$35)-Q67</f>
        <v>-66613.590469999996</v>
      </c>
      <c r="R68" s="857">
        <f ca="1">+SUMIFS(INDIRECT(CONCATENATE("'",$AZ68,$BA68,":",$BB68)),INDIRECT(CONCATENATE("'",$AZ68,$BA$35,":",$BB$35)),R$35)-R67</f>
        <v>-77497.233100000012</v>
      </c>
      <c r="S68" s="647">
        <f ca="1">SUM(O68:R68)</f>
        <v>-273659.14508000005</v>
      </c>
      <c r="T68" s="857">
        <f ca="1">+SUMIFS(INDIRECT(CONCATENATE("'",$AZ68,$BA68,":",$BB68)),INDIRECT(CONCATENATE("'",$AZ68,$BA$35,":",$BB$35)),T$35)-T67</f>
        <v>-57894.401809999952</v>
      </c>
      <c r="U68" s="857">
        <f ca="1">+SUMIFS(INDIRECT(CONCATENATE("'",$AZ68,$BA68,":",$BB68)),INDIRECT(CONCATENATE("'",$AZ68,$BA$35,":",$BB$35)),U$35)-U67</f>
        <v>-21747.188200000004</v>
      </c>
      <c r="V68" s="857">
        <f ca="1">+SUMIFS(INDIRECT(CONCATENATE("'",$AZ68,$BA68,":",$BB68)),INDIRECT(CONCATENATE("'",$AZ68,$BA$35,":",$BB$35)),V$35)-V67</f>
        <v>-60044.146310000011</v>
      </c>
      <c r="W68" s="857">
        <f ca="1">+SUMIFS(INDIRECT(CONCATENATE("'",$AZ68,$BA68,":",$BB68)),INDIRECT(CONCATENATE("'",$AZ68,$BA$35,":",$BB$35)),W$35)-W67</f>
        <v>-65009.129129999958</v>
      </c>
      <c r="X68" s="647">
        <f ca="1">SUM(T68:W68)</f>
        <v>-204694.86544999992</v>
      </c>
      <c r="Y68" s="857">
        <f ca="1">+SUMIFS(INDIRECT(CONCATENATE("'",$AZ68,$BA68,":",$BB68)),INDIRECT(CONCATENATE("'",$AZ68,$BA$35,":",$BB$35)),Y$35)-Y67</f>
        <v>-49254.193539999978</v>
      </c>
      <c r="Z68" s="857">
        <f ca="1">+SUMIFS(INDIRECT(CONCATENATE("'",$AZ68,$BA68,":",$BB68)),INDIRECT(CONCATENATE("'",$AZ68,$BA$35,":",$BB$35)),Z$35)-Z67</f>
        <v>-49517.74914</v>
      </c>
      <c r="AA68" s="857">
        <f ca="1">+SUMIFS(INDIRECT(CONCATENATE("'",$AZ68,$BA68,":",$BB68)),INDIRECT(CONCATENATE("'",$AZ68,$BA$35,":",$BB$35)),AA$35)-AA67</f>
        <v>-49478.775010000012</v>
      </c>
      <c r="AB68" s="857">
        <f ca="1">+SUMIFS(INDIRECT(CONCATENATE("'",$AZ68,$BA68,":",$BB68)),INDIRECT(CONCATENATE("'",$AZ68,$BA$35,":",$BB$35)),AB$35)-AB67</f>
        <v>-67104.971710000013</v>
      </c>
      <c r="AC68" s="647">
        <f ca="1">SUM(Y68:AB68)</f>
        <v>-215355.6894</v>
      </c>
      <c r="AD68" s="857">
        <f ca="1">+SUMIFS(INDIRECT(CONCATENATE("'",$AZ68,$BA68,":",$BB68)),INDIRECT(CONCATENATE("'",$AZ68,$BA$35,":",$BB$35)),AD$35)-AD67</f>
        <v>-48189.471709999983</v>
      </c>
      <c r="AE68" s="857">
        <f ca="1">+SUMIFS(INDIRECT(CONCATENATE("'",$AZ68,$BA68,":",$BB68)),INDIRECT(CONCATENATE("'",$AZ68,$BA$35,":",$BB$35)),AE$35)-AE67</f>
        <v>-63085.022420000052</v>
      </c>
      <c r="AF68" s="857">
        <f ca="1">+SUMIFS(INDIRECT(CONCATENATE("'",$AZ68,$BA68,":",$BB68)),INDIRECT(CONCATENATE("'",$AZ68,$BA$35,":",$BB$35)),AF$35)-AF67</f>
        <v>-86906.629780000017</v>
      </c>
      <c r="AG68" s="857">
        <f ca="1">+SUMIFS(INDIRECT(CONCATENATE("'",$AZ68,$BA68,":",$BB68)),INDIRECT(CONCATENATE("'",$AZ68,$BA$35,":",$BB$35)),AG$35)-AG67</f>
        <v>-89050.690640000044</v>
      </c>
      <c r="AH68" s="647">
        <f ca="1">SUM(AD68:AG68)</f>
        <v>-287231.81455000013</v>
      </c>
      <c r="AI68" s="857">
        <f ca="1">+SUMIFS(INDIRECT(CONCATENATE("'",$AZ68,$BA68,":",$BB68)),INDIRECT(CONCATENATE("'",$AZ68,$BA$35,":",$BB$35)),AI$35)-AI67</f>
        <v>-72862.59156000003</v>
      </c>
      <c r="AJ68" s="901">
        <f ca="1">+SUMIFS(INDIRECT(CONCATENATE("'",$AZ68,$BA68,":",$BB68)),INDIRECT(CONCATENATE("'",$AZ68,$BA$35,":",$BB$35)),AJ$35)-AJ67</f>
        <v>-83095.65155000001</v>
      </c>
      <c r="AK68" s="857">
        <f ca="1">+SUMIFS(INDIRECT(CONCATENATE("'",$AZ68,$BA68,":",$BB68)),INDIRECT(CONCATENATE("'",$AZ68,$BA$35,":",$BB$35)),AK$35)-AK67</f>
        <v>-95247.513340000005</v>
      </c>
      <c r="AL68" s="901">
        <f ca="1">+SUMIFS(INDIRECT(CONCATENATE("'",$AZ68,$BA68,":",$BB68)),INDIRECT(CONCATENATE("'",$AZ68,$BA$35,":",$BB$35)),AL$35)-AL67</f>
        <v>-103380.24767999997</v>
      </c>
      <c r="AM68" s="916">
        <f ca="1">SUM(AI68:AL68)</f>
        <v>-354586.00413000002</v>
      </c>
      <c r="AN68" s="857">
        <f ca="1">+SUMIFS(INDIRECT(CONCATENATE("'",$AZ68,$BA68,":",$BB68)),INDIRECT(CONCATENATE("'",$AZ68,$BA$35,":",$BB$35)),AN$35)-AN67</f>
        <v>-85040.23550000001</v>
      </c>
      <c r="AO68" s="857">
        <f ca="1">+SUMIFS(INDIRECT(CONCATENATE("'",$AZ68,$BA68,":",$BB68)),INDIRECT(CONCATENATE("'",$AZ68,$BA$35,":",$BB$35)),AO$35)-AO67</f>
        <v>-101889.77088999999</v>
      </c>
      <c r="AP68" s="857">
        <f ca="1">+SUMIFS(INDIRECT(CONCATENATE("'",$AZ68,$BA68,":",$BB68)),INDIRECT(CONCATENATE("'",$AZ68,$BA$35,":",$BB$35)),AP$35)-AP67</f>
        <v>-133957.97138</v>
      </c>
      <c r="AQ68" s="857">
        <f ca="1">+SUMIFS(INDIRECT(CONCATENATE("'",$AZ68,$BA68,":",$BB68)),INDIRECT(CONCATENATE("'",$AZ68,$BA$35,":",$BB$35)),AQ$35)-AQ67</f>
        <v>-137016.65207999991</v>
      </c>
      <c r="AR68" s="647">
        <f ca="1">SUM(AN68:AQ68)</f>
        <v>-457904.62984999991</v>
      </c>
      <c r="AS68" s="857">
        <f ca="1">+SUMIFS(INDIRECT(CONCATENATE("'",$AZ68,$BA68,":",$BB68)),INDIRECT(CONCATENATE("'",$AZ68,$BA$35,":",$BB$35)),AS$35)-AS67</f>
        <v>-95011.771950000024</v>
      </c>
      <c r="AT68" s="857">
        <f ca="1">+SUMIFS(INDIRECT(CONCATENATE("'",$AZ68,$BA68,":",$BB68)),INDIRECT(CONCATENATE("'",$AZ68,$BA$35,":",$BB$35)),AT$35)-AT67</f>
        <v>-125532.80690999998</v>
      </c>
      <c r="AU68" s="857">
        <f ca="1">+SUMIFS(INDIRECT(CONCATENATE("'",$AZ68,$BA68,":",$BB68)),INDIRECT(CONCATENATE("'",$AZ68,$BA$35,":",$BB$35)),AU$35)-AU67</f>
        <v>-144587</v>
      </c>
      <c r="AV68" s="857">
        <f ca="1">+SUMIFS(INDIRECT(CONCATENATE("'",$AZ68,$BA68,":",$BB68)),INDIRECT(CONCATENATE("'",$AZ68,$BA$35,":",$BB$35)),AV$35)-AV67</f>
        <v>-145533.56065999996</v>
      </c>
      <c r="AW68" s="647">
        <f ca="1">SUM(AS68:AV68)</f>
        <v>-510665.13951999997</v>
      </c>
      <c r="AX68" s="857">
        <f ca="1">+SUMIFS(INDIRECT(CONCATENATE("'",$AZ68,$BA68,":",$BB68)),INDIRECT(CONCATENATE("'",$AZ68,$BA$35,":",$BB$35)),AX$35)-AX67</f>
        <v>-119134.43192</v>
      </c>
      <c r="AY68" s="857">
        <f ca="1">+SUMIFS(INDIRECT(CONCATENATE("'",$AZ68,$BA68,":",$BB68)),INDIRECT(CONCATENATE("'",$AZ68,$BA$35,":",$BB$35)),AY$35)-AY67</f>
        <v>-173596.34143999999</v>
      </c>
      <c r="AZ68" s="266" t="str">
        <f>IF([1]RENAME!$H$3=0,BD68,BC68)</f>
        <v>Auto'!</v>
      </c>
      <c r="BA68" s="266" t="str">
        <f>"$"&amp;ROW(Auto!$D$11)</f>
        <v>$11</v>
      </c>
      <c r="BB68" s="266" t="str">
        <f>"$"&amp;ROW(Auto!$D$11)</f>
        <v>$11</v>
      </c>
      <c r="BC68" s="266" t="s">
        <v>1746</v>
      </c>
      <c r="BD68" s="266" t="s">
        <v>1745</v>
      </c>
      <c r="BN68" s="266"/>
      <c r="BO68" s="266"/>
      <c r="BP68" s="266"/>
      <c r="BQ68" s="266"/>
      <c r="BR68" s="266"/>
      <c r="BS68" s="266"/>
      <c r="BT68" s="266"/>
      <c r="BU68" s="266"/>
      <c r="BV68" s="266"/>
      <c r="BW68" s="266"/>
      <c r="BX68" s="266"/>
      <c r="BY68" s="266"/>
      <c r="BZ68" s="266"/>
      <c r="CA68" s="266"/>
      <c r="CB68" s="266"/>
      <c r="CC68" s="266"/>
      <c r="CD68" s="266"/>
      <c r="CE68" s="266"/>
      <c r="CF68" s="266"/>
      <c r="CG68" s="266"/>
      <c r="CH68" s="266"/>
      <c r="CI68" s="266"/>
      <c r="CJ68" s="266"/>
    </row>
    <row r="69" spans="1:88" s="850" customFormat="1" ht="13.5" customHeight="1" x14ac:dyDescent="0.2">
      <c r="A69" s="516" t="s">
        <v>1883</v>
      </c>
      <c r="B69" s="516" t="s">
        <v>1891</v>
      </c>
      <c r="C69" s="855"/>
      <c r="D69" s="861" t="str">
        <f>IF([1]RENAME!$H$3=1,B69,A69)</f>
        <v>% Receita bruta  (ajustado eventos ñ recorr)</v>
      </c>
      <c r="E69" s="875">
        <f t="shared" ref="E69:U69" ca="1" si="89">+E68/E67</f>
        <v>-0.19169342082649909</v>
      </c>
      <c r="F69" s="875">
        <f t="shared" ca="1" si="89"/>
        <v>-0.19703525182194281</v>
      </c>
      <c r="G69" s="875">
        <f t="shared" ca="1" si="89"/>
        <v>-0.19994368590787098</v>
      </c>
      <c r="H69" s="875">
        <f t="shared" ca="1" si="89"/>
        <v>-0.19302366037815841</v>
      </c>
      <c r="I69" s="900">
        <f t="shared" ca="1" si="89"/>
        <v>-0.19559666664128902</v>
      </c>
      <c r="J69" s="875">
        <f t="shared" ca="1" si="89"/>
        <v>-0.19122166771334348</v>
      </c>
      <c r="K69" s="875">
        <f t="shared" ca="1" si="89"/>
        <v>-0.18805251024587707</v>
      </c>
      <c r="L69" s="875">
        <f t="shared" ca="1" si="89"/>
        <v>-0.19057065985375296</v>
      </c>
      <c r="M69" s="875">
        <f t="shared" ca="1" si="89"/>
        <v>-0.17747785561311852</v>
      </c>
      <c r="N69" s="862">
        <f t="shared" ca="1" si="89"/>
        <v>-0.18630959991592014</v>
      </c>
      <c r="O69" s="875">
        <f t="shared" ca="1" si="89"/>
        <v>-0.19520800177845984</v>
      </c>
      <c r="P69" s="875">
        <f t="shared" ca="1" si="89"/>
        <v>-0.18497444702324975</v>
      </c>
      <c r="Q69" s="875">
        <f t="shared" ca="1" si="89"/>
        <v>-0.18180311269301203</v>
      </c>
      <c r="R69" s="875">
        <f t="shared" ca="1" si="89"/>
        <v>-0.18681181497743776</v>
      </c>
      <c r="S69" s="862">
        <f t="shared" ca="1" si="89"/>
        <v>-0.18695040637562918</v>
      </c>
      <c r="T69" s="863">
        <f t="shared" ca="1" si="89"/>
        <v>-0.19385049738187338</v>
      </c>
      <c r="U69" s="863">
        <f t="shared" ca="1" si="89"/>
        <v>-0.2002044812896093</v>
      </c>
      <c r="V69" s="863">
        <f t="shared" ref="V69:AA69" ca="1" si="90">+V68/V67</f>
        <v>-0.19654286929732162</v>
      </c>
      <c r="W69" s="863">
        <f t="shared" ca="1" si="90"/>
        <v>-0.19257893680771512</v>
      </c>
      <c r="X69" s="862">
        <f t="shared" ca="1" si="90"/>
        <v>-0.19488203862506959</v>
      </c>
      <c r="Y69" s="863">
        <f t="shared" ca="1" si="90"/>
        <v>-0.19695459242026481</v>
      </c>
      <c r="Z69" s="863">
        <f t="shared" ca="1" si="90"/>
        <v>-0.1981148342693857</v>
      </c>
      <c r="AA69" s="863">
        <f t="shared" ca="1" si="90"/>
        <v>-0.20294908226267738</v>
      </c>
      <c r="AB69" s="863">
        <f t="shared" ref="AB69:AH69" ca="1" si="91">+AB68/AB67</f>
        <v>-0.19792289131423668</v>
      </c>
      <c r="AC69" s="862">
        <f t="shared" ca="1" si="91"/>
        <v>-0.19887518052712286</v>
      </c>
      <c r="AD69" s="863">
        <f t="shared" ca="1" si="91"/>
        <v>-0.19277021223580554</v>
      </c>
      <c r="AE69" s="863">
        <f t="shared" ca="1" si="91"/>
        <v>-0.19163883031397558</v>
      </c>
      <c r="AF69" s="863">
        <f t="shared" ca="1" si="91"/>
        <v>-0.18891238009221778</v>
      </c>
      <c r="AG69" s="863">
        <f t="shared" ca="1" si="91"/>
        <v>-0.1929748710779548</v>
      </c>
      <c r="AH69" s="862">
        <f t="shared" ca="1" si="91"/>
        <v>-0.19140233140423377</v>
      </c>
      <c r="AI69" s="863">
        <f t="shared" ref="AI69:AO69" ca="1" si="92">+AI68/AI67</f>
        <v>-0.19697791029586614</v>
      </c>
      <c r="AJ69" s="863">
        <f t="shared" ca="1" si="92"/>
        <v>-0.20071447498610465</v>
      </c>
      <c r="AK69" s="863">
        <f t="shared" ca="1" si="92"/>
        <v>-0.19799018621232006</v>
      </c>
      <c r="AL69" s="863">
        <f t="shared" ca="1" si="92"/>
        <v>-0.20005795866047255</v>
      </c>
      <c r="AM69" s="862">
        <f t="shared" ca="1" si="92"/>
        <v>-0.19901275415201913</v>
      </c>
      <c r="AN69" s="863">
        <f t="shared" ca="1" si="92"/>
        <v>-0.19660114896868477</v>
      </c>
      <c r="AO69" s="863">
        <f t="shared" ca="1" si="92"/>
        <v>-0.19254676975640622</v>
      </c>
      <c r="AP69" s="863">
        <f t="shared" ref="AP69:AX69" ca="1" si="93">+AP68/AP67</f>
        <v>-0.19249873445027649</v>
      </c>
      <c r="AQ69" s="863">
        <f t="shared" ca="1" si="93"/>
        <v>-0.19020759146283536</v>
      </c>
      <c r="AR69" s="862">
        <f t="shared" ca="1" si="93"/>
        <v>-0.19256160102450504</v>
      </c>
      <c r="AS69" s="863">
        <f t="shared" ca="1" si="93"/>
        <v>-0.19408092668173962</v>
      </c>
      <c r="AT69" s="863">
        <f t="shared" ca="1" si="93"/>
        <v>-0.20200339828133185</v>
      </c>
      <c r="AU69" s="863">
        <f t="shared" ca="1" si="93"/>
        <v>-0.19422093744878743</v>
      </c>
      <c r="AV69" s="863">
        <f t="shared" ca="1" si="93"/>
        <v>-0.2028649577247601</v>
      </c>
      <c r="AW69" s="862">
        <f t="shared" ca="1" si="93"/>
        <v>-0.19848431898149904</v>
      </c>
      <c r="AX69" s="863">
        <f t="shared" ca="1" si="93"/>
        <v>-0.19881072942221512</v>
      </c>
      <c r="AY69" s="863">
        <f ca="1">+AY68/AY67</f>
        <v>-0.20034562022419131</v>
      </c>
      <c r="AZ69" s="851"/>
      <c r="BA69" s="851"/>
      <c r="BB69" s="851"/>
      <c r="BC69" s="851"/>
      <c r="BD69" s="851"/>
      <c r="BE69" s="851"/>
      <c r="BF69" s="851"/>
      <c r="BG69" s="851"/>
      <c r="BH69" s="851"/>
      <c r="BK69" s="851"/>
      <c r="BL69" s="851"/>
      <c r="BM69" s="851"/>
      <c r="BN69" s="851"/>
      <c r="BO69" s="851"/>
      <c r="BP69" s="851"/>
      <c r="BQ69" s="851"/>
      <c r="BR69" s="851"/>
      <c r="BS69" s="851"/>
      <c r="BT69" s="851"/>
      <c r="BU69" s="851"/>
      <c r="BV69" s="851"/>
      <c r="BW69" s="851"/>
      <c r="BX69" s="851"/>
      <c r="BY69" s="851"/>
      <c r="BZ69" s="851"/>
      <c r="CA69" s="851"/>
      <c r="CB69" s="851"/>
      <c r="CC69" s="851"/>
      <c r="CD69" s="851"/>
      <c r="CE69" s="851"/>
      <c r="CF69" s="851"/>
      <c r="CG69" s="851"/>
      <c r="CH69" s="851"/>
      <c r="CI69" s="851"/>
      <c r="CJ69" s="851"/>
    </row>
    <row r="70" spans="1:88" ht="13.5" customHeight="1" x14ac:dyDescent="0.2">
      <c r="A70" s="516" t="s">
        <v>1882</v>
      </c>
      <c r="B70" s="516" t="s">
        <v>1890</v>
      </c>
      <c r="C70" s="24"/>
      <c r="D70" s="866" t="str">
        <f>IF([1]RENAME!$H$3=1,B70,A70)</f>
        <v>Receita líquida (ajustado eventos ñ recorr)</v>
      </c>
      <c r="E70" s="865">
        <f ca="1">+E67+E68</f>
        <v>173318.83538999999</v>
      </c>
      <c r="F70" s="865">
        <f ca="1">+F67+F68</f>
        <v>215770.36486</v>
      </c>
      <c r="G70" s="865">
        <f ca="1">+G67+G68</f>
        <v>244165.43901</v>
      </c>
      <c r="H70" s="865">
        <f ca="1">+H67+H68</f>
        <v>274828.10285000002</v>
      </c>
      <c r="I70" s="864">
        <f ca="1">SUM(E70:H70)</f>
        <v>908082.74210999999</v>
      </c>
      <c r="J70" s="865">
        <f ca="1">+J67+J68</f>
        <v>222460.58290000001</v>
      </c>
      <c r="K70" s="865">
        <f ca="1">+K67+K68</f>
        <v>255990.60479000001</v>
      </c>
      <c r="L70" s="865">
        <f ca="1">+L67+L68</f>
        <v>296080.73563999997</v>
      </c>
      <c r="M70" s="1004">
        <f ca="1">+M67+M68</f>
        <v>322169.09938847151</v>
      </c>
      <c r="N70" s="1005">
        <f ca="1">+SUM(J70:M70)</f>
        <v>1096701.0227184715</v>
      </c>
      <c r="O70" s="865">
        <f ca="1">+O67+O68</f>
        <v>258906.62084000002</v>
      </c>
      <c r="P70" s="865">
        <f ca="1">+P67+P68</f>
        <v>294104.86498000001</v>
      </c>
      <c r="Q70" s="865">
        <f ca="1">+Q67+Q68</f>
        <v>299791.52484000003</v>
      </c>
      <c r="R70" s="865">
        <f ca="1">+R67+R68</f>
        <v>337343.94335000002</v>
      </c>
      <c r="S70" s="864">
        <f ca="1">+SUM(O70:R70)</f>
        <v>1190146.9540100002</v>
      </c>
      <c r="T70" s="865">
        <f ca="1">+T67+T68</f>
        <v>240760.50283000001</v>
      </c>
      <c r="U70" s="865">
        <f ca="1">+U67+U68</f>
        <v>86877.694019999995</v>
      </c>
      <c r="V70" s="865">
        <f ca="1">+V67+V68</f>
        <v>245457.37875</v>
      </c>
      <c r="W70" s="865">
        <f ca="1">+W67+W68</f>
        <v>272562.20763000002</v>
      </c>
      <c r="X70" s="864">
        <f ca="1">+SUM(T70:W70)</f>
        <v>845657.78322999994</v>
      </c>
      <c r="Y70" s="865">
        <f ca="1">+Y67+Y68</f>
        <v>200824.73549000002</v>
      </c>
      <c r="Z70" s="865">
        <f ca="1">+Z67+Z68</f>
        <v>200426.93229999999</v>
      </c>
      <c r="AA70" s="865">
        <f ca="1">+AA67+AA68</f>
        <v>194320.18411000003</v>
      </c>
      <c r="AB70" s="865">
        <f ca="1">+AB67+AB68</f>
        <v>271941.06416999991</v>
      </c>
      <c r="AC70" s="864">
        <f ca="1">+SUM(Y70:AB70)</f>
        <v>867512.91606999992</v>
      </c>
      <c r="AD70" s="865">
        <f ca="1">+AD67+AD68</f>
        <v>201794.54371999999</v>
      </c>
      <c r="AE70" s="865">
        <f ca="1">+AE67+AE68</f>
        <v>266102.03385999997</v>
      </c>
      <c r="AF70" s="865">
        <f ca="1">+AF67+AF68</f>
        <v>373130.08003000001</v>
      </c>
      <c r="AG70" s="865">
        <f ca="1">+AG67+AG68</f>
        <v>372411.93473999994</v>
      </c>
      <c r="AH70" s="864">
        <f ca="1">+SUM(AD70:AG70)</f>
        <v>1213438.5923499998</v>
      </c>
      <c r="AI70" s="865">
        <f ca="1">+AI67+AI68</f>
        <v>297039.75662999979</v>
      </c>
      <c r="AJ70" s="865">
        <f ca="1">+AJ67+AJ68</f>
        <v>330903.64549000008</v>
      </c>
      <c r="AK70" s="865">
        <f ca="1">+AK67+AK68</f>
        <v>385824.37796000007</v>
      </c>
      <c r="AL70" s="865">
        <f ca="1">+AL67+AL68</f>
        <v>413371.23960000015</v>
      </c>
      <c r="AM70" s="864">
        <f ca="1">+SUM(AI70:AL70)</f>
        <v>1427139.0196800001</v>
      </c>
      <c r="AN70" s="865">
        <f ca="1">+AN67+AN68</f>
        <v>347511.84237999993</v>
      </c>
      <c r="AO70" s="865">
        <f ca="1">+AO67+AO68</f>
        <v>427279.17346000002</v>
      </c>
      <c r="AP70" s="865">
        <f ca="1">+AP67+AP68</f>
        <v>561932.16921000008</v>
      </c>
      <c r="AQ70" s="865">
        <f ca="1">+AQ67+AQ68</f>
        <v>583336.57371000003</v>
      </c>
      <c r="AR70" s="864">
        <f ca="1">+SUM(AN70:AQ70)</f>
        <v>1920059.7587600001</v>
      </c>
      <c r="AS70" s="865">
        <f ca="1">+AS67+AS68</f>
        <v>394535.41629999992</v>
      </c>
      <c r="AT70" s="865">
        <f ca="1">+AT67+AT68</f>
        <v>495906.27766999992</v>
      </c>
      <c r="AU70" s="865">
        <f ca="1">+AU67+AU68</f>
        <v>599859</v>
      </c>
      <c r="AV70" s="865">
        <f ca="1">+AV67+AV68</f>
        <v>571857.76355999999</v>
      </c>
      <c r="AW70" s="864">
        <f ca="1">+SUM(AS70:AV70)</f>
        <v>2062158.4575299998</v>
      </c>
      <c r="AX70" s="865">
        <f ca="1">+AX67+AX68</f>
        <v>480100.99297999998</v>
      </c>
      <c r="AY70" s="865">
        <f ca="1">+AY67+AY68</f>
        <v>692887.99320999999</v>
      </c>
      <c r="AZ70" s="929"/>
      <c r="BN70" s="266"/>
      <c r="BO70" s="266"/>
      <c r="BP70" s="266"/>
      <c r="BQ70" s="266"/>
      <c r="BR70" s="266"/>
      <c r="BS70" s="266"/>
      <c r="BT70" s="266"/>
      <c r="BU70" s="266"/>
      <c r="BV70" s="266"/>
      <c r="BW70" s="266"/>
      <c r="BX70" s="266"/>
      <c r="BY70" s="266"/>
      <c r="BZ70" s="266"/>
      <c r="CA70" s="266"/>
      <c r="CB70" s="266"/>
      <c r="CC70" s="266"/>
      <c r="CD70" s="266"/>
      <c r="CE70" s="266"/>
      <c r="CF70" s="266"/>
      <c r="CG70" s="266"/>
      <c r="CH70" s="266"/>
      <c r="CI70" s="266"/>
      <c r="CJ70" s="266"/>
    </row>
    <row r="71" spans="1:88" ht="13.5" customHeight="1" x14ac:dyDescent="0.2">
      <c r="A71" s="516" t="s">
        <v>1884</v>
      </c>
      <c r="B71" s="516" t="s">
        <v>1889</v>
      </c>
      <c r="C71" s="899"/>
      <c r="D71" s="858" t="str">
        <f>IF([1]RENAME!$H$3=1,B71,A71)</f>
        <v>Custo dos serviços prestados (sem deprec/amort e ajustado eventos ñ recorr)</v>
      </c>
      <c r="E71" s="857">
        <f ca="1">+SUMIFS(INDIRECT(CONCATENATE("'",$AZ71,$BA71,":",$BB71)),INDIRECT(CONCATENATE("'",$AZ71,$BA$35,":",$BB$35)),E$35)</f>
        <v>-141121.33221999998</v>
      </c>
      <c r="F71" s="857">
        <f ca="1">+SUMIFS(INDIRECT(CONCATENATE("'",$AZ71,$BA71,":",$BB71)),INDIRECT(CONCATENATE("'",$AZ71,$BA$35,":",$BB$35)),F$35)</f>
        <v>-170858.86447999999</v>
      </c>
      <c r="G71" s="857">
        <f ca="1">+SUMIFS(INDIRECT(CONCATENATE("'",$AZ71,$BA71,":",$BB71)),INDIRECT(CONCATENATE("'",$AZ71,$BA$35,":",$BB$35)),G$35)</f>
        <v>-191017.84543999998</v>
      </c>
      <c r="H71" s="901">
        <f ca="1">+SUMIFS(INDIRECT(CONCATENATE("'",$AZ71,$BA71,":",$BB71)),INDIRECT(CONCATENATE("'",$AZ71,$BA$35,":",$BB$35)),H$35)-24082.77427</f>
        <v>-208318.11843999999</v>
      </c>
      <c r="I71" s="916">
        <f ca="1">SUM(E71:H71)</f>
        <v>-711316.16057999991</v>
      </c>
      <c r="J71" s="857">
        <v>-175042.63430000001</v>
      </c>
      <c r="K71" s="857">
        <v>-200153.55509000004</v>
      </c>
      <c r="L71" s="857">
        <v>-226765.28566000002</v>
      </c>
      <c r="M71" s="857">
        <v>-241697.69333000001</v>
      </c>
      <c r="N71" s="647">
        <f>+SUM(J71:M71)</f>
        <v>-843659.16838000016</v>
      </c>
      <c r="O71" s="857">
        <f>+O72+O74</f>
        <v>-195011.17071999999</v>
      </c>
      <c r="P71" s="857">
        <f>+P72+P74</f>
        <v>-222627.48254999999</v>
      </c>
      <c r="Q71" s="901">
        <f>+Q72+Q74</f>
        <v>-225630.30535884132</v>
      </c>
      <c r="R71" s="857">
        <f>+R72+R74</f>
        <v>-251808.91704000003</v>
      </c>
      <c r="S71" s="916">
        <f>+SUM(O71:R71)</f>
        <v>-895077.87566884141</v>
      </c>
      <c r="T71" s="857">
        <f ca="1">+SUMIFS(INDIRECT(CONCATENATE("'",$AZ71,$BA71,":",$BB71)),INDIRECT(CONCATENATE("'",$AZ71,$BA$35,":",$BB$35)),T$35)</f>
        <v>-183937.82206000001</v>
      </c>
      <c r="U71" s="857">
        <f ca="1">+SUMIFS(INDIRECT(CONCATENATE("'",$AZ71,$BA71,":",$BB71)),INDIRECT(CONCATENATE("'",$AZ71,$BA$35,":",$BB$35)),U$35)</f>
        <v>-79168.829530000003</v>
      </c>
      <c r="V71" s="857">
        <f ca="1">+SUMIFS(INDIRECT(CONCATENATE("'",$AZ71,$BA71,":",$BB71)),INDIRECT(CONCATENATE("'",$AZ71,$BA$35,":",$BB$35)),V$35)</f>
        <v>-185716.21622999999</v>
      </c>
      <c r="W71" s="857">
        <f ca="1">+SUMIFS(INDIRECT(CONCATENATE("'",$AZ71,$BA71,":",$BB71)),INDIRECT(CONCATENATE("'",$AZ71,$BA$35,":",$BB$35)),W$35)</f>
        <v>-207385.10715999999</v>
      </c>
      <c r="X71" s="647">
        <f ca="1">+SUM(T71:W71)</f>
        <v>-656207.97498000006</v>
      </c>
      <c r="Y71" s="857">
        <f ca="1">+SUMIFS(INDIRECT(CONCATENATE("'",$AZ71,$BA71,":",$BB71)),INDIRECT(CONCATENATE("'",$AZ71,$BA$35,":",$BB$35)),Y$35)</f>
        <v>-156515.03270000001</v>
      </c>
      <c r="Z71" s="857">
        <f ca="1">+SUMIFS(INDIRECT(CONCATENATE("'",$AZ71,$BA71,":",$BB71)),INDIRECT(CONCATENATE("'",$AZ71,$BA$35,":",$BB$35)),Z$35)</f>
        <v>-156748.70746000001</v>
      </c>
      <c r="AA71" s="857">
        <f ca="1">+SUMIFS(INDIRECT(CONCATENATE("'",$AZ71,$BA71,":",$BB71)),INDIRECT(CONCATENATE("'",$AZ71,$BA$35,":",$BB$35)),AA$35)</f>
        <v>-152863.65859000004</v>
      </c>
      <c r="AB71" s="857">
        <f ca="1">+SUMIFS(INDIRECT(CONCATENATE("'",$AZ71,$BA71,":",$BB71)),INDIRECT(CONCATENATE("'",$AZ71,$BA$35,":",$BB$35)),AB$35)</f>
        <v>-211529.13235</v>
      </c>
      <c r="AC71" s="647">
        <f ca="1">+SUM(Y71:AB71)</f>
        <v>-677656.53110000002</v>
      </c>
      <c r="AD71" s="857">
        <f ca="1">+SUMIFS(INDIRECT(CONCATENATE("'",$AZ71,$BA71,":",$BB71)),INDIRECT(CONCATENATE("'",$AZ71,$BA$35,":",$BB$35)),AD$35)</f>
        <v>-164595.84351000001</v>
      </c>
      <c r="AE71" s="857">
        <f ca="1">+SUMIFS(INDIRECT(CONCATENATE("'",$AZ71,$BA71,":",$BB71)),INDIRECT(CONCATENATE("'",$AZ71,$BA$35,":",$BB$35)),AE$35)</f>
        <v>-208320.34273</v>
      </c>
      <c r="AF71" s="857">
        <f ca="1">+SUMIFS(INDIRECT(CONCATENATE("'",$AZ71,$BA71,":",$BB71)),INDIRECT(CONCATENATE("'",$AZ71,$BA$35,":",$BB$35)),AF$35)</f>
        <v>-280064.63664000004</v>
      </c>
      <c r="AG71" s="857">
        <f ca="1">+SUMIFS(INDIRECT(CONCATENATE("'",$AZ71,$BA71,":",$BB71)),INDIRECT(CONCATENATE("'",$AZ71,$BA$35,":",$BB$35)),AG$35)</f>
        <v>-288983.05945</v>
      </c>
      <c r="AH71" s="647">
        <f ca="1">+SUM(AD71:AG71)</f>
        <v>-941963.88233000017</v>
      </c>
      <c r="AI71" s="857">
        <f ca="1">+SUMIFS(INDIRECT(CONCATENATE("'",$AZ71,$BA71,":",$BB71)),INDIRECT(CONCATENATE("'",$AZ71,$BA$35,":",$BB$35)),AI$35)</f>
        <v>-235868.56953999994</v>
      </c>
      <c r="AJ71" s="857">
        <f ca="1">+SUMIFS(INDIRECT(CONCATENATE("'",$AZ71,$BA71,":",$BB71)),INDIRECT(CONCATENATE("'",$AZ71,$BA$35,":",$BB$35)),AJ$35)</f>
        <v>-261388.94050999999</v>
      </c>
      <c r="AK71" s="857">
        <f ca="1">+SUMIFS(INDIRECT(CONCATENATE("'",$AZ71,$BA71,":",$BB71)),INDIRECT(CONCATENATE("'",$AZ71,$BA$35,":",$BB$35)),AK$35)</f>
        <v>-294365.07498999999</v>
      </c>
      <c r="AL71" s="857">
        <f ca="1">+SUMIFS(INDIRECT(CONCATENATE("'",$AZ71,$BA71,":",$BB71)),INDIRECT(CONCATENATE("'",$AZ71,$BA$35,":",$BB$35)),AL$35)</f>
        <v>-322356.92486999987</v>
      </c>
      <c r="AM71" s="647">
        <f ca="1">+SUM(AI71:AL71)</f>
        <v>-1113979.5099099998</v>
      </c>
      <c r="AN71" s="857">
        <f ca="1">+SUMIFS(INDIRECT(CONCATENATE("'",$AZ71,$BA71,":",$BB71)),INDIRECT(CONCATENATE("'",$AZ71,$BA$35,":",$BB$35)),AN$35)</f>
        <v>-272212.08776000008</v>
      </c>
      <c r="AO71" s="857">
        <f ca="1">+SUMIFS(INDIRECT(CONCATENATE("'",$AZ71,$BA71,":",$BB71)),INDIRECT(CONCATENATE("'",$AZ71,$BA$35,":",$BB$35)),AO$35)</f>
        <v>-330865.52973000001</v>
      </c>
      <c r="AP71" s="857">
        <f ca="1">+SUMIFS(INDIRECT(CONCATENATE("'",$AZ71,$BA71,":",$BB71)),INDIRECT(CONCATENATE("'",$AZ71,$BA$35,":",$BB$35)),AP$35)</f>
        <v>-421044.66129999998</v>
      </c>
      <c r="AQ71" s="857">
        <f ca="1">+SUMIFS(INDIRECT(CONCATENATE("'",$AZ71,$BA71,":",$BB71)),INDIRECT(CONCATENATE("'",$AZ71,$BA$35,":",$BB$35)),AQ$35)</f>
        <v>-438055.93491000007</v>
      </c>
      <c r="AR71" s="647">
        <f ca="1">+SUM(AN71:AQ71)</f>
        <v>-1462178.2137000002</v>
      </c>
      <c r="AS71" s="857">
        <f ca="1">+SUMIFS(INDIRECT(CONCATENATE("'",$AZ71,$BA71,":",$BB71)),INDIRECT(CONCATENATE("'",$AZ71,$BA$35,":",$BB$35)),AS$35)</f>
        <v>-308836.84028999996</v>
      </c>
      <c r="AT71" s="857">
        <f ca="1">+SUMIFS(INDIRECT(CONCATENATE("'",$AZ71,$BA71,":",$BB71)),INDIRECT(CONCATENATE("'",$AZ71,$BA$35,":",$BB$35)),AT$35)</f>
        <v>-383234.3390700001</v>
      </c>
      <c r="AU71" s="857">
        <f ca="1">+SUMIFS(INDIRECT(CONCATENATE("'",$AZ71,$BA71,":",$BB71)),INDIRECT(CONCATENATE("'",$AZ71,$BA$35,":",$BB$35)),AU$35)</f>
        <v>-462122.52695999987</v>
      </c>
      <c r="AV71" s="857">
        <f ca="1">+SUMIFS(INDIRECT(CONCATENATE("'",$AZ71,$BA71,":",$BB71)),INDIRECT(CONCATENATE("'",$AZ71,$BA$35,":",$BB$35)),AV$35)</f>
        <v>-463638.68320000003</v>
      </c>
      <c r="AW71" s="647">
        <f ca="1">+SUM(AS71:AV71)</f>
        <v>-1617832.38952</v>
      </c>
      <c r="AX71" s="857">
        <f ca="1">+SUMIFS(INDIRECT(CONCATENATE("'",$AZ71,$BA71,":",$BB71)),INDIRECT(CONCATENATE("'",$AZ71,$BA$35,":",$BB$35)),AX$35)</f>
        <v>-392335.67629999999</v>
      </c>
      <c r="AY71" s="857">
        <f ca="1">+SUMIFS(INDIRECT(CONCATENATE("'",$AZ71,$BA71,":",$BB71)),INDIRECT(CONCATENATE("'",$AZ71,$BA$35,":",$BB$35)),AY$35)</f>
        <v>-534620.1300100002</v>
      </c>
      <c r="AZ71" s="266" t="str">
        <f>IF([1]RENAME!$H$3=0,BD71,BC71)</f>
        <v>Auto'!</v>
      </c>
      <c r="BA71" s="266" t="str">
        <f>"$"&amp;ROW(Auto!$D$12)</f>
        <v>$12</v>
      </c>
      <c r="BB71" s="266" t="str">
        <f>"$"&amp;ROW(Auto!$D$12)</f>
        <v>$12</v>
      </c>
      <c r="BC71" s="266" t="s">
        <v>1746</v>
      </c>
      <c r="BD71" s="266" t="s">
        <v>1745</v>
      </c>
      <c r="BN71" s="266"/>
      <c r="BO71" s="266"/>
      <c r="BP71" s="266"/>
      <c r="BQ71" s="266"/>
      <c r="BR71" s="266"/>
      <c r="BS71" s="266"/>
      <c r="BT71" s="266"/>
      <c r="BU71" s="266"/>
      <c r="BV71" s="266"/>
      <c r="BW71" s="266"/>
      <c r="BX71" s="266"/>
      <c r="BY71" s="266"/>
      <c r="BZ71" s="266"/>
      <c r="CA71" s="266"/>
      <c r="CB71" s="266"/>
      <c r="CC71" s="266"/>
      <c r="CD71" s="266"/>
      <c r="CE71" s="266"/>
      <c r="CF71" s="266"/>
      <c r="CG71" s="266"/>
      <c r="CH71" s="266"/>
      <c r="CI71" s="266"/>
      <c r="CJ71" s="266"/>
    </row>
    <row r="72" spans="1:88" ht="13.5" customHeight="1" x14ac:dyDescent="0.2">
      <c r="A72" s="1" t="s">
        <v>1970</v>
      </c>
      <c r="B72" s="1" t="s">
        <v>1971</v>
      </c>
      <c r="C72" s="899"/>
      <c r="D72" s="898" t="str">
        <f>IF([1]RENAME!$H$3=1,B72,A72)</f>
        <v>Custos variáveis¹</v>
      </c>
      <c r="E72" s="857">
        <v>-112776.14310000002</v>
      </c>
      <c r="F72" s="857">
        <v>-140488.4051</v>
      </c>
      <c r="G72" s="857">
        <v>-160141.14546999999</v>
      </c>
      <c r="H72" s="901">
        <f>-152713.59027-24082.77427</f>
        <v>-176796.36453999998</v>
      </c>
      <c r="I72" s="916">
        <f>+SUM(E72:H72)</f>
        <v>-590202.05820999993</v>
      </c>
      <c r="J72" s="857">
        <v>-143533.71661</v>
      </c>
      <c r="K72" s="857">
        <v>-165525.01438000001</v>
      </c>
      <c r="L72" s="857">
        <v>-191095.73679000002</v>
      </c>
      <c r="M72" s="857">
        <v>-201538.18173000001</v>
      </c>
      <c r="N72" s="647">
        <f>+SUM(J72:M72)</f>
        <v>-701692.64951000013</v>
      </c>
      <c r="O72" s="857">
        <v>-161775.28102999998</v>
      </c>
      <c r="P72" s="857">
        <v>-184641.13052999999</v>
      </c>
      <c r="Q72" s="857">
        <v>-187538.66755000001</v>
      </c>
      <c r="R72" s="857">
        <v>-212115.57791000002</v>
      </c>
      <c r="S72" s="647">
        <f>+SUM(O72:R72)</f>
        <v>-746070.65702000004</v>
      </c>
      <c r="T72" s="857">
        <v>-148016.27359000003</v>
      </c>
      <c r="U72" s="857">
        <v>-52993.215260000004</v>
      </c>
      <c r="V72" s="857">
        <v>-157628.48306</v>
      </c>
      <c r="W72" s="857">
        <v>-176981.08489000003</v>
      </c>
      <c r="X72" s="647">
        <f>+SUM(T72:W72)</f>
        <v>-535619.05680000002</v>
      </c>
      <c r="Y72" s="857">
        <v>-128013.06775</v>
      </c>
      <c r="Z72" s="857">
        <v>-126923</v>
      </c>
      <c r="AA72" s="857">
        <v>-122330</v>
      </c>
      <c r="AB72" s="857">
        <v>-174967</v>
      </c>
      <c r="AC72" s="647">
        <f>+SUM(Y72:AB72)</f>
        <v>-552233.06774999993</v>
      </c>
      <c r="AD72" s="857">
        <v>-130217</v>
      </c>
      <c r="AE72" s="857">
        <v>-169533</v>
      </c>
      <c r="AF72" s="857">
        <v>-239575.8</v>
      </c>
      <c r="AG72" s="857">
        <v>-243113.7</v>
      </c>
      <c r="AH72" s="647">
        <f>+SUM(AD72:AG72)</f>
        <v>-782439.5</v>
      </c>
      <c r="AI72" s="857">
        <v>-192990.3</v>
      </c>
      <c r="AJ72" s="857">
        <v>-215290.58989999999</v>
      </c>
      <c r="AK72" s="857">
        <v>-249527.674</v>
      </c>
      <c r="AL72" s="857">
        <v>-270939</v>
      </c>
      <c r="AM72" s="647">
        <f>+SUM(AI72:AL72)</f>
        <v>-928747.56389999995</v>
      </c>
      <c r="AN72" s="857">
        <v>-224955.34987000006</v>
      </c>
      <c r="AO72" s="883">
        <v>-275790.3</v>
      </c>
      <c r="AP72" s="883">
        <v>-350751.98436999996</v>
      </c>
      <c r="AQ72" s="883">
        <v>-367656.11516000004</v>
      </c>
      <c r="AR72" s="647">
        <f>+SUM(AN72:AQ72)</f>
        <v>-1219153.7494000001</v>
      </c>
      <c r="AS72" s="883">
        <v>-248819.58954999995</v>
      </c>
      <c r="AT72" s="883">
        <v>-313622</v>
      </c>
      <c r="AU72" s="883">
        <v>-387298</v>
      </c>
      <c r="AV72" s="883">
        <v>-380281</v>
      </c>
      <c r="AW72" s="647">
        <f>+SUM(AS72:AV72)</f>
        <v>-1330020.5895499999</v>
      </c>
      <c r="AX72" s="883">
        <v>-320976.72727000009</v>
      </c>
      <c r="AY72" s="883">
        <v>-452938.36923000019</v>
      </c>
      <c r="AZ72" s="929"/>
      <c r="BN72" s="266"/>
      <c r="BO72" s="266"/>
      <c r="BP72" s="266"/>
      <c r="BQ72" s="266"/>
      <c r="BR72" s="266"/>
      <c r="BS72" s="266"/>
      <c r="BT72" s="266"/>
      <c r="BU72" s="266"/>
      <c r="BV72" s="266"/>
      <c r="BW72" s="266"/>
      <c r="BX72" s="266"/>
      <c r="BY72" s="266"/>
      <c r="BZ72" s="266"/>
      <c r="CA72" s="266"/>
      <c r="CB72" s="266"/>
      <c r="CC72" s="266"/>
      <c r="CD72" s="266"/>
      <c r="CE72" s="266"/>
      <c r="CF72" s="266"/>
      <c r="CG72" s="266"/>
      <c r="CH72" s="266"/>
      <c r="CI72" s="266"/>
      <c r="CJ72" s="266"/>
    </row>
    <row r="73" spans="1:88" s="850" customFormat="1" ht="13.5" customHeight="1" x14ac:dyDescent="0.2">
      <c r="A73" s="516" t="s">
        <v>1741</v>
      </c>
      <c r="B73" s="516" t="s">
        <v>1740</v>
      </c>
      <c r="C73" s="855"/>
      <c r="D73" s="861" t="str">
        <f>IF([1]RENAME!$H$3=1,B73,A73)</f>
        <v>% Receita líquida</v>
      </c>
      <c r="E73" s="863">
        <f t="shared" ref="E73:U73" ca="1" si="94">+E72/E70</f>
        <v>-0.6506860194752202</v>
      </c>
      <c r="F73" s="863">
        <f t="shared" ca="1" si="94"/>
        <v>-0.65110148555921576</v>
      </c>
      <c r="G73" s="863">
        <f t="shared" ca="1" si="94"/>
        <v>-0.65587147025931569</v>
      </c>
      <c r="H73" s="863">
        <f t="shared" ca="1" si="94"/>
        <v>-0.64329798410934225</v>
      </c>
      <c r="I73" s="862">
        <f t="shared" ca="1" si="94"/>
        <v>-0.64994304025492233</v>
      </c>
      <c r="J73" s="863">
        <f t="shared" ca="1" si="94"/>
        <v>-0.64520965799375329</v>
      </c>
      <c r="K73" s="863">
        <f t="shared" ca="1" si="94"/>
        <v>-0.6466058178806493</v>
      </c>
      <c r="L73" s="863">
        <f t="shared" ca="1" si="94"/>
        <v>-0.64541766412776824</v>
      </c>
      <c r="M73" s="863">
        <f t="shared" ca="1" si="94"/>
        <v>-0.62556645597778227</v>
      </c>
      <c r="N73" s="862">
        <f t="shared" ca="1" si="94"/>
        <v>-0.63982127760824392</v>
      </c>
      <c r="O73" s="863">
        <f t="shared" ca="1" si="94"/>
        <v>-0.62484026289144001</v>
      </c>
      <c r="P73" s="863">
        <f t="shared" ca="1" si="94"/>
        <v>-0.62780712771465419</v>
      </c>
      <c r="Q73" s="863">
        <f t="shared" ca="1" si="94"/>
        <v>-0.62556360674335332</v>
      </c>
      <c r="R73" s="863">
        <f t="shared" ca="1" si="94"/>
        <v>-0.62878134346679682</v>
      </c>
      <c r="S73" s="862">
        <f t="shared" ca="1" si="94"/>
        <v>-0.62687271895814234</v>
      </c>
      <c r="T73" s="863">
        <f t="shared" ca="1" si="94"/>
        <v>-0.61478636175848866</v>
      </c>
      <c r="U73" s="863">
        <f t="shared" ca="1" si="94"/>
        <v>-0.60997492921256069</v>
      </c>
      <c r="V73" s="863">
        <f t="shared" ref="V73:AB73" ca="1" si="95">+V72/V70</f>
        <v>-0.64218270341974792</v>
      </c>
      <c r="W73" s="863">
        <f t="shared" ca="1" si="95"/>
        <v>-0.64932364038616008</v>
      </c>
      <c r="X73" s="862">
        <f t="shared" ca="1" si="95"/>
        <v>-0.63337566025135683</v>
      </c>
      <c r="Y73" s="863">
        <f t="shared" ca="1" si="95"/>
        <v>-0.63743675517687592</v>
      </c>
      <c r="Z73" s="863">
        <f t="shared" ca="1" si="95"/>
        <v>-0.6332631974330728</v>
      </c>
      <c r="AA73" s="863">
        <f t="shared" ca="1" si="95"/>
        <v>-0.62952801614654652</v>
      </c>
      <c r="AB73" s="863">
        <f t="shared" ca="1" si="95"/>
        <v>-0.64340043874588204</v>
      </c>
      <c r="AC73" s="862">
        <f t="shared" ref="AC73:AH73" ca="1" si="96">+AC72/AC70</f>
        <v>-0.63657042739112379</v>
      </c>
      <c r="AD73" s="863">
        <f t="shared" ca="1" si="96"/>
        <v>-0.64529494999965209</v>
      </c>
      <c r="AE73" s="863">
        <f t="shared" ca="1" si="96"/>
        <v>-0.6370977235341001</v>
      </c>
      <c r="AF73" s="863">
        <f t="shared" ca="1" si="96"/>
        <v>-0.64207045430574206</v>
      </c>
      <c r="AG73" s="863">
        <f t="shared" ca="1" si="96"/>
        <v>-0.65280856310292601</v>
      </c>
      <c r="AH73" s="862">
        <f t="shared" ca="1" si="96"/>
        <v>-0.64481178110932869</v>
      </c>
      <c r="AI73" s="863">
        <f t="shared" ref="AI73:AO73" ca="1" si="97">+AI72/AI70</f>
        <v>-0.64971201898873621</v>
      </c>
      <c r="AJ73" s="863">
        <f t="shared" ca="1" si="97"/>
        <v>-0.65061413748161945</v>
      </c>
      <c r="AK73" s="863">
        <f t="shared" ca="1" si="97"/>
        <v>-0.64673900420535246</v>
      </c>
      <c r="AL73" s="863">
        <f t="shared" ca="1" si="97"/>
        <v>-0.65543747132039198</v>
      </c>
      <c r="AM73" s="862">
        <f t="shared" ca="1" si="97"/>
        <v>-0.65077581867830092</v>
      </c>
      <c r="AN73" s="863">
        <f t="shared" ca="1" si="97"/>
        <v>-0.64733146453183066</v>
      </c>
      <c r="AO73" s="863">
        <f t="shared" ca="1" si="97"/>
        <v>-0.64545692168124891</v>
      </c>
      <c r="AP73" s="863">
        <f t="shared" ref="AP73:AX73" ca="1" si="98">+AP72/AP70</f>
        <v>-0.62418918792833911</v>
      </c>
      <c r="AQ73" s="863">
        <f t="shared" ca="1" si="98"/>
        <v>-0.63026412491457573</v>
      </c>
      <c r="AR73" s="862">
        <f t="shared" ca="1" si="98"/>
        <v>-0.63495614854578575</v>
      </c>
      <c r="AS73" s="863">
        <f t="shared" ca="1" si="98"/>
        <v>-0.63066477499906004</v>
      </c>
      <c r="AT73" s="863">
        <f t="shared" ca="1" si="98"/>
        <v>-0.63242191946741044</v>
      </c>
      <c r="AU73" s="863">
        <f t="shared" ca="1" si="98"/>
        <v>-0.64564839403926588</v>
      </c>
      <c r="AV73" s="863">
        <f t="shared" ca="1" si="98"/>
        <v>-0.66499228345284234</v>
      </c>
      <c r="AW73" s="862">
        <f t="shared" ca="1" si="98"/>
        <v>-0.64496527155486605</v>
      </c>
      <c r="AX73" s="863">
        <f t="shared" ca="1" si="98"/>
        <v>-0.66856084857831433</v>
      </c>
      <c r="AY73" s="863">
        <f ca="1">+AY72/AY70</f>
        <v>-0.65369637469345487</v>
      </c>
      <c r="AZ73" s="851"/>
      <c r="BA73" s="851"/>
      <c r="BB73" s="851"/>
      <c r="BC73" s="851"/>
      <c r="BD73" s="851"/>
      <c r="BE73" s="851"/>
      <c r="BF73" s="851"/>
      <c r="BG73" s="851"/>
      <c r="BH73" s="851"/>
      <c r="BK73" s="851"/>
      <c r="BL73" s="851"/>
      <c r="BM73" s="851"/>
      <c r="BN73" s="851"/>
      <c r="BO73" s="851"/>
      <c r="BP73" s="851"/>
      <c r="BQ73" s="851"/>
      <c r="BR73" s="851"/>
      <c r="BS73" s="851"/>
      <c r="BT73" s="851"/>
      <c r="BU73" s="851"/>
      <c r="BV73" s="851"/>
      <c r="BW73" s="851"/>
      <c r="BX73" s="851"/>
      <c r="BY73" s="851"/>
      <c r="BZ73" s="851"/>
      <c r="CA73" s="851"/>
      <c r="CB73" s="851"/>
      <c r="CC73" s="851"/>
      <c r="CD73" s="851"/>
      <c r="CE73" s="851"/>
      <c r="CF73" s="851"/>
      <c r="CG73" s="851"/>
      <c r="CH73" s="851"/>
      <c r="CI73" s="851"/>
      <c r="CJ73" s="851"/>
    </row>
    <row r="74" spans="1:88" ht="13.5" customHeight="1" x14ac:dyDescent="0.2">
      <c r="A74" s="1" t="s">
        <v>1896</v>
      </c>
      <c r="B74" s="1" t="s">
        <v>1897</v>
      </c>
      <c r="C74" s="899"/>
      <c r="D74" s="898" t="str">
        <f>IF([1]RENAME!$H$3=1,B74,A74)</f>
        <v>Custos fixos (sem deprec/amort e ajustado eventos ñ recorr)</v>
      </c>
      <c r="E74" s="857">
        <f ca="1">+E71-E72</f>
        <v>-28345.189119999966</v>
      </c>
      <c r="F74" s="857">
        <f ca="1">+F71-F72</f>
        <v>-30370.459379999986</v>
      </c>
      <c r="G74" s="857">
        <f ca="1">+G71-G72</f>
        <v>-30876.699969999987</v>
      </c>
      <c r="H74" s="857">
        <f ca="1">+H71-H72</f>
        <v>-31521.753900000011</v>
      </c>
      <c r="I74" s="647">
        <f ca="1">SUM(E74:H74)</f>
        <v>-121114.10236999995</v>
      </c>
      <c r="J74" s="857">
        <f>+J71-J72</f>
        <v>-31508.917690000002</v>
      </c>
      <c r="K74" s="857">
        <f>+K71-K72</f>
        <v>-34628.54071000003</v>
      </c>
      <c r="L74" s="857">
        <f>+L71-L72</f>
        <v>-35669.548869999999</v>
      </c>
      <c r="M74" s="857">
        <f>+M71-M72</f>
        <v>-40159.511599999998</v>
      </c>
      <c r="N74" s="647">
        <f>+SUM(J74:M74)</f>
        <v>-141966.51887000003</v>
      </c>
      <c r="O74" s="857">
        <v>-33235.889690000011</v>
      </c>
      <c r="P74" s="857">
        <v>-37986.352019999991</v>
      </c>
      <c r="Q74" s="901">
        <f>-43982.50676+5890.86895115869</f>
        <v>-38091.637808841304</v>
      </c>
      <c r="R74" s="857">
        <v>-39693.339130000008</v>
      </c>
      <c r="S74" s="916">
        <f>+SUM(O74:R74)</f>
        <v>-149007.21864884131</v>
      </c>
      <c r="T74" s="857">
        <f ca="1">+T71-T72</f>
        <v>-35921.54846999998</v>
      </c>
      <c r="U74" s="857">
        <f ca="1">+U71-U72</f>
        <v>-26175.614269999998</v>
      </c>
      <c r="V74" s="857">
        <f ca="1">+V71-V72</f>
        <v>-28087.733169999992</v>
      </c>
      <c r="W74" s="857">
        <f ca="1">+W71-W72</f>
        <v>-30404.022269999958</v>
      </c>
      <c r="X74" s="647">
        <f ca="1">+SUM(T74:W74)</f>
        <v>-120588.91817999992</v>
      </c>
      <c r="Y74" s="857">
        <f ca="1">+Y71-Y72</f>
        <v>-28501.964950000009</v>
      </c>
      <c r="Z74" s="857">
        <f ca="1">+Z71-Z72</f>
        <v>-29825.707460000005</v>
      </c>
      <c r="AA74" s="857">
        <f ca="1">+AA71-AA72</f>
        <v>-30533.658590000035</v>
      </c>
      <c r="AB74" s="857">
        <f ca="1">+AB71-AB72</f>
        <v>-36562.13235</v>
      </c>
      <c r="AC74" s="647">
        <f ca="1">+SUM(Y74:AB74)</f>
        <v>-125423.46335000005</v>
      </c>
      <c r="AD74" s="857">
        <f ca="1">+AD71-AD72</f>
        <v>-34378.843510000006</v>
      </c>
      <c r="AE74" s="857">
        <f ca="1">+AE71-AE72</f>
        <v>-38787.342730000004</v>
      </c>
      <c r="AF74" s="857">
        <f ca="1">+AF71-AF72</f>
        <v>-40488.836640000052</v>
      </c>
      <c r="AG74" s="857">
        <f ca="1">+AG71-AG72</f>
        <v>-45869.359449999989</v>
      </c>
      <c r="AH74" s="647">
        <f ca="1">+SUM(AD74:AG74)</f>
        <v>-159524.38233000005</v>
      </c>
      <c r="AI74" s="857">
        <f ca="1">+AI71-AI72</f>
        <v>-42878.26953999995</v>
      </c>
      <c r="AJ74" s="857">
        <f ca="1">+AJ71-AJ72</f>
        <v>-46098.350609999994</v>
      </c>
      <c r="AK74" s="857">
        <f ca="1">+AK71-AK72</f>
        <v>-44837.400989999995</v>
      </c>
      <c r="AL74" s="857">
        <f ca="1">+AL71-AL72</f>
        <v>-51417.924869999872</v>
      </c>
      <c r="AM74" s="647">
        <f ca="1">+SUM(AI74:AL74)</f>
        <v>-185231.94600999981</v>
      </c>
      <c r="AN74" s="857">
        <f ca="1">+AN71-AN72</f>
        <v>-47256.737890000019</v>
      </c>
      <c r="AO74" s="857">
        <f ca="1">+AO71-AO72</f>
        <v>-55075.229730000021</v>
      </c>
      <c r="AP74" s="857">
        <f ca="1">+AP71-AP72</f>
        <v>-70292.676930000016</v>
      </c>
      <c r="AQ74" s="857">
        <f ca="1">+AQ71-AQ72</f>
        <v>-70399.819750000024</v>
      </c>
      <c r="AR74" s="647">
        <f ca="1">+SUM(AN74:AQ74)</f>
        <v>-243024.46430000008</v>
      </c>
      <c r="AS74" s="857">
        <f ca="1">+AS71-AS72</f>
        <v>-60017.250740000018</v>
      </c>
      <c r="AT74" s="857">
        <f ca="1">+AT71-AT72</f>
        <v>-69612.339070000104</v>
      </c>
      <c r="AU74" s="857">
        <f ca="1">+AU71-AU72</f>
        <v>-74824.526959999872</v>
      </c>
      <c r="AV74" s="857">
        <f ca="1">+AV71-AV72</f>
        <v>-83357.683200000029</v>
      </c>
      <c r="AW74" s="647">
        <f ca="1">+SUM(AS74:AV74)</f>
        <v>-287811.79997000005</v>
      </c>
      <c r="AX74" s="857">
        <f ca="1">+AX71-AX72</f>
        <v>-71358.949029999902</v>
      </c>
      <c r="AY74" s="857">
        <f ca="1">+AY71-AY72</f>
        <v>-81681.760780000011</v>
      </c>
      <c r="BN74" s="266"/>
      <c r="BO74" s="266"/>
      <c r="BP74" s="266"/>
      <c r="BQ74" s="266"/>
      <c r="BR74" s="266"/>
      <c r="BS74" s="266"/>
      <c r="BT74" s="266"/>
      <c r="BU74" s="266"/>
      <c r="BV74" s="266"/>
      <c r="BW74" s="266"/>
      <c r="BX74" s="266"/>
      <c r="BY74" s="266"/>
      <c r="BZ74" s="266"/>
      <c r="CA74" s="266"/>
      <c r="CB74" s="266"/>
      <c r="CC74" s="266"/>
      <c r="CD74" s="266"/>
      <c r="CE74" s="266"/>
      <c r="CF74" s="266"/>
      <c r="CG74" s="266"/>
      <c r="CH74" s="266"/>
      <c r="CI74" s="266"/>
      <c r="CJ74" s="266"/>
    </row>
    <row r="75" spans="1:88" s="850" customFormat="1" ht="13.5" customHeight="1" x14ac:dyDescent="0.2">
      <c r="A75" s="516" t="s">
        <v>1885</v>
      </c>
      <c r="B75" s="516" t="s">
        <v>1893</v>
      </c>
      <c r="C75" s="855"/>
      <c r="D75" s="861" t="str">
        <f>IF([1]RENAME!$H$3=1,B75,A75)</f>
        <v>% Receita líquida (sem deprec/amort e ajustado eventos ñ recorr)</v>
      </c>
      <c r="E75" s="863">
        <f ca="1">+E74/E70</f>
        <v>-0.16354361634278211</v>
      </c>
      <c r="F75" s="863">
        <f ca="1">+F74/F70</f>
        <v>-0.14075361739182993</v>
      </c>
      <c r="G75" s="863">
        <f ca="1">+G74/G70</f>
        <v>-0.12645811010433547</v>
      </c>
      <c r="H75" s="863">
        <f ca="1">+H74/H70</f>
        <v>-0.11469625403339645</v>
      </c>
      <c r="I75" s="862">
        <f t="shared" ref="I75:Z75" ca="1" si="99">+I74/I70</f>
        <v>-0.13337342155471651</v>
      </c>
      <c r="J75" s="863">
        <f t="shared" ca="1" si="99"/>
        <v>-0.14163820520134041</v>
      </c>
      <c r="K75" s="863">
        <f t="shared" ca="1" si="99"/>
        <v>-0.13527270166187269</v>
      </c>
      <c r="L75" s="863">
        <f t="shared" ca="1" si="99"/>
        <v>-0.12047237316165701</v>
      </c>
      <c r="M75" s="863">
        <f t="shared" ca="1" si="99"/>
        <v>-0.12465351790792219</v>
      </c>
      <c r="N75" s="862">
        <f t="shared" ca="1" si="99"/>
        <v>-0.12944869743815635</v>
      </c>
      <c r="O75" s="863">
        <f t="shared" ca="1" si="99"/>
        <v>-0.12837018065497535</v>
      </c>
      <c r="P75" s="863">
        <f t="shared" ca="1" si="99"/>
        <v>-0.12915921000689048</v>
      </c>
      <c r="Q75" s="863">
        <f t="shared" ca="1" si="99"/>
        <v>-0.12706042250250726</v>
      </c>
      <c r="R75" s="863">
        <f t="shared" ca="1" si="99"/>
        <v>-0.11766430052315331</v>
      </c>
      <c r="S75" s="862">
        <f t="shared" ca="1" si="99"/>
        <v>-0.12520068899625086</v>
      </c>
      <c r="T75" s="863">
        <f t="shared" ca="1" si="99"/>
        <v>-0.14920033829371104</v>
      </c>
      <c r="U75" s="863">
        <f t="shared" ca="1" si="99"/>
        <v>-0.30129269158518579</v>
      </c>
      <c r="V75" s="863">
        <f t="shared" ca="1" si="99"/>
        <v>-0.11443018463342892</v>
      </c>
      <c r="W75" s="863">
        <f t="shared" ca="1" si="99"/>
        <v>-0.11154892871748771</v>
      </c>
      <c r="X75" s="862">
        <f t="shared" ca="1" si="99"/>
        <v>-0.14259777485806269</v>
      </c>
      <c r="Y75" s="863">
        <f t="shared" ca="1" si="99"/>
        <v>-0.14192457358630134</v>
      </c>
      <c r="Z75" s="863">
        <f t="shared" ca="1" si="99"/>
        <v>-0.14881087645125829</v>
      </c>
      <c r="AA75" s="863">
        <f t="shared" ref="AA75:AF75" ca="1" si="100">+AA74/AA70</f>
        <v>-0.15713065901952655</v>
      </c>
      <c r="AB75" s="863">
        <f t="shared" ca="1" si="100"/>
        <v>-0.13444873602150695</v>
      </c>
      <c r="AC75" s="862">
        <f t="shared" ca="1" si="100"/>
        <v>-0.14457820860834258</v>
      </c>
      <c r="AD75" s="863">
        <f t="shared" ca="1" si="100"/>
        <v>-0.17036557518474021</v>
      </c>
      <c r="AE75" s="863">
        <f t="shared" ca="1" si="100"/>
        <v>-0.14576116599847777</v>
      </c>
      <c r="AF75" s="863">
        <f t="shared" ca="1" si="100"/>
        <v>-0.10851131765293409</v>
      </c>
      <c r="AG75" s="863">
        <f t="shared" ref="AG75:AO75" ca="1" si="101">+AG74/AG70</f>
        <v>-0.12316833906524442</v>
      </c>
      <c r="AH75" s="862">
        <f t="shared" ca="1" si="101"/>
        <v>-0.13146473446262982</v>
      </c>
      <c r="AI75" s="863">
        <f t="shared" ca="1" si="101"/>
        <v>-0.14435195485771354</v>
      </c>
      <c r="AJ75" s="863">
        <f t="shared" ca="1" si="101"/>
        <v>-0.1393104948775582</v>
      </c>
      <c r="AK75" s="863">
        <f t="shared" ca="1" si="101"/>
        <v>-0.11621194396028668</v>
      </c>
      <c r="AL75" s="863">
        <f t="shared" ca="1" si="101"/>
        <v>-0.12438679797790135</v>
      </c>
      <c r="AM75" s="862">
        <f t="shared" ca="1" si="101"/>
        <v>-0.12979250336209949</v>
      </c>
      <c r="AN75" s="863">
        <f t="shared" ca="1" si="101"/>
        <v>-0.13598597839530704</v>
      </c>
      <c r="AO75" s="863">
        <f t="shared" ca="1" si="101"/>
        <v>-0.1288975291821845</v>
      </c>
      <c r="AP75" s="863">
        <f t="shared" ref="AP75:AX75" ca="1" si="102">+AP74/AP70</f>
        <v>-0.12509103550491144</v>
      </c>
      <c r="AQ75" s="863">
        <f t="shared" ca="1" si="102"/>
        <v>-0.12068473489028753</v>
      </c>
      <c r="AR75" s="862">
        <f t="shared" ca="1" si="102"/>
        <v>-0.12657130237287431</v>
      </c>
      <c r="AS75" s="863">
        <f t="shared" ca="1" si="102"/>
        <v>-0.15212132614823007</v>
      </c>
      <c r="AT75" s="863">
        <f t="shared" ca="1" si="102"/>
        <v>-0.14037398235221279</v>
      </c>
      <c r="AU75" s="863">
        <f t="shared" ca="1" si="102"/>
        <v>-0.12473685809498544</v>
      </c>
      <c r="AV75" s="863">
        <f t="shared" ca="1" si="102"/>
        <v>-0.14576646241728261</v>
      </c>
      <c r="AW75" s="862">
        <f t="shared" ca="1" si="102"/>
        <v>-0.13956822712583086</v>
      </c>
      <c r="AX75" s="863">
        <f t="shared" ca="1" si="102"/>
        <v>-0.14863320441616451</v>
      </c>
      <c r="AY75" s="863">
        <f ca="1">+AY74/AY70</f>
        <v>-0.11788595210257015</v>
      </c>
      <c r="AZ75" s="851"/>
      <c r="BA75" s="851"/>
      <c r="BB75" s="851"/>
      <c r="BC75" s="851"/>
      <c r="BD75" s="851"/>
      <c r="BE75" s="851"/>
      <c r="BF75" s="851"/>
      <c r="BG75" s="851"/>
      <c r="BH75" s="851"/>
      <c r="BK75" s="851"/>
      <c r="BL75" s="851"/>
      <c r="BM75" s="851"/>
      <c r="BN75" s="851"/>
      <c r="BO75" s="851"/>
      <c r="BP75" s="851"/>
      <c r="BQ75" s="851"/>
      <c r="BR75" s="851"/>
      <c r="BS75" s="851"/>
      <c r="BT75" s="851"/>
      <c r="BU75" s="851"/>
      <c r="BV75" s="851"/>
      <c r="BW75" s="851"/>
      <c r="BX75" s="851"/>
      <c r="BY75" s="851"/>
      <c r="BZ75" s="851"/>
      <c r="CA75" s="851"/>
      <c r="CB75" s="851"/>
      <c r="CC75" s="851"/>
      <c r="CD75" s="851"/>
      <c r="CE75" s="851"/>
      <c r="CF75" s="851"/>
      <c r="CG75" s="851"/>
      <c r="CH75" s="851"/>
      <c r="CI75" s="851"/>
      <c r="CJ75" s="851"/>
    </row>
    <row r="76" spans="1:88" ht="13.5" customHeight="1" x14ac:dyDescent="0.2">
      <c r="A76" s="516" t="s">
        <v>1898</v>
      </c>
      <c r="B76" s="516" t="s">
        <v>1894</v>
      </c>
      <c r="C76" s="24"/>
      <c r="D76" s="866" t="str">
        <f>IF([1]RENAME!$H$3=1,B76,A76)</f>
        <v>(a) Lucro bruto (sem deprec/amort e ajustado eventos ñ recorr)</v>
      </c>
      <c r="E76" s="865">
        <f t="shared" ref="E76:R76" ca="1" si="103">E70+E71</f>
        <v>32197.503170000011</v>
      </c>
      <c r="F76" s="865">
        <f t="shared" ca="1" si="103"/>
        <v>44911.500380000012</v>
      </c>
      <c r="G76" s="865">
        <f t="shared" ca="1" si="103"/>
        <v>53147.593570000026</v>
      </c>
      <c r="H76" s="1004">
        <f t="shared" ca="1" si="103"/>
        <v>66509.984410000034</v>
      </c>
      <c r="I76" s="1005">
        <f t="shared" ca="1" si="103"/>
        <v>196766.58153000008</v>
      </c>
      <c r="J76" s="865">
        <f t="shared" ca="1" si="103"/>
        <v>47417.948600000003</v>
      </c>
      <c r="K76" s="865">
        <f t="shared" ca="1" si="103"/>
        <v>55837.049699999974</v>
      </c>
      <c r="L76" s="865">
        <f t="shared" ca="1" si="103"/>
        <v>69315.449979999947</v>
      </c>
      <c r="M76" s="1004">
        <f t="shared" ca="1" si="103"/>
        <v>80471.406058471504</v>
      </c>
      <c r="N76" s="1005">
        <f t="shared" ca="1" si="103"/>
        <v>253041.85433847131</v>
      </c>
      <c r="O76" s="865">
        <f t="shared" ca="1" si="103"/>
        <v>63895.450120000023</v>
      </c>
      <c r="P76" s="865">
        <f t="shared" ca="1" si="103"/>
        <v>71477.382430000027</v>
      </c>
      <c r="Q76" s="1004">
        <f t="shared" ca="1" si="103"/>
        <v>74161.219481158711</v>
      </c>
      <c r="R76" s="865">
        <f t="shared" ca="1" si="103"/>
        <v>85535.026309999987</v>
      </c>
      <c r="S76" s="1005">
        <f ca="1">+SUM(O76:R76)</f>
        <v>295069.07834115875</v>
      </c>
      <c r="T76" s="865">
        <f ca="1">T70+T71</f>
        <v>56822.680770000006</v>
      </c>
      <c r="U76" s="865">
        <f ca="1">U70+U71</f>
        <v>7708.8644899999927</v>
      </c>
      <c r="V76" s="865">
        <f ca="1">V70+V71</f>
        <v>59741.162520000013</v>
      </c>
      <c r="W76" s="865">
        <f ca="1">W70+W71</f>
        <v>65177.100470000034</v>
      </c>
      <c r="X76" s="864">
        <f ca="1">+SUM(T76:W76)</f>
        <v>189449.80825000006</v>
      </c>
      <c r="Y76" s="865">
        <f ca="1">Y70+Y71</f>
        <v>44309.70279000001</v>
      </c>
      <c r="Z76" s="865">
        <f ca="1">Z70+Z71</f>
        <v>43678.224839999981</v>
      </c>
      <c r="AA76" s="865">
        <f ca="1">AA70+AA71</f>
        <v>41456.525519999996</v>
      </c>
      <c r="AB76" s="865">
        <f ca="1">AB70+AB71</f>
        <v>60411.931819999911</v>
      </c>
      <c r="AC76" s="864">
        <f ca="1">+SUM(Y76:AB76)</f>
        <v>189856.3849699999</v>
      </c>
      <c r="AD76" s="865">
        <f ca="1">AD70+AD71</f>
        <v>37198.700209999981</v>
      </c>
      <c r="AE76" s="865">
        <f ca="1">AE70+AE71</f>
        <v>57781.691129999963</v>
      </c>
      <c r="AF76" s="865">
        <f ca="1">AF70+AF71</f>
        <v>93065.443389999971</v>
      </c>
      <c r="AG76" s="865">
        <f ca="1">AG70+AG71</f>
        <v>83428.875289999938</v>
      </c>
      <c r="AH76" s="864">
        <f ca="1">+SUM(AD76:AG76)</f>
        <v>271474.71001999988</v>
      </c>
      <c r="AI76" s="865">
        <f ca="1">AI70+AI71</f>
        <v>61171.187089999847</v>
      </c>
      <c r="AJ76" s="865">
        <f ca="1">AJ70+AJ71</f>
        <v>69514.704980000097</v>
      </c>
      <c r="AK76" s="865">
        <f ca="1">AK70+AK71</f>
        <v>91459.302970000077</v>
      </c>
      <c r="AL76" s="865">
        <f ca="1">AL70+AL71</f>
        <v>91014.314730000275</v>
      </c>
      <c r="AM76" s="864">
        <f ca="1">+SUM(AI76:AL76)</f>
        <v>313159.5097700003</v>
      </c>
      <c r="AN76" s="865">
        <f ca="1">AN70+AN71</f>
        <v>75299.754619999847</v>
      </c>
      <c r="AO76" s="865">
        <f ca="1">AO70+AO71</f>
        <v>96413.643730000011</v>
      </c>
      <c r="AP76" s="865">
        <f ca="1">AP70+AP71</f>
        <v>140887.5079100001</v>
      </c>
      <c r="AQ76" s="865">
        <f ca="1">AQ70+AQ71</f>
        <v>145280.63879999996</v>
      </c>
      <c r="AR76" s="864">
        <f ca="1">+SUM(AN76:AQ76)</f>
        <v>457881.54505999992</v>
      </c>
      <c r="AS76" s="865">
        <f ca="1">AS70+AS71</f>
        <v>85698.576009999961</v>
      </c>
      <c r="AT76" s="865">
        <f ca="1">AT70+AT71</f>
        <v>112671.93859999982</v>
      </c>
      <c r="AU76" s="865">
        <f ca="1">AU70+AU71</f>
        <v>137736.47304000013</v>
      </c>
      <c r="AV76" s="865">
        <f ca="1">AV70+AV71</f>
        <v>108219.08035999996</v>
      </c>
      <c r="AW76" s="864">
        <f ca="1">+SUM(AS76:AV76)</f>
        <v>444326.06800999987</v>
      </c>
      <c r="AX76" s="865">
        <f ca="1">AX70+AX71</f>
        <v>87765.316679999989</v>
      </c>
      <c r="AY76" s="865">
        <f ca="1">AY70+AY71</f>
        <v>158267.86319999979</v>
      </c>
      <c r="BN76" s="266"/>
      <c r="BO76" s="266"/>
      <c r="BP76" s="266"/>
      <c r="BQ76" s="266"/>
      <c r="BR76" s="266"/>
      <c r="BS76" s="266"/>
      <c r="BT76" s="266"/>
      <c r="BU76" s="266"/>
      <c r="BV76" s="266"/>
      <c r="BW76" s="266"/>
      <c r="BX76" s="266"/>
      <c r="BY76" s="266"/>
      <c r="BZ76" s="266"/>
      <c r="CA76" s="266"/>
      <c r="CB76" s="266"/>
      <c r="CC76" s="266"/>
      <c r="CD76" s="266"/>
      <c r="CE76" s="266"/>
      <c r="CF76" s="266"/>
      <c r="CG76" s="266"/>
      <c r="CH76" s="266"/>
      <c r="CI76" s="266"/>
      <c r="CJ76" s="266"/>
    </row>
    <row r="77" spans="1:88" s="850" customFormat="1" ht="13.5" customHeight="1" x14ac:dyDescent="0.2">
      <c r="A77" s="516" t="s">
        <v>1887</v>
      </c>
      <c r="B77" s="516" t="s">
        <v>1895</v>
      </c>
      <c r="C77" s="855"/>
      <c r="D77" s="861" t="str">
        <f>IF([1]RENAME!$H$3=1,B77,A77)</f>
        <v>Margem bruta (sem deprec/amort e ajustado eventos ñ recorr)</v>
      </c>
      <c r="E77" s="860">
        <f t="shared" ref="E77:Z77" ca="1" si="104">ROUND(E76/E70,3)</f>
        <v>0.186</v>
      </c>
      <c r="F77" s="860">
        <f t="shared" ca="1" si="104"/>
        <v>0.20799999999999999</v>
      </c>
      <c r="G77" s="860">
        <f t="shared" ca="1" si="104"/>
        <v>0.218</v>
      </c>
      <c r="H77" s="860">
        <f t="shared" ca="1" si="104"/>
        <v>0.24199999999999999</v>
      </c>
      <c r="I77" s="859">
        <f t="shared" ca="1" si="104"/>
        <v>0.217</v>
      </c>
      <c r="J77" s="860">
        <f t="shared" ca="1" si="104"/>
        <v>0.21299999999999999</v>
      </c>
      <c r="K77" s="860">
        <f t="shared" ca="1" si="104"/>
        <v>0.218</v>
      </c>
      <c r="L77" s="860">
        <f t="shared" ca="1" si="104"/>
        <v>0.23400000000000001</v>
      </c>
      <c r="M77" s="860">
        <f t="shared" ca="1" si="104"/>
        <v>0.25</v>
      </c>
      <c r="N77" s="859">
        <f t="shared" ca="1" si="104"/>
        <v>0.23100000000000001</v>
      </c>
      <c r="O77" s="860">
        <f t="shared" ca="1" si="104"/>
        <v>0.247</v>
      </c>
      <c r="P77" s="860">
        <f t="shared" ca="1" si="104"/>
        <v>0.24299999999999999</v>
      </c>
      <c r="Q77" s="860">
        <f t="shared" ca="1" si="104"/>
        <v>0.247</v>
      </c>
      <c r="R77" s="860">
        <f t="shared" ca="1" si="104"/>
        <v>0.254</v>
      </c>
      <c r="S77" s="859">
        <f t="shared" ca="1" si="104"/>
        <v>0.248</v>
      </c>
      <c r="T77" s="860">
        <f t="shared" ca="1" si="104"/>
        <v>0.23599999999999999</v>
      </c>
      <c r="U77" s="860">
        <f t="shared" ca="1" si="104"/>
        <v>8.8999999999999996E-2</v>
      </c>
      <c r="V77" s="860">
        <f t="shared" ca="1" si="104"/>
        <v>0.24299999999999999</v>
      </c>
      <c r="W77" s="860">
        <f t="shared" ca="1" si="104"/>
        <v>0.23899999999999999</v>
      </c>
      <c r="X77" s="859">
        <f t="shared" ca="1" si="104"/>
        <v>0.224</v>
      </c>
      <c r="Y77" s="860">
        <f t="shared" ca="1" si="104"/>
        <v>0.221</v>
      </c>
      <c r="Z77" s="860">
        <f t="shared" ca="1" si="104"/>
        <v>0.218</v>
      </c>
      <c r="AA77" s="860">
        <f t="shared" ref="AA77:AF77" ca="1" si="105">ROUND(AA76/AA70,3)</f>
        <v>0.21299999999999999</v>
      </c>
      <c r="AB77" s="860">
        <f t="shared" ca="1" si="105"/>
        <v>0.222</v>
      </c>
      <c r="AC77" s="859">
        <f t="shared" ca="1" si="105"/>
        <v>0.219</v>
      </c>
      <c r="AD77" s="860">
        <f t="shared" ca="1" si="105"/>
        <v>0.184</v>
      </c>
      <c r="AE77" s="860">
        <f t="shared" ca="1" si="105"/>
        <v>0.217</v>
      </c>
      <c r="AF77" s="860">
        <f t="shared" ca="1" si="105"/>
        <v>0.249</v>
      </c>
      <c r="AG77" s="860">
        <f t="shared" ref="AG77:AO77" ca="1" si="106">ROUND(AG76/AG70,3)</f>
        <v>0.224</v>
      </c>
      <c r="AH77" s="859">
        <f t="shared" ca="1" si="106"/>
        <v>0.224</v>
      </c>
      <c r="AI77" s="860">
        <f t="shared" ca="1" si="106"/>
        <v>0.20599999999999999</v>
      </c>
      <c r="AJ77" s="860">
        <f t="shared" ca="1" si="106"/>
        <v>0.21</v>
      </c>
      <c r="AK77" s="860">
        <f t="shared" ca="1" si="106"/>
        <v>0.23699999999999999</v>
      </c>
      <c r="AL77" s="860">
        <f t="shared" ca="1" si="106"/>
        <v>0.22</v>
      </c>
      <c r="AM77" s="859">
        <f t="shared" ca="1" si="106"/>
        <v>0.219</v>
      </c>
      <c r="AN77" s="860">
        <f t="shared" ca="1" si="106"/>
        <v>0.217</v>
      </c>
      <c r="AO77" s="860">
        <f t="shared" ca="1" si="106"/>
        <v>0.22600000000000001</v>
      </c>
      <c r="AP77" s="860">
        <f t="shared" ref="AP77:AX77" ca="1" si="107">ROUND(AP76/AP70,3)</f>
        <v>0.251</v>
      </c>
      <c r="AQ77" s="860">
        <f t="shared" ca="1" si="107"/>
        <v>0.249</v>
      </c>
      <c r="AR77" s="859">
        <f t="shared" ca="1" si="107"/>
        <v>0.23799999999999999</v>
      </c>
      <c r="AS77" s="860">
        <f t="shared" ca="1" si="107"/>
        <v>0.217</v>
      </c>
      <c r="AT77" s="860">
        <f t="shared" ca="1" si="107"/>
        <v>0.22700000000000001</v>
      </c>
      <c r="AU77" s="860">
        <f t="shared" ca="1" si="107"/>
        <v>0.23</v>
      </c>
      <c r="AV77" s="860">
        <f t="shared" ca="1" si="107"/>
        <v>0.189</v>
      </c>
      <c r="AW77" s="859">
        <f t="shared" ca="1" si="107"/>
        <v>0.215</v>
      </c>
      <c r="AX77" s="860">
        <f t="shared" ca="1" si="107"/>
        <v>0.183</v>
      </c>
      <c r="AY77" s="860">
        <f ca="1">ROUND(AY76/AY70,3)</f>
        <v>0.22800000000000001</v>
      </c>
      <c r="AZ77" s="851"/>
      <c r="BA77" s="851"/>
      <c r="BB77" s="851"/>
      <c r="BC77" s="851"/>
      <c r="BD77" s="851"/>
      <c r="BE77" s="851"/>
      <c r="BF77" s="851"/>
      <c r="BG77" s="851"/>
      <c r="BH77" s="851"/>
      <c r="BK77" s="851"/>
      <c r="BL77" s="851"/>
      <c r="BM77" s="851"/>
      <c r="BN77" s="851"/>
      <c r="BO77" s="851"/>
      <c r="BP77" s="851"/>
      <c r="BQ77" s="851"/>
      <c r="BR77" s="851"/>
      <c r="BS77" s="851"/>
      <c r="BT77" s="851"/>
      <c r="BU77" s="851"/>
      <c r="BV77" s="851"/>
      <c r="BW77" s="851"/>
      <c r="BX77" s="851"/>
      <c r="BY77" s="851"/>
      <c r="BZ77" s="851"/>
      <c r="CA77" s="851"/>
      <c r="CB77" s="851"/>
      <c r="CC77" s="851"/>
      <c r="CD77" s="851"/>
      <c r="CE77" s="851"/>
      <c r="CF77" s="851"/>
      <c r="CG77" s="851"/>
      <c r="CH77" s="851"/>
      <c r="CI77" s="851"/>
      <c r="CJ77" s="851"/>
    </row>
    <row r="78" spans="1:88" ht="13.5" customHeight="1" x14ac:dyDescent="0.2">
      <c r="A78" s="516" t="s">
        <v>2007</v>
      </c>
      <c r="B78" s="516" t="s">
        <v>2008</v>
      </c>
      <c r="C78" s="899"/>
      <c r="D78" s="858" t="str">
        <f>IF([1]RENAME!$H$3=1,B78,A78)</f>
        <v>Despesas e não operacionais (sem deprec/amort e ajustado eventos ñ recorr)</v>
      </c>
      <c r="E78" s="857">
        <f ca="1">+SUMIFS(INDIRECT(CONCATENATE("'",$AZ78,$BA78,":",$BB78)),INDIRECT(CONCATENATE("'",$AZ78,$BA$35,":",$BB$35)),E$35)</f>
        <v>-16353.04853</v>
      </c>
      <c r="F78" s="901">
        <f ca="1">+SUMIFS(INDIRECT(CONCATENATE("'",$AZ78,$BA78,":",$BB78)),INDIRECT(CONCATENATE("'",$AZ78,$BA$35,":",$BB$35)),F$35)+15000</f>
        <v>-19622.371769999998</v>
      </c>
      <c r="G78" s="857">
        <f ca="1">+SUMIFS(INDIRECT(CONCATENATE("'",$AZ78,$BA78,":",$BB78)),INDIRECT(CONCATENATE("'",$AZ78,$BA$35,":",$BB$35)),G$35)</f>
        <v>-18277.272819999998</v>
      </c>
      <c r="H78" s="857">
        <f ca="1">+SUMIFS(INDIRECT(CONCATENATE("'",$AZ78,$BA78,":",$BB78)),INDIRECT(CONCATENATE("'",$AZ78,$BA$35,":",$BB$35)),H$35)</f>
        <v>-30661.90698</v>
      </c>
      <c r="I78" s="916">
        <f ca="1">SUM(E78:H78)</f>
        <v>-84914.600099999996</v>
      </c>
      <c r="J78" s="857">
        <f ca="1">+SUMIFS(INDIRECT(CONCATENATE("'",$AZ78,$BA78,":",$BB78)),INDIRECT(CONCATENATE("'",$AZ78,$BA$35,":",$BB$35)),J$35)</f>
        <v>-24805.271980000001</v>
      </c>
      <c r="K78" s="857">
        <f ca="1">+SUMIFS(INDIRECT(CONCATENATE("'",$AZ78,$BA78,":",$BB78)),INDIRECT(CONCATENATE("'",$AZ78,$BA$35,":",$BB$35)),K$35)</f>
        <v>-17589.50963</v>
      </c>
      <c r="L78" s="857">
        <f ca="1">+SUMIFS(INDIRECT(CONCATENATE("'",$AZ78,$BA78,":",$BB78)),INDIRECT(CONCATENATE("'",$AZ78,$BA$35,":",$BB$35)),L$35)</f>
        <v>-19911.637070000001</v>
      </c>
      <c r="M78" s="901">
        <f ca="1">+SUMIFS(INDIRECT(CONCATENATE("'",$AZ78,$BA78,":",$BB78)),INDIRECT(CONCATENATE("'",$AZ78,$BA$35,":",$BB$35)),M$35)+14500</f>
        <v>-18513.308089999999</v>
      </c>
      <c r="N78" s="916">
        <f ca="1">+SUM(J78:M78)</f>
        <v>-80819.726770000008</v>
      </c>
      <c r="O78" s="857">
        <f ca="1">+SUMIFS(INDIRECT(CONCATENATE("'",$AZ78,$BA78,":",$BB78)),INDIRECT(CONCATENATE("'",$AZ78,$BA$35,":",$BB$35)),O$35)</f>
        <v>-21396.712169999999</v>
      </c>
      <c r="P78" s="857">
        <f ca="1">+SUMIFS(INDIRECT(CONCATENATE("'",$AZ78,$BA78,":",$BB78)),INDIRECT(CONCATENATE("'",$AZ78,$BA$35,":",$BB$35)),P$35)</f>
        <v>-22826.147920000003</v>
      </c>
      <c r="Q78" s="901">
        <f ca="1">+SUMIFS(INDIRECT(CONCATENATE("'",$AZ78,$BA78,":",$BB78)),INDIRECT(CONCATENATE("'",$AZ78,$BA$35,":",$BB$35)),Q$35)-54681.39513</f>
        <v>-24300.850939999997</v>
      </c>
      <c r="R78" s="901">
        <f ca="1">+SUMIFS(INDIRECT(CONCATENATE("'",$AZ78,$BA78,":",$BB78)),INDIRECT(CONCATENATE("'",$AZ78,$BA$35,":",$BB$35)),R$35)+2254</f>
        <v>-28062.098229999996</v>
      </c>
      <c r="S78" s="916">
        <f ca="1">+SUM(O78:R78)</f>
        <v>-96585.809260000009</v>
      </c>
      <c r="T78" s="901">
        <f ca="1">+SUMIFS(INDIRECT(CONCATENATE("'",$AZ78,$BA78,":",$BB78)),INDIRECT(CONCATENATE("'",$AZ78,$BA$35,":",$BB$35)),T$35)+3317</f>
        <v>-27543.54089</v>
      </c>
      <c r="U78" s="857">
        <f ca="1">+SUMIFS(INDIRECT(CONCATENATE("'",$AZ78,$BA78,":",$BB78)),INDIRECT(CONCATENATE("'",$AZ78,$BA$35,":",$BB$35)),U$35)</f>
        <v>-19363.556400000001</v>
      </c>
      <c r="V78" s="857">
        <f ca="1">+SUMIFS(INDIRECT(CONCATENATE("'",$AZ78,$BA78,":",$BB78)),INDIRECT(CONCATENATE("'",$AZ78,$BA$35,":",$BB$35)),V$35)</f>
        <v>-20948.943660000001</v>
      </c>
      <c r="W78" s="857">
        <f ca="1">+SUMIFS(INDIRECT(CONCATENATE("'",$AZ78,$BA78,":",$BB78)),INDIRECT(CONCATENATE("'",$AZ78,$BA$35,":",$BB$35)),W$35)</f>
        <v>-21931.721740000001</v>
      </c>
      <c r="X78" s="916">
        <f ca="1">+SUM(T78:W78)</f>
        <v>-89787.762690000003</v>
      </c>
      <c r="Y78" s="901">
        <f ca="1">+SUMIFS(INDIRECT(CONCATENATE("'",$AZ78,$BA78,":",$BB78)),INDIRECT(CONCATENATE("'",$AZ78,$BA$35,":",$BB$35)),Y$35)</f>
        <v>-11188.241210000004</v>
      </c>
      <c r="Z78" s="857">
        <f ca="1">+SUMIFS(INDIRECT(CONCATENATE("'",$AZ78,$BA78,":",$BB78)),INDIRECT(CONCATENATE("'",$AZ78,$BA$35,":",$BB$35)),Z$35)</f>
        <v>-20227.155319999998</v>
      </c>
      <c r="AA78" s="901">
        <f ca="1">+SUMIFS(INDIRECT(CONCATENATE("'",$AZ78,$BA78,":",$BB78)),INDIRECT(CONCATENATE("'",$AZ78,$BA$35,":",$BB$35)),AA$35)+1159</f>
        <v>-15934.422470000005</v>
      </c>
      <c r="AB78" s="857">
        <f ca="1">+SUMIFS(INDIRECT(CONCATENATE("'",$AZ78,$BA78,":",$BB78)),INDIRECT(CONCATENATE("'",$AZ78,$BA$35,":",$BB$35)),AB$35)</f>
        <v>-23864.233980000005</v>
      </c>
      <c r="AC78" s="916">
        <f ca="1">+SUM(Y78:AB78)</f>
        <v>-71214.052980000008</v>
      </c>
      <c r="AD78" s="857">
        <f ca="1">+SUMIFS(INDIRECT(CONCATENATE("'",$AZ78,$BA78,":",$BB78)),INDIRECT(CONCATENATE("'",$AZ78,$BA$35,":",$BB$35)),AD$35)</f>
        <v>-16134.47566</v>
      </c>
      <c r="AE78" s="857">
        <f ca="1">+SUMIFS(INDIRECT(CONCATENATE("'",$AZ78,$BA78,":",$BB78)),INDIRECT(CONCATENATE("'",$AZ78,$BA$35,":",$BB$35)),AE$35)</f>
        <v>-19986.929600000003</v>
      </c>
      <c r="AF78" s="901">
        <f ca="1">+SUMIFS(INDIRECT(CONCATENATE("'",$AZ78,$BA78,":",$BB78)),INDIRECT(CONCATENATE("'",$AZ78,$BA$35,":",$BB$35)),AF$35)+6645</f>
        <v>-19111.751630000006</v>
      </c>
      <c r="AG78" s="901">
        <f ca="1">+SUMIFS(INDIRECT(CONCATENATE("'",$AZ78,$BA78,":",$BB78)),INDIRECT(CONCATENATE("'",$AZ78,$BA$35,":",$BB$35)),AG$35)-5459</f>
        <v>-21966.290939999999</v>
      </c>
      <c r="AH78" s="916">
        <f ca="1">+SUM(AD78:AG78)</f>
        <v>-77199.447830000005</v>
      </c>
      <c r="AI78" s="857">
        <f ca="1">+SUMIFS(INDIRECT(CONCATENATE("'",$AZ78,$BA78,":",$BB78)),INDIRECT(CONCATENATE("'",$AZ78,$BA$35,":",$BB$35)),AI$35)</f>
        <v>-18645.184150000001</v>
      </c>
      <c r="AJ78" s="857">
        <f ca="1">+SUMIFS(INDIRECT(CONCATENATE("'",$AZ78,$BA78,":",$BB78)),INDIRECT(CONCATENATE("'",$AZ78,$BA$35,":",$BB$35)),AJ$35)</f>
        <v>-23068.069059999994</v>
      </c>
      <c r="AK78" s="857">
        <f ca="1">+SUMIFS(INDIRECT(CONCATENATE("'",$AZ78,$BA78,":",$BB78)),INDIRECT(CONCATENATE("'",$AZ78,$BA$35,":",$BB$35)),AK$35)</f>
        <v>-24624.235850000005</v>
      </c>
      <c r="AL78" s="857">
        <f ca="1">+SUMIFS(INDIRECT(CONCATENATE("'",$AZ78,$BA78,":",$BB78)),INDIRECT(CONCATENATE("'",$AZ78,$BA$35,":",$BB$35)),AL$35)</f>
        <v>-28623.659970000001</v>
      </c>
      <c r="AM78" s="647">
        <f ca="1">+SUM(AI78:AL78)</f>
        <v>-94961.14903</v>
      </c>
      <c r="AN78" s="901">
        <f ca="1">+SUMIFS(INDIRECT(CONCATENATE("'",$AZ78,$BA78,":",$BB78)),INDIRECT(CONCATENATE("'",$AZ78,$BA$35,":",$BB$35)),AN$35)</f>
        <v>-25337.884590000005</v>
      </c>
      <c r="AO78" s="901">
        <f ca="1">+SUMIFS(INDIRECT(CONCATENATE("'",$AZ78,$BA78,":",$BB78)),INDIRECT(CONCATENATE("'",$AZ78,$BA$35,":",$BB$35)),AO$35)</f>
        <v>-21782.948499999999</v>
      </c>
      <c r="AP78" s="901">
        <f ca="1">+SUMIFS(INDIRECT(CONCATENATE("'",$AZ78,$BA78,":",$BB78)),INDIRECT(CONCATENATE("'",$AZ78,$BA$35,":",$BB$35)),AP$35)</f>
        <v>-23322.650829999999</v>
      </c>
      <c r="AQ78" s="901">
        <f ca="1">+SUMIFS(INDIRECT(CONCATENATE("'",$AZ78,$BA78,":",$BB78)),INDIRECT(CONCATENATE("'",$AZ78,$BA$35,":",$BB$35)),AQ$35)</f>
        <v>-25002.788710000008</v>
      </c>
      <c r="AR78" s="916">
        <f ca="1">+SUM(AN78:AQ78)</f>
        <v>-95446.272630000007</v>
      </c>
      <c r="AS78" s="857">
        <f ca="1">+SUMIFS(INDIRECT(CONCATENATE("'",$AZ78,$BA78,":",$BB78)),INDIRECT(CONCATENATE("'",$AZ78,$BA$35,":",$BB$35)),AS$35)</f>
        <v>-25180.730210000005</v>
      </c>
      <c r="AT78" s="857">
        <f ca="1">+SUMIFS(INDIRECT(CONCATENATE("'",$AZ78,$BA78,":",$BB78)),INDIRECT(CONCATENATE("'",$AZ78,$BA$35,":",$BB$35)),AT$35)</f>
        <v>-26323.649750000008</v>
      </c>
      <c r="AU78" s="857">
        <f ca="1">+SUMIFS(INDIRECT(CONCATENATE("'",$AZ78,$BA78,":",$BB78)),INDIRECT(CONCATENATE("'",$AZ78,$BA$35,":",$BB$35)),AU$35)</f>
        <v>-25720.035740000003</v>
      </c>
      <c r="AV78" s="857">
        <f ca="1">+SUMIFS(INDIRECT(CONCATENATE("'",$AZ78,$BA78,":",$BB78)),INDIRECT(CONCATENATE("'",$AZ78,$BA$35,":",$BB$35)),AV$35)</f>
        <v>-30240.550179999998</v>
      </c>
      <c r="AW78" s="647">
        <f ca="1">+SUM(AS78:AV78)</f>
        <v>-107464.96588</v>
      </c>
      <c r="AX78" s="901">
        <f ca="1">+SUMIFS(INDIRECT(CONCATENATE("'",$AZ78,$BA78,":",$BB78)),INDIRECT(CONCATENATE("'",$AZ78,$BA$35,":",$BB$35)),AX$35)</f>
        <v>-22213.325929999999</v>
      </c>
      <c r="AY78" s="901">
        <f ca="1">+SUMIFS(INDIRECT(CONCATENATE("'",$AZ78,$BA78,":",$BB78)),INDIRECT(CONCATENATE("'",$AZ78,$BA$35,":",$BB$35)),AY$35)+7212</f>
        <v>-26682.521939999999</v>
      </c>
      <c r="AZ78" s="266" t="str">
        <f>IF([1]RENAME!$H$3=0,BD78,BC78)</f>
        <v>Auto'!</v>
      </c>
      <c r="BA78" s="266" t="str">
        <f>"$"&amp;ROW(Auto!$D$14)</f>
        <v>$14</v>
      </c>
      <c r="BB78" s="266" t="str">
        <f>"$"&amp;ROW(Auto!$D$14)</f>
        <v>$14</v>
      </c>
      <c r="BC78" s="266" t="s">
        <v>1746</v>
      </c>
      <c r="BD78" s="266" t="s">
        <v>1745</v>
      </c>
      <c r="BN78" s="266"/>
      <c r="BO78" s="266"/>
      <c r="BP78" s="266"/>
      <c r="BQ78" s="266"/>
      <c r="BR78" s="266"/>
      <c r="BS78" s="266"/>
      <c r="BT78" s="266"/>
      <c r="BU78" s="266"/>
      <c r="BV78" s="266"/>
      <c r="BW78" s="266"/>
      <c r="BX78" s="266"/>
      <c r="BY78" s="266"/>
      <c r="BZ78" s="266"/>
      <c r="CA78" s="266"/>
      <c r="CB78" s="266"/>
      <c r="CC78" s="266"/>
      <c r="CD78" s="266"/>
      <c r="CE78" s="266"/>
      <c r="CF78" s="266"/>
      <c r="CG78" s="266"/>
      <c r="CH78" s="266"/>
      <c r="CI78" s="266"/>
      <c r="CJ78" s="266"/>
    </row>
    <row r="79" spans="1:88" s="850" customFormat="1" ht="13.5" customHeight="1" x14ac:dyDescent="0.2">
      <c r="A79" s="516" t="s">
        <v>1885</v>
      </c>
      <c r="B79" s="516" t="s">
        <v>1893</v>
      </c>
      <c r="C79" s="855"/>
      <c r="D79" s="861" t="str">
        <f>IF([1]RENAME!$H$3=1,B79,A79)</f>
        <v>% Receita líquida (sem deprec/amort e ajustado eventos ñ recorr)</v>
      </c>
      <c r="E79" s="875">
        <f t="shared" ref="E79:Z79" ca="1" si="108">E78/E70</f>
        <v>-9.4352402571841451E-2</v>
      </c>
      <c r="F79" s="875">
        <f t="shared" ca="1" si="108"/>
        <v>-9.0940995454736037E-2</v>
      </c>
      <c r="G79" s="875">
        <f t="shared" ca="1" si="108"/>
        <v>-7.4856101232457548E-2</v>
      </c>
      <c r="H79" s="875">
        <f t="shared" ca="1" si="108"/>
        <v>-0.1115675822888285</v>
      </c>
      <c r="I79" s="1006">
        <f t="shared" ca="1" si="108"/>
        <v>-9.350976090867491E-2</v>
      </c>
      <c r="J79" s="875">
        <f t="shared" ca="1" si="108"/>
        <v>-0.11150412201855289</v>
      </c>
      <c r="K79" s="875">
        <f t="shared" ca="1" si="108"/>
        <v>-6.8711543708525641E-2</v>
      </c>
      <c r="L79" s="875">
        <f t="shared" ca="1" si="108"/>
        <v>-6.7250701154060413E-2</v>
      </c>
      <c r="M79" s="875">
        <f t="shared" ca="1" si="108"/>
        <v>-5.7464567909030442E-2</v>
      </c>
      <c r="N79" s="869">
        <f t="shared" ca="1" si="108"/>
        <v>-7.3693490838247194E-2</v>
      </c>
      <c r="O79" s="875">
        <f t="shared" ca="1" si="108"/>
        <v>-8.2642584035047956E-2</v>
      </c>
      <c r="P79" s="875">
        <f t="shared" ca="1" si="108"/>
        <v>-7.761227588517533E-2</v>
      </c>
      <c r="Q79" s="875">
        <f t="shared" ca="1" si="108"/>
        <v>-8.1059165875251013E-2</v>
      </c>
      <c r="R79" s="875">
        <f t="shared" ca="1" si="108"/>
        <v>-8.3185421831881226E-2</v>
      </c>
      <c r="S79" s="862">
        <f t="shared" ca="1" si="108"/>
        <v>-8.1154523762439881E-2</v>
      </c>
      <c r="T79" s="875">
        <f t="shared" ca="1" si="108"/>
        <v>-0.11440224026051474</v>
      </c>
      <c r="U79" s="875">
        <f t="shared" ca="1" si="108"/>
        <v>-0.22288294617421986</v>
      </c>
      <c r="V79" s="875">
        <f t="shared" ca="1" si="108"/>
        <v>-8.5346563084325283E-2</v>
      </c>
      <c r="W79" s="875">
        <f t="shared" ca="1" si="108"/>
        <v>-8.0465013586080339E-2</v>
      </c>
      <c r="X79" s="862">
        <f t="shared" ca="1" si="108"/>
        <v>-0.10617505623498737</v>
      </c>
      <c r="Y79" s="875">
        <f t="shared" ca="1" si="108"/>
        <v>-5.5711469917793653E-2</v>
      </c>
      <c r="Z79" s="875">
        <f t="shared" ca="1" si="108"/>
        <v>-0.10092034582320451</v>
      </c>
      <c r="AA79" s="875">
        <f t="shared" ref="AA79:AF79" ca="1" si="109">AA78/AA70</f>
        <v>-8.2000861325758664E-2</v>
      </c>
      <c r="AB79" s="875">
        <f t="shared" ca="1" si="109"/>
        <v>-8.7755168763631944E-2</v>
      </c>
      <c r="AC79" s="862">
        <f t="shared" ca="1" si="109"/>
        <v>-8.2089905130880755E-2</v>
      </c>
      <c r="AD79" s="875">
        <f t="shared" ca="1" si="109"/>
        <v>-7.995496489928583E-2</v>
      </c>
      <c r="AE79" s="875">
        <f t="shared" ca="1" si="109"/>
        <v>-7.5110021934350971E-2</v>
      </c>
      <c r="AF79" s="875">
        <f t="shared" ca="1" si="109"/>
        <v>-5.1220077535596709E-2</v>
      </c>
      <c r="AG79" s="875">
        <f t="shared" ref="AG79:AO79" ca="1" si="110">AG78/AG70</f>
        <v>-5.8983853337932914E-2</v>
      </c>
      <c r="AH79" s="862">
        <f t="shared" ca="1" si="110"/>
        <v>-6.3620399348344514E-2</v>
      </c>
      <c r="AI79" s="875">
        <f t="shared" ca="1" si="110"/>
        <v>-6.2769995375484069E-2</v>
      </c>
      <c r="AJ79" s="875">
        <f t="shared" ca="1" si="110"/>
        <v>-6.9712344890733802E-2</v>
      </c>
      <c r="AK79" s="875">
        <f t="shared" ca="1" si="110"/>
        <v>-6.3822394997946175E-2</v>
      </c>
      <c r="AL79" s="875">
        <f t="shared" ca="1" si="110"/>
        <v>-6.9244439931761506E-2</v>
      </c>
      <c r="AM79" s="862">
        <f t="shared" ca="1" si="110"/>
        <v>-6.6539522583646149E-2</v>
      </c>
      <c r="AN79" s="875">
        <f t="shared" ca="1" si="110"/>
        <v>-7.2912291035806889E-2</v>
      </c>
      <c r="AO79" s="875">
        <f t="shared" ca="1" si="110"/>
        <v>-5.098059969459106E-2</v>
      </c>
      <c r="AP79" s="875">
        <f t="shared" ref="AP79:AX79" ca="1" si="111">AP78/AP70</f>
        <v>-4.150438808795813E-2</v>
      </c>
      <c r="AQ79" s="875">
        <f t="shared" ca="1" si="111"/>
        <v>-4.2861685409133793E-2</v>
      </c>
      <c r="AR79" s="862">
        <f t="shared" ca="1" si="111"/>
        <v>-4.9710053134825585E-2</v>
      </c>
      <c r="AS79" s="875">
        <f t="shared" ca="1" si="111"/>
        <v>-6.3823751099832529E-2</v>
      </c>
      <c r="AT79" s="875">
        <f t="shared" ca="1" si="111"/>
        <v>-5.3081904656825177E-2</v>
      </c>
      <c r="AU79" s="875">
        <f t="shared" ca="1" si="111"/>
        <v>-4.2876802281869575E-2</v>
      </c>
      <c r="AV79" s="875">
        <f t="shared" ca="1" si="111"/>
        <v>-5.288124444047549E-2</v>
      </c>
      <c r="AW79" s="862">
        <f t="shared" ca="1" si="111"/>
        <v>-5.2112855579836852E-2</v>
      </c>
      <c r="AX79" s="875">
        <f t="shared" ca="1" si="111"/>
        <v>-4.6268027466723781E-2</v>
      </c>
      <c r="AY79" s="875">
        <f ca="1">AY78/AY70</f>
        <v>-3.8509141739324494E-2</v>
      </c>
      <c r="AZ79" s="851"/>
      <c r="BA79" s="851"/>
      <c r="BB79" s="851"/>
      <c r="BC79" s="851"/>
      <c r="BD79" s="851"/>
      <c r="BE79" s="851"/>
      <c r="BF79" s="851"/>
      <c r="BG79" s="851"/>
      <c r="BH79" s="851"/>
      <c r="BK79" s="851"/>
      <c r="BL79" s="851"/>
      <c r="BM79" s="851"/>
      <c r="BN79" s="851"/>
      <c r="BO79" s="851"/>
      <c r="BP79" s="851"/>
      <c r="BQ79" s="851"/>
      <c r="BR79" s="851"/>
      <c r="BS79" s="851"/>
      <c r="BT79" s="851"/>
      <c r="BU79" s="851"/>
      <c r="BV79" s="851"/>
      <c r="BW79" s="851"/>
      <c r="BX79" s="851"/>
      <c r="BY79" s="851"/>
      <c r="BZ79" s="851"/>
      <c r="CA79" s="851"/>
      <c r="CB79" s="851"/>
      <c r="CC79" s="851"/>
      <c r="CD79" s="851"/>
      <c r="CE79" s="851"/>
      <c r="CF79" s="851"/>
      <c r="CG79" s="851"/>
      <c r="CH79" s="851"/>
      <c r="CI79" s="851"/>
      <c r="CJ79" s="851"/>
    </row>
    <row r="80" spans="1:88" ht="13.5" customHeight="1" x14ac:dyDescent="0.2">
      <c r="A80" s="516" t="s">
        <v>1870</v>
      </c>
      <c r="B80" s="516" t="s">
        <v>1730</v>
      </c>
      <c r="C80" s="24"/>
      <c r="D80" s="924" t="str">
        <f>IF([1]RENAME!$H$3=1,B80,A80)</f>
        <v>EBITDA ajustado (a+b)</v>
      </c>
      <c r="E80" s="925">
        <f ca="1">E76+E78</f>
        <v>15844.454640000011</v>
      </c>
      <c r="F80" s="1007">
        <f ca="1">F76+F78</f>
        <v>25289.128610000014</v>
      </c>
      <c r="G80" s="925">
        <f ca="1">G76+G78</f>
        <v>34870.320750000028</v>
      </c>
      <c r="H80" s="925">
        <f ca="1">H76+H78</f>
        <v>35848.077430000034</v>
      </c>
      <c r="I80" s="1005">
        <f ca="1">+SUM(E80:H80)</f>
        <v>111851.98143000009</v>
      </c>
      <c r="J80" s="925">
        <f ca="1">J76+J78</f>
        <v>22612.676620000002</v>
      </c>
      <c r="K80" s="925">
        <f ca="1">K76+K78</f>
        <v>38247.540069999974</v>
      </c>
      <c r="L80" s="925">
        <f ca="1">L76+L78</f>
        <v>49403.81290999995</v>
      </c>
      <c r="M80" s="1007">
        <f ca="1">M76+M78</f>
        <v>61958.097968471506</v>
      </c>
      <c r="N80" s="1005">
        <f ca="1">+SUM(J80:M80)</f>
        <v>172222.12756847142</v>
      </c>
      <c r="O80" s="925">
        <f ca="1">O76+O78</f>
        <v>42498.737950000024</v>
      </c>
      <c r="P80" s="925">
        <f ca="1">P76+P78</f>
        <v>48651.234510000024</v>
      </c>
      <c r="Q80" s="1007">
        <f ca="1">Q76+Q78</f>
        <v>49860.368541158714</v>
      </c>
      <c r="R80" s="1007">
        <f ca="1">R76+R78</f>
        <v>57472.928079999991</v>
      </c>
      <c r="S80" s="1008">
        <f ca="1">+SUM(O80:R80)</f>
        <v>198483.26908115874</v>
      </c>
      <c r="T80" s="1007">
        <f ca="1">T76+T78</f>
        <v>29279.139880000006</v>
      </c>
      <c r="U80" s="925">
        <f ca="1">U76+U78</f>
        <v>-11654.691910000009</v>
      </c>
      <c r="V80" s="925">
        <f ca="1">V76+V78</f>
        <v>38792.218860000008</v>
      </c>
      <c r="W80" s="925">
        <f ca="1">W76+W78</f>
        <v>43245.378730000033</v>
      </c>
      <c r="X80" s="1008">
        <f ca="1">+SUM(T80:W80)</f>
        <v>99662.045560000028</v>
      </c>
      <c r="Y80" s="925">
        <f ca="1">Y76+Y78</f>
        <v>33121.461580000003</v>
      </c>
      <c r="Z80" s="925">
        <f ca="1">Z76+Z78</f>
        <v>23451.069519999983</v>
      </c>
      <c r="AA80" s="1007">
        <f ca="1">AA76+AA78</f>
        <v>25522.103049999991</v>
      </c>
      <c r="AB80" s="925">
        <f ca="1">AB76+AB78</f>
        <v>36547.697839999906</v>
      </c>
      <c r="AC80" s="1008">
        <f ca="1">+SUM(Y80:AB80)</f>
        <v>118642.33198999988</v>
      </c>
      <c r="AD80" s="925">
        <f ca="1">AD76+AD78</f>
        <v>21064.224549999981</v>
      </c>
      <c r="AE80" s="925">
        <f ca="1">AE76+AE78</f>
        <v>37794.76152999996</v>
      </c>
      <c r="AF80" s="1007">
        <f ca="1">AF76+AF78</f>
        <v>73953.691759999958</v>
      </c>
      <c r="AG80" s="1007">
        <f ca="1">AG76+AG78</f>
        <v>61462.584349999939</v>
      </c>
      <c r="AH80" s="1008">
        <f ca="1">+SUM(AD80:AG80)</f>
        <v>194275.26218999983</v>
      </c>
      <c r="AI80" s="925">
        <f ca="1">AI76+AI78</f>
        <v>42526.002939999846</v>
      </c>
      <c r="AJ80" s="925">
        <f ca="1">AJ76+AJ78</f>
        <v>46446.635920000102</v>
      </c>
      <c r="AK80" s="925">
        <f ca="1">AK76+AK78</f>
        <v>66835.06712000008</v>
      </c>
      <c r="AL80" s="925">
        <f ca="1">AL76+AL78</f>
        <v>62390.654760000274</v>
      </c>
      <c r="AM80" s="1109">
        <f ca="1">+SUM(AI80:AL80)</f>
        <v>218198.36074000029</v>
      </c>
      <c r="AN80" s="925">
        <f ca="1">AN76+AN78</f>
        <v>49961.870029999845</v>
      </c>
      <c r="AO80" s="925">
        <f ca="1">AO76+AO78</f>
        <v>74630.695230000012</v>
      </c>
      <c r="AP80" s="925">
        <f ca="1">AP76+AP78</f>
        <v>117564.8570800001</v>
      </c>
      <c r="AQ80" s="925">
        <f ca="1">AQ76+AQ78</f>
        <v>120277.85008999995</v>
      </c>
      <c r="AR80" s="1109">
        <f ca="1">+SUM(AN80:AQ80)</f>
        <v>362435.2724299999</v>
      </c>
      <c r="AS80" s="925">
        <f ca="1">AS76+AS78</f>
        <v>60517.845799999952</v>
      </c>
      <c r="AT80" s="925">
        <f ca="1">AT76+AT78</f>
        <v>86348.288849999808</v>
      </c>
      <c r="AU80" s="925">
        <f ca="1">AU76+AU78</f>
        <v>112016.43730000012</v>
      </c>
      <c r="AV80" s="925">
        <f ca="1">AV76+AV78</f>
        <v>77978.530179999972</v>
      </c>
      <c r="AW80" s="1109">
        <f ca="1">+SUM(AS80:AV80)</f>
        <v>336861.1021299999</v>
      </c>
      <c r="AX80" s="925">
        <f ca="1">AX76+AX78</f>
        <v>65551.990749999997</v>
      </c>
      <c r="AY80" s="925">
        <f ca="1">AY76+AY78</f>
        <v>131585.34125999978</v>
      </c>
      <c r="BN80" s="266"/>
      <c r="BO80" s="266"/>
      <c r="BP80" s="266"/>
      <c r="BQ80" s="266"/>
      <c r="BR80" s="266"/>
      <c r="BS80" s="266"/>
      <c r="BT80" s="266"/>
      <c r="BU80" s="266"/>
      <c r="BV80" s="266"/>
      <c r="BW80" s="266"/>
      <c r="BX80" s="266"/>
      <c r="BY80" s="266"/>
      <c r="BZ80" s="266"/>
      <c r="CA80" s="266"/>
      <c r="CB80" s="266"/>
      <c r="CC80" s="266"/>
      <c r="CD80" s="266"/>
      <c r="CE80" s="266"/>
      <c r="CF80" s="266"/>
      <c r="CG80" s="266"/>
      <c r="CH80" s="266"/>
      <c r="CI80" s="266"/>
      <c r="CJ80" s="266"/>
    </row>
    <row r="81" spans="1:88" s="850" customFormat="1" ht="13.5" customHeight="1" x14ac:dyDescent="0.2">
      <c r="A81" s="516" t="s">
        <v>1729</v>
      </c>
      <c r="B81" s="516" t="s">
        <v>731</v>
      </c>
      <c r="C81" s="855"/>
      <c r="D81" s="861" t="str">
        <f>IF([1]RENAME!$H$3=1,B81,A81)</f>
        <v>Margem EBITDA Ajustado</v>
      </c>
      <c r="E81" s="860">
        <f t="shared" ref="E81:Z81" ca="1" si="112">+E80/E70</f>
        <v>9.1417961610156251E-2</v>
      </c>
      <c r="F81" s="860">
        <f t="shared" ca="1" si="112"/>
        <v>0.11720390159421828</v>
      </c>
      <c r="G81" s="860">
        <f t="shared" ca="1" si="112"/>
        <v>0.14281431840389125</v>
      </c>
      <c r="H81" s="860">
        <f t="shared" ca="1" si="112"/>
        <v>0.13043817956843284</v>
      </c>
      <c r="I81" s="859">
        <f t="shared" ca="1" si="112"/>
        <v>0.12317377728168627</v>
      </c>
      <c r="J81" s="860">
        <f t="shared" ca="1" si="112"/>
        <v>0.10164801478635342</v>
      </c>
      <c r="K81" s="860">
        <f t="shared" ca="1" si="112"/>
        <v>0.14940993674895239</v>
      </c>
      <c r="L81" s="860">
        <f t="shared" ca="1" si="112"/>
        <v>0.1668592615565144</v>
      </c>
      <c r="M81" s="860">
        <f t="shared" ca="1" si="112"/>
        <v>0.19231545820526513</v>
      </c>
      <c r="N81" s="859">
        <f t="shared" ca="1" si="112"/>
        <v>0.15703653411535268</v>
      </c>
      <c r="O81" s="860">
        <f t="shared" ca="1" si="112"/>
        <v>0.16414697241853671</v>
      </c>
      <c r="P81" s="860">
        <f t="shared" ca="1" si="112"/>
        <v>0.16542138639328</v>
      </c>
      <c r="Q81" s="860">
        <f t="shared" ca="1" si="112"/>
        <v>0.16631680487888842</v>
      </c>
      <c r="R81" s="860">
        <f t="shared" ca="1" si="112"/>
        <v>0.17036893417816859</v>
      </c>
      <c r="S81" s="859">
        <f t="shared" ca="1" si="112"/>
        <v>0.16677206828316679</v>
      </c>
      <c r="T81" s="860">
        <f t="shared" ca="1" si="112"/>
        <v>0.12161105968728553</v>
      </c>
      <c r="U81" s="860">
        <f t="shared" ca="1" si="112"/>
        <v>-0.13415056697196634</v>
      </c>
      <c r="V81" s="860">
        <f t="shared" ca="1" si="112"/>
        <v>0.15804054886249783</v>
      </c>
      <c r="W81" s="860">
        <f t="shared" ca="1" si="112"/>
        <v>0.15866241731027189</v>
      </c>
      <c r="X81" s="859">
        <f t="shared" ca="1" si="112"/>
        <v>0.11785150865559312</v>
      </c>
      <c r="Y81" s="860">
        <f t="shared" ca="1" si="112"/>
        <v>0.1649272013190291</v>
      </c>
      <c r="Z81" s="860">
        <f t="shared" ca="1" si="112"/>
        <v>0.11700558029246444</v>
      </c>
      <c r="AA81" s="860">
        <f t="shared" ref="AA81:AF81" ca="1" si="113">+AA80/AA70</f>
        <v>0.13134046350816822</v>
      </c>
      <c r="AB81" s="860">
        <f t="shared" ca="1" si="113"/>
        <v>0.13439565646897908</v>
      </c>
      <c r="AC81" s="859">
        <f t="shared" ca="1" si="113"/>
        <v>0.13676145886965282</v>
      </c>
      <c r="AD81" s="860">
        <f t="shared" ca="1" si="113"/>
        <v>0.10438450991632185</v>
      </c>
      <c r="AE81" s="860">
        <f t="shared" ca="1" si="113"/>
        <v>0.14203108853307117</v>
      </c>
      <c r="AF81" s="860">
        <f t="shared" ca="1" si="113"/>
        <v>0.19819815050572714</v>
      </c>
      <c r="AG81" s="860">
        <f t="shared" ref="AG81:AO81" ca="1" si="114">+AG80/AG70</f>
        <v>0.16503924449389668</v>
      </c>
      <c r="AH81" s="859">
        <f t="shared" ca="1" si="114"/>
        <v>0.16010308507969703</v>
      </c>
      <c r="AI81" s="860">
        <f t="shared" ca="1" si="114"/>
        <v>0.14316603077806622</v>
      </c>
      <c r="AJ81" s="860">
        <f t="shared" ca="1" si="114"/>
        <v>0.1403630227500885</v>
      </c>
      <c r="AK81" s="860">
        <f t="shared" ca="1" si="114"/>
        <v>0.17322665683641467</v>
      </c>
      <c r="AL81" s="860">
        <f t="shared" ca="1" si="114"/>
        <v>0.15093129076994513</v>
      </c>
      <c r="AM81" s="859">
        <f t="shared" ca="1" si="114"/>
        <v>0.15289215537595333</v>
      </c>
      <c r="AN81" s="860">
        <f t="shared" ca="1" si="114"/>
        <v>0.14377026603705537</v>
      </c>
      <c r="AO81" s="860">
        <f t="shared" ca="1" si="114"/>
        <v>0.17466494944197558</v>
      </c>
      <c r="AP81" s="860">
        <f t="shared" ref="AP81:AX81" ca="1" si="115">+AP80/AP70</f>
        <v>0.2092153884787914</v>
      </c>
      <c r="AQ81" s="860">
        <f t="shared" ca="1" si="115"/>
        <v>0.20618945478600298</v>
      </c>
      <c r="AR81" s="859">
        <f t="shared" ca="1" si="115"/>
        <v>0.18876249594651437</v>
      </c>
      <c r="AS81" s="860">
        <f t="shared" ca="1" si="115"/>
        <v>0.15339014775287732</v>
      </c>
      <c r="AT81" s="860">
        <f t="shared" ca="1" si="115"/>
        <v>0.17412219352355154</v>
      </c>
      <c r="AU81" s="860">
        <f t="shared" ca="1" si="115"/>
        <v>0.18673794558387907</v>
      </c>
      <c r="AV81" s="860">
        <f t="shared" ca="1" si="115"/>
        <v>0.13636000968939957</v>
      </c>
      <c r="AW81" s="859">
        <f t="shared" ca="1" si="115"/>
        <v>0.16335364573946631</v>
      </c>
      <c r="AX81" s="860">
        <f t="shared" ca="1" si="115"/>
        <v>0.13653791953879746</v>
      </c>
      <c r="AY81" s="860">
        <f ca="1">+AY80/AY70</f>
        <v>0.18990853146465045</v>
      </c>
      <c r="AZ81" s="851"/>
      <c r="BA81" s="851"/>
      <c r="BB81" s="851"/>
      <c r="BC81" s="851"/>
      <c r="BD81" s="851"/>
      <c r="BE81" s="851"/>
      <c r="BF81" s="851"/>
      <c r="BG81" s="851"/>
      <c r="BH81" s="851"/>
      <c r="BK81" s="851"/>
      <c r="BL81" s="851"/>
      <c r="BM81" s="851"/>
      <c r="BN81" s="851"/>
      <c r="BO81" s="851"/>
      <c r="BP81" s="851"/>
      <c r="BQ81" s="851"/>
      <c r="BR81" s="851"/>
      <c r="BS81" s="851"/>
      <c r="BT81" s="851"/>
      <c r="BU81" s="851"/>
      <c r="BV81" s="851"/>
      <c r="BW81" s="851"/>
      <c r="BX81" s="851"/>
      <c r="BY81" s="851"/>
      <c r="BZ81" s="851"/>
      <c r="CA81" s="851"/>
      <c r="CB81" s="851"/>
      <c r="CC81" s="851"/>
      <c r="CD81" s="851"/>
      <c r="CE81" s="851"/>
      <c r="CF81" s="851"/>
      <c r="CG81" s="851"/>
      <c r="CH81" s="851"/>
      <c r="CI81" s="851"/>
      <c r="CJ81" s="851"/>
    </row>
    <row r="82" spans="1:88" ht="13.5" customHeight="1" x14ac:dyDescent="0.2">
      <c r="A82" s="516" t="s">
        <v>1873</v>
      </c>
      <c r="B82" s="1" t="s">
        <v>1727</v>
      </c>
      <c r="C82" s="899"/>
      <c r="D82" s="858" t="str">
        <f>IF([1]RENAME!$H$3=1,B82,A82)</f>
        <v>(c) Custos com aluguel (IFRS-16)</v>
      </c>
      <c r="E82" s="857">
        <v>0</v>
      </c>
      <c r="F82" s="857">
        <v>0</v>
      </c>
      <c r="G82" s="857">
        <v>0</v>
      </c>
      <c r="H82" s="857">
        <v>0</v>
      </c>
      <c r="I82" s="647">
        <f>SUM(E82:H82)</f>
        <v>0</v>
      </c>
      <c r="J82" s="857">
        <v>0</v>
      </c>
      <c r="K82" s="857">
        <v>0</v>
      </c>
      <c r="L82" s="857">
        <v>0</v>
      </c>
      <c r="M82" s="857">
        <v>0</v>
      </c>
      <c r="N82" s="647">
        <f>SUM(J82:M82)</f>
        <v>0</v>
      </c>
      <c r="O82" s="857">
        <f ca="1">+SUMIFS(INDIRECT(CONCATENATE("'",$AZ82,$BA82,":",$BB82)),INDIRECT(CONCATENATE("'",$AZ82,$BA$89,":",$BB$89)),O$35)</f>
        <v>-4981</v>
      </c>
      <c r="P82" s="857">
        <f ca="1">+SUMIFS(INDIRECT(CONCATENATE("'",$AZ82,$BA82,":",$BB82)),INDIRECT(CONCATENATE("'",$AZ82,$BA$89,":",$BB$89)),P$35)</f>
        <v>-4381</v>
      </c>
      <c r="Q82" s="857">
        <f ca="1">+SUMIFS(INDIRECT(CONCATENATE("'",$AZ82,$BA82,":",$BB82)),INDIRECT(CONCATENATE("'",$AZ82,$BA$89,":",$BB$89)),Q$35)</f>
        <v>-4770</v>
      </c>
      <c r="R82" s="857">
        <f ca="1">+SUMIFS(INDIRECT(CONCATENATE("'",$AZ82,$BA82,":",$BB82)),INDIRECT(CONCATENATE("'",$AZ82,$BA$89,":",$BB$89)),R$35)</f>
        <v>-4810.0787082777097</v>
      </c>
      <c r="S82" s="647">
        <f ca="1">SUM(O82:R82)</f>
        <v>-18942.07870827771</v>
      </c>
      <c r="T82" s="857">
        <f ca="1">+SUMIFS(INDIRECT(CONCATENATE("'",$AZ82,$BA82,":",$BB82)),INDIRECT(CONCATENATE("'",$AZ82,$BA$89,":",$BB$89)),T$35)</f>
        <v>-5221.6656000000103</v>
      </c>
      <c r="U82" s="857">
        <f ca="1">+SUMIFS(INDIRECT(CONCATENATE("'",$AZ82,$BA82,":",$BB82)),INDIRECT(CONCATENATE("'",$AZ82,$BA$89,":",$BB$89)),U$35)</f>
        <v>-4983.0441500000097</v>
      </c>
      <c r="V82" s="857">
        <f ca="1">+SUMIFS(INDIRECT(CONCATENATE("'",$AZ82,$BA82,":",$BB82)),INDIRECT(CONCATENATE("'",$AZ82,$BA$89,":",$BB$89)),V$35)</f>
        <v>-5318.7323999999899</v>
      </c>
      <c r="W82" s="857">
        <f ca="1">+SUMIFS(INDIRECT(CONCATENATE("'",$AZ82,$BA82,":",$BB82)),INDIRECT(CONCATENATE("'",$AZ82,$BA$89,":",$BB$89)),W$35)</f>
        <v>-5262.5423200000096</v>
      </c>
      <c r="X82" s="647">
        <f ca="1">SUM(T82:W82)</f>
        <v>-20785.984470000018</v>
      </c>
      <c r="Y82" s="857">
        <f ca="1">+SUMIFS(INDIRECT(CONCATENATE("'",$AZ82,$BA82,":",$BB82)),INDIRECT(CONCATENATE("'",$AZ82,$BA$89,":",$BB$89)),Y$35)</f>
        <v>-7298.4094699999896</v>
      </c>
      <c r="Z82" s="857">
        <f ca="1">+SUMIFS(INDIRECT(CONCATENATE("'",$AZ82,$BA82,":",$BB82)),INDIRECT(CONCATENATE("'",$AZ82,$BA$89,":",$BB$89)),Z$35)</f>
        <v>-6225.2279400000098</v>
      </c>
      <c r="AA82" s="857">
        <f ca="1">+SUMIFS(INDIRECT(CONCATENATE("'",$AZ82,$BA82,":",$BB82)),INDIRECT(CONCATENATE("'",$AZ82,$BA$89,":",$BB$89)),AA$35)</f>
        <v>-5997.3069699999887</v>
      </c>
      <c r="AB82" s="857">
        <f ca="1">+SUMIFS(INDIRECT(CONCATENATE("'",$AZ82,$BA82,":",$BB82)),INDIRECT(CONCATENATE("'",$AZ82,$BA$89,":",$BB$89)),AB$35)</f>
        <v>-5965.6264300000103</v>
      </c>
      <c r="AC82" s="647">
        <f ca="1">SUM(Y82:AB82)</f>
        <v>-25486.570809999997</v>
      </c>
      <c r="AD82" s="857">
        <f ca="1">+SUMIFS(INDIRECT(CONCATENATE("'",$AZ82,$BA82,":",$BB82)),INDIRECT(CONCATENATE("'",$AZ82,$BA$89,":",$BB$89)),AD$35)</f>
        <v>-6375.8603899999998</v>
      </c>
      <c r="AE82" s="857">
        <f ca="1">+SUMIFS(INDIRECT(CONCATENATE("'",$AZ82,$BA82,":",$BB82)),INDIRECT(CONCATENATE("'",$AZ82,$BA$89,":",$BB$89)),AE$35)</f>
        <v>-7005.7261199999921</v>
      </c>
      <c r="AF82" s="857">
        <f ca="1">+SUMIFS(INDIRECT(CONCATENATE("'",$AZ82,$BA82,":",$BB82)),INDIRECT(CONCATENATE("'",$AZ82,$BA$89,":",$BB$89)),AF$35)</f>
        <v>-6648.5328399999698</v>
      </c>
      <c r="AG82" s="857">
        <f ca="1">+SUMIFS(INDIRECT(CONCATENATE("'",$AZ82,$BA82,":",$BB82)),INDIRECT(CONCATENATE("'",$AZ82,$BA$89,":",$BB$89)),AG$35)</f>
        <v>-7125.4665299999797</v>
      </c>
      <c r="AH82" s="647">
        <f ca="1">SUM(AD82:AG82)</f>
        <v>-27155.585879999941</v>
      </c>
      <c r="AI82" s="857">
        <f ca="1">+SUMIFS(INDIRECT(CONCATENATE("'",$AZ82,$BA82,":",$BB82)),INDIRECT(CONCATENATE("'",$AZ82,$BA$89,":",$BB$89)),AI$35)</f>
        <v>-7315.9999799999896</v>
      </c>
      <c r="AJ82" s="857">
        <f ca="1">+SUMIFS(INDIRECT(CONCATENATE("'",$AZ82,$BA82,":",$BB82)),INDIRECT(CONCATENATE("'",$AZ82,$BA$89,":",$BB$89)),AJ$35)</f>
        <v>-7304.5372799999996</v>
      </c>
      <c r="AK82" s="857">
        <f ca="1">+SUMIFS(INDIRECT(CONCATENATE("'",$AZ82,$BA82,":",$BB82)),INDIRECT(CONCATENATE("'",$AZ82,$BA$89,":",$BB$89)),AK$35)</f>
        <v>-7948.7313800000102</v>
      </c>
      <c r="AL82" s="857">
        <f ca="1">+SUMIFS(INDIRECT(CONCATENATE("'",$AZ82,$BA82,":",$BB82)),INDIRECT(CONCATENATE("'",$AZ82,$BA$89,":",$BB$89)),AL$35)</f>
        <v>-8621.4421400000192</v>
      </c>
      <c r="AM82" s="647">
        <f ca="1">SUM(AI82:AL82)</f>
        <v>-31190.710780000023</v>
      </c>
      <c r="AN82" s="857">
        <f ca="1">+SUMIFS(INDIRECT(CONCATENATE("'",$AZ82,$BA82,":",$BB82)),INDIRECT(CONCATENATE("'",$AZ82,$BA$89,":",$BB$89)),AN$35)</f>
        <v>-6907.8126200000097</v>
      </c>
      <c r="AO82" s="857">
        <f ca="1">+SUMIFS(INDIRECT(CONCATENATE("'",$AZ82,$BA82,":",$BB82)),INDIRECT(CONCATENATE("'",$AZ82,$BA$89,":",$BB$89)),AO$35)</f>
        <v>-7069.81412000001</v>
      </c>
      <c r="AP82" s="857">
        <f ca="1">+SUMIFS(INDIRECT(CONCATENATE("'",$AZ82,$BA82,":",$BB82)),INDIRECT(CONCATENATE("'",$AZ82,$BA$89,":",$BB$89)),AP$35)</f>
        <v>-6995.6201300000002</v>
      </c>
      <c r="AQ82" s="857">
        <f ca="1">+SUMIFS(INDIRECT(CONCATENATE("'",$AZ82,$BA82,":",$BB82)),INDIRECT(CONCATENATE("'",$AZ82,$BA$89,":",$BB$89)),AQ$35)</f>
        <v>-6526.4769800000004</v>
      </c>
      <c r="AR82" s="647">
        <f ca="1">SUM(AN82:AQ82)</f>
        <v>-27499.72385000002</v>
      </c>
      <c r="AS82" s="857">
        <f ca="1">+SUMIFS(INDIRECT(CONCATENATE("'",$AZ82,$BA82,":",$BB82)),INDIRECT(CONCATENATE("'",$AZ82,$BA$89,":",$BB$89)),AS$35)</f>
        <v>-7229.6381000000001</v>
      </c>
      <c r="AT82" s="857">
        <f ca="1">+SUMIFS(INDIRECT(CONCATENATE("'",$AZ82,$BA82,":",$BB82)),INDIRECT(CONCATENATE("'",$AZ82,$BA$89,":",$BB$89)),AT$35)</f>
        <v>-7348.6779800000004</v>
      </c>
      <c r="AU82" s="857">
        <f ca="1">+SUMIFS(INDIRECT(CONCATENATE("'",$AZ82,$BA82,":",$BB82)),INDIRECT(CONCATENATE("'",$AZ82,$BA$89,":",$BB$89)),AU$35)</f>
        <v>-7539.0055199999997</v>
      </c>
      <c r="AV82" s="857">
        <f ca="1">+SUMIFS(INDIRECT(CONCATENATE("'",$AZ82,$BA82,":",$BB82)),INDIRECT(CONCATENATE("'",$AZ82,$BA$89,":",$BB$89)),AV$35)</f>
        <v>-7908.9215800000002</v>
      </c>
      <c r="AW82" s="647">
        <f ca="1">SUM(AS82:AV82)</f>
        <v>-30026.243179999998</v>
      </c>
      <c r="AX82" s="857">
        <f ca="1">+SUMIFS(INDIRECT(CONCATENATE("'",$AZ82,$BA82,":",$BB82)),INDIRECT(CONCATENATE("'",$AZ82,$BA$89,":",$BB$89)),AX$35)</f>
        <v>-7770.7715099999996</v>
      </c>
      <c r="AY82" s="857">
        <f ca="1">+SUMIFS(INDIRECT(CONCATENATE("'",$AZ82,$BA82,":",$BB82)),INDIRECT(CONCATENATE("'",$AZ82,$BA$89,":",$BB$89)),AY$35)</f>
        <v>-9409.3086999999996</v>
      </c>
      <c r="AZ82" s="266" t="str">
        <f>IF([1]RENAME!$H$3=0,BD82,BC82)</f>
        <v>Anexos'!</v>
      </c>
      <c r="BA82" s="266" t="str">
        <f>"$"&amp;ROW(Anexos!$D$7)</f>
        <v>$7</v>
      </c>
      <c r="BB82" s="266" t="str">
        <f>"$"&amp;ROW(Anexos!$D$7)</f>
        <v>$7</v>
      </c>
      <c r="BC82" s="266" t="s">
        <v>1726</v>
      </c>
      <c r="BD82" s="266" t="s">
        <v>1725</v>
      </c>
      <c r="BN82" s="266"/>
      <c r="BO82" s="266"/>
      <c r="BP82" s="266"/>
      <c r="BQ82" s="266"/>
      <c r="BR82" s="266"/>
      <c r="BS82" s="266"/>
      <c r="BT82" s="266"/>
      <c r="BU82" s="266"/>
      <c r="BV82" s="266"/>
      <c r="BW82" s="266"/>
      <c r="BX82" s="266"/>
      <c r="BY82" s="266"/>
      <c r="BZ82" s="266"/>
      <c r="CA82" s="266"/>
      <c r="CB82" s="266"/>
      <c r="CC82" s="266"/>
      <c r="CD82" s="266"/>
      <c r="CE82" s="266"/>
      <c r="CF82" s="266"/>
      <c r="CG82" s="266"/>
      <c r="CH82" s="266"/>
      <c r="CI82" s="266"/>
      <c r="CJ82" s="266"/>
    </row>
    <row r="83" spans="1:88" ht="13.5" customHeight="1" x14ac:dyDescent="0.2">
      <c r="A83" s="516" t="s">
        <v>1874</v>
      </c>
      <c r="B83" s="516" t="s">
        <v>1723</v>
      </c>
      <c r="C83" s="24"/>
      <c r="D83" s="866" t="str">
        <f>IF([1]RENAME!$H$3=1,B83,A83)</f>
        <v>EBITDA ajustado ex-IFRS-16 (a+b+c)</v>
      </c>
      <c r="E83" s="865">
        <f ca="1">E76+E78+E82</f>
        <v>15844.454640000011</v>
      </c>
      <c r="F83" s="1004">
        <f ca="1">F76+F78+F82</f>
        <v>25289.128610000014</v>
      </c>
      <c r="G83" s="865">
        <f ca="1">G76+G78+G82</f>
        <v>34870.320750000028</v>
      </c>
      <c r="H83" s="865">
        <f ca="1">H76+H78+H82</f>
        <v>35848.077430000034</v>
      </c>
      <c r="I83" s="1005">
        <f ca="1">SUM(E83:H83)</f>
        <v>111851.98143000009</v>
      </c>
      <c r="J83" s="865">
        <f ca="1">J76+J78+J82</f>
        <v>22612.676620000002</v>
      </c>
      <c r="K83" s="865">
        <f ca="1">K76+K78+K82</f>
        <v>38247.540069999974</v>
      </c>
      <c r="L83" s="865">
        <f ca="1">L76+L78+L82</f>
        <v>49403.81290999995</v>
      </c>
      <c r="M83" s="1004">
        <f ca="1">M76+M78+M82</f>
        <v>61958.097968471506</v>
      </c>
      <c r="N83" s="1005">
        <f ca="1">SUM(J83:M83)</f>
        <v>172222.12756847142</v>
      </c>
      <c r="O83" s="865">
        <f ca="1">O76+O78+O82</f>
        <v>37517.737950000024</v>
      </c>
      <c r="P83" s="865">
        <f ca="1">P76+P78+P82</f>
        <v>44270.234510000024</v>
      </c>
      <c r="Q83" s="1004">
        <f ca="1">Q76+Q78+Q82</f>
        <v>45090.368541158714</v>
      </c>
      <c r="R83" s="1004">
        <f ca="1">R76+R78+R82</f>
        <v>52662.849371722281</v>
      </c>
      <c r="S83" s="1005">
        <f ca="1">SUM(O83:R83)</f>
        <v>179541.19037288104</v>
      </c>
      <c r="T83" s="1004">
        <f ca="1">T76+T78+T82</f>
        <v>24057.474279999995</v>
      </c>
      <c r="U83" s="865">
        <f ca="1">U76+U78+U82</f>
        <v>-16637.736060000017</v>
      </c>
      <c r="V83" s="865">
        <f ca="1">V76+V78+V82</f>
        <v>33473.486460000015</v>
      </c>
      <c r="W83" s="865">
        <f ca="1">W76+W78+W82</f>
        <v>37982.836410000025</v>
      </c>
      <c r="X83" s="1005">
        <f ca="1">SUM(T83:W83)</f>
        <v>78876.061090000017</v>
      </c>
      <c r="Y83" s="865">
        <f ca="1">Y76+Y78+Y82</f>
        <v>25823.052110000011</v>
      </c>
      <c r="Z83" s="865">
        <f ca="1">Z76+Z78+Z82</f>
        <v>17225.841579999971</v>
      </c>
      <c r="AA83" s="1004">
        <f ca="1">AA76+AA78+AA82</f>
        <v>19524.79608</v>
      </c>
      <c r="AB83" s="865">
        <f ca="1">AB76+AB78+AB82</f>
        <v>30582.071409999895</v>
      </c>
      <c r="AC83" s="1005">
        <f ca="1">SUM(Y83:AB83)</f>
        <v>93155.761179999885</v>
      </c>
      <c r="AD83" s="865">
        <f ca="1">AD76+AD78+AD82</f>
        <v>14688.364159999981</v>
      </c>
      <c r="AE83" s="865">
        <f ca="1">AE76+AE78+AE82</f>
        <v>30789.035409999968</v>
      </c>
      <c r="AF83" s="1004">
        <f ca="1">AF76+AF78+AF82</f>
        <v>67305.158919999987</v>
      </c>
      <c r="AG83" s="1004">
        <f ca="1">AG76+AG78+AG82</f>
        <v>54337.117819999956</v>
      </c>
      <c r="AH83" s="1005">
        <f ca="1">SUM(AD83:AG83)</f>
        <v>167119.67630999989</v>
      </c>
      <c r="AI83" s="865">
        <f ca="1">AI76+AI78+AI82</f>
        <v>35210.002959999852</v>
      </c>
      <c r="AJ83" s="865">
        <f ca="1">AJ76+AJ78+AJ82</f>
        <v>39142.098640000106</v>
      </c>
      <c r="AK83" s="865">
        <f ca="1">AK76+AK78+AK82</f>
        <v>58886.335740000068</v>
      </c>
      <c r="AL83" s="865">
        <f ca="1">AL76+AL78+AL82</f>
        <v>53769.212620000253</v>
      </c>
      <c r="AM83" s="864">
        <f ca="1">SUM(AI83:AL83)</f>
        <v>187007.6499600003</v>
      </c>
      <c r="AN83" s="865">
        <f ca="1">AN76+AN78+AN82</f>
        <v>43054.057409999834</v>
      </c>
      <c r="AO83" s="865">
        <f ca="1">AO76+AO78+AO82</f>
        <v>67560.881110000002</v>
      </c>
      <c r="AP83" s="865">
        <f ca="1">AP76+AP78+AP82</f>
        <v>110569.23695000011</v>
      </c>
      <c r="AQ83" s="865">
        <f ca="1">AQ76+AQ78+AQ82</f>
        <v>113751.37310999994</v>
      </c>
      <c r="AR83" s="864">
        <f ca="1">SUM(AN83:AQ83)</f>
        <v>334935.54857999989</v>
      </c>
      <c r="AS83" s="865">
        <f ca="1">AS76+AS78+AS82</f>
        <v>53288.207699999955</v>
      </c>
      <c r="AT83" s="865">
        <f ca="1">AT76+AT78+AT82</f>
        <v>78999.6108699998</v>
      </c>
      <c r="AU83" s="865">
        <f ca="1">AU76+AU78+AU82</f>
        <v>104477.43178000012</v>
      </c>
      <c r="AV83" s="865">
        <f ca="1">AV76+AV78+AV82</f>
        <v>70069.608599999978</v>
      </c>
      <c r="AW83" s="864">
        <f ca="1">SUM(AS83:AV83)</f>
        <v>306834.85894999985</v>
      </c>
      <c r="AX83" s="865">
        <f ca="1">AX76+AX78+AX82</f>
        <v>57781.219239999999</v>
      </c>
      <c r="AY83" s="865">
        <f ca="1">AY76+AY78+AY82</f>
        <v>122176.03255999979</v>
      </c>
      <c r="BN83" s="266"/>
      <c r="BO83" s="266"/>
      <c r="BP83" s="266"/>
      <c r="BQ83" s="266"/>
      <c r="BR83" s="266"/>
      <c r="BS83" s="266"/>
      <c r="BT83" s="266"/>
      <c r="BU83" s="266"/>
      <c r="BV83" s="266"/>
      <c r="BW83" s="266"/>
      <c r="BX83" s="266"/>
      <c r="BY83" s="266"/>
      <c r="BZ83" s="266"/>
      <c r="CA83" s="266"/>
      <c r="CB83" s="266"/>
      <c r="CC83" s="266"/>
      <c r="CD83" s="266"/>
      <c r="CE83" s="266"/>
      <c r="CF83" s="266"/>
      <c r="CG83" s="266"/>
      <c r="CH83" s="266"/>
      <c r="CI83" s="266"/>
      <c r="CJ83" s="266"/>
    </row>
    <row r="84" spans="1:88" s="850" customFormat="1" ht="13.5" customHeight="1" x14ac:dyDescent="0.2">
      <c r="A84" s="516" t="s">
        <v>1722</v>
      </c>
      <c r="B84" s="516" t="s">
        <v>1721</v>
      </c>
      <c r="C84" s="855"/>
      <c r="D84" s="854" t="str">
        <f>IF([1]RENAME!$H$3=1,B84,A84)</f>
        <v>Margem EBITDA Ajustado ex-IFRS-16</v>
      </c>
      <c r="E84" s="853">
        <f t="shared" ref="E84:Z84" ca="1" si="116">+E83/E70</f>
        <v>9.1417961610156251E-2</v>
      </c>
      <c r="F84" s="853">
        <f t="shared" ca="1" si="116"/>
        <v>0.11720390159421828</v>
      </c>
      <c r="G84" s="853">
        <f t="shared" ca="1" si="116"/>
        <v>0.14281431840389125</v>
      </c>
      <c r="H84" s="853">
        <f t="shared" ca="1" si="116"/>
        <v>0.13043817956843284</v>
      </c>
      <c r="I84" s="852">
        <f t="shared" ca="1" si="116"/>
        <v>0.12317377728168627</v>
      </c>
      <c r="J84" s="853">
        <f t="shared" ca="1" si="116"/>
        <v>0.10164801478635342</v>
      </c>
      <c r="K84" s="853">
        <f t="shared" ca="1" si="116"/>
        <v>0.14940993674895239</v>
      </c>
      <c r="L84" s="853">
        <f t="shared" ca="1" si="116"/>
        <v>0.1668592615565144</v>
      </c>
      <c r="M84" s="853">
        <f t="shared" ca="1" si="116"/>
        <v>0.19231545820526513</v>
      </c>
      <c r="N84" s="852">
        <f t="shared" ca="1" si="116"/>
        <v>0.15703653411535268</v>
      </c>
      <c r="O84" s="853">
        <f t="shared" ca="1" si="116"/>
        <v>0.14490837595530384</v>
      </c>
      <c r="P84" s="853">
        <f t="shared" ca="1" si="116"/>
        <v>0.15052533902494447</v>
      </c>
      <c r="Q84" s="853">
        <f t="shared" ca="1" si="116"/>
        <v>0.15040574801180129</v>
      </c>
      <c r="R84" s="853">
        <f t="shared" ca="1" si="116"/>
        <v>0.15611025604536699</v>
      </c>
      <c r="S84" s="852">
        <f t="shared" ca="1" si="116"/>
        <v>0.15085632053079426</v>
      </c>
      <c r="T84" s="853">
        <f t="shared" ca="1" si="116"/>
        <v>9.9922844474979677E-2</v>
      </c>
      <c r="U84" s="853">
        <f t="shared" ca="1" si="116"/>
        <v>-0.19150756989670867</v>
      </c>
      <c r="V84" s="853">
        <f t="shared" ca="1" si="116"/>
        <v>0.13637188920726229</v>
      </c>
      <c r="W84" s="853">
        <f t="shared" ca="1" si="116"/>
        <v>0.13935474305213025</v>
      </c>
      <c r="X84" s="852">
        <f t="shared" ca="1" si="116"/>
        <v>9.3271844301759943E-2</v>
      </c>
      <c r="Y84" s="853">
        <f t="shared" ca="1" si="116"/>
        <v>0.12858501741328501</v>
      </c>
      <c r="Z84" s="853">
        <f t="shared" ca="1" si="116"/>
        <v>8.5945742831688154E-2</v>
      </c>
      <c r="AA84" s="853">
        <f t="shared" ref="AA84:AF84" ca="1" si="117">+AA83/AA70</f>
        <v>0.10047744741198618</v>
      </c>
      <c r="AB84" s="853">
        <f t="shared" ca="1" si="117"/>
        <v>0.11245845309659437</v>
      </c>
      <c r="AC84" s="852">
        <f t="shared" ca="1" si="117"/>
        <v>0.1073825639415415</v>
      </c>
      <c r="AD84" s="853">
        <f t="shared" ca="1" si="117"/>
        <v>7.2788708204027663E-2</v>
      </c>
      <c r="AE84" s="853">
        <f t="shared" ca="1" si="117"/>
        <v>0.11570387104293428</v>
      </c>
      <c r="AF84" s="853">
        <f t="shared" ca="1" si="117"/>
        <v>0.18037987962425486</v>
      </c>
      <c r="AG84" s="853">
        <f t="shared" ref="AG84:AO84" ca="1" si="118">+AG83/AG70</f>
        <v>0.14590595185392088</v>
      </c>
      <c r="AH84" s="852">
        <f t="shared" ca="1" si="118"/>
        <v>0.13772404913078329</v>
      </c>
      <c r="AI84" s="853">
        <f t="shared" ca="1" si="118"/>
        <v>0.11853633116141528</v>
      </c>
      <c r="AJ84" s="853">
        <f t="shared" ca="1" si="118"/>
        <v>0.11828850837239561</v>
      </c>
      <c r="AK84" s="853">
        <f t="shared" ca="1" si="118"/>
        <v>0.15262471503577477</v>
      </c>
      <c r="AL84" s="853">
        <f t="shared" ca="1" si="118"/>
        <v>0.13007487572679266</v>
      </c>
      <c r="AM84" s="852">
        <f t="shared" ca="1" si="118"/>
        <v>0.13103674370975579</v>
      </c>
      <c r="AN84" s="853">
        <f t="shared" ca="1" si="118"/>
        <v>0.1238923459849197</v>
      </c>
      <c r="AO84" s="853">
        <f t="shared" ca="1" si="118"/>
        <v>0.15811882559804838</v>
      </c>
      <c r="AP84" s="853">
        <f t="shared" ref="AP84:AX84" ca="1" si="119">+AP83/AP70</f>
        <v>0.19676616326387819</v>
      </c>
      <c r="AQ84" s="853">
        <f t="shared" ca="1" si="119"/>
        <v>0.19500127068416989</v>
      </c>
      <c r="AR84" s="852">
        <f t="shared" ca="1" si="119"/>
        <v>0.17444016888115277</v>
      </c>
      <c r="AS84" s="853">
        <f t="shared" ca="1" si="119"/>
        <v>0.13506571399785375</v>
      </c>
      <c r="AT84" s="853">
        <f t="shared" ca="1" si="119"/>
        <v>0.15930351041567167</v>
      </c>
      <c r="AU84" s="853">
        <f t="shared" ca="1" si="119"/>
        <v>0.17416998291265134</v>
      </c>
      <c r="AV84" s="853">
        <f t="shared" ca="1" si="119"/>
        <v>0.12252978461601001</v>
      </c>
      <c r="AW84" s="852">
        <f t="shared" ca="1" si="119"/>
        <v>0.14879305604745754</v>
      </c>
      <c r="AX84" s="853">
        <f t="shared" ca="1" si="119"/>
        <v>0.12035221773100362</v>
      </c>
      <c r="AY84" s="853">
        <f ca="1">+AY83/AY70</f>
        <v>0.17632869057808997</v>
      </c>
      <c r="AZ84" s="851"/>
      <c r="BA84" s="851"/>
      <c r="BB84" s="851"/>
      <c r="BC84" s="851"/>
      <c r="BD84" s="851"/>
      <c r="BE84" s="851"/>
      <c r="BF84" s="851"/>
      <c r="BG84" s="851"/>
      <c r="BH84" s="851"/>
      <c r="BK84" s="851"/>
      <c r="BL84" s="851"/>
      <c r="BM84" s="851"/>
      <c r="BN84" s="851"/>
      <c r="BO84" s="851"/>
      <c r="BP84" s="851"/>
      <c r="BQ84" s="851"/>
      <c r="BR84" s="851"/>
      <c r="BS84" s="851"/>
      <c r="BT84" s="851"/>
      <c r="BU84" s="851"/>
      <c r="BV84" s="851"/>
      <c r="BW84" s="851"/>
      <c r="BX84" s="851"/>
      <c r="BY84" s="851"/>
      <c r="BZ84" s="851"/>
      <c r="CA84" s="851"/>
      <c r="CB84" s="851"/>
      <c r="CC84" s="851"/>
      <c r="CD84" s="851"/>
      <c r="CE84" s="851"/>
      <c r="CF84" s="851"/>
      <c r="CG84" s="851"/>
      <c r="CH84" s="851"/>
      <c r="CI84" s="851"/>
      <c r="CJ84" s="851"/>
    </row>
    <row r="85" spans="1:88" s="282" customFormat="1" ht="13.5" customHeight="1" x14ac:dyDescent="0.2">
      <c r="A85" s="1000" t="s">
        <v>1763</v>
      </c>
      <c r="B85" s="1000" t="s">
        <v>1762</v>
      </c>
      <c r="C85" s="918"/>
      <c r="D85" s="917" t="str">
        <f>IF([1]RENAME!$H$3=1,B85,A85)</f>
        <v>Não recorrentes</v>
      </c>
      <c r="E85" s="1001">
        <v>0</v>
      </c>
      <c r="F85" s="1001">
        <v>-15000</v>
      </c>
      <c r="G85" s="1001">
        <v>0</v>
      </c>
      <c r="H85" s="1001">
        <v>24082.774270000002</v>
      </c>
      <c r="I85" s="1002">
        <f>+SUM(E85:H85)</f>
        <v>9082.7742700000017</v>
      </c>
      <c r="J85" s="1001">
        <v>0</v>
      </c>
      <c r="K85" s="1001">
        <v>0</v>
      </c>
      <c r="L85" s="1001">
        <v>0</v>
      </c>
      <c r="M85" s="1001">
        <f>4105.6676015285-14500</f>
        <v>-10394.332398471499</v>
      </c>
      <c r="N85" s="1002">
        <f>+SUM(J85:M85)</f>
        <v>-10394.332398471499</v>
      </c>
      <c r="O85" s="1001">
        <v>0</v>
      </c>
      <c r="P85" s="1001">
        <v>0</v>
      </c>
      <c r="Q85" s="1001">
        <f>54681.39513-5890.86895115869</f>
        <v>48790.526178841304</v>
      </c>
      <c r="R85" s="1001">
        <v>-2254</v>
      </c>
      <c r="S85" s="1002">
        <f>+SUM(O85:R85)</f>
        <v>46536.526178841304</v>
      </c>
      <c r="T85" s="1001">
        <v>-3317</v>
      </c>
      <c r="U85" s="1001">
        <v>0</v>
      </c>
      <c r="V85" s="1001">
        <v>0</v>
      </c>
      <c r="W85" s="1001">
        <v>0</v>
      </c>
      <c r="X85" s="1002">
        <f>+SUM(T85:W85)</f>
        <v>-3317</v>
      </c>
      <c r="Y85" s="1001">
        <v>0</v>
      </c>
      <c r="Z85" s="1001">
        <v>0</v>
      </c>
      <c r="AA85" s="1001">
        <v>-1159</v>
      </c>
      <c r="AB85" s="1001">
        <v>0</v>
      </c>
      <c r="AC85" s="1002">
        <f>+SUM(Y85:AB85)</f>
        <v>-1159</v>
      </c>
      <c r="AD85" s="1001">
        <v>0</v>
      </c>
      <c r="AE85" s="1001">
        <v>0</v>
      </c>
      <c r="AF85" s="1001">
        <v>-6645</v>
      </c>
      <c r="AG85" s="1001">
        <v>5459</v>
      </c>
      <c r="AH85" s="1002">
        <f>+SUM(AD85:AG85)</f>
        <v>-1186</v>
      </c>
      <c r="AI85" s="1001">
        <v>0</v>
      </c>
      <c r="AJ85" s="1001">
        <v>0</v>
      </c>
      <c r="AK85" s="1001">
        <v>0</v>
      </c>
      <c r="AL85" s="1001">
        <v>0</v>
      </c>
      <c r="AM85" s="1002">
        <f>+SUM(AI85:AL85)</f>
        <v>0</v>
      </c>
      <c r="AN85" s="1001">
        <v>0</v>
      </c>
      <c r="AO85" s="1001">
        <v>0</v>
      </c>
      <c r="AP85" s="1001">
        <v>0</v>
      </c>
      <c r="AQ85" s="1001">
        <v>0</v>
      </c>
      <c r="AR85" s="1002">
        <f>+SUM(AN85:AQ85)</f>
        <v>0</v>
      </c>
      <c r="AS85" s="1001">
        <v>0</v>
      </c>
      <c r="AT85" s="1001">
        <v>0</v>
      </c>
      <c r="AU85" s="1001">
        <v>0</v>
      </c>
      <c r="AV85" s="1001">
        <v>0</v>
      </c>
      <c r="AW85" s="1002">
        <f>+SUM(AS85:AV85)</f>
        <v>0</v>
      </c>
      <c r="AX85" s="1001">
        <v>0</v>
      </c>
      <c r="AY85" s="1001">
        <f>-7212</f>
        <v>-7212</v>
      </c>
      <c r="AZ85" s="889"/>
      <c r="BA85" s="889"/>
      <c r="BB85" s="889"/>
      <c r="BC85" s="889"/>
      <c r="BD85" s="889"/>
      <c r="BE85" s="889"/>
      <c r="BF85" s="889"/>
      <c r="BG85" s="889"/>
      <c r="BH85" s="889"/>
      <c r="BK85" s="889"/>
      <c r="BL85" s="889"/>
      <c r="BM85" s="889"/>
      <c r="BN85" s="889"/>
      <c r="BO85" s="889"/>
      <c r="BP85" s="889"/>
      <c r="BQ85" s="889"/>
      <c r="BR85" s="889"/>
      <c r="BS85" s="889"/>
      <c r="BT85" s="889"/>
      <c r="BU85" s="889"/>
      <c r="BV85" s="889"/>
      <c r="BW85" s="889"/>
      <c r="BX85" s="889"/>
      <c r="BY85" s="889"/>
      <c r="BZ85" s="889"/>
      <c r="CA85" s="889"/>
      <c r="CB85" s="889"/>
      <c r="CC85" s="889"/>
      <c r="CD85" s="889"/>
      <c r="CE85" s="889"/>
      <c r="CF85" s="889"/>
      <c r="CG85" s="889"/>
      <c r="CH85" s="889"/>
      <c r="CI85" s="889"/>
      <c r="CJ85" s="889"/>
    </row>
    <row r="86" spans="1:88" ht="13.5" customHeight="1" x14ac:dyDescent="0.2">
      <c r="A86" s="516" t="s">
        <v>1871</v>
      </c>
      <c r="B86" s="516" t="s">
        <v>1738</v>
      </c>
      <c r="C86" s="899"/>
      <c r="D86" s="858" t="str">
        <f>IF([1]RENAME!$H$3=1,B86,A86)</f>
        <v xml:space="preserve">Depreciação </v>
      </c>
      <c r="E86" s="857">
        <f ca="1">+SUMIFS(INDIRECT(CONCATENATE("'",$AZ86,$BA86,":",$BB86)),INDIRECT(CONCATENATE("'",$AZ86,$BA$35,":",$BB$35)),E$35)</f>
        <v>-3297.1615999999995</v>
      </c>
      <c r="F86" s="857">
        <f ca="1">+SUMIFS(INDIRECT(CONCATENATE("'",$AZ86,$BA86,":",$BB86)),INDIRECT(CONCATENATE("'",$AZ86,$BA$35,":",$BB$35)),F$35)</f>
        <v>-3490.2046699999996</v>
      </c>
      <c r="G86" s="857">
        <f ca="1">+SUMIFS(INDIRECT(CONCATENATE("'",$AZ86,$BA86,":",$BB86)),INDIRECT(CONCATENATE("'",$AZ86,$BA$35,":",$BB$35)),G$35)</f>
        <v>-3823.40445</v>
      </c>
      <c r="H86" s="857">
        <f ca="1">+SUMIFS(INDIRECT(CONCATENATE("'",$AZ86,$BA86,":",$BB86)),INDIRECT(CONCATENATE("'",$AZ86,$BA$35,":",$BB$35)),H$35)</f>
        <v>-3804.8000499999998</v>
      </c>
      <c r="I86" s="647">
        <f ca="1">SUM(E86:H86)</f>
        <v>-14415.570769999998</v>
      </c>
      <c r="J86" s="857">
        <f ca="1">+SUMIFS(INDIRECT(CONCATENATE("'",$AZ86,$BA86,":",$BB86)),INDIRECT(CONCATENATE("'",$AZ86,$BA$35,":",$BB$35)),J$35)</f>
        <v>-3811.6660800000004</v>
      </c>
      <c r="K86" s="857">
        <f ca="1">+SUMIFS(INDIRECT(CONCATENATE("'",$AZ86,$BA86,":",$BB86)),INDIRECT(CONCATENATE("'",$AZ86,$BA$35,":",$BB$35)),K$35)</f>
        <v>-6190.8721299999997</v>
      </c>
      <c r="L86" s="857">
        <f ca="1">+SUMIFS(INDIRECT(CONCATENATE("'",$AZ86,$BA86,":",$BB86)),INDIRECT(CONCATENATE("'",$AZ86,$BA$35,":",$BB$35)),L$35)</f>
        <v>-4079.5165700000002</v>
      </c>
      <c r="M86" s="857">
        <f ca="1">+SUMIFS(INDIRECT(CONCATENATE("'",$AZ86,$BA86,":",$BB86)),INDIRECT(CONCATENATE("'",$AZ86,$BA$35,":",$BB$35)),M$35)</f>
        <v>-3930.5324799999999</v>
      </c>
      <c r="N86" s="647">
        <f ca="1">+SUM(J86:M86)</f>
        <v>-18012.58726</v>
      </c>
      <c r="O86" s="857">
        <f ca="1">+SUMIFS(INDIRECT(CONCATENATE("'",$AZ86,$BA86,":",$BB86)),INDIRECT(CONCATENATE("'",$AZ86,$BA$35,":",$BB$35)),O$35)-O87</f>
        <v>-3959.39552</v>
      </c>
      <c r="P86" s="857">
        <f ca="1">+SUMIFS(INDIRECT(CONCATENATE("'",$AZ86,$BA86,":",$BB86)),INDIRECT(CONCATENATE("'",$AZ86,$BA$35,":",$BB$35)),P$35)-P87</f>
        <v>-3920.8246600000002</v>
      </c>
      <c r="Q86" s="857">
        <f ca="1">+SUMIFS(INDIRECT(CONCATENATE("'",$AZ86,$BA86,":",$BB86)),INDIRECT(CONCATENATE("'",$AZ86,$BA$35,":",$BB$35)),Q$35)-Q87</f>
        <v>-3876.1679499999991</v>
      </c>
      <c r="R86" s="857">
        <f ca="1">+SUMIFS(INDIRECT(CONCATENATE("'",$AZ86,$BA86,":",$BB86)),INDIRECT(CONCATENATE("'",$AZ86,$BA$35,":",$BB$35)),R$35)-R87</f>
        <v>-3687.1489399999346</v>
      </c>
      <c r="S86" s="647">
        <f ca="1">+SUM(O86:R86)</f>
        <v>-15443.537069999933</v>
      </c>
      <c r="T86" s="857">
        <f ca="1">+SUMIFS(INDIRECT(CONCATENATE("'",$AZ86,$BA86,":",$BB86)),INDIRECT(CONCATENATE("'",$AZ86,$BA$35,":",$BB$35)),T$35)-T87</f>
        <v>-3726.6724599999948</v>
      </c>
      <c r="U86" s="857">
        <f ca="1">+SUMIFS(INDIRECT(CONCATENATE("'",$AZ86,$BA86,":",$BB86)),INDIRECT(CONCATENATE("'",$AZ86,$BA$35,":",$BB$35)),U$35)-U87</f>
        <v>-3533.704039999996</v>
      </c>
      <c r="V86" s="857">
        <f ca="1">+SUMIFS(INDIRECT(CONCATENATE("'",$AZ86,$BA86,":",$BB86)),INDIRECT(CONCATENATE("'",$AZ86,$BA$35,":",$BB$35)),V$35)-V87</f>
        <v>-3270.7984799999986</v>
      </c>
      <c r="W86" s="857">
        <f ca="1">+SUMIFS(INDIRECT(CONCATENATE("'",$AZ86,$BA86,":",$BB86)),INDIRECT(CONCATENATE("'",$AZ86,$BA$35,":",$BB$35)),W$35)-W87</f>
        <v>-3203.2957599999991</v>
      </c>
      <c r="X86" s="647">
        <f ca="1">+SUM(T86:W86)</f>
        <v>-13734.470739999988</v>
      </c>
      <c r="Y86" s="857">
        <f ca="1">+SUMIFS(INDIRECT(CONCATENATE("'",$AZ86,$BA86,":",$BB86)),INDIRECT(CONCATENATE("'",$AZ86,$BA$35,":",$BB$35)),Y$35)-Y87</f>
        <v>-2543.5521399999943</v>
      </c>
      <c r="Z86" s="857">
        <f ca="1">+SUMIFS(INDIRECT(CONCATENATE("'",$AZ86,$BA86,":",$BB86)),INDIRECT(CONCATENATE("'",$AZ86,$BA$35,":",$BB$35)),Z$35)-Z87</f>
        <v>-3235.7316799999953</v>
      </c>
      <c r="AA86" s="857">
        <f ca="1">+SUMIFS(INDIRECT(CONCATENATE("'",$AZ86,$BA86,":",$BB86)),INDIRECT(CONCATENATE("'",$AZ86,$BA$35,":",$BB$35)),AA$35)-AA87</f>
        <v>-3179.7878699999947</v>
      </c>
      <c r="AB86" s="857">
        <f ca="1">+SUMIFS(INDIRECT(CONCATENATE("'",$AZ86,$BA86,":",$BB86)),INDIRECT(CONCATENATE("'",$AZ86,$BA$35,":",$BB$35)),AB$35)-AB87</f>
        <v>-3346.5489700000007</v>
      </c>
      <c r="AC86" s="647">
        <f ca="1">+SUM(Y86:AB86)</f>
        <v>-12305.620659999986</v>
      </c>
      <c r="AD86" s="857">
        <f ca="1">+SUMIFS(INDIRECT(CONCATENATE("'",$AZ86,$BA86,":",$BB86)),INDIRECT(CONCATENATE("'",$AZ86,$BA$35,":",$BB$35)),AD$35)-AD87</f>
        <v>-3489.4372500000072</v>
      </c>
      <c r="AE86" s="857">
        <f ca="1">+SUMIFS(INDIRECT(CONCATENATE("'",$AZ86,$BA86,":",$BB86)),INDIRECT(CONCATENATE("'",$AZ86,$BA$35,":",$BB$35)),AE$35)-AE87</f>
        <v>-3558.22667000001</v>
      </c>
      <c r="AF86" s="857">
        <f ca="1">+SUMIFS(INDIRECT(CONCATENATE("'",$AZ86,$BA86,":",$BB86)),INDIRECT(CONCATENATE("'",$AZ86,$BA$35,":",$BB$35)),AF$35)-AF87</f>
        <v>-3512.3220500000016</v>
      </c>
      <c r="AG86" s="857">
        <f ca="1">+SUMIFS(INDIRECT(CONCATENATE("'",$AZ86,$BA86,":",$BB86)),INDIRECT(CONCATENATE("'",$AZ86,$BA$35,":",$BB$35)),AG$35)-AG87</f>
        <v>-3651.4341799999938</v>
      </c>
      <c r="AH86" s="647">
        <f ca="1">+SUM(AD86:AG86)</f>
        <v>-14211.420150000013</v>
      </c>
      <c r="AI86" s="857">
        <f ca="1">+SUMIFS(INDIRECT(CONCATENATE("'",$AZ86,$BA86,":",$BB86)),INDIRECT(CONCATENATE("'",$AZ86,$BA$35,":",$BB$35)),AI$35)-AI87</f>
        <v>-3991.0161699999981</v>
      </c>
      <c r="AJ86" s="857">
        <f ca="1">+SUMIFS(INDIRECT(CONCATENATE("'",$AZ86,$BA86,":",$BB86)),INDIRECT(CONCATENATE("'",$AZ86,$BA$35,":",$BB$35)),AJ$35)-AJ87</f>
        <v>-3967.8679899999979</v>
      </c>
      <c r="AK86" s="857">
        <f ca="1">+SUMIFS(INDIRECT(CONCATENATE("'",$AZ86,$BA86,":",$BB86)),INDIRECT(CONCATENATE("'",$AZ86,$BA$35,":",$BB$35)),AK$35)-AK87</f>
        <v>-3416.6006800000023</v>
      </c>
      <c r="AL86" s="857">
        <f ca="1">+SUMIFS(INDIRECT(CONCATENATE("'",$AZ86,$BA86,":",$BB86)),INDIRECT(CONCATENATE("'",$AZ86,$BA$35,":",$BB$35)),AL$35)-AL87</f>
        <v>-3431.2899399999951</v>
      </c>
      <c r="AM86" s="647">
        <f ca="1">+SUM(AI86:AL86)</f>
        <v>-14806.774779999992</v>
      </c>
      <c r="AN86" s="857">
        <f ca="1">+SUMIFS(INDIRECT(CONCATENATE("'",$AZ86,$BA86,":",$BB86)),INDIRECT(CONCATENATE("'",$AZ86,$BA$35,":",$BB$35)),AN$35)-AN87</f>
        <v>-4182.3329899999972</v>
      </c>
      <c r="AO86" s="857">
        <f ca="1">+SUMIFS(INDIRECT(CONCATENATE("'",$AZ86,$BA86,":",$BB86)),INDIRECT(CONCATENATE("'",$AZ86,$BA$35,":",$BB$35)),AO$35)-AO87</f>
        <v>-4126.7560199999989</v>
      </c>
      <c r="AP86" s="857">
        <f ca="1">+SUMIFS(INDIRECT(CONCATENATE("'",$AZ86,$BA86,":",$BB86)),INDIRECT(CONCATENATE("'",$AZ86,$BA$35,":",$BB$35)),AP$35)-AP87</f>
        <v>-4289.6400300000005</v>
      </c>
      <c r="AQ86" s="857">
        <f ca="1">+SUMIFS(INDIRECT(CONCATENATE("'",$AZ86,$BA86,":",$BB86)),INDIRECT(CONCATENATE("'",$AZ86,$BA$35,":",$BB$35)),AQ$35)-AQ87</f>
        <v>-4985.7643900000003</v>
      </c>
      <c r="AR86" s="647">
        <f ca="1">+SUM(AN86:AQ86)</f>
        <v>-17584.493429999995</v>
      </c>
      <c r="AS86" s="857">
        <f ca="1">+SUMIFS(INDIRECT(CONCATENATE("'",$AZ86,$BA86,":",$BB86)),INDIRECT(CONCATENATE("'",$AZ86,$BA$35,":",$BB$35)),AS$35)-AS87</f>
        <v>-5740.6460800000004</v>
      </c>
      <c r="AT86" s="857">
        <f ca="1">+SUMIFS(INDIRECT(CONCATENATE("'",$AZ86,$BA86,":",$BB86)),INDIRECT(CONCATENATE("'",$AZ86,$BA$35,":",$BB$35)),AT$35)-AT87</f>
        <v>-5706.9287800000011</v>
      </c>
      <c r="AU86" s="857">
        <f ca="1">+SUMIFS(INDIRECT(CONCATENATE("'",$AZ86,$BA86,":",$BB86)),INDIRECT(CONCATENATE("'",$AZ86,$BA$35,":",$BB$35)),AU$35)-AU87</f>
        <v>-5948.1403199999986</v>
      </c>
      <c r="AV86" s="857">
        <f ca="1">+SUMIFS(INDIRECT(CONCATENATE("'",$AZ86,$BA86,":",$BB86)),INDIRECT(CONCATENATE("'",$AZ86,$BA$35,":",$BB$35)),AV$35)-AV87</f>
        <v>-6373.2624500000002</v>
      </c>
      <c r="AW86" s="647">
        <f ca="1">+SUM(AS86:AV86)</f>
        <v>-23768.977630000001</v>
      </c>
      <c r="AX86" s="857">
        <f ca="1">+SUMIFS(INDIRECT(CONCATENATE("'",$AZ86,$BA86,":",$BB86)),INDIRECT(CONCATENATE("'",$AZ86,$BA$35,":",$BB$35)),AX$35)-AX87</f>
        <v>-6996.003859999998</v>
      </c>
      <c r="AY86" s="857">
        <f ca="1">+SUMIFS(INDIRECT(CONCATENATE("'",$AZ86,$BA86,":",$BB86)),INDIRECT(CONCATENATE("'",$AZ86,$BA$35,":",$BB$35)),AY$35)-AY87</f>
        <v>-6947.2662699999973</v>
      </c>
      <c r="AZ86" s="266" t="str">
        <f>IF([1]RENAME!$H$3=0,BD86,BC86)</f>
        <v>Auto'!</v>
      </c>
      <c r="BA86" s="266" t="str">
        <f>"$"&amp;ROW(Auto!$D$37)</f>
        <v>$37</v>
      </c>
      <c r="BB86" s="266" t="str">
        <f>"$"&amp;ROW(Auto!$D$37)</f>
        <v>$37</v>
      </c>
      <c r="BC86" s="266" t="s">
        <v>1746</v>
      </c>
      <c r="BD86" s="266" t="s">
        <v>1745</v>
      </c>
      <c r="BN86" s="266"/>
      <c r="BO86" s="266"/>
      <c r="BP86" s="266"/>
      <c r="BQ86" s="266"/>
      <c r="BR86" s="266"/>
      <c r="BS86" s="266"/>
      <c r="BT86" s="266"/>
      <c r="BU86" s="266"/>
      <c r="BV86" s="266"/>
      <c r="BW86" s="266"/>
      <c r="BX86" s="266"/>
      <c r="BY86" s="266"/>
      <c r="BZ86" s="266"/>
      <c r="CA86" s="266"/>
      <c r="CB86" s="266"/>
      <c r="CC86" s="266"/>
      <c r="CD86" s="266"/>
      <c r="CE86" s="266"/>
      <c r="CF86" s="266"/>
      <c r="CG86" s="266"/>
      <c r="CH86" s="266"/>
      <c r="CI86" s="266"/>
      <c r="CJ86" s="266"/>
    </row>
    <row r="87" spans="1:88" ht="13.5" customHeight="1" x14ac:dyDescent="0.2">
      <c r="A87" s="516" t="s">
        <v>1872</v>
      </c>
      <c r="B87" s="516" t="s">
        <v>1734</v>
      </c>
      <c r="C87" s="899"/>
      <c r="D87" s="858" t="str">
        <f>IF([1]RENAME!$H$3=1,B87,A87)</f>
        <v>Amortização (IFRS 16)</v>
      </c>
      <c r="E87" s="857">
        <v>0</v>
      </c>
      <c r="F87" s="857">
        <v>0</v>
      </c>
      <c r="G87" s="857">
        <v>0</v>
      </c>
      <c r="H87" s="857">
        <v>0</v>
      </c>
      <c r="I87" s="647" t="s">
        <v>160</v>
      </c>
      <c r="J87" s="857">
        <v>0</v>
      </c>
      <c r="K87" s="857">
        <v>0</v>
      </c>
      <c r="L87" s="857">
        <v>0</v>
      </c>
      <c r="M87" s="857">
        <v>0</v>
      </c>
      <c r="N87" s="647" t="s">
        <v>160</v>
      </c>
      <c r="O87" s="857">
        <f ca="1">SUMIFS(INDIRECT(CONCATENATE("'",$AZ87,$BA87,":",$BB87)),INDIRECT(CONCATENATE("'",$AZ87,$BA$113,":",$BB$113)),O$92)+SUMIFS(INDIRECT(CONCATENATE("'",$AZ87,$BA88,":",$BB88)),INDIRECT(CONCATENATE("'",$AZ87,$BA$113,":",$BB$113)),O$92)</f>
        <v>-4489</v>
      </c>
      <c r="P87" s="857">
        <f ca="1">SUMIFS(INDIRECT(CONCATENATE("'",$AZ87,$BA87,":",$BB87)),INDIRECT(CONCATENATE("'",$AZ87,$BA$113,":",$BB$113)),P$92)+SUMIFS(INDIRECT(CONCATENATE("'",$AZ87,$BA88,":",$BB88)),INDIRECT(CONCATENATE("'",$AZ87,$BA$113,":",$BB$113)),P$92)</f>
        <v>-3680</v>
      </c>
      <c r="Q87" s="857">
        <f ca="1">SUMIFS(INDIRECT(CONCATENATE("'",$AZ87,$BA87,":",$BB87)),INDIRECT(CONCATENATE("'",$AZ87,$BA$113,":",$BB$113)),Q$92)+SUMIFS(INDIRECT(CONCATENATE("'",$AZ87,$BA88,":",$BB88)),INDIRECT(CONCATENATE("'",$AZ87,$BA$113,":",$BB$113)),Q$92)</f>
        <v>-4230.7541600000004</v>
      </c>
      <c r="R87" s="857">
        <f ca="1">SUMIFS(INDIRECT(CONCATENATE("'",$AZ87,$BA87,":",$BB87)),INDIRECT(CONCATENATE("'",$AZ87,$BA$113,":",$BB$113)),R$92)+SUMIFS(INDIRECT(CONCATENATE("'",$AZ87,$BA88,":",$BB88)),INDIRECT(CONCATENATE("'",$AZ87,$BA$113,":",$BB$113)),R$92)</f>
        <v>-4346.2338100000652</v>
      </c>
      <c r="S87" s="647">
        <f ca="1">+SUM(O87:R87)</f>
        <v>-16745.987970000067</v>
      </c>
      <c r="T87" s="857">
        <f ca="1">SUMIFS(INDIRECT(CONCATENATE("'",$AZ87,$BA87,":",$BB87)),INDIRECT(CONCATENATE("'",$AZ87,$BA$113,":",$BB$113)),T$92)+SUMIFS(INDIRECT(CONCATENATE("'",$AZ87,$BA88,":",$BB88)),INDIRECT(CONCATENATE("'",$AZ87,$BA$113,":",$BB$113)),T$92)</f>
        <v>-4006.8072000000052</v>
      </c>
      <c r="U87" s="857">
        <f ca="1">SUMIFS(INDIRECT(CONCATENATE("'",$AZ87,$BA87,":",$BB87)),INDIRECT(CONCATENATE("'",$AZ87,$BA$113,":",$BB$113)),U$92)+SUMIFS(INDIRECT(CONCATENATE("'",$AZ87,$BA88,":",$BB88)),INDIRECT(CONCATENATE("'",$AZ87,$BA$113,":",$BB$113)),U$92)</f>
        <v>-4259.3547700000036</v>
      </c>
      <c r="V87" s="857">
        <f ca="1">SUMIFS(INDIRECT(CONCATENATE("'",$AZ87,$BA87,":",$BB87)),INDIRECT(CONCATENATE("'",$AZ87,$BA$113,":",$BB$113)),V$92)+SUMIFS(INDIRECT(CONCATENATE("'",$AZ87,$BA88,":",$BB88)),INDIRECT(CONCATENATE("'",$AZ87,$BA$113,":",$BB$113)),V$92)</f>
        <v>-4121.0068000000019</v>
      </c>
      <c r="W87" s="857">
        <f ca="1">SUMIFS(INDIRECT(CONCATENATE("'",$AZ87,$BA87,":",$BB87)),INDIRECT(CONCATENATE("'",$AZ87,$BA$113,":",$BB$113)),W$92)+SUMIFS(INDIRECT(CONCATENATE("'",$AZ87,$BA88,":",$BB88)),INDIRECT(CONCATENATE("'",$AZ87,$BA$113,":",$BB$113)),W$92)</f>
        <v>-4068.5125500000013</v>
      </c>
      <c r="X87" s="647">
        <f ca="1">+SUM(T87:W87)</f>
        <v>-16455.681320000011</v>
      </c>
      <c r="Y87" s="857">
        <f ca="1">SUMIFS(INDIRECT(CONCATENATE("'",$AZ87,$BA87,":",$BB87)),INDIRECT(CONCATENATE("'",$AZ87,$BA$113,":",$BB$113)),Y$92)+SUMIFS(INDIRECT(CONCATENATE("'",$AZ87,$BA88,":",$BB88)),INDIRECT(CONCATENATE("'",$AZ87,$BA$113,":",$BB$113)),Y$92)</f>
        <v>-5679.9586500000059</v>
      </c>
      <c r="Z87" s="857">
        <f ca="1">SUMIFS(INDIRECT(CONCATENATE("'",$AZ87,$BA87,":",$BB87)),INDIRECT(CONCATENATE("'",$AZ87,$BA$113,":",$BB$113)),Z$92)+SUMIFS(INDIRECT(CONCATENATE("'",$AZ87,$BA88,":",$BB88)),INDIRECT(CONCATENATE("'",$AZ87,$BA$113,":",$BB$113)),Z$92)</f>
        <v>-5146.3784100000048</v>
      </c>
      <c r="AA87" s="857">
        <f ca="1">SUMIFS(INDIRECT(CONCATENATE("'",$AZ87,$BA87,":",$BB87)),INDIRECT(CONCATENATE("'",$AZ87,$BA$113,":",$BB$113)),AA$92)+SUMIFS(INDIRECT(CONCATENATE("'",$AZ87,$BA88,":",$BB88)),INDIRECT(CONCATENATE("'",$AZ87,$BA$113,":",$BB$113)),AA$92)</f>
        <v>-4957.5544800000062</v>
      </c>
      <c r="AB87" s="857">
        <f ca="1">SUMIFS(INDIRECT(CONCATENATE("'",$AZ87,$BA87,":",$BB87)),INDIRECT(CONCATENATE("'",$AZ87,$BA$113,":",$BB$113)),AB$92)+SUMIFS(INDIRECT(CONCATENATE("'",$AZ87,$BA88,":",$BB88)),INDIRECT(CONCATENATE("'",$AZ87,$BA$113,":",$BB$113)),AB$92)</f>
        <v>-4823.5264500000003</v>
      </c>
      <c r="AC87" s="647">
        <f ca="1">+SUM(Y87:AB87)</f>
        <v>-20607.417990000016</v>
      </c>
      <c r="AD87" s="857">
        <f ca="1">SUMIFS(INDIRECT(CONCATENATE("'",$AZ87,$BA87,":",$BB87)),INDIRECT(CONCATENATE("'",$AZ87,$BA$113,":",$BB$113)),AD$92)+SUMIFS(INDIRECT(CONCATENATE("'",$AZ87,$BA88,":",$BB88)),INDIRECT(CONCATENATE("'",$AZ87,$BA$113,":",$BB$113)),AD$92)</f>
        <v>-5671.5534099999941</v>
      </c>
      <c r="AE87" s="857">
        <f ca="1">SUMIFS(INDIRECT(CONCATENATE("'",$AZ87,$BA87,":",$BB87)),INDIRECT(CONCATENATE("'",$AZ87,$BA$113,":",$BB$113)),AE$92)+SUMIFS(INDIRECT(CONCATENATE("'",$AZ87,$BA88,":",$BB88)),INDIRECT(CONCATENATE("'",$AZ87,$BA$113,":",$BB$113)),AE$92)</f>
        <v>-5759.0405899999923</v>
      </c>
      <c r="AF87" s="857">
        <f ca="1">SUMIFS(INDIRECT(CONCATENATE("'",$AZ87,$BA87,":",$BB87)),INDIRECT(CONCATENATE("'",$AZ87,$BA$113,":",$BB$113)),AF$92)+SUMIFS(INDIRECT(CONCATENATE("'",$AZ87,$BA88,":",$BB88)),INDIRECT(CONCATENATE("'",$AZ87,$BA$113,":",$BB$113)),AF$92)</f>
        <v>-4565.0494599999993</v>
      </c>
      <c r="AG87" s="857">
        <f ca="1">SUMIFS(INDIRECT(CONCATENATE("'",$AZ87,$BA87,":",$BB87)),INDIRECT(CONCATENATE("'",$AZ87,$BA$113,":",$BB$113)),AG$92)+SUMIFS(INDIRECT(CONCATENATE("'",$AZ87,$BA88,":",$BB88)),INDIRECT(CONCATENATE("'",$AZ87,$BA$113,":",$BB$113)),AG$92)</f>
        <v>-5240.7480500000065</v>
      </c>
      <c r="AH87" s="647">
        <f ca="1">+SUM(AD87:AG87)</f>
        <v>-21236.39150999999</v>
      </c>
      <c r="AI87" s="857">
        <f ca="1">SUMIFS(INDIRECT(CONCATENATE("'",$AZ87,$BA87,":",$BB87)),INDIRECT(CONCATENATE("'",$AZ87,$BA$113,":",$BB$113)),AI$92)+SUMIFS(INDIRECT(CONCATENATE("'",$AZ87,$BA88,":",$BB88)),INDIRECT(CONCATENATE("'",$AZ87,$BA$113,":",$BB$113)),AI$92)</f>
        <v>-5200.7011400000019</v>
      </c>
      <c r="AJ87" s="857">
        <f ca="1">SUMIFS(INDIRECT(CONCATENATE("'",$AZ87,$BA87,":",$BB87)),INDIRECT(CONCATENATE("'",$AZ87,$BA$113,":",$BB$113)),AJ$92)+SUMIFS(INDIRECT(CONCATENATE("'",$AZ87,$BA88,":",$BB88)),INDIRECT(CONCATENATE("'",$AZ87,$BA$113,":",$BB$113)),AJ$92)</f>
        <v>-5244.6578900000013</v>
      </c>
      <c r="AK87" s="857">
        <f ca="1">SUMIFS(INDIRECT(CONCATENATE("'",$AZ87,$BA87,":",$BB87)),INDIRECT(CONCATENATE("'",$AZ87,$BA$113,":",$BB$113)),AK$92)+SUMIFS(INDIRECT(CONCATENATE("'",$AZ87,$BA88,":",$BB88)),INDIRECT(CONCATENATE("'",$AZ87,$BA$113,":",$BB$113)),AK$92)</f>
        <v>-6080.8952099999979</v>
      </c>
      <c r="AL87" s="857">
        <f ca="1">SUMIFS(INDIRECT(CONCATENATE("'",$AZ87,$BA87,":",$BB87)),INDIRECT(CONCATENATE("'",$AZ87,$BA$113,":",$BB$113)),AL$92)+SUMIFS(INDIRECT(CONCATENATE("'",$AZ87,$BA88,":",$BB88)),INDIRECT(CONCATENATE("'",$AZ87,$BA$113,":",$BB$113)),AL$92)</f>
        <v>-6534.750340000006</v>
      </c>
      <c r="AM87" s="647">
        <f ca="1">+SUM(AI87:AL87)</f>
        <v>-23061.004580000008</v>
      </c>
      <c r="AN87" s="857">
        <f ca="1">SUMIFS(INDIRECT(CONCATENATE("'",$AZ87,$BA87,":",$BB87)),INDIRECT(CONCATENATE("'",$AZ87,$BA$113,":",$BB$113)),AN$92)+SUMIFS(INDIRECT(CONCATENATE("'",$AZ87,$BA88,":",$BB88)),INDIRECT(CONCATENATE("'",$AZ87,$BA$113,":",$BB$113)),AN$92)</f>
        <v>-5351.4860000000008</v>
      </c>
      <c r="AO87" s="857">
        <f ca="1">SUMIFS(INDIRECT(CONCATENATE("'",$AZ87,$BA87,":",$BB87)),INDIRECT(CONCATENATE("'",$AZ87,$BA$113,":",$BB$113)),AO$92)+SUMIFS(INDIRECT(CONCATENATE("'",$AZ87,$BA88,":",$BB88)),INDIRECT(CONCATENATE("'",$AZ87,$BA$113,":",$BB$113)),AO$92)</f>
        <v>-5413.1781100000026</v>
      </c>
      <c r="AP87" s="857">
        <f ca="1">SUMIFS(INDIRECT(CONCATENATE("'",$AZ87,$BA87,":",$BB87)),INDIRECT(CONCATENATE("'",$AZ87,$BA$113,":",$BB$113)),AP$92)+SUMIFS(INDIRECT(CONCATENATE("'",$AZ87,$BA88,":",$BB88)),INDIRECT(CONCATENATE("'",$AZ87,$BA$113,":",$BB$113)),AP$92)</f>
        <v>-5122.9498800000001</v>
      </c>
      <c r="AQ87" s="857">
        <f ca="1">SUMIFS(INDIRECT(CONCATENATE("'",$AZ87,$BA87,":",$BB87)),INDIRECT(CONCATENATE("'",$AZ87,$BA$113,":",$BB$113)),AQ$92)+SUMIFS(INDIRECT(CONCATENATE("'",$AZ87,$BA88,":",$BB88)),INDIRECT(CONCATENATE("'",$AZ87,$BA$113,":",$BB$113)),AQ$92)</f>
        <v>-4991.7550900000006</v>
      </c>
      <c r="AR87" s="647">
        <f ca="1">+SUM(AN87:AQ87)</f>
        <v>-20879.369080000004</v>
      </c>
      <c r="AS87" s="857">
        <f ca="1">SUMIFS(INDIRECT(CONCATENATE("'",$AZ87,$BA87,":",$BB87)),INDIRECT(CONCATENATE("'",$AZ87,$BA$113,":",$BB$113)),AS$92)+SUMIFS(INDIRECT(CONCATENATE("'",$AZ87,$BA88,":",$BB88)),INDIRECT(CONCATENATE("'",$AZ87,$BA$113,":",$BB$113)),AS$92)</f>
        <v>-4990.4556400000001</v>
      </c>
      <c r="AT87" s="857">
        <f ca="1">SUMIFS(INDIRECT(CONCATENATE("'",$AZ87,$BA87,":",$BB87)),INDIRECT(CONCATENATE("'",$AZ87,$BA$113,":",$BB$113)),AT$92)+SUMIFS(INDIRECT(CONCATENATE("'",$AZ87,$BA88,":",$BB88)),INDIRECT(CONCATENATE("'",$AZ87,$BA$113,":",$BB$113)),AT$92)</f>
        <v>-5091.0134100000005</v>
      </c>
      <c r="AU87" s="857">
        <f ca="1">SUMIFS(INDIRECT(CONCATENATE("'",$AZ87,$BA87,":",$BB87)),INDIRECT(CONCATENATE("'",$AZ87,$BA$113,":",$BB$113)),AU$92)+SUMIFS(INDIRECT(CONCATENATE("'",$AZ87,$BA88,":",$BB88)),INDIRECT(CONCATENATE("'",$AZ87,$BA$113,":",$BB$113)),AU$92)</f>
        <v>-5231.4204500000014</v>
      </c>
      <c r="AV87" s="857">
        <f ca="1">SUMIFS(INDIRECT(CONCATENATE("'",$AZ87,$BA87,":",$BB87)),INDIRECT(CONCATENATE("'",$AZ87,$BA$113,":",$BB$113)),AV$92)+SUMIFS(INDIRECT(CONCATENATE("'",$AZ87,$BA88,":",$BB88)),INDIRECT(CONCATENATE("'",$AZ87,$BA$113,":",$BB$113)),AV$92)</f>
        <v>-5277.9454300000016</v>
      </c>
      <c r="AW87" s="647">
        <f ca="1">+SUM(AS87:AV87)</f>
        <v>-20590.834930000005</v>
      </c>
      <c r="AX87" s="857">
        <f ca="1">SUMIFS(INDIRECT(CONCATENATE("'",$AZ87,$BA87,":",$BB87)),INDIRECT(CONCATENATE("'",$AZ87,$BA$113,":",$BB$113)),AX$92)+SUMIFS(INDIRECT(CONCATENATE("'",$AZ87,$BA88,":",$BB88)),INDIRECT(CONCATENATE("'",$AZ87,$BA$113,":",$BB$113)),AX$92)</f>
        <v>-5477.5591900000027</v>
      </c>
      <c r="AY87" s="857">
        <f ca="1">SUMIFS(INDIRECT(CONCATENATE("'",$AZ87,$BA87,":",$BB87)),INDIRECT(CONCATENATE("'",$AZ87,$BA$113,":",$BB$113)),AY$92)+SUMIFS(INDIRECT(CONCATENATE("'",$AZ87,$BA88,":",$BB88)),INDIRECT(CONCATENATE("'",$AZ87,$BA$113,":",$BB$113)),AY$92)</f>
        <v>-6351.3624200000022</v>
      </c>
      <c r="AZ87" s="266" t="str">
        <f>IF([1]RENAME!$H$3=0,BD87,BC87)</f>
        <v>Anexos'!</v>
      </c>
      <c r="BA87" s="266" t="str">
        <f>"$"&amp;ROW(Anexos!$D$8)</f>
        <v>$8</v>
      </c>
      <c r="BB87" s="266" t="str">
        <f>"$"&amp;ROW(Anexos!$D$8)</f>
        <v>$8</v>
      </c>
      <c r="BC87" s="266" t="s">
        <v>1726</v>
      </c>
      <c r="BD87" s="266" t="s">
        <v>1725</v>
      </c>
      <c r="BN87" s="266"/>
      <c r="BO87" s="266"/>
      <c r="BP87" s="266"/>
      <c r="BQ87" s="266"/>
      <c r="BR87" s="266"/>
      <c r="BS87" s="266"/>
      <c r="BT87" s="266"/>
      <c r="BU87" s="266"/>
      <c r="BV87" s="266"/>
      <c r="BW87" s="266"/>
      <c r="BX87" s="266"/>
      <c r="BY87" s="266"/>
      <c r="BZ87" s="266"/>
      <c r="CA87" s="266"/>
      <c r="CB87" s="266"/>
      <c r="CC87" s="266"/>
      <c r="CD87" s="266"/>
      <c r="CE87" s="266"/>
      <c r="CF87" s="266"/>
      <c r="CG87" s="266"/>
      <c r="CH87" s="266"/>
      <c r="CI87" s="266"/>
      <c r="CJ87" s="266"/>
    </row>
    <row r="88" spans="1:88" ht="13.5" customHeight="1" x14ac:dyDescent="0.2">
      <c r="A88" s="516" t="s">
        <v>1875</v>
      </c>
      <c r="B88" s="516" t="s">
        <v>1876</v>
      </c>
      <c r="C88" s="24"/>
      <c r="D88" s="866" t="str">
        <f>IF([1]RENAME!$H$3=1,B88,A88)</f>
        <v>(a) Lucro operacional</v>
      </c>
      <c r="E88" s="865">
        <f ca="1">+E76+E78+E86+E87+E85</f>
        <v>12547.293040000011</v>
      </c>
      <c r="F88" s="865">
        <f ca="1">+F76+F78+F86+F87+F85</f>
        <v>6798.9239400000151</v>
      </c>
      <c r="G88" s="865">
        <f ca="1">+G76+G78+G86+G87+G85</f>
        <v>31046.916300000026</v>
      </c>
      <c r="H88" s="865">
        <f ca="1">+H76+H78+H86+H87+H85</f>
        <v>56126.051650000038</v>
      </c>
      <c r="I88" s="864">
        <f ca="1">+SUM(E88:H88)</f>
        <v>106519.18493000009</v>
      </c>
      <c r="J88" s="865">
        <f ca="1">+J76+J78+J86+J87+J85</f>
        <v>18801.010540000003</v>
      </c>
      <c r="K88" s="865">
        <f ca="1">+K76+K78+K86+K87+K85</f>
        <v>32056.667939999974</v>
      </c>
      <c r="L88" s="865">
        <f ca="1">+L76+L78+L86+L87+L85</f>
        <v>45324.29633999995</v>
      </c>
      <c r="M88" s="865">
        <f ca="1">+M76+M78+M86+M87+M85</f>
        <v>47633.233090000009</v>
      </c>
      <c r="N88" s="864">
        <f ca="1">+SUM(J88:M88)</f>
        <v>143815.20790999994</v>
      </c>
      <c r="O88" s="865">
        <f ca="1">+O76+O78+O86+O87+O85</f>
        <v>34050.342430000026</v>
      </c>
      <c r="P88" s="865">
        <f ca="1">+P76+P78+P86+P87+P85</f>
        <v>41050.409850000025</v>
      </c>
      <c r="Q88" s="865">
        <f ca="1">+Q76+Q78+Q86+Q87+Q85</f>
        <v>90543.972610000026</v>
      </c>
      <c r="R88" s="865">
        <f ca="1">+R76+R78+R86+R87+R85</f>
        <v>47185.545329999994</v>
      </c>
      <c r="S88" s="864">
        <f ca="1">+SUM(O88:R88)</f>
        <v>212830.27022000006</v>
      </c>
      <c r="T88" s="865">
        <f ca="1">+T76+T78+T86+T87+T85</f>
        <v>18228.660220000005</v>
      </c>
      <c r="U88" s="865">
        <f ca="1">+U76+U78+U86+U87+U85</f>
        <v>-19447.750720000011</v>
      </c>
      <c r="V88" s="865">
        <f ca="1">+V76+V78+V86+V87+V85</f>
        <v>31400.413580000008</v>
      </c>
      <c r="W88" s="865">
        <f ca="1">+W76+W78+W86+W87+W85</f>
        <v>35973.570420000033</v>
      </c>
      <c r="X88" s="864">
        <f ca="1">+SUM(T88:W88)</f>
        <v>66154.893500000035</v>
      </c>
      <c r="Y88" s="865">
        <f ca="1">+Y76+Y78+Y86+Y87+Y85</f>
        <v>24897.950790000003</v>
      </c>
      <c r="Z88" s="865">
        <f ca="1">+Z76+Z78+Z86+Z87+Z85</f>
        <v>15068.959429999981</v>
      </c>
      <c r="AA88" s="865">
        <f ca="1">+AA76+AA78+AA86+AA87+AA85</f>
        <v>16225.760699999992</v>
      </c>
      <c r="AB88" s="865">
        <f ca="1">+AB76+AB78+AB86+AB87+AB85</f>
        <v>28377.622419999901</v>
      </c>
      <c r="AC88" s="864">
        <f ca="1">+SUM(Y88:AB88)</f>
        <v>84570.293339999873</v>
      </c>
      <c r="AD88" s="865">
        <f ca="1">+AD76+AD78+AD86+AD87+AD85</f>
        <v>11903.233889999981</v>
      </c>
      <c r="AE88" s="865">
        <f ca="1">+AE76+AE78+AE86+AE87+AE85</f>
        <v>28477.494269999956</v>
      </c>
      <c r="AF88" s="865">
        <f ca="1">+AF76+AF78+AF86+AF87+AF85</f>
        <v>59231.320249999961</v>
      </c>
      <c r="AG88" s="865">
        <f ca="1">+AG76+AG78+AG86+AG87+AG85</f>
        <v>58029.402119999933</v>
      </c>
      <c r="AH88" s="864">
        <f ca="1">+SUM(AD88:AG88)</f>
        <v>157641.45052999983</v>
      </c>
      <c r="AI88" s="865">
        <f ca="1">+AI76+AI78+AI86+AI87+AI85</f>
        <v>33334.285629999846</v>
      </c>
      <c r="AJ88" s="865">
        <f ca="1">+AJ76+AJ78+AJ86+AJ87+AJ85</f>
        <v>37234.110040000101</v>
      </c>
      <c r="AK88" s="865">
        <f ca="1">+AK76+AK78+AK86+AK87+AK85</f>
        <v>57337.571230000081</v>
      </c>
      <c r="AL88" s="865">
        <f ca="1">+AL76+AL78+AL86+AL87+AL85</f>
        <v>52424.614480000273</v>
      </c>
      <c r="AM88" s="864">
        <f ca="1">+SUM(AI88:AL88)</f>
        <v>180330.58138000031</v>
      </c>
      <c r="AN88" s="865">
        <f ca="1">+AN76+AN78+AN86+AN87+AN85</f>
        <v>40428.051039999846</v>
      </c>
      <c r="AO88" s="865">
        <f ca="1">+AO76+AO78+AO86+AO87+AO85</f>
        <v>65090.761100000011</v>
      </c>
      <c r="AP88" s="865">
        <f ca="1">+AP76+AP78+AP86+AP87+AP85</f>
        <v>108152.26717000011</v>
      </c>
      <c r="AQ88" s="865">
        <f ca="1">+AQ76+AQ78+AQ86+AQ87+AQ85</f>
        <v>110300.33060999995</v>
      </c>
      <c r="AR88" s="864">
        <f ca="1">+SUM(AN88:AQ88)</f>
        <v>323971.40991999989</v>
      </c>
      <c r="AS88" s="865">
        <f ca="1">+AS76+AS78+AS86+AS87+AS85</f>
        <v>49786.744079999953</v>
      </c>
      <c r="AT88" s="865">
        <f ca="1">+AT76+AT78+AT86+AT87+AT85</f>
        <v>75550.346659999806</v>
      </c>
      <c r="AU88" s="865">
        <f ca="1">+AU76+AU78+AU86+AU87+AU85</f>
        <v>100836.87653000013</v>
      </c>
      <c r="AV88" s="865">
        <f ca="1">+AV76+AV78+AV86+AV87+AV85</f>
        <v>66327.322299999971</v>
      </c>
      <c r="AW88" s="864">
        <f ca="1">+SUM(AS88:AV88)</f>
        <v>292501.28956999985</v>
      </c>
      <c r="AX88" s="865">
        <f ca="1">+AX76+AX78+AX86+AX87+AX85</f>
        <v>53078.4277</v>
      </c>
      <c r="AY88" s="865">
        <f ca="1">+AY76+AY78+AY86+AY87+AY85</f>
        <v>111074.71256999979</v>
      </c>
      <c r="BA88" s="266" t="str">
        <f>"$"&amp;ROW(Anexos!$D$9)</f>
        <v>$9</v>
      </c>
      <c r="BB88" s="266" t="str">
        <f>"$"&amp;ROW(Anexos!$D$9)</f>
        <v>$9</v>
      </c>
      <c r="BN88" s="266"/>
      <c r="BO88" s="266"/>
      <c r="BP88" s="266"/>
      <c r="BQ88" s="266"/>
      <c r="BR88" s="266"/>
      <c r="BS88" s="266"/>
      <c r="BT88" s="266"/>
      <c r="BU88" s="266"/>
      <c r="BV88" s="266"/>
      <c r="BW88" s="266"/>
      <c r="BX88" s="266"/>
      <c r="BY88" s="266"/>
      <c r="BZ88" s="266"/>
      <c r="CA88" s="266"/>
      <c r="CB88" s="266"/>
      <c r="CC88" s="266"/>
      <c r="CD88" s="266"/>
      <c r="CE88" s="266"/>
      <c r="CF88" s="266"/>
      <c r="CG88" s="266"/>
      <c r="CH88" s="266"/>
      <c r="CI88" s="266"/>
      <c r="CJ88" s="266"/>
    </row>
    <row r="89" spans="1:88" s="850" customFormat="1" ht="13.5" customHeight="1" x14ac:dyDescent="0.2">
      <c r="A89" s="516" t="s">
        <v>1733</v>
      </c>
      <c r="B89" s="516" t="s">
        <v>1732</v>
      </c>
      <c r="C89" s="855"/>
      <c r="D89" s="854" t="str">
        <f>IF([1]RENAME!$H$3=1,B89,A89)</f>
        <v>Margem operacional</v>
      </c>
      <c r="E89" s="853">
        <f t="shared" ref="E89:Z89" ca="1" si="120">ROUND(E88/E70,3)</f>
        <v>7.1999999999999995E-2</v>
      </c>
      <c r="F89" s="853">
        <f t="shared" ca="1" si="120"/>
        <v>3.2000000000000001E-2</v>
      </c>
      <c r="G89" s="853">
        <f t="shared" ca="1" si="120"/>
        <v>0.127</v>
      </c>
      <c r="H89" s="853">
        <f t="shared" ca="1" si="120"/>
        <v>0.20399999999999999</v>
      </c>
      <c r="I89" s="852">
        <f t="shared" ca="1" si="120"/>
        <v>0.11700000000000001</v>
      </c>
      <c r="J89" s="853">
        <f t="shared" ca="1" si="120"/>
        <v>8.5000000000000006E-2</v>
      </c>
      <c r="K89" s="853">
        <f t="shared" ca="1" si="120"/>
        <v>0.125</v>
      </c>
      <c r="L89" s="853">
        <f t="shared" ca="1" si="120"/>
        <v>0.153</v>
      </c>
      <c r="M89" s="853">
        <f t="shared" ca="1" si="120"/>
        <v>0.14799999999999999</v>
      </c>
      <c r="N89" s="852">
        <f t="shared" ca="1" si="120"/>
        <v>0.13100000000000001</v>
      </c>
      <c r="O89" s="853">
        <f t="shared" ca="1" si="120"/>
        <v>0.13200000000000001</v>
      </c>
      <c r="P89" s="853">
        <f t="shared" ca="1" si="120"/>
        <v>0.14000000000000001</v>
      </c>
      <c r="Q89" s="853">
        <f t="shared" ca="1" si="120"/>
        <v>0.30199999999999999</v>
      </c>
      <c r="R89" s="853">
        <f t="shared" ca="1" si="120"/>
        <v>0.14000000000000001</v>
      </c>
      <c r="S89" s="852">
        <f t="shared" ca="1" si="120"/>
        <v>0.17899999999999999</v>
      </c>
      <c r="T89" s="853">
        <f t="shared" ca="1" si="120"/>
        <v>7.5999999999999998E-2</v>
      </c>
      <c r="U89" s="853">
        <f t="shared" ca="1" si="120"/>
        <v>-0.224</v>
      </c>
      <c r="V89" s="853">
        <f t="shared" ca="1" si="120"/>
        <v>0.128</v>
      </c>
      <c r="W89" s="853">
        <f t="shared" ca="1" si="120"/>
        <v>0.13200000000000001</v>
      </c>
      <c r="X89" s="852">
        <f t="shared" ca="1" si="120"/>
        <v>7.8E-2</v>
      </c>
      <c r="Y89" s="853">
        <f t="shared" ca="1" si="120"/>
        <v>0.124</v>
      </c>
      <c r="Z89" s="853">
        <f t="shared" ca="1" si="120"/>
        <v>7.4999999999999997E-2</v>
      </c>
      <c r="AA89" s="853">
        <f t="shared" ref="AA89:AF89" ca="1" si="121">ROUND(AA88/AA70,3)</f>
        <v>8.4000000000000005E-2</v>
      </c>
      <c r="AB89" s="853">
        <f t="shared" ca="1" si="121"/>
        <v>0.104</v>
      </c>
      <c r="AC89" s="852">
        <f t="shared" ca="1" si="121"/>
        <v>9.7000000000000003E-2</v>
      </c>
      <c r="AD89" s="853">
        <f t="shared" ca="1" si="121"/>
        <v>5.8999999999999997E-2</v>
      </c>
      <c r="AE89" s="853">
        <f t="shared" ca="1" si="121"/>
        <v>0.107</v>
      </c>
      <c r="AF89" s="853">
        <f t="shared" ca="1" si="121"/>
        <v>0.159</v>
      </c>
      <c r="AG89" s="853">
        <f t="shared" ref="AG89:AO89" ca="1" si="122">ROUND(AG88/AG70,3)</f>
        <v>0.156</v>
      </c>
      <c r="AH89" s="852">
        <f t="shared" ca="1" si="122"/>
        <v>0.13</v>
      </c>
      <c r="AI89" s="853">
        <f t="shared" ca="1" si="122"/>
        <v>0.112</v>
      </c>
      <c r="AJ89" s="853">
        <f t="shared" ca="1" si="122"/>
        <v>0.113</v>
      </c>
      <c r="AK89" s="853">
        <f t="shared" ca="1" si="122"/>
        <v>0.14899999999999999</v>
      </c>
      <c r="AL89" s="853">
        <f t="shared" ca="1" si="122"/>
        <v>0.127</v>
      </c>
      <c r="AM89" s="852">
        <f t="shared" ca="1" si="122"/>
        <v>0.126</v>
      </c>
      <c r="AN89" s="853">
        <f t="shared" ca="1" si="122"/>
        <v>0.11600000000000001</v>
      </c>
      <c r="AO89" s="853">
        <f t="shared" ca="1" si="122"/>
        <v>0.152</v>
      </c>
      <c r="AP89" s="853">
        <f t="shared" ref="AP89:AX89" ca="1" si="123">ROUND(AP88/AP70,3)</f>
        <v>0.192</v>
      </c>
      <c r="AQ89" s="853">
        <f t="shared" ca="1" si="123"/>
        <v>0.189</v>
      </c>
      <c r="AR89" s="852">
        <f t="shared" ca="1" si="123"/>
        <v>0.16900000000000001</v>
      </c>
      <c r="AS89" s="853">
        <f t="shared" ca="1" si="123"/>
        <v>0.126</v>
      </c>
      <c r="AT89" s="853">
        <f t="shared" ca="1" si="123"/>
        <v>0.152</v>
      </c>
      <c r="AU89" s="853">
        <f t="shared" ca="1" si="123"/>
        <v>0.16800000000000001</v>
      </c>
      <c r="AV89" s="853">
        <f t="shared" ca="1" si="123"/>
        <v>0.11600000000000001</v>
      </c>
      <c r="AW89" s="852">
        <f t="shared" ca="1" si="123"/>
        <v>0.14199999999999999</v>
      </c>
      <c r="AX89" s="853">
        <f t="shared" ca="1" si="123"/>
        <v>0.111</v>
      </c>
      <c r="AY89" s="853">
        <f ca="1">ROUND(AY88/AY70,3)</f>
        <v>0.16</v>
      </c>
      <c r="AZ89" s="851"/>
      <c r="BA89" s="266" t="str">
        <f>"$"&amp;ROW(Anexos!$D$5)</f>
        <v>$5</v>
      </c>
      <c r="BB89" s="266" t="str">
        <f>"$"&amp;ROW(Anexos!$D$5)</f>
        <v>$5</v>
      </c>
      <c r="BC89" s="851"/>
      <c r="BD89" s="851"/>
      <c r="BE89" s="851"/>
      <c r="BF89" s="851"/>
      <c r="BG89" s="851"/>
      <c r="BH89" s="851"/>
      <c r="BK89" s="851"/>
      <c r="BL89" s="851"/>
      <c r="BM89" s="851"/>
      <c r="BN89" s="851"/>
      <c r="BO89" s="851"/>
      <c r="BP89" s="851"/>
      <c r="BQ89" s="851"/>
      <c r="BR89" s="851"/>
      <c r="BS89" s="851"/>
      <c r="BT89" s="851"/>
      <c r="BU89" s="851"/>
      <c r="BV89" s="851"/>
      <c r="BW89" s="851"/>
      <c r="BX89" s="851"/>
      <c r="BY89" s="851"/>
      <c r="BZ89" s="851"/>
      <c r="CA89" s="851"/>
      <c r="CB89" s="851"/>
      <c r="CC89" s="851"/>
      <c r="CD89" s="851"/>
      <c r="CE89" s="851"/>
      <c r="CF89" s="851"/>
      <c r="CG89" s="851"/>
      <c r="CH89" s="851"/>
      <c r="CI89" s="851"/>
      <c r="CJ89" s="851"/>
    </row>
    <row r="90" spans="1:88" ht="13.5" customHeight="1" x14ac:dyDescent="0.2">
      <c r="A90" s="1" t="s">
        <v>1972</v>
      </c>
      <c r="B90" s="1" t="s">
        <v>1973</v>
      </c>
      <c r="C90" s="754"/>
      <c r="D90" s="8" t="str">
        <f>IF([1]RENAME!$H$3=1,B90,A90)</f>
        <v>¹ Custos com fretes, combustíveis, com movimentação, crédito de PIS/COFINS</v>
      </c>
      <c r="E90" s="839">
        <f ca="1">+SUMIFS(INDIRECT(CONCATENATE("'",$AZ90,$BA90,":",$BB90)),INDIRECT(CONCATENATE("'",$AZ90,$BA$35,":",$BB$35)),E$35)-E88</f>
        <v>0</v>
      </c>
      <c r="F90" s="839">
        <f ca="1">+SUMIFS(INDIRECT(CONCATENATE("'",$AZ90,$BA90,":",$BB90)),INDIRECT(CONCATENATE("'",$AZ90,$BA$35,":",$BB$35)),F$35)-F88</f>
        <v>0</v>
      </c>
      <c r="G90" s="839">
        <f ca="1">+SUMIFS(INDIRECT(CONCATENATE("'",$AZ90,$BA90,":",$BB90)),INDIRECT(CONCATENATE("'",$AZ90,$BA$35,":",$BB$35)),G$35)-G88</f>
        <v>0</v>
      </c>
      <c r="H90" s="839">
        <f ca="1">+SUMIFS(INDIRECT(CONCATENATE("'",$AZ90,$BA90,":",$BB90)),INDIRECT(CONCATENATE("'",$AZ90,$BA$35,":",$BB$35)),H$35)-H88</f>
        <v>0</v>
      </c>
      <c r="J90" s="839">
        <f ca="1">+SUMIFS(INDIRECT(CONCATENATE("'",$AZ90,$BA90,":",$BB90)),INDIRECT(CONCATENATE("'",$AZ90,$BA$35,":",$BB$35)),J$35)-J88</f>
        <v>0</v>
      </c>
      <c r="K90" s="839">
        <f ca="1">+SUMIFS(INDIRECT(CONCATENATE("'",$AZ90,$BA90,":",$BB90)),INDIRECT(CONCATENATE("'",$AZ90,$BA$35,":",$BB$35)),K$35)-K88</f>
        <v>0</v>
      </c>
      <c r="L90" s="839">
        <f ca="1">+SUMIFS(INDIRECT(CONCATENATE("'",$AZ90,$BA90,":",$BB90)),INDIRECT(CONCATENATE("'",$AZ90,$BA$35,":",$BB$35)),L$35)-L88</f>
        <v>0</v>
      </c>
      <c r="M90" s="839">
        <f ca="1">+SUMIFS(INDIRECT(CONCATENATE("'",$AZ90,$BA90,":",$BB90)),INDIRECT(CONCATENATE("'",$AZ90,$BA$35,":",$BB$35)),M$35)-M88</f>
        <v>0</v>
      </c>
      <c r="O90" s="839">
        <f ca="1">+SUMIFS(INDIRECT(CONCATENATE("'",$AZ90,$BA90,":",$BB90)),INDIRECT(CONCATENATE("'",$AZ90,$BA$35,":",$BB$35)),O$35)-O88</f>
        <v>0</v>
      </c>
      <c r="P90" s="839">
        <f ca="1">+SUMIFS(INDIRECT(CONCATENATE("'",$AZ90,$BA90,":",$BB90)),INDIRECT(CONCATENATE("'",$AZ90,$BA$35,":",$BB$35)),P$35)-P88</f>
        <v>0</v>
      </c>
      <c r="Q90" s="839">
        <f ca="1">+SUMIFS(INDIRECT(CONCATENATE("'",$AZ90,$BA90,":",$BB90)),INDIRECT(CONCATENATE("'",$AZ90,$BA$35,":",$BB$35)),Q$35)-Q88</f>
        <v>0</v>
      </c>
      <c r="R90" s="839">
        <f ca="1">+SUMIFS(INDIRECT(CONCATENATE("'",$AZ90,$BA90,":",$BB90)),INDIRECT(CONCATENATE("'",$AZ90,$BA$35,":",$BB$35)),R$35)-R88</f>
        <v>0</v>
      </c>
      <c r="T90" s="839">
        <f ca="1">+SUMIFS(INDIRECT(CONCATENATE("'",$AZ90,$BA90,":",$BB90)),INDIRECT(CONCATENATE("'",$AZ90,$BA$35,":",$BB$35)),T$35)-T88</f>
        <v>0</v>
      </c>
      <c r="U90" s="839">
        <f ca="1">+SUMIFS(INDIRECT(CONCATENATE("'",$AZ90,$BA90,":",$BB90)),INDIRECT(CONCATENATE("'",$AZ90,$BA$35,":",$BB$35)),U$35)-U88</f>
        <v>0</v>
      </c>
      <c r="V90" s="839">
        <f ca="1">+SUMIFS(INDIRECT(CONCATENATE("'",$AZ90,$BA90,":",$BB90)),INDIRECT(CONCATENATE("'",$AZ90,$BA$35,":",$BB$35)),V$35)-V88</f>
        <v>0</v>
      </c>
      <c r="W90" s="839">
        <f ca="1">+SUMIFS(INDIRECT(CONCATENATE("'",$AZ90,$BA90,":",$BB90)),INDIRECT(CONCATENATE("'",$AZ90,$BA$35,":",$BB$35)),W$35)-W88</f>
        <v>0</v>
      </c>
      <c r="Y90" s="839">
        <f ca="1">+SUMIFS(INDIRECT(CONCATENATE("'",$AZ90,$BA90,":",$BB90)),INDIRECT(CONCATENATE("'",$AZ90,$BA$35,":",$BB$35)),Y$35)-Y88</f>
        <v>0</v>
      </c>
      <c r="Z90" s="839">
        <f ca="1">+SUMIFS(INDIRECT(CONCATENATE("'",$AZ90,$BA90,":",$BB90)),INDIRECT(CONCATENATE("'",$AZ90,$BA$35,":",$BB$35)),Z$35)-Z88</f>
        <v>0</v>
      </c>
      <c r="AA90" s="839">
        <f ca="1">+SUMIFS(INDIRECT(CONCATENATE("'",$AZ90,$BA90,":",$BB90)),INDIRECT(CONCATENATE("'",$AZ90,$BA$35,":",$BB$35)),AA$35)-AA88</f>
        <v>0</v>
      </c>
      <c r="AB90" s="839">
        <f ca="1">+SUMIFS(INDIRECT(CONCATENATE("'",$AZ90,$BA90,":",$BB90)),INDIRECT(CONCATENATE("'",$AZ90,$BA$35,":",$BB$35)),AB$35)-AB88</f>
        <v>0</v>
      </c>
      <c r="AD90" s="839">
        <f ca="1">+SUMIFS(INDIRECT(CONCATENATE("'",$AZ90,$BA90,":",$BB90)),INDIRECT(CONCATENATE("'",$AZ90,$BA$35,":",$BB$35)),AD$35)-AD88</f>
        <v>0</v>
      </c>
      <c r="AE90" s="839">
        <f ca="1">+SUMIFS(INDIRECT(CONCATENATE("'",$AZ90,$BA90,":",$BB90)),INDIRECT(CONCATENATE("'",$AZ90,$BA$35,":",$BB$35)),AE$35)-AE88</f>
        <v>0</v>
      </c>
      <c r="AF90" s="839">
        <f ca="1">+SUMIFS(INDIRECT(CONCATENATE("'",$AZ90,$BA90,":",$BB90)),INDIRECT(CONCATENATE("'",$AZ90,$BA$35,":",$BB$35)),AF$35)-AF88</f>
        <v>0</v>
      </c>
      <c r="AG90" s="839">
        <f ca="1">+SUMIFS(INDIRECT(CONCATENATE("'",$AZ90,$BA90,":",$BB90)),INDIRECT(CONCATENATE("'",$AZ90,$BA$35,":",$BB$35)),AG$35)-AG88</f>
        <v>0</v>
      </c>
      <c r="AI90" s="839">
        <f ca="1">+SUMIFS(INDIRECT(CONCATENATE("'",$AZ90,$BA90,":",$BB90)),INDIRECT(CONCATENATE("'",$AZ90,$BA$35,":",$BB$35)),AI$35)-AI88</f>
        <v>0</v>
      </c>
      <c r="AJ90" s="839">
        <f ca="1">+SUMIFS(INDIRECT(CONCATENATE("'",$AZ90,$BA90,":",$BB90)),INDIRECT(CONCATENATE("'",$AZ90,$BA$35,":",$BB$35)),AJ$35)-AJ88</f>
        <v>0</v>
      </c>
      <c r="AK90" s="839">
        <f ca="1">+SUMIFS(INDIRECT(CONCATENATE("'",$AZ90,$BA90,":",$BB90)),INDIRECT(CONCATENATE("'",$AZ90,$BA$35,":",$BB$35)),AK$35)-AK88</f>
        <v>0</v>
      </c>
      <c r="AL90" s="839">
        <f ca="1">+SUMIFS(INDIRECT(CONCATENATE("'",$AZ90,$BA90,":",$BB90)),INDIRECT(CONCATENATE("'",$AZ90,$BA$35,":",$BB$35)),AL$35)-AL88</f>
        <v>0</v>
      </c>
      <c r="AN90" s="839">
        <f ca="1">+SUMIFS(INDIRECT(CONCATENATE("'",$AZ90,$BA90,":",$BB90)),INDIRECT(CONCATENATE("'",$AZ90,$BA$35,":",$BB$35)),AN$35)-AN88</f>
        <v>0</v>
      </c>
      <c r="AO90" s="839">
        <f ca="1">+SUMIFS(INDIRECT(CONCATENATE("'",$AZ90,$BA90,":",$BB90)),INDIRECT(CONCATENATE("'",$AZ90,$BA$35,":",$BB$35)),AO$35)-AO88</f>
        <v>0</v>
      </c>
      <c r="AP90" s="839">
        <f ca="1">+SUMIFS(INDIRECT(CONCATENATE("'",$AZ90,$BA90,":",$BB90)),INDIRECT(CONCATENATE("'",$AZ90,$BA$35,":",$BB$35)),AP$35)-AP88</f>
        <v>0</v>
      </c>
      <c r="AQ90" s="839">
        <f ca="1">+SUMIFS(INDIRECT(CONCATENATE("'",$AZ90,$BA90,":",$BB90)),INDIRECT(CONCATENATE("'",$AZ90,$BA$35,":",$BB$35)),AQ$35)-AQ88</f>
        <v>0</v>
      </c>
      <c r="AS90" s="839">
        <f ca="1">+SUMIFS(INDIRECT(CONCATENATE("'",$AZ90,$BA90,":",$BB90)),INDIRECT(CONCATENATE("'",$AZ90,$BA$35,":",$BB$35)),AS$35)-AS88</f>
        <v>0</v>
      </c>
      <c r="AT90" s="839">
        <f ca="1">+SUMIFS(INDIRECT(CONCATENATE("'",$AZ90,$BA90,":",$BB90)),INDIRECT(CONCATENATE("'",$AZ90,$BA$35,":",$BB$35)),AT$35)-AT88</f>
        <v>0</v>
      </c>
      <c r="AU90" s="839">
        <f ca="1">+SUMIFS(INDIRECT(CONCATENATE("'",$AZ90,$BA90,":",$BB90)),INDIRECT(CONCATENATE("'",$AZ90,$BA$35,":",$BB$35)),AU$35)-AU88</f>
        <v>0</v>
      </c>
      <c r="AV90" s="839">
        <f ca="1">+SUMIFS(INDIRECT(CONCATENATE("'",$AZ90,$BA90,":",$BB90)),INDIRECT(CONCATENATE("'",$AZ90,$BA$35,":",$BB$35)),AV$35)-AV88</f>
        <v>0</v>
      </c>
      <c r="AW90" s="839"/>
      <c r="AX90" s="839">
        <f ca="1">+SUMIFS(INDIRECT(CONCATENATE("'",$AZ90,$BA90,":",$BB90)),INDIRECT(CONCATENATE("'",$AZ90,$BA$35,":",$BB$35)),AX$35)-AX88</f>
        <v>0</v>
      </c>
      <c r="AY90" s="839">
        <f ca="1">+SUMIFS(INDIRECT(CONCATENATE("'",$AZ90,$BA90,":",$BB90)),INDIRECT(CONCATENATE("'",$AZ90,$BA$35,":",$BB$35)),AY$35)-AY88</f>
        <v>0</v>
      </c>
      <c r="AZ90" s="266" t="str">
        <f>IF([1]RENAME!$H$3=0,BD90,BC90)</f>
        <v>Auto'!</v>
      </c>
      <c r="BA90" s="266" t="str">
        <f>"$"&amp;ROW(Auto!$D$40)</f>
        <v>$40</v>
      </c>
      <c r="BB90" s="266" t="str">
        <f>"$"&amp;ROW(Auto!$D$40)</f>
        <v>$40</v>
      </c>
      <c r="BC90" s="266" t="s">
        <v>1746</v>
      </c>
      <c r="BD90" s="266" t="s">
        <v>1745</v>
      </c>
      <c r="BN90" s="266"/>
      <c r="BO90" s="266"/>
      <c r="BP90" s="266"/>
      <c r="BQ90" s="266"/>
      <c r="BR90" s="266"/>
      <c r="BS90" s="266"/>
      <c r="BT90" s="266"/>
      <c r="BU90" s="266"/>
      <c r="BV90" s="266"/>
      <c r="BW90" s="266"/>
      <c r="BX90" s="266"/>
      <c r="BY90" s="266"/>
      <c r="BZ90" s="266"/>
      <c r="CA90" s="266"/>
      <c r="CB90" s="266"/>
      <c r="CC90" s="266"/>
      <c r="CD90" s="266"/>
      <c r="CE90" s="266"/>
      <c r="CF90" s="266"/>
      <c r="CG90" s="266"/>
      <c r="CH90" s="266"/>
      <c r="CI90" s="266"/>
      <c r="CJ90" s="266"/>
    </row>
    <row r="91" spans="1:88" ht="12.75" x14ac:dyDescent="0.2">
      <c r="A91" s="1" t="s">
        <v>632</v>
      </c>
      <c r="B91" s="1" t="s">
        <v>1305</v>
      </c>
      <c r="D91" s="1128" t="str">
        <f>IF([1]RENAME!$H$3=1,B91,A91)</f>
        <v>* Esse indicador não reflete exatamente o valor cobrado dos clientes porque a receita bruta inclui outros serviços que não transporte</v>
      </c>
      <c r="E91" s="38"/>
      <c r="F91" s="38"/>
      <c r="G91" s="38"/>
      <c r="H91" s="38"/>
      <c r="I91" s="38"/>
      <c r="J91" s="38"/>
      <c r="K91" s="38"/>
      <c r="L91" s="38"/>
      <c r="M91" s="38"/>
      <c r="N91" s="38"/>
      <c r="O91" s="38"/>
      <c r="P91" s="38"/>
      <c r="Q91" s="38"/>
      <c r="AE91" s="274"/>
      <c r="BE91" s="1169"/>
      <c r="BF91" s="1169"/>
      <c r="BG91" s="1169"/>
      <c r="BH91" s="1169"/>
      <c r="BI91" s="274"/>
      <c r="BJ91" s="274"/>
      <c r="BK91" s="274"/>
      <c r="BL91" s="274"/>
      <c r="BM91" s="274"/>
    </row>
    <row r="92" spans="1:88" ht="13.5" customHeight="1" x14ac:dyDescent="0.2">
      <c r="A92" s="516" t="s">
        <v>1743</v>
      </c>
      <c r="B92" s="516" t="s">
        <v>1742</v>
      </c>
      <c r="D92" s="868" t="str">
        <f>IF([1]RENAME!$H$3=1,B92,A92)</f>
        <v>DRE Divisão Logística integrada</v>
      </c>
      <c r="E92" s="867" t="str">
        <f t="shared" ref="E92:AJ92" si="124">E5</f>
        <v>1T17</v>
      </c>
      <c r="F92" s="867" t="str">
        <f t="shared" si="124"/>
        <v>2T17</v>
      </c>
      <c r="G92" s="867" t="str">
        <f t="shared" si="124"/>
        <v>3T17</v>
      </c>
      <c r="H92" s="867" t="str">
        <f t="shared" si="124"/>
        <v>4T17</v>
      </c>
      <c r="I92" s="867" t="str">
        <f t="shared" si="124"/>
        <v>2017</v>
      </c>
      <c r="J92" s="867" t="str">
        <f t="shared" si="124"/>
        <v>1T18</v>
      </c>
      <c r="K92" s="867" t="str">
        <f t="shared" si="124"/>
        <v>2T18</v>
      </c>
      <c r="L92" s="867" t="str">
        <f t="shared" si="124"/>
        <v>3T18</v>
      </c>
      <c r="M92" s="867" t="str">
        <f t="shared" si="124"/>
        <v>4T18</v>
      </c>
      <c r="N92" s="867" t="str">
        <f t="shared" si="124"/>
        <v>2018</v>
      </c>
      <c r="O92" s="867" t="str">
        <f t="shared" si="124"/>
        <v>1T19</v>
      </c>
      <c r="P92" s="867" t="str">
        <f t="shared" si="124"/>
        <v>2T19</v>
      </c>
      <c r="Q92" s="867" t="str">
        <f t="shared" si="124"/>
        <v>3T19</v>
      </c>
      <c r="R92" s="867" t="str">
        <f t="shared" si="124"/>
        <v>4T19</v>
      </c>
      <c r="S92" s="867" t="str">
        <f t="shared" si="124"/>
        <v>2019</v>
      </c>
      <c r="T92" s="867" t="str">
        <f t="shared" si="124"/>
        <v>1T20</v>
      </c>
      <c r="U92" s="867" t="str">
        <f t="shared" si="124"/>
        <v>2T20</v>
      </c>
      <c r="V92" s="867" t="str">
        <f t="shared" si="124"/>
        <v>3T20</v>
      </c>
      <c r="W92" s="867" t="str">
        <f t="shared" si="124"/>
        <v>4T20</v>
      </c>
      <c r="X92" s="867" t="str">
        <f t="shared" si="124"/>
        <v>2020</v>
      </c>
      <c r="Y92" s="867" t="str">
        <f t="shared" si="124"/>
        <v>1T21</v>
      </c>
      <c r="Z92" s="867" t="str">
        <f t="shared" si="124"/>
        <v>2T21</v>
      </c>
      <c r="AA92" s="867" t="str">
        <f t="shared" si="124"/>
        <v>3T21</v>
      </c>
      <c r="AB92" s="867" t="str">
        <f t="shared" si="124"/>
        <v>4T21</v>
      </c>
      <c r="AC92" s="867" t="str">
        <f t="shared" si="124"/>
        <v>2021</v>
      </c>
      <c r="AD92" s="867" t="str">
        <f t="shared" si="124"/>
        <v>1T22</v>
      </c>
      <c r="AE92" s="867" t="str">
        <f t="shared" si="124"/>
        <v>2T22</v>
      </c>
      <c r="AF92" s="867" t="str">
        <f t="shared" si="124"/>
        <v>3T22</v>
      </c>
      <c r="AG92" s="867" t="str">
        <f t="shared" si="124"/>
        <v>4T22</v>
      </c>
      <c r="AH92" s="867" t="str">
        <f t="shared" si="124"/>
        <v>2022</v>
      </c>
      <c r="AI92" s="867" t="str">
        <f t="shared" si="124"/>
        <v>1T23</v>
      </c>
      <c r="AJ92" s="867" t="str">
        <f t="shared" si="124"/>
        <v>2T23</v>
      </c>
      <c r="AK92" s="867" t="str">
        <f t="shared" ref="AK92:AP92" si="125">AK5</f>
        <v>3T23</v>
      </c>
      <c r="AL92" s="867" t="str">
        <f t="shared" si="125"/>
        <v>4T23</v>
      </c>
      <c r="AM92" s="867" t="str">
        <f t="shared" si="125"/>
        <v>2023</v>
      </c>
      <c r="AN92" s="867" t="str">
        <f t="shared" si="125"/>
        <v>1T24</v>
      </c>
      <c r="AO92" s="867" t="str">
        <f t="shared" si="125"/>
        <v>2T24</v>
      </c>
      <c r="AP92" s="867" t="str">
        <f t="shared" si="125"/>
        <v>3T24</v>
      </c>
      <c r="AQ92" s="867" t="str">
        <f t="shared" ref="AQ92:AX92" si="126">AQ5</f>
        <v>4T24</v>
      </c>
      <c r="AR92" s="867" t="str">
        <f t="shared" si="126"/>
        <v>2024</v>
      </c>
      <c r="AS92" s="867" t="str">
        <f t="shared" si="126"/>
        <v>1T25</v>
      </c>
      <c r="AT92" s="867" t="str">
        <f t="shared" si="126"/>
        <v>2T25</v>
      </c>
      <c r="AU92" s="867" t="str">
        <f t="shared" si="126"/>
        <v>3T25</v>
      </c>
      <c r="AV92" s="867" t="str">
        <f t="shared" si="126"/>
        <v>4T25</v>
      </c>
      <c r="AW92" s="867" t="str">
        <f t="shared" si="126"/>
        <v>2025</v>
      </c>
      <c r="AX92" s="867" t="str">
        <f t="shared" si="126"/>
        <v>1T26</v>
      </c>
      <c r="AY92" s="867" t="str">
        <f>AY5</f>
        <v>2T26</v>
      </c>
      <c r="BA92" s="266" t="str">
        <f>"$"&amp;ROW(LI!$D$5)</f>
        <v>$5</v>
      </c>
      <c r="BB92" s="266" t="str">
        <f>"$"&amp;ROW(LI!$D$5)</f>
        <v>$5</v>
      </c>
      <c r="BC92" s="266" t="s">
        <v>1737</v>
      </c>
      <c r="BN92" s="266"/>
      <c r="BO92" s="266"/>
      <c r="BP92" s="266"/>
      <c r="BQ92" s="266"/>
      <c r="BR92" s="266"/>
      <c r="BS92" s="266"/>
      <c r="BT92" s="266"/>
      <c r="BU92" s="266"/>
      <c r="BV92" s="266"/>
      <c r="BW92" s="266"/>
      <c r="BX92" s="266"/>
      <c r="BY92" s="266"/>
      <c r="BZ92" s="266"/>
      <c r="CA92" s="266"/>
      <c r="CB92" s="266"/>
      <c r="CC92" s="266"/>
      <c r="CD92" s="266"/>
      <c r="CE92" s="266"/>
      <c r="CF92" s="266"/>
      <c r="CG92" s="266"/>
      <c r="CH92" s="266"/>
      <c r="CI92" s="266"/>
      <c r="CJ92" s="266"/>
    </row>
    <row r="93" spans="1:88" ht="13.5" customHeight="1" x14ac:dyDescent="0.2">
      <c r="A93" s="1" t="s">
        <v>12</v>
      </c>
      <c r="B93" s="1" t="s">
        <v>737</v>
      </c>
      <c r="D93" s="858" t="str">
        <f>IF([1]RENAME!$H$3=1,B93,A93)</f>
        <v>Armazenagem</v>
      </c>
      <c r="E93" s="857">
        <f ca="1">+SUMIFS(INDIRECT(CONCATENATE("'",$AZ93,$BA93,":",$BB93)),INDIRECT(CONCATENATE("'",$AZ93,$BA$92,":",$BB$92)),E$92)</f>
        <v>14711.21329</v>
      </c>
      <c r="F93" s="857">
        <f ca="1">+SUMIFS(INDIRECT(CONCATENATE("'",$AZ93,$BA93,":",$BB93)),INDIRECT(CONCATENATE("'",$AZ93,$BA$92,":",$BB$92)),F$92)</f>
        <v>15228.65266</v>
      </c>
      <c r="G93" s="857">
        <f ca="1">+SUMIFS(INDIRECT(CONCATENATE("'",$AZ93,$BA93,":",$BB93)),INDIRECT(CONCATENATE("'",$AZ93,$BA$92,":",$BB$92)),G$92)</f>
        <v>15248.51109</v>
      </c>
      <c r="H93" s="857">
        <f ca="1">+SUMIFS(INDIRECT(CONCATENATE("'",$AZ93,$BA93,":",$BB93)),INDIRECT(CONCATENATE("'",$AZ93,$BA$92,":",$BB$92)),H$92)</f>
        <v>18348.92193</v>
      </c>
      <c r="I93" s="647">
        <f ca="1">SUM(E93:H93)</f>
        <v>63537.298970000003</v>
      </c>
      <c r="J93" s="857">
        <f ca="1">+SUMIFS(INDIRECT(CONCATENATE("'",$AZ93,$BA93,":",$BB93)),INDIRECT(CONCATENATE("'",$AZ93,$BA$92,":",$BB$92)),J$92)</f>
        <v>13420.595569999999</v>
      </c>
      <c r="K93" s="857">
        <f ca="1">+SUMIFS(INDIRECT(CONCATENATE("'",$AZ93,$BA93,":",$BB93)),INDIRECT(CONCATENATE("'",$AZ93,$BA$92,":",$BB$92)),K$92)</f>
        <v>11588.4</v>
      </c>
      <c r="L93" s="857">
        <f ca="1">+SUMIFS(INDIRECT(CONCATENATE("'",$AZ93,$BA93,":",$BB93)),INDIRECT(CONCATENATE("'",$AZ93,$BA$92,":",$BB$92)),L$92)</f>
        <v>10761.402389999999</v>
      </c>
      <c r="M93" s="857">
        <f ca="1">+SUMIFS(INDIRECT(CONCATENATE("'",$AZ93,$BA93,":",$BB93)),INDIRECT(CONCATENATE("'",$AZ93,$BA$92,":",$BB$92)),M$92)</f>
        <v>12177.346869999994</v>
      </c>
      <c r="N93" s="647">
        <f ca="1">+SUM(J93:M93)</f>
        <v>47947.744829999996</v>
      </c>
      <c r="O93" s="857">
        <f ca="1">+SUMIFS(INDIRECT(CONCATENATE("'",$AZ93,$BA93,":",$BB93)),INDIRECT(CONCATENATE("'",$AZ93,$BA$92,":",$BB$92)),O$92)</f>
        <v>8489.4</v>
      </c>
      <c r="P93" s="857">
        <f ca="1">+SUMIFS(INDIRECT(CONCATENATE("'",$AZ93,$BA93,":",$BB93)),INDIRECT(CONCATENATE("'",$AZ93,$BA$92,":",$BB$92)),P$92)</f>
        <v>8685.1920200000004</v>
      </c>
      <c r="Q93" s="857">
        <f ca="1">+SUMIFS(INDIRECT(CONCATENATE("'",$AZ93,$BA93,":",$BB93)),INDIRECT(CONCATENATE("'",$AZ93,$BA$92,":",$BB$92)),Q$92)</f>
        <v>8764.0848000000005</v>
      </c>
      <c r="R93" s="857">
        <f ca="1">+SUMIFS(INDIRECT(CONCATENATE("'",$AZ93,$BA93,":",$BB93)),INDIRECT(CONCATENATE("'",$AZ93,$BA$92,":",$BB$92)),R$92)</f>
        <v>10631.25776</v>
      </c>
      <c r="S93" s="647">
        <f ca="1">+SUM(O93:R93)</f>
        <v>36569.934580000001</v>
      </c>
      <c r="T93" s="857">
        <f ca="1">+SUMIFS(INDIRECT(CONCATENATE("'",$AZ$93,$BA93,":",$BB93)),INDIRECT(CONCATENATE("'",$AZ93,$BA$92,":",$BB$92)),T$92)</f>
        <v>8671.6252599999989</v>
      </c>
      <c r="U93" s="857">
        <f ca="1">+SUMIFS(INDIRECT(CONCATENATE("'",$AZ$93,$BA93,":",$BB93)),INDIRECT(CONCATENATE("'",$AZ93,$BA$92,":",$BB$92)),U$92)</f>
        <v>11829.77543</v>
      </c>
      <c r="V93" s="857">
        <f ca="1">+SUMIFS(INDIRECT(CONCATENATE("'",$AZ$93,$BA93,":",$BB93)),INDIRECT(CONCATENATE("'",$AZ93,$BA$92,":",$BB$92)),V$92)</f>
        <v>9323.1470300000019</v>
      </c>
      <c r="W93" s="857">
        <f ca="1">+SUMIFS(INDIRECT(CONCATENATE("'",$AZ$93,$BA93,":",$BB93)),INDIRECT(CONCATENATE("'",$AZ93,$BA$92,":",$BB$92)),W$92)</f>
        <v>5179.5571500000005</v>
      </c>
      <c r="X93" s="647">
        <f ca="1">+SUM(T93:W93)</f>
        <v>35004.104870000003</v>
      </c>
      <c r="Y93" s="857">
        <f ca="1">+SUMIFS(INDIRECT(CONCATENATE("'",$AZ$93,$BA93,":",$BB93)),INDIRECT(CONCATENATE("'",$AZ93,$BA$92,":",$BB$92)),Y$92)</f>
        <v>1367.5780099999999</v>
      </c>
      <c r="Z93" s="857">
        <f ca="1">+SUMIFS(INDIRECT(CONCATENATE("'",$AZ$93,$BA93,":",$BB93)),INDIRECT(CONCATENATE("'",$AZ93,$BA$92,":",$BB$92)),Z$92)</f>
        <v>431.86840000000001</v>
      </c>
      <c r="AA93" s="857">
        <f ca="1">+SUMIFS(INDIRECT(CONCATENATE("'",$AZ$93,$BA93,":",$BB93)),INDIRECT(CONCATENATE("'",$AZ93,$BA$92,":",$BB$92)),AA$92)</f>
        <v>420.28199999999998</v>
      </c>
      <c r="AB93" s="857">
        <f ca="1">+SUMIFS(INDIRECT(CONCATENATE("'",$AZ$93,$BA93,":",$BB93)),INDIRECT(CONCATENATE("'",$AZ93,$BA$92,":",$BB$92)),AB$92)</f>
        <v>638.75400000000002</v>
      </c>
      <c r="AC93" s="647">
        <f ca="1">+SUM(Y93:AB93)</f>
        <v>2858.4824100000001</v>
      </c>
      <c r="AD93" s="857">
        <f ca="1">+SUMIFS(INDIRECT(CONCATENATE("'",$AZ$93,$BA93,":",$BB93)),INDIRECT(CONCATENATE("'",$AZ93,$BA$92,":",$BB$92)),AD$92)</f>
        <v>931.00256000000002</v>
      </c>
      <c r="AE93" s="857">
        <f ca="1">+SUMIFS(INDIRECT(CONCATENATE("'",$AZ$93,$BA93,":",$BB93)),INDIRECT(CONCATENATE("'",$AZ93,$BA$92,":",$BB$92)),AE$92)</f>
        <v>946.8376200000057</v>
      </c>
      <c r="AF93" s="857">
        <f ca="1">+SUMIFS(INDIRECT(CONCATENATE("'",$AZ$93,$BA93,":",$BB93)),INDIRECT(CONCATENATE("'",$AZ93,$BA$92,":",$BB$92)),AF$92)</f>
        <v>1066.48</v>
      </c>
      <c r="AG93" s="857">
        <f ca="1">+SUMIFS(INDIRECT(CONCATENATE("'",$AZ$93,$BA93,":",$BB93)),INDIRECT(CONCATENATE("'",$AZ93,$BA$92,":",$BB$92)),AG$92)</f>
        <v>1579.9119099999998</v>
      </c>
      <c r="AH93" s="647">
        <f ca="1">+SUM(AD93:AG93)</f>
        <v>4524.232090000005</v>
      </c>
      <c r="AI93" s="857">
        <f ca="1">+SUMIFS(INDIRECT(CONCATENATE("'",$AZ$93,$BA93,":",$BB93)),INDIRECT(CONCATENATE("'",$AZ93,$BA$92,":",$BB$92)),AI$92)</f>
        <v>1308</v>
      </c>
      <c r="AJ93" s="857">
        <f ca="1">+SUMIFS(INDIRECT(CONCATENATE("'",$AZ$93,$BA93,":",$BB93)),INDIRECT(CONCATENATE("'",$AZ93,$BA$92,":",$BB$92)),AJ$92)</f>
        <v>1469.99</v>
      </c>
      <c r="AK93" s="857">
        <f ca="1">+SUMIFS(INDIRECT(CONCATENATE("'",$AZ$93,$BA93,":",$BB93)),INDIRECT(CONCATENATE("'",$AZ93,$BA$92,":",$BB$92)),AK$92)</f>
        <v>1493.4783099999986</v>
      </c>
      <c r="AL93" s="857">
        <f ca="1">+SUMIFS(INDIRECT(CONCATENATE("'",$AZ$93,$BA93,":",$BB93)),INDIRECT(CONCATENATE("'",$AZ93,$BA$92,":",$BB$92)),AL$92)</f>
        <v>1226.0999999999999</v>
      </c>
      <c r="AM93" s="647">
        <f ca="1">+SUM(AI93:AL93)</f>
        <v>5497.5683099999987</v>
      </c>
      <c r="AN93" s="857">
        <f ca="1">+SUMIFS(INDIRECT(CONCATENATE("'",$AZ$93,$BA93,":",$BB93)),INDIRECT(CONCATENATE("'",$AZ93,$BA$92,":",$BB$92)),AN$92)</f>
        <v>872.82729000000108</v>
      </c>
      <c r="AO93" s="857">
        <f ca="1">+SUMIFS(INDIRECT(CONCATENATE("'",$AZ$93,$BA93,":",$BB93)),INDIRECT(CONCATENATE("'",$AZ93,$BA$92,":",$BB$92)),AO$92)</f>
        <v>0</v>
      </c>
      <c r="AP93" s="857">
        <f ca="1">+SUMIFS(INDIRECT(CONCATENATE("'",$AZ$93,$BA93,":",$BB93)),INDIRECT(CONCATENATE("'",$AZ93,$BA$92,":",$BB$92)),AP$92)</f>
        <v>0</v>
      </c>
      <c r="AQ93" s="857">
        <f ca="1">+SUMIFS(INDIRECT(CONCATENATE("'",$AZ$93,$BA93,":",$BB93)),INDIRECT(CONCATENATE("'",$AZ93,$BA$92,":",$BB$92)),AQ$92)</f>
        <v>0</v>
      </c>
      <c r="AR93" s="647">
        <f ca="1">+SUM(AN93:AQ93)</f>
        <v>872.82729000000108</v>
      </c>
      <c r="AS93" s="857">
        <f ca="1">+SUMIFS(INDIRECT(CONCATENATE("'",$AZ$93,$BA93,":",$BB93)),INDIRECT(CONCATENATE("'",$AZ93,$BA$92,":",$BB$92)),AS$92)</f>
        <v>0</v>
      </c>
      <c r="AT93" s="857">
        <f ca="1">+SUMIFS(INDIRECT(CONCATENATE("'",$AZ$93,$BA93,":",$BB93)),INDIRECT(CONCATENATE("'",$AZ93,$BA$92,":",$BB$92)),AT$92)</f>
        <v>0</v>
      </c>
      <c r="AU93" s="857">
        <f ca="1">+SUMIFS(INDIRECT(CONCATENATE("'",$AZ$93,$BA93,":",$BB93)),INDIRECT(CONCATENATE("'",$AZ93,$BA$92,":",$BB$92)),AU$92)</f>
        <v>0</v>
      </c>
      <c r="AV93" s="857">
        <f ca="1">+SUMIFS(INDIRECT(CONCATENATE("'",$AZ$93,$BA93,":",$BB93)),INDIRECT(CONCATENATE("'",$AZ93,$BA$92,":",$BB$92)),AV$92)</f>
        <v>0</v>
      </c>
      <c r="AW93" s="647">
        <f ca="1">+SUM(AS93:AV93)</f>
        <v>0</v>
      </c>
      <c r="AX93" s="857">
        <f ca="1">+SUMIFS(INDIRECT(CONCATENATE("'",$AZ$93,$BA93,":",$BB93)),INDIRECT(CONCATENATE("'",$AZ93,$BA$92,":",$BB$92)),AX$92)</f>
        <v>0</v>
      </c>
      <c r="AY93" s="857">
        <f ca="1">+SUMIFS(INDIRECT(CONCATENATE("'",$AZ$93,$BA93,":",$BB93)),INDIRECT(CONCATENATE("'",$AZ93,$BA$92,":",$BB$92)),AY$92)</f>
        <v>0</v>
      </c>
      <c r="AZ93" s="266" t="str">
        <f>IF([1]RENAME!$H$3=0,BD93,BC93)</f>
        <v>LI'!</v>
      </c>
      <c r="BA93" s="266" t="str">
        <f>"$"&amp;ROW(LI!$D$6)</f>
        <v>$6</v>
      </c>
      <c r="BB93" s="266" t="str">
        <f>"$"&amp;ROW(LI!$D$6)</f>
        <v>$6</v>
      </c>
      <c r="BC93" s="266" t="s">
        <v>1737</v>
      </c>
      <c r="BD93" s="266" t="s">
        <v>1736</v>
      </c>
      <c r="BN93" s="266"/>
      <c r="BO93" s="266"/>
      <c r="BP93" s="266"/>
      <c r="BQ93" s="266"/>
      <c r="BR93" s="266"/>
      <c r="BS93" s="266"/>
      <c r="BT93" s="266"/>
      <c r="BU93" s="266"/>
      <c r="BV93" s="266"/>
      <c r="BW93" s="266"/>
      <c r="BX93" s="266"/>
      <c r="BY93" s="266"/>
      <c r="BZ93" s="266"/>
      <c r="CA93" s="266"/>
      <c r="CB93" s="266"/>
      <c r="CC93" s="266"/>
      <c r="CD93" s="266"/>
      <c r="CE93" s="266"/>
      <c r="CF93" s="266"/>
      <c r="CG93" s="266"/>
      <c r="CH93" s="266"/>
      <c r="CI93" s="266"/>
      <c r="CJ93" s="266"/>
    </row>
    <row r="94" spans="1:88" s="850" customFormat="1" ht="13.5" customHeight="1" x14ac:dyDescent="0.2">
      <c r="A94" s="850" t="s">
        <v>1679</v>
      </c>
      <c r="B94" s="516" t="s">
        <v>1678</v>
      </c>
      <c r="C94" s="855"/>
      <c r="D94" s="861" t="str">
        <f>IF([1]RENAME!$H$3=1,B94,A94)</f>
        <v>Variação %</v>
      </c>
      <c r="E94" s="875">
        <v>0.02</v>
      </c>
      <c r="F94" s="875">
        <v>0.02</v>
      </c>
      <c r="G94" s="875">
        <v>0.02</v>
      </c>
      <c r="H94" s="875">
        <v>0.02</v>
      </c>
      <c r="I94" s="900" t="s">
        <v>160</v>
      </c>
      <c r="J94" s="875">
        <v>0.02</v>
      </c>
      <c r="K94" s="875">
        <v>0.02</v>
      </c>
      <c r="L94" s="875">
        <v>0.02</v>
      </c>
      <c r="M94" s="875">
        <v>0.02</v>
      </c>
      <c r="N94" s="862">
        <f ca="1">+N93/I93-1</f>
        <v>-0.24536066834318571</v>
      </c>
      <c r="O94" s="875">
        <v>0.02</v>
      </c>
      <c r="P94" s="875">
        <v>0.02</v>
      </c>
      <c r="Q94" s="875">
        <v>0.02</v>
      </c>
      <c r="R94" s="875">
        <v>0.02</v>
      </c>
      <c r="S94" s="862">
        <f ca="1">+S93/N93-1</f>
        <v>-0.23729604573354435</v>
      </c>
      <c r="T94" s="875">
        <v>0.02</v>
      </c>
      <c r="U94" s="875">
        <v>0.02</v>
      </c>
      <c r="V94" s="875">
        <v>0.02</v>
      </c>
      <c r="W94" s="875">
        <v>1.02</v>
      </c>
      <c r="X94" s="862">
        <f ca="1">+X93/S93-1</f>
        <v>-4.2817405280685006E-2</v>
      </c>
      <c r="Y94" s="875">
        <v>1.02</v>
      </c>
      <c r="Z94" s="875">
        <v>1.02</v>
      </c>
      <c r="AA94" s="875">
        <v>1.02</v>
      </c>
      <c r="AB94" s="875">
        <v>2.02</v>
      </c>
      <c r="AC94" s="862">
        <f ca="1">+AC93/X93-1</f>
        <v>-0.91833865140628579</v>
      </c>
      <c r="AD94" s="875">
        <v>1.02</v>
      </c>
      <c r="AE94" s="875">
        <v>1.02</v>
      </c>
      <c r="AF94" s="875">
        <v>1.02</v>
      </c>
      <c r="AG94" s="875">
        <v>2.02</v>
      </c>
      <c r="AH94" s="862">
        <f ca="1">+AH93/AC93-1</f>
        <v>0.58273917452582991</v>
      </c>
      <c r="AI94" s="875">
        <v>2.02</v>
      </c>
      <c r="AJ94" s="875">
        <v>2.02</v>
      </c>
      <c r="AK94" s="875">
        <v>2.02</v>
      </c>
      <c r="AL94" s="875">
        <v>2.02</v>
      </c>
      <c r="AM94" s="862">
        <f ca="1">+AM93/AH93-1</f>
        <v>0.21513843689659007</v>
      </c>
      <c r="AN94" s="875">
        <v>2.02</v>
      </c>
      <c r="AO94" s="875" t="s">
        <v>160</v>
      </c>
      <c r="AP94" s="875" t="s">
        <v>160</v>
      </c>
      <c r="AQ94" s="875" t="s">
        <v>160</v>
      </c>
      <c r="AR94" s="862">
        <f ca="1">+AR93/AM93-1</f>
        <v>-0.84123393457206519</v>
      </c>
      <c r="AS94" s="875" t="s">
        <v>160</v>
      </c>
      <c r="AT94" s="875" t="s">
        <v>160</v>
      </c>
      <c r="AU94" s="875" t="s">
        <v>160</v>
      </c>
      <c r="AV94" s="875" t="s">
        <v>160</v>
      </c>
      <c r="AW94" s="862" t="s">
        <v>149</v>
      </c>
      <c r="AX94" s="875" t="s">
        <v>160</v>
      </c>
      <c r="AY94" s="875" t="s">
        <v>160</v>
      </c>
      <c r="AZ94" s="851"/>
      <c r="BA94" s="851"/>
      <c r="BB94" s="851"/>
      <c r="BC94" s="851"/>
      <c r="BD94" s="851"/>
      <c r="BE94" s="851"/>
      <c r="BF94" s="851"/>
      <c r="BG94" s="851"/>
      <c r="BH94" s="851"/>
      <c r="BK94" s="851"/>
      <c r="BL94" s="851"/>
      <c r="BM94" s="851"/>
      <c r="BN94" s="851"/>
      <c r="BO94" s="851"/>
      <c r="BP94" s="851"/>
      <c r="BQ94" s="851"/>
      <c r="BR94" s="851"/>
      <c r="BS94" s="851"/>
      <c r="BT94" s="851"/>
      <c r="BU94" s="851"/>
      <c r="BV94" s="851"/>
      <c r="BW94" s="851"/>
      <c r="BX94" s="851"/>
      <c r="BY94" s="851"/>
      <c r="BZ94" s="851"/>
      <c r="CA94" s="851"/>
      <c r="CB94" s="851"/>
      <c r="CC94" s="851"/>
      <c r="CD94" s="851"/>
      <c r="CE94" s="851"/>
      <c r="CF94" s="851"/>
      <c r="CG94" s="851"/>
      <c r="CH94" s="851"/>
      <c r="CI94" s="851"/>
      <c r="CJ94" s="851"/>
    </row>
    <row r="95" spans="1:88" ht="13.5" customHeight="1" x14ac:dyDescent="0.2">
      <c r="A95" s="1" t="s">
        <v>450</v>
      </c>
      <c r="B95" s="1" t="s">
        <v>738</v>
      </c>
      <c r="D95" s="858" t="str">
        <f>IF([1]RENAME!$H$3=1,B95,A95)</f>
        <v>Logística industrial</v>
      </c>
      <c r="E95" s="857">
        <f ca="1">+SUMIFS(INDIRECT(CONCATENATE("'",$AZ95,$BA95,":",$BB95)),INDIRECT(CONCATENATE("'",$AZ95,$BA$92,":",$BB$92)),E$92)</f>
        <v>34006.128879999997</v>
      </c>
      <c r="F95" s="857">
        <f ca="1">+SUMIFS(INDIRECT(CONCATENATE("'",$AZ95,$BA95,":",$BB95)),INDIRECT(CONCATENATE("'",$AZ95,$BA$92,":",$BB$92)),F$92)</f>
        <v>32821.211210000001</v>
      </c>
      <c r="G95" s="857">
        <f ca="1">+SUMIFS(INDIRECT(CONCATENATE("'",$AZ95,$BA95,":",$BB95)),INDIRECT(CONCATENATE("'",$AZ95,$BA$92,":",$BB$92)),G$92)</f>
        <v>35196.763349999994</v>
      </c>
      <c r="H95" s="857">
        <f ca="1">+SUMIFS(INDIRECT(CONCATENATE("'",$AZ95,$BA95,":",$BB95)),INDIRECT(CONCATENATE("'",$AZ95,$BA$92,":",$BB$92)),H$92)</f>
        <v>35738.6976</v>
      </c>
      <c r="I95" s="647">
        <f ca="1">SUM(E95:H95)</f>
        <v>137762.80103999999</v>
      </c>
      <c r="J95" s="857">
        <f ca="1">+SUMIFS(INDIRECT(CONCATENATE("'",$AZ95,$BA95,":",$BB95)),INDIRECT(CONCATENATE("'",$AZ95,$BA$92,":",$BB$92)),J$92)</f>
        <v>34371.302250000008</v>
      </c>
      <c r="K95" s="857">
        <f ca="1">+SUMIFS(INDIRECT(CONCATENATE("'",$AZ95,$BA95,":",$BB95)),INDIRECT(CONCATENATE("'",$AZ95,$BA$92,":",$BB$92)),K$92)</f>
        <v>33530.382989999991</v>
      </c>
      <c r="L95" s="857">
        <f ca="1">+SUMIFS(INDIRECT(CONCATENATE("'",$AZ95,$BA95,":",$BB95)),INDIRECT(CONCATENATE("'",$AZ95,$BA$92,":",$BB$92)),L$92)</f>
        <v>39294.710639999998</v>
      </c>
      <c r="M95" s="857">
        <f ca="1">+SUMIFS(INDIRECT(CONCATENATE("'",$AZ95,$BA95,":",$BB95)),INDIRECT(CONCATENATE("'",$AZ95,$BA$92,":",$BB$92)),M$92)</f>
        <v>35764.443149999999</v>
      </c>
      <c r="N95" s="647">
        <f ca="1">+SUM(J95:M95)</f>
        <v>142960.83903</v>
      </c>
      <c r="O95" s="857">
        <f ca="1">+SUMIFS(INDIRECT(CONCATENATE("'",$AZ95,$BA95,":",$BB95)),INDIRECT(CONCATENATE("'",$AZ95,$BA$92,":",$BB$92)),O$92)</f>
        <v>37086.800000000003</v>
      </c>
      <c r="P95" s="857">
        <f ca="1">+SUMIFS(INDIRECT(CONCATENATE("'",$AZ95,$BA95,":",$BB95)),INDIRECT(CONCATENATE("'",$AZ95,$BA$92,":",$BB$92)),P$92)</f>
        <v>36792.112699999998</v>
      </c>
      <c r="Q95" s="857">
        <f ca="1">+SUMIFS(INDIRECT(CONCATENATE("'",$AZ95,$BA95,":",$BB95)),INDIRECT(CONCATENATE("'",$AZ95,$BA$92,":",$BB$92)),Q$92)</f>
        <v>40679.987550000005</v>
      </c>
      <c r="R95" s="857">
        <f ca="1">+SUMIFS(INDIRECT(CONCATENATE("'",$AZ95,$BA95,":",$BB95)),INDIRECT(CONCATENATE("'",$AZ95,$BA$92,":",$BB$92)),R$92)</f>
        <v>38374.866529999999</v>
      </c>
      <c r="S95" s="647">
        <f ca="1">+SUM(O95:R95)</f>
        <v>152933.76678000001</v>
      </c>
      <c r="T95" s="857">
        <f ca="1">+SUMIFS(INDIRECT(CONCATENATE("'",$AZ$93,$BA95,":",$BB95)),INDIRECT(CONCATENATE("'",$AZ95,$BA$92,":",$BB$92)),T$92)</f>
        <v>38126.811840000002</v>
      </c>
      <c r="U95" s="857">
        <f ca="1">+SUMIFS(INDIRECT(CONCATENATE("'",$AZ$93,$BA95,":",$BB95)),INDIRECT(CONCATENATE("'",$AZ95,$BA$92,":",$BB$92)),U$92)</f>
        <v>39810.467429999997</v>
      </c>
      <c r="V95" s="857">
        <f ca="1">+SUMIFS(INDIRECT(CONCATENATE("'",$AZ$93,$BA95,":",$BB95)),INDIRECT(CONCATENATE("'",$AZ95,$BA$92,":",$BB$92)),V$92)</f>
        <v>43491.398690000002</v>
      </c>
      <c r="W95" s="857">
        <f ca="1">+SUMIFS(INDIRECT(CONCATENATE("'",$AZ$93,$BA95,":",$BB95)),INDIRECT(CONCATENATE("'",$AZ95,$BA$92,":",$BB$92)),W$92)</f>
        <v>43978.259429999998</v>
      </c>
      <c r="X95" s="647">
        <f ca="1">+SUM(T95:W95)</f>
        <v>165406.93739000001</v>
      </c>
      <c r="Y95" s="857">
        <f ca="1">+SUMIFS(INDIRECT(CONCATENATE("'",$AZ$93,$BA95,":",$BB95)),INDIRECT(CONCATENATE("'",$AZ95,$BA$92,":",$BB$92)),Y$92)</f>
        <v>39318.226990000003</v>
      </c>
      <c r="Z95" s="857">
        <f ca="1">+SUMIFS(INDIRECT(CONCATENATE("'",$AZ$93,$BA95,":",$BB95)),INDIRECT(CONCATENATE("'",$AZ95,$BA$92,":",$BB$92)),Z$92)</f>
        <v>44334.720099999999</v>
      </c>
      <c r="AA95" s="857">
        <f ca="1">+SUMIFS(INDIRECT(CONCATENATE("'",$AZ$93,$BA95,":",$BB95)),INDIRECT(CONCATENATE("'",$AZ95,$BA$92,":",$BB$92)),AA$92)</f>
        <v>45062.793720000001</v>
      </c>
      <c r="AB95" s="857">
        <f ca="1">+SUMIFS(INDIRECT(CONCATENATE("'",$AZ$93,$BA95,":",$BB95)),INDIRECT(CONCATENATE("'",$AZ95,$BA$92,":",$BB$92)),AB$92)</f>
        <v>39797.487730000008</v>
      </c>
      <c r="AC95" s="647">
        <f ca="1">+SUM(Y95:AB95)</f>
        <v>168513.22854000001</v>
      </c>
      <c r="AD95" s="857">
        <f ca="1">+SUMIFS(INDIRECT(CONCATENATE("'",$AZ$93,$BA95,":",$BB95)),INDIRECT(CONCATENATE("'",$AZ95,$BA$92,":",$BB$92)),AD$92)</f>
        <v>47423.771669999995</v>
      </c>
      <c r="AE95" s="857">
        <f ca="1">+SUMIFS(INDIRECT(CONCATENATE("'",$AZ$93,$BA95,":",$BB95)),INDIRECT(CONCATENATE("'",$AZ95,$BA$92,":",$BB$92)),AE$92)</f>
        <v>45697.330499999996</v>
      </c>
      <c r="AF95" s="857">
        <f ca="1">+SUMIFS(INDIRECT(CONCATENATE("'",$AZ$93,$BA95,":",$BB95)),INDIRECT(CONCATENATE("'",$AZ95,$BA$92,":",$BB$92)),AF$92)</f>
        <v>50307.146229999998</v>
      </c>
      <c r="AG95" s="857">
        <f ca="1">+SUMIFS(INDIRECT(CONCATENATE("'",$AZ$93,$BA95,":",$BB95)),INDIRECT(CONCATENATE("'",$AZ95,$BA$92,":",$BB$92)),AG$92)</f>
        <v>43257.92398</v>
      </c>
      <c r="AH95" s="647">
        <f ca="1">+SUM(AD95:AG95)</f>
        <v>186686.17237999997</v>
      </c>
      <c r="AI95" s="857">
        <f ca="1">+SUMIFS(INDIRECT(CONCATENATE("'",$AZ$93,$BA95,":",$BB95)),INDIRECT(CONCATENATE("'",$AZ95,$BA$92,":",$BB$92)),AI$92)</f>
        <v>46015.97638</v>
      </c>
      <c r="AJ95" s="857">
        <f ca="1">+SUMIFS(INDIRECT(CONCATENATE("'",$AZ$93,$BA95,":",$BB95)),INDIRECT(CONCATENATE("'",$AZ95,$BA$92,":",$BB$92)),AJ$92)</f>
        <v>41674.159630000002</v>
      </c>
      <c r="AK95" s="857">
        <f ca="1">+SUMIFS(INDIRECT(CONCATENATE("'",$AZ$93,$BA95,":",$BB95)),INDIRECT(CONCATENATE("'",$AZ95,$BA$92,":",$BB$92)),AK$92)</f>
        <v>48533.991850000006</v>
      </c>
      <c r="AL95" s="857">
        <f ca="1">+SUMIFS(INDIRECT(CONCATENATE("'",$AZ$93,$BA95,":",$BB95)),INDIRECT(CONCATENATE("'",$AZ95,$BA$92,":",$BB$92)),AL$92)</f>
        <v>47992.6</v>
      </c>
      <c r="AM95" s="647">
        <f ca="1">+SUM(AI95:AL95)</f>
        <v>184216.72786000001</v>
      </c>
      <c r="AN95" s="857">
        <f ca="1">+SUMIFS(INDIRECT(CONCATENATE("'",$AZ$93,$BA95,":",$BB95)),INDIRECT(CONCATENATE("'",$AZ95,$BA$92,":",$BB$92)),AN$92)</f>
        <v>49810.86</v>
      </c>
      <c r="AO95" s="857">
        <f ca="1">+SUMIFS(INDIRECT(CONCATENATE("'",$AZ$93,$BA95,":",$BB95)),INDIRECT(CONCATENATE("'",$AZ95,$BA$92,":",$BB$92)),AO$92)</f>
        <v>55719.131580000001</v>
      </c>
      <c r="AP95" s="857">
        <f ca="1">+SUMIFS(INDIRECT(CONCATENATE("'",$AZ$93,$BA95,":",$BB95)),INDIRECT(CONCATENATE("'",$AZ95,$BA$92,":",$BB$92)),AP$92)</f>
        <v>50868.375529999998</v>
      </c>
      <c r="AQ95" s="857">
        <f ca="1">+SUMIFS(INDIRECT(CONCATENATE("'",$AZ$93,$BA95,":",$BB95)),INDIRECT(CONCATENATE("'",$AZ95,$BA$92,":",$BB$92)),AQ$92)</f>
        <v>49988.152990000002</v>
      </c>
      <c r="AR95" s="647">
        <f ca="1">+SUM(AN95:AQ95)</f>
        <v>206386.52009999999</v>
      </c>
      <c r="AS95" s="857">
        <f ca="1">+SUMIFS(INDIRECT(CONCATENATE("'",$AZ$93,$BA95,":",$BB95)),INDIRECT(CONCATENATE("'",$AZ95,$BA$92,":",$BB$92)),AS$92)</f>
        <v>55602.698880000004</v>
      </c>
      <c r="AT95" s="857">
        <f ca="1">+SUMIFS(INDIRECT(CONCATENATE("'",$AZ$93,$BA95,":",$BB95)),INDIRECT(CONCATENATE("'",$AZ95,$BA$92,":",$BB$92)),AT$92)</f>
        <v>54247.260320000001</v>
      </c>
      <c r="AU95" s="857">
        <f ca="1">+SUMIFS(INDIRECT(CONCATENATE("'",$AZ$93,$BA95,":",$BB95)),INDIRECT(CONCATENATE("'",$AZ95,$BA$92,":",$BB$92)),AU$92)</f>
        <v>41985.478689999996</v>
      </c>
      <c r="AV95" s="857">
        <f ca="1">+SUMIFS(INDIRECT(CONCATENATE("'",$AZ$93,$BA95,":",$BB95)),INDIRECT(CONCATENATE("'",$AZ95,$BA$92,":",$BB$92)),AV$92)</f>
        <v>47361.427729999996</v>
      </c>
      <c r="AW95" s="647">
        <f ca="1">+SUM(AS95:AV95)</f>
        <v>199196.86562</v>
      </c>
      <c r="AX95" s="857">
        <f ca="1">+SUMIFS(INDIRECT(CONCATENATE("'",$AZ$93,$BA95,":",$BB95)),INDIRECT(CONCATENATE("'",$AZ95,$BA$92,":",$BB$92)),AX$92)</f>
        <v>50799.559020000001</v>
      </c>
      <c r="AY95" s="857">
        <f ca="1">+SUMIFS(INDIRECT(CONCATENATE("'",$AZ$93,$BA95,":",$BB95)),INDIRECT(CONCATENATE("'",$AZ95,$BA$92,":",$BB$92)),AY$92)</f>
        <v>58255.544399999999</v>
      </c>
      <c r="AZ95" s="266" t="str">
        <f>IF([1]RENAME!$H$3=0,BD95,BC95)</f>
        <v>LI'!</v>
      </c>
      <c r="BA95" s="266" t="str">
        <f>"$"&amp;ROW(LI!$D$7)</f>
        <v>$7</v>
      </c>
      <c r="BB95" s="266" t="str">
        <f>"$"&amp;ROW(LI!$D$7)</f>
        <v>$7</v>
      </c>
      <c r="BC95" s="266" t="s">
        <v>1737</v>
      </c>
      <c r="BD95" s="266" t="s">
        <v>1736</v>
      </c>
      <c r="BN95" s="266"/>
      <c r="BO95" s="266"/>
      <c r="BP95" s="266"/>
      <c r="BQ95" s="266"/>
      <c r="BR95" s="266"/>
      <c r="BS95" s="266"/>
      <c r="BT95" s="266"/>
      <c r="BU95" s="266"/>
      <c r="BV95" s="266"/>
      <c r="BW95" s="266"/>
      <c r="BX95" s="266"/>
      <c r="BY95" s="266"/>
      <c r="BZ95" s="266"/>
      <c r="CA95" s="266"/>
      <c r="CB95" s="266"/>
      <c r="CC95" s="266"/>
      <c r="CD95" s="266"/>
      <c r="CE95" s="266"/>
      <c r="CF95" s="266"/>
      <c r="CG95" s="266"/>
      <c r="CH95" s="266"/>
      <c r="CI95" s="266"/>
      <c r="CJ95" s="266"/>
    </row>
    <row r="96" spans="1:88" s="850" customFormat="1" ht="13.5" customHeight="1" x14ac:dyDescent="0.2">
      <c r="A96" s="850" t="s">
        <v>1679</v>
      </c>
      <c r="B96" s="516" t="s">
        <v>1678</v>
      </c>
      <c r="C96" s="855"/>
      <c r="D96" s="861" t="str">
        <f>IF([1]RENAME!$H$3=1,B96,A96)</f>
        <v>Variação %</v>
      </c>
      <c r="E96" s="875" t="s">
        <v>160</v>
      </c>
      <c r="F96" s="875" t="s">
        <v>160</v>
      </c>
      <c r="G96" s="875" t="s">
        <v>160</v>
      </c>
      <c r="H96" s="875" t="s">
        <v>160</v>
      </c>
      <c r="I96" s="900" t="s">
        <v>160</v>
      </c>
      <c r="J96" s="875">
        <f t="shared" ref="J96:W96" ca="1" si="127">+J95/E95-1</f>
        <v>1.0738457508310484E-2</v>
      </c>
      <c r="K96" s="875">
        <f t="shared" ca="1" si="127"/>
        <v>2.1607117892831429E-2</v>
      </c>
      <c r="L96" s="875">
        <f t="shared" ca="1" si="127"/>
        <v>0.11642966284284784</v>
      </c>
      <c r="M96" s="875">
        <f t="shared" ca="1" si="127"/>
        <v>7.2038299459453725E-4</v>
      </c>
      <c r="N96" s="862">
        <f t="shared" ca="1" si="127"/>
        <v>3.7731796615334101E-2</v>
      </c>
      <c r="O96" s="875">
        <f t="shared" ca="1" si="127"/>
        <v>7.9004796799632349E-2</v>
      </c>
      <c r="P96" s="875">
        <f t="shared" ca="1" si="127"/>
        <v>9.727684026075023E-2</v>
      </c>
      <c r="Q96" s="875">
        <f t="shared" ca="1" si="127"/>
        <v>3.5253521083060679E-2</v>
      </c>
      <c r="R96" s="875">
        <f t="shared" ca="1" si="127"/>
        <v>7.2989347801434956E-2</v>
      </c>
      <c r="S96" s="862">
        <f t="shared" ca="1" si="127"/>
        <v>6.9759857438352002E-2</v>
      </c>
      <c r="T96" s="875">
        <f t="shared" ca="1" si="127"/>
        <v>2.8042641586764061E-2</v>
      </c>
      <c r="U96" s="875">
        <f t="shared" ca="1" si="127"/>
        <v>8.2038092093580595E-2</v>
      </c>
      <c r="V96" s="875">
        <f t="shared" ca="1" si="127"/>
        <v>6.9110422822634243E-2</v>
      </c>
      <c r="W96" s="875">
        <f t="shared" ca="1" si="127"/>
        <v>0.14601726094915479</v>
      </c>
      <c r="X96" s="862">
        <f ca="1">+X95/S95-1</f>
        <v>8.1559297679125731E-2</v>
      </c>
      <c r="Y96" s="875">
        <f t="shared" ref="Y96:AS96" ca="1" si="128">+Y95/T95-1</f>
        <v>3.1248748387350034E-2</v>
      </c>
      <c r="Z96" s="875">
        <f t="shared" ca="1" si="128"/>
        <v>0.1136448015325402</v>
      </c>
      <c r="AA96" s="875">
        <f t="shared" ca="1" si="128"/>
        <v>3.6131167939680742E-2</v>
      </c>
      <c r="AB96" s="875">
        <f t="shared" ca="1" si="128"/>
        <v>-9.5064510378236045E-2</v>
      </c>
      <c r="AC96" s="862">
        <f t="shared" ca="1" si="128"/>
        <v>1.8779690858285569E-2</v>
      </c>
      <c r="AD96" s="875">
        <f t="shared" ca="1" si="128"/>
        <v>0.20615234461262744</v>
      </c>
      <c r="AE96" s="875">
        <f t="shared" ca="1" si="128"/>
        <v>3.0734611539816603E-2</v>
      </c>
      <c r="AF96" s="875">
        <f t="shared" ca="1" si="128"/>
        <v>0.11637877009104347</v>
      </c>
      <c r="AG96" s="875">
        <f t="shared" ca="1" si="128"/>
        <v>8.6951122982354967E-2</v>
      </c>
      <c r="AH96" s="862">
        <f t="shared" ca="1" si="128"/>
        <v>0.10784283226575453</v>
      </c>
      <c r="AI96" s="875">
        <f t="shared" ca="1" si="128"/>
        <v>-2.9685434971224778E-2</v>
      </c>
      <c r="AJ96" s="875">
        <f t="shared" ca="1" si="128"/>
        <v>-8.8039516225132508E-2</v>
      </c>
      <c r="AK96" s="875">
        <f t="shared" ca="1" si="128"/>
        <v>-3.5246570574551828E-2</v>
      </c>
      <c r="AL96" s="875">
        <f t="shared" ca="1" si="128"/>
        <v>0.10945222480369243</v>
      </c>
      <c r="AM96" s="862">
        <f t="shared" ca="1" si="128"/>
        <v>-1.322778483546927E-2</v>
      </c>
      <c r="AN96" s="875">
        <f t="shared" ca="1" si="128"/>
        <v>8.2468827536372302E-2</v>
      </c>
      <c r="AO96" s="875">
        <f t="shared" ca="1" si="128"/>
        <v>0.33701872034605906</v>
      </c>
      <c r="AP96" s="875">
        <f t="shared" ca="1" si="128"/>
        <v>4.8097912226438666E-2</v>
      </c>
      <c r="AQ96" s="875">
        <f t="shared" ca="1" si="128"/>
        <v>4.158043094143693E-2</v>
      </c>
      <c r="AR96" s="862">
        <f t="shared" ca="1" si="128"/>
        <v>0.12034624921168091</v>
      </c>
      <c r="AS96" s="875">
        <f t="shared" ca="1" si="128"/>
        <v>0.11627662883154399</v>
      </c>
      <c r="AT96" s="875">
        <f ca="1">+AT95/AN95-1</f>
        <v>8.906492118385434E-2</v>
      </c>
      <c r="AU96" s="875">
        <f ca="1">+AU95/AO95-1</f>
        <v>-0.2464800240161964</v>
      </c>
      <c r="AV96" s="875">
        <f ca="1">+AV95/AQ95-1</f>
        <v>-5.2546955686189833E-2</v>
      </c>
      <c r="AW96" s="862">
        <f ca="1">+AW95/AR95-1</f>
        <v>-3.4835872403470969E-2</v>
      </c>
      <c r="AX96" s="875">
        <f ca="1">+AX95/AS95-1</f>
        <v>-8.6383214425723942E-2</v>
      </c>
      <c r="AY96" s="875">
        <f ca="1">+AY95/AT95-1</f>
        <v>7.3889152306595207E-2</v>
      </c>
      <c r="AZ96" s="851"/>
      <c r="BA96" s="851"/>
      <c r="BB96" s="851"/>
      <c r="BC96" s="851"/>
      <c r="BD96" s="851"/>
      <c r="BE96" s="851"/>
      <c r="BF96" s="851"/>
      <c r="BG96" s="851"/>
      <c r="BH96" s="851"/>
      <c r="BK96" s="851"/>
      <c r="BL96" s="851"/>
      <c r="BM96" s="851"/>
      <c r="BN96" s="851"/>
      <c r="BO96" s="851"/>
      <c r="BP96" s="851"/>
      <c r="BQ96" s="851"/>
      <c r="BR96" s="851"/>
      <c r="BS96" s="851"/>
      <c r="BT96" s="851"/>
      <c r="BU96" s="851"/>
      <c r="BV96" s="851"/>
      <c r="BW96" s="851"/>
      <c r="BX96" s="851"/>
      <c r="BY96" s="851"/>
      <c r="BZ96" s="851"/>
      <c r="CA96" s="851"/>
      <c r="CB96" s="851"/>
      <c r="CC96" s="851"/>
      <c r="CD96" s="851"/>
      <c r="CE96" s="851"/>
      <c r="CF96" s="851"/>
      <c r="CG96" s="851"/>
      <c r="CH96" s="851"/>
      <c r="CI96" s="851"/>
      <c r="CJ96" s="851"/>
    </row>
    <row r="97" spans="1:88" ht="13.5" customHeight="1" x14ac:dyDescent="0.2">
      <c r="A97" s="1" t="s">
        <v>66</v>
      </c>
      <c r="B97" s="516" t="s">
        <v>691</v>
      </c>
      <c r="D97" s="866" t="str">
        <f>IF([1]RENAME!$H$3=1,B97,A97)</f>
        <v>Receita bruta</v>
      </c>
      <c r="E97" s="865">
        <f ca="1">+E93+E95</f>
        <v>48717.342169999996</v>
      </c>
      <c r="F97" s="865">
        <f ca="1">+F93+F95</f>
        <v>48049.863870000001</v>
      </c>
      <c r="G97" s="865">
        <f ca="1">+G93+G95</f>
        <v>50445.274439999994</v>
      </c>
      <c r="H97" s="865">
        <f ca="1">+H93+H95</f>
        <v>54087.619529999996</v>
      </c>
      <c r="I97" s="864">
        <f ca="1">SUM(E97:H97)</f>
        <v>201300.10000999997</v>
      </c>
      <c r="J97" s="865">
        <f ca="1">+J93+J95</f>
        <v>47791.897820000006</v>
      </c>
      <c r="K97" s="865">
        <f ca="1">+K93+K95</f>
        <v>45118.782989999992</v>
      </c>
      <c r="L97" s="865">
        <f ca="1">+L93+L95</f>
        <v>50056.113029999993</v>
      </c>
      <c r="M97" s="865">
        <f ca="1">+M93+M95</f>
        <v>47941.790019999993</v>
      </c>
      <c r="N97" s="864">
        <f ca="1">+SUM(J97:M97)</f>
        <v>190908.58385999998</v>
      </c>
      <c r="O97" s="865">
        <f ca="1">+O93+O95</f>
        <v>45576.200000000004</v>
      </c>
      <c r="P97" s="865">
        <f ca="1">+P93+P95</f>
        <v>45477.30472</v>
      </c>
      <c r="Q97" s="865">
        <f ca="1">+Q93+Q95</f>
        <v>49444.072350000002</v>
      </c>
      <c r="R97" s="865">
        <f ca="1">+R93+R95</f>
        <v>49006.12429</v>
      </c>
      <c r="S97" s="864">
        <f ca="1">+SUM(O97:R97)</f>
        <v>189503.70136000001</v>
      </c>
      <c r="T97" s="865">
        <f ca="1">+T93+T95</f>
        <v>46798.437100000003</v>
      </c>
      <c r="U97" s="865">
        <f ca="1">+U93+U95</f>
        <v>51640.242859999998</v>
      </c>
      <c r="V97" s="865">
        <f ca="1">+V93+V95</f>
        <v>52814.545720000002</v>
      </c>
      <c r="W97" s="865">
        <f ca="1">+W93+W95</f>
        <v>49157.816579999999</v>
      </c>
      <c r="X97" s="864">
        <f ca="1">+SUM(T97:W97)</f>
        <v>200411.04226000002</v>
      </c>
      <c r="Y97" s="865">
        <f ca="1">+Y93+Y95</f>
        <v>40685.805</v>
      </c>
      <c r="Z97" s="865">
        <f ca="1">+Z93+Z95</f>
        <v>44766.588499999998</v>
      </c>
      <c r="AA97" s="865">
        <f ca="1">+AA93+AA95</f>
        <v>45483.075720000001</v>
      </c>
      <c r="AB97" s="865">
        <f ca="1">+AB93+AB95</f>
        <v>40436.241730000009</v>
      </c>
      <c r="AC97" s="864">
        <f ca="1">+SUM(Y97:AB97)</f>
        <v>171371.71095000001</v>
      </c>
      <c r="AD97" s="865">
        <f ca="1">+AD93+AD95</f>
        <v>48354.774229999995</v>
      </c>
      <c r="AE97" s="865">
        <f ca="1">+AE93+AE95</f>
        <v>46644.168120000002</v>
      </c>
      <c r="AF97" s="865">
        <f ca="1">+AF93+AF95</f>
        <v>51373.626230000002</v>
      </c>
      <c r="AG97" s="865">
        <f ca="1">+AG93+AG95</f>
        <v>44837.835890000002</v>
      </c>
      <c r="AH97" s="864">
        <f ca="1">+SUM(AD97:AG97)</f>
        <v>191210.40447000001</v>
      </c>
      <c r="AI97" s="865">
        <f ca="1">+AI93+AI95</f>
        <v>47323.97638</v>
      </c>
      <c r="AJ97" s="865">
        <f ca="1">+AJ93+AJ95</f>
        <v>43144.14963</v>
      </c>
      <c r="AK97" s="865">
        <f ca="1">+AK93+AK95</f>
        <v>50027.470160000004</v>
      </c>
      <c r="AL97" s="865">
        <f ca="1">+AL93+AL95</f>
        <v>49218.7</v>
      </c>
      <c r="AM97" s="864">
        <f ca="1">+SUM(AI97:AL97)</f>
        <v>189714.29616999999</v>
      </c>
      <c r="AN97" s="865">
        <f ca="1">+AN93+AN95</f>
        <v>50683.687290000002</v>
      </c>
      <c r="AO97" s="865">
        <f ca="1">+AO93+AO95</f>
        <v>55719.131580000001</v>
      </c>
      <c r="AP97" s="865">
        <f ca="1">+AP93+AP95</f>
        <v>50868.375529999998</v>
      </c>
      <c r="AQ97" s="865">
        <f ca="1">+AQ93+AQ95</f>
        <v>49988.152990000002</v>
      </c>
      <c r="AR97" s="864">
        <f ca="1">+SUM(AN97:AQ97)</f>
        <v>207259.34739000001</v>
      </c>
      <c r="AS97" s="865">
        <f ca="1">+AS93+AS95</f>
        <v>55602.698880000004</v>
      </c>
      <c r="AT97" s="865">
        <f ca="1">+AT93+AT95</f>
        <v>54247.260320000001</v>
      </c>
      <c r="AU97" s="865">
        <f ca="1">+AU93+AU95</f>
        <v>41985.478689999996</v>
      </c>
      <c r="AV97" s="865">
        <f ca="1">+AV93+AV95</f>
        <v>47361.427729999996</v>
      </c>
      <c r="AW97" s="864">
        <f ca="1">+SUM(AS97:AV97)</f>
        <v>199196.86562</v>
      </c>
      <c r="AX97" s="865">
        <f ca="1">+AX93+AX95</f>
        <v>50799.559020000001</v>
      </c>
      <c r="AY97" s="865">
        <f ca="1">+AY93+AY95</f>
        <v>58255.544399999999</v>
      </c>
      <c r="BN97" s="266"/>
      <c r="BO97" s="266"/>
      <c r="BP97" s="266"/>
      <c r="BQ97" s="266"/>
      <c r="BR97" s="266"/>
      <c r="BS97" s="266"/>
      <c r="BT97" s="266"/>
      <c r="BU97" s="266"/>
      <c r="BV97" s="266"/>
      <c r="BW97" s="266"/>
      <c r="BX97" s="266"/>
      <c r="BY97" s="266"/>
      <c r="BZ97" s="266"/>
      <c r="CA97" s="266"/>
      <c r="CB97" s="266"/>
      <c r="CC97" s="266"/>
      <c r="CD97" s="266"/>
      <c r="CE97" s="266"/>
      <c r="CF97" s="266"/>
      <c r="CG97" s="266"/>
      <c r="CH97" s="266"/>
      <c r="CI97" s="266"/>
      <c r="CJ97" s="266"/>
    </row>
    <row r="98" spans="1:88" ht="13.5" customHeight="1" x14ac:dyDescent="0.2">
      <c r="A98" s="516" t="s">
        <v>1881</v>
      </c>
      <c r="B98" s="516" t="s">
        <v>1892</v>
      </c>
      <c r="D98" s="879" t="str">
        <f>IF([1]RENAME!$H$3=1,B98,A98)</f>
        <v>Deduções da receita bruta (ajustado eventos ñ recorr)</v>
      </c>
      <c r="E98" s="857">
        <f ca="1">+SUMIFS(INDIRECT(CONCATENATE("'",$AZ98,$BA98,":",$BB98)),INDIRECT(CONCATENATE("'",$AZ98,$BA$92,":",$BB$92)),E$92)-E97</f>
        <v>-8521.600689999992</v>
      </c>
      <c r="F98" s="857">
        <f ca="1">+SUMIFS(INDIRECT(CONCATENATE("'",$AZ98,$BA98,":",$BB98)),INDIRECT(CONCATENATE("'",$AZ98,$BA$92,":",$BB$92)),F$92)-F97</f>
        <v>1286.1736299999975</v>
      </c>
      <c r="G98" s="857">
        <f ca="1">+SUMIFS(INDIRECT(CONCATENATE("'",$AZ98,$BA98,":",$BB98)),INDIRECT(CONCATENATE("'",$AZ98,$BA$92,":",$BB$92)),G$92)-G97</f>
        <v>-8731.8596199999956</v>
      </c>
      <c r="H98" s="857">
        <f ca="1">+SUMIFS(INDIRECT(CONCATENATE("'",$AZ98,$BA98,":",$BB98)),INDIRECT(CONCATENATE("'",$AZ98,$BA$92,":",$BB$92)),H$92)-H97</f>
        <v>-9440.1161999999968</v>
      </c>
      <c r="I98" s="647">
        <f ca="1">SUM(E98:H98)</f>
        <v>-25407.402879999987</v>
      </c>
      <c r="J98" s="857">
        <f ca="1">+SUMIFS(INDIRECT(CONCATENATE("'",$AZ98,$BA98,":",$BB98)),INDIRECT(CONCATENATE("'",$AZ98,$BA$92,":",$BB$92)),J$92)-J97</f>
        <v>-8180.1162800000093</v>
      </c>
      <c r="K98" s="857">
        <f ca="1">+SUMIFS(INDIRECT(CONCATENATE("'",$AZ98,$BA98,":",$BB98)),INDIRECT(CONCATENATE("'",$AZ98,$BA$92,":",$BB$92)),K$92)-K97</f>
        <v>-7834.0642799999914</v>
      </c>
      <c r="L98" s="901">
        <f ca="1">+SUMIFS(INDIRECT(CONCATENATE("'",$AZ98,$BA98,":",$BB98)),INDIRECT(CONCATENATE("'",$AZ98,$BA$92,":",$BB$92)),L$92)-L97+5251.75993</f>
        <v>-9679.4215399999957</v>
      </c>
      <c r="M98" s="901">
        <f ca="1">+SUMIFS(INDIRECT(CONCATENATE("'",$AZ98,$BA98,":",$BB98)),INDIRECT(CONCATENATE("'",$AZ98,$BA$92,":",$BB$92)),M$92)-M97-372.347081014</f>
        <v>-7363.4351610139938</v>
      </c>
      <c r="N98" s="916">
        <f ca="1">+SUM(J98:M98)</f>
        <v>-33057.037261013989</v>
      </c>
      <c r="O98" s="857">
        <f ca="1">+SUMIFS(INDIRECT(CONCATENATE("'",$AZ98,$BA98,":",$BB98)),INDIRECT(CONCATENATE("'",$AZ98,$BA$92,":",$BB$92)),O$92)-O97</f>
        <v>-7802.054750000003</v>
      </c>
      <c r="P98" s="857">
        <f ca="1">+SUMIFS(INDIRECT(CONCATENATE("'",$AZ98,$BA98,":",$BB98)),INDIRECT(CONCATENATE("'",$AZ98,$BA$92,":",$BB$92)),P$92)-P97</f>
        <v>-7994.1580099999992</v>
      </c>
      <c r="Q98" s="857">
        <f ca="1">+SUMIFS(INDIRECT(CONCATENATE("'",$AZ98,$BA98,":",$BB98)),INDIRECT(CONCATENATE("'",$AZ98,$BA$92,":",$BB$92)),Q$92)-Q97</f>
        <v>-8512.4502900000007</v>
      </c>
      <c r="R98" s="857">
        <f ca="1">+SUMIFS(INDIRECT(CONCATENATE("'",$AZ98,$BA98,":",$BB98)),INDIRECT(CONCATENATE("'",$AZ98,$BA$92,":",$BB$92)),R$92)-R97</f>
        <v>-8021.5480800000078</v>
      </c>
      <c r="S98" s="647">
        <f ca="1">+SUM(O98:R98)</f>
        <v>-32330.211130000011</v>
      </c>
      <c r="T98" s="857">
        <f ca="1">+SUMIFS(INDIRECT(CONCATENATE("'",$AZ$93,$BA98,":",$BB98)),INDIRECT(CONCATENATE("'",$AZ98,$BA$92,":",$BB$92)),T$92)-T97</f>
        <v>-7812.5165100000013</v>
      </c>
      <c r="U98" s="857">
        <f ca="1">+SUMIFS(INDIRECT(CONCATENATE("'",$AZ$93,$BA98,":",$BB98)),INDIRECT(CONCATENATE("'",$AZ98,$BA$92,":",$BB$92)),U$92)-U97</f>
        <v>-8377.3944399999964</v>
      </c>
      <c r="V98" s="857">
        <f ca="1">+SUMIFS(INDIRECT(CONCATENATE("'",$AZ$93,$BA98,":",$BB98)),INDIRECT(CONCATENATE("'",$AZ98,$BA$92,":",$BB$92)),V$92)-V97</f>
        <v>-9090.4414899999974</v>
      </c>
      <c r="W98" s="857">
        <f ca="1">+SUMIFS(INDIRECT(CONCATENATE("'",$AZ$93,$BA98,":",$BB98)),INDIRECT(CONCATENATE("'",$AZ98,$BA$92,":",$BB$92)),W$92)-W97</f>
        <v>-8753.4944399999949</v>
      </c>
      <c r="X98" s="647">
        <f ca="1">+SUM(T98:W98)</f>
        <v>-34033.84687999999</v>
      </c>
      <c r="Y98" s="857">
        <f ca="1">+SUMIFS(INDIRECT(CONCATENATE("'",$AZ$93,$BA98,":",$BB98)),INDIRECT(CONCATENATE("'",$AZ98,$BA$92,":",$BB$92)),Y$92)-Y97</f>
        <v>-7598.3961899999995</v>
      </c>
      <c r="Z98" s="857">
        <f ca="1">+SUMIFS(INDIRECT(CONCATENATE("'",$AZ$93,$BA98,":",$BB98)),INDIRECT(CONCATENATE("'",$AZ98,$BA$92,":",$BB$92)),Z$92)-Z97</f>
        <v>-8127.262569999999</v>
      </c>
      <c r="AA98" s="857">
        <f ca="1">+SUMIFS(INDIRECT(CONCATENATE("'",$AZ$93,$BA98,":",$BB98)),INDIRECT(CONCATENATE("'",$AZ98,$BA$92,":",$BB$92)),AA$92)-AA97</f>
        <v>-8364.7450699999972</v>
      </c>
      <c r="AB98" s="857">
        <f ca="1">+SUMIFS(INDIRECT(CONCATENATE("'",$AZ$93,$BA98,":",$BB98)),INDIRECT(CONCATENATE("'",$AZ98,$BA$92,":",$BB$92)),AB$92)-AB97</f>
        <v>-7451.2142800000001</v>
      </c>
      <c r="AC98" s="647">
        <f ca="1">+SUM(Y98:AB98)</f>
        <v>-31541.618109999996</v>
      </c>
      <c r="AD98" s="857">
        <f ca="1">+SUMIFS(INDIRECT(CONCATENATE("'",$AZ$93,$BA98,":",$BB98)),INDIRECT(CONCATENATE("'",$AZ98,$BA$92,":",$BB$92)),AD$92)-AD97</f>
        <v>-9083.2088399999993</v>
      </c>
      <c r="AE98" s="857">
        <f ca="1">+SUMIFS(INDIRECT(CONCATENATE("'",$AZ$93,$BA98,":",$BB98)),INDIRECT(CONCATENATE("'",$AZ98,$BA$92,":",$BB$92)),AE$92)-AE97</f>
        <v>-8211.0274199999985</v>
      </c>
      <c r="AF98" s="857">
        <f ca="1">+SUMIFS(INDIRECT(CONCATENATE("'",$AZ$93,$BA98,":",$BB98)),INDIRECT(CONCATENATE("'",$AZ98,$BA$92,":",$BB$92)),AF$92)-AF97</f>
        <v>-8995.0151800000021</v>
      </c>
      <c r="AG98" s="857">
        <f ca="1">+SUMIFS(INDIRECT(CONCATENATE("'",$AZ$93,$BA98,":",$BB98)),INDIRECT(CONCATENATE("'",$AZ98,$BA$92,":",$BB$92)),AG$92)-AG97</f>
        <v>-7850.2991499999989</v>
      </c>
      <c r="AH98" s="647">
        <f ca="1">+SUM(AD98:AG98)</f>
        <v>-34139.550589999999</v>
      </c>
      <c r="AI98" s="857">
        <f ca="1">+SUMIFS(INDIRECT(CONCATENATE("'",$AZ$93,$BA98,":",$BB98)),INDIRECT(CONCATENATE("'",$AZ98,$BA$92,":",$BB$92)),AI$92)-AI97</f>
        <v>-8325.7838399999964</v>
      </c>
      <c r="AJ98" s="857">
        <f ca="1">+SUMIFS(INDIRECT(CONCATENATE("'",$AZ$93,$BA98,":",$BB98)),INDIRECT(CONCATENATE("'",$AZ98,$BA$92,":",$BB$92)),AJ$92)-AJ97</f>
        <v>-7397.0650800000003</v>
      </c>
      <c r="AK98" s="857">
        <f ca="1">+SUMIFS(INDIRECT(CONCATENATE("'",$AZ$93,$BA98,":",$BB98)),INDIRECT(CONCATENATE("'",$AZ98,$BA$92,":",$BB$92)),AK$92)-AK97</f>
        <v>-8874.2566299999962</v>
      </c>
      <c r="AL98" s="857">
        <f ca="1">+SUMIFS(INDIRECT(CONCATENATE("'",$AZ$93,$BA98,":",$BB98)),INDIRECT(CONCATENATE("'",$AZ98,$BA$92,":",$BB$92)),AL$92)-AL97</f>
        <v>-8788.6658699999971</v>
      </c>
      <c r="AM98" s="647">
        <f ca="1">+SUM(AI98:AL98)</f>
        <v>-33385.77141999999</v>
      </c>
      <c r="AN98" s="857">
        <f ca="1">+SUMIFS(INDIRECT(CONCATENATE("'",$AZ$93,$BA98,":",$BB98)),INDIRECT(CONCATENATE("'",$AZ98,$BA$92,":",$BB$92)),AN$92)-AN97</f>
        <v>-9024.7368700000006</v>
      </c>
      <c r="AO98" s="857">
        <f ca="1">+SUMIFS(INDIRECT(CONCATENATE("'",$AZ$93,$BA98,":",$BB98)),INDIRECT(CONCATENATE("'",$AZ98,$BA$92,":",$BB$92)),AO$92)-AO97</f>
        <v>-10156.115299999998</v>
      </c>
      <c r="AP98" s="857">
        <f ca="1">+SUMIFS(INDIRECT(CONCATENATE("'",$AZ$93,$BA98,":",$BB98)),INDIRECT(CONCATENATE("'",$AZ98,$BA$92,":",$BB$92)),AP$92)-AP97</f>
        <v>-9046.2838300000003</v>
      </c>
      <c r="AQ98" s="857">
        <f ca="1">+SUMIFS(INDIRECT(CONCATENATE("'",$AZ$93,$BA98,":",$BB98)),INDIRECT(CONCATENATE("'",$AZ98,$BA$92,":",$BB$92)),AQ$92)-AQ97</f>
        <v>-8964.5530199999994</v>
      </c>
      <c r="AR98" s="647">
        <f ca="1">+SUM(AN98:AQ98)</f>
        <v>-37191.689019999998</v>
      </c>
      <c r="AS98" s="857">
        <f ca="1">+SUMIFS(INDIRECT(CONCATENATE("'",$AZ$93,$BA98,":",$BB98)),INDIRECT(CONCATENATE("'",$AZ98,$BA$92,":",$BB$92)),AS$92)-AS97</f>
        <v>-9780.828499999996</v>
      </c>
      <c r="AT98" s="857">
        <f ca="1">+SUMIFS(INDIRECT(CONCATENATE("'",$AZ$93,$BA98,":",$BB98)),INDIRECT(CONCATENATE("'",$AZ98,$BA$92,":",$BB$92)),AT$92)-AT97</f>
        <v>-9613.9776100000017</v>
      </c>
      <c r="AU98" s="857">
        <f ca="1">+SUMIFS(INDIRECT(CONCATENATE("'",$AZ$93,$BA98,":",$BB98)),INDIRECT(CONCATENATE("'",$AZ98,$BA$92,":",$BB$92)),AU$92)-AU97</f>
        <v>-7621.7291400000031</v>
      </c>
      <c r="AV98" s="857">
        <f ca="1">+SUMIFS(INDIRECT(CONCATENATE("'",$AZ$93,$BA98,":",$BB98)),INDIRECT(CONCATENATE("'",$AZ98,$BA$92,":",$BB$92)),AV$92)-AV97</f>
        <v>-8910.8805900000007</v>
      </c>
      <c r="AW98" s="647">
        <f ca="1">+SUM(AS98:AV98)</f>
        <v>-35927.415840000001</v>
      </c>
      <c r="AX98" s="857">
        <f ca="1">+SUMIFS(INDIRECT(CONCATENATE("'",$AZ$93,$BA98,":",$BB98)),INDIRECT(CONCATENATE("'",$AZ98,$BA$92,":",$BB$92)),AX$92)-AX97</f>
        <v>-9621.8796700000021</v>
      </c>
      <c r="AY98" s="857">
        <f ca="1">+SUMIFS(INDIRECT(CONCATENATE("'",$AZ$93,$BA98,":",$BB98)),INDIRECT(CONCATENATE("'",$AZ98,$BA$92,":",$BB$92)),AY$92)-AY97</f>
        <v>-11026.955239999996</v>
      </c>
      <c r="AZ98" s="266" t="str">
        <f>IF([1]RENAME!$H$3=0,BD98,BC98)</f>
        <v>LI'!</v>
      </c>
      <c r="BA98" s="266" t="str">
        <f>"$"&amp;ROW(LI!$D$12)</f>
        <v>$12</v>
      </c>
      <c r="BB98" s="266" t="str">
        <f>"$"&amp;ROW(LI!$D$12)</f>
        <v>$12</v>
      </c>
      <c r="BC98" s="266" t="s">
        <v>1737</v>
      </c>
      <c r="BD98" s="266" t="s">
        <v>1736</v>
      </c>
      <c r="BN98" s="266"/>
      <c r="BO98" s="266"/>
      <c r="BP98" s="266"/>
      <c r="BQ98" s="266"/>
      <c r="BR98" s="266"/>
      <c r="BS98" s="266"/>
      <c r="BT98" s="266"/>
      <c r="BU98" s="266"/>
      <c r="BV98" s="266"/>
      <c r="BW98" s="266"/>
      <c r="BX98" s="266"/>
      <c r="BY98" s="266"/>
      <c r="BZ98" s="266"/>
      <c r="CA98" s="266"/>
      <c r="CB98" s="266"/>
      <c r="CC98" s="266"/>
      <c r="CD98" s="266"/>
      <c r="CE98" s="266"/>
      <c r="CF98" s="266"/>
      <c r="CG98" s="266"/>
      <c r="CH98" s="266"/>
      <c r="CI98" s="266"/>
      <c r="CJ98" s="266"/>
    </row>
    <row r="99" spans="1:88" s="850" customFormat="1" ht="13.5" customHeight="1" x14ac:dyDescent="0.2">
      <c r="A99" s="516" t="s">
        <v>1883</v>
      </c>
      <c r="B99" s="516" t="s">
        <v>1891</v>
      </c>
      <c r="C99" s="855"/>
      <c r="D99" s="861" t="str">
        <f>IF([1]RENAME!$H$3=1,B99,A99)</f>
        <v>% Receita bruta  (ajustado eventos ñ recorr)</v>
      </c>
      <c r="E99" s="875">
        <f t="shared" ref="E99:U99" ca="1" si="129">+E100/E97-1</f>
        <v>-0.17491924457339481</v>
      </c>
      <c r="F99" s="875">
        <f t="shared" ca="1" si="129"/>
        <v>2.6767477083385005E-2</v>
      </c>
      <c r="G99" s="875">
        <f t="shared" ca="1" si="129"/>
        <v>-0.1730956906654505</v>
      </c>
      <c r="H99" s="875">
        <f t="shared" ca="1" si="129"/>
        <v>-0.17453377098180456</v>
      </c>
      <c r="I99" s="900">
        <f t="shared" ca="1" si="129"/>
        <v>-0.1262165437510353</v>
      </c>
      <c r="J99" s="875">
        <f t="shared" ca="1" si="129"/>
        <v>-0.17116115185065506</v>
      </c>
      <c r="K99" s="875">
        <f t="shared" ca="1" si="129"/>
        <v>-0.17363199450074518</v>
      </c>
      <c r="L99" s="875">
        <f t="shared" ca="1" si="129"/>
        <v>-0.19337141767677513</v>
      </c>
      <c r="M99" s="875">
        <f t="shared" ca="1" si="129"/>
        <v>-0.15359116040394338</v>
      </c>
      <c r="N99" s="862">
        <f t="shared" ca="1" si="129"/>
        <v>-0.1731563693608239</v>
      </c>
      <c r="O99" s="875">
        <f t="shared" ca="1" si="129"/>
        <v>-0.17118703950746228</v>
      </c>
      <c r="P99" s="875">
        <f t="shared" ca="1" si="129"/>
        <v>-0.17578346076618589</v>
      </c>
      <c r="Q99" s="875">
        <f t="shared" ca="1" si="129"/>
        <v>-0.17216321159274417</v>
      </c>
      <c r="R99" s="875">
        <f t="shared" ca="1" si="129"/>
        <v>-0.16368460465331791</v>
      </c>
      <c r="S99" s="862">
        <f t="shared" ca="1" si="129"/>
        <v>-0.17060464200951064</v>
      </c>
      <c r="T99" s="875">
        <f t="shared" ca="1" si="129"/>
        <v>-0.16693968846237395</v>
      </c>
      <c r="U99" s="875">
        <f t="shared" ca="1" si="129"/>
        <v>-0.1622260852395998</v>
      </c>
      <c r="V99" s="875">
        <f t="shared" ref="V99:AA99" ca="1" si="130">+V100/V97-1</f>
        <v>-0.17212003560900835</v>
      </c>
      <c r="W99" s="875">
        <f t="shared" ca="1" si="130"/>
        <v>-0.17806922782574075</v>
      </c>
      <c r="X99" s="862">
        <f t="shared" ca="1" si="130"/>
        <v>-0.16982021796906155</v>
      </c>
      <c r="Y99" s="875">
        <f t="shared" ca="1" si="130"/>
        <v>-0.18675791691967258</v>
      </c>
      <c r="Z99" s="875">
        <f t="shared" ca="1" si="130"/>
        <v>-0.18154750769091998</v>
      </c>
      <c r="AA99" s="875">
        <f t="shared" ca="1" si="130"/>
        <v>-0.1839089581692871</v>
      </c>
      <c r="AB99" s="875">
        <f t="shared" ref="AB99:AH99" ca="1" si="131">+AB100/AB97-1</f>
        <v>-0.18427069285402653</v>
      </c>
      <c r="AC99" s="862">
        <f t="shared" ca="1" si="131"/>
        <v>-0.18405382040681562</v>
      </c>
      <c r="AD99" s="875">
        <f t="shared" ca="1" si="131"/>
        <v>-0.18784512976517309</v>
      </c>
      <c r="AE99" s="875">
        <f t="shared" ca="1" si="131"/>
        <v>-0.17603545632705342</v>
      </c>
      <c r="AF99" s="875">
        <f t="shared" ca="1" si="131"/>
        <v>-0.17509013554404884</v>
      </c>
      <c r="AG99" s="875">
        <f t="shared" ca="1" si="131"/>
        <v>-0.17508202602059164</v>
      </c>
      <c r="AH99" s="862">
        <f t="shared" ca="1" si="131"/>
        <v>-0.17854441908968577</v>
      </c>
      <c r="AI99" s="875">
        <f t="shared" ref="AI99:AO99" ca="1" si="132">+AI100/AI97-1</f>
        <v>-0.17593162022451325</v>
      </c>
      <c r="AJ99" s="875">
        <f t="shared" ca="1" si="132"/>
        <v>-0.17145001450802733</v>
      </c>
      <c r="AK99" s="875">
        <f t="shared" ca="1" si="132"/>
        <v>-0.17738767524358057</v>
      </c>
      <c r="AL99" s="875">
        <f t="shared" ca="1" si="132"/>
        <v>-0.17856355145503633</v>
      </c>
      <c r="AM99" s="862">
        <f t="shared" ca="1" si="132"/>
        <v>-0.17597920712355553</v>
      </c>
      <c r="AN99" s="875">
        <f t="shared" ca="1" si="132"/>
        <v>-0.17805999035473885</v>
      </c>
      <c r="AO99" s="875">
        <f t="shared" ca="1" si="132"/>
        <v>-0.18227339536722909</v>
      </c>
      <c r="AP99" s="875">
        <f t="shared" ref="AP99:AX99" ca="1" si="133">+AP100/AP97-1</f>
        <v>-0.177837089070495</v>
      </c>
      <c r="AQ99" s="875">
        <f t="shared" ca="1" si="133"/>
        <v>-0.17933355172761301</v>
      </c>
      <c r="AR99" s="862">
        <f t="shared" ca="1" si="133"/>
        <v>-0.17944517093367263</v>
      </c>
      <c r="AS99" s="875">
        <f t="shared" ca="1" si="133"/>
        <v>-0.17590564301759293</v>
      </c>
      <c r="AT99" s="875">
        <f t="shared" ca="1" si="133"/>
        <v>-0.17722512719145556</v>
      </c>
      <c r="AU99" s="875">
        <f t="shared" ca="1" si="133"/>
        <v>-0.18153250547111965</v>
      </c>
      <c r="AV99" s="875">
        <f t="shared" ca="1" si="133"/>
        <v>-0.18814636756306247</v>
      </c>
      <c r="AW99" s="862">
        <f t="shared" ca="1" si="133"/>
        <v>-0.1803613512098996</v>
      </c>
      <c r="AX99" s="875">
        <f t="shared" ca="1" si="133"/>
        <v>-0.18940872432006406</v>
      </c>
      <c r="AY99" s="875">
        <f ca="1">+AY100/AY97-1</f>
        <v>-0.18928593584647702</v>
      </c>
      <c r="AZ99" s="851"/>
      <c r="BA99" s="851"/>
      <c r="BB99" s="851"/>
      <c r="BC99" s="851"/>
      <c r="BD99" s="851"/>
      <c r="BE99" s="851"/>
      <c r="BF99" s="851"/>
      <c r="BG99" s="851"/>
      <c r="BH99" s="851"/>
      <c r="BK99" s="851"/>
      <c r="BL99" s="851"/>
      <c r="BM99" s="851"/>
      <c r="BN99" s="851"/>
      <c r="BO99" s="851"/>
      <c r="BP99" s="851"/>
      <c r="BQ99" s="851"/>
      <c r="BR99" s="851"/>
      <c r="BS99" s="851"/>
      <c r="BT99" s="851"/>
      <c r="BU99" s="851"/>
      <c r="BV99" s="851"/>
      <c r="BW99" s="851"/>
      <c r="BX99" s="851"/>
      <c r="BY99" s="851"/>
      <c r="BZ99" s="851"/>
      <c r="CA99" s="851"/>
      <c r="CB99" s="851"/>
      <c r="CC99" s="851"/>
      <c r="CD99" s="851"/>
      <c r="CE99" s="851"/>
      <c r="CF99" s="851"/>
      <c r="CG99" s="851"/>
      <c r="CH99" s="851"/>
      <c r="CI99" s="851"/>
      <c r="CJ99" s="851"/>
    </row>
    <row r="100" spans="1:88" ht="13.5" customHeight="1" x14ac:dyDescent="0.2">
      <c r="A100" s="516" t="s">
        <v>1882</v>
      </c>
      <c r="B100" s="516" t="s">
        <v>1890</v>
      </c>
      <c r="D100" s="866" t="str">
        <f>IF([1]RENAME!$H$3=1,B100,A100)</f>
        <v>Receita líquida (ajustado eventos ñ recorr)</v>
      </c>
      <c r="E100" s="865">
        <f ca="1">+E98+E97</f>
        <v>40195.741480000004</v>
      </c>
      <c r="F100" s="865">
        <f ca="1">+F98+F97</f>
        <v>49336.037499999999</v>
      </c>
      <c r="G100" s="865">
        <f ca="1">+G98+G97</f>
        <v>41713.414819999998</v>
      </c>
      <c r="H100" s="865">
        <f ca="1">+H98+H97</f>
        <v>44647.50333</v>
      </c>
      <c r="I100" s="864">
        <f ca="1">SUM(E100:H100)</f>
        <v>175892.69713000002</v>
      </c>
      <c r="J100" s="865">
        <f ca="1">+J98+J97</f>
        <v>39611.781539999996</v>
      </c>
      <c r="K100" s="865">
        <f ca="1">+K98+K97</f>
        <v>37284.718710000001</v>
      </c>
      <c r="L100" s="1004">
        <f ca="1">+L98+L97</f>
        <v>40376.691489999997</v>
      </c>
      <c r="M100" s="1004">
        <f ca="1">+M98+M97</f>
        <v>40578.354858986</v>
      </c>
      <c r="N100" s="1005">
        <f ca="1">+SUM(J100:M100)</f>
        <v>157851.54659898599</v>
      </c>
      <c r="O100" s="865">
        <f ca="1">+O98+O97</f>
        <v>37774.145250000001</v>
      </c>
      <c r="P100" s="865">
        <f ca="1">+P98+P97</f>
        <v>37483.146710000001</v>
      </c>
      <c r="Q100" s="865">
        <f ca="1">+Q98+Q97</f>
        <v>40931.622060000002</v>
      </c>
      <c r="R100" s="865">
        <f ca="1">+R98+R97</f>
        <v>40984.576209999992</v>
      </c>
      <c r="S100" s="864">
        <f ca="1">+SUM(O100:R100)</f>
        <v>157173.49023</v>
      </c>
      <c r="T100" s="865">
        <f ca="1">+T98+T97</f>
        <v>38985.920590000002</v>
      </c>
      <c r="U100" s="865">
        <f ca="1">+U98+U97</f>
        <v>43262.848420000002</v>
      </c>
      <c r="V100" s="865">
        <f ca="1">+V98+V97</f>
        <v>43724.104230000004</v>
      </c>
      <c r="W100" s="865">
        <f ca="1">+W98+W97</f>
        <v>40404.322140000004</v>
      </c>
      <c r="X100" s="864">
        <f ca="1">+SUM(T100:W100)</f>
        <v>166377.19538000002</v>
      </c>
      <c r="Y100" s="865">
        <f ca="1">+Y98+Y97</f>
        <v>33087.408810000001</v>
      </c>
      <c r="Z100" s="865">
        <f ca="1">+Z98+Z97</f>
        <v>36639.325929999999</v>
      </c>
      <c r="AA100" s="865">
        <f ca="1">+AA98+AA97</f>
        <v>37118.330650000004</v>
      </c>
      <c r="AB100" s="865">
        <f ca="1">+AB98+AB97</f>
        <v>32985.027450000009</v>
      </c>
      <c r="AC100" s="864">
        <f ca="1">+SUM(Y100:AB100)</f>
        <v>139830.09284</v>
      </c>
      <c r="AD100" s="865">
        <f ca="1">+AD98+AD97</f>
        <v>39271.565389999996</v>
      </c>
      <c r="AE100" s="865">
        <f ca="1">+AE98+AE97</f>
        <v>38433.140700000004</v>
      </c>
      <c r="AF100" s="865">
        <f ca="1">+AF98+AF97</f>
        <v>42378.61105</v>
      </c>
      <c r="AG100" s="865">
        <f ca="1">+AG98+AG97</f>
        <v>36987.536740000003</v>
      </c>
      <c r="AH100" s="864">
        <f ca="1">+SUM(AD100:AG100)</f>
        <v>157070.85388000001</v>
      </c>
      <c r="AI100" s="865">
        <f ca="1">+AI98+AI97</f>
        <v>38998.192540000004</v>
      </c>
      <c r="AJ100" s="865">
        <f ca="1">+AJ98+AJ97</f>
        <v>35747.08455</v>
      </c>
      <c r="AK100" s="865">
        <f ca="1">+AK98+AK97</f>
        <v>41153.213530000008</v>
      </c>
      <c r="AL100" s="865">
        <f ca="1">+AL98+AL97</f>
        <v>40430.03413</v>
      </c>
      <c r="AM100" s="864">
        <f ca="1">+SUM(AI100:AL100)</f>
        <v>156328.52475000001</v>
      </c>
      <c r="AN100" s="865">
        <f ca="1">+AN98+AN97</f>
        <v>41658.950420000001</v>
      </c>
      <c r="AO100" s="865">
        <f ca="1">+AO98+AO97</f>
        <v>45563.016280000003</v>
      </c>
      <c r="AP100" s="865">
        <f ca="1">+AP98+AP97</f>
        <v>41822.091699999997</v>
      </c>
      <c r="AQ100" s="865">
        <f ca="1">+AQ98+AQ97</f>
        <v>41023.599970000003</v>
      </c>
      <c r="AR100" s="864">
        <f ca="1">+SUM(AN100:AQ100)</f>
        <v>170067.65837000002</v>
      </c>
      <c r="AS100" s="865">
        <f ca="1">+AS98+AS97</f>
        <v>45821.870380000008</v>
      </c>
      <c r="AT100" s="865">
        <f ca="1">+AT98+AT97</f>
        <v>44633.282709999999</v>
      </c>
      <c r="AU100" s="865">
        <f ca="1">+AU98+AU97</f>
        <v>34363.749549999993</v>
      </c>
      <c r="AV100" s="865">
        <f ca="1">+AV98+AV97</f>
        <v>38450.547139999995</v>
      </c>
      <c r="AW100" s="864">
        <f ca="1">+SUM(AS100:AV100)</f>
        <v>163269.44978</v>
      </c>
      <c r="AX100" s="865">
        <f ca="1">+AX98+AX97</f>
        <v>41177.679349999999</v>
      </c>
      <c r="AY100" s="865">
        <f ca="1">+AY98+AY97</f>
        <v>47228.589160000003</v>
      </c>
      <c r="BN100" s="266"/>
      <c r="BO100" s="266"/>
      <c r="BP100" s="266"/>
      <c r="BQ100" s="266"/>
      <c r="BR100" s="266"/>
      <c r="BS100" s="266"/>
      <c r="BT100" s="266"/>
      <c r="BU100" s="266"/>
      <c r="BV100" s="266"/>
      <c r="BW100" s="266"/>
      <c r="BX100" s="266"/>
      <c r="BY100" s="266"/>
      <c r="BZ100" s="266"/>
      <c r="CA100" s="266"/>
      <c r="CB100" s="266"/>
      <c r="CC100" s="266"/>
      <c r="CD100" s="266"/>
      <c r="CE100" s="266"/>
      <c r="CF100" s="266"/>
      <c r="CG100" s="266"/>
      <c r="CH100" s="266"/>
      <c r="CI100" s="266"/>
      <c r="CJ100" s="266"/>
    </row>
    <row r="101" spans="1:88" ht="13.5" customHeight="1" x14ac:dyDescent="0.2">
      <c r="A101" s="1" t="s">
        <v>1896</v>
      </c>
      <c r="B101" s="1" t="s">
        <v>1897</v>
      </c>
      <c r="D101" s="879" t="str">
        <f>IF([1]RENAME!$H$3=1,B101,A101)</f>
        <v>Custos fixos (sem deprec/amort e ajustado eventos ñ recorr)</v>
      </c>
      <c r="E101" s="857">
        <f ca="1">+SUMIFS(INDIRECT(CONCATENATE("'",$AZ101,$BA101,":",$BB101)),INDIRECT(CONCATENATE("'",$AZ101,$BA$92,":",$BB$92)),E$92)</f>
        <v>-33763.876869999993</v>
      </c>
      <c r="F101" s="857">
        <f ca="1">+SUMIFS(INDIRECT(CONCATENATE("'",$AZ101,$BA101,":",$BB101)),INDIRECT(CONCATENATE("'",$AZ101,$BA$92,":",$BB$92)),F$92)</f>
        <v>-35062.16257</v>
      </c>
      <c r="G101" s="857">
        <f ca="1">+SUMIFS(INDIRECT(CONCATENATE("'",$AZ101,$BA101,":",$BB101)),INDIRECT(CONCATENATE("'",$AZ101,$BA$92,":",$BB$92)),G$92)</f>
        <v>-35168.157510000005</v>
      </c>
      <c r="H101" s="901">
        <f ca="1">+SUMIFS(INDIRECT(CONCATENATE("'",$AZ101,$BA101,":",$BB101)),INDIRECT(CONCATENATE("'",$AZ101,$BA$92,":",$BB$92)),H$92)-5147.63034</f>
        <v>-39024.335300000006</v>
      </c>
      <c r="I101" s="916">
        <f ca="1">SUM(E101:H101)</f>
        <v>-143018.53224999999</v>
      </c>
      <c r="J101" s="857">
        <f ca="1">+SUMIFS(INDIRECT(CONCATENATE("'",$AZ101,$BA101,":",$BB101)),INDIRECT(CONCATENATE("'",$AZ101,$BA$92,":",$BB$92)),J$92)</f>
        <v>-32103.398359999996</v>
      </c>
      <c r="K101" s="857">
        <f ca="1">+SUMIFS(INDIRECT(CONCATENATE("'",$AZ101,$BA101,":",$BB101)),INDIRECT(CONCATENATE("'",$AZ101,$BA$92,":",$BB$92)),K$92)</f>
        <v>-29829.59719</v>
      </c>
      <c r="L101" s="857">
        <f ca="1">+SUMIFS(INDIRECT(CONCATENATE("'",$AZ101,$BA101,":",$BB101)),INDIRECT(CONCATENATE("'",$AZ101,$BA$92,":",$BB$92)),L$92)</f>
        <v>-31606.118449999998</v>
      </c>
      <c r="M101" s="857">
        <f ca="1">+SUMIFS(INDIRECT(CONCATENATE("'",$AZ101,$BA101,":",$BB101)),INDIRECT(CONCATENATE("'",$AZ101,$BA$92,":",$BB$92)),M$92)</f>
        <v>-32730.792299999997</v>
      </c>
      <c r="N101" s="647">
        <f ca="1">+SUM(J101:M101)</f>
        <v>-126269.90629999999</v>
      </c>
      <c r="O101" s="857">
        <f ca="1">+SUMIFS(INDIRECT(CONCATENATE("'",$AZ101,$BA101,":",$BB101)),INDIRECT(CONCATENATE("'",$AZ101,$BA$92,":",$BB$92)),O$92)</f>
        <v>-24847.719380000002</v>
      </c>
      <c r="P101" s="857">
        <f ca="1">+SUMIFS(INDIRECT(CONCATENATE("'",$AZ101,$BA101,":",$BB101)),INDIRECT(CONCATENATE("'",$AZ101,$BA$92,":",$BB$92)),P$92)</f>
        <v>-27137.973819999999</v>
      </c>
      <c r="Q101" s="901">
        <f ca="1">+SUMIFS(INDIRECT(CONCATENATE("'",$AZ101,$BA101,":",$BB101)),INDIRECT(CONCATENATE("'",$AZ101,$BA$92,":",$BB$92)),Q$92)+193.292048841321</f>
        <v>-26075.299731158677</v>
      </c>
      <c r="R101" s="857">
        <f ca="1">+SUMIFS(INDIRECT(CONCATENATE("'",$AZ101,$BA101,":",$BB101)),INDIRECT(CONCATENATE("'",$AZ101,$BA$92,":",$BB$92)),R$92)</f>
        <v>-27258.207099999996</v>
      </c>
      <c r="S101" s="916">
        <f ca="1">+SUM(O101:R101)</f>
        <v>-105319.20003115867</v>
      </c>
      <c r="T101" s="857">
        <f ca="1">+SUMIFS(INDIRECT(CONCATENATE("'",$AZ101,$BA101,":",$BB101)),INDIRECT(CONCATENATE("'",$AZ101,$BA$92,":",$BB$92)),T$92)</f>
        <v>-23949.649169999997</v>
      </c>
      <c r="U101" s="857">
        <f ca="1">+SUMIFS(INDIRECT(CONCATENATE("'",$AZ101,$BA101,":",$BB101)),INDIRECT(CONCATENATE("'",$AZ101,$BA$92,":",$BB$92)),U$92)</f>
        <v>-26755.184610000004</v>
      </c>
      <c r="V101" s="857">
        <f ca="1">+SUMIFS(INDIRECT(CONCATENATE("'",$AZ101,$BA101,":",$BB101)),INDIRECT(CONCATENATE("'",$AZ101,$BA$92,":",$BB$92)),V$92)</f>
        <v>-26649.67727</v>
      </c>
      <c r="W101" s="901">
        <f ca="1">+SUMIFS(INDIRECT(CONCATENATE("'",$AZ101,$BA101,":",$BB101)),INDIRECT(CONCATENATE("'",$AZ101,$BA$92,":",$BB$92)),W$92)+2875</f>
        <v>-25813.472970000003</v>
      </c>
      <c r="X101" s="916">
        <f ca="1">+SUM(T101:W101)</f>
        <v>-103167.98402</v>
      </c>
      <c r="Y101" s="857">
        <f ca="1">+SUMIFS(INDIRECT(CONCATENATE("'",$AZ101,$BA101,":",$BB101)),INDIRECT(CONCATENATE("'",$AZ101,$BA$92,":",$BB$92)),Y$92)</f>
        <v>-22940.262020000002</v>
      </c>
      <c r="Z101" s="857">
        <f ca="1">+SUMIFS(INDIRECT(CONCATENATE("'",$AZ101,$BA101,":",$BB101)),INDIRECT(CONCATENATE("'",$AZ101,$BA$92,":",$BB$92)),Z$92)</f>
        <v>-24186.268790000002</v>
      </c>
      <c r="AA101" s="857">
        <f ca="1">+SUMIFS(INDIRECT(CONCATENATE("'",$AZ101,$BA101,":",$BB101)),INDIRECT(CONCATENATE("'",$AZ101,$BA$92,":",$BB$92)),AA$92)</f>
        <v>-25173.943309999999</v>
      </c>
      <c r="AB101" s="857">
        <f ca="1">+SUMIFS(INDIRECT(CONCATENATE("'",$AZ101,$BA101,":",$BB101)),INDIRECT(CONCATENATE("'",$AZ101,$BA$92,":",$BB$92)),AB$92)</f>
        <v>-22896.50952</v>
      </c>
      <c r="AC101" s="647">
        <f ca="1">+SUM(Y101:AB101)</f>
        <v>-95196.983639999991</v>
      </c>
      <c r="AD101" s="857">
        <f ca="1">+SUMIFS(INDIRECT(CONCATENATE("'",$AZ101,$BA101,":",$BB101)),INDIRECT(CONCATENATE("'",$AZ101,$BA$92,":",$BB$92)),AD$92)</f>
        <v>-25044.119490000005</v>
      </c>
      <c r="AE101" s="857">
        <f ca="1">+SUMIFS(INDIRECT(CONCATENATE("'",$AZ101,$BA101,":",$BB101)),INDIRECT(CONCATENATE("'",$AZ101,$BA$92,":",$BB$92)),AE$92)</f>
        <v>-26249.11119</v>
      </c>
      <c r="AF101" s="857">
        <f ca="1">+SUMIFS(INDIRECT(CONCATENATE("'",$AZ101,$BA101,":",$BB101)),INDIRECT(CONCATENATE("'",$AZ101,$BA$92,":",$BB$92)),AF$92)</f>
        <v>-28395.833310000005</v>
      </c>
      <c r="AG101" s="857">
        <f ca="1">+SUMIFS(INDIRECT(CONCATENATE("'",$AZ101,$BA101,":",$BB101)),INDIRECT(CONCATENATE("'",$AZ101,$BA$92,":",$BB$92)),AG$92)</f>
        <v>-25579.179450000003</v>
      </c>
      <c r="AH101" s="647">
        <f ca="1">+SUM(AD101:AG101)</f>
        <v>-105268.24344000002</v>
      </c>
      <c r="AI101" s="857">
        <f ca="1">+SUMIFS(INDIRECT(CONCATENATE("'",$AZ101,$BA101,":",$BB101)),INDIRECT(CONCATENATE("'",$AZ101,$BA$92,":",$BB$92)),AI$92)</f>
        <v>-27962.731210000002</v>
      </c>
      <c r="AJ101" s="857">
        <f ca="1">+SUMIFS(INDIRECT(CONCATENATE("'",$AZ101,$BA101,":",$BB101)),INDIRECT(CONCATENATE("'",$AZ101,$BA$92,":",$BB$92)),AJ$92)</f>
        <v>-24097.067410000003</v>
      </c>
      <c r="AK101" s="857">
        <f ca="1">+SUMIFS(INDIRECT(CONCATENATE("'",$AZ101,$BA101,":",$BB101)),INDIRECT(CONCATENATE("'",$AZ101,$BA$92,":",$BB$92)),AK$92)</f>
        <v>-28659.82591</v>
      </c>
      <c r="AL101" s="857">
        <f ca="1">+SUMIFS(INDIRECT(CONCATENATE("'",$AZ101,$BA101,":",$BB101)),INDIRECT(CONCATENATE("'",$AZ101,$BA$92,":",$BB$92)),AL$92)</f>
        <v>-26994.540899999996</v>
      </c>
      <c r="AM101" s="647">
        <f ca="1">+SUM(AI101:AL101)</f>
        <v>-107714.16542999999</v>
      </c>
      <c r="AN101" s="857">
        <f ca="1">+SUMIFS(INDIRECT(CONCATENATE("'",$AZ101,$BA101,":",$BB101)),INDIRECT(CONCATENATE("'",$AZ101,$BA$92,":",$BB$92)),AN$92)</f>
        <v>-30761.998070000005</v>
      </c>
      <c r="AO101" s="857">
        <f ca="1">+SUMIFS(INDIRECT(CONCATENATE("'",$AZ101,$BA101,":",$BB101)),INDIRECT(CONCATENATE("'",$AZ101,$BA$92,":",$BB$92)),AO$92)</f>
        <v>-33179.92899</v>
      </c>
      <c r="AP101" s="857">
        <f ca="1">+SUMIFS(INDIRECT(CONCATENATE("'",$AZ101,$BA101,":",$BB101)),INDIRECT(CONCATENATE("'",$AZ101,$BA$92,":",$BB$92)),AP$92)</f>
        <v>-30561.183870000001</v>
      </c>
      <c r="AQ101" s="857">
        <f ca="1">+SUMIFS(INDIRECT(CONCATENATE("'",$AZ101,$BA101,":",$BB101)),INDIRECT(CONCATENATE("'",$AZ101,$BA$92,":",$BB$92)),AQ$92)</f>
        <v>-31888.350020000002</v>
      </c>
      <c r="AR101" s="647">
        <f ca="1">+SUM(AN101:AQ101)</f>
        <v>-126391.46094999999</v>
      </c>
      <c r="AS101" s="857">
        <f ca="1">+SUMIFS(INDIRECT(CONCATENATE("'",$AZ101,$BA101,":",$BB101)),INDIRECT(CONCATENATE("'",$AZ101,$BA$92,":",$BB$92)),AS$92)</f>
        <v>-34249.135450000002</v>
      </c>
      <c r="AT101" s="857">
        <f ca="1">+SUMIFS(INDIRECT(CONCATENATE("'",$AZ101,$BA101,":",$BB101)),INDIRECT(CONCATENATE("'",$AZ101,$BA$92,":",$BB$92)),AT$92)</f>
        <v>-32967.494210000004</v>
      </c>
      <c r="AU101" s="857">
        <f ca="1">+SUMIFS(INDIRECT(CONCATENATE("'",$AZ101,$BA101,":",$BB101)),INDIRECT(CONCATENATE("'",$AZ101,$BA$92,":",$BB$92)),AU$92)</f>
        <v>-26966.71571</v>
      </c>
      <c r="AV101" s="857">
        <f ca="1">+SUMIFS(INDIRECT(CONCATENATE("'",$AZ101,$BA101,":",$BB101)),INDIRECT(CONCATENATE("'",$AZ101,$BA$92,":",$BB$92)),AV$92)</f>
        <v>-31345.064120000003</v>
      </c>
      <c r="AW101" s="647">
        <f ca="1">+SUM(AS101:AV101)</f>
        <v>-125528.40949000002</v>
      </c>
      <c r="AX101" s="857">
        <f ca="1">+SUMIFS(INDIRECT(CONCATENATE("'",$AZ101,$BA101,":",$BB101)),INDIRECT(CONCATENATE("'",$AZ101,$BA$92,":",$BB$92)),AX$92)</f>
        <v>-30701.950629999999</v>
      </c>
      <c r="AY101" s="857">
        <f ca="1">+SUMIFS(INDIRECT(CONCATENATE("'",$AZ101,$BA101,":",$BB101)),INDIRECT(CONCATENATE("'",$AZ101,$BA$92,":",$BB$92)),AY$92)</f>
        <v>-37828.230429999996</v>
      </c>
      <c r="AZ101" s="266" t="str">
        <f>IF([1]RENAME!$H$3=0,BD101,BC101)</f>
        <v>LI'!</v>
      </c>
      <c r="BA101" s="266" t="str">
        <f>"$"&amp;ROW(LI!$D$13)</f>
        <v>$13</v>
      </c>
      <c r="BB101" s="266" t="str">
        <f>"$"&amp;ROW(LI!$D$13)</f>
        <v>$13</v>
      </c>
      <c r="BC101" s="266" t="s">
        <v>1737</v>
      </c>
      <c r="BD101" s="266" t="s">
        <v>1736</v>
      </c>
      <c r="BN101" s="266"/>
      <c r="BO101" s="266"/>
      <c r="BP101" s="266"/>
      <c r="BQ101" s="266"/>
      <c r="BR101" s="266"/>
      <c r="BS101" s="266"/>
      <c r="BT101" s="266"/>
      <c r="BU101" s="266"/>
      <c r="BV101" s="266"/>
      <c r="BW101" s="266"/>
      <c r="BX101" s="266"/>
      <c r="BY101" s="266"/>
      <c r="BZ101" s="266"/>
      <c r="CA101" s="266"/>
      <c r="CB101" s="266"/>
      <c r="CC101" s="266"/>
      <c r="CD101" s="266"/>
      <c r="CE101" s="266"/>
      <c r="CF101" s="266"/>
      <c r="CG101" s="266"/>
      <c r="CH101" s="266"/>
      <c r="CI101" s="266"/>
      <c r="CJ101" s="266"/>
    </row>
    <row r="102" spans="1:88" s="850" customFormat="1" ht="13.5" customHeight="1" x14ac:dyDescent="0.2">
      <c r="A102" s="516" t="s">
        <v>1885</v>
      </c>
      <c r="B102" s="516" t="s">
        <v>1893</v>
      </c>
      <c r="C102" s="855"/>
      <c r="D102" s="861" t="str">
        <f>IF([1]RENAME!$H$3=1,B102,A102)</f>
        <v>% Receita líquida (sem deprec/amort e ajustado eventos ñ recorr)</v>
      </c>
      <c r="E102" s="875">
        <f t="shared" ref="E102:U102" ca="1" si="134">+E101/E100</f>
        <v>-0.8399864171382363</v>
      </c>
      <c r="F102" s="875">
        <f t="shared" ca="1" si="134"/>
        <v>-0.71068055617559478</v>
      </c>
      <c r="G102" s="875">
        <f t="shared" ca="1" si="134"/>
        <v>-0.84308987077073849</v>
      </c>
      <c r="H102" s="875">
        <f t="shared" ca="1" si="134"/>
        <v>-0.87405414389158875</v>
      </c>
      <c r="I102" s="900">
        <f t="shared" ca="1" si="134"/>
        <v>-0.81310102456554434</v>
      </c>
      <c r="J102" s="875">
        <f t="shared" ca="1" si="134"/>
        <v>-0.81045075762578278</v>
      </c>
      <c r="K102" s="875">
        <f t="shared" ca="1" si="134"/>
        <v>-0.80004887315938122</v>
      </c>
      <c r="L102" s="875">
        <f t="shared" ca="1" si="134"/>
        <v>-0.78278128503490219</v>
      </c>
      <c r="M102" s="875">
        <f t="shared" ca="1" si="134"/>
        <v>-0.8066071779830134</v>
      </c>
      <c r="N102" s="862">
        <f t="shared" ca="1" si="134"/>
        <v>-0.79992821749654697</v>
      </c>
      <c r="O102" s="875">
        <f t="shared" ca="1" si="134"/>
        <v>-0.65779699886127807</v>
      </c>
      <c r="P102" s="875">
        <f t="shared" ca="1" si="134"/>
        <v>-0.72400468482439206</v>
      </c>
      <c r="Q102" s="875">
        <f t="shared" ca="1" si="134"/>
        <v>-0.63704535561615305</v>
      </c>
      <c r="R102" s="875">
        <f t="shared" ca="1" si="134"/>
        <v>-0.66508451765689247</v>
      </c>
      <c r="S102" s="862">
        <f t="shared" ca="1" si="134"/>
        <v>-0.67008246668722382</v>
      </c>
      <c r="T102" s="875">
        <f t="shared" ca="1" si="134"/>
        <v>-0.61431534275846111</v>
      </c>
      <c r="U102" s="875">
        <f t="shared" ca="1" si="134"/>
        <v>-0.61843326519460839</v>
      </c>
      <c r="V102" s="875">
        <f t="shared" ref="V102:AA102" ca="1" si="135">+V101/V100</f>
        <v>-0.60949624330359886</v>
      </c>
      <c r="W102" s="875">
        <f t="shared" ca="1" si="135"/>
        <v>-0.63887900112658591</v>
      </c>
      <c r="X102" s="862">
        <f t="shared" ca="1" si="135"/>
        <v>-0.62008488473656342</v>
      </c>
      <c r="Y102" s="875">
        <f t="shared" ca="1" si="135"/>
        <v>-0.69332301455612233</v>
      </c>
      <c r="Z102" s="875">
        <f t="shared" ca="1" si="135"/>
        <v>-0.66011773350329217</v>
      </c>
      <c r="AA102" s="875">
        <f t="shared" ca="1" si="135"/>
        <v>-0.67820785227042524</v>
      </c>
      <c r="AB102" s="875">
        <f t="shared" ref="AB102:AH102" ca="1" si="136">+AB101/AB100</f>
        <v>-0.69414856648845968</v>
      </c>
      <c r="AC102" s="862">
        <f t="shared" ca="1" si="136"/>
        <v>-0.68080469451542702</v>
      </c>
      <c r="AD102" s="875">
        <f t="shared" ca="1" si="136"/>
        <v>-0.6377163538374554</v>
      </c>
      <c r="AE102" s="875">
        <f t="shared" ca="1" si="136"/>
        <v>-0.68298116448234991</v>
      </c>
      <c r="AF102" s="875">
        <f t="shared" ca="1" si="136"/>
        <v>-0.67005106128885283</v>
      </c>
      <c r="AG102" s="875">
        <f t="shared" ca="1" si="136"/>
        <v>-0.69156212347435175</v>
      </c>
      <c r="AH102" s="862">
        <f t="shared" ca="1" si="136"/>
        <v>-0.67019590738599744</v>
      </c>
      <c r="AI102" s="875">
        <f t="shared" ref="AI102:AO102" ca="1" si="137">+AI101/AI100</f>
        <v>-0.71702633862630805</v>
      </c>
      <c r="AJ102" s="875">
        <f t="shared" ca="1" si="137"/>
        <v>-0.67409881710199504</v>
      </c>
      <c r="AK102" s="875">
        <f t="shared" ca="1" si="137"/>
        <v>-0.69641769017885957</v>
      </c>
      <c r="AL102" s="875">
        <f t="shared" ca="1" si="137"/>
        <v>-0.66768533544149145</v>
      </c>
      <c r="AM102" s="862">
        <f t="shared" ca="1" si="137"/>
        <v>-0.68902438376013642</v>
      </c>
      <c r="AN102" s="875">
        <f t="shared" ca="1" si="137"/>
        <v>-0.73842470249158054</v>
      </c>
      <c r="AO102" s="875">
        <f t="shared" ca="1" si="137"/>
        <v>-0.72822064250747176</v>
      </c>
      <c r="AP102" s="875">
        <f t="shared" ref="AP102:AX102" ca="1" si="138">+AP101/AP100</f>
        <v>-0.73074259626282645</v>
      </c>
      <c r="AQ102" s="875">
        <f t="shared" ca="1" si="138"/>
        <v>-0.77731720383680403</v>
      </c>
      <c r="AR102" s="862">
        <f t="shared" ca="1" si="138"/>
        <v>-0.74318340219056889</v>
      </c>
      <c r="AS102" s="875">
        <f t="shared" ca="1" si="138"/>
        <v>-0.74744079990564527</v>
      </c>
      <c r="AT102" s="875">
        <f t="shared" ca="1" si="138"/>
        <v>-0.738630282343398</v>
      </c>
      <c r="AU102" s="875">
        <f t="shared" ca="1" si="138"/>
        <v>-0.78474311049097978</v>
      </c>
      <c r="AV102" s="875">
        <f t="shared" ca="1" si="138"/>
        <v>-0.81520463170189383</v>
      </c>
      <c r="AW102" s="862">
        <f t="shared" ca="1" si="138"/>
        <v>-0.7688419949913794</v>
      </c>
      <c r="AX102" s="875">
        <f t="shared" ca="1" si="138"/>
        <v>-0.74559691353757651</v>
      </c>
      <c r="AY102" s="875">
        <f ca="1">+AY101/AY100</f>
        <v>-0.80096041619719627</v>
      </c>
      <c r="AZ102" s="851"/>
      <c r="BA102" s="851"/>
      <c r="BB102" s="851"/>
      <c r="BC102" s="851"/>
      <c r="BD102" s="851"/>
      <c r="BE102" s="851"/>
      <c r="BF102" s="851"/>
      <c r="BG102" s="851"/>
      <c r="BH102" s="851"/>
      <c r="BK102" s="851"/>
      <c r="BL102" s="851"/>
      <c r="BM102" s="851"/>
      <c r="BN102" s="851"/>
      <c r="BO102" s="851"/>
      <c r="BP102" s="851"/>
      <c r="BQ102" s="851"/>
      <c r="BR102" s="851"/>
      <c r="BS102" s="851"/>
      <c r="BT102" s="851"/>
      <c r="BU102" s="851"/>
      <c r="BV102" s="851"/>
      <c r="BW102" s="851"/>
      <c r="BX102" s="851"/>
      <c r="BY102" s="851"/>
      <c r="BZ102" s="851"/>
      <c r="CA102" s="851"/>
      <c r="CB102" s="851"/>
      <c r="CC102" s="851"/>
      <c r="CD102" s="851"/>
      <c r="CE102" s="851"/>
      <c r="CF102" s="851"/>
      <c r="CG102" s="851"/>
      <c r="CH102" s="851"/>
      <c r="CI102" s="851"/>
      <c r="CJ102" s="851"/>
    </row>
    <row r="103" spans="1:88" ht="13.5" customHeight="1" x14ac:dyDescent="0.2">
      <c r="A103" s="516" t="s">
        <v>2007</v>
      </c>
      <c r="B103" s="516" t="s">
        <v>2008</v>
      </c>
      <c r="D103" s="879" t="str">
        <f>IF([1]RENAME!$H$3=1,B103,A103)</f>
        <v>Despesas e não operacionais (sem deprec/amort e ajustado eventos ñ recorr)</v>
      </c>
      <c r="E103" s="857">
        <f ca="1">+SUMIFS(INDIRECT(CONCATENATE("'",$AZ$93,$BA103,":",$BB103)),INDIRECT(CONCATENATE("'",$AZ103,$BA$92,":",$BB$92)),E$92)</f>
        <v>-1342.9465300000002</v>
      </c>
      <c r="F103" s="857">
        <f ca="1">+SUMIFS(INDIRECT(CONCATENATE("'",$AZ$93,$BA103,":",$BB103)),INDIRECT(CONCATENATE("'",$AZ103,$BA$92,":",$BB$92)),F$92)</f>
        <v>-4629.9583400000001</v>
      </c>
      <c r="G103" s="901">
        <f ca="1">+SUMIFS(INDIRECT(CONCATENATE("'",$AZ$93,$BA103,":",$BB103)),INDIRECT(CONCATENATE("'",$AZ103,$BA$92,":",$BB$92)),G$92)+5733</f>
        <v>-441.93514000000141</v>
      </c>
      <c r="H103" s="901">
        <f ca="1">+SUMIFS(INDIRECT(CONCATENATE("'",$AZ$93,$BA103,":",$BB103)),INDIRECT(CONCATENATE("'",$AZ103,$BA$92,":",$BB$92)),H$92)+5731</f>
        <v>-3461.1338500000002</v>
      </c>
      <c r="I103" s="916">
        <f ca="1">SUM(E103:H103)</f>
        <v>-9875.9738600000019</v>
      </c>
      <c r="J103" s="857">
        <f ca="1">+SUMIFS(INDIRECT(CONCATENATE("'",$AZ$93,$BA103,":",$BB103)),INDIRECT(CONCATENATE("'",$AZ103,$BA$92,":",$BB$92)),J$92)</f>
        <v>-667.74580000000003</v>
      </c>
      <c r="K103" s="857">
        <f ca="1">+SUMIFS(INDIRECT(CONCATENATE("'",$AZ$93,$BA103,":",$BB103)),INDIRECT(CONCATENATE("'",$AZ103,$BA$92,":",$BB$92)),K$92)</f>
        <v>-554.25487999999996</v>
      </c>
      <c r="L103" s="857">
        <f ca="1">+SUMIFS(INDIRECT(CONCATENATE("'",$AZ$93,$BA103,":",$BB103)),INDIRECT(CONCATENATE("'",$AZ103,$BA$92,":",$BB$92)),L$92)</f>
        <v>-382.59770999999995</v>
      </c>
      <c r="M103" s="901">
        <f ca="1">+SUMIFS(INDIRECT(CONCATENATE("'",$AZ$93,$BA103,":",$BB103)),INDIRECT(CONCATENATE("'",$AZ103,$BA$92,":",$BB$92)),M$92)+2859.05403</f>
        <v>-1731.2877800000001</v>
      </c>
      <c r="N103" s="916">
        <f ca="1">+SUM(J103:M103)</f>
        <v>-3335.8861700000002</v>
      </c>
      <c r="O103" s="857">
        <f ca="1">+SUMIFS(INDIRECT(CONCATENATE("'",$AZ$93,$BA103,":",$BB103)),INDIRECT(CONCATENATE("'",$AZ103,$BA$92,":",$BB$92)),O$92)</f>
        <v>600.34452999999996</v>
      </c>
      <c r="P103" s="857">
        <f ca="1">+SUMIFS(INDIRECT(CONCATENATE("'",$AZ$93,$BA103,":",$BB103)),INDIRECT(CONCATENATE("'",$AZ103,$BA$92,":",$BB$92)),P$92)</f>
        <v>446.94294000000008</v>
      </c>
      <c r="Q103" s="901">
        <f ca="1">+SUMIFS(INDIRECT(CONCATENATE("'",$AZ$93,$BA103,":",$BB103)),INDIRECT(CONCATENATE("'",$AZ103,$BA$92,":",$BB$92)),Q$92)-1794.21006</f>
        <v>-198.85109000000011</v>
      </c>
      <c r="R103" s="857">
        <f ca="1">+SUMIFS(INDIRECT(CONCATENATE("'",$AZ$93,$BA103,":",$BB103)),INDIRECT(CONCATENATE("'",$AZ103,$BA$92,":",$BB$92)),R$92)</f>
        <v>-1102.86581</v>
      </c>
      <c r="S103" s="916">
        <f ca="1">+SUM(O103:R103)</f>
        <v>-254.42943000000014</v>
      </c>
      <c r="T103" s="857">
        <f ca="1">+SUMIFS(INDIRECT(CONCATENATE("'",$AZ$93,$BA103,":",$BB103)),INDIRECT(CONCATENATE("'",$AZ103,$BA$92,":",$BB$92)),T$92)</f>
        <v>-95.066719999999975</v>
      </c>
      <c r="U103" s="857">
        <f ca="1">+SUMIFS(INDIRECT(CONCATENATE("'",$AZ$93,$BA103,":",$BB103)),INDIRECT(CONCATENATE("'",$AZ103,$BA$92,":",$BB$92)),U$92)</f>
        <v>-199.52291000000005</v>
      </c>
      <c r="V103" s="857">
        <f ca="1">+SUMIFS(INDIRECT(CONCATENATE("'",$AZ$93,$BA103,":",$BB103)),INDIRECT(CONCATENATE("'",$AZ103,$BA$92,":",$BB$92)),V$92)</f>
        <v>-557.19947999999999</v>
      </c>
      <c r="W103" s="901">
        <f ca="1">+SUMIFS(INDIRECT(CONCATENATE("'",$AZ$93,$BA103,":",$BB103)),INDIRECT(CONCATENATE("'",$AZ103,$BA$92,":",$BB$92)),W$92)+2345</f>
        <v>499.13855000000012</v>
      </c>
      <c r="X103" s="916">
        <f ca="1">+SUM(T103:W103)</f>
        <v>-352.65055999999993</v>
      </c>
      <c r="Y103" s="857">
        <f ca="1">+SUMIFS(INDIRECT(CONCATENATE("'",$AZ$93,$BA103,":",$BB103)),INDIRECT(CONCATENATE("'",$AZ103,$BA$92,":",$BB$92)),Y$92)</f>
        <v>-76.880210000000019</v>
      </c>
      <c r="Z103" s="901">
        <f ca="1">+SUMIFS(INDIRECT(CONCATENATE("'",$AZ$93,$BA103,":",$BB103)),INDIRECT(CONCATENATE("'",$AZ103,$BA$92,":",$BB$92)),Z$92)-5732.71379</f>
        <v>-581.52906999999959</v>
      </c>
      <c r="AA103" s="857">
        <f ca="1">+SUMIFS(INDIRECT(CONCATENATE("'",$AZ$93,$BA103,":",$BB103)),INDIRECT(CONCATENATE("'",$AZ103,$BA$92,":",$BB$92)),AA$92)</f>
        <v>13.98998000000006</v>
      </c>
      <c r="AB103" s="901">
        <f ca="1">+SUMIFS(INDIRECT(CONCATENATE("'",$AZ$93,$BA103,":",$BB103)),INDIRECT(CONCATENATE("'",$AZ103,$BA$92,":",$BB$92)),AB$92)-2591</f>
        <v>-763.55877000000032</v>
      </c>
      <c r="AC103" s="916">
        <f ca="1">+SUM(Y103:AB103)</f>
        <v>-1407.9780699999999</v>
      </c>
      <c r="AD103" s="857">
        <f ca="1">+SUMIFS(INDIRECT(CONCATENATE("'",$AZ$93,$BA103,":",$BB103)),INDIRECT(CONCATENATE("'",$AZ103,$BA$92,":",$BB$92)),AD$92)</f>
        <v>-202.53901000000008</v>
      </c>
      <c r="AE103" s="857">
        <f ca="1">+SUMIFS(INDIRECT(CONCATENATE("'",$AZ$93,$BA103,":",$BB103)),INDIRECT(CONCATENATE("'",$AZ103,$BA$92,":",$BB$92)),AE$92)</f>
        <v>-829.83764999999994</v>
      </c>
      <c r="AF103" s="857">
        <f ca="1">+SUMIFS(INDIRECT(CONCATENATE("'",$AZ$93,$BA103,":",$BB103)),INDIRECT(CONCATENATE("'",$AZ103,$BA$92,":",$BB$92)),AF$92)</f>
        <v>-11.300450000000097</v>
      </c>
      <c r="AG103" s="857">
        <f ca="1">+SUMIFS(INDIRECT(CONCATENATE("'",$AZ$93,$BA103,":",$BB103)),INDIRECT(CONCATENATE("'",$AZ103,$BA$92,":",$BB$92)),AG$92)</f>
        <v>-142.48084999999998</v>
      </c>
      <c r="AH103" s="647">
        <f ca="1">+SUM(AD103:AG103)</f>
        <v>-1186.15796</v>
      </c>
      <c r="AI103" s="857">
        <f ca="1">+SUMIFS(INDIRECT(CONCATENATE("'",$AZ$93,$BA103,":",$BB103)),INDIRECT(CONCATENATE("'",$AZ103,$BA$92,":",$BB$92)),AI$92)</f>
        <v>92.010109999999983</v>
      </c>
      <c r="AJ103" s="857">
        <f ca="1">+SUMIFS(INDIRECT(CONCATENATE("'",$AZ$93,$BA103,":",$BB103)),INDIRECT(CONCATENATE("'",$AZ103,$BA$92,":",$BB$92)),AJ$92)</f>
        <v>-84.018460000000218</v>
      </c>
      <c r="AK103" s="857">
        <f ca="1">+SUMIFS(INDIRECT(CONCATENATE("'",$AZ$93,$BA103,":",$BB103)),INDIRECT(CONCATENATE("'",$AZ103,$BA$92,":",$BB$92)),AK$92)</f>
        <v>-74.616739999999965</v>
      </c>
      <c r="AL103" s="857">
        <f ca="1">+SUMIFS(INDIRECT(CONCATENATE("'",$AZ$93,$BA103,":",$BB103)),INDIRECT(CONCATENATE("'",$AZ103,$BA$92,":",$BB$92)),AL$92)</f>
        <v>-1699.2201799999996</v>
      </c>
      <c r="AM103" s="647">
        <f ca="1">+SUM(AI103:AL103)</f>
        <v>-1765.8452699999998</v>
      </c>
      <c r="AN103" s="901">
        <f ca="1">+SUMIFS(INDIRECT(CONCATENATE("'",$AZ$93,$BA103,":",$BB103)),INDIRECT(CONCATENATE("'",$AZ103,$BA$92,":",$BB$92)),AN$92)</f>
        <v>-2540.4430400000001</v>
      </c>
      <c r="AO103" s="901">
        <f ca="1">+SUMIFS(INDIRECT(CONCATENATE("'",$AZ$93,$BA103,":",$BB103)),INDIRECT(CONCATENATE("'",$AZ103,$BA$92,":",$BB$92)),AO$92)</f>
        <v>-1844.8559499999999</v>
      </c>
      <c r="AP103" s="901">
        <f ca="1">+SUMIFS(INDIRECT(CONCATENATE("'",$AZ$93,$BA103,":",$BB103)),INDIRECT(CONCATENATE("'",$AZ103,$BA$92,":",$BB$92)),AP$92)</f>
        <v>-3253.43165</v>
      </c>
      <c r="AQ103" s="901">
        <f ca="1">+SUMIFS(INDIRECT(CONCATENATE("'",$AZ$93,$BA103,":",$BB103)),INDIRECT(CONCATENATE("'",$AZ103,$BA$92,":",$BB$92)),AQ$92)</f>
        <v>-3407.9472599999999</v>
      </c>
      <c r="AR103" s="916">
        <f ca="1">+SUM(AN103:AQ103)</f>
        <v>-11046.677899999999</v>
      </c>
      <c r="AS103" s="857">
        <f ca="1">+SUMIFS(INDIRECT(CONCATENATE("'",$AZ$93,$BA103,":",$BB103)),INDIRECT(CONCATENATE("'",$AZ103,$BA$92,":",$BB$92)),AS$92)</f>
        <v>-3188.3353599999996</v>
      </c>
      <c r="AT103" s="857">
        <f ca="1">+SUMIFS(INDIRECT(CONCATENATE("'",$AZ$93,$BA103,":",$BB103)),INDIRECT(CONCATENATE("'",$AZ103,$BA$92,":",$BB$92)),AT$92)</f>
        <v>-3306.1176299999997</v>
      </c>
      <c r="AU103" s="857">
        <f ca="1">+SUMIFS(INDIRECT(CONCATENATE("'",$AZ$93,$BA103,":",$BB103)),INDIRECT(CONCATENATE("'",$AZ103,$BA$92,":",$BB$92)),AU$92)</f>
        <v>-2584.8586</v>
      </c>
      <c r="AV103" s="857">
        <f ca="1">+SUMIFS(INDIRECT(CONCATENATE("'",$AZ$93,$BA103,":",$BB103)),INDIRECT(CONCATENATE("'",$AZ103,$BA$92,":",$BB$92)),AV$92)</f>
        <v>-3729.5138999999995</v>
      </c>
      <c r="AW103" s="647">
        <f ca="1">+SUM(AS103:AV103)</f>
        <v>-12808.825489999999</v>
      </c>
      <c r="AX103" s="857">
        <f ca="1">+SUMIFS(INDIRECT(CONCATENATE("'",$AZ$93,$BA103,":",$BB103)),INDIRECT(CONCATENATE("'",$AZ103,$BA$92,":",$BB$92)),AX$92)</f>
        <v>-1802.35717</v>
      </c>
      <c r="AY103" s="857">
        <f ca="1">+SUMIFS(INDIRECT(CONCATENATE("'",$AZ$93,$BA103,":",$BB103)),INDIRECT(CONCATENATE("'",$AZ103,$BA$92,":",$BB$92)),AY$92)</f>
        <v>-2450.79628</v>
      </c>
      <c r="AZ103" s="266" t="str">
        <f>IF([1]RENAME!$H$3=0,BD103,BC103)</f>
        <v>LI'!</v>
      </c>
      <c r="BA103" s="266" t="str">
        <f>"$"&amp;ROW(LI!$D$15)</f>
        <v>$15</v>
      </c>
      <c r="BB103" s="266" t="str">
        <f>"$"&amp;ROW(LI!$D$15)</f>
        <v>$15</v>
      </c>
      <c r="BC103" s="266" t="s">
        <v>1737</v>
      </c>
      <c r="BD103" s="266" t="s">
        <v>1736</v>
      </c>
      <c r="BN103" s="266"/>
      <c r="BO103" s="266"/>
      <c r="BP103" s="266"/>
      <c r="BQ103" s="266"/>
      <c r="BR103" s="266"/>
      <c r="BS103" s="266"/>
      <c r="BT103" s="266"/>
      <c r="BU103" s="266"/>
      <c r="BV103" s="266"/>
      <c r="BW103" s="266"/>
      <c r="BX103" s="266"/>
      <c r="BY103" s="266"/>
      <c r="BZ103" s="266"/>
      <c r="CA103" s="266"/>
      <c r="CB103" s="266"/>
      <c r="CC103" s="266"/>
      <c r="CD103" s="266"/>
      <c r="CE103" s="266"/>
      <c r="CF103" s="266"/>
      <c r="CG103" s="266"/>
      <c r="CH103" s="266"/>
      <c r="CI103" s="266"/>
      <c r="CJ103" s="266"/>
    </row>
    <row r="104" spans="1:88" s="850" customFormat="1" ht="13.5" customHeight="1" x14ac:dyDescent="0.2">
      <c r="A104" s="516" t="s">
        <v>1885</v>
      </c>
      <c r="B104" s="516" t="s">
        <v>1893</v>
      </c>
      <c r="C104" s="855"/>
      <c r="D104" s="861" t="str">
        <f>IF([1]RENAME!$H$3=1,B104,A104)</f>
        <v>% Receita líquida (sem deprec/amort e ajustado eventos ñ recorr)</v>
      </c>
      <c r="E104" s="875">
        <f t="shared" ref="E104:U104" ca="1" si="139">+E103/E100</f>
        <v>-3.3410169350108973E-2</v>
      </c>
      <c r="F104" s="875">
        <f t="shared" ca="1" si="139"/>
        <v>-9.3845362834418966E-2</v>
      </c>
      <c r="G104" s="875">
        <f t="shared" ca="1" si="139"/>
        <v>-1.0594556736891997E-2</v>
      </c>
      <c r="H104" s="875">
        <f t="shared" ca="1" si="139"/>
        <v>-7.7521330239184061E-2</v>
      </c>
      <c r="I104" s="900">
        <f t="shared" ca="1" si="139"/>
        <v>-5.6147719724263467E-2</v>
      </c>
      <c r="J104" s="875">
        <f t="shared" ca="1" si="139"/>
        <v>-1.68572524143028E-2</v>
      </c>
      <c r="K104" s="875">
        <f t="shared" ca="1" si="139"/>
        <v>-1.4865470336815099E-2</v>
      </c>
      <c r="L104" s="875">
        <f t="shared" ca="1" si="139"/>
        <v>-9.4757072925293305E-3</v>
      </c>
      <c r="M104" s="875">
        <f t="shared" ca="1" si="139"/>
        <v>-4.266530237651095E-2</v>
      </c>
      <c r="N104" s="862">
        <f t="shared" ca="1" si="139"/>
        <v>-2.1133059775933986E-2</v>
      </c>
      <c r="O104" s="875">
        <f t="shared" ca="1" si="139"/>
        <v>1.5893001046794034E-2</v>
      </c>
      <c r="P104" s="875">
        <f t="shared" ca="1" si="139"/>
        <v>1.1923837223643811E-2</v>
      </c>
      <c r="Q104" s="875">
        <f t="shared" ca="1" si="139"/>
        <v>-4.8581287521054601E-3</v>
      </c>
      <c r="R104" s="875">
        <f t="shared" ca="1" si="139"/>
        <v>-2.6909289103028651E-2</v>
      </c>
      <c r="S104" s="862">
        <f t="shared" ca="1" si="139"/>
        <v>-1.6187808111131246E-3</v>
      </c>
      <c r="T104" s="875">
        <f t="shared" ca="1" si="139"/>
        <v>-2.4384885251211652E-3</v>
      </c>
      <c r="U104" s="875">
        <f t="shared" ca="1" si="139"/>
        <v>-4.6118764086685174E-3</v>
      </c>
      <c r="V104" s="875">
        <f t="shared" ref="V104:AA104" ca="1" si="140">+V103/V100</f>
        <v>-1.274353105255142E-2</v>
      </c>
      <c r="W104" s="875">
        <f t="shared" ca="1" si="140"/>
        <v>1.2353592971328589E-2</v>
      </c>
      <c r="X104" s="862">
        <f t="shared" ca="1" si="140"/>
        <v>-2.119584713485269E-3</v>
      </c>
      <c r="Y104" s="875">
        <f t="shared" ca="1" si="140"/>
        <v>-2.3235488291474954E-3</v>
      </c>
      <c r="Z104" s="875">
        <f t="shared" ca="1" si="140"/>
        <v>-1.5871718576674142E-2</v>
      </c>
      <c r="AA104" s="875">
        <f t="shared" ca="1" si="140"/>
        <v>3.7690218700608665E-4</v>
      </c>
      <c r="AB104" s="875">
        <f t="shared" ref="AB104:AH104" ca="1" si="141">+AB103/AB100</f>
        <v>-2.3148647402444412E-2</v>
      </c>
      <c r="AC104" s="862">
        <f t="shared" ca="1" si="141"/>
        <v>-1.0069206430486125E-2</v>
      </c>
      <c r="AD104" s="875">
        <f t="shared" ca="1" si="141"/>
        <v>-5.1573958916232574E-3</v>
      </c>
      <c r="AE104" s="875">
        <f t="shared" ca="1" si="141"/>
        <v>-2.1591720970126176E-2</v>
      </c>
      <c r="AF104" s="875">
        <f t="shared" ca="1" si="141"/>
        <v>-2.6665456276203506E-4</v>
      </c>
      <c r="AG104" s="875">
        <f t="shared" ca="1" si="141"/>
        <v>-3.852131354449314E-3</v>
      </c>
      <c r="AH104" s="862">
        <f t="shared" ca="1" si="141"/>
        <v>-7.5517381531917342E-3</v>
      </c>
      <c r="AI104" s="875">
        <f t="shared" ref="AI104:AO104" ca="1" si="142">+AI103/AI100</f>
        <v>2.3593429337943356E-3</v>
      </c>
      <c r="AJ104" s="875">
        <f t="shared" ca="1" si="142"/>
        <v>-2.3503583874786294E-3</v>
      </c>
      <c r="AK104" s="875">
        <f t="shared" ca="1" si="142"/>
        <v>-1.8131449186976759E-3</v>
      </c>
      <c r="AL104" s="875">
        <f t="shared" ca="1" si="142"/>
        <v>-4.2028660538259099E-2</v>
      </c>
      <c r="AM104" s="862">
        <f t="shared" ca="1" si="142"/>
        <v>-1.1295732962515528E-2</v>
      </c>
      <c r="AN104" s="875">
        <f t="shared" ca="1" si="142"/>
        <v>-6.098192619803406E-2</v>
      </c>
      <c r="AO104" s="875">
        <f t="shared" ca="1" si="142"/>
        <v>-4.0490206764686995E-2</v>
      </c>
      <c r="AP104" s="875">
        <f t="shared" ref="AP104:AX104" ca="1" si="143">+AP103/AP100</f>
        <v>-7.7792179151096846E-2</v>
      </c>
      <c r="AQ104" s="875">
        <f t="shared" ca="1" si="143"/>
        <v>-8.3072847397405031E-2</v>
      </c>
      <c r="AR104" s="862">
        <f t="shared" ca="1" si="143"/>
        <v>-6.4954606924538194E-2</v>
      </c>
      <c r="AS104" s="875">
        <f t="shared" ca="1" si="143"/>
        <v>-6.9581082866307889E-2</v>
      </c>
      <c r="AT104" s="875">
        <f t="shared" ca="1" si="143"/>
        <v>-7.407292113110181E-2</v>
      </c>
      <c r="AU104" s="875">
        <f t="shared" ca="1" si="143"/>
        <v>-7.5220505150026637E-2</v>
      </c>
      <c r="AV104" s="875">
        <f t="shared" ca="1" si="143"/>
        <v>-9.6995080106940704E-2</v>
      </c>
      <c r="AW104" s="862">
        <f t="shared" ca="1" si="143"/>
        <v>-7.8452065020488848E-2</v>
      </c>
      <c r="AX104" s="875">
        <f t="shared" ca="1" si="143"/>
        <v>-4.3770246367708432E-2</v>
      </c>
      <c r="AY104" s="875">
        <f ca="1">+AY103/AY100</f>
        <v>-5.1892218751173044E-2</v>
      </c>
      <c r="AZ104" s="851"/>
      <c r="BA104" s="851"/>
      <c r="BB104" s="851"/>
      <c r="BC104" s="851"/>
      <c r="BD104" s="851"/>
      <c r="BE104" s="851"/>
      <c r="BF104" s="851"/>
      <c r="BG104" s="851"/>
      <c r="BH104" s="851"/>
      <c r="BK104" s="851"/>
      <c r="BL104" s="851"/>
      <c r="BM104" s="851"/>
      <c r="BN104" s="851"/>
      <c r="BO104" s="851"/>
      <c r="BP104" s="851"/>
      <c r="BQ104" s="851"/>
      <c r="BR104" s="851"/>
      <c r="BS104" s="851"/>
      <c r="BT104" s="851"/>
      <c r="BU104" s="851"/>
      <c r="BV104" s="851"/>
      <c r="BW104" s="851"/>
      <c r="BX104" s="851"/>
      <c r="BY104" s="851"/>
      <c r="BZ104" s="851"/>
      <c r="CA104" s="851"/>
      <c r="CB104" s="851"/>
      <c r="CC104" s="851"/>
      <c r="CD104" s="851"/>
      <c r="CE104" s="851"/>
      <c r="CF104" s="851"/>
      <c r="CG104" s="851"/>
      <c r="CH104" s="851"/>
      <c r="CI104" s="851"/>
      <c r="CJ104" s="851"/>
    </row>
    <row r="105" spans="1:88" ht="13.5" customHeight="1" x14ac:dyDescent="0.2">
      <c r="A105" s="1" t="s">
        <v>1879</v>
      </c>
      <c r="B105" s="516" t="s">
        <v>1880</v>
      </c>
      <c r="C105" s="24"/>
      <c r="D105" s="924" t="str">
        <f>IF([1]RENAME!$H$3=1,B105,A105)</f>
        <v>EBITDA ajustado (a-b)</v>
      </c>
      <c r="E105" s="925">
        <f ca="1">+E113-E112-E111-E110</f>
        <v>5088.9180800000113</v>
      </c>
      <c r="F105" s="925">
        <f t="shared" ref="F105:Z105" ca="1" si="144">+F113-F112-F111-F110</f>
        <v>9643.9165899999971</v>
      </c>
      <c r="G105" s="1007">
        <f t="shared" ca="1" si="144"/>
        <v>6103.3221699999922</v>
      </c>
      <c r="H105" s="1007">
        <f t="shared" ca="1" si="144"/>
        <v>2162.0341799999933</v>
      </c>
      <c r="I105" s="1008">
        <f ca="1">+SUM(E105:H105)</f>
        <v>22998.191019999991</v>
      </c>
      <c r="J105" s="925">
        <f t="shared" ca="1" si="144"/>
        <v>6840.637380000001</v>
      </c>
      <c r="K105" s="925">
        <f t="shared" ca="1" si="144"/>
        <v>6900.8666400000002</v>
      </c>
      <c r="L105" s="1007">
        <f t="shared" ca="1" si="144"/>
        <v>8387.9753299999993</v>
      </c>
      <c r="M105" s="1007">
        <f t="shared" ca="1" si="144"/>
        <v>6116.2747789860023</v>
      </c>
      <c r="N105" s="1008">
        <f ca="1">+SUM(J105:M105)</f>
        <v>28245.754128986002</v>
      </c>
      <c r="O105" s="925">
        <f t="shared" ca="1" si="144"/>
        <v>13526.770400000001</v>
      </c>
      <c r="P105" s="925">
        <f t="shared" ca="1" si="144"/>
        <v>10792.115830000002</v>
      </c>
      <c r="Q105" s="1007">
        <f t="shared" ca="1" si="144"/>
        <v>14657.471238841325</v>
      </c>
      <c r="R105" s="925">
        <f t="shared" ca="1" si="144"/>
        <v>12623.503299999997</v>
      </c>
      <c r="S105" s="1008">
        <f ca="1">+SUM(O105:R105)</f>
        <v>51599.860768841325</v>
      </c>
      <c r="T105" s="925">
        <f t="shared" ca="1" si="144"/>
        <v>14941.204700000004</v>
      </c>
      <c r="U105" s="925">
        <f t="shared" ca="1" si="144"/>
        <v>16308.140899999999</v>
      </c>
      <c r="V105" s="925">
        <f t="shared" ca="1" si="144"/>
        <v>16517.227480000005</v>
      </c>
      <c r="W105" s="1007">
        <f t="shared" ca="1" si="144"/>
        <v>15089.987720000001</v>
      </c>
      <c r="X105" s="1008">
        <f ca="1">+SUM(T105:W105)</f>
        <v>62856.560800000007</v>
      </c>
      <c r="Y105" s="925">
        <f t="shared" ca="1" si="144"/>
        <v>10070.26658</v>
      </c>
      <c r="Z105" s="1007">
        <f t="shared" ca="1" si="144"/>
        <v>11871.528069999995</v>
      </c>
      <c r="AA105" s="925">
        <f ca="1">+AA113-AA112-AA111-AA110</f>
        <v>11958.377320000003</v>
      </c>
      <c r="AB105" s="1007">
        <f ca="1">+AB113-AB112-AB111-AB110</f>
        <v>9324.9591600000094</v>
      </c>
      <c r="AC105" s="1008">
        <f ca="1">+SUM(Y105:AB105)</f>
        <v>43225.131130000009</v>
      </c>
      <c r="AD105" s="925">
        <f ca="1">+AD113-AD112-AD111-AD110</f>
        <v>14024.906889999991</v>
      </c>
      <c r="AE105" s="925">
        <f ca="1">+AE113-AE112-AE111-AE110</f>
        <v>11354.191860000004</v>
      </c>
      <c r="AF105" s="925">
        <f ca="1">+AF113-AF112-AF111-AF110</f>
        <v>13971.477289999993</v>
      </c>
      <c r="AG105" s="925">
        <f ca="1">+AG113-AG112-AG111-AG110</f>
        <v>11265.87644</v>
      </c>
      <c r="AH105" s="1109">
        <f ca="1">+SUM(AD105:AG105)</f>
        <v>50616.452479999993</v>
      </c>
      <c r="AI105" s="925">
        <f ca="1">+AI113-AI112-AI111-AI110</f>
        <v>11127.471440000001</v>
      </c>
      <c r="AJ105" s="925">
        <f ca="1">+AJ113-AJ112-AJ111-AJ110</f>
        <v>11565.998679999997</v>
      </c>
      <c r="AK105" s="925">
        <f ca="1">+AK113-AK112-AK111-AK110</f>
        <v>12418.770880000007</v>
      </c>
      <c r="AL105" s="925">
        <f ca="1">+AL113-AL112-AL111-AL110</f>
        <v>11736.273050000003</v>
      </c>
      <c r="AM105" s="1109">
        <f ca="1">+SUM(AI105:AL105)</f>
        <v>46848.514050000013</v>
      </c>
      <c r="AN105" s="925">
        <f ca="1">+AN113-AN112-AN111-AN110</f>
        <v>8356.5093099999958</v>
      </c>
      <c r="AO105" s="925">
        <f ca="1">+AO113-AO112-AO111-AO110</f>
        <v>10538.231340000004</v>
      </c>
      <c r="AP105" s="925">
        <f ca="1">+AP113-AP112-AP111-AP110</f>
        <v>8007.476179999996</v>
      </c>
      <c r="AQ105" s="925">
        <f ca="1">+AQ113-AQ112-AQ111-AQ110</f>
        <v>5727.3026900000013</v>
      </c>
      <c r="AR105" s="1109">
        <f ca="1">+SUM(AN105:AQ105)</f>
        <v>32629.519519999998</v>
      </c>
      <c r="AS105" s="925">
        <f ca="1">+AS113-AS112-AS111-AS110</f>
        <v>8384.3995700000069</v>
      </c>
      <c r="AT105" s="925">
        <f ca="1">+AT113-AT112-AT111-AT110</f>
        <v>8359.6708699999945</v>
      </c>
      <c r="AU105" s="925">
        <f ca="1">+AU113-AU112-AU111-AU110</f>
        <v>4812.1752399999932</v>
      </c>
      <c r="AV105" s="925">
        <f ca="1">+AV113-AV112-AV111-AV110</f>
        <v>3375.9691199999929</v>
      </c>
      <c r="AW105" s="1109">
        <f ca="1">+SUM(AS105:AV105)</f>
        <v>24932.214799999991</v>
      </c>
      <c r="AX105" s="925">
        <f ca="1">+AX113-AX112-AX111-AX110</f>
        <v>8673.3715499999998</v>
      </c>
      <c r="AY105" s="925">
        <f ca="1">+AY113-AY112-AY111-AY110</f>
        <v>6949.5624500000067</v>
      </c>
      <c r="BN105" s="266"/>
      <c r="BO105" s="266"/>
      <c r="BP105" s="266"/>
      <c r="BQ105" s="266"/>
      <c r="BR105" s="266"/>
      <c r="BS105" s="266"/>
      <c r="BT105" s="266"/>
      <c r="BU105" s="266"/>
      <c r="BV105" s="266"/>
      <c r="BW105" s="266"/>
      <c r="BX105" s="266"/>
      <c r="BY105" s="266"/>
      <c r="BZ105" s="266"/>
      <c r="CA105" s="266"/>
      <c r="CB105" s="266"/>
      <c r="CC105" s="266"/>
      <c r="CD105" s="266"/>
      <c r="CE105" s="266"/>
      <c r="CF105" s="266"/>
      <c r="CG105" s="266"/>
      <c r="CH105" s="266"/>
      <c r="CI105" s="266"/>
      <c r="CJ105" s="266"/>
    </row>
    <row r="106" spans="1:88" s="850" customFormat="1" ht="13.5" customHeight="1" x14ac:dyDescent="0.2">
      <c r="A106" s="850" t="s">
        <v>1729</v>
      </c>
      <c r="B106" s="516" t="s">
        <v>731</v>
      </c>
      <c r="C106" s="855"/>
      <c r="D106" s="861" t="str">
        <f>IF([1]RENAME!$H$3=1,B106,A106)</f>
        <v>Margem EBITDA Ajustado</v>
      </c>
      <c r="E106" s="860">
        <f t="shared" ref="E106:Z106" ca="1" si="145">+E105/E100</f>
        <v>0.12660341351165469</v>
      </c>
      <c r="F106" s="860">
        <f t="shared" ca="1" si="145"/>
        <v>0.19547408098998623</v>
      </c>
      <c r="G106" s="860">
        <f t="shared" ca="1" si="145"/>
        <v>0.14631557249236957</v>
      </c>
      <c r="H106" s="860">
        <f t="shared" ca="1" si="145"/>
        <v>4.8424525869227214E-2</v>
      </c>
      <c r="I106" s="859">
        <f t="shared" ca="1" si="145"/>
        <v>0.13075125571019203</v>
      </c>
      <c r="J106" s="860">
        <f t="shared" ca="1" si="145"/>
        <v>0.17269198995991439</v>
      </c>
      <c r="K106" s="860">
        <f t="shared" ca="1" si="145"/>
        <v>0.18508565650380362</v>
      </c>
      <c r="L106" s="860">
        <f t="shared" ca="1" si="145"/>
        <v>0.20774300767256845</v>
      </c>
      <c r="M106" s="860">
        <f t="shared" ca="1" si="145"/>
        <v>0.15072751964047565</v>
      </c>
      <c r="N106" s="859">
        <f t="shared" ca="1" si="145"/>
        <v>0.17893872272751901</v>
      </c>
      <c r="O106" s="860">
        <f t="shared" ca="1" si="145"/>
        <v>0.35809600218551607</v>
      </c>
      <c r="P106" s="860">
        <f t="shared" ca="1" si="145"/>
        <v>0.28791915239925175</v>
      </c>
      <c r="Q106" s="860">
        <f t="shared" ca="1" si="145"/>
        <v>0.3580965156317415</v>
      </c>
      <c r="R106" s="860">
        <f t="shared" ca="1" si="145"/>
        <v>0.30800619324007888</v>
      </c>
      <c r="S106" s="859">
        <f t="shared" ca="1" si="145"/>
        <v>0.32829875250166307</v>
      </c>
      <c r="T106" s="860">
        <f t="shared" ca="1" si="145"/>
        <v>0.3832461687164177</v>
      </c>
      <c r="U106" s="860">
        <f t="shared" ca="1" si="145"/>
        <v>0.37695485839672316</v>
      </c>
      <c r="V106" s="860">
        <f t="shared" ca="1" si="145"/>
        <v>0.3777602256438497</v>
      </c>
      <c r="W106" s="860">
        <f t="shared" ca="1" si="145"/>
        <v>0.37347459184474269</v>
      </c>
      <c r="X106" s="859">
        <f t="shared" ca="1" si="145"/>
        <v>0.37779553054995124</v>
      </c>
      <c r="Y106" s="860">
        <f t="shared" ca="1" si="145"/>
        <v>0.30435343661473013</v>
      </c>
      <c r="Z106" s="860">
        <f t="shared" ca="1" si="145"/>
        <v>0.32401054792003359</v>
      </c>
      <c r="AA106" s="860">
        <f t="shared" ref="AA106:AF106" ca="1" si="146">+AA105/AA100</f>
        <v>0.32216904991658085</v>
      </c>
      <c r="AB106" s="860">
        <f t="shared" ca="1" si="146"/>
        <v>0.28270278610909588</v>
      </c>
      <c r="AC106" s="859">
        <f t="shared" ca="1" si="146"/>
        <v>0.30912609905408689</v>
      </c>
      <c r="AD106" s="860">
        <f t="shared" ca="1" si="146"/>
        <v>0.35712625027092132</v>
      </c>
      <c r="AE106" s="860">
        <f t="shared" ca="1" si="146"/>
        <v>0.29542711454752391</v>
      </c>
      <c r="AF106" s="860">
        <f t="shared" ca="1" si="146"/>
        <v>0.32968228414838513</v>
      </c>
      <c r="AG106" s="860">
        <f t="shared" ref="AG106:AO106" ca="1" si="147">+AG105/AG100</f>
        <v>0.30458574517119896</v>
      </c>
      <c r="AH106" s="859">
        <f t="shared" ca="1" si="147"/>
        <v>0.32225235446081085</v>
      </c>
      <c r="AI106" s="860">
        <f t="shared" ca="1" si="147"/>
        <v>0.28533300430748632</v>
      </c>
      <c r="AJ106" s="860">
        <f t="shared" ca="1" si="147"/>
        <v>0.32355082451052636</v>
      </c>
      <c r="AK106" s="860">
        <f t="shared" ca="1" si="147"/>
        <v>0.30176916490244265</v>
      </c>
      <c r="AL106" s="860">
        <f t="shared" ca="1" si="147"/>
        <v>0.29028600402024946</v>
      </c>
      <c r="AM106" s="859">
        <f t="shared" ca="1" si="147"/>
        <v>0.29967988327734801</v>
      </c>
      <c r="AN106" s="860">
        <f t="shared" ca="1" si="147"/>
        <v>0.2005933713103854</v>
      </c>
      <c r="AO106" s="860">
        <f t="shared" ca="1" si="147"/>
        <v>0.2312891507278412</v>
      </c>
      <c r="AP106" s="860">
        <f t="shared" ref="AP106:AX106" ca="1" si="148">+AP105/AP100</f>
        <v>0.19146522458607676</v>
      </c>
      <c r="AQ106" s="860">
        <f t="shared" ca="1" si="148"/>
        <v>0.13960994876579089</v>
      </c>
      <c r="AR106" s="859">
        <f t="shared" ca="1" si="148"/>
        <v>0.19186199088489275</v>
      </c>
      <c r="AS106" s="860">
        <f t="shared" ca="1" si="148"/>
        <v>0.1829781172280468</v>
      </c>
      <c r="AT106" s="860">
        <f t="shared" ca="1" si="148"/>
        <v>0.18729679652550016</v>
      </c>
      <c r="AU106" s="860">
        <f t="shared" ca="1" si="148"/>
        <v>0.14003638435899363</v>
      </c>
      <c r="AV106" s="860">
        <f t="shared" ca="1" si="148"/>
        <v>8.7800288191165476E-2</v>
      </c>
      <c r="AW106" s="859">
        <f t="shared" ca="1" si="148"/>
        <v>0.15270593998813187</v>
      </c>
      <c r="AX106" s="860">
        <f t="shared" ca="1" si="148"/>
        <v>0.21063284009471506</v>
      </c>
      <c r="AY106" s="860">
        <f ca="1">+AY105/AY100</f>
        <v>0.14714736505163065</v>
      </c>
      <c r="AZ106" s="851"/>
      <c r="BA106" s="851"/>
      <c r="BB106" s="851"/>
      <c r="BC106" s="851"/>
      <c r="BD106" s="851"/>
      <c r="BE106" s="851"/>
      <c r="BF106" s="851"/>
      <c r="BG106" s="851"/>
      <c r="BH106" s="851"/>
      <c r="BK106" s="851"/>
      <c r="BL106" s="851"/>
      <c r="BM106" s="851"/>
      <c r="BN106" s="851"/>
      <c r="BO106" s="851"/>
      <c r="BP106" s="851"/>
      <c r="BQ106" s="851"/>
      <c r="BR106" s="851"/>
      <c r="BS106" s="851"/>
      <c r="BT106" s="851"/>
      <c r="BU106" s="851"/>
      <c r="BV106" s="851"/>
      <c r="BW106" s="851"/>
      <c r="BX106" s="851"/>
      <c r="BY106" s="851"/>
      <c r="BZ106" s="851"/>
      <c r="CA106" s="851"/>
      <c r="CB106" s="851"/>
      <c r="CC106" s="851"/>
      <c r="CD106" s="851"/>
      <c r="CE106" s="851"/>
      <c r="CF106" s="851"/>
      <c r="CG106" s="851"/>
      <c r="CH106" s="851"/>
      <c r="CI106" s="851"/>
      <c r="CJ106" s="851"/>
    </row>
    <row r="107" spans="1:88" ht="13.5" customHeight="1" x14ac:dyDescent="0.2">
      <c r="A107" s="1" t="s">
        <v>1728</v>
      </c>
      <c r="B107" s="1" t="s">
        <v>1727</v>
      </c>
      <c r="C107" s="899"/>
      <c r="D107" s="858" t="str">
        <f>IF([1]RENAME!$H$3=1,B107,A107)</f>
        <v>(d) Custos com aluguel (IFRS-16)</v>
      </c>
      <c r="E107" s="857">
        <v>0</v>
      </c>
      <c r="F107" s="857">
        <v>0</v>
      </c>
      <c r="G107" s="857">
        <v>0</v>
      </c>
      <c r="H107" s="857">
        <v>0</v>
      </c>
      <c r="I107" s="647" t="s">
        <v>160</v>
      </c>
      <c r="J107" s="857">
        <v>0</v>
      </c>
      <c r="K107" s="857">
        <v>0</v>
      </c>
      <c r="L107" s="857">
        <v>0</v>
      </c>
      <c r="M107" s="857">
        <v>0</v>
      </c>
      <c r="N107" s="647" t="s">
        <v>160</v>
      </c>
      <c r="O107" s="857">
        <f ca="1">+SUMIFS(INDIRECT(CONCATENATE("'",$AZ107,$BA107,":",$BB107)),INDIRECT(CONCATENATE("'",$AZ107,$BA$89,":",$BB$89)),O$35)</f>
        <v>-4719</v>
      </c>
      <c r="P107" s="857">
        <f ca="1">+SUMIFS(INDIRECT(CONCATENATE("'",$AZ107,$BA107,":",$BB107)),INDIRECT(CONCATENATE("'",$AZ107,$BA$89,":",$BB$89)),P$35)</f>
        <v>-3891</v>
      </c>
      <c r="Q107" s="857">
        <f ca="1">+SUMIFS(INDIRECT(CONCATENATE("'",$AZ107,$BA107,":",$BB107)),INDIRECT(CONCATENATE("'",$AZ107,$BA$89,":",$BB$89)),Q$35)</f>
        <v>-4334</v>
      </c>
      <c r="R107" s="857">
        <f ca="1">+SUMIFS(INDIRECT(CONCATENATE("'",$AZ107,$BA107,":",$BB107)),INDIRECT(CONCATENATE("'",$AZ107,$BA$89,":",$BB$89)),R$35)</f>
        <v>-4368.29738</v>
      </c>
      <c r="S107" s="647">
        <f ca="1">SUM(O107:R107)</f>
        <v>-17312.29738</v>
      </c>
      <c r="T107" s="857">
        <f ca="1">+SUMIFS(INDIRECT(CONCATENATE("'",$AZ107,$BA107,":",$BB107)),INDIRECT(CONCATENATE("'",$AZ107,$BA$89,":",$BB$89)),T$35)</f>
        <v>-4649.11193</v>
      </c>
      <c r="U107" s="857">
        <f ca="1">+SUMIFS(INDIRECT(CONCATENATE("'",$AZ107,$BA107,":",$BB107)),INDIRECT(CONCATENATE("'",$AZ107,$BA$89,":",$BB$89)),U$35)</f>
        <v>-4410.0316700000003</v>
      </c>
      <c r="V107" s="857">
        <f ca="1">+SUMIFS(INDIRECT(CONCATENATE("'",$AZ107,$BA107,":",$BB107)),INDIRECT(CONCATENATE("'",$AZ107,$BA$89,":",$BB$89)),V$35)</f>
        <v>-4105.63141</v>
      </c>
      <c r="W107" s="857">
        <f ca="1">+SUMIFS(INDIRECT(CONCATENATE("'",$AZ107,$BA107,":",$BB107)),INDIRECT(CONCATENATE("'",$AZ107,$BA$89,":",$BB$89)),W$35)</f>
        <v>-4024.5754499999998</v>
      </c>
      <c r="X107" s="647">
        <f ca="1">SUM(T107:W107)</f>
        <v>-17189.350459999998</v>
      </c>
      <c r="Y107" s="857">
        <f ca="1">+SUMIFS(INDIRECT(CONCATENATE("'",$AZ107,$BA107,":",$BB107)),INDIRECT(CONCATENATE("'",$AZ107,$BA$89,":",$BB$89)),Y$35)</f>
        <v>-2208.1629600000001</v>
      </c>
      <c r="Z107" s="857">
        <f ca="1">+SUMIFS(INDIRECT(CONCATENATE("'",$AZ107,$BA107,":",$BB107)),INDIRECT(CONCATENATE("'",$AZ107,$BA$89,":",$BB$89)),Z$35)</f>
        <v>-2587.8254499999998</v>
      </c>
      <c r="AA107" s="857">
        <f ca="1">+SUMIFS(INDIRECT(CONCATENATE("'",$AZ107,$BA107,":",$BB107)),INDIRECT(CONCATENATE("'",$AZ107,$BA$89,":",$BB$89)),AA$35)</f>
        <v>-2588.4667799999984</v>
      </c>
      <c r="AB107" s="857">
        <f ca="1">+SUMIFS(INDIRECT(CONCATENATE("'",$AZ107,$BA107,":",$BB107)),INDIRECT(CONCATENATE("'",$AZ107,$BA$89,":",$BB$89)),AB$35)</f>
        <v>-2576.5198399999999</v>
      </c>
      <c r="AC107" s="647">
        <f ca="1">SUM(Y107:AB107)</f>
        <v>-9960.9750299999978</v>
      </c>
      <c r="AD107" s="857">
        <f ca="1">+SUMIFS(INDIRECT(CONCATENATE("'",$AZ107,$BA107,":",$BB107)),INDIRECT(CONCATENATE("'",$AZ107,$BA$89,":",$BB$89)),AD$35)</f>
        <v>-2932.1561299999998</v>
      </c>
      <c r="AE107" s="857">
        <f ca="1">+SUMIFS(INDIRECT(CONCATENATE("'",$AZ107,$BA107,":",$BB107)),INDIRECT(CONCATENATE("'",$AZ107,$BA$89,":",$BB$89)),AE$35)</f>
        <v>-2939.8680899999995</v>
      </c>
      <c r="AF107" s="857">
        <f ca="1">+SUMIFS(INDIRECT(CONCATENATE("'",$AZ107,$BA107,":",$BB107)),INDIRECT(CONCATENATE("'",$AZ107,$BA$89,":",$BB$89)),AF$35)</f>
        <v>-2957.4588600000002</v>
      </c>
      <c r="AG107" s="857">
        <f ca="1">+SUMIFS(INDIRECT(CONCATENATE("'",$AZ107,$BA107,":",$BB107)),INDIRECT(CONCATENATE("'",$AZ107,$BA$89,":",$BB$89)),AG$35)</f>
        <v>-2981.36715</v>
      </c>
      <c r="AH107" s="647">
        <f ca="1">SUM(AD107:AG107)</f>
        <v>-11810.85023</v>
      </c>
      <c r="AI107" s="857">
        <f ca="1">+SUMIFS(INDIRECT(CONCATENATE("'",$AZ107,$BA107,":",$BB107)),INDIRECT(CONCATENATE("'",$AZ107,$BA$89,":",$BB$89)),AI$35)</f>
        <v>-2965.89284</v>
      </c>
      <c r="AJ107" s="857">
        <f ca="1">+SUMIFS(INDIRECT(CONCATENATE("'",$AZ107,$BA107,":",$BB107)),INDIRECT(CONCATENATE("'",$AZ107,$BA$89,":",$BB$89)),AJ$35)</f>
        <v>-2687.7272699999999</v>
      </c>
      <c r="AK107" s="857">
        <f ca="1">+SUMIFS(INDIRECT(CONCATENATE("'",$AZ107,$BA107,":",$BB107)),INDIRECT(CONCATENATE("'",$AZ107,$BA$89,":",$BB$89)),AK$35)</f>
        <v>-2919.9746599999999</v>
      </c>
      <c r="AL107" s="857">
        <f ca="1">+SUMIFS(INDIRECT(CONCATENATE("'",$AZ107,$BA107,":",$BB107)),INDIRECT(CONCATENATE("'",$AZ107,$BA$89,":",$BB$89)),AL$35)</f>
        <v>-2809.4375100000002</v>
      </c>
      <c r="AM107" s="647">
        <f ca="1">SUM(AI107:AL107)</f>
        <v>-11383.032279999999</v>
      </c>
      <c r="AN107" s="857">
        <f ca="1">+SUMIFS(INDIRECT(CONCATENATE("'",$AZ107,$BA107,":",$BB107)),INDIRECT(CONCATENATE("'",$AZ107,$BA$89,":",$BB$89)),AN$35)</f>
        <v>-2823.2623800000001</v>
      </c>
      <c r="AO107" s="857">
        <f ca="1">+SUMIFS(INDIRECT(CONCATENATE("'",$AZ107,$BA107,":",$BB107)),INDIRECT(CONCATENATE("'",$AZ107,$BA$89,":",$BB$89)),AO$35)</f>
        <v>-2831.43163</v>
      </c>
      <c r="AP107" s="857">
        <f ca="1">+SUMIFS(INDIRECT(CONCATENATE("'",$AZ107,$BA107,":",$BB107)),INDIRECT(CONCATENATE("'",$AZ107,$BA$89,":",$BB$89)),AP$35)</f>
        <v>-2885.5690199999999</v>
      </c>
      <c r="AQ107" s="857">
        <f ca="1">+SUMIFS(INDIRECT(CONCATENATE("'",$AZ107,$BA107,":",$BB107)),INDIRECT(CONCATENATE("'",$AZ107,$BA$89,":",$BB$89)),AQ$35)</f>
        <v>-2612.3018499999998</v>
      </c>
      <c r="AR107" s="647">
        <f ca="1">SUM(AN107:AQ107)</f>
        <v>-11152.56488</v>
      </c>
      <c r="AS107" s="857">
        <f ca="1">+SUMIFS(INDIRECT(CONCATENATE("'",$AZ107,$BA107,":",$BB107)),INDIRECT(CONCATENATE("'",$AZ107,$BA$89,":",$BB$89)),AS$35)</f>
        <v>-3474.6312899999998</v>
      </c>
      <c r="AT107" s="857">
        <f ca="1">+SUMIFS(INDIRECT(CONCATENATE("'",$AZ107,$BA107,":",$BB107)),INDIRECT(CONCATENATE("'",$AZ107,$BA$89,":",$BB$89)),AT$35)</f>
        <v>-3523.0232900000001</v>
      </c>
      <c r="AU107" s="857">
        <f ca="1">+SUMIFS(INDIRECT(CONCATENATE("'",$AZ107,$BA107,":",$BB107)),INDIRECT(CONCATENATE("'",$AZ107,$BA$89,":",$BB$89)),AU$35)</f>
        <v>-3551.6418600000002</v>
      </c>
      <c r="AV107" s="857">
        <f ca="1">+SUMIFS(INDIRECT(CONCATENATE("'",$AZ107,$BA107,":",$BB107)),INDIRECT(CONCATENATE("'",$AZ107,$BA$89,":",$BB$89)),AV$35)</f>
        <v>-3579.5062800000001</v>
      </c>
      <c r="AW107" s="647">
        <f ca="1">SUM(AS107:AV107)</f>
        <v>-14128.80272</v>
      </c>
      <c r="AX107" s="857">
        <f ca="1">+SUMIFS(INDIRECT(CONCATENATE("'",$AZ107,$BA107,":",$BB107)),INDIRECT(CONCATENATE("'",$AZ107,$BA$89,":",$BB$89)),AX$35)</f>
        <v>-3404.48135</v>
      </c>
      <c r="AY107" s="857">
        <f ca="1">+SUMIFS(INDIRECT(CONCATENATE("'",$AZ107,$BA107,":",$BB107)),INDIRECT(CONCATENATE("'",$AZ107,$BA$89,":",$BB$89)),AY$35)</f>
        <v>-3392.7977099999998</v>
      </c>
      <c r="AZ107" s="266" t="str">
        <f>IF([1]RENAME!$H$3=0,BD107,BC107)</f>
        <v>Anexos'!</v>
      </c>
      <c r="BA107" s="266" t="str">
        <f>"$"&amp;ROW(Anexos!$D$13)</f>
        <v>$13</v>
      </c>
      <c r="BB107" s="266" t="str">
        <f>"$"&amp;ROW(Anexos!$D$13)</f>
        <v>$13</v>
      </c>
      <c r="BC107" s="266" t="s">
        <v>1726</v>
      </c>
      <c r="BD107" s="266" t="s">
        <v>1725</v>
      </c>
      <c r="BN107" s="266"/>
      <c r="BO107" s="266"/>
      <c r="BP107" s="266"/>
      <c r="BQ107" s="266"/>
      <c r="BR107" s="266"/>
      <c r="BS107" s="266"/>
      <c r="BT107" s="266"/>
      <c r="BU107" s="266"/>
      <c r="BV107" s="266"/>
      <c r="BW107" s="266"/>
      <c r="BX107" s="266"/>
      <c r="BY107" s="266"/>
      <c r="BZ107" s="266"/>
      <c r="CA107" s="266"/>
      <c r="CB107" s="266"/>
      <c r="CC107" s="266"/>
      <c r="CD107" s="266"/>
      <c r="CE107" s="266"/>
      <c r="CF107" s="266"/>
      <c r="CG107" s="266"/>
      <c r="CH107" s="266"/>
      <c r="CI107" s="266"/>
      <c r="CJ107" s="266"/>
    </row>
    <row r="108" spans="1:88" ht="13.5" customHeight="1" x14ac:dyDescent="0.2">
      <c r="A108" s="1" t="s">
        <v>1878</v>
      </c>
      <c r="B108" s="516" t="s">
        <v>1877</v>
      </c>
      <c r="C108" s="24"/>
      <c r="D108" s="866" t="str">
        <f>IF([1]RENAME!$H$3=1,B108,A108)</f>
        <v>EBITDA ajustado ex-IFRS-16 (a-b-c)</v>
      </c>
      <c r="E108" s="865">
        <f ca="1">+E113-E111-E112+E107-E110</f>
        <v>5088.9180800000113</v>
      </c>
      <c r="F108" s="865">
        <f ca="1">+F113-F111-F112+F107-F110</f>
        <v>9643.9165899999971</v>
      </c>
      <c r="G108" s="1004">
        <f ca="1">+G113-G111-G112+G107-G110</f>
        <v>6103.3221699999922</v>
      </c>
      <c r="H108" s="1004">
        <f ca="1">+H113-H111-H112+H107-H110</f>
        <v>2162.0341799999933</v>
      </c>
      <c r="I108" s="1005">
        <f ca="1">SUM(E108:H108)</f>
        <v>22998.191019999991</v>
      </c>
      <c r="J108" s="865">
        <f ca="1">+J113-J111-J112+J107-J110</f>
        <v>6840.637380000001</v>
      </c>
      <c r="K108" s="865">
        <f ca="1">+K113-K111-K112+K107-K110</f>
        <v>6900.8666400000002</v>
      </c>
      <c r="L108" s="1004">
        <f ca="1">+L113-L111-L112+L107-L110</f>
        <v>8387.9753299999993</v>
      </c>
      <c r="M108" s="1004">
        <f ca="1">+M113-M111-M112+M107-M110</f>
        <v>6116.2747789860023</v>
      </c>
      <c r="N108" s="1005">
        <f ca="1">SUM(J108:M108)</f>
        <v>28245.754128986002</v>
      </c>
      <c r="O108" s="865">
        <f ca="1">+O113-O111-O112+O107-O110</f>
        <v>8807.7704000000012</v>
      </c>
      <c r="P108" s="865">
        <f ca="1">+P113-P111-P112+P107-P110</f>
        <v>6901.1158300000025</v>
      </c>
      <c r="Q108" s="1004">
        <f ca="1">+Q113-Q111-Q112+Q107-Q110</f>
        <v>10323.471238841325</v>
      </c>
      <c r="R108" s="865">
        <f ca="1">+R113-R111-R112+R107-R110</f>
        <v>8255.2059199999985</v>
      </c>
      <c r="S108" s="1005">
        <f ca="1">SUM(O108:R108)</f>
        <v>34287.563388841329</v>
      </c>
      <c r="T108" s="865">
        <f ca="1">+T113-T111-T112+T107-T110</f>
        <v>10292.092770000003</v>
      </c>
      <c r="U108" s="865">
        <f ca="1">+U113-U111-U112+U107-U110</f>
        <v>11898.109229999998</v>
      </c>
      <c r="V108" s="865">
        <f ca="1">+V113-V111-V112+V107-V110</f>
        <v>12411.596070000005</v>
      </c>
      <c r="W108" s="1004">
        <f ca="1">+W113-W111-W112+W107-W110</f>
        <v>11065.412270000001</v>
      </c>
      <c r="X108" s="1005">
        <f ca="1">SUM(T108:W108)</f>
        <v>45667.210340000005</v>
      </c>
      <c r="Y108" s="865">
        <f ca="1">+Y113-Y111-Y112+Y107-Y110</f>
        <v>7862.1036199999999</v>
      </c>
      <c r="Z108" s="1004">
        <f ca="1">+Z113-Z111-Z112+Z107-Z110</f>
        <v>9283.7026199999946</v>
      </c>
      <c r="AA108" s="865">
        <f ca="1">+AA113-AA111-AA112+AA107-AA110</f>
        <v>9369.9105400000062</v>
      </c>
      <c r="AB108" s="1004">
        <f ca="1">+AB113-AB111-AB112+AB107-AB110</f>
        <v>6748.4393200000086</v>
      </c>
      <c r="AC108" s="1005">
        <f ca="1">SUM(Y108:AB108)</f>
        <v>33264.156100000007</v>
      </c>
      <c r="AD108" s="865">
        <f ca="1">+AD113-AD111-AD112+AD107-AD110</f>
        <v>11092.750759999994</v>
      </c>
      <c r="AE108" s="865">
        <f ca="1">+AE113-AE111-AE112+AE107-AE110</f>
        <v>8414.3237700000027</v>
      </c>
      <c r="AF108" s="865">
        <f ca="1">+AF113-AF111-AF112+AF107-AF110</f>
        <v>11014.018429999993</v>
      </c>
      <c r="AG108" s="865">
        <f ca="1">+AG113-AG111-AG112+AG107-AG110</f>
        <v>8284.50929</v>
      </c>
      <c r="AH108" s="864">
        <f ca="1">SUM(AD108:AG108)</f>
        <v>38805.602249999989</v>
      </c>
      <c r="AI108" s="865">
        <f ca="1">+AI113-AI111-AI112+AI107-AI110</f>
        <v>8161.5786000000007</v>
      </c>
      <c r="AJ108" s="865">
        <f ca="1">+AJ113-AJ111-AJ112+AJ107-AJ110</f>
        <v>8878.2714099999976</v>
      </c>
      <c r="AK108" s="865">
        <f ca="1">+AK113-AK111-AK112+AK107-AK110</f>
        <v>9498.7962200000075</v>
      </c>
      <c r="AL108" s="865">
        <f ca="1">+AL113-AL111-AL112+AL107-AL110</f>
        <v>8926.8355400000037</v>
      </c>
      <c r="AM108" s="864">
        <f ca="1">SUM(AI108:AL108)</f>
        <v>35465.481770000013</v>
      </c>
      <c r="AN108" s="865">
        <f ca="1">+AN113-AN111-AN112+AN107-AN110</f>
        <v>5533.2469299999957</v>
      </c>
      <c r="AO108" s="865">
        <f ca="1">+AO113-AO111-AO112+AO107-AO110</f>
        <v>7706.7997100000039</v>
      </c>
      <c r="AP108" s="865">
        <f ca="1">+AP113-AP111-AP112+AP107-AP110</f>
        <v>5121.9071599999961</v>
      </c>
      <c r="AQ108" s="865">
        <f ca="1">+AQ113-AQ111-AQ112+AQ107-AQ110</f>
        <v>3115.0008400000015</v>
      </c>
      <c r="AR108" s="864">
        <f ca="1">SUM(AN108:AQ108)</f>
        <v>21476.954639999996</v>
      </c>
      <c r="AS108" s="865">
        <f ca="1">+AS113-AS111-AS112+AS107-AS110</f>
        <v>4909.7682800000075</v>
      </c>
      <c r="AT108" s="865">
        <f ca="1">+AT113-AT111-AT112+AT107-AT110</f>
        <v>4836.6475799999944</v>
      </c>
      <c r="AU108" s="865">
        <f ca="1">+AU113-AU111-AU112+AU107-AU110</f>
        <v>1260.533379999993</v>
      </c>
      <c r="AV108" s="865">
        <f ca="1">+AV113-AV111-AV112+AV107-AV110</f>
        <v>-203.53716000000713</v>
      </c>
      <c r="AW108" s="864">
        <f ca="1">SUM(AS108:AV108)</f>
        <v>10803.412079999987</v>
      </c>
      <c r="AX108" s="865">
        <f ca="1">+AX113-AX111-AX112+AX107-AX110</f>
        <v>5268.8901999999998</v>
      </c>
      <c r="AY108" s="865">
        <f ca="1">+AY113-AY111-AY112+AY107-AY110</f>
        <v>3556.7647400000069</v>
      </c>
      <c r="BN108" s="266"/>
      <c r="BO108" s="266"/>
      <c r="BP108" s="266"/>
      <c r="BQ108" s="266"/>
      <c r="BR108" s="266"/>
      <c r="BS108" s="266"/>
      <c r="BT108" s="266"/>
      <c r="BU108" s="266"/>
      <c r="BV108" s="266"/>
      <c r="BW108" s="266"/>
      <c r="BX108" s="266"/>
      <c r="BY108" s="266"/>
      <c r="BZ108" s="266"/>
      <c r="CA108" s="266"/>
      <c r="CB108" s="266"/>
      <c r="CC108" s="266"/>
      <c r="CD108" s="266"/>
      <c r="CE108" s="266"/>
      <c r="CF108" s="266"/>
      <c r="CG108" s="266"/>
      <c r="CH108" s="266"/>
      <c r="CI108" s="266"/>
      <c r="CJ108" s="266"/>
    </row>
    <row r="109" spans="1:88" s="850" customFormat="1" ht="13.5" customHeight="1" x14ac:dyDescent="0.2">
      <c r="A109" s="850" t="s">
        <v>1722</v>
      </c>
      <c r="B109" s="516" t="s">
        <v>1721</v>
      </c>
      <c r="C109" s="855"/>
      <c r="D109" s="854" t="str">
        <f>IF([1]RENAME!$H$3=1,B109,A109)</f>
        <v>Margem EBITDA Ajustado ex-IFRS-16</v>
      </c>
      <c r="E109" s="853">
        <f t="shared" ref="E109:Z109" ca="1" si="149">+E108/E100</f>
        <v>0.12660341351165469</v>
      </c>
      <c r="F109" s="853">
        <f t="shared" ca="1" si="149"/>
        <v>0.19547408098998623</v>
      </c>
      <c r="G109" s="853">
        <f t="shared" ca="1" si="149"/>
        <v>0.14631557249236957</v>
      </c>
      <c r="H109" s="853">
        <f t="shared" ca="1" si="149"/>
        <v>4.8424525869227214E-2</v>
      </c>
      <c r="I109" s="852">
        <f t="shared" ca="1" si="149"/>
        <v>0.13075125571019203</v>
      </c>
      <c r="J109" s="853">
        <f t="shared" ca="1" si="149"/>
        <v>0.17269198995991439</v>
      </c>
      <c r="K109" s="853">
        <f t="shared" ca="1" si="149"/>
        <v>0.18508565650380362</v>
      </c>
      <c r="L109" s="853">
        <f t="shared" ca="1" si="149"/>
        <v>0.20774300767256845</v>
      </c>
      <c r="M109" s="853">
        <f t="shared" ca="1" si="149"/>
        <v>0.15072751964047565</v>
      </c>
      <c r="N109" s="852">
        <f t="shared" ca="1" si="149"/>
        <v>0.17893872272751901</v>
      </c>
      <c r="O109" s="853">
        <f t="shared" ca="1" si="149"/>
        <v>0.23316928395620021</v>
      </c>
      <c r="P109" s="853">
        <f t="shared" ca="1" si="149"/>
        <v>0.18411249950257985</v>
      </c>
      <c r="Q109" s="853">
        <f t="shared" ca="1" si="149"/>
        <v>0.25221261018457974</v>
      </c>
      <c r="R109" s="853">
        <f t="shared" ca="1" si="149"/>
        <v>0.20142225889323159</v>
      </c>
      <c r="S109" s="852">
        <f t="shared" ca="1" si="149"/>
        <v>0.21815105930819878</v>
      </c>
      <c r="T109" s="853">
        <f t="shared" ca="1" si="149"/>
        <v>0.26399511962890404</v>
      </c>
      <c r="U109" s="853">
        <f t="shared" ca="1" si="149"/>
        <v>0.27501909061770458</v>
      </c>
      <c r="V109" s="853">
        <f t="shared" ca="1" si="149"/>
        <v>0.28386164310449508</v>
      </c>
      <c r="W109" s="853">
        <f t="shared" ca="1" si="149"/>
        <v>0.27386704401718742</v>
      </c>
      <c r="X109" s="852">
        <f t="shared" ca="1" si="149"/>
        <v>0.27447998648911953</v>
      </c>
      <c r="Y109" s="853">
        <f t="shared" ca="1" si="149"/>
        <v>0.23761617795902584</v>
      </c>
      <c r="Z109" s="853">
        <f t="shared" ca="1" si="149"/>
        <v>0.25338082468374701</v>
      </c>
      <c r="AA109" s="853">
        <f t="shared" ref="AA109:AF109" ca="1" si="150">+AA108/AA100</f>
        <v>0.25243351131147934</v>
      </c>
      <c r="AB109" s="853">
        <f t="shared" ca="1" si="150"/>
        <v>0.20459098693276992</v>
      </c>
      <c r="AC109" s="852">
        <f t="shared" ca="1" si="150"/>
        <v>0.23788982345926338</v>
      </c>
      <c r="AD109" s="853">
        <f t="shared" ca="1" si="150"/>
        <v>0.28246265841046969</v>
      </c>
      <c r="AE109" s="853">
        <f t="shared" ca="1" si="150"/>
        <v>0.21893406619251396</v>
      </c>
      <c r="AF109" s="853">
        <f t="shared" ca="1" si="150"/>
        <v>0.25989569164985632</v>
      </c>
      <c r="AG109" s="853">
        <f t="shared" ref="AG109:AO109" ca="1" si="151">+AG108/AG100</f>
        <v>0.22398110337098376</v>
      </c>
      <c r="AH109" s="852">
        <f t="shared" ca="1" si="151"/>
        <v>0.24705794417879043</v>
      </c>
      <c r="AI109" s="853">
        <f t="shared" ca="1" si="151"/>
        <v>0.20928094530608726</v>
      </c>
      <c r="AJ109" s="853">
        <f t="shared" ca="1" si="151"/>
        <v>0.24836351052858094</v>
      </c>
      <c r="AK109" s="853">
        <f t="shared" ca="1" si="151"/>
        <v>0.23081541889980337</v>
      </c>
      <c r="AL109" s="853">
        <f t="shared" ca="1" si="151"/>
        <v>0.22079713094716608</v>
      </c>
      <c r="AM109" s="852">
        <f t="shared" ca="1" si="151"/>
        <v>0.2268650703812134</v>
      </c>
      <c r="AN109" s="853">
        <f t="shared" ca="1" si="151"/>
        <v>0.13282252371254041</v>
      </c>
      <c r="AO109" s="853">
        <f t="shared" ca="1" si="151"/>
        <v>0.16914595080007735</v>
      </c>
      <c r="AP109" s="853">
        <f t="shared" ref="AP109:AX109" ca="1" si="152">+AP108/AP100</f>
        <v>0.12246893810909024</v>
      </c>
      <c r="AQ109" s="853">
        <f t="shared" ca="1" si="152"/>
        <v>7.5931923143701646E-2</v>
      </c>
      <c r="AR109" s="852">
        <f t="shared" ca="1" si="152"/>
        <v>0.12628476716763296</v>
      </c>
      <c r="AS109" s="853">
        <f t="shared" ca="1" si="152"/>
        <v>0.10714901507257082</v>
      </c>
      <c r="AT109" s="853">
        <f t="shared" ca="1" si="152"/>
        <v>0.10836414635745251</v>
      </c>
      <c r="AU109" s="853">
        <f t="shared" ca="1" si="152"/>
        <v>3.6682067484105303E-2</v>
      </c>
      <c r="AV109" s="853">
        <f t="shared" ca="1" si="152"/>
        <v>-5.2934789005451626E-3</v>
      </c>
      <c r="AW109" s="852">
        <f t="shared" ca="1" si="152"/>
        <v>6.6169219621657421E-2</v>
      </c>
      <c r="AX109" s="853">
        <f t="shared" ca="1" si="152"/>
        <v>0.12795500579854799</v>
      </c>
      <c r="AY109" s="853">
        <f ca="1">+AY108/AY100</f>
        <v>7.5309569971494919E-2</v>
      </c>
      <c r="AZ109" s="851"/>
      <c r="BA109" s="851"/>
      <c r="BB109" s="851"/>
      <c r="BC109" s="851"/>
      <c r="BD109" s="851"/>
      <c r="BE109" s="851"/>
      <c r="BF109" s="851"/>
      <c r="BG109" s="851"/>
      <c r="BH109" s="851"/>
      <c r="BK109" s="851"/>
      <c r="BL109" s="851"/>
      <c r="BM109" s="851"/>
      <c r="BN109" s="851"/>
      <c r="BO109" s="851"/>
      <c r="BP109" s="851"/>
      <c r="BQ109" s="851"/>
      <c r="BR109" s="851"/>
      <c r="BS109" s="851"/>
      <c r="BT109" s="851"/>
      <c r="BU109" s="851"/>
      <c r="BV109" s="851"/>
      <c r="BW109" s="851"/>
      <c r="BX109" s="851"/>
      <c r="BY109" s="851"/>
      <c r="BZ109" s="851"/>
      <c r="CA109" s="851"/>
      <c r="CB109" s="851"/>
      <c r="CC109" s="851"/>
      <c r="CD109" s="851"/>
      <c r="CE109" s="851"/>
      <c r="CF109" s="851"/>
      <c r="CG109" s="851"/>
      <c r="CH109" s="851"/>
      <c r="CI109" s="851"/>
      <c r="CJ109" s="851"/>
    </row>
    <row r="110" spans="1:88" s="282" customFormat="1" ht="13.5" customHeight="1" x14ac:dyDescent="0.2">
      <c r="A110" s="1000" t="s">
        <v>1763</v>
      </c>
      <c r="B110" s="1000" t="s">
        <v>1762</v>
      </c>
      <c r="C110" s="918"/>
      <c r="D110" s="917" t="str">
        <f>IF([1]RENAME!$H$3=1,B110,A110)</f>
        <v>Não recorrentes</v>
      </c>
      <c r="E110" s="1001">
        <v>0</v>
      </c>
      <c r="F110" s="1001"/>
      <c r="G110" s="1001">
        <v>-5733</v>
      </c>
      <c r="H110" s="1001">
        <f>5147.63034-5731</f>
        <v>-583.36966000000029</v>
      </c>
      <c r="I110" s="1002">
        <f>+SUM(E110:H110)</f>
        <v>-6316.3696600000003</v>
      </c>
      <c r="J110" s="1001">
        <v>0</v>
      </c>
      <c r="K110" s="1001">
        <v>0</v>
      </c>
      <c r="L110" s="1001">
        <v>-5251.7599300000002</v>
      </c>
      <c r="M110" s="1001">
        <f>-2859.05403+372.347081014</f>
        <v>-2486.7069489859996</v>
      </c>
      <c r="N110" s="1002">
        <f>+SUM(J110:M110)</f>
        <v>-7738.4668789859998</v>
      </c>
      <c r="O110" s="1001">
        <v>0</v>
      </c>
      <c r="P110" s="1001">
        <v>0</v>
      </c>
      <c r="Q110" s="1001">
        <f>-193.292048841321+1794.21006</f>
        <v>1600.9180111586791</v>
      </c>
      <c r="R110" s="1001">
        <v>0</v>
      </c>
      <c r="S110" s="1002">
        <f>+SUM(O110:R110)</f>
        <v>1600.9180111586791</v>
      </c>
      <c r="T110" s="1001"/>
      <c r="U110" s="1001">
        <v>0</v>
      </c>
      <c r="V110" s="1001">
        <v>0</v>
      </c>
      <c r="W110" s="1001">
        <f>-2875-2345</f>
        <v>-5220</v>
      </c>
      <c r="X110" s="1002">
        <f>+SUM(T110:W110)</f>
        <v>-5220</v>
      </c>
      <c r="Y110" s="1001">
        <v>0</v>
      </c>
      <c r="Z110" s="1001">
        <v>5732.7137899999998</v>
      </c>
      <c r="AA110" s="1003">
        <v>0</v>
      </c>
      <c r="AB110" s="1001">
        <v>2591</v>
      </c>
      <c r="AC110" s="1002">
        <f>+SUM(Y110:AB110)</f>
        <v>8323.7137899999998</v>
      </c>
      <c r="AD110" s="1001">
        <v>0</v>
      </c>
      <c r="AE110" s="1001">
        <v>0</v>
      </c>
      <c r="AF110" s="1001">
        <v>0</v>
      </c>
      <c r="AG110" s="1003">
        <v>0</v>
      </c>
      <c r="AH110" s="1002">
        <f>+SUM(AD110:AG110)</f>
        <v>0</v>
      </c>
      <c r="AI110" s="1003">
        <v>0</v>
      </c>
      <c r="AJ110" s="1003">
        <v>0</v>
      </c>
      <c r="AK110" s="1003">
        <v>0</v>
      </c>
      <c r="AL110" s="1003">
        <v>0</v>
      </c>
      <c r="AM110" s="1002">
        <f>+SUM(AI110:AL110)</f>
        <v>0</v>
      </c>
      <c r="AN110" s="1003">
        <v>0</v>
      </c>
      <c r="AO110" s="1003">
        <v>0</v>
      </c>
      <c r="AP110" s="1003">
        <v>0</v>
      </c>
      <c r="AQ110" s="1003">
        <v>0</v>
      </c>
      <c r="AR110" s="1002">
        <f>+SUM(AN110:AQ110)</f>
        <v>0</v>
      </c>
      <c r="AS110" s="1003">
        <v>0</v>
      </c>
      <c r="AT110" s="1003">
        <v>0</v>
      </c>
      <c r="AU110" s="1003">
        <v>0</v>
      </c>
      <c r="AV110" s="1003">
        <v>0</v>
      </c>
      <c r="AW110" s="890">
        <f>+SUM(AS110:AV110)</f>
        <v>0</v>
      </c>
      <c r="AX110" s="1003">
        <v>0</v>
      </c>
      <c r="AY110" s="1003">
        <v>0</v>
      </c>
      <c r="AZ110" s="889"/>
      <c r="BA110" s="889"/>
      <c r="BB110" s="889"/>
      <c r="BC110" s="889"/>
      <c r="BD110" s="889"/>
      <c r="BE110" s="889"/>
      <c r="BF110" s="889"/>
      <c r="BG110" s="889"/>
      <c r="BH110" s="889"/>
      <c r="BK110" s="889"/>
      <c r="BL110" s="889"/>
      <c r="BM110" s="889"/>
      <c r="BN110" s="889"/>
      <c r="BO110" s="889"/>
      <c r="BP110" s="889"/>
      <c r="BQ110" s="889"/>
      <c r="BR110" s="889"/>
      <c r="BS110" s="889"/>
      <c r="BT110" s="889"/>
      <c r="BU110" s="889"/>
      <c r="BV110" s="889"/>
      <c r="BW110" s="889"/>
      <c r="BX110" s="889"/>
      <c r="BY110" s="889"/>
      <c r="BZ110" s="889"/>
      <c r="CA110" s="889"/>
      <c r="CB110" s="889"/>
      <c r="CC110" s="889"/>
      <c r="CD110" s="889"/>
      <c r="CE110" s="889"/>
      <c r="CF110" s="889"/>
      <c r="CG110" s="889"/>
      <c r="CH110" s="889"/>
      <c r="CI110" s="889"/>
      <c r="CJ110" s="889"/>
    </row>
    <row r="111" spans="1:88" ht="13.5" customHeight="1" x14ac:dyDescent="0.2">
      <c r="A111" s="1" t="s">
        <v>1739</v>
      </c>
      <c r="B111" s="516" t="s">
        <v>1738</v>
      </c>
      <c r="C111" s="899"/>
      <c r="D111" s="858" t="str">
        <f>IF([1]RENAME!$H$3=1,B111,A111)</f>
        <v>(b) Depreciação</v>
      </c>
      <c r="E111" s="857">
        <f ca="1">+SUMIFS(INDIRECT(CONCATENATE("'",$AZ111,$BA111,":",$BB111)),INDIRECT(CONCATENATE("'",$AZ111,$BA$92,":",$BB$92)),E$92)</f>
        <v>-3275.6654100000001</v>
      </c>
      <c r="F111" s="857">
        <f ca="1">+SUMIFS(INDIRECT(CONCATENATE("'",$AZ111,$BA111,":",$BB111)),INDIRECT(CONCATENATE("'",$AZ111,$BA$92,":",$BB$92)),F$92)</f>
        <v>-3339.7341299999998</v>
      </c>
      <c r="G111" s="857">
        <f ca="1">+SUMIFS(INDIRECT(CONCATENATE("'",$AZ111,$BA111,":",$BB111)),INDIRECT(CONCATENATE("'",$AZ111,$BA$92,":",$BB$92)),G$92)</f>
        <v>-3481.3923999999997</v>
      </c>
      <c r="H111" s="857">
        <f ca="1">+SUMIFS(INDIRECT(CONCATENATE("'",$AZ111,$BA111,":",$BB111)),INDIRECT(CONCATENATE("'",$AZ111,$BA$92,":",$BB$92)),H$92)</f>
        <v>-3632.3136199999999</v>
      </c>
      <c r="I111" s="647">
        <f ca="1">SUM(E111:H111)</f>
        <v>-13729.10556</v>
      </c>
      <c r="J111" s="857">
        <f ca="1">+SUMIFS(INDIRECT(CONCATENATE("'",$AZ111,$BA111,":",$BB111)),INDIRECT(CONCATENATE("'",$AZ111,$BA$92,":",$BB$92)),J$92)</f>
        <v>-3098.15454</v>
      </c>
      <c r="K111" s="857">
        <f ca="1">+SUMIFS(INDIRECT(CONCATENATE("'",$AZ111,$BA111,":",$BB111)),INDIRECT(CONCATENATE("'",$AZ111,$BA$92,":",$BB$92)),K$92)</f>
        <v>-2719.4558000000002</v>
      </c>
      <c r="L111" s="857">
        <f ca="1">+SUMIFS(INDIRECT(CONCATENATE("'",$AZ111,$BA111,":",$BB111)),INDIRECT(CONCATENATE("'",$AZ111,$BA$92,":",$BB$92)),L$92)</f>
        <v>-2774.3335099999999</v>
      </c>
      <c r="M111" s="857">
        <f ca="1">+SUMIFS(INDIRECT(CONCATENATE("'",$AZ111,$BA111,":",$BB111)),INDIRECT(CONCATENATE("'",$AZ111,$BA$92,":",$BB$92)),M$92)</f>
        <v>-2686.27648</v>
      </c>
      <c r="N111" s="647">
        <f ca="1">+SUM(J111:M111)</f>
        <v>-11278.22033</v>
      </c>
      <c r="O111" s="857">
        <f ca="1">+SUMIFS(INDIRECT(CONCATENATE("'",$AZ$93,$BA111,":",$BB111)),INDIRECT(CONCATENATE("'",$AZ111,$BA$92,":",$BB$92)),O$92)-O112</f>
        <v>-2511.038230000001</v>
      </c>
      <c r="P111" s="857">
        <f ca="1">+SUMIFS(INDIRECT(CONCATENATE("'",$AZ$93,$BA111,":",$BB111)),INDIRECT(CONCATENATE("'",$AZ111,$BA$92,":",$BB$92)),P$92)-P112</f>
        <v>-2576.3358799999996</v>
      </c>
      <c r="Q111" s="857">
        <f ca="1">+SUMIFS(INDIRECT(CONCATENATE("'",$AZ$93,$BA111,":",$BB111)),INDIRECT(CONCATENATE("'",$AZ111,$BA$92,":",$BB$92)),Q$92)-Q112</f>
        <v>-2680.99467</v>
      </c>
      <c r="R111" s="857">
        <f ca="1">+SUMIFS(INDIRECT(CONCATENATE("'",$AZ$93,$BA111,":",$BB111)),INDIRECT(CONCATENATE("'",$AZ111,$BA$92,":",$BB$92)),R$92)-R112</f>
        <v>-2600.5471800000278</v>
      </c>
      <c r="S111" s="647">
        <f ca="1">+SUM(O111:R111)</f>
        <v>-10368.915960000028</v>
      </c>
      <c r="T111" s="857">
        <f ca="1">+SUMIFS(INDIRECT(CONCATENATE("'",$AZ$93,$BA111,":",$BB111)),INDIRECT(CONCATENATE("'",$AZ111,$BA$92,":",$BB$92)),T$92)-T112</f>
        <v>-2544.9265800000007</v>
      </c>
      <c r="U111" s="857">
        <f ca="1">+SUMIFS(INDIRECT(CONCATENATE("'",$AZ$93,$BA111,":",$BB111)),INDIRECT(CONCATENATE("'",$AZ111,$BA$92,":",$BB$92)),U$92)-U112</f>
        <v>-2420.8554599999998</v>
      </c>
      <c r="V111" s="857">
        <f ca="1">+SUMIFS(INDIRECT(CONCATENATE("'",$AZ$93,$BA111,":",$BB111)),INDIRECT(CONCATENATE("'",$AZ111,$BA$92,":",$BB$92)),V$92)-V112</f>
        <v>-2400.105170000003</v>
      </c>
      <c r="W111" s="857">
        <f ca="1">+SUMIFS(INDIRECT(CONCATENATE("'",$AZ$93,$BA111,":",$BB111)),INDIRECT(CONCATENATE("'",$AZ111,$BA$92,":",$BB$92)),W$92)-W112</f>
        <v>-2324.7594200000008</v>
      </c>
      <c r="X111" s="647">
        <f ca="1">+SUM(T111:W111)</f>
        <v>-9690.6466300000029</v>
      </c>
      <c r="Y111" s="857">
        <f ca="1">+SUMIFS(INDIRECT(CONCATENATE("'",$AZ$93,$BA111,":",$BB111)),INDIRECT(CONCATENATE("'",$AZ111,$BA$92,":",$BB$92)),Y$92)-Y112</f>
        <v>-2903.3228899999999</v>
      </c>
      <c r="Z111" s="857">
        <f ca="1">+SUMIFS(INDIRECT(CONCATENATE("'",$AZ$93,$BA111,":",$BB111)),INDIRECT(CONCATENATE("'",$AZ111,$BA$92,":",$BB$92)),Z$92)-Z112</f>
        <v>-2303.34087</v>
      </c>
      <c r="AA111" s="857">
        <f ca="1">+SUMIFS(INDIRECT(CONCATENATE("'",$AZ$93,$BA111,":",$BB111)),INDIRECT(CONCATENATE("'",$AZ111,$BA$92,":",$BB$92)),AA$92)-AA112</f>
        <v>-2306.79727</v>
      </c>
      <c r="AB111" s="857">
        <f ca="1">+SUMIFS(INDIRECT(CONCATENATE("'",$AZ$93,$BA111,":",$BB111)),INDIRECT(CONCATENATE("'",$AZ111,$BA$92,":",$BB$92)),AB$92)-AB112</f>
        <v>-2197.2099300000004</v>
      </c>
      <c r="AC111" s="647">
        <f ca="1">+SUM(Y111:AB111)</f>
        <v>-9710.6709599999995</v>
      </c>
      <c r="AD111" s="857">
        <f ca="1">+SUMIFS(INDIRECT(CONCATENATE("'",$AZ$93,$BA111,":",$BB111)),INDIRECT(CONCATENATE("'",$AZ111,$BA$92,":",$BB$92)),AD$92)-AD112</f>
        <v>-2197.8351100000009</v>
      </c>
      <c r="AE111" s="857">
        <f ca="1">+SUMIFS(INDIRECT(CONCATENATE("'",$AZ$93,$BA111,":",$BB111)),INDIRECT(CONCATENATE("'",$AZ111,$BA$92,":",$BB$92)),AE$92)-AE112</f>
        <v>-1930.6501700000008</v>
      </c>
      <c r="AF111" s="857">
        <f ca="1">+SUMIFS(INDIRECT(CONCATENATE("'",$AZ$93,$BA111,":",$BB111)),INDIRECT(CONCATENATE("'",$AZ111,$BA$92,":",$BB$92)),AF$92)-AF112</f>
        <v>-2000.7181099999998</v>
      </c>
      <c r="AG111" s="857">
        <f ca="1">+SUMIFS(INDIRECT(CONCATENATE("'",$AZ$93,$BA111,":",$BB111)),INDIRECT(CONCATENATE("'",$AZ111,$BA$92,":",$BB$92)),AG$92)-AG112</f>
        <v>-1993.4262699999999</v>
      </c>
      <c r="AH111" s="647">
        <f ca="1">+SUM(AD111:AG111)</f>
        <v>-8122.6296600000014</v>
      </c>
      <c r="AI111" s="857">
        <f ca="1">+SUMIFS(INDIRECT(CONCATENATE("'",$AZ$93,$BA111,":",$BB111)),INDIRECT(CONCATENATE("'",$AZ111,$BA$92,":",$BB$92)),AI$92)-AI112</f>
        <v>-2013.4723500000005</v>
      </c>
      <c r="AJ111" s="857">
        <f ca="1">+SUMIFS(INDIRECT(CONCATENATE("'",$AZ$93,$BA111,":",$BB111)),INDIRECT(CONCATENATE("'",$AZ111,$BA$92,":",$BB$92)),AJ$92)-AJ112</f>
        <v>-2079.9376399999992</v>
      </c>
      <c r="AK111" s="857">
        <f ca="1">+SUMIFS(INDIRECT(CONCATENATE("'",$AZ$93,$BA111,":",$BB111)),INDIRECT(CONCATENATE("'",$AZ111,$BA$92,":",$BB$92)),AK$92)-AK112</f>
        <v>-1875.6750399999992</v>
      </c>
      <c r="AL111" s="857">
        <f ca="1">+SUMIFS(INDIRECT(CONCATENATE("'",$AZ$93,$BA111,":",$BB111)),INDIRECT(CONCATENATE("'",$AZ111,$BA$92,":",$BB$92)),AL$92)-AL112</f>
        <v>-1815.5740800000003</v>
      </c>
      <c r="AM111" s="647">
        <f ca="1">+SUM(AI111:AL111)</f>
        <v>-7784.6591099999987</v>
      </c>
      <c r="AN111" s="857">
        <f ca="1">+SUMIFS(INDIRECT(CONCATENATE("'",$AZ$93,$BA111,":",$BB111)),INDIRECT(CONCATENATE("'",$AZ111,$BA$92,":",$BB$92)),AN$92)-AN112</f>
        <v>-2141.16192</v>
      </c>
      <c r="AO111" s="857">
        <f ca="1">+SUMIFS(INDIRECT(CONCATENATE("'",$AZ$93,$BA111,":",$BB111)),INDIRECT(CONCATENATE("'",$AZ111,$BA$92,":",$BB$92)),AO$92)-AO112</f>
        <v>-2229.8068200000016</v>
      </c>
      <c r="AP111" s="857">
        <f ca="1">+SUMIFS(INDIRECT(CONCATENATE("'",$AZ$93,$BA111,":",$BB111)),INDIRECT(CONCATENATE("'",$AZ111,$BA$92,":",$BB$92)),AP$92)-AP112</f>
        <v>-2275.3238800000004</v>
      </c>
      <c r="AQ111" s="857">
        <f ca="1">+SUMIFS(INDIRECT(CONCATENATE("'",$AZ$93,$BA111,":",$BB111)),INDIRECT(CONCATENATE("'",$AZ111,$BA$92,":",$BB$92)),AQ$92)-AQ112</f>
        <v>-1919.60916</v>
      </c>
      <c r="AR111" s="647">
        <f ca="1">+SUM(AN111:AQ111)</f>
        <v>-8565.901780000002</v>
      </c>
      <c r="AS111" s="857">
        <f ca="1">+SUMIFS(INDIRECT(CONCATENATE("'",$AZ$93,$BA111,":",$BB111)),INDIRECT(CONCATENATE("'",$AZ111,$BA$92,":",$BB$92)),AS$92)-AS112</f>
        <v>-1863.3321100000012</v>
      </c>
      <c r="AT111" s="857">
        <f ca="1">+SUMIFS(INDIRECT(CONCATENATE("'",$AZ$93,$BA111,":",$BB111)),INDIRECT(CONCATENATE("'",$AZ111,$BA$92,":",$BB$92)),AT$92)-AT112</f>
        <v>-1894.4477400000014</v>
      </c>
      <c r="AU111" s="857">
        <f ca="1">+SUMIFS(INDIRECT(CONCATENATE("'",$AZ$93,$BA111,":",$BB111)),INDIRECT(CONCATENATE("'",$AZ111,$BA$92,":",$BB$92)),AU$92)-AU112</f>
        <v>-1892.6771099999996</v>
      </c>
      <c r="AV111" s="857">
        <f ca="1">+SUMIFS(INDIRECT(CONCATENATE("'",$AZ$93,$BA111,":",$BB111)),INDIRECT(CONCATENATE("'",$AZ111,$BA$92,":",$BB$92)),AV$92)-AV112</f>
        <v>-1851.8862899999999</v>
      </c>
      <c r="AW111" s="647">
        <f ca="1">+SUM(AS111:AV111)</f>
        <v>-7502.3432500000017</v>
      </c>
      <c r="AX111" s="857">
        <f ca="1">+SUMIFS(INDIRECT(CONCATENATE("'",$AZ$93,$BA111,":",$BB111)),INDIRECT(CONCATENATE("'",$AZ111,$BA$92,":",$BB$92)),AX$92)-AX112</f>
        <v>-1873.9908299999997</v>
      </c>
      <c r="AY111" s="857">
        <f ca="1">+SUMIFS(INDIRECT(CONCATENATE("'",$AZ$93,$BA111,":",$BB111)),INDIRECT(CONCATENATE("'",$AZ111,$BA$92,":",$BB$92)),AY$92)-AY112</f>
        <v>-1841.1309200000005</v>
      </c>
      <c r="AZ111" s="266" t="str">
        <f>IF([1]RENAME!$H$3=0,BD111,BC111)</f>
        <v>LI'!</v>
      </c>
      <c r="BA111" s="266" t="str">
        <f>"$"&amp;ROW(LI!$D$37)</f>
        <v>$37</v>
      </c>
      <c r="BB111" s="266" t="str">
        <f>"$"&amp;ROW(LI!$D$37)</f>
        <v>$37</v>
      </c>
      <c r="BC111" s="266" t="s">
        <v>1737</v>
      </c>
      <c r="BD111" s="266" t="s">
        <v>1736</v>
      </c>
      <c r="BN111" s="266"/>
      <c r="BO111" s="266"/>
      <c r="BP111" s="266"/>
      <c r="BQ111" s="266"/>
      <c r="BR111" s="266"/>
      <c r="BS111" s="266"/>
      <c r="BT111" s="266"/>
      <c r="BU111" s="266"/>
      <c r="BV111" s="266"/>
      <c r="BW111" s="266"/>
      <c r="BX111" s="266"/>
      <c r="BY111" s="266"/>
      <c r="BZ111" s="266"/>
      <c r="CA111" s="266"/>
      <c r="CB111" s="266"/>
      <c r="CC111" s="266"/>
      <c r="CD111" s="266"/>
      <c r="CE111" s="266"/>
      <c r="CF111" s="266"/>
      <c r="CG111" s="266"/>
      <c r="CH111" s="266"/>
      <c r="CI111" s="266"/>
      <c r="CJ111" s="266"/>
    </row>
    <row r="112" spans="1:88" ht="13.5" customHeight="1" x14ac:dyDescent="0.2">
      <c r="A112" s="1" t="s">
        <v>1735</v>
      </c>
      <c r="B112" s="516" t="s">
        <v>1734</v>
      </c>
      <c r="C112" s="899"/>
      <c r="D112" s="858" t="str">
        <f>IF([1]RENAME!$H$3=1,B112,A112)</f>
        <v>(c) Amortização (IFRS-16)</v>
      </c>
      <c r="E112" s="857">
        <v>0</v>
      </c>
      <c r="F112" s="857">
        <v>0</v>
      </c>
      <c r="G112" s="857">
        <v>0</v>
      </c>
      <c r="H112" s="857">
        <v>0</v>
      </c>
      <c r="I112" s="647" t="s">
        <v>160</v>
      </c>
      <c r="J112" s="857">
        <v>0</v>
      </c>
      <c r="K112" s="857">
        <v>0</v>
      </c>
      <c r="L112" s="857">
        <v>0</v>
      </c>
      <c r="M112" s="857">
        <v>0</v>
      </c>
      <c r="N112" s="647" t="s">
        <v>160</v>
      </c>
      <c r="O112" s="857">
        <f ca="1">+SUMIFS(INDIRECT(CONCATENATE("'",$AZ$112,$BA112,":",$BB112)),INDIRECT(CONCATENATE("'",$AZ112,$BA$113,":",$BB$113)),O$92)</f>
        <v>-4441</v>
      </c>
      <c r="P112" s="857">
        <f ca="1">+SUMIFS(INDIRECT(CONCATENATE("'",$AZ$112,$BA112,":",$BB112)),INDIRECT(CONCATENATE("'",$AZ112,$BA$113,":",$BB$113)),P$92)</f>
        <v>-3463</v>
      </c>
      <c r="Q112" s="857">
        <f ca="1">+SUMIFS(INDIRECT(CONCATENATE("'",$AZ$112,$BA112,":",$BB112)),INDIRECT(CONCATENATE("'",$AZ112,$BA$113,":",$BB$113)),Q$92)</f>
        <v>-4045</v>
      </c>
      <c r="R112" s="857">
        <f ca="1">+SUMIFS(INDIRECT(CONCATENATE("'",$AZ$112,$BA112,":",$BB112)),INDIRECT(CONCATENATE("'",$AZ112,$BA$113,":",$BB$113)),R$92)</f>
        <v>-4098.6000999999724</v>
      </c>
      <c r="S112" s="647">
        <f ca="1">+SUM(O112:R112)</f>
        <v>-16047.600099999972</v>
      </c>
      <c r="T112" s="857">
        <f ca="1">+SUMIFS(INDIRECT(CONCATENATE("'",$AZ$112,$BA112,":",$BB112)),INDIRECT(CONCATENATE("'",$AZ112,$BA$113,":",$BB$113)),T$92)</f>
        <v>-3874.5827399999985</v>
      </c>
      <c r="U112" s="857">
        <f ca="1">+SUMIFS(INDIRECT(CONCATENATE("'",$AZ$112,$BA112,":",$BB112)),INDIRECT(CONCATENATE("'",$AZ112,$BA$113,":",$BB$113)),U$92)</f>
        <v>-3625.8885200000004</v>
      </c>
      <c r="V112" s="857">
        <f ca="1">+SUMIFS(INDIRECT(CONCATENATE("'",$AZ$112,$BA112,":",$BB112)),INDIRECT(CONCATENATE("'",$AZ112,$BA$113,":",$BB$113)),V$92)</f>
        <v>-3404.3640799999971</v>
      </c>
      <c r="W112" s="857">
        <f ca="1">+SUMIFS(INDIRECT(CONCATENATE("'",$AZ$112,$BA112,":",$BB112)),INDIRECT(CONCATENATE("'",$AZ112,$BA$113,":",$BB$113)),W$92)</f>
        <v>-3263.7494699999993</v>
      </c>
      <c r="X112" s="647">
        <f ca="1">+SUM(T112:W112)</f>
        <v>-14168.584809999995</v>
      </c>
      <c r="Y112" s="857">
        <f ca="1">+SUMIFS(INDIRECT(CONCATENATE("'",$AZ$112,$BA112,":",$BB112)),INDIRECT(CONCATENATE("'",$AZ112,$BA$113,":",$BB$113)),Y$92)</f>
        <v>-1832.6725199999996</v>
      </c>
      <c r="Z112" s="857">
        <f ca="1">+SUMIFS(INDIRECT(CONCATENATE("'",$AZ$112,$BA112,":",$BB112)),INDIRECT(CONCATENATE("'",$AZ112,$BA$113,":",$BB$113)),Z$92)</f>
        <v>-2154.1461500000005</v>
      </c>
      <c r="AA112" s="857">
        <f ca="1">+SUMIFS(INDIRECT(CONCATENATE("'",$AZ$112,$BA112,":",$BB112)),INDIRECT(CONCATENATE("'",$AZ112,$BA$113,":",$BB$113)),AA$92)</f>
        <v>-2149.62075</v>
      </c>
      <c r="AB112" s="857">
        <f ca="1">+SUMIFS(INDIRECT(CONCATENATE("'",$AZ$112,$BA112,":",$BB112)),INDIRECT(CONCATENATE("'",$AZ112,$BA$113,":",$BB$113)),AB$92)</f>
        <v>-2105.9890599999994</v>
      </c>
      <c r="AC112" s="647">
        <f ca="1">+SUM(Y112:AB112)</f>
        <v>-8242.4284800000005</v>
      </c>
      <c r="AD112" s="857">
        <f ca="1">+SUMIFS(INDIRECT(CONCATENATE("'",$AZ$112,$BA112,":",$BB112)),INDIRECT(CONCATENATE("'",$AZ112,$BA$113,":",$BB$113)),AD$92)</f>
        <v>-2128.59656</v>
      </c>
      <c r="AE112" s="857">
        <f ca="1">+SUMIFS(INDIRECT(CONCATENATE("'",$AZ$112,$BA112,":",$BB112)),INDIRECT(CONCATENATE("'",$AZ112,$BA$113,":",$BB$113)),AE$92)</f>
        <v>-2442.54612</v>
      </c>
      <c r="AF112" s="857">
        <f ca="1">+SUMIFS(INDIRECT(CONCATENATE("'",$AZ$112,$BA112,":",$BB112)),INDIRECT(CONCATENATE("'",$AZ112,$BA$113,":",$BB$113)),AF$92)</f>
        <v>-2467.9047399999999</v>
      </c>
      <c r="AG112" s="857">
        <f ca="1">+SUMIFS(INDIRECT(CONCATENATE("'",$AZ$112,$BA112,":",$BB112)),INDIRECT(CONCATENATE("'",$AZ112,$BA$113,":",$BB$113)),AG$92)</f>
        <v>-2486.7018399999997</v>
      </c>
      <c r="AH112" s="647">
        <f ca="1">+SUM(AD112:AG112)</f>
        <v>-9525.7492600000005</v>
      </c>
      <c r="AI112" s="857">
        <f ca="1">+SUMIFS(INDIRECT(CONCATENATE("'",$AZ$112,$BA112,":",$BB112)),INDIRECT(CONCATENATE("'",$AZ112,$BA$113,":",$BB$113)),AI$92)</f>
        <v>-2208.9716399999993</v>
      </c>
      <c r="AJ112" s="857">
        <f ca="1">+SUMIFS(INDIRECT(CONCATENATE("'",$AZ$112,$BA112,":",$BB112)),INDIRECT(CONCATENATE("'",$AZ112,$BA$113,":",$BB$113)),AJ$92)</f>
        <v>-2098.15398</v>
      </c>
      <c r="AK112" s="857">
        <f ca="1">+SUMIFS(INDIRECT(CONCATENATE("'",$AZ$112,$BA112,":",$BB112)),INDIRECT(CONCATENATE("'",$AZ112,$BA$113,":",$BB$113)),AK$92)</f>
        <v>-2411.6025400000008</v>
      </c>
      <c r="AL112" s="857">
        <f ca="1">+SUMIFS(INDIRECT(CONCATENATE("'",$AZ$112,$BA112,":",$BB112)),INDIRECT(CONCATENATE("'",$AZ112,$BA$113,":",$BB$113)),AL$92)</f>
        <v>-2392.4915899999996</v>
      </c>
      <c r="AM112" s="647">
        <f ca="1">+SUM(AI112:AL112)</f>
        <v>-9111.2197500000002</v>
      </c>
      <c r="AN112" s="857">
        <f ca="1">+SUMIFS(INDIRECT(CONCATENATE("'",$AZ$112,$BA112,":",$BB112)),INDIRECT(CONCATENATE("'",$AZ112,$BA$113,":",$BB$113)),AN$92)</f>
        <v>-2162.65724</v>
      </c>
      <c r="AO112" s="857">
        <f ca="1">+SUMIFS(INDIRECT(CONCATENATE("'",$AZ$112,$BA112,":",$BB112)),INDIRECT(CONCATENATE("'",$AZ112,$BA$113,":",$BB$113)),AO$92)</f>
        <v>-2159.1878899999992</v>
      </c>
      <c r="AP112" s="857">
        <f ca="1">+SUMIFS(INDIRECT(CONCATENATE("'",$AZ$112,$BA112,":",$BB112)),INDIRECT(CONCATENATE("'",$AZ112,$BA$113,":",$BB$113)),AP$92)</f>
        <v>-2155.9959599999997</v>
      </c>
      <c r="AQ112" s="857">
        <f ca="1">+SUMIFS(INDIRECT(CONCATENATE("'",$AZ$112,$BA112,":",$BB112)),INDIRECT(CONCATENATE("'",$AZ112,$BA$113,":",$BB$113)),AQ$92)</f>
        <v>-2127.8839999999996</v>
      </c>
      <c r="AR112" s="647">
        <f ca="1">+SUM(AN112:AQ112)</f>
        <v>-8605.7250899999999</v>
      </c>
      <c r="AS112" s="857">
        <f ca="1">+SUMIFS(INDIRECT(CONCATENATE("'",$AZ$112,$BA112,":",$BB112)),INDIRECT(CONCATENATE("'",$AZ112,$BA$113,":",$BB$113)),AS$92)</f>
        <v>-2453.6142299999983</v>
      </c>
      <c r="AT112" s="857">
        <f ca="1">+SUMIFS(INDIRECT(CONCATENATE("'",$AZ$112,$BA112,":",$BB112)),INDIRECT(CONCATENATE("'",$AZ112,$BA$113,":",$BB$113)),AT$92)</f>
        <v>-2371.6650499999996</v>
      </c>
      <c r="AU112" s="857">
        <f ca="1">+SUMIFS(INDIRECT(CONCATENATE("'",$AZ$112,$BA112,":",$BB112)),INDIRECT(CONCATENATE("'",$AZ112,$BA$113,":",$BB$113)),AU$92)</f>
        <v>-2515.5637699999997</v>
      </c>
      <c r="AV112" s="857">
        <f ca="1">+SUMIFS(INDIRECT(CONCATENATE("'",$AZ$112,$BA112,":",$BB112)),INDIRECT(CONCATENATE("'",$AZ112,$BA$113,":",$BB$113)),AV$92)</f>
        <v>-2517.5142999999994</v>
      </c>
      <c r="AW112" s="647">
        <f ca="1">+SUM(AS112:AV112)</f>
        <v>-9858.3573499999966</v>
      </c>
      <c r="AX112" s="857">
        <f ca="1">+SUMIFS(INDIRECT(CONCATENATE("'",$AZ$112,$BA112,":",$BB112)),INDIRECT(CONCATENATE("'",$AZ112,$BA$113,":",$BB$113)),AX$92)</f>
        <v>-2365.30771</v>
      </c>
      <c r="AY112" s="857">
        <f ca="1">+SUMIFS(INDIRECT(CONCATENATE("'",$AZ$112,$BA112,":",$BB112)),INDIRECT(CONCATENATE("'",$AZ112,$BA$113,":",$BB$113)),AY$92)</f>
        <v>-2324.4256800000003</v>
      </c>
      <c r="AZ112" s="266" t="str">
        <f>IF([1]RENAME!$H$3=0,BD112,BC112)</f>
        <v>Anexos'!</v>
      </c>
      <c r="BA112" s="266" t="str">
        <f>"$"&amp;ROW(Anexos!$D$14)</f>
        <v>$14</v>
      </c>
      <c r="BB112" s="266" t="str">
        <f>"$"&amp;ROW(Anexos!$D$14)</f>
        <v>$14</v>
      </c>
      <c r="BC112" s="266" t="s">
        <v>1726</v>
      </c>
      <c r="BD112" s="266" t="s">
        <v>1725</v>
      </c>
      <c r="BN112" s="266"/>
      <c r="BO112" s="266"/>
      <c r="BP112" s="266"/>
      <c r="BQ112" s="266"/>
      <c r="BR112" s="266"/>
      <c r="BS112" s="266"/>
      <c r="BT112" s="266"/>
      <c r="BU112" s="266"/>
      <c r="BV112" s="266"/>
      <c r="BW112" s="266"/>
      <c r="BX112" s="266"/>
      <c r="BY112" s="266"/>
      <c r="BZ112" s="266"/>
      <c r="CA112" s="266"/>
      <c r="CB112" s="266"/>
      <c r="CC112" s="266"/>
      <c r="CD112" s="266"/>
      <c r="CE112" s="266"/>
      <c r="CF112" s="266"/>
      <c r="CG112" s="266"/>
      <c r="CH112" s="266"/>
      <c r="CI112" s="266"/>
      <c r="CJ112" s="266"/>
    </row>
    <row r="113" spans="1:88" ht="13.5" customHeight="1" x14ac:dyDescent="0.2">
      <c r="A113" s="1" t="s">
        <v>1875</v>
      </c>
      <c r="B113" s="516" t="s">
        <v>1876</v>
      </c>
      <c r="C113" s="24"/>
      <c r="D113" s="866" t="str">
        <f>IF([1]RENAME!$H$3=1,B113,A113)</f>
        <v>(a) Lucro operacional</v>
      </c>
      <c r="E113" s="865">
        <f ca="1">+E100+E101+E103+E111+E110</f>
        <v>1813.2526700000112</v>
      </c>
      <c r="F113" s="865">
        <f ca="1">+F100+F101+F103+F111+F110</f>
        <v>6304.1824599999973</v>
      </c>
      <c r="G113" s="865">
        <f ca="1">+G100+G101+G103+G111+G110</f>
        <v>-3111.0702300000075</v>
      </c>
      <c r="H113" s="865">
        <f ca="1">+H100+H101+H103+H111+H110</f>
        <v>-2053.6491000000069</v>
      </c>
      <c r="I113" s="864">
        <f ca="1">+I100+I101+I103+I111</f>
        <v>9269.0854600000239</v>
      </c>
      <c r="J113" s="865">
        <f ca="1">+J100+J101+J103+J111+J110</f>
        <v>3742.482840000001</v>
      </c>
      <c r="K113" s="865">
        <f ca="1">+K100+K101+K103+K111+K110</f>
        <v>4181.4108400000005</v>
      </c>
      <c r="L113" s="865">
        <f ca="1">+L100+L101+L103+L111+L110</f>
        <v>361.88188999999875</v>
      </c>
      <c r="M113" s="865">
        <f ca="1">+M100+M101+M103+M111+M110</f>
        <v>943.29135000000269</v>
      </c>
      <c r="N113" s="864">
        <f ca="1">+N100+N101+N103+N111</f>
        <v>16967.533798986005</v>
      </c>
      <c r="O113" s="865">
        <f ca="1">+O100+O101+O103+O111+O112+O110</f>
        <v>6574.7321699999993</v>
      </c>
      <c r="P113" s="865">
        <f ca="1">+P100+P101+P103+P111+P112+P110</f>
        <v>4752.7799500000037</v>
      </c>
      <c r="Q113" s="865">
        <f ca="1">+Q100+Q101+Q103+Q111+Q112+Q110</f>
        <v>9532.3945800000038</v>
      </c>
      <c r="R113" s="865">
        <f ca="1">+R100+R101+R103+R111+R112+R110</f>
        <v>5924.3560199999974</v>
      </c>
      <c r="S113" s="864">
        <f ca="1">+S100+S101+S103+S111+S112</f>
        <v>25183.344708841316</v>
      </c>
      <c r="T113" s="865">
        <f ca="1">+T100+T101+T103+T111+T112+T110</f>
        <v>8521.6953800000047</v>
      </c>
      <c r="U113" s="865">
        <f ca="1">+U100+U101+U103+U111+U112+U110</f>
        <v>10261.396919999999</v>
      </c>
      <c r="V113" s="865">
        <f ca="1">+V100+V101+V103+V111+V112+V110</f>
        <v>10712.758230000005</v>
      </c>
      <c r="W113" s="865">
        <f ca="1">+W100+W101+W103+W111+W112+W110</f>
        <v>4281.4788300000018</v>
      </c>
      <c r="X113" s="864">
        <f ca="1">+X100+X101+X103+X111+X112</f>
        <v>38997.329360000018</v>
      </c>
      <c r="Y113" s="865">
        <f ca="1">+Y100+Y101+Y103+Y111+Y112+Y110</f>
        <v>5334.27117</v>
      </c>
      <c r="Z113" s="865">
        <f ca="1">+Z100+Z101+Z103+Z111+Z112+Z110</f>
        <v>13146.754839999996</v>
      </c>
      <c r="AA113" s="865">
        <f ca="1">+AA100+AA101+AA103+AA111+AA112+AA110</f>
        <v>7501.9593000000041</v>
      </c>
      <c r="AB113" s="865">
        <f ca="1">+AB100+AB101+AB103+AB111+AB112+AB110</f>
        <v>7612.7601700000087</v>
      </c>
      <c r="AC113" s="864">
        <f ca="1">+AC100+AC101+AC103+AC111+AC112</f>
        <v>25272.031690000003</v>
      </c>
      <c r="AD113" s="865">
        <f ca="1">+AD100+AD101+AD103+AD111+AD112+AD110</f>
        <v>9698.4752199999912</v>
      </c>
      <c r="AE113" s="865">
        <f ca="1">+AE100+AE101+AE103+AE111+AE112+AE110</f>
        <v>6980.9955700000037</v>
      </c>
      <c r="AF113" s="865">
        <f ca="1">+AF100+AF101+AF103+AF111+AF112+AF110</f>
        <v>9502.8544399999937</v>
      </c>
      <c r="AG113" s="865">
        <f ca="1">+AG100+AG101+AG103+AG111+AG112+AG110</f>
        <v>6785.7483300000004</v>
      </c>
      <c r="AH113" s="864">
        <f ca="1">+AH100+AH101+AH103+AH111+AH112</f>
        <v>32968.07355999999</v>
      </c>
      <c r="AI113" s="865">
        <f ca="1">+AI100+AI101+AI103+AI111+AI112+AI110</f>
        <v>6905.0274500000014</v>
      </c>
      <c r="AJ113" s="865">
        <f ca="1">+AJ100+AJ101+AJ103+AJ111+AJ112+AJ110</f>
        <v>7387.9070599999968</v>
      </c>
      <c r="AK113" s="865">
        <f ca="1">+AK100+AK101+AK103+AK111+AK112+AK110</f>
        <v>8131.4933000000083</v>
      </c>
      <c r="AL113" s="865">
        <f ca="1">+AL100+AL101+AL103+AL111+AL112+AL110</f>
        <v>7528.2073800000035</v>
      </c>
      <c r="AM113" s="864">
        <f ca="1">+AM100+AM101+AM103+AM111+AM112</f>
        <v>29952.635190000019</v>
      </c>
      <c r="AN113" s="865">
        <f ca="1">+AN100+AN101+AN103+AN111+AN112+AN110</f>
        <v>4052.6901499999954</v>
      </c>
      <c r="AO113" s="865">
        <f ca="1">+AO100+AO101+AO103+AO111+AO112+AO110</f>
        <v>6149.2366300000031</v>
      </c>
      <c r="AP113" s="865">
        <f ca="1">+AP100+AP101+AP103+AP111+AP112+AP110</f>
        <v>3576.1563399999964</v>
      </c>
      <c r="AQ113" s="865">
        <f ca="1">+AQ100+AQ101+AQ103+AQ111+AQ112+AQ110</f>
        <v>1679.8095300000018</v>
      </c>
      <c r="AR113" s="864">
        <f ca="1">+AR100+AR101+AR103+AR111+AR112</f>
        <v>15457.892650000023</v>
      </c>
      <c r="AS113" s="865">
        <f ca="1">+AS100+AS101+AS103+AS111+AS112+AS110</f>
        <v>4067.4532300000074</v>
      </c>
      <c r="AT113" s="865">
        <f ca="1">+AT100+AT101+AT103+AT111+AT112+AT110</f>
        <v>4093.5580799999934</v>
      </c>
      <c r="AU113" s="865">
        <f ca="1">+AU100+AU101+AU103+AU111+AU112+AU110</f>
        <v>403.93435999999383</v>
      </c>
      <c r="AV113" s="865">
        <f ca="1">+AV100+AV101+AV103+AV111+AV112+AV110</f>
        <v>-993.43147000000636</v>
      </c>
      <c r="AW113" s="864">
        <f ca="1">+AW100+AW101+AW103+AW111+AW112</f>
        <v>7571.5141999999778</v>
      </c>
      <c r="AX113" s="865">
        <f ca="1">+AX100+AX101+AX103+AX111+AX112+AX110</f>
        <v>4434.0730100000001</v>
      </c>
      <c r="AY113" s="865">
        <f ca="1">+AY100+AY101+AY103+AY111+AY112+AY110</f>
        <v>2784.0058500000059</v>
      </c>
      <c r="BA113" s="266" t="str">
        <f>"$"&amp;ROW(Anexos!$D$5)</f>
        <v>$5</v>
      </c>
      <c r="BB113" s="266" t="str">
        <f>"$"&amp;ROW(Anexos!$D$5)</f>
        <v>$5</v>
      </c>
      <c r="BN113" s="266"/>
      <c r="BO113" s="266"/>
      <c r="BP113" s="266"/>
      <c r="BQ113" s="266"/>
      <c r="BR113" s="266"/>
      <c r="BS113" s="266"/>
      <c r="BT113" s="266"/>
      <c r="BU113" s="266"/>
      <c r="BV113" s="266"/>
      <c r="BW113" s="266"/>
      <c r="BX113" s="266"/>
      <c r="BY113" s="266"/>
      <c r="BZ113" s="266"/>
      <c r="CA113" s="266"/>
      <c r="CB113" s="266"/>
      <c r="CC113" s="266"/>
      <c r="CD113" s="266"/>
      <c r="CE113" s="266"/>
      <c r="CF113" s="266"/>
      <c r="CG113" s="266"/>
      <c r="CH113" s="266"/>
      <c r="CI113" s="266"/>
      <c r="CJ113" s="266"/>
    </row>
    <row r="114" spans="1:88" s="850" customFormat="1" ht="13.5" customHeight="1" x14ac:dyDescent="0.2">
      <c r="A114" s="850" t="s">
        <v>1733</v>
      </c>
      <c r="B114" s="516" t="s">
        <v>1732</v>
      </c>
      <c r="C114" s="855"/>
      <c r="D114" s="854" t="str">
        <f>IF([1]RENAME!$H$3=1,B114,A114)</f>
        <v>Margem operacional</v>
      </c>
      <c r="E114" s="853">
        <f ca="1">ROUND(E113/E100,3)</f>
        <v>4.4999999999999998E-2</v>
      </c>
      <c r="F114" s="853">
        <f ca="1">ROUND(F113/F100,3)</f>
        <v>0.128</v>
      </c>
      <c r="G114" s="853">
        <f ca="1">ROUND(G113/G100,3)</f>
        <v>-7.4999999999999997E-2</v>
      </c>
      <c r="H114" s="853">
        <f ca="1">ROUND(H113/H100,3)</f>
        <v>-4.5999999999999999E-2</v>
      </c>
      <c r="I114" s="852">
        <f ca="1">ROUND(I113/I97,3)</f>
        <v>4.5999999999999999E-2</v>
      </c>
      <c r="J114" s="853">
        <f t="shared" ref="J114:Z114" ca="1" si="153">ROUND(J113/J100,3)</f>
        <v>9.4E-2</v>
      </c>
      <c r="K114" s="853">
        <f t="shared" ca="1" si="153"/>
        <v>0.112</v>
      </c>
      <c r="L114" s="853">
        <f t="shared" ca="1" si="153"/>
        <v>8.9999999999999993E-3</v>
      </c>
      <c r="M114" s="853">
        <f t="shared" ca="1" si="153"/>
        <v>2.3E-2</v>
      </c>
      <c r="N114" s="852">
        <f t="shared" ca="1" si="153"/>
        <v>0.107</v>
      </c>
      <c r="O114" s="853">
        <f t="shared" ca="1" si="153"/>
        <v>0.17399999999999999</v>
      </c>
      <c r="P114" s="853">
        <f t="shared" ca="1" si="153"/>
        <v>0.127</v>
      </c>
      <c r="Q114" s="853">
        <f t="shared" ca="1" si="153"/>
        <v>0.23300000000000001</v>
      </c>
      <c r="R114" s="853">
        <f t="shared" ca="1" si="153"/>
        <v>0.14499999999999999</v>
      </c>
      <c r="S114" s="852">
        <f t="shared" ca="1" si="153"/>
        <v>0.16</v>
      </c>
      <c r="T114" s="853">
        <f t="shared" ca="1" si="153"/>
        <v>0.219</v>
      </c>
      <c r="U114" s="853">
        <f t="shared" ca="1" si="153"/>
        <v>0.23699999999999999</v>
      </c>
      <c r="V114" s="853">
        <f t="shared" ca="1" si="153"/>
        <v>0.245</v>
      </c>
      <c r="W114" s="853">
        <f t="shared" ca="1" si="153"/>
        <v>0.106</v>
      </c>
      <c r="X114" s="852">
        <f t="shared" ca="1" si="153"/>
        <v>0.23400000000000001</v>
      </c>
      <c r="Y114" s="853">
        <f t="shared" ca="1" si="153"/>
        <v>0.161</v>
      </c>
      <c r="Z114" s="853">
        <f t="shared" ca="1" si="153"/>
        <v>0.35899999999999999</v>
      </c>
      <c r="AA114" s="853">
        <f t="shared" ref="AA114:AF114" ca="1" si="154">ROUND(AA113/AA100,3)</f>
        <v>0.20200000000000001</v>
      </c>
      <c r="AB114" s="853">
        <f t="shared" ca="1" si="154"/>
        <v>0.23100000000000001</v>
      </c>
      <c r="AC114" s="852">
        <f t="shared" ca="1" si="154"/>
        <v>0.18099999999999999</v>
      </c>
      <c r="AD114" s="853">
        <f t="shared" ca="1" si="154"/>
        <v>0.247</v>
      </c>
      <c r="AE114" s="853">
        <f t="shared" ca="1" si="154"/>
        <v>0.182</v>
      </c>
      <c r="AF114" s="853">
        <f t="shared" ca="1" si="154"/>
        <v>0.224</v>
      </c>
      <c r="AG114" s="853">
        <f t="shared" ref="AG114:AO114" ca="1" si="155">ROUND(AG113/AG100,3)</f>
        <v>0.183</v>
      </c>
      <c r="AH114" s="852">
        <f t="shared" ca="1" si="155"/>
        <v>0.21</v>
      </c>
      <c r="AI114" s="853">
        <f t="shared" ca="1" si="155"/>
        <v>0.17699999999999999</v>
      </c>
      <c r="AJ114" s="853">
        <f t="shared" ca="1" si="155"/>
        <v>0.20699999999999999</v>
      </c>
      <c r="AK114" s="853">
        <f t="shared" ca="1" si="155"/>
        <v>0.19800000000000001</v>
      </c>
      <c r="AL114" s="853">
        <f t="shared" ca="1" si="155"/>
        <v>0.186</v>
      </c>
      <c r="AM114" s="852">
        <f t="shared" ca="1" si="155"/>
        <v>0.192</v>
      </c>
      <c r="AN114" s="853">
        <f t="shared" ca="1" si="155"/>
        <v>9.7000000000000003E-2</v>
      </c>
      <c r="AO114" s="853">
        <f t="shared" ca="1" si="155"/>
        <v>0.13500000000000001</v>
      </c>
      <c r="AP114" s="853">
        <f t="shared" ref="AP114:AX114" ca="1" si="156">ROUND(AP113/AP100,3)</f>
        <v>8.5999999999999993E-2</v>
      </c>
      <c r="AQ114" s="853">
        <f t="shared" ca="1" si="156"/>
        <v>4.1000000000000002E-2</v>
      </c>
      <c r="AR114" s="852">
        <f t="shared" ca="1" si="156"/>
        <v>9.0999999999999998E-2</v>
      </c>
      <c r="AS114" s="853">
        <f t="shared" ca="1" si="156"/>
        <v>8.8999999999999996E-2</v>
      </c>
      <c r="AT114" s="853">
        <f t="shared" ca="1" si="156"/>
        <v>9.1999999999999998E-2</v>
      </c>
      <c r="AU114" s="853">
        <f t="shared" ca="1" si="156"/>
        <v>1.2E-2</v>
      </c>
      <c r="AV114" s="853">
        <f t="shared" ca="1" si="156"/>
        <v>-2.5999999999999999E-2</v>
      </c>
      <c r="AW114" s="852">
        <f t="shared" ca="1" si="156"/>
        <v>4.5999999999999999E-2</v>
      </c>
      <c r="AX114" s="853">
        <f t="shared" ca="1" si="156"/>
        <v>0.108</v>
      </c>
      <c r="AY114" s="853">
        <f ca="1">ROUND(AY113/AY100,3)</f>
        <v>5.8999999999999997E-2</v>
      </c>
      <c r="AZ114" s="851"/>
      <c r="BA114" s="851"/>
      <c r="BB114" s="851"/>
      <c r="BC114" s="851"/>
      <c r="BD114" s="851"/>
      <c r="BE114" s="851"/>
      <c r="BF114" s="851"/>
      <c r="BG114" s="851"/>
      <c r="BH114" s="851"/>
      <c r="BK114" s="851"/>
      <c r="BL114" s="851"/>
      <c r="BM114" s="851"/>
      <c r="BN114" s="851"/>
      <c r="BO114" s="851"/>
      <c r="BP114" s="851"/>
      <c r="BQ114" s="851"/>
      <c r="BR114" s="851"/>
      <c r="BS114" s="851"/>
      <c r="BT114" s="851"/>
      <c r="BU114" s="851"/>
      <c r="BV114" s="851"/>
      <c r="BW114" s="851"/>
      <c r="BX114" s="851"/>
      <c r="BY114" s="851"/>
      <c r="BZ114" s="851"/>
      <c r="CA114" s="851"/>
      <c r="CB114" s="851"/>
      <c r="CC114" s="851"/>
      <c r="CD114" s="851"/>
      <c r="CE114" s="851"/>
      <c r="CF114" s="851"/>
      <c r="CG114" s="851"/>
      <c r="CH114" s="851"/>
      <c r="CI114" s="851"/>
      <c r="CJ114" s="851"/>
    </row>
    <row r="115" spans="1:88" ht="13.5" customHeight="1" x14ac:dyDescent="0.2">
      <c r="C115" s="636"/>
      <c r="D115" s="8"/>
      <c r="E115" s="1009">
        <f ca="1">+SUMIFS(INDIRECT(CONCATENATE("'",$AZ115,$BA115,":",$BB115)),INDIRECT(CONCATENATE("'",$AZ115,$BA$92,":",$BB$92)),E$92)-E113</f>
        <v>0</v>
      </c>
      <c r="F115" s="1009">
        <f ca="1">+SUMIFS(INDIRECT(CONCATENATE("'",$AZ115,$BA115,":",$BB115)),INDIRECT(CONCATENATE("'",$AZ115,$BA$92,":",$BB$92)),F$92)-F113</f>
        <v>0</v>
      </c>
      <c r="G115" s="1009">
        <f ca="1">+SUMIFS(INDIRECT(CONCATENATE("'",$AZ115,$BA115,":",$BB115)),INDIRECT(CONCATENATE("'",$AZ115,$BA$92,":",$BB$92)),G$92)-G113</f>
        <v>0</v>
      </c>
      <c r="H115" s="1009">
        <f ca="1">+SUMIFS(INDIRECT(CONCATENATE("'",$AZ115,$BA115,":",$BB115)),INDIRECT(CONCATENATE("'",$AZ115,$BA$92,":",$BB$92)),H$92)-H113</f>
        <v>3.637978807091713E-12</v>
      </c>
      <c r="I115" s="274"/>
      <c r="J115" s="1009">
        <f ca="1">+SUMIFS(INDIRECT(CONCATENATE("'",$AZ115,$BA115,":",$BB115)),INDIRECT(CONCATENATE("'",$AZ115,$BA$92,":",$BB$92)),J$92)-J113</f>
        <v>0</v>
      </c>
      <c r="K115" s="1009">
        <f ca="1">+SUMIFS(INDIRECT(CONCATENATE("'",$AZ115,$BA115,":",$BB115)),INDIRECT(CONCATENATE("'",$AZ115,$BA$92,":",$BB$92)),K$92)-K113</f>
        <v>0</v>
      </c>
      <c r="L115" s="1009">
        <f ca="1">+SUMIFS(INDIRECT(CONCATENATE("'",$AZ115,$BA115,":",$BB115)),INDIRECT(CONCATENATE("'",$AZ115,$BA$92,":",$BB$92)),L$92)-L113</f>
        <v>4.5474735088646412E-13</v>
      </c>
      <c r="M115" s="1009">
        <f ca="1">+SUMIFS(INDIRECT(CONCATENATE("'",$AZ115,$BA115,":",$BB115)),INDIRECT(CONCATENATE("'",$AZ115,$BA$92,":",$BB$92)),M$92)-M113</f>
        <v>-9.0949470177292824E-13</v>
      </c>
      <c r="N115" s="274"/>
      <c r="O115" s="1009">
        <f ca="1">+SUMIFS(INDIRECT(CONCATENATE("'",$AZ115,$BA115,":",$BB115)),INDIRECT(CONCATENATE("'",$AZ115,$BA$92,":",$BB$92)),O$92)-O113</f>
        <v>0</v>
      </c>
      <c r="P115" s="1009">
        <f ca="1">+SUMIFS(INDIRECT(CONCATENATE("'",$AZ115,$BA115,":",$BB115)),INDIRECT(CONCATENATE("'",$AZ115,$BA$92,":",$BB$92)),P$92)-P113</f>
        <v>0</v>
      </c>
      <c r="Q115" s="1009">
        <f ca="1">+SUMIFS(INDIRECT(CONCATENATE("'",$AZ115,$BA115,":",$BB115)),INDIRECT(CONCATENATE("'",$AZ115,$BA$92,":",$BB$92)),Q$92)-Q113</f>
        <v>0</v>
      </c>
      <c r="R115" s="1009">
        <f ca="1">+SUMIFS(INDIRECT(CONCATENATE("'",$AZ115,$BA115,":",$BB115)),INDIRECT(CONCATENATE("'",$AZ115,$BA$92,":",$BB$92)),R$92)-R113</f>
        <v>0</v>
      </c>
      <c r="S115" s="274"/>
      <c r="T115" s="1009">
        <f ca="1">+SUMIFS(INDIRECT(CONCATENATE("'",$AZ115,$BA115,":",$BB115)),INDIRECT(CONCATENATE("'",$AZ115,$BA$92,":",$BB$92)),T$92)-T113</f>
        <v>0</v>
      </c>
      <c r="U115" s="1009">
        <f ca="1">+SUMIFS(INDIRECT(CONCATENATE("'",$AZ115,$BA115,":",$BB115)),INDIRECT(CONCATENATE("'",$AZ115,$BA$92,":",$BB$92)),U$92)-U113</f>
        <v>0</v>
      </c>
      <c r="V115" s="1009">
        <f ca="1">+SUMIFS(INDIRECT(CONCATENATE("'",$AZ115,$BA115,":",$BB115)),INDIRECT(CONCATENATE("'",$AZ115,$BA$92,":",$BB$92)),V$92)-V113</f>
        <v>0</v>
      </c>
      <c r="W115" s="1009">
        <f ca="1">+SUMIFS(INDIRECT(CONCATENATE("'",$AZ115,$BA115,":",$BB115)),INDIRECT(CONCATENATE("'",$AZ115,$BA$92,":",$BB$92)),W$92)-W113</f>
        <v>0</v>
      </c>
      <c r="X115" s="274"/>
      <c r="Y115" s="1009">
        <f ca="1">+SUMIFS(INDIRECT(CONCATENATE("'",$AZ115,$BA115,":",$BB115)),INDIRECT(CONCATENATE("'",$AZ115,$BA$92,":",$BB$92)),Y$92)-Y113</f>
        <v>0</v>
      </c>
      <c r="Z115" s="1009">
        <f ca="1">+SUMIFS(INDIRECT(CONCATENATE("'",$AZ115,$BA115,":",$BB115)),INDIRECT(CONCATENATE("'",$AZ115,$BA$92,":",$BB$92)),Z$92)-Z113</f>
        <v>0</v>
      </c>
      <c r="AA115" s="1009">
        <f ca="1">+SUMIFS(INDIRECT(CONCATENATE("'",$AZ115,$BA115,":",$BB115)),INDIRECT(CONCATENATE("'",$AZ115,$BA$92,":",$BB$92)),AA$92)-AA113</f>
        <v>0</v>
      </c>
      <c r="AB115" s="1009">
        <f ca="1">+SUMIFS(INDIRECT(CONCATENATE("'",$AZ115,$BA115,":",$BB115)),INDIRECT(CONCATENATE("'",$AZ115,$BA$92,":",$BB$92)),AB$92)-AB113</f>
        <v>0</v>
      </c>
      <c r="AC115" s="274"/>
      <c r="AD115" s="1009">
        <f ca="1">+SUMIFS(INDIRECT(CONCATENATE("'",$AZ115,$BA115,":",$BB115)),INDIRECT(CONCATENATE("'",$AZ115,$BA$92,":",$BB$92)),AD$92)-AD113</f>
        <v>0</v>
      </c>
      <c r="AE115" s="1009">
        <f ca="1">+SUMIFS(INDIRECT(CONCATENATE("'",$AZ115,$BA115,":",$BB115)),INDIRECT(CONCATENATE("'",$AZ115,$BA$92,":",$BB$92)),AE$92)-AE113</f>
        <v>0</v>
      </c>
      <c r="AF115" s="1009">
        <f ca="1">+SUMIFS(INDIRECT(CONCATENATE("'",$AZ115,$BA115,":",$BB115)),INDIRECT(CONCATENATE("'",$AZ115,$BA$92,":",$BB$92)),AF$92)-AF113</f>
        <v>0</v>
      </c>
      <c r="AG115" s="1009">
        <f ca="1">+SUMIFS(INDIRECT(CONCATENATE("'",$AZ115,$BA115,":",$BB115)),INDIRECT(CONCATENATE("'",$AZ115,$BA$92,":",$BB$92)),AG$92)-AG113</f>
        <v>0</v>
      </c>
      <c r="AH115" s="274"/>
      <c r="AI115" s="1009">
        <f ca="1">+SUMIFS(INDIRECT(CONCATENATE("'",$AZ115,$BA115,":",$BB115)),INDIRECT(CONCATENATE("'",$AZ115,$BA$92,":",$BB$92)),AI$92)-AI113</f>
        <v>0</v>
      </c>
      <c r="AJ115" s="1009">
        <f ca="1">+SUMIFS(INDIRECT(CONCATENATE("'",$AZ115,$BA115,":",$BB115)),INDIRECT(CONCATENATE("'",$AZ115,$BA$92,":",$BB$92)),AJ$92)-AJ113</f>
        <v>0</v>
      </c>
      <c r="AK115" s="1009">
        <f ca="1">+SUMIFS(INDIRECT(CONCATENATE("'",$AZ115,$BA115,":",$BB115)),INDIRECT(CONCATENATE("'",$AZ115,$BA$92,":",$BB$92)),AK$92)-AK113</f>
        <v>0</v>
      </c>
      <c r="AL115" s="1009">
        <f ca="1">+SUMIFS(INDIRECT(CONCATENATE("'",$AZ115,$BA115,":",$BB115)),INDIRECT(CONCATENATE("'",$AZ115,$BA$92,":",$BB$92)),AL$92)-AL113</f>
        <v>0</v>
      </c>
      <c r="AM115" s="274"/>
      <c r="AN115" s="1009">
        <f ca="1">+SUMIFS(INDIRECT(CONCATENATE("'",$AZ115,$BA115,":",$BB115)),INDIRECT(CONCATENATE("'",$AZ115,$BA$92,":",$BB$92)),AN$92)-AN113</f>
        <v>0</v>
      </c>
      <c r="AO115" s="1009">
        <f ca="1">+SUMIFS(INDIRECT(CONCATENATE("'",$AZ115,$BA115,":",$BB115)),INDIRECT(CONCATENATE("'",$AZ115,$BA$92,":",$BB$92)),AO$92)-AO113</f>
        <v>0</v>
      </c>
      <c r="AP115" s="1009">
        <f ca="1">+SUMIFS(INDIRECT(CONCATENATE("'",$AZ115,$BA115,":",$BB115)),INDIRECT(CONCATENATE("'",$AZ115,$BA$92,":",$BB$92)),AP$92)-AP113</f>
        <v>0</v>
      </c>
      <c r="AQ115" s="1009">
        <f ca="1">+SUMIFS(INDIRECT(CONCATENATE("'",$AZ115,$BA115,":",$BB115)),INDIRECT(CONCATENATE("'",$AZ115,$BA$92,":",$BB$92)),AQ$92)-AQ113</f>
        <v>0</v>
      </c>
      <c r="AR115" s="274"/>
      <c r="AS115" s="1009">
        <f ca="1">+SUMIFS(INDIRECT(CONCATENATE("'",$AZ115,$BA115,":",$BB115)),INDIRECT(CONCATENATE("'",$AZ115,$BA$92,":",$BB$92)),AS$92)-AS113</f>
        <v>0</v>
      </c>
      <c r="AT115" s="1009">
        <f ca="1">+SUMIFS(INDIRECT(CONCATENATE("'",$AZ115,$BA115,":",$BB115)),INDIRECT(CONCATENATE("'",$AZ115,$BA$92,":",$BB$92)),AT$92)-AT113</f>
        <v>0</v>
      </c>
      <c r="AU115" s="1009">
        <f ca="1">+SUMIFS(INDIRECT(CONCATENATE("'",$AZ115,$BA115,":",$BB115)),INDIRECT(CONCATENATE("'",$AZ115,$BA$92,":",$BB$92)),AU$92)-AU113</f>
        <v>0</v>
      </c>
      <c r="AV115" s="1009">
        <f ca="1">+SUMIFS(INDIRECT(CONCATENATE("'",$AZ115,$BA115,":",$BB115)),INDIRECT(CONCATENATE("'",$AZ115,$BA$92,":",$BB$92)),AV$92)-AV113</f>
        <v>0</v>
      </c>
      <c r="AW115" s="1009"/>
      <c r="AX115" s="1009">
        <f ca="1">+SUMIFS(INDIRECT(CONCATENATE("'",$AZ115,$BA115,":",$BB115)),INDIRECT(CONCATENATE("'",$AZ115,$BA$92,":",$BB$92)),AX$92)-AX113</f>
        <v>0</v>
      </c>
      <c r="AY115" s="1009">
        <f ca="1">+SUMIFS(INDIRECT(CONCATENATE("'",$AZ115,$BA115,":",$BB115)),INDIRECT(CONCATENATE("'",$AZ115,$BA$92,":",$BB$92)),AY$92)-AY113</f>
        <v>0</v>
      </c>
      <c r="AZ115" s="266" t="str">
        <f>IF([1]RENAME!$H$3=0,BD115,BC115)</f>
        <v>LI'!</v>
      </c>
      <c r="BA115" s="266" t="str">
        <f>"$"&amp;ROW(LI!$D$40)</f>
        <v>$40</v>
      </c>
      <c r="BB115" s="266" t="str">
        <f>"$"&amp;ROW(LI!$D$40)</f>
        <v>$40</v>
      </c>
      <c r="BC115" s="266" t="s">
        <v>1737</v>
      </c>
      <c r="BD115" s="266" t="s">
        <v>1736</v>
      </c>
      <c r="BN115" s="266"/>
      <c r="BO115" s="266"/>
      <c r="BP115" s="266"/>
      <c r="BQ115" s="266"/>
      <c r="BR115" s="266"/>
      <c r="BS115" s="266"/>
      <c r="BT115" s="266"/>
      <c r="BU115" s="266"/>
      <c r="BV115" s="266"/>
      <c r="BW115" s="266"/>
      <c r="BX115" s="266"/>
      <c r="BY115" s="266"/>
      <c r="BZ115" s="266"/>
      <c r="CA115" s="266"/>
      <c r="CB115" s="266"/>
      <c r="CC115" s="266"/>
      <c r="CD115" s="266"/>
      <c r="CE115" s="266"/>
      <c r="CF115" s="266"/>
      <c r="CG115" s="266"/>
      <c r="CH115" s="266"/>
      <c r="CI115" s="266"/>
      <c r="CJ115" s="266"/>
    </row>
    <row r="116" spans="1:88" ht="14.25" customHeight="1" x14ac:dyDescent="0.2">
      <c r="A116" s="1" t="s">
        <v>440</v>
      </c>
      <c r="B116" s="1" t="s">
        <v>1073</v>
      </c>
      <c r="D116" s="868" t="str">
        <f>IF([1]RENAME!$H$3=1,B116,A116)</f>
        <v>Balanço patrimonial</v>
      </c>
      <c r="E116" s="867" t="str">
        <f t="shared" ref="E116:AJ116" si="157">E5</f>
        <v>1T17</v>
      </c>
      <c r="F116" s="867" t="str">
        <f t="shared" si="157"/>
        <v>2T17</v>
      </c>
      <c r="G116" s="867" t="str">
        <f t="shared" si="157"/>
        <v>3T17</v>
      </c>
      <c r="H116" s="867" t="str">
        <f t="shared" si="157"/>
        <v>4T17</v>
      </c>
      <c r="I116" s="867" t="str">
        <f t="shared" si="157"/>
        <v>2017</v>
      </c>
      <c r="J116" s="867" t="str">
        <f t="shared" si="157"/>
        <v>1T18</v>
      </c>
      <c r="K116" s="867" t="str">
        <f t="shared" si="157"/>
        <v>2T18</v>
      </c>
      <c r="L116" s="867" t="str">
        <f t="shared" si="157"/>
        <v>3T18</v>
      </c>
      <c r="M116" s="867" t="str">
        <f t="shared" si="157"/>
        <v>4T18</v>
      </c>
      <c r="N116" s="867" t="str">
        <f t="shared" si="157"/>
        <v>2018</v>
      </c>
      <c r="O116" s="867" t="str">
        <f t="shared" si="157"/>
        <v>1T19</v>
      </c>
      <c r="P116" s="867" t="str">
        <f t="shared" si="157"/>
        <v>2T19</v>
      </c>
      <c r="Q116" s="867" t="str">
        <f t="shared" si="157"/>
        <v>3T19</v>
      </c>
      <c r="R116" s="867" t="str">
        <f t="shared" si="157"/>
        <v>4T19</v>
      </c>
      <c r="S116" s="867" t="str">
        <f t="shared" si="157"/>
        <v>2019</v>
      </c>
      <c r="T116" s="867" t="str">
        <f t="shared" si="157"/>
        <v>1T20</v>
      </c>
      <c r="U116" s="867" t="str">
        <f t="shared" si="157"/>
        <v>2T20</v>
      </c>
      <c r="V116" s="867" t="str">
        <f t="shared" si="157"/>
        <v>3T20</v>
      </c>
      <c r="W116" s="867" t="str">
        <f t="shared" si="157"/>
        <v>4T20</v>
      </c>
      <c r="X116" s="867" t="str">
        <f t="shared" si="157"/>
        <v>2020</v>
      </c>
      <c r="Y116" s="867" t="str">
        <f t="shared" si="157"/>
        <v>1T21</v>
      </c>
      <c r="Z116" s="867" t="str">
        <f t="shared" si="157"/>
        <v>2T21</v>
      </c>
      <c r="AA116" s="867" t="str">
        <f t="shared" si="157"/>
        <v>3T21</v>
      </c>
      <c r="AB116" s="867" t="str">
        <f t="shared" si="157"/>
        <v>4T21</v>
      </c>
      <c r="AC116" s="867" t="str">
        <f t="shared" si="157"/>
        <v>2021</v>
      </c>
      <c r="AD116" s="867" t="str">
        <f t="shared" si="157"/>
        <v>1T22</v>
      </c>
      <c r="AE116" s="867" t="str">
        <f t="shared" si="157"/>
        <v>2T22</v>
      </c>
      <c r="AF116" s="867" t="str">
        <f t="shared" si="157"/>
        <v>3T22</v>
      </c>
      <c r="AG116" s="867" t="str">
        <f t="shared" si="157"/>
        <v>4T22</v>
      </c>
      <c r="AH116" s="867" t="str">
        <f t="shared" si="157"/>
        <v>2022</v>
      </c>
      <c r="AI116" s="867" t="str">
        <f t="shared" si="157"/>
        <v>1T23</v>
      </c>
      <c r="AJ116" s="867" t="str">
        <f t="shared" si="157"/>
        <v>2T23</v>
      </c>
      <c r="AK116" s="867" t="str">
        <f t="shared" ref="AK116:AP116" si="158">AK5</f>
        <v>3T23</v>
      </c>
      <c r="AL116" s="867" t="str">
        <f t="shared" si="158"/>
        <v>4T23</v>
      </c>
      <c r="AM116" s="867" t="str">
        <f t="shared" si="158"/>
        <v>2023</v>
      </c>
      <c r="AN116" s="867" t="str">
        <f t="shared" si="158"/>
        <v>1T24</v>
      </c>
      <c r="AO116" s="867" t="str">
        <f t="shared" si="158"/>
        <v>2T24</v>
      </c>
      <c r="AP116" s="867" t="str">
        <f t="shared" si="158"/>
        <v>3T24</v>
      </c>
      <c r="AQ116" s="867" t="str">
        <f>AQ5</f>
        <v>4T24</v>
      </c>
      <c r="AR116" s="867" t="str">
        <f>AR5</f>
        <v>2024</v>
      </c>
      <c r="AS116" s="867" t="str">
        <f t="shared" ref="AS116:AX116" si="159">AS5</f>
        <v>1T25</v>
      </c>
      <c r="AT116" s="867" t="str">
        <f>AT5</f>
        <v>2T25</v>
      </c>
      <c r="AU116" s="867" t="str">
        <f>AU5</f>
        <v>3T25</v>
      </c>
      <c r="AV116" s="867" t="str">
        <f>AV5</f>
        <v>4T25</v>
      </c>
      <c r="AW116" s="867" t="str">
        <f t="shared" si="159"/>
        <v>2025</v>
      </c>
      <c r="AX116" s="867" t="str">
        <f t="shared" si="159"/>
        <v>1T26</v>
      </c>
      <c r="AY116" s="867" t="str">
        <f>AY5</f>
        <v>2T26</v>
      </c>
      <c r="BA116" s="266" t="str">
        <f>"$"&amp;ROW(BP!$D$5)</f>
        <v>$5</v>
      </c>
      <c r="BB116" s="266" t="str">
        <f>"$"&amp;ROW(BP!$D$5)</f>
        <v>$5</v>
      </c>
      <c r="BN116" s="266"/>
      <c r="BO116" s="266"/>
      <c r="BP116" s="266"/>
      <c r="BQ116" s="266"/>
      <c r="BR116" s="266"/>
      <c r="BS116" s="266"/>
      <c r="BT116" s="266"/>
      <c r="BU116" s="266"/>
      <c r="BV116" s="266"/>
      <c r="BW116" s="266"/>
      <c r="BX116" s="266"/>
      <c r="BY116" s="266"/>
      <c r="BZ116" s="266"/>
      <c r="CA116" s="266"/>
      <c r="CB116" s="266"/>
      <c r="CC116" s="266"/>
      <c r="CD116" s="266"/>
      <c r="CE116" s="266"/>
      <c r="CF116" s="266"/>
      <c r="CG116" s="266"/>
      <c r="CH116" s="266"/>
      <c r="CI116" s="266"/>
      <c r="CJ116" s="266"/>
    </row>
    <row r="117" spans="1:88" ht="14.25" customHeight="1" x14ac:dyDescent="0.2">
      <c r="A117" s="1" t="s">
        <v>75</v>
      </c>
      <c r="B117" s="1" t="s">
        <v>639</v>
      </c>
      <c r="D117" s="858" t="str">
        <f>IF([1]RENAME!$H$3=1,B117,A117)</f>
        <v>Caixa e equivalentes de caixa</v>
      </c>
      <c r="E117" s="857">
        <v>126013</v>
      </c>
      <c r="F117" s="857">
        <v>183030</v>
      </c>
      <c r="G117" s="857">
        <v>145307</v>
      </c>
      <c r="H117" s="857">
        <v>148732</v>
      </c>
      <c r="I117" s="647">
        <f>+H117</f>
        <v>148732</v>
      </c>
      <c r="J117" s="857">
        <v>125466</v>
      </c>
      <c r="K117" s="857">
        <v>90689</v>
      </c>
      <c r="L117" s="857">
        <v>97964</v>
      </c>
      <c r="M117" s="857">
        <v>83542</v>
      </c>
      <c r="N117" s="647">
        <f>+M117</f>
        <v>83542</v>
      </c>
      <c r="O117" s="857">
        <v>107994</v>
      </c>
      <c r="P117" s="857">
        <v>106775</v>
      </c>
      <c r="Q117" s="857">
        <v>112108</v>
      </c>
      <c r="R117" s="857">
        <v>67332</v>
      </c>
      <c r="S117" s="647">
        <f>+R117</f>
        <v>67332</v>
      </c>
      <c r="T117" s="857">
        <f t="shared" ref="T117:W118" ca="1" si="160">+SUMIFS(INDIRECT(CONCATENATE("'",$AZ117,$BA117,":",$BB117)),INDIRECT(CONCATENATE("'",$AZ117,$BA$116,":",$BB$116)),T$92)</f>
        <v>125940</v>
      </c>
      <c r="U117" s="857">
        <f t="shared" ca="1" si="160"/>
        <v>286503</v>
      </c>
      <c r="V117" s="857">
        <f t="shared" ca="1" si="160"/>
        <v>247793</v>
      </c>
      <c r="W117" s="857">
        <f t="shared" ca="1" si="160"/>
        <v>260387</v>
      </c>
      <c r="X117" s="647">
        <f ca="1">+W117</f>
        <v>260387</v>
      </c>
      <c r="Y117" s="857">
        <f t="shared" ref="Y117:AB118" ca="1" si="161">+SUMIFS(INDIRECT(CONCATENATE("'",$AZ117,$BA117,":",$BB117)),INDIRECT(CONCATENATE("'",$AZ117,$BA$116,":",$BB$116)),Y$92)</f>
        <v>304909</v>
      </c>
      <c r="Z117" s="857">
        <f t="shared" ca="1" si="161"/>
        <v>244529</v>
      </c>
      <c r="AA117" s="857">
        <f t="shared" ca="1" si="161"/>
        <v>221421</v>
      </c>
      <c r="AB117" s="857">
        <f t="shared" ca="1" si="161"/>
        <v>147128</v>
      </c>
      <c r="AC117" s="647">
        <f ca="1">+AB117</f>
        <v>147128</v>
      </c>
      <c r="AD117" s="857">
        <f t="shared" ref="AD117:AG118" ca="1" si="162">+SUMIFS(INDIRECT(CONCATENATE("'",$AZ117,$BA117,":",$BB117)),INDIRECT(CONCATENATE("'",$AZ117,$BA$116,":",$BB$116)),AD$92)</f>
        <v>210504</v>
      </c>
      <c r="AE117" s="857">
        <f t="shared" ca="1" si="162"/>
        <v>119723</v>
      </c>
      <c r="AF117" s="857">
        <f t="shared" ca="1" si="162"/>
        <v>137242</v>
      </c>
      <c r="AG117" s="857">
        <f t="shared" ca="1" si="162"/>
        <v>190299</v>
      </c>
      <c r="AH117" s="647">
        <f ca="1">+AG117</f>
        <v>190299</v>
      </c>
      <c r="AI117" s="857">
        <f t="shared" ref="AI117:AL118" ca="1" si="163">+SUMIFS(INDIRECT(CONCATENATE("'",$AZ117,$BA117,":",$BB117)),INDIRECT(CONCATENATE("'",$AZ117,$BA$116,":",$BB$116)),AI$92)</f>
        <v>242048</v>
      </c>
      <c r="AJ117" s="857">
        <f t="shared" ca="1" si="163"/>
        <v>237038</v>
      </c>
      <c r="AK117" s="857">
        <f t="shared" ca="1" si="163"/>
        <v>258630</v>
      </c>
      <c r="AL117" s="857">
        <f t="shared" ca="1" si="163"/>
        <v>232539</v>
      </c>
      <c r="AM117" s="647">
        <f ca="1">+AL117</f>
        <v>232539</v>
      </c>
      <c r="AN117" s="857">
        <f t="shared" ref="AN117:AQ118" ca="1" si="164">+SUMIFS(INDIRECT(CONCATENATE("'",$AZ117,$BA117,":",$BB117)),INDIRECT(CONCATENATE("'",$AZ117,$BA$116,":",$BB$116)),AN$92)</f>
        <v>299796</v>
      </c>
      <c r="AO117" s="857">
        <f t="shared" ca="1" si="164"/>
        <v>282802</v>
      </c>
      <c r="AP117" s="857">
        <f t="shared" ca="1" si="164"/>
        <v>264126</v>
      </c>
      <c r="AQ117" s="857">
        <f t="shared" ca="1" si="164"/>
        <v>241335</v>
      </c>
      <c r="AR117" s="647">
        <f ca="1">+AQ117</f>
        <v>241335</v>
      </c>
      <c r="AS117" s="857">
        <f t="shared" ref="AS117:AY118" ca="1" si="165">+SUMIFS(INDIRECT(CONCATENATE("'",$AZ117,$BA117,":",$BB117)),INDIRECT(CONCATENATE("'",$AZ117,$BA$116,":",$BB$116)),AS$92)</f>
        <v>339197</v>
      </c>
      <c r="AT117" s="857">
        <f t="shared" ca="1" si="165"/>
        <v>347151</v>
      </c>
      <c r="AU117" s="857">
        <f t="shared" ca="1" si="165"/>
        <v>245664</v>
      </c>
      <c r="AV117" s="857">
        <f t="shared" ca="1" si="165"/>
        <v>113860</v>
      </c>
      <c r="AW117" s="647">
        <f ca="1">+AV117</f>
        <v>113860</v>
      </c>
      <c r="AX117" s="857">
        <f t="shared" ca="1" si="165"/>
        <v>184189</v>
      </c>
      <c r="AY117" s="857">
        <f t="shared" ca="1" si="165"/>
        <v>196923</v>
      </c>
      <c r="AZ117" s="266" t="str">
        <f>IF([1]RENAME!$H$3=0,BD117,BC117)</f>
        <v>BP'!</v>
      </c>
      <c r="BA117" s="266" t="str">
        <f>"$"&amp;ROW(BP!$D$7)</f>
        <v>$7</v>
      </c>
      <c r="BB117" s="266" t="str">
        <f>"$"&amp;ROW(BP!$D$7)</f>
        <v>$7</v>
      </c>
      <c r="BC117" s="266" t="s">
        <v>1717</v>
      </c>
      <c r="BD117" s="266" t="s">
        <v>1716</v>
      </c>
      <c r="BN117" s="266"/>
      <c r="BO117" s="266"/>
      <c r="BP117" s="266"/>
      <c r="BQ117" s="266"/>
      <c r="BR117" s="266"/>
      <c r="BS117" s="266"/>
      <c r="BT117" s="266"/>
      <c r="BU117" s="266"/>
      <c r="BV117" s="266"/>
      <c r="BW117" s="266"/>
      <c r="BX117" s="266"/>
      <c r="BY117" s="266"/>
      <c r="BZ117" s="266"/>
      <c r="CA117" s="266"/>
      <c r="CB117" s="266"/>
      <c r="CC117" s="266"/>
      <c r="CD117" s="266"/>
      <c r="CE117" s="266"/>
      <c r="CF117" s="266"/>
      <c r="CG117" s="266"/>
      <c r="CH117" s="266"/>
      <c r="CI117" s="266"/>
      <c r="CJ117" s="266"/>
    </row>
    <row r="118" spans="1:88" ht="14.25" customHeight="1" x14ac:dyDescent="0.2">
      <c r="A118" s="1" t="s">
        <v>36</v>
      </c>
      <c r="B118" s="1" t="s">
        <v>1379</v>
      </c>
      <c r="D118" s="858" t="str">
        <f>IF([1]RENAME!$H$3=1,B118,A118)</f>
        <v>Contas a receber</v>
      </c>
      <c r="E118" s="857">
        <v>116130</v>
      </c>
      <c r="F118" s="857">
        <v>123239</v>
      </c>
      <c r="G118" s="857">
        <v>137433</v>
      </c>
      <c r="H118" s="857">
        <v>171180</v>
      </c>
      <c r="I118" s="647">
        <f>+H118</f>
        <v>171180</v>
      </c>
      <c r="J118" s="857">
        <v>149456</v>
      </c>
      <c r="K118" s="857">
        <v>175884</v>
      </c>
      <c r="L118" s="857">
        <v>190482</v>
      </c>
      <c r="M118" s="857">
        <v>226227</v>
      </c>
      <c r="N118" s="647">
        <f>+M118</f>
        <v>226227</v>
      </c>
      <c r="O118" s="857">
        <v>202605</v>
      </c>
      <c r="P118" s="857">
        <v>215878</v>
      </c>
      <c r="Q118" s="857">
        <v>222773</v>
      </c>
      <c r="R118" s="857">
        <v>261173</v>
      </c>
      <c r="S118" s="647">
        <f>+R118</f>
        <v>261173</v>
      </c>
      <c r="T118" s="857">
        <f t="shared" ca="1" si="160"/>
        <v>208452</v>
      </c>
      <c r="U118" s="857">
        <f t="shared" ca="1" si="160"/>
        <v>127444</v>
      </c>
      <c r="V118" s="857">
        <f t="shared" ca="1" si="160"/>
        <v>199717</v>
      </c>
      <c r="W118" s="857">
        <f t="shared" ca="1" si="160"/>
        <v>212138</v>
      </c>
      <c r="X118" s="647">
        <f ca="1">+W118</f>
        <v>212138</v>
      </c>
      <c r="Y118" s="857">
        <f t="shared" ca="1" si="161"/>
        <v>169120</v>
      </c>
      <c r="Z118" s="901">
        <f t="shared" ca="1" si="161"/>
        <v>197088</v>
      </c>
      <c r="AA118" s="901">
        <f t="shared" ca="1" si="161"/>
        <v>196436</v>
      </c>
      <c r="AB118" s="901">
        <f t="shared" ca="1" si="161"/>
        <v>302669</v>
      </c>
      <c r="AC118" s="916">
        <f ca="1">+AB118</f>
        <v>302669</v>
      </c>
      <c r="AD118" s="901">
        <f t="shared" ca="1" si="162"/>
        <v>223696</v>
      </c>
      <c r="AE118" s="901">
        <f t="shared" ca="1" si="162"/>
        <v>266460</v>
      </c>
      <c r="AF118" s="857">
        <f t="shared" ca="1" si="162"/>
        <v>289087</v>
      </c>
      <c r="AG118" s="857">
        <f t="shared" ca="1" si="162"/>
        <v>314053</v>
      </c>
      <c r="AH118" s="1123">
        <f ca="1">+AG118</f>
        <v>314053</v>
      </c>
      <c r="AI118" s="857">
        <f t="shared" ca="1" si="163"/>
        <v>259933</v>
      </c>
      <c r="AJ118" s="857">
        <f t="shared" ca="1" si="163"/>
        <v>264045</v>
      </c>
      <c r="AK118" s="857">
        <f t="shared" ca="1" si="163"/>
        <v>280755</v>
      </c>
      <c r="AL118" s="857">
        <f t="shared" ca="1" si="163"/>
        <v>345505</v>
      </c>
      <c r="AM118" s="1123">
        <f ca="1">+AL118</f>
        <v>345505</v>
      </c>
      <c r="AN118" s="857">
        <f t="shared" ca="1" si="164"/>
        <v>294190</v>
      </c>
      <c r="AO118" s="857">
        <f t="shared" ca="1" si="164"/>
        <v>342942</v>
      </c>
      <c r="AP118" s="857">
        <f t="shared" ca="1" si="164"/>
        <v>395339</v>
      </c>
      <c r="AQ118" s="857">
        <f t="shared" ca="1" si="164"/>
        <v>437934</v>
      </c>
      <c r="AR118" s="1123">
        <f ca="1">+AQ118</f>
        <v>437934</v>
      </c>
      <c r="AS118" s="857">
        <f t="shared" ca="1" si="165"/>
        <v>328402</v>
      </c>
      <c r="AT118" s="857">
        <f t="shared" ca="1" si="165"/>
        <v>366152</v>
      </c>
      <c r="AU118" s="857">
        <f t="shared" ca="1" si="165"/>
        <v>419796</v>
      </c>
      <c r="AV118" s="857">
        <f t="shared" ca="1" si="165"/>
        <v>443159</v>
      </c>
      <c r="AW118" s="1123">
        <f ca="1">+AV118</f>
        <v>443159</v>
      </c>
      <c r="AX118" s="857">
        <f t="shared" ca="1" si="165"/>
        <v>413218</v>
      </c>
      <c r="AY118" s="857">
        <f t="shared" ca="1" si="165"/>
        <v>526955</v>
      </c>
      <c r="AZ118" s="266" t="str">
        <f>IF([1]RENAME!$H$3=0,BD118,BC118)</f>
        <v>BP'!</v>
      </c>
      <c r="BA118" s="266" t="str">
        <f>"$"&amp;ROW(BP!$D$8)</f>
        <v>$8</v>
      </c>
      <c r="BB118" s="266" t="str">
        <f>"$"&amp;ROW(BP!$D$8)</f>
        <v>$8</v>
      </c>
      <c r="BC118" s="266" t="s">
        <v>1717</v>
      </c>
      <c r="BD118" s="266" t="s">
        <v>1716</v>
      </c>
      <c r="BN118" s="266"/>
      <c r="BO118" s="266"/>
      <c r="BP118" s="266"/>
      <c r="BQ118" s="266"/>
      <c r="BR118" s="266"/>
      <c r="BS118" s="266"/>
      <c r="BT118" s="266"/>
      <c r="BU118" s="266"/>
      <c r="BV118" s="266"/>
      <c r="BW118" s="266"/>
      <c r="BX118" s="266"/>
      <c r="BY118" s="266"/>
      <c r="BZ118" s="266"/>
      <c r="CA118" s="266"/>
      <c r="CB118" s="266"/>
      <c r="CC118" s="266"/>
      <c r="CD118" s="266"/>
      <c r="CE118" s="266"/>
      <c r="CF118" s="266"/>
      <c r="CG118" s="266"/>
      <c r="CH118" s="266"/>
      <c r="CI118" s="266"/>
      <c r="CJ118" s="266"/>
    </row>
    <row r="119" spans="1:88" s="282" customFormat="1" ht="14.1" customHeight="1" x14ac:dyDescent="0.2">
      <c r="A119" s="282" t="s">
        <v>535</v>
      </c>
      <c r="B119" s="894" t="s">
        <v>1380</v>
      </c>
      <c r="C119" s="893"/>
      <c r="D119" s="892" t="str">
        <f>IF([1]RENAME!$H$3=1,B119,A119)</f>
        <v>Dias a receber</v>
      </c>
      <c r="E119" s="891">
        <f ca="1">+E118/(E8/90)</f>
        <v>39.719237402548863</v>
      </c>
      <c r="F119" s="891">
        <f ca="1">+F118/(F8/90)</f>
        <v>35.014730035534399</v>
      </c>
      <c r="G119" s="891">
        <f ca="1">+G118/(G8/90)</f>
        <v>34.780388227402035</v>
      </c>
      <c r="H119" s="891">
        <f ca="1">+H118/(H8/90)</f>
        <v>39.037343944115563</v>
      </c>
      <c r="I119" s="890">
        <f ca="1">+H119</f>
        <v>39.037343944115563</v>
      </c>
      <c r="J119" s="891">
        <f ca="1">+J118/(J8/90)</f>
        <v>41.663506875971962</v>
      </c>
      <c r="K119" s="891">
        <f ca="1">+K118/(K8/90)</f>
        <v>43.922375863127726</v>
      </c>
      <c r="L119" s="891">
        <f ca="1">+L118/(L8/90)</f>
        <v>41.225349933842544</v>
      </c>
      <c r="M119" s="891">
        <f ca="1">+M118/(M8/90)</f>
        <v>46.313049769519438</v>
      </c>
      <c r="N119" s="890">
        <f ca="1">+M119</f>
        <v>46.313049769519438</v>
      </c>
      <c r="O119" s="891">
        <f ca="1">+O118/(O8/90)</f>
        <v>49.646939808097962</v>
      </c>
      <c r="P119" s="891">
        <f ca="1">+P118/(P8/90)</f>
        <v>47.815763249532246</v>
      </c>
      <c r="Q119" s="891">
        <f ca="1">+Q118/(Q8/90)</f>
        <v>48.213560576659368</v>
      </c>
      <c r="R119" s="891">
        <f ca="1">+R118/(R8/90)</f>
        <v>50.675232910702135</v>
      </c>
      <c r="S119" s="890">
        <f ca="1">+R119</f>
        <v>50.675232910702135</v>
      </c>
      <c r="T119" s="891">
        <f ca="1">+T118/(T8/90)</f>
        <v>54.307420809725244</v>
      </c>
      <c r="U119" s="891">
        <f ca="1">+U118/(U8/90)</f>
        <v>71.568658460625841</v>
      </c>
      <c r="V119" s="891">
        <f ca="1">+V118/(V8/90)</f>
        <v>50.163895693743683</v>
      </c>
      <c r="W119" s="891">
        <f ca="1">+W118/(W8/90)</f>
        <v>49.36897007920826</v>
      </c>
      <c r="X119" s="890">
        <f ca="1">+W119</f>
        <v>49.36897007920826</v>
      </c>
      <c r="Y119" s="891">
        <f ca="1">+Y118/(Y8/90)</f>
        <v>52.347476219140027</v>
      </c>
      <c r="Z119" s="1114">
        <f ca="1">+Z118/(Z8/90)</f>
        <v>60.187450597363473</v>
      </c>
      <c r="AA119" s="1114">
        <f ca="1">+AA118/(AA8/90)</f>
        <v>61.114199538102213</v>
      </c>
      <c r="AB119" s="1114">
        <f ca="1">+AB118/(AB8/90)</f>
        <v>71.782561682617512</v>
      </c>
      <c r="AC119" s="1002">
        <f ca="1">+AB119</f>
        <v>71.782561682617512</v>
      </c>
      <c r="AD119" s="1114">
        <f ca="1">+AD118/(AD8/90)</f>
        <v>67.482475285711402</v>
      </c>
      <c r="AE119" s="1114">
        <f ca="1">+AE118/(AE8/90)</f>
        <v>63.808961158789771</v>
      </c>
      <c r="AF119" s="891">
        <f ca="1">+AF118/(AF8/90)</f>
        <v>50.874665931595509</v>
      </c>
      <c r="AG119" s="891">
        <f ca="1">+AG118/(AG8/90)</f>
        <v>55.826079891574423</v>
      </c>
      <c r="AH119" s="1124">
        <f ca="1">+AG119</f>
        <v>55.826079891574423</v>
      </c>
      <c r="AI119" s="891">
        <f ca="1">+AI118/(AI8/90)</f>
        <v>56.070215665586787</v>
      </c>
      <c r="AJ119" s="891">
        <f ca="1">+AJ118/(AJ8/90)</f>
        <v>51.983792337188738</v>
      </c>
      <c r="AK119" s="891">
        <f ca="1">+AK118/(AK8/90)</f>
        <v>47.576690603690487</v>
      </c>
      <c r="AL119" s="891">
        <f ca="1">+AL118/(AL8/90)</f>
        <v>54.941851530098845</v>
      </c>
      <c r="AM119" s="1124">
        <f ca="1">+AL119</f>
        <v>54.941851530098845</v>
      </c>
      <c r="AN119" s="891">
        <f ca="1">+AN118/(AN8/90)</f>
        <v>54.791267344803188</v>
      </c>
      <c r="AO119" s="891">
        <f ca="1">+AO118/(AO8/90)</f>
        <v>52.770403894665691</v>
      </c>
      <c r="AP119" s="891">
        <f ca="1">+AP118/(AP8/90)</f>
        <v>47.646607614023388</v>
      </c>
      <c r="AQ119" s="891">
        <f ca="1">+AQ118/(AQ8/90)</f>
        <v>51.164407216993304</v>
      </c>
      <c r="AR119" s="1124">
        <f ca="1">+AQ119</f>
        <v>51.164407216993304</v>
      </c>
      <c r="AS119" s="891">
        <f ca="1">+AS118/(AS8/90)</f>
        <v>54.216612160742947</v>
      </c>
      <c r="AT119" s="891">
        <f ca="1">+AT118/(AT8/90)</f>
        <v>48.770676288977057</v>
      </c>
      <c r="AU119" s="891">
        <f ca="1">+AU118/(AU8/90)</f>
        <v>48.041871445602425</v>
      </c>
      <c r="AV119" s="891">
        <f ca="1">+AV118/(AV8/90)</f>
        <v>52.153208861689272</v>
      </c>
      <c r="AW119" s="1124">
        <f ca="1">+AV119</f>
        <v>52.153208861689272</v>
      </c>
      <c r="AX119" s="891">
        <f ca="1">+AX118/(AX8/90)</f>
        <v>57.211720784210797</v>
      </c>
      <c r="AY119" s="891">
        <f ca="1">+AY118/(AY8/90)</f>
        <v>51.285719448718311</v>
      </c>
      <c r="AZ119" s="889"/>
      <c r="BA119" s="889"/>
      <c r="BB119" s="889"/>
      <c r="BC119" s="889"/>
      <c r="BD119" s="889"/>
      <c r="BE119" s="889"/>
      <c r="BF119" s="889"/>
      <c r="BG119" s="889"/>
      <c r="BH119" s="889"/>
      <c r="BK119" s="889"/>
      <c r="BL119" s="889"/>
      <c r="BM119" s="889"/>
      <c r="BN119" s="889"/>
      <c r="BO119" s="889"/>
      <c r="BP119" s="889"/>
      <c r="BQ119" s="889"/>
      <c r="BR119" s="889"/>
      <c r="BS119" s="889"/>
      <c r="BT119" s="889"/>
      <c r="BU119" s="889"/>
      <c r="BV119" s="889"/>
      <c r="BW119" s="889"/>
      <c r="BX119" s="889"/>
      <c r="BY119" s="889"/>
      <c r="BZ119" s="889"/>
      <c r="CA119" s="889"/>
      <c r="CB119" s="889"/>
      <c r="CC119" s="889"/>
      <c r="CD119" s="889"/>
      <c r="CE119" s="889"/>
      <c r="CF119" s="889"/>
      <c r="CG119" s="889"/>
      <c r="CH119" s="889"/>
      <c r="CI119" s="889"/>
      <c r="CJ119" s="889"/>
    </row>
    <row r="120" spans="1:88" ht="3" customHeight="1" x14ac:dyDescent="0.2">
      <c r="D120" s="884"/>
      <c r="E120" s="1052"/>
      <c r="F120" s="1052"/>
      <c r="G120" s="1052"/>
      <c r="H120" s="1052"/>
      <c r="I120" s="857"/>
      <c r="J120" s="1052"/>
      <c r="K120" s="1052"/>
      <c r="L120" s="1052"/>
      <c r="M120" s="1052"/>
      <c r="N120" s="857"/>
      <c r="O120" s="1052"/>
      <c r="P120" s="1052"/>
      <c r="Q120" s="1052"/>
      <c r="R120" s="1052"/>
      <c r="S120" s="857"/>
      <c r="T120" s="1052"/>
      <c r="U120" s="1052"/>
      <c r="V120" s="1052"/>
      <c r="W120" s="1052"/>
      <c r="X120" s="857"/>
      <c r="Y120" s="1052"/>
      <c r="Z120" s="1052"/>
      <c r="AA120" s="1052"/>
      <c r="AB120" s="1052"/>
      <c r="AC120" s="857"/>
      <c r="AD120" s="1052"/>
      <c r="AE120" s="1052"/>
      <c r="AF120" s="1052"/>
      <c r="AG120" s="1052"/>
      <c r="AH120" s="1125"/>
      <c r="AI120" s="1052"/>
      <c r="AJ120" s="1052"/>
      <c r="AK120" s="1052"/>
      <c r="AL120" s="1052"/>
      <c r="AM120" s="1125"/>
      <c r="AN120" s="1052"/>
      <c r="AO120" s="1052"/>
      <c r="AP120" s="1052"/>
      <c r="AQ120" s="1052"/>
      <c r="AR120" s="1125"/>
      <c r="AS120" s="1052"/>
      <c r="AT120" s="1052"/>
      <c r="AU120" s="1052"/>
      <c r="AV120" s="1052"/>
      <c r="AW120" s="1125"/>
      <c r="AX120" s="1052"/>
      <c r="AY120" s="1052"/>
      <c r="BN120" s="266"/>
      <c r="BO120" s="266"/>
      <c r="BP120" s="266"/>
      <c r="BQ120" s="266"/>
      <c r="BR120" s="266"/>
      <c r="BS120" s="266"/>
      <c r="BT120" s="266"/>
      <c r="BU120" s="266"/>
      <c r="BV120" s="266"/>
      <c r="BW120" s="266"/>
      <c r="BX120" s="266"/>
      <c r="BY120" s="266"/>
      <c r="BZ120" s="266"/>
      <c r="CA120" s="266"/>
      <c r="CB120" s="266"/>
      <c r="CC120" s="266"/>
      <c r="CD120" s="266"/>
      <c r="CE120" s="266"/>
      <c r="CF120" s="266"/>
      <c r="CG120" s="266"/>
      <c r="CH120" s="266"/>
      <c r="CI120" s="266"/>
      <c r="CJ120" s="266"/>
    </row>
    <row r="121" spans="1:88" ht="13.5" customHeight="1" x14ac:dyDescent="0.2">
      <c r="A121" s="1" t="s">
        <v>29</v>
      </c>
      <c r="B121" s="1" t="s">
        <v>656</v>
      </c>
      <c r="D121" s="858" t="str">
        <f>IF([1]RENAME!$H$3=1,B121,A121)</f>
        <v>Imobilizado</v>
      </c>
      <c r="E121" s="857">
        <v>214161</v>
      </c>
      <c r="F121" s="857">
        <v>216033</v>
      </c>
      <c r="G121" s="857">
        <v>214285</v>
      </c>
      <c r="H121" s="857">
        <v>210100</v>
      </c>
      <c r="I121" s="647">
        <f ca="1">+I122+H121+I24</f>
        <v>156725.32367000001</v>
      </c>
      <c r="J121" s="857">
        <v>193695</v>
      </c>
      <c r="K121" s="857">
        <v>189509</v>
      </c>
      <c r="L121" s="857">
        <v>197392</v>
      </c>
      <c r="M121" s="857">
        <v>202166</v>
      </c>
      <c r="N121" s="647">
        <f ca="1">+N122+M121+N24</f>
        <v>137435.10702</v>
      </c>
      <c r="O121" s="857">
        <v>201707</v>
      </c>
      <c r="P121" s="857">
        <v>210345</v>
      </c>
      <c r="Q121" s="857">
        <v>208236</v>
      </c>
      <c r="R121" s="857">
        <v>209033</v>
      </c>
      <c r="S121" s="647">
        <f ca="1">+S122+R121+S24</f>
        <v>147210.87786000001</v>
      </c>
      <c r="T121" s="857">
        <f ca="1">+SUMIFS(INDIRECT(CONCATENATE("'",$AZ121,$BA121,":",$BB121)),INDIRECT(CONCATENATE("'",$AZ121,$BA$116,":",$BB$116)),T$92)</f>
        <v>207833</v>
      </c>
      <c r="U121" s="857">
        <f ca="1">+SUMIFS(INDIRECT(CONCATENATE("'",$AZ121,$BA121,":",$BB121)),INDIRECT(CONCATENATE("'",$AZ121,$BA$116,":",$BB$116)),U$92)</f>
        <v>204713</v>
      </c>
      <c r="V121" s="857">
        <f ca="1">+SUMIFS(INDIRECT(CONCATENATE("'",$AZ121,$BA121,":",$BB121)),INDIRECT(CONCATENATE("'",$AZ121,$BA$116,":",$BB$116)),V$92)</f>
        <v>203615</v>
      </c>
      <c r="W121" s="857">
        <f ca="1">+SUMIFS(INDIRECT(CONCATENATE("'",$AZ121,$BA121,":",$BB121)),INDIRECT(CONCATENATE("'",$AZ121,$BA$116,":",$BB$116)),W$92)</f>
        <v>202117</v>
      </c>
      <c r="X121" s="647">
        <f ca="1">+X122+W121+X24</f>
        <v>158920.88263000001</v>
      </c>
      <c r="Y121" s="857">
        <f ca="1">+SUMIFS(INDIRECT(CONCATENATE("'",$AZ121,$BA121,":",$BB121)),INDIRECT(CONCATENATE("'",$AZ121,$BA$116,":",$BB$116)),Y$92)</f>
        <v>202115</v>
      </c>
      <c r="Z121" s="857">
        <f ca="1">+SUMIFS(INDIRECT(CONCATENATE("'",$AZ121,$BA121,":",$BB121)),INDIRECT(CONCATENATE("'",$AZ121,$BA$116,":",$BB$116)),Z$92)</f>
        <v>202083</v>
      </c>
      <c r="AA121" s="857">
        <f ca="1">+SUMIFS(INDIRECT(CONCATENATE("'",$AZ121,$BA121,":",$BB121)),INDIRECT(CONCATENATE("'",$AZ121,$BA$116,":",$BB$116)),AA$92)</f>
        <v>206653</v>
      </c>
      <c r="AB121" s="857">
        <f ca="1">+SUMIFS(INDIRECT(CONCATENATE("'",$AZ121,$BA121,":",$BB121)),INDIRECT(CONCATENATE("'",$AZ121,$BA$116,":",$BB$116)),AB$92)</f>
        <v>206881</v>
      </c>
      <c r="AC121" s="647">
        <f ca="1">+AC122+AB121+AC24</f>
        <v>155262.70838000003</v>
      </c>
      <c r="AD121" s="857">
        <f ca="1">+SUMIFS(INDIRECT(CONCATENATE("'",$AZ121,$BA121,":",$BB121)),INDIRECT(CONCATENATE("'",$AZ121,$BA$116,":",$BB$116)),AD$92)</f>
        <v>204701</v>
      </c>
      <c r="AE121" s="857">
        <f ca="1">+SUMIFS(INDIRECT(CONCATENATE("'",$AZ121,$BA121,":",$BB121)),INDIRECT(CONCATENATE("'",$AZ121,$BA$116,":",$BB$116)),AE$92)</f>
        <v>211132</v>
      </c>
      <c r="AF121" s="857">
        <f ca="1">+SUMIFS(INDIRECT(CONCATENATE("'",$AZ121,$BA121,":",$BB121)),INDIRECT(CONCATENATE("'",$AZ121,$BA$116,":",$BB$116)),AF$92)</f>
        <v>212482</v>
      </c>
      <c r="AG121" s="857">
        <f ca="1">+SUMIFS(INDIRECT(CONCATENATE("'",$AZ121,$BA121,":",$BB121)),INDIRECT(CONCATENATE("'",$AZ121,$BA$116,":",$BB$116)),AG$92)</f>
        <v>225154</v>
      </c>
      <c r="AH121" s="1123">
        <f ca="1">+AH122+AG121+AH24</f>
        <v>157842.05447000003</v>
      </c>
      <c r="AI121" s="857">
        <f ca="1">+SUMIFS(INDIRECT(CONCATENATE("'",$AZ121,$BA121,":",$BB121)),INDIRECT(CONCATENATE("'",$AZ121,$BA$116,":",$BB$116)),AI$92)</f>
        <v>223208</v>
      </c>
      <c r="AJ121" s="857">
        <f ca="1">+SUMIFS(INDIRECT(CONCATENATE("'",$AZ121,$BA121,":",$BB121)),INDIRECT(CONCATENATE("'",$AZ121,$BA$116,":",$BB$116)),AJ$92)</f>
        <v>222276</v>
      </c>
      <c r="AK121" s="857">
        <f ca="1">+SUMIFS(INDIRECT(CONCATENATE("'",$AZ121,$BA121,":",$BB121)),INDIRECT(CONCATENATE("'",$AZ121,$BA$116,":",$BB$116)),AK$92)</f>
        <v>228001</v>
      </c>
      <c r="AL121" s="857">
        <f ca="1">+SUMIFS(INDIRECT(CONCATENATE("'",$AZ121,$BA121,":",$BB121)),INDIRECT(CONCATENATE("'",$AZ121,$BA$116,":",$BB$116)),AL$92)</f>
        <v>230500</v>
      </c>
      <c r="AM121" s="1123">
        <f ca="1">+AM122+AL121+AM24</f>
        <v>174756.70574</v>
      </c>
      <c r="AN121" s="857">
        <f ca="1">+SUMIFS(INDIRECT(CONCATENATE("'",$AZ121,$BA121,":",$BB121)),INDIRECT(CONCATENATE("'",$AZ121,$BA$116,":",$BB$116)),AN$92)</f>
        <v>234199</v>
      </c>
      <c r="AO121" s="857">
        <f ca="1">+SUMIFS(INDIRECT(CONCATENATE("'",$AZ121,$BA121,":",$BB121)),INDIRECT(CONCATENATE("'",$AZ121,$BA$116,":",$BB$116)),AO$92)</f>
        <v>238171</v>
      </c>
      <c r="AP121" s="857">
        <f ca="1">+SUMIFS(INDIRECT(CONCATENATE("'",$AZ121,$BA121,":",$BB121)),INDIRECT(CONCATENATE("'",$AZ121,$BA$116,":",$BB$116)),AP$92)</f>
        <v>239710</v>
      </c>
      <c r="AQ121" s="857">
        <f ca="1">+SUMIFS(INDIRECT(CONCATENATE("'",$AZ121,$BA121,":",$BB121)),INDIRECT(CONCATENATE("'",$AZ121,$BA$116,":",$BB$116)),AQ$92)</f>
        <v>245613</v>
      </c>
      <c r="AR121" s="1123">
        <f ca="1">+AR122+AQ121+AR24</f>
        <v>161887.60479000001</v>
      </c>
      <c r="AS121" s="857">
        <f ca="1">+SUMIFS(INDIRECT(CONCATENATE("'",$AZ121,$BA121,":",$BB121)),INDIRECT(CONCATENATE("'",$AZ121,$BA$116,":",$BB$116)),AS$92)</f>
        <v>243995</v>
      </c>
      <c r="AT121" s="857">
        <f ca="1">+SUMIFS(INDIRECT(CONCATENATE("'",$AZ121,$BA121,":",$BB121)),INDIRECT(CONCATENATE("'",$AZ121,$BA$116,":",$BB$116)),AT$92)</f>
        <v>247325</v>
      </c>
      <c r="AU121" s="857">
        <f ca="1">+SUMIFS(INDIRECT(CONCATENATE("'",$AZ121,$BA121,":",$BB121)),INDIRECT(CONCATENATE("'",$AZ121,$BA$116,":",$BB$116)),AU$92)</f>
        <v>258572</v>
      </c>
      <c r="AV121" s="857">
        <f ca="1">+SUMIFS(INDIRECT(CONCATENATE("'",$AZ121,$BA121,":",$BB121)),INDIRECT(CONCATENATE("'",$AZ121,$BA$116,":",$BB$116)),AV$92)</f>
        <v>321041</v>
      </c>
      <c r="AW121" s="1123">
        <f ca="1">+AW122+AV121+AW24</f>
        <v>177396.23191063473</v>
      </c>
      <c r="AX121" s="857">
        <f ca="1">+SUMIFS(INDIRECT(CONCATENATE("'",$AZ121,$BA121,":",$BB121)),INDIRECT(CONCATENATE("'",$AZ121,$BA$116,":",$BB$116)),AX$92)</f>
        <v>323121</v>
      </c>
      <c r="AY121" s="857">
        <f ca="1">+SUMIFS(INDIRECT(CONCATENATE("'",$AZ121,$BA121,":",$BB121)),INDIRECT(CONCATENATE("'",$AZ121,$BA$116,":",$BB$116)),AY$92)</f>
        <v>329572</v>
      </c>
      <c r="AZ121" s="266" t="str">
        <f>IF([1]RENAME!$H$3=0,BD121,BC121)</f>
        <v>BP'!</v>
      </c>
      <c r="BA121" s="266" t="str">
        <f>"$"&amp;ROW(BP!$D$35)</f>
        <v>$35</v>
      </c>
      <c r="BB121" s="266" t="str">
        <f>"$"&amp;ROW(BP!$D$35)</f>
        <v>$35</v>
      </c>
      <c r="BC121" s="266" t="s">
        <v>1717</v>
      </c>
      <c r="BD121" s="266" t="s">
        <v>1716</v>
      </c>
      <c r="BN121" s="266"/>
      <c r="BO121" s="266"/>
      <c r="BP121" s="266"/>
      <c r="BQ121" s="266"/>
      <c r="BR121" s="266"/>
      <c r="BS121" s="266"/>
      <c r="BT121" s="266"/>
      <c r="BU121" s="266"/>
      <c r="BV121" s="266"/>
      <c r="BW121" s="266"/>
      <c r="BX121" s="266"/>
      <c r="BY121" s="266"/>
      <c r="BZ121" s="266"/>
      <c r="CA121" s="266"/>
      <c r="CB121" s="266"/>
      <c r="CC121" s="266"/>
      <c r="CD121" s="266"/>
      <c r="CE121" s="266"/>
      <c r="CF121" s="266"/>
      <c r="CG121" s="266"/>
      <c r="CH121" s="266"/>
      <c r="CI121" s="266"/>
      <c r="CJ121" s="266"/>
    </row>
    <row r="122" spans="1:88" s="895" customFormat="1" ht="13.5" customHeight="1" x14ac:dyDescent="0.2">
      <c r="A122" s="895" t="s">
        <v>64</v>
      </c>
      <c r="B122" s="895" t="s">
        <v>64</v>
      </c>
      <c r="D122" s="898" t="str">
        <f>IF([1]RENAME!$H$3=1,B122,A122)</f>
        <v>CAPEX</v>
      </c>
      <c r="E122" s="897">
        <f ca="1">-SUMIFS(INDIRECT(CONCATENATE("'",$AZ122,$BA122,":",$BB122)),INDIRECT(CONCATENATE("'",$AZ122,$BA$116,":",$BB$116)),E$116)</f>
        <v>-6820</v>
      </c>
      <c r="F122" s="897">
        <f ca="1">-SUMIFS(INDIRECT(CONCATENATE("'",$AZ122,$BA122,":",$BB122)),INDIRECT(CONCATENATE("'",$AZ122,$BA$116,":",$BB$116)),F$116)</f>
        <v>-8432</v>
      </c>
      <c r="G122" s="897">
        <f ca="1">-SUMIFS(INDIRECT(CONCATENATE("'",$AZ122,$BA122,":",$BB122)),INDIRECT(CONCATENATE("'",$AZ122,$BA$116,":",$BB$116)),G$116)</f>
        <v>-5862</v>
      </c>
      <c r="H122" s="897">
        <f ca="1">-SUMIFS(INDIRECT(CONCATENATE("'",$AZ122,$BA122,":",$BB122)),INDIRECT(CONCATENATE("'",$AZ122,$BA$116,":",$BB$116)),H$116)</f>
        <v>-4116</v>
      </c>
      <c r="I122" s="647">
        <f ca="1">+SUM(E122:H122)</f>
        <v>-25230</v>
      </c>
      <c r="J122" s="897">
        <f ca="1">-SUMIFS(INDIRECT(CONCATENATE("'",$AZ122,$BA122,":",$BB122)),INDIRECT(CONCATENATE("'",$AZ122,$BA$116,":",$BB$116)),J$116)</f>
        <v>-2460.1986400000001</v>
      </c>
      <c r="K122" s="897">
        <f ca="1">-SUMIFS(INDIRECT(CONCATENATE("'",$AZ122,$BA122,":",$BB122)),INDIRECT(CONCATENATE("'",$AZ122,$BA$116,":",$BB$116)),K$116)</f>
        <v>-4724.2775700000002</v>
      </c>
      <c r="L122" s="897">
        <f ca="1">-SUMIFS(INDIRECT(CONCATENATE("'",$AZ122,$BA122,":",$BB122)),INDIRECT(CONCATENATE("'",$AZ122,$BA$116,":",$BB$116)),L$116)</f>
        <v>-14999.27721</v>
      </c>
      <c r="M122" s="897">
        <f ca="1">-SUMIFS(INDIRECT(CONCATENATE("'",$AZ122,$BA122,":",$BB122)),INDIRECT(CONCATENATE("'",$AZ122,$BA$116,":",$BB$116)),M$116)</f>
        <v>-13256.331969999999</v>
      </c>
      <c r="N122" s="647">
        <f ca="1">+SUM(J122:M122)</f>
        <v>-35440.08539</v>
      </c>
      <c r="O122" s="897">
        <f ca="1">-SUMIFS(INDIRECT(CONCATENATE("'",$AZ122,$BA122,":",$BB122)),INDIRECT(CONCATENATE("'",$AZ122,$BA$116,":",$BB$116)),O$116)</f>
        <v>-6635.6352500000012</v>
      </c>
      <c r="P122" s="897">
        <f ca="1">-SUMIFS(INDIRECT(CONCATENATE("'",$AZ122,$BA122,":",$BB122)),INDIRECT(CONCATENATE("'",$AZ122,$BA$116,":",$BB$116)),P$116)</f>
        <v>-14552.057499999999</v>
      </c>
      <c r="Q122" s="897">
        <f ca="1">-SUMIFS(INDIRECT(CONCATENATE("'",$AZ122,$BA122,":",$BB122)),INDIRECT(CONCATENATE("'",$AZ122,$BA$116,":",$BB$116)),Q$116)</f>
        <v>-4132.3085700000001</v>
      </c>
      <c r="R122" s="897">
        <f ca="1">-SUMIFS(INDIRECT(CONCATENATE("'",$AZ122,$BA122,":",$BB122)),INDIRECT(CONCATENATE("'",$AZ122,$BA$116,":",$BB$116)),R$116)</f>
        <v>-10689.66779</v>
      </c>
      <c r="S122" s="647">
        <f ca="1">+SUM(O122:R122)</f>
        <v>-36009.669110000003</v>
      </c>
      <c r="T122" s="897">
        <f ca="1">-SUMIFS(INDIRECT(CONCATENATE("'",$AZ122,$BA122,":",$BB122)),INDIRECT(CONCATENATE("'",$AZ122,$BA$116,":",$BB$116)),T$116)</f>
        <v>-5427</v>
      </c>
      <c r="U122" s="897">
        <f ca="1">-SUMIFS(INDIRECT(CONCATENATE("'",$AZ122,$BA122,":",$BB122)),INDIRECT(CONCATENATE("'",$AZ122,$BA$116,":",$BB$116)),U$116)</f>
        <v>-4266</v>
      </c>
      <c r="V122" s="897">
        <f ca="1">-SUMIFS(INDIRECT(CONCATENATE("'",$AZ122,$BA122,":",$BB122)),INDIRECT(CONCATENATE("'",$AZ122,$BA$116,":",$BB$116)),V$116)</f>
        <v>-4406</v>
      </c>
      <c r="W122" s="897">
        <f ca="1">-SUMIFS(INDIRECT(CONCATENATE("'",$AZ122,$BA122,":",$BB122)),INDIRECT(CONCATENATE("'",$AZ122,$BA$116,":",$BB$116)),W$116)</f>
        <v>-5672</v>
      </c>
      <c r="X122" s="647">
        <f ca="1">+SUM(T122:W122)</f>
        <v>-19771</v>
      </c>
      <c r="Y122" s="897">
        <f ca="1">-SUMIFS(INDIRECT(CONCATENATE("'",$AZ122,$BA122,":",$BB122)),INDIRECT(CONCATENATE("'",$AZ122,$BA$116,":",$BB$116)),Y$116)</f>
        <v>-6526</v>
      </c>
      <c r="Z122" s="897">
        <f ca="1">-SUMIFS(INDIRECT(CONCATENATE("'",$AZ122,$BA122,":",$BB122)),INDIRECT(CONCATENATE("'",$AZ122,$BA$116,":",$BB$116)),Z$116)</f>
        <v>-6456</v>
      </c>
      <c r="AA122" s="897">
        <f ca="1">-SUMIFS(INDIRECT(CONCATENATE("'",$AZ122,$BA122,":",$BB122)),INDIRECT(CONCATENATE("'",$AZ122,$BA$116,":",$BB$116)),AA$116)</f>
        <v>-10292</v>
      </c>
      <c r="AB122" s="897">
        <f ca="1">-SUMIFS(INDIRECT(CONCATENATE("'",$AZ122,$BA122,":",$BB122)),INDIRECT(CONCATENATE("'",$AZ122,$BA$116,":",$BB$116)),AB$116)</f>
        <v>-6328</v>
      </c>
      <c r="AC122" s="647">
        <f ca="1">+SUM(Y122:AB122)</f>
        <v>-29602</v>
      </c>
      <c r="AD122" s="897">
        <f ca="1">-SUMIFS(INDIRECT(CONCATENATE("'",$AZ122,$BA122,":",$BB122)),INDIRECT(CONCATENATE("'",$AZ122,$BA$116,":",$BB$116)),AD$116)</f>
        <v>-4409.3565700000054</v>
      </c>
      <c r="AE122" s="897">
        <f ca="1">-SUMIFS(INDIRECT(CONCATENATE("'",$AZ122,$BA122,":",$BB122)),INDIRECT(CONCATENATE("'",$AZ122,$BA$116,":",$BB$116)),AE$116)</f>
        <v>-12332.297929999988</v>
      </c>
      <c r="AF122" s="897">
        <f ca="1">-SUMIFS(INDIRECT(CONCATENATE("'",$AZ122,$BA122,":",$BB122)),INDIRECT(CONCATENATE("'",$AZ122,$BA$116,":",$BB$116)),AF$116)</f>
        <v>-7994.1122999999989</v>
      </c>
      <c r="AG122" s="897">
        <f ca="1">-SUMIFS(INDIRECT(CONCATENATE("'",$AZ122,$BA122,":",$BB122)),INDIRECT(CONCATENATE("'",$AZ122,$BA$116,":",$BB$116)),AG$116)</f>
        <v>-20242.128919999996</v>
      </c>
      <c r="AH122" s="1123">
        <f ca="1">+SUM(AD122:AG122)</f>
        <v>-44977.895719999986</v>
      </c>
      <c r="AI122" s="897">
        <f ca="1">-SUMIFS(INDIRECT(CONCATENATE("'",$AZ122,$BA122,":",$BB122)),INDIRECT(CONCATENATE("'",$AZ122,$BA$116,":",$BB$116)),AI$116)</f>
        <v>-5455.5496700000003</v>
      </c>
      <c r="AJ122" s="897">
        <f ca="1">-SUMIFS(INDIRECT(CONCATENATE("'",$AZ122,$BA122,":",$BB122)),INDIRECT(CONCATENATE("'",$AZ122,$BA$116,":",$BB$116)),AJ$116)</f>
        <v>-5162.2759199999982</v>
      </c>
      <c r="AK122" s="897">
        <f ca="1">-SUMIFS(INDIRECT(CONCATENATE("'",$AZ122,$BA122,":",$BB122)),INDIRECT(CONCATENATE("'",$AZ122,$BA$116,":",$BB$116)),AK$116)</f>
        <v>-11944.03478</v>
      </c>
      <c r="AL122" s="897">
        <f ca="1">-SUMIFS(INDIRECT(CONCATENATE("'",$AZ122,$BA122,":",$BB122)),INDIRECT(CONCATENATE("'",$AZ122,$BA$116,":",$BB$116)),AL$116)</f>
        <v>-10590</v>
      </c>
      <c r="AM122" s="1123">
        <f ca="1">+SUM(AI122:AL122)</f>
        <v>-33151.860369999995</v>
      </c>
      <c r="AN122" s="897">
        <f ca="1">-SUMIFS(INDIRECT(CONCATENATE("'",$AZ122,$BA122,":",$BB122)),INDIRECT(CONCATENATE("'",$AZ122,$BA$116,":",$BB$116)),AN$116)</f>
        <v>-16136</v>
      </c>
      <c r="AO122" s="897">
        <f ca="1">-SUMIFS(INDIRECT(CONCATENATE("'",$AZ122,$BA122,":",$BB122)),INDIRECT(CONCATENATE("'",$AZ122,$BA$116,":",$BB$116)),AO$116)</f>
        <v>-12059.535570000004</v>
      </c>
      <c r="AP122" s="897">
        <f ca="1">-SUMIFS(INDIRECT(CONCATENATE("'",$AZ122,$BA122,":",$BB122)),INDIRECT(CONCATENATE("'",$AZ122,$BA$116,":",$BB$116)),AP$116)</f>
        <v>-12574.213229999987</v>
      </c>
      <c r="AQ122" s="897">
        <f ca="1">-SUMIFS(INDIRECT(CONCATENATE("'",$AZ122,$BA122,":",$BB122)),INDIRECT(CONCATENATE("'",$AZ122,$BA$116,":",$BB$116)),AQ$116)</f>
        <v>-16805.251200000013</v>
      </c>
      <c r="AR122" s="1123">
        <f ca="1">+SUM(AN122:AQ122)</f>
        <v>-57575</v>
      </c>
      <c r="AS122" s="897">
        <f ca="1">-SUMIFS(INDIRECT(CONCATENATE("'",$AZ122,$BA122,":",$BB122)),INDIRECT(CONCATENATE("'",$AZ122,$BA$116,":",$BB$116)),AS$116)</f>
        <v>-9944.0004399999998</v>
      </c>
      <c r="AT122" s="897">
        <f ca="1">-SUMIFS(INDIRECT(CONCATENATE("'",$AZ122,$BA122,":",$BB122)),INDIRECT(CONCATENATE("'",$AZ122,$BA$116,":",$BB$116)),AT$116)</f>
        <v>-11444.999560000009</v>
      </c>
      <c r="AU122" s="897">
        <f ca="1">-SUMIFS(INDIRECT(CONCATENATE("'",$AZ122,$BA122,":",$BB122)),INDIRECT(CONCATENATE("'",$AZ122,$BA$116,":",$BB$116)),AU$116)</f>
        <v>-18181.399209365238</v>
      </c>
      <c r="AV122" s="897">
        <f ca="1">-SUMIFS(INDIRECT(CONCATENATE("'",$AZ122,$BA122,":",$BB122)),INDIRECT(CONCATENATE("'",$AZ122,$BA$116,":",$BB$116)),AV$116)</f>
        <v>-72803.04800000001</v>
      </c>
      <c r="AW122" s="1123">
        <f ca="1">+SUM(AS122:AV122)</f>
        <v>-112373.44720936526</v>
      </c>
      <c r="AX122" s="897">
        <f ca="1">-SUMIFS(INDIRECT(CONCATENATE("'",$AZ122,$BA122,":",$BB122)),INDIRECT(CONCATENATE("'",$AZ122,$BA$116,":",$BB$116)),AX$116)</f>
        <v>-12339.4061</v>
      </c>
      <c r="AY122" s="897">
        <f ca="1">-SUMIFS(INDIRECT(CONCATENATE("'",$AZ122,$BA122,":",$BB122)),INDIRECT(CONCATENATE("'",$AZ122,$BA$116,":",$BB$116)),AY$116)</f>
        <v>-14695.82159</v>
      </c>
      <c r="AZ122" s="266" t="str">
        <f>IF([1]RENAME!$H$3=0,BD122,BC122)</f>
        <v>Indicadores'!</v>
      </c>
      <c r="BA122" s="266" t="str">
        <f>"$"&amp;ROW(Indicadores!$D$45)</f>
        <v>$45</v>
      </c>
      <c r="BB122" s="266" t="str">
        <f>"$"&amp;ROW(Indicadores!$D$45)</f>
        <v>$45</v>
      </c>
      <c r="BC122" s="896" t="s">
        <v>1720</v>
      </c>
      <c r="BD122" s="896" t="s">
        <v>1719</v>
      </c>
      <c r="BE122" s="896"/>
      <c r="BF122" s="896"/>
      <c r="BG122" s="896"/>
      <c r="BH122" s="896"/>
      <c r="BK122" s="896"/>
      <c r="BL122" s="896"/>
      <c r="BM122" s="896"/>
      <c r="BN122" s="896"/>
      <c r="BO122" s="896"/>
      <c r="BP122" s="896"/>
      <c r="BQ122" s="896"/>
      <c r="BR122" s="896"/>
      <c r="BS122" s="896"/>
      <c r="BT122" s="896"/>
      <c r="BU122" s="896"/>
      <c r="BV122" s="896"/>
      <c r="BW122" s="896"/>
      <c r="BX122" s="896"/>
      <c r="BY122" s="896"/>
      <c r="BZ122" s="896"/>
      <c r="CA122" s="896"/>
      <c r="CB122" s="896"/>
      <c r="CC122" s="896"/>
      <c r="CD122" s="896"/>
      <c r="CE122" s="896"/>
      <c r="CF122" s="896"/>
      <c r="CG122" s="896"/>
      <c r="CH122" s="896"/>
      <c r="CI122" s="896"/>
      <c r="CJ122" s="896"/>
    </row>
    <row r="123" spans="1:88" ht="3" customHeight="1" x14ac:dyDescent="0.2">
      <c r="D123" s="884"/>
      <c r="E123" s="1052"/>
      <c r="F123" s="1052"/>
      <c r="G123" s="1052"/>
      <c r="H123" s="1052"/>
      <c r="I123" s="857"/>
      <c r="J123" s="1052"/>
      <c r="K123" s="1052"/>
      <c r="L123" s="1052"/>
      <c r="M123" s="1052"/>
      <c r="N123" s="857"/>
      <c r="O123" s="1052"/>
      <c r="P123" s="1052"/>
      <c r="Q123" s="1052"/>
      <c r="R123" s="1052"/>
      <c r="S123" s="857"/>
      <c r="T123" s="1052"/>
      <c r="U123" s="1052"/>
      <c r="V123" s="1052"/>
      <c r="W123" s="1052"/>
      <c r="X123" s="857"/>
      <c r="Y123" s="1052"/>
      <c r="Z123" s="1052"/>
      <c r="AA123" s="1052"/>
      <c r="AB123" s="1052"/>
      <c r="AC123" s="857"/>
      <c r="AD123" s="1052"/>
      <c r="AE123" s="1052"/>
      <c r="AF123" s="1052"/>
      <c r="AG123" s="1052"/>
      <c r="AH123" s="1125"/>
      <c r="AI123" s="1052"/>
      <c r="AJ123" s="1052"/>
      <c r="AK123" s="1052"/>
      <c r="AL123" s="1052"/>
      <c r="AM123" s="1125"/>
      <c r="AN123" s="1052"/>
      <c r="AO123" s="1052"/>
      <c r="AP123" s="1052"/>
      <c r="AQ123" s="1052"/>
      <c r="AR123" s="1125"/>
      <c r="AS123" s="1052"/>
      <c r="AT123" s="1052"/>
      <c r="AU123" s="1052"/>
      <c r="AV123" s="1052"/>
      <c r="AW123" s="1125"/>
      <c r="AX123" s="1052"/>
      <c r="AY123" s="1052"/>
      <c r="AZ123" s="266">
        <f>IF([1]RENAME!$H$3=0,BD123,BC123)</f>
        <v>0</v>
      </c>
      <c r="BN123" s="266"/>
      <c r="BO123" s="266"/>
      <c r="BP123" s="266"/>
      <c r="BQ123" s="266"/>
      <c r="BR123" s="266"/>
      <c r="BS123" s="266"/>
      <c r="BT123" s="266"/>
      <c r="BU123" s="266"/>
      <c r="BV123" s="266"/>
      <c r="BW123" s="266"/>
      <c r="BX123" s="266"/>
      <c r="BY123" s="266"/>
      <c r="BZ123" s="266"/>
      <c r="CA123" s="266"/>
      <c r="CB123" s="266"/>
      <c r="CC123" s="266"/>
      <c r="CD123" s="266"/>
      <c r="CE123" s="266"/>
      <c r="CF123" s="266"/>
      <c r="CG123" s="266"/>
      <c r="CH123" s="266"/>
      <c r="CI123" s="266"/>
      <c r="CJ123" s="266"/>
    </row>
    <row r="124" spans="1:88" ht="13.5" customHeight="1" x14ac:dyDescent="0.2">
      <c r="A124" s="1" t="s">
        <v>480</v>
      </c>
      <c r="B124" s="1" t="s">
        <v>1381</v>
      </c>
      <c r="D124" s="858" t="str">
        <f>IF([1]RENAME!$H$3=1,B124,A124)</f>
        <v>Fornecedores e fretes</v>
      </c>
      <c r="E124" s="857">
        <v>23189</v>
      </c>
      <c r="F124" s="857">
        <v>23235</v>
      </c>
      <c r="G124" s="857">
        <v>26706</v>
      </c>
      <c r="H124" s="857">
        <v>32237</v>
      </c>
      <c r="I124" s="647">
        <f>+H124</f>
        <v>32237</v>
      </c>
      <c r="J124" s="857">
        <v>28016</v>
      </c>
      <c r="K124" s="857">
        <v>24553</v>
      </c>
      <c r="L124" s="857">
        <v>27786</v>
      </c>
      <c r="M124" s="857">
        <v>36898</v>
      </c>
      <c r="N124" s="647">
        <f>+M124</f>
        <v>36898</v>
      </c>
      <c r="O124" s="857">
        <v>32147</v>
      </c>
      <c r="P124" s="857">
        <v>30700</v>
      </c>
      <c r="Q124" s="857">
        <v>30325</v>
      </c>
      <c r="R124" s="857">
        <v>36312</v>
      </c>
      <c r="S124" s="647">
        <f>+R124</f>
        <v>36312</v>
      </c>
      <c r="T124" s="857">
        <f ca="1">+SUMIFS(INDIRECT(CONCATENATE("'",$AZ124,$BA124,":",$BB124)),INDIRECT(CONCATENATE("'",$AZ124,$BA$116,":",$BB$116)),T$92)</f>
        <v>21287</v>
      </c>
      <c r="U124" s="857">
        <f ca="1">+SUMIFS(INDIRECT(CONCATENATE("'",$AZ124,$BA124,":",$BB124)),INDIRECT(CONCATENATE("'",$AZ124,$BA$116,":",$BB$116)),U$92)</f>
        <v>17169</v>
      </c>
      <c r="V124" s="857">
        <f ca="1">+SUMIFS(INDIRECT(CONCATENATE("'",$AZ124,$BA124,":",$BB124)),INDIRECT(CONCATENATE("'",$AZ124,$BA$116,":",$BB$116)),V$92)</f>
        <v>28173</v>
      </c>
      <c r="W124" s="857">
        <f ca="1">+SUMIFS(INDIRECT(CONCATENATE("'",$AZ124,$BA124,":",$BB124)),INDIRECT(CONCATENATE("'",$AZ124,$BA$116,":",$BB$116)),W$92)</f>
        <v>31268</v>
      </c>
      <c r="X124" s="647">
        <f ca="1">+W124</f>
        <v>31268</v>
      </c>
      <c r="Y124" s="857">
        <f ca="1">+SUMIFS(INDIRECT(CONCATENATE("'",$AZ124,$BA124,":",$BB124)),INDIRECT(CONCATENATE("'",$AZ124,$BA$116,":",$BB$116)),Y$92)</f>
        <v>27426</v>
      </c>
      <c r="Z124" s="901">
        <f ca="1">+SUMIFS(INDIRECT(CONCATENATE("'",$AZ124,$BA124,":",$BB124)),INDIRECT(CONCATENATE("'",$AZ124,$BA$116,":",$BB$116)),Z$92)</f>
        <v>29673</v>
      </c>
      <c r="AA124" s="901">
        <f ca="1">+SUMIFS(INDIRECT(CONCATENATE("'",$AZ124,$BA124,":",$BB124)),INDIRECT(CONCATENATE("'",$AZ124,$BA$116,":",$BB$116)),AA$92)</f>
        <v>37709</v>
      </c>
      <c r="AB124" s="901">
        <f ca="1">+SUMIFS(INDIRECT(CONCATENATE("'",$AZ124,$BA124,":",$BB124)),INDIRECT(CONCATENATE("'",$AZ124,$BA$116,":",$BB$116)),AB$92)</f>
        <v>47838</v>
      </c>
      <c r="AC124" s="916">
        <f ca="1">+AB124</f>
        <v>47838</v>
      </c>
      <c r="AD124" s="901">
        <f ca="1">+SUMIFS(INDIRECT(CONCATENATE("'",$AZ124,$BA124,":",$BB124)),INDIRECT(CONCATENATE("'",$AZ124,$BA$116,":",$BB$116)),AD$92)</f>
        <v>39307</v>
      </c>
      <c r="AE124" s="901">
        <f ca="1">+SUMIFS(INDIRECT(CONCATENATE("'",$AZ124,$BA124,":",$BB124)),INDIRECT(CONCATENATE("'",$AZ124,$BA$116,":",$BB$116)),AE$92)</f>
        <v>34064</v>
      </c>
      <c r="AF124" s="857">
        <f ca="1">+SUMIFS(INDIRECT(CONCATENATE("'",$AZ124,$BA124,":",$BB124)),INDIRECT(CONCATENATE("'",$AZ124,$BA$116,":",$BB$116)),AF$92)</f>
        <v>30411</v>
      </c>
      <c r="AG124" s="857">
        <f ca="1">+SUMIFS(INDIRECT(CONCATENATE("'",$AZ124,$BA124,":",$BB124)),INDIRECT(CONCATENATE("'",$AZ124,$BA$116,":",$BB$116)),AG$92)</f>
        <v>49406</v>
      </c>
      <c r="AH124" s="1123">
        <f ca="1">+AG124</f>
        <v>49406</v>
      </c>
      <c r="AI124" s="857">
        <f ca="1">+SUMIFS(INDIRECT(CONCATENATE("'",$AZ124,$BA124,":",$BB124)),INDIRECT(CONCATENATE("'",$AZ124,$BA$116,":",$BB$116)),AI$92)</f>
        <v>36895</v>
      </c>
      <c r="AJ124" s="857">
        <f ca="1">+SUMIFS(INDIRECT(CONCATENATE("'",$AZ124,$BA124,":",$BB124)),INDIRECT(CONCATENATE("'",$AZ124,$BA$116,":",$BB$116)),AJ$92)</f>
        <v>36160</v>
      </c>
      <c r="AK124" s="857">
        <f ca="1">+SUMIFS(INDIRECT(CONCATENATE("'",$AZ124,$BA124,":",$BB124)),INDIRECT(CONCATENATE("'",$AZ124,$BA$116,":",$BB$116)),AK$92)</f>
        <v>43470</v>
      </c>
      <c r="AL124" s="857">
        <f ca="1">+SUMIFS(INDIRECT(CONCATENATE("'",$AZ124,$BA124,":",$BB124)),INDIRECT(CONCATENATE("'",$AZ124,$BA$116,":",$BB$116)),AL$92)</f>
        <v>49620</v>
      </c>
      <c r="AM124" s="1123">
        <f ca="1">+AL124</f>
        <v>49620</v>
      </c>
      <c r="AN124" s="857">
        <f ca="1">+SUMIFS(INDIRECT(CONCATENATE("'",$AZ124,$BA124,":",$BB124)),INDIRECT(CONCATENATE("'",$AZ124,$BA$116,":",$BB$116)),AN$92)</f>
        <v>45666</v>
      </c>
      <c r="AO124" s="857">
        <f ca="1">+SUMIFS(INDIRECT(CONCATENATE("'",$AZ124,$BA124,":",$BB124)),INDIRECT(CONCATENATE("'",$AZ124,$BA$116,":",$BB$116)),AO$92)</f>
        <v>54715</v>
      </c>
      <c r="AP124" s="857">
        <f ca="1">+SUMIFS(INDIRECT(CONCATENATE("'",$AZ124,$BA124,":",$BB124)),INDIRECT(CONCATENATE("'",$AZ124,$BA$116,":",$BB$116)),AP$92)</f>
        <v>56527</v>
      </c>
      <c r="AQ124" s="857">
        <f ca="1">+SUMIFS(INDIRECT(CONCATENATE("'",$AZ124,$BA124,":",$BB124)),INDIRECT(CONCATENATE("'",$AZ124,$BA$116,":",$BB$116)),AQ$92)</f>
        <v>62418</v>
      </c>
      <c r="AR124" s="1123">
        <f ca="1">+AQ124</f>
        <v>62418</v>
      </c>
      <c r="AS124" s="857">
        <f ca="1">+SUMIFS(INDIRECT(CONCATENATE("'",$AZ124,$BA124,":",$BB124)),INDIRECT(CONCATENATE("'",$AZ124,$BA$116,":",$BB$116)),AS$92)</f>
        <v>48147</v>
      </c>
      <c r="AT124" s="857">
        <f ca="1">+SUMIFS(INDIRECT(CONCATENATE("'",$AZ124,$BA124,":",$BB124)),INDIRECT(CONCATENATE("'",$AZ124,$BA$116,":",$BB$116)),AT$92)</f>
        <v>52246</v>
      </c>
      <c r="AU124" s="857">
        <f ca="1">+SUMIFS(INDIRECT(CONCATENATE("'",$AZ124,$BA124,":",$BB124)),INDIRECT(CONCATENATE("'",$AZ124,$BA$116,":",$BB$116)),AU$92)</f>
        <v>59589</v>
      </c>
      <c r="AV124" s="857">
        <f ca="1">+SUMIFS(INDIRECT(CONCATENATE("'",$AZ124,$BA124,":",$BB124)),INDIRECT(CONCATENATE("'",$AZ124,$BA$116,":",$BB$116)),AV$92)</f>
        <v>62248</v>
      </c>
      <c r="AW124" s="1123">
        <f ca="1">+AV124</f>
        <v>62248</v>
      </c>
      <c r="AX124" s="857">
        <f ca="1">+SUMIFS(INDIRECT(CONCATENATE("'",$AZ124,$BA124,":",$BB124)),INDIRECT(CONCATENATE("'",$AZ124,$BA$116,":",$BB$116)),AX$92)</f>
        <v>68197</v>
      </c>
      <c r="AY124" s="857">
        <f ca="1">+SUMIFS(INDIRECT(CONCATENATE("'",$AZ124,$BA124,":",$BB124)),INDIRECT(CONCATENATE("'",$AZ124,$BA$116,":",$BB$116)),AY$92)</f>
        <v>77654</v>
      </c>
      <c r="AZ124" s="266" t="str">
        <f>IF([1]RENAME!$H$3=0,BD124,BC124)</f>
        <v>BP'!</v>
      </c>
      <c r="BA124" s="266" t="str">
        <f>"$"&amp;ROW(BP!$D$46)</f>
        <v>$46</v>
      </c>
      <c r="BB124" s="266" t="str">
        <f>"$"&amp;ROW(BP!$D$46)</f>
        <v>$46</v>
      </c>
      <c r="BC124" s="266" t="s">
        <v>1717</v>
      </c>
      <c r="BD124" s="266" t="s">
        <v>1716</v>
      </c>
      <c r="BN124" s="266"/>
      <c r="BO124" s="266"/>
      <c r="BP124" s="266"/>
      <c r="BQ124" s="266"/>
      <c r="BR124" s="266"/>
      <c r="BS124" s="266"/>
      <c r="BT124" s="266"/>
      <c r="BU124" s="266"/>
      <c r="BV124" s="266"/>
      <c r="BW124" s="266"/>
      <c r="BX124" s="266"/>
      <c r="BY124" s="266"/>
      <c r="BZ124" s="266"/>
      <c r="CA124" s="266"/>
      <c r="CB124" s="266"/>
      <c r="CC124" s="266"/>
      <c r="CD124" s="266"/>
      <c r="CE124" s="266"/>
      <c r="CF124" s="266"/>
      <c r="CG124" s="266"/>
      <c r="CH124" s="266"/>
      <c r="CI124" s="266"/>
      <c r="CJ124" s="266"/>
    </row>
    <row r="125" spans="1:88" s="282" customFormat="1" ht="13.5" customHeight="1" x14ac:dyDescent="0.2">
      <c r="A125" s="282" t="s">
        <v>1376</v>
      </c>
      <c r="B125" s="894" t="s">
        <v>1382</v>
      </c>
      <c r="C125" s="893"/>
      <c r="D125" s="892" t="str">
        <f>IF([1]RENAME!$H$3=1,B125,A125)</f>
        <v>Dias a pagar</v>
      </c>
      <c r="E125" s="891">
        <f ca="1">+E124/(E12/90)</f>
        <v>-11.933599249814067</v>
      </c>
      <c r="F125" s="891">
        <f ca="1">+F124/(F12/90)</f>
        <v>-10.155106692879134</v>
      </c>
      <c r="G125" s="891">
        <f ca="1">+G124/(G12/90)</f>
        <v>-10.626386994120585</v>
      </c>
      <c r="H125" s="891">
        <f ca="1">+H124/(H12/90)</f>
        <v>-11.730012200209686</v>
      </c>
      <c r="I125" s="890">
        <f ca="1">+H125</f>
        <v>-11.730012200209686</v>
      </c>
      <c r="J125" s="891">
        <f ca="1">+J124/(J12/90)</f>
        <v>-12.172282363421248</v>
      </c>
      <c r="K125" s="891">
        <f ca="1">+K124/(K12/90)</f>
        <v>-9.608399476626218</v>
      </c>
      <c r="L125" s="891">
        <f ca="1">+L124/(L12/90)</f>
        <v>-9.6788574904958349</v>
      </c>
      <c r="M125" s="891">
        <f ca="1">+M124/(M12/90)</f>
        <v>-12.100857505285793</v>
      </c>
      <c r="N125" s="890">
        <f ca="1">+M125</f>
        <v>-12.100857505285793</v>
      </c>
      <c r="O125" s="891">
        <f ca="1">+O124/(O12/90)</f>
        <v>-13.159486062556086</v>
      </c>
      <c r="P125" s="891">
        <f ca="1">+P124/(P12/90)</f>
        <v>-11.062378441584492</v>
      </c>
      <c r="Q125" s="891">
        <f ca="1">+Q124/(Q12/90)</f>
        <v>-10.843024330046713</v>
      </c>
      <c r="R125" s="891">
        <f ca="1">+R124/(R12/90)</f>
        <v>-11.710730922071987</v>
      </c>
      <c r="S125" s="890">
        <f ca="1">+R125</f>
        <v>-11.710730922071987</v>
      </c>
      <c r="T125" s="891">
        <f ca="1">+T124/(T12/90)</f>
        <v>-9.2157068853869877</v>
      </c>
      <c r="U125" s="891">
        <f ca="1">+U124/(U12/90)</f>
        <v>-14.587910140543697</v>
      </c>
      <c r="V125" s="891">
        <f ca="1">+V124/(V12/90)</f>
        <v>-11.939629091146879</v>
      </c>
      <c r="W125" s="891">
        <f ca="1">+W124/(W12/90)</f>
        <v>-12.067483423060411</v>
      </c>
      <c r="X125" s="890">
        <f ca="1">+W125</f>
        <v>-12.067483423060411</v>
      </c>
      <c r="Y125" s="891">
        <f ca="1">+Y124/(Y12/90)</f>
        <v>-13.754623422236131</v>
      </c>
      <c r="Z125" s="1114">
        <f ca="1">+Z124/(Z12/90)</f>
        <v>-14.759832815906426</v>
      </c>
      <c r="AA125" s="1114">
        <f ca="1">+AA124/(AA12/90)</f>
        <v>-19.062321463452598</v>
      </c>
      <c r="AB125" s="1114">
        <f ca="1">+AB124/(AB12/90)</f>
        <v>-18.36582366014191</v>
      </c>
      <c r="AC125" s="1002">
        <f ca="1">+AB125</f>
        <v>-18.36582366014191</v>
      </c>
      <c r="AD125" s="1114">
        <f ca="1">+AD124/(AD12/90)</f>
        <v>-18.654454177466803</v>
      </c>
      <c r="AE125" s="1114">
        <f ca="1">+AE124/(AE12/90)</f>
        <v>-13.069732434324456</v>
      </c>
      <c r="AF125" s="891">
        <f ca="1">+AF124/(AF12/90)</f>
        <v>-8.8730656490397379</v>
      </c>
      <c r="AG125" s="891">
        <f ca="1">+AG124/(AG12/90)</f>
        <v>-14.135644556540573</v>
      </c>
      <c r="AH125" s="1124">
        <f ca="1">+AG125</f>
        <v>-14.135644556540573</v>
      </c>
      <c r="AI125" s="891">
        <f ca="1">+AI124/(AI12/90)</f>
        <v>-12.585883443551195</v>
      </c>
      <c r="AJ125" s="891">
        <f ca="1">+AJ124/(AJ12/90)</f>
        <v>-11.399507890810398</v>
      </c>
      <c r="AK125" s="891">
        <f ca="1">+AK124/(AK12/90)</f>
        <v>-12.111450198110719</v>
      </c>
      <c r="AL125" s="891">
        <f ca="1">+AL124/(AL12/90)</f>
        <v>-12.783115107752598</v>
      </c>
      <c r="AM125" s="1124">
        <f ca="1">+AL125</f>
        <v>-12.783115107752598</v>
      </c>
      <c r="AN125" s="891">
        <f ca="1">+AN124/(AN12/90)</f>
        <v>-13.565318593967481</v>
      </c>
      <c r="AO125" s="891">
        <f ca="1">+AO124/(AO12/90)</f>
        <v>-13.5267447568615</v>
      </c>
      <c r="AP125" s="1183">
        <f ca="1">+AP124/(AP12/90)</f>
        <v>-11.265199630188391</v>
      </c>
      <c r="AQ125" s="1183">
        <f ca="1">+AQ124/(AQ12/90)</f>
        <v>-11.953800014477812</v>
      </c>
      <c r="AR125" s="1124">
        <f ca="1">+AQ125</f>
        <v>-11.953800014477812</v>
      </c>
      <c r="AS125" s="1183">
        <f ca="1">+AS124/(AS12/90)</f>
        <v>-12.630157763381856</v>
      </c>
      <c r="AT125" s="1183">
        <f ca="1">+AT124/(AT12/90)</f>
        <v>-11.297739759922276</v>
      </c>
      <c r="AU125" s="1183">
        <f ca="1">+AU124/(AU12/90)</f>
        <v>-10.965299442536605</v>
      </c>
      <c r="AV125" s="1183">
        <f ca="1">+AV124/(AV12/90)</f>
        <v>-11.318189799832316</v>
      </c>
      <c r="AW125" s="1124">
        <f ca="1">+AV125</f>
        <v>-11.318189799832316</v>
      </c>
      <c r="AX125" s="1183">
        <f ca="1">+AX124/(AX12/90)</f>
        <v>-14.508709413254179</v>
      </c>
      <c r="AY125" s="1183">
        <f ca="1">+AY124/(AY12/90)</f>
        <v>-12.208716948072246</v>
      </c>
      <c r="AZ125" s="889"/>
      <c r="BA125" s="889"/>
      <c r="BB125" s="889"/>
      <c r="BC125" s="889"/>
      <c r="BD125" s="889"/>
      <c r="BE125" s="889"/>
      <c r="BF125" s="889"/>
      <c r="BG125" s="889"/>
      <c r="BH125" s="889"/>
      <c r="BK125" s="889"/>
      <c r="BL125" s="889"/>
      <c r="BM125" s="889"/>
      <c r="BN125" s="889"/>
      <c r="BO125" s="889"/>
      <c r="BP125" s="889"/>
      <c r="BQ125" s="889"/>
      <c r="BR125" s="889"/>
      <c r="BS125" s="889"/>
      <c r="BT125" s="889"/>
      <c r="BU125" s="889"/>
      <c r="BV125" s="889"/>
      <c r="BW125" s="889"/>
      <c r="BX125" s="889"/>
      <c r="BY125" s="889"/>
      <c r="BZ125" s="889"/>
      <c r="CA125" s="889"/>
      <c r="CB125" s="889"/>
      <c r="CC125" s="889"/>
      <c r="CD125" s="889"/>
      <c r="CE125" s="889"/>
      <c r="CF125" s="889"/>
      <c r="CG125" s="889"/>
      <c r="CH125" s="889"/>
      <c r="CI125" s="889"/>
      <c r="CJ125" s="889"/>
    </row>
    <row r="126" spans="1:88" ht="3" customHeight="1" x14ac:dyDescent="0.2">
      <c r="D126" s="884"/>
      <c r="E126" s="1052"/>
      <c r="F126" s="1052"/>
      <c r="G126" s="1052"/>
      <c r="H126" s="1052"/>
      <c r="I126" s="857"/>
      <c r="J126" s="1052"/>
      <c r="K126" s="1052"/>
      <c r="L126" s="1052"/>
      <c r="M126" s="1052"/>
      <c r="N126" s="857"/>
      <c r="O126" s="1052"/>
      <c r="P126" s="1052"/>
      <c r="Q126" s="1052"/>
      <c r="R126" s="1052"/>
      <c r="S126" s="857"/>
      <c r="T126" s="1052"/>
      <c r="U126" s="1052"/>
      <c r="V126" s="1052"/>
      <c r="W126" s="1052"/>
      <c r="X126" s="857"/>
      <c r="Y126" s="1052"/>
      <c r="Z126" s="1052"/>
      <c r="AA126" s="1052"/>
      <c r="AB126" s="1052"/>
      <c r="AC126" s="857"/>
      <c r="AD126" s="1052"/>
      <c r="AE126" s="1052"/>
      <c r="AF126" s="1052"/>
      <c r="AG126" s="1052"/>
      <c r="AH126" s="1125"/>
      <c r="AI126" s="1052"/>
      <c r="AJ126" s="1052"/>
      <c r="AK126" s="1052"/>
      <c r="AL126" s="1052"/>
      <c r="AM126" s="1125"/>
      <c r="AN126" s="1052"/>
      <c r="AO126" s="1052"/>
      <c r="AP126" s="1052"/>
      <c r="AQ126" s="1052"/>
      <c r="AR126" s="1125"/>
      <c r="AS126" s="1052"/>
      <c r="AT126" s="1052"/>
      <c r="AU126" s="1052"/>
      <c r="AV126" s="1052"/>
      <c r="AW126" s="1125"/>
      <c r="AX126" s="1052"/>
      <c r="AY126" s="1052"/>
      <c r="BN126" s="266"/>
      <c r="BO126" s="266"/>
      <c r="BP126" s="266"/>
      <c r="BQ126" s="266"/>
      <c r="BR126" s="266"/>
      <c r="BS126" s="266"/>
      <c r="BT126" s="266"/>
      <c r="BU126" s="266"/>
      <c r="BV126" s="266"/>
      <c r="BW126" s="266"/>
      <c r="BX126" s="266"/>
      <c r="BY126" s="266"/>
      <c r="BZ126" s="266"/>
      <c r="CA126" s="266"/>
      <c r="CB126" s="266"/>
      <c r="CC126" s="266"/>
      <c r="CD126" s="266"/>
      <c r="CE126" s="266"/>
      <c r="CF126" s="266"/>
      <c r="CG126" s="266"/>
      <c r="CH126" s="266"/>
      <c r="CI126" s="266"/>
      <c r="CJ126" s="266"/>
    </row>
    <row r="127" spans="1:88" ht="14.25" customHeight="1" x14ac:dyDescent="0.2">
      <c r="A127" s="478" t="s">
        <v>1718</v>
      </c>
      <c r="B127" s="1" t="s">
        <v>661</v>
      </c>
      <c r="D127" s="858" t="str">
        <f>IF([1]RENAME!$H$3=1,B127,A127)</f>
        <v>Empréstimos e financiamentos (Circulante e não circulante)</v>
      </c>
      <c r="E127" s="857">
        <v>291577</v>
      </c>
      <c r="F127" s="857">
        <v>221452</v>
      </c>
      <c r="G127" s="857">
        <v>273851</v>
      </c>
      <c r="H127" s="857">
        <v>219975</v>
      </c>
      <c r="I127" s="647">
        <f>+H127</f>
        <v>219975</v>
      </c>
      <c r="J127" s="857">
        <v>154169</v>
      </c>
      <c r="K127" s="857">
        <v>148113</v>
      </c>
      <c r="L127" s="857">
        <v>158913</v>
      </c>
      <c r="M127" s="857">
        <v>158586</v>
      </c>
      <c r="N127" s="647">
        <f>+M127</f>
        <v>158586</v>
      </c>
      <c r="O127" s="857">
        <v>142726</v>
      </c>
      <c r="P127" s="857">
        <v>138647</v>
      </c>
      <c r="Q127" s="857">
        <v>140100</v>
      </c>
      <c r="R127" s="857">
        <v>137418</v>
      </c>
      <c r="S127" s="647">
        <f>+R127</f>
        <v>137418</v>
      </c>
      <c r="T127" s="857">
        <f ca="1">+SUMIFS(INDIRECT(CONCATENATE("'",$AZ127,$BA127,":",$BA127)),INDIRECT(CONCATENATE("'",$AZ127,$BA$116,":",$BA$116)),T$92)+SUMIFS(INDIRECT(CONCATENATE("'",$AZ127,$BB127,":",$BB127)),INDIRECT(CONCATENATE("'",$AZ127,$BA$116,":",$BA$116)),T$92)+SUMIFS(INDIRECT(CONCATENATE("'",$AZ127,$BC127,":",$BC127)),INDIRECT(CONCATENATE("'",$AZ127,$BA$116,":",$BA$116)),T$92)+SUMIFS(INDIRECT(CONCATENATE("'",$AZ127,$BD127,":",$BD127)),INDIRECT(CONCATENATE("'",$AZ127,$BA$116,":",$BA$116)),T$92)-SUMIFS(INDIRECT(CONCATENATE("'",$AZ127,$BE127,":",$BE127)),INDIRECT(CONCATENATE("'",$AZ127,$BA$116,":",$BA$116)),T$92)</f>
        <v>109177</v>
      </c>
      <c r="U127" s="857">
        <f ca="1">+SUMIFS(INDIRECT(CONCATENATE("'",$AZ127,$BA127,":",$BA127)),INDIRECT(CONCATENATE("'",$AZ127,$BA$116,":",$BA$116)),U$92)+SUMIFS(INDIRECT(CONCATENATE("'",$AZ127,$BB127,":",$BB127)),INDIRECT(CONCATENATE("'",$AZ127,$BA$116,":",$BA$116)),U$92)+SUMIFS(INDIRECT(CONCATENATE("'",$AZ127,$BC127,":",$BC127)),INDIRECT(CONCATENATE("'",$AZ127,$BA$116,":",$BA$116)),U$92)+SUMIFS(INDIRECT(CONCATENATE("'",$AZ127,$BD127,":",$BD127)),INDIRECT(CONCATENATE("'",$AZ127,$BA$116,":",$BA$116)),U$92)-SUMIFS(INDIRECT(CONCATENATE("'",$AZ127,$BE127,":",$BE127)),INDIRECT(CONCATENATE("'",$AZ127,$BA$116,":",$BA$116)),U$92)</f>
        <v>199692</v>
      </c>
      <c r="V127" s="857">
        <f ca="1">+SUMIFS(INDIRECT(CONCATENATE("'",$AZ127,$BA127,":",$BA127)),INDIRECT(CONCATENATE("'",$AZ127,$BA$116,":",$BA$116)),V$92)+SUMIFS(INDIRECT(CONCATENATE("'",$AZ127,$BB127,":",$BB127)),INDIRECT(CONCATENATE("'",$AZ127,$BA$116,":",$BA$116)),V$92)+SUMIFS(INDIRECT(CONCATENATE("'",$AZ127,$BC127,":",$BC127)),INDIRECT(CONCATENATE("'",$AZ127,$BA$116,":",$BA$116)),V$92)+SUMIFS(INDIRECT(CONCATENATE("'",$AZ127,$BD127,":",$BD127)),INDIRECT(CONCATENATE("'",$AZ127,$BA$116,":",$BA$116)),V$92)-SUMIFS(INDIRECT(CONCATENATE("'",$AZ127,$BE127,":",$BE127)),INDIRECT(CONCATENATE("'",$AZ127,$BA$116,":",$BA$116)),V$92)</f>
        <v>194035</v>
      </c>
      <c r="W127" s="857">
        <f ca="1">+SUMIFS(INDIRECT(CONCATENATE("'",$AZ127,$BA127,":",$BA127)),INDIRECT(CONCATENATE("'",$AZ127,$BA$116,":",$BA$116)),W$92)+SUMIFS(INDIRECT(CONCATENATE("'",$AZ127,$BB127,":",$BB127)),INDIRECT(CONCATENATE("'",$AZ127,$BA$116,":",$BA$116)),W$92)+SUMIFS(INDIRECT(CONCATENATE("'",$AZ127,$BC127,":",$BC127)),INDIRECT(CONCATENATE("'",$AZ127,$BA$116,":",$BA$116)),W$92)+SUMIFS(INDIRECT(CONCATENATE("'",$AZ127,$BD127,":",$BD127)),INDIRECT(CONCATENATE("'",$AZ127,$BA$116,":",$BA$116)),W$92)-SUMIFS(INDIRECT(CONCATENATE("'",$AZ127,$BE127,":",$BE127)),INDIRECT(CONCATENATE("'",$AZ127,$BA$116,":",$BA$116)),W$92)</f>
        <v>194370</v>
      </c>
      <c r="X127" s="647">
        <f ca="1">+W127</f>
        <v>194370</v>
      </c>
      <c r="Y127" s="857">
        <f ca="1">+SUMIFS(INDIRECT(CONCATENATE("'",$AZ127,$BA127,":",$BA127)),INDIRECT(CONCATENATE("'",$AZ127,$BA$116,":",$BA$116)),Y$92)+SUMIFS(INDIRECT(CONCATENATE("'",$AZ127,$BB127,":",$BB127)),INDIRECT(CONCATENATE("'",$AZ127,$BA$116,":",$BA$116)),Y$92)+SUMIFS(INDIRECT(CONCATENATE("'",$AZ127,$BC127,":",$BC127)),INDIRECT(CONCATENATE("'",$AZ127,$BA$116,":",$BA$116)),Y$92)+SUMIFS(INDIRECT(CONCATENATE("'",$AZ127,$BD127,":",$BD127)),INDIRECT(CONCATENATE("'",$AZ127,$BA$116,":",$BA$116)),Y$92)-SUMIFS(INDIRECT(CONCATENATE("'",$AZ127,$BE127,":",$BE127)),INDIRECT(CONCATENATE("'",$AZ127,$BA$116,":",$BA$116)),Y$92)</f>
        <v>195148</v>
      </c>
      <c r="Z127" s="857">
        <f ca="1">+SUMIFS(INDIRECT(CONCATENATE("'",$AZ127,$BA127,":",$BA127)),INDIRECT(CONCATENATE("'",$AZ127,$BA$116,":",$BA$116)),Z$92)+SUMIFS(INDIRECT(CONCATENATE("'",$AZ127,$BB127,":",$BB127)),INDIRECT(CONCATENATE("'",$AZ127,$BA$116,":",$BA$116)),Z$92)+SUMIFS(INDIRECT(CONCATENATE("'",$AZ127,$BC127,":",$BC127)),INDIRECT(CONCATENATE("'",$AZ127,$BA$116,":",$BA$116)),Z$92)+SUMIFS(INDIRECT(CONCATENATE("'",$AZ127,$BD127,":",$BD127)),INDIRECT(CONCATENATE("'",$AZ127,$BA$116,":",$BA$116)),Z$92)-SUMIFS(INDIRECT(CONCATENATE("'",$AZ127,$BE127,":",$BE127)),INDIRECT(CONCATENATE("'",$AZ127,$BA$116,":",$BA$116)),Z$92)</f>
        <v>152866</v>
      </c>
      <c r="AA127" s="857">
        <f ca="1">+SUMIFS(INDIRECT(CONCATENATE("'",$AZ127,$BA127,":",$BA127)),INDIRECT(CONCATENATE("'",$AZ127,$BA$116,":",$BA$116)),AA$92)+SUMIFS(INDIRECT(CONCATENATE("'",$AZ127,$BB127,":",$BB127)),INDIRECT(CONCATENATE("'",$AZ127,$BA$116,":",$BA$116)),AA$92)+SUMIFS(INDIRECT(CONCATENATE("'",$AZ127,$BC127,":",$BC127)),INDIRECT(CONCATENATE("'",$AZ127,$BA$116,":",$BA$116)),AA$92)+SUMIFS(INDIRECT(CONCATENATE("'",$AZ127,$BD127,":",$BD127)),INDIRECT(CONCATENATE("'",$AZ127,$BA$116,":",$BA$116)),AA$92)-SUMIFS(INDIRECT(CONCATENATE("'",$AZ127,$BE127,":",$BE127)),INDIRECT(CONCATENATE("'",$AZ127,$BA$116,":",$BA$116)),AA$92)</f>
        <v>128229</v>
      </c>
      <c r="AB127" s="857">
        <f ca="1">+SUMIFS(INDIRECT(CONCATENATE("'",$AZ127,$BA127,":",$BA127)),INDIRECT(CONCATENATE("'",$AZ127,$BA$116,":",$BA$116)),AB$92)+SUMIFS(INDIRECT(CONCATENATE("'",$AZ127,$BB127,":",$BB127)),INDIRECT(CONCATENATE("'",$AZ127,$BA$116,":",$BA$116)),AB$92)+SUMIFS(INDIRECT(CONCATENATE("'",$AZ127,$BC127,":",$BC127)),INDIRECT(CONCATENATE("'",$AZ127,$BA$116,":",$BA$116)),AB$92)+SUMIFS(INDIRECT(CONCATENATE("'",$AZ127,$BD127,":",$BD127)),INDIRECT(CONCATENATE("'",$AZ127,$BA$116,":",$BA$116)),AB$92)-SUMIFS(INDIRECT(CONCATENATE("'",$AZ127,$BE127,":",$BE127)),INDIRECT(CONCATENATE("'",$AZ127,$BA$116,":",$BA$116)),AB$92)</f>
        <v>129437</v>
      </c>
      <c r="AC127" s="647">
        <f ca="1">+AB127</f>
        <v>129437</v>
      </c>
      <c r="AD127" s="857">
        <f ca="1">+SUMIFS(INDIRECT(CONCATENATE("'",$AZ127,$BA127,":",$BA127)),INDIRECT(CONCATENATE("'",$AZ127,$BA$116,":",$BA$116)),AD$92)+SUMIFS(INDIRECT(CONCATENATE("'",$AZ127,$BB127,":",$BB127)),INDIRECT(CONCATENATE("'",$AZ127,$BA$116,":",$BA$116)),AD$92)+SUMIFS(INDIRECT(CONCATENATE("'",$AZ127,$BC127,":",$BC127)),INDIRECT(CONCATENATE("'",$AZ127,$BA$116,":",$BA$116)),AD$92)+SUMIFS(INDIRECT(CONCATENATE("'",$AZ127,$BD127,":",$BD127)),INDIRECT(CONCATENATE("'",$AZ127,$BA$116,":",$BA$116)),AD$92)-SUMIFS(INDIRECT(CONCATENATE("'",$AZ127,$BE127,":",$BE127)),INDIRECT(CONCATENATE("'",$AZ127,$BA$116,":",$BA$116)),AD$92)</f>
        <v>119778</v>
      </c>
      <c r="AE127" s="857">
        <f ca="1">+SUMIFS(INDIRECT(CONCATENATE("'",$AZ127,$BA127,":",$BA127)),INDIRECT(CONCATENATE("'",$AZ127,$BA$116,":",$BA$116)),AE$92)+SUMIFS(INDIRECT(CONCATENATE("'",$AZ127,$BB127,":",$BB127)),INDIRECT(CONCATENATE("'",$AZ127,$BA$116,":",$BA$116)),AE$92)+SUMIFS(INDIRECT(CONCATENATE("'",$AZ127,$BC127,":",$BC127)),INDIRECT(CONCATENATE("'",$AZ127,$BA$116,":",$BA$116)),AE$92)+SUMIFS(INDIRECT(CONCATENATE("'",$AZ127,$BD127,":",$BD127)),INDIRECT(CONCATENATE("'",$AZ127,$BA$116,":",$BA$116)),AE$92)-SUMIFS(INDIRECT(CONCATENATE("'",$AZ127,$BE127,":",$BE127)),INDIRECT(CONCATENATE("'",$AZ127,$BA$116,":",$BA$116)),AE$92)</f>
        <v>68935</v>
      </c>
      <c r="AF127" s="857">
        <f ca="1">+SUMIFS(INDIRECT(CONCATENATE("'",$AZ127,$BA127,":",$BA127)),INDIRECT(CONCATENATE("'",$AZ127,$BA$116,":",$BA$116)),AF$92)+SUMIFS(INDIRECT(CONCATENATE("'",$AZ127,$BB127,":",$BB127)),INDIRECT(CONCATENATE("'",$AZ127,$BA$116,":",$BA$116)),AF$92)+SUMIFS(INDIRECT(CONCATENATE("'",$AZ127,$BC127,":",$BC127)),INDIRECT(CONCATENATE("'",$AZ127,$BA$116,":",$BA$116)),AF$92)+SUMIFS(INDIRECT(CONCATENATE("'",$AZ127,$BD127,":",$BD127)),INDIRECT(CONCATENATE("'",$AZ127,$BA$116,":",$BA$116)),AF$92)-SUMIFS(INDIRECT(CONCATENATE("'",$AZ127,$BE127,":",$BE127)),INDIRECT(CONCATENATE("'",$AZ127,$BA$116,":",$BA$116)),AF$92)</f>
        <v>66956</v>
      </c>
      <c r="AG127" s="857">
        <f ca="1">+SUMIFS(INDIRECT(CONCATENATE("'",$AZ127,$BA127,":",$BA127)),INDIRECT(CONCATENATE("'",$AZ127,$BA$116,":",$BA$116)),AG$92)+SUMIFS(INDIRECT(CONCATENATE("'",$AZ127,$BB127,":",$BB127)),INDIRECT(CONCATENATE("'",$AZ127,$BA$116,":",$BA$116)),AG$92)+SUMIFS(INDIRECT(CONCATENATE("'",$AZ127,$BC127,":",$BC127)),INDIRECT(CONCATENATE("'",$AZ127,$BA$116,":",$BA$116)),AG$92)+SUMIFS(INDIRECT(CONCATENATE("'",$AZ127,$BD127,":",$BD127)),INDIRECT(CONCATENATE("'",$AZ127,$BA$116,":",$BA$116)),AG$92)-SUMIFS(INDIRECT(CONCATENATE("'",$AZ127,$BE127,":",$BE127)),INDIRECT(CONCATENATE("'",$AZ127,$BA$116,":",$BA$116)),AG$92)</f>
        <v>102264</v>
      </c>
      <c r="AH127" s="1123">
        <f ca="1">+AG127</f>
        <v>102264</v>
      </c>
      <c r="AI127" s="857">
        <f ca="1">+SUMIFS(INDIRECT(CONCATENATE("'",$AZ127,$BA127,":",$BA127)),INDIRECT(CONCATENATE("'",$AZ127,$BA$116,":",$BA$116)),AI$92)+SUMIFS(INDIRECT(CONCATENATE("'",$AZ127,$BB127,":",$BB127)),INDIRECT(CONCATENATE("'",$AZ127,$BA$116,":",$BA$116)),AI$92)+SUMIFS(INDIRECT(CONCATENATE("'",$AZ127,$BC127,":",$BC127)),INDIRECT(CONCATENATE("'",$AZ127,$BA$116,":",$BA$116)),AI$92)+SUMIFS(INDIRECT(CONCATENATE("'",$AZ127,$BD127,":",$BD127)),INDIRECT(CONCATENATE("'",$AZ127,$BA$116,":",$BA$116)),AI$92)-SUMIFS(INDIRECT(CONCATENATE("'",$AZ127,$BE127,":",$BE127)),INDIRECT(CONCATENATE("'",$AZ127,$BA$116,":",$BA$116)),AI$92)</f>
        <v>90890</v>
      </c>
      <c r="AJ127" s="857">
        <f ca="1">+SUMIFS(INDIRECT(CONCATENATE("'",$AZ127,$BA127,":",$BA127)),INDIRECT(CONCATENATE("'",$AZ127,$BA$116,":",$BA$116)),AJ$92)+SUMIFS(INDIRECT(CONCATENATE("'",$AZ127,$BB127,":",$BB127)),INDIRECT(CONCATENATE("'",$AZ127,$BA$116,":",$BA$116)),AJ$92)+SUMIFS(INDIRECT(CONCATENATE("'",$AZ127,$BC127,":",$BC127)),INDIRECT(CONCATENATE("'",$AZ127,$BA$116,":",$BA$116)),AJ$92)+SUMIFS(INDIRECT(CONCATENATE("'",$AZ127,$BD127,":",$BD127)),INDIRECT(CONCATENATE("'",$AZ127,$BA$116,":",$BA$116)),AJ$92)-SUMIFS(INDIRECT(CONCATENATE("'",$AZ127,$BE127,":",$BE127)),INDIRECT(CONCATENATE("'",$AZ127,$BA$116,":",$BA$116)),AJ$92)</f>
        <v>91791</v>
      </c>
      <c r="AK127" s="857">
        <f ca="1">+SUMIFS(INDIRECT(CONCATENATE("'",$AZ127,$BA127,":",$BA127)),INDIRECT(CONCATENATE("'",$AZ127,$BA$116,":",$BA$116)),AK$92)+SUMIFS(INDIRECT(CONCATENATE("'",$AZ127,$BB127,":",$BB127)),INDIRECT(CONCATENATE("'",$AZ127,$BA$116,":",$BA$116)),AK$92)+SUMIFS(INDIRECT(CONCATENATE("'",$AZ127,$BC127,":",$BC127)),INDIRECT(CONCATENATE("'",$AZ127,$BA$116,":",$BA$116)),AK$92)+SUMIFS(INDIRECT(CONCATENATE("'",$AZ127,$BD127,":",$BD127)),INDIRECT(CONCATENATE("'",$AZ127,$BA$116,":",$BA$116)),AK$92)-SUMIFS(INDIRECT(CONCATENATE("'",$AZ127,$BE127,":",$BE127)),INDIRECT(CONCATENATE("'",$AZ127,$BA$116,":",$BA$116)),AK$92)</f>
        <v>96330</v>
      </c>
      <c r="AL127" s="857">
        <f ca="1">+SUMIFS(INDIRECT(CONCATENATE("'",$AZ127,$BA127,":",$BA127)),INDIRECT(CONCATENATE("'",$AZ127,$BA$116,":",$BA$116)),AL$92)+SUMIFS(INDIRECT(CONCATENATE("'",$AZ127,$BB127,":",$BB127)),INDIRECT(CONCATENATE("'",$AZ127,$BA$116,":",$BA$116)),AL$92)+SUMIFS(INDIRECT(CONCATENATE("'",$AZ127,$BC127,":",$BC127)),INDIRECT(CONCATENATE("'",$AZ127,$BA$116,":",$BA$116)),AL$92)+SUMIFS(INDIRECT(CONCATENATE("'",$AZ127,$BD127,":",$BD127)),INDIRECT(CONCATENATE("'",$AZ127,$BA$116,":",$BA$116)),AL$92)-SUMIFS(INDIRECT(CONCATENATE("'",$AZ127,$BE127,":",$BE127)),INDIRECT(CONCATENATE("'",$AZ127,$BA$116,":",$BA$116)),AL$92)</f>
        <v>102123</v>
      </c>
      <c r="AM127" s="1123">
        <f ca="1">+AL127</f>
        <v>102123</v>
      </c>
      <c r="AN127" s="857">
        <f ca="1">+SUMIFS(INDIRECT(CONCATENATE("'",$AZ127,$BA127,":",$BA127)),INDIRECT(CONCATENATE("'",$AZ127,$BA$116,":",$BA$116)),AN$92)+SUMIFS(INDIRECT(CONCATENATE("'",$AZ127,$BB127,":",$BB127)),INDIRECT(CONCATENATE("'",$AZ127,$BA$116,":",$BA$116)),AN$92)+SUMIFS(INDIRECT(CONCATENATE("'",$AZ127,$BC127,":",$BC127)),INDIRECT(CONCATENATE("'",$AZ127,$BA$116,":",$BA$116)),AN$92)+SUMIFS(INDIRECT(CONCATENATE("'",$AZ127,$BD127,":",$BD127)),INDIRECT(CONCATENATE("'",$AZ127,$BA$116,":",$BA$116)),AN$92)-SUMIFS(INDIRECT(CONCATENATE("'",$AZ127,$BE127,":",$BE127)),INDIRECT(CONCATENATE("'",$AZ127,$BA$116,":",$BA$116)),AN$92)</f>
        <v>107741</v>
      </c>
      <c r="AO127" s="857">
        <f ca="1">+SUMIFS(INDIRECT(CONCATENATE("'",$AZ127,$BA127,":",$BA127)),INDIRECT(CONCATENATE("'",$AZ127,$BA$116,":",$BA$116)),AO$92)+SUMIFS(INDIRECT(CONCATENATE("'",$AZ127,$BB127,":",$BB127)),INDIRECT(CONCATENATE("'",$AZ127,$BA$116,":",$BA$116)),AO$92)+SUMIFS(INDIRECT(CONCATENATE("'",$AZ127,$BC127,":",$BC127)),INDIRECT(CONCATENATE("'",$AZ127,$BA$116,":",$BA$116)),AO$92)+SUMIFS(INDIRECT(CONCATENATE("'",$AZ127,$BD127,":",$BD127)),INDIRECT(CONCATENATE("'",$AZ127,$BA$116,":",$BA$116)),AO$92)-SUMIFS(INDIRECT(CONCATENATE("'",$AZ127,$BE127,":",$BE127)),INDIRECT(CONCATENATE("'",$AZ127,$BA$116,":",$BA$116)),AO$92)</f>
        <v>106490</v>
      </c>
      <c r="AP127" s="857">
        <f ca="1">+SUMIFS(INDIRECT(CONCATENATE("'",$AZ127,$BA127,":",$BA127)),INDIRECT(CONCATENATE("'",$AZ127,$BA$116,":",$BA$116)),AP$92)+SUMIFS(INDIRECT(CONCATENATE("'",$AZ127,$BB127,":",$BB127)),INDIRECT(CONCATENATE("'",$AZ127,$BA$116,":",$BA$116)),AP$92)+SUMIFS(INDIRECT(CONCATENATE("'",$AZ127,$BC127,":",$BC127)),INDIRECT(CONCATENATE("'",$AZ127,$BA$116,":",$BA$116)),AP$92)+SUMIFS(INDIRECT(CONCATENATE("'",$AZ127,$BD127,":",$BD127)),INDIRECT(CONCATENATE("'",$AZ127,$BA$116,":",$BA$116)),AP$92)-SUMIFS(INDIRECT(CONCATENATE("'",$AZ127,$BE127,":",$BE127)),INDIRECT(CONCATENATE("'",$AZ127,$BA$116,":",$BA$116)),AP$92)</f>
        <v>106203</v>
      </c>
      <c r="AQ127" s="857">
        <f ca="1">+SUMIFS(INDIRECT(CONCATENATE("'",$AZ127,$BA127,":",$BA127)),INDIRECT(CONCATENATE("'",$AZ127,$BA$116,":",$BA$116)),AQ$92)+SUMIFS(INDIRECT(CONCATENATE("'",$AZ127,$BB127,":",$BB127)),INDIRECT(CONCATENATE("'",$AZ127,$BA$116,":",$BA$116)),AQ$92)+SUMIFS(INDIRECT(CONCATENATE("'",$AZ127,$BC127,":",$BC127)),INDIRECT(CONCATENATE("'",$AZ127,$BA$116,":",$BA$116)),AQ$92)+SUMIFS(INDIRECT(CONCATENATE("'",$AZ127,$BD127,":",$BD127)),INDIRECT(CONCATENATE("'",$AZ127,$BA$116,":",$BA$116)),AQ$92)-SUMIFS(INDIRECT(CONCATENATE("'",$AZ127,$BE127,":",$BE127)),INDIRECT(CONCATENATE("'",$AZ127,$BA$116,":",$BA$116)),AQ$92)</f>
        <v>106520</v>
      </c>
      <c r="AR127" s="1123">
        <f ca="1">+AQ127</f>
        <v>106520</v>
      </c>
      <c r="AS127" s="857">
        <f ca="1">+SUMIFS(INDIRECT(CONCATENATE("'",$AZ127,$BA127,":",$BA127)),INDIRECT(CONCATENATE("'",$AZ127,$BA$116,":",$BA$116)),AS$92)+SUMIFS(INDIRECT(CONCATENATE("'",$AZ127,$BB127,":",$BB127)),INDIRECT(CONCATENATE("'",$AZ127,$BA$116,":",$BA$116)),AS$92)+SUMIFS(INDIRECT(CONCATENATE("'",$AZ127,$BC127,":",$BC127)),INDIRECT(CONCATENATE("'",$AZ127,$BA$116,":",$BA$116)),AS$92)+SUMIFS(INDIRECT(CONCATENATE("'",$AZ127,$BD127,":",$BD127)),INDIRECT(CONCATENATE("'",$AZ127,$BA$116,":",$BA$116)),AS$92)-SUMIFS(INDIRECT(CONCATENATE("'",$AZ127,$BE127,":",$BE127)),INDIRECT(CONCATENATE("'",$AZ127,$BA$116,":",$BA$116)),AS$92)</f>
        <v>110809</v>
      </c>
      <c r="AT127" s="857">
        <f ca="1">+SUMIFS(INDIRECT(CONCATENATE("'",$AZ127,$BA127,":",$BA127)),INDIRECT(CONCATENATE("'",$AZ127,$BA$116,":",$BA$116)),AT$92)+SUMIFS(INDIRECT(CONCATENATE("'",$AZ127,$BB127,":",$BB127)),INDIRECT(CONCATENATE("'",$AZ127,$BA$116,":",$BA$116)),AT$92)+SUMIFS(INDIRECT(CONCATENATE("'",$AZ127,$BC127,":",$BC127)),INDIRECT(CONCATENATE("'",$AZ127,$BA$116,":",$BA$116)),AT$92)+SUMIFS(INDIRECT(CONCATENATE("'",$AZ127,$BD127,":",$BD127)),INDIRECT(CONCATENATE("'",$AZ127,$BA$116,":",$BA$116)),AT$92)-SUMIFS(INDIRECT(CONCATENATE("'",$AZ127,$BE127,":",$BE127)),INDIRECT(CONCATENATE("'",$AZ127,$BA$116,":",$BA$116)),AT$92)</f>
        <v>111729</v>
      </c>
      <c r="AU127" s="857">
        <f ca="1">+SUMIFS(INDIRECT(CONCATENATE("'",$AZ127,$BA127,":",$BA127)),INDIRECT(CONCATENATE("'",$AZ127,$BA$116,":",$BA$116)),AU$92)+SUMIFS(INDIRECT(CONCATENATE("'",$AZ127,$BB127,":",$BB127)),INDIRECT(CONCATENATE("'",$AZ127,$BA$116,":",$BA$116)),AU$92)+SUMIFS(INDIRECT(CONCATENATE("'",$AZ127,$BC127,":",$BC127)),INDIRECT(CONCATENATE("'",$AZ127,$BA$116,":",$BA$116)),AU$92)+SUMIFS(INDIRECT(CONCATENATE("'",$AZ127,$BD127,":",$BD127)),INDIRECT(CONCATENATE("'",$AZ127,$BA$116,":",$BA$116)),AU$92)-SUMIFS(INDIRECT(CONCATENATE("'",$AZ127,$BE127,":",$BE127)),INDIRECT(CONCATENATE("'",$AZ127,$BA$116,":",$BA$116)),AU$92)</f>
        <v>93198</v>
      </c>
      <c r="AV127" s="857">
        <f ca="1">+SUMIFS(INDIRECT(CONCATENATE("'",$AZ127,$BA127,":",$BA127)),INDIRECT(CONCATENATE("'",$AZ127,$BA$116,":",$BA$116)),AV$92)+SUMIFS(INDIRECT(CONCATENATE("'",$AZ127,$BB127,":",$BB127)),INDIRECT(CONCATENATE("'",$AZ127,$BA$116,":",$BA$116)),AV$92)+SUMIFS(INDIRECT(CONCATENATE("'",$AZ127,$BC127,":",$BC127)),INDIRECT(CONCATENATE("'",$AZ127,$BA$116,":",$BA$116)),AV$92)+SUMIFS(INDIRECT(CONCATENATE("'",$AZ127,$BD127,":",$BD127)),INDIRECT(CONCATENATE("'",$AZ127,$BA$116,":",$BA$116)),AV$92)-SUMIFS(INDIRECT(CONCATENATE("'",$AZ127,$BE127,":",$BE127)),INDIRECT(CONCATENATE("'",$AZ127,$BA$116,":",$BA$116)),AV$92)</f>
        <v>133329</v>
      </c>
      <c r="AW127" s="1123">
        <f ca="1">+AV127</f>
        <v>133329</v>
      </c>
      <c r="AX127" s="857">
        <f ca="1">+SUMIFS(INDIRECT(CONCATENATE("'",$AZ127,$BA127,":",$BA127)),INDIRECT(CONCATENATE("'",$AZ127,$BA$116,":",$BA$116)),AX$92)+SUMIFS(INDIRECT(CONCATENATE("'",$AZ127,$BB127,":",$BB127)),INDIRECT(CONCATENATE("'",$AZ127,$BA$116,":",$BA$116)),AX$92)+SUMIFS(INDIRECT(CONCATENATE("'",$AZ127,$BC127,":",$BC127)),INDIRECT(CONCATENATE("'",$AZ127,$BA$116,":",$BA$116)),AX$92)+SUMIFS(INDIRECT(CONCATENATE("'",$AZ127,$BD127,":",$BD127)),INDIRECT(CONCATENATE("'",$AZ127,$BA$116,":",$BA$116)),AX$92)-SUMIFS(INDIRECT(CONCATENATE("'",$AZ127,$BE127,":",$BE127)),INDIRECT(CONCATENATE("'",$AZ127,$BA$116,":",$BA$116)),AX$92)</f>
        <v>132583</v>
      </c>
      <c r="AY127" s="857">
        <f ca="1">+SUMIFS(INDIRECT(CONCATENATE("'",$AZ127,$BA127,":",$BA127)),INDIRECT(CONCATENATE("'",$AZ127,$BA$116,":",$BA$116)),AY$92)+SUMIFS(INDIRECT(CONCATENATE("'",$AZ127,$BB127,":",$BB127)),INDIRECT(CONCATENATE("'",$AZ127,$BA$116,":",$BA$116)),AY$92)+SUMIFS(INDIRECT(CONCATENATE("'",$AZ127,$BC127,":",$BC127)),INDIRECT(CONCATENATE("'",$AZ127,$BA$116,":",$BA$116)),AY$92)+SUMIFS(INDIRECT(CONCATENATE("'",$AZ127,$BD127,":",$BD127)),INDIRECT(CONCATENATE("'",$AZ127,$BA$116,":",$BA$116)),AY$92)-SUMIFS(INDIRECT(CONCATENATE("'",$AZ127,$BE127,":",$BE127)),INDIRECT(CONCATENATE("'",$AZ127,$BA$116,":",$BA$116)),AY$92)</f>
        <v>148393</v>
      </c>
      <c r="AZ127" s="266" t="str">
        <f>IF([1]RENAME!$H$3=0,BG127,BF127)</f>
        <v>BP'!</v>
      </c>
      <c r="BA127" s="266" t="str">
        <f>"$"&amp;ROW(BP!$D$43)</f>
        <v>$43</v>
      </c>
      <c r="BB127" s="266" t="str">
        <f>"$"&amp;ROW(BP!$D$44)</f>
        <v>$44</v>
      </c>
      <c r="BC127" s="266" t="str">
        <f>"$"&amp;ROW(BP!$D$62)</f>
        <v>$62</v>
      </c>
      <c r="BD127" s="266" t="str">
        <f>"$"&amp;ROW(BP!$D$63)</f>
        <v>$63</v>
      </c>
      <c r="BE127" s="266" t="str">
        <f>"$"&amp;ROW(BP!$D$16)</f>
        <v>$16</v>
      </c>
      <c r="BF127" s="266" t="s">
        <v>1717</v>
      </c>
      <c r="BG127" s="266" t="s">
        <v>1716</v>
      </c>
      <c r="BN127" s="266"/>
      <c r="BO127" s="266"/>
      <c r="BP127" s="266"/>
      <c r="BQ127" s="266"/>
      <c r="BR127" s="266"/>
      <c r="BS127" s="266"/>
      <c r="BT127" s="266"/>
      <c r="BU127" s="266"/>
      <c r="BV127" s="266"/>
      <c r="BW127" s="266"/>
      <c r="BX127" s="266"/>
      <c r="BY127" s="266"/>
      <c r="BZ127" s="266"/>
      <c r="CA127" s="266"/>
      <c r="CB127" s="266"/>
      <c r="CC127" s="266"/>
      <c r="CD127" s="266"/>
      <c r="CE127" s="266"/>
      <c r="CF127" s="266"/>
      <c r="CG127" s="266"/>
      <c r="CH127" s="266"/>
      <c r="CI127" s="266"/>
      <c r="CJ127" s="266"/>
    </row>
    <row r="128" spans="1:88" ht="14.25" customHeight="1" x14ac:dyDescent="0.2">
      <c r="A128" s="1" t="s">
        <v>43</v>
      </c>
      <c r="B128" s="1" t="s">
        <v>679</v>
      </c>
      <c r="D128" s="870" t="str">
        <f>IF([1]RENAME!$H$3=1,B128,A128)</f>
        <v>Patrimônio líquido</v>
      </c>
      <c r="E128" s="872">
        <f ca="1">+SUMIFS(INDIRECT(CONCATENATE("'",$AZ128,$BA128,":",$BB128)),INDIRECT(CONCATENATE("'",$AZ128,$BA$116,":",$BB$116)),E$92)</f>
        <v>380528</v>
      </c>
      <c r="F128" s="872">
        <f ca="1">+SUMIFS(INDIRECT(CONCATENATE("'",$AZ128,$BA128,":",$BB128)),INDIRECT(CONCATENATE("'",$AZ128,$BA$116,":",$BB$116)),F$92)</f>
        <v>400073</v>
      </c>
      <c r="G128" s="872">
        <f ca="1">+SUMIFS(INDIRECT(CONCATENATE("'",$AZ128,$BA128,":",$BB128)),INDIRECT(CONCATENATE("'",$AZ128,$BA$116,":",$BB$116)),G$92)</f>
        <v>400609</v>
      </c>
      <c r="H128" s="872">
        <f ca="1">+SUMIFS(INDIRECT(CONCATENATE("'",$AZ128,$BA128,":",$BB128)),INDIRECT(CONCATENATE("'",$AZ128,$BA$116,":",$BB$116)),H$92)</f>
        <v>448806</v>
      </c>
      <c r="I128" s="881">
        <f ca="1">+H128</f>
        <v>448806</v>
      </c>
      <c r="J128" s="872">
        <f ca="1">+SUMIFS(INDIRECT(CONCATENATE("'",$AZ128,$BA128,":",$BB128)),INDIRECT(CONCATENATE("'",$AZ128,$BA$116,":",$BB$116)),J$92)</f>
        <v>462802</v>
      </c>
      <c r="K128" s="872">
        <f ca="1">+SUMIFS(INDIRECT(CONCATENATE("'",$AZ128,$BA128,":",$BB128)),INDIRECT(CONCATENATE("'",$AZ128,$BA$116,":",$BB$116)),K$92)</f>
        <v>455259</v>
      </c>
      <c r="L128" s="872">
        <f ca="1">+SUMIFS(INDIRECT(CONCATENATE("'",$AZ128,$BA128,":",$BB128)),INDIRECT(CONCATENATE("'",$AZ128,$BA$116,":",$BB$116)),L$92)</f>
        <v>465415</v>
      </c>
      <c r="M128" s="872">
        <f ca="1">+SUMIFS(INDIRECT(CONCATENATE("'",$AZ128,$BA128,":",$BB128)),INDIRECT(CONCATENATE("'",$AZ128,$BA$116,":",$BB$116)),M$92)</f>
        <v>484372</v>
      </c>
      <c r="N128" s="881">
        <f ca="1">+M128</f>
        <v>484372</v>
      </c>
      <c r="O128" s="872">
        <f ca="1">+SUMIFS(INDIRECT(CONCATENATE("'",$AZ128,$BA128,":",$BB128)),INDIRECT(CONCATENATE("'",$AZ128,$BA$116,":",$BB$116)),O$92)</f>
        <v>511005</v>
      </c>
      <c r="P128" s="872">
        <f ca="1">+SUMIFS(INDIRECT(CONCATENATE("'",$AZ128,$BA128,":",$BB128)),INDIRECT(CONCATENATE("'",$AZ128,$BA$116,":",$BB$116)),P$92)</f>
        <v>515840</v>
      </c>
      <c r="Q128" s="872">
        <f ca="1">+SUMIFS(INDIRECT(CONCATENATE("'",$AZ128,$BA128,":",$BB128)),INDIRECT(CONCATENATE("'",$AZ128,$BA$116,":",$BB$116)),Q$92)</f>
        <v>577735</v>
      </c>
      <c r="R128" s="872">
        <f ca="1">+SUMIFS(INDIRECT(CONCATENATE("'",$AZ128,$BA128,":",$BB128)),INDIRECT(CONCATENATE("'",$AZ128,$BA$116,":",$BB$116)),R$92)</f>
        <v>575079</v>
      </c>
      <c r="S128" s="881">
        <f ca="1">+R128</f>
        <v>575079</v>
      </c>
      <c r="T128" s="872">
        <f ca="1">+SUMIFS(INDIRECT(CONCATENATE("'",$AZ128,$BA128,":",$BB128)),INDIRECT(CONCATENATE("'",$AZ128,$BA$116,":",$BB$116)),T$92)</f>
        <v>595131</v>
      </c>
      <c r="U128" s="872">
        <f ca="1">+SUMIFS(INDIRECT(CONCATENATE("'",$AZ128,$BA128,":",$BB128)),INDIRECT(CONCATENATE("'",$AZ128,$BA$116,":",$BB$116)),U$92)</f>
        <v>590088</v>
      </c>
      <c r="V128" s="872">
        <f ca="1">+SUMIFS(INDIRECT(CONCATENATE("'",$AZ128,$BA128,":",$BB128)),INDIRECT(CONCATENATE("'",$AZ128,$BA$116,":",$BB$116)),V$92)</f>
        <v>619947</v>
      </c>
      <c r="W128" s="872">
        <f ca="1">+SUMIFS(INDIRECT(CONCATENATE("'",$AZ128,$BA128,":",$BB128)),INDIRECT(CONCATENATE("'",$AZ128,$BA$116,":",$BB$116)),W$92)</f>
        <v>624663</v>
      </c>
      <c r="X128" s="881">
        <f ca="1">+W128</f>
        <v>624663</v>
      </c>
      <c r="Y128" s="872">
        <f ca="1">+SUMIFS(INDIRECT(CONCATENATE("'",$AZ128,$BA128,":",$BB128)),INDIRECT(CONCATENATE("'",$AZ128,$BA$116,":",$BB$116)),Y$92)</f>
        <v>644911</v>
      </c>
      <c r="Z128" s="872">
        <f ca="1">+SUMIFS(INDIRECT(CONCATENATE("'",$AZ128,$BA128,":",$BB128)),INDIRECT(CONCATENATE("'",$AZ128,$BA$116,":",$BB$116)),Z$92)</f>
        <v>656554</v>
      </c>
      <c r="AA128" s="872">
        <f ca="1">+SUMIFS(INDIRECT(CONCATENATE("'",$AZ128,$BA128,":",$BB128)),INDIRECT(CONCATENATE("'",$AZ128,$BA$116,":",$BB$116)),AA$92)</f>
        <v>668634</v>
      </c>
      <c r="AB128" s="872">
        <f ca="1">+SUMIFS(INDIRECT(CONCATENATE("'",$AZ128,$BA128,":",$BB128)),INDIRECT(CONCATENATE("'",$AZ128,$BA$116,":",$BB$116)),AB$92)</f>
        <v>680734</v>
      </c>
      <c r="AC128" s="881">
        <f ca="1">+AB128</f>
        <v>680734</v>
      </c>
      <c r="AD128" s="872">
        <f ca="1">+SUMIFS(INDIRECT(CONCATENATE("'",$AZ128,$BA128,":",$BB128)),INDIRECT(CONCATENATE("'",$AZ128,$BA$116,":",$BB$116)),AD$92)</f>
        <v>699442</v>
      </c>
      <c r="AE128" s="872">
        <f ca="1">+SUMIFS(INDIRECT(CONCATENATE("'",$AZ128,$BA128,":",$BB128)),INDIRECT(CONCATENATE("'",$AZ128,$BA$116,":",$BB$116)),AE$92)</f>
        <v>707573</v>
      </c>
      <c r="AF128" s="872">
        <f ca="1">+SUMIFS(INDIRECT(CONCATENATE("'",$AZ128,$BA128,":",$BB128)),INDIRECT(CONCATENATE("'",$AZ128,$BA$116,":",$BB$116)),AF$92)</f>
        <v>736379</v>
      </c>
      <c r="AG128" s="872">
        <f ca="1">+SUMIFS(INDIRECT(CONCATENATE("'",$AZ128,$BA128,":",$BB128)),INDIRECT(CONCATENATE("'",$AZ128,$BA$116,":",$BB$116)),AG$92)</f>
        <v>766189</v>
      </c>
      <c r="AH128" s="881">
        <f ca="1">+AG128</f>
        <v>766189</v>
      </c>
      <c r="AI128" s="872">
        <f ca="1">+SUMIFS(INDIRECT(CONCATENATE("'",$AZ128,$BA128,":",$BB128)),INDIRECT(CONCATENATE("'",$AZ128,$BA$116,":",$BB$116)),AI$92)</f>
        <v>800844</v>
      </c>
      <c r="AJ128" s="872">
        <f ca="1">+SUMIFS(INDIRECT(CONCATENATE("'",$AZ128,$BA128,":",$BB128)),INDIRECT(CONCATENATE("'",$AZ128,$BA$116,":",$BB$116)),AJ$92)</f>
        <v>800942</v>
      </c>
      <c r="AK128" s="872">
        <f ca="1">+SUMIFS(INDIRECT(CONCATENATE("'",$AZ128,$BA128,":",$BB128)),INDIRECT(CONCATENATE("'",$AZ128,$BA$116,":",$BB$116)),AK$92)</f>
        <v>819533</v>
      </c>
      <c r="AL128" s="872">
        <f ca="1">+SUMIFS(INDIRECT(CONCATENATE("'",$AZ128,$BA128,":",$BB128)),INDIRECT(CONCATENATE("'",$AZ128,$BA$116,":",$BB$116)),AL$92)</f>
        <v>835170</v>
      </c>
      <c r="AM128" s="881">
        <f ca="1">+AL128</f>
        <v>835170</v>
      </c>
      <c r="AN128" s="872">
        <f ca="1">+SUMIFS(INDIRECT(CONCATENATE("'",$AZ128,$BA128,":",$BB128)),INDIRECT(CONCATENATE("'",$AZ128,$BA$116,":",$BB$116)),AN$92)</f>
        <v>872453</v>
      </c>
      <c r="AO128" s="872">
        <f ca="1">+SUMIFS(INDIRECT(CONCATENATE("'",$AZ128,$BA128,":",$BB128)),INDIRECT(CONCATENATE("'",$AZ128,$BA$116,":",$BB$116)),AO$92)</f>
        <v>888230</v>
      </c>
      <c r="AP128" s="872">
        <f ca="1">+SUMIFS(INDIRECT(CONCATENATE("'",$AZ128,$BA128,":",$BB128)),INDIRECT(CONCATENATE("'",$AZ128,$BA$116,":",$BB$116)),AP$92)</f>
        <v>892007</v>
      </c>
      <c r="AQ128" s="872">
        <f ca="1">+SUMIFS(INDIRECT(CONCATENATE("'",$AZ128,$BA128,":",$BB128)),INDIRECT(CONCATENATE("'",$AZ128,$BA$116,":",$BB$116)),AQ$92)</f>
        <v>921409</v>
      </c>
      <c r="AR128" s="881">
        <f ca="1">+AQ128</f>
        <v>921409</v>
      </c>
      <c r="AS128" s="872">
        <f ca="1">+SUMIFS(INDIRECT(CONCATENATE("'",$AZ128,$BA128,":",$BB128)),INDIRECT(CONCATENATE("'",$AZ128,$BA$116,":",$BB$116)),AS$92)</f>
        <v>965143</v>
      </c>
      <c r="AT128" s="872">
        <f ca="1">+SUMIFS(INDIRECT(CONCATENATE("'",$AZ128,$BA128,":",$BB128)),INDIRECT(CONCATENATE("'",$AZ128,$BA$116,":",$BB$116)),AT$92)</f>
        <v>993359</v>
      </c>
      <c r="AU128" s="872">
        <f ca="1">+SUMIFS(INDIRECT(CONCATENATE("'",$AZ128,$BA128,":",$BB128)),INDIRECT(CONCATENATE("'",$AZ128,$BA$116,":",$BB$116)),AU$92)</f>
        <v>984234</v>
      </c>
      <c r="AV128" s="872">
        <f ca="1">+SUMIFS(INDIRECT(CONCATENATE("'",$AZ128,$BA128,":",$BB128)),INDIRECT(CONCATENATE("'",$AZ128,$BA$116,":",$BB$116)),AV$92)</f>
        <v>872233</v>
      </c>
      <c r="AW128" s="881">
        <f ca="1">+AV128</f>
        <v>872233</v>
      </c>
      <c r="AX128" s="872">
        <f ca="1">+SUMIFS(INDIRECT(CONCATENATE("'",$AZ128,$BA128,":",$BB128)),INDIRECT(CONCATENATE("'",$AZ128,$BA$116,":",$BB$116)),AX$92)</f>
        <v>911018</v>
      </c>
      <c r="AY128" s="872">
        <f ca="1">+SUMIFS(INDIRECT(CONCATENATE("'",$AZ128,$BA128,":",$BB128)),INDIRECT(CONCATENATE("'",$AZ128,$BA$116,":",$BB$116)),AY$92)</f>
        <v>994134</v>
      </c>
      <c r="AZ128" s="266" t="str">
        <f>IF([1]RENAME!$H$3=0,BD128,BC128)</f>
        <v>BP'!</v>
      </c>
      <c r="BA128" s="266" t="str">
        <f>"$"&amp;ROW(BP!$D$78)</f>
        <v>$78</v>
      </c>
      <c r="BB128" s="266" t="str">
        <f>"$"&amp;ROW(BP!$D$78)</f>
        <v>$78</v>
      </c>
      <c r="BC128" s="266" t="s">
        <v>1717</v>
      </c>
      <c r="BD128" s="266" t="s">
        <v>1716</v>
      </c>
      <c r="BF128" s="266" t="s">
        <v>1717</v>
      </c>
      <c r="BG128" s="266" t="s">
        <v>1716</v>
      </c>
      <c r="BN128" s="266"/>
      <c r="BO128" s="266"/>
      <c r="BP128" s="266"/>
      <c r="BQ128" s="266"/>
      <c r="BR128" s="266"/>
      <c r="BS128" s="266"/>
      <c r="BT128" s="266"/>
      <c r="BU128" s="266"/>
      <c r="BV128" s="266"/>
      <c r="BW128" s="266"/>
      <c r="BX128" s="266"/>
      <c r="BY128" s="266"/>
      <c r="BZ128" s="266"/>
      <c r="CA128" s="266"/>
      <c r="CB128" s="266"/>
      <c r="CC128" s="266"/>
      <c r="CD128" s="266"/>
      <c r="CE128" s="266"/>
      <c r="CF128" s="266"/>
      <c r="CG128" s="266"/>
      <c r="CH128" s="266"/>
      <c r="CI128" s="266"/>
      <c r="CJ128" s="266"/>
    </row>
    <row r="129" spans="1:88" ht="14.25" customHeight="1" x14ac:dyDescent="0.2">
      <c r="BN129" s="266"/>
      <c r="BO129" s="266"/>
      <c r="BP129" s="266"/>
      <c r="BQ129" s="266"/>
      <c r="BR129" s="266"/>
      <c r="BS129" s="266"/>
      <c r="BT129" s="266"/>
      <c r="BU129" s="266"/>
      <c r="BV129" s="266"/>
      <c r="BW129" s="266"/>
      <c r="BX129" s="266"/>
      <c r="BY129" s="266"/>
      <c r="BZ129" s="266"/>
      <c r="CA129" s="266"/>
      <c r="CB129" s="266"/>
      <c r="CC129" s="266"/>
      <c r="CD129" s="266"/>
      <c r="CE129" s="266"/>
      <c r="CF129" s="266"/>
      <c r="CG129" s="266"/>
      <c r="CH129" s="266"/>
      <c r="CI129" s="266"/>
      <c r="CJ129" s="266"/>
    </row>
    <row r="130" spans="1:88" ht="13.5" customHeight="1" x14ac:dyDescent="0.2">
      <c r="A130" s="1" t="s">
        <v>1526</v>
      </c>
      <c r="B130" s="1" t="s">
        <v>1527</v>
      </c>
      <c r="D130" s="868" t="str">
        <f>IF([1]RENAME!$H$3=1,B130,A130)</f>
        <v>Fluxo de caixa</v>
      </c>
      <c r="E130" s="867" t="str">
        <f t="shared" ref="E130:AJ130" si="166">E5</f>
        <v>1T17</v>
      </c>
      <c r="F130" s="867" t="str">
        <f t="shared" si="166"/>
        <v>2T17</v>
      </c>
      <c r="G130" s="867" t="str">
        <f t="shared" si="166"/>
        <v>3T17</v>
      </c>
      <c r="H130" s="867" t="str">
        <f t="shared" si="166"/>
        <v>4T17</v>
      </c>
      <c r="I130" s="867" t="str">
        <f t="shared" si="166"/>
        <v>2017</v>
      </c>
      <c r="J130" s="867" t="str">
        <f t="shared" si="166"/>
        <v>1T18</v>
      </c>
      <c r="K130" s="867" t="str">
        <f t="shared" si="166"/>
        <v>2T18</v>
      </c>
      <c r="L130" s="867" t="str">
        <f t="shared" si="166"/>
        <v>3T18</v>
      </c>
      <c r="M130" s="867" t="str">
        <f t="shared" si="166"/>
        <v>4T18</v>
      </c>
      <c r="N130" s="867" t="str">
        <f t="shared" si="166"/>
        <v>2018</v>
      </c>
      <c r="O130" s="867" t="str">
        <f t="shared" si="166"/>
        <v>1T19</v>
      </c>
      <c r="P130" s="867" t="str">
        <f t="shared" si="166"/>
        <v>2T19</v>
      </c>
      <c r="Q130" s="867" t="str">
        <f t="shared" si="166"/>
        <v>3T19</v>
      </c>
      <c r="R130" s="867" t="str">
        <f t="shared" si="166"/>
        <v>4T19</v>
      </c>
      <c r="S130" s="867" t="str">
        <f t="shared" si="166"/>
        <v>2019</v>
      </c>
      <c r="T130" s="867" t="str">
        <f t="shared" si="166"/>
        <v>1T20</v>
      </c>
      <c r="U130" s="867" t="str">
        <f t="shared" si="166"/>
        <v>2T20</v>
      </c>
      <c r="V130" s="867" t="str">
        <f t="shared" si="166"/>
        <v>3T20</v>
      </c>
      <c r="W130" s="867" t="str">
        <f t="shared" si="166"/>
        <v>4T20</v>
      </c>
      <c r="X130" s="867" t="str">
        <f t="shared" si="166"/>
        <v>2020</v>
      </c>
      <c r="Y130" s="867" t="str">
        <f t="shared" si="166"/>
        <v>1T21</v>
      </c>
      <c r="Z130" s="867" t="str">
        <f t="shared" si="166"/>
        <v>2T21</v>
      </c>
      <c r="AA130" s="867" t="str">
        <f t="shared" si="166"/>
        <v>3T21</v>
      </c>
      <c r="AB130" s="867" t="str">
        <f t="shared" si="166"/>
        <v>4T21</v>
      </c>
      <c r="AC130" s="867" t="str">
        <f t="shared" si="166"/>
        <v>2021</v>
      </c>
      <c r="AD130" s="867" t="str">
        <f t="shared" si="166"/>
        <v>1T22</v>
      </c>
      <c r="AE130" s="867" t="str">
        <f t="shared" si="166"/>
        <v>2T22</v>
      </c>
      <c r="AF130" s="867" t="str">
        <f t="shared" si="166"/>
        <v>3T22</v>
      </c>
      <c r="AG130" s="867" t="str">
        <f t="shared" si="166"/>
        <v>4T22</v>
      </c>
      <c r="AH130" s="867" t="str">
        <f t="shared" si="166"/>
        <v>2022</v>
      </c>
      <c r="AI130" s="867" t="str">
        <f t="shared" si="166"/>
        <v>1T23</v>
      </c>
      <c r="AJ130" s="867" t="str">
        <f t="shared" si="166"/>
        <v>2T23</v>
      </c>
      <c r="AK130" s="867" t="str">
        <f t="shared" ref="AK130:AP130" si="167">AK5</f>
        <v>3T23</v>
      </c>
      <c r="AL130" s="867" t="str">
        <f t="shared" si="167"/>
        <v>4T23</v>
      </c>
      <c r="AM130" s="867" t="str">
        <f t="shared" si="167"/>
        <v>2023</v>
      </c>
      <c r="AN130" s="867" t="str">
        <f t="shared" si="167"/>
        <v>1T24</v>
      </c>
      <c r="AO130" s="867" t="str">
        <f t="shared" si="167"/>
        <v>2T24</v>
      </c>
      <c r="AP130" s="867" t="str">
        <f t="shared" si="167"/>
        <v>3T24</v>
      </c>
      <c r="AQ130" s="867" t="str">
        <f>AQ5</f>
        <v>4T24</v>
      </c>
      <c r="AR130" s="867" t="str">
        <f>AR5</f>
        <v>2024</v>
      </c>
      <c r="AS130" s="867" t="str">
        <f t="shared" ref="AS130:AX130" si="168">AS5</f>
        <v>1T25</v>
      </c>
      <c r="AT130" s="867" t="str">
        <f t="shared" si="168"/>
        <v>2T25</v>
      </c>
      <c r="AU130" s="867" t="str">
        <f>AU5</f>
        <v>3T25</v>
      </c>
      <c r="AV130" s="867" t="str">
        <f>AV5</f>
        <v>4T25</v>
      </c>
      <c r="AW130" s="867" t="str">
        <f t="shared" si="168"/>
        <v>2025</v>
      </c>
      <c r="AX130" s="867" t="str">
        <f t="shared" si="168"/>
        <v>1T26</v>
      </c>
      <c r="AY130" s="867" t="str">
        <f>AY5</f>
        <v>2T26</v>
      </c>
      <c r="BN130" s="266"/>
      <c r="BO130" s="266"/>
      <c r="BP130" s="266"/>
      <c r="BQ130" s="266"/>
      <c r="BR130" s="266"/>
      <c r="BS130" s="266"/>
      <c r="BT130" s="266"/>
      <c r="BU130" s="266"/>
      <c r="BV130" s="266"/>
      <c r="BW130" s="266"/>
      <c r="BX130" s="266"/>
      <c r="BY130" s="266"/>
      <c r="BZ130" s="266"/>
      <c r="CA130" s="266"/>
      <c r="CB130" s="266"/>
      <c r="CC130" s="266"/>
      <c r="CD130" s="266"/>
      <c r="CE130" s="266"/>
      <c r="CF130" s="266"/>
      <c r="CG130" s="266"/>
      <c r="CH130" s="266"/>
      <c r="CI130" s="266"/>
      <c r="CJ130" s="266"/>
    </row>
    <row r="131" spans="1:88" ht="13.5" customHeight="1" x14ac:dyDescent="0.2">
      <c r="A131" s="1" t="s">
        <v>1962</v>
      </c>
      <c r="B131" s="1" t="s">
        <v>1963</v>
      </c>
      <c r="D131" s="866" t="str">
        <f>IF([1]RENAME!$H$3=1,B131,A131)</f>
        <v>EBITDA ajustado ex-IFRS-16</v>
      </c>
      <c r="E131" s="865">
        <f ca="1">+E21</f>
        <v>20933.372720000058</v>
      </c>
      <c r="F131" s="865">
        <f ca="1">+F21</f>
        <v>34933.045200000037</v>
      </c>
      <c r="G131" s="865">
        <f ca="1">+G21</f>
        <v>40973.642920000042</v>
      </c>
      <c r="H131" s="865">
        <f ca="1">+H21</f>
        <v>38010.111610000007</v>
      </c>
      <c r="I131" s="864">
        <f ca="1">+SUM(E131:H131)</f>
        <v>134850.17245000013</v>
      </c>
      <c r="J131" s="865">
        <f ca="1">+J21</f>
        <v>29453.314000000006</v>
      </c>
      <c r="K131" s="865">
        <f ca="1">+K21</f>
        <v>45148.406709999959</v>
      </c>
      <c r="L131" s="865">
        <f ca="1">+L21</f>
        <v>57791.788239999936</v>
      </c>
      <c r="M131" s="865">
        <f ca="1">+M21</f>
        <v>68074.372747457557</v>
      </c>
      <c r="N131" s="864">
        <f ca="1">+SUM(J131:M131)</f>
        <v>200467.88169745746</v>
      </c>
      <c r="O131" s="865">
        <f ca="1">+O21</f>
        <v>46325.508350000062</v>
      </c>
      <c r="P131" s="865">
        <f ca="1">+P21</f>
        <v>51171.350340000041</v>
      </c>
      <c r="Q131" s="865">
        <f ca="1">+Q21</f>
        <v>55413.839780000053</v>
      </c>
      <c r="R131" s="865">
        <f ca="1">+R21</f>
        <v>60918.05529172231</v>
      </c>
      <c r="S131" s="864">
        <f ca="1">+SUM(O131:R131)</f>
        <v>213828.75376172247</v>
      </c>
      <c r="T131" s="865">
        <f ca="1">+T21</f>
        <v>34349.567049999998</v>
      </c>
      <c r="U131" s="865">
        <f ca="1">+U21</f>
        <v>-4739.6268300000338</v>
      </c>
      <c r="V131" s="865">
        <f ca="1">+V21</f>
        <v>45885.082529999978</v>
      </c>
      <c r="W131" s="865">
        <f ca="1">+W21</f>
        <v>49048.248680000019</v>
      </c>
      <c r="X131" s="864">
        <f ca="1">+SUM(T131:W131)</f>
        <v>124543.27142999996</v>
      </c>
      <c r="Y131" s="865">
        <f ca="1">+Y21</f>
        <v>33685.155730000013</v>
      </c>
      <c r="Z131" s="865">
        <f ca="1">+Z21</f>
        <v>26509.544199999968</v>
      </c>
      <c r="AA131" s="865">
        <f ca="1">+AA21</f>
        <v>28894.70661999999</v>
      </c>
      <c r="AB131" s="865">
        <f ca="1">+AB21</f>
        <v>37330.510729999893</v>
      </c>
      <c r="AC131" s="864">
        <f ca="1">+SUM(Y131:AB131)</f>
        <v>126419.91727999986</v>
      </c>
      <c r="AD131" s="865">
        <f ca="1">+AD21</f>
        <v>25781.114919999942</v>
      </c>
      <c r="AE131" s="865">
        <f ca="1">+AE21</f>
        <v>39203.359179999956</v>
      </c>
      <c r="AF131" s="865">
        <f ca="1">+AF21</f>
        <v>78319.177349999984</v>
      </c>
      <c r="AG131" s="865">
        <f ca="1">+AG21</f>
        <v>62621.627109999972</v>
      </c>
      <c r="AH131" s="864">
        <f ca="1">+SUM(AD131:AG131)</f>
        <v>205925.27855999986</v>
      </c>
      <c r="AI131" s="865">
        <f ca="1">+AI21</f>
        <v>43371.581559999875</v>
      </c>
      <c r="AJ131" s="865">
        <f ca="1">+AJ21</f>
        <v>48020.370050000056</v>
      </c>
      <c r="AK131" s="865">
        <f ca="1">+AK21</f>
        <v>68385.131959999999</v>
      </c>
      <c r="AL131" s="865">
        <f ca="1">+AL21</f>
        <v>62696.048160000224</v>
      </c>
      <c r="AM131" s="864">
        <f ca="1">+SUM(AI131:AL131)</f>
        <v>222473.13173000014</v>
      </c>
      <c r="AN131" s="865">
        <f ca="1">+AN21</f>
        <v>48587.304339999806</v>
      </c>
      <c r="AO131" s="865">
        <f ca="1">+AO21</f>
        <v>75267.680820000067</v>
      </c>
      <c r="AP131" s="865">
        <f ca="1">+AP21</f>
        <v>115691.14411000008</v>
      </c>
      <c r="AQ131" s="865">
        <f ca="1">+AQ21</f>
        <v>116866.37394999992</v>
      </c>
      <c r="AR131" s="864">
        <f ca="1">+SUM(AN131:AQ131)</f>
        <v>356412.50321999984</v>
      </c>
      <c r="AS131" s="865">
        <f ca="1">+AS21</f>
        <v>58197.97597999993</v>
      </c>
      <c r="AT131" s="865">
        <f ca="1">+AT21</f>
        <v>83836.258449999776</v>
      </c>
      <c r="AU131" s="865">
        <f ca="1">+AU21</f>
        <v>105737.96516000018</v>
      </c>
      <c r="AV131" s="865">
        <f ca="1">+AV21</f>
        <v>69866.071440000014</v>
      </c>
      <c r="AW131" s="864">
        <f ca="1">+SUM(AS131:AV131)</f>
        <v>317638.27102999995</v>
      </c>
      <c r="AX131" s="865">
        <f ca="1">+AX21</f>
        <v>63050.109440000066</v>
      </c>
      <c r="AY131" s="865">
        <f ca="1">+AY21</f>
        <v>125732.79729999977</v>
      </c>
      <c r="BN131" s="266"/>
      <c r="BO131" s="266"/>
      <c r="BP131" s="266"/>
      <c r="BQ131" s="266"/>
      <c r="BR131" s="266"/>
      <c r="BS131" s="266"/>
      <c r="BT131" s="266"/>
      <c r="BU131" s="266"/>
      <c r="BV131" s="266"/>
      <c r="BW131" s="266"/>
      <c r="BX131" s="266"/>
      <c r="BY131" s="266"/>
      <c r="BZ131" s="266"/>
      <c r="CA131" s="266"/>
      <c r="CB131" s="266"/>
      <c r="CC131" s="266"/>
      <c r="CD131" s="266"/>
      <c r="CE131" s="266"/>
      <c r="CF131" s="266"/>
      <c r="CG131" s="266"/>
      <c r="CH131" s="266"/>
      <c r="CI131" s="266"/>
      <c r="CJ131" s="266"/>
    </row>
    <row r="132" spans="1:88" ht="13.5" customHeight="1" x14ac:dyDescent="0.2">
      <c r="A132" s="1" t="s">
        <v>64</v>
      </c>
      <c r="B132" s="1" t="s">
        <v>64</v>
      </c>
      <c r="D132" s="858" t="str">
        <f>IF([1]RENAME!$H$3=1,B132,A132)</f>
        <v>CAPEX</v>
      </c>
      <c r="E132" s="857">
        <f ca="1">+E122</f>
        <v>-6820</v>
      </c>
      <c r="F132" s="857">
        <f ca="1">+F122</f>
        <v>-8432</v>
      </c>
      <c r="G132" s="857">
        <f ca="1">+G122</f>
        <v>-5862</v>
      </c>
      <c r="H132" s="857">
        <f ca="1">+H122</f>
        <v>-4116</v>
      </c>
      <c r="I132" s="647">
        <f ca="1">+SUM(E132:H132)</f>
        <v>-25230</v>
      </c>
      <c r="J132" s="857">
        <f ca="1">+J122</f>
        <v>-2460.1986400000001</v>
      </c>
      <c r="K132" s="857">
        <f ca="1">+K122</f>
        <v>-4724.2775700000002</v>
      </c>
      <c r="L132" s="857">
        <f ca="1">+L122</f>
        <v>-14999.27721</v>
      </c>
      <c r="M132" s="857">
        <f ca="1">+M122</f>
        <v>-13256.331969999999</v>
      </c>
      <c r="N132" s="647">
        <f ca="1">+SUM(J132:M132)</f>
        <v>-35440.08539</v>
      </c>
      <c r="O132" s="857">
        <f ca="1">+O122</f>
        <v>-6635.6352500000012</v>
      </c>
      <c r="P132" s="857">
        <f ca="1">+P122</f>
        <v>-14552.057499999999</v>
      </c>
      <c r="Q132" s="857">
        <f ca="1">+Q122</f>
        <v>-4132.3085700000001</v>
      </c>
      <c r="R132" s="857">
        <f ca="1">+R122</f>
        <v>-10689.66779</v>
      </c>
      <c r="S132" s="647">
        <f ca="1">+SUM(O132:R132)</f>
        <v>-36009.669110000003</v>
      </c>
      <c r="T132" s="857">
        <f ca="1">+T122</f>
        <v>-5427</v>
      </c>
      <c r="U132" s="857">
        <f ca="1">+U122</f>
        <v>-4266</v>
      </c>
      <c r="V132" s="857">
        <f ca="1">+V122</f>
        <v>-4406</v>
      </c>
      <c r="W132" s="857">
        <f ca="1">+W122</f>
        <v>-5672</v>
      </c>
      <c r="X132" s="647">
        <f ca="1">+SUM(T132:W132)</f>
        <v>-19771</v>
      </c>
      <c r="Y132" s="857">
        <f ca="1">+Y122</f>
        <v>-6526</v>
      </c>
      <c r="Z132" s="857">
        <f ca="1">+Z122</f>
        <v>-6456</v>
      </c>
      <c r="AA132" s="857">
        <f ca="1">+AA122</f>
        <v>-10292</v>
      </c>
      <c r="AB132" s="857">
        <f ca="1">+AB122</f>
        <v>-6328</v>
      </c>
      <c r="AC132" s="647">
        <f ca="1">+SUM(Y132:AB132)</f>
        <v>-29602</v>
      </c>
      <c r="AD132" s="857">
        <f ca="1">+AD122</f>
        <v>-4409.3565700000054</v>
      </c>
      <c r="AE132" s="857">
        <f ca="1">+AE122</f>
        <v>-12332.297929999988</v>
      </c>
      <c r="AF132" s="857">
        <f ca="1">+AF122</f>
        <v>-7994.1122999999989</v>
      </c>
      <c r="AG132" s="857">
        <f ca="1">+AG122</f>
        <v>-20242.128919999996</v>
      </c>
      <c r="AH132" s="647">
        <f ca="1">+SUM(AD132:AG132)</f>
        <v>-44977.895719999986</v>
      </c>
      <c r="AI132" s="857">
        <f ca="1">+AI122</f>
        <v>-5455.5496700000003</v>
      </c>
      <c r="AJ132" s="857">
        <f ca="1">+AJ122</f>
        <v>-5162.2759199999982</v>
      </c>
      <c r="AK132" s="857">
        <f ca="1">+AK122</f>
        <v>-11944.03478</v>
      </c>
      <c r="AL132" s="857">
        <f ca="1">+AL122</f>
        <v>-10590</v>
      </c>
      <c r="AM132" s="647">
        <f ca="1">+SUM(AI132:AL132)</f>
        <v>-33151.860369999995</v>
      </c>
      <c r="AN132" s="857">
        <f ca="1">+AN122</f>
        <v>-16136</v>
      </c>
      <c r="AO132" s="857">
        <f ca="1">+AO122</f>
        <v>-12059.535570000004</v>
      </c>
      <c r="AP132" s="857">
        <f ca="1">+AP122</f>
        <v>-12574.213229999987</v>
      </c>
      <c r="AQ132" s="857">
        <f ca="1">+AQ122</f>
        <v>-16805.251200000013</v>
      </c>
      <c r="AR132" s="647">
        <f ca="1">+SUM(AN132:AQ132)</f>
        <v>-57575</v>
      </c>
      <c r="AS132" s="857">
        <f ca="1">+AS122</f>
        <v>-9944.0004399999998</v>
      </c>
      <c r="AT132" s="857">
        <f ca="1">+AT122</f>
        <v>-11444.999560000009</v>
      </c>
      <c r="AU132" s="857">
        <f ca="1">+AU122</f>
        <v>-18181.399209365238</v>
      </c>
      <c r="AV132" s="857">
        <f ca="1">+AV122</f>
        <v>-72803.04800000001</v>
      </c>
      <c r="AW132" s="647">
        <f ca="1">+SUM(AS132:AV132)</f>
        <v>-112373.44720936526</v>
      </c>
      <c r="AX132" s="857">
        <f ca="1">+AX122</f>
        <v>-12339.4061</v>
      </c>
      <c r="AY132" s="857">
        <f ca="1">+AY122</f>
        <v>-14695.82159</v>
      </c>
      <c r="BN132" s="266"/>
      <c r="BO132" s="266"/>
      <c r="BP132" s="266"/>
      <c r="BQ132" s="266"/>
      <c r="BR132" s="266"/>
      <c r="BS132" s="266"/>
      <c r="BT132" s="266"/>
      <c r="BU132" s="266"/>
      <c r="BV132" s="266"/>
      <c r="BW132" s="266"/>
      <c r="BX132" s="266"/>
      <c r="BY132" s="266"/>
      <c r="BZ132" s="266"/>
      <c r="CA132" s="266"/>
      <c r="CB132" s="266"/>
      <c r="CC132" s="266"/>
      <c r="CD132" s="266"/>
      <c r="CE132" s="266"/>
      <c r="CF132" s="266"/>
      <c r="CG132" s="266"/>
      <c r="CH132" s="266"/>
      <c r="CI132" s="266"/>
      <c r="CJ132" s="266"/>
    </row>
    <row r="133" spans="1:88" ht="13.5" customHeight="1" x14ac:dyDescent="0.2">
      <c r="A133" s="1" t="s">
        <v>1715</v>
      </c>
      <c r="B133" s="1" t="s">
        <v>1694</v>
      </c>
      <c r="D133" s="858" t="str">
        <f>IF([1]RENAME!$H$3=1,B133,A133)</f>
        <v>Imposto de Renda</v>
      </c>
      <c r="E133" s="857">
        <f ca="1">+E31</f>
        <v>-4298.9160000000002</v>
      </c>
      <c r="F133" s="857">
        <f ca="1">+F31</f>
        <v>7766.8676799999994</v>
      </c>
      <c r="G133" s="857">
        <f ca="1">+G31</f>
        <v>-8879.3011299999998</v>
      </c>
      <c r="H133" s="857">
        <f ca="1">+H31</f>
        <v>-8319.4488999999994</v>
      </c>
      <c r="I133" s="647">
        <f ca="1">+SUM(E133:H133)</f>
        <v>-13730.798350000001</v>
      </c>
      <c r="J133" s="857">
        <f ca="1">+J31</f>
        <v>-6233</v>
      </c>
      <c r="K133" s="857">
        <f ca="1">+K31</f>
        <v>-7000.1369300000006</v>
      </c>
      <c r="L133" s="857">
        <f ca="1">+L31</f>
        <v>-9929.7333699999999</v>
      </c>
      <c r="M133" s="857">
        <f ca="1">+M31</f>
        <v>-12883.216170000002</v>
      </c>
      <c r="N133" s="647">
        <f ca="1">+SUM(J133:M133)</f>
        <v>-36046.086470000002</v>
      </c>
      <c r="O133" s="857">
        <f ca="1">+O31</f>
        <v>-11575.73976</v>
      </c>
      <c r="P133" s="857">
        <f ca="1">+P31</f>
        <v>-10923.94203</v>
      </c>
      <c r="Q133" s="857">
        <f ca="1">+Q31</f>
        <v>-40057.514449999995</v>
      </c>
      <c r="R133" s="857">
        <f ca="1">+R31</f>
        <v>-8769.3005799999992</v>
      </c>
      <c r="S133" s="647">
        <f ca="1">+SUM(O133:R133)</f>
        <v>-71326.49682</v>
      </c>
      <c r="T133" s="857">
        <f ca="1">+T31</f>
        <v>-6850.96893</v>
      </c>
      <c r="U133" s="857">
        <f ca="1">+U31</f>
        <v>4624.6438899999994</v>
      </c>
      <c r="V133" s="857">
        <f ca="1">+V31</f>
        <v>-12021.130280000001</v>
      </c>
      <c r="W133" s="857">
        <f ca="1">+W31</f>
        <v>-9295.3423600000006</v>
      </c>
      <c r="X133" s="647">
        <f ca="1">+SUM(T133:W133)</f>
        <v>-23542.797680000003</v>
      </c>
      <c r="Y133" s="857">
        <f ca="1">+Y31</f>
        <v>-7991.2797200000005</v>
      </c>
      <c r="Z133" s="857">
        <f ca="1">+Z31</f>
        <v>-8180.5598599999994</v>
      </c>
      <c r="AA133" s="857">
        <f ca="1">+AA31</f>
        <v>9562.4</v>
      </c>
      <c r="AB133" s="857">
        <f ca="1">+AB31</f>
        <v>-9991.3930700000001</v>
      </c>
      <c r="AC133" s="647">
        <f ca="1">+SUM(Y133:AB133)</f>
        <v>-16600.83265</v>
      </c>
      <c r="AD133" s="857">
        <f ca="1">+AD31</f>
        <v>-5291</v>
      </c>
      <c r="AE133" s="857">
        <f ca="1">+AE31</f>
        <v>-8048.3106200000002</v>
      </c>
      <c r="AF133" s="857">
        <f ca="1">+AF31</f>
        <v>-17648.283640000001</v>
      </c>
      <c r="AG133" s="857">
        <f ca="1">+AG31</f>
        <v>-17243.035919999998</v>
      </c>
      <c r="AH133" s="647">
        <f ca="1">+SUM(AD133:AG133)</f>
        <v>-48230.63018</v>
      </c>
      <c r="AI133" s="857">
        <f ca="1">+AI31</f>
        <v>-10633.6551</v>
      </c>
      <c r="AJ133" s="857">
        <f ca="1">+AJ31</f>
        <v>-10582.149069999999</v>
      </c>
      <c r="AK133" s="857">
        <f ca="1">+AK31</f>
        <v>-16768.140070000001</v>
      </c>
      <c r="AL133" s="857">
        <f ca="1">+AL31</f>
        <v>-15580.425179999998</v>
      </c>
      <c r="AM133" s="647">
        <f ca="1">+SUM(AI133:AL133)</f>
        <v>-53564.369419999995</v>
      </c>
      <c r="AN133" s="857">
        <f ca="1">+AN31</f>
        <v>-15609.352519999997</v>
      </c>
      <c r="AO133" s="857">
        <f ca="1">+AO31</f>
        <v>-21144.194380000001</v>
      </c>
      <c r="AP133" s="857">
        <f ca="1">+AP31</f>
        <v>-35933.303370000001</v>
      </c>
      <c r="AQ133" s="857">
        <f ca="1">+AQ31</f>
        <v>-34169.50647</v>
      </c>
      <c r="AR133" s="647">
        <f ca="1">+SUM(AN133:AQ133)</f>
        <v>-106856.35673999999</v>
      </c>
      <c r="AS133" s="857">
        <f ca="1">+AS31</f>
        <v>-18778.226869999999</v>
      </c>
      <c r="AT133" s="857">
        <f ca="1">+AT31</f>
        <v>-24727.419260000002</v>
      </c>
      <c r="AU133" s="857">
        <f ca="1">+AU31</f>
        <v>-32032.358809999994</v>
      </c>
      <c r="AV133" s="857">
        <f ca="1">+AV31</f>
        <v>-19871.384720000002</v>
      </c>
      <c r="AW133" s="647">
        <f ca="1">+SUM(AS133:AV133)</f>
        <v>-95409.389660000001</v>
      </c>
      <c r="AX133" s="857">
        <f ca="1">+AX31</f>
        <v>-19037.088650000002</v>
      </c>
      <c r="AY133" s="857">
        <f ca="1">+AY31</f>
        <v>-35103.761790000004</v>
      </c>
      <c r="BN133" s="266"/>
      <c r="BO133" s="266"/>
      <c r="BP133" s="266"/>
      <c r="BQ133" s="266"/>
      <c r="BR133" s="266"/>
      <c r="BS133" s="266"/>
      <c r="BT133" s="266"/>
      <c r="BU133" s="266"/>
      <c r="BV133" s="266"/>
      <c r="BW133" s="266"/>
      <c r="BX133" s="266"/>
      <c r="BY133" s="266"/>
      <c r="BZ133" s="266"/>
      <c r="CA133" s="266"/>
      <c r="CB133" s="266"/>
      <c r="CC133" s="266"/>
      <c r="CD133" s="266"/>
      <c r="CE133" s="266"/>
      <c r="CF133" s="266"/>
      <c r="CG133" s="266"/>
      <c r="CH133" s="266"/>
      <c r="CI133" s="266"/>
      <c r="CJ133" s="266"/>
    </row>
    <row r="134" spans="1:88" ht="13.5" customHeight="1" x14ac:dyDescent="0.2">
      <c r="A134" s="1" t="s">
        <v>1714</v>
      </c>
      <c r="B134" s="1" t="s">
        <v>1713</v>
      </c>
      <c r="D134" s="858" t="str">
        <f>IF([1]RENAME!$H$3=1,B134,A134)</f>
        <v>Capital de giro</v>
      </c>
      <c r="E134" s="857">
        <f>+(154255-E118)+(E124-43164)</f>
        <v>18150</v>
      </c>
      <c r="F134" s="857">
        <f>+(E118-F118)+(F124-E124)</f>
        <v>-7063</v>
      </c>
      <c r="G134" s="857">
        <f>+(F118-G118)+(G124-F124)</f>
        <v>-10723</v>
      </c>
      <c r="H134" s="857">
        <f>+(G118-H118)+(H124-G124)</f>
        <v>-28216</v>
      </c>
      <c r="I134" s="647">
        <f>+SUM(E134:H134)</f>
        <v>-27852</v>
      </c>
      <c r="J134" s="857">
        <f>+(I118-J118)+(J124-I124)</f>
        <v>17503</v>
      </c>
      <c r="K134" s="857">
        <f>+(J118-K118)+(K124-J124)</f>
        <v>-29891</v>
      </c>
      <c r="L134" s="857">
        <f>+(K118-L118)+(L124-K124)</f>
        <v>-11365</v>
      </c>
      <c r="M134" s="857">
        <f>+(L118-M118)+(M124-L124)</f>
        <v>-26633</v>
      </c>
      <c r="N134" s="647">
        <f>+SUM(J134:M134)</f>
        <v>-50386</v>
      </c>
      <c r="O134" s="857">
        <f>+(N118-O118)+(O124-N124)</f>
        <v>18871</v>
      </c>
      <c r="P134" s="857">
        <f>+(O118-P118)+(P124-O124)</f>
        <v>-14720</v>
      </c>
      <c r="Q134" s="857">
        <f>+(P118-Q118)+(Q124-P124)</f>
        <v>-7270</v>
      </c>
      <c r="R134" s="857">
        <f>+(Q118-R118)+(R124-Q124)</f>
        <v>-32413</v>
      </c>
      <c r="S134" s="647">
        <f>+SUM(O134:R134)</f>
        <v>-35532</v>
      </c>
      <c r="T134" s="857">
        <f ca="1">+(S118-T118)+(T124-S124)</f>
        <v>37696</v>
      </c>
      <c r="U134" s="857">
        <f ca="1">+(T118-U118)+(U124-T124)</f>
        <v>76890</v>
      </c>
      <c r="V134" s="857">
        <f ca="1">+(U118-V118)+(V124-U124)</f>
        <v>-61269</v>
      </c>
      <c r="W134" s="857">
        <f ca="1">+(V118-W118)+(W124-V124)</f>
        <v>-9326</v>
      </c>
      <c r="X134" s="647">
        <f ca="1">+SUM(T134:W134)</f>
        <v>43991</v>
      </c>
      <c r="Y134" s="857">
        <f ca="1">+(X118-Y118)+(Y124-X124)</f>
        <v>39176</v>
      </c>
      <c r="Z134" s="857">
        <f ca="1">+(Y118-Z118)+(Z124-Y124)</f>
        <v>-25721</v>
      </c>
      <c r="AA134" s="857">
        <f ca="1">+(Z118-AA118)+(AA124-Z124)</f>
        <v>8688</v>
      </c>
      <c r="AB134" s="857">
        <f ca="1">+(AA118-AB118)+(AB124-AA124)</f>
        <v>-96104</v>
      </c>
      <c r="AC134" s="647">
        <f ca="1">+SUM(Y134:AB134)</f>
        <v>-73961</v>
      </c>
      <c r="AD134" s="857">
        <f ca="1">+(AC118-AD118)+(AD124-AC124)</f>
        <v>70442</v>
      </c>
      <c r="AE134" s="857">
        <f ca="1">+(AD118-AE118)+(AE124-AD124)</f>
        <v>-48007</v>
      </c>
      <c r="AF134" s="857">
        <f ca="1">+(AE118-AF118)+(AF124-AE124)</f>
        <v>-26280</v>
      </c>
      <c r="AG134" s="857">
        <f ca="1">+(AF118-AG118)+(AG124-AF124)</f>
        <v>-5971</v>
      </c>
      <c r="AH134" s="647">
        <f ca="1">+SUM(AD134:AG134)</f>
        <v>-9816</v>
      </c>
      <c r="AI134" s="857">
        <f ca="1">+(AH118-AI118)+(AI124-AH124)</f>
        <v>41609</v>
      </c>
      <c r="AJ134" s="857">
        <f ca="1">+(AI118-AJ118)+(AJ124-AI124)</f>
        <v>-4847</v>
      </c>
      <c r="AK134" s="857">
        <f ca="1">+(AJ118-AK118)+(AK124-AJ124)</f>
        <v>-9400</v>
      </c>
      <c r="AL134" s="857">
        <f ca="1">+(AK118-AL118)+(AL124-AK124)</f>
        <v>-58600</v>
      </c>
      <c r="AM134" s="647">
        <f ca="1">+SUM(AI134:AL134)</f>
        <v>-31238</v>
      </c>
      <c r="AN134" s="857">
        <f ca="1">+(AM118-AN118)+(AN124-AM124)</f>
        <v>47361</v>
      </c>
      <c r="AO134" s="857">
        <f ca="1">+(AN118-AO118)+(AO124-AN124)</f>
        <v>-39703</v>
      </c>
      <c r="AP134" s="857">
        <f ca="1">+(AO118-AP118)+(AP124-AO124)</f>
        <v>-50585</v>
      </c>
      <c r="AQ134" s="857">
        <f ca="1">+(AP118-AQ118)+(AQ124-AP124)</f>
        <v>-36704</v>
      </c>
      <c r="AR134" s="647">
        <f ca="1">+SUM(AN134:AQ134)</f>
        <v>-79631</v>
      </c>
      <c r="AS134" s="857">
        <f ca="1">+(AR118-AS118)+(AS124-AR124)</f>
        <v>95261</v>
      </c>
      <c r="AT134" s="857">
        <f ca="1">+(AS118-AT118)+(AT124-AS124)</f>
        <v>-33651</v>
      </c>
      <c r="AU134" s="857">
        <f ca="1">+(AT118-AU118)+(AU124-AT124)</f>
        <v>-46301</v>
      </c>
      <c r="AV134" s="857">
        <f ca="1">+(AU118-AV118)+(AV124-AU124)</f>
        <v>-20704</v>
      </c>
      <c r="AW134" s="647">
        <f ca="1">+SUM(AS134:AV134)</f>
        <v>-5395</v>
      </c>
      <c r="AX134" s="857">
        <f ca="1">+(AW118-AX118)+(AX124-AW124)</f>
        <v>35890</v>
      </c>
      <c r="AY134" s="857">
        <f ca="1">+(AX118-AY118)+(AY124-AX124)</f>
        <v>-104280</v>
      </c>
      <c r="BN134" s="266"/>
      <c r="BO134" s="266"/>
      <c r="BP134" s="266"/>
      <c r="BQ134" s="266"/>
      <c r="BR134" s="266"/>
      <c r="BS134" s="266"/>
      <c r="BT134" s="266"/>
      <c r="BU134" s="266"/>
      <c r="BV134" s="266"/>
      <c r="BW134" s="266"/>
      <c r="BX134" s="266"/>
      <c r="BY134" s="266"/>
      <c r="BZ134" s="266"/>
      <c r="CA134" s="266"/>
      <c r="CB134" s="266"/>
      <c r="CC134" s="266"/>
      <c r="CD134" s="266"/>
      <c r="CE134" s="266"/>
      <c r="CF134" s="266"/>
      <c r="CG134" s="266"/>
      <c r="CH134" s="266"/>
      <c r="CI134" s="266"/>
      <c r="CJ134" s="266"/>
    </row>
    <row r="135" spans="1:88" s="885" customFormat="1" ht="13.5" customHeight="1" x14ac:dyDescent="0.2">
      <c r="A135" s="885" t="s">
        <v>1712</v>
      </c>
      <c r="B135" s="885" t="s">
        <v>1712</v>
      </c>
      <c r="D135" s="888" t="str">
        <f>IF([1]RENAME!$H$3=1,B135,A135)</f>
        <v>Free cash flow to firm</v>
      </c>
      <c r="E135" s="865">
        <f t="shared" ref="E135:U135" ca="1" si="169">+SUM(E131:E134)</f>
        <v>27964.456720000057</v>
      </c>
      <c r="F135" s="865">
        <f t="shared" ca="1" si="169"/>
        <v>27204.912880000033</v>
      </c>
      <c r="G135" s="865">
        <f t="shared" ca="1" si="169"/>
        <v>15509.341790000042</v>
      </c>
      <c r="H135" s="865">
        <f t="shared" ca="1" si="169"/>
        <v>-2641.3372899999922</v>
      </c>
      <c r="I135" s="648">
        <f t="shared" ca="1" si="169"/>
        <v>68037.374100000132</v>
      </c>
      <c r="J135" s="865">
        <f t="shared" ca="1" si="169"/>
        <v>38263.115360000011</v>
      </c>
      <c r="K135" s="865">
        <f t="shared" ca="1" si="169"/>
        <v>3532.9922099999603</v>
      </c>
      <c r="L135" s="865">
        <f t="shared" ca="1" si="169"/>
        <v>21497.777659999934</v>
      </c>
      <c r="M135" s="865">
        <f t="shared" ca="1" si="169"/>
        <v>15301.824607457558</v>
      </c>
      <c r="N135" s="648">
        <f t="shared" ca="1" si="169"/>
        <v>78595.709837457456</v>
      </c>
      <c r="O135" s="865">
        <f t="shared" ca="1" si="169"/>
        <v>46985.133340000059</v>
      </c>
      <c r="P135" s="865">
        <f t="shared" ca="1" si="169"/>
        <v>10975.35081000004</v>
      </c>
      <c r="Q135" s="865">
        <f t="shared" ca="1" si="169"/>
        <v>3954.0167600000568</v>
      </c>
      <c r="R135" s="865">
        <f t="shared" ca="1" si="169"/>
        <v>9046.086921722308</v>
      </c>
      <c r="S135" s="648">
        <f t="shared" ca="1" si="169"/>
        <v>70960.587831722456</v>
      </c>
      <c r="T135" s="865">
        <f t="shared" ca="1" si="169"/>
        <v>59767.598119999995</v>
      </c>
      <c r="U135" s="865">
        <f t="shared" ca="1" si="169"/>
        <v>72509.017059999969</v>
      </c>
      <c r="V135" s="865">
        <f t="shared" ref="V135:AA135" ca="1" si="170">+SUM(V131:V134)</f>
        <v>-31811.047750000023</v>
      </c>
      <c r="W135" s="865">
        <f t="shared" ca="1" si="170"/>
        <v>24754.906320000016</v>
      </c>
      <c r="X135" s="648">
        <f t="shared" ca="1" si="170"/>
        <v>125220.47374999996</v>
      </c>
      <c r="Y135" s="865">
        <f t="shared" ca="1" si="170"/>
        <v>58343.876010000015</v>
      </c>
      <c r="Z135" s="865">
        <f t="shared" ca="1" si="170"/>
        <v>-13848.015660000032</v>
      </c>
      <c r="AA135" s="865">
        <f t="shared" ca="1" si="170"/>
        <v>36853.106619999991</v>
      </c>
      <c r="AB135" s="865">
        <f t="shared" ref="AB135:AH135" ca="1" si="171">+SUM(AB131:AB134)</f>
        <v>-75092.882340000098</v>
      </c>
      <c r="AC135" s="648">
        <f t="shared" ca="1" si="171"/>
        <v>6256.0846299998666</v>
      </c>
      <c r="AD135" s="865">
        <f t="shared" ca="1" si="171"/>
        <v>86522.758349999931</v>
      </c>
      <c r="AE135" s="865">
        <f t="shared" ca="1" si="171"/>
        <v>-29184.24937000003</v>
      </c>
      <c r="AF135" s="865">
        <f t="shared" ca="1" si="171"/>
        <v>26396.781409999989</v>
      </c>
      <c r="AG135" s="865">
        <f t="shared" ca="1" si="171"/>
        <v>19165.462269999978</v>
      </c>
      <c r="AH135" s="648">
        <f t="shared" ca="1" si="171"/>
        <v>102900.75265999985</v>
      </c>
      <c r="AI135" s="865">
        <f t="shared" ref="AI135:AO135" ca="1" si="172">+SUM(AI131:AI134)</f>
        <v>68891.376789999878</v>
      </c>
      <c r="AJ135" s="865">
        <f t="shared" ca="1" si="172"/>
        <v>27428.945060000056</v>
      </c>
      <c r="AK135" s="865">
        <f t="shared" ca="1" si="172"/>
        <v>30272.957109999996</v>
      </c>
      <c r="AL135" s="865">
        <f t="shared" ca="1" si="172"/>
        <v>-22074.377019999774</v>
      </c>
      <c r="AM135" s="648">
        <f t="shared" ca="1" si="172"/>
        <v>104518.90194000013</v>
      </c>
      <c r="AN135" s="865">
        <f t="shared" ca="1" si="172"/>
        <v>64202.951819999813</v>
      </c>
      <c r="AO135" s="865">
        <f t="shared" ca="1" si="172"/>
        <v>2360.9508700000588</v>
      </c>
      <c r="AP135" s="865">
        <f t="shared" ref="AP135:AX135" ca="1" si="173">+SUM(AP131:AP134)</f>
        <v>16598.627510000078</v>
      </c>
      <c r="AQ135" s="865">
        <f t="shared" ca="1" si="173"/>
        <v>29187.6162799999</v>
      </c>
      <c r="AR135" s="648">
        <f t="shared" ca="1" si="173"/>
        <v>112350.14647999985</v>
      </c>
      <c r="AS135" s="865">
        <f t="shared" ca="1" si="173"/>
        <v>124736.74866999993</v>
      </c>
      <c r="AT135" s="865">
        <f t="shared" ca="1" si="173"/>
        <v>14012.839629999762</v>
      </c>
      <c r="AU135" s="865">
        <f t="shared" ca="1" si="173"/>
        <v>9223.2071406349569</v>
      </c>
      <c r="AV135" s="865">
        <f t="shared" ca="1" si="173"/>
        <v>-43512.361279999997</v>
      </c>
      <c r="AW135" s="648">
        <f t="shared" ca="1" si="173"/>
        <v>104460.43416063469</v>
      </c>
      <c r="AX135" s="865">
        <f t="shared" ca="1" si="173"/>
        <v>67563.61469000006</v>
      </c>
      <c r="AY135" s="865">
        <f ca="1">+SUM(AY131:AY134)</f>
        <v>-28346.786080000238</v>
      </c>
      <c r="AZ135" s="886"/>
      <c r="BA135" s="266" t="s">
        <v>1710</v>
      </c>
      <c r="BB135" s="266" t="s">
        <v>1710</v>
      </c>
      <c r="BC135" s="886"/>
      <c r="BD135" s="886"/>
      <c r="BE135" s="886"/>
      <c r="BF135" s="886"/>
      <c r="BG135" s="886"/>
      <c r="BH135" s="886"/>
      <c r="BK135" s="886"/>
      <c r="BL135" s="886"/>
      <c r="BM135" s="886"/>
      <c r="BN135" s="886"/>
      <c r="BO135" s="886"/>
      <c r="BP135" s="886"/>
      <c r="BQ135" s="886"/>
      <c r="BR135" s="886"/>
      <c r="BS135" s="886"/>
      <c r="BT135" s="886"/>
      <c r="BU135" s="886"/>
      <c r="BV135" s="886"/>
      <c r="BW135" s="886"/>
      <c r="BX135" s="886"/>
      <c r="BY135" s="886"/>
      <c r="BZ135" s="886"/>
      <c r="CA135" s="886"/>
      <c r="CB135" s="886"/>
      <c r="CC135" s="886"/>
      <c r="CD135" s="886"/>
      <c r="CE135" s="886"/>
      <c r="CF135" s="886"/>
      <c r="CG135" s="886"/>
      <c r="CH135" s="886"/>
      <c r="CI135" s="886"/>
      <c r="CJ135" s="886"/>
    </row>
    <row r="136" spans="1:88" ht="3" customHeight="1" x14ac:dyDescent="0.2">
      <c r="D136" s="884"/>
      <c r="E136" s="1052"/>
      <c r="F136" s="1052"/>
      <c r="G136" s="1052"/>
      <c r="H136" s="1052"/>
      <c r="I136" s="857"/>
      <c r="J136" s="1052"/>
      <c r="K136" s="1052"/>
      <c r="L136" s="1052"/>
      <c r="M136" s="1052"/>
      <c r="N136" s="857"/>
      <c r="O136" s="648"/>
      <c r="P136" s="648"/>
      <c r="Q136" s="648"/>
      <c r="R136" s="648"/>
      <c r="S136" s="857"/>
      <c r="T136" s="648"/>
      <c r="U136" s="648"/>
      <c r="V136" s="648"/>
      <c r="W136" s="648"/>
      <c r="X136" s="857"/>
      <c r="Y136" s="648"/>
      <c r="Z136" s="648"/>
      <c r="AA136" s="648"/>
      <c r="AB136" s="648"/>
      <c r="AC136" s="857"/>
      <c r="AD136" s="648"/>
      <c r="AE136" s="648"/>
      <c r="AF136" s="648"/>
      <c r="AG136" s="648"/>
      <c r="AH136" s="857"/>
      <c r="AI136" s="648"/>
      <c r="AJ136" s="648"/>
      <c r="AK136" s="648"/>
      <c r="AL136" s="648"/>
      <c r="AM136" s="857"/>
      <c r="AN136" s="648"/>
      <c r="AO136" s="648"/>
      <c r="AP136" s="648"/>
      <c r="AQ136" s="648"/>
      <c r="AR136" s="857"/>
      <c r="AS136" s="648"/>
      <c r="AT136" s="648"/>
      <c r="AU136" s="648"/>
      <c r="AV136" s="648"/>
      <c r="AW136" s="857"/>
      <c r="AX136" s="648"/>
      <c r="AY136" s="648"/>
      <c r="BN136" s="266"/>
      <c r="BO136" s="266"/>
      <c r="BP136" s="266"/>
      <c r="BQ136" s="266"/>
      <c r="BR136" s="266"/>
      <c r="BS136" s="266"/>
      <c r="BT136" s="266"/>
      <c r="BU136" s="266"/>
      <c r="BV136" s="266"/>
      <c r="BW136" s="266"/>
      <c r="BX136" s="266"/>
      <c r="BY136" s="266"/>
      <c r="BZ136" s="266"/>
      <c r="CA136" s="266"/>
      <c r="CB136" s="266"/>
      <c r="CC136" s="266"/>
      <c r="CD136" s="266"/>
      <c r="CE136" s="266"/>
      <c r="CF136" s="266"/>
      <c r="CG136" s="266"/>
      <c r="CH136" s="266"/>
      <c r="CI136" s="266"/>
      <c r="CJ136" s="266"/>
    </row>
    <row r="137" spans="1:88" ht="13.5" customHeight="1" x14ac:dyDescent="0.2">
      <c r="A137" s="1" t="s">
        <v>331</v>
      </c>
      <c r="B137" s="1" t="s">
        <v>1711</v>
      </c>
      <c r="D137" s="858" t="str">
        <f>IF([1]RENAME!$H$3=1,B137,A137)</f>
        <v>Resultado financeiro</v>
      </c>
      <c r="E137" s="857">
        <f ca="1">+E28</f>
        <v>-4287.1967700000005</v>
      </c>
      <c r="F137" s="857">
        <f ca="1">+F28</f>
        <v>3566.6795899999997</v>
      </c>
      <c r="G137" s="857">
        <f ca="1">+G28</f>
        <v>-3113.1098000000002</v>
      </c>
      <c r="H137" s="857">
        <f ca="1">+H28</f>
        <v>12617.618369999998</v>
      </c>
      <c r="I137" s="647">
        <f ca="1">+SUM(E137:H137)</f>
        <v>8783.9913899999974</v>
      </c>
      <c r="J137" s="857">
        <f ca="1">+J28</f>
        <v>-1889.4519500000006</v>
      </c>
      <c r="K137" s="857">
        <f ca="1">+K28</f>
        <v>-825.25070000000005</v>
      </c>
      <c r="L137" s="857">
        <f ca="1">+L28</f>
        <v>-4991.2516099999993</v>
      </c>
      <c r="M137" s="857">
        <f ca="1">+M28</f>
        <v>-1413.8592499999995</v>
      </c>
      <c r="N137" s="647">
        <f ca="1">+SUM(J137:M137)</f>
        <v>-9119.81351</v>
      </c>
      <c r="O137" s="857">
        <f ca="1">+O28</f>
        <v>-1898</v>
      </c>
      <c r="P137" s="857">
        <f ca="1">+P28</f>
        <v>-2688</v>
      </c>
      <c r="Q137" s="857">
        <f ca="1">+Q28</f>
        <v>30529</v>
      </c>
      <c r="R137" s="857">
        <f ca="1">+R28</f>
        <v>-3245.5405300000002</v>
      </c>
      <c r="S137" s="647">
        <f ca="1">+SUM(O137:R137)</f>
        <v>22697.459470000002</v>
      </c>
      <c r="T137" s="857">
        <f ca="1">+T28</f>
        <v>-2007.30314</v>
      </c>
      <c r="U137" s="857">
        <f ca="1">+U28</f>
        <v>-2212.7467099999976</v>
      </c>
      <c r="V137" s="857">
        <f ca="1">+V28</f>
        <v>-2784.8866099999996</v>
      </c>
      <c r="W137" s="857">
        <f ca="1">+W28</f>
        <v>-2152.0314800000006</v>
      </c>
      <c r="X137" s="647">
        <f ca="1">+SUM(T137:W137)</f>
        <v>-9156.9679399999986</v>
      </c>
      <c r="Y137" s="857">
        <f ca="1">+Y28</f>
        <v>-2893.5208399999997</v>
      </c>
      <c r="Z137" s="857">
        <f ca="1">+Z28</f>
        <v>1719.5772200000001</v>
      </c>
      <c r="AA137" s="857">
        <f ca="1">+AA28</f>
        <v>-896.09401000000025</v>
      </c>
      <c r="AB137" s="857">
        <f ca="1">+AB28</f>
        <v>-952.37159000000065</v>
      </c>
      <c r="AC137" s="647">
        <f ca="1">+SUM(Y137:AB137)</f>
        <v>-3022.4092200000005</v>
      </c>
      <c r="AD137" s="857">
        <f ca="1">+AD28</f>
        <v>-540.99999999999909</v>
      </c>
      <c r="AE137" s="857">
        <f ca="1">+AE28</f>
        <v>164.84838000000036</v>
      </c>
      <c r="AF137" s="857">
        <f ca="1">+AF28</f>
        <v>-52.790259999998852</v>
      </c>
      <c r="AG137" s="857">
        <f ca="1">+AG28</f>
        <v>7143.2795999999998</v>
      </c>
      <c r="AH137" s="647">
        <f ca="1">+SUM(AD137:AG137)</f>
        <v>6714.3377200000023</v>
      </c>
      <c r="AI137" s="857">
        <f ca="1">+AI28</f>
        <v>1279.2891100000006</v>
      </c>
      <c r="AJ137" s="857">
        <f ca="1">+AJ28</f>
        <v>2933.0279499999979</v>
      </c>
      <c r="AK137" s="857">
        <f ca="1">+AK28</f>
        <v>2517.9430699999984</v>
      </c>
      <c r="AL137" s="857">
        <f ca="1">+AL28</f>
        <v>2208.5117899999996</v>
      </c>
      <c r="AM137" s="647">
        <f ca="1">+SUM(AI137:AL137)</f>
        <v>8938.7719199999956</v>
      </c>
      <c r="AN137" s="857">
        <f ca="1">+AN28</f>
        <v>2039.7343800000008</v>
      </c>
      <c r="AO137" s="857">
        <f ca="1">+AO28</f>
        <v>4056.5603300000002</v>
      </c>
      <c r="AP137" s="857">
        <f ca="1">+AP28</f>
        <v>1218.2220500000021</v>
      </c>
      <c r="AQ137" s="857">
        <f ca="1">+AQ28</f>
        <v>1460.4212000000007</v>
      </c>
      <c r="AR137" s="647">
        <f ca="1">+SUM(AN137:AQ137)</f>
        <v>8774.9379600000029</v>
      </c>
      <c r="AS137" s="857">
        <f ca="1">+AS28</f>
        <v>2351.3270400000001</v>
      </c>
      <c r="AT137" s="857">
        <f ca="1">+AT28</f>
        <v>3260.8603000000021</v>
      </c>
      <c r="AU137" s="857">
        <f ca="1">+AU28</f>
        <v>3306.933340000005</v>
      </c>
      <c r="AV137" s="857">
        <f ca="1">+AV28</f>
        <v>2568.8136299999987</v>
      </c>
      <c r="AW137" s="647">
        <f ca="1">+SUM(AS137:AV137)</f>
        <v>11487.934310000006</v>
      </c>
      <c r="AX137" s="857">
        <f ca="1">+AX28</f>
        <v>-1121.6847400000006</v>
      </c>
      <c r="AY137" s="857">
        <f ca="1">+AY28</f>
        <v>-1331.1711999999998</v>
      </c>
      <c r="BA137" s="266" t="str">
        <f>"$"&amp;ROW(DFC!$D$84)</f>
        <v>$84</v>
      </c>
      <c r="BB137" s="266" t="str">
        <f>"$"&amp;ROW(DFC!$D$84)</f>
        <v>$84</v>
      </c>
      <c r="BN137" s="266"/>
      <c r="BO137" s="266"/>
      <c r="BP137" s="266"/>
      <c r="BQ137" s="266"/>
      <c r="BR137" s="266"/>
      <c r="BS137" s="266"/>
      <c r="BT137" s="266"/>
      <c r="BU137" s="266"/>
      <c r="BV137" s="266"/>
      <c r="BW137" s="266"/>
      <c r="BX137" s="266"/>
      <c r="BY137" s="266"/>
      <c r="BZ137" s="266"/>
      <c r="CA137" s="266"/>
      <c r="CB137" s="266"/>
      <c r="CC137" s="266"/>
      <c r="CD137" s="266"/>
      <c r="CE137" s="266"/>
      <c r="CF137" s="266"/>
      <c r="CG137" s="266"/>
      <c r="CH137" s="266"/>
      <c r="CI137" s="266"/>
      <c r="CJ137" s="266"/>
    </row>
    <row r="138" spans="1:88" ht="13.5" customHeight="1" x14ac:dyDescent="0.2">
      <c r="A138" s="1" t="s">
        <v>1709</v>
      </c>
      <c r="B138" s="1" t="s">
        <v>1708</v>
      </c>
      <c r="D138" s="858" t="str">
        <f>IF([1]RENAME!$H$3=1,B138,A138)</f>
        <v>Pagamento de dívida</v>
      </c>
      <c r="E138" s="857">
        <f t="shared" ref="E138:H140" ca="1" si="174">+SUMIFS(INDIRECT(CONCATENATE("'",$AZ138,$BA138,":",$BB138)),INDIRECT(CONCATENATE("'",$AZ138,$BA$116,":",$BB$116)),E$116)</f>
        <v>-66920</v>
      </c>
      <c r="F138" s="857">
        <f t="shared" ca="1" si="174"/>
        <v>-263</v>
      </c>
      <c r="G138" s="857">
        <f t="shared" ca="1" si="174"/>
        <v>-50255.884591548151</v>
      </c>
      <c r="H138" s="857">
        <f t="shared" ca="1" si="174"/>
        <v>-263.11540845184936</v>
      </c>
      <c r="I138" s="647">
        <f ca="1">+SUM(E138:H138)</f>
        <v>-117702</v>
      </c>
      <c r="J138" s="857">
        <f t="shared" ref="J138:M140" ca="1" si="175">+SUMIFS(INDIRECT(CONCATENATE("'",$AZ138,$BA138,":",$BB138)),INDIRECT(CONCATENATE("'",$AZ138,$BA$116,":",$BB$116)),J$116)</f>
        <v>-66800</v>
      </c>
      <c r="K138" s="857">
        <f t="shared" ca="1" si="175"/>
        <v>-4620</v>
      </c>
      <c r="L138" s="857">
        <f t="shared" ca="1" si="175"/>
        <v>-40000</v>
      </c>
      <c r="M138" s="857">
        <f t="shared" ca="1" si="175"/>
        <v>0</v>
      </c>
      <c r="N138" s="647">
        <f ca="1">+SUM(J138:M138)</f>
        <v>-111420</v>
      </c>
      <c r="O138" s="857">
        <f t="shared" ref="O138:R140" ca="1" si="176">+SUMIFS(INDIRECT(CONCATENATE("'",$AZ138,$BA138,":",$BB138)),INDIRECT(CONCATENATE("'",$AZ138,$BA$116,":",$BB$116)),O$116)</f>
        <v>-46676</v>
      </c>
      <c r="P138" s="857">
        <f t="shared" ca="1" si="176"/>
        <v>-3333</v>
      </c>
      <c r="Q138" s="857">
        <f t="shared" ca="1" si="176"/>
        <v>0</v>
      </c>
      <c r="R138" s="857">
        <f t="shared" ca="1" si="176"/>
        <v>-3334</v>
      </c>
      <c r="S138" s="647">
        <f ca="1">+SUM(O138:R138)</f>
        <v>-53343</v>
      </c>
      <c r="T138" s="857">
        <f t="shared" ref="T138:W140" ca="1" si="177">+SUMIFS(INDIRECT(CONCATENATE("'",$AZ138,$BA138,":",$BB138)),INDIRECT(CONCATENATE("'",$AZ138,$BA$116,":",$BB$116)),T$116)</f>
        <v>0</v>
      </c>
      <c r="U138" s="857">
        <f t="shared" ca="1" si="177"/>
        <v>-3333</v>
      </c>
      <c r="V138" s="857">
        <f t="shared" ca="1" si="177"/>
        <v>-96373</v>
      </c>
      <c r="W138" s="857">
        <f t="shared" ca="1" si="177"/>
        <v>0</v>
      </c>
      <c r="X138" s="647">
        <f ca="1">+SUM(T138:W138)</f>
        <v>-99706</v>
      </c>
      <c r="Y138" s="857">
        <f ca="1">+SUMIFS(INDIRECT(CONCATENATE("'",$AZ138,$BA138,":",$BB138)),INDIRECT(CONCATENATE("'",$AZ138,$BA$116,":",$BB$116)),Y$116)+SUMIFS(INDIRECT(CONCATENATE("'",$AZ138,$BA137,":",$BB137)),INDIRECT(CONCATENATE("'",$AZ138,$BA$116,":",$BB$116)),Y$116)</f>
        <v>0</v>
      </c>
      <c r="Z138" s="857">
        <f ca="1">+SUMIFS(INDIRECT(CONCATENATE("'",$AZ138,$BA138,":",$BB138)),INDIRECT(CONCATENATE("'",$AZ138,$BA$116,":",$BB$116)),Z$116)+SUMIFS(INDIRECT(CONCATENATE("'",$AZ138,$BA137,":",$BB137)),INDIRECT(CONCATENATE("'",$AZ138,$BA$116,":",$BB$116)),Z$116)</f>
        <v>-40000</v>
      </c>
      <c r="AA138" s="857">
        <f ca="1">+SUMIFS(INDIRECT(CONCATENATE("'",$AZ138,$BA138,":",$BB138)),INDIRECT(CONCATENATE("'",$AZ138,$BA$116,":",$BB$116)),AA$116)+SUMIFS(INDIRECT(CONCATENATE("'",$AZ138,$BA137,":",$BB137)),INDIRECT(CONCATENATE("'",$AZ138,$BA$116,":",$BB$116)),AA$116)</f>
        <v>-25005</v>
      </c>
      <c r="AB138" s="857">
        <f ca="1">+SUMIFS(INDIRECT(CONCATENATE("'",$AZ138,$BA138,":",$BB138)),INDIRECT(CONCATENATE("'",$AZ138,$BA$116,":",$BB$116)),AB$116)+SUMIFS(INDIRECT(CONCATENATE("'",$AZ138,$BA137,":",$BB137)),INDIRECT(CONCATENATE("'",$AZ138,$BA$116,":",$BB$116)),AB$116)</f>
        <v>0</v>
      </c>
      <c r="AC138" s="647">
        <f ca="1">+SUM(Y138:AB138)</f>
        <v>-65005</v>
      </c>
      <c r="AD138" s="857">
        <f ca="1">+SUMIFS(INDIRECT(CONCATENATE("'",$AZ138,$BA138,":",$BB138)),INDIRECT(CONCATENATE("'",$AZ138,$BA$116,":",$BB$116)),AD$116)+SUMIFS(INDIRECT(CONCATENATE("'",$AZ138,$BA137,":",$BB137)),INDIRECT(CONCATENATE("'",$AZ138,$BA$116,":",$BB$116)),AD$116)</f>
        <v>-10000</v>
      </c>
      <c r="AE138" s="857">
        <f ca="1">+SUMIFS(INDIRECT(CONCATENATE("'",$AZ138,$BA138,":",$BB138)),INDIRECT(CONCATENATE("'",$AZ138,$BA$116,":",$BB$116)),AE$116)+SUMIFS(INDIRECT(CONCATENATE("'",$AZ138,$BA137,":",$BB137)),INDIRECT(CONCATENATE("'",$AZ138,$BA$116,":",$BB$116)),AE$116)</f>
        <v>-50000</v>
      </c>
      <c r="AF138" s="857">
        <f ca="1">+SUMIFS(INDIRECT(CONCATENATE("'",$AZ138,$BA138,":",$BB138)),INDIRECT(CONCATENATE("'",$AZ138,$BA$116,":",$BB$116)),AF$116)+SUMIFS(INDIRECT(CONCATENATE("'",$AZ138,$BA137,":",$BB137)),INDIRECT(CONCATENATE("'",$AZ138,$BA$116,":",$BB$116)),AF$116)</f>
        <v>0</v>
      </c>
      <c r="AG138" s="857">
        <f ca="1">+SUMIFS(INDIRECT(CONCATENATE("'",$AZ138,$BA138,":",$BB138)),INDIRECT(CONCATENATE("'",$AZ138,$BA$116,":",$BB$116)),AG$116)+SUMIFS(INDIRECT(CONCATENATE("'",$AZ138,$BA137,":",$BB137)),INDIRECT(CONCATENATE("'",$AZ138,$BA$116,":",$BB$116)),AG$116)</f>
        <v>0</v>
      </c>
      <c r="AH138" s="647">
        <f ca="1">+SUM(AD138:AG138)</f>
        <v>-60000</v>
      </c>
      <c r="AI138" s="857">
        <f ca="1">+SUMIFS(INDIRECT(CONCATENATE("'",$AZ138,$BA138,":",$BB138)),INDIRECT(CONCATENATE("'",$AZ138,$BA$116,":",$BB$116)),AI$116)+SUMIFS(INDIRECT(CONCATENATE("'",$AZ138,$BA137,":",$BB137)),INDIRECT(CONCATENATE("'",$AZ138,$BA$116,":",$BB$116)),AI$116)</f>
        <v>-10000</v>
      </c>
      <c r="AJ138" s="857">
        <f ca="1">+SUMIFS(INDIRECT(CONCATENATE("'",$AZ138,$BA138,":",$BB138)),INDIRECT(CONCATENATE("'",$AZ138,$BA$116,":",$BB$116)),AJ$116)+SUMIFS(INDIRECT(CONCATENATE("'",$AZ138,$BA137,":",$BB137)),INDIRECT(CONCATENATE("'",$AZ138,$BA$116,":",$BB$116)),AJ$116)</f>
        <v>0</v>
      </c>
      <c r="AK138" s="857">
        <f ca="1">+SUMIFS(INDIRECT(CONCATENATE("'",$AZ138,$BA138,":",$BB138)),INDIRECT(CONCATENATE("'",$AZ138,$BA$116,":",$BB$116)),AK$116)+SUMIFS(INDIRECT(CONCATENATE("'",$AZ138,$BA137,":",$BB137)),INDIRECT(CONCATENATE("'",$AZ138,$BA$116,":",$BB$116)),AK$116)</f>
        <v>-45000</v>
      </c>
      <c r="AL138" s="857">
        <f ca="1">+SUMIFS(INDIRECT(CONCATENATE("'",$AZ138,$BA138,":",$BB138)),INDIRECT(CONCATENATE("'",$AZ138,$BA$116,":",$BB$116)),AL$116)+SUMIFS(INDIRECT(CONCATENATE("'",$AZ138,$BA137,":",$BB137)),INDIRECT(CONCATENATE("'",$AZ138,$BA$116,":",$BB$116)),AL$116)</f>
        <v>0</v>
      </c>
      <c r="AM138" s="647">
        <f ca="1">+SUM(AI138:AL138)</f>
        <v>-55000</v>
      </c>
      <c r="AN138" s="857">
        <f ca="1">+SUMIFS(INDIRECT(CONCATENATE("'",$AZ138,$BA138,":",$BB138)),INDIRECT(CONCATENATE("'",$AZ138,$BA$116,":",$BB$116)),AN$116)+SUMIFS(INDIRECT(CONCATENATE("'",$AZ138,$BA137,":",$BB137)),INDIRECT(CONCATENATE("'",$AZ138,$BA$116,":",$BB$116)),AN$116)</f>
        <v>0</v>
      </c>
      <c r="AO138" s="857">
        <f ca="1">+SUMIFS(INDIRECT(CONCATENATE("'",$AZ138,$BA138,":",$BB138)),INDIRECT(CONCATENATE("'",$AZ138,$BA$116,":",$BB$116)),AO$116)+SUMIFS(INDIRECT(CONCATENATE("'",$AZ138,$BA137,":",$BB137)),INDIRECT(CONCATENATE("'",$AZ138,$BA$116,":",$BB$116)),AO$116)</f>
        <v>-10000</v>
      </c>
      <c r="AP138" s="857">
        <f ca="1">+SUMIFS(INDIRECT(CONCATENATE("'",$AZ138,$BA138,":",$BB138)),INDIRECT(CONCATENATE("'",$AZ138,$BA$116,":",$BB$116)),AP$116)+SUMIFS(INDIRECT(CONCATENATE("'",$AZ138,$BA137,":",$BB137)),INDIRECT(CONCATENATE("'",$AZ138,$BA$116,":",$BB$116)),AP$116)</f>
        <v>0</v>
      </c>
      <c r="AQ138" s="857">
        <f ca="1">+SUMIFS(INDIRECT(CONCATENATE("'",$AZ138,$BA138,":",$BB138)),INDIRECT(CONCATENATE("'",$AZ138,$BA$116,":",$BB$116)),AQ$116)+SUMIFS(INDIRECT(CONCATENATE("'",$AZ138,$BA137,":",$BB137)),INDIRECT(CONCATENATE("'",$AZ138,$BA$116,":",$BB$116)),AQ$116)</f>
        <v>0</v>
      </c>
      <c r="AR138" s="647">
        <f ca="1">+SUM(AN138:AQ138)</f>
        <v>-10000</v>
      </c>
      <c r="AS138" s="857">
        <f ca="1">+SUMIFS(INDIRECT(CONCATENATE("'",$AZ138,$BA138,":",$BB138)),INDIRECT(CONCATENATE("'",$AZ138,$BA$116,":",$BB$116)),AS$116)+SUMIFS(INDIRECT(CONCATENATE("'",$AZ138,$BA137,":",$BB137)),INDIRECT(CONCATENATE("'",$AZ138,$BA$116,":",$BB$116)),AS$116)</f>
        <v>-1018</v>
      </c>
      <c r="AT138" s="857">
        <f ca="1">+SUMIFS(INDIRECT(CONCATENATE("'",$AZ138,$BA138,":",$BB138)),INDIRECT(CONCATENATE("'",$AZ138,$BA$116,":",$BB$116)),AT$116)+SUMIFS(INDIRECT(CONCATENATE("'",$AZ138,$BA137,":",$BB137)),INDIRECT(CONCATENATE("'",$AZ138,$BA$116,":",$BB$116)),AT$116)</f>
        <v>-1087</v>
      </c>
      <c r="AU138" s="857">
        <f ca="1">+SUMIFS(INDIRECT(CONCATENATE("'",$AZ138,$BA138,":",$BB138)),INDIRECT(CONCATENATE("'",$AZ138,$BA$116,":",$BB$116)),AU$116)+SUMIFS(INDIRECT(CONCATENATE("'",$AZ138,$BA137,":",$BB137)),INDIRECT(CONCATENATE("'",$AZ138,$BA$116,":",$BB$116)),AU$116)</f>
        <v>-23448</v>
      </c>
      <c r="AV138" s="857">
        <f ca="1">+SUMIFS(INDIRECT(CONCATENATE("'",$AZ138,$BA138,":",$BB138)),INDIRECT(CONCATENATE("'",$AZ138,$BA$116,":",$BB$116)),AV$116)+SUMIFS(INDIRECT(CONCATENATE("'",$AZ138,$BA137,":",$BB137)),INDIRECT(CONCATENATE("'",$AZ138,$BA$116,":",$BB$116)),AV$116)</f>
        <v>-1062</v>
      </c>
      <c r="AW138" s="647">
        <f ca="1">+SUM(AS138:AV138)</f>
        <v>-26615</v>
      </c>
      <c r="AX138" s="857">
        <f ca="1">+SUMIFS(INDIRECT(CONCATENATE("'",$AZ138,$BA138,":",$BB138)),INDIRECT(CONCATENATE("'",$AZ138,$BA$116,":",$BB$116)),AX$116)+SUMIFS(INDIRECT(CONCATENATE("'",$AZ138,$BA137,":",$BB137)),INDIRECT(CONCATENATE("'",$AZ138,$BA$116,":",$BB$116)),AX$116)</f>
        <v>-1018</v>
      </c>
      <c r="AY138" s="857">
        <f ca="1">+SUMIFS(INDIRECT(CONCATENATE("'",$AZ138,$BA138,":",$BB138)),INDIRECT(CONCATENATE("'",$AZ138,$BA$116,":",$BB$116)),AY$116)+SUMIFS(INDIRECT(CONCATENATE("'",$AZ138,$BA137,":",$BB137)),INDIRECT(CONCATENATE("'",$AZ138,$BA$116,":",$BB$116)),AY$116)</f>
        <v>-1202</v>
      </c>
      <c r="AZ138" s="266" t="str">
        <f>IF([1]RENAME!$H$3=0,BD138,BC138)</f>
        <v>DFC'!</v>
      </c>
      <c r="BA138" s="266" t="str">
        <f>"$"&amp;ROW(DFC!$D$82)</f>
        <v>$82</v>
      </c>
      <c r="BB138" s="266" t="str">
        <f>"$"&amp;ROW(DFC!$D$82)</f>
        <v>$82</v>
      </c>
      <c r="BC138" s="266" t="s">
        <v>1704</v>
      </c>
      <c r="BD138" s="266" t="s">
        <v>1703</v>
      </c>
      <c r="BN138" s="266"/>
      <c r="BO138" s="266"/>
      <c r="BP138" s="266"/>
      <c r="BQ138" s="266"/>
      <c r="BR138" s="266"/>
      <c r="BS138" s="266"/>
      <c r="BT138" s="266"/>
      <c r="BU138" s="266"/>
      <c r="BV138" s="266"/>
      <c r="BW138" s="266"/>
      <c r="BX138" s="266"/>
      <c r="BY138" s="266"/>
      <c r="BZ138" s="266"/>
      <c r="CA138" s="266"/>
      <c r="CB138" s="266"/>
      <c r="CC138" s="266"/>
      <c r="CD138" s="266"/>
      <c r="CE138" s="266"/>
      <c r="CF138" s="266"/>
      <c r="CG138" s="266"/>
      <c r="CH138" s="266"/>
      <c r="CI138" s="266"/>
      <c r="CJ138" s="266"/>
    </row>
    <row r="139" spans="1:88" ht="13.5" customHeight="1" x14ac:dyDescent="0.2">
      <c r="A139" s="1" t="s">
        <v>1707</v>
      </c>
      <c r="B139" s="1" t="s">
        <v>1706</v>
      </c>
      <c r="D139" s="858" t="str">
        <f>IF([1]RENAME!$H$3=1,B139,A139)</f>
        <v>Captação de dívida</v>
      </c>
      <c r="E139" s="857">
        <f t="shared" ca="1" si="174"/>
        <v>1342</v>
      </c>
      <c r="F139" s="857">
        <f t="shared" ca="1" si="174"/>
        <v>53131.804740000036</v>
      </c>
      <c r="G139" s="857">
        <f t="shared" ca="1" si="174"/>
        <v>0</v>
      </c>
      <c r="H139" s="857">
        <f t="shared" ca="1" si="174"/>
        <v>0</v>
      </c>
      <c r="I139" s="647">
        <f ca="1">+SUM(E139:H139)</f>
        <v>54473.804740000036</v>
      </c>
      <c r="J139" s="857">
        <f t="shared" ca="1" si="175"/>
        <v>0</v>
      </c>
      <c r="K139" s="857">
        <f t="shared" ca="1" si="175"/>
        <v>0</v>
      </c>
      <c r="L139" s="857">
        <f t="shared" ca="1" si="175"/>
        <v>50000</v>
      </c>
      <c r="M139" s="857">
        <f t="shared" ca="1" si="175"/>
        <v>0</v>
      </c>
      <c r="N139" s="647">
        <f ca="1">+SUM(J139:M139)</f>
        <v>50000</v>
      </c>
      <c r="O139" s="857">
        <f t="shared" ca="1" si="176"/>
        <v>30000</v>
      </c>
      <c r="P139" s="857">
        <f t="shared" ca="1" si="176"/>
        <v>0</v>
      </c>
      <c r="Q139" s="857">
        <f t="shared" ca="1" si="176"/>
        <v>0</v>
      </c>
      <c r="R139" s="857">
        <f t="shared" ca="1" si="176"/>
        <v>0</v>
      </c>
      <c r="S139" s="647">
        <f ca="1">+SUM(O139:R139)</f>
        <v>30000</v>
      </c>
      <c r="T139" s="857">
        <f t="shared" ca="1" si="177"/>
        <v>0</v>
      </c>
      <c r="U139" s="857">
        <f t="shared" ca="1" si="177"/>
        <v>90000</v>
      </c>
      <c r="V139" s="857">
        <f t="shared" ca="1" si="177"/>
        <v>45000</v>
      </c>
      <c r="W139" s="857">
        <f t="shared" ca="1" si="177"/>
        <v>0</v>
      </c>
      <c r="X139" s="647">
        <f ca="1">+SUM(T139:W139)</f>
        <v>135000</v>
      </c>
      <c r="Y139" s="857">
        <f t="shared" ref="Y139:AB140" ca="1" si="178">+SUMIFS(INDIRECT(CONCATENATE("'",$AZ139,$BA139,":",$BB139)),INDIRECT(CONCATENATE("'",$AZ139,$BA$116,":",$BB$116)),Y$116)</f>
        <v>0</v>
      </c>
      <c r="Z139" s="857">
        <f t="shared" ca="1" si="178"/>
        <v>0</v>
      </c>
      <c r="AA139" s="857">
        <f t="shared" ca="1" si="178"/>
        <v>0</v>
      </c>
      <c r="AB139" s="857">
        <f t="shared" ca="1" si="178"/>
        <v>0</v>
      </c>
      <c r="AC139" s="647">
        <f ca="1">+SUM(Y139:AB139)</f>
        <v>0</v>
      </c>
      <c r="AD139" s="857">
        <f t="shared" ref="AD139:AG140" ca="1" si="179">+SUMIFS(INDIRECT(CONCATENATE("'",$AZ139,$BA139,":",$BB139)),INDIRECT(CONCATENATE("'",$AZ139,$BA$116,":",$BB$116)),AD$116)</f>
        <v>0</v>
      </c>
      <c r="AE139" s="857">
        <f t="shared" ca="1" si="179"/>
        <v>0</v>
      </c>
      <c r="AF139" s="857">
        <f t="shared" ca="1" si="179"/>
        <v>0</v>
      </c>
      <c r="AG139" s="857">
        <f t="shared" ca="1" si="179"/>
        <v>32568</v>
      </c>
      <c r="AH139" s="647">
        <f ca="1">+SUM(AD139:AG139)</f>
        <v>32568</v>
      </c>
      <c r="AI139" s="857">
        <f t="shared" ref="AI139:AL140" ca="1" si="180">+SUMIFS(INDIRECT(CONCATENATE("'",$AZ139,$BA139,":",$BB139)),INDIRECT(CONCATENATE("'",$AZ139,$BA$116,":",$BB$116)),AI$116)</f>
        <v>0</v>
      </c>
      <c r="AJ139" s="857">
        <f t="shared" ca="1" si="180"/>
        <v>0</v>
      </c>
      <c r="AK139" s="857">
        <f t="shared" ca="1" si="180"/>
        <v>51266</v>
      </c>
      <c r="AL139" s="857">
        <f t="shared" ca="1" si="180"/>
        <v>5005</v>
      </c>
      <c r="AM139" s="647">
        <f ca="1">+SUM(AI139:AL139)</f>
        <v>56271</v>
      </c>
      <c r="AN139" s="857">
        <f t="shared" ref="AN139:AQ140" ca="1" si="181">+SUMIFS(INDIRECT(CONCATENATE("'",$AZ139,$BA139,":",$BB139)),INDIRECT(CONCATENATE("'",$AZ139,$BA$116,":",$BB$116)),AN$116)</f>
        <v>5910</v>
      </c>
      <c r="AO139" s="857">
        <f t="shared" ca="1" si="181"/>
        <v>8729</v>
      </c>
      <c r="AP139" s="857">
        <f t="shared" ca="1" si="181"/>
        <v>0</v>
      </c>
      <c r="AQ139" s="857">
        <f t="shared" ca="1" si="181"/>
        <v>0</v>
      </c>
      <c r="AR139" s="647">
        <f ca="1">+SUM(AN139:AQ139)</f>
        <v>14639</v>
      </c>
      <c r="AS139" s="857">
        <f t="shared" ref="AS139:AY140" ca="1" si="182">+SUMIFS(INDIRECT(CONCATENATE("'",$AZ139,$BA139,":",$BB139)),INDIRECT(CONCATENATE("'",$AZ139,$BA$116,":",$BB$116)),AS$116)</f>
        <v>6522</v>
      </c>
      <c r="AT139" s="857">
        <f t="shared" ca="1" si="182"/>
        <v>0</v>
      </c>
      <c r="AU139" s="857">
        <f t="shared" ca="1" si="182"/>
        <v>0</v>
      </c>
      <c r="AV139" s="857">
        <f t="shared" ca="1" si="182"/>
        <v>40000</v>
      </c>
      <c r="AW139" s="647">
        <f ca="1">+SUM(AS139:AV139)</f>
        <v>46522</v>
      </c>
      <c r="AX139" s="857">
        <f t="shared" ca="1" si="182"/>
        <v>0</v>
      </c>
      <c r="AY139" s="857">
        <f t="shared" ca="1" si="182"/>
        <v>14922</v>
      </c>
      <c r="AZ139" s="266" t="str">
        <f>IF([1]RENAME!$H$3=0,BD139,BC139)</f>
        <v>DFC'!</v>
      </c>
      <c r="BA139" s="266" t="str">
        <f>"$"&amp;ROW(DFC!$D$81)</f>
        <v>$81</v>
      </c>
      <c r="BB139" s="266" t="str">
        <f>"$"&amp;ROW(DFC!$D$81)</f>
        <v>$81</v>
      </c>
      <c r="BC139" s="266" t="s">
        <v>1704</v>
      </c>
      <c r="BD139" s="266" t="s">
        <v>1703</v>
      </c>
      <c r="BN139" s="266"/>
      <c r="BO139" s="266"/>
      <c r="BP139" s="266"/>
      <c r="BQ139" s="266"/>
      <c r="BR139" s="266"/>
      <c r="BS139" s="266"/>
      <c r="BT139" s="266"/>
      <c r="BU139" s="266"/>
      <c r="BV139" s="266"/>
      <c r="BW139" s="266"/>
      <c r="BX139" s="266"/>
      <c r="BY139" s="266"/>
      <c r="BZ139" s="266"/>
      <c r="CA139" s="266"/>
      <c r="CB139" s="266"/>
      <c r="CC139" s="266"/>
      <c r="CD139" s="266"/>
      <c r="CE139" s="266"/>
      <c r="CF139" s="266"/>
      <c r="CG139" s="266"/>
      <c r="CH139" s="266"/>
      <c r="CI139" s="266"/>
      <c r="CJ139" s="266"/>
    </row>
    <row r="140" spans="1:88" ht="13.5" customHeight="1" x14ac:dyDescent="0.2">
      <c r="A140" s="1" t="s">
        <v>1271</v>
      </c>
      <c r="B140" s="1" t="s">
        <v>2092</v>
      </c>
      <c r="D140" s="858" t="str">
        <f>IF([1]RENAME!$H$3=1,B140,A140)</f>
        <v>Dividendos recebidos</v>
      </c>
      <c r="E140" s="857">
        <f t="shared" ca="1" si="174"/>
        <v>0</v>
      </c>
      <c r="F140" s="857">
        <f t="shared" ca="1" si="174"/>
        <v>735</v>
      </c>
      <c r="G140" s="857">
        <f t="shared" ca="1" si="174"/>
        <v>0</v>
      </c>
      <c r="H140" s="857">
        <f t="shared" ca="1" si="174"/>
        <v>1</v>
      </c>
      <c r="I140" s="647">
        <f ca="1">+SUM(E140:H140)</f>
        <v>736</v>
      </c>
      <c r="J140" s="857">
        <f t="shared" ca="1" si="175"/>
        <v>0</v>
      </c>
      <c r="K140" s="857">
        <f t="shared" ca="1" si="175"/>
        <v>244</v>
      </c>
      <c r="L140" s="857">
        <f t="shared" ca="1" si="175"/>
        <v>0</v>
      </c>
      <c r="M140" s="857">
        <f t="shared" ca="1" si="175"/>
        <v>0</v>
      </c>
      <c r="N140" s="647">
        <f ca="1">+SUM(J140:M140)</f>
        <v>244</v>
      </c>
      <c r="O140" s="857">
        <f t="shared" ca="1" si="176"/>
        <v>0</v>
      </c>
      <c r="P140" s="857">
        <f t="shared" ca="1" si="176"/>
        <v>267</v>
      </c>
      <c r="Q140" s="857">
        <f t="shared" ca="1" si="176"/>
        <v>0</v>
      </c>
      <c r="R140" s="857">
        <f t="shared" ca="1" si="176"/>
        <v>0</v>
      </c>
      <c r="S140" s="647">
        <f ca="1">+SUM(O140:R140)</f>
        <v>267</v>
      </c>
      <c r="T140" s="857">
        <f t="shared" ca="1" si="177"/>
        <v>0</v>
      </c>
      <c r="U140" s="857">
        <f t="shared" ca="1" si="177"/>
        <v>1567</v>
      </c>
      <c r="V140" s="857">
        <f t="shared" ca="1" si="177"/>
        <v>3775</v>
      </c>
      <c r="W140" s="857">
        <f t="shared" ca="1" si="177"/>
        <v>2000</v>
      </c>
      <c r="X140" s="647">
        <f ca="1">+SUM(T140:W140)</f>
        <v>7342</v>
      </c>
      <c r="Y140" s="857">
        <f t="shared" ca="1" si="178"/>
        <v>0</v>
      </c>
      <c r="Z140" s="857">
        <f t="shared" ca="1" si="178"/>
        <v>1684</v>
      </c>
      <c r="AA140" s="857">
        <f t="shared" ca="1" si="178"/>
        <v>2754</v>
      </c>
      <c r="AB140" s="857">
        <f t="shared" ca="1" si="178"/>
        <v>2150</v>
      </c>
      <c r="AC140" s="647">
        <f ca="1">+SUM(Y140:AB140)</f>
        <v>6588</v>
      </c>
      <c r="AD140" s="857">
        <f t="shared" ca="1" si="179"/>
        <v>1144</v>
      </c>
      <c r="AE140" s="857">
        <f t="shared" ca="1" si="179"/>
        <v>2195</v>
      </c>
      <c r="AF140" s="857">
        <f t="shared" ca="1" si="179"/>
        <v>2043</v>
      </c>
      <c r="AG140" s="857">
        <f t="shared" ca="1" si="179"/>
        <v>1300</v>
      </c>
      <c r="AH140" s="647">
        <f ca="1">+SUM(AD140:AG140)</f>
        <v>6682</v>
      </c>
      <c r="AI140" s="857">
        <f t="shared" ca="1" si="180"/>
        <v>2100</v>
      </c>
      <c r="AJ140" s="857">
        <f t="shared" ca="1" si="180"/>
        <v>3102</v>
      </c>
      <c r="AK140" s="857">
        <f t="shared" ca="1" si="180"/>
        <v>4000</v>
      </c>
      <c r="AL140" s="857">
        <f t="shared" ca="1" si="180"/>
        <v>5500</v>
      </c>
      <c r="AM140" s="647">
        <f ca="1">+SUM(AI140:AL140)</f>
        <v>14702</v>
      </c>
      <c r="AN140" s="857">
        <f t="shared" ca="1" si="181"/>
        <v>0</v>
      </c>
      <c r="AO140" s="857">
        <f t="shared" ca="1" si="181"/>
        <v>3181</v>
      </c>
      <c r="AP140" s="857">
        <f t="shared" ca="1" si="181"/>
        <v>17473</v>
      </c>
      <c r="AQ140" s="857">
        <f t="shared" ca="1" si="181"/>
        <v>6500</v>
      </c>
      <c r="AR140" s="647">
        <f ca="1">+SUM(AN140:AQ140)</f>
        <v>27154</v>
      </c>
      <c r="AS140" s="857">
        <f t="shared" ca="1" si="182"/>
        <v>0</v>
      </c>
      <c r="AT140" s="857">
        <f t="shared" ca="1" si="182"/>
        <v>5526</v>
      </c>
      <c r="AU140" s="857">
        <f t="shared" ca="1" si="182"/>
        <v>4750</v>
      </c>
      <c r="AV140" s="857">
        <f t="shared" ca="1" si="182"/>
        <v>14351</v>
      </c>
      <c r="AW140" s="647">
        <f ca="1">+SUM(AS140:AV140)</f>
        <v>24627</v>
      </c>
      <c r="AX140" s="857">
        <f t="shared" ca="1" si="182"/>
        <v>0</v>
      </c>
      <c r="AY140" s="857">
        <f t="shared" ca="1" si="182"/>
        <v>0</v>
      </c>
      <c r="AZ140" s="266" t="str">
        <f>IF([1]RENAME!$H$3=0,BD140,BC140)</f>
        <v>DFC'!</v>
      </c>
      <c r="BA140" s="266" t="str">
        <f>"$"&amp;ROW(DFC!$D$64)</f>
        <v>$64</v>
      </c>
      <c r="BB140" s="266" t="str">
        <f>"$"&amp;ROW(DFC!$D$64)</f>
        <v>$64</v>
      </c>
      <c r="BC140" s="266" t="s">
        <v>1704</v>
      </c>
      <c r="BD140" s="266" t="s">
        <v>1703</v>
      </c>
      <c r="BN140" s="266"/>
      <c r="BO140" s="266"/>
      <c r="BP140" s="266"/>
      <c r="BQ140" s="266"/>
      <c r="BR140" s="266"/>
      <c r="BS140" s="266"/>
      <c r="BT140" s="266"/>
      <c r="BU140" s="266"/>
      <c r="BV140" s="266"/>
      <c r="BW140" s="266"/>
      <c r="BX140" s="266"/>
      <c r="BY140" s="266"/>
      <c r="BZ140" s="266"/>
      <c r="CA140" s="266"/>
      <c r="CB140" s="266"/>
      <c r="CC140" s="266"/>
      <c r="CD140" s="266"/>
      <c r="CE140" s="266"/>
      <c r="CF140" s="266"/>
      <c r="CG140" s="266"/>
      <c r="CH140" s="266"/>
      <c r="CI140" s="266"/>
      <c r="CJ140" s="266"/>
    </row>
    <row r="141" spans="1:88" s="885" customFormat="1" ht="13.5" customHeight="1" x14ac:dyDescent="0.2">
      <c r="A141" s="885" t="s">
        <v>1705</v>
      </c>
      <c r="B141" s="885" t="s">
        <v>1705</v>
      </c>
      <c r="D141" s="888" t="str">
        <f>IF([1]RENAME!$H$3=1,B141,A141)</f>
        <v>Free cash flow to equity</v>
      </c>
      <c r="E141" s="865">
        <f t="shared" ref="E141:AG141" ca="1" si="183">+SUM(E135:E140)</f>
        <v>-41900.740049999942</v>
      </c>
      <c r="F141" s="865">
        <f t="shared" ca="1" si="183"/>
        <v>84375.397210000068</v>
      </c>
      <c r="G141" s="865">
        <f t="shared" ca="1" si="183"/>
        <v>-37859.652601548107</v>
      </c>
      <c r="H141" s="865">
        <f t="shared" ca="1" si="183"/>
        <v>9714.1656715481568</v>
      </c>
      <c r="I141" s="648">
        <f t="shared" ca="1" si="183"/>
        <v>14329.170230000163</v>
      </c>
      <c r="J141" s="865">
        <f t="shared" ca="1" si="183"/>
        <v>-30426.336589999992</v>
      </c>
      <c r="K141" s="865">
        <f t="shared" ca="1" si="183"/>
        <v>-1668.2584900000397</v>
      </c>
      <c r="L141" s="865">
        <f t="shared" ca="1" si="183"/>
        <v>26506.526049999935</v>
      </c>
      <c r="M141" s="865">
        <f t="shared" ca="1" si="183"/>
        <v>13887.965357457559</v>
      </c>
      <c r="N141" s="648">
        <f t="shared" ca="1" si="183"/>
        <v>8299.8963274574489</v>
      </c>
      <c r="O141" s="865">
        <f t="shared" ca="1" si="183"/>
        <v>28411.133340000059</v>
      </c>
      <c r="P141" s="865">
        <f t="shared" ca="1" si="183"/>
        <v>5221.3508100000399</v>
      </c>
      <c r="Q141" s="865">
        <f t="shared" ca="1" si="183"/>
        <v>34483.016760000057</v>
      </c>
      <c r="R141" s="865">
        <f t="shared" ca="1" si="183"/>
        <v>2466.5463917223078</v>
      </c>
      <c r="S141" s="648">
        <f t="shared" ca="1" si="183"/>
        <v>70582.047301722458</v>
      </c>
      <c r="T141" s="865">
        <f t="shared" ca="1" si="183"/>
        <v>57760.294979999991</v>
      </c>
      <c r="U141" s="865">
        <f t="shared" ca="1" si="183"/>
        <v>158530.27034999998</v>
      </c>
      <c r="V141" s="865">
        <f t="shared" ca="1" si="183"/>
        <v>-82193.934360000014</v>
      </c>
      <c r="W141" s="865">
        <f t="shared" ca="1" si="183"/>
        <v>24602.874840000015</v>
      </c>
      <c r="X141" s="648">
        <f t="shared" ca="1" si="183"/>
        <v>158699.50580999994</v>
      </c>
      <c r="Y141" s="865">
        <f t="shared" ca="1" si="183"/>
        <v>55450.355170000017</v>
      </c>
      <c r="Z141" s="865">
        <f t="shared" ca="1" si="183"/>
        <v>-50444.438440000027</v>
      </c>
      <c r="AA141" s="865">
        <f t="shared" ca="1" si="183"/>
        <v>13706.012609999991</v>
      </c>
      <c r="AB141" s="865">
        <f t="shared" ca="1" si="183"/>
        <v>-73895.253930000094</v>
      </c>
      <c r="AC141" s="648">
        <f t="shared" ca="1" si="183"/>
        <v>-55183.324590000135</v>
      </c>
      <c r="AD141" s="865">
        <f t="shared" ca="1" si="183"/>
        <v>77125.758349999931</v>
      </c>
      <c r="AE141" s="865">
        <f t="shared" ca="1" si="183"/>
        <v>-76824.400990000024</v>
      </c>
      <c r="AF141" s="865">
        <f t="shared" ca="1" si="183"/>
        <v>28386.991149999991</v>
      </c>
      <c r="AG141" s="865">
        <f t="shared" ca="1" si="183"/>
        <v>60176.741869999976</v>
      </c>
      <c r="AH141" s="648">
        <f t="shared" ref="AH141:AM141" ca="1" si="184">+SUM(AH135:AH140)</f>
        <v>88865.090379999849</v>
      </c>
      <c r="AI141" s="865">
        <f t="shared" ca="1" si="184"/>
        <v>62270.665899999876</v>
      </c>
      <c r="AJ141" s="865">
        <f t="shared" ca="1" si="184"/>
        <v>33463.973010000052</v>
      </c>
      <c r="AK141" s="865">
        <f t="shared" ca="1" si="184"/>
        <v>43056.900179999997</v>
      </c>
      <c r="AL141" s="865">
        <f t="shared" ca="1" si="184"/>
        <v>-9360.8652299997739</v>
      </c>
      <c r="AM141" s="648">
        <f t="shared" ca="1" si="184"/>
        <v>129430.67386000013</v>
      </c>
      <c r="AN141" s="865">
        <f t="shared" ref="AN141:AX141" ca="1" si="185">+SUM(AN135:AN140)</f>
        <v>72152.686199999807</v>
      </c>
      <c r="AO141" s="865">
        <f t="shared" ca="1" si="185"/>
        <v>8327.511200000059</v>
      </c>
      <c r="AP141" s="865">
        <f t="shared" ca="1" si="185"/>
        <v>35289.849560000082</v>
      </c>
      <c r="AQ141" s="865">
        <f t="shared" ca="1" si="185"/>
        <v>37148.037479999897</v>
      </c>
      <c r="AR141" s="648">
        <f t="shared" ca="1" si="185"/>
        <v>152918.08443999986</v>
      </c>
      <c r="AS141" s="865">
        <f t="shared" ca="1" si="185"/>
        <v>132592.07570999995</v>
      </c>
      <c r="AT141" s="865">
        <f t="shared" ca="1" si="185"/>
        <v>21712.699929999762</v>
      </c>
      <c r="AU141" s="865">
        <f t="shared" ca="1" si="185"/>
        <v>-6167.8595193650381</v>
      </c>
      <c r="AV141" s="865">
        <f t="shared" ca="1" si="185"/>
        <v>12345.45235</v>
      </c>
      <c r="AW141" s="648">
        <f t="shared" ca="1" si="185"/>
        <v>160482.36847063468</v>
      </c>
      <c r="AX141" s="865">
        <f t="shared" ca="1" si="185"/>
        <v>65423.929950000063</v>
      </c>
      <c r="AY141" s="865">
        <f ca="1">+SUM(AY135:AY140)</f>
        <v>-15957.957280000239</v>
      </c>
      <c r="AZ141" s="886"/>
      <c r="BA141" s="886"/>
      <c r="BB141" s="886"/>
      <c r="BC141" s="886"/>
      <c r="BD141" s="886"/>
      <c r="BE141" s="886"/>
      <c r="BF141" s="886"/>
      <c r="BG141" s="886"/>
      <c r="BH141" s="886"/>
      <c r="BK141" s="886"/>
      <c r="BL141" s="886"/>
      <c r="BM141" s="886"/>
      <c r="BN141" s="886"/>
      <c r="BO141" s="886"/>
      <c r="BP141" s="886"/>
      <c r="BQ141" s="886"/>
      <c r="BR141" s="886"/>
      <c r="BS141" s="886"/>
      <c r="BT141" s="886"/>
      <c r="BU141" s="886"/>
      <c r="BV141" s="886"/>
      <c r="BW141" s="886"/>
      <c r="BX141" s="886"/>
      <c r="BY141" s="886"/>
      <c r="BZ141" s="886"/>
      <c r="CA141" s="886"/>
      <c r="CB141" s="886"/>
      <c r="CC141" s="886"/>
      <c r="CD141" s="886"/>
      <c r="CE141" s="886"/>
      <c r="CF141" s="886"/>
      <c r="CG141" s="886"/>
      <c r="CH141" s="886"/>
      <c r="CI141" s="886"/>
      <c r="CJ141" s="886"/>
    </row>
    <row r="142" spans="1:88" ht="3" customHeight="1" x14ac:dyDescent="0.2">
      <c r="D142" s="884"/>
      <c r="E142" s="1052"/>
      <c r="F142" s="1052"/>
      <c r="G142" s="1052"/>
      <c r="H142" s="1052"/>
      <c r="I142" s="857"/>
      <c r="J142" s="1052"/>
      <c r="K142" s="1052"/>
      <c r="L142" s="1052"/>
      <c r="M142" s="1052"/>
      <c r="N142" s="857"/>
      <c r="O142" s="648"/>
      <c r="P142" s="648"/>
      <c r="Q142" s="648"/>
      <c r="R142" s="648"/>
      <c r="S142" s="857"/>
      <c r="T142" s="648"/>
      <c r="U142" s="648"/>
      <c r="V142" s="648"/>
      <c r="W142" s="648"/>
      <c r="X142" s="857"/>
      <c r="Y142" s="648"/>
      <c r="Z142" s="648"/>
      <c r="AA142" s="648"/>
      <c r="AB142" s="648"/>
      <c r="AC142" s="857"/>
      <c r="AD142" s="648"/>
      <c r="AE142" s="648"/>
      <c r="AF142" s="648"/>
      <c r="AG142" s="648"/>
      <c r="AH142" s="857"/>
      <c r="AI142" s="648"/>
      <c r="AJ142" s="648"/>
      <c r="AK142" s="648"/>
      <c r="AL142" s="648"/>
      <c r="AM142" s="857"/>
      <c r="AN142" s="648"/>
      <c r="AO142" s="648"/>
      <c r="AP142" s="648"/>
      <c r="AQ142" s="648"/>
      <c r="AR142" s="857"/>
      <c r="AS142" s="648"/>
      <c r="AT142" s="648"/>
      <c r="AU142" s="648"/>
      <c r="AV142" s="648"/>
      <c r="AW142" s="857"/>
      <c r="AX142" s="648"/>
      <c r="AY142" s="648"/>
      <c r="BN142" s="266"/>
      <c r="BO142" s="266"/>
      <c r="BP142" s="266"/>
      <c r="BQ142" s="266"/>
      <c r="BR142" s="266"/>
      <c r="BS142" s="266"/>
      <c r="BT142" s="266"/>
      <c r="BU142" s="266"/>
      <c r="BV142" s="266"/>
      <c r="BW142" s="266"/>
      <c r="BX142" s="266"/>
      <c r="BY142" s="266"/>
      <c r="BZ142" s="266"/>
      <c r="CA142" s="266"/>
      <c r="CB142" s="266"/>
      <c r="CC142" s="266"/>
      <c r="CD142" s="266"/>
      <c r="CE142" s="266"/>
      <c r="CF142" s="266"/>
      <c r="CG142" s="266"/>
      <c r="CH142" s="266"/>
      <c r="CI142" s="266"/>
      <c r="CJ142" s="266"/>
    </row>
    <row r="143" spans="1:88" ht="13.5" customHeight="1" x14ac:dyDescent="0.2">
      <c r="A143" s="1" t="s">
        <v>2137</v>
      </c>
      <c r="B143" s="1" t="s">
        <v>2138</v>
      </c>
      <c r="D143" s="858" t="str">
        <f>IF([1]RENAME!$H$3=1,B143,A143)</f>
        <v>Dividendos pagos</v>
      </c>
      <c r="E143" s="857">
        <f ca="1">+SUMIFS(INDIRECT(CONCATENATE("'",$AZ143,$BA143,":",$BB143)),INDIRECT(CONCATENATE("'",$AZ143,$BA$116,":",$BB$116)),E$116)</f>
        <v>0</v>
      </c>
      <c r="F143" s="857">
        <f ca="1">+SUMIFS(INDIRECT(CONCATENATE("'",$AZ143,$BA143,":",$BB143)),INDIRECT(CONCATENATE("'",$AZ143,$BA$116,":",$BB$116)),F$116)</f>
        <v>-8000</v>
      </c>
      <c r="G143" s="857">
        <f ca="1">+SUMIFS(INDIRECT(CONCATENATE("'",$AZ143,$BA143,":",$BB143)),INDIRECT(CONCATENATE("'",$AZ143,$BA$116,":",$BB$116)),G$116)</f>
        <v>-14750</v>
      </c>
      <c r="H143" s="857">
        <f ca="1">+SUMIFS(INDIRECT(CONCATENATE("'",$AZ143,$BA143,":",$BB143)),INDIRECT(CONCATENATE("'",$AZ143,$BA$116,":",$BB$116)),H$116)</f>
        <v>-7643</v>
      </c>
      <c r="I143" s="647">
        <f ca="1">+SUM(E143:H143)</f>
        <v>-30393</v>
      </c>
      <c r="J143" s="857">
        <f ca="1">+SUMIFS(INDIRECT(CONCATENATE("'",$AZ143,$BA143,":",$BB143)),INDIRECT(CONCATENATE("'",$AZ143,$BA$116,":",$BB$116)),J$116)</f>
        <v>0</v>
      </c>
      <c r="K143" s="857">
        <f ca="1">+SUMIFS(INDIRECT(CONCATENATE("'",$AZ143,$BA143,":",$BB143)),INDIRECT(CONCATENATE("'",$AZ143,$BA$116,":",$BB$116)),K$116)</f>
        <v>-38856</v>
      </c>
      <c r="L143" s="857">
        <f ca="1">+SUMIFS(INDIRECT(CONCATENATE("'",$AZ143,$BA143,":",$BB143)),INDIRECT(CONCATENATE("'",$AZ143,$BA$116,":",$BB$116)),L$116)</f>
        <v>-21090</v>
      </c>
      <c r="M143" s="857">
        <f ca="1">+SUMIFS(INDIRECT(CONCATENATE("'",$AZ143,$BA143,":",$BB143)),INDIRECT(CONCATENATE("'",$AZ143,$BA$116,":",$BB$116)),M$116)</f>
        <v>-15554</v>
      </c>
      <c r="N143" s="647">
        <f ca="1">+SUM(J143:M143)</f>
        <v>-75500</v>
      </c>
      <c r="O143" s="857">
        <f ca="1">+SUMIFS(INDIRECT(CONCATENATE("'",$AZ143,$BA143,":",$BB143)),INDIRECT(CONCATENATE("'",$AZ143,$BA$116,":",$BB$116)),O$116)</f>
        <v>0</v>
      </c>
      <c r="P143" s="857">
        <f ca="1">+SUMIFS(INDIRECT(CONCATENATE("'",$AZ143,$BA143,":",$BB143)),INDIRECT(CONCATENATE("'",$AZ143,$BA$116,":",$BB$116)),P$116)</f>
        <v>-28306</v>
      </c>
      <c r="Q143" s="857">
        <f ca="1">+SUMIFS(INDIRECT(CONCATENATE("'",$AZ143,$BA143,":",$BB143)),INDIRECT(CONCATENATE("'",$AZ143,$BA$116,":",$BB$116)),Q$116)</f>
        <v>-29568</v>
      </c>
      <c r="R143" s="857">
        <f ca="1">+SUMIFS(INDIRECT(CONCATENATE("'",$AZ143,$BA143,":",$BB143)),INDIRECT(CONCATENATE("'",$AZ143,$BA$116,":",$BB$116)),R$116)</f>
        <v>-45696</v>
      </c>
      <c r="S143" s="647">
        <f ca="1">+SUM(O143:R143)</f>
        <v>-103570</v>
      </c>
      <c r="T143" s="857">
        <f ca="1">+SUMIFS(INDIRECT(CONCATENATE("'",$AZ143,$BA143,":",$BB143)),INDIRECT(CONCATENATE("'",$AZ143,$BA$116,":",$BB$116)),T$116)</f>
        <v>0</v>
      </c>
      <c r="U143" s="857">
        <f ca="1">+SUMIFS(INDIRECT(CONCATENATE("'",$AZ143,$BA143,":",$BB143)),INDIRECT(CONCATENATE("'",$AZ143,$BA$116,":",$BB$116)),U$116)</f>
        <v>0</v>
      </c>
      <c r="V143" s="857">
        <f ca="1">+SUMIFS(INDIRECT(CONCATENATE("'",$AZ143,$BA143,":",$BB143)),INDIRECT(CONCATENATE("'",$AZ143,$BA$116,":",$BB$116)),V$116)</f>
        <v>0</v>
      </c>
      <c r="W143" s="857">
        <f ca="1">+SUMIFS(INDIRECT(CONCATENATE("'",$AZ143,$BA143,":",$BB143)),INDIRECT(CONCATENATE("'",$AZ143,$BA$116,":",$BB$116)),W$116)</f>
        <v>-22431</v>
      </c>
      <c r="X143" s="647">
        <f ca="1">+SUM(T143:W143)</f>
        <v>-22431</v>
      </c>
      <c r="Y143" s="857">
        <f ca="1">+SUMIFS(INDIRECT(CONCATENATE("'",$AZ143,$BA143,":",$BB143)),INDIRECT(CONCATENATE("'",$AZ143,$BA$116,":",$BB$116)),Y$116)</f>
        <v>0</v>
      </c>
      <c r="Z143" s="857">
        <f ca="1">+SUMIFS(INDIRECT(CONCATENATE("'",$AZ143,$BA143,":",$BB143)),INDIRECT(CONCATENATE("'",$AZ143,$BA$116,":",$BB$116)),Z$116)</f>
        <v>-12541</v>
      </c>
      <c r="AA143" s="857">
        <f ca="1">+SUMIFS(INDIRECT(CONCATENATE("'",$AZ143,$BA143,":",$BB143)),INDIRECT(CONCATENATE("'",$AZ143,$BA$116,":",$BB$116)),AA$116)</f>
        <v>-22157</v>
      </c>
      <c r="AB143" s="857">
        <f ca="1">+SUMIFS(INDIRECT(CONCATENATE("'",$AZ143,$BA143,":",$BB143)),INDIRECT(CONCATENATE("'",$AZ143,$BA$116,":",$BB$116)),AB$116)</f>
        <v>-17118</v>
      </c>
      <c r="AC143" s="647">
        <f ca="1">+SUM(Y143:AB143)</f>
        <v>-51816</v>
      </c>
      <c r="AD143" s="857">
        <f ca="1">+SUMIFS(INDIRECT(CONCATENATE("'",$AZ143,$BA143,":",$BB143)),INDIRECT(CONCATENATE("'",$AZ143,$BA$116,":",$BB$116)),AD$116)</f>
        <v>0</v>
      </c>
      <c r="AE143" s="857">
        <f ca="1">+SUMIFS(INDIRECT(CONCATENATE("'",$AZ143,$BA143,":",$BB143)),INDIRECT(CONCATENATE("'",$AZ143,$BA$116,":",$BB$116)),AE$116)</f>
        <v>-22339</v>
      </c>
      <c r="AF143" s="857">
        <f ca="1">+SUMIFS(INDIRECT(CONCATENATE("'",$AZ143,$BA143,":",$BB143)),INDIRECT(CONCATENATE("'",$AZ143,$BA$116,":",$BB$116)),AF$116)</f>
        <v>-24589</v>
      </c>
      <c r="AG143" s="857">
        <f ca="1">+SUMIFS(INDIRECT(CONCATENATE("'",$AZ143,$BA143,":",$BB143)),INDIRECT(CONCATENATE("'",$AZ143,$BA$116,":",$BB$116)),AG$116)</f>
        <v>-27035</v>
      </c>
      <c r="AH143" s="647">
        <f ca="1">+SUM(AD143:AG143)</f>
        <v>-73963</v>
      </c>
      <c r="AI143" s="857">
        <f ca="1">+SUMIFS(INDIRECT(CONCATENATE("'",$AZ143,$BA143,":",$BB143)),INDIRECT(CONCATENATE("'",$AZ143,$BA$116,":",$BB$116)),AI$116)</f>
        <v>0</v>
      </c>
      <c r="AJ143" s="857">
        <f ca="1">+SUMIFS(INDIRECT(CONCATENATE("'",$AZ143,$BA143,":",$BB143)),INDIRECT(CONCATENATE("'",$AZ143,$BA$116,":",$BB$116)),AJ$116)</f>
        <v>-39563</v>
      </c>
      <c r="AK143" s="857">
        <f ca="1">+SUMIFS(INDIRECT(CONCATENATE("'",$AZ143,$BA143,":",$BB143)),INDIRECT(CONCATENATE("'",$AZ143,$BA$116,":",$BB$116)),AK$116)</f>
        <v>-37648</v>
      </c>
      <c r="AL143" s="857">
        <f ca="1">+SUMIFS(INDIRECT(CONCATENATE("'",$AZ143,$BA143,":",$BB143)),INDIRECT(CONCATENATE("'",$AZ143,$BA$116,":",$BB$116)),AL$116)</f>
        <v>-35606</v>
      </c>
      <c r="AM143" s="647">
        <f ca="1">+SUM(AI143:AL143)</f>
        <v>-112817</v>
      </c>
      <c r="AN143" s="857">
        <f ca="1">+SUMIFS(INDIRECT(CONCATENATE("'",$AZ143,$BA143,":",$BB143)),INDIRECT(CONCATENATE("'",$AZ143,$BA$116,":",$BB$116)),AN$116)</f>
        <v>0</v>
      </c>
      <c r="AO143" s="857">
        <f ca="1">+SUMIFS(INDIRECT(CONCATENATE("'",$AZ143,$BA143,":",$BB143)),INDIRECT(CONCATENATE("'",$AZ143,$BA$116,":",$BB$116)),AO$116)</f>
        <v>-47713</v>
      </c>
      <c r="AP143" s="857">
        <f ca="1">+SUMIFS(INDIRECT(CONCATENATE("'",$AZ143,$BA143,":",$BB143)),INDIRECT(CONCATENATE("'",$AZ143,$BA$116,":",$BB$116)),AP$116)</f>
        <v>-80444</v>
      </c>
      <c r="AQ143" s="857">
        <f ca="1">+SUMIFS(INDIRECT(CONCATENATE("'",$AZ143,$BA143,":",$BB143)),INDIRECT(CONCATENATE("'",$AZ143,$BA$116,":",$BB$116)),AQ$116)</f>
        <v>-52001</v>
      </c>
      <c r="AR143" s="647">
        <f ca="1">+SUM(AN143:AQ143)</f>
        <v>-180158</v>
      </c>
      <c r="AS143" s="857">
        <f ca="1">+SUMIFS(INDIRECT(CONCATENATE("'",$AZ143,$BA143,":",$BB143)),INDIRECT(CONCATENATE("'",$AZ143,$BA$116,":",$BB$116)),AS$116)</f>
        <v>0</v>
      </c>
      <c r="AT143" s="857">
        <f ca="1">+SUMIFS(INDIRECT(CONCATENATE("'",$AZ143,$BA143,":",$BB143)),INDIRECT(CONCATENATE("'",$AZ143,$BA$116,":",$BB$116)),AT$116)</f>
        <v>-38903</v>
      </c>
      <c r="AU143" s="857">
        <f ca="1">+SUMIFS(INDIRECT(CONCATENATE("'",$AZ143,$BA143,":",$BB143)),INDIRECT(CONCATENATE("'",$AZ143,$BA$116,":",$BB$116)),AU$116)</f>
        <v>-89016</v>
      </c>
      <c r="AV143" s="857">
        <f ca="1">+SUMIFS(INDIRECT(CONCATENATE("'",$AZ143,$BA143,":",$BB143)),INDIRECT(CONCATENATE("'",$AZ143,$BA$116,":",$BB$116)),AV$116)</f>
        <v>-164185</v>
      </c>
      <c r="AW143" s="647">
        <f ca="1">+SUM(AS143:AV143)</f>
        <v>-292104</v>
      </c>
      <c r="AX143" s="857">
        <f ca="1">+SUMIFS(INDIRECT(CONCATENATE("'",$AZ143,$BA143,":",$BB143)),INDIRECT(CONCATENATE("'",$AZ143,$BA$116,":",$BB$116)),AX$116)</f>
        <v>0</v>
      </c>
      <c r="AY143" s="857">
        <f ca="1">+SUMIFS(INDIRECT(CONCATENATE("'",$AZ143,$BA143,":",$BB143)),INDIRECT(CONCATENATE("'",$AZ143,$BA$116,":",$BB$116)),AY$116)</f>
        <v>0</v>
      </c>
      <c r="AZ143" s="266" t="str">
        <f>IF([1]RENAME!$H$3=0,BD143,BC143)</f>
        <v>DFC'!</v>
      </c>
      <c r="BA143" s="266" t="str">
        <f>"$"&amp;ROW(DFC!$D$80)</f>
        <v>$80</v>
      </c>
      <c r="BB143" s="266" t="str">
        <f>"$"&amp;ROW(DFC!$D$80)</f>
        <v>$80</v>
      </c>
      <c r="BC143" s="266" t="s">
        <v>1704</v>
      </c>
      <c r="BD143" s="266" t="s">
        <v>1703</v>
      </c>
      <c r="BN143" s="266"/>
      <c r="BO143" s="266"/>
      <c r="BP143" s="266"/>
      <c r="BQ143" s="266"/>
      <c r="BR143" s="266"/>
      <c r="BS143" s="266"/>
      <c r="BT143" s="266"/>
      <c r="BU143" s="266"/>
      <c r="BV143" s="266"/>
      <c r="BW143" s="266"/>
      <c r="BX143" s="266"/>
      <c r="BY143" s="266"/>
      <c r="BZ143" s="266"/>
      <c r="CA143" s="266"/>
      <c r="CB143" s="266"/>
      <c r="CC143" s="266"/>
      <c r="CD143" s="266"/>
      <c r="CE143" s="266"/>
      <c r="CF143" s="266"/>
      <c r="CG143" s="266"/>
      <c r="CH143" s="266"/>
      <c r="CI143" s="266"/>
      <c r="CJ143" s="266"/>
    </row>
    <row r="144" spans="1:88" ht="13.5" customHeight="1" x14ac:dyDescent="0.2">
      <c r="A144" s="1" t="s">
        <v>1702</v>
      </c>
      <c r="B144" s="1" t="s">
        <v>1701</v>
      </c>
      <c r="D144" s="858" t="str">
        <f>IF([1]RENAME!$H$3=1,B144,A144)</f>
        <v>Outros efeitos caixa</v>
      </c>
      <c r="E144" s="883">
        <f ca="1">+E145-E143-E141</f>
        <v>-24944.259950000058</v>
      </c>
      <c r="F144" s="883">
        <f ca="1">+F145-F143-F141</f>
        <v>-19358.397210000068</v>
      </c>
      <c r="G144" s="883">
        <f ca="1">+G145-G143-G141</f>
        <v>14886.652601548107</v>
      </c>
      <c r="H144" s="883">
        <f ca="1">+H145-H143-H141</f>
        <v>1353.8343284518432</v>
      </c>
      <c r="I144" s="647">
        <f ca="1">+SUM(E144:H144)</f>
        <v>-28062.170230000178</v>
      </c>
      <c r="J144" s="883">
        <f ca="1">+J145-J143-J141</f>
        <v>7160.3365899999917</v>
      </c>
      <c r="K144" s="883">
        <f ca="1">+K145-K143-K141</f>
        <v>5747.2584900000402</v>
      </c>
      <c r="L144" s="883">
        <f ca="1">+L145-L143-L141</f>
        <v>1858.4739500000651</v>
      </c>
      <c r="M144" s="883">
        <f ca="1">+M145-M143-M141</f>
        <v>-12755.965357457559</v>
      </c>
      <c r="N144" s="647">
        <f ca="1">+SUM(J144:M144)</f>
        <v>2010.1036725425383</v>
      </c>
      <c r="O144" s="883">
        <f ca="1">+O145-O143-O141</f>
        <v>-3959.1333400000585</v>
      </c>
      <c r="P144" s="883">
        <f ca="1">+P145-P143-P141</f>
        <v>21865.64918999996</v>
      </c>
      <c r="Q144" s="883">
        <f ca="1">+Q145-Q143-Q141</f>
        <v>417.98323999994318</v>
      </c>
      <c r="R144" s="883">
        <f ca="1">+R145-R143-R141</f>
        <v>-1546.5463917223078</v>
      </c>
      <c r="S144" s="647">
        <f ca="1">+SUM(O144:R144)</f>
        <v>16777.952698277535</v>
      </c>
      <c r="T144" s="883">
        <f ca="1">+T145-T143-T141</f>
        <v>847.70502000000852</v>
      </c>
      <c r="U144" s="883">
        <f ca="1">+U145-U143-U141</f>
        <v>2032.729650000023</v>
      </c>
      <c r="V144" s="883">
        <f ca="1">+V145-V143-V141</f>
        <v>43483.934360000014</v>
      </c>
      <c r="W144" s="883">
        <f ca="1">+W145-W143-W141</f>
        <v>10422.125159999985</v>
      </c>
      <c r="X144" s="647">
        <f ca="1">+SUM(T144:W144)</f>
        <v>56786.494190000027</v>
      </c>
      <c r="Y144" s="883">
        <f ca="1">+Y145-Y143-Y141</f>
        <v>-10928.355170000017</v>
      </c>
      <c r="Z144" s="883">
        <f ca="1">+Z145-Z143-Z141</f>
        <v>2605.4384400000272</v>
      </c>
      <c r="AA144" s="883">
        <f ca="1">+AA145-AA143-AA141</f>
        <v>-14657.012609999991</v>
      </c>
      <c r="AB144" s="883">
        <f ca="1">+AB145-AB143-AB141</f>
        <v>16720.253930000094</v>
      </c>
      <c r="AC144" s="647">
        <f ca="1">+SUM(Y144:AB144)</f>
        <v>-6259.6754099998871</v>
      </c>
      <c r="AD144" s="883">
        <f ca="1">+AD145-AD143-AD141</f>
        <v>-13749.758349999931</v>
      </c>
      <c r="AE144" s="883">
        <f ca="1">+AE145-AE143-AE141</f>
        <v>8382.4009900000237</v>
      </c>
      <c r="AF144" s="883">
        <f ca="1">+AF145-AF143-AF141</f>
        <v>13721.008850000009</v>
      </c>
      <c r="AG144" s="883">
        <f ca="1">+AG145-AG143-AG141</f>
        <v>19915.258130000024</v>
      </c>
      <c r="AH144" s="647">
        <f ca="1">+SUM(AD144:AG144)</f>
        <v>28268.909620000126</v>
      </c>
      <c r="AI144" s="883">
        <f ca="1">+AI145-AI143-AI141</f>
        <v>-10521.665899999876</v>
      </c>
      <c r="AJ144" s="883">
        <f ca="1">+AJ145-AJ143-AJ141</f>
        <v>1089.0269899999475</v>
      </c>
      <c r="AK144" s="883">
        <f ca="1">+AK145-AK143-AK141</f>
        <v>16183.099820000003</v>
      </c>
      <c r="AL144" s="883">
        <f ca="1">+AL145-AL143-AL141</f>
        <v>18875.865229999774</v>
      </c>
      <c r="AM144" s="647">
        <f ca="1">+SUM(AI144:AL144)</f>
        <v>25626.326139999848</v>
      </c>
      <c r="AN144" s="883">
        <f ca="1">+AN145-AN143-AN141</f>
        <v>-4895.6861999998073</v>
      </c>
      <c r="AO144" s="883">
        <f ca="1">+AO145-AO143-AO141</f>
        <v>22391.488799999941</v>
      </c>
      <c r="AP144" s="883">
        <f ca="1">+AP145-AP143-AP141</f>
        <v>26478.150439999918</v>
      </c>
      <c r="AQ144" s="883">
        <f ca="1">+AQ145-AQ143-AQ141</f>
        <v>-7938.0374799998972</v>
      </c>
      <c r="AR144" s="647">
        <f ca="1">+SUM(AN144:AQ144)</f>
        <v>36035.915560000154</v>
      </c>
      <c r="AS144" s="883">
        <f ca="1">+AS145-AS143-AS141</f>
        <v>-34730.075709999946</v>
      </c>
      <c r="AT144" s="883">
        <f ca="1">+AT145-AT143-AT141</f>
        <v>25144.300070000238</v>
      </c>
      <c r="AU144" s="883">
        <f ca="1">+AU145-AU143-AU141</f>
        <v>-6303.1404806349619</v>
      </c>
      <c r="AV144" s="883">
        <f ca="1">+AV145-AV143-AV141</f>
        <v>-81451.452350000007</v>
      </c>
      <c r="AW144" s="647">
        <f ca="1">+SUM(AS144:AV144)</f>
        <v>-97340.368470634683</v>
      </c>
      <c r="AX144" s="883">
        <f ca="1">+AX145-AX143-AX141</f>
        <v>4905.0700499999366</v>
      </c>
      <c r="AY144" s="883">
        <f ca="1">+AY145-AY143-AY141</f>
        <v>28691.957280000239</v>
      </c>
      <c r="BN144" s="266"/>
      <c r="BO144" s="266"/>
      <c r="BP144" s="266"/>
      <c r="BQ144" s="266"/>
      <c r="BR144" s="266"/>
      <c r="BS144" s="266"/>
      <c r="BT144" s="266"/>
      <c r="BU144" s="266"/>
      <c r="BV144" s="266"/>
      <c r="BW144" s="266"/>
      <c r="BX144" s="266"/>
      <c r="BY144" s="266"/>
      <c r="BZ144" s="266"/>
      <c r="CA144" s="266"/>
      <c r="CB144" s="266"/>
      <c r="CC144" s="266"/>
      <c r="CD144" s="266"/>
      <c r="CE144" s="266"/>
      <c r="CF144" s="266"/>
      <c r="CG144" s="266"/>
      <c r="CH144" s="266"/>
      <c r="CI144" s="266"/>
      <c r="CJ144" s="266"/>
    </row>
    <row r="145" spans="1:88" s="885" customFormat="1" ht="13.5" customHeight="1" x14ac:dyDescent="0.2">
      <c r="A145" s="885" t="s">
        <v>1700</v>
      </c>
      <c r="B145" s="885" t="s">
        <v>1699</v>
      </c>
      <c r="D145" s="888" t="str">
        <f>IF([1]RENAME!$H$3=1,B145,A145)</f>
        <v>Variação do caixa</v>
      </c>
      <c r="E145" s="887">
        <f>+E148-E147</f>
        <v>-66845</v>
      </c>
      <c r="F145" s="887">
        <f>+F148-F147</f>
        <v>57017</v>
      </c>
      <c r="G145" s="887">
        <f>+G148-G147</f>
        <v>-37723</v>
      </c>
      <c r="H145" s="887">
        <f>+H148-H147</f>
        <v>3425</v>
      </c>
      <c r="I145" s="648">
        <f ca="1">+I141+I143+I144</f>
        <v>-44126.000000000015</v>
      </c>
      <c r="J145" s="887">
        <f>+J148-J147</f>
        <v>-23266</v>
      </c>
      <c r="K145" s="887">
        <f>+K148-K147</f>
        <v>-34777</v>
      </c>
      <c r="L145" s="887">
        <f>+L148-L147</f>
        <v>7275</v>
      </c>
      <c r="M145" s="887">
        <f>+M148-M147</f>
        <v>-14422</v>
      </c>
      <c r="N145" s="648">
        <f ca="1">+N141+N143+N144</f>
        <v>-65190.000000000015</v>
      </c>
      <c r="O145" s="887">
        <f>+O148-O147</f>
        <v>24452</v>
      </c>
      <c r="P145" s="887">
        <f>+P148-P147</f>
        <v>-1219</v>
      </c>
      <c r="Q145" s="887">
        <f>+Q148-Q147</f>
        <v>5333</v>
      </c>
      <c r="R145" s="887">
        <f>+R148-R147</f>
        <v>-44776</v>
      </c>
      <c r="S145" s="648">
        <f ca="1">+S141+S143+S144</f>
        <v>-16210.000000000007</v>
      </c>
      <c r="T145" s="865">
        <f ca="1">+T148-T147</f>
        <v>58608</v>
      </c>
      <c r="U145" s="887">
        <f ca="1">+U148-U147</f>
        <v>160563</v>
      </c>
      <c r="V145" s="887">
        <f ca="1">+V148-V147</f>
        <v>-38710</v>
      </c>
      <c r="W145" s="887">
        <f ca="1">+W148-W147</f>
        <v>12594</v>
      </c>
      <c r="X145" s="648">
        <f ca="1">+X141+X143+X144</f>
        <v>193054.99999999997</v>
      </c>
      <c r="Y145" s="887">
        <f ca="1">+Y148-Y147</f>
        <v>44522</v>
      </c>
      <c r="Z145" s="887">
        <f ca="1">+Z148-Z147</f>
        <v>-60380</v>
      </c>
      <c r="AA145" s="887">
        <f ca="1">+AA148-AA147</f>
        <v>-23108</v>
      </c>
      <c r="AB145" s="887">
        <f ca="1">+AB148-AB147</f>
        <v>-74293</v>
      </c>
      <c r="AC145" s="648">
        <f ca="1">+AC141+AC143+AC144</f>
        <v>-113259.00000000003</v>
      </c>
      <c r="AD145" s="887">
        <f ca="1">+AD148-AD147</f>
        <v>63376</v>
      </c>
      <c r="AE145" s="887">
        <f ca="1">+AE148-AE147</f>
        <v>-90781</v>
      </c>
      <c r="AF145" s="887">
        <f ca="1">+AF148-AF147</f>
        <v>17519</v>
      </c>
      <c r="AG145" s="887">
        <f ca="1">+AG148-AG147</f>
        <v>53057</v>
      </c>
      <c r="AH145" s="648">
        <f ca="1">+AH141+AH143+AH144</f>
        <v>43170.999999999971</v>
      </c>
      <c r="AI145" s="887">
        <f ca="1">+AI148-AI147</f>
        <v>51749</v>
      </c>
      <c r="AJ145" s="887">
        <f ca="1">+AJ148-AJ147</f>
        <v>-5010</v>
      </c>
      <c r="AK145" s="887">
        <f ca="1">+AK148-AK147</f>
        <v>21592</v>
      </c>
      <c r="AL145" s="887">
        <f ca="1">+AL148-AL147</f>
        <v>-26091</v>
      </c>
      <c r="AM145" s="648">
        <f ca="1">+AM141+AM143+AM144</f>
        <v>42239.999999999971</v>
      </c>
      <c r="AN145" s="887">
        <f ca="1">+AN148-AN147</f>
        <v>67257</v>
      </c>
      <c r="AO145" s="887">
        <f ca="1">+AO148-AO147</f>
        <v>-16994</v>
      </c>
      <c r="AP145" s="887">
        <f ca="1">+AP148-AP147</f>
        <v>-18676</v>
      </c>
      <c r="AQ145" s="887">
        <f ca="1">+AQ148-AQ147</f>
        <v>-22791</v>
      </c>
      <c r="AR145" s="648">
        <f ca="1">+AR141+AR143+AR144</f>
        <v>8796.0000000000146</v>
      </c>
      <c r="AS145" s="887">
        <f ca="1">+AS148-AS147</f>
        <v>97862</v>
      </c>
      <c r="AT145" s="887">
        <f ca="1">+AT148-AT147</f>
        <v>7954</v>
      </c>
      <c r="AU145" s="887">
        <f ca="1">+AU148-AU147</f>
        <v>-101487</v>
      </c>
      <c r="AV145" s="887">
        <f ca="1">+AV148-AV147</f>
        <v>-233291</v>
      </c>
      <c r="AW145" s="648">
        <f ca="1">+AW141+AW143+AW144</f>
        <v>-228962</v>
      </c>
      <c r="AX145" s="887">
        <f ca="1">+AX148-AX147</f>
        <v>70329</v>
      </c>
      <c r="AY145" s="887">
        <f ca="1">+AY148-AY147</f>
        <v>12734</v>
      </c>
      <c r="AZ145" s="886"/>
      <c r="BA145" s="886"/>
      <c r="BB145" s="886"/>
      <c r="BC145" s="886"/>
      <c r="BD145" s="886"/>
      <c r="BE145" s="886"/>
      <c r="BF145" s="886"/>
      <c r="BG145" s="886"/>
      <c r="BH145" s="886"/>
      <c r="BK145" s="886"/>
      <c r="BL145" s="886"/>
      <c r="BM145" s="886"/>
      <c r="BN145" s="886"/>
      <c r="BO145" s="886"/>
      <c r="BP145" s="886"/>
      <c r="BQ145" s="886"/>
      <c r="BR145" s="886"/>
      <c r="BS145" s="886"/>
      <c r="BT145" s="886"/>
      <c r="BU145" s="886"/>
      <c r="BV145" s="886"/>
      <c r="BW145" s="886"/>
      <c r="BX145" s="886"/>
      <c r="BY145" s="886"/>
      <c r="BZ145" s="886"/>
      <c r="CA145" s="886"/>
      <c r="CB145" s="886"/>
      <c r="CC145" s="886"/>
      <c r="CD145" s="886"/>
      <c r="CE145" s="886"/>
      <c r="CF145" s="886"/>
      <c r="CG145" s="886"/>
      <c r="CH145" s="886"/>
      <c r="CI145" s="886"/>
      <c r="CJ145" s="886"/>
    </row>
    <row r="146" spans="1:88" ht="3" customHeight="1" x14ac:dyDescent="0.2">
      <c r="D146" s="884"/>
      <c r="E146" s="648"/>
      <c r="F146" s="648"/>
      <c r="G146" s="648"/>
      <c r="H146" s="648"/>
      <c r="I146" s="857"/>
      <c r="J146" s="648"/>
      <c r="K146" s="648"/>
      <c r="L146" s="648"/>
      <c r="M146" s="648"/>
      <c r="N146" s="857"/>
      <c r="O146" s="648"/>
      <c r="P146" s="648"/>
      <c r="Q146" s="648"/>
      <c r="R146" s="648"/>
      <c r="S146" s="857"/>
      <c r="T146" s="648"/>
      <c r="U146" s="648"/>
      <c r="V146" s="648"/>
      <c r="W146" s="648"/>
      <c r="X146" s="857"/>
      <c r="Y146" s="648"/>
      <c r="Z146" s="648"/>
      <c r="AA146" s="648"/>
      <c r="AB146" s="648"/>
      <c r="AC146" s="857"/>
      <c r="AD146" s="648"/>
      <c r="AE146" s="648"/>
      <c r="AF146" s="648"/>
      <c r="AG146" s="648"/>
      <c r="AH146" s="857"/>
      <c r="AI146" s="648"/>
      <c r="AJ146" s="648"/>
      <c r="AK146" s="648"/>
      <c r="AL146" s="648"/>
      <c r="AM146" s="857"/>
      <c r="AN146" s="648"/>
      <c r="AO146" s="648"/>
      <c r="AP146" s="648"/>
      <c r="AQ146" s="648"/>
      <c r="AR146" s="857"/>
      <c r="AS146" s="648"/>
      <c r="AT146" s="648"/>
      <c r="AU146" s="648"/>
      <c r="AV146" s="648"/>
      <c r="AW146" s="857"/>
      <c r="AX146" s="648"/>
      <c r="AY146" s="648"/>
      <c r="BN146" s="266"/>
      <c r="BO146" s="266"/>
      <c r="BP146" s="266"/>
      <c r="BQ146" s="266"/>
      <c r="BR146" s="266"/>
      <c r="BS146" s="266"/>
      <c r="BT146" s="266"/>
      <c r="BU146" s="266"/>
      <c r="BV146" s="266"/>
      <c r="BW146" s="266"/>
      <c r="BX146" s="266"/>
      <c r="BY146" s="266"/>
      <c r="BZ146" s="266"/>
      <c r="CA146" s="266"/>
      <c r="CB146" s="266"/>
      <c r="CC146" s="266"/>
      <c r="CD146" s="266"/>
      <c r="CE146" s="266"/>
      <c r="CF146" s="266"/>
      <c r="CG146" s="266"/>
      <c r="CH146" s="266"/>
      <c r="CI146" s="266"/>
      <c r="CJ146" s="266"/>
    </row>
    <row r="147" spans="1:88" ht="13.5" customHeight="1" x14ac:dyDescent="0.2">
      <c r="A147" s="1" t="s">
        <v>361</v>
      </c>
      <c r="B147" s="1" t="s">
        <v>796</v>
      </c>
      <c r="D147" s="858" t="str">
        <f>IF([1]RENAME!$H$3=1,B147,A147)</f>
        <v>Caixa no início do período</v>
      </c>
      <c r="E147" s="883">
        <v>192858</v>
      </c>
      <c r="F147" s="883">
        <f>+E117</f>
        <v>126013</v>
      </c>
      <c r="G147" s="883">
        <f>+F117</f>
        <v>183030</v>
      </c>
      <c r="H147" s="883">
        <f>+G117</f>
        <v>145307</v>
      </c>
      <c r="I147" s="647">
        <f>+E147</f>
        <v>192858</v>
      </c>
      <c r="J147" s="883">
        <f>+I117</f>
        <v>148732</v>
      </c>
      <c r="K147" s="883">
        <f>+J117</f>
        <v>125466</v>
      </c>
      <c r="L147" s="883">
        <f>+K117</f>
        <v>90689</v>
      </c>
      <c r="M147" s="883">
        <f>+L117</f>
        <v>97964</v>
      </c>
      <c r="N147" s="647">
        <f>+J147</f>
        <v>148732</v>
      </c>
      <c r="O147" s="883">
        <f>+N117</f>
        <v>83542</v>
      </c>
      <c r="P147" s="883">
        <f>+O117</f>
        <v>107994</v>
      </c>
      <c r="Q147" s="883">
        <f>+P117</f>
        <v>106775</v>
      </c>
      <c r="R147" s="883">
        <f>+Q117</f>
        <v>112108</v>
      </c>
      <c r="S147" s="647">
        <f>+O147</f>
        <v>83542</v>
      </c>
      <c r="T147" s="857">
        <f>+S148</f>
        <v>67332</v>
      </c>
      <c r="U147" s="883">
        <f ca="1">+T148</f>
        <v>125940</v>
      </c>
      <c r="V147" s="883">
        <f ca="1">+U148</f>
        <v>286503</v>
      </c>
      <c r="W147" s="883">
        <f ca="1">+V148</f>
        <v>247793</v>
      </c>
      <c r="X147" s="647">
        <f>+T147</f>
        <v>67332</v>
      </c>
      <c r="Y147" s="883">
        <f ca="1">+X148</f>
        <v>260387</v>
      </c>
      <c r="Z147" s="883">
        <f ca="1">+Y148</f>
        <v>304909</v>
      </c>
      <c r="AA147" s="883">
        <f ca="1">+Z148</f>
        <v>244529</v>
      </c>
      <c r="AB147" s="883">
        <f ca="1">+AA148</f>
        <v>221421</v>
      </c>
      <c r="AC147" s="647">
        <f ca="1">+Y147</f>
        <v>260387</v>
      </c>
      <c r="AD147" s="883">
        <f ca="1">+AC148</f>
        <v>147128</v>
      </c>
      <c r="AE147" s="883">
        <f ca="1">+AD148</f>
        <v>210504</v>
      </c>
      <c r="AF147" s="883">
        <f ca="1">+AE148</f>
        <v>119723</v>
      </c>
      <c r="AG147" s="883">
        <f ca="1">+AF148</f>
        <v>137242</v>
      </c>
      <c r="AH147" s="647">
        <f ca="1">+AD147</f>
        <v>147128</v>
      </c>
      <c r="AI147" s="883">
        <f ca="1">+AH148</f>
        <v>190299</v>
      </c>
      <c r="AJ147" s="883">
        <f ca="1">+AI148</f>
        <v>242048</v>
      </c>
      <c r="AK147" s="883">
        <f ca="1">+AJ148</f>
        <v>237038</v>
      </c>
      <c r="AL147" s="883">
        <f ca="1">+AK148</f>
        <v>258630</v>
      </c>
      <c r="AM147" s="647">
        <f ca="1">+AI147</f>
        <v>190299</v>
      </c>
      <c r="AN147" s="883">
        <f ca="1">+AM148</f>
        <v>232539</v>
      </c>
      <c r="AO147" s="883">
        <f ca="1">+AN148</f>
        <v>299796</v>
      </c>
      <c r="AP147" s="883">
        <f ca="1">+AO148</f>
        <v>282802</v>
      </c>
      <c r="AQ147" s="883">
        <f ca="1">+AP148</f>
        <v>264126</v>
      </c>
      <c r="AR147" s="647">
        <f ca="1">+AN147</f>
        <v>232539</v>
      </c>
      <c r="AS147" s="883">
        <f ca="1">+AR148</f>
        <v>241335</v>
      </c>
      <c r="AT147" s="883">
        <f ca="1">+AS148</f>
        <v>339197</v>
      </c>
      <c r="AU147" s="883">
        <f ca="1">+AT148</f>
        <v>347151</v>
      </c>
      <c r="AV147" s="883">
        <f ca="1">+AT148</f>
        <v>347151</v>
      </c>
      <c r="AW147" s="647">
        <f ca="1">+AS147</f>
        <v>241335</v>
      </c>
      <c r="AX147" s="883">
        <f ca="1">+AV148</f>
        <v>113860</v>
      </c>
      <c r="AY147" s="883">
        <f ca="1">+AX148</f>
        <v>184189</v>
      </c>
      <c r="BN147" s="266"/>
      <c r="BO147" s="266"/>
      <c r="BP147" s="266"/>
      <c r="BQ147" s="266"/>
      <c r="BR147" s="266"/>
      <c r="BS147" s="266"/>
      <c r="BT147" s="266"/>
      <c r="BU147" s="266"/>
      <c r="BV147" s="266"/>
      <c r="BW147" s="266"/>
      <c r="BX147" s="266"/>
      <c r="BY147" s="266"/>
      <c r="BZ147" s="266"/>
      <c r="CA147" s="266"/>
      <c r="CB147" s="266"/>
      <c r="CC147" s="266"/>
      <c r="CD147" s="266"/>
      <c r="CE147" s="266"/>
      <c r="CF147" s="266"/>
      <c r="CG147" s="266"/>
      <c r="CH147" s="266"/>
      <c r="CI147" s="266"/>
      <c r="CJ147" s="266"/>
    </row>
    <row r="148" spans="1:88" ht="13.5" customHeight="1" x14ac:dyDescent="0.2">
      <c r="A148" s="1" t="s">
        <v>362</v>
      </c>
      <c r="B148" s="1" t="s">
        <v>797</v>
      </c>
      <c r="D148" s="870" t="str">
        <f>IF([1]RENAME!$H$3=1,B148,A148)</f>
        <v>Caixa no final do período</v>
      </c>
      <c r="E148" s="882">
        <f>+E117</f>
        <v>126013</v>
      </c>
      <c r="F148" s="882">
        <f>+F117</f>
        <v>183030</v>
      </c>
      <c r="G148" s="882">
        <f>+G117</f>
        <v>145307</v>
      </c>
      <c r="H148" s="882">
        <f>+H117</f>
        <v>148732</v>
      </c>
      <c r="I148" s="881">
        <f>+H148</f>
        <v>148732</v>
      </c>
      <c r="J148" s="882">
        <f>+J117</f>
        <v>125466</v>
      </c>
      <c r="K148" s="882">
        <f>+K117</f>
        <v>90689</v>
      </c>
      <c r="L148" s="882">
        <f>+L117</f>
        <v>97964</v>
      </c>
      <c r="M148" s="882">
        <f>+M117</f>
        <v>83542</v>
      </c>
      <c r="N148" s="881">
        <f>+M148</f>
        <v>83542</v>
      </c>
      <c r="O148" s="882">
        <f>+O117</f>
        <v>107994</v>
      </c>
      <c r="P148" s="882">
        <f>+P117</f>
        <v>106775</v>
      </c>
      <c r="Q148" s="882">
        <f>+Q117</f>
        <v>112108</v>
      </c>
      <c r="R148" s="882">
        <f>+R117</f>
        <v>67332</v>
      </c>
      <c r="S148" s="881">
        <f>+R148</f>
        <v>67332</v>
      </c>
      <c r="T148" s="872">
        <f ca="1">+T117</f>
        <v>125940</v>
      </c>
      <c r="U148" s="882">
        <f ca="1">+U117</f>
        <v>286503</v>
      </c>
      <c r="V148" s="882">
        <f ca="1">+V117</f>
        <v>247793</v>
      </c>
      <c r="W148" s="882">
        <f ca="1">+W117</f>
        <v>260387</v>
      </c>
      <c r="X148" s="881">
        <f ca="1">+W148</f>
        <v>260387</v>
      </c>
      <c r="Y148" s="882">
        <f ca="1">+Y117</f>
        <v>304909</v>
      </c>
      <c r="Z148" s="882">
        <f ca="1">+Z117</f>
        <v>244529</v>
      </c>
      <c r="AA148" s="882">
        <f ca="1">+AA117</f>
        <v>221421</v>
      </c>
      <c r="AB148" s="882">
        <f ca="1">+AB117</f>
        <v>147128</v>
      </c>
      <c r="AC148" s="881">
        <f ca="1">+AB148</f>
        <v>147128</v>
      </c>
      <c r="AD148" s="882">
        <f ca="1">+AD117</f>
        <v>210504</v>
      </c>
      <c r="AE148" s="882">
        <f ca="1">+AE117</f>
        <v>119723</v>
      </c>
      <c r="AF148" s="882">
        <f ca="1">+AF117</f>
        <v>137242</v>
      </c>
      <c r="AG148" s="882">
        <f ca="1">+AG117</f>
        <v>190299</v>
      </c>
      <c r="AH148" s="881">
        <f ca="1">+AG148</f>
        <v>190299</v>
      </c>
      <c r="AI148" s="882">
        <f ca="1">+AI117</f>
        <v>242048</v>
      </c>
      <c r="AJ148" s="882">
        <f ca="1">+AJ117</f>
        <v>237038</v>
      </c>
      <c r="AK148" s="882">
        <f ca="1">+AK117</f>
        <v>258630</v>
      </c>
      <c r="AL148" s="882">
        <f ca="1">+AL117</f>
        <v>232539</v>
      </c>
      <c r="AM148" s="881">
        <f ca="1">+AL148</f>
        <v>232539</v>
      </c>
      <c r="AN148" s="882">
        <f ca="1">+AN117</f>
        <v>299796</v>
      </c>
      <c r="AO148" s="882">
        <f ca="1">+AO117</f>
        <v>282802</v>
      </c>
      <c r="AP148" s="882">
        <f ca="1">+AP117</f>
        <v>264126</v>
      </c>
      <c r="AQ148" s="882">
        <f ca="1">+AQ117</f>
        <v>241335</v>
      </c>
      <c r="AR148" s="881">
        <f ca="1">+AQ148</f>
        <v>241335</v>
      </c>
      <c r="AS148" s="882">
        <f ca="1">+AS117</f>
        <v>339197</v>
      </c>
      <c r="AT148" s="882">
        <f ca="1">+AT117</f>
        <v>347151</v>
      </c>
      <c r="AU148" s="882">
        <f ca="1">+AU117</f>
        <v>245664</v>
      </c>
      <c r="AV148" s="882">
        <f ca="1">+AV117</f>
        <v>113860</v>
      </c>
      <c r="AW148" s="881">
        <f ca="1">+AV148</f>
        <v>113860</v>
      </c>
      <c r="AX148" s="882">
        <f ca="1">+AX117</f>
        <v>184189</v>
      </c>
      <c r="AY148" s="882">
        <f ca="1">+AY117</f>
        <v>196923</v>
      </c>
      <c r="BN148" s="266"/>
      <c r="BO148" s="266"/>
      <c r="BP148" s="266"/>
      <c r="BQ148" s="266"/>
      <c r="BR148" s="266"/>
      <c r="BS148" s="266"/>
      <c r="BT148" s="266"/>
      <c r="BU148" s="266"/>
      <c r="BV148" s="266"/>
      <c r="BW148" s="266"/>
      <c r="BX148" s="266"/>
      <c r="BY148" s="266"/>
      <c r="BZ148" s="266"/>
      <c r="CA148" s="266"/>
      <c r="CB148" s="266"/>
      <c r="CC148" s="266"/>
      <c r="CD148" s="266"/>
      <c r="CE148" s="266"/>
      <c r="CF148" s="266"/>
      <c r="CG148" s="266"/>
      <c r="CH148" s="266"/>
      <c r="CI148" s="266"/>
      <c r="CJ148" s="266"/>
    </row>
    <row r="149" spans="1:88" ht="13.5" customHeight="1" x14ac:dyDescent="0.2">
      <c r="F149" s="689"/>
      <c r="G149" s="689"/>
      <c r="H149" s="689"/>
      <c r="I149" s="880">
        <f ca="1">+I148-I147-I145</f>
        <v>0</v>
      </c>
      <c r="L149" s="689"/>
      <c r="M149" s="689"/>
      <c r="N149" s="880">
        <f ca="1">+N148-N147-N145</f>
        <v>0</v>
      </c>
      <c r="Q149" s="689"/>
      <c r="R149" s="689"/>
      <c r="S149" s="880">
        <f ca="1">+S148-S147-S145</f>
        <v>0</v>
      </c>
      <c r="T149" s="880"/>
      <c r="U149" s="880"/>
      <c r="V149" s="880"/>
      <c r="W149" s="880"/>
      <c r="X149" s="880">
        <f ca="1">+X148-X147-X145</f>
        <v>0</v>
      </c>
      <c r="Y149" s="880"/>
      <c r="Z149" s="880"/>
      <c r="AA149" s="880"/>
      <c r="AB149" s="880"/>
      <c r="AC149" s="880">
        <f ca="1">+AC148-AC147-AC145</f>
        <v>0</v>
      </c>
      <c r="AD149" s="880"/>
      <c r="AE149" s="880"/>
      <c r="AF149" s="880"/>
      <c r="AG149" s="880"/>
      <c r="AH149" s="880">
        <f ca="1">+AH148-AH147-AH145</f>
        <v>0</v>
      </c>
      <c r="AI149" s="880"/>
      <c r="AJ149" s="880"/>
      <c r="AK149" s="880"/>
      <c r="AL149" s="880"/>
      <c r="AM149" s="880">
        <f ca="1">+AM148-AM147-AM145</f>
        <v>0</v>
      </c>
      <c r="AN149" s="880"/>
      <c r="AO149" s="880"/>
      <c r="AP149" s="880"/>
      <c r="AQ149" s="880"/>
      <c r="AR149" s="880">
        <f ca="1">+AR148-AR147-AR145</f>
        <v>-1.4551915228366852E-11</v>
      </c>
      <c r="AS149" s="880"/>
      <c r="AT149" s="880"/>
      <c r="AU149" s="880"/>
      <c r="AV149" s="880"/>
      <c r="AW149" s="880"/>
      <c r="AX149" s="880"/>
      <c r="AY149" s="880"/>
      <c r="BN149" s="266"/>
      <c r="BO149" s="266"/>
      <c r="BP149" s="266"/>
      <c r="BQ149" s="266"/>
      <c r="BR149" s="266"/>
      <c r="BS149" s="266"/>
      <c r="BT149" s="266"/>
      <c r="BU149" s="266"/>
      <c r="BV149" s="266"/>
      <c r="BW149" s="266"/>
      <c r="BX149" s="266"/>
      <c r="BY149" s="266"/>
      <c r="BZ149" s="266"/>
      <c r="CA149" s="266"/>
      <c r="CB149" s="266"/>
      <c r="CC149" s="266"/>
      <c r="CD149" s="266"/>
      <c r="CE149" s="266"/>
      <c r="CF149" s="266"/>
      <c r="CG149" s="266"/>
      <c r="CH149" s="266"/>
      <c r="CI149" s="266"/>
      <c r="CJ149" s="266"/>
    </row>
    <row r="150" spans="1:88" ht="13.5" customHeight="1" x14ac:dyDescent="0.2">
      <c r="A150" s="1" t="s">
        <v>1328</v>
      </c>
      <c r="B150" s="1" t="s">
        <v>1328</v>
      </c>
      <c r="D150" s="868" t="str">
        <f>IF([1]RENAME!$H$3=1,B150,A150)</f>
        <v>GDL (100%)</v>
      </c>
      <c r="E150" s="867" t="str">
        <f t="shared" ref="E150:AJ150" si="186">E5</f>
        <v>1T17</v>
      </c>
      <c r="F150" s="867" t="str">
        <f t="shared" si="186"/>
        <v>2T17</v>
      </c>
      <c r="G150" s="867" t="str">
        <f t="shared" si="186"/>
        <v>3T17</v>
      </c>
      <c r="H150" s="867" t="str">
        <f t="shared" si="186"/>
        <v>4T17</v>
      </c>
      <c r="I150" s="867" t="str">
        <f t="shared" si="186"/>
        <v>2017</v>
      </c>
      <c r="J150" s="867" t="str">
        <f t="shared" si="186"/>
        <v>1T18</v>
      </c>
      <c r="K150" s="867" t="str">
        <f t="shared" si="186"/>
        <v>2T18</v>
      </c>
      <c r="L150" s="867" t="str">
        <f t="shared" si="186"/>
        <v>3T18</v>
      </c>
      <c r="M150" s="867" t="str">
        <f t="shared" si="186"/>
        <v>4T18</v>
      </c>
      <c r="N150" s="867" t="str">
        <f t="shared" si="186"/>
        <v>2018</v>
      </c>
      <c r="O150" s="867" t="str">
        <f t="shared" si="186"/>
        <v>1T19</v>
      </c>
      <c r="P150" s="867" t="str">
        <f t="shared" si="186"/>
        <v>2T19</v>
      </c>
      <c r="Q150" s="867" t="str">
        <f t="shared" si="186"/>
        <v>3T19</v>
      </c>
      <c r="R150" s="867" t="str">
        <f t="shared" si="186"/>
        <v>4T19</v>
      </c>
      <c r="S150" s="867" t="str">
        <f t="shared" si="186"/>
        <v>2019</v>
      </c>
      <c r="T150" s="867" t="str">
        <f t="shared" si="186"/>
        <v>1T20</v>
      </c>
      <c r="U150" s="867" t="str">
        <f t="shared" si="186"/>
        <v>2T20</v>
      </c>
      <c r="V150" s="867" t="str">
        <f t="shared" si="186"/>
        <v>3T20</v>
      </c>
      <c r="W150" s="867" t="str">
        <f t="shared" si="186"/>
        <v>4T20</v>
      </c>
      <c r="X150" s="867" t="str">
        <f t="shared" si="186"/>
        <v>2020</v>
      </c>
      <c r="Y150" s="867" t="str">
        <f t="shared" si="186"/>
        <v>1T21</v>
      </c>
      <c r="Z150" s="867" t="str">
        <f t="shared" si="186"/>
        <v>2T21</v>
      </c>
      <c r="AA150" s="867" t="str">
        <f t="shared" si="186"/>
        <v>3T21</v>
      </c>
      <c r="AB150" s="867" t="str">
        <f t="shared" si="186"/>
        <v>4T21</v>
      </c>
      <c r="AC150" s="867" t="str">
        <f t="shared" si="186"/>
        <v>2021</v>
      </c>
      <c r="AD150" s="867" t="str">
        <f t="shared" si="186"/>
        <v>1T22</v>
      </c>
      <c r="AE150" s="867" t="str">
        <f t="shared" si="186"/>
        <v>2T22</v>
      </c>
      <c r="AF150" s="867" t="str">
        <f t="shared" si="186"/>
        <v>3T22</v>
      </c>
      <c r="AG150" s="867" t="str">
        <f t="shared" si="186"/>
        <v>4T22</v>
      </c>
      <c r="AH150" s="867" t="str">
        <f t="shared" si="186"/>
        <v>2022</v>
      </c>
      <c r="AI150" s="867" t="str">
        <f t="shared" si="186"/>
        <v>1T23</v>
      </c>
      <c r="AJ150" s="867" t="str">
        <f t="shared" si="186"/>
        <v>2T23</v>
      </c>
      <c r="AK150" s="867" t="str">
        <f t="shared" ref="AK150:AP150" si="187">AK5</f>
        <v>3T23</v>
      </c>
      <c r="AL150" s="867" t="str">
        <f t="shared" si="187"/>
        <v>4T23</v>
      </c>
      <c r="AM150" s="867" t="str">
        <f t="shared" si="187"/>
        <v>2023</v>
      </c>
      <c r="AN150" s="867" t="str">
        <f t="shared" si="187"/>
        <v>1T24</v>
      </c>
      <c r="AO150" s="867" t="str">
        <f t="shared" si="187"/>
        <v>2T24</v>
      </c>
      <c r="AP150" s="867" t="str">
        <f t="shared" si="187"/>
        <v>3T24</v>
      </c>
      <c r="AQ150" s="867" t="str">
        <f>AQ5</f>
        <v>4T24</v>
      </c>
      <c r="AR150" s="867" t="str">
        <f>AR5</f>
        <v>2024</v>
      </c>
      <c r="AS150" s="867" t="str">
        <f t="shared" ref="AS150:AX150" si="188">AS5</f>
        <v>1T25</v>
      </c>
      <c r="AT150" s="867" t="str">
        <f t="shared" si="188"/>
        <v>2T25</v>
      </c>
      <c r="AU150" s="867" t="str">
        <f t="shared" si="188"/>
        <v>3T25</v>
      </c>
      <c r="AV150" s="867" t="str">
        <f t="shared" si="188"/>
        <v>4T25</v>
      </c>
      <c r="AW150" s="867" t="str">
        <f t="shared" si="188"/>
        <v>2025</v>
      </c>
      <c r="AX150" s="867" t="str">
        <f t="shared" si="188"/>
        <v>1T26</v>
      </c>
      <c r="AY150" s="867" t="str">
        <f>AY5</f>
        <v>2T26</v>
      </c>
      <c r="BA150" s="266" t="s">
        <v>2119</v>
      </c>
      <c r="BB150" s="266" t="s">
        <v>2119</v>
      </c>
      <c r="BN150" s="266"/>
      <c r="BO150" s="266"/>
      <c r="BP150" s="266"/>
      <c r="BQ150" s="266"/>
      <c r="BR150" s="266"/>
      <c r="BS150" s="266"/>
      <c r="BT150" s="266"/>
      <c r="BU150" s="266"/>
      <c r="BV150" s="266"/>
      <c r="BW150" s="266"/>
      <c r="BX150" s="266"/>
      <c r="BY150" s="266"/>
      <c r="BZ150" s="266"/>
      <c r="CA150" s="266"/>
      <c r="CB150" s="266"/>
      <c r="CC150" s="266"/>
      <c r="CD150" s="266"/>
      <c r="CE150" s="266"/>
      <c r="CF150" s="266"/>
      <c r="CG150" s="266"/>
      <c r="CH150" s="266"/>
      <c r="CI150" s="266"/>
      <c r="CJ150" s="266"/>
    </row>
    <row r="151" spans="1:88" ht="13.5" customHeight="1" x14ac:dyDescent="0.2">
      <c r="A151" s="1" t="s">
        <v>241</v>
      </c>
      <c r="B151" s="1" t="s">
        <v>695</v>
      </c>
      <c r="D151" s="866" t="str">
        <f>IF([1]RENAME!$H$3=1,B151,A151)</f>
        <v xml:space="preserve"> Receita líquida</v>
      </c>
      <c r="E151" s="38" t="s">
        <v>160</v>
      </c>
      <c r="F151" s="38" t="s">
        <v>160</v>
      </c>
      <c r="G151" s="38" t="s">
        <v>160</v>
      </c>
      <c r="H151" s="38" t="s">
        <v>160</v>
      </c>
      <c r="I151" s="874" t="s">
        <v>160</v>
      </c>
      <c r="J151" s="857">
        <f ca="1">+SUMIFS(INDIRECT(CONCATENATE("'",$AZ151,$BA151,":",$BB151)),INDIRECT(CONCATENATE("'",$AZ151,$BA$150,":",$BB$150)),J$92)</f>
        <v>7177</v>
      </c>
      <c r="K151" s="857">
        <f ca="1">+SUMIFS(INDIRECT(CONCATENATE("'",$AZ151,$BA151,":",$BB151)),INDIRECT(CONCATENATE("'",$AZ151,$BA$150,":",$BB$150)),K$92)</f>
        <v>12681</v>
      </c>
      <c r="L151" s="857">
        <f ca="1">+SUMIFS(INDIRECT(CONCATENATE("'",$AZ151,$BA151,":",$BB151)),INDIRECT(CONCATENATE("'",$AZ151,$BA$150,":",$BB$150)),L$92)</f>
        <v>14895</v>
      </c>
      <c r="M151" s="857">
        <f ca="1">+SUMIFS(INDIRECT(CONCATENATE("'",$AZ151,$BA151,":",$BB151)),INDIRECT(CONCATENATE("'",$AZ151,$BA$150,":",$BB$150)),M$92)</f>
        <v>17373</v>
      </c>
      <c r="N151" s="874">
        <f ca="1">+SUM(J151:M151)</f>
        <v>52126</v>
      </c>
      <c r="O151" s="857">
        <f ca="1">+SUMIFS(INDIRECT(CONCATENATE("'",$AZ151,$BA151,":",$BB151)),INDIRECT(CONCATENATE("'",$AZ151,$BA$150,":",$BB$150)),O$92)</f>
        <v>15688</v>
      </c>
      <c r="P151" s="857">
        <f ca="1">+SUMIFS(INDIRECT(CONCATENATE("'",$AZ151,$BA151,":",$BB151)),INDIRECT(CONCATENATE("'",$AZ151,$BA$150,":",$BB$150)),P$92)</f>
        <v>16298.599999999999</v>
      </c>
      <c r="Q151" s="857">
        <f ca="1">+SUMIFS(INDIRECT(CONCATENATE("'",$AZ151,$BA151,":",$BB151)),INDIRECT(CONCATENATE("'",$AZ151,$BA$150,":",$BB$150)),Q$92)</f>
        <v>19398.511290000002</v>
      </c>
      <c r="R151" s="857">
        <f ca="1">+SUMIFS(INDIRECT(CONCATENATE("'",$AZ151,$BA151,":",$BB151)),INDIRECT(CONCATENATE("'",$AZ151,$BA$150,":",$BB$150)),R$92)</f>
        <v>20352.888709999999</v>
      </c>
      <c r="S151" s="874">
        <f ca="1">+SUM(O151:R151)</f>
        <v>71738</v>
      </c>
      <c r="T151" s="857">
        <f ca="1">+SUMIFS(INDIRECT(CONCATENATE("'",$AZ151,$BA151,":",$BB151)),INDIRECT(CONCATENATE("'",$AZ151,$BA$150,":",$BB$150)),T$92)</f>
        <v>18364</v>
      </c>
      <c r="U151" s="857">
        <f ca="1">+SUMIFS(INDIRECT(CONCATENATE("'",$AZ151,$BA151,":",$BB151)),INDIRECT(CONCATENATE("'",$AZ151,$BA$150,":",$BB$150)),U$92)</f>
        <v>19256</v>
      </c>
      <c r="V151" s="857">
        <f ca="1">+SUMIFS(INDIRECT(CONCATENATE("'",$AZ151,$BA151,":",$BB151)),INDIRECT(CONCATENATE("'",$AZ151,$BA$150,":",$BB$150)),V$92)</f>
        <v>19150</v>
      </c>
      <c r="W151" s="857">
        <f ca="1">+SUMIFS(INDIRECT(CONCATENATE("'",$AZ151,$BA151,":",$BB151)),INDIRECT(CONCATENATE("'",$AZ151,$BA$150,":",$BB$150)),W$92)</f>
        <v>16497</v>
      </c>
      <c r="X151" s="874">
        <f ca="1">+SUM(T151:W151)</f>
        <v>73267</v>
      </c>
      <c r="Y151" s="857">
        <f ca="1">+SUMIFS(INDIRECT(CONCATENATE("'",$AZ151,$BA151,":",$BB151)),INDIRECT(CONCATENATE("'",$AZ151,$BA$150,":",$BB$150)),Y$92)</f>
        <v>17226</v>
      </c>
      <c r="Z151" s="857">
        <f ca="1">+SUMIFS(INDIRECT(CONCATENATE("'",$AZ151,$BA151,":",$BB151)),INDIRECT(CONCATENATE("'",$AZ151,$BA$150,":",$BB$150)),Z$92)</f>
        <v>23826</v>
      </c>
      <c r="AA151" s="857">
        <f ca="1">+SUMIFS(INDIRECT(CONCATENATE("'",$AZ151,$BA151,":",$BB151)),INDIRECT(CONCATENATE("'",$AZ151,$BA$150,":",$BB$150)),AA$92)</f>
        <v>23339</v>
      </c>
      <c r="AB151" s="857">
        <f ca="1">+SUMIFS(INDIRECT(CONCATENATE("'",$AZ151,$BA151,":",$BB151)),INDIRECT(CONCATENATE("'",$AZ151,$BA$150,":",$BB$150)),AB$92)</f>
        <v>26986</v>
      </c>
      <c r="AC151" s="874">
        <f ca="1">+SUM(Y151:AB151)</f>
        <v>91377</v>
      </c>
      <c r="AD151" s="857">
        <f ca="1">+SUMIFS(INDIRECT(CONCATENATE("'",$AZ151,$BA151,":",$BB151)),INDIRECT(CONCATENATE("'",$AZ151,$BA$150,":",$BB$150)),AD$92)</f>
        <v>28405</v>
      </c>
      <c r="AE151" s="857">
        <f ca="1">+SUMIFS(INDIRECT(CONCATENATE("'",$AZ151,$BA151,":",$BB151)),INDIRECT(CONCATENATE("'",$AZ151,$BA$150,":",$BB$150)),AE$92)</f>
        <v>30037</v>
      </c>
      <c r="AF151" s="857">
        <f ca="1">+SUMIFS(INDIRECT(CONCATENATE("'",$AZ151,$BA151,":",$BB151)),INDIRECT(CONCATENATE("'",$AZ151,$BA$150,":",$BB$150)),AF$92)</f>
        <v>28510</v>
      </c>
      <c r="AG151" s="857">
        <f ca="1">+SUMIFS(INDIRECT(CONCATENATE("'",$AZ151,$BA151,":",$BB151)),INDIRECT(CONCATENATE("'",$AZ151,$BA$150,":",$BB$150)),AG$92)</f>
        <v>30684</v>
      </c>
      <c r="AH151" s="874">
        <f ca="1">+SUM(AD151:AG151)</f>
        <v>117636</v>
      </c>
      <c r="AI151" s="857">
        <f ca="1">+SUMIFS(INDIRECT(CONCATENATE("'",$AZ151,$BA151,":",$BB151)),INDIRECT(CONCATENATE("'",$AZ151,$BA$150,":",$BB$150)),AI$92)</f>
        <v>36776</v>
      </c>
      <c r="AJ151" s="857">
        <f ca="1">+SUMIFS(INDIRECT(CONCATENATE("'",$AZ151,$BA151,":",$BB151)),INDIRECT(CONCATENATE("'",$AZ151,$BA$150,":",$BB$150)),AJ$92)</f>
        <v>34967</v>
      </c>
      <c r="AK151" s="857">
        <f ca="1">+SUMIFS(INDIRECT(CONCATENATE("'",$AZ151,$BA151,":",$BB151)),INDIRECT(CONCATENATE("'",$AZ151,$BA$150,":",$BB$150)),AK$92)</f>
        <v>41135</v>
      </c>
      <c r="AL151" s="857">
        <f ca="1">+SUMIFS(INDIRECT(CONCATENATE("'",$AZ151,$BA151,":",$BB151)),INDIRECT(CONCATENATE("'",$AZ151,$BA$150,":",$BB$150)),AL$92)</f>
        <v>47572</v>
      </c>
      <c r="AM151" s="874">
        <f ca="1">+SUM(AI151:AL151)</f>
        <v>160450</v>
      </c>
      <c r="AN151" s="857">
        <f ca="1">+SUMIFS(INDIRECT(CONCATENATE("'",$AZ151,$BA151,":",$BB151)),INDIRECT(CONCATENATE("'",$AZ151,$BA$150,":",$BB$150)),AN$92)</f>
        <v>51826</v>
      </c>
      <c r="AO151" s="857">
        <f ca="1">+SUMIFS(INDIRECT(CONCATENATE("'",$AZ151,$BA151,":",$BB151)),INDIRECT(CONCATENATE("'",$AZ151,$BA$150,":",$BB$150)),AO$92)</f>
        <v>70532</v>
      </c>
      <c r="AP151" s="857">
        <f ca="1">+SUMIFS(INDIRECT(CONCATENATE("'",$AZ151,$BA151,":",$BB151)),INDIRECT(CONCATENATE("'",$AZ151,$BA$150,":",$BB$150)),AP$92)</f>
        <v>74528</v>
      </c>
      <c r="AQ151" s="857">
        <f ca="1">+SUMIFS(INDIRECT(CONCATENATE("'",$AZ151,$BA151,":",$BB151)),INDIRECT(CONCATENATE("'",$AZ151,$BA$150,":",$BB$150)),AQ$92)</f>
        <v>65337</v>
      </c>
      <c r="AR151" s="874">
        <f ca="1">+SUM(AN151:AQ151)</f>
        <v>262223</v>
      </c>
      <c r="AS151" s="857">
        <f ca="1">+SUMIFS(INDIRECT(CONCATENATE("'",$AZ151,$BA151,":",$BB151)),INDIRECT(CONCATENATE("'",$AZ151,$BA$150,":",$BB$150)),AS$92)</f>
        <v>67061</v>
      </c>
      <c r="AT151" s="857">
        <f ca="1">+SUMIFS(INDIRECT(CONCATENATE("'",$AZ151,$BA151,":",$BB151)),INDIRECT(CONCATENATE("'",$AZ151,$BA$150,":",$BB$150)),AT$92)</f>
        <v>78569</v>
      </c>
      <c r="AU151" s="857">
        <f ca="1">+SUMIFS(INDIRECT(CONCATENATE("'",$AZ151,$BA151,":",$BB151)),INDIRECT(CONCATENATE("'",$AZ151,$BA$150,":",$BB$150)),AU$92)</f>
        <v>81039</v>
      </c>
      <c r="AV151" s="857">
        <f ca="1">+SUMIFS(INDIRECT(CONCATENATE("'",$AZ151,$BA151,":",$BB151)),INDIRECT(CONCATENATE("'",$AZ151,$BA$150,":",$BB$150)),AV$92)</f>
        <v>61338</v>
      </c>
      <c r="AW151" s="874">
        <f ca="1">+SUM(AS151:AV151)</f>
        <v>288007</v>
      </c>
      <c r="AX151" s="857">
        <f ca="1">+SUMIFS(INDIRECT(CONCATENATE("'",$AZ151,$BA151,":",$BB151)),INDIRECT(CONCATENATE("'",$AZ151,$BA$150,":",$BB$150)),AX$92)</f>
        <v>53306</v>
      </c>
      <c r="AY151" s="857">
        <f ca="1">+SUMIFS(INDIRECT(CONCATENATE("'",$AZ151,$BA151,":",$BB151)),INDIRECT(CONCATENATE("'",$AZ151,$BA$150,":",$BB$150)),AY$92)</f>
        <v>68305</v>
      </c>
      <c r="AZ151" s="266" t="str">
        <f>IF([1]RENAME!$H$3=0,BE151,BD151)</f>
        <v>Investimentos F'!</v>
      </c>
      <c r="BA151" s="1170" t="s">
        <v>2120</v>
      </c>
      <c r="BB151" s="1170" t="s">
        <v>2120</v>
      </c>
      <c r="BC151" s="1170"/>
      <c r="BD151" s="1170" t="s">
        <v>1690</v>
      </c>
      <c r="BE151" s="1170" t="s">
        <v>1689</v>
      </c>
      <c r="BF151" s="1170"/>
      <c r="BG151" s="1170" t="s">
        <v>1690</v>
      </c>
      <c r="BH151" s="1170" t="s">
        <v>1689</v>
      </c>
      <c r="BN151" s="266"/>
      <c r="BO151" s="266"/>
      <c r="BP151" s="266"/>
      <c r="BQ151" s="266"/>
      <c r="BR151" s="266"/>
      <c r="BS151" s="266"/>
      <c r="BT151" s="266"/>
      <c r="BU151" s="266"/>
      <c r="BV151" s="266"/>
      <c r="BW151" s="266"/>
      <c r="BX151" s="266"/>
      <c r="BY151" s="266"/>
      <c r="BZ151" s="266"/>
      <c r="CA151" s="266"/>
      <c r="CB151" s="266"/>
      <c r="CC151" s="266"/>
      <c r="CD151" s="266"/>
      <c r="CE151" s="266"/>
      <c r="CF151" s="266"/>
      <c r="CG151" s="266"/>
      <c r="CH151" s="266"/>
      <c r="CI151" s="266"/>
      <c r="CJ151" s="266"/>
    </row>
    <row r="152" spans="1:88" s="850" customFormat="1" ht="13.5" customHeight="1" x14ac:dyDescent="0.2">
      <c r="A152" s="850" t="s">
        <v>1679</v>
      </c>
      <c r="B152" s="856" t="s">
        <v>1678</v>
      </c>
      <c r="C152" s="855"/>
      <c r="D152" s="861" t="str">
        <f>IF([1]RENAME!$H$3=1,B152,A152)</f>
        <v>Variação %</v>
      </c>
      <c r="E152" s="38" t="s">
        <v>160</v>
      </c>
      <c r="F152" s="38" t="s">
        <v>160</v>
      </c>
      <c r="G152" s="38" t="s">
        <v>160</v>
      </c>
      <c r="H152" s="38" t="s">
        <v>160</v>
      </c>
      <c r="I152" s="876" t="s">
        <v>160</v>
      </c>
      <c r="J152" s="875" t="s">
        <v>160</v>
      </c>
      <c r="K152" s="875" t="s">
        <v>160</v>
      </c>
      <c r="L152" s="875" t="s">
        <v>160</v>
      </c>
      <c r="M152" s="875" t="s">
        <v>160</v>
      </c>
      <c r="N152" s="862" t="s">
        <v>160</v>
      </c>
      <c r="O152" s="875" t="s">
        <v>160</v>
      </c>
      <c r="P152" s="875">
        <f ca="1">+P151/K151-1</f>
        <v>0.28527718634177113</v>
      </c>
      <c r="Q152" s="875">
        <f ca="1">+Q151/L151-1</f>
        <v>0.30235053977844939</v>
      </c>
      <c r="R152" s="875">
        <f ca="1">+R151/M151-1</f>
        <v>0.17152412997179534</v>
      </c>
      <c r="S152" s="862" t="s">
        <v>160</v>
      </c>
      <c r="T152" s="875">
        <f ca="1">+T151/O151-1</f>
        <v>0.17057623661397248</v>
      </c>
      <c r="U152" s="875">
        <f ca="1">+U151/P151-1</f>
        <v>0.18145116758494595</v>
      </c>
      <c r="V152" s="875">
        <f ca="1">+V151/Q151-1</f>
        <v>-1.2810843383023407E-2</v>
      </c>
      <c r="W152" s="875">
        <f ca="1">+W151/R151-1</f>
        <v>-0.18945166776770528</v>
      </c>
      <c r="X152" s="862" t="s">
        <v>160</v>
      </c>
      <c r="Y152" s="875">
        <f ca="1">+Y151/T151-1</f>
        <v>-6.1969069919407538E-2</v>
      </c>
      <c r="Z152" s="875">
        <f ca="1">+Z151/U151-1</f>
        <v>0.23732862484420436</v>
      </c>
      <c r="AA152" s="875">
        <f ca="1">+AA151/V151-1</f>
        <v>0.21874673629242825</v>
      </c>
      <c r="AB152" s="875">
        <f ca="1">+AB151/W151-1</f>
        <v>0.63581257198278474</v>
      </c>
      <c r="AC152" s="862">
        <f ca="1">AC151/X151-1</f>
        <v>0.24717812930787386</v>
      </c>
      <c r="AD152" s="875">
        <f ca="1">+AD151/Y151-1</f>
        <v>0.64896087309880413</v>
      </c>
      <c r="AE152" s="875">
        <f ca="1">+AE151/Z151-1</f>
        <v>0.26068160832703779</v>
      </c>
      <c r="AF152" s="875">
        <f ca="1">+AF151/AA151-1</f>
        <v>0.22156047816958746</v>
      </c>
      <c r="AG152" s="875">
        <f ca="1">+AG151/AB151-1</f>
        <v>0.13703401763877565</v>
      </c>
      <c r="AH152" s="862">
        <f ca="1">AH151/AC151-1</f>
        <v>0.28736990708821697</v>
      </c>
      <c r="AI152" s="875">
        <f ca="1">+AI151/AD151-1</f>
        <v>0.29470163703573315</v>
      </c>
      <c r="AJ152" s="875">
        <f ca="1">+AJ151/AE151-1</f>
        <v>0.1641309052168991</v>
      </c>
      <c r="AK152" s="875">
        <f ca="1">+AK151/AF151-1</f>
        <v>0.44282707821816913</v>
      </c>
      <c r="AL152" s="875">
        <f ca="1">+AL151/AG151-1</f>
        <v>0.55038456524573065</v>
      </c>
      <c r="AM152" s="862">
        <f ca="1">AM151/AH151-1</f>
        <v>0.36395321160189065</v>
      </c>
      <c r="AN152" s="875">
        <f ca="1">+AN151/AI151-1</f>
        <v>0.40923428322819233</v>
      </c>
      <c r="AO152" s="875">
        <f ca="1">+AO151/AJ151-1</f>
        <v>1.0171018388766551</v>
      </c>
      <c r="AP152" s="875">
        <f ca="1">+AP151/AK151-1</f>
        <v>0.81179044609213569</v>
      </c>
      <c r="AQ152" s="875">
        <f ca="1">+AQ151/AL151-1</f>
        <v>0.37343395274531233</v>
      </c>
      <c r="AR152" s="862">
        <f ca="1">AR151/AM151-1</f>
        <v>0.63429728887503889</v>
      </c>
      <c r="AS152" s="875">
        <f ca="1">+AS151/AN151-1</f>
        <v>0.29396441940338836</v>
      </c>
      <c r="AT152" s="875">
        <f ca="1">+AT151/AN151-1</f>
        <v>0.51601512754216028</v>
      </c>
      <c r="AU152" s="875">
        <f ca="1">+AU151/AO151-1</f>
        <v>0.14896784438269162</v>
      </c>
      <c r="AV152" s="875">
        <f ca="1">+AV151/AQ151-1</f>
        <v>-6.1205748656963155E-2</v>
      </c>
      <c r="AW152" s="862">
        <f ca="1">AW151/AR151-1</f>
        <v>9.8328521906926536E-2</v>
      </c>
      <c r="AX152" s="875">
        <f ca="1">+AX151/AS151-1</f>
        <v>-0.20511176391643426</v>
      </c>
      <c r="AY152" s="875">
        <f ca="1">+AY151/AT151-1</f>
        <v>-0.1306367651363769</v>
      </c>
      <c r="AZ152" s="266"/>
      <c r="BA152" s="851"/>
      <c r="BB152" s="851"/>
      <c r="BC152" s="851"/>
      <c r="BD152" s="851"/>
      <c r="BE152" s="851"/>
      <c r="BF152" s="851"/>
      <c r="BG152" s="851"/>
      <c r="BH152" s="851"/>
      <c r="BK152" s="851"/>
      <c r="BL152" s="851"/>
      <c r="BM152" s="851"/>
      <c r="BN152" s="851"/>
      <c r="BO152" s="851"/>
      <c r="BP152" s="851"/>
      <c r="BQ152" s="851"/>
      <c r="BR152" s="851"/>
      <c r="BS152" s="851"/>
      <c r="BT152" s="851"/>
      <c r="BU152" s="851"/>
      <c r="BV152" s="851"/>
      <c r="BW152" s="851"/>
      <c r="BX152" s="851"/>
      <c r="BY152" s="851"/>
      <c r="BZ152" s="851"/>
      <c r="CA152" s="851"/>
      <c r="CB152" s="851"/>
      <c r="CC152" s="851"/>
      <c r="CD152" s="851"/>
      <c r="CE152" s="851"/>
      <c r="CF152" s="851"/>
      <c r="CG152" s="851"/>
      <c r="CH152" s="851"/>
      <c r="CI152" s="851"/>
      <c r="CJ152" s="851"/>
    </row>
    <row r="153" spans="1:88" ht="13.5" customHeight="1" x14ac:dyDescent="0.2">
      <c r="A153" s="1" t="s">
        <v>242</v>
      </c>
      <c r="B153" s="1" t="s">
        <v>696</v>
      </c>
      <c r="D153" s="879" t="str">
        <f>IF([1]RENAME!$H$3=1,B153,A153)</f>
        <v>Custo dos serviços prestados</v>
      </c>
      <c r="E153" s="38" t="s">
        <v>160</v>
      </c>
      <c r="F153" s="38" t="s">
        <v>160</v>
      </c>
      <c r="G153" s="38" t="s">
        <v>160</v>
      </c>
      <c r="H153" s="38" t="s">
        <v>160</v>
      </c>
      <c r="I153" s="878" t="s">
        <v>160</v>
      </c>
      <c r="J153" s="857">
        <f ca="1">+SUMIFS(INDIRECT(CONCATENATE("'",$AZ153,$BA153,":",$BB153)),INDIRECT(CONCATENATE("'",$AZ153,$BA$150,":",$BB$150)),J$92)</f>
        <v>-6795</v>
      </c>
      <c r="K153" s="857">
        <f ca="1">+SUMIFS(INDIRECT(CONCATENATE("'",$AZ153,$BA153,":",$BB153)),INDIRECT(CONCATENATE("'",$AZ153,$BA$150,":",$BB$150)),K$92)</f>
        <v>-11749</v>
      </c>
      <c r="L153" s="857">
        <f ca="1">+SUMIFS(INDIRECT(CONCATENATE("'",$AZ153,$BA153,":",$BB153)),INDIRECT(CONCATENATE("'",$AZ153,$BA$150,":",$BB$150)),L$92)</f>
        <v>-12648</v>
      </c>
      <c r="M153" s="857">
        <f ca="1">+SUMIFS(INDIRECT(CONCATENATE("'",$AZ153,$BA153,":",$BB153)),INDIRECT(CONCATENATE("'",$AZ153,$BA$150,":",$BB$150)),M$92)</f>
        <v>-14715</v>
      </c>
      <c r="N153" s="877">
        <f ca="1">+SUM(J153:M153)</f>
        <v>-45907</v>
      </c>
      <c r="O153" s="857">
        <f ca="1">+SUMIFS(INDIRECT(CONCATENATE("'",$AZ153,$BA153,":",$BB153)),INDIRECT(CONCATENATE("'",$AZ153,$BA$150,":",$BB$150)),O$92)</f>
        <v>-14812</v>
      </c>
      <c r="P153" s="857">
        <f ca="1">+SUMIFS(INDIRECT(CONCATENATE("'",$AZ153,$BA153,":",$BB153)),INDIRECT(CONCATENATE("'",$AZ153,$BA$150,":",$BB$150)),P$92)</f>
        <v>-14546</v>
      </c>
      <c r="Q153" s="857">
        <f ca="1">+SUMIFS(INDIRECT(CONCATENATE("'",$AZ153,$BA153,":",$BB153)),INDIRECT(CONCATENATE("'",$AZ153,$BA$150,":",$BB$150)),Q$92)</f>
        <v>-16155.160750000003</v>
      </c>
      <c r="R153" s="857">
        <f ca="1">+SUMIFS(INDIRECT(CONCATENATE("'",$AZ153,$BA153,":",$BB153)),INDIRECT(CONCATENATE("'",$AZ153,$BA$150,":",$BB$150)),R$92)</f>
        <v>-11746.839249999997</v>
      </c>
      <c r="S153" s="877">
        <f ca="1">+SUM(O153:R153)</f>
        <v>-57260</v>
      </c>
      <c r="T153" s="857">
        <f ca="1">+SUMIFS(INDIRECT(CONCATENATE("'",$AZ153,$BA153,":",$BB153)),INDIRECT(CONCATENATE("'",$AZ153,$BA$150,":",$BB$150)),T$92)</f>
        <v>-14649</v>
      </c>
      <c r="U153" s="857">
        <f ca="1">+SUMIFS(INDIRECT(CONCATENATE("'",$AZ153,$BA153,":",$BB153)),INDIRECT(CONCATENATE("'",$AZ153,$BA$150,":",$BB$150)),U$92)</f>
        <v>-11342</v>
      </c>
      <c r="V153" s="857">
        <f ca="1">+SUMIFS(INDIRECT(CONCATENATE("'",$AZ153,$BA153,":",$BB153)),INDIRECT(CONCATENATE("'",$AZ153,$BA$150,":",$BB$150)),V$92)</f>
        <v>-11562</v>
      </c>
      <c r="W153" s="857">
        <f ca="1">+SUMIFS(INDIRECT(CONCATENATE("'",$AZ153,$BA153,":",$BB153)),INDIRECT(CONCATENATE("'",$AZ153,$BA$150,":",$BB$150)),W$92)</f>
        <v>-14333</v>
      </c>
      <c r="X153" s="877">
        <f ca="1">+SUM(T153:W153)</f>
        <v>-51886</v>
      </c>
      <c r="Y153" s="857">
        <f ca="1">+SUMIFS(INDIRECT(CONCATENATE("'",$AZ153,$BA153,":",$BB153)),INDIRECT(CONCATENATE("'",$AZ153,$BA$150,":",$BB$150)),Y$92)</f>
        <v>-13958</v>
      </c>
      <c r="Z153" s="857">
        <f ca="1">+SUMIFS(INDIRECT(CONCATENATE("'",$AZ153,$BA153,":",$BB153)),INDIRECT(CONCATENATE("'",$AZ153,$BA$150,":",$BB$150)),Z$92)</f>
        <v>-15910</v>
      </c>
      <c r="AA153" s="857">
        <f ca="1">+SUMIFS(INDIRECT(CONCATENATE("'",$AZ153,$BA153,":",$BB153)),INDIRECT(CONCATENATE("'",$AZ153,$BA$150,":",$BB$150)),AA$92)</f>
        <v>-16933</v>
      </c>
      <c r="AB153" s="857">
        <f ca="1">+SUMIFS(INDIRECT(CONCATENATE("'",$AZ153,$BA153,":",$BB153)),INDIRECT(CONCATENATE("'",$AZ153,$BA$150,":",$BB$150)),AB$92)</f>
        <v>-19224</v>
      </c>
      <c r="AC153" s="877">
        <f ca="1">+SUM(Y153:AB153)</f>
        <v>-66025</v>
      </c>
      <c r="AD153" s="857">
        <f ca="1">+SUMIFS(INDIRECT(CONCATENATE("'",$AZ153,$BA153,":",$BB153)),INDIRECT(CONCATENATE("'",$AZ153,$BA$150,":",$BB$150)),AD$92)</f>
        <v>-17789</v>
      </c>
      <c r="AE153" s="857">
        <f ca="1">+SUMIFS(INDIRECT(CONCATENATE("'",$AZ153,$BA153,":",$BB153)),INDIRECT(CONCATENATE("'",$AZ153,$BA$150,":",$BB$150)),AE$92)</f>
        <v>-19063</v>
      </c>
      <c r="AF153" s="857">
        <f ca="1">+SUMIFS(INDIRECT(CONCATENATE("'",$AZ153,$BA153,":",$BB153)),INDIRECT(CONCATENATE("'",$AZ153,$BA$150,":",$BB$150)),AF$92)</f>
        <v>-19201</v>
      </c>
      <c r="AG153" s="857">
        <f ca="1">+SUMIFS(INDIRECT(CONCATENATE("'",$AZ153,$BA153,":",$BB153)),INDIRECT(CONCATENATE("'",$AZ153,$BA$150,":",$BB$150)),AG$92)</f>
        <v>-20665</v>
      </c>
      <c r="AH153" s="877">
        <f ca="1">+SUM(AD153:AG153)</f>
        <v>-76718</v>
      </c>
      <c r="AI153" s="857">
        <f ca="1">+SUMIFS(INDIRECT(CONCATENATE("'",$AZ153,$BA153,":",$BB153)),INDIRECT(CONCATENATE("'",$AZ153,$BA$150,":",$BB$150)),AI$92)</f>
        <v>-22330</v>
      </c>
      <c r="AJ153" s="857">
        <f ca="1">+SUMIFS(INDIRECT(CONCATENATE("'",$AZ153,$BA153,":",$BB153)),INDIRECT(CONCATENATE("'",$AZ153,$BA$150,":",$BB$150)),AJ$92)</f>
        <v>-21422</v>
      </c>
      <c r="AK153" s="857">
        <f ca="1">+SUMIFS(INDIRECT(CONCATENATE("'",$AZ153,$BA153,":",$BB153)),INDIRECT(CONCATENATE("'",$AZ153,$BA$150,":",$BB$150)),AK$92)</f>
        <v>-22724</v>
      </c>
      <c r="AL153" s="857">
        <f ca="1">+SUMIFS(INDIRECT(CONCATENATE("'",$AZ153,$BA153,":",$BB153)),INDIRECT(CONCATENATE("'",$AZ153,$BA$150,":",$BB$150)),AL$92)</f>
        <v>-32486</v>
      </c>
      <c r="AM153" s="877">
        <f ca="1">+SUM(AI153:AL153)</f>
        <v>-98962</v>
      </c>
      <c r="AN153" s="857">
        <f ca="1">+SUMIFS(INDIRECT(CONCATENATE("'",$AZ153,$BA153,":",$BB153)),INDIRECT(CONCATENATE("'",$AZ153,$BA$150,":",$BB$150)),AN$92)</f>
        <v>-29352</v>
      </c>
      <c r="AO153" s="857">
        <f ca="1">+SUMIFS(INDIRECT(CONCATENATE("'",$AZ153,$BA153,":",$BB153)),INDIRECT(CONCATENATE("'",$AZ153,$BA$150,":",$BB$150)),AO$92)</f>
        <v>-38343</v>
      </c>
      <c r="AP153" s="857">
        <f ca="1">+SUMIFS(INDIRECT(CONCATENATE("'",$AZ153,$BA153,":",$BB153)),INDIRECT(CONCATENATE("'",$AZ153,$BA$150,":",$BB$150)),AP$92)</f>
        <v>-47138</v>
      </c>
      <c r="AQ153" s="857">
        <f ca="1">+SUMIFS(INDIRECT(CONCATENATE("'",$AZ153,$BA153,":",$BB153)),INDIRECT(CONCATENATE("'",$AZ153,$BA$150,":",$BB$150)),AQ$92)</f>
        <v>-42628</v>
      </c>
      <c r="AR153" s="877">
        <f ca="1">+SUM(AN153:AQ153)</f>
        <v>-157461</v>
      </c>
      <c r="AS153" s="857">
        <f ca="1">+SUMIFS(INDIRECT(CONCATENATE("'",$AZ153,$BA153,":",$BB153)),INDIRECT(CONCATENATE("'",$AZ153,$BA$150,":",$BB$150)),AS$92)</f>
        <v>-42273</v>
      </c>
      <c r="AT153" s="857">
        <f ca="1">+SUMIFS(INDIRECT(CONCATENATE("'",$AZ153,$BA153,":",$BB153)),INDIRECT(CONCATENATE("'",$AZ153,$BA$150,":",$BB$150)),AT$92)</f>
        <v>-45875</v>
      </c>
      <c r="AU153" s="857">
        <f ca="1">+SUMIFS(INDIRECT(CONCATENATE("'",$AZ153,$BA153,":",$BB153)),INDIRECT(CONCATENATE("'",$AZ153,$BA$150,":",$BB$150)),AU$92)</f>
        <v>-52355</v>
      </c>
      <c r="AV153" s="857">
        <f ca="1">+SUMIFS(INDIRECT(CONCATENATE("'",$AZ153,$BA153,":",$BB153)),INDIRECT(CONCATENATE("'",$AZ153,$BA$150,":",$BB$150)),AV$92)</f>
        <v>-45657</v>
      </c>
      <c r="AW153" s="877">
        <f ca="1">+SUM(AS153:AV153)</f>
        <v>-186160</v>
      </c>
      <c r="AX153" s="857">
        <f ca="1">+SUMIFS(INDIRECT(CONCATENATE("'",$AZ153,$BA153,":",$BB153)),INDIRECT(CONCATENATE("'",$AZ153,$BA$150,":",$BB$150)),AX$92)</f>
        <v>-43509</v>
      </c>
      <c r="AY153" s="857">
        <f ca="1">+SUMIFS(INDIRECT(CONCATENATE("'",$AZ153,$BA153,":",$BB153)),INDIRECT(CONCATENATE("'",$AZ153,$BA$150,":",$BB$150)),AY$92)</f>
        <v>-45526</v>
      </c>
      <c r="AZ153" s="266" t="str">
        <f>IF([1]RENAME!$H$3=0,BE153,BD153)</f>
        <v>Investimentos F'!</v>
      </c>
      <c r="BA153" s="1170" t="s">
        <v>2121</v>
      </c>
      <c r="BB153" s="1170" t="s">
        <v>2121</v>
      </c>
      <c r="BC153" s="1170"/>
      <c r="BD153" s="1170" t="s">
        <v>1690</v>
      </c>
      <c r="BE153" s="1170" t="s">
        <v>1689</v>
      </c>
      <c r="BF153" s="1170"/>
      <c r="BG153" s="1170" t="s">
        <v>1690</v>
      </c>
      <c r="BH153" s="1170" t="s">
        <v>1689</v>
      </c>
      <c r="BN153" s="266"/>
      <c r="BO153" s="266"/>
      <c r="BP153" s="266"/>
      <c r="BQ153" s="266"/>
      <c r="BR153" s="266"/>
      <c r="BS153" s="266"/>
      <c r="BT153" s="266"/>
      <c r="BU153" s="266"/>
      <c r="BV153" s="266"/>
      <c r="BW153" s="266"/>
      <c r="BX153" s="266"/>
      <c r="BY153" s="266"/>
      <c r="BZ153" s="266"/>
      <c r="CA153" s="266"/>
      <c r="CB153" s="266"/>
      <c r="CC153" s="266"/>
      <c r="CD153" s="266"/>
      <c r="CE153" s="266"/>
      <c r="CF153" s="266"/>
      <c r="CG153" s="266"/>
      <c r="CH153" s="266"/>
      <c r="CI153" s="266"/>
      <c r="CJ153" s="266"/>
    </row>
    <row r="154" spans="1:88" s="850" customFormat="1" ht="13.5" customHeight="1" x14ac:dyDescent="0.2">
      <c r="A154" s="850" t="s">
        <v>1695</v>
      </c>
      <c r="B154" s="856" t="s">
        <v>1698</v>
      </c>
      <c r="C154" s="855"/>
      <c r="D154" s="861" t="str">
        <f>IF([1]RENAME!$H$3=1,B154,A154)</f>
        <v>% Receita bruta</v>
      </c>
      <c r="E154" s="38" t="s">
        <v>160</v>
      </c>
      <c r="F154" s="38" t="s">
        <v>160</v>
      </c>
      <c r="G154" s="38" t="s">
        <v>160</v>
      </c>
      <c r="H154" s="38" t="s">
        <v>160</v>
      </c>
      <c r="I154" s="876" t="s">
        <v>160</v>
      </c>
      <c r="J154" s="875">
        <f t="shared" ref="J154:U154" ca="1" si="189">+J153/J151</f>
        <v>-0.94677441828061859</v>
      </c>
      <c r="K154" s="875">
        <f t="shared" ca="1" si="189"/>
        <v>-0.92650421891018053</v>
      </c>
      <c r="L154" s="875">
        <f t="shared" ca="1" si="189"/>
        <v>-0.84914400805639478</v>
      </c>
      <c r="M154" s="875">
        <f t="shared" ca="1" si="189"/>
        <v>-0.84700397168019337</v>
      </c>
      <c r="N154" s="862">
        <f t="shared" ca="1" si="189"/>
        <v>-0.88069293634654489</v>
      </c>
      <c r="O154" s="875">
        <f t="shared" ca="1" si="189"/>
        <v>-0.94416114227434977</v>
      </c>
      <c r="P154" s="875">
        <f t="shared" ca="1" si="189"/>
        <v>-0.89246929184101709</v>
      </c>
      <c r="Q154" s="875">
        <f t="shared" ca="1" si="189"/>
        <v>-0.8328041522613151</v>
      </c>
      <c r="R154" s="875">
        <f t="shared" ca="1" si="189"/>
        <v>-0.57715832958043023</v>
      </c>
      <c r="S154" s="862">
        <f t="shared" ca="1" si="189"/>
        <v>-0.79818227438735401</v>
      </c>
      <c r="T154" s="875">
        <f t="shared" ca="1" si="189"/>
        <v>-0.79770202570246129</v>
      </c>
      <c r="U154" s="875">
        <f t="shared" ca="1" si="189"/>
        <v>-0.58901121728292483</v>
      </c>
      <c r="V154" s="875">
        <f t="shared" ref="V154:AA154" ca="1" si="190">+V153/V151</f>
        <v>-0.60375979112271538</v>
      </c>
      <c r="W154" s="875">
        <f t="shared" ca="1" si="190"/>
        <v>-0.86882463478208161</v>
      </c>
      <c r="X154" s="862">
        <f t="shared" ca="1" si="190"/>
        <v>-0.70817694187014613</v>
      </c>
      <c r="Y154" s="875">
        <f t="shared" ca="1" si="190"/>
        <v>-0.8102867758040172</v>
      </c>
      <c r="Z154" s="875">
        <f t="shared" ca="1" si="190"/>
        <v>-0.66775791152522457</v>
      </c>
      <c r="AA154" s="875">
        <f t="shared" ca="1" si="190"/>
        <v>-0.72552380136252625</v>
      </c>
      <c r="AB154" s="875">
        <f t="shared" ref="AB154:AH154" ca="1" si="191">+AB153/AB151</f>
        <v>-0.71236937671385159</v>
      </c>
      <c r="AC154" s="862">
        <f t="shared" ca="1" si="191"/>
        <v>-0.72255600424614508</v>
      </c>
      <c r="AD154" s="875">
        <f t="shared" ca="1" si="191"/>
        <v>-0.62626298186938922</v>
      </c>
      <c r="AE154" s="875">
        <f t="shared" ca="1" si="191"/>
        <v>-0.63465059759629794</v>
      </c>
      <c r="AF154" s="875">
        <f t="shared" ca="1" si="191"/>
        <v>-0.673482988425114</v>
      </c>
      <c r="AG154" s="875">
        <f t="shared" ca="1" si="191"/>
        <v>-0.67347803415460827</v>
      </c>
      <c r="AH154" s="862">
        <f t="shared" ca="1" si="191"/>
        <v>-0.65216430344452381</v>
      </c>
      <c r="AI154" s="875">
        <f t="shared" ref="AI154:AO154" ca="1" si="192">+AI153/AI151</f>
        <v>-0.60718947139438761</v>
      </c>
      <c r="AJ154" s="875">
        <f t="shared" ca="1" si="192"/>
        <v>-0.61263476992593013</v>
      </c>
      <c r="AK154" s="875">
        <f t="shared" ca="1" si="192"/>
        <v>-0.55242494226327943</v>
      </c>
      <c r="AL154" s="875">
        <f t="shared" ca="1" si="192"/>
        <v>-0.68288068611788444</v>
      </c>
      <c r="AM154" s="862">
        <f t="shared" ca="1" si="192"/>
        <v>-0.61677781240261764</v>
      </c>
      <c r="AN154" s="875">
        <f t="shared" ca="1" si="192"/>
        <v>-0.56635665496083043</v>
      </c>
      <c r="AO154" s="875">
        <f t="shared" ca="1" si="192"/>
        <v>-0.54362558838541375</v>
      </c>
      <c r="AP154" s="875">
        <f t="shared" ref="AP154:AX154" ca="1" si="193">+AP153/AP151</f>
        <v>-0.63248711893516529</v>
      </c>
      <c r="AQ154" s="875">
        <f t="shared" ca="1" si="193"/>
        <v>-0.65243277163016367</v>
      </c>
      <c r="AR154" s="862">
        <f t="shared" ca="1" si="193"/>
        <v>-0.60048508330695627</v>
      </c>
      <c r="AS154" s="875">
        <f t="shared" ca="1" si="193"/>
        <v>-0.63036638284546909</v>
      </c>
      <c r="AT154" s="875">
        <f t="shared" ca="1" si="193"/>
        <v>-0.58388168361567538</v>
      </c>
      <c r="AU154" s="875">
        <f t="shared" ca="1" si="193"/>
        <v>-0.64604696504152326</v>
      </c>
      <c r="AV154" s="875">
        <f t="shared" ca="1" si="193"/>
        <v>-0.74435097329551014</v>
      </c>
      <c r="AW154" s="862">
        <f t="shared" ca="1" si="193"/>
        <v>-0.646373178429691</v>
      </c>
      <c r="AX154" s="875">
        <f t="shared" ca="1" si="193"/>
        <v>-0.81621205868007352</v>
      </c>
      <c r="AY154" s="875">
        <f ca="1">+AY153/AY151</f>
        <v>-0.66651050435546444</v>
      </c>
      <c r="AZ154" s="851"/>
      <c r="BA154" s="851"/>
      <c r="BB154" s="851"/>
      <c r="BC154" s="851"/>
      <c r="BD154" s="851"/>
      <c r="BE154" s="851"/>
      <c r="BF154" s="851"/>
      <c r="BG154" s="851"/>
      <c r="BH154" s="851"/>
      <c r="BK154" s="851"/>
      <c r="BL154" s="851"/>
      <c r="BM154" s="851"/>
      <c r="BN154" s="851"/>
      <c r="BO154" s="851"/>
      <c r="BP154" s="851"/>
      <c r="BQ154" s="851"/>
      <c r="BR154" s="851"/>
      <c r="BS154" s="851"/>
      <c r="BT154" s="851"/>
      <c r="BU154" s="851"/>
      <c r="BV154" s="851"/>
      <c r="BW154" s="851"/>
      <c r="BX154" s="851"/>
      <c r="BY154" s="851"/>
      <c r="BZ154" s="851"/>
      <c r="CA154" s="851"/>
      <c r="CB154" s="851"/>
      <c r="CC154" s="851"/>
      <c r="CD154" s="851"/>
      <c r="CE154" s="851"/>
      <c r="CF154" s="851"/>
      <c r="CG154" s="851"/>
      <c r="CH154" s="851"/>
      <c r="CI154" s="851"/>
      <c r="CJ154" s="851"/>
    </row>
    <row r="155" spans="1:88" ht="13.5" customHeight="1" x14ac:dyDescent="0.2">
      <c r="A155" s="1" t="s">
        <v>1697</v>
      </c>
      <c r="B155" s="1" t="s">
        <v>1696</v>
      </c>
      <c r="D155" s="879" t="str">
        <f>IF([1]RENAME!$H$3=1,B155,A155)</f>
        <v>Despesas e resultado financeiro</v>
      </c>
      <c r="E155" s="38" t="s">
        <v>160</v>
      </c>
      <c r="F155" s="38" t="s">
        <v>160</v>
      </c>
      <c r="G155" s="38" t="s">
        <v>160</v>
      </c>
      <c r="H155" s="38" t="s">
        <v>160</v>
      </c>
      <c r="I155" s="878" t="s">
        <v>160</v>
      </c>
      <c r="J155" s="857">
        <f ca="1">+SUMIFS(INDIRECT(CONCATENATE("'",$AZ155,$BA155,":",$BB155)),INDIRECT(CONCATENATE("'",$AZ155,$BA$150,":",$BB$150)),J$92)+SUMIFS(INDIRECT(CONCATENATE("'",$AZ155,$BC155,":",$BD155)),INDIRECT(CONCATENATE("'",$AZ155,$BA$150,":",$BB$150)),J$92)+SUMIFS(INDIRECT(CONCATENATE("'",$AZ155,$BE155,":",$BF155)),INDIRECT(CONCATENATE("'",$AZ155,$BA$150,":",$BB$150)),J$92)</f>
        <v>-1493</v>
      </c>
      <c r="K155" s="857">
        <f ca="1">+SUMIFS(INDIRECT(CONCATENATE("'",$AZ155,$BA155,":",$BB155)),INDIRECT(CONCATENATE("'",$AZ155,$BA$150,":",$BB$150)),K$92)+SUMIFS(INDIRECT(CONCATENATE("'",$AZ155,$BC155,":",$BD155)),INDIRECT(CONCATENATE("'",$AZ155,$BA$150,":",$BB$150)),K$92)+SUMIFS(INDIRECT(CONCATENATE("'",$AZ155,$BE155,":",$BF155)),INDIRECT(CONCATENATE("'",$AZ155,$BA$150,":",$BB$150)),K$92)</f>
        <v>-1693</v>
      </c>
      <c r="L155" s="857">
        <f ca="1">+SUMIFS(INDIRECT(CONCATENATE("'",$AZ155,$BA155,":",$BB155)),INDIRECT(CONCATENATE("'",$AZ155,$BA$150,":",$BB$150)),L$92)+SUMIFS(INDIRECT(CONCATENATE("'",$AZ155,$BC155,":",$BD155)),INDIRECT(CONCATENATE("'",$AZ155,$BA$150,":",$BB$150)),L$92)+SUMIFS(INDIRECT(CONCATENATE("'",$AZ155,$BE155,":",$BF155)),INDIRECT(CONCATENATE("'",$AZ155,$BA$150,":",$BB$150)),L$92)</f>
        <v>-1447</v>
      </c>
      <c r="M155" s="857">
        <f ca="1">+SUMIFS(INDIRECT(CONCATENATE("'",$AZ155,$BA155,":",$BB155)),INDIRECT(CONCATENATE("'",$AZ155,$BA$150,":",$BB$150)),M$92)+SUMIFS(INDIRECT(CONCATENATE("'",$AZ155,$BC155,":",$BD155)),INDIRECT(CONCATENATE("'",$AZ155,$BA$150,":",$BB$150)),M$92)+SUMIFS(INDIRECT(CONCATENATE("'",$AZ155,$BE155,":",$BF155)),INDIRECT(CONCATENATE("'",$AZ155,$BA$150,":",$BB$150)),M$92)</f>
        <v>-1394</v>
      </c>
      <c r="N155" s="877">
        <f ca="1">+SUM(J155:M155)</f>
        <v>-6027</v>
      </c>
      <c r="O155" s="857">
        <f ca="1">+SUMIFS(INDIRECT(CONCATENATE("'",$AZ155,$BA155,":",$BB155)),INDIRECT(CONCATENATE("'",$AZ155,$BA$150,":",$BB$150)),O$92)+SUMIFS(INDIRECT(CONCATENATE("'",$AZ155,$BC155,":",$BD155)),INDIRECT(CONCATENATE("'",$AZ155,$BA$150,":",$BB$150)),O$92)+SUMIFS(INDIRECT(CONCATENATE("'",$AZ155,$BE155,":",$BF155)),INDIRECT(CONCATENATE("'",$AZ155,$BA$150,":",$BB$150)),O$92)</f>
        <v>-2079</v>
      </c>
      <c r="P155" s="857">
        <f ca="1">+SUMIFS(INDIRECT(CONCATENATE("'",$AZ155,$BA155,":",$BB155)),INDIRECT(CONCATENATE("'",$AZ155,$BA$150,":",$BB$150)),P$92)+SUMIFS(INDIRECT(CONCATENATE("'",$AZ155,$BC155,":",$BD155)),INDIRECT(CONCATENATE("'",$AZ155,$BA$150,":",$BB$150)),P$92)+SUMIFS(INDIRECT(CONCATENATE("'",$AZ155,$BE155,":",$BF155)),INDIRECT(CONCATENATE("'",$AZ155,$BA$150,":",$BB$150)),P$92)</f>
        <v>-185</v>
      </c>
      <c r="Q155" s="857">
        <f ca="1">+SUMIFS(INDIRECT(CONCATENATE("'",$AZ155,$BA155,":",$BB155)),INDIRECT(CONCATENATE("'",$AZ155,$BA$150,":",$BB$150)),Q$92)+SUMIFS(INDIRECT(CONCATENATE("'",$AZ155,$BC155,":",$BD155)),INDIRECT(CONCATENATE("'",$AZ155,$BA$150,":",$BB$150)),Q$92)+SUMIFS(INDIRECT(CONCATENATE("'",$AZ155,$BE155,":",$BF155)),INDIRECT(CONCATENATE("'",$AZ155,$BA$150,":",$BB$150)),Q$92)</f>
        <v>-718.71884479000073</v>
      </c>
      <c r="R155" s="857">
        <f ca="1">+SUMIFS(INDIRECT(CONCATENATE("'",$AZ155,$BA155,":",$BB155)),INDIRECT(CONCATENATE("'",$AZ155,$BA$150,":",$BB$150)),R$92)+SUMIFS(INDIRECT(CONCATENATE("'",$AZ155,$BC155,":",$BD155)),INDIRECT(CONCATENATE("'",$AZ155,$BA$150,":",$BB$150)),R$92)+SUMIFS(INDIRECT(CONCATENATE("'",$AZ155,$BE155,":",$BF155)),INDIRECT(CONCATENATE("'",$AZ155,$BA$150,":",$BB$150)),R$92)</f>
        <v>-1475.2811552099993</v>
      </c>
      <c r="S155" s="877">
        <f ca="1">+SUM(O155:R155)</f>
        <v>-4458</v>
      </c>
      <c r="T155" s="857">
        <f ca="1">+SUMIFS(INDIRECT(CONCATENATE("'",$AZ155,$BA155,":",$BB155)),INDIRECT(CONCATENATE("'",$AZ155,$BA$150,":",$BB$150)),T$92)+SUMIFS(INDIRECT(CONCATENATE("'",$AZ155,$BC155,":",$BD155)),INDIRECT(CONCATENATE("'",$AZ155,$BA$150,":",$BB$150)),T$92)+SUMIFS(INDIRECT(CONCATENATE("'",$AZ155,$BE155,":",$BF155)),INDIRECT(CONCATENATE("'",$AZ155,$BA$150,":",$BB$150)),T$92)</f>
        <v>719</v>
      </c>
      <c r="U155" s="857">
        <f ca="1">+SUMIFS(INDIRECT(CONCATENATE("'",$AZ155,$BA155,":",$BB155)),INDIRECT(CONCATENATE("'",$AZ155,$BA$150,":",$BB$150)),U$92)+SUMIFS(INDIRECT(CONCATENATE("'",$AZ155,$BC155,":",$BD155)),INDIRECT(CONCATENATE("'",$AZ155,$BA$150,":",$BB$150)),U$92)+SUMIFS(INDIRECT(CONCATENATE("'",$AZ155,$BE155,":",$BF155)),INDIRECT(CONCATENATE("'",$AZ155,$BA$150,":",$BB$150)),U$92)</f>
        <v>-470</v>
      </c>
      <c r="V155" s="857">
        <f ca="1">+SUMIFS(INDIRECT(CONCATENATE("'",$AZ155,$BA155,":",$BB155)),INDIRECT(CONCATENATE("'",$AZ155,$BA$150,":",$BB$150)),V$92)+SUMIFS(INDIRECT(CONCATENATE("'",$AZ155,$BC155,":",$BD155)),INDIRECT(CONCATENATE("'",$AZ155,$BA$150,":",$BB$150)),V$92)+SUMIFS(INDIRECT(CONCATENATE("'",$AZ155,$BE155,":",$BF155)),INDIRECT(CONCATENATE("'",$AZ155,$BA$150,":",$BB$150)),V$92)</f>
        <v>-584</v>
      </c>
      <c r="W155" s="857">
        <f ca="1">+SUMIFS(INDIRECT(CONCATENATE("'",$AZ155,$BA155,":",$BB155)),INDIRECT(CONCATENATE("'",$AZ155,$BA$150,":",$BB$150)),W$92)+SUMIFS(INDIRECT(CONCATENATE("'",$AZ155,$BC155,":",$BD155)),INDIRECT(CONCATENATE("'",$AZ155,$BA$150,":",$BB$150)),W$92)+SUMIFS(INDIRECT(CONCATENATE("'",$AZ155,$BE155,":",$BF155)),INDIRECT(CONCATENATE("'",$AZ155,$BA$150,":",$BB$150)),W$92)</f>
        <v>-2467</v>
      </c>
      <c r="X155" s="877">
        <f ca="1">+SUM(T155:W155)</f>
        <v>-2802</v>
      </c>
      <c r="Y155" s="857">
        <f ca="1">+SUMIFS(INDIRECT(CONCATENATE("'",$AZ155,$BA155,":",$BB155)),INDIRECT(CONCATENATE("'",$AZ155,$BA$150,":",$BB$150)),Y$92)+SUMIFS(INDIRECT(CONCATENATE("'",$AZ155,$BC155,":",$BD155)),INDIRECT(CONCATENATE("'",$AZ155,$BA$150,":",$BB$150)),Y$92)+SUMIFS(INDIRECT(CONCATENATE("'",$AZ155,$BE155,":",$BF155)),INDIRECT(CONCATENATE("'",$AZ155,$BA$150,":",$BB$150)),Y$92)</f>
        <v>-1344</v>
      </c>
      <c r="Z155" s="857">
        <f ca="1">+SUMIFS(INDIRECT(CONCATENATE("'",$AZ155,$BA155,":",$BB155)),INDIRECT(CONCATENATE("'",$AZ155,$BA$150,":",$BB$150)),Z$92)+SUMIFS(INDIRECT(CONCATENATE("'",$AZ155,$BC155,":",$BD155)),INDIRECT(CONCATENATE("'",$AZ155,$BA$150,":",$BB$150)),Z$92)+SUMIFS(INDIRECT(CONCATENATE("'",$AZ155,$BE155,":",$BF155)),INDIRECT(CONCATENATE("'",$AZ155,$BA$150,":",$BB$150)),Z$92)</f>
        <v>-1423</v>
      </c>
      <c r="AA155" s="857">
        <f ca="1">+SUMIFS(INDIRECT(CONCATENATE("'",$AZ155,$BA155,":",$BB155)),INDIRECT(CONCATENATE("'",$AZ155,$BA$150,":",$BB$150)),AA$92)+SUMIFS(INDIRECT(CONCATENATE("'",$AZ155,$BC155,":",$BD155)),INDIRECT(CONCATENATE("'",$AZ155,$BA$150,":",$BB$150)),AA$92)+SUMIFS(INDIRECT(CONCATENATE("'",$AZ155,$BE155,":",$BF155)),INDIRECT(CONCATENATE("'",$AZ155,$BA$150,":",$BB$150)),AA$92)</f>
        <v>-1306</v>
      </c>
      <c r="AB155" s="857">
        <f ca="1">+SUMIFS(INDIRECT(CONCATENATE("'",$AZ155,$BA155,":",$BB155)),INDIRECT(CONCATENATE("'",$AZ155,$BA$150,":",$BB$150)),AB$92)+SUMIFS(INDIRECT(CONCATENATE("'",$AZ155,$BC155,":",$BD155)),INDIRECT(CONCATENATE("'",$AZ155,$BA$150,":",$BB$150)),AB$92)+SUMIFS(INDIRECT(CONCATENATE("'",$AZ155,$BE155,":",$BF155)),INDIRECT(CONCATENATE("'",$AZ155,$BA$150,":",$BB$150)),AB$92)</f>
        <v>-2714</v>
      </c>
      <c r="AC155" s="877">
        <f ca="1">+SUM(Y155:AB155)</f>
        <v>-6787</v>
      </c>
      <c r="AD155" s="857">
        <f ca="1">+SUMIFS(INDIRECT(CONCATENATE("'",$AZ155,$BA155,":",$BB155)),INDIRECT(CONCATENATE("'",$AZ155,$BA$150,":",$BB$150)),AD$92)+SUMIFS(INDIRECT(CONCATENATE("'",$AZ155,$BC155,":",$BD155)),INDIRECT(CONCATENATE("'",$AZ155,$BA$150,":",$BB$150)),AD$92)+SUMIFS(INDIRECT(CONCATENATE("'",$AZ155,$BE155,":",$BF155)),INDIRECT(CONCATENATE("'",$AZ155,$BA$150,":",$BB$150)),AD$92)</f>
        <v>-1718</v>
      </c>
      <c r="AE155" s="857">
        <f ca="1">+SUMIFS(INDIRECT(CONCATENATE("'",$AZ155,$BA155,":",$BB155)),INDIRECT(CONCATENATE("'",$AZ155,$BA$150,":",$BB$150)),AE$92)+SUMIFS(INDIRECT(CONCATENATE("'",$AZ155,$BC155,":",$BD155)),INDIRECT(CONCATENATE("'",$AZ155,$BA$150,":",$BB$150)),AE$92)+SUMIFS(INDIRECT(CONCATENATE("'",$AZ155,$BE155,":",$BF155)),INDIRECT(CONCATENATE("'",$AZ155,$BA$150,":",$BB$150)),AE$92)</f>
        <v>-1947</v>
      </c>
      <c r="AF155" s="857">
        <f ca="1">+SUMIFS(INDIRECT(CONCATENATE("'",$AZ155,$BA155,":",$BB155)),INDIRECT(CONCATENATE("'",$AZ155,$BA$150,":",$BB$150)),AF$92)+SUMIFS(INDIRECT(CONCATENATE("'",$AZ155,$BC155,":",$BD155)),INDIRECT(CONCATENATE("'",$AZ155,$BA$150,":",$BB$150)),AF$92)+SUMIFS(INDIRECT(CONCATENATE("'",$AZ155,$BE155,":",$BF155)),INDIRECT(CONCATENATE("'",$AZ155,$BA$150,":",$BB$150)),AF$92)</f>
        <v>-2279</v>
      </c>
      <c r="AG155" s="857">
        <f ca="1">+SUMIFS(INDIRECT(CONCATENATE("'",$AZ155,$BA155,":",$BB155)),INDIRECT(CONCATENATE("'",$AZ155,$BA$150,":",$BB$150)),AG$92)+SUMIFS(INDIRECT(CONCATENATE("'",$AZ155,$BC155,":",$BD155)),INDIRECT(CONCATENATE("'",$AZ155,$BA$150,":",$BB$150)),AG$92)+SUMIFS(INDIRECT(CONCATENATE("'",$AZ155,$BE155,":",$BF155)),INDIRECT(CONCATENATE("'",$AZ155,$BA$150,":",$BB$150)),AG$92)</f>
        <v>-2600</v>
      </c>
      <c r="AH155" s="877">
        <f ca="1">+SUM(AD155:AG155)</f>
        <v>-8544</v>
      </c>
      <c r="AI155" s="857">
        <f ca="1">+SUMIFS(INDIRECT(CONCATENATE("'",$AZ155,$BA155,":",$BB155)),INDIRECT(CONCATENATE("'",$AZ155,$BA$150,":",$BB$150)),AI$92)+SUMIFS(INDIRECT(CONCATENATE("'",$AZ155,$BC155,":",$BD155)),INDIRECT(CONCATENATE("'",$AZ155,$BA$150,":",$BB$150)),AI$92)+SUMIFS(INDIRECT(CONCATENATE("'",$AZ155,$BE155,":",$BF155)),INDIRECT(CONCATENATE("'",$AZ155,$BA$150,":",$BB$150)),AI$92)</f>
        <v>-2336</v>
      </c>
      <c r="AJ155" s="857">
        <f ca="1">+SUMIFS(INDIRECT(CONCATENATE("'",$AZ155,$BA155,":",$BB155)),INDIRECT(CONCATENATE("'",$AZ155,$BA$150,":",$BB$150)),AJ$92)+SUMIFS(INDIRECT(CONCATENATE("'",$AZ155,$BC155,":",$BD155)),INDIRECT(CONCATENATE("'",$AZ155,$BA$150,":",$BB$150)),AJ$92)+SUMIFS(INDIRECT(CONCATENATE("'",$AZ155,$BE155,":",$BF155)),INDIRECT(CONCATENATE("'",$AZ155,$BA$150,":",$BB$150)),AJ$92)</f>
        <v>-3367</v>
      </c>
      <c r="AK155" s="857">
        <f ca="1">+SUMIFS(INDIRECT(CONCATENATE("'",$AZ155,$BA155,":",$BB155)),INDIRECT(CONCATENATE("'",$AZ155,$BA$150,":",$BB$150)),AK$92)+SUMIFS(INDIRECT(CONCATENATE("'",$AZ155,$BC155,":",$BD155)),INDIRECT(CONCATENATE("'",$AZ155,$BA$150,":",$BB$150)),AK$92)+SUMIFS(INDIRECT(CONCATENATE("'",$AZ155,$BE155,":",$BF155)),INDIRECT(CONCATENATE("'",$AZ155,$BA$150,":",$BB$150)),AK$92)</f>
        <v>-2772</v>
      </c>
      <c r="AL155" s="857">
        <f ca="1">+SUMIFS(INDIRECT(CONCATENATE("'",$AZ155,$BA155,":",$BB155)),INDIRECT(CONCATENATE("'",$AZ155,$BA$150,":",$BB$150)),AL$92)+SUMIFS(INDIRECT(CONCATENATE("'",$AZ155,$BC155,":",$BD155)),INDIRECT(CONCATENATE("'",$AZ155,$BA$150,":",$BB$150)),AL$92)+SUMIFS(INDIRECT(CONCATENATE("'",$AZ155,$BE155,":",$BF155)),INDIRECT(CONCATENATE("'",$AZ155,$BA$150,":",$BB$150)),AL$92)</f>
        <v>-2691</v>
      </c>
      <c r="AM155" s="877">
        <f ca="1">+SUM(AI155:AL155)</f>
        <v>-11166</v>
      </c>
      <c r="AN155" s="857">
        <f ca="1">+SUMIFS(INDIRECT(CONCATENATE("'",$AZ155,$BA155,":",$BB155)),INDIRECT(CONCATENATE("'",$AZ155,$BA$150,":",$BB$150)),AN$92)+SUMIFS(INDIRECT(CONCATENATE("'",$AZ155,$BC155,":",$BD155)),INDIRECT(CONCATENATE("'",$AZ155,$BA$150,":",$BB$150)),AN$92)+SUMIFS(INDIRECT(CONCATENATE("'",$AZ155,$BE155,":",$BF155)),INDIRECT(CONCATENATE("'",$AZ155,$BA$150,":",$BB$150)),AN$92)</f>
        <v>-2495</v>
      </c>
      <c r="AO155" s="857">
        <f ca="1">+SUMIFS(INDIRECT(CONCATENATE("'",$AZ155,$BA155,":",$BB155)),INDIRECT(CONCATENATE("'",$AZ155,$BA$150,":",$BB$150)),AO$92)+SUMIFS(INDIRECT(CONCATENATE("'",$AZ155,$BC155,":",$BD155)),INDIRECT(CONCATENATE("'",$AZ155,$BA$150,":",$BB$150)),AO$92)+SUMIFS(INDIRECT(CONCATENATE("'",$AZ155,$BE155,":",$BF155)),INDIRECT(CONCATENATE("'",$AZ155,$BA$150,":",$BB$150)),AO$92)</f>
        <v>-2982</v>
      </c>
      <c r="AP155" s="857">
        <f ca="1">+SUMIFS(INDIRECT(CONCATENATE("'",$AZ155,$BA155,":",$BB155)),INDIRECT(CONCATENATE("'",$AZ155,$BA$150,":",$BB$150)),AP$92)+SUMIFS(INDIRECT(CONCATENATE("'",$AZ155,$BC155,":",$BD155)),INDIRECT(CONCATENATE("'",$AZ155,$BA$150,":",$BB$150)),AP$92)+SUMIFS(INDIRECT(CONCATENATE("'",$AZ155,$BE155,":",$BF155)),INDIRECT(CONCATENATE("'",$AZ155,$BA$150,":",$BB$150)),AP$92)</f>
        <v>-3840</v>
      </c>
      <c r="AQ155" s="857">
        <f ca="1">+SUMIFS(INDIRECT(CONCATENATE("'",$AZ155,$BA155,":",$BB155)),INDIRECT(CONCATENATE("'",$AZ155,$BA$150,":",$BB$150)),AQ$92)+SUMIFS(INDIRECT(CONCATENATE("'",$AZ155,$BC155,":",$BD155)),INDIRECT(CONCATENATE("'",$AZ155,$BA$150,":",$BB$150)),AQ$92)+SUMIFS(INDIRECT(CONCATENATE("'",$AZ155,$BE155,":",$BF155)),INDIRECT(CONCATENATE("'",$AZ155,$BA$150,":",$BB$150)),AQ$92)</f>
        <v>-4147</v>
      </c>
      <c r="AR155" s="877">
        <f ca="1">+SUM(AN155:AQ155)</f>
        <v>-13464</v>
      </c>
      <c r="AS155" s="857">
        <f ca="1">+SUMIFS(INDIRECT(CONCATENATE("'",$AZ155,$BA155,":",$BB155)),INDIRECT(CONCATENATE("'",$AZ155,$BA$150,":",$BB$150)),AS$92)+SUMIFS(INDIRECT(CONCATENATE("'",$AZ155,$BC155,":",$BD155)),INDIRECT(CONCATENATE("'",$AZ155,$BA$150,":",$BB$150)),AS$92)+SUMIFS(INDIRECT(CONCATENATE("'",$AZ155,$BE155,":",$BF155)),INDIRECT(CONCATENATE("'",$AZ155,$BA$150,":",$BB$150)),AS$92)</f>
        <v>-3732</v>
      </c>
      <c r="AT155" s="857">
        <f ca="1">+SUMIFS(INDIRECT(CONCATENATE("'",$AZ155,$BA155,":",$BB155)),INDIRECT(CONCATENATE("'",$AZ155,$BA$150,":",$BB$150)),AT$92)+SUMIFS(INDIRECT(CONCATENATE("'",$AZ155,$BC155,":",$BD155)),INDIRECT(CONCATENATE("'",$AZ155,$BA$150,":",$BB$150)),AT$92)+SUMIFS(INDIRECT(CONCATENATE("'",$AZ155,$BE155,":",$BF155)),INDIRECT(CONCATENATE("'",$AZ155,$BA$150,":",$BB$150)),AT$92)</f>
        <v>-3852</v>
      </c>
      <c r="AU155" s="857">
        <f ca="1">+SUMIFS(INDIRECT(CONCATENATE("'",$AZ155,$BA155,":",$BB155)),INDIRECT(CONCATENATE("'",$AZ155,$BA$150,":",$BB$150)),AU$92)+SUMIFS(INDIRECT(CONCATENATE("'",$AZ155,$BC155,":",$BD155)),INDIRECT(CONCATENATE("'",$AZ155,$BA$150,":",$BB$150)),AU$92)+SUMIFS(INDIRECT(CONCATENATE("'",$AZ155,$BE155,":",$BF155)),INDIRECT(CONCATENATE("'",$AZ155,$BA$150,":",$BB$150)),AU$92)</f>
        <v>-4358</v>
      </c>
      <c r="AV155" s="857">
        <f ca="1">+SUMIFS(INDIRECT(CONCATENATE("'",$AZ155,$BA155,":",$BB155)),INDIRECT(CONCATENATE("'",$AZ155,$BA$150,":",$BB$150)),AV$92)+SUMIFS(INDIRECT(CONCATENATE("'",$AZ155,$BC155,":",$BD155)),INDIRECT(CONCATENATE("'",$AZ155,$BA$150,":",$BB$150)),AV$92)+SUMIFS(INDIRECT(CONCATENATE("'",$AZ155,$BE155,":",$BF155)),INDIRECT(CONCATENATE("'",$AZ155,$BA$150,":",$BB$150)),AV$92)</f>
        <v>-4589</v>
      </c>
      <c r="AW155" s="877">
        <f ca="1">+SUM(AS155:AV155)</f>
        <v>-16531</v>
      </c>
      <c r="AX155" s="857">
        <f ca="1">+SUMIFS(INDIRECT(CONCATENATE("'",$AZ155,$BA155,":",$BB155)),INDIRECT(CONCATENATE("'",$AZ155,$BA$150,":",$BB$150)),AX$92)+SUMIFS(INDIRECT(CONCATENATE("'",$AZ155,$BC155,":",$BD155)),INDIRECT(CONCATENATE("'",$AZ155,$BA$150,":",$BB$150)),AX$92)+SUMIFS(INDIRECT(CONCATENATE("'",$AZ155,$BE155,":",$BF155)),INDIRECT(CONCATENATE("'",$AZ155,$BA$150,":",$BB$150)),AX$92)</f>
        <v>-5103</v>
      </c>
      <c r="AY155" s="857">
        <f ca="1">+SUMIFS(INDIRECT(CONCATENATE("'",$AZ155,$BA155,":",$BB155)),INDIRECT(CONCATENATE("'",$AZ155,$BA$150,":",$BB$150)),AY$92)+SUMIFS(INDIRECT(CONCATENATE("'",$AZ155,$BC155,":",$BD155)),INDIRECT(CONCATENATE("'",$AZ155,$BA$150,":",$BB$150)),AY$92)+SUMIFS(INDIRECT(CONCATENATE("'",$AZ155,$BE155,":",$BF155)),INDIRECT(CONCATENATE("'",$AZ155,$BA$150,":",$BB$150)),AY$92)</f>
        <v>-5242</v>
      </c>
      <c r="AZ155" s="266" t="str">
        <f>IF([1]RENAME!$H$3=0,BI155,BG155)</f>
        <v>Investimentos F'!</v>
      </c>
      <c r="BA155" s="1170" t="s">
        <v>2122</v>
      </c>
      <c r="BB155" s="1170" t="s">
        <v>2122</v>
      </c>
      <c r="BC155" s="1170" t="s">
        <v>2123</v>
      </c>
      <c r="BD155" s="1170" t="s">
        <v>2123</v>
      </c>
      <c r="BE155" s="1170" t="s">
        <v>2130</v>
      </c>
      <c r="BF155" s="1170" t="s">
        <v>2130</v>
      </c>
      <c r="BG155" s="1170" t="s">
        <v>1690</v>
      </c>
      <c r="BH155" s="1170" t="s">
        <v>1690</v>
      </c>
      <c r="BI155" s="1170" t="s">
        <v>1689</v>
      </c>
      <c r="BN155" s="266"/>
      <c r="BO155" s="266"/>
      <c r="BP155" s="266"/>
      <c r="BQ155" s="266"/>
      <c r="BR155" s="266"/>
      <c r="BS155" s="266"/>
      <c r="BT155" s="266"/>
      <c r="BU155" s="266"/>
      <c r="BV155" s="266"/>
      <c r="BW155" s="266"/>
      <c r="BX155" s="266"/>
      <c r="BY155" s="266"/>
      <c r="BZ155" s="266"/>
      <c r="CA155" s="266"/>
      <c r="CB155" s="266"/>
      <c r="CC155" s="266"/>
      <c r="CD155" s="266"/>
      <c r="CE155" s="266"/>
      <c r="CF155" s="266"/>
      <c r="CG155" s="266"/>
      <c r="CH155" s="266"/>
      <c r="CI155" s="266"/>
      <c r="CJ155" s="266"/>
    </row>
    <row r="156" spans="1:88" s="850" customFormat="1" ht="13.5" customHeight="1" x14ac:dyDescent="0.2">
      <c r="A156" s="850" t="s">
        <v>1741</v>
      </c>
      <c r="B156" s="856" t="s">
        <v>1740</v>
      </c>
      <c r="C156" s="855"/>
      <c r="D156" s="861" t="str">
        <f>IF([1]RENAME!$H$3=1,B156,A156)</f>
        <v>% Receita líquida</v>
      </c>
      <c r="E156" s="38" t="s">
        <v>160</v>
      </c>
      <c r="F156" s="38" t="s">
        <v>160</v>
      </c>
      <c r="G156" s="38" t="s">
        <v>160</v>
      </c>
      <c r="H156" s="38" t="s">
        <v>160</v>
      </c>
      <c r="I156" s="876" t="s">
        <v>160</v>
      </c>
      <c r="J156" s="875">
        <f t="shared" ref="J156:U156" ca="1" si="194">+J155/J151</f>
        <v>-0.20802563745297478</v>
      </c>
      <c r="K156" s="875">
        <f t="shared" ca="1" si="194"/>
        <v>-0.13350682122860974</v>
      </c>
      <c r="L156" s="875">
        <f t="shared" ca="1" si="194"/>
        <v>-9.7146693521315872E-2</v>
      </c>
      <c r="M156" s="875">
        <f t="shared" ca="1" si="194"/>
        <v>-8.0239452023254471E-2</v>
      </c>
      <c r="N156" s="862">
        <f t="shared" ca="1" si="194"/>
        <v>-0.11562368108045888</v>
      </c>
      <c r="O156" s="875">
        <f t="shared" ca="1" si="194"/>
        <v>-0.13252167261601225</v>
      </c>
      <c r="P156" s="875">
        <f t="shared" ca="1" si="194"/>
        <v>-1.1350668155547102E-2</v>
      </c>
      <c r="Q156" s="875">
        <f t="shared" ca="1" si="194"/>
        <v>-3.7050206278483995E-2</v>
      </c>
      <c r="R156" s="875">
        <f t="shared" ca="1" si="194"/>
        <v>-7.2485099104637088E-2</v>
      </c>
      <c r="S156" s="862">
        <f t="shared" ca="1" si="194"/>
        <v>-6.2142797401656028E-2</v>
      </c>
      <c r="T156" s="875">
        <f t="shared" ca="1" si="194"/>
        <v>3.9152690045741671E-2</v>
      </c>
      <c r="U156" s="875">
        <f t="shared" ca="1" si="194"/>
        <v>-2.4407976734524304E-2</v>
      </c>
      <c r="V156" s="875">
        <f t="shared" ref="V156:AA156" ca="1" si="195">+V155/V151</f>
        <v>-3.0496083550913839E-2</v>
      </c>
      <c r="W156" s="875">
        <f t="shared" ca="1" si="195"/>
        <v>-0.14954234103170275</v>
      </c>
      <c r="X156" s="862">
        <f t="shared" ca="1" si="195"/>
        <v>-3.8243684059672156E-2</v>
      </c>
      <c r="Y156" s="875">
        <f t="shared" ca="1" si="195"/>
        <v>-7.8021595262974572E-2</v>
      </c>
      <c r="Z156" s="875">
        <f t="shared" ca="1" si="195"/>
        <v>-5.9724670527994628E-2</v>
      </c>
      <c r="AA156" s="875">
        <f t="shared" ca="1" si="195"/>
        <v>-5.5957838810574576E-2</v>
      </c>
      <c r="AB156" s="875">
        <f t="shared" ref="AB156:AH156" ca="1" si="196">+AB155/AB151</f>
        <v>-0.10057066627139999</v>
      </c>
      <c r="AC156" s="862">
        <f t="shared" ca="1" si="196"/>
        <v>-7.4274708077524981E-2</v>
      </c>
      <c r="AD156" s="875">
        <f t="shared" ca="1" si="196"/>
        <v>-6.0482309452561167E-2</v>
      </c>
      <c r="AE156" s="875">
        <f t="shared" ca="1" si="196"/>
        <v>-6.4820055265172954E-2</v>
      </c>
      <c r="AF156" s="875">
        <f t="shared" ca="1" si="196"/>
        <v>-7.9936864258155035E-2</v>
      </c>
      <c r="AG156" s="875">
        <f t="shared" ca="1" si="196"/>
        <v>-8.4734715160995955E-2</v>
      </c>
      <c r="AH156" s="862">
        <f t="shared" ca="1" si="196"/>
        <v>-7.2630827297765987E-2</v>
      </c>
      <c r="AI156" s="875">
        <f t="shared" ref="AI156:AO156" ca="1" si="197">+AI155/AI151</f>
        <v>-6.3519686752229715E-2</v>
      </c>
      <c r="AJ156" s="875">
        <f t="shared" ca="1" si="197"/>
        <v>-9.6290788457688681E-2</v>
      </c>
      <c r="AK156" s="875">
        <f t="shared" ca="1" si="197"/>
        <v>-6.7387869211134072E-2</v>
      </c>
      <c r="AL156" s="875">
        <f t="shared" ca="1" si="197"/>
        <v>-5.6566888085428403E-2</v>
      </c>
      <c r="AM156" s="862">
        <f t="shared" ca="1" si="197"/>
        <v>-6.9591773138049234E-2</v>
      </c>
      <c r="AN156" s="875">
        <f t="shared" ca="1" si="197"/>
        <v>-4.8141859298421644E-2</v>
      </c>
      <c r="AO156" s="875">
        <f t="shared" ca="1" si="197"/>
        <v>-4.2278682016673286E-2</v>
      </c>
      <c r="AP156" s="875">
        <f t="shared" ref="AP156:AX156" ca="1" si="198">+AP155/AP151</f>
        <v>-5.1524259338772006E-2</v>
      </c>
      <c r="AQ156" s="875">
        <f t="shared" ca="1" si="198"/>
        <v>-6.3470927652019532E-2</v>
      </c>
      <c r="AR156" s="862">
        <f t="shared" ca="1" si="198"/>
        <v>-5.1345610415562327E-2</v>
      </c>
      <c r="AS156" s="875">
        <f t="shared" ca="1" si="198"/>
        <v>-5.5650825367948582E-2</v>
      </c>
      <c r="AT156" s="875">
        <f t="shared" ca="1" si="198"/>
        <v>-4.9026969924524939E-2</v>
      </c>
      <c r="AU156" s="875">
        <f t="shared" ca="1" si="198"/>
        <v>-5.3776576709979144E-2</v>
      </c>
      <c r="AV156" s="875">
        <f t="shared" ca="1" si="198"/>
        <v>-7.4814959731324793E-2</v>
      </c>
      <c r="AW156" s="862">
        <f t="shared" ca="1" si="198"/>
        <v>-5.7397910467453919E-2</v>
      </c>
      <c r="AX156" s="875">
        <f t="shared" ca="1" si="198"/>
        <v>-9.5730311784789704E-2</v>
      </c>
      <c r="AY156" s="875">
        <f ca="1">+AY155/AY151</f>
        <v>-7.6744015811434016E-2</v>
      </c>
      <c r="AZ156" s="851"/>
      <c r="BA156" s="851"/>
      <c r="BB156" s="851"/>
      <c r="BC156" s="851"/>
      <c r="BD156" s="851"/>
      <c r="BE156" s="851"/>
      <c r="BF156" s="851"/>
      <c r="BG156" s="851"/>
      <c r="BH156" s="851"/>
      <c r="BK156" s="851"/>
      <c r="BL156" s="851"/>
      <c r="BM156" s="851"/>
      <c r="BN156" s="851"/>
      <c r="BO156" s="851"/>
      <c r="BP156" s="851"/>
      <c r="BQ156" s="851"/>
      <c r="BR156" s="851"/>
      <c r="BS156" s="851"/>
      <c r="BT156" s="851"/>
      <c r="BU156" s="851"/>
      <c r="BV156" s="851"/>
      <c r="BW156" s="851"/>
      <c r="BX156" s="851"/>
      <c r="BY156" s="851"/>
      <c r="BZ156" s="851"/>
      <c r="CA156" s="851"/>
      <c r="CB156" s="851"/>
      <c r="CC156" s="851"/>
      <c r="CD156" s="851"/>
      <c r="CE156" s="851"/>
      <c r="CF156" s="851"/>
      <c r="CG156" s="851"/>
      <c r="CH156" s="851"/>
      <c r="CI156" s="851"/>
      <c r="CJ156" s="851"/>
    </row>
    <row r="157" spans="1:88" ht="13.5" customHeight="1" x14ac:dyDescent="0.2">
      <c r="A157" s="1" t="s">
        <v>15</v>
      </c>
      <c r="B157" s="1" t="s">
        <v>1694</v>
      </c>
      <c r="D157" s="879" t="str">
        <f>IF([1]RENAME!$H$3=1,B157,A157)</f>
        <v>Imposto de renda e contribuição social</v>
      </c>
      <c r="E157" s="38" t="s">
        <v>160</v>
      </c>
      <c r="F157" s="38" t="s">
        <v>160</v>
      </c>
      <c r="G157" s="38" t="s">
        <v>160</v>
      </c>
      <c r="H157" s="38" t="s">
        <v>160</v>
      </c>
      <c r="I157" s="878" t="s">
        <v>160</v>
      </c>
      <c r="J157" s="857">
        <f ca="1">+SUMIFS(INDIRECT(CONCATENATE("'",$AZ157,$BA157,":",$BB157)),INDIRECT(CONCATENATE("'",$AZ157,$BA$150,":",$BB$150)),J$92)</f>
        <v>47</v>
      </c>
      <c r="K157" s="857">
        <f ca="1">+SUMIFS(INDIRECT(CONCATENATE("'",$AZ157,$BA157,":",$BB157)),INDIRECT(CONCATENATE("'",$AZ157,$BA$150,":",$BB$150)),K$92)</f>
        <v>285</v>
      </c>
      <c r="L157" s="857">
        <f ca="1">+SUMIFS(INDIRECT(CONCATENATE("'",$AZ157,$BA157,":",$BB157)),INDIRECT(CONCATENATE("'",$AZ157,$BA$150,":",$BB$150)),L$92)</f>
        <v>-270</v>
      </c>
      <c r="M157" s="857">
        <f ca="1">+SUMIFS(INDIRECT(CONCATENATE("'",$AZ157,$BA157,":",$BB157)),INDIRECT(CONCATENATE("'",$AZ157,$BA$150,":",$BB$150)),M$92)</f>
        <v>148</v>
      </c>
      <c r="N157" s="877">
        <f ca="1">+SUM(J157:M157)</f>
        <v>210</v>
      </c>
      <c r="O157" s="857">
        <f ca="1">+SUMIFS(INDIRECT(CONCATENATE("'",$AZ157,$BA157,":",$BB157)),INDIRECT(CONCATENATE("'",$AZ157,$BA$150,":",$BB$150)),O$92)</f>
        <v>343</v>
      </c>
      <c r="P157" s="857">
        <f ca="1">+SUMIFS(INDIRECT(CONCATENATE("'",$AZ157,$BA157,":",$BB157)),INDIRECT(CONCATENATE("'",$AZ157,$BA$150,":",$BB$150)),P$92)</f>
        <v>-522</v>
      </c>
      <c r="Q157" s="857">
        <f ca="1">+SUMIFS(INDIRECT(CONCATENATE("'",$AZ157,$BA157,":",$BB157)),INDIRECT(CONCATENATE("'",$AZ157,$BA$150,":",$BB$150)),Q$92)</f>
        <v>-831.94018637140061</v>
      </c>
      <c r="R157" s="857">
        <f ca="1">+SUMIFS(INDIRECT(CONCATENATE("'",$AZ157,$BA157,":",$BB157)),INDIRECT(CONCATENATE("'",$AZ157,$BA$150,":",$BB$150)),R$92)</f>
        <v>-2371.0598136285994</v>
      </c>
      <c r="S157" s="877">
        <f ca="1">+SUM(O157:R157)</f>
        <v>-3382</v>
      </c>
      <c r="T157" s="857">
        <f ca="1">+SUMIFS(INDIRECT(CONCATENATE("'",$AZ157,$BA157,":",$BB157)),INDIRECT(CONCATENATE("'",$AZ157,$BA$150,":",$BB$150)),T$92)</f>
        <v>-1506</v>
      </c>
      <c r="U157" s="857">
        <f ca="1">+SUMIFS(INDIRECT(CONCATENATE("'",$AZ157,$BA157,":",$BB157)),INDIRECT(CONCATENATE("'",$AZ157,$BA$150,":",$BB$150)),U$92)</f>
        <v>-2490</v>
      </c>
      <c r="V157" s="857">
        <f ca="1">+SUMIFS(INDIRECT(CONCATENATE("'",$AZ157,$BA157,":",$BB157)),INDIRECT(CONCATENATE("'",$AZ157,$BA$150,":",$BB$150)),V$92)</f>
        <v>-1882</v>
      </c>
      <c r="W157" s="857">
        <f ca="1">+SUMIFS(INDIRECT(CONCATENATE("'",$AZ157,$BA157,":",$BB157)),INDIRECT(CONCATENATE("'",$AZ157,$BA$150,":",$BB$150)),W$92)</f>
        <v>17</v>
      </c>
      <c r="X157" s="877">
        <f ca="1">+SUM(T157:W157)</f>
        <v>-5861</v>
      </c>
      <c r="Y157" s="857">
        <f ca="1">+SUMIFS(INDIRECT(CONCATENATE("'",$AZ157,$BA157,":",$BB157)),INDIRECT(CONCATENATE("'",$AZ157,$BA$150,":",$BB$150)),Y$92)</f>
        <v>-288</v>
      </c>
      <c r="Z157" s="857">
        <f ca="1">+SUMIFS(INDIRECT(CONCATENATE("'",$AZ157,$BA157,":",$BB157)),INDIRECT(CONCATENATE("'",$AZ157,$BA$150,":",$BB$150)),Z$92)</f>
        <v>-1703</v>
      </c>
      <c r="AA157" s="857">
        <f ca="1">+SUMIFS(INDIRECT(CONCATENATE("'",$AZ157,$BA157,":",$BB157)),INDIRECT(CONCATENATE("'",$AZ157,$BA$150,":",$BB$150)),AA$92)</f>
        <v>-1386</v>
      </c>
      <c r="AB157" s="857">
        <f ca="1">+SUMIFS(INDIRECT(CONCATENATE("'",$AZ157,$BA157,":",$BB157)),INDIRECT(CONCATENATE("'",$AZ157,$BA$150,":",$BB$150)),AB$92)</f>
        <v>-1830</v>
      </c>
      <c r="AC157" s="877">
        <f ca="1">+SUM(Y157:AB157)</f>
        <v>-5207</v>
      </c>
      <c r="AD157" s="857">
        <f ca="1">+SUMIFS(INDIRECT(CONCATENATE("'",$AZ157,$BA157,":",$BB157)),INDIRECT(CONCATENATE("'",$AZ157,$BA$150,":",$BB$150)),AD$92)</f>
        <v>-2924</v>
      </c>
      <c r="AE157" s="857">
        <f ca="1">+SUMIFS(INDIRECT(CONCATENATE("'",$AZ157,$BA157,":",$BB157)),INDIRECT(CONCATENATE("'",$AZ157,$BA$150,":",$BB$150)),AE$92)</f>
        <v>-3073</v>
      </c>
      <c r="AF157" s="857">
        <f ca="1">+SUMIFS(INDIRECT(CONCATENATE("'",$AZ157,$BA157,":",$BB157)),INDIRECT(CONCATENATE("'",$AZ157,$BA$150,":",$BB$150)),AF$92)</f>
        <v>-2342</v>
      </c>
      <c r="AG157" s="857">
        <f ca="1">+SUMIFS(INDIRECT(CONCATENATE("'",$AZ157,$BA157,":",$BB157)),INDIRECT(CONCATENATE("'",$AZ157,$BA$150,":",$BB$150)),AG$92)</f>
        <v>-2466</v>
      </c>
      <c r="AH157" s="877">
        <f ca="1">+SUM(AD157:AG157)</f>
        <v>-10805</v>
      </c>
      <c r="AI157" s="857">
        <f ca="1">+SUMIFS(INDIRECT(CONCATENATE("'",$AZ157,$BA157,":",$BB157)),INDIRECT(CONCATENATE("'",$AZ157,$BA$150,":",$BB$150)),AI$92)</f>
        <v>-4055</v>
      </c>
      <c r="AJ157" s="857">
        <f ca="1">+SUMIFS(INDIRECT(CONCATENATE("'",$AZ157,$BA157,":",$BB157)),INDIRECT(CONCATENATE("'",$AZ157,$BA$150,":",$BB$150)),AJ$92)</f>
        <v>-3542</v>
      </c>
      <c r="AK157" s="857">
        <f ca="1">+SUMIFS(INDIRECT(CONCATENATE("'",$AZ157,$BA157,":",$BB157)),INDIRECT(CONCATENATE("'",$AZ157,$BA$150,":",$BB$150)),AK$92)</f>
        <v>-5260</v>
      </c>
      <c r="AL157" s="857">
        <f ca="1">+SUMIFS(INDIRECT(CONCATENATE("'",$AZ157,$BA157,":",$BB157)),INDIRECT(CONCATENATE("'",$AZ157,$BA$150,":",$BB$150)),AL$92)</f>
        <v>-3387</v>
      </c>
      <c r="AM157" s="877">
        <f ca="1">+SUM(AI157:AL157)</f>
        <v>-16244</v>
      </c>
      <c r="AN157" s="857">
        <f ca="1">+SUMIFS(INDIRECT(CONCATENATE("'",$AZ157,$BA157,":",$BB157)),INDIRECT(CONCATENATE("'",$AZ157,$BA$150,":",$BB$150)),AN$92)</f>
        <v>-6698</v>
      </c>
      <c r="AO157" s="857">
        <f ca="1">+SUMIFS(INDIRECT(CONCATENATE("'",$AZ157,$BA157,":",$BB157)),INDIRECT(CONCATENATE("'",$AZ157,$BA$150,":",$BB$150)),AO$92)</f>
        <v>-10011</v>
      </c>
      <c r="AP157" s="857">
        <f ca="1">+SUMIFS(INDIRECT(CONCATENATE("'",$AZ157,$BA157,":",$BB157)),INDIRECT(CONCATENATE("'",$AZ157,$BA$150,":",$BB$150)),AP$92)</f>
        <v>-7933</v>
      </c>
      <c r="AQ157" s="857">
        <f ca="1">+SUMIFS(INDIRECT(CONCATENATE("'",$AZ157,$BA157,":",$BB157)),INDIRECT(CONCATENATE("'",$AZ157,$BA$150,":",$BB$150)),AQ$92)</f>
        <v>-6062</v>
      </c>
      <c r="AR157" s="877">
        <f ca="1">+SUM(AN157:AQ157)</f>
        <v>-30704</v>
      </c>
      <c r="AS157" s="857">
        <f ca="1">+SUMIFS(INDIRECT(CONCATENATE("'",$AZ157,$BA157,":",$BB157)),INDIRECT(CONCATENATE("'",$AZ157,$BA$150,":",$BB$150)),AS$92)</f>
        <v>-7638</v>
      </c>
      <c r="AT157" s="857">
        <f ca="1">+SUMIFS(INDIRECT(CONCATENATE("'",$AZ157,$BA157,":",$BB157)),INDIRECT(CONCATENATE("'",$AZ157,$BA$150,":",$BB$150)),AT$92)</f>
        <v>-10182</v>
      </c>
      <c r="AU157" s="857">
        <f ca="1">+SUMIFS(INDIRECT(CONCATENATE("'",$AZ157,$BA157,":",$BB157)),INDIRECT(CONCATENATE("'",$AZ157,$BA$150,":",$BB$150)),AU$92)</f>
        <v>-8804</v>
      </c>
      <c r="AV157" s="857">
        <f ca="1">+SUMIFS(INDIRECT(CONCATENATE("'",$AZ157,$BA157,":",$BB157)),INDIRECT(CONCATENATE("'",$AZ157,$BA$150,":",$BB$150)),AV$92)</f>
        <v>-2302</v>
      </c>
      <c r="AW157" s="877">
        <f ca="1">+SUM(AS157:AV157)</f>
        <v>-28926</v>
      </c>
      <c r="AX157" s="857">
        <f ca="1">+SUMIFS(INDIRECT(CONCATENATE("'",$AZ157,$BA157,":",$BB157)),INDIRECT(CONCATENATE("'",$AZ157,$BA$150,":",$BB$150)),AX$92)</f>
        <v>-1598</v>
      </c>
      <c r="AY157" s="857">
        <f ca="1">+SUMIFS(INDIRECT(CONCATENATE("'",$AZ157,$BA157,":",$BB157)),INDIRECT(CONCATENATE("'",$AZ157,$BA$150,":",$BB$150)),AY$92)</f>
        <v>-6023</v>
      </c>
      <c r="AZ157" s="266" t="str">
        <f>IF([1]RENAME!$H$3=0,BE157,BD157)</f>
        <v>Investimentos F'!</v>
      </c>
      <c r="BA157" s="1170" t="s">
        <v>1691</v>
      </c>
      <c r="BB157" s="1170" t="s">
        <v>1691</v>
      </c>
      <c r="BC157" s="1170"/>
      <c r="BD157" s="1170" t="s">
        <v>1690</v>
      </c>
      <c r="BE157" s="1170" t="s">
        <v>1689</v>
      </c>
      <c r="BF157" s="1170"/>
      <c r="BG157" s="1170" t="s">
        <v>1690</v>
      </c>
      <c r="BH157" s="1170" t="s">
        <v>1689</v>
      </c>
      <c r="BN157" s="266"/>
      <c r="BO157" s="266"/>
      <c r="BP157" s="266"/>
      <c r="BQ157" s="266"/>
      <c r="BR157" s="266"/>
      <c r="BS157" s="266"/>
      <c r="BT157" s="266"/>
      <c r="BU157" s="266"/>
      <c r="BV157" s="266"/>
      <c r="BW157" s="266"/>
      <c r="BX157" s="266"/>
      <c r="BY157" s="266"/>
      <c r="BZ157" s="266"/>
      <c r="CA157" s="266"/>
      <c r="CB157" s="266"/>
      <c r="CC157" s="266"/>
      <c r="CD157" s="266"/>
      <c r="CE157" s="266"/>
      <c r="CF157" s="266"/>
      <c r="CG157" s="266"/>
      <c r="CH157" s="266"/>
      <c r="CI157" s="266"/>
      <c r="CJ157" s="266"/>
    </row>
    <row r="158" spans="1:88" s="850" customFormat="1" ht="13.5" customHeight="1" x14ac:dyDescent="0.2">
      <c r="A158" s="850" t="s">
        <v>1693</v>
      </c>
      <c r="B158" s="856" t="s">
        <v>1692</v>
      </c>
      <c r="C158" s="855"/>
      <c r="D158" s="861" t="str">
        <f>IF([1]RENAME!$H$3=1,B158,A158)</f>
        <v>% Lair</v>
      </c>
      <c r="E158" s="38" t="s">
        <v>160</v>
      </c>
      <c r="F158" s="38" t="s">
        <v>160</v>
      </c>
      <c r="G158" s="38" t="s">
        <v>160</v>
      </c>
      <c r="H158" s="38" t="s">
        <v>160</v>
      </c>
      <c r="I158" s="876" t="s">
        <v>160</v>
      </c>
      <c r="J158" s="875">
        <f t="shared" ref="J158:U158" ca="1" si="199">+J157/SUM(J151,J153,J155)</f>
        <v>-4.2304230423042301E-2</v>
      </c>
      <c r="K158" s="875">
        <f t="shared" ca="1" si="199"/>
        <v>-0.37450722733245728</v>
      </c>
      <c r="L158" s="875">
        <f t="shared" ca="1" si="199"/>
        <v>-0.33750000000000002</v>
      </c>
      <c r="M158" s="875">
        <f t="shared" ca="1" si="199"/>
        <v>0.11708860759493671</v>
      </c>
      <c r="N158" s="862">
        <f t="shared" ca="1" si="199"/>
        <v>1.09375</v>
      </c>
      <c r="O158" s="875">
        <f t="shared" ca="1" si="199"/>
        <v>-0.28512053200332504</v>
      </c>
      <c r="P158" s="875">
        <f t="shared" ca="1" si="199"/>
        <v>-0.33299311048736951</v>
      </c>
      <c r="Q158" s="875">
        <f t="shared" ca="1" si="199"/>
        <v>-0.32952932815897323</v>
      </c>
      <c r="R158" s="875">
        <f t="shared" ca="1" si="199"/>
        <v>-0.33251112815373207</v>
      </c>
      <c r="S158" s="862">
        <f t="shared" ca="1" si="199"/>
        <v>-0.33752495009980038</v>
      </c>
      <c r="T158" s="875">
        <f t="shared" ca="1" si="199"/>
        <v>-0.33964817320703655</v>
      </c>
      <c r="U158" s="875">
        <f t="shared" ca="1" si="199"/>
        <v>-0.33449758194519075</v>
      </c>
      <c r="V158" s="875">
        <f t="shared" ref="V158:AA158" ca="1" si="200">+V157/SUM(V151,V153,V155)</f>
        <v>-0.26870359794403198</v>
      </c>
      <c r="W158" s="875">
        <f t="shared" ca="1" si="200"/>
        <v>-5.6105610561056105E-2</v>
      </c>
      <c r="X158" s="862">
        <f t="shared" ca="1" si="200"/>
        <v>-0.31546369557026749</v>
      </c>
      <c r="Y158" s="875">
        <f t="shared" ca="1" si="200"/>
        <v>-0.1496881496881497</v>
      </c>
      <c r="Z158" s="875">
        <f t="shared" ca="1" si="200"/>
        <v>-0.26228245803172645</v>
      </c>
      <c r="AA158" s="875">
        <f t="shared" ca="1" si="200"/>
        <v>-0.27176470588235296</v>
      </c>
      <c r="AB158" s="875">
        <f t="shared" ref="AB158:AH158" ca="1" si="201">+AB157/SUM(AB151,AB153,AB155)</f>
        <v>-0.36251980982567356</v>
      </c>
      <c r="AC158" s="862">
        <f t="shared" ca="1" si="201"/>
        <v>-0.2804740102343119</v>
      </c>
      <c r="AD158" s="875">
        <f t="shared" ca="1" si="201"/>
        <v>-0.32861317149921332</v>
      </c>
      <c r="AE158" s="875">
        <f t="shared" ca="1" si="201"/>
        <v>-0.34042317491968538</v>
      </c>
      <c r="AF158" s="875">
        <f t="shared" ca="1" si="201"/>
        <v>-0.33314366998577527</v>
      </c>
      <c r="AG158" s="875">
        <f t="shared" ca="1" si="201"/>
        <v>-0.33238980994743228</v>
      </c>
      <c r="AH158" s="862">
        <f t="shared" ca="1" si="201"/>
        <v>-0.33375548279483536</v>
      </c>
      <c r="AI158" s="875">
        <f t="shared" ref="AI158:AO158" ca="1" si="202">+AI157/SUM(AI151,AI153,AI155)</f>
        <v>-0.33484723369116431</v>
      </c>
      <c r="AJ158" s="875">
        <f t="shared" ca="1" si="202"/>
        <v>-0.34800550206327374</v>
      </c>
      <c r="AK158" s="875">
        <f t="shared" ca="1" si="202"/>
        <v>-0.33633864057804208</v>
      </c>
      <c r="AL158" s="875">
        <f t="shared" ca="1" si="202"/>
        <v>-0.27325534489713593</v>
      </c>
      <c r="AM158" s="862">
        <f t="shared" ca="1" si="202"/>
        <v>-0.32280116052621122</v>
      </c>
      <c r="AN158" s="875">
        <f t="shared" ca="1" si="202"/>
        <v>-0.33525201461534609</v>
      </c>
      <c r="AO158" s="875">
        <f t="shared" ca="1" si="202"/>
        <v>-0.34276029718903001</v>
      </c>
      <c r="AP158" s="875">
        <f t="shared" ref="AP158:AX158" ca="1" si="203">+AP157/SUM(AP151,AP153,AP155)</f>
        <v>-0.33685774946921443</v>
      </c>
      <c r="AQ158" s="875">
        <f t="shared" ca="1" si="203"/>
        <v>-0.32658118737205044</v>
      </c>
      <c r="AR158" s="862">
        <f t="shared" ca="1" si="203"/>
        <v>-0.33630528598654952</v>
      </c>
      <c r="AS158" s="875">
        <f t="shared" ca="1" si="203"/>
        <v>-0.36274696048632221</v>
      </c>
      <c r="AT158" s="875">
        <f t="shared" ca="1" si="203"/>
        <v>-0.35302683586436445</v>
      </c>
      <c r="AU158" s="875">
        <f t="shared" ca="1" si="203"/>
        <v>-0.36191729014223467</v>
      </c>
      <c r="AV158" s="875">
        <f t="shared" ca="1" si="203"/>
        <v>-0.20753696357735305</v>
      </c>
      <c r="AW158" s="862">
        <f t="shared" ca="1" si="203"/>
        <v>-0.33904543110319285</v>
      </c>
      <c r="AX158" s="875">
        <f t="shared" ca="1" si="203"/>
        <v>-0.34043459735832976</v>
      </c>
      <c r="AY158" s="875">
        <f ca="1">+AY157/SUM(AY151,AY153,AY155)</f>
        <v>-0.34344528710725891</v>
      </c>
      <c r="AZ158" s="851"/>
      <c r="BA158" s="851"/>
      <c r="BB158" s="851"/>
      <c r="BC158" s="851"/>
      <c r="BD158" s="851"/>
      <c r="BE158" s="851"/>
      <c r="BF158" s="851"/>
      <c r="BG158" s="851"/>
      <c r="BH158" s="851"/>
      <c r="BK158" s="851"/>
      <c r="BL158" s="851"/>
      <c r="BM158" s="851"/>
      <c r="BN158" s="851"/>
      <c r="BO158" s="851"/>
      <c r="BP158" s="851"/>
      <c r="BQ158" s="851"/>
      <c r="BR158" s="851"/>
      <c r="BS158" s="851"/>
      <c r="BT158" s="851"/>
      <c r="BU158" s="851"/>
      <c r="BV158" s="851"/>
      <c r="BW158" s="851"/>
      <c r="BX158" s="851"/>
      <c r="BY158" s="851"/>
      <c r="BZ158" s="851"/>
      <c r="CA158" s="851"/>
      <c r="CB158" s="851"/>
      <c r="CC158" s="851"/>
      <c r="CD158" s="851"/>
      <c r="CE158" s="851"/>
      <c r="CF158" s="851"/>
      <c r="CG158" s="851"/>
      <c r="CH158" s="851"/>
      <c r="CI158" s="851"/>
      <c r="CJ158" s="851"/>
    </row>
    <row r="159" spans="1:88" ht="13.5" customHeight="1" x14ac:dyDescent="0.2">
      <c r="A159" s="1" t="s">
        <v>246</v>
      </c>
      <c r="B159" s="1" t="s">
        <v>714</v>
      </c>
      <c r="D159" s="873" t="str">
        <f>IF([1]RENAME!$H$3=1,B159,A159)</f>
        <v>Lucro líquido/(prejuízo) do exercício</v>
      </c>
      <c r="E159" s="1199" t="s">
        <v>160</v>
      </c>
      <c r="F159" s="1199" t="s">
        <v>160</v>
      </c>
      <c r="G159" s="1199" t="s">
        <v>160</v>
      </c>
      <c r="H159" s="1199" t="s">
        <v>160</v>
      </c>
      <c r="I159" s="871" t="s">
        <v>160</v>
      </c>
      <c r="J159" s="872">
        <f ca="1">+SUM(J157,J155,J153,J151)</f>
        <v>-1064</v>
      </c>
      <c r="K159" s="872">
        <f ca="1">+SUM(K157,K155,K153,K151)</f>
        <v>-476</v>
      </c>
      <c r="L159" s="872">
        <f ca="1">+SUM(L157,L155,L153,L151)</f>
        <v>530</v>
      </c>
      <c r="M159" s="872">
        <f ca="1">+SUM(M157,M155,M153,M151)</f>
        <v>1412</v>
      </c>
      <c r="N159" s="871">
        <f ca="1">+SUM(J159:M159)</f>
        <v>402</v>
      </c>
      <c r="O159" s="872">
        <f ca="1">+SUM(O157,O155,O153,O151)</f>
        <v>-860</v>
      </c>
      <c r="P159" s="872">
        <f ca="1">+SUM(P157,P155,P153,P151)</f>
        <v>1045.5999999999985</v>
      </c>
      <c r="Q159" s="872">
        <f ca="1">+SUM(Q157,Q155,Q153,Q151)</f>
        <v>1692.6915088385977</v>
      </c>
      <c r="R159" s="872">
        <f ca="1">+SUM(R157,R155,R153,R151)</f>
        <v>4759.7084911614038</v>
      </c>
      <c r="S159" s="871">
        <f ca="1">+SUM(O159:R159)</f>
        <v>6638</v>
      </c>
      <c r="T159" s="872">
        <f ca="1">+SUM(T157,T155,T153,T151)</f>
        <v>2928</v>
      </c>
      <c r="U159" s="872">
        <f ca="1">+SUM(U157,U155,U153,U151)</f>
        <v>4954</v>
      </c>
      <c r="V159" s="872">
        <f ca="1">+SUM(V157,V155,V153,V151)</f>
        <v>5122</v>
      </c>
      <c r="W159" s="872">
        <f ca="1">+SUM(W157,W155,W153,W151)</f>
        <v>-286</v>
      </c>
      <c r="X159" s="871">
        <f ca="1">+SUM(T159:W159)</f>
        <v>12718</v>
      </c>
      <c r="Y159" s="872">
        <f ca="1">+SUM(Y157,Y155,Y153,Y151)</f>
        <v>1636</v>
      </c>
      <c r="Z159" s="872">
        <f ca="1">+SUM(Z157,Z155,Z153,Z151)</f>
        <v>4790</v>
      </c>
      <c r="AA159" s="872">
        <f ca="1">+SUM(AA157,AA155,AA153,AA151)</f>
        <v>3714</v>
      </c>
      <c r="AB159" s="872">
        <f ca="1">+SUM(AB157,AB155,AB153,AB151)</f>
        <v>3218</v>
      </c>
      <c r="AC159" s="871">
        <f ca="1">+SUM(Y159:AB159)</f>
        <v>13358</v>
      </c>
      <c r="AD159" s="872">
        <f ca="1">+SUM(AD157,AD155,AD153,AD151)</f>
        <v>5974</v>
      </c>
      <c r="AE159" s="872">
        <f ca="1">+SUM(AE157,AE155,AE153,AE151)</f>
        <v>5954</v>
      </c>
      <c r="AF159" s="872">
        <f ca="1">+SUM(AF157,AF155,AF153,AF151)</f>
        <v>4688</v>
      </c>
      <c r="AG159" s="872">
        <f ca="1">+SUM(AG157,AG155,AG153,AG151)</f>
        <v>4953</v>
      </c>
      <c r="AH159" s="871">
        <f ca="1">+SUM(AD159:AG159)</f>
        <v>21569</v>
      </c>
      <c r="AI159" s="872">
        <f ca="1">+SUM(AI157,AI155,AI153,AI151)</f>
        <v>8055</v>
      </c>
      <c r="AJ159" s="872">
        <f ca="1">+SUM(AJ157,AJ155,AJ153,AJ151)</f>
        <v>6636</v>
      </c>
      <c r="AK159" s="872">
        <f ca="1">+SUM(AK157,AK155,AK153,AK151)</f>
        <v>10379</v>
      </c>
      <c r="AL159" s="872">
        <f ca="1">+SUM(AL157,AL155,AL153,AL151)</f>
        <v>9008</v>
      </c>
      <c r="AM159" s="871">
        <f ca="1">+SUM(AI159:AL159)</f>
        <v>34078</v>
      </c>
      <c r="AN159" s="872">
        <f ca="1">+SUM(AN157,AN155,AN153,AN151)</f>
        <v>13281</v>
      </c>
      <c r="AO159" s="872">
        <f ca="1">+SUM(AO157,AO155,AO153,AO151)</f>
        <v>19196</v>
      </c>
      <c r="AP159" s="872">
        <f ca="1">+SUM(AP157,AP155,AP153,AP151)</f>
        <v>15617</v>
      </c>
      <c r="AQ159" s="872">
        <f ca="1">+SUM(AQ157,AQ155,AQ153,AQ151)</f>
        <v>12500</v>
      </c>
      <c r="AR159" s="871">
        <f ca="1">+SUM(AN159:AQ159)</f>
        <v>60594</v>
      </c>
      <c r="AS159" s="872">
        <f ca="1">+SUM(AS157,AS155,AS153,AS151)</f>
        <v>13418</v>
      </c>
      <c r="AT159" s="872">
        <f ca="1">+SUM(AT157,AT155,AT153,AT151)</f>
        <v>18660</v>
      </c>
      <c r="AU159" s="872">
        <f ca="1">+SUM(AU157,AU155,AU153,AU151)</f>
        <v>15522</v>
      </c>
      <c r="AV159" s="872">
        <f ca="1">+SUM(AV157,AV155,AV153,AV151)</f>
        <v>8790</v>
      </c>
      <c r="AW159" s="871">
        <f ca="1">+SUM(AS159:AV159)</f>
        <v>56390</v>
      </c>
      <c r="AX159" s="872">
        <f ca="1">+SUM(AX157,AX155,AX153,AX151)</f>
        <v>3096</v>
      </c>
      <c r="AY159" s="872">
        <f ca="1">+SUM(AY157,AY155,AY153,AY151)</f>
        <v>11514</v>
      </c>
      <c r="BN159" s="266"/>
      <c r="BO159" s="266"/>
      <c r="BP159" s="266"/>
      <c r="BQ159" s="266"/>
      <c r="BR159" s="266"/>
      <c r="BS159" s="266"/>
      <c r="BT159" s="266"/>
      <c r="BU159" s="266"/>
      <c r="BV159" s="266"/>
      <c r="BW159" s="266"/>
      <c r="BX159" s="266"/>
      <c r="BY159" s="266"/>
      <c r="BZ159" s="266"/>
      <c r="CA159" s="266"/>
      <c r="CB159" s="266"/>
      <c r="CC159" s="266"/>
      <c r="CD159" s="266"/>
      <c r="CE159" s="266"/>
      <c r="CF159" s="266"/>
      <c r="CG159" s="266"/>
      <c r="CH159" s="266"/>
      <c r="CI159" s="266"/>
      <c r="CJ159" s="266"/>
    </row>
    <row r="160" spans="1:88" ht="13.5" customHeight="1" x14ac:dyDescent="0.2">
      <c r="BN160" s="266"/>
      <c r="BO160" s="266"/>
      <c r="BP160" s="266"/>
      <c r="BQ160" s="266"/>
      <c r="BR160" s="266"/>
      <c r="BS160" s="266"/>
      <c r="BT160" s="266"/>
      <c r="BU160" s="266"/>
      <c r="BV160" s="266"/>
      <c r="BW160" s="266"/>
      <c r="BX160" s="266"/>
      <c r="BY160" s="266"/>
      <c r="BZ160" s="266"/>
      <c r="CA160" s="266"/>
      <c r="CB160" s="266"/>
      <c r="CC160" s="266"/>
      <c r="CD160" s="266"/>
      <c r="CE160" s="266"/>
      <c r="CF160" s="266"/>
      <c r="CG160" s="266"/>
      <c r="CH160" s="266"/>
      <c r="CI160" s="266"/>
      <c r="CJ160" s="266"/>
    </row>
    <row r="161" spans="1:88" ht="13.5" customHeight="1" x14ac:dyDescent="0.2">
      <c r="A161" s="1" t="s">
        <v>1688</v>
      </c>
      <c r="B161" s="1" t="s">
        <v>1687</v>
      </c>
      <c r="D161" s="868" t="str">
        <f>IF([1]RENAME!$H$3=1,B161,A161)</f>
        <v>Mercado automotivo</v>
      </c>
      <c r="E161" s="867" t="str">
        <f t="shared" ref="E161:AM161" si="204">E5</f>
        <v>1T17</v>
      </c>
      <c r="F161" s="867" t="str">
        <f t="shared" si="204"/>
        <v>2T17</v>
      </c>
      <c r="G161" s="867" t="str">
        <f t="shared" si="204"/>
        <v>3T17</v>
      </c>
      <c r="H161" s="867" t="str">
        <f t="shared" si="204"/>
        <v>4T17</v>
      </c>
      <c r="I161" s="867" t="str">
        <f t="shared" si="204"/>
        <v>2017</v>
      </c>
      <c r="J161" s="867" t="str">
        <f t="shared" si="204"/>
        <v>1T18</v>
      </c>
      <c r="K161" s="867" t="str">
        <f t="shared" si="204"/>
        <v>2T18</v>
      </c>
      <c r="L161" s="867" t="str">
        <f t="shared" si="204"/>
        <v>3T18</v>
      </c>
      <c r="M161" s="867" t="str">
        <f t="shared" si="204"/>
        <v>4T18</v>
      </c>
      <c r="N161" s="867" t="str">
        <f t="shared" si="204"/>
        <v>2018</v>
      </c>
      <c r="O161" s="867" t="str">
        <f t="shared" si="204"/>
        <v>1T19</v>
      </c>
      <c r="P161" s="867" t="str">
        <f t="shared" si="204"/>
        <v>2T19</v>
      </c>
      <c r="Q161" s="867" t="str">
        <f t="shared" si="204"/>
        <v>3T19</v>
      </c>
      <c r="R161" s="867" t="str">
        <f t="shared" si="204"/>
        <v>4T19</v>
      </c>
      <c r="S161" s="867" t="str">
        <f t="shared" si="204"/>
        <v>2019</v>
      </c>
      <c r="T161" s="867" t="str">
        <f t="shared" si="204"/>
        <v>1T20</v>
      </c>
      <c r="U161" s="867" t="str">
        <f t="shared" si="204"/>
        <v>2T20</v>
      </c>
      <c r="V161" s="867" t="str">
        <f t="shared" si="204"/>
        <v>3T20</v>
      </c>
      <c r="W161" s="867" t="str">
        <f t="shared" si="204"/>
        <v>4T20</v>
      </c>
      <c r="X161" s="867" t="str">
        <f t="shared" si="204"/>
        <v>2020</v>
      </c>
      <c r="Y161" s="867" t="str">
        <f t="shared" si="204"/>
        <v>1T21</v>
      </c>
      <c r="Z161" s="867" t="str">
        <f t="shared" si="204"/>
        <v>2T21</v>
      </c>
      <c r="AA161" s="867" t="str">
        <f t="shared" si="204"/>
        <v>3T21</v>
      </c>
      <c r="AB161" s="867" t="str">
        <f t="shared" si="204"/>
        <v>4T21</v>
      </c>
      <c r="AC161" s="867" t="str">
        <f t="shared" si="204"/>
        <v>2021</v>
      </c>
      <c r="AD161" s="867" t="str">
        <f t="shared" si="204"/>
        <v>1T22</v>
      </c>
      <c r="AE161" s="867" t="str">
        <f t="shared" si="204"/>
        <v>2T22</v>
      </c>
      <c r="AF161" s="867" t="str">
        <f t="shared" si="204"/>
        <v>3T22</v>
      </c>
      <c r="AG161" s="867" t="str">
        <f t="shared" si="204"/>
        <v>4T22</v>
      </c>
      <c r="AH161" s="867" t="str">
        <f t="shared" si="204"/>
        <v>2022</v>
      </c>
      <c r="AI161" s="867" t="str">
        <f t="shared" si="204"/>
        <v>1T23</v>
      </c>
      <c r="AJ161" s="867" t="str">
        <f t="shared" si="204"/>
        <v>2T23</v>
      </c>
      <c r="AK161" s="867" t="str">
        <f t="shared" si="204"/>
        <v>3T23</v>
      </c>
      <c r="AL161" s="867" t="str">
        <f t="shared" si="204"/>
        <v>4T23</v>
      </c>
      <c r="AM161" s="867" t="str">
        <f t="shared" si="204"/>
        <v>2023</v>
      </c>
      <c r="AN161" s="867" t="str">
        <f>AN5</f>
        <v>1T24</v>
      </c>
      <c r="AO161" s="867" t="str">
        <f>AO5</f>
        <v>2T24</v>
      </c>
      <c r="AP161" s="867" t="str">
        <f>AP5</f>
        <v>3T24</v>
      </c>
      <c r="AQ161" s="867" t="str">
        <f>AQ5</f>
        <v>4T24</v>
      </c>
      <c r="AR161" s="867" t="str">
        <f>AR5</f>
        <v>2024</v>
      </c>
      <c r="AS161" s="867" t="str">
        <f t="shared" ref="AS161:AX161" si="205">AS5</f>
        <v>1T25</v>
      </c>
      <c r="AT161" s="867" t="str">
        <f t="shared" si="205"/>
        <v>2T25</v>
      </c>
      <c r="AU161" s="867" t="str">
        <f t="shared" si="205"/>
        <v>3T25</v>
      </c>
      <c r="AV161" s="867" t="str">
        <f t="shared" si="205"/>
        <v>4T25</v>
      </c>
      <c r="AW161" s="867" t="str">
        <f t="shared" si="205"/>
        <v>2025</v>
      </c>
      <c r="AX161" s="867" t="str">
        <f t="shared" si="205"/>
        <v>1T26</v>
      </c>
      <c r="AY161" s="867" t="str">
        <f>AY5</f>
        <v>2T26</v>
      </c>
      <c r="BN161" s="266"/>
      <c r="BO161" s="266"/>
      <c r="BP161" s="266"/>
      <c r="BQ161" s="266"/>
      <c r="BR161" s="266"/>
      <c r="BS161" s="266"/>
      <c r="BT161" s="266"/>
      <c r="BU161" s="266"/>
      <c r="BV161" s="266"/>
      <c r="BW161" s="266"/>
      <c r="BX161" s="266"/>
      <c r="BY161" s="266"/>
      <c r="BZ161" s="266"/>
      <c r="CA161" s="266"/>
      <c r="CB161" s="266"/>
      <c r="CC161" s="266"/>
      <c r="CD161" s="266"/>
      <c r="CE161" s="266"/>
      <c r="CF161" s="266"/>
      <c r="CG161" s="266"/>
      <c r="CH161" s="266"/>
      <c r="CI161" s="266"/>
      <c r="CJ161" s="266"/>
    </row>
    <row r="162" spans="1:88" ht="13.5" customHeight="1" x14ac:dyDescent="0.2">
      <c r="A162" s="1" t="s">
        <v>1686</v>
      </c>
      <c r="B162" s="1" t="s">
        <v>1685</v>
      </c>
      <c r="D162" s="858" t="str">
        <f>IF([1]RENAME!$H$3=1,B162,A162)</f>
        <v>Produção de veículos</v>
      </c>
      <c r="E162" s="857">
        <f>+VLOOKUP(E$161,[2]Base!$E:$Y,$BA162,0)</f>
        <v>597846</v>
      </c>
      <c r="F162" s="857">
        <f>+VLOOKUP(F$161,[2]Base!$E:$Y,$BA162,0)</f>
        <v>633657</v>
      </c>
      <c r="G162" s="857">
        <f>+VLOOKUP(G$161,[2]Base!$E:$Y,$BA162,0)</f>
        <v>702748</v>
      </c>
      <c r="H162" s="857">
        <f>+VLOOKUP(H$161,[2]Base!$E:$Y,$BA162,0)</f>
        <v>699318</v>
      </c>
      <c r="I162" s="647">
        <f>+SUM(E162:H162)</f>
        <v>2633569</v>
      </c>
      <c r="J162" s="857">
        <f>+VLOOKUP(J$161,[2]Base!$E:$Y,$BA162,0)</f>
        <v>668934</v>
      </c>
      <c r="K162" s="857">
        <f>+VLOOKUP(K$161,[2]Base!$E:$Y,$BA162,0)</f>
        <v>701967</v>
      </c>
      <c r="L162" s="857">
        <f>+VLOOKUP(L$161,[2]Base!$E:$Y,$BA162,0)</f>
        <v>724352</v>
      </c>
      <c r="M162" s="857">
        <f>+VLOOKUP(M$161,[2]Base!$E:$Y,$BA162,0)</f>
        <v>651695</v>
      </c>
      <c r="N162" s="647">
        <f>+SUM(J162:M162)</f>
        <v>2746948</v>
      </c>
      <c r="O162" s="857">
        <f>+VLOOKUP(O$161,[2]Base!$E:$Y,$BA162,0)</f>
        <v>666970</v>
      </c>
      <c r="P162" s="857">
        <f>+VLOOKUP(P$161,[2]Base!$E:$Y,$BA162,0)</f>
        <v>737875</v>
      </c>
      <c r="Q162" s="857">
        <f>+VLOOKUP(Q$161,[2]Base!$E:$Y,$BA162,0)</f>
        <v>744430</v>
      </c>
      <c r="R162" s="857">
        <f>+VLOOKUP(R$161,[2]Base!$E:$Y,$BA162,0)</f>
        <v>654566</v>
      </c>
      <c r="S162" s="647">
        <f>+SUM(O162:R162)</f>
        <v>2803841</v>
      </c>
      <c r="T162" s="857">
        <f>+VLOOKUP(T$161,[2]Base!$E:$Y,$BA162,0)</f>
        <v>555215</v>
      </c>
      <c r="U162" s="857">
        <f>+VLOOKUP(U$161,[2]Base!$E:$Y,$BA162,0)</f>
        <v>130342</v>
      </c>
      <c r="V162" s="857">
        <f>+VLOOKUP(V$161,[2]Base!$E:$Y,$BA162,0)</f>
        <v>572575</v>
      </c>
      <c r="W162" s="857">
        <f>+VLOOKUP(W$161,[2]Base!$E:$Y,$BA162,0)</f>
        <v>646582</v>
      </c>
      <c r="X162" s="647">
        <f>+SUM(T162:W162)</f>
        <v>1904714</v>
      </c>
      <c r="Y162" s="857">
        <f>+VLOOKUP(Y$161,[2]Base!$E:$Y,$BA162,0)</f>
        <v>559515</v>
      </c>
      <c r="Z162" s="857">
        <f>+VLOOKUP(Z$161,[2]Base!$E:$Y,$BA162,0)</f>
        <v>504509</v>
      </c>
      <c r="AA162" s="857">
        <f>+VLOOKUP(AA$161,[2]Base!$E:$Y,$BA162,0)</f>
        <v>455752</v>
      </c>
      <c r="AB162" s="857">
        <f>+VLOOKUP(AB$161,[2]Base!$E:$Y,$BA162,0)</f>
        <v>550786</v>
      </c>
      <c r="AC162" s="647">
        <f>+SUM(Y162:AB162)</f>
        <v>2070562</v>
      </c>
      <c r="AD162" s="857">
        <f>+VLOOKUP(AD$161,[2]Base!$E:$Y,$BA162,0)</f>
        <v>456053</v>
      </c>
      <c r="AE162" s="857">
        <f>+VLOOKUP(AE$161,[2]Base!$E:$Y,$BA162,0)</f>
        <v>550533</v>
      </c>
      <c r="AF162" s="857">
        <f>+VLOOKUP(AF$161,[2]Base!$E:$Y,$BA162,0)</f>
        <v>609277</v>
      </c>
      <c r="AG162" s="857">
        <f>+VLOOKUP(AG$161,[2]Base!$E:$Y,$BA162,0)</f>
        <v>560316</v>
      </c>
      <c r="AH162" s="647">
        <f>+SUM(AD162:AG162)</f>
        <v>2176179</v>
      </c>
      <c r="AI162" s="857">
        <f>+VLOOKUP(AI$161,[2]Base!$E:$Y,$BA162,0)</f>
        <v>507507</v>
      </c>
      <c r="AJ162" s="857">
        <f>+VLOOKUP(AJ$161,[2]Base!$E:$Y,$BA162,0)</f>
        <v>567749</v>
      </c>
      <c r="AK162" s="857">
        <f>+VLOOKUP(AK$161,[2]Base!$E:$Y,$BA162,0)</f>
        <v>588451</v>
      </c>
      <c r="AL162" s="857">
        <f>+VLOOKUP(AL$161,[2]Base!$E:$Y,$BA162,0)</f>
        <v>538420</v>
      </c>
      <c r="AM162" s="647">
        <f>+SUM(AI162:AL162)</f>
        <v>2202127</v>
      </c>
      <c r="AN162" s="857">
        <f>+VLOOKUP(AN$161,[2]Base!$E:$Y,$BA162,0)</f>
        <v>502182</v>
      </c>
      <c r="AO162" s="857">
        <f>+VLOOKUP(AO$161,[2]Base!$E:$Y,$BA162,0)</f>
        <v>556640</v>
      </c>
      <c r="AP162" s="857">
        <f>+VLOOKUP(AP$161,[2]Base!$E:$Y,$BA162,0)</f>
        <v>691574</v>
      </c>
      <c r="AQ162" s="857">
        <f>+VLOOKUP(AQ$161,[2]Base!$E:$Y,$BA162,0)</f>
        <v>630198</v>
      </c>
      <c r="AR162" s="647">
        <f>+SUM(AN162:AQ162)</f>
        <v>2380594</v>
      </c>
      <c r="AS162" s="857">
        <f>+VLOOKUP(AS$161,[2]Base!$E:$Y,$BA162,0)</f>
        <v>559918</v>
      </c>
      <c r="AT162" s="857">
        <f>+VLOOKUP(AT$161,[2]Base!$E:$Y,$BA162,0)</f>
        <v>619609</v>
      </c>
      <c r="AU162" s="857">
        <f>+VLOOKUP(AU$161,[2]Base!$E:$Y,$BA162,0)</f>
        <v>690563</v>
      </c>
      <c r="AV162" s="857">
        <f>+VLOOKUP(AV$161,[2]Base!$E:$Y,$BA162,0)</f>
        <v>621657</v>
      </c>
      <c r="AW162" s="647">
        <f>+SUM(AS162:AV162)</f>
        <v>2491747</v>
      </c>
      <c r="AX162" s="857">
        <f>+VLOOKUP(AX$161,[2]Base!$E:$Y,$BA162,0)</f>
        <v>601329</v>
      </c>
      <c r="AY162" s="857">
        <f>+VLOOKUP(AY$161,[2]Base!$E:$Y,$BA162,0)</f>
        <v>698767</v>
      </c>
      <c r="AZ162" s="1168"/>
      <c r="BA162" s="1168">
        <v>20</v>
      </c>
      <c r="BN162" s="266"/>
      <c r="BO162" s="266"/>
      <c r="BP162" s="266"/>
      <c r="BQ162" s="266"/>
      <c r="BR162" s="266"/>
      <c r="BS162" s="266"/>
      <c r="BT162" s="266"/>
      <c r="BU162" s="266"/>
      <c r="BV162" s="266"/>
      <c r="BW162" s="266"/>
      <c r="BX162" s="266"/>
      <c r="BY162" s="266"/>
      <c r="BZ162" s="266"/>
      <c r="CA162" s="266"/>
      <c r="CB162" s="266"/>
      <c r="CC162" s="266"/>
      <c r="CD162" s="266"/>
      <c r="CE162" s="266"/>
      <c r="CF162" s="266"/>
      <c r="CG162" s="266"/>
      <c r="CH162" s="266"/>
      <c r="CI162" s="266"/>
      <c r="CJ162" s="266"/>
    </row>
    <row r="163" spans="1:88" s="850" customFormat="1" ht="13.5" customHeight="1" x14ac:dyDescent="0.2">
      <c r="A163" s="850" t="s">
        <v>1679</v>
      </c>
      <c r="B163" s="856" t="s">
        <v>1678</v>
      </c>
      <c r="C163" s="855"/>
      <c r="D163" s="861" t="str">
        <f>IF([1]RENAME!$H$3=1,B163,A163)</f>
        <v>Variação %</v>
      </c>
      <c r="E163" s="860" t="s">
        <v>160</v>
      </c>
      <c r="F163" s="860" t="s">
        <v>160</v>
      </c>
      <c r="G163" s="860" t="s">
        <v>160</v>
      </c>
      <c r="H163" s="860" t="s">
        <v>160</v>
      </c>
      <c r="I163" s="859" t="s">
        <v>160</v>
      </c>
      <c r="J163" s="860">
        <f>J162/E162-1</f>
        <v>0.11890687568370439</v>
      </c>
      <c r="K163" s="860">
        <f>K162/F162-1</f>
        <v>0.10780280183127466</v>
      </c>
      <c r="L163" s="860">
        <f>L162/G162-1</f>
        <v>3.0742172158440884E-2</v>
      </c>
      <c r="M163" s="860">
        <f>M162/H162-1</f>
        <v>-6.8099205225662707E-2</v>
      </c>
      <c r="N163" s="859">
        <f>+N162/I162-1</f>
        <v>4.3051463622179709E-2</v>
      </c>
      <c r="O163" s="860">
        <f>O162/J162-1</f>
        <v>-2.9360146142968224E-3</v>
      </c>
      <c r="P163" s="860">
        <f>P162/K162-1</f>
        <v>5.1153401798090137E-2</v>
      </c>
      <c r="Q163" s="860">
        <f>Q162/L162-1</f>
        <v>2.7718567768156843E-2</v>
      </c>
      <c r="R163" s="860">
        <f>R162/M162-1</f>
        <v>4.4054350578108803E-3</v>
      </c>
      <c r="S163" s="859">
        <f>+S162/N162-1</f>
        <v>2.0711349468573781E-2</v>
      </c>
      <c r="T163" s="860">
        <f>T162/O162-1</f>
        <v>-0.16755626190083517</v>
      </c>
      <c r="U163" s="860">
        <f>U162/P162-1</f>
        <v>-0.82335490428595626</v>
      </c>
      <c r="V163" s="860">
        <f>V162/Q162-1</f>
        <v>-0.23085447926601566</v>
      </c>
      <c r="W163" s="860">
        <f>W162/R162-1</f>
        <v>-1.2197394915104076E-2</v>
      </c>
      <c r="X163" s="859">
        <f>+X162/S162-1</f>
        <v>-0.32067688574352116</v>
      </c>
      <c r="Y163" s="860">
        <f>Y162/T162-1</f>
        <v>7.7447475302361291E-3</v>
      </c>
      <c r="Z163" s="860">
        <f>Z162/U162-1</f>
        <v>2.8706556597259518</v>
      </c>
      <c r="AA163" s="860">
        <f>AA162/V162-1</f>
        <v>-0.2040309129808322</v>
      </c>
      <c r="AB163" s="860">
        <f>AB162/W162-1</f>
        <v>-0.14815754227615363</v>
      </c>
      <c r="AC163" s="859">
        <f>+AC162/X162-1</f>
        <v>8.7072389870605171E-2</v>
      </c>
      <c r="AD163" s="860">
        <f>AD162/Y162-1</f>
        <v>-0.18491371991814343</v>
      </c>
      <c r="AE163" s="860">
        <f>AE162/Z162-1</f>
        <v>9.122532997429178E-2</v>
      </c>
      <c r="AF163" s="860">
        <f>AF162/AA162-1</f>
        <v>0.33686083659534138</v>
      </c>
      <c r="AG163" s="860">
        <f>AG162/AB162-1</f>
        <v>1.7302545816342496E-2</v>
      </c>
      <c r="AH163" s="859">
        <f>+AH162/AC162-1</f>
        <v>5.1008856532670732E-2</v>
      </c>
      <c r="AI163" s="860">
        <f>AI162/AD162-1</f>
        <v>0.11282460591203214</v>
      </c>
      <c r="AJ163" s="860">
        <f>AJ162/AE162-1</f>
        <v>3.127151324262134E-2</v>
      </c>
      <c r="AK163" s="860">
        <f>AK162/AF162-1</f>
        <v>-3.4181497085890356E-2</v>
      </c>
      <c r="AL163" s="860">
        <f>AL162/AG162-1</f>
        <v>-3.9077948871708124E-2</v>
      </c>
      <c r="AM163" s="859">
        <f>+AM162/AH162-1</f>
        <v>1.1923651501094312E-2</v>
      </c>
      <c r="AN163" s="860">
        <f>AN162/AI162-1</f>
        <v>-1.0492466113767862E-2</v>
      </c>
      <c r="AO163" s="860">
        <f>AO162/AJ162-1</f>
        <v>-1.9566745163795973E-2</v>
      </c>
      <c r="AP163" s="860">
        <f>AP162/AK162-1</f>
        <v>0.17524483771800892</v>
      </c>
      <c r="AQ163" s="860">
        <f>AQ162/AL162-1</f>
        <v>0.17045800676052147</v>
      </c>
      <c r="AR163" s="859">
        <f>+AR162/AM162-1</f>
        <v>8.1043009780997988E-2</v>
      </c>
      <c r="AS163" s="860">
        <f>AS162/AN162-1</f>
        <v>0.1149702697428423</v>
      </c>
      <c r="AT163" s="860">
        <f>AT162/AO162-1</f>
        <v>0.11312338315607939</v>
      </c>
      <c r="AU163" s="860">
        <f>AU162/AP162-1</f>
        <v>-1.4618826040307953E-3</v>
      </c>
      <c r="AV163" s="860">
        <f>AV162/AQ162-1</f>
        <v>-1.3552883379509328E-2</v>
      </c>
      <c r="AW163" s="859">
        <f>+AW162/AR162-1</f>
        <v>4.6691287972665751E-2</v>
      </c>
      <c r="AX163" s="860">
        <f>AX162/AS162-1</f>
        <v>7.3959044002871899E-2</v>
      </c>
      <c r="AY163" s="860">
        <f>AY162/AT162-1</f>
        <v>0.12775476147054032</v>
      </c>
      <c r="AZ163" s="983">
        <v>13</v>
      </c>
      <c r="BA163" s="983"/>
      <c r="BB163" s="851"/>
      <c r="BC163" s="851"/>
      <c r="BD163" s="851"/>
      <c r="BE163" s="851"/>
      <c r="BF163" s="851"/>
      <c r="BG163" s="851"/>
      <c r="BH163" s="851"/>
      <c r="BK163" s="851"/>
      <c r="BL163" s="851"/>
      <c r="BM163" s="851"/>
      <c r="BN163" s="851"/>
      <c r="BO163" s="851"/>
      <c r="BP163" s="851"/>
      <c r="BQ163" s="851"/>
      <c r="BR163" s="851"/>
      <c r="BS163" s="851"/>
      <c r="BT163" s="851"/>
      <c r="BU163" s="851"/>
      <c r="BV163" s="851"/>
      <c r="BW163" s="851"/>
      <c r="BX163" s="851"/>
      <c r="BY163" s="851"/>
      <c r="BZ163" s="851"/>
      <c r="CA163" s="851"/>
      <c r="CB163" s="851"/>
      <c r="CC163" s="851"/>
      <c r="CD163" s="851"/>
      <c r="CE163" s="851"/>
      <c r="CF163" s="851"/>
      <c r="CG163" s="851"/>
      <c r="CH163" s="851"/>
      <c r="CI163" s="851"/>
      <c r="CJ163" s="851"/>
    </row>
    <row r="164" spans="1:88" ht="13.5" customHeight="1" x14ac:dyDescent="0.2">
      <c r="A164" s="1" t="s">
        <v>1684</v>
      </c>
      <c r="B164" s="1" t="s">
        <v>1683</v>
      </c>
      <c r="D164" s="858" t="str">
        <f>IF([1]RENAME!$H$3=1,B164,A164)</f>
        <v>Importação</v>
      </c>
      <c r="E164" s="857">
        <f>+VLOOKUP(E$161,[2]Base!$E:$Y,$BA164,0)</f>
        <v>51686</v>
      </c>
      <c r="F164" s="857">
        <f>+VLOOKUP(F$161,[2]Base!$E:$Y,$BA164,0)</f>
        <v>58769</v>
      </c>
      <c r="G164" s="857">
        <f>+VLOOKUP(G$161,[2]Base!$E:$Y,$BA164,0)</f>
        <v>64108</v>
      </c>
      <c r="H164" s="857">
        <f>+VLOOKUP(H$161,[2]Base!$E:$Y,$BA164,0)</f>
        <v>67762</v>
      </c>
      <c r="I164" s="647">
        <f>+SUM(E164:H164)</f>
        <v>242325</v>
      </c>
      <c r="J164" s="857">
        <f>+VLOOKUP(J$161,[2]Base!$E:$Y,$BA164,0)</f>
        <v>63509</v>
      </c>
      <c r="K164" s="857">
        <f>+VLOOKUP(K$161,[2]Base!$E:$Y,$BA164,0)</f>
        <v>78841</v>
      </c>
      <c r="L164" s="857">
        <f>+VLOOKUP(L$161,[2]Base!$E:$Y,$BA164,0)</f>
        <v>83606</v>
      </c>
      <c r="M164" s="857">
        <f>+VLOOKUP(M$161,[2]Base!$E:$Y,$BA164,0)</f>
        <v>82610</v>
      </c>
      <c r="N164" s="647">
        <f>+SUM(J164:M164)</f>
        <v>308566</v>
      </c>
      <c r="O164" s="857">
        <f>+VLOOKUP(O$161,[2]Base!$E:$Y,$BA164,0)</f>
        <v>68113</v>
      </c>
      <c r="P164" s="857">
        <f>+VLOOKUP(P$161,[2]Base!$E:$Y,$BA164,0)</f>
        <v>73690</v>
      </c>
      <c r="Q164" s="857">
        <f>+VLOOKUP(Q$161,[2]Base!$E:$Y,$BA164,0)</f>
        <v>75436</v>
      </c>
      <c r="R164" s="857">
        <f>+VLOOKUP(R$161,[2]Base!$E:$Y,$BA164,0)</f>
        <v>77303</v>
      </c>
      <c r="S164" s="647">
        <f>+SUM(O164:R164)</f>
        <v>294542</v>
      </c>
      <c r="T164" s="857">
        <f>+VLOOKUP(T$161,[2]Base!$E:$Y,$BA164,0)</f>
        <v>59648</v>
      </c>
      <c r="U164" s="857">
        <f>+VLOOKUP(U$161,[2]Base!$E:$Y,$BA164,0)</f>
        <v>34439</v>
      </c>
      <c r="V164" s="857">
        <f>+VLOOKUP(V$161,[2]Base!$E:$Y,$BA164,0)</f>
        <v>54807</v>
      </c>
      <c r="W164" s="857">
        <f>+VLOOKUP(W$161,[2]Base!$E:$Y,$BA164,0)</f>
        <v>58789</v>
      </c>
      <c r="X164" s="647">
        <f>+SUM(T164:W164)</f>
        <v>207683</v>
      </c>
      <c r="Y164" s="857">
        <f>+VLOOKUP(Y$161,[2]Base!$E:$Y,$BA164,0)</f>
        <v>45886</v>
      </c>
      <c r="Z164" s="857">
        <f>+VLOOKUP(Z$161,[2]Base!$E:$Y,$BA164,0)</f>
        <v>59453</v>
      </c>
      <c r="AA164" s="857">
        <f>+VLOOKUP(AA$161,[2]Base!$E:$Y,$BA164,0)</f>
        <v>67681</v>
      </c>
      <c r="AB164" s="857">
        <f>+VLOOKUP(AB$161,[2]Base!$E:$Y,$BA164,0)</f>
        <v>74901</v>
      </c>
      <c r="AC164" s="647">
        <f>+SUM(Y164:AB164)</f>
        <v>247921</v>
      </c>
      <c r="AD164" s="857">
        <f>+VLOOKUP(AD$161,[2]Base!$E:$Y,$BA164,0)</f>
        <v>49921</v>
      </c>
      <c r="AE164" s="857">
        <f>+VLOOKUP(AE$161,[2]Base!$E:$Y,$BA164,0)</f>
        <v>67253</v>
      </c>
      <c r="AF164" s="857">
        <f>+VLOOKUP(AF$161,[2]Base!$E:$Y,$BA164,0)</f>
        <v>70029</v>
      </c>
      <c r="AG164" s="857">
        <f>+VLOOKUP(AG$161,[2]Base!$E:$Y,$BA164,0)</f>
        <v>79755</v>
      </c>
      <c r="AH164" s="647">
        <f>+SUM(AD164:AG164)</f>
        <v>266958</v>
      </c>
      <c r="AI164" s="857">
        <f>+VLOOKUP(AI$161,[2]Base!$E:$Y,$BA164,0)</f>
        <v>63203</v>
      </c>
      <c r="AJ164" s="857">
        <f>+VLOOKUP(AJ$161,[2]Base!$E:$Y,$BA164,0)</f>
        <v>75993</v>
      </c>
      <c r="AK164" s="857">
        <f>+VLOOKUP(AK$161,[2]Base!$E:$Y,$BA164,0)</f>
        <v>91712</v>
      </c>
      <c r="AL164" s="857">
        <f>+VLOOKUP(AL$161,[2]Base!$E:$Y,$BA164,0)</f>
        <v>113124</v>
      </c>
      <c r="AM164" s="647">
        <f>+SUM(AI164:AL164)</f>
        <v>344032</v>
      </c>
      <c r="AN164" s="857">
        <f>+VLOOKUP(AN$161,[2]Base!$E:$Y,$BA164,0)</f>
        <v>88726</v>
      </c>
      <c r="AO164" s="857">
        <f>+VLOOKUP(AO$161,[2]Base!$E:$Y,$BA164,0)</f>
        <v>105749</v>
      </c>
      <c r="AP164" s="857">
        <f>+VLOOKUP(AP$161,[2]Base!$E:$Y,$BA164,0)</f>
        <v>122493</v>
      </c>
      <c r="AQ164" s="857">
        <f>+VLOOKUP(AQ$161,[2]Base!$E:$Y,$BA164,0)</f>
        <v>142405</v>
      </c>
      <c r="AR164" s="647">
        <f>+SUM(AN164:AQ164)</f>
        <v>459373</v>
      </c>
      <c r="AS164" s="857">
        <f>+VLOOKUP(AS$161,[2]Base!$E:$Y,$BA164,0)</f>
        <v>111288</v>
      </c>
      <c r="AT164" s="857">
        <f>+VLOOKUP(AT$161,[2]Base!$E:$Y,$BA164,0)</f>
        <v>113998</v>
      </c>
      <c r="AU164" s="857">
        <f>+VLOOKUP(AU$161,[2]Base!$E:$Y,$BA164,0)</f>
        <v>125904</v>
      </c>
      <c r="AV164" s="857">
        <f>+VLOOKUP(AV$161,[2]Base!$E:$Y,$BA164,0)</f>
        <v>140712</v>
      </c>
      <c r="AW164" s="647">
        <f>+SUM(AS164:AV164)</f>
        <v>491902</v>
      </c>
      <c r="AX164" s="857">
        <f>+VLOOKUP(AX$161,[2]Base!$E:$Y,$BA164,0)</f>
        <v>118189</v>
      </c>
      <c r="AY164" s="857">
        <f>+VLOOKUP(AY$161,[2]Base!$E:$Y,$BA164,0)</f>
        <v>159888</v>
      </c>
      <c r="AZ164" s="1168"/>
      <c r="BA164" s="1168">
        <v>21</v>
      </c>
      <c r="BN164" s="266"/>
      <c r="BO164" s="266"/>
      <c r="BP164" s="266"/>
      <c r="BQ164" s="266"/>
      <c r="BR164" s="266"/>
      <c r="BS164" s="266"/>
      <c r="BT164" s="266"/>
      <c r="BU164" s="266"/>
      <c r="BV164" s="266"/>
      <c r="BW164" s="266"/>
      <c r="BX164" s="266"/>
      <c r="BY164" s="266"/>
      <c r="BZ164" s="266"/>
      <c r="CA164" s="266"/>
      <c r="CB164" s="266"/>
      <c r="CC164" s="266"/>
      <c r="CD164" s="266"/>
      <c r="CE164" s="266"/>
      <c r="CF164" s="266"/>
      <c r="CG164" s="266"/>
      <c r="CH164" s="266"/>
      <c r="CI164" s="266"/>
      <c r="CJ164" s="266"/>
    </row>
    <row r="165" spans="1:88" s="850" customFormat="1" ht="13.5" customHeight="1" x14ac:dyDescent="0.2">
      <c r="A165" s="850" t="s">
        <v>1679</v>
      </c>
      <c r="B165" s="856" t="s">
        <v>1678</v>
      </c>
      <c r="C165" s="855"/>
      <c r="D165" s="854" t="str">
        <f>IF([1]RENAME!$H$3=1,B165,A165)</f>
        <v>Variação %</v>
      </c>
      <c r="E165" s="853" t="s">
        <v>160</v>
      </c>
      <c r="F165" s="853" t="s">
        <v>160</v>
      </c>
      <c r="G165" s="853" t="s">
        <v>160</v>
      </c>
      <c r="H165" s="853" t="s">
        <v>160</v>
      </c>
      <c r="I165" s="852" t="s">
        <v>160</v>
      </c>
      <c r="J165" s="853">
        <f>J164/E164-1</f>
        <v>0.22874666253917897</v>
      </c>
      <c r="K165" s="853">
        <f>K164/F164-1</f>
        <v>0.34154060814374931</v>
      </c>
      <c r="L165" s="853">
        <f>L164/G164-1</f>
        <v>0.30414300867286448</v>
      </c>
      <c r="M165" s="853">
        <f>M164/H164-1</f>
        <v>0.21911986068888178</v>
      </c>
      <c r="N165" s="852">
        <f>+N164/I164-1</f>
        <v>0.27335603012483234</v>
      </c>
      <c r="O165" s="853">
        <f>O164/J164-1</f>
        <v>7.2493662315577412E-2</v>
      </c>
      <c r="P165" s="853">
        <f>P164/K164-1</f>
        <v>-6.5334026711989956E-2</v>
      </c>
      <c r="Q165" s="853">
        <f>Q164/L164-1</f>
        <v>-9.772025931153272E-2</v>
      </c>
      <c r="R165" s="853">
        <f>R164/M164-1</f>
        <v>-6.4241617237622561E-2</v>
      </c>
      <c r="S165" s="852">
        <f>+S164/N164-1</f>
        <v>-4.5448947712969034E-2</v>
      </c>
      <c r="T165" s="853">
        <f>T164/O164-1</f>
        <v>-0.12427877204057958</v>
      </c>
      <c r="U165" s="853">
        <f>U164/P164-1</f>
        <v>-0.53265029176279</v>
      </c>
      <c r="V165" s="853">
        <f>V164/Q164-1</f>
        <v>-0.27346359828198741</v>
      </c>
      <c r="W165" s="853">
        <f>W164/R164-1</f>
        <v>-0.23949911387656364</v>
      </c>
      <c r="X165" s="852">
        <f>+X164/S164-1</f>
        <v>-0.29489512531319817</v>
      </c>
      <c r="Y165" s="853">
        <f>Y164/T164-1</f>
        <v>-0.23072022532188841</v>
      </c>
      <c r="Z165" s="853">
        <f>Z164/U164-1</f>
        <v>0.72632770986381723</v>
      </c>
      <c r="AA165" s="853">
        <f>AA164/V164-1</f>
        <v>0.23489700220774723</v>
      </c>
      <c r="AB165" s="853">
        <f>AB164/W164-1</f>
        <v>0.27406487608226038</v>
      </c>
      <c r="AC165" s="852">
        <f>+AC164/X164-1</f>
        <v>0.19374720126346401</v>
      </c>
      <c r="AD165" s="853">
        <f>AD164/Y164-1</f>
        <v>8.7935317961905568E-2</v>
      </c>
      <c r="AE165" s="853">
        <f>AE164/Z164-1</f>
        <v>0.13119607084587837</v>
      </c>
      <c r="AF165" s="853">
        <f>AF164/AA164-1</f>
        <v>3.4692158803800277E-2</v>
      </c>
      <c r="AG165" s="853">
        <f>AG164/AB164-1</f>
        <v>6.4805543317178582E-2</v>
      </c>
      <c r="AH165" s="852">
        <f>+AH164/AC164-1</f>
        <v>7.6786557008079237E-2</v>
      </c>
      <c r="AI165" s="853">
        <f>AI164/AD164-1</f>
        <v>0.26606037539312122</v>
      </c>
      <c r="AJ165" s="853">
        <f>AJ164/AE164-1</f>
        <v>0.12995702793927411</v>
      </c>
      <c r="AK165" s="853">
        <f>AK164/AF164-1</f>
        <v>0.30962886804038336</v>
      </c>
      <c r="AL165" s="853">
        <f>AL164/AG164-1</f>
        <v>0.41839383110776751</v>
      </c>
      <c r="AM165" s="852">
        <f>+AM164/AH164-1</f>
        <v>0.28871208205035992</v>
      </c>
      <c r="AN165" s="853">
        <f>AN164/AI164-1</f>
        <v>0.40382576776418833</v>
      </c>
      <c r="AO165" s="853">
        <f>AO164/AJ164-1</f>
        <v>0.39156238074559502</v>
      </c>
      <c r="AP165" s="853">
        <f>AP164/AK164-1</f>
        <v>0.33562674459176556</v>
      </c>
      <c r="AQ165" s="853">
        <f>AQ164/AL164-1</f>
        <v>0.25883985714790847</v>
      </c>
      <c r="AR165" s="852">
        <f>+AR164/AM164-1</f>
        <v>0.33526241744953955</v>
      </c>
      <c r="AS165" s="853">
        <f>AS164/AN164-1</f>
        <v>0.25428848364628176</v>
      </c>
      <c r="AT165" s="853">
        <f>AT164/AO164-1</f>
        <v>7.8005465772726046E-2</v>
      </c>
      <c r="AU165" s="853">
        <f>AU164/AP164-1</f>
        <v>2.784648918713728E-2</v>
      </c>
      <c r="AV165" s="853">
        <f>AV164/AQ164-1</f>
        <v>-1.1888627506056682E-2</v>
      </c>
      <c r="AW165" s="852">
        <f>+AW164/AR164-1</f>
        <v>7.0811736867425923E-2</v>
      </c>
      <c r="AX165" s="853">
        <f>AX164/AS164-1</f>
        <v>6.2010279634821419E-2</v>
      </c>
      <c r="AY165" s="853">
        <f>AY164/AT164-1</f>
        <v>0.40255092194599906</v>
      </c>
      <c r="AZ165" s="983">
        <v>14</v>
      </c>
      <c r="BA165" s="983"/>
      <c r="BB165" s="851"/>
      <c r="BC165" s="851"/>
      <c r="BD165" s="851"/>
      <c r="BE165" s="851"/>
      <c r="BF165" s="851"/>
      <c r="BG165" s="851"/>
      <c r="BH165" s="851"/>
      <c r="BK165" s="851"/>
      <c r="BL165" s="851"/>
      <c r="BM165" s="851"/>
      <c r="BN165" s="851"/>
      <c r="BO165" s="851"/>
      <c r="BP165" s="851"/>
      <c r="BQ165" s="851"/>
      <c r="BR165" s="851"/>
      <c r="BS165" s="851"/>
      <c r="BT165" s="851"/>
      <c r="BU165" s="851"/>
      <c r="BV165" s="851"/>
      <c r="BW165" s="851"/>
      <c r="BX165" s="851"/>
      <c r="BY165" s="851"/>
      <c r="BZ165" s="851"/>
      <c r="CA165" s="851"/>
      <c r="CB165" s="851"/>
      <c r="CC165" s="851"/>
      <c r="CD165" s="851"/>
      <c r="CE165" s="851"/>
      <c r="CF165" s="851"/>
      <c r="CG165" s="851"/>
      <c r="CH165" s="851"/>
      <c r="CI165" s="851"/>
      <c r="CJ165" s="851"/>
    </row>
    <row r="166" spans="1:88" ht="14.25" customHeight="1" x14ac:dyDescent="0.2">
      <c r="BN166" s="266"/>
      <c r="BO166" s="266"/>
      <c r="BP166" s="266"/>
      <c r="BQ166" s="266"/>
      <c r="BR166" s="266"/>
      <c r="BS166" s="266"/>
      <c r="BT166" s="266"/>
      <c r="BU166" s="266"/>
      <c r="BV166" s="266"/>
      <c r="BW166" s="266"/>
      <c r="BX166" s="266"/>
      <c r="BY166" s="266"/>
      <c r="BZ166" s="266"/>
      <c r="CA166" s="266"/>
      <c r="CB166" s="266"/>
      <c r="CC166" s="266"/>
      <c r="CD166" s="266"/>
      <c r="CE166" s="266"/>
      <c r="CF166" s="266"/>
      <c r="CG166" s="266"/>
      <c r="CH166" s="266"/>
      <c r="CI166" s="266"/>
      <c r="CJ166" s="266"/>
    </row>
    <row r="167" spans="1:88" ht="14.25" customHeight="1" x14ac:dyDescent="0.2">
      <c r="E167" s="266" t="s">
        <v>849</v>
      </c>
      <c r="F167" s="266" t="s">
        <v>850</v>
      </c>
      <c r="G167" s="266" t="s">
        <v>851</v>
      </c>
      <c r="H167" s="266" t="s">
        <v>1169</v>
      </c>
      <c r="I167" s="266" t="s">
        <v>1294</v>
      </c>
      <c r="J167" s="266" t="s">
        <v>1290</v>
      </c>
      <c r="K167" s="266" t="s">
        <v>1312</v>
      </c>
      <c r="L167" s="266" t="s">
        <v>1335</v>
      </c>
      <c r="M167" s="266" t="s">
        <v>1394</v>
      </c>
      <c r="N167" s="266" t="s">
        <v>1765</v>
      </c>
      <c r="O167" s="266" t="s">
        <v>1420</v>
      </c>
      <c r="P167" s="266" t="s">
        <v>1512</v>
      </c>
      <c r="Q167" s="266" t="s">
        <v>1513</v>
      </c>
      <c r="R167" s="266" t="s">
        <v>1514</v>
      </c>
      <c r="S167" s="266" t="s">
        <v>1764</v>
      </c>
      <c r="T167" s="266" t="s">
        <v>1631</v>
      </c>
      <c r="U167" s="266" t="s">
        <v>1667</v>
      </c>
      <c r="V167" s="266" t="s">
        <v>1668</v>
      </c>
      <c r="W167" s="266" t="s">
        <v>1628</v>
      </c>
      <c r="X167" s="266" t="s">
        <v>1835</v>
      </c>
      <c r="Y167" s="266" t="s">
        <v>1827</v>
      </c>
      <c r="Z167" s="266" t="s">
        <v>1828</v>
      </c>
      <c r="AA167" s="266" t="s">
        <v>1829</v>
      </c>
      <c r="AB167" s="266" t="s">
        <v>1830</v>
      </c>
      <c r="AC167" s="266" t="s">
        <v>1928</v>
      </c>
      <c r="AD167" s="266" t="s">
        <v>1931</v>
      </c>
      <c r="AE167" s="266" t="s">
        <v>1943</v>
      </c>
      <c r="AF167" s="266" t="s">
        <v>1945</v>
      </c>
      <c r="AG167" s="266" t="s">
        <v>1947</v>
      </c>
      <c r="AH167" s="266" t="s">
        <v>1999</v>
      </c>
      <c r="AI167" s="266" t="s">
        <v>2009</v>
      </c>
      <c r="AJ167" s="266" t="s">
        <v>2009</v>
      </c>
      <c r="AK167" s="266" t="s">
        <v>2009</v>
      </c>
      <c r="AL167" s="266" t="s">
        <v>2009</v>
      </c>
      <c r="AM167" s="266" t="s">
        <v>1999</v>
      </c>
      <c r="AN167" s="266" t="s">
        <v>2009</v>
      </c>
      <c r="AO167" s="266"/>
      <c r="AP167" s="266"/>
      <c r="AQ167" s="266"/>
      <c r="AR167" s="266" t="s">
        <v>1999</v>
      </c>
      <c r="AS167" s="266"/>
      <c r="AT167" s="266"/>
      <c r="AU167" s="266"/>
      <c r="AV167" s="266"/>
      <c r="AW167" s="266"/>
      <c r="AX167" s="266"/>
      <c r="AY167" s="266"/>
      <c r="BN167" s="266"/>
      <c r="BO167" s="266"/>
      <c r="BP167" s="266"/>
      <c r="BQ167" s="266"/>
      <c r="BR167" s="266"/>
      <c r="BS167" s="266"/>
      <c r="BT167" s="266"/>
      <c r="BU167" s="266"/>
      <c r="BV167" s="266"/>
      <c r="BW167" s="266"/>
      <c r="BX167" s="266"/>
      <c r="BY167" s="266"/>
      <c r="BZ167" s="266"/>
      <c r="CA167" s="266"/>
      <c r="CB167" s="266"/>
      <c r="CC167" s="266"/>
      <c r="CD167" s="266"/>
      <c r="CE167" s="266"/>
      <c r="CF167" s="266"/>
      <c r="CG167" s="266"/>
      <c r="CH167" s="266"/>
      <c r="CI167" s="266"/>
      <c r="CJ167" s="266"/>
    </row>
    <row r="168" spans="1:88" ht="14.25" customHeight="1" x14ac:dyDescent="0.2">
      <c r="BN168" s="266"/>
      <c r="BO168" s="266"/>
      <c r="BP168" s="266"/>
      <c r="BQ168" s="266"/>
      <c r="BR168" s="266"/>
      <c r="BS168" s="266"/>
      <c r="BT168" s="266"/>
      <c r="BU168" s="266"/>
      <c r="BV168" s="266"/>
      <c r="BW168" s="266"/>
      <c r="BX168" s="266"/>
      <c r="BY168" s="266"/>
      <c r="BZ168" s="266"/>
      <c r="CA168" s="266"/>
      <c r="CB168" s="266"/>
      <c r="CC168" s="266"/>
      <c r="CD168" s="266"/>
      <c r="CE168" s="266"/>
      <c r="CF168" s="266"/>
      <c r="CG168" s="266"/>
      <c r="CH168" s="266"/>
      <c r="CI168" s="266"/>
      <c r="CJ168" s="266"/>
    </row>
    <row r="169" spans="1:88" ht="14.25" customHeight="1" x14ac:dyDescent="0.2">
      <c r="BN169" s="266"/>
      <c r="BO169" s="266"/>
      <c r="BP169" s="266"/>
      <c r="BQ169" s="266"/>
      <c r="BR169" s="266"/>
      <c r="BS169" s="266"/>
      <c r="BT169" s="266"/>
      <c r="BU169" s="266"/>
      <c r="BV169" s="266"/>
      <c r="BW169" s="266"/>
      <c r="BX169" s="266"/>
      <c r="BY169" s="266"/>
      <c r="BZ169" s="266"/>
      <c r="CA169" s="266"/>
      <c r="CB169" s="266"/>
      <c r="CC169" s="266"/>
      <c r="CD169" s="266"/>
      <c r="CE169" s="266"/>
      <c r="CF169" s="266"/>
      <c r="CG169" s="266"/>
      <c r="CH169" s="266"/>
      <c r="CI169" s="266"/>
      <c r="CJ169" s="266"/>
    </row>
    <row r="170" spans="1:88" ht="14.25" customHeight="1" x14ac:dyDescent="0.2">
      <c r="BN170" s="266"/>
      <c r="BO170" s="266"/>
      <c r="BP170" s="266"/>
      <c r="BQ170" s="266"/>
      <c r="BR170" s="266"/>
      <c r="BS170" s="266"/>
      <c r="BT170" s="266"/>
      <c r="BU170" s="266"/>
      <c r="BV170" s="266"/>
      <c r="BW170" s="266"/>
      <c r="BX170" s="266"/>
      <c r="BY170" s="266"/>
      <c r="BZ170" s="266"/>
      <c r="CA170" s="266"/>
      <c r="CB170" s="266"/>
      <c r="CC170" s="266"/>
      <c r="CD170" s="266"/>
      <c r="CE170" s="266"/>
      <c r="CF170" s="266"/>
      <c r="CG170" s="266"/>
      <c r="CH170" s="266"/>
      <c r="CI170" s="266"/>
      <c r="CJ170" s="266"/>
    </row>
    <row r="171" spans="1:88" ht="14.25" customHeight="1" x14ac:dyDescent="0.2">
      <c r="BN171" s="266"/>
      <c r="BO171" s="266"/>
      <c r="BP171" s="266"/>
      <c r="BQ171" s="266"/>
      <c r="BR171" s="266"/>
      <c r="BS171" s="266"/>
      <c r="BT171" s="266"/>
      <c r="BU171" s="266"/>
      <c r="BV171" s="266"/>
      <c r="BW171" s="266"/>
      <c r="BX171" s="266"/>
      <c r="BY171" s="266"/>
      <c r="BZ171" s="266"/>
      <c r="CA171" s="266"/>
      <c r="CB171" s="266"/>
      <c r="CC171" s="266"/>
      <c r="CD171" s="266"/>
      <c r="CE171" s="266"/>
      <c r="CF171" s="266"/>
      <c r="CG171" s="266"/>
      <c r="CH171" s="266"/>
      <c r="CI171" s="266"/>
      <c r="CJ171" s="266"/>
    </row>
    <row r="172" spans="1:88" ht="14.25" customHeight="1" x14ac:dyDescent="0.2">
      <c r="BN172" s="266"/>
      <c r="BO172" s="266"/>
      <c r="BP172" s="266"/>
      <c r="BQ172" s="266"/>
      <c r="BR172" s="266"/>
      <c r="BS172" s="266"/>
      <c r="BT172" s="266"/>
      <c r="BU172" s="266"/>
      <c r="BV172" s="266"/>
      <c r="BW172" s="266"/>
      <c r="BX172" s="266"/>
      <c r="BY172" s="266"/>
      <c r="BZ172" s="266"/>
      <c r="CA172" s="266"/>
      <c r="CB172" s="266"/>
      <c r="CC172" s="266"/>
      <c r="CD172" s="266"/>
      <c r="CE172" s="266"/>
      <c r="CF172" s="266"/>
      <c r="CG172" s="266"/>
      <c r="CH172" s="266"/>
      <c r="CI172" s="266"/>
      <c r="CJ172" s="266"/>
    </row>
    <row r="173" spans="1:88" ht="14.25" customHeight="1" x14ac:dyDescent="0.2">
      <c r="BN173" s="266"/>
      <c r="BO173" s="266"/>
      <c r="BP173" s="266"/>
      <c r="BQ173" s="266"/>
      <c r="BR173" s="266"/>
      <c r="BS173" s="266"/>
      <c r="BT173" s="266"/>
      <c r="BU173" s="266"/>
      <c r="BV173" s="266"/>
      <c r="BW173" s="266"/>
      <c r="BX173" s="266"/>
      <c r="BY173" s="266"/>
      <c r="BZ173" s="266"/>
      <c r="CA173" s="266"/>
      <c r="CB173" s="266"/>
      <c r="CC173" s="266"/>
      <c r="CD173" s="266"/>
      <c r="CE173" s="266"/>
      <c r="CF173" s="266"/>
      <c r="CG173" s="266"/>
      <c r="CH173" s="266"/>
      <c r="CI173" s="266"/>
      <c r="CJ173" s="266"/>
    </row>
    <row r="174" spans="1:88" ht="14.25" customHeight="1" x14ac:dyDescent="0.2">
      <c r="BN174" s="266"/>
      <c r="BO174" s="266"/>
      <c r="BP174" s="266"/>
      <c r="BQ174" s="266"/>
      <c r="BR174" s="266"/>
      <c r="BS174" s="266"/>
      <c r="BT174" s="266"/>
      <c r="BU174" s="266"/>
      <c r="BV174" s="266"/>
      <c r="BW174" s="266"/>
      <c r="BX174" s="266"/>
      <c r="BY174" s="266"/>
      <c r="BZ174" s="266"/>
      <c r="CA174" s="266"/>
      <c r="CB174" s="266"/>
      <c r="CC174" s="266"/>
      <c r="CD174" s="266"/>
      <c r="CE174" s="266"/>
      <c r="CF174" s="266"/>
      <c r="CG174" s="266"/>
      <c r="CH174" s="266"/>
      <c r="CI174" s="266"/>
      <c r="CJ174" s="266"/>
    </row>
    <row r="175" spans="1:88" ht="14.25" customHeight="1" x14ac:dyDescent="0.2">
      <c r="BN175" s="266"/>
      <c r="BO175" s="266"/>
      <c r="BP175" s="266"/>
      <c r="BQ175" s="266"/>
      <c r="BR175" s="266"/>
      <c r="BS175" s="266"/>
      <c r="BT175" s="266"/>
      <c r="BU175" s="266"/>
      <c r="BV175" s="266"/>
      <c r="BW175" s="266"/>
      <c r="BX175" s="266"/>
      <c r="BY175" s="266"/>
      <c r="BZ175" s="266"/>
      <c r="CA175" s="266"/>
      <c r="CB175" s="266"/>
      <c r="CC175" s="266"/>
      <c r="CD175" s="266"/>
      <c r="CE175" s="266"/>
      <c r="CF175" s="266"/>
      <c r="CG175" s="266"/>
      <c r="CH175" s="266"/>
      <c r="CI175" s="266"/>
      <c r="CJ175" s="266"/>
    </row>
    <row r="176" spans="1:88" ht="14.25" customHeight="1" x14ac:dyDescent="0.2">
      <c r="BN176" s="266"/>
      <c r="BO176" s="266"/>
      <c r="BP176" s="266"/>
      <c r="BQ176" s="266"/>
      <c r="BR176" s="266"/>
      <c r="BS176" s="266"/>
      <c r="BT176" s="266"/>
      <c r="BU176" s="266"/>
      <c r="BV176" s="266"/>
      <c r="BW176" s="266"/>
      <c r="BX176" s="266"/>
      <c r="BY176" s="266"/>
      <c r="BZ176" s="266"/>
      <c r="CA176" s="266"/>
      <c r="CB176" s="266"/>
      <c r="CC176" s="266"/>
      <c r="CD176" s="266"/>
      <c r="CE176" s="266"/>
      <c r="CF176" s="266"/>
      <c r="CG176" s="266"/>
      <c r="CH176" s="266"/>
      <c r="CI176" s="266"/>
      <c r="CJ176" s="266"/>
    </row>
    <row r="177" spans="66:88" ht="14.25" customHeight="1" x14ac:dyDescent="0.2">
      <c r="BN177" s="266"/>
      <c r="BO177" s="266"/>
      <c r="BP177" s="266"/>
      <c r="BQ177" s="266"/>
      <c r="BR177" s="266"/>
      <c r="BS177" s="266"/>
      <c r="BT177" s="266"/>
      <c r="BU177" s="266"/>
      <c r="BV177" s="266"/>
      <c r="BW177" s="266"/>
      <c r="BX177" s="266"/>
      <c r="BY177" s="266"/>
      <c r="BZ177" s="266"/>
      <c r="CA177" s="266"/>
      <c r="CB177" s="266"/>
      <c r="CC177" s="266"/>
      <c r="CD177" s="266"/>
      <c r="CE177" s="266"/>
      <c r="CF177" s="266"/>
      <c r="CG177" s="266"/>
      <c r="CH177" s="266"/>
      <c r="CI177" s="266"/>
      <c r="CJ177" s="266"/>
    </row>
    <row r="178" spans="66:88" ht="14.25" customHeight="1" x14ac:dyDescent="0.2">
      <c r="BN178" s="266"/>
      <c r="BO178" s="266"/>
      <c r="BP178" s="266"/>
      <c r="BQ178" s="266"/>
      <c r="BR178" s="266"/>
      <c r="BS178" s="266"/>
      <c r="BT178" s="266"/>
      <c r="BU178" s="266"/>
      <c r="BV178" s="266"/>
      <c r="BW178" s="266"/>
      <c r="BX178" s="266"/>
      <c r="BY178" s="266"/>
      <c r="BZ178" s="266"/>
      <c r="CA178" s="266"/>
      <c r="CB178" s="266"/>
      <c r="CC178" s="266"/>
      <c r="CD178" s="266"/>
      <c r="CE178" s="266"/>
      <c r="CF178" s="266"/>
      <c r="CG178" s="266"/>
      <c r="CH178" s="266"/>
      <c r="CI178" s="266"/>
      <c r="CJ178" s="266"/>
    </row>
    <row r="179" spans="66:88" ht="14.25" customHeight="1" x14ac:dyDescent="0.2">
      <c r="BN179" s="266"/>
      <c r="BO179" s="266"/>
      <c r="BP179" s="266"/>
      <c r="BQ179" s="266"/>
      <c r="BR179" s="266"/>
      <c r="BS179" s="266"/>
      <c r="BT179" s="266"/>
      <c r="BU179" s="266"/>
      <c r="BV179" s="266"/>
      <c r="BW179" s="266"/>
      <c r="BX179" s="266"/>
      <c r="BY179" s="266"/>
      <c r="BZ179" s="266"/>
      <c r="CA179" s="266"/>
      <c r="CB179" s="266"/>
      <c r="CC179" s="266"/>
      <c r="CD179" s="266"/>
      <c r="CE179" s="266"/>
      <c r="CF179" s="266"/>
      <c r="CG179" s="266"/>
      <c r="CH179" s="266"/>
      <c r="CI179" s="266"/>
      <c r="CJ179" s="266"/>
    </row>
    <row r="180" spans="66:88" ht="14.25" customHeight="1" x14ac:dyDescent="0.2">
      <c r="BN180" s="266"/>
      <c r="BO180" s="266"/>
      <c r="BP180" s="266"/>
      <c r="BQ180" s="266"/>
      <c r="BR180" s="266"/>
      <c r="BS180" s="266"/>
      <c r="BT180" s="266"/>
      <c r="BU180" s="266"/>
      <c r="BV180" s="266"/>
      <c r="BW180" s="266"/>
      <c r="BX180" s="266"/>
      <c r="BY180" s="266"/>
      <c r="BZ180" s="266"/>
      <c r="CA180" s="266"/>
      <c r="CB180" s="266"/>
      <c r="CC180" s="266"/>
      <c r="CD180" s="266"/>
      <c r="CE180" s="266"/>
      <c r="CF180" s="266"/>
      <c r="CG180" s="266"/>
      <c r="CH180" s="266"/>
      <c r="CI180" s="266"/>
      <c r="CJ180" s="266"/>
    </row>
    <row r="181" spans="66:88" ht="14.25" customHeight="1" x14ac:dyDescent="0.2">
      <c r="BN181" s="266"/>
      <c r="BO181" s="266"/>
      <c r="BP181" s="266"/>
      <c r="BQ181" s="266"/>
      <c r="BR181" s="266"/>
      <c r="BS181" s="266"/>
      <c r="BT181" s="266"/>
      <c r="BU181" s="266"/>
      <c r="BV181" s="266"/>
      <c r="BW181" s="266"/>
      <c r="BX181" s="266"/>
      <c r="BY181" s="266"/>
      <c r="BZ181" s="266"/>
      <c r="CA181" s="266"/>
      <c r="CB181" s="266"/>
      <c r="CC181" s="266"/>
      <c r="CD181" s="266"/>
      <c r="CE181" s="266"/>
      <c r="CF181" s="266"/>
      <c r="CG181" s="266"/>
      <c r="CH181" s="266"/>
      <c r="CI181" s="266"/>
      <c r="CJ181" s="266"/>
    </row>
    <row r="182" spans="66:88" ht="14.25" customHeight="1" x14ac:dyDescent="0.2">
      <c r="BN182" s="266"/>
      <c r="BO182" s="266"/>
      <c r="BP182" s="266"/>
      <c r="BQ182" s="266"/>
      <c r="BR182" s="266"/>
      <c r="BS182" s="266"/>
      <c r="BT182" s="266"/>
      <c r="BU182" s="266"/>
      <c r="BV182" s="266"/>
      <c r="BW182" s="266"/>
      <c r="BX182" s="266"/>
      <c r="BY182" s="266"/>
      <c r="BZ182" s="266"/>
      <c r="CA182" s="266"/>
      <c r="CB182" s="266"/>
      <c r="CC182" s="266"/>
      <c r="CD182" s="266"/>
      <c r="CE182" s="266"/>
      <c r="CF182" s="266"/>
      <c r="CG182" s="266"/>
      <c r="CH182" s="266"/>
      <c r="CI182" s="266"/>
      <c r="CJ182" s="266"/>
    </row>
    <row r="183" spans="66:88" ht="14.25" customHeight="1" x14ac:dyDescent="0.2">
      <c r="BN183" s="266"/>
      <c r="BO183" s="266"/>
      <c r="BP183" s="266"/>
      <c r="BQ183" s="266"/>
      <c r="BR183" s="266"/>
      <c r="BS183" s="266"/>
      <c r="BT183" s="266"/>
      <c r="BU183" s="266"/>
      <c r="BV183" s="266"/>
      <c r="BW183" s="266"/>
      <c r="BX183" s="266"/>
      <c r="BY183" s="266"/>
      <c r="BZ183" s="266"/>
      <c r="CA183" s="266"/>
      <c r="CB183" s="266"/>
      <c r="CC183" s="266"/>
      <c r="CD183" s="266"/>
      <c r="CE183" s="266"/>
      <c r="CF183" s="266"/>
      <c r="CG183" s="266"/>
      <c r="CH183" s="266"/>
      <c r="CI183" s="266"/>
      <c r="CJ183" s="266"/>
    </row>
    <row r="184" spans="66:88" ht="14.25" customHeight="1" x14ac:dyDescent="0.2">
      <c r="BN184" s="266"/>
      <c r="BO184" s="266"/>
      <c r="BP184" s="266"/>
      <c r="BQ184" s="266"/>
      <c r="BR184" s="266"/>
      <c r="BS184" s="266"/>
      <c r="BT184" s="266"/>
      <c r="BU184" s="266"/>
      <c r="BV184" s="266"/>
      <c r="BW184" s="266"/>
      <c r="BX184" s="266"/>
      <c r="BY184" s="266"/>
      <c r="BZ184" s="266"/>
      <c r="CA184" s="266"/>
      <c r="CB184" s="266"/>
      <c r="CC184" s="266"/>
      <c r="CD184" s="266"/>
      <c r="CE184" s="266"/>
      <c r="CF184" s="266"/>
      <c r="CG184" s="266"/>
      <c r="CH184" s="266"/>
      <c r="CI184" s="266"/>
      <c r="CJ184" s="266"/>
    </row>
    <row r="185" spans="66:88" ht="14.25" customHeight="1" x14ac:dyDescent="0.2">
      <c r="BN185" s="266"/>
      <c r="BO185" s="266"/>
      <c r="BP185" s="266"/>
      <c r="BQ185" s="266"/>
      <c r="BR185" s="266"/>
      <c r="BS185" s="266"/>
      <c r="BT185" s="266"/>
      <c r="BU185" s="266"/>
      <c r="BV185" s="266"/>
      <c r="BW185" s="266"/>
      <c r="BX185" s="266"/>
      <c r="BY185" s="266"/>
      <c r="BZ185" s="266"/>
      <c r="CA185" s="266"/>
      <c r="CB185" s="266"/>
      <c r="CC185" s="266"/>
      <c r="CD185" s="266"/>
      <c r="CE185" s="266"/>
      <c r="CF185" s="266"/>
      <c r="CG185" s="266"/>
      <c r="CH185" s="266"/>
      <c r="CI185" s="266"/>
      <c r="CJ185" s="266"/>
    </row>
    <row r="186" spans="66:88" ht="14.25" customHeight="1" x14ac:dyDescent="0.2">
      <c r="BN186" s="266"/>
      <c r="BO186" s="266"/>
      <c r="BP186" s="266"/>
      <c r="BQ186" s="266"/>
      <c r="BR186" s="266"/>
      <c r="BS186" s="266"/>
      <c r="BT186" s="266"/>
      <c r="BU186" s="266"/>
      <c r="BV186" s="266"/>
      <c r="BW186" s="266"/>
      <c r="BX186" s="266"/>
      <c r="BY186" s="266"/>
      <c r="BZ186" s="266"/>
      <c r="CA186" s="266"/>
      <c r="CB186" s="266"/>
      <c r="CC186" s="266"/>
      <c r="CD186" s="266"/>
      <c r="CE186" s="266"/>
      <c r="CF186" s="266"/>
      <c r="CG186" s="266"/>
      <c r="CH186" s="266"/>
      <c r="CI186" s="266"/>
      <c r="CJ186" s="266"/>
    </row>
    <row r="187" spans="66:88" ht="14.25" customHeight="1" x14ac:dyDescent="0.2">
      <c r="BN187" s="266"/>
      <c r="BO187" s="266"/>
      <c r="BP187" s="266"/>
      <c r="BQ187" s="266"/>
      <c r="BR187" s="266"/>
      <c r="BS187" s="266"/>
      <c r="BT187" s="266"/>
      <c r="BU187" s="266"/>
      <c r="BV187" s="266"/>
      <c r="BW187" s="266"/>
      <c r="BX187" s="266"/>
      <c r="BY187" s="266"/>
      <c r="BZ187" s="266"/>
      <c r="CA187" s="266"/>
      <c r="CB187" s="266"/>
      <c r="CC187" s="266"/>
      <c r="CD187" s="266"/>
      <c r="CE187" s="266"/>
      <c r="CF187" s="266"/>
      <c r="CG187" s="266"/>
      <c r="CH187" s="266"/>
      <c r="CI187" s="266"/>
      <c r="CJ187" s="266"/>
    </row>
    <row r="188" spans="66:88" ht="14.25" customHeight="1" x14ac:dyDescent="0.2">
      <c r="BN188" s="266"/>
      <c r="BO188" s="266"/>
      <c r="BP188" s="266"/>
      <c r="BQ188" s="266"/>
      <c r="BR188" s="266"/>
      <c r="BS188" s="266"/>
      <c r="BT188" s="266"/>
      <c r="BU188" s="266"/>
      <c r="BV188" s="266"/>
      <c r="BW188" s="266"/>
      <c r="BX188" s="266"/>
      <c r="BY188" s="266"/>
      <c r="BZ188" s="266"/>
      <c r="CA188" s="266"/>
      <c r="CB188" s="266"/>
      <c r="CC188" s="266"/>
      <c r="CD188" s="266"/>
      <c r="CE188" s="266"/>
      <c r="CF188" s="266"/>
      <c r="CG188" s="266"/>
      <c r="CH188" s="266"/>
      <c r="CI188" s="266"/>
      <c r="CJ188" s="266"/>
    </row>
    <row r="189" spans="66:88" ht="14.25" customHeight="1" x14ac:dyDescent="0.2">
      <c r="BN189" s="266"/>
      <c r="BO189" s="266"/>
      <c r="BP189" s="266"/>
      <c r="BQ189" s="266"/>
      <c r="BR189" s="266"/>
      <c r="BS189" s="266"/>
      <c r="BT189" s="266"/>
      <c r="BU189" s="266"/>
      <c r="BV189" s="266"/>
      <c r="BW189" s="266"/>
      <c r="BX189" s="266"/>
      <c r="BY189" s="266"/>
      <c r="BZ189" s="266"/>
      <c r="CA189" s="266"/>
      <c r="CB189" s="266"/>
      <c r="CC189" s="266"/>
      <c r="CD189" s="266"/>
      <c r="CE189" s="266"/>
      <c r="CF189" s="266"/>
      <c r="CG189" s="266"/>
      <c r="CH189" s="266"/>
      <c r="CI189" s="266"/>
      <c r="CJ189" s="266"/>
    </row>
    <row r="190" spans="66:88" ht="14.25" customHeight="1" x14ac:dyDescent="0.2">
      <c r="BN190" s="266"/>
      <c r="BO190" s="266"/>
      <c r="BP190" s="266"/>
      <c r="BQ190" s="266"/>
      <c r="BR190" s="266"/>
      <c r="BS190" s="266"/>
      <c r="BT190" s="266"/>
      <c r="BU190" s="266"/>
      <c r="BV190" s="266"/>
      <c r="BW190" s="266"/>
      <c r="BX190" s="266"/>
      <c r="BY190" s="266"/>
      <c r="BZ190" s="266"/>
      <c r="CA190" s="266"/>
      <c r="CB190" s="266"/>
      <c r="CC190" s="266"/>
      <c r="CD190" s="266"/>
      <c r="CE190" s="266"/>
      <c r="CF190" s="266"/>
      <c r="CG190" s="266"/>
      <c r="CH190" s="266"/>
      <c r="CI190" s="266"/>
      <c r="CJ190" s="266"/>
    </row>
    <row r="191" spans="66:88" ht="14.25" customHeight="1" x14ac:dyDescent="0.2">
      <c r="BN191" s="266"/>
      <c r="BO191" s="266"/>
      <c r="BP191" s="266"/>
      <c r="BQ191" s="266"/>
      <c r="BR191" s="266"/>
      <c r="BS191" s="266"/>
      <c r="BT191" s="266"/>
      <c r="BU191" s="266"/>
      <c r="BV191" s="266"/>
      <c r="BW191" s="266"/>
      <c r="BX191" s="266"/>
      <c r="BY191" s="266"/>
      <c r="BZ191" s="266"/>
      <c r="CA191" s="266"/>
      <c r="CB191" s="266"/>
      <c r="CC191" s="266"/>
      <c r="CD191" s="266"/>
      <c r="CE191" s="266"/>
      <c r="CF191" s="266"/>
      <c r="CG191" s="266"/>
      <c r="CH191" s="266"/>
      <c r="CI191" s="266"/>
      <c r="CJ191" s="266"/>
    </row>
    <row r="192" spans="66:88" ht="14.25" customHeight="1" x14ac:dyDescent="0.2">
      <c r="BN192" s="266"/>
      <c r="BO192" s="266"/>
      <c r="BP192" s="266"/>
      <c r="BQ192" s="266"/>
      <c r="BR192" s="266"/>
      <c r="BS192" s="266"/>
      <c r="BT192" s="266"/>
      <c r="BU192" s="266"/>
      <c r="BV192" s="266"/>
      <c r="BW192" s="266"/>
      <c r="BX192" s="266"/>
      <c r="BY192" s="266"/>
      <c r="BZ192" s="266"/>
      <c r="CA192" s="266"/>
      <c r="CB192" s="266"/>
      <c r="CC192" s="266"/>
      <c r="CD192" s="266"/>
      <c r="CE192" s="266"/>
      <c r="CF192" s="266"/>
      <c r="CG192" s="266"/>
      <c r="CH192" s="266"/>
      <c r="CI192" s="266"/>
      <c r="CJ192" s="266"/>
    </row>
    <row r="193" spans="66:88" ht="14.25" customHeight="1" x14ac:dyDescent="0.2">
      <c r="BN193" s="266"/>
      <c r="BO193" s="266"/>
      <c r="BP193" s="266"/>
      <c r="BQ193" s="266"/>
      <c r="BR193" s="266"/>
      <c r="BS193" s="266"/>
      <c r="BT193" s="266"/>
      <c r="BU193" s="266"/>
      <c r="BV193" s="266"/>
      <c r="BW193" s="266"/>
      <c r="BX193" s="266"/>
      <c r="BY193" s="266"/>
      <c r="BZ193" s="266"/>
      <c r="CA193" s="266"/>
      <c r="CB193" s="266"/>
      <c r="CC193" s="266"/>
      <c r="CD193" s="266"/>
      <c r="CE193" s="266"/>
      <c r="CF193" s="266"/>
      <c r="CG193" s="266"/>
      <c r="CH193" s="266"/>
      <c r="CI193" s="266"/>
      <c r="CJ193" s="266"/>
    </row>
    <row r="194" spans="66:88" ht="14.25" customHeight="1" x14ac:dyDescent="0.2">
      <c r="BN194" s="266"/>
      <c r="BO194" s="266"/>
      <c r="BP194" s="266"/>
      <c r="BQ194" s="266"/>
      <c r="BR194" s="266"/>
      <c r="BS194" s="266"/>
      <c r="BT194" s="266"/>
      <c r="BU194" s="266"/>
      <c r="BV194" s="266"/>
      <c r="BW194" s="266"/>
      <c r="BX194" s="266"/>
      <c r="BY194" s="266"/>
      <c r="BZ194" s="266"/>
      <c r="CA194" s="266"/>
      <c r="CB194" s="266"/>
      <c r="CC194" s="266"/>
      <c r="CD194" s="266"/>
      <c r="CE194" s="266"/>
      <c r="CF194" s="266"/>
      <c r="CG194" s="266"/>
      <c r="CH194" s="266"/>
      <c r="CI194" s="266"/>
      <c r="CJ194" s="266"/>
    </row>
    <row r="195" spans="66:88" ht="14.25" customHeight="1" x14ac:dyDescent="0.2">
      <c r="BN195" s="266"/>
      <c r="BO195" s="266"/>
      <c r="BP195" s="266"/>
      <c r="BQ195" s="266"/>
      <c r="BR195" s="266"/>
      <c r="BS195" s="266"/>
      <c r="BT195" s="266"/>
      <c r="BU195" s="266"/>
      <c r="BV195" s="266"/>
      <c r="BW195" s="266"/>
      <c r="BX195" s="266"/>
      <c r="BY195" s="266"/>
      <c r="BZ195" s="266"/>
      <c r="CA195" s="266"/>
      <c r="CB195" s="266"/>
      <c r="CC195" s="266"/>
      <c r="CD195" s="266"/>
      <c r="CE195" s="266"/>
      <c r="CF195" s="266"/>
      <c r="CG195" s="266"/>
      <c r="CH195" s="266"/>
      <c r="CI195" s="266"/>
      <c r="CJ195" s="266"/>
    </row>
  </sheetData>
  <pageMargins left="0.78740157480314965" right="0.78740157480314965" top="0.98425196850393704" bottom="0.98425196850393704" header="0.51181102362204722" footer="0.51181102362204722"/>
  <pageSetup paperSize="9" scale="90" orientation="portrait"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C6 AH6 AM6 AR6 AW6" formula="1"/>
  </ignoredError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24">
    <pageSetUpPr autoPageBreaks="0"/>
  </sheetPr>
  <dimension ref="A1:BC18"/>
  <sheetViews>
    <sheetView showGridLines="0" workbookViewId="0">
      <pane xSplit="4" ySplit="4" topLeftCell="AU5" activePane="bottomRight" state="frozen"/>
      <selection activeCell="AY7" sqref="AY7"/>
      <selection pane="topRight" activeCell="AY7" sqref="AY7"/>
      <selection pane="bottomLeft" activeCell="AY7" sqref="AY7"/>
      <selection pane="bottomRight" activeCell="BC15" sqref="BC15"/>
    </sheetView>
  </sheetViews>
  <sheetFormatPr defaultRowHeight="12.75" x14ac:dyDescent="0.2"/>
  <cols>
    <col min="1" max="2" width="9.140625" hidden="1" customWidth="1"/>
    <col min="3" max="3" width="1.42578125" customWidth="1"/>
    <col min="4" max="4" width="29.140625" bestFit="1" customWidth="1"/>
    <col min="5" max="54" width="10.85546875" customWidth="1"/>
  </cols>
  <sheetData>
    <row r="1" spans="1:55" s="547" customFormat="1" ht="7.5" customHeight="1" x14ac:dyDescent="0.2">
      <c r="E1" s="547" t="s">
        <v>0</v>
      </c>
      <c r="F1" s="547" t="str">
        <f>IF(LEFT(E1,1)="4","1T"&amp;RIGHT(E1,2)+1,LEFT(E1,1)+1&amp;RIGHT(E1,3))</f>
        <v>1T14</v>
      </c>
      <c r="G1" s="547" t="str">
        <f t="shared" ref="G1:W1" si="0">IF(LEFT(F1,1)="4","1T"&amp;RIGHT(F1,2)+1,LEFT(F1,1)+1&amp;RIGHT(F1,3))</f>
        <v>2T14</v>
      </c>
      <c r="H1" s="547" t="str">
        <f t="shared" si="0"/>
        <v>3T14</v>
      </c>
      <c r="I1" s="547" t="str">
        <f t="shared" si="0"/>
        <v>4T14</v>
      </c>
      <c r="J1" s="547" t="str">
        <f t="shared" si="0"/>
        <v>1T15</v>
      </c>
      <c r="K1" s="547" t="str">
        <f t="shared" si="0"/>
        <v>2T15</v>
      </c>
      <c r="L1" s="547" t="str">
        <f t="shared" si="0"/>
        <v>3T15</v>
      </c>
      <c r="M1" s="547" t="str">
        <f t="shared" si="0"/>
        <v>4T15</v>
      </c>
      <c r="N1" s="547" t="str">
        <f t="shared" si="0"/>
        <v>1T16</v>
      </c>
      <c r="O1" s="547" t="str">
        <f t="shared" si="0"/>
        <v>2T16</v>
      </c>
      <c r="P1" s="547" t="str">
        <f t="shared" si="0"/>
        <v>3T16</v>
      </c>
      <c r="Q1" s="547" t="str">
        <f t="shared" si="0"/>
        <v>4T16</v>
      </c>
      <c r="R1" s="547" t="str">
        <f t="shared" si="0"/>
        <v>1T17</v>
      </c>
      <c r="S1" s="547" t="str">
        <f t="shared" si="0"/>
        <v>2T17</v>
      </c>
      <c r="T1" s="547" t="str">
        <f t="shared" si="0"/>
        <v>3T17</v>
      </c>
      <c r="U1" s="547" t="str">
        <f t="shared" si="0"/>
        <v>4T17</v>
      </c>
      <c r="V1" s="547" t="str">
        <f t="shared" si="0"/>
        <v>1T18</v>
      </c>
      <c r="W1" s="547" t="str">
        <f t="shared" si="0"/>
        <v>2T18</v>
      </c>
      <c r="X1" s="547" t="str">
        <f t="shared" ref="X1:AE1" si="1">IF(LEFT(W1,1)="4","1T"&amp;RIGHT(W1,2)+1,LEFT(W1,1)+1&amp;RIGHT(W1,3))</f>
        <v>3T18</v>
      </c>
      <c r="Y1" s="547" t="str">
        <f t="shared" si="1"/>
        <v>4T18</v>
      </c>
      <c r="Z1" s="547" t="str">
        <f t="shared" si="1"/>
        <v>1T19</v>
      </c>
      <c r="AA1" s="547" t="str">
        <f t="shared" si="1"/>
        <v>2T19</v>
      </c>
      <c r="AB1" s="547" t="str">
        <f t="shared" si="1"/>
        <v>3T19</v>
      </c>
      <c r="AC1" s="547" t="str">
        <f t="shared" si="1"/>
        <v>4T19</v>
      </c>
      <c r="AD1" s="547" t="str">
        <f t="shared" si="1"/>
        <v>1T20</v>
      </c>
      <c r="AE1" s="547" t="str">
        <f t="shared" si="1"/>
        <v>2T20</v>
      </c>
      <c r="AF1" s="547" t="str">
        <f t="shared" ref="AF1:AK1" si="2">IF(LEFT(AE1,1)="4","1T"&amp;RIGHT(AE1,2)+1,LEFT(AE1,1)+1&amp;RIGHT(AE1,3))</f>
        <v>3T20</v>
      </c>
      <c r="AG1" s="547" t="str">
        <f t="shared" si="2"/>
        <v>4T20</v>
      </c>
      <c r="AH1" s="547" t="str">
        <f t="shared" si="2"/>
        <v>1T21</v>
      </c>
      <c r="AI1" s="547" t="str">
        <f t="shared" si="2"/>
        <v>2T21</v>
      </c>
      <c r="AJ1" s="547" t="str">
        <f t="shared" si="2"/>
        <v>3T21</v>
      </c>
      <c r="AK1" s="547" t="str">
        <f t="shared" si="2"/>
        <v>4T21</v>
      </c>
      <c r="AL1" s="547" t="str">
        <f t="shared" ref="AL1:AT1" si="3">IF(LEFT(AK1,1)="4","1T"&amp;RIGHT(AK1,2)+1,LEFT(AK1,1)+1&amp;RIGHT(AK1,3))</f>
        <v>1T22</v>
      </c>
      <c r="AM1" s="547" t="str">
        <f t="shared" si="3"/>
        <v>2T22</v>
      </c>
      <c r="AN1" s="547" t="str">
        <f t="shared" si="3"/>
        <v>3T22</v>
      </c>
      <c r="AO1" s="547" t="str">
        <f t="shared" si="3"/>
        <v>4T22</v>
      </c>
      <c r="AP1" s="547" t="str">
        <f t="shared" si="3"/>
        <v>1T23</v>
      </c>
      <c r="AQ1" s="547" t="str">
        <f t="shared" si="3"/>
        <v>2T23</v>
      </c>
      <c r="AR1" s="547" t="str">
        <f t="shared" si="3"/>
        <v>3T23</v>
      </c>
      <c r="AS1" s="547" t="str">
        <f t="shared" si="3"/>
        <v>4T23</v>
      </c>
      <c r="AT1" s="547" t="str">
        <f t="shared" si="3"/>
        <v>1T24</v>
      </c>
      <c r="AU1" s="547" t="str">
        <f>IF(LEFT(AT1,1)="4","1T"&amp;RIGHT(AT1,2)+1,LEFT(AT1,1)+1&amp;RIGHT(AT1,3))</f>
        <v>2T24</v>
      </c>
      <c r="AV1" s="547" t="str">
        <f>IF(LEFT(AU1,1)="4","1T"&amp;RIGHT(AU1,2)+1,LEFT(AU1,1)+1&amp;RIGHT(AU1,3))</f>
        <v>3T24</v>
      </c>
      <c r="AW1" s="547" t="str">
        <f>IF(LEFT(AV1,1)="4","1T"&amp;RIGHT(AV1,2)+1,LEFT(AV1,1)+1&amp;RIGHT(AV1,3))</f>
        <v>4T24</v>
      </c>
      <c r="AX1" s="547" t="str">
        <f>IF(LEFT(AW1,1)="4","1T"&amp;RIGHT(AW1,2)+1,LEFT(AW1,1)+1&amp;RIGHT(AW1,3))</f>
        <v>1T25</v>
      </c>
      <c r="AY1" s="547" t="str">
        <f t="shared" ref="AY1:BA2" si="4">IF(LEFT(AX1,1)="4","1T"&amp;RIGHT(AX1,2)+1,LEFT(AX1,1)+1&amp;RIGHT(AX1,3))</f>
        <v>2T25</v>
      </c>
      <c r="AZ1" s="547" t="str">
        <f t="shared" si="4"/>
        <v>3T25</v>
      </c>
      <c r="BA1" s="547" t="str">
        <f t="shared" si="4"/>
        <v>4T25</v>
      </c>
      <c r="BB1" s="547" t="str">
        <f>IF(LEFT(BA1,1)="4","1T"&amp;RIGHT(BA1,2)+1,LEFT(BA1,1)+1&amp;RIGHT(BA1,3))</f>
        <v>1T26</v>
      </c>
      <c r="BC1" s="547" t="str">
        <f>IF(LEFT(BB1,1)="4","1T"&amp;RIGHT(BB1,2)+1,LEFT(BB1,1)+1&amp;RIGHT(BB1,3))</f>
        <v>2T26</v>
      </c>
    </row>
    <row r="2" spans="1:55" s="547" customFormat="1" x14ac:dyDescent="0.2">
      <c r="E2" s="547" t="str">
        <f>SUBSTITUTE(E1,"T","Q")</f>
        <v>4Q13</v>
      </c>
      <c r="F2" s="547" t="str">
        <f>SUBSTITUTE(F1,"T","Q")</f>
        <v>1Q14</v>
      </c>
      <c r="G2" s="547" t="str">
        <f t="shared" ref="G2:T2" si="5">SUBSTITUTE(G1,"T","Q")</f>
        <v>2Q14</v>
      </c>
      <c r="H2" s="547" t="str">
        <f t="shared" si="5"/>
        <v>3Q14</v>
      </c>
      <c r="I2" s="547" t="str">
        <f t="shared" si="5"/>
        <v>4Q14</v>
      </c>
      <c r="J2" s="547" t="str">
        <f t="shared" si="5"/>
        <v>1Q15</v>
      </c>
      <c r="K2" s="547" t="str">
        <f t="shared" si="5"/>
        <v>2Q15</v>
      </c>
      <c r="L2" s="547" t="str">
        <f t="shared" si="5"/>
        <v>3Q15</v>
      </c>
      <c r="M2" s="547" t="str">
        <f t="shared" si="5"/>
        <v>4Q15</v>
      </c>
      <c r="N2" s="547" t="str">
        <f t="shared" si="5"/>
        <v>1Q16</v>
      </c>
      <c r="O2" s="547" t="str">
        <f t="shared" si="5"/>
        <v>2Q16</v>
      </c>
      <c r="P2" s="547" t="str">
        <f t="shared" si="5"/>
        <v>3Q16</v>
      </c>
      <c r="Q2" s="547" t="str">
        <f t="shared" si="5"/>
        <v>4Q16</v>
      </c>
      <c r="R2" s="547" t="str">
        <f t="shared" si="5"/>
        <v>1Q17</v>
      </c>
      <c r="S2" s="547" t="str">
        <f t="shared" si="5"/>
        <v>2Q17</v>
      </c>
      <c r="T2" s="547" t="str">
        <f t="shared" si="5"/>
        <v>3Q17</v>
      </c>
      <c r="U2" s="547" t="str">
        <f t="shared" ref="U2:Z2" si="6">SUBSTITUTE(U1,"T","Q")</f>
        <v>4Q17</v>
      </c>
      <c r="V2" s="547" t="str">
        <f t="shared" si="6"/>
        <v>1Q18</v>
      </c>
      <c r="W2" s="547" t="str">
        <f t="shared" si="6"/>
        <v>2Q18</v>
      </c>
      <c r="X2" s="547" t="str">
        <f t="shared" si="6"/>
        <v>3Q18</v>
      </c>
      <c r="Y2" s="547" t="str">
        <f t="shared" si="6"/>
        <v>4Q18</v>
      </c>
      <c r="Z2" s="547" t="str">
        <f t="shared" si="6"/>
        <v>1Q19</v>
      </c>
      <c r="AA2" s="547" t="str">
        <f>SUBSTITUTE(AA1,"T","Q")</f>
        <v>2Q19</v>
      </c>
      <c r="AB2" s="547" t="str">
        <f>SUBSTITUTE(AB1,"T","Q")</f>
        <v>3Q19</v>
      </c>
      <c r="AC2" s="547" t="str">
        <f>SUBSTITUTE(AC1,"T","Q")</f>
        <v>4Q19</v>
      </c>
      <c r="AD2" s="547" t="str">
        <f>SUBSTITUTE(AD1,"T","Q")</f>
        <v>1Q20</v>
      </c>
      <c r="AE2" s="547" t="str">
        <f>SUBSTITUTE(AE1,"T","Q")</f>
        <v>2Q20</v>
      </c>
      <c r="AF2" s="547" t="str">
        <f t="shared" ref="AF2:AK2" si="7">SUBSTITUTE(AF1,"T","Q")</f>
        <v>3Q20</v>
      </c>
      <c r="AG2" s="547" t="str">
        <f t="shared" si="7"/>
        <v>4Q20</v>
      </c>
      <c r="AH2" s="547" t="str">
        <f t="shared" si="7"/>
        <v>1Q21</v>
      </c>
      <c r="AI2" s="547" t="str">
        <f t="shared" si="7"/>
        <v>2Q21</v>
      </c>
      <c r="AJ2" s="547" t="str">
        <f t="shared" si="7"/>
        <v>3Q21</v>
      </c>
      <c r="AK2" s="547" t="str">
        <f t="shared" si="7"/>
        <v>4Q21</v>
      </c>
      <c r="AL2" s="547" t="str">
        <f t="shared" ref="AL2:AQ2" si="8">SUBSTITUTE(AL1,"T","Q")</f>
        <v>1Q22</v>
      </c>
      <c r="AM2" s="547" t="str">
        <f t="shared" si="8"/>
        <v>2Q22</v>
      </c>
      <c r="AN2" s="547" t="str">
        <f t="shared" si="8"/>
        <v>3Q22</v>
      </c>
      <c r="AO2" s="547" t="str">
        <f t="shared" si="8"/>
        <v>4Q22</v>
      </c>
      <c r="AP2" s="547" t="str">
        <f t="shared" si="8"/>
        <v>1Q23</v>
      </c>
      <c r="AQ2" s="547" t="str">
        <f t="shared" si="8"/>
        <v>2Q23</v>
      </c>
      <c r="AR2" s="547" t="str">
        <f>SUBSTITUTE(AR1,"T","Q")</f>
        <v>3Q23</v>
      </c>
      <c r="AS2" s="547" t="str">
        <f>SUBSTITUTE(AS1,"T","Q")</f>
        <v>4Q23</v>
      </c>
      <c r="AT2" s="547" t="str">
        <f>SUBSTITUTE(AT1,"T","Q")</f>
        <v>1Q24</v>
      </c>
      <c r="AU2" s="547" t="str">
        <f>SUBSTITUTE(AU1,"T","Q")</f>
        <v>2Q24</v>
      </c>
      <c r="AV2" s="547" t="str">
        <f>IF(LEFT(AU2,1)="4","1T"&amp;RIGHT(AU2,2)+1,LEFT(AU2,1)+1&amp;RIGHT(AU2,3))</f>
        <v>3Q24</v>
      </c>
      <c r="AW2" s="547" t="str">
        <f>IF(LEFT(AV2,1)="4","1T"&amp;RIGHT(AV2,2)+1,LEFT(AV2,1)+1&amp;RIGHT(AV2,3))</f>
        <v>4Q24</v>
      </c>
      <c r="AX2" s="547" t="str">
        <f>IF(LEFT(AW2,1)="4","1T"&amp;RIGHT(AW2,2)+1,LEFT(AW2,1)+1&amp;RIGHT(AW2,3))</f>
        <v>1T25</v>
      </c>
      <c r="AY2" s="547" t="str">
        <f t="shared" si="4"/>
        <v>2T25</v>
      </c>
      <c r="AZ2" s="547" t="str">
        <f t="shared" si="4"/>
        <v>3T25</v>
      </c>
      <c r="BA2" s="547" t="str">
        <f t="shared" si="4"/>
        <v>4T25</v>
      </c>
      <c r="BB2" s="547" t="str">
        <f>IF(LEFT(BA2,1)="4","1T"&amp;RIGHT(BA2,2)+1,LEFT(BA2,1)+1&amp;RIGHT(BA2,3))</f>
        <v>1T26</v>
      </c>
      <c r="BC2" s="547" t="str">
        <f>IF(LEFT(BA2,1)="4","1T"&amp;RIGHT(BA2,2)+1,LEFT(BA2,1)+1&amp;RIGHT(BA2,3))</f>
        <v>1T26</v>
      </c>
    </row>
    <row r="3" spans="1:55" x14ac:dyDescent="0.2">
      <c r="D3" s="40"/>
      <c r="E3" s="40"/>
      <c r="F3" s="40"/>
      <c r="G3" s="40"/>
      <c r="I3" s="14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row>
    <row r="4" spans="1:55" x14ac:dyDescent="0.2">
      <c r="D4" s="40"/>
      <c r="E4" s="1253" t="str">
        <f>IF([1]RENAME!$H$3=1,"&lt;== with Direct Express","&lt;== Com Direct Express")</f>
        <v>&lt;== Com Direct Express</v>
      </c>
      <c r="F4" s="1254"/>
      <c r="G4" s="224" t="str">
        <f>IF([1]RENAME!$H$3=1,"without Direct Express ==&gt;","Sem Direct Express ==&gt;")</f>
        <v>Sem Direct Express ==&gt;</v>
      </c>
      <c r="I4" s="14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row>
    <row r="5" spans="1:55" x14ac:dyDescent="0.2">
      <c r="A5" t="s">
        <v>96</v>
      </c>
      <c r="B5" t="s">
        <v>866</v>
      </c>
      <c r="D5" s="140" t="str">
        <f>IF([1]RENAME!$H$3=1,B5,A5)</f>
        <v>Consolidado</v>
      </c>
      <c r="E5" s="247" t="str">
        <f>IF([1]RENAME!$H$3=1,E2,E1)</f>
        <v>4T13</v>
      </c>
      <c r="F5" s="247" t="str">
        <f>IF([1]RENAME!$H$3=1,F2,F1)</f>
        <v>1T14</v>
      </c>
      <c r="G5" s="247" t="str">
        <f>IF([1]RENAME!$H$3=1,G2,G1)</f>
        <v>2T14</v>
      </c>
      <c r="H5" s="247" t="str">
        <f>IF([1]RENAME!$H$3=1,H2,H1)</f>
        <v>3T14</v>
      </c>
      <c r="I5" s="247" t="str">
        <f>IF([1]RENAME!$H$3=1,I2,I1)</f>
        <v>4T14</v>
      </c>
      <c r="J5" s="247" t="str">
        <f>IF([1]RENAME!$H$3=1,J2,J1)</f>
        <v>1T15</v>
      </c>
      <c r="K5" s="247" t="str">
        <f>IF([1]RENAME!$H$3=1,K2,K1)</f>
        <v>2T15</v>
      </c>
      <c r="L5" s="247" t="str">
        <f>IF([1]RENAME!$H$3=1,L2,L1)</f>
        <v>3T15</v>
      </c>
      <c r="M5" s="247" t="str">
        <f>IF([1]RENAME!$H$3=1,M2,M1)</f>
        <v>4T15</v>
      </c>
      <c r="N5" s="247" t="str">
        <f>IF([1]RENAME!$H$3=1,N2,N1)</f>
        <v>1T16</v>
      </c>
      <c r="O5" s="247" t="str">
        <f>IF([1]RENAME!$H$3=1,O2,O1)</f>
        <v>2T16</v>
      </c>
      <c r="P5" s="247" t="str">
        <f>IF([1]RENAME!$H$3=1,P2,P1)</f>
        <v>3T16</v>
      </c>
      <c r="Q5" s="247" t="str">
        <f>IF([1]RENAME!$H$3=1,Q2,Q1)</f>
        <v>4T16</v>
      </c>
      <c r="R5" s="247" t="str">
        <f>IF([1]RENAME!$H$3=1,R2,R1)</f>
        <v>1T17</v>
      </c>
      <c r="S5" s="247" t="str">
        <f>IF([1]RENAME!$H$3=1,S2,S1)</f>
        <v>2T17</v>
      </c>
      <c r="T5" s="247" t="str">
        <f>IF([1]RENAME!$H$3=1,T2,T1)</f>
        <v>3T17</v>
      </c>
      <c r="U5" s="247" t="str">
        <f>IF([1]RENAME!$H$3=1,U2,U1)</f>
        <v>4T17</v>
      </c>
      <c r="V5" s="247" t="str">
        <f>IF([1]RENAME!$H$3=1,V2,V1)</f>
        <v>1T18</v>
      </c>
      <c r="W5" s="247" t="str">
        <f>IF([1]RENAME!$H$3=1,W2,W1)</f>
        <v>2T18</v>
      </c>
      <c r="X5" s="247" t="str">
        <f>IF([1]RENAME!$H$3=1,X2,X1)</f>
        <v>3T18</v>
      </c>
      <c r="Y5" s="247" t="str">
        <f>IF([1]RENAME!$H$3=1,Y2,Y1)</f>
        <v>4T18</v>
      </c>
      <c r="Z5" s="247" t="str">
        <f>IF([1]RENAME!$H$3=1,Z2,Z1)</f>
        <v>1T19</v>
      </c>
      <c r="AA5" s="247" t="str">
        <f>IF([1]RENAME!$H$3=1,AA2,AA1)</f>
        <v>2T19</v>
      </c>
      <c r="AB5" s="247" t="str">
        <f>IF([1]RENAME!$H$3=1,AB2,AB1)</f>
        <v>3T19</v>
      </c>
      <c r="AC5" s="247" t="str">
        <f>IF([1]RENAME!$H$3=1,AC2,AC1)</f>
        <v>4T19</v>
      </c>
      <c r="AD5" s="247" t="str">
        <f>IF([1]RENAME!$H$3=1,AD2,AD1)</f>
        <v>1T20</v>
      </c>
      <c r="AE5" s="247" t="str">
        <f>IF([1]RENAME!$H$3=1,AE2,AE1)</f>
        <v>2T20</v>
      </c>
      <c r="AF5" s="247" t="str">
        <f>IF([1]RENAME!$H$3=1,AF2,AF1)</f>
        <v>3T20</v>
      </c>
      <c r="AG5" s="247" t="str">
        <f>IF([1]RENAME!$H$3=1,AG2,AG1)</f>
        <v>4T20</v>
      </c>
      <c r="AH5" s="247" t="str">
        <f>IF([1]RENAME!$H$3=1,AH2,AH1)</f>
        <v>1T21</v>
      </c>
      <c r="AI5" s="247" t="str">
        <f>IF([1]RENAME!$H$3=1,AI2,AI1)</f>
        <v>2T21</v>
      </c>
      <c r="AJ5" s="247" t="str">
        <f>IF([1]RENAME!$H$3=1,AJ2,AJ1)</f>
        <v>3T21</v>
      </c>
      <c r="AK5" s="247" t="str">
        <f>IF([1]RENAME!$H$3=1,AK2,AK1)</f>
        <v>4T21</v>
      </c>
      <c r="AL5" s="247" t="str">
        <f>IF([1]RENAME!$H$3=1,AL2,AL1)</f>
        <v>1T22</v>
      </c>
      <c r="AM5" s="247" t="str">
        <f>IF([1]RENAME!$H$3=1,AM2,AM1)</f>
        <v>2T22</v>
      </c>
      <c r="AN5" s="247" t="str">
        <f>IF([1]RENAME!$H$3=1,AN2,AN1)</f>
        <v>3T22</v>
      </c>
      <c r="AO5" s="247" t="str">
        <f>IF([1]RENAME!$H$3=1,AO2,AO1)</f>
        <v>4T22</v>
      </c>
      <c r="AP5" s="247" t="str">
        <f>IF([1]RENAME!$H$3=1,AP2,AP1)</f>
        <v>1T23</v>
      </c>
      <c r="AQ5" s="247" t="str">
        <f>IF([1]RENAME!$H$3=1,AQ2,AQ1)</f>
        <v>2T23</v>
      </c>
      <c r="AR5" s="247" t="str">
        <f>IF([1]RENAME!$H$3=1,AR2,AR1)</f>
        <v>3T23</v>
      </c>
      <c r="AS5" s="247" t="str">
        <f>IF([1]RENAME!$H$3=1,AS2,AS1)</f>
        <v>4T23</v>
      </c>
      <c r="AT5" s="247" t="str">
        <f>IF([1]RENAME!$H$3=1,AT2,AT1)</f>
        <v>1T24</v>
      </c>
      <c r="AU5" s="247" t="str">
        <f>IF([1]RENAME!$H$3=1,AU2,AU1)</f>
        <v>2T24</v>
      </c>
      <c r="AV5" s="247" t="str">
        <f>IF([1]RENAME!$H$3=1,AV2,AV1)</f>
        <v>3T24</v>
      </c>
      <c r="AW5" s="247" t="str">
        <f>IF([1]RENAME!$H$3=1,AW2,AW1)</f>
        <v>4T24</v>
      </c>
      <c r="AX5" s="247" t="str">
        <f>IF([1]RENAME!$H$3=1,AX2,AX1)</f>
        <v>1T25</v>
      </c>
      <c r="AY5" s="247" t="str">
        <f>IF([1]RENAME!$H$3=1,AY2,AY1)</f>
        <v>2T25</v>
      </c>
      <c r="AZ5" s="247" t="str">
        <f>IF([1]RENAME!$H$3=1,AZ2,AZ1)</f>
        <v>3T25</v>
      </c>
      <c r="BA5" s="247" t="str">
        <f>IF([1]RENAME!$H$3=1,BA2,BA1)</f>
        <v>4T25</v>
      </c>
      <c r="BB5" s="247" t="str">
        <f>IF([1]RENAME!$H$3=1,BB2,BB1)</f>
        <v>1T26</v>
      </c>
      <c r="BC5" s="247" t="str">
        <f>IF([1]RENAME!$H$3=1,BC2,BC1)</f>
        <v>2T26</v>
      </c>
    </row>
    <row r="6" spans="1:55" x14ac:dyDescent="0.2">
      <c r="A6" t="s">
        <v>183</v>
      </c>
      <c r="B6" t="s">
        <v>881</v>
      </c>
      <c r="D6" s="129" t="str">
        <f>IF([1]RENAME!$H$3=1,B6,A6)</f>
        <v>Recursos em banco e em caixa</v>
      </c>
      <c r="E6" s="118">
        <v>21689</v>
      </c>
      <c r="F6" s="118">
        <v>16938</v>
      </c>
      <c r="G6" s="160">
        <v>15054</v>
      </c>
      <c r="H6" s="118">
        <v>16233</v>
      </c>
      <c r="I6" s="118">
        <v>19480</v>
      </c>
      <c r="J6" s="118">
        <v>9902</v>
      </c>
      <c r="K6" s="118">
        <v>8527</v>
      </c>
      <c r="L6" s="118">
        <v>10395</v>
      </c>
      <c r="M6" s="118">
        <v>12134</v>
      </c>
      <c r="N6" s="118">
        <v>8434</v>
      </c>
      <c r="O6" s="118">
        <v>318</v>
      </c>
      <c r="P6" s="118">
        <v>510</v>
      </c>
      <c r="Q6" s="118">
        <v>987</v>
      </c>
      <c r="R6" s="118">
        <v>259</v>
      </c>
      <c r="S6" s="118">
        <v>380</v>
      </c>
      <c r="T6" s="118">
        <v>276</v>
      </c>
      <c r="U6" s="118">
        <v>426</v>
      </c>
      <c r="V6" s="118">
        <v>402</v>
      </c>
      <c r="W6" s="118">
        <v>425</v>
      </c>
      <c r="X6" s="118">
        <v>1239</v>
      </c>
      <c r="Y6" s="118">
        <v>1336</v>
      </c>
      <c r="Z6" s="118">
        <v>1019</v>
      </c>
      <c r="AA6" s="118">
        <v>1348</v>
      </c>
      <c r="AB6" s="118">
        <v>931</v>
      </c>
      <c r="AC6" s="118">
        <v>1369</v>
      </c>
      <c r="AD6" s="118">
        <v>944</v>
      </c>
      <c r="AE6" s="118">
        <v>640</v>
      </c>
      <c r="AF6" s="118">
        <v>695</v>
      </c>
      <c r="AG6" s="118">
        <v>1838</v>
      </c>
      <c r="AH6" s="118">
        <v>1460</v>
      </c>
      <c r="AI6" s="118">
        <v>980</v>
      </c>
      <c r="AJ6" s="118">
        <v>1254</v>
      </c>
      <c r="AK6" s="118">
        <v>1186</v>
      </c>
      <c r="AL6" s="118">
        <v>3178</v>
      </c>
      <c r="AM6" s="118">
        <v>7293</v>
      </c>
      <c r="AN6" s="118">
        <v>1885</v>
      </c>
      <c r="AO6" s="118">
        <v>1564</v>
      </c>
      <c r="AP6" s="118">
        <v>739</v>
      </c>
      <c r="AQ6" s="118">
        <v>751</v>
      </c>
      <c r="AR6" s="118">
        <v>636</v>
      </c>
      <c r="AS6" s="118">
        <v>1836</v>
      </c>
      <c r="AT6" s="118">
        <v>976</v>
      </c>
      <c r="AU6" s="118">
        <v>812</v>
      </c>
      <c r="AV6" s="118">
        <v>5859</v>
      </c>
      <c r="AW6" s="118">
        <v>1851</v>
      </c>
      <c r="AX6" s="118">
        <v>552</v>
      </c>
      <c r="AY6" s="118">
        <v>802</v>
      </c>
      <c r="AZ6" s="118">
        <v>994</v>
      </c>
      <c r="BA6" s="118">
        <v>1749</v>
      </c>
      <c r="BB6" s="118">
        <v>448</v>
      </c>
      <c r="BC6" s="118">
        <f>'[3]5 Caixa NL'!$H$7</f>
        <v>1089</v>
      </c>
    </row>
    <row r="7" spans="1:55" x14ac:dyDescent="0.2">
      <c r="A7" t="s">
        <v>17</v>
      </c>
      <c r="B7" t="s">
        <v>882</v>
      </c>
      <c r="D7" s="129" t="str">
        <f>IF([1]RENAME!$H$3=1,B7,A7)</f>
        <v>Aplicações financeiras</v>
      </c>
      <c r="E7" s="118">
        <v>182759</v>
      </c>
      <c r="F7" s="118">
        <v>204536</v>
      </c>
      <c r="G7" s="160">
        <v>164828</v>
      </c>
      <c r="H7" s="118">
        <v>169860</v>
      </c>
      <c r="I7" s="118">
        <v>208377</v>
      </c>
      <c r="J7" s="118">
        <v>297058</v>
      </c>
      <c r="K7" s="118">
        <v>122978</v>
      </c>
      <c r="L7" s="118">
        <v>196356</v>
      </c>
      <c r="M7" s="118">
        <v>202125</v>
      </c>
      <c r="N7" s="118">
        <v>224259</v>
      </c>
      <c r="O7" s="118">
        <v>218898</v>
      </c>
      <c r="P7" s="118">
        <v>241408</v>
      </c>
      <c r="Q7" s="118">
        <v>191871</v>
      </c>
      <c r="R7" s="118">
        <v>125754</v>
      </c>
      <c r="S7" s="118">
        <v>182650</v>
      </c>
      <c r="T7" s="118">
        <v>145031</v>
      </c>
      <c r="U7" s="118">
        <v>148306</v>
      </c>
      <c r="V7" s="118">
        <v>125064</v>
      </c>
      <c r="W7" s="118">
        <v>90264</v>
      </c>
      <c r="X7" s="118">
        <v>96725</v>
      </c>
      <c r="Y7" s="118">
        <v>82206</v>
      </c>
      <c r="Z7" s="118">
        <v>106975</v>
      </c>
      <c r="AA7" s="118">
        <v>105427</v>
      </c>
      <c r="AB7" s="118">
        <v>111177</v>
      </c>
      <c r="AC7" s="118">
        <v>65963</v>
      </c>
      <c r="AD7" s="118">
        <v>124996</v>
      </c>
      <c r="AE7" s="118">
        <v>285863</v>
      </c>
      <c r="AF7" s="118">
        <v>247098</v>
      </c>
      <c r="AG7" s="118">
        <v>258549</v>
      </c>
      <c r="AH7" s="118">
        <v>303449</v>
      </c>
      <c r="AI7" s="118">
        <v>243549</v>
      </c>
      <c r="AJ7" s="118">
        <v>220167</v>
      </c>
      <c r="AK7" s="118">
        <v>145942</v>
      </c>
      <c r="AL7" s="118">
        <v>207326</v>
      </c>
      <c r="AM7" s="118">
        <v>112430</v>
      </c>
      <c r="AN7" s="118">
        <v>135357</v>
      </c>
      <c r="AO7" s="118">
        <v>188735</v>
      </c>
      <c r="AP7" s="118">
        <v>241309</v>
      </c>
      <c r="AQ7" s="118">
        <v>236287</v>
      </c>
      <c r="AR7" s="118">
        <v>257994</v>
      </c>
      <c r="AS7" s="118">
        <v>230703</v>
      </c>
      <c r="AT7" s="118">
        <v>298820</v>
      </c>
      <c r="AU7" s="118">
        <v>281990</v>
      </c>
      <c r="AV7" s="118">
        <v>258267</v>
      </c>
      <c r="AW7" s="118">
        <v>239484</v>
      </c>
      <c r="AX7" s="118">
        <v>338645</v>
      </c>
      <c r="AY7" s="118">
        <v>346349</v>
      </c>
      <c r="AZ7" s="118">
        <v>244670</v>
      </c>
      <c r="BA7" s="118">
        <v>112111</v>
      </c>
      <c r="BB7" s="118">
        <v>183741</v>
      </c>
      <c r="BC7" s="118">
        <f>'[3]5 Caixa NL'!$H$8</f>
        <v>195834</v>
      </c>
    </row>
    <row r="8" spans="1:55" x14ac:dyDescent="0.2">
      <c r="A8" t="s">
        <v>75</v>
      </c>
      <c r="B8" t="s">
        <v>874</v>
      </c>
      <c r="D8" s="126" t="str">
        <f>IF([1]RENAME!$H$3=1,B8,A8)</f>
        <v>Caixa e equivalentes de caixa</v>
      </c>
      <c r="E8" s="120">
        <f>SUM(E6:E7)</f>
        <v>204448</v>
      </c>
      <c r="F8" s="120">
        <f t="shared" ref="F8:K8" si="9">SUM(F6:F7)</f>
        <v>221474</v>
      </c>
      <c r="G8" s="162">
        <f t="shared" si="9"/>
        <v>179882</v>
      </c>
      <c r="H8" s="120">
        <f t="shared" si="9"/>
        <v>186093</v>
      </c>
      <c r="I8" s="120">
        <f t="shared" si="9"/>
        <v>227857</v>
      </c>
      <c r="J8" s="120">
        <f t="shared" si="9"/>
        <v>306960</v>
      </c>
      <c r="K8" s="120">
        <f t="shared" si="9"/>
        <v>131505</v>
      </c>
      <c r="L8" s="120">
        <f t="shared" ref="L8:S8" si="10">SUM(L6:L7)</f>
        <v>206751</v>
      </c>
      <c r="M8" s="120">
        <f t="shared" si="10"/>
        <v>214259</v>
      </c>
      <c r="N8" s="120">
        <f t="shared" si="10"/>
        <v>232693</v>
      </c>
      <c r="O8" s="120">
        <f t="shared" si="10"/>
        <v>219216</v>
      </c>
      <c r="P8" s="120">
        <f t="shared" si="10"/>
        <v>241918</v>
      </c>
      <c r="Q8" s="120">
        <f t="shared" si="10"/>
        <v>192858</v>
      </c>
      <c r="R8" s="120">
        <f t="shared" si="10"/>
        <v>126013</v>
      </c>
      <c r="S8" s="120">
        <f t="shared" si="10"/>
        <v>183030</v>
      </c>
      <c r="T8" s="120">
        <f t="shared" ref="T8:AA8" si="11">SUM(T6:T7)</f>
        <v>145307</v>
      </c>
      <c r="U8" s="120">
        <f t="shared" si="11"/>
        <v>148732</v>
      </c>
      <c r="V8" s="120">
        <f t="shared" si="11"/>
        <v>125466</v>
      </c>
      <c r="W8" s="120">
        <f t="shared" si="11"/>
        <v>90689</v>
      </c>
      <c r="X8" s="120">
        <f t="shared" si="11"/>
        <v>97964</v>
      </c>
      <c r="Y8" s="120">
        <f t="shared" si="11"/>
        <v>83542</v>
      </c>
      <c r="Z8" s="120">
        <f t="shared" si="11"/>
        <v>107994</v>
      </c>
      <c r="AA8" s="120">
        <f t="shared" si="11"/>
        <v>106775</v>
      </c>
      <c r="AB8" s="120">
        <f t="shared" ref="AB8:AG8" si="12">SUM(AB6:AB7)</f>
        <v>112108</v>
      </c>
      <c r="AC8" s="120">
        <f t="shared" si="12"/>
        <v>67332</v>
      </c>
      <c r="AD8" s="120">
        <f t="shared" si="12"/>
        <v>125940</v>
      </c>
      <c r="AE8" s="120">
        <f t="shared" si="12"/>
        <v>286503</v>
      </c>
      <c r="AF8" s="120">
        <f t="shared" si="12"/>
        <v>247793</v>
      </c>
      <c r="AG8" s="120">
        <f t="shared" si="12"/>
        <v>260387</v>
      </c>
      <c r="AH8" s="120">
        <f t="shared" ref="AH8:AM8" si="13">SUM(AH6:AH7)</f>
        <v>304909</v>
      </c>
      <c r="AI8" s="120">
        <f t="shared" si="13"/>
        <v>244529</v>
      </c>
      <c r="AJ8" s="120">
        <f t="shared" si="13"/>
        <v>221421</v>
      </c>
      <c r="AK8" s="120">
        <f t="shared" si="13"/>
        <v>147128</v>
      </c>
      <c r="AL8" s="120">
        <f t="shared" si="13"/>
        <v>210504</v>
      </c>
      <c r="AM8" s="120">
        <f t="shared" si="13"/>
        <v>119723</v>
      </c>
      <c r="AN8" s="120">
        <f t="shared" ref="AN8:AU8" si="14">SUM(AN6:AN7)</f>
        <v>137242</v>
      </c>
      <c r="AO8" s="120">
        <f t="shared" si="14"/>
        <v>190299</v>
      </c>
      <c r="AP8" s="120">
        <f t="shared" si="14"/>
        <v>242048</v>
      </c>
      <c r="AQ8" s="120">
        <f t="shared" si="14"/>
        <v>237038</v>
      </c>
      <c r="AR8" s="120">
        <f t="shared" si="14"/>
        <v>258630</v>
      </c>
      <c r="AS8" s="120">
        <f t="shared" si="14"/>
        <v>232539</v>
      </c>
      <c r="AT8" s="120">
        <f t="shared" si="14"/>
        <v>299796</v>
      </c>
      <c r="AU8" s="120">
        <f t="shared" si="14"/>
        <v>282802</v>
      </c>
      <c r="AV8" s="120">
        <f t="shared" ref="AV8:BA8" si="15">SUM(AV6:AV7)</f>
        <v>264126</v>
      </c>
      <c r="AW8" s="120">
        <f t="shared" si="15"/>
        <v>241335</v>
      </c>
      <c r="AX8" s="120">
        <f t="shared" si="15"/>
        <v>339197</v>
      </c>
      <c r="AY8" s="120">
        <f t="shared" si="15"/>
        <v>347151</v>
      </c>
      <c r="AZ8" s="120">
        <f t="shared" si="15"/>
        <v>245664</v>
      </c>
      <c r="BA8" s="120">
        <f t="shared" si="15"/>
        <v>113860</v>
      </c>
      <c r="BB8" s="120">
        <f>SUM(BB6:BB7)</f>
        <v>184189</v>
      </c>
      <c r="BC8" s="120">
        <f>SUM(BC6:BC7)</f>
        <v>196923</v>
      </c>
    </row>
    <row r="9" spans="1:55" x14ac:dyDescent="0.2">
      <c r="E9" s="148">
        <f>+E8-BP!T7</f>
        <v>0</v>
      </c>
      <c r="F9" s="148">
        <f>+F8-BP!U7</f>
        <v>0</v>
      </c>
      <c r="G9" s="148">
        <f>+G8-BP!V7</f>
        <v>0</v>
      </c>
      <c r="H9" s="148">
        <f>+H8-BP!W7</f>
        <v>0</v>
      </c>
      <c r="I9" s="148">
        <f>+I8-BP!X7</f>
        <v>0</v>
      </c>
      <c r="J9" s="148">
        <f>+J8-BP!Y7</f>
        <v>0</v>
      </c>
      <c r="K9" s="148">
        <f>+K8-BP!Z7</f>
        <v>0</v>
      </c>
      <c r="L9" s="148">
        <f>+L8-BP!AA7</f>
        <v>0</v>
      </c>
      <c r="M9" s="148">
        <f>+M8-BP!AB7-BP!AB19</f>
        <v>0</v>
      </c>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row>
    <row r="10" spans="1:55" x14ac:dyDescent="0.2">
      <c r="A10" t="s">
        <v>97</v>
      </c>
      <c r="B10" t="s">
        <v>872</v>
      </c>
      <c r="D10" s="143" t="str">
        <f>IF([1]RENAME!$H$3=1,B10,A10)</f>
        <v>Controladora</v>
      </c>
      <c r="E10" s="247" t="str">
        <f>E5</f>
        <v>4T13</v>
      </c>
      <c r="F10" s="247" t="str">
        <f t="shared" ref="F10:T10" si="16">F5</f>
        <v>1T14</v>
      </c>
      <c r="G10" s="247" t="str">
        <f t="shared" si="16"/>
        <v>2T14</v>
      </c>
      <c r="H10" s="247" t="str">
        <f t="shared" si="16"/>
        <v>3T14</v>
      </c>
      <c r="I10" s="247" t="str">
        <f t="shared" si="16"/>
        <v>4T14</v>
      </c>
      <c r="J10" s="247" t="str">
        <f t="shared" si="16"/>
        <v>1T15</v>
      </c>
      <c r="K10" s="247" t="str">
        <f t="shared" si="16"/>
        <v>2T15</v>
      </c>
      <c r="L10" s="247" t="str">
        <f t="shared" si="16"/>
        <v>3T15</v>
      </c>
      <c r="M10" s="247" t="str">
        <f t="shared" si="16"/>
        <v>4T15</v>
      </c>
      <c r="N10" s="247" t="str">
        <f t="shared" si="16"/>
        <v>1T16</v>
      </c>
      <c r="O10" s="247" t="str">
        <f t="shared" si="16"/>
        <v>2T16</v>
      </c>
      <c r="P10" s="247" t="str">
        <f t="shared" si="16"/>
        <v>3T16</v>
      </c>
      <c r="Q10" s="247" t="str">
        <f t="shared" si="16"/>
        <v>4T16</v>
      </c>
      <c r="R10" s="247" t="str">
        <f t="shared" si="16"/>
        <v>1T17</v>
      </c>
      <c r="S10" s="247" t="str">
        <f t="shared" si="16"/>
        <v>2T17</v>
      </c>
      <c r="T10" s="247" t="str">
        <f t="shared" si="16"/>
        <v>3T17</v>
      </c>
      <c r="U10" s="247" t="str">
        <f t="shared" ref="U10:AD10" si="17">U5</f>
        <v>4T17</v>
      </c>
      <c r="V10" s="247" t="str">
        <f t="shared" si="17"/>
        <v>1T18</v>
      </c>
      <c r="W10" s="247" t="str">
        <f t="shared" si="17"/>
        <v>2T18</v>
      </c>
      <c r="X10" s="247" t="str">
        <f t="shared" si="17"/>
        <v>3T18</v>
      </c>
      <c r="Y10" s="247" t="str">
        <f t="shared" si="17"/>
        <v>4T18</v>
      </c>
      <c r="Z10" s="247" t="str">
        <f t="shared" si="17"/>
        <v>1T19</v>
      </c>
      <c r="AA10" s="247" t="str">
        <f t="shared" si="17"/>
        <v>2T19</v>
      </c>
      <c r="AB10" s="247" t="str">
        <f t="shared" si="17"/>
        <v>3T19</v>
      </c>
      <c r="AC10" s="247" t="str">
        <f t="shared" si="17"/>
        <v>4T19</v>
      </c>
      <c r="AD10" s="247" t="str">
        <f t="shared" si="17"/>
        <v>1T20</v>
      </c>
      <c r="AE10" s="247" t="str">
        <f t="shared" ref="AE10:AM10" si="18">AE5</f>
        <v>2T20</v>
      </c>
      <c r="AF10" s="247" t="str">
        <f t="shared" si="18"/>
        <v>3T20</v>
      </c>
      <c r="AG10" s="247" t="str">
        <f t="shared" si="18"/>
        <v>4T20</v>
      </c>
      <c r="AH10" s="247" t="str">
        <f t="shared" si="18"/>
        <v>1T21</v>
      </c>
      <c r="AI10" s="247" t="str">
        <f t="shared" si="18"/>
        <v>2T21</v>
      </c>
      <c r="AJ10" s="247" t="str">
        <f t="shared" si="18"/>
        <v>3T21</v>
      </c>
      <c r="AK10" s="247" t="str">
        <f t="shared" si="18"/>
        <v>4T21</v>
      </c>
      <c r="AL10" s="247" t="str">
        <f t="shared" si="18"/>
        <v>1T22</v>
      </c>
      <c r="AM10" s="247" t="str">
        <f t="shared" si="18"/>
        <v>2T22</v>
      </c>
      <c r="AN10" s="247" t="str">
        <f t="shared" ref="AN10:AU10" si="19">AN5</f>
        <v>3T22</v>
      </c>
      <c r="AO10" s="247" t="str">
        <f t="shared" si="19"/>
        <v>4T22</v>
      </c>
      <c r="AP10" s="247" t="str">
        <f t="shared" si="19"/>
        <v>1T23</v>
      </c>
      <c r="AQ10" s="247" t="str">
        <f t="shared" si="19"/>
        <v>2T23</v>
      </c>
      <c r="AR10" s="247" t="str">
        <f t="shared" si="19"/>
        <v>3T23</v>
      </c>
      <c r="AS10" s="247" t="str">
        <f t="shared" si="19"/>
        <v>4T23</v>
      </c>
      <c r="AT10" s="247" t="str">
        <f t="shared" si="19"/>
        <v>1T24</v>
      </c>
      <c r="AU10" s="247" t="str">
        <f t="shared" si="19"/>
        <v>2T24</v>
      </c>
      <c r="AV10" s="247" t="str">
        <f t="shared" ref="AV10:BA10" si="20">AV5</f>
        <v>3T24</v>
      </c>
      <c r="AW10" s="247" t="str">
        <f t="shared" si="20"/>
        <v>4T24</v>
      </c>
      <c r="AX10" s="247" t="str">
        <f t="shared" si="20"/>
        <v>1T25</v>
      </c>
      <c r="AY10" s="247" t="str">
        <f t="shared" si="20"/>
        <v>2T25</v>
      </c>
      <c r="AZ10" s="247" t="str">
        <f t="shared" si="20"/>
        <v>3T25</v>
      </c>
      <c r="BA10" s="247" t="str">
        <f t="shared" si="20"/>
        <v>4T25</v>
      </c>
      <c r="BB10" s="247" t="str">
        <f>BB5</f>
        <v>1T26</v>
      </c>
      <c r="BC10" s="247" t="str">
        <f>BC5</f>
        <v>2T26</v>
      </c>
    </row>
    <row r="11" spans="1:55" x14ac:dyDescent="0.2">
      <c r="A11" t="s">
        <v>183</v>
      </c>
      <c r="B11" t="s">
        <v>881</v>
      </c>
      <c r="D11" s="129" t="str">
        <f>IF([1]RENAME!$H$3=1,B11,A11)</f>
        <v>Recursos em banco e em caixa</v>
      </c>
      <c r="E11" s="118">
        <v>20465</v>
      </c>
      <c r="F11" s="118">
        <v>13853</v>
      </c>
      <c r="G11" s="160">
        <v>14550</v>
      </c>
      <c r="H11" s="118">
        <v>13979</v>
      </c>
      <c r="I11" s="118">
        <v>18476</v>
      </c>
      <c r="J11" s="118">
        <v>9573</v>
      </c>
      <c r="K11" s="118">
        <v>8366</v>
      </c>
      <c r="L11" s="118">
        <v>10293</v>
      </c>
      <c r="M11" s="118">
        <v>11898</v>
      </c>
      <c r="N11" s="118">
        <v>8345</v>
      </c>
      <c r="O11" s="118">
        <v>206</v>
      </c>
      <c r="P11" s="118">
        <v>417</v>
      </c>
      <c r="Q11" s="118">
        <v>425</v>
      </c>
      <c r="R11" s="118">
        <v>183</v>
      </c>
      <c r="S11" s="118">
        <v>365</v>
      </c>
      <c r="T11" s="118">
        <v>258</v>
      </c>
      <c r="U11" s="118">
        <v>406</v>
      </c>
      <c r="V11" s="118">
        <v>390</v>
      </c>
      <c r="W11" s="118">
        <v>396</v>
      </c>
      <c r="X11" s="118">
        <v>862</v>
      </c>
      <c r="Y11" s="118">
        <v>1313</v>
      </c>
      <c r="Z11" s="118">
        <v>780</v>
      </c>
      <c r="AA11" s="118">
        <v>803</v>
      </c>
      <c r="AB11" s="118">
        <v>514</v>
      </c>
      <c r="AC11" s="118">
        <v>1070</v>
      </c>
      <c r="AD11" s="118">
        <v>607</v>
      </c>
      <c r="AE11" s="118">
        <v>512</v>
      </c>
      <c r="AF11" s="118">
        <v>635</v>
      </c>
      <c r="AG11" s="118">
        <v>1319</v>
      </c>
      <c r="AH11" s="118">
        <v>1028</v>
      </c>
      <c r="AI11" s="118">
        <v>670</v>
      </c>
      <c r="AJ11" s="118">
        <v>910</v>
      </c>
      <c r="AK11" s="118">
        <v>659</v>
      </c>
      <c r="AL11" s="118">
        <v>2957</v>
      </c>
      <c r="AM11" s="118">
        <v>7017</v>
      </c>
      <c r="AN11" s="118">
        <v>1368</v>
      </c>
      <c r="AO11" s="118">
        <v>1078</v>
      </c>
      <c r="AP11" s="118">
        <v>390</v>
      </c>
      <c r="AQ11" s="118">
        <v>516</v>
      </c>
      <c r="AR11" s="118">
        <v>484</v>
      </c>
      <c r="AS11" s="118">
        <v>1631</v>
      </c>
      <c r="AT11" s="118">
        <v>657</v>
      </c>
      <c r="AU11" s="118">
        <v>727</v>
      </c>
      <c r="AV11" s="118">
        <v>5788</v>
      </c>
      <c r="AW11" s="118">
        <v>1781</v>
      </c>
      <c r="AX11" s="118">
        <v>502</v>
      </c>
      <c r="AY11" s="118">
        <v>601</v>
      </c>
      <c r="AZ11" s="118">
        <v>502</v>
      </c>
      <c r="BA11" s="118">
        <v>1594</v>
      </c>
      <c r="BB11" s="118">
        <v>342</v>
      </c>
      <c r="BC11" s="118">
        <f>'[3]5 Caixa NL'!$D$7</f>
        <v>1007</v>
      </c>
    </row>
    <row r="12" spans="1:55" x14ac:dyDescent="0.2">
      <c r="A12" t="s">
        <v>17</v>
      </c>
      <c r="B12" t="s">
        <v>882</v>
      </c>
      <c r="D12" s="129" t="str">
        <f>IF([1]RENAME!$H$3=1,B12,A12)</f>
        <v>Aplicações financeiras</v>
      </c>
      <c r="E12" s="118">
        <v>140667</v>
      </c>
      <c r="F12" s="118">
        <v>186237</v>
      </c>
      <c r="G12" s="160">
        <v>149248</v>
      </c>
      <c r="H12" s="118">
        <v>149240</v>
      </c>
      <c r="I12" s="118">
        <v>116450</v>
      </c>
      <c r="J12" s="118">
        <v>202065</v>
      </c>
      <c r="K12" s="118">
        <v>37750</v>
      </c>
      <c r="L12" s="118">
        <v>116283</v>
      </c>
      <c r="M12" s="118">
        <v>116681</v>
      </c>
      <c r="N12" s="118">
        <v>118663</v>
      </c>
      <c r="O12" s="118">
        <v>121639</v>
      </c>
      <c r="P12" s="118">
        <v>139829</v>
      </c>
      <c r="Q12" s="118">
        <v>92977</v>
      </c>
      <c r="R12" s="118">
        <v>33205</v>
      </c>
      <c r="S12" s="118">
        <v>90998</v>
      </c>
      <c r="T12" s="118">
        <v>46705</v>
      </c>
      <c r="U12" s="118">
        <v>46128</v>
      </c>
      <c r="V12" s="118">
        <v>24424</v>
      </c>
      <c r="W12" s="118">
        <v>55253</v>
      </c>
      <c r="X12" s="118">
        <v>85462</v>
      </c>
      <c r="Y12" s="118">
        <v>74400</v>
      </c>
      <c r="Z12" s="118">
        <v>97619</v>
      </c>
      <c r="AA12" s="118">
        <v>91731</v>
      </c>
      <c r="AB12" s="118">
        <v>93363</v>
      </c>
      <c r="AC12" s="118">
        <v>35694</v>
      </c>
      <c r="AD12" s="118">
        <v>84659</v>
      </c>
      <c r="AE12" s="118">
        <v>242830</v>
      </c>
      <c r="AF12" s="118">
        <v>184150</v>
      </c>
      <c r="AG12" s="118">
        <v>210044</v>
      </c>
      <c r="AH12" s="118">
        <v>244408</v>
      </c>
      <c r="AI12" s="118">
        <v>198379</v>
      </c>
      <c r="AJ12" s="118">
        <v>168681</v>
      </c>
      <c r="AK12" s="118">
        <v>99276</v>
      </c>
      <c r="AL12" s="118">
        <v>126563</v>
      </c>
      <c r="AM12" s="118">
        <v>55115</v>
      </c>
      <c r="AN12" s="118">
        <v>83535</v>
      </c>
      <c r="AO12" s="118">
        <v>129953</v>
      </c>
      <c r="AP12" s="118">
        <v>178116</v>
      </c>
      <c r="AQ12" s="118">
        <v>160578</v>
      </c>
      <c r="AR12" s="118">
        <v>181599</v>
      </c>
      <c r="AS12" s="118">
        <v>139811</v>
      </c>
      <c r="AT12" s="118">
        <v>203377</v>
      </c>
      <c r="AU12" s="118">
        <v>214399</v>
      </c>
      <c r="AV12" s="118">
        <v>184283</v>
      </c>
      <c r="AW12" s="118">
        <v>157032</v>
      </c>
      <c r="AX12" s="118">
        <v>257222</v>
      </c>
      <c r="AY12" s="118">
        <v>275494</v>
      </c>
      <c r="AZ12" s="118">
        <v>183649</v>
      </c>
      <c r="BA12" s="118">
        <v>68035</v>
      </c>
      <c r="BB12" s="118">
        <v>109910</v>
      </c>
      <c r="BC12" s="118">
        <f>'[3]5 Caixa NL'!$D$8</f>
        <v>106042</v>
      </c>
    </row>
    <row r="13" spans="1:55" x14ac:dyDescent="0.2">
      <c r="A13" t="s">
        <v>75</v>
      </c>
      <c r="B13" t="s">
        <v>874</v>
      </c>
      <c r="D13" s="126" t="str">
        <f>IF([1]RENAME!$H$3=1,B13,A13)</f>
        <v>Caixa e equivalentes de caixa</v>
      </c>
      <c r="E13" s="120">
        <f t="shared" ref="E13:N13" si="21">SUM(E11:E12)</f>
        <v>161132</v>
      </c>
      <c r="F13" s="120">
        <f t="shared" si="21"/>
        <v>200090</v>
      </c>
      <c r="G13" s="162">
        <f t="shared" si="21"/>
        <v>163798</v>
      </c>
      <c r="H13" s="120">
        <f t="shared" si="21"/>
        <v>163219</v>
      </c>
      <c r="I13" s="120">
        <f t="shared" si="21"/>
        <v>134926</v>
      </c>
      <c r="J13" s="120">
        <f t="shared" si="21"/>
        <v>211638</v>
      </c>
      <c r="K13" s="120">
        <f t="shared" si="21"/>
        <v>46116</v>
      </c>
      <c r="L13" s="120">
        <f t="shared" si="21"/>
        <v>126576</v>
      </c>
      <c r="M13" s="120">
        <f t="shared" si="21"/>
        <v>128579</v>
      </c>
      <c r="N13" s="120">
        <f t="shared" si="21"/>
        <v>127008</v>
      </c>
      <c r="O13" s="120">
        <f t="shared" ref="O13:AA13" si="22">SUM(O11:O12)</f>
        <v>121845</v>
      </c>
      <c r="P13" s="120">
        <f t="shared" si="22"/>
        <v>140246</v>
      </c>
      <c r="Q13" s="120">
        <f t="shared" si="22"/>
        <v>93402</v>
      </c>
      <c r="R13" s="120">
        <f t="shared" si="22"/>
        <v>33388</v>
      </c>
      <c r="S13" s="120">
        <f t="shared" si="22"/>
        <v>91363</v>
      </c>
      <c r="T13" s="120">
        <f t="shared" si="22"/>
        <v>46963</v>
      </c>
      <c r="U13" s="120">
        <f t="shared" si="22"/>
        <v>46534</v>
      </c>
      <c r="V13" s="120">
        <f t="shared" si="22"/>
        <v>24814</v>
      </c>
      <c r="W13" s="120">
        <f t="shared" si="22"/>
        <v>55649</v>
      </c>
      <c r="X13" s="120">
        <f t="shared" si="22"/>
        <v>86324</v>
      </c>
      <c r="Y13" s="120">
        <f t="shared" si="22"/>
        <v>75713</v>
      </c>
      <c r="Z13" s="120">
        <f t="shared" si="22"/>
        <v>98399</v>
      </c>
      <c r="AA13" s="120">
        <f t="shared" si="22"/>
        <v>92534</v>
      </c>
      <c r="AB13" s="120">
        <f t="shared" ref="AB13:AG13" si="23">SUM(AB11:AB12)</f>
        <v>93877</v>
      </c>
      <c r="AC13" s="120">
        <f t="shared" si="23"/>
        <v>36764</v>
      </c>
      <c r="AD13" s="120">
        <f t="shared" si="23"/>
        <v>85266</v>
      </c>
      <c r="AE13" s="120">
        <f t="shared" si="23"/>
        <v>243342</v>
      </c>
      <c r="AF13" s="120">
        <f t="shared" si="23"/>
        <v>184785</v>
      </c>
      <c r="AG13" s="120">
        <f t="shared" si="23"/>
        <v>211363</v>
      </c>
      <c r="AH13" s="120">
        <f t="shared" ref="AH13:AM13" si="24">SUM(AH11:AH12)</f>
        <v>245436</v>
      </c>
      <c r="AI13" s="120">
        <f t="shared" si="24"/>
        <v>199049</v>
      </c>
      <c r="AJ13" s="120">
        <f t="shared" si="24"/>
        <v>169591</v>
      </c>
      <c r="AK13" s="120">
        <f t="shared" si="24"/>
        <v>99935</v>
      </c>
      <c r="AL13" s="120">
        <f t="shared" si="24"/>
        <v>129520</v>
      </c>
      <c r="AM13" s="120">
        <f t="shared" si="24"/>
        <v>62132</v>
      </c>
      <c r="AN13" s="120">
        <f t="shared" ref="AN13:AU13" si="25">SUM(AN11:AN12)</f>
        <v>84903</v>
      </c>
      <c r="AO13" s="120">
        <f t="shared" si="25"/>
        <v>131031</v>
      </c>
      <c r="AP13" s="120">
        <f t="shared" si="25"/>
        <v>178506</v>
      </c>
      <c r="AQ13" s="120">
        <f t="shared" si="25"/>
        <v>161094</v>
      </c>
      <c r="AR13" s="120">
        <f t="shared" si="25"/>
        <v>182083</v>
      </c>
      <c r="AS13" s="120">
        <f t="shared" si="25"/>
        <v>141442</v>
      </c>
      <c r="AT13" s="120">
        <f t="shared" si="25"/>
        <v>204034</v>
      </c>
      <c r="AU13" s="120">
        <f t="shared" si="25"/>
        <v>215126</v>
      </c>
      <c r="AV13" s="120">
        <f t="shared" ref="AV13:BA13" si="26">SUM(AV11:AV12)</f>
        <v>190071</v>
      </c>
      <c r="AW13" s="120">
        <f t="shared" si="26"/>
        <v>158813</v>
      </c>
      <c r="AX13" s="120">
        <f t="shared" si="26"/>
        <v>257724</v>
      </c>
      <c r="AY13" s="120">
        <f t="shared" si="26"/>
        <v>276095</v>
      </c>
      <c r="AZ13" s="120">
        <f t="shared" si="26"/>
        <v>184151</v>
      </c>
      <c r="BA13" s="120">
        <f t="shared" si="26"/>
        <v>69629</v>
      </c>
      <c r="BB13" s="120">
        <f>SUM(BB11:BB12)</f>
        <v>110252</v>
      </c>
      <c r="BC13" s="120">
        <f>SUM(BC11:BC12)</f>
        <v>107049</v>
      </c>
    </row>
    <row r="14" spans="1:55" x14ac:dyDescent="0.2">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row>
    <row r="15" spans="1:55" x14ac:dyDescent="0.2">
      <c r="A15" t="s">
        <v>98</v>
      </c>
      <c r="B15" t="s">
        <v>876</v>
      </c>
      <c r="D15" s="143" t="str">
        <f>IF([1]RENAME!$H$3=1,B15,A15)</f>
        <v>Controladas</v>
      </c>
      <c r="E15" s="247" t="str">
        <f>E5</f>
        <v>4T13</v>
      </c>
      <c r="F15" s="247" t="str">
        <f t="shared" ref="F15:T15" si="27">F5</f>
        <v>1T14</v>
      </c>
      <c r="G15" s="247" t="str">
        <f t="shared" si="27"/>
        <v>2T14</v>
      </c>
      <c r="H15" s="247" t="str">
        <f t="shared" si="27"/>
        <v>3T14</v>
      </c>
      <c r="I15" s="247" t="str">
        <f t="shared" si="27"/>
        <v>4T14</v>
      </c>
      <c r="J15" s="247" t="str">
        <f t="shared" si="27"/>
        <v>1T15</v>
      </c>
      <c r="K15" s="247" t="str">
        <f t="shared" si="27"/>
        <v>2T15</v>
      </c>
      <c r="L15" s="247" t="str">
        <f t="shared" si="27"/>
        <v>3T15</v>
      </c>
      <c r="M15" s="247" t="str">
        <f t="shared" si="27"/>
        <v>4T15</v>
      </c>
      <c r="N15" s="247" t="str">
        <f t="shared" si="27"/>
        <v>1T16</v>
      </c>
      <c r="O15" s="247" t="str">
        <f t="shared" si="27"/>
        <v>2T16</v>
      </c>
      <c r="P15" s="247" t="str">
        <f t="shared" si="27"/>
        <v>3T16</v>
      </c>
      <c r="Q15" s="247" t="str">
        <f t="shared" si="27"/>
        <v>4T16</v>
      </c>
      <c r="R15" s="247" t="str">
        <f t="shared" si="27"/>
        <v>1T17</v>
      </c>
      <c r="S15" s="247" t="str">
        <f t="shared" si="27"/>
        <v>2T17</v>
      </c>
      <c r="T15" s="247" t="str">
        <f t="shared" si="27"/>
        <v>3T17</v>
      </c>
      <c r="U15" s="247" t="str">
        <f t="shared" ref="U15:AD15" si="28">U5</f>
        <v>4T17</v>
      </c>
      <c r="V15" s="247" t="str">
        <f t="shared" si="28"/>
        <v>1T18</v>
      </c>
      <c r="W15" s="247" t="str">
        <f t="shared" si="28"/>
        <v>2T18</v>
      </c>
      <c r="X15" s="247" t="str">
        <f t="shared" si="28"/>
        <v>3T18</v>
      </c>
      <c r="Y15" s="247" t="str">
        <f t="shared" si="28"/>
        <v>4T18</v>
      </c>
      <c r="Z15" s="247" t="str">
        <f t="shared" si="28"/>
        <v>1T19</v>
      </c>
      <c r="AA15" s="247" t="str">
        <f t="shared" si="28"/>
        <v>2T19</v>
      </c>
      <c r="AB15" s="247" t="str">
        <f t="shared" si="28"/>
        <v>3T19</v>
      </c>
      <c r="AC15" s="247" t="str">
        <f t="shared" si="28"/>
        <v>4T19</v>
      </c>
      <c r="AD15" s="247" t="str">
        <f t="shared" si="28"/>
        <v>1T20</v>
      </c>
      <c r="AE15" s="247" t="str">
        <f t="shared" ref="AE15:AK15" si="29">AE5</f>
        <v>2T20</v>
      </c>
      <c r="AF15" s="247" t="str">
        <f t="shared" si="29"/>
        <v>3T20</v>
      </c>
      <c r="AG15" s="247" t="str">
        <f t="shared" si="29"/>
        <v>4T20</v>
      </c>
      <c r="AH15" s="247" t="str">
        <f t="shared" si="29"/>
        <v>1T21</v>
      </c>
      <c r="AI15" s="247" t="str">
        <f t="shared" si="29"/>
        <v>2T21</v>
      </c>
      <c r="AJ15" s="247" t="str">
        <f t="shared" si="29"/>
        <v>3T21</v>
      </c>
      <c r="AK15" s="247" t="str">
        <f t="shared" si="29"/>
        <v>4T21</v>
      </c>
      <c r="AL15" s="247" t="str">
        <f t="shared" ref="AL15:AQ15" si="30">AL5</f>
        <v>1T22</v>
      </c>
      <c r="AM15" s="247" t="str">
        <f t="shared" si="30"/>
        <v>2T22</v>
      </c>
      <c r="AN15" s="247" t="str">
        <f t="shared" si="30"/>
        <v>3T22</v>
      </c>
      <c r="AO15" s="247" t="str">
        <f t="shared" si="30"/>
        <v>4T22</v>
      </c>
      <c r="AP15" s="247" t="str">
        <f t="shared" si="30"/>
        <v>1T23</v>
      </c>
      <c r="AQ15" s="247" t="str">
        <f t="shared" si="30"/>
        <v>2T23</v>
      </c>
      <c r="AR15" s="247" t="str">
        <f t="shared" ref="AR15:AY15" si="31">AR5</f>
        <v>3T23</v>
      </c>
      <c r="AS15" s="247" t="str">
        <f t="shared" si="31"/>
        <v>4T23</v>
      </c>
      <c r="AT15" s="247" t="str">
        <f t="shared" si="31"/>
        <v>1T24</v>
      </c>
      <c r="AU15" s="247" t="str">
        <f t="shared" si="31"/>
        <v>2T24</v>
      </c>
      <c r="AV15" s="247" t="str">
        <f t="shared" si="31"/>
        <v>3T24</v>
      </c>
      <c r="AW15" s="247" t="str">
        <f t="shared" si="31"/>
        <v>4T24</v>
      </c>
      <c r="AX15" s="247" t="str">
        <f t="shared" si="31"/>
        <v>1T25</v>
      </c>
      <c r="AY15" s="247" t="str">
        <f t="shared" si="31"/>
        <v>2T25</v>
      </c>
      <c r="AZ15" s="247" t="str">
        <f>AZ5</f>
        <v>3T25</v>
      </c>
      <c r="BA15" s="247" t="str">
        <f>BA5</f>
        <v>4T25</v>
      </c>
      <c r="BB15" s="247" t="str">
        <f>BB5</f>
        <v>1T26</v>
      </c>
      <c r="BC15" s="247" t="str">
        <f>BC5</f>
        <v>2T26</v>
      </c>
    </row>
    <row r="16" spans="1:55" x14ac:dyDescent="0.2">
      <c r="A16" t="s">
        <v>183</v>
      </c>
      <c r="B16" t="s">
        <v>881</v>
      </c>
      <c r="D16" s="129" t="str">
        <f>IF([1]RENAME!$H$3=1,B16,A16)</f>
        <v>Recursos em banco e em caixa</v>
      </c>
      <c r="E16" s="118">
        <f t="shared" ref="E16:L17" si="32">+E6-E11</f>
        <v>1224</v>
      </c>
      <c r="F16" s="118">
        <f t="shared" si="32"/>
        <v>3085</v>
      </c>
      <c r="G16" s="160">
        <f t="shared" si="32"/>
        <v>504</v>
      </c>
      <c r="H16" s="118">
        <f t="shared" si="32"/>
        <v>2254</v>
      </c>
      <c r="I16" s="118">
        <f t="shared" si="32"/>
        <v>1004</v>
      </c>
      <c r="J16" s="118">
        <f t="shared" si="32"/>
        <v>329</v>
      </c>
      <c r="K16" s="118">
        <f t="shared" si="32"/>
        <v>161</v>
      </c>
      <c r="L16" s="118">
        <f t="shared" si="32"/>
        <v>102</v>
      </c>
      <c r="M16" s="118">
        <f t="shared" ref="M16:O17" si="33">+M6-M11</f>
        <v>236</v>
      </c>
      <c r="N16" s="118">
        <f t="shared" si="33"/>
        <v>89</v>
      </c>
      <c r="O16" s="118">
        <f t="shared" si="33"/>
        <v>112</v>
      </c>
      <c r="P16" s="118">
        <f>+P6-P11</f>
        <v>93</v>
      </c>
      <c r="Q16" s="118">
        <f>+Q6-Q11</f>
        <v>562</v>
      </c>
      <c r="R16" s="118">
        <v>76</v>
      </c>
      <c r="S16" s="118">
        <v>15</v>
      </c>
      <c r="T16" s="118">
        <f>+T6-T11</f>
        <v>18</v>
      </c>
      <c r="U16" s="118">
        <f>+U6-U11</f>
        <v>20</v>
      </c>
      <c r="V16" s="118">
        <f t="shared" ref="V16:AC16" si="34">+V6-V11</f>
        <v>12</v>
      </c>
      <c r="W16" s="118">
        <f t="shared" si="34"/>
        <v>29</v>
      </c>
      <c r="X16" s="118">
        <f t="shared" si="34"/>
        <v>377</v>
      </c>
      <c r="Y16" s="118">
        <f t="shared" si="34"/>
        <v>23</v>
      </c>
      <c r="Z16" s="118">
        <f t="shared" si="34"/>
        <v>239</v>
      </c>
      <c r="AA16" s="118">
        <f t="shared" si="34"/>
        <v>545</v>
      </c>
      <c r="AB16" s="118">
        <f t="shared" si="34"/>
        <v>417</v>
      </c>
      <c r="AC16" s="118">
        <f t="shared" si="34"/>
        <v>299</v>
      </c>
      <c r="AD16" s="118">
        <v>337</v>
      </c>
      <c r="AE16" s="118">
        <v>128</v>
      </c>
      <c r="AF16" s="118">
        <v>60</v>
      </c>
      <c r="AG16" s="118">
        <v>519</v>
      </c>
      <c r="AH16" s="118">
        <v>432</v>
      </c>
      <c r="AI16" s="118">
        <v>310</v>
      </c>
      <c r="AJ16" s="118">
        <v>344</v>
      </c>
      <c r="AK16" s="118">
        <f t="shared" ref="AK16:AM17" si="35">+AK6-AK11</f>
        <v>527</v>
      </c>
      <c r="AL16" s="118">
        <f t="shared" si="35"/>
        <v>221</v>
      </c>
      <c r="AM16" s="118">
        <f t="shared" si="35"/>
        <v>276</v>
      </c>
      <c r="AN16" s="118">
        <f t="shared" ref="AN16:AT17" si="36">+AN6-AN11</f>
        <v>517</v>
      </c>
      <c r="AO16" s="118">
        <f t="shared" si="36"/>
        <v>486</v>
      </c>
      <c r="AP16" s="118">
        <f t="shared" si="36"/>
        <v>349</v>
      </c>
      <c r="AQ16" s="118">
        <f t="shared" si="36"/>
        <v>235</v>
      </c>
      <c r="AR16" s="118">
        <f t="shared" si="36"/>
        <v>152</v>
      </c>
      <c r="AS16" s="118">
        <f t="shared" si="36"/>
        <v>205</v>
      </c>
      <c r="AT16" s="118">
        <f t="shared" si="36"/>
        <v>319</v>
      </c>
      <c r="AU16" s="118">
        <v>85</v>
      </c>
      <c r="AV16" s="118">
        <f>+AV6-AV11</f>
        <v>71</v>
      </c>
      <c r="AW16" s="118">
        <v>70</v>
      </c>
      <c r="AX16" s="118">
        <v>50</v>
      </c>
      <c r="AY16" s="118">
        <f>+AY6-AY11</f>
        <v>201</v>
      </c>
      <c r="AZ16" s="118">
        <v>492</v>
      </c>
      <c r="BA16" s="118">
        <v>155</v>
      </c>
      <c r="BB16" s="118">
        <v>106</v>
      </c>
      <c r="BC16" s="118">
        <f>+BC6-BC11</f>
        <v>82</v>
      </c>
    </row>
    <row r="17" spans="1:55" x14ac:dyDescent="0.2">
      <c r="A17" t="s">
        <v>17</v>
      </c>
      <c r="B17" t="s">
        <v>882</v>
      </c>
      <c r="D17" s="129" t="str">
        <f>IF([1]RENAME!$H$3=1,B17,A17)</f>
        <v>Aplicações financeiras</v>
      </c>
      <c r="E17" s="118">
        <f t="shared" si="32"/>
        <v>42092</v>
      </c>
      <c r="F17" s="118">
        <f t="shared" si="32"/>
        <v>18299</v>
      </c>
      <c r="G17" s="160">
        <f t="shared" si="32"/>
        <v>15580</v>
      </c>
      <c r="H17" s="118">
        <f t="shared" si="32"/>
        <v>20620</v>
      </c>
      <c r="I17" s="118">
        <f t="shared" si="32"/>
        <v>91927</v>
      </c>
      <c r="J17" s="118">
        <f t="shared" si="32"/>
        <v>94993</v>
      </c>
      <c r="K17" s="118">
        <f t="shared" si="32"/>
        <v>85228</v>
      </c>
      <c r="L17" s="118">
        <f t="shared" si="32"/>
        <v>80073</v>
      </c>
      <c r="M17" s="118">
        <f t="shared" si="33"/>
        <v>85444</v>
      </c>
      <c r="N17" s="118">
        <f t="shared" si="33"/>
        <v>105596</v>
      </c>
      <c r="O17" s="118">
        <f t="shared" si="33"/>
        <v>97259</v>
      </c>
      <c r="P17" s="118">
        <f>+P7-P12</f>
        <v>101579</v>
      </c>
      <c r="Q17" s="118">
        <f>+Q7-Q12</f>
        <v>98894</v>
      </c>
      <c r="R17" s="118">
        <v>92549</v>
      </c>
      <c r="S17" s="118">
        <v>91652</v>
      </c>
      <c r="T17" s="118">
        <f>+T7-T12</f>
        <v>98326</v>
      </c>
      <c r="U17" s="118">
        <f>+U7-U12</f>
        <v>102178</v>
      </c>
      <c r="V17" s="118">
        <f t="shared" ref="V17:AC17" si="37">+V7-V12</f>
        <v>100640</v>
      </c>
      <c r="W17" s="118">
        <f t="shared" si="37"/>
        <v>35011</v>
      </c>
      <c r="X17" s="118">
        <f t="shared" si="37"/>
        <v>11263</v>
      </c>
      <c r="Y17" s="118">
        <f t="shared" si="37"/>
        <v>7806</v>
      </c>
      <c r="Z17" s="118">
        <f t="shared" si="37"/>
        <v>9356</v>
      </c>
      <c r="AA17" s="118">
        <f t="shared" si="37"/>
        <v>13696</v>
      </c>
      <c r="AB17" s="118">
        <f t="shared" si="37"/>
        <v>17814</v>
      </c>
      <c r="AC17" s="118">
        <f t="shared" si="37"/>
        <v>30269</v>
      </c>
      <c r="AD17" s="118">
        <v>40337</v>
      </c>
      <c r="AE17" s="118">
        <v>43033</v>
      </c>
      <c r="AF17" s="118">
        <v>62948</v>
      </c>
      <c r="AG17" s="118">
        <v>48505</v>
      </c>
      <c r="AH17" s="118">
        <v>59041</v>
      </c>
      <c r="AI17" s="118">
        <v>45170</v>
      </c>
      <c r="AJ17" s="118">
        <v>51486</v>
      </c>
      <c r="AK17" s="118">
        <f t="shared" si="35"/>
        <v>46666</v>
      </c>
      <c r="AL17" s="118">
        <f t="shared" si="35"/>
        <v>80763</v>
      </c>
      <c r="AM17" s="118">
        <f t="shared" si="35"/>
        <v>57315</v>
      </c>
      <c r="AN17" s="118">
        <f t="shared" si="36"/>
        <v>51822</v>
      </c>
      <c r="AO17" s="118">
        <f t="shared" si="36"/>
        <v>58782</v>
      </c>
      <c r="AP17" s="118">
        <f t="shared" si="36"/>
        <v>63193</v>
      </c>
      <c r="AQ17" s="118">
        <f t="shared" si="36"/>
        <v>75709</v>
      </c>
      <c r="AR17" s="118">
        <f t="shared" si="36"/>
        <v>76395</v>
      </c>
      <c r="AS17" s="118">
        <f t="shared" si="36"/>
        <v>90892</v>
      </c>
      <c r="AT17" s="118">
        <f t="shared" si="36"/>
        <v>95443</v>
      </c>
      <c r="AU17" s="118">
        <v>67591</v>
      </c>
      <c r="AV17" s="118">
        <f>+AV7-AV12</f>
        <v>73984</v>
      </c>
      <c r="AW17" s="118">
        <v>82452</v>
      </c>
      <c r="AX17" s="118">
        <v>81423</v>
      </c>
      <c r="AY17" s="118">
        <f>+AY7-AY12</f>
        <v>70855</v>
      </c>
      <c r="AZ17" s="118">
        <v>61021</v>
      </c>
      <c r="BA17" s="118">
        <v>44076</v>
      </c>
      <c r="BB17" s="118">
        <v>73831</v>
      </c>
      <c r="BC17" s="118">
        <f>+BC7-BC12</f>
        <v>89792</v>
      </c>
    </row>
    <row r="18" spans="1:55" x14ac:dyDescent="0.2">
      <c r="A18" t="s">
        <v>75</v>
      </c>
      <c r="B18" t="s">
        <v>874</v>
      </c>
      <c r="D18" s="126" t="str">
        <f>IF([1]RENAME!$H$3=1,B18,A18)</f>
        <v>Caixa e equivalentes de caixa</v>
      </c>
      <c r="E18" s="120">
        <f t="shared" ref="E18:M18" si="38">SUM(E16:E17)</f>
        <v>43316</v>
      </c>
      <c r="F18" s="120">
        <f t="shared" si="38"/>
        <v>21384</v>
      </c>
      <c r="G18" s="162">
        <f t="shared" si="38"/>
        <v>16084</v>
      </c>
      <c r="H18" s="120">
        <f t="shared" si="38"/>
        <v>22874</v>
      </c>
      <c r="I18" s="120">
        <f t="shared" si="38"/>
        <v>92931</v>
      </c>
      <c r="J18" s="120">
        <f t="shared" si="38"/>
        <v>95322</v>
      </c>
      <c r="K18" s="120">
        <f t="shared" si="38"/>
        <v>85389</v>
      </c>
      <c r="L18" s="120">
        <f t="shared" si="38"/>
        <v>80175</v>
      </c>
      <c r="M18" s="120">
        <f t="shared" si="38"/>
        <v>85680</v>
      </c>
      <c r="N18" s="120">
        <f t="shared" ref="N18:AA18" si="39">SUM(N16:N17)</f>
        <v>105685</v>
      </c>
      <c r="O18" s="120">
        <f t="shared" si="39"/>
        <v>97371</v>
      </c>
      <c r="P18" s="120">
        <f t="shared" si="39"/>
        <v>101672</v>
      </c>
      <c r="Q18" s="120">
        <f t="shared" si="39"/>
        <v>99456</v>
      </c>
      <c r="R18" s="120">
        <f t="shared" si="39"/>
        <v>92625</v>
      </c>
      <c r="S18" s="120">
        <f t="shared" si="39"/>
        <v>91667</v>
      </c>
      <c r="T18" s="120">
        <f t="shared" si="39"/>
        <v>98344</v>
      </c>
      <c r="U18" s="120">
        <f t="shared" si="39"/>
        <v>102198</v>
      </c>
      <c r="V18" s="120">
        <f t="shared" si="39"/>
        <v>100652</v>
      </c>
      <c r="W18" s="120">
        <f t="shared" si="39"/>
        <v>35040</v>
      </c>
      <c r="X18" s="120">
        <v>11640</v>
      </c>
      <c r="Y18" s="120">
        <f t="shared" si="39"/>
        <v>7829</v>
      </c>
      <c r="Z18" s="120">
        <f t="shared" si="39"/>
        <v>9595</v>
      </c>
      <c r="AA18" s="120">
        <f t="shared" si="39"/>
        <v>14241</v>
      </c>
      <c r="AB18" s="120">
        <f t="shared" ref="AB18:AG18" si="40">SUM(AB16:AB17)</f>
        <v>18231</v>
      </c>
      <c r="AC18" s="120">
        <f t="shared" si="40"/>
        <v>30568</v>
      </c>
      <c r="AD18" s="120">
        <f t="shared" si="40"/>
        <v>40674</v>
      </c>
      <c r="AE18" s="120">
        <f t="shared" si="40"/>
        <v>43161</v>
      </c>
      <c r="AF18" s="120">
        <f t="shared" si="40"/>
        <v>63008</v>
      </c>
      <c r="AG18" s="120">
        <f t="shared" si="40"/>
        <v>49024</v>
      </c>
      <c r="AH18" s="120">
        <f t="shared" ref="AH18:AM18" si="41">SUM(AH16:AH17)</f>
        <v>59473</v>
      </c>
      <c r="AI18" s="120">
        <f t="shared" si="41"/>
        <v>45480</v>
      </c>
      <c r="AJ18" s="120">
        <f t="shared" si="41"/>
        <v>51830</v>
      </c>
      <c r="AK18" s="120">
        <f t="shared" si="41"/>
        <v>47193</v>
      </c>
      <c r="AL18" s="120">
        <f t="shared" si="41"/>
        <v>80984</v>
      </c>
      <c r="AM18" s="120">
        <f t="shared" si="41"/>
        <v>57591</v>
      </c>
      <c r="AN18" s="120">
        <f t="shared" ref="AN18:AU18" si="42">SUM(AN16:AN17)</f>
        <v>52339</v>
      </c>
      <c r="AO18" s="120">
        <f t="shared" si="42"/>
        <v>59268</v>
      </c>
      <c r="AP18" s="120">
        <f t="shared" si="42"/>
        <v>63542</v>
      </c>
      <c r="AQ18" s="120">
        <f t="shared" si="42"/>
        <v>75944</v>
      </c>
      <c r="AR18" s="120">
        <f t="shared" si="42"/>
        <v>76547</v>
      </c>
      <c r="AS18" s="120">
        <f t="shared" si="42"/>
        <v>91097</v>
      </c>
      <c r="AT18" s="120">
        <f t="shared" si="42"/>
        <v>95762</v>
      </c>
      <c r="AU18" s="120">
        <f t="shared" si="42"/>
        <v>67676</v>
      </c>
      <c r="AV18" s="120">
        <f t="shared" ref="AV18:BA18" si="43">SUM(AV16:AV17)</f>
        <v>74055</v>
      </c>
      <c r="AW18" s="120">
        <f t="shared" si="43"/>
        <v>82522</v>
      </c>
      <c r="AX18" s="120">
        <f t="shared" si="43"/>
        <v>81473</v>
      </c>
      <c r="AY18" s="120">
        <f t="shared" si="43"/>
        <v>71056</v>
      </c>
      <c r="AZ18" s="120">
        <f t="shared" si="43"/>
        <v>61513</v>
      </c>
      <c r="BA18" s="120">
        <f t="shared" si="43"/>
        <v>44231</v>
      </c>
      <c r="BB18" s="120">
        <f>SUM(BB16:BB17)</f>
        <v>73937</v>
      </c>
      <c r="BC18" s="120">
        <f>SUM(BC16:BC17)</f>
        <v>89874</v>
      </c>
    </row>
  </sheetData>
  <mergeCells count="1">
    <mergeCell ref="E4:F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25">
    <pageSetUpPr autoPageBreaks="0"/>
  </sheetPr>
  <dimension ref="A1:BC25"/>
  <sheetViews>
    <sheetView showGridLines="0" zoomScaleNormal="100" workbookViewId="0">
      <pane xSplit="4" ySplit="4" topLeftCell="AX5" activePane="bottomRight" state="frozen"/>
      <selection activeCell="AY7" sqref="AY7"/>
      <selection pane="topRight" activeCell="AY7" sqref="AY7"/>
      <selection pane="bottomLeft" activeCell="AY7" sqref="AY7"/>
      <selection pane="bottomRight" activeCell="BC6" sqref="BC6"/>
    </sheetView>
  </sheetViews>
  <sheetFormatPr defaultRowHeight="12.75" x14ac:dyDescent="0.2"/>
  <cols>
    <col min="1" max="2" width="9.140625" hidden="1" customWidth="1"/>
    <col min="3" max="3" width="1.42578125" customWidth="1"/>
    <col min="4" max="4" width="53.140625" customWidth="1"/>
    <col min="5" max="5" width="11" customWidth="1"/>
    <col min="6" max="6" width="11.42578125" customWidth="1"/>
    <col min="7" max="54" width="10.85546875" customWidth="1"/>
  </cols>
  <sheetData>
    <row r="1" spans="1:55" s="547" customFormat="1" ht="7.5" customHeight="1" x14ac:dyDescent="0.2">
      <c r="E1" s="547" t="s">
        <v>0</v>
      </c>
      <c r="F1" s="547" t="str">
        <f>IF(LEFT(E1,1)="4","1T"&amp;RIGHT(E1,2)+1,LEFT(E1,1)+1&amp;RIGHT(E1,3))</f>
        <v>1T14</v>
      </c>
      <c r="G1" s="547" t="str">
        <f t="shared" ref="G1:V1" si="0">IF(LEFT(F1,1)="4","1T"&amp;RIGHT(F1,2)+1,LEFT(F1,1)+1&amp;RIGHT(F1,3))</f>
        <v>2T14</v>
      </c>
      <c r="H1" s="547" t="str">
        <f t="shared" si="0"/>
        <v>3T14</v>
      </c>
      <c r="I1" s="547" t="str">
        <f t="shared" si="0"/>
        <v>4T14</v>
      </c>
      <c r="J1" s="547" t="str">
        <f t="shared" si="0"/>
        <v>1T15</v>
      </c>
      <c r="K1" s="547" t="str">
        <f t="shared" si="0"/>
        <v>2T15</v>
      </c>
      <c r="L1" s="547" t="str">
        <f t="shared" si="0"/>
        <v>3T15</v>
      </c>
      <c r="M1" s="547" t="str">
        <f t="shared" si="0"/>
        <v>4T15</v>
      </c>
      <c r="N1" s="547" t="str">
        <f t="shared" si="0"/>
        <v>1T16</v>
      </c>
      <c r="O1" s="547" t="str">
        <f t="shared" si="0"/>
        <v>2T16</v>
      </c>
      <c r="P1" s="547" t="str">
        <f t="shared" si="0"/>
        <v>3T16</v>
      </c>
      <c r="Q1" s="547" t="str">
        <f t="shared" si="0"/>
        <v>4T16</v>
      </c>
      <c r="R1" s="547" t="str">
        <f t="shared" si="0"/>
        <v>1T17</v>
      </c>
      <c r="S1" s="547" t="str">
        <f t="shared" si="0"/>
        <v>2T17</v>
      </c>
      <c r="T1" s="547" t="str">
        <f t="shared" si="0"/>
        <v>3T17</v>
      </c>
      <c r="U1" s="547" t="str">
        <f t="shared" si="0"/>
        <v>4T17</v>
      </c>
      <c r="V1" s="547" t="str">
        <f t="shared" si="0"/>
        <v>1T18</v>
      </c>
      <c r="W1" s="547" t="str">
        <f t="shared" ref="W1:AB1" si="1">IF(LEFT(V1,1)="4","1T"&amp;RIGHT(V1,2)+1,LEFT(V1,1)+1&amp;RIGHT(V1,3))</f>
        <v>2T18</v>
      </c>
      <c r="X1" s="547" t="str">
        <f t="shared" si="1"/>
        <v>3T18</v>
      </c>
      <c r="Y1" s="547" t="str">
        <f t="shared" si="1"/>
        <v>4T18</v>
      </c>
      <c r="Z1" s="547" t="str">
        <f t="shared" si="1"/>
        <v>1T19</v>
      </c>
      <c r="AA1" s="547" t="str">
        <f t="shared" si="1"/>
        <v>2T19</v>
      </c>
      <c r="AB1" s="547" t="str">
        <f t="shared" si="1"/>
        <v>3T19</v>
      </c>
      <c r="AC1" s="547" t="s">
        <v>1411</v>
      </c>
      <c r="AD1" s="547" t="str">
        <f t="shared" ref="AD1:AK1" si="2">IF(LEFT(AC1,1)="4","1T"&amp;RIGHT(AC1,2)+1,LEFT(AC1,1)+1&amp;RIGHT(AC1,3))</f>
        <v>1T20</v>
      </c>
      <c r="AE1" s="547" t="str">
        <f t="shared" si="2"/>
        <v>2T20</v>
      </c>
      <c r="AF1" s="547" t="str">
        <f t="shared" si="2"/>
        <v>3T20</v>
      </c>
      <c r="AG1" s="547" t="str">
        <f t="shared" si="2"/>
        <v>4T20</v>
      </c>
      <c r="AH1" s="547" t="str">
        <f t="shared" si="2"/>
        <v>1T21</v>
      </c>
      <c r="AI1" s="547" t="str">
        <f t="shared" si="2"/>
        <v>2T21</v>
      </c>
      <c r="AJ1" s="547" t="str">
        <f t="shared" si="2"/>
        <v>3T21</v>
      </c>
      <c r="AK1" s="547" t="str">
        <f t="shared" si="2"/>
        <v>4T21</v>
      </c>
      <c r="AL1" s="547" t="str">
        <f t="shared" ref="AL1:AT1" si="3">IF(LEFT(AK1,1)="4","1T"&amp;RIGHT(AK1,2)+1,LEFT(AK1,1)+1&amp;RIGHT(AK1,3))</f>
        <v>1T22</v>
      </c>
      <c r="AM1" s="547" t="str">
        <f t="shared" si="3"/>
        <v>2T22</v>
      </c>
      <c r="AN1" s="547" t="str">
        <f t="shared" si="3"/>
        <v>3T22</v>
      </c>
      <c r="AO1" s="547" t="str">
        <f t="shared" si="3"/>
        <v>4T22</v>
      </c>
      <c r="AP1" s="547" t="str">
        <f t="shared" si="3"/>
        <v>1T23</v>
      </c>
      <c r="AQ1" s="547" t="str">
        <f t="shared" si="3"/>
        <v>2T23</v>
      </c>
      <c r="AR1" s="547" t="str">
        <f t="shared" si="3"/>
        <v>3T23</v>
      </c>
      <c r="AS1" s="547" t="str">
        <f t="shared" si="3"/>
        <v>4T23</v>
      </c>
      <c r="AT1" s="547" t="str">
        <f t="shared" si="3"/>
        <v>1T24</v>
      </c>
      <c r="AU1" s="547" t="str">
        <f t="shared" ref="AU1:BA1" si="4">IF(LEFT(AT1,1)="4","1T"&amp;RIGHT(AT1,2)+1,LEFT(AT1,1)+1&amp;RIGHT(AT1,3))</f>
        <v>2T24</v>
      </c>
      <c r="AV1" s="547" t="str">
        <f t="shared" si="4"/>
        <v>3T24</v>
      </c>
      <c r="AW1" s="547" t="str">
        <f t="shared" si="4"/>
        <v>4T24</v>
      </c>
      <c r="AX1" s="547" t="str">
        <f t="shared" si="4"/>
        <v>1T25</v>
      </c>
      <c r="AY1" s="547" t="str">
        <f t="shared" si="4"/>
        <v>2T25</v>
      </c>
      <c r="AZ1" s="547" t="str">
        <f t="shared" si="4"/>
        <v>3T25</v>
      </c>
      <c r="BA1" s="547" t="str">
        <f t="shared" si="4"/>
        <v>4T25</v>
      </c>
      <c r="BB1" s="547" t="str">
        <f>IF(LEFT(BA1,1)="4","1T"&amp;RIGHT(BA1,2)+1,LEFT(BA1,1)+1&amp;RIGHT(BA1,3))</f>
        <v>1T26</v>
      </c>
      <c r="BC1" s="547" t="str">
        <f>IF(LEFT(BB1,1)="4","1T"&amp;RIGHT(BB1,2)+1,LEFT(BB1,1)+1&amp;RIGHT(BB1,3))</f>
        <v>2T26</v>
      </c>
    </row>
    <row r="2" spans="1:55" s="547" customFormat="1" x14ac:dyDescent="0.2">
      <c r="E2" s="547" t="str">
        <f>SUBSTITUTE(E1,"T","Q")</f>
        <v>4Q13</v>
      </c>
      <c r="F2" s="547" t="str">
        <f>SUBSTITUTE(F1,"T","Q")</f>
        <v>1Q14</v>
      </c>
      <c r="G2" s="547" t="str">
        <f t="shared" ref="G2:T2" si="5">SUBSTITUTE(G1,"T","Q")</f>
        <v>2Q14</v>
      </c>
      <c r="H2" s="547" t="str">
        <f t="shared" si="5"/>
        <v>3Q14</v>
      </c>
      <c r="I2" s="547" t="str">
        <f t="shared" si="5"/>
        <v>4Q14</v>
      </c>
      <c r="J2" s="547" t="str">
        <f t="shared" si="5"/>
        <v>1Q15</v>
      </c>
      <c r="K2" s="547" t="str">
        <f t="shared" si="5"/>
        <v>2Q15</v>
      </c>
      <c r="L2" s="547" t="str">
        <f t="shared" si="5"/>
        <v>3Q15</v>
      </c>
      <c r="M2" s="547" t="str">
        <f t="shared" si="5"/>
        <v>4Q15</v>
      </c>
      <c r="N2" s="547" t="str">
        <f t="shared" si="5"/>
        <v>1Q16</v>
      </c>
      <c r="O2" s="547" t="str">
        <f t="shared" si="5"/>
        <v>2Q16</v>
      </c>
      <c r="P2" s="547" t="str">
        <f t="shared" si="5"/>
        <v>3Q16</v>
      </c>
      <c r="Q2" s="547" t="str">
        <f t="shared" si="5"/>
        <v>4Q16</v>
      </c>
      <c r="R2" s="547" t="str">
        <f t="shared" si="5"/>
        <v>1Q17</v>
      </c>
      <c r="S2" s="547" t="str">
        <f t="shared" si="5"/>
        <v>2Q17</v>
      </c>
      <c r="T2" s="547" t="str">
        <f t="shared" si="5"/>
        <v>3Q17</v>
      </c>
      <c r="U2" s="547" t="str">
        <f t="shared" ref="U2:Z2" si="6">SUBSTITUTE(U1,"T","Q")</f>
        <v>4Q17</v>
      </c>
      <c r="V2" s="547" t="str">
        <f t="shared" si="6"/>
        <v>1Q18</v>
      </c>
      <c r="W2" s="547" t="str">
        <f t="shared" si="6"/>
        <v>2Q18</v>
      </c>
      <c r="X2" s="547" t="str">
        <f t="shared" si="6"/>
        <v>3Q18</v>
      </c>
      <c r="Y2" s="547" t="str">
        <f t="shared" si="6"/>
        <v>4Q18</v>
      </c>
      <c r="Z2" s="547" t="str">
        <f t="shared" si="6"/>
        <v>1Q19</v>
      </c>
      <c r="AA2" s="547" t="str">
        <f>SUBSTITUTE(AA1,"T","Q")</f>
        <v>2Q19</v>
      </c>
      <c r="AB2" s="547" t="str">
        <f>SUBSTITUTE(AB1,"T","Q")</f>
        <v>3Q19</v>
      </c>
      <c r="AC2" s="547" t="s">
        <v>1514</v>
      </c>
      <c r="AD2" s="547" t="str">
        <f t="shared" ref="AD2:AK2" si="7">SUBSTITUTE(AD1,"T","Q")</f>
        <v>1Q20</v>
      </c>
      <c r="AE2" s="547" t="str">
        <f t="shared" si="7"/>
        <v>2Q20</v>
      </c>
      <c r="AF2" s="547" t="str">
        <f t="shared" si="7"/>
        <v>3Q20</v>
      </c>
      <c r="AG2" s="547" t="str">
        <f t="shared" si="7"/>
        <v>4Q20</v>
      </c>
      <c r="AH2" s="547" t="str">
        <f t="shared" si="7"/>
        <v>1Q21</v>
      </c>
      <c r="AI2" s="547" t="str">
        <f t="shared" si="7"/>
        <v>2Q21</v>
      </c>
      <c r="AJ2" s="547" t="str">
        <f t="shared" si="7"/>
        <v>3Q21</v>
      </c>
      <c r="AK2" s="547" t="str">
        <f t="shared" si="7"/>
        <v>4Q21</v>
      </c>
      <c r="AL2" s="547" t="str">
        <f t="shared" ref="AL2:AQ2" si="8">SUBSTITUTE(AL1,"T","Q")</f>
        <v>1Q22</v>
      </c>
      <c r="AM2" s="547" t="str">
        <f t="shared" si="8"/>
        <v>2Q22</v>
      </c>
      <c r="AN2" s="547" t="str">
        <f t="shared" si="8"/>
        <v>3Q22</v>
      </c>
      <c r="AO2" s="547" t="str">
        <f t="shared" si="8"/>
        <v>4Q22</v>
      </c>
      <c r="AP2" s="547" t="str">
        <f t="shared" si="8"/>
        <v>1Q23</v>
      </c>
      <c r="AQ2" s="547" t="str">
        <f t="shared" si="8"/>
        <v>2Q23</v>
      </c>
      <c r="AR2" s="547" t="str">
        <f t="shared" ref="AR2:BC2" si="9">SUBSTITUTE(AR1,"T","Q")</f>
        <v>3Q23</v>
      </c>
      <c r="AS2" s="547" t="str">
        <f t="shared" si="9"/>
        <v>4Q23</v>
      </c>
      <c r="AT2" s="547" t="str">
        <f t="shared" si="9"/>
        <v>1Q24</v>
      </c>
      <c r="AU2" s="547" t="str">
        <f t="shared" si="9"/>
        <v>2Q24</v>
      </c>
      <c r="AV2" s="547" t="str">
        <f t="shared" si="9"/>
        <v>3Q24</v>
      </c>
      <c r="AW2" s="547" t="str">
        <f t="shared" si="9"/>
        <v>4Q24</v>
      </c>
      <c r="AX2" s="547" t="str">
        <f t="shared" si="9"/>
        <v>1Q25</v>
      </c>
      <c r="AY2" s="547" t="str">
        <f t="shared" si="9"/>
        <v>2Q25</v>
      </c>
      <c r="AZ2" s="547" t="str">
        <f t="shared" si="9"/>
        <v>3Q25</v>
      </c>
      <c r="BA2" s="547" t="str">
        <f t="shared" si="9"/>
        <v>4Q25</v>
      </c>
      <c r="BB2" s="547" t="str">
        <f>SUBSTITUTE(BB1,"T","Q")</f>
        <v>1Q26</v>
      </c>
      <c r="BC2" s="547" t="str">
        <f t="shared" si="9"/>
        <v>2Q26</v>
      </c>
    </row>
    <row r="3" spans="1:55" x14ac:dyDescent="0.2">
      <c r="D3" s="41"/>
      <c r="F3" s="49"/>
      <c r="G3" s="49"/>
      <c r="H3" s="49"/>
      <c r="I3" s="49"/>
      <c r="J3" s="46"/>
      <c r="K3" s="55"/>
      <c r="L3" s="55"/>
      <c r="M3" s="55"/>
      <c r="N3" s="55"/>
      <c r="O3" s="55"/>
      <c r="P3" s="55"/>
      <c r="Q3" s="55"/>
      <c r="R3" s="55"/>
      <c r="S3" s="55"/>
      <c r="T3" s="55"/>
      <c r="U3" s="55"/>
      <c r="V3" s="55"/>
      <c r="W3" s="55"/>
      <c r="X3" s="55"/>
      <c r="Y3" s="55"/>
      <c r="Z3" s="808"/>
      <c r="AA3" s="808"/>
      <c r="AB3" s="808"/>
      <c r="AC3" s="808"/>
      <c r="AD3" s="808"/>
      <c r="AE3" s="808"/>
      <c r="AF3" s="808"/>
      <c r="AG3" s="808"/>
      <c r="AH3" s="808"/>
      <c r="AI3" s="556"/>
      <c r="AJ3" s="556"/>
      <c r="AK3" s="556"/>
      <c r="AL3" s="556"/>
      <c r="AM3" s="556"/>
      <c r="AN3" s="556"/>
      <c r="AO3" s="556"/>
      <c r="AP3" s="556"/>
      <c r="AQ3" s="556"/>
      <c r="AR3" s="556"/>
      <c r="AS3" s="556"/>
      <c r="AT3" s="556"/>
      <c r="AU3" s="556"/>
      <c r="AV3" s="556"/>
      <c r="AW3" s="556"/>
      <c r="AX3" s="556"/>
      <c r="AY3" s="556"/>
      <c r="AZ3" s="556"/>
      <c r="BA3" s="556"/>
      <c r="BB3" s="556"/>
      <c r="BC3" s="556"/>
    </row>
    <row r="4" spans="1:55" x14ac:dyDescent="0.2">
      <c r="D4" s="41"/>
      <c r="E4" s="1253" t="str">
        <f>IF([1]RENAME!$H$3=1,"&lt;== with Direct Express","&lt;== Com Direct Express")</f>
        <v>&lt;== Com Direct Express</v>
      </c>
      <c r="F4" s="1254"/>
      <c r="G4" s="224" t="str">
        <f>IF([1]RENAME!$H$3=1,"without Direct Express ==&gt;","Sem Direct Express ==&gt;")</f>
        <v>Sem Direct Express ==&gt;</v>
      </c>
      <c r="I4" s="49"/>
      <c r="J4" s="46"/>
      <c r="K4" s="55"/>
      <c r="L4" s="55"/>
      <c r="M4" s="55"/>
      <c r="N4" s="55"/>
      <c r="O4" s="55"/>
      <c r="P4" s="55"/>
      <c r="Q4" s="55"/>
      <c r="R4" s="55"/>
      <c r="S4" s="55"/>
      <c r="T4" s="55"/>
      <c r="U4" s="55"/>
      <c r="V4" s="55"/>
      <c r="W4" s="55"/>
      <c r="X4" s="55"/>
      <c r="Y4" s="55"/>
      <c r="Z4" s="55"/>
      <c r="AA4" s="55"/>
      <c r="AB4" s="55"/>
      <c r="AC4" s="55"/>
      <c r="AD4" s="55"/>
      <c r="AE4" s="55"/>
      <c r="AF4" s="55"/>
      <c r="AG4" s="55"/>
      <c r="AH4" s="55"/>
      <c r="AI4" s="55"/>
      <c r="AJ4" s="808"/>
      <c r="AK4" s="808"/>
      <c r="AL4" s="808"/>
      <c r="AM4" s="808"/>
      <c r="AN4" s="808"/>
      <c r="AO4" s="808"/>
      <c r="AP4" s="808"/>
      <c r="AQ4" s="808"/>
      <c r="AR4" s="808"/>
      <c r="AS4" s="808"/>
      <c r="AT4" s="808"/>
      <c r="AU4" s="808"/>
      <c r="AV4" s="808"/>
      <c r="AW4" s="808"/>
      <c r="AX4" s="808"/>
      <c r="AY4" s="808"/>
      <c r="AZ4" s="808"/>
      <c r="BA4" s="808"/>
      <c r="BB4" s="808"/>
      <c r="BC4" s="808"/>
    </row>
    <row r="5" spans="1:55" x14ac:dyDescent="0.2">
      <c r="A5" t="s">
        <v>96</v>
      </c>
      <c r="B5" t="s">
        <v>866</v>
      </c>
      <c r="D5" s="143" t="str">
        <f>IF([1]RENAME!$H$3=1,B5,A5)</f>
        <v>Consolidado</v>
      </c>
      <c r="E5" s="247" t="str">
        <f>IF([1]RENAME!$H$3=1,E2,E1)</f>
        <v>4T13</v>
      </c>
      <c r="F5" s="247" t="str">
        <f>IF([1]RENAME!$H$3=1,F2,F1)</f>
        <v>1T14</v>
      </c>
      <c r="G5" s="247" t="str">
        <f>IF([1]RENAME!$H$3=1,G2,G1)</f>
        <v>2T14</v>
      </c>
      <c r="H5" s="247" t="str">
        <f>IF([1]RENAME!$H$3=1,H2,H1)</f>
        <v>3T14</v>
      </c>
      <c r="I5" s="247" t="str">
        <f>IF([1]RENAME!$H$3=1,I2,I1)</f>
        <v>4T14</v>
      </c>
      <c r="J5" s="247" t="str">
        <f>IF([1]RENAME!$H$3=1,J2,J1)</f>
        <v>1T15</v>
      </c>
      <c r="K5" s="247" t="str">
        <f>IF([1]RENAME!$H$3=1,K2,K1)</f>
        <v>2T15</v>
      </c>
      <c r="L5" s="247" t="str">
        <f>IF([1]RENAME!$H$3=1,L2,L1)</f>
        <v>3T15</v>
      </c>
      <c r="M5" s="247" t="str">
        <f>IF([1]RENAME!$H$3=1,M2,M1)</f>
        <v>4T15</v>
      </c>
      <c r="N5" s="247" t="str">
        <f>IF([1]RENAME!$H$3=1,N2,N1)</f>
        <v>1T16</v>
      </c>
      <c r="O5" s="247" t="str">
        <f>IF([1]RENAME!$H$3=1,O2,O1)</f>
        <v>2T16</v>
      </c>
      <c r="P5" s="247" t="str">
        <f>IF([1]RENAME!$H$3=1,P2,P1)</f>
        <v>3T16</v>
      </c>
      <c r="Q5" s="247" t="str">
        <f>IF([1]RENAME!$H$3=1,Q2,Q1)</f>
        <v>4T16</v>
      </c>
      <c r="R5" s="247" t="str">
        <f>IF([1]RENAME!$H$3=1,R2,R1)</f>
        <v>1T17</v>
      </c>
      <c r="S5" s="247" t="str">
        <f>IF([1]RENAME!$H$3=1,S2,S1)</f>
        <v>2T17</v>
      </c>
      <c r="T5" s="247" t="str">
        <f>IF([1]RENAME!$H$3=1,T2,T1)</f>
        <v>3T17</v>
      </c>
      <c r="U5" s="247" t="str">
        <f>IF([1]RENAME!$H$3=1,U2,U1)</f>
        <v>4T17</v>
      </c>
      <c r="V5" s="247" t="str">
        <f>IF([1]RENAME!$H$3=1,V2,V1)</f>
        <v>1T18</v>
      </c>
      <c r="W5" s="247" t="str">
        <f>IF([1]RENAME!$H$3=1,W2,W1)</f>
        <v>2T18</v>
      </c>
      <c r="X5" s="247" t="str">
        <f>IF([1]RENAME!$H$3=1,X2,X1)</f>
        <v>3T18</v>
      </c>
      <c r="Y5" s="247" t="str">
        <f>IF([1]RENAME!$H$3=1,Y2,Y1)</f>
        <v>4T18</v>
      </c>
      <c r="Z5" s="247" t="str">
        <f>IF([1]RENAME!$H$3=1,Z2,Z1)</f>
        <v>1T19</v>
      </c>
      <c r="AA5" s="247" t="str">
        <f>IF([1]RENAME!$H$3=1,AA2,AA1)</f>
        <v>2T19</v>
      </c>
      <c r="AB5" s="247" t="str">
        <f>IF([1]RENAME!$H$3=1,AB2,AB1)</f>
        <v>3T19</v>
      </c>
      <c r="AC5" s="247" t="str">
        <f>IF([1]RENAME!$H$3=1,AC2,AC1)</f>
        <v>4T19</v>
      </c>
      <c r="AD5" s="247" t="str">
        <f>IF([1]RENAME!$H$3=1,AD2,AD1)</f>
        <v>1T20</v>
      </c>
      <c r="AE5" s="247" t="str">
        <f>IF([1]RENAME!$H$3=1,AE2,AE1)</f>
        <v>2T20</v>
      </c>
      <c r="AF5" s="247" t="str">
        <f>IF([1]RENAME!$H$3=1,AF2,AF1)</f>
        <v>3T20</v>
      </c>
      <c r="AG5" s="247" t="str">
        <f>IF([1]RENAME!$H$3=1,AG2,AG1)</f>
        <v>4T20</v>
      </c>
      <c r="AH5" s="247" t="str">
        <f>IF([1]RENAME!$H$3=1,AH2,AH1)</f>
        <v>1T21</v>
      </c>
      <c r="AI5" s="247" t="str">
        <f>IF([1]RENAME!$H$3=1,AI2,AI1)</f>
        <v>2T21</v>
      </c>
      <c r="AJ5" s="247" t="str">
        <f>IF([1]RENAME!$H$3=1,AJ2,AJ1)</f>
        <v>3T21</v>
      </c>
      <c r="AK5" s="247" t="str">
        <f>IF([1]RENAME!$H$3=1,AK2,AK1)</f>
        <v>4T21</v>
      </c>
      <c r="AL5" s="247" t="str">
        <f>IF([1]RENAME!$H$3=1,AL2,AL1)</f>
        <v>1T22</v>
      </c>
      <c r="AM5" s="247" t="str">
        <f>IF([1]RENAME!$H$3=1,AM2,AM1)</f>
        <v>2T22</v>
      </c>
      <c r="AN5" s="247" t="str">
        <f>IF([1]RENAME!$H$3=1,AN2,AN1)</f>
        <v>3T22</v>
      </c>
      <c r="AO5" s="247" t="str">
        <f>IF([1]RENAME!$H$3=1,AO2,AO1)</f>
        <v>4T22</v>
      </c>
      <c r="AP5" s="247" t="str">
        <f>IF([1]RENAME!$H$3=1,AP2,AP1)</f>
        <v>1T23</v>
      </c>
      <c r="AQ5" s="247" t="str">
        <f>IF([1]RENAME!$H$3=1,AQ2,AQ1)</f>
        <v>2T23</v>
      </c>
      <c r="AR5" s="247" t="str">
        <f>IF([1]RENAME!$H$3=1,AR2,AR1)</f>
        <v>3T23</v>
      </c>
      <c r="AS5" s="247" t="str">
        <f>IF([1]RENAME!$H$3=1,AS2,AS1)</f>
        <v>4T23</v>
      </c>
      <c r="AT5" s="247" t="str">
        <f>IF([1]RENAME!$H$3=1,AT2,AT1)</f>
        <v>1T24</v>
      </c>
      <c r="AU5" s="247" t="str">
        <f>IF([1]RENAME!$H$3=1,AU2,AU1)</f>
        <v>2T24</v>
      </c>
      <c r="AV5" s="247" t="str">
        <f>IF([1]RENAME!$H$3=1,AV2,AV1)</f>
        <v>3T24</v>
      </c>
      <c r="AW5" s="247" t="str">
        <f>IF([1]RENAME!$H$3=1,AW2,AW1)</f>
        <v>4T24</v>
      </c>
      <c r="AX5" s="247" t="str">
        <f>IF([1]RENAME!$H$3=1,AX2,AX1)</f>
        <v>1T25</v>
      </c>
      <c r="AY5" s="247" t="str">
        <f>IF([1]RENAME!$H$3=1,AY2,AY1)</f>
        <v>2T25</v>
      </c>
      <c r="AZ5" s="247" t="str">
        <f>IF([1]RENAME!$H$3=1,AZ2,AZ1)</f>
        <v>3T25</v>
      </c>
      <c r="BA5" s="247" t="str">
        <f>IF([1]RENAME!$H$3=1,BA2,BA1)</f>
        <v>4T25</v>
      </c>
      <c r="BB5" s="247" t="str">
        <f>IF([1]RENAME!$H$3=1,BB2,BB1)</f>
        <v>1T26</v>
      </c>
      <c r="BC5" s="247" t="str">
        <f>IF([1]RENAME!$H$3=1,BC2,BC1)</f>
        <v>2T26</v>
      </c>
    </row>
    <row r="6" spans="1:55" x14ac:dyDescent="0.2">
      <c r="A6" t="s">
        <v>364</v>
      </c>
      <c r="B6" t="s">
        <v>883</v>
      </c>
      <c r="D6" s="129" t="str">
        <f>IF([1]RENAME!$H$3=1,B6,A6)</f>
        <v>No Brasil</v>
      </c>
      <c r="E6" s="118">
        <v>345150</v>
      </c>
      <c r="F6" s="118">
        <v>308741</v>
      </c>
      <c r="G6" s="160">
        <v>265009</v>
      </c>
      <c r="H6" s="118">
        <v>277689</v>
      </c>
      <c r="I6" s="118">
        <v>269609</v>
      </c>
      <c r="J6" s="118">
        <v>214854</v>
      </c>
      <c r="K6" s="118">
        <v>237139</v>
      </c>
      <c r="L6" s="118">
        <v>198733</v>
      </c>
      <c r="M6" s="118">
        <v>204805</v>
      </c>
      <c r="N6" s="118">
        <v>147084</v>
      </c>
      <c r="O6" s="118">
        <v>156469</v>
      </c>
      <c r="P6" s="118">
        <v>143754</v>
      </c>
      <c r="Q6" s="118">
        <v>172327</v>
      </c>
      <c r="R6" s="118">
        <v>134371</v>
      </c>
      <c r="S6" s="118">
        <v>141460</v>
      </c>
      <c r="T6" s="118">
        <v>155573</v>
      </c>
      <c r="U6" s="118">
        <v>173148</v>
      </c>
      <c r="V6" s="118">
        <v>151361</v>
      </c>
      <c r="W6" s="118">
        <v>176788</v>
      </c>
      <c r="X6" s="118">
        <v>191669</v>
      </c>
      <c r="Y6" s="118">
        <v>229165</v>
      </c>
      <c r="Z6" s="118">
        <v>205619</v>
      </c>
      <c r="AA6" s="118">
        <v>216793</v>
      </c>
      <c r="AB6" s="118">
        <v>223820</v>
      </c>
      <c r="AC6" s="118">
        <v>261395</v>
      </c>
      <c r="AD6" s="118">
        <v>208594</v>
      </c>
      <c r="AE6" s="118">
        <v>127655</v>
      </c>
      <c r="AF6" s="118">
        <v>200039</v>
      </c>
      <c r="AG6" s="118">
        <v>212426</v>
      </c>
      <c r="AH6" s="118">
        <v>169555</v>
      </c>
      <c r="AI6" s="118">
        <v>197561</v>
      </c>
      <c r="AJ6" s="118">
        <v>197204</v>
      </c>
      <c r="AK6" s="118">
        <v>303600</v>
      </c>
      <c r="AL6" s="118">
        <v>224723</v>
      </c>
      <c r="AM6" s="118">
        <v>267534</v>
      </c>
      <c r="AN6" s="118">
        <v>290106</v>
      </c>
      <c r="AO6" s="118">
        <v>315085</v>
      </c>
      <c r="AP6" s="118">
        <v>261254</v>
      </c>
      <c r="AQ6" s="118">
        <v>265658</v>
      </c>
      <c r="AR6" s="118">
        <v>282517</v>
      </c>
      <c r="AS6" s="118">
        <v>347303</v>
      </c>
      <c r="AT6" s="118">
        <v>296007</v>
      </c>
      <c r="AU6" s="118">
        <v>344894</v>
      </c>
      <c r="AV6" s="118">
        <v>397895</v>
      </c>
      <c r="AW6" s="118">
        <v>430532</v>
      </c>
      <c r="AX6" s="118">
        <v>325399</v>
      </c>
      <c r="AY6" s="118">
        <v>361839</v>
      </c>
      <c r="AZ6" s="118">
        <v>416089</v>
      </c>
      <c r="BA6" s="118">
        <v>437647</v>
      </c>
      <c r="BB6" s="118">
        <v>408535</v>
      </c>
      <c r="BC6" s="118">
        <f>'[3]6 CR NL'!$H$7</f>
        <v>519785</v>
      </c>
    </row>
    <row r="7" spans="1:55" x14ac:dyDescent="0.2">
      <c r="A7" t="s">
        <v>185</v>
      </c>
      <c r="B7" t="s">
        <v>884</v>
      </c>
      <c r="D7" s="126" t="str">
        <f>IF([1]RENAME!$H$3=1,B7,A7)</f>
        <v xml:space="preserve">Contas a receber no Brasil </v>
      </c>
      <c r="E7" s="120">
        <f t="shared" ref="E7:S7" si="10">SUM(E6:E6)</f>
        <v>345150</v>
      </c>
      <c r="F7" s="120">
        <f t="shared" si="10"/>
        <v>308741</v>
      </c>
      <c r="G7" s="162">
        <f t="shared" si="10"/>
        <v>265009</v>
      </c>
      <c r="H7" s="120">
        <f t="shared" si="10"/>
        <v>277689</v>
      </c>
      <c r="I7" s="120">
        <f t="shared" si="10"/>
        <v>269609</v>
      </c>
      <c r="J7" s="120">
        <f t="shared" si="10"/>
        <v>214854</v>
      </c>
      <c r="K7" s="120">
        <f t="shared" si="10"/>
        <v>237139</v>
      </c>
      <c r="L7" s="120">
        <f t="shared" si="10"/>
        <v>198733</v>
      </c>
      <c r="M7" s="120">
        <f t="shared" si="10"/>
        <v>204805</v>
      </c>
      <c r="N7" s="120">
        <f t="shared" si="10"/>
        <v>147084</v>
      </c>
      <c r="O7" s="120">
        <f t="shared" si="10"/>
        <v>156469</v>
      </c>
      <c r="P7" s="120">
        <f t="shared" si="10"/>
        <v>143754</v>
      </c>
      <c r="Q7" s="120">
        <f t="shared" si="10"/>
        <v>172327</v>
      </c>
      <c r="R7" s="120">
        <f t="shared" si="10"/>
        <v>134371</v>
      </c>
      <c r="S7" s="120">
        <f t="shared" si="10"/>
        <v>141460</v>
      </c>
      <c r="T7" s="120">
        <f t="shared" ref="T7:AC7" si="11">SUM(T6:T6)</f>
        <v>155573</v>
      </c>
      <c r="U7" s="120">
        <f t="shared" si="11"/>
        <v>173148</v>
      </c>
      <c r="V7" s="120">
        <f t="shared" si="11"/>
        <v>151361</v>
      </c>
      <c r="W7" s="120">
        <f t="shared" si="11"/>
        <v>176788</v>
      </c>
      <c r="X7" s="120">
        <f t="shared" si="11"/>
        <v>191669</v>
      </c>
      <c r="Y7" s="120">
        <f t="shared" si="11"/>
        <v>229165</v>
      </c>
      <c r="Z7" s="120">
        <f t="shared" si="11"/>
        <v>205619</v>
      </c>
      <c r="AA7" s="120">
        <f t="shared" si="11"/>
        <v>216793</v>
      </c>
      <c r="AB7" s="120">
        <f t="shared" si="11"/>
        <v>223820</v>
      </c>
      <c r="AC7" s="120">
        <f t="shared" si="11"/>
        <v>261395</v>
      </c>
      <c r="AD7" s="120">
        <f t="shared" ref="AD7:AM7" si="12">SUM(AD6:AD6)</f>
        <v>208594</v>
      </c>
      <c r="AE7" s="120">
        <f t="shared" si="12"/>
        <v>127655</v>
      </c>
      <c r="AF7" s="120">
        <f t="shared" si="12"/>
        <v>200039</v>
      </c>
      <c r="AG7" s="120">
        <f t="shared" si="12"/>
        <v>212426</v>
      </c>
      <c r="AH7" s="120">
        <f t="shared" si="12"/>
        <v>169555</v>
      </c>
      <c r="AI7" s="120">
        <f t="shared" si="12"/>
        <v>197561</v>
      </c>
      <c r="AJ7" s="120">
        <f t="shared" si="12"/>
        <v>197204</v>
      </c>
      <c r="AK7" s="120">
        <f>SUM(AK6:AK6)</f>
        <v>303600</v>
      </c>
      <c r="AL7" s="120">
        <f>SUM(AL6:AL6)</f>
        <v>224723</v>
      </c>
      <c r="AM7" s="120">
        <f t="shared" si="12"/>
        <v>267534</v>
      </c>
      <c r="AN7" s="120">
        <f t="shared" ref="AN7:AU7" si="13">SUM(AN6:AN6)</f>
        <v>290106</v>
      </c>
      <c r="AO7" s="120">
        <f t="shared" si="13"/>
        <v>315085</v>
      </c>
      <c r="AP7" s="120">
        <f t="shared" si="13"/>
        <v>261254</v>
      </c>
      <c r="AQ7" s="120">
        <f t="shared" si="13"/>
        <v>265658</v>
      </c>
      <c r="AR7" s="120">
        <f t="shared" si="13"/>
        <v>282517</v>
      </c>
      <c r="AS7" s="120">
        <f t="shared" si="13"/>
        <v>347303</v>
      </c>
      <c r="AT7" s="120">
        <f t="shared" si="13"/>
        <v>296007</v>
      </c>
      <c r="AU7" s="120">
        <f t="shared" si="13"/>
        <v>344894</v>
      </c>
      <c r="AV7" s="120">
        <f t="shared" ref="AV7:BA7" si="14">SUM(AV6:AV6)</f>
        <v>397895</v>
      </c>
      <c r="AW7" s="120">
        <f t="shared" si="14"/>
        <v>430532</v>
      </c>
      <c r="AX7" s="120">
        <f t="shared" si="14"/>
        <v>325399</v>
      </c>
      <c r="AY7" s="120">
        <f t="shared" si="14"/>
        <v>361839</v>
      </c>
      <c r="AZ7" s="120">
        <f t="shared" si="14"/>
        <v>416089</v>
      </c>
      <c r="BA7" s="120">
        <f t="shared" si="14"/>
        <v>437647</v>
      </c>
      <c r="BB7" s="120">
        <f>SUM(BB6:BB6)</f>
        <v>408535</v>
      </c>
      <c r="BC7" s="120">
        <f>SUM(BC6:BC6)</f>
        <v>519785</v>
      </c>
    </row>
    <row r="8" spans="1:55" x14ac:dyDescent="0.2">
      <c r="A8" t="s">
        <v>2248</v>
      </c>
      <c r="B8" t="s">
        <v>2249</v>
      </c>
      <c r="D8" s="129" t="str">
        <f>IF([1]RENAME!$H$3=1,B8,A8)</f>
        <v>Clientes exterior</v>
      </c>
      <c r="E8" s="118" t="s">
        <v>160</v>
      </c>
      <c r="F8" s="118" t="s">
        <v>160</v>
      </c>
      <c r="G8" s="160" t="s">
        <v>160</v>
      </c>
      <c r="H8" s="118" t="s">
        <v>160</v>
      </c>
      <c r="I8" s="118" t="s">
        <v>160</v>
      </c>
      <c r="J8" s="118" t="s">
        <v>160</v>
      </c>
      <c r="K8" s="118" t="s">
        <v>160</v>
      </c>
      <c r="L8" s="118" t="s">
        <v>160</v>
      </c>
      <c r="M8" s="118" t="s">
        <v>160</v>
      </c>
      <c r="N8" s="118" t="s">
        <v>160</v>
      </c>
      <c r="O8" s="118" t="s">
        <v>160</v>
      </c>
      <c r="P8" s="118" t="s">
        <v>160</v>
      </c>
      <c r="Q8" s="118" t="s">
        <v>160</v>
      </c>
      <c r="R8" s="118" t="s">
        <v>160</v>
      </c>
      <c r="S8" s="118" t="s">
        <v>160</v>
      </c>
      <c r="T8" s="118" t="s">
        <v>160</v>
      </c>
      <c r="U8" s="118" t="s">
        <v>160</v>
      </c>
      <c r="V8" s="118" t="s">
        <v>160</v>
      </c>
      <c r="W8" s="118" t="s">
        <v>160</v>
      </c>
      <c r="X8" s="118" t="s">
        <v>160</v>
      </c>
      <c r="Y8" s="118" t="s">
        <v>160</v>
      </c>
      <c r="Z8" s="118" t="s">
        <v>160</v>
      </c>
      <c r="AA8" s="118" t="s">
        <v>160</v>
      </c>
      <c r="AB8" s="118" t="s">
        <v>160</v>
      </c>
      <c r="AC8" s="118" t="s">
        <v>160</v>
      </c>
      <c r="AD8" s="118" t="s">
        <v>160</v>
      </c>
      <c r="AE8" s="118" t="s">
        <v>160</v>
      </c>
      <c r="AF8" s="118" t="s">
        <v>160</v>
      </c>
      <c r="AG8" s="118" t="s">
        <v>160</v>
      </c>
      <c r="AH8" s="118" t="s">
        <v>160</v>
      </c>
      <c r="AI8" s="118" t="s">
        <v>160</v>
      </c>
      <c r="AJ8" s="118" t="s">
        <v>160</v>
      </c>
      <c r="AK8" s="118" t="s">
        <v>160</v>
      </c>
      <c r="AL8" s="118" t="s">
        <v>160</v>
      </c>
      <c r="AM8" s="118" t="s">
        <v>160</v>
      </c>
      <c r="AN8" s="118" t="s">
        <v>160</v>
      </c>
      <c r="AO8" s="118" t="s">
        <v>160</v>
      </c>
      <c r="AP8" s="118" t="s">
        <v>160</v>
      </c>
      <c r="AQ8" s="118" t="s">
        <v>160</v>
      </c>
      <c r="AR8" s="118" t="s">
        <v>160</v>
      </c>
      <c r="AS8" s="118" t="s">
        <v>160</v>
      </c>
      <c r="AT8" s="118" t="s">
        <v>160</v>
      </c>
      <c r="AU8" s="118" t="s">
        <v>160</v>
      </c>
      <c r="AV8" s="118" t="s">
        <v>160</v>
      </c>
      <c r="AW8" s="118">
        <v>10789</v>
      </c>
      <c r="AX8" s="118">
        <v>7116</v>
      </c>
      <c r="AY8" s="118">
        <v>7777</v>
      </c>
      <c r="AZ8" s="118">
        <v>6498</v>
      </c>
      <c r="BA8" s="118">
        <v>8035</v>
      </c>
      <c r="BB8" s="118">
        <v>8169</v>
      </c>
      <c r="BC8" s="118">
        <f>'[3]6 CR NL'!$H$8</f>
        <v>11308</v>
      </c>
    </row>
    <row r="9" spans="1:55" x14ac:dyDescent="0.2">
      <c r="A9" t="s">
        <v>490</v>
      </c>
      <c r="B9" t="s">
        <v>885</v>
      </c>
      <c r="D9" s="129" t="str">
        <f>IF([1]RENAME!$H$3=1,B9,A9)</f>
        <v>Perda estimada para créditos de liquidação duvidosa</v>
      </c>
      <c r="E9" s="118">
        <v>-6725</v>
      </c>
      <c r="F9" s="118">
        <v>-7202</v>
      </c>
      <c r="G9" s="160">
        <v>-4719</v>
      </c>
      <c r="H9" s="118">
        <v>-15659</v>
      </c>
      <c r="I9" s="118">
        <v>-16005</v>
      </c>
      <c r="J9" s="118">
        <v>-15545</v>
      </c>
      <c r="K9" s="118">
        <v>-15271</v>
      </c>
      <c r="L9" s="118">
        <v>-16393</v>
      </c>
      <c r="M9" s="118">
        <v>-17205</v>
      </c>
      <c r="N9" s="118">
        <v>-17833</v>
      </c>
      <c r="O9" s="118">
        <v>-17741</v>
      </c>
      <c r="P9" s="118">
        <v>-17317</v>
      </c>
      <c r="Q9" s="118">
        <v>-18072</v>
      </c>
      <c r="R9" s="118">
        <v>-18241</v>
      </c>
      <c r="S9" s="118">
        <v>-18221</v>
      </c>
      <c r="T9" s="118">
        <v>-18140</v>
      </c>
      <c r="U9" s="260">
        <v>-1968</v>
      </c>
      <c r="V9" s="118">
        <v>-1905</v>
      </c>
      <c r="W9" s="118">
        <v>-904</v>
      </c>
      <c r="X9" s="118">
        <v>-1187</v>
      </c>
      <c r="Y9" s="118">
        <v>-2938</v>
      </c>
      <c r="Z9" s="118">
        <v>-3014</v>
      </c>
      <c r="AA9" s="118">
        <v>-915</v>
      </c>
      <c r="AB9" s="118">
        <v>-1047</v>
      </c>
      <c r="AC9" s="118">
        <v>-222</v>
      </c>
      <c r="AD9" s="118">
        <v>-142</v>
      </c>
      <c r="AE9" s="118">
        <v>-211</v>
      </c>
      <c r="AF9" s="118">
        <v>-322</v>
      </c>
      <c r="AG9" s="118">
        <v>-288</v>
      </c>
      <c r="AH9" s="118">
        <v>-435</v>
      </c>
      <c r="AI9" s="118">
        <v>-473</v>
      </c>
      <c r="AJ9" s="118">
        <v>-768</v>
      </c>
      <c r="AK9" s="118">
        <v>-931</v>
      </c>
      <c r="AL9" s="118">
        <v>-1027</v>
      </c>
      <c r="AM9" s="118">
        <v>-1074</v>
      </c>
      <c r="AN9" s="118">
        <v>-1019</v>
      </c>
      <c r="AO9" s="118">
        <v>-1032</v>
      </c>
      <c r="AP9" s="118">
        <v>-1321</v>
      </c>
      <c r="AQ9" s="118">
        <v>-1613</v>
      </c>
      <c r="AR9" s="118">
        <v>-1762</v>
      </c>
      <c r="AS9" s="118">
        <v>-1798</v>
      </c>
      <c r="AT9" s="118">
        <v>-1817</v>
      </c>
      <c r="AU9" s="118">
        <v>-1952</v>
      </c>
      <c r="AV9" s="118">
        <v>-2556</v>
      </c>
      <c r="AW9" s="118">
        <v>-3387</v>
      </c>
      <c r="AX9" s="118">
        <v>-4113</v>
      </c>
      <c r="AY9" s="118">
        <v>-3464</v>
      </c>
      <c r="AZ9" s="118">
        <v>-2791</v>
      </c>
      <c r="BA9" s="118">
        <v>-2523</v>
      </c>
      <c r="BB9" s="118">
        <v>-3486</v>
      </c>
      <c r="BC9" s="118">
        <f>'[3]6 CR NL'!$H$9</f>
        <v>-4138</v>
      </c>
    </row>
    <row r="10" spans="1:55" x14ac:dyDescent="0.2">
      <c r="A10" t="s">
        <v>184</v>
      </c>
      <c r="B10" t="s">
        <v>886</v>
      </c>
      <c r="D10" s="126" t="str">
        <f>IF([1]RENAME!$H$3=1,B10,A10)</f>
        <v>Contas a receber da venda de produtos e serviços:</v>
      </c>
      <c r="E10" s="120">
        <f t="shared" ref="E10:AY10" si="15">SUM(E7:E9)</f>
        <v>338425</v>
      </c>
      <c r="F10" s="120">
        <f t="shared" si="15"/>
        <v>301539</v>
      </c>
      <c r="G10" s="162">
        <f t="shared" si="15"/>
        <v>260290</v>
      </c>
      <c r="H10" s="120">
        <f t="shared" si="15"/>
        <v>262030</v>
      </c>
      <c r="I10" s="120">
        <f t="shared" si="15"/>
        <v>253604</v>
      </c>
      <c r="J10" s="120">
        <f t="shared" si="15"/>
        <v>199309</v>
      </c>
      <c r="K10" s="120">
        <f t="shared" si="15"/>
        <v>221868</v>
      </c>
      <c r="L10" s="120">
        <f t="shared" si="15"/>
        <v>182340</v>
      </c>
      <c r="M10" s="120">
        <f t="shared" si="15"/>
        <v>187600</v>
      </c>
      <c r="N10" s="120">
        <f t="shared" si="15"/>
        <v>129251</v>
      </c>
      <c r="O10" s="120">
        <f t="shared" si="15"/>
        <v>138728</v>
      </c>
      <c r="P10" s="120">
        <f t="shared" si="15"/>
        <v>126437</v>
      </c>
      <c r="Q10" s="120">
        <f t="shared" si="15"/>
        <v>154255</v>
      </c>
      <c r="R10" s="120">
        <f t="shared" si="15"/>
        <v>116130</v>
      </c>
      <c r="S10" s="120">
        <f t="shared" si="15"/>
        <v>123239</v>
      </c>
      <c r="T10" s="120">
        <f t="shared" si="15"/>
        <v>137433</v>
      </c>
      <c r="U10" s="120">
        <f t="shared" si="15"/>
        <v>171180</v>
      </c>
      <c r="V10" s="120">
        <f t="shared" si="15"/>
        <v>149456</v>
      </c>
      <c r="W10" s="120">
        <f t="shared" si="15"/>
        <v>175884</v>
      </c>
      <c r="X10" s="120">
        <f t="shared" si="15"/>
        <v>190482</v>
      </c>
      <c r="Y10" s="120">
        <f t="shared" si="15"/>
        <v>226227</v>
      </c>
      <c r="Z10" s="120">
        <f t="shared" si="15"/>
        <v>202605</v>
      </c>
      <c r="AA10" s="120">
        <f t="shared" si="15"/>
        <v>215878</v>
      </c>
      <c r="AB10" s="120">
        <f t="shared" si="15"/>
        <v>222773</v>
      </c>
      <c r="AC10" s="120">
        <f t="shared" si="15"/>
        <v>261173</v>
      </c>
      <c r="AD10" s="120">
        <f t="shared" si="15"/>
        <v>208452</v>
      </c>
      <c r="AE10" s="120">
        <f t="shared" si="15"/>
        <v>127444</v>
      </c>
      <c r="AF10" s="120">
        <f t="shared" si="15"/>
        <v>199717</v>
      </c>
      <c r="AG10" s="120">
        <f t="shared" si="15"/>
        <v>212138</v>
      </c>
      <c r="AH10" s="120">
        <f t="shared" si="15"/>
        <v>169120</v>
      </c>
      <c r="AI10" s="120">
        <f t="shared" si="15"/>
        <v>197088</v>
      </c>
      <c r="AJ10" s="120">
        <f t="shared" si="15"/>
        <v>196436</v>
      </c>
      <c r="AK10" s="120">
        <f t="shared" si="15"/>
        <v>302669</v>
      </c>
      <c r="AL10" s="120">
        <f t="shared" si="15"/>
        <v>223696</v>
      </c>
      <c r="AM10" s="120">
        <f t="shared" si="15"/>
        <v>266460</v>
      </c>
      <c r="AN10" s="120">
        <f t="shared" si="15"/>
        <v>289087</v>
      </c>
      <c r="AO10" s="120">
        <f t="shared" si="15"/>
        <v>314053</v>
      </c>
      <c r="AP10" s="120">
        <f t="shared" si="15"/>
        <v>259933</v>
      </c>
      <c r="AQ10" s="120">
        <f t="shared" si="15"/>
        <v>264045</v>
      </c>
      <c r="AR10" s="120">
        <f t="shared" si="15"/>
        <v>280755</v>
      </c>
      <c r="AS10" s="120">
        <f t="shared" si="15"/>
        <v>345505</v>
      </c>
      <c r="AT10" s="120">
        <f t="shared" si="15"/>
        <v>294190</v>
      </c>
      <c r="AU10" s="120">
        <f>SUM(AU7:AU9)</f>
        <v>342942</v>
      </c>
      <c r="AV10" s="120">
        <f t="shared" si="15"/>
        <v>395339</v>
      </c>
      <c r="AW10" s="120">
        <f t="shared" si="15"/>
        <v>437934</v>
      </c>
      <c r="AX10" s="120">
        <f>SUM(AX7:AX9)</f>
        <v>328402</v>
      </c>
      <c r="AY10" s="120">
        <f t="shared" si="15"/>
        <v>366152</v>
      </c>
      <c r="AZ10" s="120">
        <f>SUM(AZ7:AZ9)</f>
        <v>419796</v>
      </c>
      <c r="BA10" s="120">
        <f>SUM(BA7:BA9)</f>
        <v>443159</v>
      </c>
      <c r="BB10" s="120">
        <f>SUM(BB7:BB9)</f>
        <v>413218</v>
      </c>
      <c r="BC10" s="120">
        <f>SUM(BC7:BC9)</f>
        <v>526955</v>
      </c>
    </row>
    <row r="11" spans="1:55" s="256" customFormat="1" x14ac:dyDescent="0.2">
      <c r="A11" s="256" t="s">
        <v>535</v>
      </c>
      <c r="B11" s="256" t="s">
        <v>887</v>
      </c>
      <c r="D11" s="255" t="str">
        <f>IF([1]RENAME!$H$3=1,B11,A11)</f>
        <v>Dias a receber</v>
      </c>
      <c r="E11" s="257">
        <f>E10/(DRE!Q6/90)</f>
        <v>53.264519175279361</v>
      </c>
      <c r="F11" s="257">
        <f>F10/(DRE!R6/90)</f>
        <v>57.289653731103819</v>
      </c>
      <c r="G11" s="258">
        <f>G10/(DRE!S6/90)</f>
        <v>46.45261460913224</v>
      </c>
      <c r="H11" s="257">
        <f>H10/(DRE!T6/90)</f>
        <v>48.776487378098594</v>
      </c>
      <c r="I11" s="257">
        <f>I10/(DRE!U6/90)</f>
        <v>46.311248724249111</v>
      </c>
      <c r="J11" s="257">
        <f>J10/(DRE!V6/90)</f>
        <v>50.832461934759877</v>
      </c>
      <c r="K11" s="257">
        <f>K10/(DRE!W6/90)</f>
        <v>58.358331092692396</v>
      </c>
      <c r="L11" s="257">
        <f>L10/(DRE!X6/90)</f>
        <v>47.823680693430958</v>
      </c>
      <c r="M11" s="257">
        <f>M10/(DRE!Y6/90)</f>
        <v>47.713316679253914</v>
      </c>
      <c r="N11" s="257">
        <f>N10/(DRE!Z6/90)</f>
        <v>46.336666535887467</v>
      </c>
      <c r="O11" s="257">
        <f>O10/(DRE!AA6/90)</f>
        <v>44.110378040067964</v>
      </c>
      <c r="P11" s="257">
        <f>P10/(DRE!AB6/90)</f>
        <v>38.894306878741482</v>
      </c>
      <c r="Q11" s="257">
        <f>Q10/(DRE!AC6/90)</f>
        <v>44.275026198992798</v>
      </c>
      <c r="R11" s="257">
        <f>R10/(DRE!AD6/90)</f>
        <v>39.719237402548863</v>
      </c>
      <c r="S11" s="257">
        <f>S10/(DRE!AE6/90)</f>
        <v>35.014730035534399</v>
      </c>
      <c r="T11" s="257">
        <f>T10/(DRE!AF6/90)</f>
        <v>34.780388227402035</v>
      </c>
      <c r="U11" s="257">
        <f>U10/(DRE!AG6/90)</f>
        <v>39.037343944115563</v>
      </c>
      <c r="V11" s="257">
        <f>V10/(DRE!AH6/90)</f>
        <v>41.663506875971962</v>
      </c>
      <c r="W11" s="257">
        <f>W10/(DRE!AI6/90)</f>
        <v>43.922375863127726</v>
      </c>
      <c r="X11" s="257">
        <f>X10/(DRE!AJ6/90)</f>
        <v>41.225349933842544</v>
      </c>
      <c r="Y11" s="257">
        <f>Y10/(DRE!AK6/90)</f>
        <v>46.313049769519438</v>
      </c>
      <c r="Z11" s="257">
        <f>Z10/(DRE!AL6/90)</f>
        <v>49.646939808097962</v>
      </c>
      <c r="AA11" s="257">
        <f>AA10/(DRE!AM6/90)</f>
        <v>47.815763249532246</v>
      </c>
      <c r="AB11" s="257">
        <f>AB10/(DRE!AN6/90)</f>
        <v>48.213560576659368</v>
      </c>
      <c r="AC11" s="257">
        <f>AC10/(DRE!AO6/90)</f>
        <v>50.675232910702135</v>
      </c>
      <c r="AD11" s="257">
        <f>AD10/(DRE!AP6/90)</f>
        <v>54.307420809725244</v>
      </c>
      <c r="AE11" s="257">
        <f>AE10/(DRE!AQ6/90)</f>
        <v>71.568658460625841</v>
      </c>
      <c r="AF11" s="257">
        <f>AF10/(DRE!AR6/90)</f>
        <v>50.163895693743683</v>
      </c>
      <c r="AG11" s="257">
        <f>AG10/(DRE!AS6/90)</f>
        <v>49.36897007920826</v>
      </c>
      <c r="AH11" s="257">
        <f>AH10/(DRE!AT6/90)</f>
        <v>52.347476219140027</v>
      </c>
      <c r="AI11" s="257">
        <f>AI10/(DRE!AU6/90)</f>
        <v>60.187450597363473</v>
      </c>
      <c r="AJ11" s="257">
        <f>AJ10/(DRE!AV6/90)</f>
        <v>61.114199538102213</v>
      </c>
      <c r="AK11" s="257">
        <f>AK10/(DRE!AW6/90)</f>
        <v>71.782561682617512</v>
      </c>
      <c r="AL11" s="257">
        <v>67.482475285711402</v>
      </c>
      <c r="AM11" s="257">
        <f>AM10/(DRE!AY6/90)</f>
        <v>63.808961158789771</v>
      </c>
      <c r="AN11" s="257">
        <f>AN10/(DRE!AZ6/90)</f>
        <v>50.874665931595509</v>
      </c>
      <c r="AO11" s="257">
        <f>AO10/(DRE!BA6/90)</f>
        <v>55.826079891574423</v>
      </c>
      <c r="AP11" s="257">
        <f>AP10/(DRE!BB6/90)</f>
        <v>56.070215665586787</v>
      </c>
      <c r="AQ11" s="257">
        <f>AQ10/(DRE!BC6/90)</f>
        <v>51.983792337188738</v>
      </c>
      <c r="AR11" s="257">
        <f>AR10/(DRE!BD6/90)</f>
        <v>47.576690603690487</v>
      </c>
      <c r="AS11" s="257">
        <f>AS10/(DRE!BE6/90)</f>
        <v>54.941851530098845</v>
      </c>
      <c r="AT11" s="257">
        <f>AT10/(DRE!BF6/90)</f>
        <v>54.791267344803188</v>
      </c>
      <c r="AU11" s="257">
        <f>AU10/(DRE!BG6/90)</f>
        <v>52.770403894665691</v>
      </c>
      <c r="AV11" s="257">
        <f>AV10/(DRE!BH6/90)</f>
        <v>47.646607614023388</v>
      </c>
      <c r="AW11" s="257">
        <f>AW10/(DRE!BI6/90)</f>
        <v>51.164407216993304</v>
      </c>
      <c r="AX11" s="257">
        <f>AX10/(DRE!BJ6/90)</f>
        <v>54.216612160742947</v>
      </c>
      <c r="AY11" s="257">
        <f>AY10/(DRE!BK6/90)</f>
        <v>48.770676288977057</v>
      </c>
      <c r="AZ11" s="257">
        <f>AZ10/(DRE!BL6/90)</f>
        <v>48.041871445602425</v>
      </c>
      <c r="BA11" s="257">
        <f>BA10/(DRE!BM6/90)</f>
        <v>52.153208861689272</v>
      </c>
      <c r="BB11" s="257">
        <f>BB10/(DRE!BN6/90)</f>
        <v>57.211720784210797</v>
      </c>
      <c r="BC11" s="257">
        <f>BC10/(DRE!BO6/90)</f>
        <v>51.285719448718311</v>
      </c>
    </row>
    <row r="12" spans="1:55" x14ac:dyDescent="0.2">
      <c r="D12" s="149"/>
      <c r="E12" s="150">
        <f>+E10-BP!T8</f>
        <v>0</v>
      </c>
      <c r="F12" s="150">
        <f>+F10-BP!U8</f>
        <v>0</v>
      </c>
      <c r="G12" s="150">
        <f>+G10-BP!V8</f>
        <v>0</v>
      </c>
      <c r="H12" s="150">
        <f>+H10-BP!W8-BP!W26</f>
        <v>0</v>
      </c>
      <c r="I12" s="150">
        <f>+I10-BP!X8</f>
        <v>0</v>
      </c>
      <c r="J12" s="150">
        <f>+J10-BP!Y8</f>
        <v>0</v>
      </c>
      <c r="K12" s="150">
        <f>+K10-BP!Z8</f>
        <v>0</v>
      </c>
      <c r="L12" s="150">
        <f>+L10-BP!AA8</f>
        <v>0</v>
      </c>
      <c r="M12" s="150">
        <f>+M10-BP!AB8</f>
        <v>0</v>
      </c>
      <c r="N12" s="150">
        <f>+N10-BP!AC8</f>
        <v>0</v>
      </c>
      <c r="O12" s="150">
        <f>+O10-BP!AD8</f>
        <v>0</v>
      </c>
      <c r="P12" s="150">
        <f>+P10-BP!AE8</f>
        <v>0</v>
      </c>
      <c r="Q12" s="150">
        <f>+Q10-BP!AF8</f>
        <v>0</v>
      </c>
      <c r="R12" s="150">
        <f>+R10-BP!AG8</f>
        <v>0</v>
      </c>
      <c r="S12" s="150">
        <f>+S10-BP!AH8</f>
        <v>0</v>
      </c>
      <c r="T12" s="150">
        <f>+T10-BP!AI8</f>
        <v>0</v>
      </c>
      <c r="U12" s="150">
        <f>+U10-BP!AJ8</f>
        <v>0</v>
      </c>
      <c r="V12" s="150">
        <f>+V10-BP!AK8</f>
        <v>0</v>
      </c>
      <c r="W12" s="150">
        <f>+W10-BP!AL8</f>
        <v>0</v>
      </c>
      <c r="X12" s="150">
        <v>0</v>
      </c>
      <c r="Y12" s="150">
        <v>0</v>
      </c>
      <c r="Z12" s="150">
        <v>0</v>
      </c>
      <c r="AA12" s="150"/>
      <c r="AB12" s="150"/>
      <c r="AC12" s="150">
        <v>0</v>
      </c>
      <c r="AD12" s="150">
        <v>0</v>
      </c>
      <c r="AE12" s="150">
        <v>0</v>
      </c>
      <c r="AF12" s="150">
        <v>0</v>
      </c>
      <c r="AG12" s="150">
        <v>0</v>
      </c>
      <c r="AH12" s="150">
        <v>0</v>
      </c>
      <c r="AI12" s="150">
        <v>0</v>
      </c>
      <c r="AJ12" s="150">
        <v>0</v>
      </c>
      <c r="AK12" s="150"/>
      <c r="AL12" s="150">
        <v>0</v>
      </c>
      <c r="AM12" s="150">
        <v>0</v>
      </c>
      <c r="AN12" s="150">
        <v>0</v>
      </c>
      <c r="AO12" s="150">
        <v>0</v>
      </c>
      <c r="AP12" s="150">
        <v>0</v>
      </c>
      <c r="AQ12" s="150">
        <v>0</v>
      </c>
      <c r="AR12" s="150">
        <v>0</v>
      </c>
      <c r="AS12" s="150">
        <v>0</v>
      </c>
      <c r="AT12" s="150">
        <v>0</v>
      </c>
      <c r="AU12" s="150">
        <v>0</v>
      </c>
      <c r="AV12" s="150">
        <v>0</v>
      </c>
      <c r="AW12" s="150"/>
      <c r="AX12" s="150"/>
      <c r="AY12" s="150">
        <v>0</v>
      </c>
      <c r="AZ12" s="150">
        <v>0</v>
      </c>
      <c r="BA12" s="150">
        <v>0</v>
      </c>
      <c r="BB12" s="150">
        <v>0</v>
      </c>
      <c r="BC12" s="150">
        <v>0</v>
      </c>
    </row>
    <row r="13" spans="1:55" x14ac:dyDescent="0.2">
      <c r="A13" t="s">
        <v>97</v>
      </c>
      <c r="B13" t="s">
        <v>872</v>
      </c>
      <c r="D13" s="143" t="str">
        <f>IF([1]RENAME!$H$3=1,B13,A13)</f>
        <v>Controladora</v>
      </c>
      <c r="E13" s="247" t="str">
        <f t="shared" ref="E13:AY13" si="16">E5</f>
        <v>4T13</v>
      </c>
      <c r="F13" s="247" t="str">
        <f t="shared" si="16"/>
        <v>1T14</v>
      </c>
      <c r="G13" s="247" t="str">
        <f t="shared" si="16"/>
        <v>2T14</v>
      </c>
      <c r="H13" s="247" t="str">
        <f t="shared" si="16"/>
        <v>3T14</v>
      </c>
      <c r="I13" s="247" t="str">
        <f t="shared" si="16"/>
        <v>4T14</v>
      </c>
      <c r="J13" s="247" t="str">
        <f t="shared" si="16"/>
        <v>1T15</v>
      </c>
      <c r="K13" s="247" t="str">
        <f t="shared" si="16"/>
        <v>2T15</v>
      </c>
      <c r="L13" s="247" t="str">
        <f t="shared" si="16"/>
        <v>3T15</v>
      </c>
      <c r="M13" s="247" t="str">
        <f t="shared" si="16"/>
        <v>4T15</v>
      </c>
      <c r="N13" s="247" t="str">
        <f t="shared" si="16"/>
        <v>1T16</v>
      </c>
      <c r="O13" s="247" t="str">
        <f t="shared" si="16"/>
        <v>2T16</v>
      </c>
      <c r="P13" s="247" t="str">
        <f t="shared" si="16"/>
        <v>3T16</v>
      </c>
      <c r="Q13" s="247" t="str">
        <f t="shared" si="16"/>
        <v>4T16</v>
      </c>
      <c r="R13" s="247" t="str">
        <f t="shared" si="16"/>
        <v>1T17</v>
      </c>
      <c r="S13" s="247" t="str">
        <f t="shared" si="16"/>
        <v>2T17</v>
      </c>
      <c r="T13" s="247" t="str">
        <f t="shared" si="16"/>
        <v>3T17</v>
      </c>
      <c r="U13" s="247" t="str">
        <f t="shared" si="16"/>
        <v>4T17</v>
      </c>
      <c r="V13" s="247" t="str">
        <f t="shared" si="16"/>
        <v>1T18</v>
      </c>
      <c r="W13" s="247" t="str">
        <f t="shared" si="16"/>
        <v>2T18</v>
      </c>
      <c r="X13" s="247" t="str">
        <f t="shared" si="16"/>
        <v>3T18</v>
      </c>
      <c r="Y13" s="247" t="str">
        <f t="shared" si="16"/>
        <v>4T18</v>
      </c>
      <c r="Z13" s="247" t="str">
        <f t="shared" si="16"/>
        <v>1T19</v>
      </c>
      <c r="AA13" s="247" t="str">
        <f t="shared" si="16"/>
        <v>2T19</v>
      </c>
      <c r="AB13" s="247" t="str">
        <f t="shared" si="16"/>
        <v>3T19</v>
      </c>
      <c r="AC13" s="247" t="str">
        <f t="shared" si="16"/>
        <v>4T19</v>
      </c>
      <c r="AD13" s="247" t="str">
        <f t="shared" si="16"/>
        <v>1T20</v>
      </c>
      <c r="AE13" s="247" t="str">
        <f t="shared" si="16"/>
        <v>2T20</v>
      </c>
      <c r="AF13" s="247" t="str">
        <f t="shared" si="16"/>
        <v>3T20</v>
      </c>
      <c r="AG13" s="247" t="str">
        <f t="shared" si="16"/>
        <v>4T20</v>
      </c>
      <c r="AH13" s="247" t="str">
        <f t="shared" si="16"/>
        <v>1T21</v>
      </c>
      <c r="AI13" s="247" t="str">
        <f t="shared" si="16"/>
        <v>2T21</v>
      </c>
      <c r="AJ13" s="247" t="str">
        <f t="shared" si="16"/>
        <v>3T21</v>
      </c>
      <c r="AK13" s="247" t="str">
        <f t="shared" si="16"/>
        <v>4T21</v>
      </c>
      <c r="AL13" s="247" t="str">
        <f t="shared" si="16"/>
        <v>1T22</v>
      </c>
      <c r="AM13" s="247" t="str">
        <f t="shared" si="16"/>
        <v>2T22</v>
      </c>
      <c r="AN13" s="247" t="str">
        <f t="shared" si="16"/>
        <v>3T22</v>
      </c>
      <c r="AO13" s="247" t="str">
        <f t="shared" si="16"/>
        <v>4T22</v>
      </c>
      <c r="AP13" s="247" t="str">
        <f t="shared" si="16"/>
        <v>1T23</v>
      </c>
      <c r="AQ13" s="247" t="str">
        <f t="shared" si="16"/>
        <v>2T23</v>
      </c>
      <c r="AR13" s="247" t="str">
        <f t="shared" si="16"/>
        <v>3T23</v>
      </c>
      <c r="AS13" s="247" t="str">
        <f t="shared" si="16"/>
        <v>4T23</v>
      </c>
      <c r="AT13" s="247" t="str">
        <f t="shared" si="16"/>
        <v>1T24</v>
      </c>
      <c r="AU13" s="247" t="str">
        <f t="shared" si="16"/>
        <v>2T24</v>
      </c>
      <c r="AV13" s="247" t="str">
        <f t="shared" si="16"/>
        <v>3T24</v>
      </c>
      <c r="AW13" s="247" t="str">
        <f t="shared" si="16"/>
        <v>4T24</v>
      </c>
      <c r="AX13" s="247" t="str">
        <f t="shared" si="16"/>
        <v>1T25</v>
      </c>
      <c r="AY13" s="247" t="str">
        <f t="shared" si="16"/>
        <v>2T25</v>
      </c>
      <c r="AZ13" s="247" t="str">
        <f>AZ5</f>
        <v>3T25</v>
      </c>
      <c r="BA13" s="247" t="str">
        <f>BA5</f>
        <v>4T25</v>
      </c>
      <c r="BB13" s="247" t="str">
        <f>BB5</f>
        <v>1T26</v>
      </c>
      <c r="BC13" s="247" t="str">
        <f>BC5</f>
        <v>2T26</v>
      </c>
    </row>
    <row r="14" spans="1:55" x14ac:dyDescent="0.2">
      <c r="A14" t="s">
        <v>364</v>
      </c>
      <c r="B14" t="s">
        <v>883</v>
      </c>
      <c r="D14" s="129" t="str">
        <f>IF([1]RENAME!$H$3=1,B14,A14)</f>
        <v>No Brasil</v>
      </c>
      <c r="E14" s="118">
        <v>207766</v>
      </c>
      <c r="F14" s="118">
        <v>171790</v>
      </c>
      <c r="G14" s="160">
        <v>190607</v>
      </c>
      <c r="H14" s="118">
        <v>209969</v>
      </c>
      <c r="I14" s="118">
        <v>224339</v>
      </c>
      <c r="J14" s="118">
        <v>175404</v>
      </c>
      <c r="K14" s="118">
        <v>188896</v>
      </c>
      <c r="L14" s="118">
        <v>147386</v>
      </c>
      <c r="M14" s="118">
        <v>156121</v>
      </c>
      <c r="N14" s="118">
        <v>116865</v>
      </c>
      <c r="O14" s="118">
        <v>123475</v>
      </c>
      <c r="P14" s="118">
        <v>114780</v>
      </c>
      <c r="Q14" s="118">
        <v>140973</v>
      </c>
      <c r="R14" s="118">
        <v>107485</v>
      </c>
      <c r="S14" s="118">
        <v>113929</v>
      </c>
      <c r="T14" s="118">
        <v>129023</v>
      </c>
      <c r="U14" s="118">
        <v>146163</v>
      </c>
      <c r="V14" s="118">
        <v>127469</v>
      </c>
      <c r="W14" s="118">
        <v>152846</v>
      </c>
      <c r="X14" s="118">
        <v>163315</v>
      </c>
      <c r="Y14" s="118">
        <v>195622</v>
      </c>
      <c r="Z14" s="118">
        <v>171213</v>
      </c>
      <c r="AA14" s="118">
        <v>181060</v>
      </c>
      <c r="AB14" s="118">
        <v>184129</v>
      </c>
      <c r="AC14" s="118">
        <v>220639</v>
      </c>
      <c r="AD14" s="118">
        <v>167760</v>
      </c>
      <c r="AE14" s="118">
        <v>78450</v>
      </c>
      <c r="AF14" s="118">
        <v>160873</v>
      </c>
      <c r="AG14" s="118">
        <v>176348</v>
      </c>
      <c r="AH14" s="118">
        <v>142264</v>
      </c>
      <c r="AI14" s="118">
        <v>147023</v>
      </c>
      <c r="AJ14" s="118">
        <v>132850</v>
      </c>
      <c r="AK14" s="118">
        <v>217645</v>
      </c>
      <c r="AL14" s="118">
        <v>149507</v>
      </c>
      <c r="AM14" s="118">
        <v>204452</v>
      </c>
      <c r="AN14" s="118">
        <v>243845</v>
      </c>
      <c r="AO14" s="118">
        <v>269179</v>
      </c>
      <c r="AP14" s="118">
        <v>207164</v>
      </c>
      <c r="AQ14" s="118">
        <v>214788</v>
      </c>
      <c r="AR14" s="118">
        <v>229736</v>
      </c>
      <c r="AS14" s="118">
        <v>294342</v>
      </c>
      <c r="AT14" s="118">
        <v>231773</v>
      </c>
      <c r="AU14" s="118">
        <v>292725</v>
      </c>
      <c r="AV14" s="118">
        <v>345747</v>
      </c>
      <c r="AW14" s="118">
        <v>386285</v>
      </c>
      <c r="AX14" s="118">
        <v>271022</v>
      </c>
      <c r="AY14" s="118">
        <v>300136</v>
      </c>
      <c r="AZ14" s="118">
        <v>358148</v>
      </c>
      <c r="BA14" s="118">
        <v>373583</v>
      </c>
      <c r="BB14" s="118">
        <v>338972</v>
      </c>
      <c r="BC14" s="118">
        <f>'[3]6 CR NL'!$D$7</f>
        <v>453881</v>
      </c>
    </row>
    <row r="15" spans="1:55" x14ac:dyDescent="0.2">
      <c r="A15" t="s">
        <v>185</v>
      </c>
      <c r="B15" t="s">
        <v>884</v>
      </c>
      <c r="D15" s="126" t="str">
        <f>IF([1]RENAME!$H$3=1,B15,A15)</f>
        <v xml:space="preserve">Contas a receber no Brasil </v>
      </c>
      <c r="E15" s="120">
        <f t="shared" ref="E15:N15" si="17">SUM(E14:E14)</f>
        <v>207766</v>
      </c>
      <c r="F15" s="120">
        <f t="shared" si="17"/>
        <v>171790</v>
      </c>
      <c r="G15" s="162">
        <f t="shared" si="17"/>
        <v>190607</v>
      </c>
      <c r="H15" s="120">
        <f t="shared" si="17"/>
        <v>209969</v>
      </c>
      <c r="I15" s="120">
        <f t="shared" si="17"/>
        <v>224339</v>
      </c>
      <c r="J15" s="120">
        <f t="shared" si="17"/>
        <v>175404</v>
      </c>
      <c r="K15" s="120">
        <f t="shared" si="17"/>
        <v>188896</v>
      </c>
      <c r="L15" s="120">
        <f t="shared" si="17"/>
        <v>147386</v>
      </c>
      <c r="M15" s="120">
        <f t="shared" si="17"/>
        <v>156121</v>
      </c>
      <c r="N15" s="120">
        <f t="shared" si="17"/>
        <v>116865</v>
      </c>
      <c r="O15" s="120">
        <f t="shared" ref="O15:AC15" si="18">SUM(O14:O14)</f>
        <v>123475</v>
      </c>
      <c r="P15" s="120">
        <f t="shared" si="18"/>
        <v>114780</v>
      </c>
      <c r="Q15" s="120">
        <f t="shared" si="18"/>
        <v>140973</v>
      </c>
      <c r="R15" s="120">
        <f t="shared" si="18"/>
        <v>107485</v>
      </c>
      <c r="S15" s="120">
        <f t="shared" si="18"/>
        <v>113929</v>
      </c>
      <c r="T15" s="120">
        <f t="shared" si="18"/>
        <v>129023</v>
      </c>
      <c r="U15" s="120">
        <f t="shared" si="18"/>
        <v>146163</v>
      </c>
      <c r="V15" s="120">
        <f t="shared" si="18"/>
        <v>127469</v>
      </c>
      <c r="W15" s="120">
        <f t="shared" si="18"/>
        <v>152846</v>
      </c>
      <c r="X15" s="120">
        <f t="shared" si="18"/>
        <v>163315</v>
      </c>
      <c r="Y15" s="120">
        <f t="shared" si="18"/>
        <v>195622</v>
      </c>
      <c r="Z15" s="120">
        <f t="shared" si="18"/>
        <v>171213</v>
      </c>
      <c r="AA15" s="120">
        <f t="shared" si="18"/>
        <v>181060</v>
      </c>
      <c r="AB15" s="120">
        <f t="shared" si="18"/>
        <v>184129</v>
      </c>
      <c r="AC15" s="120">
        <f t="shared" si="18"/>
        <v>220639</v>
      </c>
      <c r="AD15" s="120">
        <f t="shared" ref="AD15:AJ15" si="19">SUM(AD14:AD14)</f>
        <v>167760</v>
      </c>
      <c r="AE15" s="120">
        <f t="shared" si="19"/>
        <v>78450</v>
      </c>
      <c r="AF15" s="120">
        <f t="shared" si="19"/>
        <v>160873</v>
      </c>
      <c r="AG15" s="120">
        <f t="shared" si="19"/>
        <v>176348</v>
      </c>
      <c r="AH15" s="120">
        <f t="shared" si="19"/>
        <v>142264</v>
      </c>
      <c r="AI15" s="120">
        <f t="shared" si="19"/>
        <v>147023</v>
      </c>
      <c r="AJ15" s="120">
        <f t="shared" si="19"/>
        <v>132850</v>
      </c>
      <c r="AK15" s="120">
        <f t="shared" ref="AK15:AP15" si="20">SUM(AK14:AK14)</f>
        <v>217645</v>
      </c>
      <c r="AL15" s="120">
        <f t="shared" si="20"/>
        <v>149507</v>
      </c>
      <c r="AM15" s="120">
        <f t="shared" si="20"/>
        <v>204452</v>
      </c>
      <c r="AN15" s="120">
        <f t="shared" si="20"/>
        <v>243845</v>
      </c>
      <c r="AO15" s="120">
        <f t="shared" si="20"/>
        <v>269179</v>
      </c>
      <c r="AP15" s="120">
        <f t="shared" si="20"/>
        <v>207164</v>
      </c>
      <c r="AQ15" s="120">
        <f t="shared" ref="AQ15:AY15" si="21">SUM(AQ14:AQ14)</f>
        <v>214788</v>
      </c>
      <c r="AR15" s="120">
        <f t="shared" si="21"/>
        <v>229736</v>
      </c>
      <c r="AS15" s="120">
        <f t="shared" si="21"/>
        <v>294342</v>
      </c>
      <c r="AT15" s="120">
        <f t="shared" si="21"/>
        <v>231773</v>
      </c>
      <c r="AU15" s="120">
        <f t="shared" si="21"/>
        <v>292725</v>
      </c>
      <c r="AV15" s="120">
        <f t="shared" si="21"/>
        <v>345747</v>
      </c>
      <c r="AW15" s="120">
        <f t="shared" si="21"/>
        <v>386285</v>
      </c>
      <c r="AX15" s="120">
        <f t="shared" si="21"/>
        <v>271022</v>
      </c>
      <c r="AY15" s="120">
        <f t="shared" si="21"/>
        <v>300136</v>
      </c>
      <c r="AZ15" s="120">
        <f>SUM(AZ14:AZ14)</f>
        <v>358148</v>
      </c>
      <c r="BA15" s="120">
        <f>SUM(BA14:BA14)</f>
        <v>373583</v>
      </c>
      <c r="BB15" s="120">
        <f>SUM(BB14:BB14)</f>
        <v>338972</v>
      </c>
      <c r="BC15" s="120">
        <f>SUM(BC14:BC14)</f>
        <v>453881</v>
      </c>
    </row>
    <row r="16" spans="1:55" x14ac:dyDescent="0.2">
      <c r="A16" t="s">
        <v>2248</v>
      </c>
      <c r="B16" t="s">
        <v>2249</v>
      </c>
      <c r="D16" s="129" t="str">
        <f>IF([1]RENAME!$H$3=1,B16,A16)</f>
        <v>Clientes exterior</v>
      </c>
      <c r="E16" s="118" t="s">
        <v>160</v>
      </c>
      <c r="F16" s="118" t="s">
        <v>160</v>
      </c>
      <c r="G16" s="160" t="s">
        <v>160</v>
      </c>
      <c r="H16" s="118" t="s">
        <v>160</v>
      </c>
      <c r="I16" s="118" t="s">
        <v>160</v>
      </c>
      <c r="J16" s="118" t="s">
        <v>160</v>
      </c>
      <c r="K16" s="118" t="s">
        <v>160</v>
      </c>
      <c r="L16" s="118" t="s">
        <v>160</v>
      </c>
      <c r="M16" s="118" t="s">
        <v>160</v>
      </c>
      <c r="N16" s="118" t="s">
        <v>160</v>
      </c>
      <c r="O16" s="118" t="s">
        <v>160</v>
      </c>
      <c r="P16" s="118" t="s">
        <v>160</v>
      </c>
      <c r="Q16" s="118" t="s">
        <v>160</v>
      </c>
      <c r="R16" s="118" t="s">
        <v>160</v>
      </c>
      <c r="S16" s="118" t="s">
        <v>160</v>
      </c>
      <c r="T16" s="118" t="s">
        <v>160</v>
      </c>
      <c r="U16" s="118" t="s">
        <v>160</v>
      </c>
      <c r="V16" s="118" t="s">
        <v>160</v>
      </c>
      <c r="W16" s="118" t="s">
        <v>160</v>
      </c>
      <c r="X16" s="118" t="s">
        <v>160</v>
      </c>
      <c r="Y16" s="118" t="s">
        <v>160</v>
      </c>
      <c r="Z16" s="118" t="s">
        <v>160</v>
      </c>
      <c r="AA16" s="118" t="s">
        <v>160</v>
      </c>
      <c r="AB16" s="118" t="s">
        <v>160</v>
      </c>
      <c r="AC16" s="118" t="s">
        <v>160</v>
      </c>
      <c r="AD16" s="118" t="s">
        <v>160</v>
      </c>
      <c r="AE16" s="118" t="s">
        <v>160</v>
      </c>
      <c r="AF16" s="118" t="s">
        <v>160</v>
      </c>
      <c r="AG16" s="118" t="s">
        <v>160</v>
      </c>
      <c r="AH16" s="118" t="s">
        <v>160</v>
      </c>
      <c r="AI16" s="118" t="s">
        <v>160</v>
      </c>
      <c r="AJ16" s="118" t="s">
        <v>160</v>
      </c>
      <c r="AK16" s="118" t="s">
        <v>160</v>
      </c>
      <c r="AL16" s="118" t="s">
        <v>160</v>
      </c>
      <c r="AM16" s="118" t="s">
        <v>160</v>
      </c>
      <c r="AN16" s="118" t="s">
        <v>160</v>
      </c>
      <c r="AO16" s="118" t="s">
        <v>160</v>
      </c>
      <c r="AP16" s="118" t="s">
        <v>160</v>
      </c>
      <c r="AQ16" s="118" t="s">
        <v>160</v>
      </c>
      <c r="AR16" s="118" t="s">
        <v>160</v>
      </c>
      <c r="AS16" s="118" t="s">
        <v>160</v>
      </c>
      <c r="AT16" s="118" t="s">
        <v>160</v>
      </c>
      <c r="AU16" s="118" t="s">
        <v>160</v>
      </c>
      <c r="AV16" s="118" t="s">
        <v>160</v>
      </c>
      <c r="AW16" s="118">
        <v>10789</v>
      </c>
      <c r="AX16" s="118">
        <v>7116</v>
      </c>
      <c r="AY16" s="118">
        <v>7777</v>
      </c>
      <c r="AZ16" s="118">
        <v>6498</v>
      </c>
      <c r="BA16" s="118">
        <v>8035</v>
      </c>
      <c r="BB16" s="118">
        <v>8169</v>
      </c>
      <c r="BC16" s="118">
        <f>'[3]6 CR NL'!$H$8</f>
        <v>11308</v>
      </c>
    </row>
    <row r="17" spans="1:55" x14ac:dyDescent="0.2">
      <c r="A17" t="s">
        <v>490</v>
      </c>
      <c r="B17" t="s">
        <v>885</v>
      </c>
      <c r="D17" s="129" t="str">
        <f>IF([1]RENAME!$H$3=1,B17,A17)</f>
        <v>Perda estimada para créditos de liquidação duvidosa</v>
      </c>
      <c r="E17" s="118">
        <v>-2247</v>
      </c>
      <c r="F17" s="118">
        <v>-2569</v>
      </c>
      <c r="G17" s="160">
        <v>-3238</v>
      </c>
      <c r="H17" s="118">
        <v>-14101</v>
      </c>
      <c r="I17" s="118">
        <v>-13089</v>
      </c>
      <c r="J17" s="118">
        <v>-12875</v>
      </c>
      <c r="K17" s="118">
        <v>-11410</v>
      </c>
      <c r="L17" s="118">
        <v>-11715</v>
      </c>
      <c r="M17" s="118">
        <v>-12450</v>
      </c>
      <c r="N17" s="118">
        <v>-12515</v>
      </c>
      <c r="O17" s="118">
        <v>-12406</v>
      </c>
      <c r="P17" s="118">
        <v>-12405</v>
      </c>
      <c r="Q17" s="118">
        <v>-12372</v>
      </c>
      <c r="R17" s="118">
        <v>-12376</v>
      </c>
      <c r="S17" s="118">
        <v>-12380</v>
      </c>
      <c r="T17" s="118">
        <v>-12313</v>
      </c>
      <c r="U17" s="118">
        <v>-111</v>
      </c>
      <c r="V17" s="118">
        <v>-168</v>
      </c>
      <c r="W17" s="118">
        <v>-59</v>
      </c>
      <c r="X17" s="118">
        <v>-64</v>
      </c>
      <c r="Y17" s="118">
        <v>-79</v>
      </c>
      <c r="Z17" s="118">
        <v>-158</v>
      </c>
      <c r="AA17" s="118">
        <v>-78</v>
      </c>
      <c r="AB17" s="118">
        <v>-164</v>
      </c>
      <c r="AC17" s="118">
        <v>-175</v>
      </c>
      <c r="AD17" s="118">
        <v>-96</v>
      </c>
      <c r="AE17" s="118">
        <v>-158</v>
      </c>
      <c r="AF17" s="118">
        <v>-275</v>
      </c>
      <c r="AG17" s="118">
        <v>-242</v>
      </c>
      <c r="AH17" s="118">
        <v>-333</v>
      </c>
      <c r="AI17" s="118">
        <v>-370</v>
      </c>
      <c r="AJ17" s="118">
        <v>-490</v>
      </c>
      <c r="AK17" s="118">
        <f>+'[3]6A Contas a Receber'!$C$10</f>
        <v>-2993</v>
      </c>
      <c r="AL17" s="118">
        <v>-911</v>
      </c>
      <c r="AM17" s="118">
        <v>-929</v>
      </c>
      <c r="AN17" s="118">
        <v>-858</v>
      </c>
      <c r="AO17" s="118">
        <v>-797</v>
      </c>
      <c r="AP17" s="118">
        <v>-769</v>
      </c>
      <c r="AQ17" s="118">
        <v>-1092</v>
      </c>
      <c r="AR17" s="118">
        <v>-1059</v>
      </c>
      <c r="AS17" s="118">
        <v>-1048</v>
      </c>
      <c r="AT17" s="118">
        <v>-1125</v>
      </c>
      <c r="AU17" s="118">
        <v>-1270</v>
      </c>
      <c r="AV17" s="118">
        <v>-1887</v>
      </c>
      <c r="AW17" s="118">
        <v>-2974</v>
      </c>
      <c r="AX17" s="118">
        <v>-3651</v>
      </c>
      <c r="AY17" s="118">
        <v>-2800</v>
      </c>
      <c r="AZ17" s="118">
        <v>-2486</v>
      </c>
      <c r="BA17" s="118">
        <v>-2019</v>
      </c>
      <c r="BB17" s="118">
        <v>-2504</v>
      </c>
      <c r="BC17" s="118">
        <f>'[3]6 CR NL'!$D$9</f>
        <v>-2993</v>
      </c>
    </row>
    <row r="18" spans="1:55" x14ac:dyDescent="0.2">
      <c r="A18" t="s">
        <v>184</v>
      </c>
      <c r="B18" t="s">
        <v>886</v>
      </c>
      <c r="D18" s="126" t="str">
        <f>IF([1]RENAME!$H$3=1,B18,A18)</f>
        <v>Contas a receber da venda de produtos e serviços:</v>
      </c>
      <c r="E18" s="120">
        <f t="shared" ref="E18:N18" si="22">SUM(E15:E17)</f>
        <v>205519</v>
      </c>
      <c r="F18" s="120">
        <f t="shared" si="22"/>
        <v>169221</v>
      </c>
      <c r="G18" s="162">
        <f t="shared" si="22"/>
        <v>187369</v>
      </c>
      <c r="H18" s="120">
        <f t="shared" si="22"/>
        <v>195868</v>
      </c>
      <c r="I18" s="120">
        <f t="shared" si="22"/>
        <v>211250</v>
      </c>
      <c r="J18" s="120">
        <f t="shared" si="22"/>
        <v>162529</v>
      </c>
      <c r="K18" s="120">
        <f t="shared" si="22"/>
        <v>177486</v>
      </c>
      <c r="L18" s="120">
        <f t="shared" si="22"/>
        <v>135671</v>
      </c>
      <c r="M18" s="120">
        <f t="shared" si="22"/>
        <v>143671</v>
      </c>
      <c r="N18" s="120">
        <f t="shared" si="22"/>
        <v>104350</v>
      </c>
      <c r="O18" s="120">
        <f t="shared" ref="O18:AC18" si="23">SUM(O15:O17)</f>
        <v>111069</v>
      </c>
      <c r="P18" s="120">
        <f t="shared" si="23"/>
        <v>102375</v>
      </c>
      <c r="Q18" s="120">
        <f t="shared" si="23"/>
        <v>128601</v>
      </c>
      <c r="R18" s="120">
        <f t="shared" si="23"/>
        <v>95109</v>
      </c>
      <c r="S18" s="120">
        <f t="shared" si="23"/>
        <v>101549</v>
      </c>
      <c r="T18" s="120">
        <f t="shared" si="23"/>
        <v>116710</v>
      </c>
      <c r="U18" s="120">
        <f t="shared" si="23"/>
        <v>146052</v>
      </c>
      <c r="V18" s="120">
        <f t="shared" si="23"/>
        <v>127301</v>
      </c>
      <c r="W18" s="120">
        <f t="shared" si="23"/>
        <v>152787</v>
      </c>
      <c r="X18" s="120">
        <f t="shared" si="23"/>
        <v>163251</v>
      </c>
      <c r="Y18" s="120">
        <f t="shared" si="23"/>
        <v>195543</v>
      </c>
      <c r="Z18" s="120">
        <f t="shared" si="23"/>
        <v>171055</v>
      </c>
      <c r="AA18" s="120">
        <f t="shared" si="23"/>
        <v>180982</v>
      </c>
      <c r="AB18" s="120">
        <f t="shared" si="23"/>
        <v>183965</v>
      </c>
      <c r="AC18" s="120">
        <f t="shared" si="23"/>
        <v>220464</v>
      </c>
      <c r="AD18" s="120">
        <f t="shared" ref="AD18:AJ18" si="24">SUM(AD15:AD17)</f>
        <v>167664</v>
      </c>
      <c r="AE18" s="120">
        <f t="shared" si="24"/>
        <v>78292</v>
      </c>
      <c r="AF18" s="120">
        <f t="shared" si="24"/>
        <v>160598</v>
      </c>
      <c r="AG18" s="120">
        <f t="shared" si="24"/>
        <v>176106</v>
      </c>
      <c r="AH18" s="120">
        <f t="shared" si="24"/>
        <v>141931</v>
      </c>
      <c r="AI18" s="120">
        <f t="shared" si="24"/>
        <v>146653</v>
      </c>
      <c r="AJ18" s="120">
        <f t="shared" si="24"/>
        <v>132360</v>
      </c>
      <c r="AK18" s="120">
        <f t="shared" ref="AK18:AP18" si="25">SUM(AK15:AK17)</f>
        <v>214652</v>
      </c>
      <c r="AL18" s="120">
        <f t="shared" si="25"/>
        <v>148596</v>
      </c>
      <c r="AM18" s="120">
        <f t="shared" si="25"/>
        <v>203523</v>
      </c>
      <c r="AN18" s="120">
        <f t="shared" si="25"/>
        <v>242987</v>
      </c>
      <c r="AO18" s="120">
        <f t="shared" si="25"/>
        <v>268382</v>
      </c>
      <c r="AP18" s="120">
        <f t="shared" si="25"/>
        <v>206395</v>
      </c>
      <c r="AQ18" s="120">
        <f t="shared" ref="AQ18:AY18" si="26">SUM(AQ15:AQ17)</f>
        <v>213696</v>
      </c>
      <c r="AR18" s="120">
        <f t="shared" si="26"/>
        <v>228677</v>
      </c>
      <c r="AS18" s="120">
        <f t="shared" si="26"/>
        <v>293294</v>
      </c>
      <c r="AT18" s="120">
        <f t="shared" si="26"/>
        <v>230648</v>
      </c>
      <c r="AU18" s="120">
        <f t="shared" si="26"/>
        <v>291455</v>
      </c>
      <c r="AV18" s="120">
        <f t="shared" si="26"/>
        <v>343860</v>
      </c>
      <c r="AW18" s="120">
        <f t="shared" si="26"/>
        <v>394100</v>
      </c>
      <c r="AX18" s="120">
        <f t="shared" si="26"/>
        <v>274487</v>
      </c>
      <c r="AY18" s="120">
        <f t="shared" si="26"/>
        <v>305113</v>
      </c>
      <c r="AZ18" s="120">
        <f>SUM(AZ15:AZ17)</f>
        <v>362160</v>
      </c>
      <c r="BA18" s="120">
        <f>SUM(BA15:BA17)</f>
        <v>379599</v>
      </c>
      <c r="BB18" s="120">
        <f>SUM(BB15:BB17)</f>
        <v>344637</v>
      </c>
      <c r="BC18" s="120">
        <f>SUM(BC15:BC17)</f>
        <v>462196</v>
      </c>
    </row>
    <row r="19" spans="1:55" x14ac:dyDescent="0.2">
      <c r="D19" s="147"/>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row>
    <row r="20" spans="1:55" x14ac:dyDescent="0.2">
      <c r="A20" t="s">
        <v>98</v>
      </c>
      <c r="B20" t="s">
        <v>876</v>
      </c>
      <c r="D20" s="143" t="str">
        <f>IF([1]RENAME!$H$3=1,B20,A20)</f>
        <v>Controladas</v>
      </c>
      <c r="E20" s="247" t="str">
        <f t="shared" ref="E20:W20" si="27">E5</f>
        <v>4T13</v>
      </c>
      <c r="F20" s="247" t="str">
        <f t="shared" si="27"/>
        <v>1T14</v>
      </c>
      <c r="G20" s="247" t="str">
        <f t="shared" si="27"/>
        <v>2T14</v>
      </c>
      <c r="H20" s="247" t="str">
        <f t="shared" si="27"/>
        <v>3T14</v>
      </c>
      <c r="I20" s="247" t="str">
        <f t="shared" si="27"/>
        <v>4T14</v>
      </c>
      <c r="J20" s="247" t="str">
        <f t="shared" si="27"/>
        <v>1T15</v>
      </c>
      <c r="K20" s="247" t="str">
        <f t="shared" si="27"/>
        <v>2T15</v>
      </c>
      <c r="L20" s="247" t="str">
        <f t="shared" si="27"/>
        <v>3T15</v>
      </c>
      <c r="M20" s="247" t="str">
        <f t="shared" si="27"/>
        <v>4T15</v>
      </c>
      <c r="N20" s="247" t="str">
        <f t="shared" si="27"/>
        <v>1T16</v>
      </c>
      <c r="O20" s="247" t="str">
        <f t="shared" si="27"/>
        <v>2T16</v>
      </c>
      <c r="P20" s="247" t="str">
        <f t="shared" si="27"/>
        <v>3T16</v>
      </c>
      <c r="Q20" s="247" t="str">
        <f t="shared" si="27"/>
        <v>4T16</v>
      </c>
      <c r="R20" s="247" t="str">
        <f t="shared" si="27"/>
        <v>1T17</v>
      </c>
      <c r="S20" s="247" t="str">
        <f t="shared" si="27"/>
        <v>2T17</v>
      </c>
      <c r="T20" s="247" t="str">
        <f t="shared" si="27"/>
        <v>3T17</v>
      </c>
      <c r="U20" s="247" t="str">
        <f t="shared" si="27"/>
        <v>4T17</v>
      </c>
      <c r="V20" s="247" t="str">
        <f t="shared" si="27"/>
        <v>1T18</v>
      </c>
      <c r="W20" s="247" t="str">
        <f t="shared" si="27"/>
        <v>2T18</v>
      </c>
      <c r="X20" s="247" t="s">
        <v>626</v>
      </c>
      <c r="Y20" s="247" t="str">
        <f t="shared" ref="Y20:AY20" si="28">Y5</f>
        <v>4T18</v>
      </c>
      <c r="Z20" s="247" t="str">
        <f t="shared" si="28"/>
        <v>1T19</v>
      </c>
      <c r="AA20" s="247" t="str">
        <f t="shared" si="28"/>
        <v>2T19</v>
      </c>
      <c r="AB20" s="247" t="str">
        <f t="shared" si="28"/>
        <v>3T19</v>
      </c>
      <c r="AC20" s="247" t="str">
        <f t="shared" si="28"/>
        <v>4T19</v>
      </c>
      <c r="AD20" s="247" t="str">
        <f t="shared" si="28"/>
        <v>1T20</v>
      </c>
      <c r="AE20" s="247" t="str">
        <f t="shared" si="28"/>
        <v>2T20</v>
      </c>
      <c r="AF20" s="247" t="str">
        <f t="shared" si="28"/>
        <v>3T20</v>
      </c>
      <c r="AG20" s="247" t="str">
        <f t="shared" si="28"/>
        <v>4T20</v>
      </c>
      <c r="AH20" s="247" t="str">
        <f t="shared" si="28"/>
        <v>1T21</v>
      </c>
      <c r="AI20" s="247" t="str">
        <f t="shared" si="28"/>
        <v>2T21</v>
      </c>
      <c r="AJ20" s="247" t="str">
        <f t="shared" si="28"/>
        <v>3T21</v>
      </c>
      <c r="AK20" s="247" t="str">
        <f t="shared" si="28"/>
        <v>4T21</v>
      </c>
      <c r="AL20" s="247" t="str">
        <f t="shared" si="28"/>
        <v>1T22</v>
      </c>
      <c r="AM20" s="247" t="str">
        <f t="shared" si="28"/>
        <v>2T22</v>
      </c>
      <c r="AN20" s="247" t="str">
        <f t="shared" si="28"/>
        <v>3T22</v>
      </c>
      <c r="AO20" s="247" t="str">
        <f t="shared" si="28"/>
        <v>4T22</v>
      </c>
      <c r="AP20" s="247" t="str">
        <f t="shared" si="28"/>
        <v>1T23</v>
      </c>
      <c r="AQ20" s="247" t="str">
        <f t="shared" si="28"/>
        <v>2T23</v>
      </c>
      <c r="AR20" s="247" t="str">
        <f t="shared" si="28"/>
        <v>3T23</v>
      </c>
      <c r="AS20" s="247" t="str">
        <f t="shared" si="28"/>
        <v>4T23</v>
      </c>
      <c r="AT20" s="247" t="str">
        <f t="shared" si="28"/>
        <v>1T24</v>
      </c>
      <c r="AU20" s="247" t="str">
        <f t="shared" si="28"/>
        <v>2T24</v>
      </c>
      <c r="AV20" s="247" t="str">
        <f t="shared" si="28"/>
        <v>3T24</v>
      </c>
      <c r="AW20" s="247" t="str">
        <f t="shared" si="28"/>
        <v>4T24</v>
      </c>
      <c r="AX20" s="247" t="str">
        <f t="shared" si="28"/>
        <v>1T25</v>
      </c>
      <c r="AY20" s="247" t="str">
        <f t="shared" si="28"/>
        <v>2T25</v>
      </c>
      <c r="AZ20" s="247" t="str">
        <f>AZ5</f>
        <v>3T25</v>
      </c>
      <c r="BA20" s="247" t="str">
        <f>BA5</f>
        <v>4T25</v>
      </c>
      <c r="BB20" s="247" t="str">
        <f>BB5</f>
        <v>1T26</v>
      </c>
      <c r="BC20" s="247" t="str">
        <f>BC5</f>
        <v>2T26</v>
      </c>
    </row>
    <row r="21" spans="1:55" x14ac:dyDescent="0.2">
      <c r="A21" t="s">
        <v>364</v>
      </c>
      <c r="B21" t="s">
        <v>883</v>
      </c>
      <c r="D21" s="129" t="str">
        <f>IF([1]RENAME!$H$3=1,B21,A21)</f>
        <v>No Brasil</v>
      </c>
      <c r="E21" s="118">
        <f t="shared" ref="E21:P21" si="29">+E6-E14</f>
        <v>137384</v>
      </c>
      <c r="F21" s="118">
        <f t="shared" si="29"/>
        <v>136951</v>
      </c>
      <c r="G21" s="160">
        <f t="shared" si="29"/>
        <v>74402</v>
      </c>
      <c r="H21" s="118">
        <f t="shared" si="29"/>
        <v>67720</v>
      </c>
      <c r="I21" s="118">
        <f t="shared" si="29"/>
        <v>45270</v>
      </c>
      <c r="J21" s="118">
        <f t="shared" si="29"/>
        <v>39450</v>
      </c>
      <c r="K21" s="118">
        <f t="shared" si="29"/>
        <v>48243</v>
      </c>
      <c r="L21" s="118">
        <f t="shared" si="29"/>
        <v>51347</v>
      </c>
      <c r="M21" s="118">
        <f t="shared" si="29"/>
        <v>48684</v>
      </c>
      <c r="N21" s="118">
        <f t="shared" si="29"/>
        <v>30219</v>
      </c>
      <c r="O21" s="118">
        <f t="shared" si="29"/>
        <v>32994</v>
      </c>
      <c r="P21" s="118">
        <f t="shared" si="29"/>
        <v>28974</v>
      </c>
      <c r="Q21" s="118">
        <v>31354</v>
      </c>
      <c r="R21" s="118">
        <v>26886</v>
      </c>
      <c r="S21" s="118">
        <v>27531</v>
      </c>
      <c r="T21" s="118">
        <v>26550</v>
      </c>
      <c r="U21" s="118">
        <f>+U6-U14</f>
        <v>26985</v>
      </c>
      <c r="V21" s="118">
        <f>+V6-V14</f>
        <v>23892</v>
      </c>
      <c r="W21" s="118">
        <f>+W6-W14</f>
        <v>23942</v>
      </c>
      <c r="X21" s="118">
        <f>+X6-X14</f>
        <v>28354</v>
      </c>
      <c r="Y21" s="118">
        <v>33543</v>
      </c>
      <c r="Z21" s="118">
        <v>34406</v>
      </c>
      <c r="AA21" s="118">
        <v>35733</v>
      </c>
      <c r="AB21" s="118">
        <v>39691</v>
      </c>
      <c r="AC21" s="118">
        <v>40756</v>
      </c>
      <c r="AD21" s="118">
        <f t="shared" ref="AD21:AK21" si="30">+AD6-AD14</f>
        <v>40834</v>
      </c>
      <c r="AE21" s="118">
        <f t="shared" si="30"/>
        <v>49205</v>
      </c>
      <c r="AF21" s="118">
        <f t="shared" si="30"/>
        <v>39166</v>
      </c>
      <c r="AG21" s="118">
        <f t="shared" si="30"/>
        <v>36078</v>
      </c>
      <c r="AH21" s="118">
        <f t="shared" si="30"/>
        <v>27291</v>
      </c>
      <c r="AI21" s="118">
        <f t="shared" si="30"/>
        <v>50538</v>
      </c>
      <c r="AJ21" s="118">
        <f t="shared" si="30"/>
        <v>64354</v>
      </c>
      <c r="AK21" s="118">
        <f t="shared" si="30"/>
        <v>85955</v>
      </c>
      <c r="AL21" s="118">
        <v>75216</v>
      </c>
      <c r="AM21" s="118">
        <v>63082</v>
      </c>
      <c r="AN21" s="118">
        <f t="shared" ref="AN21:AV21" si="31">+AN6-AN14</f>
        <v>46261</v>
      </c>
      <c r="AO21" s="118">
        <f t="shared" si="31"/>
        <v>45906</v>
      </c>
      <c r="AP21" s="118">
        <f t="shared" si="31"/>
        <v>54090</v>
      </c>
      <c r="AQ21" s="118">
        <f t="shared" si="31"/>
        <v>50870</v>
      </c>
      <c r="AR21" s="118">
        <f t="shared" si="31"/>
        <v>52781</v>
      </c>
      <c r="AS21" s="118">
        <f t="shared" si="31"/>
        <v>52961</v>
      </c>
      <c r="AT21" s="118">
        <f t="shared" si="31"/>
        <v>64234</v>
      </c>
      <c r="AU21" s="118">
        <v>52169</v>
      </c>
      <c r="AV21" s="118">
        <f t="shared" si="31"/>
        <v>52148</v>
      </c>
      <c r="AW21" s="118">
        <v>44247</v>
      </c>
      <c r="AX21" s="118">
        <v>54377</v>
      </c>
      <c r="AY21" s="118">
        <v>61703</v>
      </c>
      <c r="AZ21" s="118">
        <v>57941</v>
      </c>
      <c r="BA21" s="118">
        <v>64064</v>
      </c>
      <c r="BB21" s="118">
        <v>69563</v>
      </c>
      <c r="BC21" s="118">
        <f>+BC6-BC14</f>
        <v>65904</v>
      </c>
    </row>
    <row r="22" spans="1:55" x14ac:dyDescent="0.2">
      <c r="A22" t="s">
        <v>185</v>
      </c>
      <c r="B22" t="s">
        <v>884</v>
      </c>
      <c r="D22" s="126" t="str">
        <f>IF([1]RENAME!$H$3=1,B22,A22)</f>
        <v xml:space="preserve">Contas a receber no Brasil </v>
      </c>
      <c r="E22" s="120">
        <f t="shared" ref="E22:M22" si="32">SUM(E21:E21)</f>
        <v>137384</v>
      </c>
      <c r="F22" s="120">
        <f t="shared" si="32"/>
        <v>136951</v>
      </c>
      <c r="G22" s="162">
        <f t="shared" si="32"/>
        <v>74402</v>
      </c>
      <c r="H22" s="120">
        <f t="shared" si="32"/>
        <v>67720</v>
      </c>
      <c r="I22" s="120">
        <f t="shared" si="32"/>
        <v>45270</v>
      </c>
      <c r="J22" s="120">
        <f t="shared" si="32"/>
        <v>39450</v>
      </c>
      <c r="K22" s="120">
        <f t="shared" si="32"/>
        <v>48243</v>
      </c>
      <c r="L22" s="120">
        <f t="shared" si="32"/>
        <v>51347</v>
      </c>
      <c r="M22" s="120">
        <f t="shared" si="32"/>
        <v>48684</v>
      </c>
      <c r="N22" s="120">
        <f t="shared" ref="N22:AA22" si="33">SUM(N21:N21)</f>
        <v>30219</v>
      </c>
      <c r="O22" s="120">
        <f t="shared" si="33"/>
        <v>32994</v>
      </c>
      <c r="P22" s="120">
        <f t="shared" si="33"/>
        <v>28974</v>
      </c>
      <c r="Q22" s="120">
        <f t="shared" si="33"/>
        <v>31354</v>
      </c>
      <c r="R22" s="120">
        <f t="shared" si="33"/>
        <v>26886</v>
      </c>
      <c r="S22" s="120">
        <f t="shared" si="33"/>
        <v>27531</v>
      </c>
      <c r="T22" s="120">
        <f t="shared" si="33"/>
        <v>26550</v>
      </c>
      <c r="U22" s="120">
        <f t="shared" si="33"/>
        <v>26985</v>
      </c>
      <c r="V22" s="120">
        <f t="shared" si="33"/>
        <v>23892</v>
      </c>
      <c r="W22" s="120">
        <f t="shared" si="33"/>
        <v>23942</v>
      </c>
      <c r="X22" s="120">
        <f t="shared" si="33"/>
        <v>28354</v>
      </c>
      <c r="Y22" s="120">
        <f t="shared" si="33"/>
        <v>33543</v>
      </c>
      <c r="Z22" s="120">
        <f t="shared" si="33"/>
        <v>34406</v>
      </c>
      <c r="AA22" s="120">
        <f t="shared" si="33"/>
        <v>35733</v>
      </c>
      <c r="AB22" s="120">
        <f t="shared" ref="AB22:AG22" si="34">SUM(AB21:AB21)</f>
        <v>39691</v>
      </c>
      <c r="AC22" s="120">
        <f t="shared" si="34"/>
        <v>40756</v>
      </c>
      <c r="AD22" s="120">
        <f t="shared" si="34"/>
        <v>40834</v>
      </c>
      <c r="AE22" s="120">
        <f t="shared" si="34"/>
        <v>49205</v>
      </c>
      <c r="AF22" s="120">
        <f t="shared" si="34"/>
        <v>39166</v>
      </c>
      <c r="AG22" s="120">
        <f t="shared" si="34"/>
        <v>36078</v>
      </c>
      <c r="AH22" s="120">
        <f t="shared" ref="AH22:AM22" si="35">SUM(AH21:AH21)</f>
        <v>27291</v>
      </c>
      <c r="AI22" s="120">
        <f t="shared" si="35"/>
        <v>50538</v>
      </c>
      <c r="AJ22" s="120">
        <f t="shared" si="35"/>
        <v>64354</v>
      </c>
      <c r="AK22" s="120">
        <f t="shared" si="35"/>
        <v>85955</v>
      </c>
      <c r="AL22" s="120">
        <f t="shared" si="35"/>
        <v>75216</v>
      </c>
      <c r="AM22" s="120">
        <f t="shared" si="35"/>
        <v>63082</v>
      </c>
      <c r="AN22" s="120">
        <f t="shared" ref="AN22:AU22" si="36">SUM(AN21:AN21)</f>
        <v>46261</v>
      </c>
      <c r="AO22" s="120">
        <f t="shared" si="36"/>
        <v>45906</v>
      </c>
      <c r="AP22" s="120">
        <f t="shared" si="36"/>
        <v>54090</v>
      </c>
      <c r="AQ22" s="120">
        <f t="shared" si="36"/>
        <v>50870</v>
      </c>
      <c r="AR22" s="120">
        <f t="shared" si="36"/>
        <v>52781</v>
      </c>
      <c r="AS22" s="120">
        <f t="shared" si="36"/>
        <v>52961</v>
      </c>
      <c r="AT22" s="120">
        <f t="shared" si="36"/>
        <v>64234</v>
      </c>
      <c r="AU22" s="120">
        <f t="shared" si="36"/>
        <v>52169</v>
      </c>
      <c r="AV22" s="120">
        <f t="shared" ref="AV22:BC22" si="37">SUM(AV21:AV21)</f>
        <v>52148</v>
      </c>
      <c r="AW22" s="120">
        <f t="shared" si="37"/>
        <v>44247</v>
      </c>
      <c r="AX22" s="120">
        <f t="shared" si="37"/>
        <v>54377</v>
      </c>
      <c r="AY22" s="120">
        <f t="shared" si="37"/>
        <v>61703</v>
      </c>
      <c r="AZ22" s="120">
        <f t="shared" si="37"/>
        <v>57941</v>
      </c>
      <c r="BA22" s="120">
        <f t="shared" si="37"/>
        <v>64064</v>
      </c>
      <c r="BB22" s="120">
        <f>SUM(BB21:BB21)</f>
        <v>69563</v>
      </c>
      <c r="BC22" s="120">
        <f t="shared" si="37"/>
        <v>65904</v>
      </c>
    </row>
    <row r="23" spans="1:55" x14ac:dyDescent="0.2">
      <c r="A23" t="s">
        <v>2248</v>
      </c>
      <c r="B23" t="s">
        <v>2249</v>
      </c>
      <c r="D23" s="129" t="str">
        <f>IF([1]RENAME!$H$3=1,B23,A23)</f>
        <v>Clientes exterior</v>
      </c>
      <c r="E23" s="118" t="s">
        <v>160</v>
      </c>
      <c r="F23" s="118" t="s">
        <v>160</v>
      </c>
      <c r="G23" s="160" t="s">
        <v>160</v>
      </c>
      <c r="H23" s="118" t="s">
        <v>160</v>
      </c>
      <c r="I23" s="118" t="s">
        <v>160</v>
      </c>
      <c r="J23" s="118" t="s">
        <v>160</v>
      </c>
      <c r="K23" s="118" t="s">
        <v>160</v>
      </c>
      <c r="L23" s="118" t="s">
        <v>160</v>
      </c>
      <c r="M23" s="118" t="s">
        <v>160</v>
      </c>
      <c r="N23" s="118" t="s">
        <v>160</v>
      </c>
      <c r="O23" s="118" t="s">
        <v>160</v>
      </c>
      <c r="P23" s="118" t="s">
        <v>160</v>
      </c>
      <c r="Q23" s="118" t="s">
        <v>160</v>
      </c>
      <c r="R23" s="118" t="s">
        <v>160</v>
      </c>
      <c r="S23" s="118" t="s">
        <v>160</v>
      </c>
      <c r="T23" s="118" t="s">
        <v>160</v>
      </c>
      <c r="U23" s="118" t="s">
        <v>160</v>
      </c>
      <c r="V23" s="118" t="s">
        <v>160</v>
      </c>
      <c r="W23" s="118" t="s">
        <v>160</v>
      </c>
      <c r="X23" s="118" t="s">
        <v>160</v>
      </c>
      <c r="Y23" s="118" t="s">
        <v>160</v>
      </c>
      <c r="Z23" s="118" t="s">
        <v>160</v>
      </c>
      <c r="AA23" s="118" t="s">
        <v>160</v>
      </c>
      <c r="AB23" s="118" t="s">
        <v>160</v>
      </c>
      <c r="AC23" s="118" t="s">
        <v>160</v>
      </c>
      <c r="AD23" s="118" t="s">
        <v>160</v>
      </c>
      <c r="AE23" s="118" t="s">
        <v>160</v>
      </c>
      <c r="AF23" s="118" t="s">
        <v>160</v>
      </c>
      <c r="AG23" s="118" t="s">
        <v>160</v>
      </c>
      <c r="AH23" s="118" t="s">
        <v>160</v>
      </c>
      <c r="AI23" s="118" t="s">
        <v>160</v>
      </c>
      <c r="AJ23" s="118" t="s">
        <v>160</v>
      </c>
      <c r="AK23" s="118" t="s">
        <v>160</v>
      </c>
      <c r="AL23" s="118" t="s">
        <v>160</v>
      </c>
      <c r="AM23" s="118" t="s">
        <v>160</v>
      </c>
      <c r="AN23" s="118" t="s">
        <v>160</v>
      </c>
      <c r="AO23" s="118" t="s">
        <v>160</v>
      </c>
      <c r="AP23" s="118" t="s">
        <v>160</v>
      </c>
      <c r="AQ23" s="118" t="s">
        <v>160</v>
      </c>
      <c r="AR23" s="118" t="s">
        <v>160</v>
      </c>
      <c r="AS23" s="118" t="s">
        <v>160</v>
      </c>
      <c r="AT23" s="118" t="s">
        <v>160</v>
      </c>
      <c r="AU23" s="118" t="s">
        <v>160</v>
      </c>
      <c r="AV23" s="118" t="s">
        <v>160</v>
      </c>
      <c r="AW23" s="118">
        <f t="shared" ref="AW23:BC23" si="38">+AW8-AW16</f>
        <v>0</v>
      </c>
      <c r="AX23" s="118">
        <f t="shared" si="38"/>
        <v>0</v>
      </c>
      <c r="AY23" s="118">
        <f t="shared" si="38"/>
        <v>0</v>
      </c>
      <c r="AZ23" s="118">
        <f t="shared" si="38"/>
        <v>0</v>
      </c>
      <c r="BA23" s="118">
        <f t="shared" si="38"/>
        <v>0</v>
      </c>
      <c r="BB23" s="118">
        <f>+BB8-BB16</f>
        <v>0</v>
      </c>
      <c r="BC23" s="118">
        <f t="shared" si="38"/>
        <v>0</v>
      </c>
    </row>
    <row r="24" spans="1:55" x14ac:dyDescent="0.2">
      <c r="A24" t="s">
        <v>490</v>
      </c>
      <c r="B24" t="s">
        <v>885</v>
      </c>
      <c r="D24" s="129" t="str">
        <f>IF([1]RENAME!$H$3=1,B24,A24)</f>
        <v>Perda estimada para créditos de liquidação duvidosa</v>
      </c>
      <c r="E24" s="118">
        <f t="shared" ref="E24:M24" si="39">+E9-E17</f>
        <v>-4478</v>
      </c>
      <c r="F24" s="118">
        <f t="shared" si="39"/>
        <v>-4633</v>
      </c>
      <c r="G24" s="160">
        <f t="shared" si="39"/>
        <v>-1481</v>
      </c>
      <c r="H24" s="118">
        <f t="shared" si="39"/>
        <v>-1558</v>
      </c>
      <c r="I24" s="118">
        <f t="shared" si="39"/>
        <v>-2916</v>
      </c>
      <c r="J24" s="118">
        <f t="shared" si="39"/>
        <v>-2670</v>
      </c>
      <c r="K24" s="118">
        <f t="shared" si="39"/>
        <v>-3861</v>
      </c>
      <c r="L24" s="118">
        <f t="shared" si="39"/>
        <v>-4678</v>
      </c>
      <c r="M24" s="118">
        <f t="shared" si="39"/>
        <v>-4755</v>
      </c>
      <c r="N24" s="118">
        <f>+N9-N17</f>
        <v>-5318</v>
      </c>
      <c r="O24" s="118">
        <f>+O9-O17</f>
        <v>-5335</v>
      </c>
      <c r="P24" s="118">
        <f>+P9-P17</f>
        <v>-4912</v>
      </c>
      <c r="Q24" s="118">
        <v>-5700</v>
      </c>
      <c r="R24" s="118">
        <v>-5865</v>
      </c>
      <c r="S24" s="118">
        <v>-5841</v>
      </c>
      <c r="T24" s="118">
        <v>-5827</v>
      </c>
      <c r="U24" s="118">
        <f>+U9-U17</f>
        <v>-1857</v>
      </c>
      <c r="V24" s="118">
        <f>+V9-V17</f>
        <v>-1737</v>
      </c>
      <c r="W24" s="118">
        <f>+W9-W17</f>
        <v>-845</v>
      </c>
      <c r="X24" s="118">
        <f>+X9-X17</f>
        <v>-1123</v>
      </c>
      <c r="Y24" s="118">
        <v>-2859</v>
      </c>
      <c r="Z24" s="118">
        <v>-2856</v>
      </c>
      <c r="AA24" s="118">
        <v>-837</v>
      </c>
      <c r="AB24" s="118">
        <v>-883</v>
      </c>
      <c r="AC24" s="118">
        <v>-47</v>
      </c>
      <c r="AD24" s="118">
        <f t="shared" ref="AD24:AI24" si="40">+AD9-AD17</f>
        <v>-46</v>
      </c>
      <c r="AE24" s="118">
        <f t="shared" si="40"/>
        <v>-53</v>
      </c>
      <c r="AF24" s="118">
        <f t="shared" si="40"/>
        <v>-47</v>
      </c>
      <c r="AG24" s="118">
        <f t="shared" si="40"/>
        <v>-46</v>
      </c>
      <c r="AH24" s="118">
        <f t="shared" si="40"/>
        <v>-102</v>
      </c>
      <c r="AI24" s="118">
        <f t="shared" si="40"/>
        <v>-103</v>
      </c>
      <c r="AJ24" s="118">
        <f>+AJ9-AJ17</f>
        <v>-278</v>
      </c>
      <c r="AK24" s="118">
        <f>+AK9-AK17</f>
        <v>2062</v>
      </c>
      <c r="AL24" s="118">
        <v>-116</v>
      </c>
      <c r="AM24" s="118">
        <v>-145</v>
      </c>
      <c r="AN24" s="118">
        <f t="shared" ref="AN24:AS24" si="41">+AN9-AN17</f>
        <v>-161</v>
      </c>
      <c r="AO24" s="118">
        <f t="shared" si="41"/>
        <v>-235</v>
      </c>
      <c r="AP24" s="118">
        <f t="shared" si="41"/>
        <v>-552</v>
      </c>
      <c r="AQ24" s="118">
        <f t="shared" si="41"/>
        <v>-521</v>
      </c>
      <c r="AR24" s="118">
        <f t="shared" si="41"/>
        <v>-703</v>
      </c>
      <c r="AS24" s="118">
        <f t="shared" si="41"/>
        <v>-750</v>
      </c>
      <c r="AT24" s="118">
        <f>+AT9-AT17</f>
        <v>-692</v>
      </c>
      <c r="AU24" s="118">
        <v>-682</v>
      </c>
      <c r="AV24" s="118">
        <f>+AV9-AV17</f>
        <v>-669</v>
      </c>
      <c r="AW24" s="118">
        <v>-413</v>
      </c>
      <c r="AX24" s="118">
        <v>-462</v>
      </c>
      <c r="AY24" s="118">
        <v>-664</v>
      </c>
      <c r="AZ24" s="118">
        <v>-305</v>
      </c>
      <c r="BA24" s="118">
        <f>+BA9-BA17</f>
        <v>-504</v>
      </c>
      <c r="BB24" s="118">
        <f>+BB9-BB17</f>
        <v>-982</v>
      </c>
      <c r="BC24" s="118">
        <f>+BC9-BC17</f>
        <v>-1145</v>
      </c>
    </row>
    <row r="25" spans="1:55" x14ac:dyDescent="0.2">
      <c r="A25" t="s">
        <v>184</v>
      </c>
      <c r="B25" t="s">
        <v>886</v>
      </c>
      <c r="D25" s="126" t="str">
        <f>IF([1]RENAME!$H$3=1,B25,A25)</f>
        <v>Contas a receber da venda de produtos e serviços:</v>
      </c>
      <c r="E25" s="120">
        <f t="shared" ref="E25:M25" si="42">SUM(E22:E24)</f>
        <v>132906</v>
      </c>
      <c r="F25" s="120">
        <f t="shared" si="42"/>
        <v>132318</v>
      </c>
      <c r="G25" s="162">
        <f t="shared" si="42"/>
        <v>72921</v>
      </c>
      <c r="H25" s="120">
        <f t="shared" si="42"/>
        <v>66162</v>
      </c>
      <c r="I25" s="120">
        <f t="shared" si="42"/>
        <v>42354</v>
      </c>
      <c r="J25" s="120">
        <f t="shared" si="42"/>
        <v>36780</v>
      </c>
      <c r="K25" s="120">
        <f t="shared" si="42"/>
        <v>44382</v>
      </c>
      <c r="L25" s="120">
        <f t="shared" si="42"/>
        <v>46669</v>
      </c>
      <c r="M25" s="120">
        <f t="shared" si="42"/>
        <v>43929</v>
      </c>
      <c r="N25" s="120">
        <f t="shared" ref="N25:AA25" si="43">SUM(N22:N24)</f>
        <v>24901</v>
      </c>
      <c r="O25" s="120">
        <f t="shared" si="43"/>
        <v>27659</v>
      </c>
      <c r="P25" s="120">
        <f t="shared" si="43"/>
        <v>24062</v>
      </c>
      <c r="Q25" s="120">
        <f t="shared" si="43"/>
        <v>25654</v>
      </c>
      <c r="R25" s="120">
        <f t="shared" si="43"/>
        <v>21021</v>
      </c>
      <c r="S25" s="120">
        <f t="shared" si="43"/>
        <v>21690</v>
      </c>
      <c r="T25" s="120">
        <f t="shared" si="43"/>
        <v>20723</v>
      </c>
      <c r="U25" s="120">
        <f t="shared" si="43"/>
        <v>25128</v>
      </c>
      <c r="V25" s="120">
        <f t="shared" si="43"/>
        <v>22155</v>
      </c>
      <c r="W25" s="120">
        <f t="shared" si="43"/>
        <v>23097</v>
      </c>
      <c r="X25" s="120">
        <f t="shared" si="43"/>
        <v>27231</v>
      </c>
      <c r="Y25" s="120">
        <f t="shared" si="43"/>
        <v>30684</v>
      </c>
      <c r="Z25" s="120">
        <f t="shared" si="43"/>
        <v>31550</v>
      </c>
      <c r="AA25" s="120">
        <f t="shared" si="43"/>
        <v>34896</v>
      </c>
      <c r="AB25" s="120">
        <f t="shared" ref="AB25:AG25" si="44">SUM(AB22:AB24)</f>
        <v>38808</v>
      </c>
      <c r="AC25" s="120">
        <f t="shared" si="44"/>
        <v>40709</v>
      </c>
      <c r="AD25" s="120">
        <f t="shared" si="44"/>
        <v>40788</v>
      </c>
      <c r="AE25" s="120">
        <f t="shared" si="44"/>
        <v>49152</v>
      </c>
      <c r="AF25" s="120">
        <f t="shared" si="44"/>
        <v>39119</v>
      </c>
      <c r="AG25" s="120">
        <f t="shared" si="44"/>
        <v>36032</v>
      </c>
      <c r="AH25" s="120">
        <f t="shared" ref="AH25:AM25" si="45">SUM(AH22:AH24)</f>
        <v>27189</v>
      </c>
      <c r="AI25" s="120">
        <f t="shared" si="45"/>
        <v>50435</v>
      </c>
      <c r="AJ25" s="120">
        <f t="shared" si="45"/>
        <v>64076</v>
      </c>
      <c r="AK25" s="120">
        <f t="shared" si="45"/>
        <v>88017</v>
      </c>
      <c r="AL25" s="120">
        <f t="shared" si="45"/>
        <v>75100</v>
      </c>
      <c r="AM25" s="120">
        <f t="shared" si="45"/>
        <v>62937</v>
      </c>
      <c r="AN25" s="120">
        <f t="shared" ref="AN25:AU25" si="46">SUM(AN22:AN24)</f>
        <v>46100</v>
      </c>
      <c r="AO25" s="120">
        <f t="shared" si="46"/>
        <v>45671</v>
      </c>
      <c r="AP25" s="120">
        <f t="shared" si="46"/>
        <v>53538</v>
      </c>
      <c r="AQ25" s="120">
        <f t="shared" si="46"/>
        <v>50349</v>
      </c>
      <c r="AR25" s="120">
        <f t="shared" si="46"/>
        <v>52078</v>
      </c>
      <c r="AS25" s="120">
        <f t="shared" si="46"/>
        <v>52211</v>
      </c>
      <c r="AT25" s="120">
        <f t="shared" si="46"/>
        <v>63542</v>
      </c>
      <c r="AU25" s="120">
        <f t="shared" si="46"/>
        <v>51487</v>
      </c>
      <c r="AV25" s="120">
        <f t="shared" ref="AV25:BC25" si="47">SUM(AV22:AV24)</f>
        <v>51479</v>
      </c>
      <c r="AW25" s="120">
        <f t="shared" si="47"/>
        <v>43834</v>
      </c>
      <c r="AX25" s="120">
        <f t="shared" si="47"/>
        <v>53915</v>
      </c>
      <c r="AY25" s="120">
        <f t="shared" si="47"/>
        <v>61039</v>
      </c>
      <c r="AZ25" s="120">
        <f t="shared" si="47"/>
        <v>57636</v>
      </c>
      <c r="BA25" s="120">
        <f t="shared" si="47"/>
        <v>63560</v>
      </c>
      <c r="BB25" s="120">
        <f>SUM(BB22:BB24)</f>
        <v>68581</v>
      </c>
      <c r="BC25" s="120">
        <f t="shared" si="47"/>
        <v>64759</v>
      </c>
    </row>
  </sheetData>
  <mergeCells count="1">
    <mergeCell ref="E4:F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26">
    <pageSetUpPr autoPageBreaks="0"/>
  </sheetPr>
  <dimension ref="A1:BB164"/>
  <sheetViews>
    <sheetView showGridLines="0" zoomScaleNormal="100" workbookViewId="0">
      <pane xSplit="4" ySplit="5" topLeftCell="AG6" activePane="bottomRight" state="frozen"/>
      <selection activeCell="AY7" sqref="AY7"/>
      <selection pane="topRight" activeCell="AY7" sqref="AY7"/>
      <selection pane="bottomLeft" activeCell="AY7" sqref="AY7"/>
      <selection pane="bottomRight" activeCell="BB27" sqref="BB27"/>
    </sheetView>
  </sheetViews>
  <sheetFormatPr defaultColWidth="9.140625" defaultRowHeight="14.25" x14ac:dyDescent="0.2"/>
  <cols>
    <col min="1" max="2" width="9.140625" style="25" hidden="1" customWidth="1"/>
    <col min="3" max="3" width="1.42578125" style="25" customWidth="1"/>
    <col min="4" max="4" width="46.85546875" style="25" customWidth="1"/>
    <col min="5" max="23" width="10.85546875" style="25" customWidth="1"/>
    <col min="24" max="54" width="9.140625" style="25"/>
    <col min="55" max="55" width="16.140625" style="25" bestFit="1" customWidth="1"/>
    <col min="56" max="16384" width="9.140625" style="25"/>
  </cols>
  <sheetData>
    <row r="1" spans="1:54" s="552" customFormat="1" x14ac:dyDescent="0.2">
      <c r="E1" s="552" t="s">
        <v>45</v>
      </c>
      <c r="F1" s="552" t="str">
        <f>IF(LEFT(E1,1)="4","1T"&amp;RIGHT(E1,2)+1,LEFT(E1,1)+1&amp;RIGHT(E1,3))</f>
        <v>2T14</v>
      </c>
      <c r="G1" s="552" t="str">
        <f t="shared" ref="G1:V1" si="0">IF(LEFT(F1,1)="4","1T"&amp;RIGHT(F1,2)+1,LEFT(F1,1)+1&amp;RIGHT(F1,3))</f>
        <v>3T14</v>
      </c>
      <c r="H1" s="552" t="str">
        <f t="shared" si="0"/>
        <v>4T14</v>
      </c>
      <c r="I1" s="552" t="str">
        <f t="shared" si="0"/>
        <v>1T15</v>
      </c>
      <c r="J1" s="552" t="str">
        <f t="shared" si="0"/>
        <v>2T15</v>
      </c>
      <c r="K1" s="552" t="str">
        <f t="shared" si="0"/>
        <v>3T15</v>
      </c>
      <c r="L1" s="552" t="str">
        <f t="shared" si="0"/>
        <v>4T15</v>
      </c>
      <c r="M1" s="552" t="str">
        <f t="shared" si="0"/>
        <v>1T16</v>
      </c>
      <c r="N1" s="552" t="str">
        <f t="shared" si="0"/>
        <v>2T16</v>
      </c>
      <c r="O1" s="552" t="str">
        <f t="shared" si="0"/>
        <v>3T16</v>
      </c>
      <c r="P1" s="552" t="str">
        <f t="shared" si="0"/>
        <v>4T16</v>
      </c>
      <c r="Q1" s="552" t="str">
        <f t="shared" si="0"/>
        <v>1T17</v>
      </c>
      <c r="R1" s="552" t="str">
        <f t="shared" si="0"/>
        <v>2T17</v>
      </c>
      <c r="S1" s="552" t="str">
        <f t="shared" si="0"/>
        <v>3T17</v>
      </c>
      <c r="T1" s="552" t="str">
        <f t="shared" si="0"/>
        <v>4T17</v>
      </c>
      <c r="U1" s="552" t="str">
        <f t="shared" si="0"/>
        <v>1T18</v>
      </c>
      <c r="V1" s="552" t="str">
        <f t="shared" si="0"/>
        <v>2T18</v>
      </c>
      <c r="W1" s="552" t="str">
        <f>IF(LEFT(V1,1)="4","1T"&amp;RIGHT(V1,2)+1,LEFT(V1,1)+1&amp;RIGHT(V1,3))</f>
        <v>3T18</v>
      </c>
      <c r="X1" s="552" t="str">
        <f>IF(LEFT(W1,1)="4","1T"&amp;RIGHT(W1,2)+1,LEFT(W1,1)+1&amp;RIGHT(W1,3))</f>
        <v>4T18</v>
      </c>
      <c r="Y1" s="552" t="str">
        <f>IF(LEFT(X1,1)="4","1T"&amp;RIGHT(X1,2)+1,LEFT(X1,1)+1&amp;RIGHT(X1,3))</f>
        <v>1T19</v>
      </c>
      <c r="Z1" s="552" t="str">
        <f>IF(LEFT(Y1,1)="4","1T"&amp;RIGHT(Y1,2)+1,LEFT(Y1,1)+1&amp;RIGHT(Y1,3))</f>
        <v>2T19</v>
      </c>
      <c r="AA1" s="552" t="str">
        <f>IF(LEFT(Z1,1)="4","1T"&amp;RIGHT(Z1,2)+1,LEFT(Z1,1)+1&amp;RIGHT(Z1,3))</f>
        <v>3T19</v>
      </c>
      <c r="AB1" s="552" t="s">
        <v>1411</v>
      </c>
      <c r="AC1" s="552" t="str">
        <f t="shared" ref="AC1:AI1" si="1">IF(LEFT(AB1,1)="4","1T"&amp;RIGHT(AB1,2)+1,LEFT(AB1,1)+1&amp;RIGHT(AB1,3))</f>
        <v>1T20</v>
      </c>
      <c r="AD1" s="552" t="str">
        <f t="shared" si="1"/>
        <v>2T20</v>
      </c>
      <c r="AE1" s="552" t="str">
        <f t="shared" si="1"/>
        <v>3T20</v>
      </c>
      <c r="AF1" s="552" t="str">
        <f t="shared" si="1"/>
        <v>4T20</v>
      </c>
      <c r="AG1" s="552" t="str">
        <f t="shared" si="1"/>
        <v>1T21</v>
      </c>
      <c r="AH1" s="552" t="str">
        <f t="shared" si="1"/>
        <v>2T21</v>
      </c>
      <c r="AI1" s="552" t="str">
        <f t="shared" si="1"/>
        <v>3T21</v>
      </c>
      <c r="AJ1" s="552" t="str">
        <f t="shared" ref="AJ1:AS1" si="2">IF(LEFT(AI1,1)="4","1T"&amp;RIGHT(AI1,2)+1,LEFT(AI1,1)+1&amp;RIGHT(AI1,3))</f>
        <v>4T21</v>
      </c>
      <c r="AK1" s="552" t="str">
        <f t="shared" si="2"/>
        <v>1T22</v>
      </c>
      <c r="AL1" s="552" t="str">
        <f t="shared" si="2"/>
        <v>2T22</v>
      </c>
      <c r="AM1" s="552" t="str">
        <f t="shared" si="2"/>
        <v>3T22</v>
      </c>
      <c r="AN1" s="552" t="str">
        <f t="shared" si="2"/>
        <v>4T22</v>
      </c>
      <c r="AO1" s="552" t="str">
        <f t="shared" si="2"/>
        <v>1T23</v>
      </c>
      <c r="AP1" s="552" t="str">
        <f t="shared" si="2"/>
        <v>2T23</v>
      </c>
      <c r="AQ1" s="552" t="str">
        <f t="shared" si="2"/>
        <v>3T23</v>
      </c>
      <c r="AR1" s="552" t="str">
        <f t="shared" si="2"/>
        <v>4T23</v>
      </c>
      <c r="AS1" s="552" t="str">
        <f t="shared" si="2"/>
        <v>1T24</v>
      </c>
      <c r="AT1" s="552" t="str">
        <f t="shared" ref="AT1:BB1" si="3">IF(LEFT(AS1,1)="4","1T"&amp;RIGHT(AS1,2)+1,LEFT(AS1,1)+1&amp;RIGHT(AS1,3))</f>
        <v>2T24</v>
      </c>
      <c r="AU1" s="552" t="str">
        <f t="shared" si="3"/>
        <v>3T24</v>
      </c>
      <c r="AV1" s="552" t="str">
        <f t="shared" si="3"/>
        <v>4T24</v>
      </c>
      <c r="AW1" s="552" t="str">
        <f t="shared" si="3"/>
        <v>1T25</v>
      </c>
      <c r="AX1" s="552" t="str">
        <f t="shared" si="3"/>
        <v>2T25</v>
      </c>
      <c r="AY1" s="552" t="str">
        <f t="shared" si="3"/>
        <v>3T25</v>
      </c>
      <c r="AZ1" s="552" t="str">
        <f t="shared" si="3"/>
        <v>4T25</v>
      </c>
      <c r="BA1" s="552" t="str">
        <f t="shared" si="3"/>
        <v>1T26</v>
      </c>
      <c r="BB1" s="552" t="str">
        <f t="shared" si="3"/>
        <v>2T26</v>
      </c>
    </row>
    <row r="2" spans="1:54" s="552" customFormat="1" ht="12.75" customHeight="1" x14ac:dyDescent="0.2">
      <c r="E2" s="547" t="str">
        <f>SUBSTITUTE(E1,"T","Q")</f>
        <v>1Q14</v>
      </c>
      <c r="F2" s="547" t="str">
        <f>SUBSTITUTE(F1,"T","Q")</f>
        <v>2Q14</v>
      </c>
      <c r="G2" s="547" t="str">
        <f t="shared" ref="G2:S2" si="4">SUBSTITUTE(G1,"T","Q")</f>
        <v>3Q14</v>
      </c>
      <c r="H2" s="547" t="str">
        <f t="shared" si="4"/>
        <v>4Q14</v>
      </c>
      <c r="I2" s="547" t="str">
        <f t="shared" si="4"/>
        <v>1Q15</v>
      </c>
      <c r="J2" s="547" t="str">
        <f t="shared" si="4"/>
        <v>2Q15</v>
      </c>
      <c r="K2" s="547" t="str">
        <f t="shared" si="4"/>
        <v>3Q15</v>
      </c>
      <c r="L2" s="547" t="str">
        <f t="shared" si="4"/>
        <v>4Q15</v>
      </c>
      <c r="M2" s="547" t="str">
        <f t="shared" si="4"/>
        <v>1Q16</v>
      </c>
      <c r="N2" s="547" t="str">
        <f t="shared" si="4"/>
        <v>2Q16</v>
      </c>
      <c r="O2" s="547" t="str">
        <f t="shared" si="4"/>
        <v>3Q16</v>
      </c>
      <c r="P2" s="547" t="str">
        <f t="shared" si="4"/>
        <v>4Q16</v>
      </c>
      <c r="Q2" s="547" t="str">
        <f t="shared" si="4"/>
        <v>1Q17</v>
      </c>
      <c r="R2" s="547" t="str">
        <f t="shared" si="4"/>
        <v>2Q17</v>
      </c>
      <c r="S2" s="547" t="str">
        <f t="shared" si="4"/>
        <v>3Q17</v>
      </c>
      <c r="T2" s="547" t="str">
        <f t="shared" ref="T2:Y2" si="5">SUBSTITUTE(T1,"T","Q")</f>
        <v>4Q17</v>
      </c>
      <c r="U2" s="547" t="str">
        <f t="shared" si="5"/>
        <v>1Q18</v>
      </c>
      <c r="V2" s="547" t="str">
        <f t="shared" si="5"/>
        <v>2Q18</v>
      </c>
      <c r="W2" s="547" t="str">
        <f t="shared" si="5"/>
        <v>3Q18</v>
      </c>
      <c r="X2" s="547" t="str">
        <f t="shared" si="5"/>
        <v>4Q18</v>
      </c>
      <c r="Y2" s="547" t="str">
        <f t="shared" si="5"/>
        <v>1Q19</v>
      </c>
      <c r="Z2" s="547" t="str">
        <f>SUBSTITUTE(Z1,"T","Q")</f>
        <v>2Q19</v>
      </c>
      <c r="AA2" s="547" t="str">
        <f>SUBSTITUTE(AA1,"T","Q")</f>
        <v>3Q19</v>
      </c>
      <c r="AB2" s="547" t="s">
        <v>1514</v>
      </c>
      <c r="AC2" s="547" t="str">
        <f t="shared" ref="AC2:AL2" si="6">SUBSTITUTE(AC1,"T","Q")</f>
        <v>1Q20</v>
      </c>
      <c r="AD2" s="547" t="str">
        <f t="shared" si="6"/>
        <v>2Q20</v>
      </c>
      <c r="AE2" s="547" t="str">
        <f t="shared" si="6"/>
        <v>3Q20</v>
      </c>
      <c r="AF2" s="547" t="str">
        <f t="shared" si="6"/>
        <v>4Q20</v>
      </c>
      <c r="AG2" s="547" t="str">
        <f t="shared" si="6"/>
        <v>1Q21</v>
      </c>
      <c r="AH2" s="547" t="str">
        <f t="shared" si="6"/>
        <v>2Q21</v>
      </c>
      <c r="AI2" s="547" t="str">
        <f t="shared" si="6"/>
        <v>3Q21</v>
      </c>
      <c r="AJ2" s="547" t="str">
        <f t="shared" si="6"/>
        <v>4Q21</v>
      </c>
      <c r="AK2" s="547" t="str">
        <f t="shared" si="6"/>
        <v>1Q22</v>
      </c>
      <c r="AL2" s="547" t="str">
        <f t="shared" si="6"/>
        <v>2Q22</v>
      </c>
      <c r="AM2" s="547" t="str">
        <f t="shared" ref="AM2:AS2" si="7">SUBSTITUTE(AM1,"T","Q")</f>
        <v>3Q22</v>
      </c>
      <c r="AN2" s="547" t="str">
        <f t="shared" si="7"/>
        <v>4Q22</v>
      </c>
      <c r="AO2" s="547" t="str">
        <f t="shared" si="7"/>
        <v>1Q23</v>
      </c>
      <c r="AP2" s="547" t="str">
        <f t="shared" si="7"/>
        <v>2Q23</v>
      </c>
      <c r="AQ2" s="547" t="str">
        <f t="shared" si="7"/>
        <v>3Q23</v>
      </c>
      <c r="AR2" s="547" t="str">
        <f t="shared" si="7"/>
        <v>4Q23</v>
      </c>
      <c r="AS2" s="547" t="str">
        <f t="shared" si="7"/>
        <v>1Q24</v>
      </c>
      <c r="AT2" s="547" t="str">
        <f t="shared" ref="AT2:BB2" si="8">SUBSTITUTE(AT1,"T","Q")</f>
        <v>2Q24</v>
      </c>
      <c r="AU2" s="547" t="str">
        <f t="shared" si="8"/>
        <v>3Q24</v>
      </c>
      <c r="AV2" s="547" t="str">
        <f t="shared" si="8"/>
        <v>4Q24</v>
      </c>
      <c r="AW2" s="547" t="str">
        <f t="shared" si="8"/>
        <v>1Q25</v>
      </c>
      <c r="AX2" s="547" t="str">
        <f t="shared" si="8"/>
        <v>2Q25</v>
      </c>
      <c r="AY2" s="547" t="str">
        <f t="shared" si="8"/>
        <v>3Q25</v>
      </c>
      <c r="AZ2" s="547" t="str">
        <f t="shared" si="8"/>
        <v>4Q25</v>
      </c>
      <c r="BA2" s="547" t="str">
        <f>SUBSTITUTE(BA1,"T","Q")</f>
        <v>1Q26</v>
      </c>
      <c r="BB2" s="547" t="str">
        <f t="shared" si="8"/>
        <v>2Q26</v>
      </c>
    </row>
    <row r="3" spans="1:54" ht="12.75" customHeight="1" x14ac:dyDescent="0.2">
      <c r="X3" s="352"/>
      <c r="Y3" s="352"/>
      <c r="Z3" s="352"/>
      <c r="AA3" s="352"/>
      <c r="AB3" s="352"/>
      <c r="AC3" s="352"/>
      <c r="AD3" s="352"/>
      <c r="AE3" s="352"/>
      <c r="AF3" s="352"/>
      <c r="AG3" s="352"/>
      <c r="AH3" s="352"/>
      <c r="AI3" s="552"/>
      <c r="AJ3" s="552"/>
      <c r="AK3" s="552"/>
      <c r="AL3" s="552"/>
      <c r="AM3" s="552"/>
      <c r="AN3" s="552"/>
      <c r="AO3" s="552"/>
      <c r="AP3" s="552"/>
      <c r="AQ3" s="352"/>
      <c r="AR3" s="352"/>
      <c r="AS3" s="352"/>
      <c r="AT3" s="352"/>
      <c r="AU3" s="352"/>
      <c r="AV3" s="352"/>
      <c r="AW3" s="352"/>
      <c r="AX3" s="352"/>
      <c r="AY3" s="352"/>
      <c r="AZ3" s="352"/>
      <c r="BA3" s="352"/>
      <c r="BB3" s="352"/>
    </row>
    <row r="4" spans="1:54" ht="12.75" customHeight="1" x14ac:dyDescent="0.2">
      <c r="D4" s="1253" t="str">
        <f>IF([1]RENAME!$H$3=1,"&lt;== with Direct Express","&lt;== Com Direct Express")</f>
        <v>&lt;== Com Direct Express</v>
      </c>
      <c r="E4" s="1254"/>
      <c r="F4" s="224" t="str">
        <f>IF([1]RENAME!$H$3=1,"without Direct Express ==&gt;","Sem Direct Express ==&gt;")</f>
        <v>Sem Direct Express ==&gt;</v>
      </c>
      <c r="T4" s="745"/>
      <c r="AI4" s="552"/>
      <c r="AJ4" s="552"/>
      <c r="AK4" s="552"/>
      <c r="AL4" s="552"/>
      <c r="AM4" s="552"/>
      <c r="AN4" s="552"/>
      <c r="AO4" s="552"/>
      <c r="AP4" s="552"/>
      <c r="AQ4" s="552"/>
      <c r="AR4" s="552"/>
      <c r="AS4" s="552"/>
      <c r="AT4" s="552"/>
      <c r="AU4" s="552"/>
      <c r="AV4" s="552"/>
      <c r="AW4" s="552"/>
      <c r="AX4" s="552"/>
      <c r="AY4" s="552"/>
      <c r="AZ4" s="552"/>
      <c r="BA4" s="552"/>
      <c r="BB4" s="552"/>
    </row>
    <row r="5" spans="1:54" ht="15" customHeight="1" x14ac:dyDescent="0.2">
      <c r="A5" s="25" t="s">
        <v>104</v>
      </c>
      <c r="B5" s="25" t="s">
        <v>866</v>
      </c>
      <c r="D5" s="151" t="str">
        <f>IF([1]RENAME!$H$3=1,B5,A5)</f>
        <v>CONSOLIDADO</v>
      </c>
      <c r="E5" s="247" t="str">
        <f>IF([1]RENAME!$H$3=1,E2,E1)</f>
        <v>1T14</v>
      </c>
      <c r="F5" s="115" t="str">
        <f>IF([1]RENAME!$H$3=1,F2,F1)</f>
        <v>2T14</v>
      </c>
      <c r="G5" s="115" t="str">
        <f>IF([1]RENAME!$H$3=1,G2,G1)</f>
        <v>3T14</v>
      </c>
      <c r="H5" s="115" t="str">
        <f>IF([1]RENAME!$H$3=1,H2,H1)</f>
        <v>4T14</v>
      </c>
      <c r="I5" s="115" t="str">
        <f>IF([1]RENAME!$H$3=1,I2,I1)</f>
        <v>1T15</v>
      </c>
      <c r="J5" s="115" t="str">
        <f>IF([1]RENAME!$H$3=1,J2,J1)</f>
        <v>2T15</v>
      </c>
      <c r="K5" s="115" t="str">
        <f>IF([1]RENAME!$H$3=1,K2,K1)</f>
        <v>3T15</v>
      </c>
      <c r="L5" s="115" t="str">
        <f>IF([1]RENAME!$H$3=1,L2,L1)</f>
        <v>4T15</v>
      </c>
      <c r="M5" s="115" t="str">
        <f>IF([1]RENAME!$H$3=1,M2,M1)</f>
        <v>1T16</v>
      </c>
      <c r="N5" s="115" t="str">
        <f>IF([1]RENAME!$H$3=1,N2,N1)</f>
        <v>2T16</v>
      </c>
      <c r="O5" s="247" t="str">
        <f>IF([1]RENAME!$H$3=1,O2,O1)</f>
        <v>3T16</v>
      </c>
      <c r="P5" s="115" t="str">
        <f>IF([1]RENAME!$H$3=1,P2,P1)</f>
        <v>4T16</v>
      </c>
      <c r="Q5" s="115" t="str">
        <f>IF([1]RENAME!$H$3=1,Q2,Q1)</f>
        <v>1T17</v>
      </c>
      <c r="R5" s="115" t="str">
        <f>IF([1]RENAME!$H$3=1,R2,R1)</f>
        <v>2T17</v>
      </c>
      <c r="S5" s="115" t="str">
        <f>IF([1]RENAME!$H$3=1,S2,S1)</f>
        <v>3T17</v>
      </c>
      <c r="T5" s="115" t="str">
        <f>IF([1]RENAME!$H$3=1,T2,T1)</f>
        <v>4T17</v>
      </c>
      <c r="U5" s="115" t="str">
        <f>IF([1]RENAME!$H$3=1,U2,U1)</f>
        <v>1T18</v>
      </c>
      <c r="V5" s="115" t="str">
        <f>IF([1]RENAME!$H$3=1,V2,V1)</f>
        <v>2T18</v>
      </c>
      <c r="W5" s="115" t="str">
        <f>IF([1]RENAME!$H$3=1,W2,W1)</f>
        <v>3T18</v>
      </c>
      <c r="X5" s="115" t="str">
        <f>IF([1]RENAME!$H$3=1,X2,X1)</f>
        <v>4T18</v>
      </c>
      <c r="Y5" s="115" t="str">
        <f>IF([1]RENAME!$H$3=1,Y2,Y1)</f>
        <v>1T19</v>
      </c>
      <c r="Z5" s="115" t="str">
        <f>IF([1]RENAME!$H$3=1,Z2,Z1)</f>
        <v>2T19</v>
      </c>
      <c r="AA5" s="115" t="str">
        <f>IF([1]RENAME!$H$3=1,AA2,AA1)</f>
        <v>3T19</v>
      </c>
      <c r="AB5" s="115" t="str">
        <f>IF([1]RENAME!$H$3=1,AB2,AB1)</f>
        <v>4T19</v>
      </c>
      <c r="AC5" s="115" t="str">
        <f>IF([1]RENAME!$H$3=1,AC2,AC1)</f>
        <v>1T20</v>
      </c>
      <c r="AD5" s="115" t="str">
        <f>IF([1]RENAME!$H$3=1,AD2,AD1)</f>
        <v>2T20</v>
      </c>
      <c r="AE5" s="115" t="str">
        <f>IF([1]RENAME!$H$3=1,AE2,AE1)</f>
        <v>3T20</v>
      </c>
      <c r="AF5" s="115" t="str">
        <f>IF([1]RENAME!$H$3=1,AF2,AF1)</f>
        <v>4T20</v>
      </c>
      <c r="AG5" s="115" t="str">
        <f>IF([1]RENAME!$H$3=1,AG2,AG1)</f>
        <v>1T21</v>
      </c>
      <c r="AH5" s="115" t="str">
        <f>IF([1]RENAME!$H$3=1,AH2,AH1)</f>
        <v>2T21</v>
      </c>
      <c r="AI5" s="115" t="str">
        <f>IF([1]RENAME!$H$3=1,AI2,AI1)</f>
        <v>3T21</v>
      </c>
      <c r="AJ5" s="115" t="str">
        <f>IF([1]RENAME!$H$3=1,AJ2,AJ1)</f>
        <v>4T21</v>
      </c>
      <c r="AK5" s="115" t="str">
        <f>IF([1]RENAME!$H$3=1,AK2,AK1)</f>
        <v>1T22</v>
      </c>
      <c r="AL5" s="115" t="str">
        <f>IF([1]RENAME!$H$3=1,AL2,AL1)</f>
        <v>2T22</v>
      </c>
      <c r="AM5" s="115" t="str">
        <f>IF([1]RENAME!$H$3=1,AM2,AM1)</f>
        <v>3T22</v>
      </c>
      <c r="AN5" s="115" t="str">
        <f>IF([1]RENAME!$H$3=1,AN2,AN1)</f>
        <v>4T22</v>
      </c>
      <c r="AO5" s="115" t="str">
        <f>IF([1]RENAME!$H$3=1,AO2,AO1)</f>
        <v>1T23</v>
      </c>
      <c r="AP5" s="115" t="str">
        <f>IF([1]RENAME!$H$3=1,AP2,AP1)</f>
        <v>2T23</v>
      </c>
      <c r="AQ5" s="115" t="str">
        <f>IF([1]RENAME!$H$3=1,AQ2,AQ1)</f>
        <v>3T23</v>
      </c>
      <c r="AR5" s="115" t="str">
        <f>IF([1]RENAME!$H$3=1,AR2,AR1)</f>
        <v>4T23</v>
      </c>
      <c r="AS5" s="115" t="str">
        <f>IF([1]RENAME!$H$3=1,AS2,AS1)</f>
        <v>1T24</v>
      </c>
      <c r="AT5" s="115" t="str">
        <f>IF([1]RENAME!$H$3=1,AT2,AT1)</f>
        <v>2T24</v>
      </c>
      <c r="AU5" s="115" t="str">
        <f>IF([1]RENAME!$H$3=1,AU2,AU1)</f>
        <v>3T24</v>
      </c>
      <c r="AV5" s="115" t="str">
        <f>IF([1]RENAME!$H$3=1,AV2,AV1)</f>
        <v>4T24</v>
      </c>
      <c r="AW5" s="115" t="str">
        <f>IF([1]RENAME!$H$3=1,AW2,AW1)</f>
        <v>1T25</v>
      </c>
      <c r="AX5" s="115" t="str">
        <f>IF([1]RENAME!$H$3=1,AX2,AX1)</f>
        <v>2T25</v>
      </c>
      <c r="AY5" s="115" t="str">
        <f>IF([1]RENAME!$H$3=1,AY2,AY1)</f>
        <v>3T25</v>
      </c>
      <c r="AZ5" s="115" t="str">
        <f>IF([1]RENAME!$H$3=1,AZ2,AZ1)</f>
        <v>4T25</v>
      </c>
      <c r="BA5" s="247" t="str">
        <f>IF([1]RENAME!$H$3=1,BA2,BA1)</f>
        <v>1T26</v>
      </c>
      <c r="BB5" s="247" t="str">
        <f>IF([1]RENAME!$H$3=1,BB2,BB1)</f>
        <v>2T26</v>
      </c>
    </row>
    <row r="6" spans="1:54" ht="15" customHeight="1" x14ac:dyDescent="0.2">
      <c r="A6" s="25" t="s">
        <v>90</v>
      </c>
      <c r="B6" s="25" t="s">
        <v>888</v>
      </c>
      <c r="D6" s="129" t="str">
        <f>IF([1]RENAME!$H$3=1,B6,A6)</f>
        <v>Títulos a vencer</v>
      </c>
      <c r="E6" s="118">
        <v>173730</v>
      </c>
      <c r="F6" s="160">
        <v>161866</v>
      </c>
      <c r="G6" s="118">
        <v>173202</v>
      </c>
      <c r="H6" s="118">
        <v>206623</v>
      </c>
      <c r="I6" s="118">
        <v>167489</v>
      </c>
      <c r="J6" s="118">
        <v>181124</v>
      </c>
      <c r="K6" s="118">
        <v>150939</v>
      </c>
      <c r="L6" s="118">
        <v>154757</v>
      </c>
      <c r="M6" s="118">
        <v>104024</v>
      </c>
      <c r="N6" s="118">
        <v>118649</v>
      </c>
      <c r="O6" s="118">
        <v>100053</v>
      </c>
      <c r="P6" s="118">
        <v>123619</v>
      </c>
      <c r="Q6" s="118">
        <v>106424</v>
      </c>
      <c r="R6" s="118">
        <v>110371</v>
      </c>
      <c r="S6" s="118">
        <v>124648</v>
      </c>
      <c r="T6" s="118">
        <v>151858</v>
      </c>
      <c r="U6" s="118">
        <v>137800</v>
      </c>
      <c r="V6" s="118">
        <v>157754</v>
      </c>
      <c r="W6" s="118">
        <v>172523</v>
      </c>
      <c r="X6" s="118">
        <v>205673</v>
      </c>
      <c r="Y6" s="118">
        <v>192788</v>
      </c>
      <c r="Z6" s="118">
        <v>191572</v>
      </c>
      <c r="AA6" s="118">
        <v>211851</v>
      </c>
      <c r="AB6" s="118">
        <v>244762</v>
      </c>
      <c r="AC6" s="118">
        <v>193383</v>
      </c>
      <c r="AD6" s="118">
        <v>115233</v>
      </c>
      <c r="AE6" s="118">
        <v>190266</v>
      </c>
      <c r="AF6" s="118">
        <v>191425</v>
      </c>
      <c r="AG6" s="118">
        <v>161991</v>
      </c>
      <c r="AH6" s="118">
        <v>158939</v>
      </c>
      <c r="AI6" s="118">
        <v>147375</v>
      </c>
      <c r="AJ6" s="118">
        <v>215870</v>
      </c>
      <c r="AK6" s="118">
        <v>210531</v>
      </c>
      <c r="AL6" s="118">
        <v>241527</v>
      </c>
      <c r="AM6" s="118">
        <v>253231</v>
      </c>
      <c r="AN6" s="118">
        <v>265027</v>
      </c>
      <c r="AO6" s="118">
        <v>232795</v>
      </c>
      <c r="AP6" s="118">
        <v>235293</v>
      </c>
      <c r="AQ6" s="118">
        <v>258459</v>
      </c>
      <c r="AR6" s="118">
        <v>294626</v>
      </c>
      <c r="AS6" s="118">
        <v>256295</v>
      </c>
      <c r="AT6" s="118">
        <v>315497</v>
      </c>
      <c r="AU6" s="118">
        <v>359886</v>
      </c>
      <c r="AV6" s="118">
        <v>385992</v>
      </c>
      <c r="AW6" s="118">
        <v>287617</v>
      </c>
      <c r="AX6" s="118">
        <v>325541</v>
      </c>
      <c r="AY6" s="118">
        <v>382798</v>
      </c>
      <c r="AZ6" s="118">
        <v>385870</v>
      </c>
      <c r="BA6" s="118">
        <v>382623</v>
      </c>
      <c r="BB6" s="118">
        <f>'[3]6 CR NL'!$U$7</f>
        <v>470287</v>
      </c>
    </row>
    <row r="7" spans="1:54" ht="15" customHeight="1" x14ac:dyDescent="0.2">
      <c r="A7" s="25" t="s">
        <v>91</v>
      </c>
      <c r="B7" s="25" t="s">
        <v>889</v>
      </c>
      <c r="D7" s="129" t="str">
        <f>IF([1]RENAME!$H$3=1,B7,A7)</f>
        <v>Títulos vencidos até 30 dias</v>
      </c>
      <c r="E7" s="118">
        <v>47608</v>
      </c>
      <c r="F7" s="160">
        <v>40403</v>
      </c>
      <c r="G7" s="118">
        <v>40665</v>
      </c>
      <c r="H7" s="118">
        <v>21215</v>
      </c>
      <c r="I7" s="118">
        <v>12166</v>
      </c>
      <c r="J7" s="118">
        <v>15793</v>
      </c>
      <c r="K7" s="118">
        <v>16187</v>
      </c>
      <c r="L7" s="118">
        <v>20298</v>
      </c>
      <c r="M7" s="118">
        <v>9063</v>
      </c>
      <c r="N7" s="118">
        <v>7443</v>
      </c>
      <c r="O7" s="118">
        <v>12701</v>
      </c>
      <c r="P7" s="118">
        <v>10975</v>
      </c>
      <c r="Q7" s="118">
        <v>3189</v>
      </c>
      <c r="R7" s="118">
        <v>8654</v>
      </c>
      <c r="S7" s="118">
        <v>10220</v>
      </c>
      <c r="T7" s="118">
        <v>17252</v>
      </c>
      <c r="U7" s="118">
        <v>10430</v>
      </c>
      <c r="V7" s="118">
        <v>7529</v>
      </c>
      <c r="W7" s="118">
        <v>8175</v>
      </c>
      <c r="X7" s="118">
        <v>19440</v>
      </c>
      <c r="Y7" s="118">
        <v>8506</v>
      </c>
      <c r="Z7" s="118">
        <v>22994</v>
      </c>
      <c r="AA7" s="118">
        <v>8652</v>
      </c>
      <c r="AB7" s="118">
        <v>14770</v>
      </c>
      <c r="AC7" s="118">
        <v>11355</v>
      </c>
      <c r="AD7" s="118">
        <v>6534</v>
      </c>
      <c r="AE7" s="118">
        <v>7067</v>
      </c>
      <c r="AF7" s="118">
        <v>16341</v>
      </c>
      <c r="AG7" s="118">
        <v>3926</v>
      </c>
      <c r="AH7" s="118">
        <v>23948</v>
      </c>
      <c r="AI7" s="118">
        <v>12518</v>
      </c>
      <c r="AJ7" s="118">
        <v>28486</v>
      </c>
      <c r="AK7" s="118">
        <v>5543</v>
      </c>
      <c r="AL7" s="118">
        <v>15453</v>
      </c>
      <c r="AM7" s="118">
        <v>16489</v>
      </c>
      <c r="AN7" s="118">
        <v>30917</v>
      </c>
      <c r="AO7" s="118">
        <v>10337</v>
      </c>
      <c r="AP7" s="118">
        <v>17452</v>
      </c>
      <c r="AQ7" s="118">
        <v>11155</v>
      </c>
      <c r="AR7" s="118">
        <v>36678</v>
      </c>
      <c r="AS7" s="118">
        <v>17120</v>
      </c>
      <c r="AT7" s="118">
        <v>14726</v>
      </c>
      <c r="AU7" s="118">
        <v>14256</v>
      </c>
      <c r="AV7" s="118">
        <v>37970</v>
      </c>
      <c r="AW7" s="118">
        <v>19300</v>
      </c>
      <c r="AX7" s="118">
        <v>24012</v>
      </c>
      <c r="AY7" s="118">
        <v>26394</v>
      </c>
      <c r="AZ7" s="118">
        <v>40445</v>
      </c>
      <c r="BA7" s="118">
        <v>11340</v>
      </c>
      <c r="BB7" s="118">
        <f>'[3]6 CR NL'!$U$8</f>
        <v>31160</v>
      </c>
    </row>
    <row r="8" spans="1:54" ht="15" customHeight="1" x14ac:dyDescent="0.2">
      <c r="A8" s="25" t="s">
        <v>92</v>
      </c>
      <c r="B8" s="25" t="s">
        <v>890</v>
      </c>
      <c r="D8" s="129" t="str">
        <f>IF([1]RENAME!$H$3=1,B8,A8)</f>
        <v>Títulos vencidos de 31 até 90 dias</v>
      </c>
      <c r="E8" s="118">
        <v>25317</v>
      </c>
      <c r="F8" s="160">
        <v>17017</v>
      </c>
      <c r="G8" s="118">
        <v>13498</v>
      </c>
      <c r="H8" s="118">
        <v>9121</v>
      </c>
      <c r="I8" s="118">
        <v>8612</v>
      </c>
      <c r="J8" s="118">
        <v>16164</v>
      </c>
      <c r="K8" s="118">
        <v>7579</v>
      </c>
      <c r="L8" s="118">
        <v>6927</v>
      </c>
      <c r="M8" s="118">
        <v>10935</v>
      </c>
      <c r="N8" s="118">
        <v>8177</v>
      </c>
      <c r="O8" s="118">
        <v>8988</v>
      </c>
      <c r="P8" s="118">
        <v>7423</v>
      </c>
      <c r="Q8" s="118">
        <v>5350</v>
      </c>
      <c r="R8" s="118">
        <v>557</v>
      </c>
      <c r="S8" s="118">
        <v>683</v>
      </c>
      <c r="T8" s="118">
        <v>812</v>
      </c>
      <c r="U8" s="118">
        <v>592</v>
      </c>
      <c r="V8" s="118">
        <v>9729</v>
      </c>
      <c r="W8" s="118">
        <v>8140</v>
      </c>
      <c r="X8" s="118">
        <v>452</v>
      </c>
      <c r="Y8" s="118">
        <v>802</v>
      </c>
      <c r="Z8" s="118">
        <v>560</v>
      </c>
      <c r="AA8" s="118">
        <v>1071</v>
      </c>
      <c r="AB8" s="118">
        <v>988</v>
      </c>
      <c r="AC8" s="118">
        <v>2368</v>
      </c>
      <c r="AD8" s="118">
        <v>2601</v>
      </c>
      <c r="AE8" s="118">
        <v>935</v>
      </c>
      <c r="AF8" s="118">
        <v>2721</v>
      </c>
      <c r="AG8" s="118">
        <v>1571</v>
      </c>
      <c r="AH8" s="118">
        <v>11825</v>
      </c>
      <c r="AI8" s="118">
        <v>16718</v>
      </c>
      <c r="AJ8" s="118">
        <v>16161</v>
      </c>
      <c r="AK8" s="118">
        <v>3723</v>
      </c>
      <c r="AL8" s="118">
        <v>4458</v>
      </c>
      <c r="AM8" s="118">
        <v>12835</v>
      </c>
      <c r="AN8" s="118">
        <v>9350</v>
      </c>
      <c r="AO8" s="118">
        <v>6381</v>
      </c>
      <c r="AP8" s="118">
        <v>4616</v>
      </c>
      <c r="AQ8" s="118">
        <v>4419</v>
      </c>
      <c r="AR8" s="118">
        <v>5710</v>
      </c>
      <c r="AS8" s="118">
        <v>11195</v>
      </c>
      <c r="AT8" s="118">
        <v>6236</v>
      </c>
      <c r="AU8" s="118">
        <v>10401</v>
      </c>
      <c r="AV8" s="118">
        <v>8556</v>
      </c>
      <c r="AW8" s="118">
        <v>10914</v>
      </c>
      <c r="AX8" s="118">
        <v>6679</v>
      </c>
      <c r="AY8" s="118">
        <v>6248</v>
      </c>
      <c r="AZ8" s="118">
        <v>12466</v>
      </c>
      <c r="BA8" s="118">
        <v>9505</v>
      </c>
      <c r="BB8" s="118">
        <f>'[3]6 CR NL'!$U$9</f>
        <v>17988</v>
      </c>
    </row>
    <row r="9" spans="1:54" ht="15" customHeight="1" x14ac:dyDescent="0.2">
      <c r="A9" s="25" t="s">
        <v>93</v>
      </c>
      <c r="B9" s="25" t="s">
        <v>891</v>
      </c>
      <c r="D9" s="129" t="str">
        <f>IF([1]RENAME!$H$3=1,B9,A9)</f>
        <v>Títulos vencidos de 91 até 180 dias</v>
      </c>
      <c r="E9" s="118">
        <v>21251</v>
      </c>
      <c r="F9" s="160">
        <v>12459</v>
      </c>
      <c r="G9" s="118">
        <v>7889</v>
      </c>
      <c r="H9" s="118">
        <v>11964</v>
      </c>
      <c r="I9" s="118">
        <v>2353</v>
      </c>
      <c r="J9" s="118">
        <v>2905</v>
      </c>
      <c r="K9" s="118">
        <v>3177</v>
      </c>
      <c r="L9" s="118">
        <v>2602</v>
      </c>
      <c r="M9" s="118">
        <v>2436</v>
      </c>
      <c r="N9" s="118">
        <v>2975</v>
      </c>
      <c r="O9" s="118">
        <v>1824</v>
      </c>
      <c r="P9" s="118">
        <v>9487</v>
      </c>
      <c r="Q9" s="118">
        <v>465</v>
      </c>
      <c r="R9" s="118">
        <v>2854</v>
      </c>
      <c r="S9" s="118">
        <v>505</v>
      </c>
      <c r="T9" s="118">
        <v>600</v>
      </c>
      <c r="U9" s="118">
        <v>140</v>
      </c>
      <c r="V9" s="118">
        <v>381</v>
      </c>
      <c r="W9" s="118">
        <v>1419</v>
      </c>
      <c r="X9" s="118">
        <v>838</v>
      </c>
      <c r="Y9" s="118">
        <v>218</v>
      </c>
      <c r="Z9" s="118">
        <v>428</v>
      </c>
      <c r="AA9" s="118">
        <v>795</v>
      </c>
      <c r="AB9" s="118">
        <v>113</v>
      </c>
      <c r="AC9" s="118">
        <v>826</v>
      </c>
      <c r="AD9" s="118">
        <v>2168</v>
      </c>
      <c r="AE9" s="118">
        <v>794</v>
      </c>
      <c r="AF9" s="118">
        <v>748</v>
      </c>
      <c r="AG9" s="118">
        <v>941</v>
      </c>
      <c r="AH9" s="118">
        <v>1566</v>
      </c>
      <c r="AI9" s="118">
        <v>18629</v>
      </c>
      <c r="AJ9" s="118">
        <v>23055</v>
      </c>
      <c r="AK9" s="118">
        <v>1961</v>
      </c>
      <c r="AL9" s="118">
        <v>2574</v>
      </c>
      <c r="AM9" s="118">
        <v>3809</v>
      </c>
      <c r="AN9" s="118">
        <v>4633</v>
      </c>
      <c r="AO9" s="118">
        <v>6846</v>
      </c>
      <c r="AP9" s="118">
        <v>2664</v>
      </c>
      <c r="AQ9" s="118">
        <v>2981</v>
      </c>
      <c r="AR9" s="118">
        <v>3559</v>
      </c>
      <c r="AS9" s="118">
        <v>5931</v>
      </c>
      <c r="AT9" s="118">
        <v>3124</v>
      </c>
      <c r="AU9" s="118">
        <v>6620</v>
      </c>
      <c r="AV9" s="118">
        <v>4207</v>
      </c>
      <c r="AW9" s="118">
        <v>9069</v>
      </c>
      <c r="AX9" s="118">
        <v>7638</v>
      </c>
      <c r="AY9" s="118">
        <v>1597</v>
      </c>
      <c r="AZ9" s="118">
        <v>3007</v>
      </c>
      <c r="BA9" s="118">
        <v>7087</v>
      </c>
      <c r="BB9" s="118">
        <f>'[3]6 CR NL'!$U$10</f>
        <v>3662</v>
      </c>
    </row>
    <row r="10" spans="1:54" ht="15" customHeight="1" x14ac:dyDescent="0.2">
      <c r="A10" s="25" t="s">
        <v>95</v>
      </c>
      <c r="B10" s="25" t="s">
        <v>892</v>
      </c>
      <c r="D10" s="129" t="str">
        <f>IF([1]RENAME!$H$3=1,B10,A10)</f>
        <v>Títulos vencidos a mais de 180 dias</v>
      </c>
      <c r="E10" s="118">
        <v>40835</v>
      </c>
      <c r="F10" s="160">
        <v>33264</v>
      </c>
      <c r="G10" s="118">
        <v>42435</v>
      </c>
      <c r="H10" s="118">
        <v>20686</v>
      </c>
      <c r="I10" s="118">
        <v>24234</v>
      </c>
      <c r="J10" s="118">
        <v>21153</v>
      </c>
      <c r="K10" s="118">
        <v>20851</v>
      </c>
      <c r="L10" s="118">
        <v>20221</v>
      </c>
      <c r="M10" s="118">
        <v>20626</v>
      </c>
      <c r="N10" s="118">
        <v>19225</v>
      </c>
      <c r="O10" s="118">
        <v>20188</v>
      </c>
      <c r="P10" s="118">
        <v>20823</v>
      </c>
      <c r="Q10" s="118">
        <v>18943</v>
      </c>
      <c r="R10" s="118">
        <v>19024</v>
      </c>
      <c r="S10" s="118">
        <v>19517</v>
      </c>
      <c r="T10" s="260">
        <v>2626</v>
      </c>
      <c r="U10" s="118">
        <v>2399</v>
      </c>
      <c r="V10" s="118">
        <v>1395</v>
      </c>
      <c r="W10" s="118">
        <v>1412</v>
      </c>
      <c r="X10" s="118">
        <v>2762</v>
      </c>
      <c r="Y10" s="118">
        <v>3305</v>
      </c>
      <c r="Z10" s="118">
        <v>1239</v>
      </c>
      <c r="AA10" s="118">
        <v>1451</v>
      </c>
      <c r="AB10" s="118">
        <v>762</v>
      </c>
      <c r="AC10" s="118">
        <v>662</v>
      </c>
      <c r="AD10" s="118">
        <v>1119</v>
      </c>
      <c r="AE10" s="118">
        <v>977</v>
      </c>
      <c r="AF10" s="118">
        <v>1191</v>
      </c>
      <c r="AG10" s="118">
        <v>1126</v>
      </c>
      <c r="AH10" s="118">
        <v>1283</v>
      </c>
      <c r="AI10" s="118">
        <v>1964</v>
      </c>
      <c r="AJ10" s="118">
        <v>20028</v>
      </c>
      <c r="AK10" s="118">
        <v>2965</v>
      </c>
      <c r="AL10" s="118">
        <v>3522</v>
      </c>
      <c r="AM10" s="118">
        <v>3742</v>
      </c>
      <c r="AN10" s="118">
        <v>5158</v>
      </c>
      <c r="AO10" s="118">
        <v>4895</v>
      </c>
      <c r="AP10" s="118">
        <v>5633</v>
      </c>
      <c r="AQ10" s="118">
        <v>5503</v>
      </c>
      <c r="AR10" s="118">
        <v>6730</v>
      </c>
      <c r="AS10" s="118">
        <v>5466</v>
      </c>
      <c r="AT10" s="118">
        <v>5311</v>
      </c>
      <c r="AU10" s="118">
        <v>6732</v>
      </c>
      <c r="AV10" s="118">
        <v>4596</v>
      </c>
      <c r="AW10" s="118">
        <v>5615</v>
      </c>
      <c r="AX10" s="118">
        <v>5746</v>
      </c>
      <c r="AY10" s="118">
        <v>5550</v>
      </c>
      <c r="AZ10" s="118">
        <v>3894</v>
      </c>
      <c r="BA10" s="118">
        <v>6149</v>
      </c>
      <c r="BB10" s="118">
        <f>'[3]6 CR NL'!$U$11</f>
        <v>7996</v>
      </c>
    </row>
    <row r="11" spans="1:54" s="254" customFormat="1" ht="15" customHeight="1" x14ac:dyDescent="0.2">
      <c r="A11" s="254" t="s">
        <v>1991</v>
      </c>
      <c r="B11" s="254" t="s">
        <v>1992</v>
      </c>
      <c r="D11" s="255" t="str">
        <f>IF([1]RENAME!$H$3=1,B11,A11)</f>
        <v>% Vencidos &gt;180 dias / TOTAL</v>
      </c>
      <c r="E11" s="1241">
        <f t="shared" ref="E11:AL11" si="9">E10/E12</f>
        <v>0.13226296475038948</v>
      </c>
      <c r="F11" s="1242">
        <f t="shared" si="9"/>
        <v>0.12552026534947869</v>
      </c>
      <c r="G11" s="1241">
        <f t="shared" si="9"/>
        <v>0.15281483962274342</v>
      </c>
      <c r="H11" s="1241">
        <f t="shared" si="9"/>
        <v>7.6725925321484076E-2</v>
      </c>
      <c r="I11" s="1241">
        <f t="shared" si="9"/>
        <v>0.11279287330000838</v>
      </c>
      <c r="J11" s="1241">
        <f t="shared" si="9"/>
        <v>8.9200848447534994E-2</v>
      </c>
      <c r="K11" s="1241">
        <f t="shared" si="9"/>
        <v>0.10491966608464623</v>
      </c>
      <c r="L11" s="1241">
        <f t="shared" si="9"/>
        <v>9.8732941090305407E-2</v>
      </c>
      <c r="M11" s="1241">
        <f t="shared" si="9"/>
        <v>0.14023279214598461</v>
      </c>
      <c r="N11" s="1241">
        <f t="shared" si="9"/>
        <v>0.12286778850762771</v>
      </c>
      <c r="O11" s="1241">
        <f t="shared" si="9"/>
        <v>0.1404343531310433</v>
      </c>
      <c r="P11" s="1241">
        <f t="shared" si="9"/>
        <v>0.1208342279503502</v>
      </c>
      <c r="Q11" s="1241">
        <f t="shared" si="9"/>
        <v>0.14097535926650839</v>
      </c>
      <c r="R11" s="1241">
        <f t="shared" si="9"/>
        <v>0.1344832461473208</v>
      </c>
      <c r="S11" s="1241">
        <f t="shared" si="9"/>
        <v>0.12545235998534451</v>
      </c>
      <c r="T11" s="1241">
        <f t="shared" si="9"/>
        <v>1.5166216184997805E-2</v>
      </c>
      <c r="U11" s="1241">
        <f t="shared" si="9"/>
        <v>1.5849525307047391E-2</v>
      </c>
      <c r="V11" s="1241">
        <f t="shared" si="9"/>
        <v>7.8908070683530555E-3</v>
      </c>
      <c r="W11" s="1241">
        <f t="shared" si="9"/>
        <v>7.3668668381428404E-3</v>
      </c>
      <c r="X11" s="1241">
        <f t="shared" si="9"/>
        <v>1.2052451290554841E-2</v>
      </c>
      <c r="Y11" s="1241">
        <f t="shared" si="9"/>
        <v>1.6073417339837272E-2</v>
      </c>
      <c r="Z11" s="1241">
        <f t="shared" si="9"/>
        <v>5.7151291785251367E-3</v>
      </c>
      <c r="AA11" s="1241">
        <f t="shared" si="9"/>
        <v>6.4828880350281479E-3</v>
      </c>
      <c r="AB11" s="1241">
        <f t="shared" si="9"/>
        <v>2.9151284454561103E-3</v>
      </c>
      <c r="AC11" s="1241">
        <f t="shared" si="9"/>
        <v>3.1736291552010125E-3</v>
      </c>
      <c r="AD11" s="1241">
        <f t="shared" si="9"/>
        <v>8.7658141083388815E-3</v>
      </c>
      <c r="AE11" s="1241">
        <f t="shared" si="9"/>
        <v>4.88404761071591E-3</v>
      </c>
      <c r="AF11" s="1241">
        <f t="shared" si="9"/>
        <v>5.6066583186615577E-3</v>
      </c>
      <c r="AG11" s="1241">
        <f t="shared" si="9"/>
        <v>6.6409129780897053E-3</v>
      </c>
      <c r="AH11" s="1241">
        <f t="shared" si="9"/>
        <v>6.4941967291115149E-3</v>
      </c>
      <c r="AI11" s="1241">
        <f t="shared" si="9"/>
        <v>9.9592300359019094E-3</v>
      </c>
      <c r="AJ11" s="1241">
        <f t="shared" si="9"/>
        <v>6.5968379446640316E-2</v>
      </c>
      <c r="AK11" s="1241">
        <f t="shared" si="9"/>
        <v>1.3194021083734197E-2</v>
      </c>
      <c r="AL11" s="1241">
        <f t="shared" si="9"/>
        <v>1.3164681872210635E-2</v>
      </c>
      <c r="AM11" s="1241">
        <v>1.2898733566351609E-2</v>
      </c>
      <c r="AN11" s="1241">
        <f t="shared" ref="AN11:AV11" si="10">AN10/AN12</f>
        <v>1.6370185822873192E-2</v>
      </c>
      <c r="AO11" s="1241">
        <f t="shared" si="10"/>
        <v>1.8736555229776387E-2</v>
      </c>
      <c r="AP11" s="1241">
        <f t="shared" si="10"/>
        <v>2.1203953955837958E-2</v>
      </c>
      <c r="AQ11" s="1241">
        <f t="shared" si="10"/>
        <v>1.9478473861749914E-2</v>
      </c>
      <c r="AR11" s="1241">
        <f t="shared" si="10"/>
        <v>1.937789192722205E-2</v>
      </c>
      <c r="AS11" s="1241">
        <f t="shared" si="10"/>
        <v>1.8465779525484196E-2</v>
      </c>
      <c r="AT11" s="1241">
        <f t="shared" si="10"/>
        <v>1.5398934165279767E-2</v>
      </c>
      <c r="AU11" s="1241">
        <f t="shared" si="10"/>
        <v>1.6919036429208712E-2</v>
      </c>
      <c r="AV11" s="1241">
        <f t="shared" si="10"/>
        <v>1.0414188311909019E-2</v>
      </c>
      <c r="AW11" s="1241">
        <v>1.6886456250093981E-2</v>
      </c>
      <c r="AX11" s="1241">
        <v>1.5545863815419246E-2</v>
      </c>
      <c r="AY11" s="1241">
        <v>1.3133390284130842E-2</v>
      </c>
      <c r="AZ11" s="1241">
        <v>8.7371713463859878E-3</v>
      </c>
      <c r="BA11" s="1241">
        <v>1.4756277837505801E-2</v>
      </c>
      <c r="BB11" s="1241">
        <f>BB10/BB12</f>
        <v>1.5055743532676951E-2</v>
      </c>
    </row>
    <row r="12" spans="1:54" ht="15" customHeight="1" x14ac:dyDescent="0.2">
      <c r="A12" s="25" t="s">
        <v>94</v>
      </c>
      <c r="B12" s="25" t="s">
        <v>893</v>
      </c>
      <c r="D12" s="126" t="str">
        <f>IF([1]RENAME!$H$3=1,B12,A12)</f>
        <v>Contas a Receber</v>
      </c>
      <c r="E12" s="120">
        <f t="shared" ref="E12:O12" si="11">SUM(E6:E10)</f>
        <v>308741</v>
      </c>
      <c r="F12" s="162">
        <f t="shared" si="11"/>
        <v>265009</v>
      </c>
      <c r="G12" s="120">
        <f t="shared" si="11"/>
        <v>277689</v>
      </c>
      <c r="H12" s="120">
        <f t="shared" si="11"/>
        <v>269609</v>
      </c>
      <c r="I12" s="120">
        <f t="shared" si="11"/>
        <v>214854</v>
      </c>
      <c r="J12" s="120">
        <f t="shared" si="11"/>
        <v>237139</v>
      </c>
      <c r="K12" s="120">
        <f t="shared" si="11"/>
        <v>198733</v>
      </c>
      <c r="L12" s="120">
        <f t="shared" si="11"/>
        <v>204805</v>
      </c>
      <c r="M12" s="120">
        <f t="shared" si="11"/>
        <v>147084</v>
      </c>
      <c r="N12" s="120">
        <f t="shared" si="11"/>
        <v>156469</v>
      </c>
      <c r="O12" s="120">
        <f t="shared" si="11"/>
        <v>143754</v>
      </c>
      <c r="P12" s="120">
        <f t="shared" ref="P12:W12" si="12">SUM(P6:P10)</f>
        <v>172327</v>
      </c>
      <c r="Q12" s="120">
        <f t="shared" si="12"/>
        <v>134371</v>
      </c>
      <c r="R12" s="120">
        <f t="shared" si="12"/>
        <v>141460</v>
      </c>
      <c r="S12" s="120">
        <f t="shared" si="12"/>
        <v>155573</v>
      </c>
      <c r="T12" s="120">
        <f t="shared" si="12"/>
        <v>173148</v>
      </c>
      <c r="U12" s="120">
        <f t="shared" si="12"/>
        <v>151361</v>
      </c>
      <c r="V12" s="120">
        <f t="shared" si="12"/>
        <v>176788</v>
      </c>
      <c r="W12" s="120">
        <f t="shared" si="12"/>
        <v>191669</v>
      </c>
      <c r="X12" s="120">
        <f t="shared" ref="X12:AC12" si="13">SUM(X6:X10)</f>
        <v>229165</v>
      </c>
      <c r="Y12" s="120">
        <f t="shared" si="13"/>
        <v>205619</v>
      </c>
      <c r="Z12" s="120">
        <f t="shared" si="13"/>
        <v>216793</v>
      </c>
      <c r="AA12" s="120">
        <f t="shared" si="13"/>
        <v>223820</v>
      </c>
      <c r="AB12" s="120">
        <f t="shared" si="13"/>
        <v>261395</v>
      </c>
      <c r="AC12" s="120">
        <f t="shared" si="13"/>
        <v>208594</v>
      </c>
      <c r="AD12" s="120">
        <f t="shared" ref="AD12:AL12" si="14">SUM(AD6:AD10)</f>
        <v>127655</v>
      </c>
      <c r="AE12" s="120">
        <f t="shared" si="14"/>
        <v>200039</v>
      </c>
      <c r="AF12" s="120">
        <f t="shared" si="14"/>
        <v>212426</v>
      </c>
      <c r="AG12" s="120">
        <f t="shared" si="14"/>
        <v>169555</v>
      </c>
      <c r="AH12" s="120">
        <f t="shared" si="14"/>
        <v>197561</v>
      </c>
      <c r="AI12" s="120">
        <f t="shared" si="14"/>
        <v>197204</v>
      </c>
      <c r="AJ12" s="120">
        <f t="shared" si="14"/>
        <v>303600</v>
      </c>
      <c r="AK12" s="120">
        <f t="shared" si="14"/>
        <v>224723</v>
      </c>
      <c r="AL12" s="120">
        <f t="shared" si="14"/>
        <v>267534</v>
      </c>
      <c r="AM12" s="120">
        <f t="shared" ref="AM12:AS12" si="15">SUM(AM6:AM10)</f>
        <v>290106</v>
      </c>
      <c r="AN12" s="120">
        <f t="shared" si="15"/>
        <v>315085</v>
      </c>
      <c r="AO12" s="120">
        <f t="shared" si="15"/>
        <v>261254</v>
      </c>
      <c r="AP12" s="120">
        <f t="shared" si="15"/>
        <v>265658</v>
      </c>
      <c r="AQ12" s="120">
        <f t="shared" si="15"/>
        <v>282517</v>
      </c>
      <c r="AR12" s="120">
        <f t="shared" si="15"/>
        <v>347303</v>
      </c>
      <c r="AS12" s="120">
        <f t="shared" si="15"/>
        <v>296007</v>
      </c>
      <c r="AT12" s="120">
        <f t="shared" ref="AT12:BB12" si="16">SUM(AT6:AT10)</f>
        <v>344894</v>
      </c>
      <c r="AU12" s="120">
        <f t="shared" si="16"/>
        <v>397895</v>
      </c>
      <c r="AV12" s="120">
        <f t="shared" si="16"/>
        <v>441321</v>
      </c>
      <c r="AW12" s="120">
        <f t="shared" si="16"/>
        <v>332515</v>
      </c>
      <c r="AX12" s="120">
        <f t="shared" si="16"/>
        <v>369616</v>
      </c>
      <c r="AY12" s="120">
        <f t="shared" si="16"/>
        <v>422587</v>
      </c>
      <c r="AZ12" s="120">
        <f t="shared" si="16"/>
        <v>445682</v>
      </c>
      <c r="BA12" s="120">
        <f>SUM(BA6:BA10)</f>
        <v>416704</v>
      </c>
      <c r="BB12" s="120">
        <f t="shared" si="16"/>
        <v>531093</v>
      </c>
    </row>
    <row r="13" spans="1:54" ht="15" customHeight="1" x14ac:dyDescent="0.2">
      <c r="E13" s="150">
        <f>+E12-'Contas a Receber'!F7</f>
        <v>0</v>
      </c>
      <c r="F13" s="150">
        <f>+F12-'Contas a Receber'!G7</f>
        <v>0</v>
      </c>
      <c r="G13" s="150">
        <f>+G12-'Contas a Receber'!H7</f>
        <v>0</v>
      </c>
      <c r="H13" s="150">
        <f>+H12-'Contas a Receber'!I7</f>
        <v>0</v>
      </c>
      <c r="I13" s="150">
        <f>+I12-'Contas a Receber'!J7</f>
        <v>0</v>
      </c>
      <c r="J13" s="150">
        <f>+J12-'Contas a Receber'!K7</f>
        <v>0</v>
      </c>
      <c r="K13" s="150">
        <f>+K12-'Contas a Receber'!L7</f>
        <v>0</v>
      </c>
      <c r="L13" s="150">
        <f>+L12-'Contas a Receber'!M7</f>
        <v>0</v>
      </c>
      <c r="M13" s="150"/>
      <c r="N13" s="150"/>
      <c r="O13" s="150"/>
      <c r="P13" s="150"/>
      <c r="Q13" s="150"/>
      <c r="R13" s="150"/>
      <c r="S13" s="150"/>
      <c r="T13" s="150"/>
      <c r="U13" s="150">
        <f>BP!AK8-'Contas a Receber Mov PDD'!V12-U12</f>
        <v>0</v>
      </c>
      <c r="V13" s="150">
        <f>BP!AL8-'Contas a Receber Mov PDD'!W12-V12</f>
        <v>0</v>
      </c>
      <c r="W13" s="150">
        <f>BP!AM8-'Contas a Receber Mov PDD'!X12-W12</f>
        <v>0</v>
      </c>
      <c r="X13" s="150">
        <f>BP!AN8-'Contas a Receber Mov PDD'!Y12-X12</f>
        <v>0</v>
      </c>
      <c r="Y13" s="150">
        <f>BP!AO8-'Contas a Receber Mov PDD'!Z12-Y12</f>
        <v>0</v>
      </c>
      <c r="Z13" s="150">
        <f>BP!AP8-'Contas a Receber Mov PDD'!AA12-Z12</f>
        <v>0</v>
      </c>
      <c r="AA13" s="150">
        <f>BP!AQ8-'Contas a Receber Mov PDD'!AB12-AA12</f>
        <v>0</v>
      </c>
      <c r="AB13" s="150">
        <f>BP!AR8-'Contas a Receber Mov PDD'!AC12-AB12</f>
        <v>0</v>
      </c>
      <c r="AC13" s="150">
        <f>BP!AS8-'Contas a Receber Mov PDD'!AD12-AC12</f>
        <v>0</v>
      </c>
      <c r="AD13" s="150">
        <f>BP!AT8-'Contas a Receber Mov PDD'!AE12-AD12</f>
        <v>0</v>
      </c>
      <c r="AE13" s="150">
        <f>BP!AU8-'Contas a Receber Mov PDD'!AF12-AE12</f>
        <v>0</v>
      </c>
      <c r="AF13" s="150">
        <f>BP!AV8-'Contas a Receber Mov PDD'!AG12-AF12</f>
        <v>0</v>
      </c>
      <c r="AG13" s="150">
        <f>BP!AW8-'Contas a Receber Mov PDD'!AH12-AG12</f>
        <v>0</v>
      </c>
      <c r="AH13" s="150">
        <f>BP!AX8-'Contas a Receber Mov PDD'!AI12-AH12</f>
        <v>0</v>
      </c>
      <c r="AI13" s="150">
        <f>BP!AY8-'Contas a Receber Mov PDD'!AJ12-AI12</f>
        <v>0</v>
      </c>
      <c r="AJ13" s="150"/>
      <c r="AK13" s="150">
        <v>0</v>
      </c>
      <c r="AL13" s="150">
        <f>BP!BB8-'Contas a Receber Mov PDD'!AM12-AL12</f>
        <v>0</v>
      </c>
      <c r="AM13" s="150">
        <f>BP!BC8-'Contas a Receber Mov PDD'!AN12-AM12</f>
        <v>0</v>
      </c>
      <c r="AN13" s="150">
        <f>BP!BD8-'Contas a Receber Mov PDD'!AO12-AN12</f>
        <v>0</v>
      </c>
      <c r="AO13" s="150">
        <f>BP!BE8-'Contas a Receber Mov PDD'!AP12-AO12</f>
        <v>0</v>
      </c>
      <c r="AP13" s="150">
        <f>BP!BF8-'Contas a Receber Mov PDD'!AQ12-AP12</f>
        <v>0</v>
      </c>
      <c r="AQ13" s="150">
        <f>BP!BG8-'Contas a Receber Mov PDD'!AR12-AQ12</f>
        <v>0</v>
      </c>
      <c r="AR13" s="150">
        <f>BP!BH8-'Contas a Receber Mov PDD'!AS12-AR12</f>
        <v>0</v>
      </c>
      <c r="AS13" s="150">
        <f>BP!BI8-'Contas a Receber Mov PDD'!AT12-AS12</f>
        <v>0</v>
      </c>
      <c r="AT13" s="150">
        <f>BP!BJ8-'Contas a Receber Mov PDD'!AU12-AT12</f>
        <v>0</v>
      </c>
      <c r="AU13" s="150">
        <f>BP!BK8-'Contas a Receber Mov PDD'!AV12-AU12</f>
        <v>0</v>
      </c>
      <c r="AV13" s="150">
        <f>BP!BL8-'Contas a Receber Mov PDD'!AW12-AV12</f>
        <v>0</v>
      </c>
      <c r="AW13" s="150">
        <f>BP!BM8-'Contas a Receber Mov PDD'!AX12-AW12</f>
        <v>0</v>
      </c>
      <c r="AX13" s="150">
        <f>BP!BN8-'Contas a Receber Mov PDD'!AY12-AX12</f>
        <v>0</v>
      </c>
      <c r="AY13" s="150">
        <f>BP!BO8-'Contas a Receber Mov PDD'!AZ12-AY12</f>
        <v>0</v>
      </c>
      <c r="AZ13" s="150">
        <f>BP!BP8-'Contas a Receber Mov PDD'!BA12-AZ12</f>
        <v>0</v>
      </c>
      <c r="BA13" s="150">
        <f>BP!BQ8-'Contas a Receber Mov PDD'!BB12-BA12</f>
        <v>0</v>
      </c>
      <c r="BB13" s="150">
        <f>BP!BR8-'Contas a Receber Mov PDD'!BC12-BB12</f>
        <v>0</v>
      </c>
    </row>
    <row r="14" spans="1:54" ht="15" customHeight="1" x14ac:dyDescent="0.2">
      <c r="A14" s="25" t="s">
        <v>113</v>
      </c>
      <c r="B14" s="25" t="s">
        <v>872</v>
      </c>
      <c r="D14" s="151" t="str">
        <f>IF([1]RENAME!$H$3=1,B14,A14)</f>
        <v>CONTROLADORA</v>
      </c>
      <c r="E14" s="115" t="str">
        <f>E5</f>
        <v>1T14</v>
      </c>
      <c r="F14" s="115" t="str">
        <f t="shared" ref="F14:S14" si="17">F5</f>
        <v>2T14</v>
      </c>
      <c r="G14" s="115" t="str">
        <f t="shared" si="17"/>
        <v>3T14</v>
      </c>
      <c r="H14" s="115" t="str">
        <f t="shared" si="17"/>
        <v>4T14</v>
      </c>
      <c r="I14" s="115" t="str">
        <f t="shared" si="17"/>
        <v>1T15</v>
      </c>
      <c r="J14" s="115" t="str">
        <f t="shared" si="17"/>
        <v>2T15</v>
      </c>
      <c r="K14" s="115" t="str">
        <f t="shared" si="17"/>
        <v>3T15</v>
      </c>
      <c r="L14" s="115" t="str">
        <f t="shared" si="17"/>
        <v>4T15</v>
      </c>
      <c r="M14" s="115" t="str">
        <f t="shared" si="17"/>
        <v>1T16</v>
      </c>
      <c r="N14" s="115" t="str">
        <f t="shared" si="17"/>
        <v>2T16</v>
      </c>
      <c r="O14" s="115" t="str">
        <f t="shared" si="17"/>
        <v>3T16</v>
      </c>
      <c r="P14" s="115" t="str">
        <f t="shared" si="17"/>
        <v>4T16</v>
      </c>
      <c r="Q14" s="115" t="str">
        <f t="shared" si="17"/>
        <v>1T17</v>
      </c>
      <c r="R14" s="115" t="str">
        <f t="shared" si="17"/>
        <v>2T17</v>
      </c>
      <c r="S14" s="115" t="str">
        <f t="shared" si="17"/>
        <v>3T17</v>
      </c>
      <c r="T14" s="115" t="str">
        <f t="shared" ref="T14:Y14" si="18">T5</f>
        <v>4T17</v>
      </c>
      <c r="U14" s="115" t="str">
        <f t="shared" si="18"/>
        <v>1T18</v>
      </c>
      <c r="V14" s="115" t="str">
        <f t="shared" si="18"/>
        <v>2T18</v>
      </c>
      <c r="W14" s="115" t="str">
        <f t="shared" si="18"/>
        <v>3T18</v>
      </c>
      <c r="X14" s="115" t="str">
        <f t="shared" si="18"/>
        <v>4T18</v>
      </c>
      <c r="Y14" s="115" t="str">
        <f t="shared" si="18"/>
        <v>1T19</v>
      </c>
      <c r="Z14" s="115" t="str">
        <f t="shared" ref="Z14:AE14" si="19">Z5</f>
        <v>2T19</v>
      </c>
      <c r="AA14" s="115" t="str">
        <f t="shared" si="19"/>
        <v>3T19</v>
      </c>
      <c r="AB14" s="115" t="str">
        <f t="shared" si="19"/>
        <v>4T19</v>
      </c>
      <c r="AC14" s="115" t="str">
        <f t="shared" si="19"/>
        <v>1T20</v>
      </c>
      <c r="AD14" s="115" t="str">
        <f t="shared" si="19"/>
        <v>2T20</v>
      </c>
      <c r="AE14" s="115" t="str">
        <f t="shared" si="19"/>
        <v>3T20</v>
      </c>
      <c r="AF14" s="115" t="str">
        <f t="shared" ref="AF14:AL14" si="20">AF5</f>
        <v>4T20</v>
      </c>
      <c r="AG14" s="115" t="str">
        <f t="shared" si="20"/>
        <v>1T21</v>
      </c>
      <c r="AH14" s="115" t="str">
        <f t="shared" si="20"/>
        <v>2T21</v>
      </c>
      <c r="AI14" s="115" t="str">
        <f t="shared" si="20"/>
        <v>3T21</v>
      </c>
      <c r="AJ14" s="115" t="str">
        <f t="shared" si="20"/>
        <v>4T21</v>
      </c>
      <c r="AK14" s="115" t="str">
        <f t="shared" si="20"/>
        <v>1T22</v>
      </c>
      <c r="AL14" s="115" t="str">
        <f t="shared" si="20"/>
        <v>2T22</v>
      </c>
      <c r="AM14" s="115" t="str">
        <f t="shared" ref="AM14:AW14" si="21">AM5</f>
        <v>3T22</v>
      </c>
      <c r="AN14" s="115" t="str">
        <f t="shared" si="21"/>
        <v>4T22</v>
      </c>
      <c r="AO14" s="115" t="str">
        <f t="shared" si="21"/>
        <v>1T23</v>
      </c>
      <c r="AP14" s="115" t="str">
        <f t="shared" si="21"/>
        <v>2T23</v>
      </c>
      <c r="AQ14" s="115" t="str">
        <f t="shared" si="21"/>
        <v>3T23</v>
      </c>
      <c r="AR14" s="115" t="str">
        <f t="shared" si="21"/>
        <v>4T23</v>
      </c>
      <c r="AS14" s="115" t="str">
        <f t="shared" si="21"/>
        <v>1T24</v>
      </c>
      <c r="AT14" s="115" t="str">
        <f t="shared" si="21"/>
        <v>2T24</v>
      </c>
      <c r="AU14" s="115" t="str">
        <f t="shared" si="21"/>
        <v>3T24</v>
      </c>
      <c r="AV14" s="115" t="str">
        <f t="shared" si="21"/>
        <v>4T24</v>
      </c>
      <c r="AW14" s="115" t="str">
        <f t="shared" si="21"/>
        <v>1T25</v>
      </c>
      <c r="AX14" s="115" t="str">
        <f>AX5</f>
        <v>2T25</v>
      </c>
      <c r="AY14" s="115" t="str">
        <f>AY5</f>
        <v>3T25</v>
      </c>
      <c r="AZ14" s="115" t="str">
        <f>AZ5</f>
        <v>4T25</v>
      </c>
      <c r="BA14" s="247" t="str">
        <f>BA5</f>
        <v>1T26</v>
      </c>
      <c r="BB14" s="247" t="str">
        <f>BB5</f>
        <v>2T26</v>
      </c>
    </row>
    <row r="15" spans="1:54" ht="15" customHeight="1" x14ac:dyDescent="0.2">
      <c r="A15" s="25" t="s">
        <v>90</v>
      </c>
      <c r="B15" s="25" t="s">
        <v>888</v>
      </c>
      <c r="D15" s="129" t="str">
        <f>IF([1]RENAME!$H$3=1,B15,A15)</f>
        <v>Títulos a vencer</v>
      </c>
      <c r="E15" s="118">
        <v>118676</v>
      </c>
      <c r="F15" s="160">
        <v>134771</v>
      </c>
      <c r="G15" s="118">
        <v>140500</v>
      </c>
      <c r="H15" s="118">
        <v>185518</v>
      </c>
      <c r="I15" s="118">
        <v>136501</v>
      </c>
      <c r="J15" s="118">
        <v>141430</v>
      </c>
      <c r="K15" s="118">
        <v>109707</v>
      </c>
      <c r="L15" s="118">
        <v>115042</v>
      </c>
      <c r="M15" s="118">
        <v>81853</v>
      </c>
      <c r="N15" s="118">
        <v>93660</v>
      </c>
      <c r="O15" s="118">
        <v>77744</v>
      </c>
      <c r="P15" s="118">
        <v>98645</v>
      </c>
      <c r="Q15" s="118">
        <v>86248</v>
      </c>
      <c r="R15" s="118">
        <v>89627</v>
      </c>
      <c r="S15" s="118">
        <v>104361</v>
      </c>
      <c r="T15" s="118">
        <v>127318</v>
      </c>
      <c r="U15" s="118">
        <v>116122</v>
      </c>
      <c r="V15" s="118">
        <v>135954</v>
      </c>
      <c r="W15" s="118">
        <v>147412</v>
      </c>
      <c r="X15" s="118">
        <v>175971</v>
      </c>
      <c r="Y15" s="118">
        <v>161738</v>
      </c>
      <c r="Z15" s="118">
        <v>158893</v>
      </c>
      <c r="AA15" s="118">
        <v>175213</v>
      </c>
      <c r="AB15" s="118">
        <v>205527</v>
      </c>
      <c r="AC15" s="118">
        <v>153113</v>
      </c>
      <c r="AD15" s="118">
        <v>69202</v>
      </c>
      <c r="AE15" s="118">
        <v>152048</v>
      </c>
      <c r="AF15" s="118">
        <v>159326</v>
      </c>
      <c r="AG15" s="118">
        <v>136074</v>
      </c>
      <c r="AH15" s="118">
        <v>127419</v>
      </c>
      <c r="AI15" s="118">
        <v>120955</v>
      </c>
      <c r="AJ15" s="118">
        <v>187064</v>
      </c>
      <c r="AK15" s="118">
        <v>137281</v>
      </c>
      <c r="AL15" s="118">
        <v>183426</v>
      </c>
      <c r="AM15" s="118">
        <v>212905</v>
      </c>
      <c r="AN15" s="118">
        <v>228633</v>
      </c>
      <c r="AO15" s="118">
        <v>184518</v>
      </c>
      <c r="AP15" s="118">
        <v>191432</v>
      </c>
      <c r="AQ15" s="118">
        <v>210981</v>
      </c>
      <c r="AR15" s="118">
        <v>248722</v>
      </c>
      <c r="AS15" s="118">
        <v>197874</v>
      </c>
      <c r="AT15" s="118">
        <v>266955</v>
      </c>
      <c r="AU15" s="118">
        <v>312670</v>
      </c>
      <c r="AV15" s="118">
        <v>345309</v>
      </c>
      <c r="AW15" s="118">
        <v>239475</v>
      </c>
      <c r="AX15" s="118">
        <v>270819</v>
      </c>
      <c r="AY15" s="118">
        <v>333626</v>
      </c>
      <c r="AZ15" s="118">
        <v>331946</v>
      </c>
      <c r="BA15" s="118">
        <v>320480</v>
      </c>
      <c r="BB15" s="118">
        <f>'[3]6 CR NL'!$Q$7</f>
        <v>414043</v>
      </c>
    </row>
    <row r="16" spans="1:54" ht="15" customHeight="1" x14ac:dyDescent="0.2">
      <c r="A16" s="25" t="s">
        <v>91</v>
      </c>
      <c r="B16" s="25" t="s">
        <v>889</v>
      </c>
      <c r="D16" s="129" t="str">
        <f>IF([1]RENAME!$H$3=1,B16,A16)</f>
        <v>Títulos vencidos até 30 dias</v>
      </c>
      <c r="E16" s="118">
        <v>24884</v>
      </c>
      <c r="F16" s="160">
        <v>30692</v>
      </c>
      <c r="G16" s="118">
        <v>37970</v>
      </c>
      <c r="H16" s="118">
        <v>19725</v>
      </c>
      <c r="I16" s="118">
        <v>11341</v>
      </c>
      <c r="J16" s="118">
        <v>13473</v>
      </c>
      <c r="K16" s="118">
        <v>13408</v>
      </c>
      <c r="L16" s="118">
        <v>19036</v>
      </c>
      <c r="M16" s="118">
        <v>7990</v>
      </c>
      <c r="N16" s="118">
        <v>5328</v>
      </c>
      <c r="O16" s="118">
        <v>12037</v>
      </c>
      <c r="P16" s="118">
        <v>10595</v>
      </c>
      <c r="Q16" s="118">
        <v>2546</v>
      </c>
      <c r="R16" s="118">
        <v>7860</v>
      </c>
      <c r="S16" s="118">
        <v>9899</v>
      </c>
      <c r="T16" s="118">
        <v>16729</v>
      </c>
      <c r="U16" s="118">
        <v>9912</v>
      </c>
      <c r="V16" s="118">
        <v>6974</v>
      </c>
      <c r="W16" s="118">
        <v>8059</v>
      </c>
      <c r="X16" s="118">
        <v>18512</v>
      </c>
      <c r="Y16" s="118">
        <v>8142</v>
      </c>
      <c r="Z16" s="118">
        <v>20855</v>
      </c>
      <c r="AA16" s="118">
        <v>6629</v>
      </c>
      <c r="AB16" s="118">
        <v>13585</v>
      </c>
      <c r="AC16" s="118">
        <v>11177</v>
      </c>
      <c r="AD16" s="118">
        <v>4059</v>
      </c>
      <c r="AE16" s="118">
        <v>6791</v>
      </c>
      <c r="AF16" s="118">
        <v>13665</v>
      </c>
      <c r="AG16" s="118">
        <v>3097</v>
      </c>
      <c r="AH16" s="118">
        <v>15572</v>
      </c>
      <c r="AI16" s="118">
        <v>6363</v>
      </c>
      <c r="AJ16" s="118">
        <v>21753</v>
      </c>
      <c r="AK16" s="118">
        <v>4378</v>
      </c>
      <c r="AL16" s="118">
        <v>11789</v>
      </c>
      <c r="AM16" s="118">
        <v>13517</v>
      </c>
      <c r="AN16" s="118">
        <v>23641</v>
      </c>
      <c r="AO16" s="118">
        <v>7141</v>
      </c>
      <c r="AP16" s="118">
        <v>13542</v>
      </c>
      <c r="AQ16" s="118">
        <v>8419</v>
      </c>
      <c r="AR16" s="118">
        <v>32213</v>
      </c>
      <c r="AS16" s="118">
        <v>14313</v>
      </c>
      <c r="AT16" s="118">
        <v>13591</v>
      </c>
      <c r="AU16" s="118">
        <v>11006</v>
      </c>
      <c r="AV16" s="118">
        <v>36607</v>
      </c>
      <c r="AW16" s="118">
        <v>15560</v>
      </c>
      <c r="AX16" s="118">
        <v>19099</v>
      </c>
      <c r="AY16" s="118">
        <v>19875</v>
      </c>
      <c r="AZ16" s="118">
        <v>34256</v>
      </c>
      <c r="BA16" s="118">
        <v>9093</v>
      </c>
      <c r="BB16" s="118">
        <f>'[3]6 CR NL'!$Q$8</f>
        <v>26853</v>
      </c>
    </row>
    <row r="17" spans="1:54" ht="15" customHeight="1" x14ac:dyDescent="0.2">
      <c r="A17" s="25" t="s">
        <v>92</v>
      </c>
      <c r="B17" s="25" t="s">
        <v>890</v>
      </c>
      <c r="D17" s="129" t="str">
        <f>IF([1]RENAME!$H$3=1,B17,A17)</f>
        <v>Títulos vencidos de 31 até 90 dias</v>
      </c>
      <c r="E17" s="118">
        <v>8614</v>
      </c>
      <c r="F17" s="160">
        <v>9936</v>
      </c>
      <c r="G17" s="118">
        <v>7837</v>
      </c>
      <c r="H17" s="118">
        <v>8490</v>
      </c>
      <c r="I17" s="118">
        <v>7676</v>
      </c>
      <c r="J17" s="118">
        <v>15862</v>
      </c>
      <c r="K17" s="118">
        <v>6402</v>
      </c>
      <c r="L17" s="118">
        <v>6062</v>
      </c>
      <c r="M17" s="118">
        <v>10412</v>
      </c>
      <c r="N17" s="118">
        <v>8105</v>
      </c>
      <c r="O17" s="118">
        <v>8764</v>
      </c>
      <c r="P17" s="118">
        <v>7326</v>
      </c>
      <c r="Q17" s="118">
        <v>5155</v>
      </c>
      <c r="R17" s="118">
        <v>433</v>
      </c>
      <c r="S17" s="118">
        <v>657</v>
      </c>
      <c r="T17" s="118">
        <v>758</v>
      </c>
      <c r="U17" s="118">
        <v>541</v>
      </c>
      <c r="V17" s="118">
        <v>9154</v>
      </c>
      <c r="W17" s="118">
        <v>7374</v>
      </c>
      <c r="X17" s="118">
        <v>419</v>
      </c>
      <c r="Y17" s="118">
        <v>671</v>
      </c>
      <c r="Z17" s="118">
        <v>555</v>
      </c>
      <c r="AA17" s="118">
        <v>924</v>
      </c>
      <c r="AB17" s="118">
        <v>699</v>
      </c>
      <c r="AC17" s="118">
        <v>2142</v>
      </c>
      <c r="AD17" s="118">
        <v>2075</v>
      </c>
      <c r="AE17" s="118">
        <v>647</v>
      </c>
      <c r="AF17" s="118">
        <v>1977</v>
      </c>
      <c r="AG17" s="118">
        <v>1382</v>
      </c>
      <c r="AH17" s="118">
        <v>1701</v>
      </c>
      <c r="AI17" s="118">
        <v>2159</v>
      </c>
      <c r="AJ17" s="118">
        <v>3758</v>
      </c>
      <c r="AK17" s="118">
        <v>3236</v>
      </c>
      <c r="AL17" s="118">
        <v>3603</v>
      </c>
      <c r="AM17" s="118">
        <v>10625</v>
      </c>
      <c r="AN17" s="118">
        <v>8149</v>
      </c>
      <c r="AO17" s="118">
        <v>4890</v>
      </c>
      <c r="AP17" s="118">
        <v>3605</v>
      </c>
      <c r="AQ17" s="118">
        <v>3795</v>
      </c>
      <c r="AR17" s="118">
        <v>5092</v>
      </c>
      <c r="AS17" s="118">
        <v>10042</v>
      </c>
      <c r="AT17" s="118">
        <v>5073</v>
      </c>
      <c r="AU17" s="118">
        <v>9949</v>
      </c>
      <c r="AV17" s="118">
        <v>7367</v>
      </c>
      <c r="AW17" s="118">
        <v>9931</v>
      </c>
      <c r="AX17" s="118">
        <v>5917</v>
      </c>
      <c r="AY17" s="118">
        <v>4905</v>
      </c>
      <c r="AZ17" s="118">
        <v>10264</v>
      </c>
      <c r="BA17" s="118">
        <v>7825</v>
      </c>
      <c r="BB17" s="118">
        <f>'[3]6 CR NL'!$Q$9</f>
        <v>16143</v>
      </c>
    </row>
    <row r="18" spans="1:54" ht="15" customHeight="1" x14ac:dyDescent="0.2">
      <c r="A18" s="25" t="s">
        <v>93</v>
      </c>
      <c r="B18" s="25" t="s">
        <v>891</v>
      </c>
      <c r="D18" s="129" t="str">
        <f>IF([1]RENAME!$H$3=1,B18,A18)</f>
        <v>Títulos vencidos de 91 até 180 dias</v>
      </c>
      <c r="E18" s="118">
        <v>8502</v>
      </c>
      <c r="F18" s="160">
        <v>3547</v>
      </c>
      <c r="G18" s="118">
        <v>4600</v>
      </c>
      <c r="H18" s="118">
        <v>7361</v>
      </c>
      <c r="I18" s="118">
        <v>2104</v>
      </c>
      <c r="J18" s="118">
        <v>2599</v>
      </c>
      <c r="K18" s="118">
        <v>2856</v>
      </c>
      <c r="L18" s="118">
        <v>1619</v>
      </c>
      <c r="M18" s="118">
        <v>2365</v>
      </c>
      <c r="N18" s="118">
        <v>2820</v>
      </c>
      <c r="O18" s="118">
        <v>1762</v>
      </c>
      <c r="P18" s="118">
        <v>9284</v>
      </c>
      <c r="Q18" s="118">
        <v>457</v>
      </c>
      <c r="R18" s="118">
        <v>2827</v>
      </c>
      <c r="S18" s="118">
        <v>416</v>
      </c>
      <c r="T18" s="118">
        <v>589</v>
      </c>
      <c r="U18" s="118">
        <v>123</v>
      </c>
      <c r="V18" s="118">
        <v>215</v>
      </c>
      <c r="W18" s="118">
        <v>180</v>
      </c>
      <c r="X18" s="118">
        <v>293</v>
      </c>
      <c r="Y18" s="118">
        <v>213</v>
      </c>
      <c r="Z18" s="118">
        <v>355</v>
      </c>
      <c r="AA18" s="118">
        <v>795</v>
      </c>
      <c r="AB18" s="118">
        <v>113</v>
      </c>
      <c r="AC18" s="118">
        <v>713</v>
      </c>
      <c r="AD18" s="118">
        <v>2051</v>
      </c>
      <c r="AE18" s="118">
        <v>490</v>
      </c>
      <c r="AF18" s="118">
        <v>500</v>
      </c>
      <c r="AG18" s="118">
        <v>697</v>
      </c>
      <c r="AH18" s="118">
        <v>1179</v>
      </c>
      <c r="AI18" s="118">
        <v>1758</v>
      </c>
      <c r="AJ18" s="118">
        <v>2525</v>
      </c>
      <c r="AK18" s="118">
        <v>1832</v>
      </c>
      <c r="AL18" s="118">
        <v>2319</v>
      </c>
      <c r="AM18" s="118">
        <v>3366</v>
      </c>
      <c r="AN18" s="118">
        <v>4175</v>
      </c>
      <c r="AO18" s="118">
        <v>6437</v>
      </c>
      <c r="AP18" s="118">
        <v>1420</v>
      </c>
      <c r="AQ18" s="118">
        <v>2146</v>
      </c>
      <c r="AR18" s="118">
        <v>3011</v>
      </c>
      <c r="AS18" s="118">
        <v>5395</v>
      </c>
      <c r="AT18" s="118">
        <v>2785</v>
      </c>
      <c r="AU18" s="118">
        <v>6053</v>
      </c>
      <c r="AV18" s="118">
        <v>3728</v>
      </c>
      <c r="AW18" s="118">
        <v>8343</v>
      </c>
      <c r="AX18" s="118">
        <v>7111</v>
      </c>
      <c r="AY18" s="118">
        <v>1085</v>
      </c>
      <c r="AZ18" s="118">
        <v>1970</v>
      </c>
      <c r="BA18" s="118">
        <v>5122</v>
      </c>
      <c r="BB18" s="118">
        <f>'[3]6 CR NL'!$Q$10</f>
        <v>2462</v>
      </c>
    </row>
    <row r="19" spans="1:54" ht="15" customHeight="1" x14ac:dyDescent="0.2">
      <c r="A19" s="25" t="s">
        <v>95</v>
      </c>
      <c r="B19" s="25" t="s">
        <v>892</v>
      </c>
      <c r="D19" s="129" t="str">
        <f>IF([1]RENAME!$H$3=1,B19,A19)</f>
        <v>Títulos vencidos a mais de 180 dias</v>
      </c>
      <c r="E19" s="118">
        <v>11114</v>
      </c>
      <c r="F19" s="160">
        <v>11661</v>
      </c>
      <c r="G19" s="118">
        <v>19062</v>
      </c>
      <c r="H19" s="118">
        <v>14406</v>
      </c>
      <c r="I19" s="118">
        <v>17782</v>
      </c>
      <c r="J19" s="118">
        <v>15532</v>
      </c>
      <c r="K19" s="118">
        <v>15013</v>
      </c>
      <c r="L19" s="118">
        <v>14362</v>
      </c>
      <c r="M19" s="118">
        <v>14245</v>
      </c>
      <c r="N19" s="118">
        <v>13562</v>
      </c>
      <c r="O19" s="118">
        <v>14473</v>
      </c>
      <c r="P19" s="118">
        <v>15123</v>
      </c>
      <c r="Q19" s="118">
        <v>13079</v>
      </c>
      <c r="R19" s="118">
        <v>13182</v>
      </c>
      <c r="S19" s="118">
        <v>13690</v>
      </c>
      <c r="T19" s="118">
        <v>769</v>
      </c>
      <c r="U19" s="118">
        <v>771</v>
      </c>
      <c r="V19" s="118">
        <v>549</v>
      </c>
      <c r="W19" s="118">
        <v>290</v>
      </c>
      <c r="X19" s="118">
        <v>427</v>
      </c>
      <c r="Y19" s="118">
        <v>449</v>
      </c>
      <c r="Z19" s="118">
        <v>402</v>
      </c>
      <c r="AA19" s="118">
        <v>568</v>
      </c>
      <c r="AB19" s="118">
        <v>715</v>
      </c>
      <c r="AC19" s="118">
        <v>615</v>
      </c>
      <c r="AD19" s="118">
        <v>1063</v>
      </c>
      <c r="AE19" s="118">
        <v>897</v>
      </c>
      <c r="AF19" s="118">
        <v>880</v>
      </c>
      <c r="AG19" s="118">
        <v>1014</v>
      </c>
      <c r="AH19" s="118">
        <v>1152</v>
      </c>
      <c r="AI19" s="118">
        <v>1615</v>
      </c>
      <c r="AJ19" s="118">
        <v>2545</v>
      </c>
      <c r="AK19" s="118">
        <v>2780</v>
      </c>
      <c r="AL19" s="118">
        <v>3315</v>
      </c>
      <c r="AM19" s="118">
        <v>3432</v>
      </c>
      <c r="AN19" s="118">
        <v>4581</v>
      </c>
      <c r="AO19" s="118">
        <v>4178</v>
      </c>
      <c r="AP19" s="118">
        <v>4789</v>
      </c>
      <c r="AQ19" s="118">
        <v>4395</v>
      </c>
      <c r="AR19" s="118">
        <v>5304</v>
      </c>
      <c r="AS19" s="118">
        <v>4149</v>
      </c>
      <c r="AT19" s="118">
        <v>4321</v>
      </c>
      <c r="AU19" s="118">
        <v>6069</v>
      </c>
      <c r="AV19" s="118">
        <v>4063</v>
      </c>
      <c r="AW19" s="118">
        <v>4829</v>
      </c>
      <c r="AX19" s="118">
        <v>4967</v>
      </c>
      <c r="AY19" s="118">
        <v>5155</v>
      </c>
      <c r="AZ19" s="118">
        <v>3182</v>
      </c>
      <c r="BA19" s="118">
        <v>4621</v>
      </c>
      <c r="BB19" s="118">
        <f>'[3]6 CR NL'!$Q$11</f>
        <v>5688</v>
      </c>
    </row>
    <row r="20" spans="1:54" s="254" customFormat="1" ht="15" customHeight="1" x14ac:dyDescent="0.2">
      <c r="A20" s="254" t="s">
        <v>1991</v>
      </c>
      <c r="B20" s="254" t="s">
        <v>1992</v>
      </c>
      <c r="C20" s="254" t="s">
        <v>534</v>
      </c>
      <c r="D20" s="255" t="str">
        <f>IF([1]RENAME!$H$3=1,B20,A20)</f>
        <v>% Vencidos &gt;180 dias / TOTAL</v>
      </c>
      <c r="E20" s="1241">
        <f t="shared" ref="E20:AL20" si="22">E19/E21</f>
        <v>6.469526747773445E-2</v>
      </c>
      <c r="F20" s="1242">
        <f t="shared" si="22"/>
        <v>6.1178235846532397E-2</v>
      </c>
      <c r="G20" s="1241">
        <f t="shared" si="22"/>
        <v>9.0784830141592332E-2</v>
      </c>
      <c r="H20" s="1241">
        <f t="shared" si="22"/>
        <v>6.1171974522292991E-2</v>
      </c>
      <c r="I20" s="1241">
        <f t="shared" si="22"/>
        <v>0.10137739162162779</v>
      </c>
      <c r="J20" s="1241">
        <f t="shared" si="22"/>
        <v>8.2225139759444343E-2</v>
      </c>
      <c r="K20" s="1241">
        <f t="shared" si="22"/>
        <v>0.10186177791649138</v>
      </c>
      <c r="L20" s="1241">
        <f t="shared" si="22"/>
        <v>9.1992749213750877E-2</v>
      </c>
      <c r="M20" s="1241">
        <f t="shared" si="22"/>
        <v>0.12189278227014076</v>
      </c>
      <c r="N20" s="1241">
        <f t="shared" si="22"/>
        <v>0.10983599919011945</v>
      </c>
      <c r="O20" s="1241">
        <f t="shared" si="22"/>
        <v>0.12609339606203171</v>
      </c>
      <c r="P20" s="1241">
        <f t="shared" si="22"/>
        <v>0.10727586133514928</v>
      </c>
      <c r="Q20" s="1241">
        <f t="shared" si="22"/>
        <v>0.12168209517607108</v>
      </c>
      <c r="R20" s="1241">
        <f t="shared" si="22"/>
        <v>0.11570363998630726</v>
      </c>
      <c r="S20" s="1241">
        <f t="shared" si="22"/>
        <v>0.10610511304186075</v>
      </c>
      <c r="T20" s="1241">
        <f t="shared" si="22"/>
        <v>5.2612494270095718E-3</v>
      </c>
      <c r="U20" s="1241">
        <f t="shared" si="22"/>
        <v>6.0485294463751968E-3</v>
      </c>
      <c r="V20" s="1241">
        <f t="shared" si="22"/>
        <v>3.5918506208863824E-3</v>
      </c>
      <c r="W20" s="1241">
        <f t="shared" si="22"/>
        <v>1.7757095184153322E-3</v>
      </c>
      <c r="X20" s="1241">
        <f t="shared" si="22"/>
        <v>2.1827810777928862E-3</v>
      </c>
      <c r="Y20" s="1241">
        <f t="shared" si="22"/>
        <v>2.622464415669371E-3</v>
      </c>
      <c r="Z20" s="1241">
        <f t="shared" si="22"/>
        <v>2.2202584778526456E-3</v>
      </c>
      <c r="AA20" s="1241">
        <f t="shared" si="22"/>
        <v>3.0847938130332537E-3</v>
      </c>
      <c r="AB20" s="1241">
        <f t="shared" si="22"/>
        <v>3.2405875661147849E-3</v>
      </c>
      <c r="AC20" s="1241">
        <f t="shared" si="22"/>
        <v>3.6659513590844065E-3</v>
      </c>
      <c r="AD20" s="1241">
        <f t="shared" si="22"/>
        <v>1.3550031867431485E-2</v>
      </c>
      <c r="AE20" s="1241">
        <f t="shared" si="22"/>
        <v>5.5758268945068469E-3</v>
      </c>
      <c r="AF20" s="1241">
        <f t="shared" si="22"/>
        <v>4.9901331458252996E-3</v>
      </c>
      <c r="AG20" s="1241">
        <f t="shared" si="22"/>
        <v>7.127593769330259E-3</v>
      </c>
      <c r="AH20" s="1241">
        <f t="shared" si="22"/>
        <v>7.8355087299266102E-3</v>
      </c>
      <c r="AI20" s="1241">
        <f t="shared" si="22"/>
        <v>1.2156567557395559E-2</v>
      </c>
      <c r="AJ20" s="1241">
        <f t="shared" si="22"/>
        <v>1.169335385604999E-2</v>
      </c>
      <c r="AK20" s="1241">
        <f t="shared" si="22"/>
        <v>1.859444708274529E-2</v>
      </c>
      <c r="AL20" s="1241">
        <f t="shared" si="22"/>
        <v>1.6214074697239449E-2</v>
      </c>
      <c r="AM20" s="1241">
        <v>1.4074514548176096E-2</v>
      </c>
      <c r="AN20" s="1241">
        <f t="shared" ref="AN20:AS20" si="23">AN19/AN21</f>
        <v>1.7018415255276229E-2</v>
      </c>
      <c r="AO20" s="1241">
        <f t="shared" si="23"/>
        <v>2.0167596686683015E-2</v>
      </c>
      <c r="AP20" s="1241">
        <f t="shared" si="23"/>
        <v>2.2296403895934597E-2</v>
      </c>
      <c r="AQ20" s="1241">
        <f t="shared" si="23"/>
        <v>1.9130654316258662E-2</v>
      </c>
      <c r="AR20" s="1241">
        <f t="shared" si="23"/>
        <v>1.801985445502171E-2</v>
      </c>
      <c r="AS20" s="1241">
        <f t="shared" si="23"/>
        <v>1.7901136025335135E-2</v>
      </c>
      <c r="AT20" s="1241">
        <f>AT19/AT21</f>
        <v>1.476129473054915E-2</v>
      </c>
      <c r="AU20" s="1241">
        <f>AU19/AU21</f>
        <v>1.7553297642495812E-2</v>
      </c>
      <c r="AV20" s="1241">
        <f>AV19/AV21</f>
        <v>1.0232349637599038E-2</v>
      </c>
      <c r="AW20" s="1241">
        <v>1.7361885107392734E-2</v>
      </c>
      <c r="AX20" s="1241">
        <v>1.6131179911208684E-2</v>
      </c>
      <c r="AY20" s="1241">
        <v>1.4136998623322345E-2</v>
      </c>
      <c r="AZ20" s="1241">
        <v>8.3381811130502238E-3</v>
      </c>
      <c r="BA20" s="1241">
        <v>1.3311593848032899E-2</v>
      </c>
      <c r="BB20" s="1241">
        <f>BB19/BB21</f>
        <v>1.2227288263480005E-2</v>
      </c>
    </row>
    <row r="21" spans="1:54" ht="15" customHeight="1" x14ac:dyDescent="0.2">
      <c r="A21" s="25" t="s">
        <v>94</v>
      </c>
      <c r="B21" s="25" t="s">
        <v>893</v>
      </c>
      <c r="D21" s="126" t="str">
        <f>IF([1]RENAME!$H$3=1,B21,A21)</f>
        <v>Contas a Receber</v>
      </c>
      <c r="E21" s="120">
        <f t="shared" ref="E21:M21" si="24">SUM(E15:E19)</f>
        <v>171790</v>
      </c>
      <c r="F21" s="162">
        <f t="shared" si="24"/>
        <v>190607</v>
      </c>
      <c r="G21" s="120">
        <f t="shared" si="24"/>
        <v>209969</v>
      </c>
      <c r="H21" s="120">
        <f t="shared" si="24"/>
        <v>235500</v>
      </c>
      <c r="I21" s="120">
        <f t="shared" si="24"/>
        <v>175404</v>
      </c>
      <c r="J21" s="120">
        <f t="shared" si="24"/>
        <v>188896</v>
      </c>
      <c r="K21" s="120">
        <f t="shared" si="24"/>
        <v>147386</v>
      </c>
      <c r="L21" s="120">
        <f t="shared" si="24"/>
        <v>156121</v>
      </c>
      <c r="M21" s="120">
        <f t="shared" si="24"/>
        <v>116865</v>
      </c>
      <c r="N21" s="120">
        <f t="shared" ref="N21:W21" si="25">SUM(N15:N19)</f>
        <v>123475</v>
      </c>
      <c r="O21" s="120">
        <f t="shared" si="25"/>
        <v>114780</v>
      </c>
      <c r="P21" s="120">
        <f t="shared" si="25"/>
        <v>140973</v>
      </c>
      <c r="Q21" s="120">
        <f t="shared" si="25"/>
        <v>107485</v>
      </c>
      <c r="R21" s="120">
        <f t="shared" si="25"/>
        <v>113929</v>
      </c>
      <c r="S21" s="120">
        <f t="shared" si="25"/>
        <v>129023</v>
      </c>
      <c r="T21" s="120">
        <f t="shared" si="25"/>
        <v>146163</v>
      </c>
      <c r="U21" s="120">
        <f t="shared" si="25"/>
        <v>127469</v>
      </c>
      <c r="V21" s="120">
        <f t="shared" si="25"/>
        <v>152846</v>
      </c>
      <c r="W21" s="120">
        <f t="shared" si="25"/>
        <v>163315</v>
      </c>
      <c r="X21" s="120">
        <f t="shared" ref="X21:AC21" si="26">SUM(X15:X19)</f>
        <v>195622</v>
      </c>
      <c r="Y21" s="120">
        <f t="shared" si="26"/>
        <v>171213</v>
      </c>
      <c r="Z21" s="120">
        <f t="shared" si="26"/>
        <v>181060</v>
      </c>
      <c r="AA21" s="120">
        <f t="shared" si="26"/>
        <v>184129</v>
      </c>
      <c r="AB21" s="120">
        <f t="shared" si="26"/>
        <v>220639</v>
      </c>
      <c r="AC21" s="120">
        <f t="shared" si="26"/>
        <v>167760</v>
      </c>
      <c r="AD21" s="120">
        <f t="shared" ref="AD21:AL21" si="27">SUM(AD15:AD19)</f>
        <v>78450</v>
      </c>
      <c r="AE21" s="120">
        <f t="shared" si="27"/>
        <v>160873</v>
      </c>
      <c r="AF21" s="120">
        <f t="shared" si="27"/>
        <v>176348</v>
      </c>
      <c r="AG21" s="120">
        <f t="shared" si="27"/>
        <v>142264</v>
      </c>
      <c r="AH21" s="120">
        <f t="shared" si="27"/>
        <v>147023</v>
      </c>
      <c r="AI21" s="120">
        <f t="shared" si="27"/>
        <v>132850</v>
      </c>
      <c r="AJ21" s="120">
        <f t="shared" si="27"/>
        <v>217645</v>
      </c>
      <c r="AK21" s="120">
        <f t="shared" si="27"/>
        <v>149507</v>
      </c>
      <c r="AL21" s="120">
        <f t="shared" si="27"/>
        <v>204452</v>
      </c>
      <c r="AM21" s="120">
        <f t="shared" ref="AM21:AS21" si="28">SUM(AM15:AM19)</f>
        <v>243845</v>
      </c>
      <c r="AN21" s="120">
        <f t="shared" si="28"/>
        <v>269179</v>
      </c>
      <c r="AO21" s="120">
        <f t="shared" si="28"/>
        <v>207164</v>
      </c>
      <c r="AP21" s="120">
        <f t="shared" si="28"/>
        <v>214788</v>
      </c>
      <c r="AQ21" s="120">
        <f t="shared" si="28"/>
        <v>229736</v>
      </c>
      <c r="AR21" s="120">
        <f t="shared" si="28"/>
        <v>294342</v>
      </c>
      <c r="AS21" s="120">
        <f t="shared" si="28"/>
        <v>231773</v>
      </c>
      <c r="AT21" s="120">
        <f>SUM(AT15:AT19)</f>
        <v>292725</v>
      </c>
      <c r="AU21" s="120">
        <f t="shared" ref="AU21:AZ21" si="29">SUM(AU15:AU19)</f>
        <v>345747</v>
      </c>
      <c r="AV21" s="120">
        <f t="shared" si="29"/>
        <v>397074</v>
      </c>
      <c r="AW21" s="120">
        <f t="shared" si="29"/>
        <v>278138</v>
      </c>
      <c r="AX21" s="120">
        <f t="shared" si="29"/>
        <v>307913</v>
      </c>
      <c r="AY21" s="120">
        <f t="shared" si="29"/>
        <v>364646</v>
      </c>
      <c r="AZ21" s="120">
        <f t="shared" si="29"/>
        <v>381618</v>
      </c>
      <c r="BA21" s="120">
        <f>SUM(BA15:BA19)</f>
        <v>347141</v>
      </c>
      <c r="BB21" s="120">
        <f>SUM(BB15:BB19)</f>
        <v>465189</v>
      </c>
    </row>
    <row r="22" spans="1:54" ht="15" customHeight="1" x14ac:dyDescent="0.2">
      <c r="E22" s="51"/>
      <c r="F22" s="51"/>
      <c r="G22" s="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row>
    <row r="23" spans="1:54" ht="15" customHeight="1" x14ac:dyDescent="0.2">
      <c r="A23" s="25" t="s">
        <v>114</v>
      </c>
      <c r="B23" s="25" t="s">
        <v>876</v>
      </c>
      <c r="D23" s="151" t="str">
        <f>IF([1]RENAME!$H$3=1,B23,A23)</f>
        <v>CONTROLADAS</v>
      </c>
      <c r="E23" s="115" t="str">
        <f>E5</f>
        <v>1T14</v>
      </c>
      <c r="F23" s="115" t="str">
        <f t="shared" ref="F23:S23" si="30">F5</f>
        <v>2T14</v>
      </c>
      <c r="G23" s="115" t="str">
        <f t="shared" si="30"/>
        <v>3T14</v>
      </c>
      <c r="H23" s="115" t="str">
        <f t="shared" si="30"/>
        <v>4T14</v>
      </c>
      <c r="I23" s="115" t="str">
        <f t="shared" si="30"/>
        <v>1T15</v>
      </c>
      <c r="J23" s="115" t="str">
        <f t="shared" si="30"/>
        <v>2T15</v>
      </c>
      <c r="K23" s="115" t="str">
        <f t="shared" si="30"/>
        <v>3T15</v>
      </c>
      <c r="L23" s="115" t="str">
        <f t="shared" si="30"/>
        <v>4T15</v>
      </c>
      <c r="M23" s="115" t="str">
        <f t="shared" si="30"/>
        <v>1T16</v>
      </c>
      <c r="N23" s="115" t="str">
        <f t="shared" si="30"/>
        <v>2T16</v>
      </c>
      <c r="O23" s="115" t="str">
        <f t="shared" si="30"/>
        <v>3T16</v>
      </c>
      <c r="P23" s="115" t="str">
        <f t="shared" si="30"/>
        <v>4T16</v>
      </c>
      <c r="Q23" s="115" t="str">
        <f t="shared" si="30"/>
        <v>1T17</v>
      </c>
      <c r="R23" s="115" t="str">
        <f t="shared" si="30"/>
        <v>2T17</v>
      </c>
      <c r="S23" s="115" t="str">
        <f t="shared" si="30"/>
        <v>3T17</v>
      </c>
      <c r="T23" s="115" t="str">
        <f t="shared" ref="T23:Y23" si="31">T5</f>
        <v>4T17</v>
      </c>
      <c r="U23" s="115" t="str">
        <f t="shared" si="31"/>
        <v>1T18</v>
      </c>
      <c r="V23" s="115" t="str">
        <f t="shared" si="31"/>
        <v>2T18</v>
      </c>
      <c r="W23" s="115" t="str">
        <f t="shared" si="31"/>
        <v>3T18</v>
      </c>
      <c r="X23" s="115" t="str">
        <f t="shared" si="31"/>
        <v>4T18</v>
      </c>
      <c r="Y23" s="115" t="str">
        <f t="shared" si="31"/>
        <v>1T19</v>
      </c>
      <c r="Z23" s="115" t="str">
        <f t="shared" ref="Z23:AE23" si="32">Z5</f>
        <v>2T19</v>
      </c>
      <c r="AA23" s="115" t="str">
        <f t="shared" si="32"/>
        <v>3T19</v>
      </c>
      <c r="AB23" s="115" t="str">
        <f t="shared" si="32"/>
        <v>4T19</v>
      </c>
      <c r="AC23" s="115" t="str">
        <f t="shared" si="32"/>
        <v>1T20</v>
      </c>
      <c r="AD23" s="115" t="str">
        <f t="shared" si="32"/>
        <v>2T20</v>
      </c>
      <c r="AE23" s="115" t="str">
        <f t="shared" si="32"/>
        <v>3T20</v>
      </c>
      <c r="AF23" s="115" t="str">
        <f t="shared" ref="AF23:AL23" si="33">AF5</f>
        <v>4T20</v>
      </c>
      <c r="AG23" s="115" t="str">
        <f t="shared" si="33"/>
        <v>1T21</v>
      </c>
      <c r="AH23" s="115" t="str">
        <f t="shared" si="33"/>
        <v>2T21</v>
      </c>
      <c r="AI23" s="115" t="str">
        <f t="shared" si="33"/>
        <v>3T21</v>
      </c>
      <c r="AJ23" s="115" t="str">
        <f t="shared" si="33"/>
        <v>4T21</v>
      </c>
      <c r="AK23" s="115" t="str">
        <f t="shared" si="33"/>
        <v>1T22</v>
      </c>
      <c r="AL23" s="115" t="str">
        <f t="shared" si="33"/>
        <v>2T22</v>
      </c>
      <c r="AM23" s="115" t="str">
        <f t="shared" ref="AM23:AW23" si="34">AM5</f>
        <v>3T22</v>
      </c>
      <c r="AN23" s="115" t="str">
        <f t="shared" si="34"/>
        <v>4T22</v>
      </c>
      <c r="AO23" s="115" t="str">
        <f t="shared" si="34"/>
        <v>1T23</v>
      </c>
      <c r="AP23" s="115" t="str">
        <f t="shared" si="34"/>
        <v>2T23</v>
      </c>
      <c r="AQ23" s="115" t="str">
        <f t="shared" si="34"/>
        <v>3T23</v>
      </c>
      <c r="AR23" s="115" t="str">
        <f t="shared" si="34"/>
        <v>4T23</v>
      </c>
      <c r="AS23" s="115" t="str">
        <f t="shared" si="34"/>
        <v>1T24</v>
      </c>
      <c r="AT23" s="115" t="str">
        <f t="shared" si="34"/>
        <v>2T24</v>
      </c>
      <c r="AU23" s="115" t="str">
        <f t="shared" si="34"/>
        <v>3T24</v>
      </c>
      <c r="AV23" s="115" t="str">
        <f t="shared" si="34"/>
        <v>4T24</v>
      </c>
      <c r="AW23" s="115" t="str">
        <f t="shared" si="34"/>
        <v>1T25</v>
      </c>
      <c r="AX23" s="115" t="str">
        <f>AX5</f>
        <v>2T25</v>
      </c>
      <c r="AY23" s="115" t="str">
        <f>AY5</f>
        <v>3T25</v>
      </c>
      <c r="AZ23" s="115" t="str">
        <f>AZ5</f>
        <v>4T25</v>
      </c>
      <c r="BA23" s="247" t="str">
        <f>BA5</f>
        <v>1T26</v>
      </c>
      <c r="BB23" s="247" t="str">
        <f>BB5</f>
        <v>2T26</v>
      </c>
    </row>
    <row r="24" spans="1:54" ht="15" customHeight="1" x14ac:dyDescent="0.2">
      <c r="A24" s="25" t="s">
        <v>90</v>
      </c>
      <c r="B24" s="25" t="s">
        <v>888</v>
      </c>
      <c r="D24" s="129" t="str">
        <f>IF([1]RENAME!$H$3=1,B24,A24)</f>
        <v>Títulos a vencer</v>
      </c>
      <c r="E24" s="118">
        <f t="shared" ref="E24:P24" si="35">+E6-E15</f>
        <v>55054</v>
      </c>
      <c r="F24" s="160">
        <f t="shared" si="35"/>
        <v>27095</v>
      </c>
      <c r="G24" s="118">
        <f t="shared" si="35"/>
        <v>32702</v>
      </c>
      <c r="H24" s="118">
        <f t="shared" si="35"/>
        <v>21105</v>
      </c>
      <c r="I24" s="118">
        <f t="shared" si="35"/>
        <v>30988</v>
      </c>
      <c r="J24" s="118">
        <f t="shared" si="35"/>
        <v>39694</v>
      </c>
      <c r="K24" s="118">
        <f t="shared" si="35"/>
        <v>41232</v>
      </c>
      <c r="L24" s="118">
        <f t="shared" si="35"/>
        <v>39715</v>
      </c>
      <c r="M24" s="118">
        <f t="shared" si="35"/>
        <v>22171</v>
      </c>
      <c r="N24" s="118">
        <f t="shared" si="35"/>
        <v>24989</v>
      </c>
      <c r="O24" s="118">
        <f t="shared" si="35"/>
        <v>22309</v>
      </c>
      <c r="P24" s="118">
        <f t="shared" si="35"/>
        <v>24974</v>
      </c>
      <c r="Q24" s="118">
        <f t="shared" ref="Q24:R28" si="36">+Q6-Q15</f>
        <v>20176</v>
      </c>
      <c r="R24" s="118">
        <f t="shared" si="36"/>
        <v>20744</v>
      </c>
      <c r="S24" s="118">
        <v>20287</v>
      </c>
      <c r="T24" s="118">
        <f t="shared" ref="T24:U28" si="37">+T6-T15</f>
        <v>24540</v>
      </c>
      <c r="U24" s="118">
        <f t="shared" si="37"/>
        <v>21678</v>
      </c>
      <c r="V24" s="118">
        <f t="shared" ref="V24:AC24" si="38">+V6-V15</f>
        <v>21800</v>
      </c>
      <c r="W24" s="118">
        <f t="shared" si="38"/>
        <v>25111</v>
      </c>
      <c r="X24" s="118">
        <f t="shared" si="38"/>
        <v>29702</v>
      </c>
      <c r="Y24" s="118">
        <f t="shared" si="38"/>
        <v>31050</v>
      </c>
      <c r="Z24" s="118">
        <f t="shared" si="38"/>
        <v>32679</v>
      </c>
      <c r="AA24" s="118">
        <f t="shared" si="38"/>
        <v>36638</v>
      </c>
      <c r="AB24" s="118">
        <f t="shared" si="38"/>
        <v>39235</v>
      </c>
      <c r="AC24" s="118">
        <f t="shared" si="38"/>
        <v>40270</v>
      </c>
      <c r="AD24" s="118">
        <f t="shared" ref="AD24:AE28" si="39">+AD6-AD15</f>
        <v>46031</v>
      </c>
      <c r="AE24" s="118">
        <f t="shared" si="39"/>
        <v>38218</v>
      </c>
      <c r="AF24" s="118">
        <f t="shared" ref="AF24:AG28" si="40">+AF6-AF15</f>
        <v>32099</v>
      </c>
      <c r="AG24" s="118">
        <f t="shared" si="40"/>
        <v>25917</v>
      </c>
      <c r="AH24" s="118">
        <f t="shared" ref="AH24:AL28" si="41">+AH6-AH15</f>
        <v>31520</v>
      </c>
      <c r="AI24" s="118">
        <f t="shared" si="41"/>
        <v>26420</v>
      </c>
      <c r="AJ24" s="118">
        <f t="shared" si="41"/>
        <v>28806</v>
      </c>
      <c r="AK24" s="118">
        <v>73250</v>
      </c>
      <c r="AL24" s="118">
        <f t="shared" si="41"/>
        <v>58101</v>
      </c>
      <c r="AM24" s="118">
        <f t="shared" ref="AM24:AS28" si="42">+AM6-AM15</f>
        <v>40326</v>
      </c>
      <c r="AN24" s="118">
        <f t="shared" si="42"/>
        <v>36394</v>
      </c>
      <c r="AO24" s="118">
        <f t="shared" si="42"/>
        <v>48277</v>
      </c>
      <c r="AP24" s="118">
        <f t="shared" si="42"/>
        <v>43861</v>
      </c>
      <c r="AQ24" s="118">
        <f t="shared" si="42"/>
        <v>47478</v>
      </c>
      <c r="AR24" s="118">
        <f t="shared" si="42"/>
        <v>45904</v>
      </c>
      <c r="AS24" s="118">
        <f t="shared" si="42"/>
        <v>58421</v>
      </c>
      <c r="AT24" s="118">
        <v>48542</v>
      </c>
      <c r="AU24" s="118">
        <f t="shared" ref="AU24:AX28" si="43">+AU6-AU15</f>
        <v>47216</v>
      </c>
      <c r="AV24" s="118">
        <v>40683</v>
      </c>
      <c r="AW24" s="118">
        <v>48142</v>
      </c>
      <c r="AX24" s="118">
        <f t="shared" si="43"/>
        <v>54722</v>
      </c>
      <c r="AY24" s="118">
        <v>49172</v>
      </c>
      <c r="AZ24" s="118">
        <v>53924</v>
      </c>
      <c r="BA24" s="118">
        <v>62143</v>
      </c>
      <c r="BB24" s="118">
        <f>+BB6-BB15</f>
        <v>56244</v>
      </c>
    </row>
    <row r="25" spans="1:54" ht="15" customHeight="1" x14ac:dyDescent="0.2">
      <c r="A25" s="25" t="s">
        <v>91</v>
      </c>
      <c r="B25" s="25" t="s">
        <v>889</v>
      </c>
      <c r="D25" s="129" t="str">
        <f>IF([1]RENAME!$H$3=1,B25,A25)</f>
        <v>Títulos vencidos até 30 dias</v>
      </c>
      <c r="E25" s="118">
        <f t="shared" ref="E25:P25" si="44">+E7-E16</f>
        <v>22724</v>
      </c>
      <c r="F25" s="160">
        <f t="shared" si="44"/>
        <v>9711</v>
      </c>
      <c r="G25" s="118">
        <f t="shared" si="44"/>
        <v>2695</v>
      </c>
      <c r="H25" s="118">
        <f t="shared" si="44"/>
        <v>1490</v>
      </c>
      <c r="I25" s="118">
        <f t="shared" si="44"/>
        <v>825</v>
      </c>
      <c r="J25" s="118">
        <f t="shared" si="44"/>
        <v>2320</v>
      </c>
      <c r="K25" s="118">
        <f t="shared" si="44"/>
        <v>2779</v>
      </c>
      <c r="L25" s="118">
        <f t="shared" si="44"/>
        <v>1262</v>
      </c>
      <c r="M25" s="118">
        <f t="shared" si="44"/>
        <v>1073</v>
      </c>
      <c r="N25" s="118">
        <f t="shared" si="44"/>
        <v>2115</v>
      </c>
      <c r="O25" s="118">
        <f t="shared" si="44"/>
        <v>664</v>
      </c>
      <c r="P25" s="118">
        <f t="shared" si="44"/>
        <v>380</v>
      </c>
      <c r="Q25" s="118">
        <f t="shared" si="36"/>
        <v>643</v>
      </c>
      <c r="R25" s="118">
        <f t="shared" si="36"/>
        <v>794</v>
      </c>
      <c r="S25" s="118">
        <v>321</v>
      </c>
      <c r="T25" s="118">
        <f t="shared" si="37"/>
        <v>523</v>
      </c>
      <c r="U25" s="118">
        <f t="shared" si="37"/>
        <v>518</v>
      </c>
      <c r="V25" s="118">
        <f t="shared" ref="V25:AC25" si="45">+V7-V16</f>
        <v>555</v>
      </c>
      <c r="W25" s="118">
        <f t="shared" si="45"/>
        <v>116</v>
      </c>
      <c r="X25" s="118">
        <f t="shared" si="45"/>
        <v>928</v>
      </c>
      <c r="Y25" s="118">
        <f t="shared" si="45"/>
        <v>364</v>
      </c>
      <c r="Z25" s="118">
        <f t="shared" si="45"/>
        <v>2139</v>
      </c>
      <c r="AA25" s="118">
        <f t="shared" si="45"/>
        <v>2023</v>
      </c>
      <c r="AB25" s="118">
        <f t="shared" si="45"/>
        <v>1185</v>
      </c>
      <c r="AC25" s="118">
        <f t="shared" si="45"/>
        <v>178</v>
      </c>
      <c r="AD25" s="118">
        <f t="shared" si="39"/>
        <v>2475</v>
      </c>
      <c r="AE25" s="118">
        <f t="shared" si="39"/>
        <v>276</v>
      </c>
      <c r="AF25" s="118">
        <f t="shared" si="40"/>
        <v>2676</v>
      </c>
      <c r="AG25" s="118">
        <f t="shared" si="40"/>
        <v>829</v>
      </c>
      <c r="AH25" s="118">
        <f t="shared" si="41"/>
        <v>8376</v>
      </c>
      <c r="AI25" s="118">
        <f t="shared" si="41"/>
        <v>6155</v>
      </c>
      <c r="AJ25" s="118">
        <f t="shared" si="41"/>
        <v>6733</v>
      </c>
      <c r="AK25" s="118">
        <v>1165</v>
      </c>
      <c r="AL25" s="118">
        <f t="shared" si="41"/>
        <v>3664</v>
      </c>
      <c r="AM25" s="118">
        <f t="shared" si="42"/>
        <v>2972</v>
      </c>
      <c r="AN25" s="118">
        <f t="shared" si="42"/>
        <v>7276</v>
      </c>
      <c r="AO25" s="118">
        <f t="shared" si="42"/>
        <v>3196</v>
      </c>
      <c r="AP25" s="118">
        <f t="shared" si="42"/>
        <v>3910</v>
      </c>
      <c r="AQ25" s="118">
        <f t="shared" si="42"/>
        <v>2736</v>
      </c>
      <c r="AR25" s="118">
        <f t="shared" si="42"/>
        <v>4465</v>
      </c>
      <c r="AS25" s="118">
        <f t="shared" si="42"/>
        <v>2807</v>
      </c>
      <c r="AT25" s="118">
        <v>1135</v>
      </c>
      <c r="AU25" s="118">
        <f t="shared" si="43"/>
        <v>3250</v>
      </c>
      <c r="AV25" s="118">
        <v>1363</v>
      </c>
      <c r="AW25" s="118">
        <v>3740</v>
      </c>
      <c r="AX25" s="118">
        <f t="shared" si="43"/>
        <v>4913</v>
      </c>
      <c r="AY25" s="118">
        <v>6519</v>
      </c>
      <c r="AZ25" s="118">
        <v>6189</v>
      </c>
      <c r="BA25" s="118">
        <v>2247</v>
      </c>
      <c r="BB25" s="118">
        <f>+BB7-BB16</f>
        <v>4307</v>
      </c>
    </row>
    <row r="26" spans="1:54" ht="15" customHeight="1" x14ac:dyDescent="0.2">
      <c r="A26" s="25" t="s">
        <v>92</v>
      </c>
      <c r="B26" s="25" t="s">
        <v>890</v>
      </c>
      <c r="D26" s="129" t="str">
        <f>IF([1]RENAME!$H$3=1,B26,A26)</f>
        <v>Títulos vencidos de 31 até 90 dias</v>
      </c>
      <c r="E26" s="118">
        <f t="shared" ref="E26:P26" si="46">+E8-E17</f>
        <v>16703</v>
      </c>
      <c r="F26" s="160">
        <f t="shared" si="46"/>
        <v>7081</v>
      </c>
      <c r="G26" s="118">
        <f t="shared" si="46"/>
        <v>5661</v>
      </c>
      <c r="H26" s="118">
        <f t="shared" si="46"/>
        <v>631</v>
      </c>
      <c r="I26" s="118">
        <f t="shared" si="46"/>
        <v>936</v>
      </c>
      <c r="J26" s="118">
        <f t="shared" si="46"/>
        <v>302</v>
      </c>
      <c r="K26" s="118">
        <f t="shared" si="46"/>
        <v>1177</v>
      </c>
      <c r="L26" s="118">
        <f t="shared" si="46"/>
        <v>865</v>
      </c>
      <c r="M26" s="118">
        <f t="shared" si="46"/>
        <v>523</v>
      </c>
      <c r="N26" s="118">
        <f t="shared" si="46"/>
        <v>72</v>
      </c>
      <c r="O26" s="118">
        <f t="shared" si="46"/>
        <v>224</v>
      </c>
      <c r="P26" s="118">
        <f t="shared" si="46"/>
        <v>97</v>
      </c>
      <c r="Q26" s="118">
        <f t="shared" si="36"/>
        <v>195</v>
      </c>
      <c r="R26" s="118">
        <f t="shared" si="36"/>
        <v>124</v>
      </c>
      <c r="S26" s="118">
        <v>26</v>
      </c>
      <c r="T26" s="118">
        <f t="shared" si="37"/>
        <v>54</v>
      </c>
      <c r="U26" s="118">
        <f t="shared" si="37"/>
        <v>51</v>
      </c>
      <c r="V26" s="118">
        <f t="shared" ref="V26:AC26" si="47">+V8-V17</f>
        <v>575</v>
      </c>
      <c r="W26" s="118">
        <f t="shared" si="47"/>
        <v>766</v>
      </c>
      <c r="X26" s="118">
        <f t="shared" si="47"/>
        <v>33</v>
      </c>
      <c r="Y26" s="118">
        <f t="shared" si="47"/>
        <v>131</v>
      </c>
      <c r="Z26" s="118">
        <f t="shared" si="47"/>
        <v>5</v>
      </c>
      <c r="AA26" s="118">
        <f t="shared" si="47"/>
        <v>147</v>
      </c>
      <c r="AB26" s="118">
        <f t="shared" si="47"/>
        <v>289</v>
      </c>
      <c r="AC26" s="118">
        <f t="shared" si="47"/>
        <v>226</v>
      </c>
      <c r="AD26" s="118">
        <f t="shared" si="39"/>
        <v>526</v>
      </c>
      <c r="AE26" s="118">
        <f t="shared" si="39"/>
        <v>288</v>
      </c>
      <c r="AF26" s="118">
        <f t="shared" si="40"/>
        <v>744</v>
      </c>
      <c r="AG26" s="118">
        <f t="shared" si="40"/>
        <v>189</v>
      </c>
      <c r="AH26" s="118">
        <f t="shared" si="41"/>
        <v>10124</v>
      </c>
      <c r="AI26" s="118">
        <f t="shared" si="41"/>
        <v>14559</v>
      </c>
      <c r="AJ26" s="118">
        <f t="shared" si="41"/>
        <v>12403</v>
      </c>
      <c r="AK26" s="118">
        <v>487</v>
      </c>
      <c r="AL26" s="118">
        <f t="shared" si="41"/>
        <v>855</v>
      </c>
      <c r="AM26" s="118">
        <f t="shared" si="42"/>
        <v>2210</v>
      </c>
      <c r="AN26" s="118">
        <f t="shared" si="42"/>
        <v>1201</v>
      </c>
      <c r="AO26" s="118">
        <f t="shared" si="42"/>
        <v>1491</v>
      </c>
      <c r="AP26" s="118">
        <f t="shared" si="42"/>
        <v>1011</v>
      </c>
      <c r="AQ26" s="118">
        <f t="shared" si="42"/>
        <v>624</v>
      </c>
      <c r="AR26" s="118">
        <f t="shared" si="42"/>
        <v>618</v>
      </c>
      <c r="AS26" s="118">
        <f t="shared" si="42"/>
        <v>1153</v>
      </c>
      <c r="AT26" s="118">
        <v>1163</v>
      </c>
      <c r="AU26" s="118">
        <f t="shared" si="43"/>
        <v>452</v>
      </c>
      <c r="AV26" s="118">
        <v>1189</v>
      </c>
      <c r="AW26" s="118">
        <v>983</v>
      </c>
      <c r="AX26" s="118">
        <f t="shared" si="43"/>
        <v>762</v>
      </c>
      <c r="AY26" s="118">
        <v>1343</v>
      </c>
      <c r="AZ26" s="118">
        <v>2202</v>
      </c>
      <c r="BA26" s="118">
        <v>1680</v>
      </c>
      <c r="BB26" s="118">
        <f>+BB8-BB17</f>
        <v>1845</v>
      </c>
    </row>
    <row r="27" spans="1:54" ht="15" customHeight="1" x14ac:dyDescent="0.2">
      <c r="A27" s="25" t="s">
        <v>93</v>
      </c>
      <c r="B27" s="25" t="s">
        <v>891</v>
      </c>
      <c r="D27" s="129" t="str">
        <f>IF([1]RENAME!$H$3=1,B27,A27)</f>
        <v>Títulos vencidos de 91 até 180 dias</v>
      </c>
      <c r="E27" s="118">
        <f t="shared" ref="E27:P27" si="48">+E9-E18</f>
        <v>12749</v>
      </c>
      <c r="F27" s="160">
        <f t="shared" si="48"/>
        <v>8912</v>
      </c>
      <c r="G27" s="118">
        <f t="shared" si="48"/>
        <v>3289</v>
      </c>
      <c r="H27" s="118">
        <f t="shared" si="48"/>
        <v>4603</v>
      </c>
      <c r="I27" s="118">
        <f t="shared" si="48"/>
        <v>249</v>
      </c>
      <c r="J27" s="118">
        <f t="shared" si="48"/>
        <v>306</v>
      </c>
      <c r="K27" s="118">
        <f t="shared" si="48"/>
        <v>321</v>
      </c>
      <c r="L27" s="118">
        <f t="shared" si="48"/>
        <v>983</v>
      </c>
      <c r="M27" s="118">
        <f t="shared" si="48"/>
        <v>71</v>
      </c>
      <c r="N27" s="118">
        <f t="shared" si="48"/>
        <v>155</v>
      </c>
      <c r="O27" s="118">
        <f t="shared" si="48"/>
        <v>62</v>
      </c>
      <c r="P27" s="118">
        <f t="shared" si="48"/>
        <v>203</v>
      </c>
      <c r="Q27" s="118">
        <f t="shared" si="36"/>
        <v>8</v>
      </c>
      <c r="R27" s="118">
        <f t="shared" si="36"/>
        <v>27</v>
      </c>
      <c r="S27" s="118">
        <v>89</v>
      </c>
      <c r="T27" s="118">
        <f t="shared" si="37"/>
        <v>11</v>
      </c>
      <c r="U27" s="118">
        <f t="shared" si="37"/>
        <v>17</v>
      </c>
      <c r="V27" s="118">
        <f t="shared" ref="V27:AC27" si="49">+V9-V18</f>
        <v>166</v>
      </c>
      <c r="W27" s="118">
        <f t="shared" si="49"/>
        <v>1239</v>
      </c>
      <c r="X27" s="118">
        <f t="shared" si="49"/>
        <v>545</v>
      </c>
      <c r="Y27" s="118">
        <f t="shared" si="49"/>
        <v>5</v>
      </c>
      <c r="Z27" s="118">
        <f t="shared" si="49"/>
        <v>73</v>
      </c>
      <c r="AA27" s="118">
        <f t="shared" si="49"/>
        <v>0</v>
      </c>
      <c r="AB27" s="118">
        <f t="shared" si="49"/>
        <v>0</v>
      </c>
      <c r="AC27" s="118">
        <f t="shared" si="49"/>
        <v>113</v>
      </c>
      <c r="AD27" s="118">
        <f t="shared" si="39"/>
        <v>117</v>
      </c>
      <c r="AE27" s="118">
        <f t="shared" si="39"/>
        <v>304</v>
      </c>
      <c r="AF27" s="118">
        <f t="shared" si="40"/>
        <v>248</v>
      </c>
      <c r="AG27" s="118">
        <f t="shared" si="40"/>
        <v>244</v>
      </c>
      <c r="AH27" s="118">
        <f t="shared" si="41"/>
        <v>387</v>
      </c>
      <c r="AI27" s="118">
        <f t="shared" si="41"/>
        <v>16871</v>
      </c>
      <c r="AJ27" s="118">
        <f t="shared" si="41"/>
        <v>20530</v>
      </c>
      <c r="AK27" s="118">
        <v>129</v>
      </c>
      <c r="AL27" s="118">
        <f t="shared" si="41"/>
        <v>255</v>
      </c>
      <c r="AM27" s="118">
        <f t="shared" si="42"/>
        <v>443</v>
      </c>
      <c r="AN27" s="118">
        <f t="shared" si="42"/>
        <v>458</v>
      </c>
      <c r="AO27" s="118">
        <f t="shared" si="42"/>
        <v>409</v>
      </c>
      <c r="AP27" s="118">
        <f t="shared" si="42"/>
        <v>1244</v>
      </c>
      <c r="AQ27" s="118">
        <f t="shared" si="42"/>
        <v>835</v>
      </c>
      <c r="AR27" s="118">
        <f t="shared" si="42"/>
        <v>548</v>
      </c>
      <c r="AS27" s="118">
        <f t="shared" si="42"/>
        <v>536</v>
      </c>
      <c r="AT27" s="118">
        <v>339</v>
      </c>
      <c r="AU27" s="118">
        <f t="shared" si="43"/>
        <v>567</v>
      </c>
      <c r="AV27" s="118">
        <v>479</v>
      </c>
      <c r="AW27" s="118">
        <v>726</v>
      </c>
      <c r="AX27" s="118">
        <f t="shared" si="43"/>
        <v>527</v>
      </c>
      <c r="AY27" s="118">
        <v>512</v>
      </c>
      <c r="AZ27" s="118">
        <v>1037</v>
      </c>
      <c r="BA27" s="118">
        <v>1965</v>
      </c>
      <c r="BB27" s="118">
        <f>+BB9-BB18</f>
        <v>1200</v>
      </c>
    </row>
    <row r="28" spans="1:54" ht="15" customHeight="1" x14ac:dyDescent="0.2">
      <c r="A28" s="25" t="s">
        <v>95</v>
      </c>
      <c r="B28" s="25" t="s">
        <v>892</v>
      </c>
      <c r="D28" s="129" t="str">
        <f>IF([1]RENAME!$H$3=1,B28,A28)</f>
        <v>Títulos vencidos a mais de 180 dias</v>
      </c>
      <c r="E28" s="118">
        <f t="shared" ref="E28:P28" si="50">+E10-E19</f>
        <v>29721</v>
      </c>
      <c r="F28" s="160">
        <f t="shared" si="50"/>
        <v>21603</v>
      </c>
      <c r="G28" s="118">
        <f t="shared" si="50"/>
        <v>23373</v>
      </c>
      <c r="H28" s="118">
        <f t="shared" si="50"/>
        <v>6280</v>
      </c>
      <c r="I28" s="118">
        <f t="shared" si="50"/>
        <v>6452</v>
      </c>
      <c r="J28" s="118">
        <f t="shared" si="50"/>
        <v>5621</v>
      </c>
      <c r="K28" s="118">
        <f t="shared" si="50"/>
        <v>5838</v>
      </c>
      <c r="L28" s="118">
        <f t="shared" si="50"/>
        <v>5859</v>
      </c>
      <c r="M28" s="118">
        <f t="shared" si="50"/>
        <v>6381</v>
      </c>
      <c r="N28" s="118">
        <f t="shared" si="50"/>
        <v>5663</v>
      </c>
      <c r="O28" s="118">
        <f t="shared" si="50"/>
        <v>5715</v>
      </c>
      <c r="P28" s="118">
        <f t="shared" si="50"/>
        <v>5700</v>
      </c>
      <c r="Q28" s="118">
        <f t="shared" si="36"/>
        <v>5864</v>
      </c>
      <c r="R28" s="118">
        <f t="shared" si="36"/>
        <v>5842</v>
      </c>
      <c r="S28" s="118">
        <v>5827</v>
      </c>
      <c r="T28" s="118">
        <f t="shared" si="37"/>
        <v>1857</v>
      </c>
      <c r="U28" s="118">
        <f t="shared" si="37"/>
        <v>1628</v>
      </c>
      <c r="V28" s="118">
        <f t="shared" ref="V28:AC28" si="51">+V10-V19</f>
        <v>846</v>
      </c>
      <c r="W28" s="118">
        <f t="shared" si="51"/>
        <v>1122</v>
      </c>
      <c r="X28" s="118">
        <f t="shared" si="51"/>
        <v>2335</v>
      </c>
      <c r="Y28" s="118">
        <f t="shared" si="51"/>
        <v>2856</v>
      </c>
      <c r="Z28" s="118">
        <f t="shared" si="51"/>
        <v>837</v>
      </c>
      <c r="AA28" s="118">
        <f t="shared" si="51"/>
        <v>883</v>
      </c>
      <c r="AB28" s="118">
        <f t="shared" si="51"/>
        <v>47</v>
      </c>
      <c r="AC28" s="118">
        <f t="shared" si="51"/>
        <v>47</v>
      </c>
      <c r="AD28" s="118">
        <f t="shared" si="39"/>
        <v>56</v>
      </c>
      <c r="AE28" s="118">
        <f t="shared" si="39"/>
        <v>80</v>
      </c>
      <c r="AF28" s="118">
        <f t="shared" si="40"/>
        <v>311</v>
      </c>
      <c r="AG28" s="118">
        <f t="shared" si="40"/>
        <v>112</v>
      </c>
      <c r="AH28" s="118">
        <f t="shared" si="41"/>
        <v>131</v>
      </c>
      <c r="AI28" s="118">
        <f t="shared" si="41"/>
        <v>349</v>
      </c>
      <c r="AJ28" s="118">
        <f t="shared" si="41"/>
        <v>17483</v>
      </c>
      <c r="AK28" s="118">
        <v>185</v>
      </c>
      <c r="AL28" s="118">
        <f t="shared" si="41"/>
        <v>207</v>
      </c>
      <c r="AM28" s="118">
        <f t="shared" si="42"/>
        <v>310</v>
      </c>
      <c r="AN28" s="118">
        <f t="shared" si="42"/>
        <v>577</v>
      </c>
      <c r="AO28" s="118">
        <f t="shared" si="42"/>
        <v>717</v>
      </c>
      <c r="AP28" s="118">
        <f t="shared" si="42"/>
        <v>844</v>
      </c>
      <c r="AQ28" s="118">
        <f t="shared" si="42"/>
        <v>1108</v>
      </c>
      <c r="AR28" s="118">
        <f t="shared" si="42"/>
        <v>1426</v>
      </c>
      <c r="AS28" s="118">
        <f t="shared" si="42"/>
        <v>1317</v>
      </c>
      <c r="AT28" s="118">
        <v>990</v>
      </c>
      <c r="AU28" s="118">
        <f t="shared" si="43"/>
        <v>663</v>
      </c>
      <c r="AV28" s="118">
        <v>533</v>
      </c>
      <c r="AW28" s="118">
        <v>786</v>
      </c>
      <c r="AX28" s="118">
        <f t="shared" si="43"/>
        <v>779</v>
      </c>
      <c r="AY28" s="118">
        <v>395</v>
      </c>
      <c r="AZ28" s="118">
        <v>712</v>
      </c>
      <c r="BA28" s="118">
        <v>1528</v>
      </c>
      <c r="BB28" s="118">
        <f>+BB10-BB19</f>
        <v>2308</v>
      </c>
    </row>
    <row r="29" spans="1:54" s="254" customFormat="1" ht="15" customHeight="1" x14ac:dyDescent="0.2">
      <c r="A29" s="254" t="s">
        <v>1991</v>
      </c>
      <c r="B29" s="254" t="s">
        <v>1992</v>
      </c>
      <c r="D29" s="255" t="str">
        <f>IF([1]RENAME!$H$3=1,B29,A29)</f>
        <v>% Vencidos &gt;180 dias / TOTAL</v>
      </c>
      <c r="E29" s="1241">
        <f t="shared" ref="E29:AM29" si="52">E28/E30</f>
        <v>0.2170192258545027</v>
      </c>
      <c r="F29" s="1242">
        <f t="shared" si="52"/>
        <v>0.29035509798123704</v>
      </c>
      <c r="G29" s="1241">
        <f t="shared" si="52"/>
        <v>0.3451417601890136</v>
      </c>
      <c r="H29" s="1241">
        <f t="shared" si="52"/>
        <v>0.18411562930604825</v>
      </c>
      <c r="I29" s="1241">
        <f t="shared" si="52"/>
        <v>0.16354879594423322</v>
      </c>
      <c r="J29" s="1241">
        <f t="shared" si="52"/>
        <v>0.11651431295732023</v>
      </c>
      <c r="K29" s="1241">
        <f t="shared" si="52"/>
        <v>0.11369700274602217</v>
      </c>
      <c r="L29" s="1241">
        <f t="shared" si="52"/>
        <v>0.12034754744885383</v>
      </c>
      <c r="M29" s="1241">
        <f t="shared" si="52"/>
        <v>0.21115854263873721</v>
      </c>
      <c r="N29" s="1241">
        <f t="shared" si="52"/>
        <v>0.17163726738194823</v>
      </c>
      <c r="O29" s="1241">
        <f t="shared" si="52"/>
        <v>0.19724580658521432</v>
      </c>
      <c r="P29" s="1241">
        <f t="shared" si="52"/>
        <v>0.18179498628564139</v>
      </c>
      <c r="Q29" s="1241">
        <f t="shared" si="52"/>
        <v>0.21810607751246003</v>
      </c>
      <c r="R29" s="1241">
        <f t="shared" si="52"/>
        <v>0.21219715956558061</v>
      </c>
      <c r="S29" s="1241">
        <f t="shared" si="52"/>
        <v>0.21947269303201505</v>
      </c>
      <c r="T29" s="1241">
        <f t="shared" si="52"/>
        <v>6.8816008893829911E-2</v>
      </c>
      <c r="U29" s="1241">
        <f t="shared" si="52"/>
        <v>6.8139963167587483E-2</v>
      </c>
      <c r="V29" s="1241">
        <f t="shared" si="52"/>
        <v>3.5335393868515579E-2</v>
      </c>
      <c r="W29" s="1241">
        <f t="shared" si="52"/>
        <v>3.9571136347605278E-2</v>
      </c>
      <c r="X29" s="1241">
        <f t="shared" si="52"/>
        <v>6.9612139641653997E-2</v>
      </c>
      <c r="Y29" s="1241">
        <f t="shared" si="52"/>
        <v>8.300877753880137E-2</v>
      </c>
      <c r="Z29" s="1241">
        <f t="shared" si="52"/>
        <v>2.3423725967592981E-2</v>
      </c>
      <c r="AA29" s="1241">
        <f t="shared" si="52"/>
        <v>2.2246856970093976E-2</v>
      </c>
      <c r="AB29" s="1241">
        <f t="shared" si="52"/>
        <v>1.1532044361566396E-3</v>
      </c>
      <c r="AC29" s="1241">
        <f t="shared" si="52"/>
        <v>1.151001616300142E-3</v>
      </c>
      <c r="AD29" s="1241">
        <f t="shared" si="52"/>
        <v>1.1380957219794736E-3</v>
      </c>
      <c r="AE29" s="1241">
        <f t="shared" si="52"/>
        <v>2.0425879589439822E-3</v>
      </c>
      <c r="AF29" s="1241">
        <f t="shared" si="52"/>
        <v>8.6202117634015182E-3</v>
      </c>
      <c r="AG29" s="1241">
        <f t="shared" si="52"/>
        <v>4.1039170422483605E-3</v>
      </c>
      <c r="AH29" s="1241">
        <f t="shared" si="52"/>
        <v>2.592108908148324E-3</v>
      </c>
      <c r="AI29" s="1241">
        <f t="shared" si="52"/>
        <v>5.4231283214718588E-3</v>
      </c>
      <c r="AJ29" s="1241">
        <f t="shared" si="52"/>
        <v>0.20339712640335059</v>
      </c>
      <c r="AK29" s="1241">
        <f t="shared" si="52"/>
        <v>2.4595830674324611E-3</v>
      </c>
      <c r="AL29" s="1241">
        <f t="shared" si="52"/>
        <v>3.2814432009130971E-3</v>
      </c>
      <c r="AM29" s="1241">
        <f t="shared" si="52"/>
        <v>6.7011089254447589E-3</v>
      </c>
      <c r="AN29" s="1241">
        <f t="shared" ref="AN29:AS29" si="53">AN28/AN30</f>
        <v>1.2569163072365268E-2</v>
      </c>
      <c r="AO29" s="1241">
        <f t="shared" si="53"/>
        <v>1.3255684969495286E-2</v>
      </c>
      <c r="AP29" s="1241">
        <f t="shared" si="53"/>
        <v>1.6591311185374484E-2</v>
      </c>
      <c r="AQ29" s="1241">
        <f t="shared" si="53"/>
        <v>2.0992402569106308E-2</v>
      </c>
      <c r="AR29" s="1241">
        <f t="shared" si="53"/>
        <v>2.6925473461603823E-2</v>
      </c>
      <c r="AS29" s="1241">
        <f t="shared" si="53"/>
        <v>2.0503160320079709E-2</v>
      </c>
      <c r="AT29" s="1241">
        <f>AT28/AT30</f>
        <v>1.8976786980774023E-2</v>
      </c>
      <c r="AU29" s="1241">
        <f>AU28/AU30</f>
        <v>1.2713814527882181E-2</v>
      </c>
      <c r="AV29" s="1241">
        <v>1.204601441905666E-2</v>
      </c>
      <c r="AW29" s="1241">
        <v>1.4454640748846019E-2</v>
      </c>
      <c r="AX29" s="1241">
        <f>AX28/AX30</f>
        <v>1.2624993922499717E-2</v>
      </c>
      <c r="AY29" s="1241">
        <v>6.8172796465369948E-3</v>
      </c>
      <c r="AZ29" s="1241">
        <v>1.1113886113886114E-2</v>
      </c>
      <c r="BA29" s="1241">
        <v>2.19657001566925E-2</v>
      </c>
      <c r="BB29" s="1241">
        <f>BB28/BB30</f>
        <v>3.5020636076717647E-2</v>
      </c>
    </row>
    <row r="30" spans="1:54" ht="15" customHeight="1" x14ac:dyDescent="0.2">
      <c r="A30" s="25" t="s">
        <v>94</v>
      </c>
      <c r="B30" s="25" t="s">
        <v>893</v>
      </c>
      <c r="D30" s="126" t="str">
        <f>IF([1]RENAME!$H$3=1,B30,A30)</f>
        <v>Contas a Receber</v>
      </c>
      <c r="E30" s="120">
        <f t="shared" ref="E30:L30" si="54">SUM(E24:E28)</f>
        <v>136951</v>
      </c>
      <c r="F30" s="162">
        <f t="shared" si="54"/>
        <v>74402</v>
      </c>
      <c r="G30" s="120">
        <f t="shared" si="54"/>
        <v>67720</v>
      </c>
      <c r="H30" s="120">
        <f t="shared" si="54"/>
        <v>34109</v>
      </c>
      <c r="I30" s="120">
        <f t="shared" si="54"/>
        <v>39450</v>
      </c>
      <c r="J30" s="120">
        <f t="shared" si="54"/>
        <v>48243</v>
      </c>
      <c r="K30" s="120">
        <f t="shared" si="54"/>
        <v>51347</v>
      </c>
      <c r="L30" s="120">
        <f t="shared" si="54"/>
        <v>48684</v>
      </c>
      <c r="M30" s="120">
        <f t="shared" ref="M30:W30" si="55">SUM(M24:M28)</f>
        <v>30219</v>
      </c>
      <c r="N30" s="120">
        <f t="shared" si="55"/>
        <v>32994</v>
      </c>
      <c r="O30" s="120">
        <f t="shared" si="55"/>
        <v>28974</v>
      </c>
      <c r="P30" s="120">
        <f t="shared" si="55"/>
        <v>31354</v>
      </c>
      <c r="Q30" s="120">
        <f t="shared" si="55"/>
        <v>26886</v>
      </c>
      <c r="R30" s="120">
        <f t="shared" si="55"/>
        <v>27531</v>
      </c>
      <c r="S30" s="120">
        <f t="shared" si="55"/>
        <v>26550</v>
      </c>
      <c r="T30" s="120">
        <f t="shared" si="55"/>
        <v>26985</v>
      </c>
      <c r="U30" s="120">
        <f t="shared" si="55"/>
        <v>23892</v>
      </c>
      <c r="V30" s="120">
        <f t="shared" si="55"/>
        <v>23942</v>
      </c>
      <c r="W30" s="120">
        <f t="shared" si="55"/>
        <v>28354</v>
      </c>
      <c r="X30" s="120">
        <f t="shared" ref="X30:AC30" si="56">SUM(X24:X28)</f>
        <v>33543</v>
      </c>
      <c r="Y30" s="120">
        <f t="shared" si="56"/>
        <v>34406</v>
      </c>
      <c r="Z30" s="120">
        <f t="shared" si="56"/>
        <v>35733</v>
      </c>
      <c r="AA30" s="120">
        <f t="shared" si="56"/>
        <v>39691</v>
      </c>
      <c r="AB30" s="120">
        <f t="shared" si="56"/>
        <v>40756</v>
      </c>
      <c r="AC30" s="120">
        <f t="shared" si="56"/>
        <v>40834</v>
      </c>
      <c r="AD30" s="120">
        <f t="shared" ref="AD30:AL30" si="57">SUM(AD24:AD28)</f>
        <v>49205</v>
      </c>
      <c r="AE30" s="120">
        <f t="shared" si="57"/>
        <v>39166</v>
      </c>
      <c r="AF30" s="120">
        <f t="shared" si="57"/>
        <v>36078</v>
      </c>
      <c r="AG30" s="120">
        <f t="shared" si="57"/>
        <v>27291</v>
      </c>
      <c r="AH30" s="120">
        <f t="shared" si="57"/>
        <v>50538</v>
      </c>
      <c r="AI30" s="120">
        <f t="shared" si="57"/>
        <v>64354</v>
      </c>
      <c r="AJ30" s="120">
        <f t="shared" si="57"/>
        <v>85955</v>
      </c>
      <c r="AK30" s="120">
        <f t="shared" si="57"/>
        <v>75216</v>
      </c>
      <c r="AL30" s="120">
        <f t="shared" si="57"/>
        <v>63082</v>
      </c>
      <c r="AM30" s="120">
        <f t="shared" ref="AM30:AS30" si="58">SUM(AM24:AM28)</f>
        <v>46261</v>
      </c>
      <c r="AN30" s="120">
        <f t="shared" si="58"/>
        <v>45906</v>
      </c>
      <c r="AO30" s="120">
        <f t="shared" si="58"/>
        <v>54090</v>
      </c>
      <c r="AP30" s="120">
        <f t="shared" si="58"/>
        <v>50870</v>
      </c>
      <c r="AQ30" s="120">
        <f t="shared" si="58"/>
        <v>52781</v>
      </c>
      <c r="AR30" s="120">
        <f t="shared" si="58"/>
        <v>52961</v>
      </c>
      <c r="AS30" s="120">
        <f t="shared" si="58"/>
        <v>64234</v>
      </c>
      <c r="AT30" s="120">
        <f t="shared" ref="AT30:BB30" si="59">SUM(AT24:AT28)</f>
        <v>52169</v>
      </c>
      <c r="AU30" s="120">
        <f t="shared" si="59"/>
        <v>52148</v>
      </c>
      <c r="AV30" s="120">
        <f t="shared" si="59"/>
        <v>44247</v>
      </c>
      <c r="AW30" s="120">
        <f t="shared" si="59"/>
        <v>54377</v>
      </c>
      <c r="AX30" s="120">
        <f t="shared" si="59"/>
        <v>61703</v>
      </c>
      <c r="AY30" s="120">
        <f t="shared" si="59"/>
        <v>57941</v>
      </c>
      <c r="AZ30" s="120">
        <f t="shared" si="59"/>
        <v>64064</v>
      </c>
      <c r="BA30" s="120">
        <f>SUM(BA24:BA28)</f>
        <v>69563</v>
      </c>
      <c r="BB30" s="120">
        <f t="shared" si="59"/>
        <v>65904</v>
      </c>
    </row>
    <row r="31" spans="1:54" x14ac:dyDescent="0.2">
      <c r="D31" s="28"/>
      <c r="E31" s="28"/>
      <c r="F31" s="28"/>
      <c r="G31" s="28"/>
      <c r="H31" s="28"/>
      <c r="I31" s="28"/>
      <c r="J31" s="28"/>
    </row>
    <row r="32" spans="1:54" x14ac:dyDescent="0.2">
      <c r="D32"/>
      <c r="E32"/>
      <c r="F32"/>
      <c r="G32"/>
      <c r="H32"/>
      <c r="I32"/>
      <c r="J32"/>
    </row>
    <row r="33" spans="3:23" x14ac:dyDescent="0.2">
      <c r="D33"/>
      <c r="E33"/>
      <c r="F33"/>
      <c r="G33"/>
      <c r="H33"/>
      <c r="I33"/>
      <c r="J33"/>
    </row>
    <row r="34" spans="3:23" x14ac:dyDescent="0.2">
      <c r="D34"/>
      <c r="E34"/>
      <c r="F34"/>
      <c r="G34"/>
      <c r="H34"/>
      <c r="I34"/>
      <c r="J34"/>
    </row>
    <row r="35" spans="3:23" ht="14.25" customHeight="1" x14ac:dyDescent="0.2">
      <c r="C35"/>
      <c r="D35"/>
      <c r="E35"/>
      <c r="F35"/>
      <c r="G35"/>
      <c r="H35"/>
      <c r="I35"/>
      <c r="J35"/>
      <c r="K35"/>
      <c r="L35"/>
      <c r="M35"/>
      <c r="N35"/>
      <c r="O35"/>
      <c r="P35"/>
      <c r="Q35"/>
      <c r="R35"/>
      <c r="S35"/>
      <c r="T35"/>
      <c r="U35"/>
      <c r="V35"/>
      <c r="W35"/>
    </row>
    <row r="36" spans="3:23" ht="14.25" customHeight="1" x14ac:dyDescent="0.2">
      <c r="C36"/>
      <c r="D36"/>
      <c r="E36"/>
      <c r="F36"/>
      <c r="G36"/>
      <c r="H36"/>
      <c r="I36"/>
      <c r="J36"/>
      <c r="K36"/>
      <c r="L36"/>
      <c r="M36"/>
      <c r="N36"/>
      <c r="O36"/>
      <c r="P36"/>
      <c r="Q36"/>
      <c r="R36"/>
      <c r="S36"/>
      <c r="T36"/>
      <c r="U36"/>
      <c r="V36"/>
      <c r="W36"/>
    </row>
    <row r="37" spans="3:23" ht="14.25" customHeight="1" x14ac:dyDescent="0.2">
      <c r="C37"/>
      <c r="D37"/>
      <c r="E37"/>
      <c r="F37"/>
      <c r="G37"/>
      <c r="H37"/>
      <c r="I37"/>
      <c r="J37"/>
      <c r="K37"/>
      <c r="L37"/>
      <c r="M37"/>
      <c r="N37"/>
      <c r="O37"/>
      <c r="P37"/>
      <c r="Q37"/>
      <c r="R37"/>
      <c r="S37"/>
      <c r="T37"/>
      <c r="U37"/>
      <c r="V37"/>
      <c r="W37"/>
    </row>
    <row r="38" spans="3:23" ht="14.25" customHeight="1" x14ac:dyDescent="0.2">
      <c r="C38"/>
      <c r="D38"/>
      <c r="E38"/>
      <c r="F38"/>
      <c r="G38"/>
      <c r="H38"/>
      <c r="I38"/>
      <c r="J38"/>
      <c r="K38"/>
      <c r="L38"/>
      <c r="M38"/>
      <c r="N38"/>
      <c r="O38"/>
      <c r="P38"/>
      <c r="Q38"/>
      <c r="R38"/>
      <c r="S38"/>
      <c r="T38"/>
      <c r="U38"/>
      <c r="V38"/>
      <c r="W38"/>
    </row>
    <row r="39" spans="3:23" ht="14.25" customHeight="1" x14ac:dyDescent="0.2">
      <c r="C39"/>
      <c r="D39"/>
      <c r="E39"/>
      <c r="F39"/>
      <c r="G39"/>
      <c r="H39"/>
      <c r="I39"/>
      <c r="J39"/>
      <c r="K39"/>
      <c r="L39"/>
      <c r="M39"/>
      <c r="N39"/>
      <c r="O39"/>
      <c r="P39"/>
      <c r="Q39"/>
      <c r="R39"/>
      <c r="S39"/>
      <c r="T39"/>
      <c r="U39"/>
      <c r="V39"/>
      <c r="W39"/>
    </row>
    <row r="40" spans="3:23" ht="14.25" customHeight="1" x14ac:dyDescent="0.2">
      <c r="C40"/>
      <c r="D40"/>
      <c r="E40"/>
      <c r="F40"/>
      <c r="G40"/>
      <c r="H40"/>
      <c r="I40"/>
      <c r="J40"/>
      <c r="K40"/>
      <c r="L40"/>
      <c r="M40"/>
      <c r="N40"/>
      <c r="O40"/>
      <c r="P40"/>
      <c r="Q40"/>
      <c r="R40"/>
      <c r="S40"/>
      <c r="T40"/>
      <c r="U40"/>
      <c r="V40"/>
      <c r="W40"/>
    </row>
    <row r="41" spans="3:23" ht="14.25" customHeight="1" x14ac:dyDescent="0.2">
      <c r="C41"/>
      <c r="D41"/>
      <c r="E41"/>
      <c r="F41"/>
      <c r="G41"/>
      <c r="H41"/>
      <c r="I41"/>
      <c r="J41"/>
      <c r="K41"/>
      <c r="L41"/>
      <c r="M41"/>
      <c r="N41"/>
      <c r="O41"/>
      <c r="P41"/>
      <c r="Q41"/>
      <c r="R41"/>
      <c r="S41"/>
      <c r="T41"/>
      <c r="U41"/>
      <c r="V41"/>
      <c r="W41"/>
    </row>
    <row r="42" spans="3:23" ht="24" customHeight="1" x14ac:dyDescent="0.2">
      <c r="C42"/>
      <c r="D42"/>
      <c r="E42"/>
      <c r="F42"/>
      <c r="G42"/>
      <c r="H42"/>
      <c r="I42"/>
      <c r="J42"/>
      <c r="K42"/>
      <c r="L42"/>
      <c r="M42"/>
      <c r="N42"/>
      <c r="O42"/>
      <c r="P42"/>
      <c r="Q42"/>
      <c r="R42"/>
      <c r="S42"/>
      <c r="T42"/>
      <c r="U42"/>
      <c r="V42"/>
      <c r="W42"/>
    </row>
    <row r="43" spans="3:23" ht="15" customHeight="1" x14ac:dyDescent="0.2">
      <c r="C43"/>
      <c r="D43"/>
      <c r="E43"/>
      <c r="F43"/>
      <c r="G43"/>
      <c r="H43"/>
      <c r="I43"/>
      <c r="J43"/>
      <c r="K43"/>
      <c r="L43"/>
      <c r="M43"/>
      <c r="N43"/>
      <c r="O43"/>
      <c r="P43"/>
      <c r="Q43"/>
      <c r="R43"/>
      <c r="S43"/>
      <c r="T43"/>
      <c r="U43"/>
      <c r="V43"/>
      <c r="W43"/>
    </row>
    <row r="44" spans="3:23" ht="24.75" customHeight="1" x14ac:dyDescent="0.2">
      <c r="C44"/>
      <c r="D44"/>
      <c r="E44"/>
      <c r="F44"/>
      <c r="G44"/>
      <c r="H44"/>
      <c r="I44"/>
      <c r="J44"/>
      <c r="K44"/>
      <c r="L44"/>
      <c r="M44"/>
      <c r="N44"/>
      <c r="O44"/>
      <c r="P44"/>
      <c r="Q44"/>
      <c r="R44"/>
      <c r="S44"/>
      <c r="T44"/>
      <c r="U44"/>
      <c r="V44"/>
      <c r="W44"/>
    </row>
    <row r="45" spans="3:23" ht="14.25" customHeight="1" x14ac:dyDescent="0.2">
      <c r="C45"/>
      <c r="D45"/>
      <c r="E45"/>
      <c r="F45"/>
      <c r="G45"/>
      <c r="H45"/>
      <c r="I45"/>
      <c r="J45"/>
      <c r="K45"/>
      <c r="L45"/>
      <c r="M45"/>
      <c r="N45"/>
      <c r="O45"/>
      <c r="P45"/>
      <c r="Q45"/>
      <c r="R45"/>
      <c r="S45"/>
      <c r="T45"/>
      <c r="U45"/>
      <c r="V45"/>
      <c r="W45"/>
    </row>
    <row r="46" spans="3:23" ht="14.25" customHeight="1" x14ac:dyDescent="0.2">
      <c r="C46"/>
      <c r="D46"/>
      <c r="E46"/>
      <c r="F46"/>
      <c r="G46"/>
      <c r="H46"/>
      <c r="I46"/>
      <c r="J46"/>
      <c r="K46"/>
      <c r="L46"/>
      <c r="M46"/>
      <c r="N46"/>
      <c r="O46"/>
      <c r="P46"/>
      <c r="Q46"/>
      <c r="R46"/>
      <c r="S46"/>
      <c r="T46"/>
      <c r="U46"/>
      <c r="V46"/>
      <c r="W46"/>
    </row>
    <row r="47" spans="3:23" ht="14.25" customHeight="1" x14ac:dyDescent="0.2">
      <c r="C47"/>
      <c r="K47"/>
      <c r="L47"/>
      <c r="M47"/>
      <c r="N47"/>
      <c r="O47"/>
      <c r="P47"/>
      <c r="Q47"/>
      <c r="R47"/>
      <c r="S47"/>
      <c r="T47"/>
      <c r="U47"/>
      <c r="V47"/>
      <c r="W47"/>
    </row>
    <row r="48" spans="3:23" ht="14.25" customHeight="1" x14ac:dyDescent="0.2">
      <c r="C48"/>
      <c r="K48"/>
      <c r="L48"/>
      <c r="M48"/>
      <c r="N48"/>
      <c r="O48"/>
      <c r="P48"/>
      <c r="Q48"/>
      <c r="R48"/>
      <c r="S48"/>
      <c r="T48"/>
      <c r="U48"/>
      <c r="V48"/>
      <c r="W48"/>
    </row>
    <row r="49" spans="3:23" ht="14.25" customHeight="1" x14ac:dyDescent="0.2">
      <c r="C49"/>
      <c r="K49"/>
      <c r="L49"/>
      <c r="M49"/>
      <c r="N49"/>
      <c r="O49"/>
      <c r="P49"/>
      <c r="Q49"/>
      <c r="R49"/>
      <c r="S49"/>
      <c r="T49"/>
      <c r="U49"/>
      <c r="V49"/>
      <c r="W49"/>
    </row>
    <row r="50" spans="3:23" ht="14.25" customHeight="1" x14ac:dyDescent="0.2"/>
    <row r="77" ht="15" customHeight="1" x14ac:dyDescent="0.2"/>
    <row r="81" ht="14.25" customHeight="1" x14ac:dyDescent="0.2"/>
    <row r="104" ht="15" customHeight="1" x14ac:dyDescent="0.2"/>
    <row r="108" ht="20.25" customHeight="1" x14ac:dyDescent="0.2"/>
    <row r="134" ht="15" customHeight="1" x14ac:dyDescent="0.2"/>
    <row r="147" spans="4:10" x14ac:dyDescent="0.2">
      <c r="D147" s="36"/>
      <c r="E147" s="36"/>
      <c r="F147" s="36"/>
      <c r="G147" s="36"/>
      <c r="H147" s="36"/>
      <c r="I147" s="36"/>
      <c r="J147" s="36"/>
    </row>
    <row r="156" spans="4:10" s="36" customFormat="1" ht="26.25" customHeight="1" x14ac:dyDescent="0.2">
      <c r="D156" s="25"/>
      <c r="E156" s="25"/>
      <c r="F156" s="25"/>
      <c r="G156" s="25"/>
      <c r="H156" s="25"/>
      <c r="I156" s="25"/>
      <c r="J156" s="25"/>
    </row>
    <row r="157" spans="4:10" ht="14.25" customHeight="1" x14ac:dyDescent="0.2"/>
    <row r="164" ht="14.25" customHeight="1" x14ac:dyDescent="0.2"/>
  </sheetData>
  <mergeCells count="1">
    <mergeCell ref="D4:E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7">
    <pageSetUpPr autoPageBreaks="0"/>
  </sheetPr>
  <dimension ref="A1:BC30"/>
  <sheetViews>
    <sheetView showGridLines="0" workbookViewId="0">
      <pane xSplit="4" ySplit="4" topLeftCell="AG5" activePane="bottomRight" state="frozen"/>
      <selection activeCell="AY7" sqref="AY7"/>
      <selection pane="topRight" activeCell="AY7" sqref="AY7"/>
      <selection pane="bottomLeft" activeCell="AY7" sqref="AY7"/>
      <selection pane="bottomRight" activeCell="BC16" sqref="BC16"/>
    </sheetView>
  </sheetViews>
  <sheetFormatPr defaultRowHeight="12.75" outlineLevelRow="1" x14ac:dyDescent="0.2"/>
  <cols>
    <col min="1" max="2" width="9.140625" hidden="1" customWidth="1"/>
    <col min="3" max="3" width="1.42578125" customWidth="1"/>
    <col min="4" max="4" width="42.42578125" customWidth="1"/>
    <col min="5" max="24" width="10.85546875" customWidth="1"/>
  </cols>
  <sheetData>
    <row r="1" spans="1:55" s="547" customFormat="1" ht="7.5" customHeight="1" x14ac:dyDescent="0.2">
      <c r="E1" s="547" t="s">
        <v>0</v>
      </c>
      <c r="F1" s="547" t="str">
        <f>IF(LEFT(E1,1)="4","1T"&amp;RIGHT(E1,2)+1,LEFT(E1,1)+1&amp;RIGHT(E1,3))</f>
        <v>1T14</v>
      </c>
      <c r="G1" s="547" t="str">
        <f t="shared" ref="G1:U1" si="0">IF(LEFT(F1,1)="4","1T"&amp;RIGHT(F1,2)+1,LEFT(F1,1)+1&amp;RIGHT(F1,3))</f>
        <v>2T14</v>
      </c>
      <c r="H1" s="547" t="str">
        <f t="shared" si="0"/>
        <v>3T14</v>
      </c>
      <c r="I1" s="547" t="str">
        <f t="shared" si="0"/>
        <v>4T14</v>
      </c>
      <c r="J1" s="547" t="str">
        <f t="shared" si="0"/>
        <v>1T15</v>
      </c>
      <c r="K1" s="547" t="str">
        <f t="shared" si="0"/>
        <v>2T15</v>
      </c>
      <c r="L1" s="547" t="str">
        <f t="shared" si="0"/>
        <v>3T15</v>
      </c>
      <c r="M1" s="547" t="str">
        <f t="shared" si="0"/>
        <v>4T15</v>
      </c>
      <c r="N1" s="547" t="str">
        <f t="shared" si="0"/>
        <v>1T16</v>
      </c>
      <c r="O1" s="547" t="str">
        <f t="shared" si="0"/>
        <v>2T16</v>
      </c>
      <c r="P1" s="547" t="str">
        <f t="shared" si="0"/>
        <v>3T16</v>
      </c>
      <c r="Q1" s="547" t="str">
        <f t="shared" si="0"/>
        <v>4T16</v>
      </c>
      <c r="R1" s="547" t="str">
        <f t="shared" si="0"/>
        <v>1T17</v>
      </c>
      <c r="S1" s="547" t="str">
        <f t="shared" si="0"/>
        <v>2T17</v>
      </c>
      <c r="T1" s="547" t="str">
        <f t="shared" si="0"/>
        <v>3T17</v>
      </c>
      <c r="U1" s="547" t="str">
        <f t="shared" si="0"/>
        <v>4T17</v>
      </c>
      <c r="V1" s="547" t="s">
        <v>623</v>
      </c>
      <c r="W1" s="547" t="str">
        <f t="shared" ref="W1:AB1" si="1">IF(LEFT(V1,1)="4","1T"&amp;RIGHT(V1,2)+1,LEFT(V1,1)+1&amp;RIGHT(V1,3))</f>
        <v>2T18</v>
      </c>
      <c r="X1" s="547" t="str">
        <f t="shared" si="1"/>
        <v>3T18</v>
      </c>
      <c r="Y1" s="547" t="str">
        <f t="shared" si="1"/>
        <v>4T18</v>
      </c>
      <c r="Z1" s="547" t="str">
        <f t="shared" si="1"/>
        <v>1T19</v>
      </c>
      <c r="AA1" s="547" t="str">
        <f t="shared" si="1"/>
        <v>2T19</v>
      </c>
      <c r="AB1" s="547" t="str">
        <f t="shared" si="1"/>
        <v>3T19</v>
      </c>
      <c r="AC1" s="547" t="s">
        <v>1411</v>
      </c>
      <c r="AD1" s="547" t="str">
        <f t="shared" ref="AD1:AK1" si="2">IF(LEFT(AC1,1)="4","1T"&amp;RIGHT(AC1,2)+1,LEFT(AC1,1)+1&amp;RIGHT(AC1,3))</f>
        <v>1T20</v>
      </c>
      <c r="AE1" s="547" t="str">
        <f t="shared" si="2"/>
        <v>2T20</v>
      </c>
      <c r="AF1" s="547" t="str">
        <f t="shared" si="2"/>
        <v>3T20</v>
      </c>
      <c r="AG1" s="547" t="str">
        <f t="shared" si="2"/>
        <v>4T20</v>
      </c>
      <c r="AH1" s="547" t="str">
        <f t="shared" si="2"/>
        <v>1T21</v>
      </c>
      <c r="AI1" s="547" t="str">
        <f t="shared" si="2"/>
        <v>2T21</v>
      </c>
      <c r="AJ1" s="547" t="str">
        <f t="shared" si="2"/>
        <v>3T21</v>
      </c>
      <c r="AK1" s="547" t="str">
        <f t="shared" si="2"/>
        <v>4T21</v>
      </c>
      <c r="AL1" s="547" t="str">
        <f>IF(LEFT(AK1,1)="4","1T"&amp;RIGHT(AK1,2)+1,LEFT(AK1,1)+1&amp;RIGHT(AK1,3))</f>
        <v>1T22</v>
      </c>
      <c r="AM1" s="547" t="str">
        <f>IF(LEFT(AL1,1)="4","1T"&amp;RIGHT(AL1,2)+1,LEFT(AL1,1)+1&amp;RIGHT(AL1,3))</f>
        <v>2T22</v>
      </c>
      <c r="AN1" s="547" t="s">
        <v>1944</v>
      </c>
      <c r="AO1" s="547" t="str">
        <f t="shared" ref="AO1:AT1" si="3">IF(LEFT(AN1,1)="4","1T"&amp;RIGHT(AN1,2)+1,LEFT(AN1,1)+1&amp;RIGHT(AN1,3))</f>
        <v>4T22</v>
      </c>
      <c r="AP1" s="547" t="str">
        <f t="shared" si="3"/>
        <v>1T23</v>
      </c>
      <c r="AQ1" s="547" t="str">
        <f t="shared" si="3"/>
        <v>2T23</v>
      </c>
      <c r="AR1" s="547" t="str">
        <f t="shared" si="3"/>
        <v>3T23</v>
      </c>
      <c r="AS1" s="547" t="str">
        <f t="shared" si="3"/>
        <v>4T23</v>
      </c>
      <c r="AT1" s="547" t="str">
        <f t="shared" si="3"/>
        <v>1T24</v>
      </c>
      <c r="AU1" s="547" t="str">
        <f t="shared" ref="AU1:BC1" si="4">IF(LEFT(AT1,1)="4","1T"&amp;RIGHT(AT1,2)+1,LEFT(AT1,1)+1&amp;RIGHT(AT1,3))</f>
        <v>2T24</v>
      </c>
      <c r="AV1" s="547" t="str">
        <f t="shared" si="4"/>
        <v>3T24</v>
      </c>
      <c r="AW1" s="547" t="str">
        <f t="shared" si="4"/>
        <v>4T24</v>
      </c>
      <c r="AX1" s="547" t="str">
        <f t="shared" si="4"/>
        <v>1T25</v>
      </c>
      <c r="AY1" s="547" t="str">
        <f t="shared" si="4"/>
        <v>2T25</v>
      </c>
      <c r="AZ1" s="547" t="str">
        <f t="shared" si="4"/>
        <v>3T25</v>
      </c>
      <c r="BA1" s="547" t="str">
        <f t="shared" si="4"/>
        <v>4T25</v>
      </c>
      <c r="BB1" s="547" t="str">
        <f t="shared" si="4"/>
        <v>1T26</v>
      </c>
      <c r="BC1" s="547" t="str">
        <f t="shared" si="4"/>
        <v>2T26</v>
      </c>
    </row>
    <row r="2" spans="1:55" s="547" customFormat="1" x14ac:dyDescent="0.2">
      <c r="D2" s="585"/>
      <c r="E2" s="547" t="str">
        <f>SUBSTITUTE(E1,"T","Q")</f>
        <v>4Q13</v>
      </c>
      <c r="F2" s="547" t="str">
        <f>SUBSTITUTE(F1,"T","Q")</f>
        <v>1Q14</v>
      </c>
      <c r="G2" s="547" t="str">
        <f t="shared" ref="G2:T2" si="5">SUBSTITUTE(G1,"T","Q")</f>
        <v>2Q14</v>
      </c>
      <c r="H2" s="547" t="str">
        <f t="shared" si="5"/>
        <v>3Q14</v>
      </c>
      <c r="I2" s="547" t="str">
        <f t="shared" si="5"/>
        <v>4Q14</v>
      </c>
      <c r="J2" s="547" t="str">
        <f t="shared" si="5"/>
        <v>1Q15</v>
      </c>
      <c r="K2" s="547" t="str">
        <f t="shared" si="5"/>
        <v>2Q15</v>
      </c>
      <c r="L2" s="547" t="str">
        <f t="shared" si="5"/>
        <v>3Q15</v>
      </c>
      <c r="M2" s="547" t="str">
        <f t="shared" si="5"/>
        <v>4Q15</v>
      </c>
      <c r="N2" s="547" t="str">
        <f t="shared" si="5"/>
        <v>1Q16</v>
      </c>
      <c r="O2" s="547" t="str">
        <f t="shared" si="5"/>
        <v>2Q16</v>
      </c>
      <c r="P2" s="547" t="str">
        <f t="shared" si="5"/>
        <v>3Q16</v>
      </c>
      <c r="Q2" s="547" t="str">
        <f t="shared" si="5"/>
        <v>4Q16</v>
      </c>
      <c r="R2" s="547" t="str">
        <f t="shared" si="5"/>
        <v>1Q17</v>
      </c>
      <c r="S2" s="547" t="str">
        <f t="shared" si="5"/>
        <v>2Q17</v>
      </c>
      <c r="T2" s="547" t="str">
        <f t="shared" si="5"/>
        <v>3Q17</v>
      </c>
      <c r="U2" s="547" t="str">
        <f>SUBSTITUTE(U1,"T","Q")</f>
        <v>4Q17</v>
      </c>
      <c r="V2" s="547" t="s">
        <v>1290</v>
      </c>
      <c r="W2" s="547" t="str">
        <f t="shared" ref="W2:AB2" si="6">SUBSTITUTE(W1,"T","Q")</f>
        <v>2Q18</v>
      </c>
      <c r="X2" s="547" t="str">
        <f t="shared" si="6"/>
        <v>3Q18</v>
      </c>
      <c r="Y2" s="547" t="str">
        <f t="shared" si="6"/>
        <v>4Q18</v>
      </c>
      <c r="Z2" s="547" t="str">
        <f t="shared" si="6"/>
        <v>1Q19</v>
      </c>
      <c r="AA2" s="547" t="str">
        <f t="shared" si="6"/>
        <v>2Q19</v>
      </c>
      <c r="AB2" s="547" t="str">
        <f t="shared" si="6"/>
        <v>3Q19</v>
      </c>
      <c r="AC2" s="547" t="s">
        <v>1514</v>
      </c>
      <c r="AD2" s="547" t="str">
        <f>SUBSTITUTE(AD1,"T","Q")</f>
        <v>1Q20</v>
      </c>
      <c r="AE2" s="547" t="str">
        <f>SUBSTITUTE(AE1,"T","Q")</f>
        <v>2Q20</v>
      </c>
      <c r="AF2" s="547" t="str">
        <f>SUBSTITUTE(AF1,"T","Q")</f>
        <v>3Q20</v>
      </c>
      <c r="AG2" s="547" t="str">
        <f t="shared" ref="AG2:AM2" si="7">SUBSTITUTE(AG1,"T","Q")</f>
        <v>4Q20</v>
      </c>
      <c r="AH2" s="547" t="str">
        <f t="shared" si="7"/>
        <v>1Q21</v>
      </c>
      <c r="AI2" s="547" t="str">
        <f t="shared" si="7"/>
        <v>2Q21</v>
      </c>
      <c r="AJ2" s="547" t="str">
        <f t="shared" si="7"/>
        <v>3Q21</v>
      </c>
      <c r="AK2" s="547" t="str">
        <f t="shared" si="7"/>
        <v>4Q21</v>
      </c>
      <c r="AL2" s="547" t="str">
        <f t="shared" si="7"/>
        <v>1Q22</v>
      </c>
      <c r="AM2" s="547" t="str">
        <f t="shared" si="7"/>
        <v>2Q22</v>
      </c>
      <c r="AN2" s="547" t="s">
        <v>1945</v>
      </c>
      <c r="AO2" s="547" t="str">
        <f t="shared" ref="AO2:AT2" si="8">SUBSTITUTE(AO1,"T","Q")</f>
        <v>4Q22</v>
      </c>
      <c r="AP2" s="547" t="str">
        <f t="shared" si="8"/>
        <v>1Q23</v>
      </c>
      <c r="AQ2" s="547" t="str">
        <f t="shared" si="8"/>
        <v>2Q23</v>
      </c>
      <c r="AR2" s="547" t="str">
        <f t="shared" si="8"/>
        <v>3Q23</v>
      </c>
      <c r="AS2" s="547" t="str">
        <f t="shared" si="8"/>
        <v>4Q23</v>
      </c>
      <c r="AT2" s="547" t="str">
        <f t="shared" si="8"/>
        <v>1Q24</v>
      </c>
      <c r="AU2" s="547" t="str">
        <f t="shared" ref="AU2:BC2" si="9">SUBSTITUTE(AU1,"T","Q")</f>
        <v>2Q24</v>
      </c>
      <c r="AV2" s="547" t="str">
        <f t="shared" si="9"/>
        <v>3Q24</v>
      </c>
      <c r="AW2" s="547" t="str">
        <f t="shared" si="9"/>
        <v>4Q24</v>
      </c>
      <c r="AX2" s="547" t="str">
        <f t="shared" si="9"/>
        <v>1Q25</v>
      </c>
      <c r="AY2" s="547" t="str">
        <f t="shared" si="9"/>
        <v>2Q25</v>
      </c>
      <c r="AZ2" s="547" t="str">
        <f t="shared" si="9"/>
        <v>3Q25</v>
      </c>
      <c r="BA2" s="547" t="str">
        <f t="shared" si="9"/>
        <v>4Q25</v>
      </c>
      <c r="BB2" s="547" t="str">
        <f>SUBSTITUTE(BB1,"T","Q")</f>
        <v>1Q26</v>
      </c>
      <c r="BC2" s="547" t="str">
        <f t="shared" si="9"/>
        <v>2Q26</v>
      </c>
    </row>
    <row r="3" spans="1:55" x14ac:dyDescent="0.2">
      <c r="D3" s="53"/>
      <c r="G3" s="55"/>
      <c r="I3" s="54"/>
      <c r="J3" s="55"/>
      <c r="K3" s="55"/>
      <c r="Y3" s="547"/>
      <c r="Z3" s="547"/>
      <c r="AA3" s="547"/>
      <c r="AB3" s="547"/>
      <c r="AC3" s="547"/>
      <c r="AD3" s="547"/>
      <c r="AE3" s="547"/>
      <c r="AF3" s="547"/>
      <c r="AG3" s="547"/>
      <c r="AH3" s="547"/>
      <c r="AI3" s="547"/>
      <c r="AJ3" s="547"/>
      <c r="AK3" s="547"/>
      <c r="AL3" s="547"/>
      <c r="AM3" s="547"/>
      <c r="AN3" s="547"/>
      <c r="AO3" s="547"/>
      <c r="AP3" s="547"/>
      <c r="AQ3" s="547"/>
      <c r="AR3" s="327"/>
      <c r="AS3" s="327"/>
      <c r="AT3" s="327"/>
      <c r="AU3" s="327"/>
      <c r="AV3" s="327"/>
      <c r="AW3" s="327"/>
      <c r="AX3" s="327"/>
      <c r="AY3" s="327"/>
      <c r="AZ3" s="327"/>
      <c r="BA3" s="327"/>
      <c r="BB3" s="327"/>
      <c r="BC3" s="327"/>
    </row>
    <row r="4" spans="1:55" x14ac:dyDescent="0.2">
      <c r="D4" s="53"/>
      <c r="E4" s="1253" t="str">
        <f>IF([1]RENAME!$H$3=1,"&lt;== with Direct Express","&lt;== Com Direct Express")</f>
        <v>&lt;== Com Direct Express</v>
      </c>
      <c r="F4" s="1254"/>
      <c r="G4" s="224" t="str">
        <f>IF([1]RENAME!$H$3=1,"without Direct Express ==&gt;","Sem Direct Express ==&gt;")</f>
        <v>Sem Direct Express ==&gt;</v>
      </c>
      <c r="I4" s="54"/>
      <c r="J4" s="55"/>
      <c r="K4" s="55"/>
      <c r="Y4" s="547"/>
      <c r="Z4" s="547"/>
      <c r="AA4" s="547"/>
      <c r="AB4" s="547"/>
      <c r="AC4" s="547"/>
      <c r="AD4" s="547"/>
      <c r="AE4" s="547"/>
      <c r="AF4" s="547"/>
      <c r="AG4" s="547"/>
      <c r="AH4" s="547"/>
      <c r="AI4" s="547"/>
      <c r="AJ4" s="1041"/>
      <c r="AK4" s="1041"/>
      <c r="AL4" s="1041"/>
      <c r="AM4" s="1041"/>
      <c r="AN4" s="1041"/>
      <c r="AO4" s="1041"/>
      <c r="AP4" s="1041"/>
      <c r="AQ4" s="1041"/>
      <c r="AR4" s="1041"/>
      <c r="AS4" s="1041"/>
      <c r="AT4" s="1041"/>
      <c r="AU4" s="1041"/>
      <c r="AV4" s="1041"/>
      <c r="AW4" s="1041"/>
      <c r="AX4" s="1041"/>
      <c r="AY4" s="1041"/>
      <c r="AZ4" s="1041"/>
      <c r="BA4" s="1041"/>
      <c r="BB4" s="1041"/>
      <c r="BC4" s="1041"/>
    </row>
    <row r="5" spans="1:55" x14ac:dyDescent="0.2">
      <c r="A5" t="s">
        <v>96</v>
      </c>
      <c r="B5" t="s">
        <v>866</v>
      </c>
      <c r="D5" s="151" t="str">
        <f>IF([1]RENAME!$H$3=1,B5,A5)</f>
        <v>Consolidado</v>
      </c>
      <c r="E5" s="247" t="str">
        <f>IF([1]RENAME!$H$3=1,E2,E1)</f>
        <v>4T13</v>
      </c>
      <c r="F5" s="247" t="str">
        <f>IF([1]RENAME!$H$3=1,F2,F1)</f>
        <v>1T14</v>
      </c>
      <c r="G5" s="247" t="str">
        <f>IF([1]RENAME!$H$3=1,G2,G1)</f>
        <v>2T14</v>
      </c>
      <c r="H5" s="247" t="str">
        <f>IF([1]RENAME!$H$3=1,H2,H1)</f>
        <v>3T14</v>
      </c>
      <c r="I5" s="247" t="str">
        <f>IF([1]RENAME!$H$3=1,I2,I1)</f>
        <v>4T14</v>
      </c>
      <c r="J5" s="247" t="str">
        <f>IF([1]RENAME!$H$3=1,J2,J1)</f>
        <v>1T15</v>
      </c>
      <c r="K5" s="247" t="str">
        <f>IF([1]RENAME!$H$3=1,K2,K1)</f>
        <v>2T15</v>
      </c>
      <c r="L5" s="247" t="str">
        <f>IF([1]RENAME!$H$3=1,L2,L1)</f>
        <v>3T15</v>
      </c>
      <c r="M5" s="247" t="str">
        <f>IF([1]RENAME!$H$3=1,M2,M1)</f>
        <v>4T15</v>
      </c>
      <c r="N5" s="247" t="str">
        <f>IF([1]RENAME!$H$3=1,N2,N1)</f>
        <v>1T16</v>
      </c>
      <c r="O5" s="247" t="str">
        <f>IF([1]RENAME!$H$3=1,O2,O1)</f>
        <v>2T16</v>
      </c>
      <c r="P5" s="247" t="str">
        <f>IF([1]RENAME!$H$3=1,P2,P1)</f>
        <v>3T16</v>
      </c>
      <c r="Q5" s="247" t="str">
        <f>IF([1]RENAME!$H$3=1,Q2,Q1)</f>
        <v>4T16</v>
      </c>
      <c r="R5" s="247" t="str">
        <f>IF([1]RENAME!$H$3=1,R2,R1)</f>
        <v>1T17</v>
      </c>
      <c r="S5" s="247" t="str">
        <f>IF([1]RENAME!$H$3=1,S2,S1)</f>
        <v>2T17</v>
      </c>
      <c r="T5" s="247" t="str">
        <f>IF([1]RENAME!$H$3=1,T2,T1)</f>
        <v>3T17</v>
      </c>
      <c r="U5" s="247" t="str">
        <f>IF([1]RENAME!$H$3=1,U2,U1)</f>
        <v>4T17</v>
      </c>
      <c r="V5" s="247" t="s">
        <v>623</v>
      </c>
      <c r="W5" s="247" t="str">
        <f>IF([1]RENAME!$H$3=1,W2,W1)</f>
        <v>2T18</v>
      </c>
      <c r="X5" s="247" t="str">
        <f>IF([1]RENAME!$H$3=1,X2,X1)</f>
        <v>3T18</v>
      </c>
      <c r="Y5" s="247" t="str">
        <f>IF([1]RENAME!$H$3=1,Y2,Y1)</f>
        <v>4T18</v>
      </c>
      <c r="Z5" s="247" t="str">
        <f>IF([1]RENAME!$H$3=1,Z2,Z1)</f>
        <v>1T19</v>
      </c>
      <c r="AA5" s="247" t="str">
        <f>IF([1]RENAME!$H$3=1,AA2,AA1)</f>
        <v>2T19</v>
      </c>
      <c r="AB5" s="247" t="str">
        <f>IF([1]RENAME!$H$3=1,AB2,AB1)</f>
        <v>3T19</v>
      </c>
      <c r="AC5" s="247" t="str">
        <f>IF([1]RENAME!$H$3=1,AC2,AC1)</f>
        <v>4T19</v>
      </c>
      <c r="AD5" s="247" t="str">
        <f>IF([1]RENAME!$H$3=1,AD2,AD1)</f>
        <v>1T20</v>
      </c>
      <c r="AE5" s="247" t="str">
        <f>IF([1]RENAME!$H$3=1,AE2,AE1)</f>
        <v>2T20</v>
      </c>
      <c r="AF5" s="247" t="str">
        <f>IF([1]RENAME!$H$3=1,AF2,AF1)</f>
        <v>3T20</v>
      </c>
      <c r="AG5" s="247" t="str">
        <f>IF([1]RENAME!$H$3=1,AG2,AG1)</f>
        <v>4T20</v>
      </c>
      <c r="AH5" s="247" t="str">
        <f>IF([1]RENAME!$H$3=1,AH2,AH1)</f>
        <v>1T21</v>
      </c>
      <c r="AI5" s="247" t="str">
        <f>IF([1]RENAME!$H$3=1,AI2,AI1)</f>
        <v>2T21</v>
      </c>
      <c r="AJ5" s="247" t="str">
        <f>IF([1]RENAME!$H$3=1,AJ2,AJ1)</f>
        <v>3T21</v>
      </c>
      <c r="AK5" s="247" t="str">
        <f>IF([1]RENAME!$H$3=1,AK2,AK1)</f>
        <v>4T21</v>
      </c>
      <c r="AL5" s="247" t="str">
        <f>IF([1]RENAME!$H$3=1,AL2,AL1)</f>
        <v>1T22</v>
      </c>
      <c r="AM5" s="247" t="str">
        <f>IF([1]RENAME!$H$3=1,AM2,AM1)</f>
        <v>2T22</v>
      </c>
      <c r="AN5" s="247" t="s">
        <v>1944</v>
      </c>
      <c r="AO5" s="247" t="str">
        <f>IF([1]RENAME!$H$3=1,AO2,AO1)</f>
        <v>4T22</v>
      </c>
      <c r="AP5" s="247" t="str">
        <f>IF([1]RENAME!$H$3=1,AP2,AP1)</f>
        <v>1T23</v>
      </c>
      <c r="AQ5" s="247" t="str">
        <f>IF([1]RENAME!$H$3=1,AQ2,AQ1)</f>
        <v>2T23</v>
      </c>
      <c r="AR5" s="247" t="str">
        <f>IF([1]RENAME!$H$3=1,AR2,AR1)</f>
        <v>3T23</v>
      </c>
      <c r="AS5" s="247" t="str">
        <f>IF([1]RENAME!$H$3=1,AS2,AS1)</f>
        <v>4T23</v>
      </c>
      <c r="AT5" s="247" t="str">
        <f>IF([1]RENAME!$H$3=1,AT2,AT1)</f>
        <v>1T24</v>
      </c>
      <c r="AU5" s="247" t="str">
        <f>IF([1]RENAME!$H$3=1,AU2,AU1)</f>
        <v>2T24</v>
      </c>
      <c r="AV5" s="247" t="str">
        <f>IF([1]RENAME!$H$3=1,AV2,AV1)</f>
        <v>3T24</v>
      </c>
      <c r="AW5" s="247" t="str">
        <f>IF([1]RENAME!$H$3=1,AW2,AW1)</f>
        <v>4T24</v>
      </c>
      <c r="AX5" s="247" t="str">
        <f>IF([1]RENAME!$H$3=1,AX2,AX1)</f>
        <v>1T25</v>
      </c>
      <c r="AY5" s="247" t="str">
        <f>IF([1]RENAME!$H$3=1,AY2,AY1)</f>
        <v>2T25</v>
      </c>
      <c r="AZ5" s="247" t="str">
        <f>IF([1]RENAME!$H$3=1,AZ2,AZ1)</f>
        <v>3T25</v>
      </c>
      <c r="BA5" s="247" t="str">
        <f>IF([1]RENAME!$H$3=1,BA2,BA1)</f>
        <v>4T25</v>
      </c>
      <c r="BB5" s="247" t="str">
        <f>IF([1]RENAME!$H$3=1,BB2,BB1)</f>
        <v>1T26</v>
      </c>
      <c r="BC5" s="247" t="str">
        <f>IF([1]RENAME!$H$3=1,BC2,BC1)</f>
        <v>2T26</v>
      </c>
    </row>
    <row r="6" spans="1:55" x14ac:dyDescent="0.2">
      <c r="A6" t="s">
        <v>188</v>
      </c>
      <c r="B6" t="s">
        <v>894</v>
      </c>
      <c r="D6" s="126" t="str">
        <f>IF([1]RENAME!$H$3=1,B6,A6)</f>
        <v>Saldo inicial</v>
      </c>
      <c r="E6" s="120">
        <v>-8621</v>
      </c>
      <c r="F6" s="120">
        <f>+E12</f>
        <v>-6725</v>
      </c>
      <c r="G6" s="162">
        <f t="shared" ref="G6:L6" si="10">+F12</f>
        <v>-7202</v>
      </c>
      <c r="H6" s="120">
        <f t="shared" si="10"/>
        <v>-4719</v>
      </c>
      <c r="I6" s="120">
        <f t="shared" si="10"/>
        <v>-15659</v>
      </c>
      <c r="J6" s="120">
        <f t="shared" si="10"/>
        <v>-16005</v>
      </c>
      <c r="K6" s="120">
        <f t="shared" si="10"/>
        <v>-15545</v>
      </c>
      <c r="L6" s="120">
        <f t="shared" si="10"/>
        <v>-15271</v>
      </c>
      <c r="M6" s="120">
        <f>+L12</f>
        <v>-16393</v>
      </c>
      <c r="N6" s="120">
        <f>+M12</f>
        <v>-17205</v>
      </c>
      <c r="O6" s="120">
        <f>+N12</f>
        <v>-17833</v>
      </c>
      <c r="P6" s="120">
        <f>+O12</f>
        <v>-17741</v>
      </c>
      <c r="Q6" s="120">
        <v>-17317</v>
      </c>
      <c r="R6" s="120">
        <v>-18072</v>
      </c>
      <c r="S6" s="120">
        <v>-18241</v>
      </c>
      <c r="T6" s="120">
        <f>S12</f>
        <v>-18221</v>
      </c>
      <c r="U6" s="120">
        <f>T12</f>
        <v>-18140</v>
      </c>
      <c r="V6" s="120">
        <v>-1968</v>
      </c>
      <c r="W6" s="120">
        <v>-1905</v>
      </c>
      <c r="X6" s="120">
        <v>-904</v>
      </c>
      <c r="Y6" s="120">
        <f>X12</f>
        <v>-1187</v>
      </c>
      <c r="Z6" s="120">
        <f>Y12</f>
        <v>-2938</v>
      </c>
      <c r="AA6" s="120">
        <f>Z12</f>
        <v>-3014</v>
      </c>
      <c r="AB6" s="120">
        <v>-915</v>
      </c>
      <c r="AC6" s="120">
        <v>-1047</v>
      </c>
      <c r="AD6" s="120">
        <f t="shared" ref="AD6:AJ6" si="11">AC12</f>
        <v>-222</v>
      </c>
      <c r="AE6" s="120">
        <f t="shared" si="11"/>
        <v>-142</v>
      </c>
      <c r="AF6" s="120">
        <f t="shared" si="11"/>
        <v>-211</v>
      </c>
      <c r="AG6" s="120">
        <f t="shared" si="11"/>
        <v>-322</v>
      </c>
      <c r="AH6" s="120">
        <f t="shared" si="11"/>
        <v>-288</v>
      </c>
      <c r="AI6" s="120">
        <f t="shared" si="11"/>
        <v>-435</v>
      </c>
      <c r="AJ6" s="120">
        <f t="shared" si="11"/>
        <v>-473</v>
      </c>
      <c r="AK6" s="120">
        <f>AJ12</f>
        <v>-768</v>
      </c>
      <c r="AL6" s="120">
        <f>AK12</f>
        <v>-931</v>
      </c>
      <c r="AM6" s="120">
        <f>AL12</f>
        <v>-1027</v>
      </c>
      <c r="AN6" s="120">
        <v>-1074</v>
      </c>
      <c r="AO6" s="120">
        <f t="shared" ref="AO6:AT6" si="12">AN12</f>
        <v>-1019</v>
      </c>
      <c r="AP6" s="120">
        <f t="shared" si="12"/>
        <v>-1032</v>
      </c>
      <c r="AQ6" s="120">
        <f t="shared" si="12"/>
        <v>-1321</v>
      </c>
      <c r="AR6" s="120">
        <f t="shared" si="12"/>
        <v>-1613</v>
      </c>
      <c r="AS6" s="120">
        <f t="shared" si="12"/>
        <v>-1762</v>
      </c>
      <c r="AT6" s="120">
        <f t="shared" si="12"/>
        <v>-1798</v>
      </c>
      <c r="AU6" s="120">
        <f t="shared" ref="AU6:BA6" si="13">AT12</f>
        <v>-1817</v>
      </c>
      <c r="AV6" s="120">
        <f t="shared" si="13"/>
        <v>-1952</v>
      </c>
      <c r="AW6" s="120">
        <f t="shared" si="13"/>
        <v>-2556</v>
      </c>
      <c r="AX6" s="120">
        <f t="shared" si="13"/>
        <v>-3387</v>
      </c>
      <c r="AY6" s="120">
        <f t="shared" si="13"/>
        <v>-4113</v>
      </c>
      <c r="AZ6" s="120">
        <f t="shared" si="13"/>
        <v>-3464</v>
      </c>
      <c r="BA6" s="120">
        <f t="shared" si="13"/>
        <v>-2791</v>
      </c>
      <c r="BB6" s="120">
        <f>BA12</f>
        <v>-2523</v>
      </c>
      <c r="BC6" s="120">
        <f>BB12</f>
        <v>-3486</v>
      </c>
    </row>
    <row r="7" spans="1:55" x14ac:dyDescent="0.2">
      <c r="A7" t="s">
        <v>189</v>
      </c>
      <c r="B7" t="s">
        <v>895</v>
      </c>
      <c r="D7" s="129" t="str">
        <f>IF([1]RENAME!$H$3=1,B7,A7)</f>
        <v>Adições</v>
      </c>
      <c r="E7" s="118">
        <v>-4671</v>
      </c>
      <c r="F7" s="118">
        <v>-477</v>
      </c>
      <c r="G7" s="160">
        <v>-1591</v>
      </c>
      <c r="H7" s="118">
        <v>-10940</v>
      </c>
      <c r="I7" s="118">
        <v>-4114</v>
      </c>
      <c r="J7" s="118">
        <v>-183</v>
      </c>
      <c r="K7" s="118">
        <v>-1584</v>
      </c>
      <c r="L7" s="118">
        <v>-1346</v>
      </c>
      <c r="M7" s="118">
        <v>-1195</v>
      </c>
      <c r="N7" s="118">
        <v>-722</v>
      </c>
      <c r="O7" s="118">
        <v>-966</v>
      </c>
      <c r="P7" s="118">
        <v>-69</v>
      </c>
      <c r="Q7" s="118">
        <v>-791</v>
      </c>
      <c r="R7" s="118">
        <v>-204</v>
      </c>
      <c r="S7" s="118">
        <v>-11</v>
      </c>
      <c r="T7" s="118">
        <v>-5</v>
      </c>
      <c r="U7" s="118">
        <v>-46</v>
      </c>
      <c r="V7" s="118">
        <v>-129</v>
      </c>
      <c r="W7" s="118">
        <v>-13</v>
      </c>
      <c r="X7" s="118">
        <v>-310</v>
      </c>
      <c r="Y7" s="118">
        <v>-1786</v>
      </c>
      <c r="Z7" s="118">
        <v>-106</v>
      </c>
      <c r="AA7" s="118">
        <f>-136-Z7</f>
        <v>-30</v>
      </c>
      <c r="AB7" s="118">
        <v>-155</v>
      </c>
      <c r="AC7" s="118">
        <v>-111</v>
      </c>
      <c r="AD7" s="118">
        <v>-10</v>
      </c>
      <c r="AE7" s="118">
        <v>-227</v>
      </c>
      <c r="AF7" s="118">
        <v>-448</v>
      </c>
      <c r="AG7" s="118">
        <v>-146</v>
      </c>
      <c r="AH7" s="118">
        <v>-184</v>
      </c>
      <c r="AI7" s="118">
        <v>-305</v>
      </c>
      <c r="AJ7" s="118">
        <v>-454</v>
      </c>
      <c r="AK7" s="118">
        <v>-533</v>
      </c>
      <c r="AL7" s="118">
        <v>-409</v>
      </c>
      <c r="AM7" s="118">
        <v>-296</v>
      </c>
      <c r="AN7" s="118">
        <v>-509</v>
      </c>
      <c r="AO7" s="118">
        <v>-366</v>
      </c>
      <c r="AP7" s="118">
        <v>-585</v>
      </c>
      <c r="AQ7" s="118">
        <v>-575</v>
      </c>
      <c r="AR7" s="118">
        <v>-539</v>
      </c>
      <c r="AS7" s="118">
        <v>-635</v>
      </c>
      <c r="AT7" s="118">
        <v>-566</v>
      </c>
      <c r="AU7" s="118">
        <v>-912</v>
      </c>
      <c r="AV7" s="118">
        <v>-1531</v>
      </c>
      <c r="AW7" s="118">
        <v>-2154</v>
      </c>
      <c r="AX7" s="118">
        <v>-1383</v>
      </c>
      <c r="AY7" s="118">
        <v>-1559</v>
      </c>
      <c r="AZ7" s="118">
        <v>-708</v>
      </c>
      <c r="BA7" s="118">
        <v>-644</v>
      </c>
      <c r="BB7" s="118">
        <v>-1567</v>
      </c>
      <c r="BC7" s="118">
        <f>('[3]6 CR NL'!$AG$7)-BB7</f>
        <v>-1734</v>
      </c>
    </row>
    <row r="8" spans="1:55" x14ac:dyDescent="0.2">
      <c r="A8" t="s">
        <v>190</v>
      </c>
      <c r="B8" t="s">
        <v>896</v>
      </c>
      <c r="D8" s="129" t="str">
        <f>IF([1]RENAME!$H$3=1,B8,A8)</f>
        <v xml:space="preserve">Reversões </v>
      </c>
      <c r="E8" s="118">
        <v>6567</v>
      </c>
      <c r="F8" s="118">
        <v>0</v>
      </c>
      <c r="G8" s="160">
        <v>0</v>
      </c>
      <c r="H8" s="118">
        <v>0</v>
      </c>
      <c r="I8" s="118">
        <v>3768</v>
      </c>
      <c r="J8" s="118">
        <v>643</v>
      </c>
      <c r="K8" s="118">
        <v>1858</v>
      </c>
      <c r="L8" s="118">
        <v>224</v>
      </c>
      <c r="M8" s="118">
        <v>383</v>
      </c>
      <c r="N8" s="118">
        <v>94</v>
      </c>
      <c r="O8" s="118">
        <v>1058</v>
      </c>
      <c r="P8" s="118">
        <v>493</v>
      </c>
      <c r="Q8" s="118">
        <v>36</v>
      </c>
      <c r="R8" s="118">
        <v>35</v>
      </c>
      <c r="S8" s="118">
        <v>31</v>
      </c>
      <c r="T8" s="118">
        <v>86</v>
      </c>
      <c r="U8" s="118">
        <v>21</v>
      </c>
      <c r="V8" s="118">
        <v>66</v>
      </c>
      <c r="W8" s="118">
        <v>1014</v>
      </c>
      <c r="X8" s="118">
        <v>27</v>
      </c>
      <c r="Y8" s="118">
        <v>35</v>
      </c>
      <c r="Z8" s="118">
        <v>30</v>
      </c>
      <c r="AA8" s="118">
        <f>1552-Z8</f>
        <v>1522</v>
      </c>
      <c r="AB8" s="118">
        <v>23</v>
      </c>
      <c r="AC8" s="118">
        <v>936</v>
      </c>
      <c r="AD8" s="118">
        <v>90</v>
      </c>
      <c r="AE8" s="118">
        <v>158</v>
      </c>
      <c r="AF8" s="118">
        <v>337</v>
      </c>
      <c r="AG8" s="118">
        <v>180</v>
      </c>
      <c r="AH8" s="118">
        <v>37</v>
      </c>
      <c r="AI8" s="118">
        <v>267</v>
      </c>
      <c r="AJ8" s="118">
        <v>159</v>
      </c>
      <c r="AK8" s="118">
        <v>370</v>
      </c>
      <c r="AL8" s="118">
        <v>313</v>
      </c>
      <c r="AM8" s="118">
        <v>249</v>
      </c>
      <c r="AN8" s="118">
        <v>564</v>
      </c>
      <c r="AO8" s="118">
        <v>353</v>
      </c>
      <c r="AP8" s="118">
        <v>296</v>
      </c>
      <c r="AQ8" s="118">
        <v>283</v>
      </c>
      <c r="AR8" s="118">
        <v>390</v>
      </c>
      <c r="AS8" s="118">
        <v>599</v>
      </c>
      <c r="AT8" s="118">
        <v>547</v>
      </c>
      <c r="AU8" s="118">
        <v>777</v>
      </c>
      <c r="AV8" s="118">
        <v>927</v>
      </c>
      <c r="AW8" s="118">
        <v>1261</v>
      </c>
      <c r="AX8" s="118">
        <v>657</v>
      </c>
      <c r="AY8" s="118">
        <v>2208</v>
      </c>
      <c r="AZ8" s="118">
        <v>1381</v>
      </c>
      <c r="BA8" s="118">
        <v>912</v>
      </c>
      <c r="BB8" s="118">
        <v>604</v>
      </c>
      <c r="BC8" s="118">
        <f>('[3]6 CR NL'!$AG$8)-BB8</f>
        <v>1082</v>
      </c>
    </row>
    <row r="9" spans="1:55" x14ac:dyDescent="0.2">
      <c r="A9" t="s">
        <v>192</v>
      </c>
      <c r="B9" t="s">
        <v>897</v>
      </c>
      <c r="D9" s="129" t="str">
        <f>IF([1]RENAME!$H$3=1,B9,A9)</f>
        <v>Transferencia operação descontinuada (i)</v>
      </c>
      <c r="E9" s="118">
        <v>0</v>
      </c>
      <c r="F9" s="118">
        <v>0</v>
      </c>
      <c r="G9" s="160">
        <v>4074</v>
      </c>
      <c r="H9" s="118">
        <v>0</v>
      </c>
      <c r="I9" s="118">
        <v>0</v>
      </c>
      <c r="J9" s="118">
        <v>0</v>
      </c>
      <c r="K9" s="118">
        <v>0</v>
      </c>
      <c r="L9" s="118">
        <v>0</v>
      </c>
      <c r="M9" s="118">
        <v>0</v>
      </c>
      <c r="N9" s="118">
        <v>0</v>
      </c>
      <c r="O9" s="118">
        <v>0</v>
      </c>
      <c r="P9" s="118">
        <v>0</v>
      </c>
      <c r="Q9" s="118">
        <v>0</v>
      </c>
      <c r="R9" s="118">
        <v>0</v>
      </c>
      <c r="S9" s="118">
        <v>0</v>
      </c>
      <c r="T9" s="118">
        <v>0</v>
      </c>
      <c r="U9" s="118">
        <v>0</v>
      </c>
      <c r="V9" s="118">
        <v>126</v>
      </c>
      <c r="W9" s="118">
        <v>0</v>
      </c>
      <c r="X9" s="118">
        <v>0</v>
      </c>
      <c r="Y9" s="118">
        <v>0</v>
      </c>
      <c r="Z9" s="118">
        <v>0</v>
      </c>
      <c r="AA9" s="118">
        <v>0</v>
      </c>
      <c r="AB9" s="118">
        <v>0</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v>0</v>
      </c>
      <c r="AY9" s="118">
        <v>0</v>
      </c>
      <c r="AZ9" s="118">
        <v>0</v>
      </c>
      <c r="BA9" s="118">
        <v>0</v>
      </c>
      <c r="BB9" s="118">
        <v>0</v>
      </c>
      <c r="BC9" s="118">
        <f>(+'[3]6e Contas a Receber Mov PDD'!$G$9-SUM(AW9))-BB9</f>
        <v>0</v>
      </c>
    </row>
    <row r="10" spans="1:55" x14ac:dyDescent="0.2">
      <c r="A10" t="s">
        <v>49</v>
      </c>
      <c r="B10" t="s">
        <v>699</v>
      </c>
      <c r="D10" s="129" t="str">
        <f>IF([1]RENAME!$H$3=1,B10,A10)</f>
        <v>Outros</v>
      </c>
      <c r="E10" s="118">
        <v>0</v>
      </c>
      <c r="F10" s="118">
        <v>0</v>
      </c>
      <c r="G10" s="160">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0</v>
      </c>
      <c r="AA10" s="118">
        <v>607</v>
      </c>
      <c r="AB10" s="118">
        <v>0</v>
      </c>
      <c r="AC10" s="118">
        <v>0</v>
      </c>
      <c r="AD10" s="118">
        <v>0</v>
      </c>
      <c r="AE10" s="118">
        <v>0</v>
      </c>
      <c r="AF10" s="118">
        <v>0</v>
      </c>
      <c r="AG10" s="118">
        <v>0</v>
      </c>
      <c r="AH10" s="118">
        <v>0</v>
      </c>
      <c r="AI10" s="118">
        <v>0</v>
      </c>
      <c r="AJ10" s="118">
        <v>0</v>
      </c>
      <c r="AK10" s="118">
        <v>0</v>
      </c>
      <c r="AL10" s="118">
        <v>0</v>
      </c>
      <c r="AM10" s="118">
        <v>0</v>
      </c>
      <c r="AN10" s="118">
        <v>0</v>
      </c>
      <c r="AO10" s="118">
        <v>0</v>
      </c>
      <c r="AP10" s="118">
        <v>0</v>
      </c>
      <c r="AQ10" s="118">
        <v>0</v>
      </c>
      <c r="AR10" s="118">
        <v>0</v>
      </c>
      <c r="AS10" s="118">
        <v>0</v>
      </c>
      <c r="AT10" s="118">
        <v>0</v>
      </c>
      <c r="AU10" s="118">
        <v>0</v>
      </c>
      <c r="AV10" s="118">
        <v>0</v>
      </c>
      <c r="AW10" s="118">
        <v>62</v>
      </c>
      <c r="AX10" s="118">
        <v>0</v>
      </c>
      <c r="AY10" s="118">
        <v>0</v>
      </c>
      <c r="AZ10" s="118">
        <v>0</v>
      </c>
      <c r="BA10" s="118">
        <v>0</v>
      </c>
      <c r="BB10" s="118">
        <v>0</v>
      </c>
      <c r="BC10" s="118">
        <f>(+'[3]6e Contas a Receber Mov PDD'!$G$10)-BB10</f>
        <v>0</v>
      </c>
    </row>
    <row r="11" spans="1:55" s="233" customFormat="1" outlineLevel="1" x14ac:dyDescent="0.2">
      <c r="A11" s="233" t="s">
        <v>256</v>
      </c>
      <c r="B11" s="233" t="s">
        <v>1126</v>
      </c>
      <c r="D11" s="250" t="str">
        <f>IF([1]RENAME!$H$3=1,B11,A11)</f>
        <v>Baixa</v>
      </c>
      <c r="E11" s="218">
        <v>0</v>
      </c>
      <c r="F11" s="218">
        <v>0</v>
      </c>
      <c r="G11" s="219">
        <v>0</v>
      </c>
      <c r="H11" s="218">
        <v>0</v>
      </c>
      <c r="I11" s="218">
        <v>0</v>
      </c>
      <c r="J11" s="218">
        <v>0</v>
      </c>
      <c r="K11" s="218">
        <v>0</v>
      </c>
      <c r="L11" s="218">
        <v>0</v>
      </c>
      <c r="M11" s="218">
        <v>0</v>
      </c>
      <c r="N11" s="218">
        <v>0</v>
      </c>
      <c r="O11" s="218">
        <v>0</v>
      </c>
      <c r="P11" s="218">
        <v>0</v>
      </c>
      <c r="Q11" s="218">
        <v>0</v>
      </c>
      <c r="R11" s="218">
        <v>0</v>
      </c>
      <c r="S11" s="218">
        <v>0</v>
      </c>
      <c r="T11" s="218">
        <v>0</v>
      </c>
      <c r="U11" s="218">
        <v>16197</v>
      </c>
      <c r="V11" s="218">
        <v>0</v>
      </c>
      <c r="W11" s="218">
        <v>0</v>
      </c>
      <c r="X11" s="218">
        <v>0</v>
      </c>
      <c r="Y11" s="218">
        <v>0</v>
      </c>
      <c r="Z11" s="218">
        <v>0</v>
      </c>
      <c r="AA11" s="118">
        <v>0</v>
      </c>
      <c r="AB11" s="218">
        <v>0</v>
      </c>
      <c r="AC11" s="218">
        <v>0</v>
      </c>
      <c r="AD11" s="218">
        <v>0</v>
      </c>
      <c r="AE11" s="218">
        <v>0</v>
      </c>
      <c r="AF11" s="218">
        <v>0</v>
      </c>
      <c r="AG11" s="218">
        <v>0</v>
      </c>
      <c r="AH11" s="218">
        <v>0</v>
      </c>
      <c r="AI11" s="218">
        <v>0</v>
      </c>
      <c r="AJ11" s="218">
        <v>0</v>
      </c>
      <c r="AK11" s="218">
        <v>0</v>
      </c>
      <c r="AL11" s="218">
        <v>0</v>
      </c>
      <c r="AM11" s="218">
        <v>0</v>
      </c>
      <c r="AN11" s="218">
        <v>0</v>
      </c>
      <c r="AO11" s="118">
        <v>0</v>
      </c>
      <c r="AP11" s="118">
        <v>0</v>
      </c>
      <c r="AQ11" s="118">
        <v>0</v>
      </c>
      <c r="AR11" s="118">
        <v>0</v>
      </c>
      <c r="AS11" s="118">
        <v>0</v>
      </c>
      <c r="AT11" s="118">
        <v>0</v>
      </c>
      <c r="AU11" s="118">
        <v>0</v>
      </c>
      <c r="AV11" s="118">
        <v>0</v>
      </c>
      <c r="AW11" s="118"/>
      <c r="AX11" s="118">
        <v>0</v>
      </c>
      <c r="AY11" s="118">
        <v>0</v>
      </c>
      <c r="AZ11" s="118">
        <v>0</v>
      </c>
      <c r="BA11" s="118">
        <v>0</v>
      </c>
      <c r="BB11" s="118">
        <v>0</v>
      </c>
      <c r="BC11" s="118">
        <v>0</v>
      </c>
    </row>
    <row r="12" spans="1:55" x14ac:dyDescent="0.2">
      <c r="A12" t="s">
        <v>191</v>
      </c>
      <c r="B12" t="s">
        <v>898</v>
      </c>
      <c r="D12" s="126" t="str">
        <f>IF([1]RENAME!$H$3=1,B12,A12)</f>
        <v>Saldo final</v>
      </c>
      <c r="E12" s="120">
        <f>SUM(E6:E11)</f>
        <v>-6725</v>
      </c>
      <c r="F12" s="120">
        <f t="shared" ref="F12:BC12" si="14">SUM(F6:F11)</f>
        <v>-7202</v>
      </c>
      <c r="G12" s="162">
        <f t="shared" si="14"/>
        <v>-4719</v>
      </c>
      <c r="H12" s="120">
        <f t="shared" si="14"/>
        <v>-15659</v>
      </c>
      <c r="I12" s="120">
        <f t="shared" si="14"/>
        <v>-16005</v>
      </c>
      <c r="J12" s="120">
        <f t="shared" si="14"/>
        <v>-15545</v>
      </c>
      <c r="K12" s="120">
        <f t="shared" si="14"/>
        <v>-15271</v>
      </c>
      <c r="L12" s="120">
        <f t="shared" si="14"/>
        <v>-16393</v>
      </c>
      <c r="M12" s="120">
        <f t="shared" si="14"/>
        <v>-17205</v>
      </c>
      <c r="N12" s="120">
        <f t="shared" si="14"/>
        <v>-17833</v>
      </c>
      <c r="O12" s="120">
        <f t="shared" si="14"/>
        <v>-17741</v>
      </c>
      <c r="P12" s="120">
        <f t="shared" si="14"/>
        <v>-17317</v>
      </c>
      <c r="Q12" s="120">
        <f t="shared" si="14"/>
        <v>-18072</v>
      </c>
      <c r="R12" s="120">
        <f t="shared" si="14"/>
        <v>-18241</v>
      </c>
      <c r="S12" s="120">
        <f t="shared" si="14"/>
        <v>-18221</v>
      </c>
      <c r="T12" s="120">
        <f t="shared" si="14"/>
        <v>-18140</v>
      </c>
      <c r="U12" s="120">
        <f t="shared" si="14"/>
        <v>-1968</v>
      </c>
      <c r="V12" s="120">
        <f t="shared" si="14"/>
        <v>-1905</v>
      </c>
      <c r="W12" s="120">
        <f t="shared" si="14"/>
        <v>-904</v>
      </c>
      <c r="X12" s="120">
        <f t="shared" si="14"/>
        <v>-1187</v>
      </c>
      <c r="Y12" s="120">
        <f t="shared" si="14"/>
        <v>-2938</v>
      </c>
      <c r="Z12" s="120">
        <f t="shared" si="14"/>
        <v>-3014</v>
      </c>
      <c r="AA12" s="120">
        <f t="shared" si="14"/>
        <v>-915</v>
      </c>
      <c r="AB12" s="120">
        <f t="shared" si="14"/>
        <v>-1047</v>
      </c>
      <c r="AC12" s="120">
        <f t="shared" si="14"/>
        <v>-222</v>
      </c>
      <c r="AD12" s="120">
        <f t="shared" si="14"/>
        <v>-142</v>
      </c>
      <c r="AE12" s="120">
        <f t="shared" si="14"/>
        <v>-211</v>
      </c>
      <c r="AF12" s="120">
        <f t="shared" si="14"/>
        <v>-322</v>
      </c>
      <c r="AG12" s="120">
        <f t="shared" si="14"/>
        <v>-288</v>
      </c>
      <c r="AH12" s="120">
        <f t="shared" si="14"/>
        <v>-435</v>
      </c>
      <c r="AI12" s="120">
        <f t="shared" si="14"/>
        <v>-473</v>
      </c>
      <c r="AJ12" s="120">
        <f t="shared" si="14"/>
        <v>-768</v>
      </c>
      <c r="AK12" s="120">
        <f t="shared" si="14"/>
        <v>-931</v>
      </c>
      <c r="AL12" s="120">
        <f t="shared" si="14"/>
        <v>-1027</v>
      </c>
      <c r="AM12" s="120">
        <f t="shared" si="14"/>
        <v>-1074</v>
      </c>
      <c r="AN12" s="120">
        <f t="shared" si="14"/>
        <v>-1019</v>
      </c>
      <c r="AO12" s="120">
        <f t="shared" si="14"/>
        <v>-1032</v>
      </c>
      <c r="AP12" s="120">
        <f t="shared" si="14"/>
        <v>-1321</v>
      </c>
      <c r="AQ12" s="120">
        <f t="shared" si="14"/>
        <v>-1613</v>
      </c>
      <c r="AR12" s="120">
        <f t="shared" si="14"/>
        <v>-1762</v>
      </c>
      <c r="AS12" s="120">
        <f t="shared" si="14"/>
        <v>-1798</v>
      </c>
      <c r="AT12" s="120">
        <f t="shared" si="14"/>
        <v>-1817</v>
      </c>
      <c r="AU12" s="120">
        <f t="shared" si="14"/>
        <v>-1952</v>
      </c>
      <c r="AV12" s="120">
        <f t="shared" si="14"/>
        <v>-2556</v>
      </c>
      <c r="AW12" s="120">
        <f t="shared" si="14"/>
        <v>-3387</v>
      </c>
      <c r="AX12" s="120">
        <f t="shared" si="14"/>
        <v>-4113</v>
      </c>
      <c r="AY12" s="120">
        <f t="shared" si="14"/>
        <v>-3464</v>
      </c>
      <c r="AZ12" s="120">
        <f t="shared" si="14"/>
        <v>-2791</v>
      </c>
      <c r="BA12" s="120">
        <f t="shared" si="14"/>
        <v>-2523</v>
      </c>
      <c r="BB12" s="120">
        <f t="shared" si="14"/>
        <v>-3486</v>
      </c>
      <c r="BC12" s="120">
        <f t="shared" si="14"/>
        <v>-4138</v>
      </c>
    </row>
    <row r="13" spans="1:55" x14ac:dyDescent="0.2">
      <c r="D13" s="153"/>
      <c r="E13" s="154">
        <f>+E12-'Contas a Receber'!E9</f>
        <v>0</v>
      </c>
      <c r="F13" s="154">
        <f>+F12-'Contas a Receber'!F9</f>
        <v>0</v>
      </c>
      <c r="G13" s="154">
        <f>+G12-'Contas a Receber'!G9</f>
        <v>0</v>
      </c>
      <c r="H13" s="154">
        <f>+H12-'Contas a Receber'!H9</f>
        <v>0</v>
      </c>
      <c r="I13" s="154">
        <f>+I12-'Contas a Receber'!I9</f>
        <v>0</v>
      </c>
      <c r="J13" s="154">
        <f>+J12-'Contas a Receber'!J9</f>
        <v>0</v>
      </c>
      <c r="K13" s="154">
        <f>+K12-'Contas a Receber'!K9</f>
        <v>0</v>
      </c>
      <c r="L13" s="154">
        <f>+L12-'Contas a Receber'!L9</f>
        <v>0</v>
      </c>
      <c r="M13" s="154">
        <f>+M12-'Contas a Receber'!M9</f>
        <v>0</v>
      </c>
      <c r="N13" s="154">
        <f>+N12-'Contas a Receber'!N9</f>
        <v>0</v>
      </c>
      <c r="O13" s="154">
        <f>+O12-'Contas a Receber'!O9</f>
        <v>0</v>
      </c>
      <c r="P13" s="154">
        <f>+P12-'Contas a Receber'!P9</f>
        <v>0</v>
      </c>
      <c r="Q13" s="154">
        <v>0</v>
      </c>
      <c r="R13" s="154">
        <v>0</v>
      </c>
      <c r="S13" s="154">
        <v>0</v>
      </c>
      <c r="T13" s="154">
        <f>+'Contas a Receber'!T9-T12</f>
        <v>0</v>
      </c>
      <c r="U13" s="154">
        <f>+'Contas a Receber'!U9-U12</f>
        <v>0</v>
      </c>
      <c r="V13" s="154">
        <v>0</v>
      </c>
      <c r="W13" s="154">
        <f>+'Contas a Receber'!W9-W12</f>
        <v>0</v>
      </c>
      <c r="X13" s="154">
        <f>+'Contas a Receber'!X9-X12</f>
        <v>0</v>
      </c>
      <c r="Y13" s="154">
        <f>+'Contas a Receber'!Y9-Y12</f>
        <v>0</v>
      </c>
      <c r="Z13" s="154">
        <f>+'Contas a Receber'!Z9-Z12</f>
        <v>0</v>
      </c>
      <c r="AA13" s="154">
        <f>+'Contas a Receber'!AA9-AA12</f>
        <v>0</v>
      </c>
      <c r="AB13" s="154">
        <f>+'Contas a Receber'!AB9-AB12</f>
        <v>0</v>
      </c>
      <c r="AC13" s="154">
        <v>0</v>
      </c>
      <c r="AD13" s="154">
        <f>+'Contas a Receber'!AD9-AD12</f>
        <v>0</v>
      </c>
      <c r="AE13" s="154">
        <f>+'Contas a Receber'!AE9-AE12</f>
        <v>0</v>
      </c>
      <c r="AF13" s="154">
        <f>+'Contas a Receber'!AF9-AF12</f>
        <v>0</v>
      </c>
      <c r="AG13" s="154">
        <f>+'Contas a Receber'!AG9-AG12</f>
        <v>0</v>
      </c>
      <c r="AH13" s="154">
        <f>+'Contas a Receber'!AH9-AH12</f>
        <v>0</v>
      </c>
      <c r="AI13" s="154">
        <f>+'Contas a Receber'!AI9-AI12</f>
        <v>0</v>
      </c>
      <c r="AJ13" s="154">
        <f>+'Contas a Receber'!AJ9-AJ12</f>
        <v>0</v>
      </c>
      <c r="AK13" s="154">
        <f>+'Contas a Receber'!AK9-AK12</f>
        <v>0</v>
      </c>
      <c r="AL13" s="154">
        <v>0</v>
      </c>
      <c r="AM13" s="154">
        <f>+'Contas a Receber'!AM9-AM12</f>
        <v>0</v>
      </c>
      <c r="AN13" s="154">
        <v>0</v>
      </c>
      <c r="AO13" s="154">
        <f>+'Contas a Receber'!AO9-AO12</f>
        <v>0</v>
      </c>
      <c r="AP13" s="154">
        <f>+'Contas a Receber'!AP9-AP12</f>
        <v>0</v>
      </c>
      <c r="AQ13" s="154">
        <f>+'Contas a Receber'!AQ9-AQ12</f>
        <v>0</v>
      </c>
      <c r="AR13" s="154">
        <f>+'Contas a Receber'!AR9-AR12</f>
        <v>0</v>
      </c>
      <c r="AS13" s="154">
        <f>+'Contas a Receber'!AS9-AS12</f>
        <v>0</v>
      </c>
      <c r="AT13" s="154">
        <f>+'Contas a Receber'!AT9-AT12</f>
        <v>0</v>
      </c>
      <c r="AU13" s="154">
        <f>+'Contas a Receber'!AU9-AU12</f>
        <v>0</v>
      </c>
      <c r="AV13" s="154">
        <f>+'Contas a Receber'!AV9-AV12</f>
        <v>0</v>
      </c>
      <c r="AW13" s="154">
        <f>+'Contas a Receber'!AW9-AW12</f>
        <v>0</v>
      </c>
      <c r="AX13" s="154">
        <f>+'Contas a Receber'!AX9-AX12</f>
        <v>0</v>
      </c>
      <c r="AY13" s="154">
        <f>+'Contas a Receber'!AY9-AY12</f>
        <v>0</v>
      </c>
      <c r="AZ13" s="154">
        <f>+'Contas a Receber'!AZ9-AZ12</f>
        <v>0</v>
      </c>
      <c r="BA13" s="154">
        <f>+'Contas a Receber'!BA9-BA12</f>
        <v>0</v>
      </c>
      <c r="BB13" s="154">
        <f>+'Contas a Receber'!BB9-BB12</f>
        <v>0</v>
      </c>
      <c r="BC13" s="154">
        <f>+'Contas a Receber'!BC9-BC12</f>
        <v>0</v>
      </c>
    </row>
    <row r="14" spans="1:55" x14ac:dyDescent="0.2">
      <c r="A14" t="s">
        <v>97</v>
      </c>
      <c r="B14" t="s">
        <v>872</v>
      </c>
      <c r="D14" s="151" t="str">
        <f>IF([1]RENAME!$H$3=1,B14,A14)</f>
        <v>Controladora</v>
      </c>
      <c r="E14" s="115" t="str">
        <f t="shared" ref="E14:U14" si="15">E5</f>
        <v>4T13</v>
      </c>
      <c r="F14" s="115" t="str">
        <f t="shared" si="15"/>
        <v>1T14</v>
      </c>
      <c r="G14" s="115" t="str">
        <f t="shared" si="15"/>
        <v>2T14</v>
      </c>
      <c r="H14" s="115" t="str">
        <f t="shared" si="15"/>
        <v>3T14</v>
      </c>
      <c r="I14" s="115" t="str">
        <f t="shared" si="15"/>
        <v>4T14</v>
      </c>
      <c r="J14" s="115" t="str">
        <f t="shared" si="15"/>
        <v>1T15</v>
      </c>
      <c r="K14" s="115" t="str">
        <f t="shared" si="15"/>
        <v>2T15</v>
      </c>
      <c r="L14" s="115" t="str">
        <f t="shared" si="15"/>
        <v>3T15</v>
      </c>
      <c r="M14" s="115" t="str">
        <f t="shared" si="15"/>
        <v>4T15</v>
      </c>
      <c r="N14" s="115" t="str">
        <f t="shared" si="15"/>
        <v>1T16</v>
      </c>
      <c r="O14" s="115" t="str">
        <f t="shared" si="15"/>
        <v>2T16</v>
      </c>
      <c r="P14" s="115" t="str">
        <f t="shared" si="15"/>
        <v>3T16</v>
      </c>
      <c r="Q14" s="115" t="str">
        <f t="shared" si="15"/>
        <v>4T16</v>
      </c>
      <c r="R14" s="115" t="str">
        <f t="shared" si="15"/>
        <v>1T17</v>
      </c>
      <c r="S14" s="115" t="str">
        <f t="shared" si="15"/>
        <v>2T17</v>
      </c>
      <c r="T14" s="115" t="str">
        <f t="shared" si="15"/>
        <v>3T17</v>
      </c>
      <c r="U14" s="115" t="str">
        <f t="shared" si="15"/>
        <v>4T17</v>
      </c>
      <c r="V14" s="115" t="s">
        <v>623</v>
      </c>
      <c r="W14" s="115" t="str">
        <f t="shared" ref="W14:AD14" si="16">W5</f>
        <v>2T18</v>
      </c>
      <c r="X14" s="115" t="str">
        <f t="shared" si="16"/>
        <v>3T18</v>
      </c>
      <c r="Y14" s="115" t="str">
        <f t="shared" si="16"/>
        <v>4T18</v>
      </c>
      <c r="Z14" s="115" t="str">
        <f t="shared" si="16"/>
        <v>1T19</v>
      </c>
      <c r="AA14" s="115" t="str">
        <f t="shared" si="16"/>
        <v>2T19</v>
      </c>
      <c r="AB14" s="115" t="str">
        <f t="shared" si="16"/>
        <v>3T19</v>
      </c>
      <c r="AC14" s="115" t="str">
        <f t="shared" si="16"/>
        <v>4T19</v>
      </c>
      <c r="AD14" s="115" t="str">
        <f t="shared" si="16"/>
        <v>1T20</v>
      </c>
      <c r="AE14" s="115" t="str">
        <f t="shared" ref="AE14:AM14" si="17">AE5</f>
        <v>2T20</v>
      </c>
      <c r="AF14" s="115" t="str">
        <f t="shared" si="17"/>
        <v>3T20</v>
      </c>
      <c r="AG14" s="115" t="str">
        <f t="shared" si="17"/>
        <v>4T20</v>
      </c>
      <c r="AH14" s="115" t="str">
        <f t="shared" si="17"/>
        <v>1T21</v>
      </c>
      <c r="AI14" s="115" t="str">
        <f t="shared" si="17"/>
        <v>2T21</v>
      </c>
      <c r="AJ14" s="115" t="str">
        <f t="shared" si="17"/>
        <v>3T21</v>
      </c>
      <c r="AK14" s="115" t="str">
        <f t="shared" si="17"/>
        <v>4T21</v>
      </c>
      <c r="AL14" s="115" t="str">
        <f t="shared" si="17"/>
        <v>1T22</v>
      </c>
      <c r="AM14" s="115" t="str">
        <f t="shared" si="17"/>
        <v>2T22</v>
      </c>
      <c r="AN14" s="115" t="s">
        <v>1944</v>
      </c>
      <c r="AO14" s="115" t="str">
        <f t="shared" ref="AO14:AT14" si="18">AO5</f>
        <v>4T22</v>
      </c>
      <c r="AP14" s="115" t="str">
        <f t="shared" si="18"/>
        <v>1T23</v>
      </c>
      <c r="AQ14" s="115" t="str">
        <f t="shared" si="18"/>
        <v>2T23</v>
      </c>
      <c r="AR14" s="115" t="str">
        <f t="shared" si="18"/>
        <v>3T23</v>
      </c>
      <c r="AS14" s="115" t="str">
        <f t="shared" si="18"/>
        <v>4T23</v>
      </c>
      <c r="AT14" s="115" t="str">
        <f t="shared" si="18"/>
        <v>1T24</v>
      </c>
      <c r="AU14" s="115" t="str">
        <f>AU5</f>
        <v>2T24</v>
      </c>
      <c r="AV14" s="115" t="str">
        <f t="shared" ref="AV14:BA14" si="19">AV5</f>
        <v>3T24</v>
      </c>
      <c r="AW14" s="115" t="str">
        <f t="shared" si="19"/>
        <v>4T24</v>
      </c>
      <c r="AX14" s="115" t="str">
        <f t="shared" si="19"/>
        <v>1T25</v>
      </c>
      <c r="AY14" s="115" t="str">
        <f t="shared" si="19"/>
        <v>2T25</v>
      </c>
      <c r="AZ14" s="115" t="str">
        <f t="shared" si="19"/>
        <v>3T25</v>
      </c>
      <c r="BA14" s="115" t="str">
        <f t="shared" si="19"/>
        <v>4T25</v>
      </c>
      <c r="BB14" s="247" t="str">
        <f>BB5</f>
        <v>1T26</v>
      </c>
      <c r="BC14" s="115" t="str">
        <f>BC5</f>
        <v>2T26</v>
      </c>
    </row>
    <row r="15" spans="1:55" x14ac:dyDescent="0.2">
      <c r="A15" t="s">
        <v>188</v>
      </c>
      <c r="B15" t="s">
        <v>894</v>
      </c>
      <c r="D15" s="126" t="str">
        <f>IF([1]RENAME!$H$3=1,B15,A15)</f>
        <v>Saldo inicial</v>
      </c>
      <c r="E15" s="120">
        <v>-849</v>
      </c>
      <c r="F15" s="120">
        <f>E21</f>
        <v>-2247</v>
      </c>
      <c r="G15" s="162">
        <f t="shared" ref="G15:L15" si="20">F21</f>
        <v>-2569</v>
      </c>
      <c r="H15" s="120">
        <f t="shared" si="20"/>
        <v>-3238</v>
      </c>
      <c r="I15" s="120">
        <f t="shared" si="20"/>
        <v>-14101</v>
      </c>
      <c r="J15" s="120">
        <f t="shared" si="20"/>
        <v>-13089</v>
      </c>
      <c r="K15" s="120">
        <f t="shared" si="20"/>
        <v>-12875</v>
      </c>
      <c r="L15" s="120">
        <f t="shared" si="20"/>
        <v>-11410</v>
      </c>
      <c r="M15" s="120">
        <f>+L21</f>
        <v>-11715</v>
      </c>
      <c r="N15" s="120">
        <f>+M21</f>
        <v>-12450</v>
      </c>
      <c r="O15" s="120">
        <f>+N21</f>
        <v>-12515</v>
      </c>
      <c r="P15" s="120">
        <f>+O21</f>
        <v>-12406</v>
      </c>
      <c r="Q15" s="120">
        <v>-12405</v>
      </c>
      <c r="R15" s="120">
        <v>-12372</v>
      </c>
      <c r="S15" s="120">
        <v>-12376</v>
      </c>
      <c r="T15" s="120">
        <f>+S21</f>
        <v>-12380</v>
      </c>
      <c r="U15" s="120">
        <f>+T21</f>
        <v>-12313</v>
      </c>
      <c r="V15" s="120">
        <v>-111</v>
      </c>
      <c r="W15" s="120">
        <v>-168</v>
      </c>
      <c r="X15" s="120">
        <v>-59</v>
      </c>
      <c r="Y15" s="120">
        <f>+X21</f>
        <v>-64</v>
      </c>
      <c r="Z15" s="120">
        <f>+Y21</f>
        <v>-79</v>
      </c>
      <c r="AA15" s="120">
        <f>+Z21</f>
        <v>-158</v>
      </c>
      <c r="AB15" s="120">
        <v>-79</v>
      </c>
      <c r="AC15" s="120">
        <v>-165</v>
      </c>
      <c r="AD15" s="120">
        <f t="shared" ref="AD15:AI15" si="21">AC21</f>
        <v>-175</v>
      </c>
      <c r="AE15" s="120">
        <f t="shared" si="21"/>
        <v>-96</v>
      </c>
      <c r="AF15" s="120">
        <f t="shared" si="21"/>
        <v>-158</v>
      </c>
      <c r="AG15" s="120">
        <f t="shared" si="21"/>
        <v>-275</v>
      </c>
      <c r="AH15" s="120">
        <f t="shared" si="21"/>
        <v>-242</v>
      </c>
      <c r="AI15" s="120">
        <f t="shared" si="21"/>
        <v>-333</v>
      </c>
      <c r="AJ15" s="120">
        <f>AI21</f>
        <v>-370</v>
      </c>
      <c r="AK15" s="120">
        <f>AJ21</f>
        <v>-490</v>
      </c>
      <c r="AL15" s="120">
        <f t="shared" ref="AL15:AT15" si="22">AK21</f>
        <v>-835</v>
      </c>
      <c r="AM15" s="120">
        <f t="shared" si="22"/>
        <v>-911</v>
      </c>
      <c r="AN15" s="120">
        <v>-929</v>
      </c>
      <c r="AO15" s="120">
        <f t="shared" si="22"/>
        <v>-858</v>
      </c>
      <c r="AP15" s="120">
        <f t="shared" si="22"/>
        <v>-797</v>
      </c>
      <c r="AQ15" s="120">
        <f t="shared" si="22"/>
        <v>-769</v>
      </c>
      <c r="AR15" s="120">
        <f t="shared" si="22"/>
        <v>-2117</v>
      </c>
      <c r="AS15" s="120">
        <f t="shared" si="22"/>
        <v>-1059</v>
      </c>
      <c r="AT15" s="120">
        <f t="shared" si="22"/>
        <v>-1048</v>
      </c>
      <c r="AU15" s="120">
        <f>AT21</f>
        <v>-1125</v>
      </c>
      <c r="AV15" s="120">
        <f t="shared" ref="AV15:BA15" si="23">AU21</f>
        <v>-1270</v>
      </c>
      <c r="AW15" s="120">
        <f t="shared" si="23"/>
        <v>-1887</v>
      </c>
      <c r="AX15" s="120">
        <f t="shared" si="23"/>
        <v>-2974</v>
      </c>
      <c r="AY15" s="120">
        <f t="shared" si="23"/>
        <v>-3651</v>
      </c>
      <c r="AZ15" s="120">
        <f t="shared" si="23"/>
        <v>-2800</v>
      </c>
      <c r="BA15" s="120">
        <f t="shared" si="23"/>
        <v>-2486</v>
      </c>
      <c r="BB15" s="120">
        <f>BA21</f>
        <v>-2019</v>
      </c>
      <c r="BC15" s="120">
        <f>BB21</f>
        <v>-2504</v>
      </c>
    </row>
    <row r="16" spans="1:55" x14ac:dyDescent="0.2">
      <c r="A16" t="s">
        <v>189</v>
      </c>
      <c r="B16" t="s">
        <v>895</v>
      </c>
      <c r="D16" s="129" t="str">
        <f>IF([1]RENAME!$H$3=1,B16,A16)</f>
        <v>Adições</v>
      </c>
      <c r="E16" s="118">
        <v>-2250</v>
      </c>
      <c r="F16" s="118">
        <v>-322</v>
      </c>
      <c r="G16" s="160">
        <v>-669</v>
      </c>
      <c r="H16" s="118">
        <v>-10863</v>
      </c>
      <c r="I16" s="118">
        <v>-1689</v>
      </c>
      <c r="J16" s="118">
        <v>-174</v>
      </c>
      <c r="K16" s="118">
        <v>-51</v>
      </c>
      <c r="L16" s="118">
        <v>-446</v>
      </c>
      <c r="M16" s="118">
        <v>-1119</v>
      </c>
      <c r="N16" s="118">
        <v>-141</v>
      </c>
      <c r="O16" s="118">
        <v>-786</v>
      </c>
      <c r="P16" s="118">
        <v>-1</v>
      </c>
      <c r="Q16" s="118">
        <v>-1</v>
      </c>
      <c r="R16" s="118">
        <v>-4</v>
      </c>
      <c r="S16" s="118">
        <v>-4</v>
      </c>
      <c r="T16" s="118">
        <v>0</v>
      </c>
      <c r="U16" s="118">
        <v>-36</v>
      </c>
      <c r="V16" s="118">
        <v>-117</v>
      </c>
      <c r="W16" s="118">
        <v>-4</v>
      </c>
      <c r="X16" s="118">
        <v>-7</v>
      </c>
      <c r="Y16" s="118">
        <v>-34</v>
      </c>
      <c r="Z16" s="118">
        <v>-96</v>
      </c>
      <c r="AA16" s="118">
        <f>-121-Z16</f>
        <v>-25</v>
      </c>
      <c r="AB16" s="118">
        <v>-108</v>
      </c>
      <c r="AC16" s="118">
        <v>-110</v>
      </c>
      <c r="AD16" s="118">
        <v>-10</v>
      </c>
      <c r="AE16" s="118">
        <v>-220</v>
      </c>
      <c r="AF16" s="118">
        <v>-447</v>
      </c>
      <c r="AG16" s="118">
        <v>-147</v>
      </c>
      <c r="AH16" s="118">
        <v>-127</v>
      </c>
      <c r="AI16" s="118">
        <v>-195</v>
      </c>
      <c r="AJ16" s="118">
        <v>-228</v>
      </c>
      <c r="AK16" s="118">
        <v>-492</v>
      </c>
      <c r="AL16" s="118">
        <v>-367</v>
      </c>
      <c r="AM16" s="118">
        <v>-242</v>
      </c>
      <c r="AN16" s="118">
        <v>-444</v>
      </c>
      <c r="AO16" s="118">
        <v>-267</v>
      </c>
      <c r="AP16" s="118">
        <v>-238</v>
      </c>
      <c r="AQ16" s="118">
        <v>-422</v>
      </c>
      <c r="AR16" s="118">
        <v>-250</v>
      </c>
      <c r="AS16" s="118">
        <v>-293</v>
      </c>
      <c r="AT16" s="118">
        <v>-266</v>
      </c>
      <c r="AU16" s="118">
        <v>-530</v>
      </c>
      <c r="AV16" s="118">
        <v>-1083</v>
      </c>
      <c r="AW16" s="118">
        <v>-2019</v>
      </c>
      <c r="AX16" s="118">
        <v>-1287</v>
      </c>
      <c r="AY16" s="118">
        <v>-1285</v>
      </c>
      <c r="AZ16" s="118">
        <v>-481</v>
      </c>
      <c r="BA16" s="118">
        <v>-383</v>
      </c>
      <c r="BB16" s="118">
        <v>-927</v>
      </c>
      <c r="BC16" s="118">
        <f>('[3]6 CR NL'!$AC$7)-BB16</f>
        <v>-1073</v>
      </c>
    </row>
    <row r="17" spans="1:55" x14ac:dyDescent="0.2">
      <c r="A17" t="s">
        <v>190</v>
      </c>
      <c r="B17" t="s">
        <v>896</v>
      </c>
      <c r="D17" s="129" t="str">
        <f>IF([1]RENAME!$H$3=1,B17,A17)</f>
        <v xml:space="preserve">Reversões </v>
      </c>
      <c r="E17" s="118">
        <v>852</v>
      </c>
      <c r="F17" s="118">
        <v>0</v>
      </c>
      <c r="G17" s="160">
        <v>0</v>
      </c>
      <c r="H17" s="118">
        <v>0</v>
      </c>
      <c r="I17" s="118">
        <v>2701</v>
      </c>
      <c r="J17" s="118">
        <v>388</v>
      </c>
      <c r="K17" s="118">
        <v>1516</v>
      </c>
      <c r="L17" s="118">
        <v>141</v>
      </c>
      <c r="M17" s="118">
        <v>384</v>
      </c>
      <c r="N17" s="118">
        <v>76</v>
      </c>
      <c r="O17" s="118">
        <v>895</v>
      </c>
      <c r="P17" s="118">
        <v>2</v>
      </c>
      <c r="Q17" s="118">
        <v>34</v>
      </c>
      <c r="R17" s="118">
        <v>0</v>
      </c>
      <c r="S17" s="118">
        <v>0</v>
      </c>
      <c r="T17" s="118">
        <v>67</v>
      </c>
      <c r="U17" s="118">
        <v>0</v>
      </c>
      <c r="V17" s="118">
        <v>60</v>
      </c>
      <c r="W17" s="118">
        <v>113</v>
      </c>
      <c r="X17" s="118">
        <v>2</v>
      </c>
      <c r="Y17" s="118">
        <v>19</v>
      </c>
      <c r="Z17" s="118">
        <v>17</v>
      </c>
      <c r="AA17" s="118">
        <f>122-Z17</f>
        <v>105</v>
      </c>
      <c r="AB17" s="118">
        <v>22</v>
      </c>
      <c r="AC17" s="118">
        <v>100</v>
      </c>
      <c r="AD17" s="118">
        <v>89</v>
      </c>
      <c r="AE17" s="118">
        <v>158</v>
      </c>
      <c r="AF17" s="118">
        <v>330</v>
      </c>
      <c r="AG17" s="118">
        <v>180</v>
      </c>
      <c r="AH17" s="118">
        <v>36</v>
      </c>
      <c r="AI17" s="118">
        <v>158</v>
      </c>
      <c r="AJ17" s="118">
        <v>108</v>
      </c>
      <c r="AK17" s="118">
        <v>147</v>
      </c>
      <c r="AL17" s="118">
        <v>291</v>
      </c>
      <c r="AM17" s="118">
        <v>224</v>
      </c>
      <c r="AN17" s="118">
        <v>515</v>
      </c>
      <c r="AO17" s="118">
        <v>328</v>
      </c>
      <c r="AP17" s="118">
        <v>266</v>
      </c>
      <c r="AQ17" s="118">
        <v>-926</v>
      </c>
      <c r="AR17" s="118">
        <v>1308</v>
      </c>
      <c r="AS17" s="118">
        <v>304</v>
      </c>
      <c r="AT17" s="118">
        <v>189</v>
      </c>
      <c r="AU17" s="118">
        <v>385</v>
      </c>
      <c r="AV17" s="118">
        <v>466</v>
      </c>
      <c r="AW17" s="118">
        <v>923</v>
      </c>
      <c r="AX17" s="118">
        <v>610</v>
      </c>
      <c r="AY17" s="118">
        <v>2136</v>
      </c>
      <c r="AZ17" s="118">
        <v>795</v>
      </c>
      <c r="BA17" s="118">
        <v>850</v>
      </c>
      <c r="BB17" s="118">
        <v>442</v>
      </c>
      <c r="BC17" s="118">
        <f>('[3]6 CR NL'!$AC$8)-BB17</f>
        <v>584</v>
      </c>
    </row>
    <row r="18" spans="1:55" x14ac:dyDescent="0.2">
      <c r="A18" t="s">
        <v>192</v>
      </c>
      <c r="B18" t="s">
        <v>897</v>
      </c>
      <c r="D18" s="129" t="str">
        <f>IF([1]RENAME!$H$3=1,B18,A18)</f>
        <v>Transferencia operação descontinuada (i)</v>
      </c>
      <c r="E18" s="118">
        <v>0</v>
      </c>
      <c r="F18" s="118">
        <v>0</v>
      </c>
      <c r="G18" s="160">
        <v>0</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0</v>
      </c>
      <c r="AB18" s="118">
        <v>0</v>
      </c>
      <c r="AC18" s="118">
        <v>0</v>
      </c>
      <c r="AD18" s="118">
        <v>0</v>
      </c>
      <c r="AE18" s="118">
        <v>0</v>
      </c>
      <c r="AF18" s="118">
        <v>0</v>
      </c>
      <c r="AG18" s="118">
        <v>0</v>
      </c>
      <c r="AH18" s="118">
        <v>0</v>
      </c>
      <c r="AI18" s="118">
        <v>0</v>
      </c>
      <c r="AJ18" s="118">
        <v>0</v>
      </c>
      <c r="AK18" s="118">
        <v>0</v>
      </c>
      <c r="AL18" s="118">
        <v>0</v>
      </c>
      <c r="AM18" s="118">
        <v>0</v>
      </c>
      <c r="AN18" s="118">
        <v>0</v>
      </c>
      <c r="AO18" s="118">
        <v>0</v>
      </c>
      <c r="AP18" s="118">
        <v>0</v>
      </c>
      <c r="AQ18" s="118">
        <v>0</v>
      </c>
      <c r="AR18" s="118">
        <v>0</v>
      </c>
      <c r="AS18" s="118">
        <v>0</v>
      </c>
      <c r="AT18" s="118">
        <v>0</v>
      </c>
      <c r="AU18" s="118">
        <v>0</v>
      </c>
      <c r="AV18" s="118">
        <v>0</v>
      </c>
      <c r="AW18" s="118">
        <v>0</v>
      </c>
      <c r="AX18" s="118">
        <v>0</v>
      </c>
      <c r="AY18" s="118">
        <v>0</v>
      </c>
      <c r="AZ18" s="118">
        <v>0</v>
      </c>
      <c r="BA18" s="118">
        <v>0</v>
      </c>
      <c r="BB18" s="118">
        <v>0</v>
      </c>
      <c r="BC18" s="118">
        <v>0</v>
      </c>
    </row>
    <row r="19" spans="1:55" x14ac:dyDescent="0.2">
      <c r="A19" t="s">
        <v>49</v>
      </c>
      <c r="B19" t="s">
        <v>699</v>
      </c>
      <c r="D19" s="129" t="str">
        <f>IF([1]RENAME!$H$3=1,B19,A19)</f>
        <v>Outros</v>
      </c>
      <c r="E19" s="118">
        <v>0</v>
      </c>
      <c r="F19" s="118">
        <v>0</v>
      </c>
      <c r="G19" s="160">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18">
        <v>0</v>
      </c>
      <c r="AD19" s="118">
        <v>0</v>
      </c>
      <c r="AE19" s="118">
        <v>0</v>
      </c>
      <c r="AF19" s="118">
        <v>0</v>
      </c>
      <c r="AG19" s="118">
        <v>0</v>
      </c>
      <c r="AH19" s="118">
        <v>0</v>
      </c>
      <c r="AI19" s="118">
        <v>0</v>
      </c>
      <c r="AJ19" s="118">
        <v>0</v>
      </c>
      <c r="AK19" s="118">
        <v>0</v>
      </c>
      <c r="AL19" s="118">
        <v>0</v>
      </c>
      <c r="AM19" s="118">
        <v>0</v>
      </c>
      <c r="AN19" s="118">
        <v>0</v>
      </c>
      <c r="AO19" s="118">
        <v>0</v>
      </c>
      <c r="AP19" s="118">
        <v>0</v>
      </c>
      <c r="AQ19" s="118">
        <v>0</v>
      </c>
      <c r="AR19" s="118">
        <v>0</v>
      </c>
      <c r="AS19" s="118">
        <v>0</v>
      </c>
      <c r="AT19" s="118">
        <v>0</v>
      </c>
      <c r="AU19" s="118">
        <v>0</v>
      </c>
      <c r="AV19" s="118">
        <v>0</v>
      </c>
      <c r="AW19" s="118">
        <v>9</v>
      </c>
      <c r="AX19" s="118">
        <v>0</v>
      </c>
      <c r="AY19" s="118">
        <v>0</v>
      </c>
      <c r="AZ19" s="118">
        <v>0</v>
      </c>
      <c r="BA19" s="118">
        <v>0</v>
      </c>
      <c r="BB19" s="118">
        <v>0</v>
      </c>
      <c r="BC19" s="118">
        <v>0</v>
      </c>
    </row>
    <row r="20" spans="1:55" s="233" customFormat="1" outlineLevel="1" x14ac:dyDescent="0.2">
      <c r="A20" s="233" t="s">
        <v>256</v>
      </c>
      <c r="B20" s="233" t="s">
        <v>1126</v>
      </c>
      <c r="D20" s="250" t="str">
        <f>IF([1]RENAME!$H$3=1,B20,A20)</f>
        <v>Baixa</v>
      </c>
      <c r="E20" s="218">
        <v>0</v>
      </c>
      <c r="F20" s="218">
        <v>0</v>
      </c>
      <c r="G20" s="219">
        <v>0</v>
      </c>
      <c r="H20" s="218">
        <v>0</v>
      </c>
      <c r="I20" s="218">
        <v>0</v>
      </c>
      <c r="J20" s="218">
        <v>0</v>
      </c>
      <c r="K20" s="218">
        <v>0</v>
      </c>
      <c r="L20" s="218">
        <v>0</v>
      </c>
      <c r="M20" s="218">
        <v>0</v>
      </c>
      <c r="N20" s="218">
        <v>0</v>
      </c>
      <c r="O20" s="218">
        <v>0</v>
      </c>
      <c r="P20" s="218">
        <v>0</v>
      </c>
      <c r="Q20" s="218">
        <v>0</v>
      </c>
      <c r="R20" s="218">
        <v>0</v>
      </c>
      <c r="S20" s="218">
        <v>0</v>
      </c>
      <c r="T20" s="218">
        <v>0</v>
      </c>
      <c r="U20" s="218">
        <v>12238</v>
      </c>
      <c r="V20" s="218">
        <v>0</v>
      </c>
      <c r="W20" s="218">
        <v>0</v>
      </c>
      <c r="X20" s="218">
        <v>0</v>
      </c>
      <c r="Y20" s="218">
        <v>0</v>
      </c>
      <c r="Z20" s="218">
        <v>0</v>
      </c>
      <c r="AA20" s="218">
        <v>0</v>
      </c>
      <c r="AB20" s="218">
        <v>0</v>
      </c>
      <c r="AC20" s="218">
        <v>0</v>
      </c>
      <c r="AD20" s="218">
        <v>0</v>
      </c>
      <c r="AE20" s="218">
        <v>0</v>
      </c>
      <c r="AF20" s="218">
        <v>0</v>
      </c>
      <c r="AG20" s="218">
        <v>0</v>
      </c>
      <c r="AH20" s="218">
        <v>0</v>
      </c>
      <c r="AI20" s="218">
        <v>0</v>
      </c>
      <c r="AJ20" s="218">
        <v>0</v>
      </c>
      <c r="AK20" s="218">
        <v>0</v>
      </c>
      <c r="AL20" s="218">
        <v>0</v>
      </c>
      <c r="AM20" s="218">
        <v>0</v>
      </c>
      <c r="AN20" s="218">
        <v>0</v>
      </c>
      <c r="AO20" s="218">
        <v>0</v>
      </c>
      <c r="AP20" s="218">
        <v>0</v>
      </c>
      <c r="AQ20" s="218">
        <v>0</v>
      </c>
      <c r="AR20" s="218">
        <v>0</v>
      </c>
      <c r="AS20" s="218">
        <v>0</v>
      </c>
      <c r="AT20" s="218">
        <v>0</v>
      </c>
      <c r="AU20" s="218">
        <v>0</v>
      </c>
      <c r="AV20" s="218">
        <v>0</v>
      </c>
      <c r="AW20" s="218">
        <v>0</v>
      </c>
      <c r="AX20" s="218"/>
      <c r="AY20" s="218">
        <v>0</v>
      </c>
      <c r="AZ20" s="218">
        <v>0</v>
      </c>
      <c r="BA20" s="218">
        <v>0</v>
      </c>
      <c r="BB20" s="218">
        <v>0</v>
      </c>
      <c r="BC20" s="218">
        <v>0</v>
      </c>
    </row>
    <row r="21" spans="1:55" x14ac:dyDescent="0.2">
      <c r="A21" t="s">
        <v>191</v>
      </c>
      <c r="B21" t="s">
        <v>898</v>
      </c>
      <c r="D21" s="126" t="str">
        <f>IF([1]RENAME!$H$3=1,B21,A21)</f>
        <v>Saldo final</v>
      </c>
      <c r="E21" s="120">
        <f>SUM(E15:E20)</f>
        <v>-2247</v>
      </c>
      <c r="F21" s="120">
        <f t="shared" ref="F21:BC21" si="24">SUM(F15:F20)</f>
        <v>-2569</v>
      </c>
      <c r="G21" s="162">
        <f t="shared" si="24"/>
        <v>-3238</v>
      </c>
      <c r="H21" s="120">
        <f t="shared" si="24"/>
        <v>-14101</v>
      </c>
      <c r="I21" s="120">
        <f t="shared" si="24"/>
        <v>-13089</v>
      </c>
      <c r="J21" s="120">
        <f t="shared" si="24"/>
        <v>-12875</v>
      </c>
      <c r="K21" s="120">
        <f t="shared" si="24"/>
        <v>-11410</v>
      </c>
      <c r="L21" s="120">
        <f t="shared" si="24"/>
        <v>-11715</v>
      </c>
      <c r="M21" s="120">
        <f t="shared" si="24"/>
        <v>-12450</v>
      </c>
      <c r="N21" s="120">
        <f t="shared" si="24"/>
        <v>-12515</v>
      </c>
      <c r="O21" s="120">
        <f t="shared" si="24"/>
        <v>-12406</v>
      </c>
      <c r="P21" s="120">
        <f t="shared" si="24"/>
        <v>-12405</v>
      </c>
      <c r="Q21" s="120">
        <f t="shared" si="24"/>
        <v>-12372</v>
      </c>
      <c r="R21" s="120">
        <f t="shared" si="24"/>
        <v>-12376</v>
      </c>
      <c r="S21" s="120">
        <f t="shared" si="24"/>
        <v>-12380</v>
      </c>
      <c r="T21" s="120">
        <f t="shared" si="24"/>
        <v>-12313</v>
      </c>
      <c r="U21" s="120">
        <f t="shared" si="24"/>
        <v>-111</v>
      </c>
      <c r="V21" s="120">
        <f t="shared" si="24"/>
        <v>-168</v>
      </c>
      <c r="W21" s="120">
        <f t="shared" si="24"/>
        <v>-59</v>
      </c>
      <c r="X21" s="120">
        <f t="shared" si="24"/>
        <v>-64</v>
      </c>
      <c r="Y21" s="120">
        <f t="shared" si="24"/>
        <v>-79</v>
      </c>
      <c r="Z21" s="120">
        <f t="shared" si="24"/>
        <v>-158</v>
      </c>
      <c r="AA21" s="120">
        <f t="shared" si="24"/>
        <v>-78</v>
      </c>
      <c r="AB21" s="120">
        <f t="shared" si="24"/>
        <v>-165</v>
      </c>
      <c r="AC21" s="120">
        <f t="shared" si="24"/>
        <v>-175</v>
      </c>
      <c r="AD21" s="120">
        <f t="shared" si="24"/>
        <v>-96</v>
      </c>
      <c r="AE21" s="120">
        <f t="shared" si="24"/>
        <v>-158</v>
      </c>
      <c r="AF21" s="120">
        <f t="shared" si="24"/>
        <v>-275</v>
      </c>
      <c r="AG21" s="120">
        <f t="shared" si="24"/>
        <v>-242</v>
      </c>
      <c r="AH21" s="120">
        <f t="shared" si="24"/>
        <v>-333</v>
      </c>
      <c r="AI21" s="120">
        <f t="shared" si="24"/>
        <v>-370</v>
      </c>
      <c r="AJ21" s="120">
        <f t="shared" si="24"/>
        <v>-490</v>
      </c>
      <c r="AK21" s="120">
        <f t="shared" si="24"/>
        <v>-835</v>
      </c>
      <c r="AL21" s="120">
        <f t="shared" si="24"/>
        <v>-911</v>
      </c>
      <c r="AM21" s="120">
        <f t="shared" si="24"/>
        <v>-929</v>
      </c>
      <c r="AN21" s="120">
        <f t="shared" si="24"/>
        <v>-858</v>
      </c>
      <c r="AO21" s="120">
        <f t="shared" si="24"/>
        <v>-797</v>
      </c>
      <c r="AP21" s="120">
        <f t="shared" si="24"/>
        <v>-769</v>
      </c>
      <c r="AQ21" s="120">
        <f t="shared" si="24"/>
        <v>-2117</v>
      </c>
      <c r="AR21" s="120">
        <f t="shared" si="24"/>
        <v>-1059</v>
      </c>
      <c r="AS21" s="120">
        <f t="shared" si="24"/>
        <v>-1048</v>
      </c>
      <c r="AT21" s="120">
        <f t="shared" si="24"/>
        <v>-1125</v>
      </c>
      <c r="AU21" s="120">
        <f t="shared" si="24"/>
        <v>-1270</v>
      </c>
      <c r="AV21" s="120">
        <f t="shared" si="24"/>
        <v>-1887</v>
      </c>
      <c r="AW21" s="120">
        <f t="shared" si="24"/>
        <v>-2974</v>
      </c>
      <c r="AX21" s="120">
        <f t="shared" si="24"/>
        <v>-3651</v>
      </c>
      <c r="AY21" s="120">
        <f t="shared" si="24"/>
        <v>-2800</v>
      </c>
      <c r="AZ21" s="120">
        <f t="shared" si="24"/>
        <v>-2486</v>
      </c>
      <c r="BA21" s="120">
        <f t="shared" si="24"/>
        <v>-2019</v>
      </c>
      <c r="BB21" s="120">
        <f t="shared" si="24"/>
        <v>-2504</v>
      </c>
      <c r="BC21" s="120">
        <f t="shared" si="24"/>
        <v>-2993</v>
      </c>
    </row>
    <row r="22" spans="1:55" x14ac:dyDescent="0.2">
      <c r="D22" s="56"/>
      <c r="E22" s="57"/>
      <c r="F22" s="57">
        <v>0</v>
      </c>
      <c r="G22" s="57">
        <v>0</v>
      </c>
      <c r="H22" s="57">
        <v>0</v>
      </c>
      <c r="I22" s="57"/>
      <c r="J22" s="57">
        <v>0</v>
      </c>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row>
    <row r="23" spans="1:55" x14ac:dyDescent="0.2">
      <c r="A23" t="s">
        <v>98</v>
      </c>
      <c r="B23" t="s">
        <v>876</v>
      </c>
      <c r="D23" s="151" t="str">
        <f>IF([1]RENAME!$H$3=1,B23,A23)</f>
        <v>Controladas</v>
      </c>
      <c r="E23" s="115" t="str">
        <f t="shared" ref="E23:U23" si="25">E5</f>
        <v>4T13</v>
      </c>
      <c r="F23" s="115" t="str">
        <f t="shared" si="25"/>
        <v>1T14</v>
      </c>
      <c r="G23" s="115" t="str">
        <f t="shared" si="25"/>
        <v>2T14</v>
      </c>
      <c r="H23" s="115" t="str">
        <f t="shared" si="25"/>
        <v>3T14</v>
      </c>
      <c r="I23" s="115" t="str">
        <f t="shared" si="25"/>
        <v>4T14</v>
      </c>
      <c r="J23" s="115" t="str">
        <f t="shared" si="25"/>
        <v>1T15</v>
      </c>
      <c r="K23" s="115" t="str">
        <f t="shared" si="25"/>
        <v>2T15</v>
      </c>
      <c r="L23" s="115" t="str">
        <f t="shared" si="25"/>
        <v>3T15</v>
      </c>
      <c r="M23" s="115" t="str">
        <f t="shared" si="25"/>
        <v>4T15</v>
      </c>
      <c r="N23" s="115" t="str">
        <f t="shared" si="25"/>
        <v>1T16</v>
      </c>
      <c r="O23" s="115" t="str">
        <f t="shared" si="25"/>
        <v>2T16</v>
      </c>
      <c r="P23" s="115" t="str">
        <f t="shared" si="25"/>
        <v>3T16</v>
      </c>
      <c r="Q23" s="115" t="str">
        <f t="shared" si="25"/>
        <v>4T16</v>
      </c>
      <c r="R23" s="115" t="str">
        <f t="shared" si="25"/>
        <v>1T17</v>
      </c>
      <c r="S23" s="115" t="str">
        <f t="shared" si="25"/>
        <v>2T17</v>
      </c>
      <c r="T23" s="115" t="str">
        <f t="shared" si="25"/>
        <v>3T17</v>
      </c>
      <c r="U23" s="115" t="str">
        <f t="shared" si="25"/>
        <v>4T17</v>
      </c>
      <c r="V23" s="115" t="s">
        <v>623</v>
      </c>
      <c r="W23" s="115" t="str">
        <f t="shared" ref="W23:AD23" si="26">W5</f>
        <v>2T18</v>
      </c>
      <c r="X23" s="115" t="str">
        <f t="shared" si="26"/>
        <v>3T18</v>
      </c>
      <c r="Y23" s="115" t="str">
        <f t="shared" si="26"/>
        <v>4T18</v>
      </c>
      <c r="Z23" s="115" t="str">
        <f t="shared" si="26"/>
        <v>1T19</v>
      </c>
      <c r="AA23" s="115" t="str">
        <f t="shared" si="26"/>
        <v>2T19</v>
      </c>
      <c r="AB23" s="115" t="str">
        <f t="shared" si="26"/>
        <v>3T19</v>
      </c>
      <c r="AC23" s="115" t="str">
        <f t="shared" si="26"/>
        <v>4T19</v>
      </c>
      <c r="AD23" s="115" t="str">
        <f t="shared" si="26"/>
        <v>1T20</v>
      </c>
      <c r="AE23" s="115" t="str">
        <f t="shared" ref="AE23:AL23" si="27">AE5</f>
        <v>2T20</v>
      </c>
      <c r="AF23" s="115" t="str">
        <f t="shared" si="27"/>
        <v>3T20</v>
      </c>
      <c r="AG23" s="115" t="str">
        <f t="shared" si="27"/>
        <v>4T20</v>
      </c>
      <c r="AH23" s="115" t="str">
        <f t="shared" si="27"/>
        <v>1T21</v>
      </c>
      <c r="AI23" s="115" t="str">
        <f t="shared" si="27"/>
        <v>2T21</v>
      </c>
      <c r="AJ23" s="115" t="str">
        <f t="shared" si="27"/>
        <v>3T21</v>
      </c>
      <c r="AK23" s="115" t="str">
        <f t="shared" si="27"/>
        <v>4T21</v>
      </c>
      <c r="AL23" s="115" t="str">
        <f t="shared" si="27"/>
        <v>1T22</v>
      </c>
      <c r="AM23" s="115" t="str">
        <f>AM5</f>
        <v>2T22</v>
      </c>
      <c r="AN23" s="115" t="s">
        <v>1944</v>
      </c>
      <c r="AO23" s="115" t="str">
        <f t="shared" ref="AO23:AT23" si="28">AO5</f>
        <v>4T22</v>
      </c>
      <c r="AP23" s="115" t="str">
        <f t="shared" si="28"/>
        <v>1T23</v>
      </c>
      <c r="AQ23" s="115" t="str">
        <f t="shared" si="28"/>
        <v>2T23</v>
      </c>
      <c r="AR23" s="115" t="str">
        <f t="shared" si="28"/>
        <v>3T23</v>
      </c>
      <c r="AS23" s="115" t="str">
        <f t="shared" si="28"/>
        <v>4T23</v>
      </c>
      <c r="AT23" s="115" t="str">
        <f t="shared" si="28"/>
        <v>1T24</v>
      </c>
      <c r="AU23" s="115" t="str">
        <f>AU5</f>
        <v>2T24</v>
      </c>
      <c r="AV23" s="115" t="str">
        <f t="shared" ref="AV23:BA23" si="29">AV5</f>
        <v>3T24</v>
      </c>
      <c r="AW23" s="115" t="str">
        <f t="shared" si="29"/>
        <v>4T24</v>
      </c>
      <c r="AX23" s="115" t="str">
        <f t="shared" si="29"/>
        <v>1T25</v>
      </c>
      <c r="AY23" s="115" t="str">
        <f t="shared" si="29"/>
        <v>2T25</v>
      </c>
      <c r="AZ23" s="115" t="str">
        <f t="shared" si="29"/>
        <v>3T25</v>
      </c>
      <c r="BA23" s="115" t="str">
        <f t="shared" si="29"/>
        <v>4T25</v>
      </c>
      <c r="BB23" s="247" t="str">
        <f>BB5</f>
        <v>1T26</v>
      </c>
      <c r="BC23" s="115" t="str">
        <f>BC5</f>
        <v>2T26</v>
      </c>
    </row>
    <row r="24" spans="1:55" x14ac:dyDescent="0.2">
      <c r="A24" t="s">
        <v>188</v>
      </c>
      <c r="B24" t="s">
        <v>894</v>
      </c>
      <c r="D24" s="126" t="str">
        <f>IF([1]RENAME!$H$3=1,B24,A24)</f>
        <v>Saldo inicial</v>
      </c>
      <c r="E24" s="120">
        <f t="shared" ref="E24:P24" si="30">+E6-E15</f>
        <v>-7772</v>
      </c>
      <c r="F24" s="120">
        <f t="shared" si="30"/>
        <v>-4478</v>
      </c>
      <c r="G24" s="162">
        <f t="shared" si="30"/>
        <v>-4633</v>
      </c>
      <c r="H24" s="120">
        <f t="shared" si="30"/>
        <v>-1481</v>
      </c>
      <c r="I24" s="120">
        <f t="shared" si="30"/>
        <v>-1558</v>
      </c>
      <c r="J24" s="120">
        <f t="shared" si="30"/>
        <v>-2916</v>
      </c>
      <c r="K24" s="120">
        <f t="shared" si="30"/>
        <v>-2670</v>
      </c>
      <c r="L24" s="120">
        <f t="shared" si="30"/>
        <v>-3861</v>
      </c>
      <c r="M24" s="120">
        <f t="shared" si="30"/>
        <v>-4678</v>
      </c>
      <c r="N24" s="120">
        <f t="shared" si="30"/>
        <v>-4755</v>
      </c>
      <c r="O24" s="120">
        <f t="shared" si="30"/>
        <v>-5318</v>
      </c>
      <c r="P24" s="120">
        <f t="shared" si="30"/>
        <v>-5335</v>
      </c>
      <c r="Q24" s="120">
        <v>-4912</v>
      </c>
      <c r="R24" s="120">
        <v>-5700</v>
      </c>
      <c r="S24" s="120">
        <v>-5865</v>
      </c>
      <c r="T24" s="120">
        <f>+T6-T15</f>
        <v>-5841</v>
      </c>
      <c r="U24" s="120">
        <f>+U6-U15</f>
        <v>-5827</v>
      </c>
      <c r="V24" s="120">
        <v>-1857</v>
      </c>
      <c r="W24" s="120">
        <v>-1737</v>
      </c>
      <c r="X24" s="120">
        <v>-845</v>
      </c>
      <c r="Y24" s="120">
        <f t="shared" ref="Y24:AD24" si="31">+Y6-Y15</f>
        <v>-1123</v>
      </c>
      <c r="Z24" s="120">
        <f t="shared" si="31"/>
        <v>-2859</v>
      </c>
      <c r="AA24" s="120">
        <f t="shared" si="31"/>
        <v>-2856</v>
      </c>
      <c r="AB24" s="120">
        <f t="shared" si="31"/>
        <v>-836</v>
      </c>
      <c r="AC24" s="120">
        <f t="shared" si="31"/>
        <v>-882</v>
      </c>
      <c r="AD24" s="120">
        <f t="shared" si="31"/>
        <v>-47</v>
      </c>
      <c r="AE24" s="120">
        <f t="shared" ref="AE24:AF29" si="32">+AE6-AE15</f>
        <v>-46</v>
      </c>
      <c r="AF24" s="120">
        <f t="shared" si="32"/>
        <v>-53</v>
      </c>
      <c r="AG24" s="120">
        <f t="shared" ref="AG24:AH29" si="33">+AG6-AG15</f>
        <v>-47</v>
      </c>
      <c r="AH24" s="120">
        <f t="shared" si="33"/>
        <v>-46</v>
      </c>
      <c r="AI24" s="120">
        <f t="shared" ref="AI24:AK29" si="34">+AI6-AI15</f>
        <v>-102</v>
      </c>
      <c r="AJ24" s="120">
        <f t="shared" si="34"/>
        <v>-103</v>
      </c>
      <c r="AK24" s="120">
        <f t="shared" si="34"/>
        <v>-278</v>
      </c>
      <c r="AL24" s="120">
        <v>-519</v>
      </c>
      <c r="AM24" s="120">
        <f t="shared" ref="AM24:AM29" si="35">+AM6-AM15</f>
        <v>-116</v>
      </c>
      <c r="AN24" s="120">
        <v>-145</v>
      </c>
      <c r="AO24" s="120">
        <f t="shared" ref="AO24:AT29" si="36">+AO6-AO15</f>
        <v>-161</v>
      </c>
      <c r="AP24" s="120">
        <f t="shared" si="36"/>
        <v>-235</v>
      </c>
      <c r="AQ24" s="120">
        <f t="shared" si="36"/>
        <v>-552</v>
      </c>
      <c r="AR24" s="120">
        <f t="shared" si="36"/>
        <v>504</v>
      </c>
      <c r="AS24" s="120">
        <f t="shared" si="36"/>
        <v>-703</v>
      </c>
      <c r="AT24" s="120">
        <f t="shared" si="36"/>
        <v>-750</v>
      </c>
      <c r="AU24" s="120">
        <f t="shared" ref="AU24:BC24" si="37">+AU6-AU15</f>
        <v>-692</v>
      </c>
      <c r="AV24" s="120">
        <f t="shared" si="37"/>
        <v>-682</v>
      </c>
      <c r="AW24" s="120">
        <f t="shared" si="37"/>
        <v>-669</v>
      </c>
      <c r="AX24" s="120">
        <f t="shared" si="37"/>
        <v>-413</v>
      </c>
      <c r="AY24" s="120">
        <f t="shared" si="37"/>
        <v>-462</v>
      </c>
      <c r="AZ24" s="120">
        <f t="shared" si="37"/>
        <v>-664</v>
      </c>
      <c r="BA24" s="120">
        <f t="shared" si="37"/>
        <v>-305</v>
      </c>
      <c r="BB24" s="120">
        <f t="shared" ref="BB24:BB29" si="38">+BB6-BB15</f>
        <v>-504</v>
      </c>
      <c r="BC24" s="120">
        <f t="shared" si="37"/>
        <v>-982</v>
      </c>
    </row>
    <row r="25" spans="1:55" x14ac:dyDescent="0.2">
      <c r="A25" t="s">
        <v>189</v>
      </c>
      <c r="B25" t="s">
        <v>895</v>
      </c>
      <c r="D25" s="129" t="str">
        <f>IF([1]RENAME!$H$3=1,B25,A25)</f>
        <v>Adições</v>
      </c>
      <c r="E25" s="118">
        <f t="shared" ref="E25:Y29" si="39">+E7-E16</f>
        <v>-2421</v>
      </c>
      <c r="F25" s="118">
        <f t="shared" si="39"/>
        <v>-155</v>
      </c>
      <c r="G25" s="160">
        <f>+G7-G16</f>
        <v>-922</v>
      </c>
      <c r="H25" s="118">
        <f t="shared" si="39"/>
        <v>-77</v>
      </c>
      <c r="I25" s="118">
        <f t="shared" si="39"/>
        <v>-2425</v>
      </c>
      <c r="J25" s="118">
        <f t="shared" si="39"/>
        <v>-9</v>
      </c>
      <c r="K25" s="118">
        <f t="shared" si="39"/>
        <v>-1533</v>
      </c>
      <c r="L25" s="118">
        <f t="shared" si="39"/>
        <v>-900</v>
      </c>
      <c r="M25" s="118">
        <f t="shared" si="39"/>
        <v>-76</v>
      </c>
      <c r="N25" s="118">
        <f t="shared" si="39"/>
        <v>-581</v>
      </c>
      <c r="O25" s="118">
        <f t="shared" si="39"/>
        <v>-180</v>
      </c>
      <c r="P25" s="118">
        <f t="shared" si="39"/>
        <v>-68</v>
      </c>
      <c r="Q25" s="118">
        <f t="shared" si="39"/>
        <v>-790</v>
      </c>
      <c r="R25" s="118">
        <f t="shared" si="39"/>
        <v>-200</v>
      </c>
      <c r="S25" s="118">
        <f t="shared" si="39"/>
        <v>-7</v>
      </c>
      <c r="T25" s="118">
        <f t="shared" si="39"/>
        <v>-5</v>
      </c>
      <c r="U25" s="118">
        <f t="shared" si="39"/>
        <v>-10</v>
      </c>
      <c r="V25" s="118">
        <f t="shared" si="39"/>
        <v>-12</v>
      </c>
      <c r="W25" s="118">
        <f t="shared" si="39"/>
        <v>-9</v>
      </c>
      <c r="X25" s="118">
        <f t="shared" si="39"/>
        <v>-303</v>
      </c>
      <c r="Y25" s="118">
        <f t="shared" si="39"/>
        <v>-1752</v>
      </c>
      <c r="Z25" s="118">
        <f t="shared" ref="Z25:AA29" si="40">+Z7-Z16</f>
        <v>-10</v>
      </c>
      <c r="AA25" s="118">
        <f t="shared" si="40"/>
        <v>-5</v>
      </c>
      <c r="AB25" s="118">
        <f t="shared" ref="AB25:AD29" si="41">+AB7-AB16</f>
        <v>-47</v>
      </c>
      <c r="AC25" s="118">
        <f t="shared" si="41"/>
        <v>-1</v>
      </c>
      <c r="AD25" s="118">
        <f t="shared" si="41"/>
        <v>0</v>
      </c>
      <c r="AE25" s="118">
        <f t="shared" si="32"/>
        <v>-7</v>
      </c>
      <c r="AF25" s="118">
        <f t="shared" si="32"/>
        <v>-1</v>
      </c>
      <c r="AG25" s="118">
        <f t="shared" si="33"/>
        <v>1</v>
      </c>
      <c r="AH25" s="118">
        <f t="shared" si="33"/>
        <v>-57</v>
      </c>
      <c r="AI25" s="118">
        <f t="shared" si="34"/>
        <v>-110</v>
      </c>
      <c r="AJ25" s="118">
        <f t="shared" si="34"/>
        <v>-226</v>
      </c>
      <c r="AK25" s="118">
        <f>+AK7-AK16</f>
        <v>-41</v>
      </c>
      <c r="AL25" s="118">
        <v>-42</v>
      </c>
      <c r="AM25" s="118">
        <f t="shared" si="35"/>
        <v>-54</v>
      </c>
      <c r="AN25" s="118">
        <v>-65</v>
      </c>
      <c r="AO25" s="118">
        <f t="shared" si="36"/>
        <v>-99</v>
      </c>
      <c r="AP25" s="118">
        <f t="shared" si="36"/>
        <v>-347</v>
      </c>
      <c r="AQ25" s="118">
        <f t="shared" si="36"/>
        <v>-153</v>
      </c>
      <c r="AR25" s="118">
        <f t="shared" si="36"/>
        <v>-289</v>
      </c>
      <c r="AS25" s="118">
        <f t="shared" si="36"/>
        <v>-342</v>
      </c>
      <c r="AT25" s="118">
        <f t="shared" si="36"/>
        <v>-300</v>
      </c>
      <c r="AU25" s="118">
        <f t="shared" ref="AU25:AW29" si="42">+AU7-AU16</f>
        <v>-382</v>
      </c>
      <c r="AV25" s="118">
        <f t="shared" si="42"/>
        <v>-448</v>
      </c>
      <c r="AW25" s="118">
        <f t="shared" si="42"/>
        <v>-135</v>
      </c>
      <c r="AX25" s="118">
        <v>-96</v>
      </c>
      <c r="AY25" s="118">
        <v>-274</v>
      </c>
      <c r="AZ25" s="118">
        <v>-227</v>
      </c>
      <c r="BA25" s="118">
        <f t="shared" ref="BA25:BC29" si="43">+BA7-BA16</f>
        <v>-261</v>
      </c>
      <c r="BB25" s="118">
        <f t="shared" si="38"/>
        <v>-640</v>
      </c>
      <c r="BC25" s="118">
        <f t="shared" si="43"/>
        <v>-661</v>
      </c>
    </row>
    <row r="26" spans="1:55" x14ac:dyDescent="0.2">
      <c r="A26" t="s">
        <v>190</v>
      </c>
      <c r="B26" t="s">
        <v>896</v>
      </c>
      <c r="D26" s="129" t="str">
        <f>IF([1]RENAME!$H$3=1,B26,A26)</f>
        <v xml:space="preserve">Reversões </v>
      </c>
      <c r="E26" s="118">
        <f t="shared" si="39"/>
        <v>5715</v>
      </c>
      <c r="F26" s="118">
        <f t="shared" si="39"/>
        <v>0</v>
      </c>
      <c r="G26" s="160">
        <f t="shared" si="39"/>
        <v>0</v>
      </c>
      <c r="H26" s="118">
        <f t="shared" si="39"/>
        <v>0</v>
      </c>
      <c r="I26" s="118">
        <f t="shared" si="39"/>
        <v>1067</v>
      </c>
      <c r="J26" s="118">
        <f t="shared" si="39"/>
        <v>255</v>
      </c>
      <c r="K26" s="118">
        <f t="shared" si="39"/>
        <v>342</v>
      </c>
      <c r="L26" s="118">
        <f t="shared" si="39"/>
        <v>83</v>
      </c>
      <c r="M26" s="118">
        <f t="shared" si="39"/>
        <v>-1</v>
      </c>
      <c r="N26" s="118">
        <f t="shared" si="39"/>
        <v>18</v>
      </c>
      <c r="O26" s="118">
        <f t="shared" si="39"/>
        <v>163</v>
      </c>
      <c r="P26" s="118">
        <f t="shared" si="39"/>
        <v>491</v>
      </c>
      <c r="Q26" s="118">
        <f t="shared" si="39"/>
        <v>2</v>
      </c>
      <c r="R26" s="118">
        <f t="shared" si="39"/>
        <v>35</v>
      </c>
      <c r="S26" s="118">
        <f t="shared" si="39"/>
        <v>31</v>
      </c>
      <c r="T26" s="118">
        <f t="shared" si="39"/>
        <v>19</v>
      </c>
      <c r="U26" s="118">
        <f t="shared" si="39"/>
        <v>21</v>
      </c>
      <c r="V26" s="118">
        <f t="shared" si="39"/>
        <v>6</v>
      </c>
      <c r="W26" s="118">
        <f t="shared" si="39"/>
        <v>901</v>
      </c>
      <c r="X26" s="118">
        <f t="shared" si="39"/>
        <v>25</v>
      </c>
      <c r="Y26" s="118">
        <f>+Y8-Y17</f>
        <v>16</v>
      </c>
      <c r="Z26" s="118">
        <f t="shared" si="40"/>
        <v>13</v>
      </c>
      <c r="AA26" s="118">
        <f t="shared" si="40"/>
        <v>1417</v>
      </c>
      <c r="AB26" s="118">
        <f t="shared" si="41"/>
        <v>1</v>
      </c>
      <c r="AC26" s="118">
        <f t="shared" si="41"/>
        <v>836</v>
      </c>
      <c r="AD26" s="118">
        <f t="shared" si="41"/>
        <v>1</v>
      </c>
      <c r="AE26" s="118">
        <f t="shared" si="32"/>
        <v>0</v>
      </c>
      <c r="AF26" s="118">
        <f t="shared" si="32"/>
        <v>7</v>
      </c>
      <c r="AG26" s="118">
        <f t="shared" si="33"/>
        <v>0</v>
      </c>
      <c r="AH26" s="118">
        <f t="shared" si="33"/>
        <v>1</v>
      </c>
      <c r="AI26" s="118">
        <f t="shared" si="34"/>
        <v>109</v>
      </c>
      <c r="AJ26" s="118">
        <f t="shared" si="34"/>
        <v>51</v>
      </c>
      <c r="AK26" s="118">
        <f>+AK8-AK17</f>
        <v>223</v>
      </c>
      <c r="AL26" s="118">
        <v>22</v>
      </c>
      <c r="AM26" s="118">
        <f t="shared" si="35"/>
        <v>25</v>
      </c>
      <c r="AN26" s="118">
        <v>49</v>
      </c>
      <c r="AO26" s="118">
        <f t="shared" si="36"/>
        <v>25</v>
      </c>
      <c r="AP26" s="118">
        <f t="shared" si="36"/>
        <v>30</v>
      </c>
      <c r="AQ26" s="118">
        <f t="shared" si="36"/>
        <v>1209</v>
      </c>
      <c r="AR26" s="118">
        <f t="shared" si="36"/>
        <v>-918</v>
      </c>
      <c r="AS26" s="118">
        <f t="shared" si="36"/>
        <v>295</v>
      </c>
      <c r="AT26" s="118">
        <f t="shared" si="36"/>
        <v>358</v>
      </c>
      <c r="AU26" s="118">
        <f t="shared" si="42"/>
        <v>392</v>
      </c>
      <c r="AV26" s="118">
        <f t="shared" si="42"/>
        <v>461</v>
      </c>
      <c r="AW26" s="118">
        <f t="shared" si="42"/>
        <v>338</v>
      </c>
      <c r="AX26" s="118">
        <v>47</v>
      </c>
      <c r="AY26" s="118">
        <v>72</v>
      </c>
      <c r="AZ26" s="118">
        <v>586</v>
      </c>
      <c r="BA26" s="118">
        <f t="shared" si="43"/>
        <v>62</v>
      </c>
      <c r="BB26" s="118">
        <f t="shared" si="38"/>
        <v>162</v>
      </c>
      <c r="BC26" s="118">
        <f t="shared" si="43"/>
        <v>498</v>
      </c>
    </row>
    <row r="27" spans="1:55" x14ac:dyDescent="0.2">
      <c r="A27" t="s">
        <v>192</v>
      </c>
      <c r="B27" t="s">
        <v>897</v>
      </c>
      <c r="D27" s="129" t="str">
        <f>IF([1]RENAME!$H$3=1,B27,A27)</f>
        <v>Transferencia operação descontinuada (i)</v>
      </c>
      <c r="E27" s="118">
        <f t="shared" si="39"/>
        <v>0</v>
      </c>
      <c r="F27" s="118">
        <f t="shared" si="39"/>
        <v>0</v>
      </c>
      <c r="G27" s="160">
        <f t="shared" si="39"/>
        <v>4074</v>
      </c>
      <c r="H27" s="118">
        <f t="shared" si="39"/>
        <v>0</v>
      </c>
      <c r="I27" s="118">
        <f t="shared" si="39"/>
        <v>0</v>
      </c>
      <c r="J27" s="118">
        <f t="shared" si="39"/>
        <v>0</v>
      </c>
      <c r="K27" s="118">
        <f t="shared" si="39"/>
        <v>0</v>
      </c>
      <c r="L27" s="118">
        <f t="shared" si="39"/>
        <v>0</v>
      </c>
      <c r="M27" s="118">
        <f t="shared" si="39"/>
        <v>0</v>
      </c>
      <c r="N27" s="118">
        <f t="shared" si="39"/>
        <v>0</v>
      </c>
      <c r="O27" s="118">
        <f t="shared" si="39"/>
        <v>0</v>
      </c>
      <c r="P27" s="118">
        <f t="shared" si="39"/>
        <v>0</v>
      </c>
      <c r="Q27" s="118">
        <f t="shared" si="39"/>
        <v>0</v>
      </c>
      <c r="R27" s="118">
        <f t="shared" si="39"/>
        <v>0</v>
      </c>
      <c r="S27" s="118">
        <f t="shared" si="39"/>
        <v>0</v>
      </c>
      <c r="T27" s="118">
        <f t="shared" si="39"/>
        <v>0</v>
      </c>
      <c r="U27" s="118">
        <f t="shared" si="39"/>
        <v>0</v>
      </c>
      <c r="V27" s="118">
        <f t="shared" si="39"/>
        <v>126</v>
      </c>
      <c r="W27" s="118">
        <f t="shared" si="39"/>
        <v>0</v>
      </c>
      <c r="X27" s="118">
        <f t="shared" si="39"/>
        <v>0</v>
      </c>
      <c r="Y27" s="118">
        <f>+Y9-Y18</f>
        <v>0</v>
      </c>
      <c r="Z27" s="118">
        <f t="shared" si="40"/>
        <v>0</v>
      </c>
      <c r="AA27" s="118">
        <f t="shared" si="40"/>
        <v>0</v>
      </c>
      <c r="AB27" s="118">
        <f t="shared" si="41"/>
        <v>0</v>
      </c>
      <c r="AC27" s="118">
        <f t="shared" si="41"/>
        <v>0</v>
      </c>
      <c r="AD27" s="118">
        <f t="shared" si="41"/>
        <v>0</v>
      </c>
      <c r="AE27" s="118">
        <f t="shared" si="32"/>
        <v>0</v>
      </c>
      <c r="AF27" s="118">
        <f t="shared" si="32"/>
        <v>0</v>
      </c>
      <c r="AG27" s="118">
        <f t="shared" si="33"/>
        <v>0</v>
      </c>
      <c r="AH27" s="118">
        <f t="shared" si="33"/>
        <v>0</v>
      </c>
      <c r="AI27" s="118">
        <f t="shared" si="34"/>
        <v>0</v>
      </c>
      <c r="AJ27" s="118">
        <f t="shared" si="34"/>
        <v>0</v>
      </c>
      <c r="AK27" s="118">
        <f>+AK9-AK18</f>
        <v>0</v>
      </c>
      <c r="AL27" s="118">
        <v>0</v>
      </c>
      <c r="AM27" s="118">
        <f t="shared" si="35"/>
        <v>0</v>
      </c>
      <c r="AN27" s="118">
        <v>0</v>
      </c>
      <c r="AO27" s="118">
        <f t="shared" si="36"/>
        <v>0</v>
      </c>
      <c r="AP27" s="118">
        <f t="shared" si="36"/>
        <v>0</v>
      </c>
      <c r="AQ27" s="118">
        <f t="shared" si="36"/>
        <v>0</v>
      </c>
      <c r="AR27" s="118">
        <f t="shared" si="36"/>
        <v>0</v>
      </c>
      <c r="AS27" s="118">
        <f t="shared" si="36"/>
        <v>0</v>
      </c>
      <c r="AT27" s="118">
        <f t="shared" si="36"/>
        <v>0</v>
      </c>
      <c r="AU27" s="118">
        <f t="shared" si="42"/>
        <v>0</v>
      </c>
      <c r="AV27" s="118">
        <f t="shared" si="42"/>
        <v>0</v>
      </c>
      <c r="AW27" s="118">
        <f t="shared" si="42"/>
        <v>0</v>
      </c>
      <c r="AX27" s="118">
        <v>0</v>
      </c>
      <c r="AY27" s="118">
        <v>0</v>
      </c>
      <c r="AZ27" s="118">
        <v>0</v>
      </c>
      <c r="BA27" s="118">
        <f t="shared" si="43"/>
        <v>0</v>
      </c>
      <c r="BB27" s="118">
        <f t="shared" si="38"/>
        <v>0</v>
      </c>
      <c r="BC27" s="118">
        <f t="shared" si="43"/>
        <v>0</v>
      </c>
    </row>
    <row r="28" spans="1:55" x14ac:dyDescent="0.2">
      <c r="A28" t="s">
        <v>49</v>
      </c>
      <c r="B28" t="s">
        <v>699</v>
      </c>
      <c r="D28" s="129" t="str">
        <f>IF([1]RENAME!$H$3=1,B28,A28)</f>
        <v>Outros</v>
      </c>
      <c r="E28" s="118">
        <f t="shared" si="39"/>
        <v>0</v>
      </c>
      <c r="F28" s="118">
        <f t="shared" si="39"/>
        <v>0</v>
      </c>
      <c r="G28" s="160">
        <f t="shared" si="39"/>
        <v>0</v>
      </c>
      <c r="H28" s="118">
        <f t="shared" si="39"/>
        <v>0</v>
      </c>
      <c r="I28" s="118">
        <f t="shared" si="39"/>
        <v>0</v>
      </c>
      <c r="J28" s="118">
        <f t="shared" si="39"/>
        <v>0</v>
      </c>
      <c r="K28" s="118">
        <f t="shared" si="39"/>
        <v>0</v>
      </c>
      <c r="L28" s="118">
        <f t="shared" si="39"/>
        <v>0</v>
      </c>
      <c r="M28" s="118">
        <f t="shared" si="39"/>
        <v>0</v>
      </c>
      <c r="N28" s="118">
        <f t="shared" si="39"/>
        <v>0</v>
      </c>
      <c r="O28" s="118">
        <f t="shared" si="39"/>
        <v>0</v>
      </c>
      <c r="P28" s="118">
        <f t="shared" si="39"/>
        <v>0</v>
      </c>
      <c r="Q28" s="118">
        <f t="shared" si="39"/>
        <v>0</v>
      </c>
      <c r="R28" s="118">
        <f t="shared" si="39"/>
        <v>0</v>
      </c>
      <c r="S28" s="118">
        <f t="shared" si="39"/>
        <v>0</v>
      </c>
      <c r="T28" s="118">
        <f t="shared" si="39"/>
        <v>0</v>
      </c>
      <c r="U28" s="118">
        <f t="shared" si="39"/>
        <v>0</v>
      </c>
      <c r="V28" s="118">
        <f t="shared" si="39"/>
        <v>0</v>
      </c>
      <c r="W28" s="118">
        <f t="shared" si="39"/>
        <v>0</v>
      </c>
      <c r="X28" s="118">
        <f t="shared" si="39"/>
        <v>0</v>
      </c>
      <c r="Y28" s="118">
        <f>+Y10-Y19</f>
        <v>0</v>
      </c>
      <c r="Z28" s="118">
        <f t="shared" si="40"/>
        <v>0</v>
      </c>
      <c r="AA28" s="118">
        <f t="shared" si="40"/>
        <v>607</v>
      </c>
      <c r="AB28" s="118">
        <f t="shared" si="41"/>
        <v>0</v>
      </c>
      <c r="AC28" s="118">
        <f t="shared" si="41"/>
        <v>0</v>
      </c>
      <c r="AD28" s="118">
        <f t="shared" si="41"/>
        <v>0</v>
      </c>
      <c r="AE28" s="118">
        <f t="shared" si="32"/>
        <v>0</v>
      </c>
      <c r="AF28" s="118">
        <f t="shared" si="32"/>
        <v>0</v>
      </c>
      <c r="AG28" s="118">
        <f t="shared" si="33"/>
        <v>0</v>
      </c>
      <c r="AH28" s="118">
        <f t="shared" si="33"/>
        <v>0</v>
      </c>
      <c r="AI28" s="118">
        <f t="shared" si="34"/>
        <v>0</v>
      </c>
      <c r="AJ28" s="118">
        <f t="shared" si="34"/>
        <v>0</v>
      </c>
      <c r="AK28" s="118">
        <f>+AK10-AK19</f>
        <v>0</v>
      </c>
      <c r="AL28" s="118">
        <v>0</v>
      </c>
      <c r="AM28" s="118">
        <f t="shared" si="35"/>
        <v>0</v>
      </c>
      <c r="AN28" s="118">
        <v>0</v>
      </c>
      <c r="AO28" s="118">
        <f t="shared" si="36"/>
        <v>0</v>
      </c>
      <c r="AP28" s="118">
        <f t="shared" si="36"/>
        <v>0</v>
      </c>
      <c r="AQ28" s="118">
        <f t="shared" si="36"/>
        <v>0</v>
      </c>
      <c r="AR28" s="118">
        <f t="shared" si="36"/>
        <v>0</v>
      </c>
      <c r="AS28" s="118">
        <f t="shared" si="36"/>
        <v>0</v>
      </c>
      <c r="AT28" s="118">
        <f t="shared" si="36"/>
        <v>0</v>
      </c>
      <c r="AU28" s="118">
        <f t="shared" si="42"/>
        <v>0</v>
      </c>
      <c r="AV28" s="118">
        <f t="shared" si="42"/>
        <v>0</v>
      </c>
      <c r="AW28" s="118">
        <f t="shared" si="42"/>
        <v>53</v>
      </c>
      <c r="AX28" s="118">
        <v>0</v>
      </c>
      <c r="AY28" s="118">
        <v>0</v>
      </c>
      <c r="AZ28" s="118">
        <v>0</v>
      </c>
      <c r="BA28" s="118">
        <f t="shared" si="43"/>
        <v>0</v>
      </c>
      <c r="BB28" s="118">
        <f t="shared" si="38"/>
        <v>0</v>
      </c>
      <c r="BC28" s="118">
        <f t="shared" si="43"/>
        <v>0</v>
      </c>
    </row>
    <row r="29" spans="1:55" s="233" customFormat="1" outlineLevel="1" x14ac:dyDescent="0.2">
      <c r="A29" s="233" t="s">
        <v>256</v>
      </c>
      <c r="B29" s="233" t="s">
        <v>1126</v>
      </c>
      <c r="D29" s="250" t="str">
        <f>IF([1]RENAME!$H$3=1,B29,A29)</f>
        <v>Baixa</v>
      </c>
      <c r="E29" s="218">
        <f t="shared" si="39"/>
        <v>0</v>
      </c>
      <c r="F29" s="218">
        <f t="shared" si="39"/>
        <v>0</v>
      </c>
      <c r="G29" s="219">
        <f t="shared" si="39"/>
        <v>0</v>
      </c>
      <c r="H29" s="218">
        <f t="shared" si="39"/>
        <v>0</v>
      </c>
      <c r="I29" s="218">
        <f t="shared" si="39"/>
        <v>0</v>
      </c>
      <c r="J29" s="218">
        <f t="shared" si="39"/>
        <v>0</v>
      </c>
      <c r="K29" s="218">
        <f t="shared" si="39"/>
        <v>0</v>
      </c>
      <c r="L29" s="218">
        <f t="shared" si="39"/>
        <v>0</v>
      </c>
      <c r="M29" s="218">
        <f t="shared" si="39"/>
        <v>0</v>
      </c>
      <c r="N29" s="218">
        <f t="shared" si="39"/>
        <v>0</v>
      </c>
      <c r="O29" s="218">
        <f t="shared" si="39"/>
        <v>0</v>
      </c>
      <c r="P29" s="218">
        <f t="shared" si="39"/>
        <v>0</v>
      </c>
      <c r="Q29" s="218">
        <f t="shared" si="39"/>
        <v>0</v>
      </c>
      <c r="R29" s="218">
        <f t="shared" si="39"/>
        <v>0</v>
      </c>
      <c r="S29" s="218">
        <f t="shared" si="39"/>
        <v>0</v>
      </c>
      <c r="T29" s="218">
        <f t="shared" si="39"/>
        <v>0</v>
      </c>
      <c r="U29" s="218">
        <f t="shared" si="39"/>
        <v>3959</v>
      </c>
      <c r="V29" s="218">
        <f t="shared" si="39"/>
        <v>0</v>
      </c>
      <c r="W29" s="218">
        <f t="shared" si="39"/>
        <v>0</v>
      </c>
      <c r="X29" s="218">
        <f t="shared" si="39"/>
        <v>0</v>
      </c>
      <c r="Y29" s="218">
        <f t="shared" si="39"/>
        <v>0</v>
      </c>
      <c r="Z29" s="218">
        <f t="shared" si="40"/>
        <v>0</v>
      </c>
      <c r="AA29" s="218">
        <f t="shared" si="40"/>
        <v>0</v>
      </c>
      <c r="AB29" s="218">
        <f t="shared" si="41"/>
        <v>0</v>
      </c>
      <c r="AC29" s="218">
        <f t="shared" si="41"/>
        <v>0</v>
      </c>
      <c r="AD29" s="218">
        <f t="shared" si="41"/>
        <v>0</v>
      </c>
      <c r="AE29" s="218">
        <f t="shared" si="32"/>
        <v>0</v>
      </c>
      <c r="AF29" s="218">
        <f t="shared" si="32"/>
        <v>0</v>
      </c>
      <c r="AG29" s="218">
        <f t="shared" si="33"/>
        <v>0</v>
      </c>
      <c r="AH29" s="218">
        <f t="shared" si="33"/>
        <v>0</v>
      </c>
      <c r="AI29" s="218">
        <f t="shared" si="34"/>
        <v>0</v>
      </c>
      <c r="AJ29" s="218">
        <f t="shared" si="34"/>
        <v>0</v>
      </c>
      <c r="AK29" s="218">
        <f>+AK11-AK20</f>
        <v>0</v>
      </c>
      <c r="AL29" s="218">
        <v>0</v>
      </c>
      <c r="AM29" s="218">
        <f t="shared" si="35"/>
        <v>0</v>
      </c>
      <c r="AN29" s="218">
        <v>0</v>
      </c>
      <c r="AO29" s="218">
        <f t="shared" si="36"/>
        <v>0</v>
      </c>
      <c r="AP29" s="218">
        <f t="shared" si="36"/>
        <v>0</v>
      </c>
      <c r="AQ29" s="218">
        <f t="shared" si="36"/>
        <v>0</v>
      </c>
      <c r="AR29" s="218">
        <f t="shared" si="36"/>
        <v>0</v>
      </c>
      <c r="AS29" s="218">
        <f t="shared" si="36"/>
        <v>0</v>
      </c>
      <c r="AT29" s="218">
        <f t="shared" si="36"/>
        <v>0</v>
      </c>
      <c r="AU29" s="218">
        <f t="shared" si="42"/>
        <v>0</v>
      </c>
      <c r="AV29" s="218">
        <f t="shared" si="42"/>
        <v>0</v>
      </c>
      <c r="AW29" s="218">
        <f t="shared" si="42"/>
        <v>0</v>
      </c>
      <c r="AX29" s="218"/>
      <c r="AY29" s="218">
        <f>+AY11-AY20</f>
        <v>0</v>
      </c>
      <c r="AZ29" s="218">
        <f>+AZ11-AZ20</f>
        <v>0</v>
      </c>
      <c r="BA29" s="218">
        <f t="shared" si="43"/>
        <v>0</v>
      </c>
      <c r="BB29" s="218">
        <f t="shared" si="38"/>
        <v>0</v>
      </c>
      <c r="BC29" s="218">
        <f t="shared" si="43"/>
        <v>0</v>
      </c>
    </row>
    <row r="30" spans="1:55" x14ac:dyDescent="0.2">
      <c r="A30" t="s">
        <v>191</v>
      </c>
      <c r="B30" t="s">
        <v>898</v>
      </c>
      <c r="D30" s="126" t="str">
        <f>IF([1]RENAME!$H$3=1,B30,A30)</f>
        <v>Saldo final</v>
      </c>
      <c r="E30" s="120">
        <f t="shared" ref="E30:M30" si="44">SUM(E24:E26)</f>
        <v>-4478</v>
      </c>
      <c r="F30" s="120">
        <f t="shared" si="44"/>
        <v>-4633</v>
      </c>
      <c r="G30" s="162">
        <f t="shared" si="44"/>
        <v>-5555</v>
      </c>
      <c r="H30" s="120">
        <f t="shared" si="44"/>
        <v>-1558</v>
      </c>
      <c r="I30" s="120">
        <f t="shared" si="44"/>
        <v>-2916</v>
      </c>
      <c r="J30" s="120">
        <f t="shared" si="44"/>
        <v>-2670</v>
      </c>
      <c r="K30" s="120">
        <f t="shared" si="44"/>
        <v>-3861</v>
      </c>
      <c r="L30" s="120">
        <f t="shared" si="44"/>
        <v>-4678</v>
      </c>
      <c r="M30" s="120">
        <f t="shared" si="44"/>
        <v>-4755</v>
      </c>
      <c r="N30" s="120">
        <f t="shared" ref="N30:T30" si="45">SUM(N24:N26)</f>
        <v>-5318</v>
      </c>
      <c r="O30" s="120">
        <f t="shared" si="45"/>
        <v>-5335</v>
      </c>
      <c r="P30" s="120">
        <f t="shared" si="45"/>
        <v>-4912</v>
      </c>
      <c r="Q30" s="120">
        <f t="shared" si="45"/>
        <v>-5700</v>
      </c>
      <c r="R30" s="120">
        <f t="shared" si="45"/>
        <v>-5865</v>
      </c>
      <c r="S30" s="120">
        <f t="shared" si="45"/>
        <v>-5841</v>
      </c>
      <c r="T30" s="120">
        <f t="shared" si="45"/>
        <v>-5827</v>
      </c>
      <c r="U30" s="120">
        <f>SUM(U24:U29)</f>
        <v>-1857</v>
      </c>
      <c r="V30" s="120">
        <f t="shared" ref="V30:BC30" si="46">SUM(V24:V29)</f>
        <v>-1737</v>
      </c>
      <c r="W30" s="120">
        <f t="shared" si="46"/>
        <v>-845</v>
      </c>
      <c r="X30" s="120">
        <f t="shared" si="46"/>
        <v>-1123</v>
      </c>
      <c r="Y30" s="120">
        <f t="shared" si="46"/>
        <v>-2859</v>
      </c>
      <c r="Z30" s="120">
        <f t="shared" si="46"/>
        <v>-2856</v>
      </c>
      <c r="AA30" s="120">
        <f t="shared" si="46"/>
        <v>-837</v>
      </c>
      <c r="AB30" s="120">
        <f t="shared" si="46"/>
        <v>-882</v>
      </c>
      <c r="AC30" s="120">
        <f t="shared" si="46"/>
        <v>-47</v>
      </c>
      <c r="AD30" s="120">
        <f t="shared" si="46"/>
        <v>-46</v>
      </c>
      <c r="AE30" s="120">
        <f t="shared" si="46"/>
        <v>-53</v>
      </c>
      <c r="AF30" s="120">
        <f t="shared" si="46"/>
        <v>-47</v>
      </c>
      <c r="AG30" s="120">
        <f t="shared" si="46"/>
        <v>-46</v>
      </c>
      <c r="AH30" s="120">
        <f t="shared" si="46"/>
        <v>-102</v>
      </c>
      <c r="AI30" s="120">
        <f t="shared" si="46"/>
        <v>-103</v>
      </c>
      <c r="AJ30" s="120">
        <f t="shared" si="46"/>
        <v>-278</v>
      </c>
      <c r="AK30" s="120">
        <f t="shared" si="46"/>
        <v>-96</v>
      </c>
      <c r="AL30" s="120">
        <f t="shared" si="46"/>
        <v>-539</v>
      </c>
      <c r="AM30" s="120">
        <f t="shared" si="46"/>
        <v>-145</v>
      </c>
      <c r="AN30" s="120">
        <f t="shared" si="46"/>
        <v>-161</v>
      </c>
      <c r="AO30" s="120">
        <f t="shared" si="46"/>
        <v>-235</v>
      </c>
      <c r="AP30" s="120">
        <f t="shared" si="46"/>
        <v>-552</v>
      </c>
      <c r="AQ30" s="120">
        <f t="shared" si="46"/>
        <v>504</v>
      </c>
      <c r="AR30" s="120">
        <f t="shared" si="46"/>
        <v>-703</v>
      </c>
      <c r="AS30" s="120">
        <f t="shared" si="46"/>
        <v>-750</v>
      </c>
      <c r="AT30" s="120">
        <f t="shared" si="46"/>
        <v>-692</v>
      </c>
      <c r="AU30" s="120">
        <f t="shared" si="46"/>
        <v>-682</v>
      </c>
      <c r="AV30" s="120">
        <f t="shared" si="46"/>
        <v>-669</v>
      </c>
      <c r="AW30" s="120">
        <f t="shared" si="46"/>
        <v>-413</v>
      </c>
      <c r="AX30" s="120">
        <f t="shared" si="46"/>
        <v>-462</v>
      </c>
      <c r="AY30" s="120">
        <f t="shared" si="46"/>
        <v>-664</v>
      </c>
      <c r="AZ30" s="120">
        <f t="shared" si="46"/>
        <v>-305</v>
      </c>
      <c r="BA30" s="120">
        <f t="shared" si="46"/>
        <v>-504</v>
      </c>
      <c r="BB30" s="120">
        <f t="shared" si="46"/>
        <v>-982</v>
      </c>
      <c r="BC30" s="120">
        <f t="shared" si="46"/>
        <v>-1145</v>
      </c>
    </row>
  </sheetData>
  <mergeCells count="1">
    <mergeCell ref="E4:F4"/>
  </mergeCells>
  <pageMargins left="0.511811024" right="0.511811024" top="0.78740157499999996" bottom="0.78740157499999996" header="0.31496062000000002" footer="0.31496062000000002"/>
  <pageSetup paperSize="9" orientation="portrait" horizontalDpi="300"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8">
    <pageSetUpPr autoPageBreaks="0"/>
  </sheetPr>
  <dimension ref="A1:BC51"/>
  <sheetViews>
    <sheetView showGridLines="0" workbookViewId="0">
      <pane xSplit="4" ySplit="4" topLeftCell="AQ5" activePane="bottomRight" state="frozen"/>
      <selection activeCell="AY7" sqref="AY7"/>
      <selection pane="topRight" activeCell="AY7" sqref="AY7"/>
      <selection pane="bottomLeft" activeCell="AY7" sqref="AY7"/>
      <selection pane="bottomRight" activeCell="BB20" sqref="BB20"/>
    </sheetView>
  </sheetViews>
  <sheetFormatPr defaultRowHeight="12.75" outlineLevelRow="1" x14ac:dyDescent="0.2"/>
  <cols>
    <col min="1" max="2" width="9.140625" hidden="1" customWidth="1"/>
    <col min="3" max="3" width="1.42578125" customWidth="1"/>
    <col min="4" max="4" width="33.42578125" bestFit="1" customWidth="1"/>
    <col min="5" max="24" width="10.85546875" customWidth="1"/>
  </cols>
  <sheetData>
    <row r="1" spans="1:55" s="547" customFormat="1" ht="7.5" customHeight="1" x14ac:dyDescent="0.2">
      <c r="E1" s="553">
        <v>2013</v>
      </c>
      <c r="F1" s="553" t="s">
        <v>45</v>
      </c>
      <c r="G1" s="553" t="str">
        <f>IF(LEFT(F1,1)="4","1T"&amp;RIGHT(F1,2)+1,LEFT(F1,1)+1&amp;RIGHT(F1,3))</f>
        <v>2T14</v>
      </c>
      <c r="H1" s="553" t="str">
        <f t="shared" ref="H1:W1" si="0">IF(LEFT(G1,1)="4","1T"&amp;RIGHT(G1,2)+1,LEFT(G1,1)+1&amp;RIGHT(G1,3))</f>
        <v>3T14</v>
      </c>
      <c r="I1" s="547" t="str">
        <f t="shared" si="0"/>
        <v>4T14</v>
      </c>
      <c r="J1" s="547" t="str">
        <f t="shared" si="0"/>
        <v>1T15</v>
      </c>
      <c r="K1" s="547" t="str">
        <f t="shared" si="0"/>
        <v>2T15</v>
      </c>
      <c r="L1" s="547" t="str">
        <f t="shared" si="0"/>
        <v>3T15</v>
      </c>
      <c r="M1" s="547" t="str">
        <f t="shared" si="0"/>
        <v>4T15</v>
      </c>
      <c r="N1" s="547" t="str">
        <f t="shared" si="0"/>
        <v>1T16</v>
      </c>
      <c r="O1" s="547" t="str">
        <f t="shared" si="0"/>
        <v>2T16</v>
      </c>
      <c r="P1" s="547" t="str">
        <f t="shared" si="0"/>
        <v>3T16</v>
      </c>
      <c r="Q1" s="547" t="str">
        <f t="shared" si="0"/>
        <v>4T16</v>
      </c>
      <c r="R1" s="547" t="str">
        <f t="shared" si="0"/>
        <v>1T17</v>
      </c>
      <c r="S1" s="547" t="str">
        <f t="shared" si="0"/>
        <v>2T17</v>
      </c>
      <c r="T1" s="547" t="str">
        <f t="shared" si="0"/>
        <v>3T17</v>
      </c>
      <c r="U1" s="547" t="str">
        <f t="shared" si="0"/>
        <v>4T17</v>
      </c>
      <c r="V1" s="547" t="str">
        <f t="shared" si="0"/>
        <v>1T18</v>
      </c>
      <c r="W1" s="547" t="str">
        <f t="shared" si="0"/>
        <v>2T18</v>
      </c>
      <c r="X1" s="547" t="str">
        <f>IF(LEFT(W1,1)="4","1T"&amp;RIGHT(W1,2)+1,LEFT(W1,1)+1&amp;RIGHT(W1,3))</f>
        <v>3T18</v>
      </c>
      <c r="Y1" s="547" t="str">
        <f>IF(LEFT(X1,1)="4","1T"&amp;RIGHT(X1,2)+1,LEFT(X1,1)+1&amp;RIGHT(X1,3))</f>
        <v>4T18</v>
      </c>
      <c r="Z1" s="547" t="str">
        <f>IF(LEFT(Y1,1)="4","1T"&amp;RIGHT(Y1,2)+1,LEFT(Y1,1)+1&amp;RIGHT(Y1,3))</f>
        <v>1T19</v>
      </c>
      <c r="AA1" s="547" t="str">
        <f>IF(LEFT(Z1,1)="4","1T"&amp;RIGHT(Z1,2)+1,LEFT(Z1,1)+1&amp;RIGHT(Z1,3))</f>
        <v>2T19</v>
      </c>
      <c r="AB1" s="547" t="str">
        <f>IF(LEFT(AA1,1)="4","1T"&amp;RIGHT(AA1,2)+1,LEFT(AA1,1)+1&amp;RIGHT(AA1,3))</f>
        <v>3T19</v>
      </c>
      <c r="AC1" s="547" t="s">
        <v>1411</v>
      </c>
      <c r="AD1" s="547" t="str">
        <f t="shared" ref="AD1:AK1" si="1">IF(LEFT(AC1,1)="4","1T"&amp;RIGHT(AC1,2)+1,LEFT(AC1,1)+1&amp;RIGHT(AC1,3))</f>
        <v>1T20</v>
      </c>
      <c r="AE1" s="547" t="str">
        <f t="shared" si="1"/>
        <v>2T20</v>
      </c>
      <c r="AF1" s="547" t="str">
        <f t="shared" si="1"/>
        <v>3T20</v>
      </c>
      <c r="AG1" s="547" t="str">
        <f t="shared" si="1"/>
        <v>4T20</v>
      </c>
      <c r="AH1" s="547" t="str">
        <f t="shared" si="1"/>
        <v>1T21</v>
      </c>
      <c r="AI1" s="547" t="str">
        <f t="shared" si="1"/>
        <v>2T21</v>
      </c>
      <c r="AJ1" s="547" t="str">
        <f t="shared" si="1"/>
        <v>3T21</v>
      </c>
      <c r="AK1" s="547" t="str">
        <f t="shared" si="1"/>
        <v>4T21</v>
      </c>
      <c r="AL1" s="547" t="str">
        <f t="shared" ref="AL1:AT1" si="2">IF(LEFT(AK1,1)="4","1T"&amp;RIGHT(AK1,2)+1,LEFT(AK1,1)+1&amp;RIGHT(AK1,3))</f>
        <v>1T22</v>
      </c>
      <c r="AM1" s="547" t="str">
        <f t="shared" si="2"/>
        <v>2T22</v>
      </c>
      <c r="AN1" s="547" t="str">
        <f t="shared" si="2"/>
        <v>3T22</v>
      </c>
      <c r="AO1" s="547" t="str">
        <f t="shared" si="2"/>
        <v>4T22</v>
      </c>
      <c r="AP1" s="547" t="str">
        <f t="shared" si="2"/>
        <v>1T23</v>
      </c>
      <c r="AQ1" s="547" t="str">
        <f t="shared" si="2"/>
        <v>2T23</v>
      </c>
      <c r="AR1" s="547" t="str">
        <f t="shared" si="2"/>
        <v>3T23</v>
      </c>
      <c r="AS1" s="547" t="str">
        <f t="shared" si="2"/>
        <v>4T23</v>
      </c>
      <c r="AT1" s="547" t="str">
        <f t="shared" si="2"/>
        <v>1T24</v>
      </c>
      <c r="AU1" s="547" t="str">
        <f t="shared" ref="AU1:BC1" si="3">IF(LEFT(AT1,1)="4","1T"&amp;RIGHT(AT1,2)+1,LEFT(AT1,1)+1&amp;RIGHT(AT1,3))</f>
        <v>2T24</v>
      </c>
      <c r="AV1" s="547" t="str">
        <f t="shared" si="3"/>
        <v>3T24</v>
      </c>
      <c r="AW1" s="547" t="str">
        <f t="shared" si="3"/>
        <v>4T24</v>
      </c>
      <c r="AX1" s="547" t="str">
        <f t="shared" si="3"/>
        <v>1T25</v>
      </c>
      <c r="AY1" s="547" t="str">
        <f t="shared" si="3"/>
        <v>2T25</v>
      </c>
      <c r="AZ1" s="547" t="str">
        <f t="shared" si="3"/>
        <v>3T25</v>
      </c>
      <c r="BA1" s="547" t="str">
        <f t="shared" si="3"/>
        <v>4T25</v>
      </c>
      <c r="BB1" s="547" t="str">
        <f t="shared" si="3"/>
        <v>1T26</v>
      </c>
      <c r="BC1" s="547" t="str">
        <f t="shared" si="3"/>
        <v>2T26</v>
      </c>
    </row>
    <row r="2" spans="1:55" s="547" customFormat="1" ht="12.75" customHeight="1" x14ac:dyDescent="0.2">
      <c r="E2" s="547" t="str">
        <f>SUBSTITUTE(E1,"T","Q")</f>
        <v>2013</v>
      </c>
      <c r="F2" s="547" t="str">
        <f>SUBSTITUTE(F1,"T","Q")</f>
        <v>1Q14</v>
      </c>
      <c r="G2" s="547" t="str">
        <f t="shared" ref="G2:T2" si="4">SUBSTITUTE(G1,"T","Q")</f>
        <v>2Q14</v>
      </c>
      <c r="H2" s="547" t="str">
        <f t="shared" si="4"/>
        <v>3Q14</v>
      </c>
      <c r="I2" s="547" t="str">
        <f t="shared" si="4"/>
        <v>4Q14</v>
      </c>
      <c r="J2" s="547" t="str">
        <f t="shared" si="4"/>
        <v>1Q15</v>
      </c>
      <c r="K2" s="547" t="str">
        <f t="shared" si="4"/>
        <v>2Q15</v>
      </c>
      <c r="L2" s="547" t="str">
        <f t="shared" si="4"/>
        <v>3Q15</v>
      </c>
      <c r="M2" s="547" t="str">
        <f t="shared" si="4"/>
        <v>4Q15</v>
      </c>
      <c r="N2" s="547" t="str">
        <f t="shared" si="4"/>
        <v>1Q16</v>
      </c>
      <c r="O2" s="547" t="str">
        <f t="shared" si="4"/>
        <v>2Q16</v>
      </c>
      <c r="P2" s="547" t="str">
        <f t="shared" si="4"/>
        <v>3Q16</v>
      </c>
      <c r="Q2" s="547" t="str">
        <f t="shared" si="4"/>
        <v>4Q16</v>
      </c>
      <c r="R2" s="547" t="str">
        <f t="shared" si="4"/>
        <v>1Q17</v>
      </c>
      <c r="S2" s="547" t="str">
        <f t="shared" si="4"/>
        <v>2Q17</v>
      </c>
      <c r="T2" s="547" t="str">
        <f t="shared" si="4"/>
        <v>3Q17</v>
      </c>
      <c r="U2" s="547" t="str">
        <f t="shared" ref="U2:Z2" si="5">SUBSTITUTE(U1,"T","Q")</f>
        <v>4Q17</v>
      </c>
      <c r="V2" s="547" t="str">
        <f t="shared" si="5"/>
        <v>1Q18</v>
      </c>
      <c r="W2" s="547" t="str">
        <f t="shared" si="5"/>
        <v>2Q18</v>
      </c>
      <c r="X2" s="547" t="str">
        <f t="shared" si="5"/>
        <v>3Q18</v>
      </c>
      <c r="Y2" s="547" t="str">
        <f t="shared" si="5"/>
        <v>4Q18</v>
      </c>
      <c r="Z2" s="547" t="str">
        <f t="shared" si="5"/>
        <v>1Q19</v>
      </c>
      <c r="AA2" s="547" t="str">
        <f>SUBSTITUTE(AA1,"T","Q")</f>
        <v>2Q19</v>
      </c>
      <c r="AB2" s="547" t="str">
        <f>SUBSTITUTE(AB1,"T","Q")</f>
        <v>3Q19</v>
      </c>
      <c r="AC2" s="547" t="s">
        <v>1514</v>
      </c>
      <c r="AD2" s="547" t="str">
        <f>SUBSTITUTE(AD1,"T","Q")</f>
        <v>1Q20</v>
      </c>
      <c r="AE2" s="547" t="str">
        <f>SUBSTITUTE(AE1,"T","Q")</f>
        <v>2Q20</v>
      </c>
      <c r="AF2" s="547" t="str">
        <f>SUBSTITUTE(AF1,"T","Q")</f>
        <v>3Q20</v>
      </c>
      <c r="AG2" s="547" t="str">
        <f t="shared" ref="AG2:AM2" si="6">SUBSTITUTE(AG1,"T","Q")</f>
        <v>4Q20</v>
      </c>
      <c r="AH2" s="547" t="str">
        <f t="shared" si="6"/>
        <v>1Q21</v>
      </c>
      <c r="AI2" s="547" t="str">
        <f t="shared" si="6"/>
        <v>2Q21</v>
      </c>
      <c r="AJ2" s="547" t="str">
        <f t="shared" si="6"/>
        <v>3Q21</v>
      </c>
      <c r="AK2" s="547" t="str">
        <f t="shared" si="6"/>
        <v>4Q21</v>
      </c>
      <c r="AL2" s="547" t="str">
        <f t="shared" si="6"/>
        <v>1Q22</v>
      </c>
      <c r="AM2" s="547" t="str">
        <f t="shared" si="6"/>
        <v>2Q22</v>
      </c>
      <c r="AN2" s="547" t="str">
        <f t="shared" ref="AN2:AT2" si="7">SUBSTITUTE(AN1,"T","Q")</f>
        <v>3Q22</v>
      </c>
      <c r="AO2" s="547" t="str">
        <f t="shared" si="7"/>
        <v>4Q22</v>
      </c>
      <c r="AP2" s="547" t="str">
        <f t="shared" si="7"/>
        <v>1Q23</v>
      </c>
      <c r="AQ2" s="547" t="str">
        <f t="shared" si="7"/>
        <v>2Q23</v>
      </c>
      <c r="AR2" s="547" t="str">
        <f t="shared" si="7"/>
        <v>3Q23</v>
      </c>
      <c r="AS2" s="547" t="str">
        <f t="shared" si="7"/>
        <v>4Q23</v>
      </c>
      <c r="AT2" s="547" t="str">
        <f t="shared" si="7"/>
        <v>1Q24</v>
      </c>
      <c r="AU2" s="547" t="str">
        <f t="shared" ref="AU2:BC2" si="8">SUBSTITUTE(AU1,"T","Q")</f>
        <v>2Q24</v>
      </c>
      <c r="AV2" s="547" t="str">
        <f t="shared" si="8"/>
        <v>3Q24</v>
      </c>
      <c r="AW2" s="547" t="str">
        <f t="shared" si="8"/>
        <v>4Q24</v>
      </c>
      <c r="AX2" s="547" t="str">
        <f t="shared" si="8"/>
        <v>1Q25</v>
      </c>
      <c r="AY2" s="547" t="str">
        <f t="shared" si="8"/>
        <v>2Q25</v>
      </c>
      <c r="AZ2" s="547" t="str">
        <f t="shared" si="8"/>
        <v>3Q25</v>
      </c>
      <c r="BA2" s="547" t="str">
        <f t="shared" si="8"/>
        <v>4Q25</v>
      </c>
      <c r="BB2" s="547" t="str">
        <f>SUBSTITUTE(BB1,"T","Q")</f>
        <v>1Q26</v>
      </c>
      <c r="BC2" s="547" t="str">
        <f t="shared" si="8"/>
        <v>2Q26</v>
      </c>
    </row>
    <row r="3" spans="1:55" ht="12.75" customHeight="1" x14ac:dyDescent="0.2">
      <c r="E3" s="28"/>
      <c r="F3" s="28"/>
      <c r="G3" s="28"/>
      <c r="H3" s="28"/>
      <c r="Z3" s="327"/>
      <c r="AA3" s="327"/>
      <c r="AB3" s="327"/>
      <c r="AC3" s="327"/>
      <c r="AD3" s="327"/>
      <c r="AE3" s="327"/>
      <c r="AF3" s="327"/>
      <c r="AG3" s="327"/>
      <c r="AH3" s="327"/>
      <c r="AI3" s="327"/>
      <c r="AJ3" s="1042"/>
      <c r="AK3" s="1042"/>
      <c r="AL3" s="1042"/>
      <c r="AM3" s="1042"/>
      <c r="AN3" s="1042"/>
      <c r="AO3" s="1042"/>
      <c r="AP3" s="1042"/>
      <c r="AQ3" s="1042"/>
      <c r="AR3" s="327"/>
      <c r="AS3" s="327"/>
      <c r="AT3" s="327"/>
      <c r="AU3" s="327"/>
      <c r="AV3" s="327"/>
      <c r="AW3" s="327"/>
      <c r="AX3" s="327"/>
      <c r="AY3" s="327"/>
      <c r="AZ3" s="327"/>
      <c r="BA3" s="327"/>
      <c r="BB3" s="327"/>
      <c r="BC3" s="327"/>
    </row>
    <row r="4" spans="1:55" ht="12.75" customHeight="1" x14ac:dyDescent="0.2">
      <c r="E4" s="1253" t="str">
        <f>IF([1]RENAME!$H$3=1,"&lt;== with Direct Express","&lt;== Com Direct Express")</f>
        <v>&lt;== Com Direct Express</v>
      </c>
      <c r="F4" s="1254"/>
      <c r="G4" s="224" t="str">
        <f>IF([1]RENAME!$H$3=1,"without Direct Express ==&gt;","Sem Direct Express ==&gt;")</f>
        <v>Sem Direct Express ==&gt;</v>
      </c>
      <c r="H4" s="28"/>
    </row>
    <row r="5" spans="1:55" x14ac:dyDescent="0.2">
      <c r="A5" t="s">
        <v>96</v>
      </c>
      <c r="B5" t="s">
        <v>866</v>
      </c>
      <c r="D5" s="151" t="str">
        <f>IF([1]RENAME!$H$3=1,B5,A5)</f>
        <v>Consolidado</v>
      </c>
      <c r="E5" s="247">
        <f>IF([1]RENAME!$H$3=1,E2,E1)</f>
        <v>2013</v>
      </c>
      <c r="F5" s="247" t="str">
        <f>IF([1]RENAME!$H$3=1,F2,F1)</f>
        <v>1T14</v>
      </c>
      <c r="G5" s="247" t="str">
        <f>IF([1]RENAME!$H$3=1,G2,G1)</f>
        <v>2T14</v>
      </c>
      <c r="H5" s="247" t="str">
        <f>IF([1]RENAME!$H$3=1,H2,H1)</f>
        <v>3T14</v>
      </c>
      <c r="I5" s="247" t="str">
        <f>IF([1]RENAME!$H$3=1,I2,I1)</f>
        <v>4T14</v>
      </c>
      <c r="J5" s="247" t="str">
        <f>IF([1]RENAME!$H$3=1,J2,J1)</f>
        <v>1T15</v>
      </c>
      <c r="K5" s="247" t="str">
        <f>IF([1]RENAME!$H$3=1,K2,K1)</f>
        <v>2T15</v>
      </c>
      <c r="L5" s="247" t="str">
        <f>IF([1]RENAME!$H$3=1,L2,L1)</f>
        <v>3T15</v>
      </c>
      <c r="M5" s="247" t="str">
        <f>IF([1]RENAME!$H$3=1,M2,M1)</f>
        <v>4T15</v>
      </c>
      <c r="N5" s="247" t="str">
        <f>IF([1]RENAME!$H$3=1,N2,N1)</f>
        <v>1T16</v>
      </c>
      <c r="O5" s="247" t="str">
        <f>IF([1]RENAME!$H$3=1,O2,O1)</f>
        <v>2T16</v>
      </c>
      <c r="P5" s="247" t="str">
        <f>IF([1]RENAME!$H$3=1,P2,P1)</f>
        <v>3T16</v>
      </c>
      <c r="Q5" s="247" t="str">
        <f>IF([1]RENAME!$H$3=1,Q2,Q1)</f>
        <v>4T16</v>
      </c>
      <c r="R5" s="247" t="str">
        <f>IF([1]RENAME!$H$3=1,R2,R1)</f>
        <v>1T17</v>
      </c>
      <c r="S5" s="247" t="str">
        <f>IF([1]RENAME!$H$3=1,S2,S1)</f>
        <v>2T17</v>
      </c>
      <c r="T5" s="247" t="str">
        <f>IF([1]RENAME!$H$3=1,T2,T1)</f>
        <v>3T17</v>
      </c>
      <c r="U5" s="247" t="str">
        <f>IF([1]RENAME!$H$3=1,U2,U1)</f>
        <v>4T17</v>
      </c>
      <c r="V5" s="247" t="str">
        <f>IF([1]RENAME!$H$3=1,V2,V1)</f>
        <v>1T18</v>
      </c>
      <c r="W5" s="247" t="str">
        <f>IF([1]RENAME!$H$3=1,W2,W1)</f>
        <v>2T18</v>
      </c>
      <c r="X5" s="247" t="str">
        <f>IF([1]RENAME!$H$3=1,X2,X1)</f>
        <v>3T18</v>
      </c>
      <c r="Y5" s="247" t="str">
        <f>IF([1]RENAME!$H$3=1,Y2,Y1)</f>
        <v>4T18</v>
      </c>
      <c r="Z5" s="247" t="str">
        <f>IF([1]RENAME!$H$3=1,Z2,Z1)</f>
        <v>1T19</v>
      </c>
      <c r="AA5" s="247" t="str">
        <f>IF([1]RENAME!$H$3=1,AA2,AA1)</f>
        <v>2T19</v>
      </c>
      <c r="AB5" s="247" t="str">
        <f>IF([1]RENAME!$H$3=1,AB2,AB1)</f>
        <v>3T19</v>
      </c>
      <c r="AC5" s="247" t="str">
        <f>IF([1]RENAME!$H$3=1,AC2,AC1)</f>
        <v>4T19</v>
      </c>
      <c r="AD5" s="247" t="str">
        <f>IF([1]RENAME!$H$3=1,AD2,AD1)</f>
        <v>1T20</v>
      </c>
      <c r="AE5" s="247" t="str">
        <f>IF([1]RENAME!$H$3=1,AE2,AE1)</f>
        <v>2T20</v>
      </c>
      <c r="AF5" s="247" t="str">
        <f>IF([1]RENAME!$H$3=1,AF2,AF1)</f>
        <v>3T20</v>
      </c>
      <c r="AG5" s="247" t="str">
        <f>IF([1]RENAME!$H$3=1,AG2,AG1)</f>
        <v>4T20</v>
      </c>
      <c r="AH5" s="247" t="str">
        <f>IF([1]RENAME!$H$3=1,AH2,AH1)</f>
        <v>1T21</v>
      </c>
      <c r="AI5" s="247" t="str">
        <f>IF([1]RENAME!$H$3=1,AI2,AI1)</f>
        <v>2T21</v>
      </c>
      <c r="AJ5" s="247" t="str">
        <f>IF([1]RENAME!$H$3=1,AJ2,AJ1)</f>
        <v>3T21</v>
      </c>
      <c r="AK5" s="247" t="str">
        <f>IF([1]RENAME!$H$3=1,AK2,AK1)</f>
        <v>4T21</v>
      </c>
      <c r="AL5" s="247" t="str">
        <f>IF([1]RENAME!$H$3=1,AL2,AL1)</f>
        <v>1T22</v>
      </c>
      <c r="AM5" s="247" t="str">
        <f>IF([1]RENAME!$H$3=1,AM2,AM1)</f>
        <v>2T22</v>
      </c>
      <c r="AN5" s="247" t="str">
        <f>IF([1]RENAME!$H$3=1,AN2,AN1)</f>
        <v>3T22</v>
      </c>
      <c r="AO5" s="247" t="str">
        <f>IF([1]RENAME!$H$3=1,AO2,AO1)</f>
        <v>4T22</v>
      </c>
      <c r="AP5" s="247" t="str">
        <f>IF([1]RENAME!$H$3=1,AP2,AP1)</f>
        <v>1T23</v>
      </c>
      <c r="AQ5" s="247" t="str">
        <f>IF([1]RENAME!$H$3=1,AQ2,AQ1)</f>
        <v>2T23</v>
      </c>
      <c r="AR5" s="247" t="str">
        <f>IF([1]RENAME!$H$3=1,AR2,AR1)</f>
        <v>3T23</v>
      </c>
      <c r="AS5" s="247" t="str">
        <f>IF([1]RENAME!$H$3=1,AS2,AS1)</f>
        <v>4T23</v>
      </c>
      <c r="AT5" s="247" t="str">
        <f>IF([1]RENAME!$H$3=1,AT2,AT1)</f>
        <v>1T24</v>
      </c>
      <c r="AU5" s="247" t="str">
        <f>IF([1]RENAME!$H$3=1,AU2,AU1)</f>
        <v>2T24</v>
      </c>
      <c r="AV5" s="247" t="str">
        <f>IF([1]RENAME!$H$3=1,AV2,AV1)</f>
        <v>3T24</v>
      </c>
      <c r="AW5" s="247" t="str">
        <f>IF([1]RENAME!$H$3=1,AW2,AW1)</f>
        <v>4T24</v>
      </c>
      <c r="AX5" s="247" t="str">
        <f>IF([1]RENAME!$H$3=1,AX2,AX1)</f>
        <v>1T25</v>
      </c>
      <c r="AY5" s="247" t="str">
        <f>IF([1]RENAME!$H$3=1,AY2,AY1)</f>
        <v>2T25</v>
      </c>
      <c r="AZ5" s="247" t="str">
        <f>IF([1]RENAME!$H$3=1,AZ2,AZ1)</f>
        <v>3T25</v>
      </c>
      <c r="BA5" s="247" t="str">
        <f>IF([1]RENAME!$H$3=1,BA2,BA1)</f>
        <v>4T25</v>
      </c>
      <c r="BB5" s="247" t="str">
        <f>IF([1]RENAME!$H$3=1,BB2,BB1)</f>
        <v>1T26</v>
      </c>
      <c r="BC5" s="247" t="str">
        <f>IF([1]RENAME!$H$3=1,BC2,BC1)</f>
        <v>2T26</v>
      </c>
    </row>
    <row r="6" spans="1:55" x14ac:dyDescent="0.2">
      <c r="A6" t="s">
        <v>1319</v>
      </c>
      <c r="B6" t="s">
        <v>1451</v>
      </c>
      <c r="D6" s="129" t="str">
        <f>IF([1]RENAME!$H$3=1,B6,A6)</f>
        <v>Ativo indenizatório</v>
      </c>
      <c r="E6" s="118">
        <v>0</v>
      </c>
      <c r="F6" s="118">
        <v>0</v>
      </c>
      <c r="G6" s="160">
        <v>0</v>
      </c>
      <c r="H6" s="118">
        <v>0</v>
      </c>
      <c r="I6" s="118">
        <v>0</v>
      </c>
      <c r="J6" s="118">
        <v>0</v>
      </c>
      <c r="K6" s="118">
        <v>0</v>
      </c>
      <c r="L6" s="118">
        <v>0</v>
      </c>
      <c r="M6" s="118">
        <v>0</v>
      </c>
      <c r="N6" s="118">
        <v>0</v>
      </c>
      <c r="O6" s="118">
        <v>0</v>
      </c>
      <c r="P6" s="118">
        <v>0</v>
      </c>
      <c r="Q6" s="118">
        <v>0</v>
      </c>
      <c r="R6" s="118">
        <v>0</v>
      </c>
      <c r="S6" s="118">
        <v>0</v>
      </c>
      <c r="T6" s="118">
        <v>0</v>
      </c>
      <c r="U6" s="118">
        <v>0</v>
      </c>
      <c r="V6" s="118">
        <v>4333</v>
      </c>
      <c r="W6" s="118">
        <v>4299</v>
      </c>
      <c r="X6" s="118">
        <v>4951</v>
      </c>
      <c r="Y6" s="118">
        <v>5970</v>
      </c>
      <c r="Z6" s="118">
        <v>5994</v>
      </c>
      <c r="AA6" s="118">
        <v>6465</v>
      </c>
      <c r="AB6" s="260">
        <v>1814</v>
      </c>
      <c r="AC6" s="118">
        <v>1832</v>
      </c>
      <c r="AD6" s="118">
        <v>1850</v>
      </c>
      <c r="AE6" s="118">
        <v>1866</v>
      </c>
      <c r="AF6" s="118">
        <v>2290</v>
      </c>
      <c r="AG6" s="118">
        <v>2314</v>
      </c>
      <c r="AH6" s="118">
        <v>2343</v>
      </c>
      <c r="AI6" s="118">
        <v>1971</v>
      </c>
      <c r="AJ6" s="118">
        <v>2002</v>
      </c>
      <c r="AK6" s="118">
        <v>1461</v>
      </c>
      <c r="AL6" s="118">
        <v>1461</v>
      </c>
      <c r="AM6" s="118">
        <v>1460</v>
      </c>
      <c r="AN6" s="118">
        <v>1461</v>
      </c>
      <c r="AO6" s="118">
        <v>1485</v>
      </c>
      <c r="AP6" s="118">
        <v>1487</v>
      </c>
      <c r="AQ6" s="118">
        <v>1018</v>
      </c>
      <c r="AR6" s="118">
        <v>1510</v>
      </c>
      <c r="AS6" s="118">
        <v>1018</v>
      </c>
      <c r="AT6" s="118">
        <v>1018</v>
      </c>
      <c r="AU6" s="118">
        <v>1018</v>
      </c>
      <c r="AV6" s="118">
        <v>1018</v>
      </c>
      <c r="AW6" s="118">
        <v>1088</v>
      </c>
      <c r="AX6" s="118">
        <v>1088</v>
      </c>
      <c r="AY6" s="118">
        <v>1088</v>
      </c>
      <c r="AZ6" s="118">
        <v>1088</v>
      </c>
      <c r="BA6" s="118">
        <v>1088</v>
      </c>
      <c r="BB6" s="118">
        <v>1088</v>
      </c>
      <c r="BC6" s="118">
        <f>'[3]8 Demais CR NL'!$H$7</f>
        <v>1088</v>
      </c>
    </row>
    <row r="7" spans="1:55" x14ac:dyDescent="0.2">
      <c r="A7" t="s">
        <v>196</v>
      </c>
      <c r="B7" t="s">
        <v>901</v>
      </c>
      <c r="D7" s="129" t="str">
        <f>IF([1]RENAME!$H$3=1,B7,A7)</f>
        <v>Adiantamento a Fornecedores</v>
      </c>
      <c r="E7" s="118">
        <v>4880</v>
      </c>
      <c r="F7" s="118">
        <v>3302</v>
      </c>
      <c r="G7" s="160">
        <v>2769</v>
      </c>
      <c r="H7" s="118">
        <v>2995</v>
      </c>
      <c r="I7" s="118">
        <v>4909</v>
      </c>
      <c r="J7" s="118">
        <v>6039</v>
      </c>
      <c r="K7" s="118">
        <v>7594</v>
      </c>
      <c r="L7" s="118">
        <v>5323</v>
      </c>
      <c r="M7" s="118">
        <v>6692</v>
      </c>
      <c r="N7" s="118">
        <v>6526</v>
      </c>
      <c r="O7" s="118">
        <v>4313</v>
      </c>
      <c r="P7" s="118">
        <v>4060</v>
      </c>
      <c r="Q7" s="118">
        <v>2628</v>
      </c>
      <c r="R7" s="118">
        <v>3761</v>
      </c>
      <c r="S7" s="118">
        <v>3315</v>
      </c>
      <c r="T7" s="118">
        <v>3681</v>
      </c>
      <c r="U7" s="118">
        <v>2811</v>
      </c>
      <c r="V7" s="118">
        <v>3435</v>
      </c>
      <c r="W7" s="118">
        <v>3271</v>
      </c>
      <c r="X7" s="118">
        <v>3855</v>
      </c>
      <c r="Y7" s="118">
        <v>4330</v>
      </c>
      <c r="Z7" s="118">
        <v>4136</v>
      </c>
      <c r="AA7" s="118">
        <v>3604</v>
      </c>
      <c r="AB7" s="118">
        <v>4090</v>
      </c>
      <c r="AC7" s="118">
        <v>3719</v>
      </c>
      <c r="AD7" s="118">
        <v>6194</v>
      </c>
      <c r="AE7" s="118">
        <v>8412</v>
      </c>
      <c r="AF7" s="118">
        <v>8074</v>
      </c>
      <c r="AG7" s="118">
        <v>7690</v>
      </c>
      <c r="AH7" s="118">
        <v>6809</v>
      </c>
      <c r="AI7" s="118">
        <v>5861</v>
      </c>
      <c r="AJ7" s="118">
        <v>6031</v>
      </c>
      <c r="AK7" s="118">
        <v>7485</v>
      </c>
      <c r="AL7" s="118">
        <v>6541</v>
      </c>
      <c r="AM7" s="118">
        <v>7175</v>
      </c>
      <c r="AN7" s="118">
        <v>18688</v>
      </c>
      <c r="AO7" s="118">
        <v>13370</v>
      </c>
      <c r="AP7" s="118">
        <v>11205</v>
      </c>
      <c r="AQ7" s="118">
        <v>11262</v>
      </c>
      <c r="AR7" s="118">
        <v>12647</v>
      </c>
      <c r="AS7" s="118">
        <v>13570</v>
      </c>
      <c r="AT7" s="118">
        <v>9430</v>
      </c>
      <c r="AU7" s="118">
        <v>11097</v>
      </c>
      <c r="AV7" s="118">
        <v>14429</v>
      </c>
      <c r="AW7" s="118">
        <v>16101</v>
      </c>
      <c r="AX7" s="118">
        <v>15376</v>
      </c>
      <c r="AY7" s="118">
        <v>13755</v>
      </c>
      <c r="AZ7" s="118">
        <v>30843</v>
      </c>
      <c r="BA7" s="118">
        <v>28081</v>
      </c>
      <c r="BB7" s="118">
        <v>19874</v>
      </c>
      <c r="BC7" s="118">
        <f>'[3]8 Demais CR NL'!$H$8</f>
        <v>31320</v>
      </c>
    </row>
    <row r="8" spans="1:55" x14ac:dyDescent="0.2">
      <c r="A8" t="s">
        <v>195</v>
      </c>
      <c r="B8" t="s">
        <v>900</v>
      </c>
      <c r="D8" s="129" t="str">
        <f>IF([1]RENAME!$H$3=1,B8,A8)</f>
        <v>Adiantamento funcionários</v>
      </c>
      <c r="E8" s="118">
        <v>3336</v>
      </c>
      <c r="F8" s="118">
        <v>296</v>
      </c>
      <c r="G8" s="160">
        <v>542</v>
      </c>
      <c r="H8" s="118">
        <v>2020</v>
      </c>
      <c r="I8" s="118">
        <v>2409</v>
      </c>
      <c r="J8" s="118">
        <v>819</v>
      </c>
      <c r="K8" s="118">
        <v>935</v>
      </c>
      <c r="L8" s="118">
        <v>1990</v>
      </c>
      <c r="M8" s="118">
        <v>2092</v>
      </c>
      <c r="N8" s="118">
        <v>384</v>
      </c>
      <c r="O8" s="118">
        <v>814</v>
      </c>
      <c r="P8" s="118">
        <v>899</v>
      </c>
      <c r="Q8" s="118">
        <v>1036</v>
      </c>
      <c r="R8" s="118">
        <v>828</v>
      </c>
      <c r="S8" s="118">
        <v>1049</v>
      </c>
      <c r="T8" s="118">
        <v>1232</v>
      </c>
      <c r="U8" s="118">
        <v>1356</v>
      </c>
      <c r="V8" s="118">
        <v>1540</v>
      </c>
      <c r="W8" s="118">
        <v>1733</v>
      </c>
      <c r="X8" s="118">
        <v>2083</v>
      </c>
      <c r="Y8" s="118">
        <v>2368</v>
      </c>
      <c r="Z8" s="118">
        <v>1975</v>
      </c>
      <c r="AA8" s="118">
        <v>1894</v>
      </c>
      <c r="AB8" s="118">
        <v>2114</v>
      </c>
      <c r="AC8" s="118">
        <v>2031</v>
      </c>
      <c r="AD8" s="118">
        <v>1966</v>
      </c>
      <c r="AE8" s="118">
        <v>900</v>
      </c>
      <c r="AF8" s="118">
        <v>772</v>
      </c>
      <c r="AG8" s="118">
        <v>470</v>
      </c>
      <c r="AH8" s="118">
        <v>898</v>
      </c>
      <c r="AI8" s="118">
        <v>770</v>
      </c>
      <c r="AJ8" s="118">
        <v>977</v>
      </c>
      <c r="AK8" s="118">
        <v>1069</v>
      </c>
      <c r="AL8" s="118">
        <v>898</v>
      </c>
      <c r="AM8" s="118">
        <v>1003</v>
      </c>
      <c r="AN8" s="118">
        <v>1086</v>
      </c>
      <c r="AO8" s="118">
        <v>1042</v>
      </c>
      <c r="AP8" s="118">
        <v>847</v>
      </c>
      <c r="AQ8" s="118">
        <v>1551</v>
      </c>
      <c r="AR8" s="118">
        <v>1368</v>
      </c>
      <c r="AS8" s="118">
        <v>894</v>
      </c>
      <c r="AT8" s="118">
        <v>1147</v>
      </c>
      <c r="AU8" s="118">
        <v>1493</v>
      </c>
      <c r="AV8" s="118">
        <v>1436</v>
      </c>
      <c r="AW8" s="118">
        <v>681</v>
      </c>
      <c r="AX8" s="118">
        <v>1257</v>
      </c>
      <c r="AY8" s="118">
        <v>1853</v>
      </c>
      <c r="AZ8" s="118">
        <v>1737</v>
      </c>
      <c r="BA8" s="118">
        <v>1677</v>
      </c>
      <c r="BB8" s="118">
        <v>1422</v>
      </c>
      <c r="BC8" s="118">
        <f>'[3]8 Demais CR NL'!$H$9</f>
        <v>1672</v>
      </c>
    </row>
    <row r="9" spans="1:55" x14ac:dyDescent="0.2">
      <c r="A9" t="s">
        <v>199</v>
      </c>
      <c r="B9" t="s">
        <v>904</v>
      </c>
      <c r="D9" s="129" t="str">
        <f>IF([1]RENAME!$H$3=1,B9,A9)</f>
        <v>Valores a receber</v>
      </c>
      <c r="E9" s="118">
        <v>0</v>
      </c>
      <c r="F9" s="118">
        <v>0</v>
      </c>
      <c r="G9" s="160">
        <v>0</v>
      </c>
      <c r="H9" s="118">
        <v>0</v>
      </c>
      <c r="I9" s="118">
        <v>13371</v>
      </c>
      <c r="J9" s="118">
        <v>13371</v>
      </c>
      <c r="K9" s="118">
        <v>13371</v>
      </c>
      <c r="L9" s="118">
        <v>13371</v>
      </c>
      <c r="M9" s="118">
        <v>13371</v>
      </c>
      <c r="N9" s="118">
        <v>13371</v>
      </c>
      <c r="O9" s="118">
        <v>13371</v>
      </c>
      <c r="P9" s="118">
        <v>13371</v>
      </c>
      <c r="Q9" s="118">
        <v>13371</v>
      </c>
      <c r="R9" s="118">
        <v>13371</v>
      </c>
      <c r="S9" s="118">
        <v>13371</v>
      </c>
      <c r="T9" s="118">
        <v>7638</v>
      </c>
      <c r="U9" s="260">
        <v>1907</v>
      </c>
      <c r="V9" s="118">
        <v>1907</v>
      </c>
      <c r="W9" s="118">
        <v>1907</v>
      </c>
      <c r="X9" s="118">
        <v>1907</v>
      </c>
      <c r="Y9" s="118">
        <v>0</v>
      </c>
      <c r="Z9" s="118">
        <v>0</v>
      </c>
      <c r="AA9" s="118">
        <v>0</v>
      </c>
      <c r="AB9" s="118">
        <v>0</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v>0</v>
      </c>
      <c r="AY9" s="118">
        <v>0</v>
      </c>
      <c r="AZ9" s="118" t="s">
        <v>160</v>
      </c>
      <c r="BA9" s="118" t="s">
        <v>160</v>
      </c>
      <c r="BB9" s="118" t="s">
        <v>160</v>
      </c>
      <c r="BC9" s="118" t="s">
        <v>160</v>
      </c>
    </row>
    <row r="10" spans="1:55" x14ac:dyDescent="0.2">
      <c r="A10" t="s">
        <v>197</v>
      </c>
      <c r="B10" t="s">
        <v>903</v>
      </c>
      <c r="D10" s="129" t="str">
        <f>IF([1]RENAME!$H$3=1,B10,A10)</f>
        <v>Recuperação de despesas a receber</v>
      </c>
      <c r="E10" s="118">
        <v>6324</v>
      </c>
      <c r="F10" s="118">
        <v>0</v>
      </c>
      <c r="G10" s="160">
        <v>456</v>
      </c>
      <c r="H10" s="118">
        <v>583</v>
      </c>
      <c r="I10" s="118">
        <v>369</v>
      </c>
      <c r="J10" s="118">
        <v>505</v>
      </c>
      <c r="K10" s="118">
        <v>926</v>
      </c>
      <c r="L10" s="118">
        <v>211</v>
      </c>
      <c r="M10" s="118">
        <v>212</v>
      </c>
      <c r="N10" s="118">
        <v>48</v>
      </c>
      <c r="O10" s="118">
        <v>46</v>
      </c>
      <c r="P10" s="118">
        <v>45</v>
      </c>
      <c r="Q10" s="118">
        <v>0</v>
      </c>
      <c r="R10" s="118">
        <v>0</v>
      </c>
      <c r="S10" s="118">
        <v>0</v>
      </c>
      <c r="T10" s="118">
        <v>0</v>
      </c>
      <c r="U10" s="118">
        <v>298</v>
      </c>
      <c r="V10" s="118">
        <v>0</v>
      </c>
      <c r="W10" s="118">
        <v>96</v>
      </c>
      <c r="X10" s="118">
        <v>96</v>
      </c>
      <c r="Y10" s="118">
        <v>0</v>
      </c>
      <c r="Z10" s="118">
        <v>106</v>
      </c>
      <c r="AA10" s="118">
        <v>0</v>
      </c>
      <c r="AB10" s="118">
        <v>0</v>
      </c>
      <c r="AC10" s="118">
        <v>39</v>
      </c>
      <c r="AD10" s="118">
        <v>0</v>
      </c>
      <c r="AE10" s="118">
        <v>0</v>
      </c>
      <c r="AF10" s="118">
        <v>0</v>
      </c>
      <c r="AG10" s="118">
        <v>0</v>
      </c>
      <c r="AH10" s="118">
        <v>0</v>
      </c>
      <c r="AI10" s="118">
        <v>0</v>
      </c>
      <c r="AJ10" s="118">
        <v>3</v>
      </c>
      <c r="AK10" s="118">
        <v>3</v>
      </c>
      <c r="AL10" s="118">
        <v>1</v>
      </c>
      <c r="AM10" s="118">
        <v>1</v>
      </c>
      <c r="AN10" s="118">
        <v>1</v>
      </c>
      <c r="AO10" s="118">
        <v>1</v>
      </c>
      <c r="AP10" s="118">
        <v>1</v>
      </c>
      <c r="AQ10" s="118">
        <v>1</v>
      </c>
      <c r="AR10" s="118">
        <v>0</v>
      </c>
      <c r="AS10" s="118">
        <v>0</v>
      </c>
      <c r="AT10" s="118">
        <v>0</v>
      </c>
      <c r="AU10" s="118">
        <v>0</v>
      </c>
      <c r="AV10" s="118">
        <v>0</v>
      </c>
      <c r="AW10" s="118">
        <v>0</v>
      </c>
      <c r="AX10" s="118">
        <v>0</v>
      </c>
      <c r="AY10" s="118">
        <v>0</v>
      </c>
      <c r="AZ10" s="118" t="s">
        <v>160</v>
      </c>
      <c r="BA10" s="118">
        <v>0</v>
      </c>
      <c r="BB10" s="118">
        <v>0</v>
      </c>
      <c r="BC10" s="118">
        <v>0</v>
      </c>
    </row>
    <row r="11" spans="1:55" x14ac:dyDescent="0.2">
      <c r="A11" t="s">
        <v>194</v>
      </c>
      <c r="B11" t="s">
        <v>899</v>
      </c>
      <c r="D11" s="129" t="str">
        <f>IF([1]RENAME!$H$3=1,B11,A11)</f>
        <v>Sinistros a Recuperar</v>
      </c>
      <c r="E11" s="118">
        <v>1295</v>
      </c>
      <c r="F11" s="118">
        <v>1647</v>
      </c>
      <c r="G11" s="160">
        <v>3266</v>
      </c>
      <c r="H11" s="118">
        <v>3952</v>
      </c>
      <c r="I11" s="118">
        <v>4028</v>
      </c>
      <c r="J11" s="118">
        <v>4441</v>
      </c>
      <c r="K11" s="118">
        <v>4360</v>
      </c>
      <c r="L11" s="118">
        <v>4542</v>
      </c>
      <c r="M11" s="118">
        <v>4582</v>
      </c>
      <c r="N11" s="118">
        <v>4170</v>
      </c>
      <c r="O11" s="118">
        <v>2072</v>
      </c>
      <c r="P11" s="118">
        <v>1975</v>
      </c>
      <c r="Q11" s="118">
        <v>1932</v>
      </c>
      <c r="R11" s="118">
        <v>2024</v>
      </c>
      <c r="S11" s="118">
        <v>1835</v>
      </c>
      <c r="T11" s="118">
        <v>1854</v>
      </c>
      <c r="U11" s="118">
        <v>61</v>
      </c>
      <c r="V11" s="118">
        <v>22</v>
      </c>
      <c r="W11" s="118">
        <v>18</v>
      </c>
      <c r="X11" s="118">
        <v>17</v>
      </c>
      <c r="Y11" s="118">
        <v>77</v>
      </c>
      <c r="Z11" s="118">
        <v>0</v>
      </c>
      <c r="AA11" s="118">
        <v>47</v>
      </c>
      <c r="AB11" s="118">
        <v>18</v>
      </c>
      <c r="AC11" s="118">
        <v>105</v>
      </c>
      <c r="AD11" s="118">
        <v>24</v>
      </c>
      <c r="AE11" s="118">
        <v>0</v>
      </c>
      <c r="AF11" s="118">
        <v>49</v>
      </c>
      <c r="AG11" s="118">
        <v>8</v>
      </c>
      <c r="AH11" s="118">
        <v>48</v>
      </c>
      <c r="AI11" s="118">
        <v>62</v>
      </c>
      <c r="AJ11" s="118">
        <v>45</v>
      </c>
      <c r="AK11" s="118">
        <v>94</v>
      </c>
      <c r="AL11" s="118">
        <v>47</v>
      </c>
      <c r="AM11" s="118">
        <v>50</v>
      </c>
      <c r="AN11" s="118">
        <v>64</v>
      </c>
      <c r="AO11" s="118">
        <v>392</v>
      </c>
      <c r="AP11" s="118">
        <v>395</v>
      </c>
      <c r="AQ11" s="118">
        <v>393</v>
      </c>
      <c r="AR11" s="118">
        <v>0</v>
      </c>
      <c r="AS11" s="118">
        <v>0</v>
      </c>
      <c r="AT11" s="118">
        <v>0</v>
      </c>
      <c r="AU11" s="118">
        <v>0</v>
      </c>
      <c r="AV11" s="118">
        <v>0</v>
      </c>
      <c r="AW11" s="118">
        <v>0</v>
      </c>
      <c r="AX11" s="118">
        <v>0</v>
      </c>
      <c r="AY11" s="118">
        <v>0</v>
      </c>
      <c r="AZ11" s="118" t="s">
        <v>160</v>
      </c>
      <c r="BA11" s="118">
        <v>0</v>
      </c>
      <c r="BB11" s="118">
        <v>0</v>
      </c>
      <c r="BC11" s="118">
        <v>0</v>
      </c>
    </row>
    <row r="12" spans="1:55" x14ac:dyDescent="0.2">
      <c r="A12" t="s">
        <v>200</v>
      </c>
      <c r="B12" t="s">
        <v>644</v>
      </c>
      <c r="D12" s="129" t="str">
        <f>IF([1]RENAME!$H$3=1,B12,A12)</f>
        <v>Outros creditos</v>
      </c>
      <c r="E12" s="118">
        <v>3876</v>
      </c>
      <c r="F12" s="118">
        <v>6246</v>
      </c>
      <c r="G12" s="160">
        <v>3231</v>
      </c>
      <c r="H12" s="118">
        <v>3825</v>
      </c>
      <c r="I12" s="118">
        <v>7745</v>
      </c>
      <c r="J12" s="118">
        <v>5520</v>
      </c>
      <c r="K12" s="118">
        <v>4383</v>
      </c>
      <c r="L12" s="118">
        <v>3683</v>
      </c>
      <c r="M12" s="118">
        <v>990</v>
      </c>
      <c r="N12" s="118">
        <v>741</v>
      </c>
      <c r="O12" s="118">
        <v>344</v>
      </c>
      <c r="P12" s="118">
        <v>344</v>
      </c>
      <c r="Q12" s="118">
        <v>36</v>
      </c>
      <c r="R12" s="118">
        <v>0</v>
      </c>
      <c r="S12" s="118">
        <v>6</v>
      </c>
      <c r="T12" s="118">
        <v>11</v>
      </c>
      <c r="U12" s="118">
        <v>2</v>
      </c>
      <c r="V12" s="118">
        <v>0</v>
      </c>
      <c r="W12" s="118">
        <v>0</v>
      </c>
      <c r="X12" s="118">
        <v>0</v>
      </c>
      <c r="Y12" s="118">
        <v>700</v>
      </c>
      <c r="Z12" s="118">
        <v>700</v>
      </c>
      <c r="AA12" s="118">
        <v>700</v>
      </c>
      <c r="AB12" s="118">
        <v>3</v>
      </c>
      <c r="AC12" s="118">
        <v>793</v>
      </c>
      <c r="AD12" s="118">
        <v>413</v>
      </c>
      <c r="AE12" s="118">
        <v>114</v>
      </c>
      <c r="AF12" s="118">
        <v>106</v>
      </c>
      <c r="AG12" s="118">
        <v>98</v>
      </c>
      <c r="AH12" s="118">
        <v>1749</v>
      </c>
      <c r="AI12" s="118">
        <v>143</v>
      </c>
      <c r="AJ12" s="118">
        <v>224</v>
      </c>
      <c r="AK12" s="118">
        <v>240</v>
      </c>
      <c r="AL12" s="118">
        <v>83</v>
      </c>
      <c r="AM12" s="118">
        <v>713</v>
      </c>
      <c r="AN12" s="118">
        <v>441</v>
      </c>
      <c r="AO12" s="118">
        <v>464</v>
      </c>
      <c r="AP12" s="118">
        <v>1044</v>
      </c>
      <c r="AQ12" s="118">
        <v>241</v>
      </c>
      <c r="AR12" s="118">
        <v>1073</v>
      </c>
      <c r="AS12" s="118">
        <v>631</v>
      </c>
      <c r="AT12" s="118">
        <v>599</v>
      </c>
      <c r="AU12" s="118">
        <v>883</v>
      </c>
      <c r="AV12" s="118">
        <v>1420</v>
      </c>
      <c r="AW12" s="118">
        <v>1750</v>
      </c>
      <c r="AX12" s="118">
        <v>1048</v>
      </c>
      <c r="AY12" s="118">
        <v>734</v>
      </c>
      <c r="AZ12" s="118">
        <v>2659</v>
      </c>
      <c r="BA12" s="118">
        <v>2556</v>
      </c>
      <c r="BB12" s="118">
        <v>4963</v>
      </c>
      <c r="BC12" s="118">
        <f>'[3]8 Demais CR NL'!$H$10</f>
        <v>1108</v>
      </c>
    </row>
    <row r="13" spans="1:55" s="233" customFormat="1" hidden="1" outlineLevel="1" x14ac:dyDescent="0.2">
      <c r="A13" s="233" t="s">
        <v>584</v>
      </c>
      <c r="B13" s="233" t="s">
        <v>902</v>
      </c>
      <c r="D13" s="250" t="str">
        <f>IF([1]RENAME!$H$3=1,B13,A13)</f>
        <v>Indenizações de combinação de negócios</v>
      </c>
      <c r="E13" s="218">
        <v>4899</v>
      </c>
      <c r="F13" s="218">
        <v>5646</v>
      </c>
      <c r="G13" s="219">
        <v>6116</v>
      </c>
      <c r="H13" s="218">
        <v>3768</v>
      </c>
      <c r="I13" s="218">
        <v>4334</v>
      </c>
      <c r="J13" s="218">
        <v>4574</v>
      </c>
      <c r="K13" s="218">
        <v>4803</v>
      </c>
      <c r="L13" s="218">
        <v>4965</v>
      </c>
      <c r="M13" s="218">
        <v>5094</v>
      </c>
      <c r="N13" s="218">
        <v>5179</v>
      </c>
      <c r="O13" s="218">
        <v>5365</v>
      </c>
      <c r="P13" s="218">
        <v>5413</v>
      </c>
      <c r="Q13" s="218">
        <v>5416</v>
      </c>
      <c r="R13" s="218">
        <v>5471</v>
      </c>
      <c r="S13" s="218">
        <v>3704</v>
      </c>
      <c r="T13" s="218">
        <v>0</v>
      </c>
      <c r="U13" s="218">
        <v>0</v>
      </c>
      <c r="V13" s="218">
        <v>0</v>
      </c>
      <c r="W13" s="218">
        <v>0</v>
      </c>
      <c r="X13" s="218">
        <v>0</v>
      </c>
      <c r="Y13" s="218">
        <v>0</v>
      </c>
      <c r="Z13" s="218">
        <v>0</v>
      </c>
      <c r="AA13" s="218"/>
      <c r="AB13" s="218">
        <v>0</v>
      </c>
      <c r="AC13" s="218">
        <v>0</v>
      </c>
      <c r="AD13" s="218">
        <v>0</v>
      </c>
      <c r="AE13" s="218">
        <v>0</v>
      </c>
      <c r="AF13" s="218">
        <v>0</v>
      </c>
      <c r="AG13" s="218">
        <v>0</v>
      </c>
      <c r="AH13" s="218">
        <v>0</v>
      </c>
      <c r="AI13" s="218">
        <v>0</v>
      </c>
      <c r="AJ13" s="218">
        <v>0</v>
      </c>
      <c r="AK13" s="218"/>
      <c r="AL13" s="218">
        <v>0</v>
      </c>
      <c r="AM13" s="218">
        <v>0</v>
      </c>
      <c r="AN13" s="218">
        <v>0</v>
      </c>
      <c r="AO13" s="218">
        <v>0</v>
      </c>
      <c r="AP13" s="218">
        <v>0</v>
      </c>
      <c r="AQ13" s="218">
        <v>0</v>
      </c>
      <c r="AR13" s="218">
        <v>0</v>
      </c>
      <c r="AS13" s="218">
        <v>0</v>
      </c>
      <c r="AT13" s="218">
        <v>0</v>
      </c>
      <c r="AU13" s="218"/>
      <c r="AV13" s="218">
        <v>0</v>
      </c>
      <c r="AW13" s="218"/>
      <c r="AX13" s="218"/>
      <c r="AY13" s="218">
        <v>0</v>
      </c>
      <c r="AZ13" s="218">
        <v>0</v>
      </c>
      <c r="BA13" s="218">
        <v>0</v>
      </c>
      <c r="BB13" s="218">
        <v>0</v>
      </c>
      <c r="BC13" s="218">
        <v>0</v>
      </c>
    </row>
    <row r="14" spans="1:55" s="233" customFormat="1" hidden="1" outlineLevel="1" x14ac:dyDescent="0.2">
      <c r="A14" s="233" t="s">
        <v>198</v>
      </c>
      <c r="B14" s="233" t="s">
        <v>905</v>
      </c>
      <c r="D14" s="250" t="str">
        <f>IF([1]RENAME!$H$3=1,B14,A14)</f>
        <v>Recuperação de extravio, furtos e roubos</v>
      </c>
      <c r="E14" s="218">
        <v>4600</v>
      </c>
      <c r="F14" s="218">
        <v>5293</v>
      </c>
      <c r="G14" s="219">
        <v>4302</v>
      </c>
      <c r="H14" s="218">
        <v>2359</v>
      </c>
      <c r="I14" s="218">
        <v>1501</v>
      </c>
      <c r="J14" s="218">
        <v>277</v>
      </c>
      <c r="K14" s="218">
        <v>201</v>
      </c>
      <c r="L14" s="218">
        <v>112</v>
      </c>
      <c r="M14" s="218">
        <v>76</v>
      </c>
      <c r="N14" s="218">
        <v>76</v>
      </c>
      <c r="O14" s="218">
        <v>0</v>
      </c>
      <c r="P14" s="218">
        <v>0</v>
      </c>
      <c r="Q14" s="218">
        <v>0</v>
      </c>
      <c r="R14" s="218">
        <v>0</v>
      </c>
      <c r="S14" s="218">
        <v>0</v>
      </c>
      <c r="T14" s="218">
        <v>0</v>
      </c>
      <c r="U14" s="218">
        <v>0</v>
      </c>
      <c r="V14" s="218">
        <v>0</v>
      </c>
      <c r="W14" s="218">
        <v>0</v>
      </c>
      <c r="X14" s="218">
        <v>0</v>
      </c>
      <c r="Y14" s="218">
        <v>0</v>
      </c>
      <c r="Z14" s="218">
        <v>0</v>
      </c>
      <c r="AA14" s="218"/>
      <c r="AB14" s="118">
        <v>0</v>
      </c>
      <c r="AC14" s="118">
        <v>0</v>
      </c>
      <c r="AD14" s="118">
        <v>0</v>
      </c>
      <c r="AE14" s="118">
        <v>0</v>
      </c>
      <c r="AF14" s="118">
        <v>0</v>
      </c>
      <c r="AG14" s="118">
        <v>0</v>
      </c>
      <c r="AH14" s="118">
        <v>0</v>
      </c>
      <c r="AI14" s="118">
        <v>0</v>
      </c>
      <c r="AJ14" s="118">
        <v>0</v>
      </c>
      <c r="AK14" s="118"/>
      <c r="AL14" s="118">
        <v>0</v>
      </c>
      <c r="AM14" s="118">
        <v>0</v>
      </c>
      <c r="AN14" s="118">
        <v>0</v>
      </c>
      <c r="AO14" s="118">
        <v>0</v>
      </c>
      <c r="AP14" s="118">
        <v>0</v>
      </c>
      <c r="AQ14" s="118">
        <v>0</v>
      </c>
      <c r="AR14" s="118">
        <v>0</v>
      </c>
      <c r="AS14" s="118">
        <v>0</v>
      </c>
      <c r="AT14" s="118">
        <v>0</v>
      </c>
      <c r="AU14" s="118"/>
      <c r="AV14" s="118">
        <v>0</v>
      </c>
      <c r="AW14" s="118"/>
      <c r="AX14" s="118"/>
      <c r="AY14" s="118">
        <v>0</v>
      </c>
      <c r="AZ14" s="118">
        <v>0</v>
      </c>
      <c r="BA14" s="118">
        <v>0</v>
      </c>
      <c r="BB14" s="118">
        <v>0</v>
      </c>
      <c r="BC14" s="118">
        <v>0</v>
      </c>
    </row>
    <row r="15" spans="1:55" s="233" customFormat="1" hidden="1" outlineLevel="1" x14ac:dyDescent="0.2">
      <c r="A15" s="233" t="s">
        <v>193</v>
      </c>
      <c r="B15" s="233" t="s">
        <v>906</v>
      </c>
      <c r="D15" s="250" t="str">
        <f>IF([1]RENAME!$H$3=1,B15,A15)</f>
        <v>Valor a receber venda Direct</v>
      </c>
      <c r="E15" s="218">
        <v>0</v>
      </c>
      <c r="F15" s="218">
        <v>0</v>
      </c>
      <c r="G15" s="219">
        <v>0</v>
      </c>
      <c r="H15" s="218">
        <v>115282</v>
      </c>
      <c r="I15" s="218">
        <v>78979</v>
      </c>
      <c r="J15" s="218">
        <v>40605</v>
      </c>
      <c r="K15" s="218">
        <v>41811</v>
      </c>
      <c r="L15" s="218">
        <v>0</v>
      </c>
      <c r="M15" s="218">
        <v>0</v>
      </c>
      <c r="N15" s="218">
        <v>0</v>
      </c>
      <c r="O15" s="218">
        <v>0</v>
      </c>
      <c r="P15" s="218">
        <v>0</v>
      </c>
      <c r="Q15" s="218">
        <v>0</v>
      </c>
      <c r="R15" s="218">
        <v>0</v>
      </c>
      <c r="S15" s="218">
        <v>0</v>
      </c>
      <c r="T15" s="218">
        <v>0</v>
      </c>
      <c r="U15" s="218">
        <v>0</v>
      </c>
      <c r="V15" s="218">
        <v>0</v>
      </c>
      <c r="W15" s="218">
        <v>0</v>
      </c>
      <c r="X15" s="218">
        <v>0</v>
      </c>
      <c r="Y15" s="218">
        <v>0</v>
      </c>
      <c r="Z15" s="218">
        <v>0</v>
      </c>
      <c r="AA15" s="218"/>
      <c r="AB15" s="118">
        <v>0</v>
      </c>
      <c r="AC15" s="118">
        <v>0</v>
      </c>
      <c r="AD15" s="118">
        <v>0</v>
      </c>
      <c r="AE15" s="118">
        <v>0</v>
      </c>
      <c r="AF15" s="118">
        <v>0</v>
      </c>
      <c r="AG15" s="118">
        <v>0</v>
      </c>
      <c r="AH15" s="118">
        <v>0</v>
      </c>
      <c r="AI15" s="118">
        <v>0</v>
      </c>
      <c r="AJ15" s="118">
        <v>0</v>
      </c>
      <c r="AK15" s="118"/>
      <c r="AL15" s="118">
        <v>0</v>
      </c>
      <c r="AM15" s="118">
        <v>0</v>
      </c>
      <c r="AN15" s="118">
        <v>0</v>
      </c>
      <c r="AO15" s="118">
        <v>0</v>
      </c>
      <c r="AP15" s="118">
        <v>0</v>
      </c>
      <c r="AQ15" s="118">
        <v>0</v>
      </c>
      <c r="AR15" s="118">
        <v>0</v>
      </c>
      <c r="AS15" s="118">
        <v>0</v>
      </c>
      <c r="AT15" s="118">
        <v>0</v>
      </c>
      <c r="AU15" s="118"/>
      <c r="AV15" s="118">
        <v>0</v>
      </c>
      <c r="AW15" s="118"/>
      <c r="AX15" s="118"/>
      <c r="AY15" s="118">
        <v>0</v>
      </c>
      <c r="AZ15" s="118">
        <v>0</v>
      </c>
      <c r="BA15" s="118">
        <v>0</v>
      </c>
      <c r="BB15" s="118">
        <v>0</v>
      </c>
      <c r="BC15" s="118">
        <v>0</v>
      </c>
    </row>
    <row r="16" spans="1:55" collapsed="1" x14ac:dyDescent="0.2">
      <c r="D16" s="126"/>
      <c r="E16" s="120">
        <f t="shared" ref="E16:AC16" si="9">SUM(E6:E15)</f>
        <v>29210</v>
      </c>
      <c r="F16" s="120">
        <f t="shared" si="9"/>
        <v>22430</v>
      </c>
      <c r="G16" s="162">
        <f t="shared" si="9"/>
        <v>20682</v>
      </c>
      <c r="H16" s="120">
        <f t="shared" si="9"/>
        <v>134784</v>
      </c>
      <c r="I16" s="120">
        <f t="shared" si="9"/>
        <v>117645</v>
      </c>
      <c r="J16" s="120">
        <f t="shared" si="9"/>
        <v>76151</v>
      </c>
      <c r="K16" s="120">
        <f t="shared" si="9"/>
        <v>78384</v>
      </c>
      <c r="L16" s="120">
        <f t="shared" si="9"/>
        <v>34197</v>
      </c>
      <c r="M16" s="120">
        <f t="shared" si="9"/>
        <v>33109</v>
      </c>
      <c r="N16" s="120">
        <f t="shared" si="9"/>
        <v>30495</v>
      </c>
      <c r="O16" s="120">
        <f t="shared" si="9"/>
        <v>26325</v>
      </c>
      <c r="P16" s="120">
        <f t="shared" si="9"/>
        <v>26107</v>
      </c>
      <c r="Q16" s="120">
        <f t="shared" si="9"/>
        <v>24419</v>
      </c>
      <c r="R16" s="120">
        <f t="shared" si="9"/>
        <v>25455</v>
      </c>
      <c r="S16" s="120">
        <f t="shared" si="9"/>
        <v>23280</v>
      </c>
      <c r="T16" s="120">
        <f t="shared" si="9"/>
        <v>14416</v>
      </c>
      <c r="U16" s="120">
        <f t="shared" si="9"/>
        <v>6435</v>
      </c>
      <c r="V16" s="120">
        <f t="shared" si="9"/>
        <v>11237</v>
      </c>
      <c r="W16" s="120">
        <f t="shared" si="9"/>
        <v>11324</v>
      </c>
      <c r="X16" s="120">
        <f t="shared" si="9"/>
        <v>12909</v>
      </c>
      <c r="Y16" s="120">
        <f t="shared" si="9"/>
        <v>13445</v>
      </c>
      <c r="Z16" s="120">
        <f t="shared" si="9"/>
        <v>12911</v>
      </c>
      <c r="AA16" s="120">
        <f t="shared" si="9"/>
        <v>12710</v>
      </c>
      <c r="AB16" s="120">
        <f t="shared" si="9"/>
        <v>8039</v>
      </c>
      <c r="AC16" s="120">
        <f t="shared" si="9"/>
        <v>8519</v>
      </c>
      <c r="AD16" s="120">
        <f t="shared" ref="AD16:AM16" si="10">SUM(AD6:AD15)</f>
        <v>10447</v>
      </c>
      <c r="AE16" s="120">
        <f t="shared" si="10"/>
        <v>11292</v>
      </c>
      <c r="AF16" s="120">
        <f t="shared" si="10"/>
        <v>11291</v>
      </c>
      <c r="AG16" s="120">
        <f t="shared" si="10"/>
        <v>10580</v>
      </c>
      <c r="AH16" s="120">
        <f t="shared" si="10"/>
        <v>11847</v>
      </c>
      <c r="AI16" s="120">
        <f t="shared" si="10"/>
        <v>8807</v>
      </c>
      <c r="AJ16" s="120">
        <f t="shared" si="10"/>
        <v>9282</v>
      </c>
      <c r="AK16" s="120">
        <f t="shared" si="10"/>
        <v>10352</v>
      </c>
      <c r="AL16" s="120">
        <f t="shared" si="10"/>
        <v>9031</v>
      </c>
      <c r="AM16" s="120">
        <f t="shared" si="10"/>
        <v>10402</v>
      </c>
      <c r="AN16" s="120">
        <f t="shared" ref="AN16:AU16" si="11">SUM(AN6:AN15)</f>
        <v>21741</v>
      </c>
      <c r="AO16" s="120">
        <f t="shared" si="11"/>
        <v>16754</v>
      </c>
      <c r="AP16" s="120">
        <f t="shared" si="11"/>
        <v>14979</v>
      </c>
      <c r="AQ16" s="120">
        <f t="shared" si="11"/>
        <v>14466</v>
      </c>
      <c r="AR16" s="120">
        <f t="shared" si="11"/>
        <v>16598</v>
      </c>
      <c r="AS16" s="120">
        <f t="shared" si="11"/>
        <v>16113</v>
      </c>
      <c r="AT16" s="120">
        <f t="shared" si="11"/>
        <v>12194</v>
      </c>
      <c r="AU16" s="120">
        <f t="shared" si="11"/>
        <v>14491</v>
      </c>
      <c r="AV16" s="120">
        <f t="shared" ref="AV16:BA16" si="12">SUM(AV6:AV15)</f>
        <v>18303</v>
      </c>
      <c r="AW16" s="120">
        <f t="shared" si="12"/>
        <v>19620</v>
      </c>
      <c r="AX16" s="120">
        <f t="shared" si="12"/>
        <v>18769</v>
      </c>
      <c r="AY16" s="120">
        <f t="shared" si="12"/>
        <v>17430</v>
      </c>
      <c r="AZ16" s="120">
        <f t="shared" si="12"/>
        <v>36327</v>
      </c>
      <c r="BA16" s="120">
        <f t="shared" si="12"/>
        <v>33402</v>
      </c>
      <c r="BB16" s="120">
        <f>SUM(BB6:BB15)</f>
        <v>27347</v>
      </c>
      <c r="BC16" s="120">
        <f>SUM(BC6:BC15)</f>
        <v>35188</v>
      </c>
    </row>
    <row r="17" spans="1:55" x14ac:dyDescent="0.2">
      <c r="A17" t="s">
        <v>201</v>
      </c>
      <c r="B17" t="s">
        <v>907</v>
      </c>
      <c r="D17" s="129" t="str">
        <f>IF([1]RENAME!$H$3=1,B17,A17)</f>
        <v>Circulante</v>
      </c>
      <c r="E17" s="118">
        <f>+E16</f>
        <v>29210</v>
      </c>
      <c r="F17" s="118">
        <v>22430</v>
      </c>
      <c r="G17" s="160">
        <v>20682</v>
      </c>
      <c r="H17" s="118">
        <f>+H16</f>
        <v>134784</v>
      </c>
      <c r="I17" s="118">
        <v>104274</v>
      </c>
      <c r="J17" s="118">
        <v>62780</v>
      </c>
      <c r="K17" s="118">
        <v>65013</v>
      </c>
      <c r="L17" s="118">
        <v>20826</v>
      </c>
      <c r="M17" s="118">
        <v>19738</v>
      </c>
      <c r="N17" s="118">
        <v>17124</v>
      </c>
      <c r="O17" s="118">
        <v>12954</v>
      </c>
      <c r="P17" s="118">
        <v>12736</v>
      </c>
      <c r="Q17" s="118">
        <v>11048</v>
      </c>
      <c r="R17" s="118">
        <v>10452</v>
      </c>
      <c r="S17" s="118">
        <v>8277</v>
      </c>
      <c r="T17" s="118">
        <v>5144</v>
      </c>
      <c r="U17" s="118">
        <v>4528</v>
      </c>
      <c r="V17" s="118">
        <v>4997</v>
      </c>
      <c r="W17" s="118">
        <v>5118</v>
      </c>
      <c r="X17" s="118">
        <v>6055</v>
      </c>
      <c r="Y17" s="118">
        <v>6775</v>
      </c>
      <c r="Z17" s="118">
        <v>6217</v>
      </c>
      <c r="AA17" s="118">
        <v>5545</v>
      </c>
      <c r="AB17" s="118">
        <v>6225</v>
      </c>
      <c r="AC17" s="118">
        <v>6687</v>
      </c>
      <c r="AD17" s="118">
        <v>8597</v>
      </c>
      <c r="AE17" s="118">
        <v>9426</v>
      </c>
      <c r="AF17" s="118">
        <v>9001</v>
      </c>
      <c r="AG17" s="118">
        <v>8266</v>
      </c>
      <c r="AH17" s="118">
        <v>9503</v>
      </c>
      <c r="AI17" s="118">
        <v>6835</v>
      </c>
      <c r="AJ17" s="118">
        <v>7280</v>
      </c>
      <c r="AK17" s="118">
        <v>8891</v>
      </c>
      <c r="AL17" s="118">
        <v>7570</v>
      </c>
      <c r="AM17" s="118">
        <v>8940</v>
      </c>
      <c r="AN17" s="118">
        <v>20280</v>
      </c>
      <c r="AO17" s="118">
        <v>15269</v>
      </c>
      <c r="AP17" s="118">
        <v>13492</v>
      </c>
      <c r="AQ17" s="118">
        <v>13448</v>
      </c>
      <c r="AR17" s="118">
        <v>15088</v>
      </c>
      <c r="AS17" s="118">
        <v>14485</v>
      </c>
      <c r="AT17" s="118">
        <v>10566</v>
      </c>
      <c r="AU17" s="118">
        <v>12863</v>
      </c>
      <c r="AV17" s="118">
        <v>16675</v>
      </c>
      <c r="AW17" s="118">
        <v>17922</v>
      </c>
      <c r="AX17" s="118">
        <v>17071</v>
      </c>
      <c r="AY17" s="118">
        <v>15732</v>
      </c>
      <c r="AZ17" s="118">
        <v>34629</v>
      </c>
      <c r="BA17" s="118">
        <v>31704</v>
      </c>
      <c r="BB17" s="118">
        <v>25649</v>
      </c>
      <c r="BC17" s="118">
        <f>'[3]8 Demais CR NL'!$H$14</f>
        <v>34100</v>
      </c>
    </row>
    <row r="18" spans="1:55" x14ac:dyDescent="0.2">
      <c r="A18" t="s">
        <v>187</v>
      </c>
      <c r="B18" t="s">
        <v>908</v>
      </c>
      <c r="D18" s="129" t="str">
        <f>IF([1]RENAME!$H$3=1,B18,A18)</f>
        <v>Não circulante</v>
      </c>
      <c r="E18" s="118">
        <v>0</v>
      </c>
      <c r="F18" s="118">
        <v>0</v>
      </c>
      <c r="G18" s="160">
        <v>0</v>
      </c>
      <c r="H18" s="118">
        <v>13371</v>
      </c>
      <c r="I18" s="118">
        <v>13371</v>
      </c>
      <c r="J18" s="118">
        <v>13371</v>
      </c>
      <c r="K18" s="118">
        <v>13371</v>
      </c>
      <c r="L18" s="118">
        <v>13371</v>
      </c>
      <c r="M18" s="118">
        <v>13371</v>
      </c>
      <c r="N18" s="118">
        <v>13371</v>
      </c>
      <c r="O18" s="118">
        <v>13371</v>
      </c>
      <c r="P18" s="118">
        <v>13371</v>
      </c>
      <c r="Q18" s="118">
        <v>13371</v>
      </c>
      <c r="R18" s="118">
        <v>15003</v>
      </c>
      <c r="S18" s="118">
        <v>15004</v>
      </c>
      <c r="T18" s="118">
        <v>9272</v>
      </c>
      <c r="U18" s="118">
        <v>1907</v>
      </c>
      <c r="V18" s="118">
        <v>6240</v>
      </c>
      <c r="W18" s="118">
        <v>6206</v>
      </c>
      <c r="X18" s="118">
        <v>6857</v>
      </c>
      <c r="Y18" s="118">
        <v>6670</v>
      </c>
      <c r="Z18" s="118">
        <v>6694</v>
      </c>
      <c r="AA18" s="118">
        <v>7165</v>
      </c>
      <c r="AB18" s="118">
        <v>1814</v>
      </c>
      <c r="AC18" s="118">
        <v>1832</v>
      </c>
      <c r="AD18" s="118">
        <v>1850</v>
      </c>
      <c r="AE18" s="118">
        <v>1866</v>
      </c>
      <c r="AF18" s="118">
        <v>2290</v>
      </c>
      <c r="AG18" s="118">
        <v>2314</v>
      </c>
      <c r="AH18" s="118">
        <v>2344</v>
      </c>
      <c r="AI18" s="118">
        <v>1972</v>
      </c>
      <c r="AJ18" s="118">
        <v>2002</v>
      </c>
      <c r="AK18" s="118">
        <v>1461</v>
      </c>
      <c r="AL18" s="118">
        <v>1461</v>
      </c>
      <c r="AM18" s="118">
        <v>1462</v>
      </c>
      <c r="AN18" s="118">
        <v>1461</v>
      </c>
      <c r="AO18" s="118">
        <v>1485</v>
      </c>
      <c r="AP18" s="118">
        <v>1487</v>
      </c>
      <c r="AQ18" s="118">
        <v>1018</v>
      </c>
      <c r="AR18" s="118">
        <v>1510</v>
      </c>
      <c r="AS18" s="118">
        <v>1628</v>
      </c>
      <c r="AT18" s="118">
        <v>1628</v>
      </c>
      <c r="AU18" s="118">
        <v>1628</v>
      </c>
      <c r="AV18" s="118">
        <v>1628</v>
      </c>
      <c r="AW18" s="118">
        <v>1698</v>
      </c>
      <c r="AX18" s="118">
        <v>1698</v>
      </c>
      <c r="AY18" s="118">
        <v>1698</v>
      </c>
      <c r="AZ18" s="118">
        <v>1698</v>
      </c>
      <c r="BA18" s="118">
        <v>1698</v>
      </c>
      <c r="BB18" s="118">
        <v>1698</v>
      </c>
      <c r="BC18" s="118">
        <f>'[3]8 Demais CR NL'!$H$15</f>
        <v>1088</v>
      </c>
    </row>
    <row r="19" spans="1:55" x14ac:dyDescent="0.2">
      <c r="D19" s="126"/>
      <c r="E19" s="120">
        <f t="shared" ref="E19:N19" si="13">SUM(E17:E18)</f>
        <v>29210</v>
      </c>
      <c r="F19" s="120">
        <f t="shared" si="13"/>
        <v>22430</v>
      </c>
      <c r="G19" s="162">
        <f t="shared" si="13"/>
        <v>20682</v>
      </c>
      <c r="H19" s="120">
        <f t="shared" si="13"/>
        <v>148155</v>
      </c>
      <c r="I19" s="120">
        <f t="shared" si="13"/>
        <v>117645</v>
      </c>
      <c r="J19" s="120">
        <f t="shared" si="13"/>
        <v>76151</v>
      </c>
      <c r="K19" s="120">
        <f t="shared" si="13"/>
        <v>78384</v>
      </c>
      <c r="L19" s="120">
        <f t="shared" si="13"/>
        <v>34197</v>
      </c>
      <c r="M19" s="120">
        <f t="shared" si="13"/>
        <v>33109</v>
      </c>
      <c r="N19" s="120">
        <f t="shared" si="13"/>
        <v>30495</v>
      </c>
      <c r="O19" s="120">
        <f t="shared" ref="O19:U19" si="14">SUM(O17:O18)</f>
        <v>26325</v>
      </c>
      <c r="P19" s="120">
        <f t="shared" si="14"/>
        <v>26107</v>
      </c>
      <c r="Q19" s="120">
        <f t="shared" si="14"/>
        <v>24419</v>
      </c>
      <c r="R19" s="120">
        <f t="shared" si="14"/>
        <v>25455</v>
      </c>
      <c r="S19" s="120">
        <f t="shared" si="14"/>
        <v>23281</v>
      </c>
      <c r="T19" s="120">
        <f t="shared" si="14"/>
        <v>14416</v>
      </c>
      <c r="U19" s="120">
        <f t="shared" si="14"/>
        <v>6435</v>
      </c>
      <c r="V19" s="120">
        <f t="shared" ref="V19:AC19" si="15">SUM(V17:V18)</f>
        <v>11237</v>
      </c>
      <c r="W19" s="120">
        <f t="shared" si="15"/>
        <v>11324</v>
      </c>
      <c r="X19" s="120">
        <f t="shared" si="15"/>
        <v>12912</v>
      </c>
      <c r="Y19" s="120">
        <f t="shared" si="15"/>
        <v>13445</v>
      </c>
      <c r="Z19" s="120">
        <f t="shared" si="15"/>
        <v>12911</v>
      </c>
      <c r="AA19" s="120">
        <f t="shared" si="15"/>
        <v>12710</v>
      </c>
      <c r="AB19" s="120">
        <f t="shared" si="15"/>
        <v>8039</v>
      </c>
      <c r="AC19" s="120">
        <f t="shared" si="15"/>
        <v>8519</v>
      </c>
      <c r="AD19" s="120">
        <f t="shared" ref="AD19:AM19" si="16">SUM(AD17:AD18)</f>
        <v>10447</v>
      </c>
      <c r="AE19" s="120">
        <f t="shared" si="16"/>
        <v>11292</v>
      </c>
      <c r="AF19" s="120">
        <f t="shared" si="16"/>
        <v>11291</v>
      </c>
      <c r="AG19" s="120">
        <f t="shared" si="16"/>
        <v>10580</v>
      </c>
      <c r="AH19" s="120">
        <f t="shared" si="16"/>
        <v>11847</v>
      </c>
      <c r="AI19" s="120">
        <f t="shared" si="16"/>
        <v>8807</v>
      </c>
      <c r="AJ19" s="120">
        <f t="shared" si="16"/>
        <v>9282</v>
      </c>
      <c r="AK19" s="120">
        <f t="shared" si="16"/>
        <v>10352</v>
      </c>
      <c r="AL19" s="120">
        <f t="shared" si="16"/>
        <v>9031</v>
      </c>
      <c r="AM19" s="120">
        <f t="shared" si="16"/>
        <v>10402</v>
      </c>
      <c r="AN19" s="120">
        <f t="shared" ref="AN19:AU19" si="17">SUM(AN17:AN18)</f>
        <v>21741</v>
      </c>
      <c r="AO19" s="120">
        <f t="shared" si="17"/>
        <v>16754</v>
      </c>
      <c r="AP19" s="120">
        <f t="shared" si="17"/>
        <v>14979</v>
      </c>
      <c r="AQ19" s="120">
        <f t="shared" si="17"/>
        <v>14466</v>
      </c>
      <c r="AR19" s="120">
        <f t="shared" si="17"/>
        <v>16598</v>
      </c>
      <c r="AS19" s="120">
        <f t="shared" si="17"/>
        <v>16113</v>
      </c>
      <c r="AT19" s="120">
        <f t="shared" si="17"/>
        <v>12194</v>
      </c>
      <c r="AU19" s="120">
        <f t="shared" si="17"/>
        <v>14491</v>
      </c>
      <c r="AV19" s="120">
        <f t="shared" ref="AV19:BA19" si="18">SUM(AV17:AV18)</f>
        <v>18303</v>
      </c>
      <c r="AW19" s="120">
        <f t="shared" si="18"/>
        <v>19620</v>
      </c>
      <c r="AX19" s="120">
        <f t="shared" si="18"/>
        <v>18769</v>
      </c>
      <c r="AY19" s="120">
        <f t="shared" si="18"/>
        <v>17430</v>
      </c>
      <c r="AZ19" s="120">
        <f t="shared" si="18"/>
        <v>36327</v>
      </c>
      <c r="BA19" s="120">
        <f t="shared" si="18"/>
        <v>33402</v>
      </c>
      <c r="BB19" s="120">
        <f>SUM(BB17:BB18)</f>
        <v>27347</v>
      </c>
      <c r="BC19" s="120">
        <f>SUM(BC17:BC18)</f>
        <v>35188</v>
      </c>
    </row>
    <row r="20" spans="1:55" x14ac:dyDescent="0.2">
      <c r="D20" s="597"/>
      <c r="E20" s="598">
        <f>+E19-BP!T13-BP!T26</f>
        <v>0</v>
      </c>
      <c r="F20" s="598">
        <f>+F19-BP!U13-BP!U26</f>
        <v>0</v>
      </c>
      <c r="G20" s="598">
        <f>+G19-BP!V13-BP!V26</f>
        <v>0</v>
      </c>
      <c r="H20" s="599">
        <f>+H19-BP!W13-BP!W26</f>
        <v>0</v>
      </c>
      <c r="I20" s="599">
        <f>+I19-BP!X13-BP!X26</f>
        <v>0</v>
      </c>
      <c r="J20" s="599">
        <f>+J19-BP!Y13-BP!Y26</f>
        <v>0</v>
      </c>
      <c r="K20" s="599">
        <f>+K19-BP!Z13-BP!Z26</f>
        <v>0</v>
      </c>
      <c r="L20" s="599">
        <f>+L19-BP!AA13-BP!AA26</f>
        <v>0</v>
      </c>
      <c r="M20" s="599">
        <f>+M19-BP!AB13-BP!AB26</f>
        <v>0</v>
      </c>
      <c r="N20" s="599">
        <f>+N19-BP!AC13-BP!AC26</f>
        <v>0</v>
      </c>
      <c r="O20" s="599">
        <f>+O19-BP!AD13-BP!AD26</f>
        <v>0</v>
      </c>
      <c r="P20" s="599">
        <f>+P19-BP!AE13-BP!AE26</f>
        <v>0</v>
      </c>
      <c r="Q20" s="599">
        <f>+Q19-BP!AF13-BP!AF26</f>
        <v>0</v>
      </c>
      <c r="R20" s="599">
        <f>+R19-BP!AG13-BP!AG26</f>
        <v>0</v>
      </c>
      <c r="S20" s="599">
        <f>+S19-BP!AH13-BP!AH26</f>
        <v>0</v>
      </c>
      <c r="T20" s="980">
        <f>BP!AI13+BP!AI26-T19</f>
        <v>0</v>
      </c>
      <c r="U20" s="980">
        <f>BP!AJ13+BP!AJ26-U19</f>
        <v>0</v>
      </c>
      <c r="V20" s="980">
        <f>BP!AK13+BP!AK26-V19</f>
        <v>0</v>
      </c>
      <c r="W20" s="980">
        <f>BP!AL13+BP!AL26-W19</f>
        <v>0</v>
      </c>
      <c r="X20" s="980">
        <f>BP!AM13+BP!AM26-X19</f>
        <v>0</v>
      </c>
      <c r="Y20" s="980">
        <f>BP!AN13+BP!AN26-Y19</f>
        <v>0</v>
      </c>
      <c r="Z20" s="980">
        <f>BP!AO13+BP!AO26-Z19</f>
        <v>0</v>
      </c>
      <c r="AA20" s="980">
        <f>BP!AP13+BP!AP26-AA19</f>
        <v>0</v>
      </c>
      <c r="AB20" s="980">
        <f>BP!AQ13+BP!AQ26-AB19</f>
        <v>0</v>
      </c>
      <c r="AC20" s="980">
        <f>BP!AR13+BP!AR26-AC19</f>
        <v>0</v>
      </c>
      <c r="AD20" s="980">
        <f>BP!AS13+BP!AS26-AD19</f>
        <v>0</v>
      </c>
      <c r="AE20" s="980">
        <f>BP!AT13+BP!AT26-AE19</f>
        <v>0</v>
      </c>
      <c r="AF20" s="980">
        <f>BP!AU13+BP!AU26-AF19</f>
        <v>0</v>
      </c>
      <c r="AG20" s="980">
        <f>BP!AV13+BP!AV26-AG19</f>
        <v>0</v>
      </c>
      <c r="AH20" s="980">
        <f>BP!AW13+BP!AW26-AH19</f>
        <v>0</v>
      </c>
      <c r="AI20" s="980">
        <f>BP!AX13+BP!AX26-AI19</f>
        <v>0</v>
      </c>
      <c r="AJ20" s="980">
        <f>BP!AY13+BP!AY26-AJ19</f>
        <v>0</v>
      </c>
      <c r="AK20" s="980">
        <f>BP!AZ13+BP!AZ26-AK19</f>
        <v>0</v>
      </c>
      <c r="AL20" s="980">
        <f>BP!BA13+BP!BA26-AL19</f>
        <v>0</v>
      </c>
      <c r="AM20" s="980">
        <f>BP!BB13+BP!BB26-AM19</f>
        <v>0</v>
      </c>
      <c r="AN20" s="980">
        <f>BP!BC13+BP!BC26-AN19</f>
        <v>0</v>
      </c>
      <c r="AO20" s="980">
        <f>BP!BD13+BP!BD26-AO19</f>
        <v>0</v>
      </c>
      <c r="AP20" s="980">
        <f>BP!BE13+BP!BE26-AP19</f>
        <v>0</v>
      </c>
      <c r="AQ20" s="980">
        <f>BP!BF13+BP!BF26-AQ19</f>
        <v>0</v>
      </c>
      <c r="AR20" s="980">
        <f>BP!BG13+BP!BG26-AR19</f>
        <v>0</v>
      </c>
      <c r="AS20" s="980">
        <f>BP!BH13+BP!BH26-AS19</f>
        <v>0</v>
      </c>
      <c r="AT20" s="980">
        <f>BP!BI13+BP!BI26-AT19</f>
        <v>0</v>
      </c>
      <c r="AU20" s="980"/>
      <c r="AV20" s="980"/>
      <c r="AW20" s="980"/>
      <c r="AX20" s="980"/>
      <c r="AY20" s="980"/>
      <c r="AZ20" s="980">
        <f>BP!BO13+BP!BO26-AZ19</f>
        <v>0</v>
      </c>
      <c r="BA20" s="980">
        <f>BP!BP13+BP!BP26-BA19</f>
        <v>0</v>
      </c>
      <c r="BB20" s="980">
        <f>BP!BQ13+BP!BQ26-BB19</f>
        <v>0</v>
      </c>
      <c r="BC20" s="980">
        <f>BP!BR13+BP!BR26-BC19</f>
        <v>0</v>
      </c>
    </row>
    <row r="21" spans="1:55" x14ac:dyDescent="0.2">
      <c r="A21" t="s">
        <v>97</v>
      </c>
      <c r="B21" t="s">
        <v>872</v>
      </c>
      <c r="D21" s="151" t="str">
        <f>IF([1]RENAME!$H$3=1,B21,A21)</f>
        <v>Controladora</v>
      </c>
      <c r="E21" s="115">
        <f t="shared" ref="E21:AC21" si="19">E5</f>
        <v>2013</v>
      </c>
      <c r="F21" s="115" t="str">
        <f t="shared" si="19"/>
        <v>1T14</v>
      </c>
      <c r="G21" s="115" t="str">
        <f t="shared" si="19"/>
        <v>2T14</v>
      </c>
      <c r="H21" s="115" t="str">
        <f t="shared" si="19"/>
        <v>3T14</v>
      </c>
      <c r="I21" s="115" t="str">
        <f t="shared" si="19"/>
        <v>4T14</v>
      </c>
      <c r="J21" s="115" t="str">
        <f t="shared" si="19"/>
        <v>1T15</v>
      </c>
      <c r="K21" s="115" t="str">
        <f t="shared" si="19"/>
        <v>2T15</v>
      </c>
      <c r="L21" s="115" t="str">
        <f t="shared" si="19"/>
        <v>3T15</v>
      </c>
      <c r="M21" s="115" t="str">
        <f t="shared" si="19"/>
        <v>4T15</v>
      </c>
      <c r="N21" s="115" t="str">
        <f t="shared" si="19"/>
        <v>1T16</v>
      </c>
      <c r="O21" s="115" t="str">
        <f t="shared" si="19"/>
        <v>2T16</v>
      </c>
      <c r="P21" s="115" t="str">
        <f t="shared" si="19"/>
        <v>3T16</v>
      </c>
      <c r="Q21" s="115" t="str">
        <f t="shared" si="19"/>
        <v>4T16</v>
      </c>
      <c r="R21" s="115" t="str">
        <f t="shared" si="19"/>
        <v>1T17</v>
      </c>
      <c r="S21" s="115" t="str">
        <f t="shared" si="19"/>
        <v>2T17</v>
      </c>
      <c r="T21" s="115" t="str">
        <f t="shared" si="19"/>
        <v>3T17</v>
      </c>
      <c r="U21" s="115" t="str">
        <f t="shared" si="19"/>
        <v>4T17</v>
      </c>
      <c r="V21" s="115" t="str">
        <f t="shared" si="19"/>
        <v>1T18</v>
      </c>
      <c r="W21" s="115" t="str">
        <f t="shared" si="19"/>
        <v>2T18</v>
      </c>
      <c r="X21" s="115" t="str">
        <f t="shared" si="19"/>
        <v>3T18</v>
      </c>
      <c r="Y21" s="115" t="str">
        <f t="shared" si="19"/>
        <v>4T18</v>
      </c>
      <c r="Z21" s="115" t="str">
        <f t="shared" si="19"/>
        <v>1T19</v>
      </c>
      <c r="AA21" s="115" t="str">
        <f t="shared" si="19"/>
        <v>2T19</v>
      </c>
      <c r="AB21" s="115" t="str">
        <f t="shared" si="19"/>
        <v>3T19</v>
      </c>
      <c r="AC21" s="115" t="str">
        <f t="shared" si="19"/>
        <v>4T19</v>
      </c>
      <c r="AD21" s="115" t="str">
        <f t="shared" ref="AD21:AM21" si="20">AD5</f>
        <v>1T20</v>
      </c>
      <c r="AE21" s="115" t="str">
        <f t="shared" si="20"/>
        <v>2T20</v>
      </c>
      <c r="AF21" s="115" t="str">
        <f t="shared" si="20"/>
        <v>3T20</v>
      </c>
      <c r="AG21" s="115" t="str">
        <f t="shared" si="20"/>
        <v>4T20</v>
      </c>
      <c r="AH21" s="115" t="str">
        <f t="shared" si="20"/>
        <v>1T21</v>
      </c>
      <c r="AI21" s="115" t="str">
        <f t="shared" si="20"/>
        <v>2T21</v>
      </c>
      <c r="AJ21" s="115" t="str">
        <f t="shared" si="20"/>
        <v>3T21</v>
      </c>
      <c r="AK21" s="115" t="str">
        <f t="shared" si="20"/>
        <v>4T21</v>
      </c>
      <c r="AL21" s="115" t="str">
        <f>AL5</f>
        <v>1T22</v>
      </c>
      <c r="AM21" s="115" t="str">
        <f t="shared" si="20"/>
        <v>2T22</v>
      </c>
      <c r="AN21" s="115" t="str">
        <f t="shared" ref="AN21:AU21" si="21">AN5</f>
        <v>3T22</v>
      </c>
      <c r="AO21" s="115" t="str">
        <f t="shared" si="21"/>
        <v>4T22</v>
      </c>
      <c r="AP21" s="115" t="str">
        <f t="shared" si="21"/>
        <v>1T23</v>
      </c>
      <c r="AQ21" s="115" t="str">
        <f t="shared" si="21"/>
        <v>2T23</v>
      </c>
      <c r="AR21" s="115" t="str">
        <f t="shared" si="21"/>
        <v>3T23</v>
      </c>
      <c r="AS21" s="115" t="str">
        <f t="shared" si="21"/>
        <v>4T23</v>
      </c>
      <c r="AT21" s="115" t="str">
        <f t="shared" si="21"/>
        <v>1T24</v>
      </c>
      <c r="AU21" s="115" t="str">
        <f t="shared" si="21"/>
        <v>2T24</v>
      </c>
      <c r="AV21" s="115" t="str">
        <f t="shared" ref="AV21:BA21" si="22">AV5</f>
        <v>3T24</v>
      </c>
      <c r="AW21" s="115" t="str">
        <f t="shared" si="22"/>
        <v>4T24</v>
      </c>
      <c r="AX21" s="115" t="str">
        <f t="shared" si="22"/>
        <v>1T25</v>
      </c>
      <c r="AY21" s="115" t="str">
        <f t="shared" si="22"/>
        <v>2T25</v>
      </c>
      <c r="AZ21" s="115" t="str">
        <f t="shared" si="22"/>
        <v>3T25</v>
      </c>
      <c r="BA21" s="115" t="str">
        <f t="shared" si="22"/>
        <v>4T25</v>
      </c>
      <c r="BB21" s="247" t="str">
        <f>BB5</f>
        <v>1T26</v>
      </c>
      <c r="BC21" s="115" t="str">
        <f>BC5</f>
        <v>2T26</v>
      </c>
    </row>
    <row r="22" spans="1:55" x14ac:dyDescent="0.2">
      <c r="A22" t="s">
        <v>1319</v>
      </c>
      <c r="B22" t="s">
        <v>1451</v>
      </c>
      <c r="D22" s="129" t="str">
        <f>IF([1]RENAME!$H$3=1,B22,A22)</f>
        <v>Ativo indenizatório</v>
      </c>
      <c r="E22" s="118">
        <v>0</v>
      </c>
      <c r="F22" s="118">
        <v>0</v>
      </c>
      <c r="G22" s="160">
        <v>0</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426</v>
      </c>
      <c r="X22" s="118">
        <v>451</v>
      </c>
      <c r="Y22" s="118">
        <v>465</v>
      </c>
      <c r="Z22" s="118">
        <v>482</v>
      </c>
      <c r="AA22" s="118">
        <v>502</v>
      </c>
      <c r="AB22" s="118">
        <v>510</v>
      </c>
      <c r="AC22" s="118">
        <v>527</v>
      </c>
      <c r="AD22" s="118">
        <v>546</v>
      </c>
      <c r="AE22" s="118">
        <v>562</v>
      </c>
      <c r="AF22" s="118">
        <v>985</v>
      </c>
      <c r="AG22" s="118">
        <v>1010</v>
      </c>
      <c r="AH22" s="118">
        <v>1039</v>
      </c>
      <c r="AI22" s="118">
        <v>667</v>
      </c>
      <c r="AJ22" s="118">
        <v>698</v>
      </c>
      <c r="AK22" s="118">
        <v>0</v>
      </c>
      <c r="AL22" s="118">
        <v>0</v>
      </c>
      <c r="AM22" s="118">
        <v>0</v>
      </c>
      <c r="AN22" s="118">
        <v>0</v>
      </c>
      <c r="AO22" s="118">
        <v>25</v>
      </c>
      <c r="AP22" s="118">
        <v>26</v>
      </c>
      <c r="AQ22" s="118">
        <v>6</v>
      </c>
      <c r="AR22" s="118">
        <v>497</v>
      </c>
      <c r="AS22" s="118">
        <v>6</v>
      </c>
      <c r="AT22" s="118">
        <v>6</v>
      </c>
      <c r="AU22" s="118">
        <v>421</v>
      </c>
      <c r="AV22" s="118">
        <v>421</v>
      </c>
      <c r="AW22" s="118">
        <v>421</v>
      </c>
      <c r="AX22" s="118">
        <v>421</v>
      </c>
      <c r="AY22" s="118">
        <v>421</v>
      </c>
      <c r="AZ22" s="118">
        <v>421</v>
      </c>
      <c r="BA22" s="118">
        <v>421</v>
      </c>
      <c r="BB22" s="118">
        <v>421</v>
      </c>
      <c r="BC22" s="118">
        <f>'[3]8 Demais CR NL'!$D$7</f>
        <v>421</v>
      </c>
    </row>
    <row r="23" spans="1:55" x14ac:dyDescent="0.2">
      <c r="A23" t="s">
        <v>196</v>
      </c>
      <c r="B23" t="s">
        <v>901</v>
      </c>
      <c r="D23" s="129" t="str">
        <f>IF([1]RENAME!$H$3=1,B23,A23)</f>
        <v>Adiantamento a Fornecedores</v>
      </c>
      <c r="E23" s="118">
        <v>2928</v>
      </c>
      <c r="F23" s="118">
        <v>2505</v>
      </c>
      <c r="G23" s="160">
        <v>2493</v>
      </c>
      <c r="H23" s="118">
        <v>2780</v>
      </c>
      <c r="I23" s="118">
        <v>4486</v>
      </c>
      <c r="J23" s="118">
        <v>5623</v>
      </c>
      <c r="K23" s="118">
        <v>6970</v>
      </c>
      <c r="L23" s="118">
        <v>4862</v>
      </c>
      <c r="M23" s="118">
        <v>5101</v>
      </c>
      <c r="N23" s="118">
        <v>4809</v>
      </c>
      <c r="O23" s="118">
        <v>2203</v>
      </c>
      <c r="P23" s="118">
        <v>2077</v>
      </c>
      <c r="Q23" s="118">
        <v>2145</v>
      </c>
      <c r="R23" s="118">
        <v>2417</v>
      </c>
      <c r="S23" s="118">
        <v>2759</v>
      </c>
      <c r="T23" s="118">
        <v>3162</v>
      </c>
      <c r="U23" s="118">
        <v>2359</v>
      </c>
      <c r="V23" s="118">
        <v>2492</v>
      </c>
      <c r="W23" s="118">
        <v>2134</v>
      </c>
      <c r="X23" s="118">
        <v>2446</v>
      </c>
      <c r="Y23" s="118">
        <v>3072</v>
      </c>
      <c r="Z23" s="118">
        <v>2180</v>
      </c>
      <c r="AA23" s="118">
        <v>2345</v>
      </c>
      <c r="AB23" s="118">
        <v>2130</v>
      </c>
      <c r="AC23" s="118">
        <v>2099</v>
      </c>
      <c r="AD23" s="118">
        <v>5018</v>
      </c>
      <c r="AE23" s="118">
        <v>5757</v>
      </c>
      <c r="AF23" s="118">
        <v>4668</v>
      </c>
      <c r="AG23" s="118">
        <v>4491</v>
      </c>
      <c r="AH23" s="118">
        <v>3602</v>
      </c>
      <c r="AI23" s="118">
        <v>4867</v>
      </c>
      <c r="AJ23" s="118">
        <v>4302</v>
      </c>
      <c r="AK23" s="118">
        <v>6198</v>
      </c>
      <c r="AL23" s="118">
        <v>4522</v>
      </c>
      <c r="AM23" s="118">
        <v>4482</v>
      </c>
      <c r="AN23" s="118">
        <v>11373</v>
      </c>
      <c r="AO23" s="118">
        <v>7530</v>
      </c>
      <c r="AP23" s="118">
        <v>7300</v>
      </c>
      <c r="AQ23" s="118">
        <v>7714</v>
      </c>
      <c r="AR23" s="118">
        <v>8883</v>
      </c>
      <c r="AS23" s="118">
        <v>10735</v>
      </c>
      <c r="AT23" s="118">
        <v>6757</v>
      </c>
      <c r="AU23" s="118">
        <v>8044</v>
      </c>
      <c r="AV23" s="118">
        <v>12223</v>
      </c>
      <c r="AW23" s="118">
        <v>13551</v>
      </c>
      <c r="AX23" s="118">
        <v>13150</v>
      </c>
      <c r="AY23" s="118">
        <v>11272</v>
      </c>
      <c r="AZ23" s="118">
        <v>18552</v>
      </c>
      <c r="BA23" s="118">
        <v>24565</v>
      </c>
      <c r="BB23" s="118">
        <v>17368</v>
      </c>
      <c r="BC23" s="118">
        <f>'[3]8 Demais CR NL'!$D$8</f>
        <v>24906</v>
      </c>
    </row>
    <row r="24" spans="1:55" x14ac:dyDescent="0.2">
      <c r="A24" t="s">
        <v>195</v>
      </c>
      <c r="B24" t="s">
        <v>900</v>
      </c>
      <c r="D24" s="129" t="str">
        <f>IF([1]RENAME!$H$3=1,B24,A24)</f>
        <v>Adiantamento funcionários</v>
      </c>
      <c r="E24" s="118">
        <v>2513</v>
      </c>
      <c r="F24" s="118">
        <v>53</v>
      </c>
      <c r="G24" s="160">
        <v>393</v>
      </c>
      <c r="H24" s="118">
        <v>1608</v>
      </c>
      <c r="I24" s="118">
        <v>1887</v>
      </c>
      <c r="J24" s="118">
        <v>694</v>
      </c>
      <c r="K24" s="118">
        <v>822</v>
      </c>
      <c r="L24" s="118">
        <v>1597</v>
      </c>
      <c r="M24" s="118">
        <v>1669</v>
      </c>
      <c r="N24" s="118">
        <v>293</v>
      </c>
      <c r="O24" s="118">
        <v>631</v>
      </c>
      <c r="P24" s="118">
        <v>734</v>
      </c>
      <c r="Q24" s="118">
        <v>894</v>
      </c>
      <c r="R24" s="118">
        <v>712</v>
      </c>
      <c r="S24" s="118">
        <v>846</v>
      </c>
      <c r="T24" s="118">
        <v>1008</v>
      </c>
      <c r="U24" s="118">
        <v>1194</v>
      </c>
      <c r="V24" s="118">
        <v>1469</v>
      </c>
      <c r="W24" s="118">
        <v>1578</v>
      </c>
      <c r="X24" s="118">
        <v>1952</v>
      </c>
      <c r="Y24" s="118">
        <v>2180</v>
      </c>
      <c r="Z24" s="118">
        <v>1828</v>
      </c>
      <c r="AA24" s="118">
        <v>1714</v>
      </c>
      <c r="AB24" s="118">
        <v>1896</v>
      </c>
      <c r="AC24" s="118">
        <v>1831</v>
      </c>
      <c r="AD24" s="118">
        <v>1823</v>
      </c>
      <c r="AE24" s="118">
        <v>782</v>
      </c>
      <c r="AF24" s="118">
        <v>706</v>
      </c>
      <c r="AG24" s="118">
        <v>511</v>
      </c>
      <c r="AH24" s="118">
        <v>764</v>
      </c>
      <c r="AI24" s="118">
        <v>625</v>
      </c>
      <c r="AJ24" s="118">
        <v>860</v>
      </c>
      <c r="AK24" s="118">
        <v>963</v>
      </c>
      <c r="AL24" s="118">
        <v>819</v>
      </c>
      <c r="AM24" s="118">
        <v>923</v>
      </c>
      <c r="AN24" s="118">
        <v>991</v>
      </c>
      <c r="AO24" s="118">
        <v>950</v>
      </c>
      <c r="AP24" s="118">
        <v>794</v>
      </c>
      <c r="AQ24" s="118">
        <v>1424</v>
      </c>
      <c r="AR24" s="118">
        <v>1263</v>
      </c>
      <c r="AS24" s="118">
        <v>776</v>
      </c>
      <c r="AT24" s="118">
        <v>1006</v>
      </c>
      <c r="AU24" s="118">
        <v>1350</v>
      </c>
      <c r="AV24" s="118">
        <v>1274</v>
      </c>
      <c r="AW24" s="118">
        <v>564</v>
      </c>
      <c r="AX24" s="118">
        <v>1125</v>
      </c>
      <c r="AY24" s="118">
        <v>1723</v>
      </c>
      <c r="AZ24" s="118">
        <v>1509</v>
      </c>
      <c r="BA24" s="118">
        <v>1545</v>
      </c>
      <c r="BB24" s="118">
        <v>1259</v>
      </c>
      <c r="BC24" s="118">
        <f>'[3]8 Demais CR NL'!$D$9</f>
        <v>1549</v>
      </c>
    </row>
    <row r="25" spans="1:55" x14ac:dyDescent="0.2">
      <c r="A25" t="s">
        <v>197</v>
      </c>
      <c r="B25" t="s">
        <v>903</v>
      </c>
      <c r="D25" s="129" t="str">
        <f>IF([1]RENAME!$H$3=1,B25,A25)</f>
        <v>Recuperação de despesas a receber</v>
      </c>
      <c r="E25" s="118">
        <v>0</v>
      </c>
      <c r="F25" s="118">
        <v>0</v>
      </c>
      <c r="G25" s="160">
        <v>456</v>
      </c>
      <c r="H25" s="118">
        <v>583</v>
      </c>
      <c r="I25" s="118">
        <v>369</v>
      </c>
      <c r="J25" s="118">
        <v>505</v>
      </c>
      <c r="K25" s="118">
        <v>779</v>
      </c>
      <c r="L25" s="118">
        <v>211</v>
      </c>
      <c r="M25" s="118">
        <v>42</v>
      </c>
      <c r="N25" s="118">
        <v>0</v>
      </c>
      <c r="O25" s="118">
        <v>0</v>
      </c>
      <c r="P25" s="118">
        <v>17</v>
      </c>
      <c r="Q25" s="118">
        <v>0</v>
      </c>
      <c r="R25" s="118">
        <v>0</v>
      </c>
      <c r="S25" s="118">
        <v>0</v>
      </c>
      <c r="T25" s="118">
        <v>0</v>
      </c>
      <c r="U25" s="118">
        <v>0</v>
      </c>
      <c r="V25" s="118">
        <v>0</v>
      </c>
      <c r="W25" s="118">
        <v>0</v>
      </c>
      <c r="X25" s="118">
        <v>0</v>
      </c>
      <c r="Y25" s="118">
        <v>0</v>
      </c>
      <c r="Z25" s="118">
        <v>106</v>
      </c>
      <c r="AA25" s="118">
        <v>0</v>
      </c>
      <c r="AB25" s="118">
        <v>0</v>
      </c>
      <c r="AC25" s="118">
        <v>39</v>
      </c>
      <c r="AD25" s="118">
        <v>0</v>
      </c>
      <c r="AE25" s="118">
        <v>0</v>
      </c>
      <c r="AF25" s="118">
        <v>0</v>
      </c>
      <c r="AG25" s="118">
        <v>0</v>
      </c>
      <c r="AH25" s="118">
        <v>0</v>
      </c>
      <c r="AI25" s="118">
        <v>0</v>
      </c>
      <c r="AJ25" s="118">
        <v>3</v>
      </c>
      <c r="AK25" s="118">
        <v>3</v>
      </c>
      <c r="AL25" s="118">
        <v>1</v>
      </c>
      <c r="AM25" s="118">
        <v>1</v>
      </c>
      <c r="AN25" s="118">
        <v>1</v>
      </c>
      <c r="AO25" s="118">
        <v>1</v>
      </c>
      <c r="AP25" s="118">
        <v>1</v>
      </c>
      <c r="AQ25" s="118">
        <v>1</v>
      </c>
      <c r="AR25" s="118">
        <v>0</v>
      </c>
      <c r="AS25" s="118">
        <v>0</v>
      </c>
      <c r="AT25" s="118">
        <v>0</v>
      </c>
      <c r="AU25" s="118">
        <v>0</v>
      </c>
      <c r="AV25" s="118">
        <v>0</v>
      </c>
      <c r="AW25" s="118">
        <v>0</v>
      </c>
      <c r="AX25" s="118">
        <v>0</v>
      </c>
      <c r="AY25" s="118">
        <v>0</v>
      </c>
      <c r="AZ25" s="118" t="s">
        <v>160</v>
      </c>
      <c r="BA25" s="118">
        <v>0</v>
      </c>
      <c r="BB25" s="118">
        <v>0</v>
      </c>
      <c r="BC25" s="118">
        <v>0</v>
      </c>
    </row>
    <row r="26" spans="1:55" x14ac:dyDescent="0.2">
      <c r="A26" t="s">
        <v>194</v>
      </c>
      <c r="B26" t="s">
        <v>899</v>
      </c>
      <c r="D26" s="129" t="str">
        <f>IF([1]RENAME!$H$3=1,B26,A26)</f>
        <v>Sinistros a Recuperar</v>
      </c>
      <c r="E26" s="118">
        <v>148</v>
      </c>
      <c r="F26" s="118">
        <v>184</v>
      </c>
      <c r="G26" s="160">
        <v>0</v>
      </c>
      <c r="H26" s="118">
        <v>59</v>
      </c>
      <c r="I26" s="118">
        <v>187</v>
      </c>
      <c r="J26" s="118">
        <v>221</v>
      </c>
      <c r="K26" s="118">
        <v>140</v>
      </c>
      <c r="L26" s="118">
        <v>108</v>
      </c>
      <c r="M26" s="118">
        <v>148</v>
      </c>
      <c r="N26" s="118">
        <v>100</v>
      </c>
      <c r="O26" s="118">
        <v>99</v>
      </c>
      <c r="P26" s="118">
        <v>127</v>
      </c>
      <c r="Q26" s="118">
        <v>111</v>
      </c>
      <c r="R26" s="118">
        <v>203</v>
      </c>
      <c r="S26" s="118">
        <v>25</v>
      </c>
      <c r="T26" s="118">
        <v>58</v>
      </c>
      <c r="U26" s="118">
        <v>55</v>
      </c>
      <c r="V26" s="118">
        <v>433</v>
      </c>
      <c r="W26" s="118">
        <v>12</v>
      </c>
      <c r="X26" s="118">
        <v>17</v>
      </c>
      <c r="Y26" s="118">
        <v>77</v>
      </c>
      <c r="Z26" s="118">
        <v>0</v>
      </c>
      <c r="AA26" s="118">
        <v>1</v>
      </c>
      <c r="AB26" s="118">
        <v>18</v>
      </c>
      <c r="AC26" s="118">
        <v>4</v>
      </c>
      <c r="AD26" s="118">
        <v>24</v>
      </c>
      <c r="AE26" s="118">
        <v>0</v>
      </c>
      <c r="AF26" s="118">
        <v>11</v>
      </c>
      <c r="AG26" s="118">
        <v>2</v>
      </c>
      <c r="AH26" s="118">
        <v>0</v>
      </c>
      <c r="AI26" s="118">
        <v>39</v>
      </c>
      <c r="AJ26" s="118">
        <v>10</v>
      </c>
      <c r="AK26" s="118">
        <v>56</v>
      </c>
      <c r="AL26" s="118">
        <v>29</v>
      </c>
      <c r="AM26" s="118">
        <v>12</v>
      </c>
      <c r="AN26" s="118">
        <v>0</v>
      </c>
      <c r="AO26" s="118">
        <v>59</v>
      </c>
      <c r="AP26" s="118">
        <v>69</v>
      </c>
      <c r="AQ26" s="118">
        <v>88</v>
      </c>
      <c r="AR26" s="118">
        <v>0</v>
      </c>
      <c r="AS26" s="118">
        <v>0</v>
      </c>
      <c r="AT26" s="118">
        <v>0</v>
      </c>
      <c r="AU26" s="118">
        <v>0</v>
      </c>
      <c r="AV26" s="118">
        <v>0</v>
      </c>
      <c r="AW26" s="118">
        <v>0</v>
      </c>
      <c r="AX26" s="118">
        <v>0</v>
      </c>
      <c r="AY26" s="118">
        <v>0</v>
      </c>
      <c r="AZ26" s="118" t="s">
        <v>160</v>
      </c>
      <c r="BA26" s="118">
        <v>0</v>
      </c>
      <c r="BB26" s="118">
        <v>0</v>
      </c>
      <c r="BC26" s="118">
        <v>0</v>
      </c>
    </row>
    <row r="27" spans="1:55" x14ac:dyDescent="0.2">
      <c r="A27" t="s">
        <v>200</v>
      </c>
      <c r="B27" t="s">
        <v>644</v>
      </c>
      <c r="D27" s="129" t="str">
        <f>IF([1]RENAME!$H$3=1,B27,A27)</f>
        <v>Outros creditos</v>
      </c>
      <c r="E27" s="118">
        <v>2858</v>
      </c>
      <c r="F27" s="118">
        <v>2024</v>
      </c>
      <c r="G27" s="160">
        <v>2013</v>
      </c>
      <c r="H27" s="118">
        <v>2229</v>
      </c>
      <c r="I27" s="118">
        <v>6605</v>
      </c>
      <c r="J27" s="118">
        <v>4476</v>
      </c>
      <c r="K27" s="118">
        <v>3179</v>
      </c>
      <c r="L27" s="118">
        <v>2554</v>
      </c>
      <c r="M27" s="118">
        <v>974</v>
      </c>
      <c r="N27" s="118">
        <v>741</v>
      </c>
      <c r="O27" s="118">
        <v>346</v>
      </c>
      <c r="P27" s="118">
        <v>344</v>
      </c>
      <c r="Q27" s="118">
        <v>36</v>
      </c>
      <c r="R27" s="118">
        <v>0</v>
      </c>
      <c r="S27" s="118">
        <v>6</v>
      </c>
      <c r="T27" s="118">
        <v>9</v>
      </c>
      <c r="U27" s="118">
        <v>0</v>
      </c>
      <c r="V27" s="118">
        <v>0</v>
      </c>
      <c r="W27" s="118">
        <v>0</v>
      </c>
      <c r="X27" s="118">
        <v>4</v>
      </c>
      <c r="Y27" s="118">
        <v>0</v>
      </c>
      <c r="Z27" s="118">
        <v>0</v>
      </c>
      <c r="AA27" s="118">
        <v>0</v>
      </c>
      <c r="AB27" s="118">
        <v>3</v>
      </c>
      <c r="AC27" s="118">
        <v>640</v>
      </c>
      <c r="AD27" s="118">
        <v>384</v>
      </c>
      <c r="AE27" s="118">
        <v>113</v>
      </c>
      <c r="AF27" s="118">
        <v>105</v>
      </c>
      <c r="AG27" s="118">
        <v>97</v>
      </c>
      <c r="AH27" s="118">
        <v>1747</v>
      </c>
      <c r="AI27" s="118">
        <v>142</v>
      </c>
      <c r="AJ27" s="118">
        <v>224</v>
      </c>
      <c r="AK27" s="118">
        <v>240</v>
      </c>
      <c r="AL27" s="118">
        <v>82</v>
      </c>
      <c r="AM27" s="118">
        <v>480</v>
      </c>
      <c r="AN27" s="118">
        <v>179</v>
      </c>
      <c r="AO27" s="118">
        <v>513</v>
      </c>
      <c r="AP27" s="118">
        <v>1042</v>
      </c>
      <c r="AQ27" s="118">
        <v>305</v>
      </c>
      <c r="AR27" s="118">
        <v>975</v>
      </c>
      <c r="AS27" s="118">
        <v>620</v>
      </c>
      <c r="AT27" s="118">
        <v>527</v>
      </c>
      <c r="AU27" s="118">
        <v>857</v>
      </c>
      <c r="AV27" s="118">
        <v>1231</v>
      </c>
      <c r="AW27" s="118">
        <v>1401</v>
      </c>
      <c r="AX27" s="118">
        <v>575</v>
      </c>
      <c r="AY27" s="118">
        <v>243</v>
      </c>
      <c r="AZ27" s="118">
        <v>2236</v>
      </c>
      <c r="BA27" s="118">
        <v>2459</v>
      </c>
      <c r="BB27" s="118">
        <v>4924</v>
      </c>
      <c r="BC27" s="118">
        <f>'[3]8 Demais CR NL'!$D$10</f>
        <v>903</v>
      </c>
    </row>
    <row r="28" spans="1:55" s="233" customFormat="1" hidden="1" outlineLevel="1" x14ac:dyDescent="0.2">
      <c r="A28" s="233" t="s">
        <v>584</v>
      </c>
      <c r="B28" s="233" t="s">
        <v>902</v>
      </c>
      <c r="D28" s="250" t="str">
        <f>IF([1]RENAME!$H$3=1,B28,A28)</f>
        <v>Indenizações de combinação de negócios</v>
      </c>
      <c r="E28" s="218">
        <v>0</v>
      </c>
      <c r="F28" s="218">
        <v>0</v>
      </c>
      <c r="G28" s="219">
        <v>0</v>
      </c>
      <c r="H28" s="218">
        <v>0</v>
      </c>
      <c r="I28" s="218">
        <v>0</v>
      </c>
      <c r="J28" s="218">
        <v>0</v>
      </c>
      <c r="K28" s="218">
        <v>0</v>
      </c>
      <c r="L28" s="218">
        <v>0</v>
      </c>
      <c r="M28" s="218">
        <v>0</v>
      </c>
      <c r="N28" s="218">
        <v>0</v>
      </c>
      <c r="O28" s="218">
        <v>0</v>
      </c>
      <c r="P28" s="218">
        <v>0</v>
      </c>
      <c r="Q28" s="218">
        <v>0</v>
      </c>
      <c r="R28" s="218">
        <v>0</v>
      </c>
      <c r="S28" s="218">
        <v>0</v>
      </c>
      <c r="T28" s="218">
        <v>0</v>
      </c>
      <c r="U28" s="218">
        <v>0</v>
      </c>
      <c r="V28" s="218">
        <v>0</v>
      </c>
      <c r="W28" s="218">
        <v>0</v>
      </c>
      <c r="X28" s="218">
        <v>0</v>
      </c>
      <c r="Y28" s="218">
        <v>0</v>
      </c>
      <c r="Z28" s="218">
        <v>0</v>
      </c>
      <c r="AA28" s="218"/>
      <c r="AB28" s="218">
        <v>0</v>
      </c>
      <c r="AC28" s="218">
        <v>0</v>
      </c>
      <c r="AD28" s="218">
        <v>0</v>
      </c>
      <c r="AE28" s="218">
        <v>0</v>
      </c>
      <c r="AF28" s="218">
        <v>0</v>
      </c>
      <c r="AG28" s="218">
        <v>0</v>
      </c>
      <c r="AH28" s="218">
        <v>0</v>
      </c>
      <c r="AI28" s="218">
        <v>0</v>
      </c>
      <c r="AJ28" s="218">
        <v>0</v>
      </c>
      <c r="AK28" s="218">
        <v>0</v>
      </c>
      <c r="AL28" s="218">
        <v>0</v>
      </c>
      <c r="AM28" s="218">
        <v>0</v>
      </c>
      <c r="AN28" s="218">
        <v>0</v>
      </c>
      <c r="AO28" s="218">
        <v>0</v>
      </c>
      <c r="AP28" s="218">
        <v>0</v>
      </c>
      <c r="AQ28" s="218">
        <v>0</v>
      </c>
      <c r="AR28" s="218">
        <v>0</v>
      </c>
      <c r="AS28" s="218">
        <v>0</v>
      </c>
      <c r="AT28" s="218">
        <v>0</v>
      </c>
      <c r="AU28" s="218"/>
      <c r="AV28" s="218">
        <v>0</v>
      </c>
      <c r="AW28" s="218"/>
      <c r="AX28" s="218"/>
      <c r="AY28" s="218">
        <v>0</v>
      </c>
      <c r="AZ28" s="218">
        <v>0</v>
      </c>
      <c r="BA28" s="218">
        <v>0</v>
      </c>
      <c r="BB28" s="218">
        <v>0</v>
      </c>
      <c r="BC28" s="218">
        <v>0</v>
      </c>
    </row>
    <row r="29" spans="1:55" s="233" customFormat="1" hidden="1" outlineLevel="1" x14ac:dyDescent="0.2">
      <c r="A29" s="233" t="s">
        <v>198</v>
      </c>
      <c r="B29" s="233" t="s">
        <v>905</v>
      </c>
      <c r="D29" s="250" t="str">
        <f>IF([1]RENAME!$H$3=1,B29,A29)</f>
        <v>Recuperação de extravio, furtos e roubos</v>
      </c>
      <c r="E29" s="218">
        <v>0</v>
      </c>
      <c r="F29" s="218">
        <v>0</v>
      </c>
      <c r="G29" s="219">
        <v>0</v>
      </c>
      <c r="H29" s="218">
        <v>0</v>
      </c>
      <c r="I29" s="218">
        <v>0</v>
      </c>
      <c r="J29" s="218">
        <v>0</v>
      </c>
      <c r="K29" s="218">
        <v>0</v>
      </c>
      <c r="L29" s="218">
        <v>0</v>
      </c>
      <c r="M29" s="218">
        <v>0</v>
      </c>
      <c r="N29" s="218">
        <v>0</v>
      </c>
      <c r="O29" s="218">
        <v>0</v>
      </c>
      <c r="P29" s="218">
        <v>0</v>
      </c>
      <c r="Q29" s="218">
        <v>0</v>
      </c>
      <c r="R29" s="218">
        <v>0</v>
      </c>
      <c r="S29" s="218">
        <v>0</v>
      </c>
      <c r="T29" s="218">
        <v>0</v>
      </c>
      <c r="U29" s="218">
        <v>0</v>
      </c>
      <c r="V29" s="218">
        <v>0</v>
      </c>
      <c r="W29" s="218">
        <v>0</v>
      </c>
      <c r="X29" s="218">
        <v>0</v>
      </c>
      <c r="Y29" s="218">
        <v>0</v>
      </c>
      <c r="Z29" s="218">
        <v>0</v>
      </c>
      <c r="AA29" s="218"/>
      <c r="AB29" s="218">
        <v>0</v>
      </c>
      <c r="AC29" s="218">
        <v>0</v>
      </c>
      <c r="AD29" s="218">
        <v>0</v>
      </c>
      <c r="AE29" s="218">
        <v>0</v>
      </c>
      <c r="AF29" s="218">
        <v>0</v>
      </c>
      <c r="AG29" s="218">
        <v>0</v>
      </c>
      <c r="AH29" s="218">
        <v>0</v>
      </c>
      <c r="AI29" s="218">
        <v>0</v>
      </c>
      <c r="AJ29" s="218">
        <v>0</v>
      </c>
      <c r="AK29" s="218">
        <v>0</v>
      </c>
      <c r="AL29" s="218">
        <v>0</v>
      </c>
      <c r="AM29" s="218">
        <v>0</v>
      </c>
      <c r="AN29" s="218">
        <v>0</v>
      </c>
      <c r="AO29" s="218">
        <v>0</v>
      </c>
      <c r="AP29" s="218">
        <v>0</v>
      </c>
      <c r="AQ29" s="218">
        <v>0</v>
      </c>
      <c r="AR29" s="218">
        <v>0</v>
      </c>
      <c r="AS29" s="218">
        <v>0</v>
      </c>
      <c r="AT29" s="218">
        <v>0</v>
      </c>
      <c r="AU29" s="218"/>
      <c r="AV29" s="218">
        <v>0</v>
      </c>
      <c r="AW29" s="218"/>
      <c r="AX29" s="218"/>
      <c r="AY29" s="218">
        <v>0</v>
      </c>
      <c r="AZ29" s="218">
        <v>0</v>
      </c>
      <c r="BA29" s="218">
        <v>0</v>
      </c>
      <c r="BB29" s="218">
        <v>0</v>
      </c>
      <c r="BC29" s="218">
        <v>0</v>
      </c>
    </row>
    <row r="30" spans="1:55" s="233" customFormat="1" hidden="1" outlineLevel="1" x14ac:dyDescent="0.2">
      <c r="A30" s="233" t="s">
        <v>199</v>
      </c>
      <c r="B30" s="233" t="s">
        <v>904</v>
      </c>
      <c r="D30" s="250" t="str">
        <f>IF([1]RENAME!$H$3=1,B30,A30)</f>
        <v>Valores a receber</v>
      </c>
      <c r="E30" s="218">
        <v>0</v>
      </c>
      <c r="F30" s="218">
        <v>0</v>
      </c>
      <c r="G30" s="219">
        <v>0</v>
      </c>
      <c r="H30" s="218">
        <v>0</v>
      </c>
      <c r="I30" s="218">
        <v>0</v>
      </c>
      <c r="J30" s="218">
        <v>0</v>
      </c>
      <c r="K30" s="218">
        <v>0</v>
      </c>
      <c r="L30" s="218">
        <v>0</v>
      </c>
      <c r="M30" s="218">
        <v>0</v>
      </c>
      <c r="N30" s="218">
        <v>0</v>
      </c>
      <c r="O30" s="218">
        <v>0</v>
      </c>
      <c r="P30" s="218">
        <v>0</v>
      </c>
      <c r="Q30" s="218">
        <v>0</v>
      </c>
      <c r="R30" s="218">
        <v>0</v>
      </c>
      <c r="S30" s="218">
        <v>0</v>
      </c>
      <c r="T30" s="218">
        <v>0</v>
      </c>
      <c r="U30" s="218">
        <v>0</v>
      </c>
      <c r="V30" s="218">
        <v>0</v>
      </c>
      <c r="W30" s="218">
        <v>0</v>
      </c>
      <c r="X30" s="218">
        <v>0</v>
      </c>
      <c r="Y30" s="218">
        <v>0</v>
      </c>
      <c r="Z30" s="218">
        <v>0</v>
      </c>
      <c r="AA30" s="218"/>
      <c r="AB30" s="218">
        <v>0</v>
      </c>
      <c r="AC30" s="218">
        <v>0</v>
      </c>
      <c r="AD30" s="218">
        <v>0</v>
      </c>
      <c r="AE30" s="218">
        <v>0</v>
      </c>
      <c r="AF30" s="218">
        <v>0</v>
      </c>
      <c r="AG30" s="218">
        <v>0</v>
      </c>
      <c r="AH30" s="218">
        <v>0</v>
      </c>
      <c r="AI30" s="218">
        <v>0</v>
      </c>
      <c r="AJ30" s="218">
        <v>0</v>
      </c>
      <c r="AK30" s="218">
        <v>0</v>
      </c>
      <c r="AL30" s="218">
        <v>0</v>
      </c>
      <c r="AM30" s="218">
        <v>0</v>
      </c>
      <c r="AN30" s="218">
        <v>0</v>
      </c>
      <c r="AO30" s="218">
        <v>0</v>
      </c>
      <c r="AP30" s="218">
        <v>0</v>
      </c>
      <c r="AQ30" s="218">
        <v>0</v>
      </c>
      <c r="AR30" s="218">
        <v>0</v>
      </c>
      <c r="AS30" s="218">
        <v>0</v>
      </c>
      <c r="AT30" s="218">
        <v>0</v>
      </c>
      <c r="AU30" s="218"/>
      <c r="AV30" s="218">
        <v>0</v>
      </c>
      <c r="AW30" s="218"/>
      <c r="AX30" s="218"/>
      <c r="AY30" s="218">
        <v>0</v>
      </c>
      <c r="AZ30" s="218">
        <v>0</v>
      </c>
      <c r="BA30" s="218">
        <v>0</v>
      </c>
      <c r="BB30" s="218">
        <v>0</v>
      </c>
      <c r="BC30" s="218">
        <v>0</v>
      </c>
    </row>
    <row r="31" spans="1:55" s="233" customFormat="1" hidden="1" outlineLevel="1" x14ac:dyDescent="0.2">
      <c r="A31" s="233" t="s">
        <v>193</v>
      </c>
      <c r="B31" s="233" t="s">
        <v>906</v>
      </c>
      <c r="D31" s="250" t="str">
        <f>IF([1]RENAME!$H$3=1,B31,A31)</f>
        <v>Valor a receber venda Direct</v>
      </c>
      <c r="E31" s="218">
        <v>0</v>
      </c>
      <c r="F31" s="218">
        <v>0</v>
      </c>
      <c r="G31" s="219">
        <v>0</v>
      </c>
      <c r="H31" s="218">
        <v>115282</v>
      </c>
      <c r="I31" s="218">
        <v>78979</v>
      </c>
      <c r="J31" s="218">
        <v>40605</v>
      </c>
      <c r="K31" s="218">
        <v>41811</v>
      </c>
      <c r="L31" s="218">
        <v>0</v>
      </c>
      <c r="M31" s="218">
        <v>0</v>
      </c>
      <c r="N31" s="218">
        <v>0</v>
      </c>
      <c r="O31" s="218">
        <v>0</v>
      </c>
      <c r="P31" s="218">
        <v>0</v>
      </c>
      <c r="Q31" s="218">
        <v>0</v>
      </c>
      <c r="R31" s="218">
        <v>0</v>
      </c>
      <c r="S31" s="218">
        <v>0</v>
      </c>
      <c r="T31" s="218">
        <v>0</v>
      </c>
      <c r="U31" s="218">
        <v>0</v>
      </c>
      <c r="V31" s="218">
        <v>0</v>
      </c>
      <c r="W31" s="218">
        <v>0</v>
      </c>
      <c r="X31" s="218">
        <v>0</v>
      </c>
      <c r="Y31" s="218">
        <v>0</v>
      </c>
      <c r="Z31" s="218">
        <v>0</v>
      </c>
      <c r="AA31" s="218"/>
      <c r="AB31" s="218">
        <v>0</v>
      </c>
      <c r="AC31" s="218">
        <v>0</v>
      </c>
      <c r="AD31" s="218">
        <v>0</v>
      </c>
      <c r="AE31" s="218">
        <v>0</v>
      </c>
      <c r="AF31" s="218">
        <v>0</v>
      </c>
      <c r="AG31" s="218">
        <v>0</v>
      </c>
      <c r="AH31" s="218">
        <v>0</v>
      </c>
      <c r="AI31" s="218">
        <v>0</v>
      </c>
      <c r="AJ31" s="218">
        <v>0</v>
      </c>
      <c r="AK31" s="218">
        <v>0</v>
      </c>
      <c r="AL31" s="218">
        <v>0</v>
      </c>
      <c r="AM31" s="218">
        <v>0</v>
      </c>
      <c r="AN31" s="218">
        <v>0</v>
      </c>
      <c r="AO31" s="218">
        <v>0</v>
      </c>
      <c r="AP31" s="218">
        <v>0</v>
      </c>
      <c r="AQ31" s="218">
        <v>0</v>
      </c>
      <c r="AR31" s="218">
        <v>0</v>
      </c>
      <c r="AS31" s="218">
        <v>0</v>
      </c>
      <c r="AT31" s="218">
        <v>0</v>
      </c>
      <c r="AU31" s="218"/>
      <c r="AV31" s="218">
        <v>0</v>
      </c>
      <c r="AW31" s="218"/>
      <c r="AX31" s="218"/>
      <c r="AY31" s="218">
        <v>0</v>
      </c>
      <c r="AZ31" s="218">
        <v>0</v>
      </c>
      <c r="BA31" s="218">
        <v>0</v>
      </c>
      <c r="BB31" s="218">
        <v>0</v>
      </c>
      <c r="BC31" s="218">
        <v>0</v>
      </c>
    </row>
    <row r="32" spans="1:55" collapsed="1" x14ac:dyDescent="0.2">
      <c r="D32" s="126"/>
      <c r="E32" s="120">
        <f t="shared" ref="E32:AC32" si="23">SUM(E22:E31)</f>
        <v>8447</v>
      </c>
      <c r="F32" s="120">
        <f t="shared" si="23"/>
        <v>4766</v>
      </c>
      <c r="G32" s="162">
        <f t="shared" si="23"/>
        <v>5355</v>
      </c>
      <c r="H32" s="120">
        <f t="shared" si="23"/>
        <v>122541</v>
      </c>
      <c r="I32" s="120">
        <f t="shared" si="23"/>
        <v>92513</v>
      </c>
      <c r="J32" s="120">
        <f t="shared" si="23"/>
        <v>52124</v>
      </c>
      <c r="K32" s="120">
        <f t="shared" si="23"/>
        <v>53701</v>
      </c>
      <c r="L32" s="120">
        <f t="shared" si="23"/>
        <v>9332</v>
      </c>
      <c r="M32" s="120">
        <f t="shared" si="23"/>
        <v>7934</v>
      </c>
      <c r="N32" s="120">
        <f t="shared" si="23"/>
        <v>5943</v>
      </c>
      <c r="O32" s="120">
        <f t="shared" si="23"/>
        <v>3279</v>
      </c>
      <c r="P32" s="120">
        <f t="shared" si="23"/>
        <v>3299</v>
      </c>
      <c r="Q32" s="120">
        <f t="shared" si="23"/>
        <v>3186</v>
      </c>
      <c r="R32" s="120">
        <f t="shared" si="23"/>
        <v>3332</v>
      </c>
      <c r="S32" s="120">
        <f t="shared" si="23"/>
        <v>3636</v>
      </c>
      <c r="T32" s="120">
        <f t="shared" si="23"/>
        <v>4237</v>
      </c>
      <c r="U32" s="120">
        <f t="shared" si="23"/>
        <v>3608</v>
      </c>
      <c r="V32" s="120">
        <f t="shared" si="23"/>
        <v>4394</v>
      </c>
      <c r="W32" s="120">
        <f t="shared" si="23"/>
        <v>4150</v>
      </c>
      <c r="X32" s="120">
        <f t="shared" si="23"/>
        <v>4870</v>
      </c>
      <c r="Y32" s="120">
        <f t="shared" si="23"/>
        <v>5794</v>
      </c>
      <c r="Z32" s="120">
        <f t="shared" si="23"/>
        <v>4596</v>
      </c>
      <c r="AA32" s="120">
        <f t="shared" si="23"/>
        <v>4562</v>
      </c>
      <c r="AB32" s="120">
        <f t="shared" si="23"/>
        <v>4557</v>
      </c>
      <c r="AC32" s="120">
        <f t="shared" si="23"/>
        <v>5140</v>
      </c>
      <c r="AD32" s="120">
        <f t="shared" ref="AD32:AM32" si="24">SUM(AD22:AD31)</f>
        <v>7795</v>
      </c>
      <c r="AE32" s="120">
        <f t="shared" si="24"/>
        <v>7214</v>
      </c>
      <c r="AF32" s="120">
        <f t="shared" si="24"/>
        <v>6475</v>
      </c>
      <c r="AG32" s="120">
        <f t="shared" si="24"/>
        <v>6111</v>
      </c>
      <c r="AH32" s="120">
        <f t="shared" si="24"/>
        <v>7152</v>
      </c>
      <c r="AI32" s="120">
        <f t="shared" si="24"/>
        <v>6340</v>
      </c>
      <c r="AJ32" s="120">
        <f t="shared" si="24"/>
        <v>6097</v>
      </c>
      <c r="AK32" s="120">
        <f t="shared" si="24"/>
        <v>7460</v>
      </c>
      <c r="AL32" s="120">
        <f t="shared" si="24"/>
        <v>5453</v>
      </c>
      <c r="AM32" s="120">
        <f t="shared" si="24"/>
        <v>5898</v>
      </c>
      <c r="AN32" s="120">
        <f t="shared" ref="AN32:AU32" si="25">SUM(AN22:AN31)</f>
        <v>12544</v>
      </c>
      <c r="AO32" s="120">
        <f t="shared" si="25"/>
        <v>9078</v>
      </c>
      <c r="AP32" s="120">
        <f t="shared" si="25"/>
        <v>9232</v>
      </c>
      <c r="AQ32" s="120">
        <f t="shared" si="25"/>
        <v>9538</v>
      </c>
      <c r="AR32" s="120">
        <f t="shared" si="25"/>
        <v>11618</v>
      </c>
      <c r="AS32" s="120">
        <f t="shared" si="25"/>
        <v>12137</v>
      </c>
      <c r="AT32" s="120">
        <f t="shared" si="25"/>
        <v>8296</v>
      </c>
      <c r="AU32" s="120">
        <f t="shared" si="25"/>
        <v>10672</v>
      </c>
      <c r="AV32" s="120">
        <f t="shared" ref="AV32:BA32" si="26">SUM(AV22:AV31)</f>
        <v>15149</v>
      </c>
      <c r="AW32" s="120">
        <f t="shared" si="26"/>
        <v>15937</v>
      </c>
      <c r="AX32" s="120">
        <f t="shared" si="26"/>
        <v>15271</v>
      </c>
      <c r="AY32" s="120">
        <f t="shared" si="26"/>
        <v>13659</v>
      </c>
      <c r="AZ32" s="120">
        <f t="shared" si="26"/>
        <v>22718</v>
      </c>
      <c r="BA32" s="120">
        <f t="shared" si="26"/>
        <v>28990</v>
      </c>
      <c r="BB32" s="120">
        <f>SUM(BB22:BB31)</f>
        <v>23972</v>
      </c>
      <c r="BC32" s="120">
        <f>SUM(BC22:BC31)</f>
        <v>27779</v>
      </c>
    </row>
    <row r="33" spans="1:55" x14ac:dyDescent="0.2">
      <c r="A33" t="s">
        <v>201</v>
      </c>
      <c r="B33" t="s">
        <v>907</v>
      </c>
      <c r="D33" s="129" t="str">
        <f>IF([1]RENAME!$H$3=1,B33,A33)</f>
        <v>Circulante</v>
      </c>
      <c r="E33" s="118">
        <v>0</v>
      </c>
      <c r="F33" s="118">
        <v>4766</v>
      </c>
      <c r="G33" s="160">
        <v>5355</v>
      </c>
      <c r="H33" s="118">
        <v>0</v>
      </c>
      <c r="I33" s="118">
        <v>92513</v>
      </c>
      <c r="J33" s="118">
        <v>52124</v>
      </c>
      <c r="K33" s="118">
        <v>53701</v>
      </c>
      <c r="L33" s="118">
        <v>9332</v>
      </c>
      <c r="M33" s="118">
        <v>7934</v>
      </c>
      <c r="N33" s="118">
        <v>5943</v>
      </c>
      <c r="O33" s="118">
        <v>3279</v>
      </c>
      <c r="P33" s="118">
        <v>3299</v>
      </c>
      <c r="Q33" s="118">
        <v>3299</v>
      </c>
      <c r="R33" s="118">
        <v>3299</v>
      </c>
      <c r="S33" s="118">
        <v>3636</v>
      </c>
      <c r="T33" s="118">
        <v>4237</v>
      </c>
      <c r="U33" s="118">
        <v>3608</v>
      </c>
      <c r="V33" s="118">
        <v>3977</v>
      </c>
      <c r="W33" s="118">
        <v>3724</v>
      </c>
      <c r="X33" s="118">
        <v>4419</v>
      </c>
      <c r="Y33" s="118">
        <v>5329</v>
      </c>
      <c r="Z33" s="118">
        <v>4115</v>
      </c>
      <c r="AA33" s="118">
        <v>4061</v>
      </c>
      <c r="AB33" s="118">
        <v>4047</v>
      </c>
      <c r="AC33" s="118">
        <v>4613</v>
      </c>
      <c r="AD33" s="118">
        <v>7249</v>
      </c>
      <c r="AE33" s="118">
        <v>6652</v>
      </c>
      <c r="AF33" s="118">
        <v>5490</v>
      </c>
      <c r="AG33" s="118">
        <v>5101</v>
      </c>
      <c r="AH33" s="118">
        <v>6113</v>
      </c>
      <c r="AI33" s="118">
        <v>5673</v>
      </c>
      <c r="AJ33" s="118">
        <v>5399</v>
      </c>
      <c r="AK33" s="118">
        <v>7460</v>
      </c>
      <c r="AL33" s="118">
        <v>5453</v>
      </c>
      <c r="AM33" s="118">
        <v>5898</v>
      </c>
      <c r="AN33" s="118">
        <v>12544</v>
      </c>
      <c r="AO33" s="118">
        <v>9053</v>
      </c>
      <c r="AP33" s="118">
        <v>9206</v>
      </c>
      <c r="AQ33" s="118">
        <v>9532</v>
      </c>
      <c r="AR33" s="118">
        <v>11121</v>
      </c>
      <c r="AS33" s="118">
        <v>11521</v>
      </c>
      <c r="AT33" s="118">
        <v>7680</v>
      </c>
      <c r="AU33" s="118">
        <v>9641</v>
      </c>
      <c r="AV33" s="118">
        <v>14118</v>
      </c>
      <c r="AW33" s="118">
        <v>14906</v>
      </c>
      <c r="AX33" s="118">
        <v>14240</v>
      </c>
      <c r="AY33" s="118">
        <v>12628</v>
      </c>
      <c r="AZ33" s="118">
        <v>21687</v>
      </c>
      <c r="BA33" s="118">
        <v>27959</v>
      </c>
      <c r="BB33" s="118">
        <v>22941</v>
      </c>
      <c r="BC33" s="118">
        <f>'[3]8 Demais CR NL'!$D$14</f>
        <v>27358</v>
      </c>
    </row>
    <row r="34" spans="1:55" x14ac:dyDescent="0.2">
      <c r="A34" t="s">
        <v>187</v>
      </c>
      <c r="B34" t="s">
        <v>908</v>
      </c>
      <c r="D34" s="129" t="str">
        <f>IF([1]RENAME!$H$3=1,B34,A34)</f>
        <v>Não circulante</v>
      </c>
      <c r="E34" s="118">
        <v>0</v>
      </c>
      <c r="F34" s="118">
        <v>0</v>
      </c>
      <c r="G34" s="160">
        <v>0</v>
      </c>
      <c r="H34" s="118">
        <v>0</v>
      </c>
      <c r="I34" s="118">
        <v>0</v>
      </c>
      <c r="J34" s="118">
        <v>0</v>
      </c>
      <c r="K34" s="118">
        <v>0</v>
      </c>
      <c r="L34" s="118">
        <v>0</v>
      </c>
      <c r="M34" s="118">
        <v>0</v>
      </c>
      <c r="N34" s="118">
        <v>0</v>
      </c>
      <c r="O34" s="118">
        <v>0</v>
      </c>
      <c r="P34" s="118">
        <v>0</v>
      </c>
      <c r="Q34" s="118">
        <v>0</v>
      </c>
      <c r="R34" s="118">
        <v>0</v>
      </c>
      <c r="S34" s="118">
        <v>0</v>
      </c>
      <c r="T34" s="118">
        <v>0</v>
      </c>
      <c r="U34" s="118">
        <v>0</v>
      </c>
      <c r="V34" s="118">
        <v>417</v>
      </c>
      <c r="W34" s="118">
        <v>426</v>
      </c>
      <c r="X34" s="118">
        <v>451</v>
      </c>
      <c r="Y34" s="118">
        <v>465</v>
      </c>
      <c r="Z34" s="118">
        <v>481</v>
      </c>
      <c r="AA34" s="118">
        <v>501</v>
      </c>
      <c r="AB34" s="118">
        <v>510</v>
      </c>
      <c r="AC34" s="118">
        <v>527</v>
      </c>
      <c r="AD34" s="118">
        <v>546</v>
      </c>
      <c r="AE34" s="118">
        <v>562</v>
      </c>
      <c r="AF34" s="118">
        <v>985</v>
      </c>
      <c r="AG34" s="118">
        <v>1010</v>
      </c>
      <c r="AH34" s="118">
        <v>1039</v>
      </c>
      <c r="AI34" s="118">
        <v>667</v>
      </c>
      <c r="AJ34" s="118">
        <v>698</v>
      </c>
      <c r="AK34" s="118">
        <v>0</v>
      </c>
      <c r="AL34" s="118">
        <v>0</v>
      </c>
      <c r="AM34" s="118">
        <v>0</v>
      </c>
      <c r="AN34" s="118">
        <v>0</v>
      </c>
      <c r="AO34" s="118">
        <v>25</v>
      </c>
      <c r="AP34" s="118">
        <v>26</v>
      </c>
      <c r="AQ34" s="118">
        <v>6</v>
      </c>
      <c r="AR34" s="118">
        <v>497</v>
      </c>
      <c r="AS34" s="118">
        <v>616</v>
      </c>
      <c r="AT34" s="118">
        <v>616</v>
      </c>
      <c r="AU34" s="118">
        <v>1031</v>
      </c>
      <c r="AV34" s="118">
        <v>1031</v>
      </c>
      <c r="AW34" s="118">
        <v>1031</v>
      </c>
      <c r="AX34" s="118">
        <v>1031</v>
      </c>
      <c r="AY34" s="118">
        <v>1031</v>
      </c>
      <c r="AZ34" s="118">
        <v>1031</v>
      </c>
      <c r="BA34" s="118">
        <v>1031</v>
      </c>
      <c r="BB34" s="118">
        <v>1031</v>
      </c>
      <c r="BC34" s="118">
        <f>'[3]8 Demais CR NL'!$D$15</f>
        <v>421</v>
      </c>
    </row>
    <row r="35" spans="1:55" x14ac:dyDescent="0.2">
      <c r="D35" s="126"/>
      <c r="E35" s="120">
        <f t="shared" ref="E35:N35" si="27">SUM(E33:E34)</f>
        <v>0</v>
      </c>
      <c r="F35" s="120">
        <f t="shared" si="27"/>
        <v>4766</v>
      </c>
      <c r="G35" s="162">
        <f t="shared" si="27"/>
        <v>5355</v>
      </c>
      <c r="H35" s="120">
        <f t="shared" si="27"/>
        <v>0</v>
      </c>
      <c r="I35" s="120">
        <f t="shared" si="27"/>
        <v>92513</v>
      </c>
      <c r="J35" s="120">
        <f t="shared" si="27"/>
        <v>52124</v>
      </c>
      <c r="K35" s="120">
        <f t="shared" si="27"/>
        <v>53701</v>
      </c>
      <c r="L35" s="120">
        <f t="shared" si="27"/>
        <v>9332</v>
      </c>
      <c r="M35" s="120">
        <f t="shared" si="27"/>
        <v>7934</v>
      </c>
      <c r="N35" s="120">
        <f t="shared" si="27"/>
        <v>5943</v>
      </c>
      <c r="O35" s="120">
        <f t="shared" ref="O35:Z35" si="28">SUM(O33:O34)</f>
        <v>3279</v>
      </c>
      <c r="P35" s="120">
        <f t="shared" si="28"/>
        <v>3299</v>
      </c>
      <c r="Q35" s="120">
        <f t="shared" si="28"/>
        <v>3299</v>
      </c>
      <c r="R35" s="120">
        <f t="shared" si="28"/>
        <v>3299</v>
      </c>
      <c r="S35" s="120">
        <f t="shared" si="28"/>
        <v>3636</v>
      </c>
      <c r="T35" s="120">
        <f t="shared" si="28"/>
        <v>4237</v>
      </c>
      <c r="U35" s="120">
        <f t="shared" si="28"/>
        <v>3608</v>
      </c>
      <c r="V35" s="120">
        <f t="shared" si="28"/>
        <v>4394</v>
      </c>
      <c r="W35" s="120">
        <f t="shared" si="28"/>
        <v>4150</v>
      </c>
      <c r="X35" s="120">
        <f t="shared" si="28"/>
        <v>4870</v>
      </c>
      <c r="Y35" s="120">
        <f t="shared" si="28"/>
        <v>5794</v>
      </c>
      <c r="Z35" s="120">
        <f t="shared" si="28"/>
        <v>4596</v>
      </c>
      <c r="AA35" s="120">
        <f t="shared" ref="AA35:AM35" si="29">SUM(AA33:AA34)</f>
        <v>4562</v>
      </c>
      <c r="AB35" s="120">
        <f t="shared" si="29"/>
        <v>4557</v>
      </c>
      <c r="AC35" s="120">
        <f t="shared" si="29"/>
        <v>5140</v>
      </c>
      <c r="AD35" s="120">
        <f t="shared" si="29"/>
        <v>7795</v>
      </c>
      <c r="AE35" s="120">
        <f t="shared" si="29"/>
        <v>7214</v>
      </c>
      <c r="AF35" s="120">
        <f t="shared" si="29"/>
        <v>6475</v>
      </c>
      <c r="AG35" s="120">
        <f t="shared" si="29"/>
        <v>6111</v>
      </c>
      <c r="AH35" s="120">
        <f t="shared" si="29"/>
        <v>7152</v>
      </c>
      <c r="AI35" s="120">
        <f t="shared" si="29"/>
        <v>6340</v>
      </c>
      <c r="AJ35" s="120">
        <f t="shared" si="29"/>
        <v>6097</v>
      </c>
      <c r="AK35" s="120">
        <f t="shared" si="29"/>
        <v>7460</v>
      </c>
      <c r="AL35" s="120">
        <f t="shared" si="29"/>
        <v>5453</v>
      </c>
      <c r="AM35" s="120">
        <f t="shared" si="29"/>
        <v>5898</v>
      </c>
      <c r="AN35" s="120">
        <f t="shared" ref="AN35:AU35" si="30">SUM(AN33:AN34)</f>
        <v>12544</v>
      </c>
      <c r="AO35" s="120">
        <f t="shared" si="30"/>
        <v>9078</v>
      </c>
      <c r="AP35" s="120">
        <f t="shared" si="30"/>
        <v>9232</v>
      </c>
      <c r="AQ35" s="120">
        <f t="shared" si="30"/>
        <v>9538</v>
      </c>
      <c r="AR35" s="120">
        <f t="shared" si="30"/>
        <v>11618</v>
      </c>
      <c r="AS35" s="120">
        <f t="shared" si="30"/>
        <v>12137</v>
      </c>
      <c r="AT35" s="120">
        <f t="shared" si="30"/>
        <v>8296</v>
      </c>
      <c r="AU35" s="120">
        <f t="shared" si="30"/>
        <v>10672</v>
      </c>
      <c r="AV35" s="120">
        <f t="shared" ref="AV35:BA35" si="31">SUM(AV33:AV34)</f>
        <v>15149</v>
      </c>
      <c r="AW35" s="120">
        <f t="shared" si="31"/>
        <v>15937</v>
      </c>
      <c r="AX35" s="120">
        <f t="shared" si="31"/>
        <v>15271</v>
      </c>
      <c r="AY35" s="120">
        <f t="shared" si="31"/>
        <v>13659</v>
      </c>
      <c r="AZ35" s="120">
        <f t="shared" si="31"/>
        <v>22718</v>
      </c>
      <c r="BA35" s="120">
        <f t="shared" si="31"/>
        <v>28990</v>
      </c>
      <c r="BB35" s="120">
        <f>SUM(BB33:BB34)</f>
        <v>23972</v>
      </c>
      <c r="BC35" s="120">
        <f>SUM(BC33:BC34)</f>
        <v>27779</v>
      </c>
    </row>
    <row r="37" spans="1:55" x14ac:dyDescent="0.2">
      <c r="A37" t="s">
        <v>98</v>
      </c>
      <c r="B37" t="s">
        <v>876</v>
      </c>
      <c r="D37" s="151" t="str">
        <f>IF([1]RENAME!$H$3=1,B37,A37)</f>
        <v>Controladas</v>
      </c>
      <c r="E37" s="115">
        <f t="shared" ref="E37:AC37" si="32">E21</f>
        <v>2013</v>
      </c>
      <c r="F37" s="115" t="str">
        <f t="shared" si="32"/>
        <v>1T14</v>
      </c>
      <c r="G37" s="115" t="str">
        <f t="shared" si="32"/>
        <v>2T14</v>
      </c>
      <c r="H37" s="115" t="str">
        <f t="shared" si="32"/>
        <v>3T14</v>
      </c>
      <c r="I37" s="115" t="str">
        <f t="shared" si="32"/>
        <v>4T14</v>
      </c>
      <c r="J37" s="115" t="str">
        <f t="shared" si="32"/>
        <v>1T15</v>
      </c>
      <c r="K37" s="115" t="str">
        <f t="shared" si="32"/>
        <v>2T15</v>
      </c>
      <c r="L37" s="115" t="str">
        <f t="shared" si="32"/>
        <v>3T15</v>
      </c>
      <c r="M37" s="115" t="str">
        <f t="shared" si="32"/>
        <v>4T15</v>
      </c>
      <c r="N37" s="115" t="str">
        <f t="shared" si="32"/>
        <v>1T16</v>
      </c>
      <c r="O37" s="115" t="str">
        <f t="shared" si="32"/>
        <v>2T16</v>
      </c>
      <c r="P37" s="115" t="str">
        <f t="shared" si="32"/>
        <v>3T16</v>
      </c>
      <c r="Q37" s="115" t="str">
        <f t="shared" si="32"/>
        <v>4T16</v>
      </c>
      <c r="R37" s="115" t="str">
        <f t="shared" si="32"/>
        <v>1T17</v>
      </c>
      <c r="S37" s="115" t="str">
        <f t="shared" si="32"/>
        <v>2T17</v>
      </c>
      <c r="T37" s="115" t="str">
        <f t="shared" si="32"/>
        <v>3T17</v>
      </c>
      <c r="U37" s="115" t="str">
        <f t="shared" si="32"/>
        <v>4T17</v>
      </c>
      <c r="V37" s="115" t="str">
        <f t="shared" si="32"/>
        <v>1T18</v>
      </c>
      <c r="W37" s="115" t="str">
        <f t="shared" si="32"/>
        <v>2T18</v>
      </c>
      <c r="X37" s="115" t="str">
        <f t="shared" si="32"/>
        <v>3T18</v>
      </c>
      <c r="Y37" s="115" t="str">
        <f t="shared" si="32"/>
        <v>4T18</v>
      </c>
      <c r="Z37" s="115" t="str">
        <f t="shared" si="32"/>
        <v>1T19</v>
      </c>
      <c r="AA37" s="115" t="str">
        <f t="shared" si="32"/>
        <v>2T19</v>
      </c>
      <c r="AB37" s="115" t="str">
        <f t="shared" si="32"/>
        <v>3T19</v>
      </c>
      <c r="AC37" s="115" t="str">
        <f t="shared" si="32"/>
        <v>4T19</v>
      </c>
      <c r="AD37" s="115" t="str">
        <f t="shared" ref="AD37:AM37" si="33">AD21</f>
        <v>1T20</v>
      </c>
      <c r="AE37" s="115" t="str">
        <f t="shared" si="33"/>
        <v>2T20</v>
      </c>
      <c r="AF37" s="115" t="str">
        <f t="shared" si="33"/>
        <v>3T20</v>
      </c>
      <c r="AG37" s="115" t="str">
        <f t="shared" si="33"/>
        <v>4T20</v>
      </c>
      <c r="AH37" s="115" t="str">
        <f t="shared" si="33"/>
        <v>1T21</v>
      </c>
      <c r="AI37" s="115" t="str">
        <f t="shared" si="33"/>
        <v>2T21</v>
      </c>
      <c r="AJ37" s="115" t="str">
        <f t="shared" si="33"/>
        <v>3T21</v>
      </c>
      <c r="AK37" s="115" t="str">
        <f t="shared" si="33"/>
        <v>4T21</v>
      </c>
      <c r="AL37" s="115" t="str">
        <f>AL21</f>
        <v>1T22</v>
      </c>
      <c r="AM37" s="115" t="str">
        <f t="shared" si="33"/>
        <v>2T22</v>
      </c>
      <c r="AN37" s="115" t="str">
        <f t="shared" ref="AN37:AU37" si="34">AN21</f>
        <v>3T22</v>
      </c>
      <c r="AO37" s="115" t="str">
        <f t="shared" si="34"/>
        <v>4T22</v>
      </c>
      <c r="AP37" s="115" t="str">
        <f t="shared" si="34"/>
        <v>1T23</v>
      </c>
      <c r="AQ37" s="115" t="str">
        <f t="shared" si="34"/>
        <v>2T23</v>
      </c>
      <c r="AR37" s="115" t="str">
        <f t="shared" si="34"/>
        <v>3T23</v>
      </c>
      <c r="AS37" s="115" t="str">
        <f t="shared" si="34"/>
        <v>4T23</v>
      </c>
      <c r="AT37" s="115" t="str">
        <f t="shared" si="34"/>
        <v>1T24</v>
      </c>
      <c r="AU37" s="115" t="str">
        <f t="shared" si="34"/>
        <v>2T24</v>
      </c>
      <c r="AV37" s="115" t="str">
        <f t="shared" ref="AV37:BA37" si="35">AV21</f>
        <v>3T24</v>
      </c>
      <c r="AW37" s="115" t="str">
        <f t="shared" si="35"/>
        <v>4T24</v>
      </c>
      <c r="AX37" s="115" t="str">
        <f t="shared" si="35"/>
        <v>1T25</v>
      </c>
      <c r="AY37" s="115" t="str">
        <f t="shared" si="35"/>
        <v>2T25</v>
      </c>
      <c r="AZ37" s="115" t="str">
        <f t="shared" si="35"/>
        <v>3T25</v>
      </c>
      <c r="BA37" s="115" t="str">
        <f t="shared" si="35"/>
        <v>4T25</v>
      </c>
      <c r="BB37" s="247" t="str">
        <f>BB21</f>
        <v>1T26</v>
      </c>
      <c r="BC37" s="115" t="str">
        <f>BC21</f>
        <v>2T26</v>
      </c>
    </row>
    <row r="38" spans="1:55" x14ac:dyDescent="0.2">
      <c r="A38" t="s">
        <v>1319</v>
      </c>
      <c r="B38" t="s">
        <v>1461</v>
      </c>
      <c r="D38" s="129" t="str">
        <f>IF([1]RENAME!$H$3=1,B38,A38)</f>
        <v>Ativo indenizatório</v>
      </c>
      <c r="E38" s="118">
        <v>0</v>
      </c>
      <c r="F38" s="118">
        <v>0</v>
      </c>
      <c r="G38" s="160">
        <v>0</v>
      </c>
      <c r="H38" s="118">
        <v>0</v>
      </c>
      <c r="I38" s="118">
        <v>0</v>
      </c>
      <c r="J38" s="118">
        <v>0</v>
      </c>
      <c r="K38" s="118">
        <v>0</v>
      </c>
      <c r="L38" s="118">
        <v>0</v>
      </c>
      <c r="M38" s="118">
        <v>0</v>
      </c>
      <c r="N38" s="118">
        <v>0</v>
      </c>
      <c r="O38" s="118">
        <v>0</v>
      </c>
      <c r="P38" s="118">
        <v>0</v>
      </c>
      <c r="Q38" s="118">
        <v>0</v>
      </c>
      <c r="R38" s="118">
        <f t="shared" ref="R38:X40" si="36">+R6-R22</f>
        <v>0</v>
      </c>
      <c r="S38" s="260">
        <f t="shared" si="36"/>
        <v>0</v>
      </c>
      <c r="T38" s="118">
        <f t="shared" si="36"/>
        <v>0</v>
      </c>
      <c r="U38" s="118">
        <f t="shared" si="36"/>
        <v>0</v>
      </c>
      <c r="V38" s="118">
        <f t="shared" si="36"/>
        <v>4333</v>
      </c>
      <c r="W38" s="118">
        <f t="shared" si="36"/>
        <v>3873</v>
      </c>
      <c r="X38" s="118">
        <f t="shared" si="36"/>
        <v>4500</v>
      </c>
      <c r="Y38" s="118">
        <v>5505</v>
      </c>
      <c r="Z38" s="118">
        <v>5512</v>
      </c>
      <c r="AA38" s="118">
        <v>5963</v>
      </c>
      <c r="AB38" s="260">
        <v>1304</v>
      </c>
      <c r="AC38" s="118">
        <v>1305</v>
      </c>
      <c r="AD38" s="118">
        <v>1304</v>
      </c>
      <c r="AE38" s="118">
        <f t="shared" ref="AE38:AF40" si="37">AE6-AE22</f>
        <v>1304</v>
      </c>
      <c r="AF38" s="118">
        <f t="shared" si="37"/>
        <v>1305</v>
      </c>
      <c r="AG38" s="118">
        <f t="shared" ref="AG38:AL40" si="38">AG6-AG22</f>
        <v>1304</v>
      </c>
      <c r="AH38" s="118">
        <f t="shared" si="38"/>
        <v>1304</v>
      </c>
      <c r="AI38" s="118">
        <f t="shared" si="38"/>
        <v>1304</v>
      </c>
      <c r="AJ38" s="118">
        <f t="shared" si="38"/>
        <v>1304</v>
      </c>
      <c r="AK38" s="118">
        <f t="shared" si="38"/>
        <v>1461</v>
      </c>
      <c r="AL38" s="118">
        <f t="shared" si="38"/>
        <v>1461</v>
      </c>
      <c r="AM38" s="118">
        <v>1460</v>
      </c>
      <c r="AN38" s="118">
        <f t="shared" ref="AN38:AT40" si="39">AN6-AN22</f>
        <v>1461</v>
      </c>
      <c r="AO38" s="118">
        <f t="shared" si="39"/>
        <v>1460</v>
      </c>
      <c r="AP38" s="118">
        <f t="shared" si="39"/>
        <v>1461</v>
      </c>
      <c r="AQ38" s="118">
        <f t="shared" si="39"/>
        <v>1012</v>
      </c>
      <c r="AR38" s="118">
        <f t="shared" si="39"/>
        <v>1013</v>
      </c>
      <c r="AS38" s="118">
        <f t="shared" si="39"/>
        <v>1012</v>
      </c>
      <c r="AT38" s="118">
        <f t="shared" si="39"/>
        <v>1012</v>
      </c>
      <c r="AU38" s="118">
        <v>597</v>
      </c>
      <c r="AV38" s="118">
        <f t="shared" ref="AV38:AY40" si="40">AV6-AV22</f>
        <v>597</v>
      </c>
      <c r="AW38" s="118">
        <v>667</v>
      </c>
      <c r="AX38" s="118">
        <f>AX6-AX22</f>
        <v>667</v>
      </c>
      <c r="AY38" s="118">
        <f t="shared" si="40"/>
        <v>667</v>
      </c>
      <c r="AZ38" s="118">
        <v>667</v>
      </c>
      <c r="BA38" s="118">
        <v>667</v>
      </c>
      <c r="BB38" s="118">
        <v>667</v>
      </c>
      <c r="BC38" s="118">
        <f>BC6-BC22</f>
        <v>667</v>
      </c>
    </row>
    <row r="39" spans="1:55" x14ac:dyDescent="0.2">
      <c r="A39" t="s">
        <v>196</v>
      </c>
      <c r="B39" t="s">
        <v>901</v>
      </c>
      <c r="D39" s="129" t="str">
        <f>IF([1]RENAME!$H$3=1,B39,A39)</f>
        <v>Adiantamento a Fornecedores</v>
      </c>
      <c r="E39" s="118">
        <f t="shared" ref="E39:Q39" si="41">+E7-E23</f>
        <v>1952</v>
      </c>
      <c r="F39" s="118">
        <f t="shared" si="41"/>
        <v>797</v>
      </c>
      <c r="G39" s="160">
        <f t="shared" si="41"/>
        <v>276</v>
      </c>
      <c r="H39" s="118">
        <f t="shared" si="41"/>
        <v>215</v>
      </c>
      <c r="I39" s="118">
        <f t="shared" si="41"/>
        <v>423</v>
      </c>
      <c r="J39" s="118">
        <f t="shared" si="41"/>
        <v>416</v>
      </c>
      <c r="K39" s="118">
        <f t="shared" si="41"/>
        <v>624</v>
      </c>
      <c r="L39" s="118">
        <f t="shared" si="41"/>
        <v>461</v>
      </c>
      <c r="M39" s="118">
        <f t="shared" si="41"/>
        <v>1591</v>
      </c>
      <c r="N39" s="118">
        <f t="shared" si="41"/>
        <v>1717</v>
      </c>
      <c r="O39" s="118">
        <f t="shared" si="41"/>
        <v>2110</v>
      </c>
      <c r="P39" s="118">
        <f t="shared" si="41"/>
        <v>1983</v>
      </c>
      <c r="Q39" s="118">
        <f t="shared" si="41"/>
        <v>483</v>
      </c>
      <c r="R39" s="118">
        <f t="shared" si="36"/>
        <v>1344</v>
      </c>
      <c r="S39" s="118">
        <f t="shared" si="36"/>
        <v>556</v>
      </c>
      <c r="T39" s="118">
        <f t="shared" si="36"/>
        <v>519</v>
      </c>
      <c r="U39" s="118">
        <f t="shared" si="36"/>
        <v>452</v>
      </c>
      <c r="V39" s="118">
        <f t="shared" si="36"/>
        <v>943</v>
      </c>
      <c r="W39" s="118">
        <f t="shared" si="36"/>
        <v>1137</v>
      </c>
      <c r="X39" s="118">
        <f t="shared" si="36"/>
        <v>1409</v>
      </c>
      <c r="Y39" s="118">
        <v>1258</v>
      </c>
      <c r="Z39" s="118">
        <v>1956</v>
      </c>
      <c r="AA39" s="118">
        <v>1259</v>
      </c>
      <c r="AB39" s="118">
        <v>1960</v>
      </c>
      <c r="AC39" s="118">
        <v>1620</v>
      </c>
      <c r="AD39" s="118">
        <v>1176</v>
      </c>
      <c r="AE39" s="118">
        <f t="shared" si="37"/>
        <v>2655</v>
      </c>
      <c r="AF39" s="118">
        <f t="shared" si="37"/>
        <v>3406</v>
      </c>
      <c r="AG39" s="118">
        <f t="shared" si="38"/>
        <v>3199</v>
      </c>
      <c r="AH39" s="118">
        <f t="shared" si="38"/>
        <v>3207</v>
      </c>
      <c r="AI39" s="118">
        <f t="shared" si="38"/>
        <v>994</v>
      </c>
      <c r="AJ39" s="118">
        <f t="shared" si="38"/>
        <v>1729</v>
      </c>
      <c r="AK39" s="118">
        <f t="shared" si="38"/>
        <v>1287</v>
      </c>
      <c r="AL39" s="118">
        <f>AL7-AL23</f>
        <v>2019</v>
      </c>
      <c r="AM39" s="118">
        <v>2693</v>
      </c>
      <c r="AN39" s="118">
        <f t="shared" si="39"/>
        <v>7315</v>
      </c>
      <c r="AO39" s="118">
        <f t="shared" si="39"/>
        <v>5840</v>
      </c>
      <c r="AP39" s="118">
        <f t="shared" si="39"/>
        <v>3905</v>
      </c>
      <c r="AQ39" s="118">
        <f t="shared" si="39"/>
        <v>3548</v>
      </c>
      <c r="AR39" s="118">
        <f t="shared" si="39"/>
        <v>3764</v>
      </c>
      <c r="AS39" s="118">
        <f t="shared" si="39"/>
        <v>2835</v>
      </c>
      <c r="AT39" s="118">
        <f t="shared" si="39"/>
        <v>2673</v>
      </c>
      <c r="AU39" s="118">
        <v>3053</v>
      </c>
      <c r="AV39" s="118">
        <f t="shared" si="40"/>
        <v>2206</v>
      </c>
      <c r="AW39" s="118">
        <v>2550</v>
      </c>
      <c r="AX39" s="118">
        <f>AX7-AX23</f>
        <v>2226</v>
      </c>
      <c r="AY39" s="118">
        <f t="shared" si="40"/>
        <v>2483</v>
      </c>
      <c r="AZ39" s="118">
        <v>12291</v>
      </c>
      <c r="BA39" s="118">
        <v>3516</v>
      </c>
      <c r="BB39" s="118">
        <v>2506</v>
      </c>
      <c r="BC39" s="118">
        <f>BC7-BC23</f>
        <v>6414</v>
      </c>
    </row>
    <row r="40" spans="1:55" x14ac:dyDescent="0.2">
      <c r="A40" t="s">
        <v>195</v>
      </c>
      <c r="B40" t="s">
        <v>900</v>
      </c>
      <c r="D40" s="129" t="str">
        <f>IF([1]RENAME!$H$3=1,B40,A40)</f>
        <v>Adiantamento funcionários</v>
      </c>
      <c r="E40" s="118">
        <f t="shared" ref="E40:Q40" si="42">+E8-E24</f>
        <v>823</v>
      </c>
      <c r="F40" s="118">
        <f t="shared" si="42"/>
        <v>243</v>
      </c>
      <c r="G40" s="160">
        <f t="shared" si="42"/>
        <v>149</v>
      </c>
      <c r="H40" s="118">
        <f t="shared" si="42"/>
        <v>412</v>
      </c>
      <c r="I40" s="118">
        <f t="shared" si="42"/>
        <v>522</v>
      </c>
      <c r="J40" s="118">
        <f t="shared" si="42"/>
        <v>125</v>
      </c>
      <c r="K40" s="118">
        <f t="shared" si="42"/>
        <v>113</v>
      </c>
      <c r="L40" s="118">
        <f t="shared" si="42"/>
        <v>393</v>
      </c>
      <c r="M40" s="118">
        <f t="shared" si="42"/>
        <v>423</v>
      </c>
      <c r="N40" s="118">
        <f t="shared" si="42"/>
        <v>91</v>
      </c>
      <c r="O40" s="118">
        <f t="shared" si="42"/>
        <v>183</v>
      </c>
      <c r="P40" s="118">
        <f t="shared" si="42"/>
        <v>165</v>
      </c>
      <c r="Q40" s="118">
        <f t="shared" si="42"/>
        <v>142</v>
      </c>
      <c r="R40" s="118">
        <f t="shared" si="36"/>
        <v>116</v>
      </c>
      <c r="S40" s="118">
        <f t="shared" si="36"/>
        <v>203</v>
      </c>
      <c r="T40" s="118">
        <f t="shared" si="36"/>
        <v>224</v>
      </c>
      <c r="U40" s="118">
        <f t="shared" si="36"/>
        <v>162</v>
      </c>
      <c r="V40" s="118">
        <f t="shared" si="36"/>
        <v>71</v>
      </c>
      <c r="W40" s="118">
        <f t="shared" si="36"/>
        <v>155</v>
      </c>
      <c r="X40" s="118">
        <f t="shared" si="36"/>
        <v>131</v>
      </c>
      <c r="Y40" s="118">
        <v>188</v>
      </c>
      <c r="Z40" s="118">
        <v>147</v>
      </c>
      <c r="AA40" s="118">
        <v>180</v>
      </c>
      <c r="AB40" s="118">
        <v>218</v>
      </c>
      <c r="AC40" s="118">
        <v>200</v>
      </c>
      <c r="AD40" s="118">
        <v>143</v>
      </c>
      <c r="AE40" s="118">
        <f t="shared" si="37"/>
        <v>118</v>
      </c>
      <c r="AF40" s="118">
        <f t="shared" si="37"/>
        <v>66</v>
      </c>
      <c r="AG40" s="118">
        <f t="shared" si="38"/>
        <v>-41</v>
      </c>
      <c r="AH40" s="118">
        <f t="shared" si="38"/>
        <v>134</v>
      </c>
      <c r="AI40" s="118">
        <f t="shared" si="38"/>
        <v>145</v>
      </c>
      <c r="AJ40" s="118">
        <f t="shared" si="38"/>
        <v>117</v>
      </c>
      <c r="AK40" s="118">
        <f t="shared" si="38"/>
        <v>106</v>
      </c>
      <c r="AL40" s="118">
        <f>AL8-AL24</f>
        <v>79</v>
      </c>
      <c r="AM40" s="118">
        <v>80</v>
      </c>
      <c r="AN40" s="118">
        <f t="shared" si="39"/>
        <v>95</v>
      </c>
      <c r="AO40" s="118">
        <f t="shared" si="39"/>
        <v>92</v>
      </c>
      <c r="AP40" s="118">
        <f t="shared" si="39"/>
        <v>53</v>
      </c>
      <c r="AQ40" s="118">
        <f t="shared" si="39"/>
        <v>127</v>
      </c>
      <c r="AR40" s="118">
        <f t="shared" si="39"/>
        <v>105</v>
      </c>
      <c r="AS40" s="118">
        <f t="shared" si="39"/>
        <v>118</v>
      </c>
      <c r="AT40" s="118">
        <f t="shared" si="39"/>
        <v>141</v>
      </c>
      <c r="AU40" s="118">
        <v>143</v>
      </c>
      <c r="AV40" s="118">
        <f t="shared" si="40"/>
        <v>162</v>
      </c>
      <c r="AW40" s="118">
        <v>117</v>
      </c>
      <c r="AX40" s="118">
        <f>AX8-AX24</f>
        <v>132</v>
      </c>
      <c r="AY40" s="118">
        <f t="shared" si="40"/>
        <v>130</v>
      </c>
      <c r="AZ40" s="118">
        <v>228</v>
      </c>
      <c r="BA40" s="118">
        <v>132</v>
      </c>
      <c r="BB40" s="118">
        <v>163</v>
      </c>
      <c r="BC40" s="118">
        <f>BC8-BC24</f>
        <v>123</v>
      </c>
    </row>
    <row r="41" spans="1:55" x14ac:dyDescent="0.2">
      <c r="A41" t="s">
        <v>199</v>
      </c>
      <c r="B41" t="s">
        <v>904</v>
      </c>
      <c r="D41" s="129" t="str">
        <f>IF([1]RENAME!$H$3=1,B41,A41)</f>
        <v>Valores a receber</v>
      </c>
      <c r="E41" s="118">
        <f t="shared" ref="E41:X41" si="43">+E9-E30</f>
        <v>0</v>
      </c>
      <c r="F41" s="118">
        <f t="shared" si="43"/>
        <v>0</v>
      </c>
      <c r="G41" s="160">
        <f t="shared" si="43"/>
        <v>0</v>
      </c>
      <c r="H41" s="118">
        <f t="shared" si="43"/>
        <v>0</v>
      </c>
      <c r="I41" s="118">
        <f t="shared" si="43"/>
        <v>13371</v>
      </c>
      <c r="J41" s="118">
        <f t="shared" si="43"/>
        <v>13371</v>
      </c>
      <c r="K41" s="118">
        <f t="shared" si="43"/>
        <v>13371</v>
      </c>
      <c r="L41" s="118">
        <f t="shared" si="43"/>
        <v>13371</v>
      </c>
      <c r="M41" s="118">
        <f t="shared" si="43"/>
        <v>13371</v>
      </c>
      <c r="N41" s="118">
        <f t="shared" si="43"/>
        <v>13371</v>
      </c>
      <c r="O41" s="118">
        <f t="shared" si="43"/>
        <v>13371</v>
      </c>
      <c r="P41" s="118">
        <f t="shared" si="43"/>
        <v>13371</v>
      </c>
      <c r="Q41" s="118">
        <f t="shared" si="43"/>
        <v>13371</v>
      </c>
      <c r="R41" s="118">
        <f t="shared" si="43"/>
        <v>13371</v>
      </c>
      <c r="S41" s="118">
        <f t="shared" si="43"/>
        <v>13371</v>
      </c>
      <c r="T41" s="118">
        <f t="shared" si="43"/>
        <v>7638</v>
      </c>
      <c r="U41" s="118">
        <f t="shared" si="43"/>
        <v>1907</v>
      </c>
      <c r="V41" s="118">
        <f t="shared" si="43"/>
        <v>1907</v>
      </c>
      <c r="W41" s="118">
        <f t="shared" si="43"/>
        <v>1907</v>
      </c>
      <c r="X41" s="118">
        <f t="shared" si="43"/>
        <v>1907</v>
      </c>
      <c r="Y41" s="118">
        <v>0</v>
      </c>
      <c r="Z41" s="118">
        <v>0</v>
      </c>
      <c r="AA41" s="118">
        <v>0</v>
      </c>
      <c r="AB41" s="118">
        <v>0</v>
      </c>
      <c r="AC41" s="118">
        <v>0</v>
      </c>
      <c r="AD41" s="118">
        <v>0</v>
      </c>
      <c r="AE41" s="118">
        <f t="shared" ref="AE41:AK41" si="44">AE9-AE30</f>
        <v>0</v>
      </c>
      <c r="AF41" s="118">
        <f t="shared" si="44"/>
        <v>0</v>
      </c>
      <c r="AG41" s="118">
        <f t="shared" si="44"/>
        <v>0</v>
      </c>
      <c r="AH41" s="118">
        <f t="shared" si="44"/>
        <v>0</v>
      </c>
      <c r="AI41" s="118">
        <f t="shared" si="44"/>
        <v>0</v>
      </c>
      <c r="AJ41" s="118">
        <f t="shared" si="44"/>
        <v>0</v>
      </c>
      <c r="AK41" s="118">
        <f t="shared" si="44"/>
        <v>0</v>
      </c>
      <c r="AL41" s="118">
        <f>AL9-AL30</f>
        <v>0</v>
      </c>
      <c r="AM41" s="118">
        <v>0</v>
      </c>
      <c r="AN41" s="118">
        <f t="shared" ref="AN41:AT41" si="45">AN9-AN30</f>
        <v>0</v>
      </c>
      <c r="AO41" s="118">
        <f t="shared" si="45"/>
        <v>0</v>
      </c>
      <c r="AP41" s="118">
        <f t="shared" si="45"/>
        <v>0</v>
      </c>
      <c r="AQ41" s="118">
        <f t="shared" si="45"/>
        <v>0</v>
      </c>
      <c r="AR41" s="118">
        <f t="shared" si="45"/>
        <v>0</v>
      </c>
      <c r="AS41" s="118">
        <f t="shared" si="45"/>
        <v>0</v>
      </c>
      <c r="AT41" s="118">
        <f t="shared" si="45"/>
        <v>0</v>
      </c>
      <c r="AU41" s="118">
        <v>0</v>
      </c>
      <c r="AV41" s="118">
        <f>AV9-AV30</f>
        <v>0</v>
      </c>
      <c r="AW41" s="118">
        <v>0</v>
      </c>
      <c r="AX41" s="118">
        <f>AX9-AX30</f>
        <v>0</v>
      </c>
      <c r="AY41" s="118">
        <f>AY9-AY30</f>
        <v>0</v>
      </c>
      <c r="AZ41" s="118" t="s">
        <v>160</v>
      </c>
      <c r="BA41" s="118">
        <v>0</v>
      </c>
      <c r="BB41" s="118">
        <v>0</v>
      </c>
      <c r="BC41" s="118">
        <v>0</v>
      </c>
    </row>
    <row r="42" spans="1:55" x14ac:dyDescent="0.2">
      <c r="A42" t="s">
        <v>197</v>
      </c>
      <c r="B42" t="s">
        <v>903</v>
      </c>
      <c r="D42" s="129" t="str">
        <f>IF([1]RENAME!$H$3=1,B42,A42)</f>
        <v>Recuperação de despesas a receber</v>
      </c>
      <c r="E42" s="118">
        <f t="shared" ref="E42:X42" si="46">+E10-E25</f>
        <v>6324</v>
      </c>
      <c r="F42" s="118">
        <f t="shared" si="46"/>
        <v>0</v>
      </c>
      <c r="G42" s="160">
        <f t="shared" si="46"/>
        <v>0</v>
      </c>
      <c r="H42" s="118">
        <f t="shared" si="46"/>
        <v>0</v>
      </c>
      <c r="I42" s="118">
        <f t="shared" si="46"/>
        <v>0</v>
      </c>
      <c r="J42" s="118">
        <f t="shared" si="46"/>
        <v>0</v>
      </c>
      <c r="K42" s="118">
        <f t="shared" si="46"/>
        <v>147</v>
      </c>
      <c r="L42" s="118">
        <f t="shared" si="46"/>
        <v>0</v>
      </c>
      <c r="M42" s="118">
        <f t="shared" si="46"/>
        <v>170</v>
      </c>
      <c r="N42" s="118">
        <f t="shared" si="46"/>
        <v>48</v>
      </c>
      <c r="O42" s="118">
        <f t="shared" si="46"/>
        <v>46</v>
      </c>
      <c r="P42" s="118">
        <f t="shared" si="46"/>
        <v>28</v>
      </c>
      <c r="Q42" s="118">
        <f t="shared" si="46"/>
        <v>0</v>
      </c>
      <c r="R42" s="118">
        <f t="shared" si="46"/>
        <v>0</v>
      </c>
      <c r="S42" s="118">
        <f t="shared" si="46"/>
        <v>0</v>
      </c>
      <c r="T42" s="118">
        <f t="shared" si="46"/>
        <v>0</v>
      </c>
      <c r="U42" s="118">
        <f t="shared" si="46"/>
        <v>298</v>
      </c>
      <c r="V42" s="118">
        <f t="shared" si="46"/>
        <v>0</v>
      </c>
      <c r="W42" s="118">
        <f t="shared" si="46"/>
        <v>96</v>
      </c>
      <c r="X42" s="118">
        <f t="shared" si="46"/>
        <v>96</v>
      </c>
      <c r="Y42" s="118">
        <v>0</v>
      </c>
      <c r="Z42" s="118">
        <v>0</v>
      </c>
      <c r="AA42" s="118">
        <v>0</v>
      </c>
      <c r="AB42" s="118">
        <v>0</v>
      </c>
      <c r="AC42" s="118">
        <v>0</v>
      </c>
      <c r="AD42" s="118">
        <v>0</v>
      </c>
      <c r="AE42" s="118">
        <f t="shared" ref="AE42:AF46" si="47">AE10-AE25</f>
        <v>0</v>
      </c>
      <c r="AF42" s="118">
        <f t="shared" si="47"/>
        <v>0</v>
      </c>
      <c r="AG42" s="118">
        <f t="shared" ref="AG42:AM46" si="48">AG10-AG25</f>
        <v>0</v>
      </c>
      <c r="AH42" s="118">
        <f t="shared" si="48"/>
        <v>0</v>
      </c>
      <c r="AI42" s="118">
        <f t="shared" si="48"/>
        <v>0</v>
      </c>
      <c r="AJ42" s="118">
        <f t="shared" si="48"/>
        <v>0</v>
      </c>
      <c r="AK42" s="118">
        <f t="shared" si="48"/>
        <v>0</v>
      </c>
      <c r="AL42" s="118">
        <f>AL10-AL25</f>
        <v>0</v>
      </c>
      <c r="AM42" s="118">
        <v>0</v>
      </c>
      <c r="AN42" s="118">
        <f t="shared" ref="AN42:AT46" si="49">AN10-AN25</f>
        <v>0</v>
      </c>
      <c r="AO42" s="118">
        <f t="shared" si="49"/>
        <v>0</v>
      </c>
      <c r="AP42" s="118">
        <f t="shared" si="49"/>
        <v>0</v>
      </c>
      <c r="AQ42" s="118">
        <f t="shared" si="49"/>
        <v>0</v>
      </c>
      <c r="AR42" s="118">
        <f t="shared" si="49"/>
        <v>0</v>
      </c>
      <c r="AS42" s="118">
        <f t="shared" si="49"/>
        <v>0</v>
      </c>
      <c r="AT42" s="118">
        <f t="shared" si="49"/>
        <v>0</v>
      </c>
      <c r="AU42" s="118">
        <v>0</v>
      </c>
      <c r="AV42" s="118">
        <f t="shared" ref="AV42:AY46" si="50">AV10-AV25</f>
        <v>0</v>
      </c>
      <c r="AW42" s="118">
        <v>0</v>
      </c>
      <c r="AX42" s="118">
        <f>AX10-AX25</f>
        <v>0</v>
      </c>
      <c r="AY42" s="118">
        <f t="shared" si="50"/>
        <v>0</v>
      </c>
      <c r="AZ42" s="118" t="s">
        <v>160</v>
      </c>
      <c r="BA42" s="118">
        <v>0</v>
      </c>
      <c r="BB42" s="118">
        <v>0</v>
      </c>
      <c r="BC42" s="118">
        <f>BC10-BC25</f>
        <v>0</v>
      </c>
    </row>
    <row r="43" spans="1:55" x14ac:dyDescent="0.2">
      <c r="A43" t="s">
        <v>194</v>
      </c>
      <c r="B43" t="s">
        <v>899</v>
      </c>
      <c r="D43" s="129" t="str">
        <f>IF([1]RENAME!$H$3=1,B43,A43)</f>
        <v>Sinistros a Recuperar</v>
      </c>
      <c r="E43" s="118">
        <f t="shared" ref="E43:X43" si="51">+E11-E26</f>
        <v>1147</v>
      </c>
      <c r="F43" s="118">
        <f t="shared" si="51"/>
        <v>1463</v>
      </c>
      <c r="G43" s="160">
        <f t="shared" si="51"/>
        <v>3266</v>
      </c>
      <c r="H43" s="118">
        <f t="shared" si="51"/>
        <v>3893</v>
      </c>
      <c r="I43" s="118">
        <f t="shared" si="51"/>
        <v>3841</v>
      </c>
      <c r="J43" s="118">
        <f t="shared" si="51"/>
        <v>4220</v>
      </c>
      <c r="K43" s="118">
        <f t="shared" si="51"/>
        <v>4220</v>
      </c>
      <c r="L43" s="118">
        <f t="shared" si="51"/>
        <v>4434</v>
      </c>
      <c r="M43" s="118">
        <f t="shared" si="51"/>
        <v>4434</v>
      </c>
      <c r="N43" s="118">
        <f t="shared" si="51"/>
        <v>4070</v>
      </c>
      <c r="O43" s="118">
        <f t="shared" si="51"/>
        <v>1973</v>
      </c>
      <c r="P43" s="118">
        <f t="shared" si="51"/>
        <v>1848</v>
      </c>
      <c r="Q43" s="118">
        <f t="shared" si="51"/>
        <v>1821</v>
      </c>
      <c r="R43" s="118">
        <f t="shared" si="51"/>
        <v>1821</v>
      </c>
      <c r="S43" s="118">
        <f t="shared" si="51"/>
        <v>1810</v>
      </c>
      <c r="T43" s="118">
        <f t="shared" si="51"/>
        <v>1796</v>
      </c>
      <c r="U43" s="118">
        <f t="shared" si="51"/>
        <v>6</v>
      </c>
      <c r="V43" s="118">
        <f t="shared" si="51"/>
        <v>-411</v>
      </c>
      <c r="W43" s="118">
        <f t="shared" si="51"/>
        <v>6</v>
      </c>
      <c r="X43" s="118">
        <f t="shared" si="51"/>
        <v>0</v>
      </c>
      <c r="Y43" s="118">
        <v>0</v>
      </c>
      <c r="Z43" s="118">
        <v>0</v>
      </c>
      <c r="AA43" s="118">
        <v>46</v>
      </c>
      <c r="AB43" s="118">
        <v>0</v>
      </c>
      <c r="AC43" s="118">
        <v>101</v>
      </c>
      <c r="AD43" s="118">
        <v>0</v>
      </c>
      <c r="AE43" s="118">
        <f t="shared" si="47"/>
        <v>0</v>
      </c>
      <c r="AF43" s="118">
        <f t="shared" si="47"/>
        <v>38</v>
      </c>
      <c r="AG43" s="118">
        <f t="shared" si="48"/>
        <v>6</v>
      </c>
      <c r="AH43" s="118">
        <f t="shared" si="48"/>
        <v>48</v>
      </c>
      <c r="AI43" s="118">
        <f t="shared" si="48"/>
        <v>23</v>
      </c>
      <c r="AJ43" s="118">
        <f t="shared" si="48"/>
        <v>35</v>
      </c>
      <c r="AK43" s="118">
        <f t="shared" si="48"/>
        <v>38</v>
      </c>
      <c r="AL43" s="118">
        <f>AL11-AL26</f>
        <v>18</v>
      </c>
      <c r="AM43" s="118">
        <v>38</v>
      </c>
      <c r="AN43" s="118">
        <f t="shared" si="49"/>
        <v>64</v>
      </c>
      <c r="AO43" s="118">
        <f t="shared" si="49"/>
        <v>333</v>
      </c>
      <c r="AP43" s="118">
        <f t="shared" si="49"/>
        <v>326</v>
      </c>
      <c r="AQ43" s="118">
        <f t="shared" si="49"/>
        <v>305</v>
      </c>
      <c r="AR43" s="118">
        <f t="shared" si="49"/>
        <v>0</v>
      </c>
      <c r="AS43" s="118">
        <f t="shared" si="49"/>
        <v>0</v>
      </c>
      <c r="AT43" s="118">
        <f t="shared" si="49"/>
        <v>0</v>
      </c>
      <c r="AU43" s="118">
        <v>0</v>
      </c>
      <c r="AV43" s="118">
        <f t="shared" si="50"/>
        <v>0</v>
      </c>
      <c r="AW43" s="118">
        <v>0</v>
      </c>
      <c r="AX43" s="118">
        <f>AX11-AX26</f>
        <v>0</v>
      </c>
      <c r="AY43" s="118">
        <f t="shared" si="50"/>
        <v>0</v>
      </c>
      <c r="AZ43" s="118" t="s">
        <v>160</v>
      </c>
      <c r="BA43" s="118">
        <v>0</v>
      </c>
      <c r="BB43" s="118">
        <v>0</v>
      </c>
      <c r="BC43" s="118">
        <f>BC11-BC26</f>
        <v>0</v>
      </c>
    </row>
    <row r="44" spans="1:55" x14ac:dyDescent="0.2">
      <c r="A44" t="s">
        <v>200</v>
      </c>
      <c r="B44" t="s">
        <v>644</v>
      </c>
      <c r="D44" s="129" t="str">
        <f>IF([1]RENAME!$H$3=1,B44,A44)</f>
        <v>Outros creditos</v>
      </c>
      <c r="E44" s="118">
        <f t="shared" ref="E44:X44" si="52">+E12-E27</f>
        <v>1018</v>
      </c>
      <c r="F44" s="118">
        <f t="shared" si="52"/>
        <v>4222</v>
      </c>
      <c r="G44" s="160">
        <f t="shared" si="52"/>
        <v>1218</v>
      </c>
      <c r="H44" s="118">
        <f t="shared" si="52"/>
        <v>1596</v>
      </c>
      <c r="I44" s="118">
        <f t="shared" si="52"/>
        <v>1140</v>
      </c>
      <c r="J44" s="118">
        <f t="shared" si="52"/>
        <v>1044</v>
      </c>
      <c r="K44" s="118">
        <f t="shared" si="52"/>
        <v>1204</v>
      </c>
      <c r="L44" s="118">
        <f t="shared" si="52"/>
        <v>1129</v>
      </c>
      <c r="M44" s="118">
        <f t="shared" si="52"/>
        <v>16</v>
      </c>
      <c r="N44" s="118">
        <f t="shared" si="52"/>
        <v>0</v>
      </c>
      <c r="O44" s="118">
        <f t="shared" si="52"/>
        <v>-2</v>
      </c>
      <c r="P44" s="118">
        <f t="shared" si="52"/>
        <v>0</v>
      </c>
      <c r="Q44" s="118">
        <f t="shared" si="52"/>
        <v>0</v>
      </c>
      <c r="R44" s="118">
        <f t="shared" si="52"/>
        <v>0</v>
      </c>
      <c r="S44" s="118">
        <f t="shared" si="52"/>
        <v>0</v>
      </c>
      <c r="T44" s="118">
        <f t="shared" si="52"/>
        <v>2</v>
      </c>
      <c r="U44" s="118">
        <f t="shared" si="52"/>
        <v>2</v>
      </c>
      <c r="V44" s="118">
        <f t="shared" si="52"/>
        <v>0</v>
      </c>
      <c r="W44" s="118">
        <f t="shared" si="52"/>
        <v>0</v>
      </c>
      <c r="X44" s="118">
        <f t="shared" si="52"/>
        <v>-4</v>
      </c>
      <c r="Y44" s="118">
        <v>700</v>
      </c>
      <c r="Z44" s="118">
        <v>700</v>
      </c>
      <c r="AA44" s="118">
        <v>700</v>
      </c>
      <c r="AB44" s="118">
        <v>0</v>
      </c>
      <c r="AC44" s="118">
        <v>153</v>
      </c>
      <c r="AD44" s="118">
        <v>29</v>
      </c>
      <c r="AE44" s="118">
        <f t="shared" si="47"/>
        <v>1</v>
      </c>
      <c r="AF44" s="118">
        <f t="shared" si="47"/>
        <v>1</v>
      </c>
      <c r="AG44" s="118">
        <f t="shared" si="48"/>
        <v>1</v>
      </c>
      <c r="AH44" s="118">
        <f t="shared" si="48"/>
        <v>2</v>
      </c>
      <c r="AI44" s="118">
        <f t="shared" si="48"/>
        <v>1</v>
      </c>
      <c r="AJ44" s="118">
        <f t="shared" si="48"/>
        <v>0</v>
      </c>
      <c r="AK44" s="118">
        <f t="shared" si="48"/>
        <v>0</v>
      </c>
      <c r="AL44" s="118">
        <f>AL12-AL27</f>
        <v>1</v>
      </c>
      <c r="AM44" s="118">
        <v>233</v>
      </c>
      <c r="AN44" s="118">
        <f t="shared" si="49"/>
        <v>262</v>
      </c>
      <c r="AO44" s="118">
        <f t="shared" si="49"/>
        <v>-49</v>
      </c>
      <c r="AP44" s="118">
        <f t="shared" si="49"/>
        <v>2</v>
      </c>
      <c r="AQ44" s="118">
        <f t="shared" si="49"/>
        <v>-64</v>
      </c>
      <c r="AR44" s="118">
        <f t="shared" si="49"/>
        <v>98</v>
      </c>
      <c r="AS44" s="118">
        <f t="shared" si="49"/>
        <v>11</v>
      </c>
      <c r="AT44" s="118">
        <f t="shared" si="49"/>
        <v>72</v>
      </c>
      <c r="AU44" s="118">
        <v>26</v>
      </c>
      <c r="AV44" s="118">
        <f t="shared" si="50"/>
        <v>189</v>
      </c>
      <c r="AW44" s="118">
        <v>349</v>
      </c>
      <c r="AX44" s="118">
        <f>AX12-AX27</f>
        <v>473</v>
      </c>
      <c r="AY44" s="118">
        <f t="shared" si="50"/>
        <v>491</v>
      </c>
      <c r="AZ44" s="118">
        <v>423</v>
      </c>
      <c r="BA44" s="118">
        <v>97</v>
      </c>
      <c r="BB44" s="118">
        <v>39</v>
      </c>
      <c r="BC44" s="118">
        <f>BC12-BC27</f>
        <v>205</v>
      </c>
    </row>
    <row r="45" spans="1:55" s="233" customFormat="1" hidden="1" outlineLevel="1" x14ac:dyDescent="0.2">
      <c r="A45" s="233" t="s">
        <v>584</v>
      </c>
      <c r="B45" s="233" t="s">
        <v>902</v>
      </c>
      <c r="D45" s="250" t="str">
        <f>IF([1]RENAME!$H$3=1,B45,A45)</f>
        <v>Indenizações de combinação de negócios</v>
      </c>
      <c r="E45" s="218">
        <f t="shared" ref="E45:X45" si="53">+E13-E28</f>
        <v>4899</v>
      </c>
      <c r="F45" s="218">
        <f t="shared" si="53"/>
        <v>5646</v>
      </c>
      <c r="G45" s="219">
        <f t="shared" si="53"/>
        <v>6116</v>
      </c>
      <c r="H45" s="218">
        <f t="shared" si="53"/>
        <v>3768</v>
      </c>
      <c r="I45" s="218">
        <f t="shared" si="53"/>
        <v>4334</v>
      </c>
      <c r="J45" s="218">
        <f t="shared" si="53"/>
        <v>4574</v>
      </c>
      <c r="K45" s="218">
        <f t="shared" si="53"/>
        <v>4803</v>
      </c>
      <c r="L45" s="218">
        <f t="shared" si="53"/>
        <v>4965</v>
      </c>
      <c r="M45" s="218">
        <f t="shared" si="53"/>
        <v>5094</v>
      </c>
      <c r="N45" s="218">
        <f t="shared" si="53"/>
        <v>5179</v>
      </c>
      <c r="O45" s="218">
        <f t="shared" si="53"/>
        <v>5365</v>
      </c>
      <c r="P45" s="218">
        <f t="shared" si="53"/>
        <v>5413</v>
      </c>
      <c r="Q45" s="218">
        <f t="shared" si="53"/>
        <v>5416</v>
      </c>
      <c r="R45" s="218">
        <f t="shared" si="53"/>
        <v>5471</v>
      </c>
      <c r="S45" s="218">
        <f t="shared" si="53"/>
        <v>3704</v>
      </c>
      <c r="T45" s="218">
        <f t="shared" si="53"/>
        <v>0</v>
      </c>
      <c r="U45" s="218">
        <f t="shared" si="53"/>
        <v>0</v>
      </c>
      <c r="V45" s="218">
        <f t="shared" si="53"/>
        <v>0</v>
      </c>
      <c r="W45" s="218">
        <f t="shared" si="53"/>
        <v>0</v>
      </c>
      <c r="X45" s="218">
        <f t="shared" si="53"/>
        <v>0</v>
      </c>
      <c r="Y45" s="218">
        <v>0</v>
      </c>
      <c r="Z45" s="218">
        <v>0</v>
      </c>
      <c r="AA45" s="218"/>
      <c r="AB45" s="218">
        <v>0</v>
      </c>
      <c r="AC45" s="218">
        <v>0</v>
      </c>
      <c r="AD45" s="218">
        <f>AD13-AD28</f>
        <v>0</v>
      </c>
      <c r="AE45" s="218">
        <f t="shared" si="47"/>
        <v>0</v>
      </c>
      <c r="AF45" s="218">
        <f t="shared" si="47"/>
        <v>0</v>
      </c>
      <c r="AG45" s="218">
        <f t="shared" si="48"/>
        <v>0</v>
      </c>
      <c r="AH45" s="218">
        <f t="shared" si="48"/>
        <v>0</v>
      </c>
      <c r="AI45" s="218">
        <f t="shared" si="48"/>
        <v>0</v>
      </c>
      <c r="AJ45" s="218">
        <f t="shared" si="48"/>
        <v>0</v>
      </c>
      <c r="AK45" s="218">
        <f t="shared" si="48"/>
        <v>0</v>
      </c>
      <c r="AL45" s="218">
        <f>AL13-AL28</f>
        <v>0</v>
      </c>
      <c r="AM45" s="218">
        <f t="shared" si="48"/>
        <v>0</v>
      </c>
      <c r="AN45" s="218">
        <f t="shared" si="49"/>
        <v>0</v>
      </c>
      <c r="AO45" s="218">
        <f t="shared" si="49"/>
        <v>0</v>
      </c>
      <c r="AP45" s="218">
        <f t="shared" si="49"/>
        <v>0</v>
      </c>
      <c r="AQ45" s="218">
        <f t="shared" si="49"/>
        <v>0</v>
      </c>
      <c r="AR45" s="218">
        <f t="shared" si="49"/>
        <v>0</v>
      </c>
      <c r="AS45" s="218">
        <f t="shared" si="49"/>
        <v>0</v>
      </c>
      <c r="AT45" s="218">
        <f t="shared" si="49"/>
        <v>0</v>
      </c>
      <c r="AU45" s="218"/>
      <c r="AV45" s="218">
        <f t="shared" si="50"/>
        <v>0</v>
      </c>
      <c r="AW45" s="218"/>
      <c r="AX45" s="218"/>
      <c r="AY45" s="218">
        <f t="shared" si="50"/>
        <v>0</v>
      </c>
      <c r="AZ45" s="218">
        <f t="shared" ref="AZ45:BB46" si="54">AZ13-AZ28</f>
        <v>0</v>
      </c>
      <c r="BA45" s="218">
        <f t="shared" si="54"/>
        <v>0</v>
      </c>
      <c r="BB45" s="218">
        <f t="shared" si="54"/>
        <v>0</v>
      </c>
      <c r="BC45" s="218">
        <f>BC13-BC28</f>
        <v>0</v>
      </c>
    </row>
    <row r="46" spans="1:55" s="233" customFormat="1" hidden="1" outlineLevel="1" x14ac:dyDescent="0.2">
      <c r="A46" s="233" t="s">
        <v>198</v>
      </c>
      <c r="B46" s="233" t="s">
        <v>905</v>
      </c>
      <c r="D46" s="250" t="str">
        <f>IF([1]RENAME!$H$3=1,B46,A46)</f>
        <v>Recuperação de extravio, furtos e roubos</v>
      </c>
      <c r="E46" s="218">
        <f t="shared" ref="E46:X46" si="55">+E14-E29</f>
        <v>4600</v>
      </c>
      <c r="F46" s="218">
        <f t="shared" si="55"/>
        <v>5293</v>
      </c>
      <c r="G46" s="219">
        <f t="shared" si="55"/>
        <v>4302</v>
      </c>
      <c r="H46" s="218">
        <f t="shared" si="55"/>
        <v>2359</v>
      </c>
      <c r="I46" s="218">
        <f t="shared" si="55"/>
        <v>1501</v>
      </c>
      <c r="J46" s="218">
        <f t="shared" si="55"/>
        <v>277</v>
      </c>
      <c r="K46" s="218">
        <f t="shared" si="55"/>
        <v>201</v>
      </c>
      <c r="L46" s="218">
        <f t="shared" si="55"/>
        <v>112</v>
      </c>
      <c r="M46" s="218">
        <f t="shared" si="55"/>
        <v>76</v>
      </c>
      <c r="N46" s="218">
        <f t="shared" si="55"/>
        <v>76</v>
      </c>
      <c r="O46" s="218">
        <f t="shared" si="55"/>
        <v>0</v>
      </c>
      <c r="P46" s="218">
        <f t="shared" si="55"/>
        <v>0</v>
      </c>
      <c r="Q46" s="218">
        <f t="shared" si="55"/>
        <v>0</v>
      </c>
      <c r="R46" s="218">
        <f t="shared" si="55"/>
        <v>0</v>
      </c>
      <c r="S46" s="218">
        <f t="shared" si="55"/>
        <v>0</v>
      </c>
      <c r="T46" s="218">
        <f t="shared" si="55"/>
        <v>0</v>
      </c>
      <c r="U46" s="218">
        <f t="shared" si="55"/>
        <v>0</v>
      </c>
      <c r="V46" s="218">
        <f t="shared" si="55"/>
        <v>0</v>
      </c>
      <c r="W46" s="218">
        <f t="shared" si="55"/>
        <v>0</v>
      </c>
      <c r="X46" s="218">
        <f t="shared" si="55"/>
        <v>0</v>
      </c>
      <c r="Y46" s="218">
        <v>0</v>
      </c>
      <c r="Z46" s="218">
        <v>0</v>
      </c>
      <c r="AA46" s="218"/>
      <c r="AB46" s="218">
        <v>0</v>
      </c>
      <c r="AC46" s="218">
        <v>0</v>
      </c>
      <c r="AD46" s="218">
        <f>AD14-AD29</f>
        <v>0</v>
      </c>
      <c r="AE46" s="218">
        <f t="shared" si="47"/>
        <v>0</v>
      </c>
      <c r="AF46" s="218">
        <f t="shared" si="47"/>
        <v>0</v>
      </c>
      <c r="AG46" s="218">
        <f t="shared" si="48"/>
        <v>0</v>
      </c>
      <c r="AH46" s="218">
        <f t="shared" si="48"/>
        <v>0</v>
      </c>
      <c r="AI46" s="218">
        <f t="shared" si="48"/>
        <v>0</v>
      </c>
      <c r="AJ46" s="218">
        <f t="shared" si="48"/>
        <v>0</v>
      </c>
      <c r="AK46" s="218">
        <f t="shared" si="48"/>
        <v>0</v>
      </c>
      <c r="AL46" s="218">
        <f>AL14-AL29</f>
        <v>0</v>
      </c>
      <c r="AM46" s="218">
        <f t="shared" si="48"/>
        <v>0</v>
      </c>
      <c r="AN46" s="218">
        <f t="shared" si="49"/>
        <v>0</v>
      </c>
      <c r="AO46" s="218">
        <f t="shared" si="49"/>
        <v>0</v>
      </c>
      <c r="AP46" s="218">
        <f t="shared" si="49"/>
        <v>0</v>
      </c>
      <c r="AQ46" s="218">
        <f t="shared" si="49"/>
        <v>0</v>
      </c>
      <c r="AR46" s="218">
        <f t="shared" si="49"/>
        <v>0</v>
      </c>
      <c r="AS46" s="218">
        <f t="shared" si="49"/>
        <v>0</v>
      </c>
      <c r="AT46" s="218">
        <f t="shared" si="49"/>
        <v>0</v>
      </c>
      <c r="AU46" s="218"/>
      <c r="AV46" s="218">
        <f t="shared" si="50"/>
        <v>0</v>
      </c>
      <c r="AW46" s="218"/>
      <c r="AX46" s="218"/>
      <c r="AY46" s="218">
        <f t="shared" si="50"/>
        <v>0</v>
      </c>
      <c r="AZ46" s="218">
        <f t="shared" si="54"/>
        <v>0</v>
      </c>
      <c r="BA46" s="218">
        <f t="shared" si="54"/>
        <v>0</v>
      </c>
      <c r="BB46" s="218">
        <f t="shared" si="54"/>
        <v>0</v>
      </c>
      <c r="BC46" s="218">
        <f>BC14-BC29</f>
        <v>0</v>
      </c>
    </row>
    <row r="47" spans="1:55" s="233" customFormat="1" hidden="1" outlineLevel="1" x14ac:dyDescent="0.2">
      <c r="A47" s="233" t="s">
        <v>193</v>
      </c>
      <c r="B47" s="233" t="s">
        <v>906</v>
      </c>
      <c r="D47" s="250" t="str">
        <f>IF([1]RENAME!$H$3=1,B47,A47)</f>
        <v>Valor a receber venda Direct</v>
      </c>
      <c r="E47" s="218">
        <f t="shared" ref="E47:V47" si="56">+E15-E31</f>
        <v>0</v>
      </c>
      <c r="F47" s="218">
        <f t="shared" si="56"/>
        <v>0</v>
      </c>
      <c r="G47" s="219">
        <f t="shared" si="56"/>
        <v>0</v>
      </c>
      <c r="H47" s="218">
        <f t="shared" si="56"/>
        <v>0</v>
      </c>
      <c r="I47" s="218">
        <f t="shared" si="56"/>
        <v>0</v>
      </c>
      <c r="J47" s="218">
        <f t="shared" si="56"/>
        <v>0</v>
      </c>
      <c r="K47" s="218">
        <f t="shared" si="56"/>
        <v>0</v>
      </c>
      <c r="L47" s="218">
        <f t="shared" si="56"/>
        <v>0</v>
      </c>
      <c r="M47" s="218">
        <f t="shared" si="56"/>
        <v>0</v>
      </c>
      <c r="N47" s="218">
        <f t="shared" si="56"/>
        <v>0</v>
      </c>
      <c r="O47" s="218">
        <f t="shared" si="56"/>
        <v>0</v>
      </c>
      <c r="P47" s="218">
        <f t="shared" si="56"/>
        <v>0</v>
      </c>
      <c r="Q47" s="218">
        <f t="shared" si="56"/>
        <v>0</v>
      </c>
      <c r="R47" s="218">
        <f t="shared" si="56"/>
        <v>0</v>
      </c>
      <c r="S47" s="218">
        <f t="shared" si="56"/>
        <v>0</v>
      </c>
      <c r="T47" s="218">
        <f t="shared" si="56"/>
        <v>0</v>
      </c>
      <c r="U47" s="218">
        <f t="shared" si="56"/>
        <v>0</v>
      </c>
      <c r="V47" s="218">
        <f t="shared" si="56"/>
        <v>0</v>
      </c>
      <c r="W47" s="218">
        <v>0</v>
      </c>
      <c r="X47" s="218">
        <v>0</v>
      </c>
      <c r="Y47" s="218">
        <v>0</v>
      </c>
      <c r="Z47" s="218">
        <v>0</v>
      </c>
      <c r="AA47" s="218"/>
      <c r="AB47" s="218">
        <v>0</v>
      </c>
      <c r="AC47" s="218">
        <v>0</v>
      </c>
      <c r="AD47" s="218">
        <f t="shared" ref="AD47:AM47" si="57">AD15-AD31</f>
        <v>0</v>
      </c>
      <c r="AE47" s="218">
        <f t="shared" si="57"/>
        <v>0</v>
      </c>
      <c r="AF47" s="218">
        <f t="shared" si="57"/>
        <v>0</v>
      </c>
      <c r="AG47" s="218">
        <f t="shared" si="57"/>
        <v>0</v>
      </c>
      <c r="AH47" s="218">
        <f t="shared" si="57"/>
        <v>0</v>
      </c>
      <c r="AI47" s="218">
        <f t="shared" si="57"/>
        <v>0</v>
      </c>
      <c r="AJ47" s="218">
        <f t="shared" si="57"/>
        <v>0</v>
      </c>
      <c r="AK47" s="218">
        <f t="shared" si="57"/>
        <v>0</v>
      </c>
      <c r="AL47" s="218">
        <f>AL15-AL31</f>
        <v>0</v>
      </c>
      <c r="AM47" s="218">
        <f t="shared" si="57"/>
        <v>0</v>
      </c>
      <c r="AN47" s="218">
        <f t="shared" ref="AN47:AT47" si="58">AN15-AN31</f>
        <v>0</v>
      </c>
      <c r="AO47" s="218">
        <f t="shared" si="58"/>
        <v>0</v>
      </c>
      <c r="AP47" s="218">
        <f t="shared" si="58"/>
        <v>0</v>
      </c>
      <c r="AQ47" s="218">
        <f t="shared" si="58"/>
        <v>0</v>
      </c>
      <c r="AR47" s="218">
        <f t="shared" si="58"/>
        <v>0</v>
      </c>
      <c r="AS47" s="218">
        <f t="shared" si="58"/>
        <v>0</v>
      </c>
      <c r="AT47" s="218">
        <f t="shared" si="58"/>
        <v>0</v>
      </c>
      <c r="AU47" s="218"/>
      <c r="AV47" s="218">
        <f>AV15-AV31</f>
        <v>0</v>
      </c>
      <c r="AW47" s="218"/>
      <c r="AX47" s="218"/>
      <c r="AY47" s="218">
        <f>AY15-AY31</f>
        <v>0</v>
      </c>
      <c r="AZ47" s="218">
        <f>AZ15-AZ31</f>
        <v>0</v>
      </c>
      <c r="BA47" s="218">
        <f>BA15-BA31</f>
        <v>0</v>
      </c>
      <c r="BB47" s="218">
        <f>BB15-BB31</f>
        <v>0</v>
      </c>
      <c r="BC47" s="218">
        <f>BC15-BC31</f>
        <v>0</v>
      </c>
    </row>
    <row r="48" spans="1:55" collapsed="1" x14ac:dyDescent="0.2">
      <c r="D48" s="126"/>
      <c r="E48" s="120">
        <f t="shared" ref="E48:X48" si="59">SUM(E38:E47)</f>
        <v>20763</v>
      </c>
      <c r="F48" s="120">
        <f t="shared" si="59"/>
        <v>17664</v>
      </c>
      <c r="G48" s="162">
        <f t="shared" si="59"/>
        <v>15327</v>
      </c>
      <c r="H48" s="120">
        <f t="shared" si="59"/>
        <v>12243</v>
      </c>
      <c r="I48" s="120">
        <f t="shared" si="59"/>
        <v>25132</v>
      </c>
      <c r="J48" s="120">
        <f t="shared" si="59"/>
        <v>24027</v>
      </c>
      <c r="K48" s="120">
        <f t="shared" si="59"/>
        <v>24683</v>
      </c>
      <c r="L48" s="120">
        <f t="shared" si="59"/>
        <v>24865</v>
      </c>
      <c r="M48" s="120">
        <f t="shared" si="59"/>
        <v>25175</v>
      </c>
      <c r="N48" s="120">
        <f t="shared" si="59"/>
        <v>24552</v>
      </c>
      <c r="O48" s="120">
        <f t="shared" si="59"/>
        <v>23046</v>
      </c>
      <c r="P48" s="120">
        <f t="shared" si="59"/>
        <v>22808</v>
      </c>
      <c r="Q48" s="120">
        <f t="shared" si="59"/>
        <v>21233</v>
      </c>
      <c r="R48" s="120">
        <f t="shared" si="59"/>
        <v>22123</v>
      </c>
      <c r="S48" s="120">
        <f t="shared" si="59"/>
        <v>19644</v>
      </c>
      <c r="T48" s="120">
        <f t="shared" si="59"/>
        <v>10179</v>
      </c>
      <c r="U48" s="120">
        <f t="shared" si="59"/>
        <v>2827</v>
      </c>
      <c r="V48" s="120">
        <f t="shared" si="59"/>
        <v>6843</v>
      </c>
      <c r="W48" s="120">
        <f t="shared" si="59"/>
        <v>7174</v>
      </c>
      <c r="X48" s="120">
        <f t="shared" si="59"/>
        <v>8039</v>
      </c>
      <c r="Y48" s="120">
        <f t="shared" ref="Y48:AD48" si="60">SUM(Y38:Y47)</f>
        <v>7651</v>
      </c>
      <c r="Z48" s="120">
        <f t="shared" si="60"/>
        <v>8315</v>
      </c>
      <c r="AA48" s="120">
        <f t="shared" si="60"/>
        <v>8148</v>
      </c>
      <c r="AB48" s="120">
        <f t="shared" si="60"/>
        <v>3482</v>
      </c>
      <c r="AC48" s="120">
        <f t="shared" si="60"/>
        <v>3379</v>
      </c>
      <c r="AD48" s="120">
        <f t="shared" si="60"/>
        <v>2652</v>
      </c>
      <c r="AE48" s="120">
        <f t="shared" ref="AE48:AM48" si="61">SUM(AE38:AE47)</f>
        <v>4078</v>
      </c>
      <c r="AF48" s="120">
        <f t="shared" si="61"/>
        <v>4816</v>
      </c>
      <c r="AG48" s="120">
        <f t="shared" si="61"/>
        <v>4469</v>
      </c>
      <c r="AH48" s="120">
        <f t="shared" si="61"/>
        <v>4695</v>
      </c>
      <c r="AI48" s="120">
        <f t="shared" si="61"/>
        <v>2467</v>
      </c>
      <c r="AJ48" s="120">
        <f t="shared" si="61"/>
        <v>3185</v>
      </c>
      <c r="AK48" s="120">
        <f t="shared" si="61"/>
        <v>2892</v>
      </c>
      <c r="AL48" s="120">
        <f>SUM(AL38:AL47)</f>
        <v>3578</v>
      </c>
      <c r="AM48" s="120">
        <f t="shared" si="61"/>
        <v>4504</v>
      </c>
      <c r="AN48" s="120">
        <f t="shared" ref="AN48:AU48" si="62">SUM(AN38:AN47)</f>
        <v>9197</v>
      </c>
      <c r="AO48" s="120">
        <f t="shared" si="62"/>
        <v>7676</v>
      </c>
      <c r="AP48" s="120">
        <f t="shared" si="62"/>
        <v>5747</v>
      </c>
      <c r="AQ48" s="120">
        <f t="shared" si="62"/>
        <v>4928</v>
      </c>
      <c r="AR48" s="120">
        <f t="shared" si="62"/>
        <v>4980</v>
      </c>
      <c r="AS48" s="120">
        <f t="shared" si="62"/>
        <v>3976</v>
      </c>
      <c r="AT48" s="120">
        <f t="shared" si="62"/>
        <v>3898</v>
      </c>
      <c r="AU48" s="120">
        <f t="shared" si="62"/>
        <v>3819</v>
      </c>
      <c r="AV48" s="120">
        <f t="shared" ref="AV48:BA48" si="63">SUM(AV38:AV47)</f>
        <v>3154</v>
      </c>
      <c r="AW48" s="120">
        <f t="shared" si="63"/>
        <v>3683</v>
      </c>
      <c r="AX48" s="120">
        <f t="shared" si="63"/>
        <v>3498</v>
      </c>
      <c r="AY48" s="120">
        <f t="shared" si="63"/>
        <v>3771</v>
      </c>
      <c r="AZ48" s="120">
        <f t="shared" si="63"/>
        <v>13609</v>
      </c>
      <c r="BA48" s="120">
        <f t="shared" si="63"/>
        <v>4412</v>
      </c>
      <c r="BB48" s="120">
        <f>SUM(BB38:BB47)</f>
        <v>3375</v>
      </c>
      <c r="BC48" s="120">
        <f>SUM(BC38:BC47)</f>
        <v>7409</v>
      </c>
    </row>
    <row r="49" spans="1:55" x14ac:dyDescent="0.2">
      <c r="A49" t="s">
        <v>201</v>
      </c>
      <c r="B49" t="s">
        <v>907</v>
      </c>
      <c r="D49" s="129" t="str">
        <f>IF([1]RENAME!$H$3=1,B49,A49)</f>
        <v>Circulante</v>
      </c>
      <c r="E49" s="118">
        <f t="shared" ref="E49:P49" si="64">+E17-E33</f>
        <v>29210</v>
      </c>
      <c r="F49" s="118">
        <f t="shared" si="64"/>
        <v>17664</v>
      </c>
      <c r="G49" s="160">
        <f t="shared" si="64"/>
        <v>15327</v>
      </c>
      <c r="H49" s="118">
        <f t="shared" si="64"/>
        <v>134784</v>
      </c>
      <c r="I49" s="118">
        <f t="shared" si="64"/>
        <v>11761</v>
      </c>
      <c r="J49" s="118">
        <f t="shared" si="64"/>
        <v>10656</v>
      </c>
      <c r="K49" s="118">
        <f t="shared" si="64"/>
        <v>11312</v>
      </c>
      <c r="L49" s="118">
        <f t="shared" si="64"/>
        <v>11494</v>
      </c>
      <c r="M49" s="118">
        <f t="shared" si="64"/>
        <v>11804</v>
      </c>
      <c r="N49" s="118">
        <f t="shared" si="64"/>
        <v>11181</v>
      </c>
      <c r="O49" s="118">
        <f t="shared" si="64"/>
        <v>9675</v>
      </c>
      <c r="P49" s="118">
        <f t="shared" si="64"/>
        <v>9437</v>
      </c>
      <c r="Q49" s="118">
        <v>7749</v>
      </c>
      <c r="R49" s="118">
        <v>7153</v>
      </c>
      <c r="S49" s="118">
        <v>4641</v>
      </c>
      <c r="T49" s="118">
        <v>907</v>
      </c>
      <c r="U49" s="118">
        <f t="shared" ref="U49:X50" si="65">+U17-U33</f>
        <v>920</v>
      </c>
      <c r="V49" s="118">
        <f t="shared" si="65"/>
        <v>1020</v>
      </c>
      <c r="W49" s="118">
        <f t="shared" si="65"/>
        <v>1394</v>
      </c>
      <c r="X49" s="118">
        <f t="shared" si="65"/>
        <v>1636</v>
      </c>
      <c r="Y49" s="118">
        <v>1446</v>
      </c>
      <c r="Z49" s="118">
        <v>2102</v>
      </c>
      <c r="AA49" s="118">
        <v>1484</v>
      </c>
      <c r="AB49" s="118">
        <v>2178</v>
      </c>
      <c r="AC49" s="118">
        <v>2074</v>
      </c>
      <c r="AD49" s="118">
        <v>1348</v>
      </c>
      <c r="AE49" s="118">
        <f t="shared" ref="AE49:AG50" si="66">AE17-AE33</f>
        <v>2774</v>
      </c>
      <c r="AF49" s="118">
        <f t="shared" si="66"/>
        <v>3511</v>
      </c>
      <c r="AG49" s="118">
        <f t="shared" si="66"/>
        <v>3165</v>
      </c>
      <c r="AH49" s="118">
        <f t="shared" ref="AH49:AM50" si="67">AH17-AH33</f>
        <v>3390</v>
      </c>
      <c r="AI49" s="118">
        <f t="shared" si="67"/>
        <v>1162</v>
      </c>
      <c r="AJ49" s="118">
        <f t="shared" si="67"/>
        <v>1881</v>
      </c>
      <c r="AK49" s="118">
        <f t="shared" si="67"/>
        <v>1431</v>
      </c>
      <c r="AL49" s="118">
        <f>AL17-AL33</f>
        <v>2117</v>
      </c>
      <c r="AM49" s="118">
        <f t="shared" si="67"/>
        <v>3042</v>
      </c>
      <c r="AN49" s="118">
        <f t="shared" ref="AN49:AT50" si="68">AN17-AN33</f>
        <v>7736</v>
      </c>
      <c r="AO49" s="118">
        <f t="shared" si="68"/>
        <v>6216</v>
      </c>
      <c r="AP49" s="118">
        <f t="shared" si="68"/>
        <v>4286</v>
      </c>
      <c r="AQ49" s="118">
        <f t="shared" si="68"/>
        <v>3916</v>
      </c>
      <c r="AR49" s="118">
        <f t="shared" si="68"/>
        <v>3967</v>
      </c>
      <c r="AS49" s="118">
        <f t="shared" si="68"/>
        <v>2964</v>
      </c>
      <c r="AT49" s="118">
        <f t="shared" si="68"/>
        <v>2886</v>
      </c>
      <c r="AU49" s="118">
        <v>3222</v>
      </c>
      <c r="AV49" s="118">
        <f>AV17-AV33</f>
        <v>2557</v>
      </c>
      <c r="AW49" s="118">
        <v>3016</v>
      </c>
      <c r="AX49" s="118">
        <f>AX17-AX33</f>
        <v>2831</v>
      </c>
      <c r="AY49" s="118">
        <f>AY17-AY33</f>
        <v>3104</v>
      </c>
      <c r="AZ49" s="118">
        <v>12942</v>
      </c>
      <c r="BA49" s="118">
        <v>3745</v>
      </c>
      <c r="BB49" s="118">
        <v>2708</v>
      </c>
      <c r="BC49" s="118">
        <f>BC17-BC33</f>
        <v>6742</v>
      </c>
    </row>
    <row r="50" spans="1:55" x14ac:dyDescent="0.2">
      <c r="A50" t="s">
        <v>187</v>
      </c>
      <c r="B50" t="s">
        <v>908</v>
      </c>
      <c r="D50" s="129" t="str">
        <f>IF([1]RENAME!$H$3=1,B50,A50)</f>
        <v>Não circulante</v>
      </c>
      <c r="E50" s="118">
        <f t="shared" ref="E50:P50" si="69">+E18-E34</f>
        <v>0</v>
      </c>
      <c r="F50" s="118">
        <f t="shared" si="69"/>
        <v>0</v>
      </c>
      <c r="G50" s="160">
        <f t="shared" si="69"/>
        <v>0</v>
      </c>
      <c r="H50" s="118">
        <f t="shared" si="69"/>
        <v>13371</v>
      </c>
      <c r="I50" s="118">
        <f t="shared" si="69"/>
        <v>13371</v>
      </c>
      <c r="J50" s="118">
        <f t="shared" si="69"/>
        <v>13371</v>
      </c>
      <c r="K50" s="118">
        <f t="shared" si="69"/>
        <v>13371</v>
      </c>
      <c r="L50" s="118">
        <f t="shared" si="69"/>
        <v>13371</v>
      </c>
      <c r="M50" s="118">
        <f t="shared" si="69"/>
        <v>13371</v>
      </c>
      <c r="N50" s="118">
        <f t="shared" si="69"/>
        <v>13371</v>
      </c>
      <c r="O50" s="118">
        <f t="shared" si="69"/>
        <v>13371</v>
      </c>
      <c r="P50" s="118">
        <f t="shared" si="69"/>
        <v>13371</v>
      </c>
      <c r="Q50" s="118">
        <v>13371</v>
      </c>
      <c r="R50" s="118">
        <v>13371</v>
      </c>
      <c r="S50" s="118">
        <v>15004</v>
      </c>
      <c r="T50" s="118">
        <v>9272</v>
      </c>
      <c r="U50" s="118">
        <f t="shared" si="65"/>
        <v>1907</v>
      </c>
      <c r="V50" s="118">
        <f t="shared" si="65"/>
        <v>5823</v>
      </c>
      <c r="W50" s="118">
        <f t="shared" si="65"/>
        <v>5780</v>
      </c>
      <c r="X50" s="118">
        <f t="shared" si="65"/>
        <v>6406</v>
      </c>
      <c r="Y50" s="118">
        <v>6205</v>
      </c>
      <c r="Z50" s="118">
        <v>6213</v>
      </c>
      <c r="AA50" s="118">
        <v>6664</v>
      </c>
      <c r="AB50" s="118">
        <v>1304</v>
      </c>
      <c r="AC50" s="118">
        <v>1305</v>
      </c>
      <c r="AD50" s="118">
        <v>1304</v>
      </c>
      <c r="AE50" s="118">
        <f t="shared" si="66"/>
        <v>1304</v>
      </c>
      <c r="AF50" s="118">
        <f t="shared" si="66"/>
        <v>1305</v>
      </c>
      <c r="AG50" s="118">
        <f t="shared" si="66"/>
        <v>1304</v>
      </c>
      <c r="AH50" s="118">
        <f t="shared" si="67"/>
        <v>1305</v>
      </c>
      <c r="AI50" s="118">
        <f t="shared" si="67"/>
        <v>1305</v>
      </c>
      <c r="AJ50" s="118">
        <f t="shared" si="67"/>
        <v>1304</v>
      </c>
      <c r="AK50" s="118">
        <f t="shared" si="67"/>
        <v>1461</v>
      </c>
      <c r="AL50" s="118">
        <v>845</v>
      </c>
      <c r="AM50" s="118">
        <f t="shared" si="67"/>
        <v>1462</v>
      </c>
      <c r="AN50" s="118">
        <f t="shared" si="68"/>
        <v>1461</v>
      </c>
      <c r="AO50" s="118">
        <f t="shared" si="68"/>
        <v>1460</v>
      </c>
      <c r="AP50" s="118">
        <f t="shared" si="68"/>
        <v>1461</v>
      </c>
      <c r="AQ50" s="118">
        <f t="shared" si="68"/>
        <v>1012</v>
      </c>
      <c r="AR50" s="118">
        <f t="shared" si="68"/>
        <v>1013</v>
      </c>
      <c r="AS50" s="118">
        <f t="shared" si="68"/>
        <v>1012</v>
      </c>
      <c r="AT50" s="118">
        <f t="shared" si="68"/>
        <v>1012</v>
      </c>
      <c r="AU50" s="118">
        <v>597</v>
      </c>
      <c r="AV50" s="118">
        <f>AV18-AV34</f>
        <v>597</v>
      </c>
      <c r="AW50" s="118">
        <v>667</v>
      </c>
      <c r="AX50" s="118">
        <f>AX18-AX34</f>
        <v>667</v>
      </c>
      <c r="AY50" s="118">
        <f>AY18-AY34</f>
        <v>667</v>
      </c>
      <c r="AZ50" s="118">
        <v>667</v>
      </c>
      <c r="BA50" s="118">
        <v>667</v>
      </c>
      <c r="BB50" s="118">
        <v>667</v>
      </c>
      <c r="BC50" s="118">
        <f>BC18-BC34</f>
        <v>667</v>
      </c>
    </row>
    <row r="51" spans="1:55" x14ac:dyDescent="0.2">
      <c r="D51" s="126"/>
      <c r="E51" s="120">
        <f t="shared" ref="E51:M51" si="70">SUM(E49:E50)</f>
        <v>29210</v>
      </c>
      <c r="F51" s="120">
        <f t="shared" si="70"/>
        <v>17664</v>
      </c>
      <c r="G51" s="162">
        <f t="shared" si="70"/>
        <v>15327</v>
      </c>
      <c r="H51" s="120">
        <f t="shared" si="70"/>
        <v>148155</v>
      </c>
      <c r="I51" s="120">
        <f t="shared" si="70"/>
        <v>25132</v>
      </c>
      <c r="J51" s="120">
        <f t="shared" si="70"/>
        <v>24027</v>
      </c>
      <c r="K51" s="120">
        <f t="shared" si="70"/>
        <v>24683</v>
      </c>
      <c r="L51" s="120">
        <f t="shared" si="70"/>
        <v>24865</v>
      </c>
      <c r="M51" s="120">
        <f t="shared" si="70"/>
        <v>25175</v>
      </c>
      <c r="N51" s="120">
        <f t="shared" ref="N51:AC51" si="71">SUM(N49:N50)</f>
        <v>24552</v>
      </c>
      <c r="O51" s="120">
        <f t="shared" si="71"/>
        <v>23046</v>
      </c>
      <c r="P51" s="120">
        <f t="shared" si="71"/>
        <v>22808</v>
      </c>
      <c r="Q51" s="120">
        <f t="shared" si="71"/>
        <v>21120</v>
      </c>
      <c r="R51" s="120">
        <f t="shared" si="71"/>
        <v>20524</v>
      </c>
      <c r="S51" s="120">
        <f t="shared" si="71"/>
        <v>19645</v>
      </c>
      <c r="T51" s="120">
        <f t="shared" si="71"/>
        <v>10179</v>
      </c>
      <c r="U51" s="120">
        <f t="shared" si="71"/>
        <v>2827</v>
      </c>
      <c r="V51" s="120">
        <f t="shared" si="71"/>
        <v>6843</v>
      </c>
      <c r="W51" s="120">
        <f t="shared" si="71"/>
        <v>7174</v>
      </c>
      <c r="X51" s="120">
        <f t="shared" si="71"/>
        <v>8042</v>
      </c>
      <c r="Y51" s="120">
        <f t="shared" si="71"/>
        <v>7651</v>
      </c>
      <c r="Z51" s="120">
        <f t="shared" si="71"/>
        <v>8315</v>
      </c>
      <c r="AA51" s="120">
        <f t="shared" si="71"/>
        <v>8148</v>
      </c>
      <c r="AB51" s="120">
        <f t="shared" si="71"/>
        <v>3482</v>
      </c>
      <c r="AC51" s="120">
        <f t="shared" si="71"/>
        <v>3379</v>
      </c>
      <c r="AD51" s="120">
        <f t="shared" ref="AD51:AM51" si="72">SUM(AD49:AD50)</f>
        <v>2652</v>
      </c>
      <c r="AE51" s="120">
        <f t="shared" si="72"/>
        <v>4078</v>
      </c>
      <c r="AF51" s="120">
        <f t="shared" si="72"/>
        <v>4816</v>
      </c>
      <c r="AG51" s="120">
        <f t="shared" si="72"/>
        <v>4469</v>
      </c>
      <c r="AH51" s="120">
        <f t="shared" si="72"/>
        <v>4695</v>
      </c>
      <c r="AI51" s="120">
        <f t="shared" si="72"/>
        <v>2467</v>
      </c>
      <c r="AJ51" s="120">
        <f t="shared" si="72"/>
        <v>3185</v>
      </c>
      <c r="AK51" s="120">
        <f t="shared" si="72"/>
        <v>2892</v>
      </c>
      <c r="AL51" s="120">
        <f>SUM(AL49:AL50)</f>
        <v>2962</v>
      </c>
      <c r="AM51" s="120">
        <f t="shared" si="72"/>
        <v>4504</v>
      </c>
      <c r="AN51" s="120">
        <f t="shared" ref="AN51:AU51" si="73">SUM(AN49:AN50)</f>
        <v>9197</v>
      </c>
      <c r="AO51" s="120">
        <f t="shared" si="73"/>
        <v>7676</v>
      </c>
      <c r="AP51" s="120">
        <f t="shared" si="73"/>
        <v>5747</v>
      </c>
      <c r="AQ51" s="120">
        <f t="shared" si="73"/>
        <v>4928</v>
      </c>
      <c r="AR51" s="120">
        <f t="shared" si="73"/>
        <v>4980</v>
      </c>
      <c r="AS51" s="120">
        <f t="shared" si="73"/>
        <v>3976</v>
      </c>
      <c r="AT51" s="120">
        <f t="shared" si="73"/>
        <v>3898</v>
      </c>
      <c r="AU51" s="120">
        <f t="shared" si="73"/>
        <v>3819</v>
      </c>
      <c r="AV51" s="120">
        <f>SUM(AV49:AV50)</f>
        <v>3154</v>
      </c>
      <c r="AW51" s="120">
        <f>SUM(AW49:AW50)</f>
        <v>3683</v>
      </c>
      <c r="AX51" s="120">
        <v>3498</v>
      </c>
      <c r="AY51" s="120">
        <f>SUM(AY49:AY50)</f>
        <v>3771</v>
      </c>
      <c r="AZ51" s="120">
        <f>SUM(AZ49:AZ50)</f>
        <v>13609</v>
      </c>
      <c r="BA51" s="120">
        <f>SUM(BA49:BA50)</f>
        <v>4412</v>
      </c>
      <c r="BB51" s="120">
        <f>SUM(BB49:BB50)</f>
        <v>3375</v>
      </c>
      <c r="BC51" s="120">
        <f>SUM(BC49:BC50)</f>
        <v>7409</v>
      </c>
    </row>
  </sheetData>
  <mergeCells count="1">
    <mergeCell ref="E4:F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L35" evalError="1"/>
    <ignoredError sqref="F48:L48" formula="1"/>
  </ignoredError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9">
    <pageSetUpPr autoPageBreaks="0"/>
  </sheetPr>
  <dimension ref="A1:BC202"/>
  <sheetViews>
    <sheetView showGridLines="0" workbookViewId="0">
      <pane xSplit="4" ySplit="5" topLeftCell="AH6" activePane="bottomRight" state="frozen"/>
      <selection activeCell="AY7" sqref="AY7"/>
      <selection pane="topRight" activeCell="AY7" sqref="AY7"/>
      <selection pane="bottomLeft" activeCell="AY7" sqref="AY7"/>
      <selection pane="bottomRight" activeCell="AZ18" sqref="AZ18:BC18"/>
    </sheetView>
  </sheetViews>
  <sheetFormatPr defaultColWidth="9.140625" defaultRowHeight="14.25" outlineLevelRow="1" x14ac:dyDescent="0.2"/>
  <cols>
    <col min="1" max="2" width="9.140625" style="25" hidden="1" customWidth="1"/>
    <col min="3" max="3" width="1.42578125" style="25" customWidth="1"/>
    <col min="4" max="4" width="37.85546875" style="25" customWidth="1"/>
    <col min="5" max="24" width="10.85546875" style="25" customWidth="1"/>
    <col min="25" max="16384" width="9.140625" style="25"/>
  </cols>
  <sheetData>
    <row r="1" spans="1:55" s="552" customFormat="1" x14ac:dyDescent="0.2">
      <c r="E1" s="553">
        <v>2013</v>
      </c>
      <c r="F1" s="553" t="s">
        <v>45</v>
      </c>
      <c r="G1" s="553" t="str">
        <f>IF(LEFT(F1,1)="4","1T"&amp;RIGHT(F1,2)+1,LEFT(F1,1)+1&amp;RIGHT(F1,3))</f>
        <v>2T14</v>
      </c>
      <c r="H1" s="553" t="str">
        <f t="shared" ref="H1:W1" si="0">IF(LEFT(G1,1)="4","1T"&amp;RIGHT(G1,2)+1,LEFT(G1,1)+1&amp;RIGHT(G1,3))</f>
        <v>3T14</v>
      </c>
      <c r="I1" s="547" t="str">
        <f t="shared" si="0"/>
        <v>4T14</v>
      </c>
      <c r="J1" s="547" t="str">
        <f t="shared" si="0"/>
        <v>1T15</v>
      </c>
      <c r="K1" s="547" t="str">
        <f t="shared" si="0"/>
        <v>2T15</v>
      </c>
      <c r="L1" s="547" t="str">
        <f t="shared" si="0"/>
        <v>3T15</v>
      </c>
      <c r="M1" s="547" t="str">
        <f t="shared" si="0"/>
        <v>4T15</v>
      </c>
      <c r="N1" s="547" t="str">
        <f t="shared" si="0"/>
        <v>1T16</v>
      </c>
      <c r="O1" s="547" t="str">
        <f t="shared" si="0"/>
        <v>2T16</v>
      </c>
      <c r="P1" s="547" t="str">
        <f t="shared" si="0"/>
        <v>3T16</v>
      </c>
      <c r="Q1" s="547" t="str">
        <f t="shared" si="0"/>
        <v>4T16</v>
      </c>
      <c r="R1" s="547" t="str">
        <f t="shared" si="0"/>
        <v>1T17</v>
      </c>
      <c r="S1" s="547" t="str">
        <f t="shared" si="0"/>
        <v>2T17</v>
      </c>
      <c r="T1" s="547" t="str">
        <f t="shared" si="0"/>
        <v>3T17</v>
      </c>
      <c r="U1" s="547" t="str">
        <f t="shared" si="0"/>
        <v>4T17</v>
      </c>
      <c r="V1" s="547" t="str">
        <f t="shared" si="0"/>
        <v>1T18</v>
      </c>
      <c r="W1" s="547" t="str">
        <f t="shared" si="0"/>
        <v>2T18</v>
      </c>
      <c r="X1" s="547" t="str">
        <f t="shared" ref="X1:AG1" si="1">IF(LEFT(W1,1)="4","1T"&amp;RIGHT(W1,2)+1,LEFT(W1,1)+1&amp;RIGHT(W1,3))</f>
        <v>3T18</v>
      </c>
      <c r="Y1" s="547" t="str">
        <f t="shared" si="1"/>
        <v>4T18</v>
      </c>
      <c r="Z1" s="547" t="str">
        <f t="shared" si="1"/>
        <v>1T19</v>
      </c>
      <c r="AA1" s="547" t="str">
        <f t="shared" si="1"/>
        <v>2T19</v>
      </c>
      <c r="AB1" s="547" t="str">
        <f t="shared" si="1"/>
        <v>3T19</v>
      </c>
      <c r="AC1" s="547" t="s">
        <v>1411</v>
      </c>
      <c r="AD1" s="547" t="str">
        <f t="shared" si="1"/>
        <v>1T20</v>
      </c>
      <c r="AE1" s="547" t="str">
        <f t="shared" si="1"/>
        <v>2T20</v>
      </c>
      <c r="AF1" s="547" t="str">
        <f t="shared" si="1"/>
        <v>3T20</v>
      </c>
      <c r="AG1" s="547" t="str">
        <f t="shared" si="1"/>
        <v>4T20</v>
      </c>
      <c r="AH1" s="547" t="str">
        <f t="shared" ref="AH1:AT1" si="2">IF(LEFT(AG1,1)="4","1T"&amp;RIGHT(AG1,2)+1,LEFT(AG1,1)+1&amp;RIGHT(AG1,3))</f>
        <v>1T21</v>
      </c>
      <c r="AI1" s="547" t="str">
        <f t="shared" si="2"/>
        <v>2T21</v>
      </c>
      <c r="AJ1" s="547" t="str">
        <f t="shared" si="2"/>
        <v>3T21</v>
      </c>
      <c r="AK1" s="547" t="str">
        <f t="shared" si="2"/>
        <v>4T21</v>
      </c>
      <c r="AL1" s="547" t="str">
        <f t="shared" si="2"/>
        <v>1T22</v>
      </c>
      <c r="AM1" s="547" t="str">
        <f t="shared" si="2"/>
        <v>2T22</v>
      </c>
      <c r="AN1" s="547" t="str">
        <f t="shared" si="2"/>
        <v>3T22</v>
      </c>
      <c r="AO1" s="547" t="str">
        <f t="shared" si="2"/>
        <v>4T22</v>
      </c>
      <c r="AP1" s="547" t="str">
        <f t="shared" si="2"/>
        <v>1T23</v>
      </c>
      <c r="AQ1" s="547" t="str">
        <f t="shared" si="2"/>
        <v>2T23</v>
      </c>
      <c r="AR1" s="547" t="str">
        <f t="shared" si="2"/>
        <v>3T23</v>
      </c>
      <c r="AS1" s="547" t="str">
        <f t="shared" si="2"/>
        <v>4T23</v>
      </c>
      <c r="AT1" s="547" t="str">
        <f t="shared" si="2"/>
        <v>1T24</v>
      </c>
      <c r="AU1" s="547" t="str">
        <f t="shared" ref="AU1:BC1" si="3">IF(LEFT(AT1,1)="4","1T"&amp;RIGHT(AT1,2)+1,LEFT(AT1,1)+1&amp;RIGHT(AT1,3))</f>
        <v>2T24</v>
      </c>
      <c r="AV1" s="547" t="str">
        <f t="shared" si="3"/>
        <v>3T24</v>
      </c>
      <c r="AW1" s="547" t="str">
        <f t="shared" si="3"/>
        <v>4T24</v>
      </c>
      <c r="AX1" s="547" t="str">
        <f t="shared" si="3"/>
        <v>1T25</v>
      </c>
      <c r="AY1" s="547" t="str">
        <f t="shared" si="3"/>
        <v>2T25</v>
      </c>
      <c r="AZ1" s="547" t="str">
        <f t="shared" si="3"/>
        <v>3T25</v>
      </c>
      <c r="BA1" s="547" t="str">
        <f t="shared" si="3"/>
        <v>4T25</v>
      </c>
      <c r="BB1" s="547" t="str">
        <f t="shared" si="3"/>
        <v>1T26</v>
      </c>
      <c r="BC1" s="547" t="str">
        <f t="shared" si="3"/>
        <v>2T26</v>
      </c>
    </row>
    <row r="2" spans="1:55" s="552" customFormat="1" ht="12.75" customHeight="1" x14ac:dyDescent="0.2">
      <c r="E2" s="547" t="str">
        <f>SUBSTITUTE(E1,"T","Q")</f>
        <v>2013</v>
      </c>
      <c r="F2" s="547" t="str">
        <f>SUBSTITUTE(F1,"T","Q")</f>
        <v>1Q14</v>
      </c>
      <c r="G2" s="547" t="str">
        <f>SUBSTITUTE(G1,"T","Q")</f>
        <v>2Q14</v>
      </c>
      <c r="H2" s="547" t="str">
        <f t="shared" ref="H2:T2" si="4">SUBSTITUTE(H1,"T","Q")</f>
        <v>3Q14</v>
      </c>
      <c r="I2" s="547" t="str">
        <f t="shared" si="4"/>
        <v>4Q14</v>
      </c>
      <c r="J2" s="547" t="str">
        <f t="shared" si="4"/>
        <v>1Q15</v>
      </c>
      <c r="K2" s="547" t="str">
        <f t="shared" si="4"/>
        <v>2Q15</v>
      </c>
      <c r="L2" s="547" t="str">
        <f t="shared" si="4"/>
        <v>3Q15</v>
      </c>
      <c r="M2" s="547" t="str">
        <f t="shared" si="4"/>
        <v>4Q15</v>
      </c>
      <c r="N2" s="547" t="str">
        <f t="shared" si="4"/>
        <v>1Q16</v>
      </c>
      <c r="O2" s="547" t="str">
        <f t="shared" si="4"/>
        <v>2Q16</v>
      </c>
      <c r="P2" s="547" t="str">
        <f t="shared" si="4"/>
        <v>3Q16</v>
      </c>
      <c r="Q2" s="547" t="str">
        <f t="shared" si="4"/>
        <v>4Q16</v>
      </c>
      <c r="R2" s="547" t="str">
        <f t="shared" si="4"/>
        <v>1Q17</v>
      </c>
      <c r="S2" s="547" t="str">
        <f t="shared" si="4"/>
        <v>2Q17</v>
      </c>
      <c r="T2" s="547" t="str">
        <f t="shared" si="4"/>
        <v>3Q17</v>
      </c>
      <c r="U2" s="547" t="str">
        <f t="shared" ref="U2:Z2" si="5">SUBSTITUTE(U1,"T","Q")</f>
        <v>4Q17</v>
      </c>
      <c r="V2" s="547" t="str">
        <f t="shared" si="5"/>
        <v>1Q18</v>
      </c>
      <c r="W2" s="547" t="str">
        <f t="shared" si="5"/>
        <v>2Q18</v>
      </c>
      <c r="X2" s="547" t="str">
        <f t="shared" si="5"/>
        <v>3Q18</v>
      </c>
      <c r="Y2" s="547" t="str">
        <f t="shared" si="5"/>
        <v>4Q18</v>
      </c>
      <c r="Z2" s="547" t="str">
        <f t="shared" si="5"/>
        <v>1Q19</v>
      </c>
      <c r="AA2" s="547" t="str">
        <f>SUBSTITUTE(AA1,"T","Q")</f>
        <v>2Q19</v>
      </c>
      <c r="AB2" s="547" t="str">
        <f>SUBSTITUTE(AB1,"T","Q")</f>
        <v>3Q19</v>
      </c>
      <c r="AC2" s="547" t="s">
        <v>1514</v>
      </c>
      <c r="AD2" s="547" t="str">
        <f t="shared" ref="AD2:AM2" si="6">SUBSTITUTE(AD1,"T","Q")</f>
        <v>1Q20</v>
      </c>
      <c r="AE2" s="547" t="str">
        <f t="shared" si="6"/>
        <v>2Q20</v>
      </c>
      <c r="AF2" s="547" t="str">
        <f t="shared" si="6"/>
        <v>3Q20</v>
      </c>
      <c r="AG2" s="547" t="str">
        <f t="shared" si="6"/>
        <v>4Q20</v>
      </c>
      <c r="AH2" s="547" t="str">
        <f t="shared" si="6"/>
        <v>1Q21</v>
      </c>
      <c r="AI2" s="547" t="str">
        <f t="shared" si="6"/>
        <v>2Q21</v>
      </c>
      <c r="AJ2" s="547" t="str">
        <f t="shared" si="6"/>
        <v>3Q21</v>
      </c>
      <c r="AK2" s="547" t="str">
        <f t="shared" si="6"/>
        <v>4Q21</v>
      </c>
      <c r="AL2" s="547" t="str">
        <f t="shared" si="6"/>
        <v>1Q22</v>
      </c>
      <c r="AM2" s="547" t="str">
        <f t="shared" si="6"/>
        <v>2Q22</v>
      </c>
      <c r="AN2" s="547" t="str">
        <f t="shared" ref="AN2:AT2" si="7">SUBSTITUTE(AN1,"T","Q")</f>
        <v>3Q22</v>
      </c>
      <c r="AO2" s="547" t="str">
        <f t="shared" si="7"/>
        <v>4Q22</v>
      </c>
      <c r="AP2" s="547" t="str">
        <f t="shared" si="7"/>
        <v>1Q23</v>
      </c>
      <c r="AQ2" s="547" t="str">
        <f t="shared" si="7"/>
        <v>2Q23</v>
      </c>
      <c r="AR2" s="547" t="str">
        <f t="shared" si="7"/>
        <v>3Q23</v>
      </c>
      <c r="AS2" s="547" t="str">
        <f t="shared" si="7"/>
        <v>4Q23</v>
      </c>
      <c r="AT2" s="547" t="str">
        <f t="shared" si="7"/>
        <v>1Q24</v>
      </c>
      <c r="AU2" s="547" t="str">
        <f t="shared" ref="AU2:BC2" si="8">SUBSTITUTE(AU1,"T","Q")</f>
        <v>2Q24</v>
      </c>
      <c r="AV2" s="547" t="str">
        <f t="shared" si="8"/>
        <v>3Q24</v>
      </c>
      <c r="AW2" s="547" t="str">
        <f t="shared" si="8"/>
        <v>4Q24</v>
      </c>
      <c r="AX2" s="547" t="str">
        <f t="shared" si="8"/>
        <v>1Q25</v>
      </c>
      <c r="AY2" s="547" t="str">
        <f t="shared" si="8"/>
        <v>2Q25</v>
      </c>
      <c r="AZ2" s="547" t="str">
        <f t="shared" si="8"/>
        <v>3Q25</v>
      </c>
      <c r="BA2" s="547" t="str">
        <f t="shared" si="8"/>
        <v>4Q25</v>
      </c>
      <c r="BB2" s="547" t="str">
        <f>SUBSTITUTE(BB1,"T","Q")</f>
        <v>1Q26</v>
      </c>
      <c r="BC2" s="547" t="str">
        <f t="shared" si="8"/>
        <v>2Q26</v>
      </c>
    </row>
    <row r="3" spans="1:55" ht="12.75" customHeight="1" x14ac:dyDescent="0.2">
      <c r="Y3" s="352"/>
      <c r="Z3" s="352"/>
      <c r="AA3" s="352"/>
      <c r="AB3" s="352"/>
      <c r="AC3" s="352"/>
      <c r="AD3" s="352"/>
      <c r="AE3" s="352"/>
      <c r="AF3" s="352"/>
      <c r="AG3" s="352"/>
      <c r="AH3" s="352"/>
      <c r="AI3" s="352"/>
      <c r="AJ3" s="552"/>
      <c r="AK3" s="552"/>
      <c r="AL3" s="552"/>
      <c r="AM3" s="552"/>
      <c r="AN3" s="552"/>
      <c r="AO3" s="552"/>
      <c r="AP3" s="552"/>
      <c r="AQ3" s="552"/>
      <c r="AR3" s="552"/>
      <c r="AS3" s="552"/>
      <c r="AT3" s="552"/>
      <c r="AU3" s="552"/>
      <c r="AV3" s="552"/>
      <c r="AW3" s="552"/>
      <c r="AX3" s="552"/>
      <c r="AY3" s="552"/>
      <c r="AZ3" s="552"/>
      <c r="BA3" s="552"/>
      <c r="BB3" s="552"/>
      <c r="BC3" s="552"/>
    </row>
    <row r="4" spans="1:55" ht="12.75" customHeight="1" x14ac:dyDescent="0.2">
      <c r="E4" s="1253" t="str">
        <f>IF([1]RENAME!$H$3=1,"&lt;== with Direct Express","&lt;== Com Direct Express")</f>
        <v>&lt;== Com Direct Express</v>
      </c>
      <c r="F4" s="1254"/>
      <c r="G4" s="224" t="str">
        <f>IF([1]RENAME!$H$3=1,"without Direct Express ==&gt;","Sem Direct Express ==&gt;")</f>
        <v>Sem Direct Express ==&gt;</v>
      </c>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row>
    <row r="5" spans="1:55" ht="15.75" customHeight="1" x14ac:dyDescent="0.2">
      <c r="A5" s="25" t="s">
        <v>96</v>
      </c>
      <c r="B5" s="25" t="s">
        <v>866</v>
      </c>
      <c r="D5" s="151" t="str">
        <f>IF([1]RENAME!$H$3=1,B5,A5)</f>
        <v>Consolidado</v>
      </c>
      <c r="E5" s="247">
        <f>IF([1]RENAME!$H$3=1,E2,E1)</f>
        <v>2013</v>
      </c>
      <c r="F5" s="247" t="str">
        <f>IF([1]RENAME!$H$3=1,F2,F1)</f>
        <v>1T14</v>
      </c>
      <c r="G5" s="247" t="str">
        <f>IF([1]RENAME!$H$3=1,G2,G1)</f>
        <v>2T14</v>
      </c>
      <c r="H5" s="247" t="str">
        <f>IF([1]RENAME!$H$3=1,H2,H1)</f>
        <v>3T14</v>
      </c>
      <c r="I5" s="247" t="str">
        <f>IF([1]RENAME!$H$3=1,I2,I1)</f>
        <v>4T14</v>
      </c>
      <c r="J5" s="247" t="str">
        <f>IF([1]RENAME!$H$3=1,J2,J1)</f>
        <v>1T15</v>
      </c>
      <c r="K5" s="247" t="str">
        <f>IF([1]RENAME!$H$3=1,K2,K1)</f>
        <v>2T15</v>
      </c>
      <c r="L5" s="247" t="str">
        <f>IF([1]RENAME!$H$3=1,L2,L1)</f>
        <v>3T15</v>
      </c>
      <c r="M5" s="247" t="str">
        <f>IF([1]RENAME!$H$3=1,M2,M1)</f>
        <v>4T15</v>
      </c>
      <c r="N5" s="247" t="str">
        <f>IF([1]RENAME!$H$3=1,N2,N1)</f>
        <v>1T16</v>
      </c>
      <c r="O5" s="247" t="str">
        <f>IF([1]RENAME!$H$3=1,O2,O1)</f>
        <v>2T16</v>
      </c>
      <c r="P5" s="247" t="str">
        <f>IF([1]RENAME!$H$3=1,P2,P1)</f>
        <v>3T16</v>
      </c>
      <c r="Q5" s="247" t="str">
        <f>IF([1]RENAME!$H$3=1,Q2,Q1)</f>
        <v>4T16</v>
      </c>
      <c r="R5" s="247" t="str">
        <f>IF([1]RENAME!$H$3=1,R2,R1)</f>
        <v>1T17</v>
      </c>
      <c r="S5" s="247" t="str">
        <f>IF([1]RENAME!$H$3=1,S2,S1)</f>
        <v>2T17</v>
      </c>
      <c r="T5" s="247" t="str">
        <f>IF([1]RENAME!$H$3=1,T2,T1)</f>
        <v>3T17</v>
      </c>
      <c r="U5" s="247" t="str">
        <f>IF([1]RENAME!$H$3=1,U2,U1)</f>
        <v>4T17</v>
      </c>
      <c r="V5" s="247" t="str">
        <f>IF([1]RENAME!$H$3=1,V2,V1)</f>
        <v>1T18</v>
      </c>
      <c r="W5" s="247" t="str">
        <f>IF([1]RENAME!$H$3=1,W2,W1)</f>
        <v>2T18</v>
      </c>
      <c r="X5" s="247" t="str">
        <f>IF([1]RENAME!$H$3=1,X2,X1)</f>
        <v>3T18</v>
      </c>
      <c r="Y5" s="247" t="str">
        <f>IF([1]RENAME!$H$3=1,Y2,Y1)</f>
        <v>4T18</v>
      </c>
      <c r="Z5" s="247" t="str">
        <f>IF([1]RENAME!$H$3=1,Z2,Z1)</f>
        <v>1T19</v>
      </c>
      <c r="AA5" s="247" t="str">
        <f>IF([1]RENAME!$H$3=1,AA2,AA1)</f>
        <v>2T19</v>
      </c>
      <c r="AB5" s="247" t="str">
        <f>IF([1]RENAME!$H$3=1,AB2,AB1)</f>
        <v>3T19</v>
      </c>
      <c r="AC5" s="247" t="str">
        <f>IF([1]RENAME!$H$3=1,AC2,AC1)</f>
        <v>4T19</v>
      </c>
      <c r="AD5" s="247" t="str">
        <f>IF([1]RENAME!$H$3=1,AD2,AD1)</f>
        <v>1T20</v>
      </c>
      <c r="AE5" s="247" t="str">
        <f>IF([1]RENAME!$H$3=1,AE2,AE1)</f>
        <v>2T20</v>
      </c>
      <c r="AF5" s="247" t="str">
        <f>IF([1]RENAME!$H$3=1,AF2,AF1)</f>
        <v>3T20</v>
      </c>
      <c r="AG5" s="247" t="str">
        <f>IF([1]RENAME!$H$3=1,AG2,AG1)</f>
        <v>4T20</v>
      </c>
      <c r="AH5" s="247" t="str">
        <f>IF([1]RENAME!$H$3=1,AH2,AH1)</f>
        <v>1T21</v>
      </c>
      <c r="AI5" s="247" t="str">
        <f>IF([1]RENAME!$H$3=1,AI2,AI1)</f>
        <v>2T21</v>
      </c>
      <c r="AJ5" s="247" t="str">
        <f>IF([1]RENAME!$H$3=1,AJ2,AJ1)</f>
        <v>3T21</v>
      </c>
      <c r="AK5" s="247" t="str">
        <f>IF([1]RENAME!$H$3=1,AK2,AK1)</f>
        <v>4T21</v>
      </c>
      <c r="AL5" s="247" t="str">
        <f>IF([1]RENAME!$H$3=1,AL2,AL1)</f>
        <v>1T22</v>
      </c>
      <c r="AM5" s="247" t="str">
        <f>IF([1]RENAME!$H$3=1,AM2,AM1)</f>
        <v>2T22</v>
      </c>
      <c r="AN5" s="247" t="str">
        <f>IF([1]RENAME!$H$3=1,AN2,AN1)</f>
        <v>3T22</v>
      </c>
      <c r="AO5" s="247" t="str">
        <f>IF([1]RENAME!$H$3=1,AO2,AO1)</f>
        <v>4T22</v>
      </c>
      <c r="AP5" s="247" t="str">
        <f>IF([1]RENAME!$H$3=1,AP2,AP1)</f>
        <v>1T23</v>
      </c>
      <c r="AQ5" s="247" t="str">
        <f>IF([1]RENAME!$H$3=1,AQ2,AQ1)</f>
        <v>2T23</v>
      </c>
      <c r="AR5" s="247" t="str">
        <f>IF([1]RENAME!$H$3=1,AR2,AR1)</f>
        <v>3T23</v>
      </c>
      <c r="AS5" s="247" t="str">
        <f>IF([1]RENAME!$H$3=1,AS2,AS1)</f>
        <v>4T23</v>
      </c>
      <c r="AT5" s="247" t="str">
        <f>IF([1]RENAME!$H$3=1,AT2,AT1)</f>
        <v>1T24</v>
      </c>
      <c r="AU5" s="247" t="str">
        <f>IF([1]RENAME!$H$3=1,AU2,AU1)</f>
        <v>2T24</v>
      </c>
      <c r="AV5" s="247" t="str">
        <f>IF([1]RENAME!$H$3=1,AV2,AV1)</f>
        <v>3T24</v>
      </c>
      <c r="AW5" s="247" t="str">
        <f>IF([1]RENAME!$H$3=1,AW2,AW1)</f>
        <v>4T24</v>
      </c>
      <c r="AX5" s="247" t="str">
        <f>IF([1]RENAME!$H$3=1,AX2,AX1)</f>
        <v>1T25</v>
      </c>
      <c r="AY5" s="247" t="str">
        <f>IF([1]RENAME!$H$3=1,AY2,AY1)</f>
        <v>2T25</v>
      </c>
      <c r="AZ5" s="247" t="str">
        <f>IF([1]RENAME!$H$3=1,AZ2,AZ1)</f>
        <v>3T25</v>
      </c>
      <c r="BA5" s="247" t="str">
        <f>IF([1]RENAME!$H$3=1,BA2,BA1)</f>
        <v>4T25</v>
      </c>
      <c r="BB5" s="247" t="str">
        <f>IF([1]RENAME!$H$3=1,BB2,BB1)</f>
        <v>1T26</v>
      </c>
      <c r="BC5" s="247" t="str">
        <f>IF([1]RENAME!$H$3=1,BC2,BC1)</f>
        <v>2T26</v>
      </c>
    </row>
    <row r="6" spans="1:55" ht="14.25" customHeight="1" x14ac:dyDescent="0.2">
      <c r="A6" s="25" t="s">
        <v>100</v>
      </c>
      <c r="B6" s="25" t="s">
        <v>909</v>
      </c>
      <c r="D6" s="129" t="str">
        <f>IF([1]RENAME!$H$3=1,B6,A6)</f>
        <v>INSS a recuperar</v>
      </c>
      <c r="E6" s="118">
        <v>6610</v>
      </c>
      <c r="F6" s="118">
        <v>3600</v>
      </c>
      <c r="G6" s="160">
        <v>3986</v>
      </c>
      <c r="H6" s="118">
        <v>4037</v>
      </c>
      <c r="I6" s="118">
        <v>4124</v>
      </c>
      <c r="J6" s="118">
        <v>4015</v>
      </c>
      <c r="K6" s="118">
        <v>7019</v>
      </c>
      <c r="L6" s="118">
        <v>5834</v>
      </c>
      <c r="M6" s="118">
        <v>9501</v>
      </c>
      <c r="N6" s="118">
        <v>9900</v>
      </c>
      <c r="O6" s="118">
        <v>6745</v>
      </c>
      <c r="P6" s="118">
        <v>6650</v>
      </c>
      <c r="Q6" s="118">
        <v>11142</v>
      </c>
      <c r="R6" s="118">
        <v>11233</v>
      </c>
      <c r="S6" s="118">
        <v>11378</v>
      </c>
      <c r="T6" s="118">
        <v>11361</v>
      </c>
      <c r="U6" s="118">
        <v>13354</v>
      </c>
      <c r="V6" s="118">
        <v>10057</v>
      </c>
      <c r="W6" s="118">
        <v>9647</v>
      </c>
      <c r="X6" s="118">
        <v>9667</v>
      </c>
      <c r="Y6" s="118">
        <v>9826</v>
      </c>
      <c r="Z6" s="118">
        <v>9914</v>
      </c>
      <c r="AA6" s="118">
        <v>9899</v>
      </c>
      <c r="AB6" s="118">
        <v>9974</v>
      </c>
      <c r="AC6" s="118">
        <v>10104</v>
      </c>
      <c r="AD6" s="118">
        <v>10184</v>
      </c>
      <c r="AE6" s="118">
        <v>10055</v>
      </c>
      <c r="AF6" s="118">
        <v>10262</v>
      </c>
      <c r="AG6" s="118">
        <v>9725</v>
      </c>
      <c r="AH6" s="118">
        <v>9809</v>
      </c>
      <c r="AI6" s="118">
        <v>9877</v>
      </c>
      <c r="AJ6" s="118">
        <v>9911</v>
      </c>
      <c r="AK6" s="118">
        <v>9984</v>
      </c>
      <c r="AL6" s="118">
        <v>9320</v>
      </c>
      <c r="AM6" s="118">
        <v>5828</v>
      </c>
      <c r="AN6" s="118">
        <v>5906</v>
      </c>
      <c r="AO6" s="118">
        <v>4861</v>
      </c>
      <c r="AP6" s="118">
        <v>4756</v>
      </c>
      <c r="AQ6" s="118">
        <v>4834</v>
      </c>
      <c r="AR6" s="118">
        <v>4869</v>
      </c>
      <c r="AS6" s="118">
        <v>4978</v>
      </c>
      <c r="AT6" s="118">
        <v>4793</v>
      </c>
      <c r="AU6" s="118">
        <v>6430</v>
      </c>
      <c r="AV6" s="118">
        <v>6304</v>
      </c>
      <c r="AW6" s="118">
        <v>6494</v>
      </c>
      <c r="AX6" s="118">
        <v>7047</v>
      </c>
      <c r="AY6" s="118">
        <v>7243</v>
      </c>
      <c r="AZ6" s="118">
        <v>7619</v>
      </c>
      <c r="BA6" s="118">
        <v>7667</v>
      </c>
      <c r="BB6" s="118">
        <v>7672</v>
      </c>
      <c r="BC6" s="118">
        <f>'[3]7 Imposto NL'!$H$7</f>
        <v>7785</v>
      </c>
    </row>
    <row r="7" spans="1:55" ht="13.5" customHeight="1" x14ac:dyDescent="0.2">
      <c r="A7" s="25" t="s">
        <v>101</v>
      </c>
      <c r="B7" s="25" t="s">
        <v>910</v>
      </c>
      <c r="D7" s="129" t="str">
        <f>IF([1]RENAME!$H$3=1,B7,A7)</f>
        <v>IRRF sobre aplicações financeiras</v>
      </c>
      <c r="E7" s="118">
        <v>3679</v>
      </c>
      <c r="F7" s="118">
        <v>2218</v>
      </c>
      <c r="G7" s="160">
        <v>2870</v>
      </c>
      <c r="H7" s="118">
        <v>3610</v>
      </c>
      <c r="I7" s="118">
        <v>1585</v>
      </c>
      <c r="J7" s="118">
        <v>1798</v>
      </c>
      <c r="K7" s="118">
        <v>3259</v>
      </c>
      <c r="L7" s="118">
        <v>4122</v>
      </c>
      <c r="M7" s="118">
        <v>0</v>
      </c>
      <c r="N7" s="118">
        <v>736</v>
      </c>
      <c r="O7" s="118">
        <v>1888</v>
      </c>
      <c r="P7" s="118">
        <v>1270</v>
      </c>
      <c r="Q7" s="118">
        <v>0</v>
      </c>
      <c r="R7" s="118">
        <v>436</v>
      </c>
      <c r="S7" s="118">
        <v>887</v>
      </c>
      <c r="T7" s="118">
        <v>903</v>
      </c>
      <c r="U7" s="118">
        <v>0</v>
      </c>
      <c r="V7" s="118">
        <v>206</v>
      </c>
      <c r="W7" s="118">
        <v>1712</v>
      </c>
      <c r="X7" s="118">
        <v>1584</v>
      </c>
      <c r="Y7" s="118">
        <v>91</v>
      </c>
      <c r="Z7" s="118">
        <v>94</v>
      </c>
      <c r="AA7" s="118">
        <v>168</v>
      </c>
      <c r="AB7" s="118">
        <v>262</v>
      </c>
      <c r="AC7" s="118">
        <v>124</v>
      </c>
      <c r="AD7" s="118">
        <v>335</v>
      </c>
      <c r="AE7" s="118">
        <v>698</v>
      </c>
      <c r="AF7" s="118">
        <v>427</v>
      </c>
      <c r="AG7" s="118">
        <v>338</v>
      </c>
      <c r="AH7" s="118">
        <v>518</v>
      </c>
      <c r="AI7" s="118">
        <v>394</v>
      </c>
      <c r="AJ7" s="118">
        <v>582</v>
      </c>
      <c r="AK7" s="118">
        <v>646</v>
      </c>
      <c r="AL7" s="118">
        <v>972</v>
      </c>
      <c r="AM7" s="118">
        <v>539</v>
      </c>
      <c r="AN7" s="118">
        <v>612</v>
      </c>
      <c r="AO7" s="118">
        <v>842</v>
      </c>
      <c r="AP7" s="118">
        <v>1568</v>
      </c>
      <c r="AQ7" s="118">
        <v>1805</v>
      </c>
      <c r="AR7" s="118">
        <v>1195</v>
      </c>
      <c r="AS7" s="118">
        <v>1353</v>
      </c>
      <c r="AT7" s="118">
        <v>1796</v>
      </c>
      <c r="AU7" s="118">
        <v>1421</v>
      </c>
      <c r="AV7" s="118">
        <v>1031</v>
      </c>
      <c r="AW7" s="118">
        <v>961</v>
      </c>
      <c r="AX7" s="118">
        <v>1405</v>
      </c>
      <c r="AY7" s="118">
        <v>2083</v>
      </c>
      <c r="AZ7" s="118">
        <v>1917</v>
      </c>
      <c r="BA7" s="118">
        <v>415</v>
      </c>
      <c r="BB7" s="118">
        <v>608</v>
      </c>
      <c r="BC7" s="118">
        <f>'[3]7 Imposto NL'!$H$8</f>
        <v>788</v>
      </c>
    </row>
    <row r="8" spans="1:55" x14ac:dyDescent="0.2">
      <c r="A8" s="25" t="s">
        <v>99</v>
      </c>
      <c r="B8" s="25" t="s">
        <v>912</v>
      </c>
      <c r="D8" s="129" t="str">
        <f>IF([1]RENAME!$H$3=1,B8,A8)</f>
        <v>IRRF sobre serviços e outros</v>
      </c>
      <c r="E8" s="118">
        <v>1819</v>
      </c>
      <c r="F8" s="118">
        <v>2029</v>
      </c>
      <c r="G8" s="160">
        <v>1047</v>
      </c>
      <c r="H8" s="118">
        <v>1049</v>
      </c>
      <c r="I8" s="118">
        <v>1280</v>
      </c>
      <c r="J8" s="118">
        <v>1626</v>
      </c>
      <c r="K8" s="118">
        <v>4939</v>
      </c>
      <c r="L8" s="118">
        <v>4731</v>
      </c>
      <c r="M8" s="118">
        <v>0</v>
      </c>
      <c r="N8" s="118">
        <v>0</v>
      </c>
      <c r="O8" s="118">
        <v>0</v>
      </c>
      <c r="P8" s="118">
        <v>0</v>
      </c>
      <c r="Q8" s="118">
        <v>0</v>
      </c>
      <c r="R8" s="118">
        <v>32</v>
      </c>
      <c r="S8" s="118">
        <v>58</v>
      </c>
      <c r="T8" s="118">
        <v>76</v>
      </c>
      <c r="U8" s="118">
        <v>4</v>
      </c>
      <c r="V8" s="118">
        <v>27</v>
      </c>
      <c r="W8" s="118">
        <v>63</v>
      </c>
      <c r="X8" s="118">
        <v>82</v>
      </c>
      <c r="Y8" s="118">
        <v>0</v>
      </c>
      <c r="Z8" s="118">
        <v>0</v>
      </c>
      <c r="AA8" s="118">
        <v>55</v>
      </c>
      <c r="AB8" s="118">
        <v>102</v>
      </c>
      <c r="AC8" s="118">
        <v>0</v>
      </c>
      <c r="AD8" s="118">
        <v>0</v>
      </c>
      <c r="AE8" s="118">
        <v>0</v>
      </c>
      <c r="AF8" s="118">
        <v>3099</v>
      </c>
      <c r="AG8" s="118">
        <v>41</v>
      </c>
      <c r="AH8" s="118">
        <v>64</v>
      </c>
      <c r="AI8" s="118">
        <v>141</v>
      </c>
      <c r="AJ8" s="118">
        <v>104</v>
      </c>
      <c r="AK8" s="118">
        <v>104</v>
      </c>
      <c r="AL8" s="118">
        <v>104</v>
      </c>
      <c r="AM8" s="118">
        <v>104</v>
      </c>
      <c r="AN8" s="118">
        <v>104</v>
      </c>
      <c r="AO8" s="118">
        <v>104</v>
      </c>
      <c r="AP8" s="118">
        <v>9</v>
      </c>
      <c r="AQ8" s="118">
        <v>9</v>
      </c>
      <c r="AR8" s="118">
        <v>9</v>
      </c>
      <c r="AS8" s="118">
        <v>12</v>
      </c>
      <c r="AT8" s="118">
        <v>14</v>
      </c>
      <c r="AU8" s="118">
        <v>14</v>
      </c>
      <c r="AV8" s="118">
        <v>14</v>
      </c>
      <c r="AW8" s="118">
        <v>35</v>
      </c>
      <c r="AX8" s="118">
        <v>35</v>
      </c>
      <c r="AY8" s="118">
        <v>35</v>
      </c>
      <c r="AZ8" s="118">
        <v>35</v>
      </c>
      <c r="BA8" s="118">
        <v>35</v>
      </c>
      <c r="BB8" s="118">
        <v>64</v>
      </c>
      <c r="BC8" s="118">
        <f>'[3]7 Imposto NL'!$H$9</f>
        <v>80</v>
      </c>
    </row>
    <row r="9" spans="1:55" x14ac:dyDescent="0.2">
      <c r="A9" s="25" t="s">
        <v>102</v>
      </c>
      <c r="B9" s="25" t="s">
        <v>913</v>
      </c>
      <c r="D9" s="129" t="str">
        <f>IF([1]RENAME!$H$3=1,B9,A9)</f>
        <v>PIS e Cofins</v>
      </c>
      <c r="E9" s="118">
        <v>4393</v>
      </c>
      <c r="F9" s="118">
        <v>4782</v>
      </c>
      <c r="G9" s="160">
        <v>3196</v>
      </c>
      <c r="H9" s="118">
        <v>3324</v>
      </c>
      <c r="I9" s="118">
        <v>3452</v>
      </c>
      <c r="J9" s="118">
        <v>3516</v>
      </c>
      <c r="K9" s="118">
        <v>3148</v>
      </c>
      <c r="L9" s="118">
        <v>3246</v>
      </c>
      <c r="M9" s="118">
        <v>6034</v>
      </c>
      <c r="N9" s="118">
        <v>4995</v>
      </c>
      <c r="O9" s="118">
        <v>3719</v>
      </c>
      <c r="P9" s="118">
        <v>2620</v>
      </c>
      <c r="Q9" s="118">
        <v>553</v>
      </c>
      <c r="R9" s="118">
        <v>423</v>
      </c>
      <c r="S9" s="118">
        <v>514</v>
      </c>
      <c r="T9" s="118">
        <v>361</v>
      </c>
      <c r="U9" s="260">
        <v>39037</v>
      </c>
      <c r="V9" s="118">
        <v>11815</v>
      </c>
      <c r="W9" s="118">
        <v>1583</v>
      </c>
      <c r="X9" s="118">
        <v>766</v>
      </c>
      <c r="Y9" s="118">
        <v>11333</v>
      </c>
      <c r="Z9" s="118">
        <v>11511</v>
      </c>
      <c r="AA9" s="118">
        <v>11783</v>
      </c>
      <c r="AB9" s="260">
        <v>103534</v>
      </c>
      <c r="AC9" s="118">
        <v>105685</v>
      </c>
      <c r="AD9" s="118">
        <v>56225</v>
      </c>
      <c r="AE9" s="118">
        <v>56229</v>
      </c>
      <c r="AF9" s="118">
        <v>46603</v>
      </c>
      <c r="AG9" s="118">
        <v>33323</v>
      </c>
      <c r="AH9" s="118">
        <v>28935</v>
      </c>
      <c r="AI9" s="260">
        <v>41992</v>
      </c>
      <c r="AJ9" s="118">
        <v>41144</v>
      </c>
      <c r="AK9" s="118">
        <v>41528</v>
      </c>
      <c r="AL9" s="118">
        <v>42085</v>
      </c>
      <c r="AM9" s="118">
        <v>42714</v>
      </c>
      <c r="AN9" s="118">
        <v>39473</v>
      </c>
      <c r="AO9" s="118">
        <v>37990</v>
      </c>
      <c r="AP9" s="118">
        <v>37459</v>
      </c>
      <c r="AQ9" s="118">
        <v>32844</v>
      </c>
      <c r="AR9" s="118">
        <v>29105</v>
      </c>
      <c r="AS9" s="118">
        <v>24235</v>
      </c>
      <c r="AT9" s="118">
        <v>21426</v>
      </c>
      <c r="AU9" s="118">
        <v>19330</v>
      </c>
      <c r="AV9" s="118">
        <v>2618</v>
      </c>
      <c r="AW9" s="118">
        <v>2062</v>
      </c>
      <c r="AX9" s="118">
        <v>2562</v>
      </c>
      <c r="AY9" s="118">
        <v>3240</v>
      </c>
      <c r="AZ9" s="118">
        <v>3196</v>
      </c>
      <c r="BA9" s="118">
        <v>4173</v>
      </c>
      <c r="BB9" s="118">
        <v>4124</v>
      </c>
      <c r="BC9" s="118">
        <f>'[3]7 Imposto NL'!$H$10</f>
        <v>4407</v>
      </c>
    </row>
    <row r="10" spans="1:55" x14ac:dyDescent="0.2">
      <c r="A10" s="25" t="s">
        <v>49</v>
      </c>
      <c r="B10" s="25" t="s">
        <v>699</v>
      </c>
      <c r="D10" s="129" t="str">
        <f>IF([1]RENAME!$H$3=1,B10,A10)</f>
        <v>Outros</v>
      </c>
      <c r="E10" s="118">
        <v>1683</v>
      </c>
      <c r="F10" s="118">
        <v>1719</v>
      </c>
      <c r="G10" s="160">
        <v>1698</v>
      </c>
      <c r="H10" s="118">
        <v>1676</v>
      </c>
      <c r="I10" s="118">
        <v>1705</v>
      </c>
      <c r="J10" s="118">
        <v>1723</v>
      </c>
      <c r="K10" s="118">
        <v>1100</v>
      </c>
      <c r="L10" s="118">
        <v>1041</v>
      </c>
      <c r="M10" s="118">
        <v>310</v>
      </c>
      <c r="N10" s="118">
        <v>412</v>
      </c>
      <c r="O10" s="118">
        <v>361</v>
      </c>
      <c r="P10" s="118">
        <v>480</v>
      </c>
      <c r="Q10" s="118">
        <v>425</v>
      </c>
      <c r="R10" s="118">
        <v>215</v>
      </c>
      <c r="S10" s="118">
        <v>450</v>
      </c>
      <c r="T10" s="118">
        <v>265</v>
      </c>
      <c r="U10" s="118">
        <v>2141</v>
      </c>
      <c r="V10" s="118">
        <v>1933</v>
      </c>
      <c r="W10" s="118">
        <v>223</v>
      </c>
      <c r="X10" s="118">
        <v>250</v>
      </c>
      <c r="Y10" s="118">
        <v>174</v>
      </c>
      <c r="Z10" s="118">
        <v>285</v>
      </c>
      <c r="AA10" s="118">
        <v>287</v>
      </c>
      <c r="AB10" s="118">
        <v>323</v>
      </c>
      <c r="AC10" s="118">
        <v>56</v>
      </c>
      <c r="AD10" s="118">
        <v>72</v>
      </c>
      <c r="AE10" s="118">
        <v>72</v>
      </c>
      <c r="AF10" s="118">
        <v>68</v>
      </c>
      <c r="AG10" s="118">
        <v>106</v>
      </c>
      <c r="AH10" s="118">
        <v>486</v>
      </c>
      <c r="AI10" s="118">
        <v>756</v>
      </c>
      <c r="AJ10" s="118">
        <v>783</v>
      </c>
      <c r="AK10" s="118">
        <v>812</v>
      </c>
      <c r="AL10" s="118">
        <v>661</v>
      </c>
      <c r="AM10" s="118">
        <v>726</v>
      </c>
      <c r="AN10" s="118">
        <v>722</v>
      </c>
      <c r="AO10" s="118">
        <v>741</v>
      </c>
      <c r="AP10" s="118">
        <v>585</v>
      </c>
      <c r="AQ10" s="118">
        <v>826</v>
      </c>
      <c r="AR10" s="118">
        <v>822</v>
      </c>
      <c r="AS10" s="118">
        <v>862</v>
      </c>
      <c r="AT10" s="118">
        <v>885</v>
      </c>
      <c r="AU10" s="118">
        <v>906</v>
      </c>
      <c r="AV10" s="118">
        <v>756</v>
      </c>
      <c r="AW10" s="118">
        <v>771</v>
      </c>
      <c r="AX10" s="118">
        <v>1249</v>
      </c>
      <c r="AY10" s="118">
        <v>1235</v>
      </c>
      <c r="AZ10" s="118">
        <v>1085</v>
      </c>
      <c r="BA10" s="118">
        <v>990</v>
      </c>
      <c r="BB10" s="118">
        <v>903</v>
      </c>
      <c r="BC10" s="118">
        <f>'[3]7 Imposto NL'!$H$11</f>
        <v>817</v>
      </c>
    </row>
    <row r="11" spans="1:55" s="249" customFormat="1" hidden="1" outlineLevel="1" x14ac:dyDescent="0.2">
      <c r="A11" s="249" t="s">
        <v>402</v>
      </c>
      <c r="B11" s="249" t="s">
        <v>914</v>
      </c>
      <c r="D11" s="250" t="str">
        <f>IF([1]RENAME!$H$3=1,B11,A11)</f>
        <v>IRPJ e CSLL</v>
      </c>
      <c r="E11" s="218">
        <v>4133</v>
      </c>
      <c r="F11" s="218">
        <v>0</v>
      </c>
      <c r="G11" s="219">
        <v>0</v>
      </c>
      <c r="H11" s="218">
        <v>0</v>
      </c>
      <c r="I11" s="218">
        <v>5283</v>
      </c>
      <c r="J11" s="218">
        <v>8488</v>
      </c>
      <c r="K11" s="218">
        <v>4465</v>
      </c>
      <c r="L11" s="218">
        <v>1767</v>
      </c>
      <c r="M11" s="218">
        <v>5494</v>
      </c>
      <c r="N11" s="218">
        <v>1764</v>
      </c>
      <c r="O11" s="218">
        <v>1793</v>
      </c>
      <c r="P11" s="218">
        <v>1599</v>
      </c>
      <c r="Q11" s="218">
        <v>2837</v>
      </c>
      <c r="R11" s="218">
        <v>2134</v>
      </c>
      <c r="S11" s="218">
        <v>15509</v>
      </c>
      <c r="T11" s="218">
        <v>2313</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c r="AN11" s="218">
        <v>0</v>
      </c>
      <c r="AO11" s="218">
        <v>0</v>
      </c>
      <c r="AP11" s="218">
        <v>0</v>
      </c>
      <c r="AQ11" s="218">
        <v>0</v>
      </c>
      <c r="AR11" s="218">
        <v>0</v>
      </c>
      <c r="AS11" s="218">
        <v>0</v>
      </c>
      <c r="AT11" s="218">
        <v>0</v>
      </c>
      <c r="AU11" s="218">
        <v>0</v>
      </c>
      <c r="AV11" s="218">
        <v>0</v>
      </c>
      <c r="AW11" s="218">
        <v>0</v>
      </c>
      <c r="AX11" s="218">
        <v>0</v>
      </c>
      <c r="AY11" s="218">
        <v>0</v>
      </c>
      <c r="AZ11" s="218">
        <v>0</v>
      </c>
      <c r="BA11" s="218">
        <v>0</v>
      </c>
      <c r="BB11" s="218">
        <v>0</v>
      </c>
      <c r="BC11" s="218">
        <v>0</v>
      </c>
    </row>
    <row r="12" spans="1:55" s="249" customFormat="1" hidden="1" outlineLevel="1" x14ac:dyDescent="0.2">
      <c r="D12" s="250" t="s">
        <v>1254</v>
      </c>
      <c r="E12" s="218">
        <v>0</v>
      </c>
      <c r="F12" s="218">
        <v>0</v>
      </c>
      <c r="G12" s="219">
        <v>0</v>
      </c>
      <c r="H12" s="218">
        <v>0</v>
      </c>
      <c r="I12" s="218">
        <v>0</v>
      </c>
      <c r="J12" s="218">
        <v>0</v>
      </c>
      <c r="K12" s="218">
        <v>0</v>
      </c>
      <c r="L12" s="218">
        <v>0</v>
      </c>
      <c r="M12" s="218">
        <v>0</v>
      </c>
      <c r="N12" s="218">
        <v>0</v>
      </c>
      <c r="O12" s="218">
        <v>0</v>
      </c>
      <c r="P12" s="218">
        <v>0</v>
      </c>
      <c r="Q12" s="218">
        <v>0</v>
      </c>
      <c r="R12" s="218">
        <v>0</v>
      </c>
      <c r="S12" s="218">
        <v>11764</v>
      </c>
      <c r="T12" s="218">
        <v>12228</v>
      </c>
      <c r="U12" s="218">
        <v>12162</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c r="AN12" s="218">
        <v>0</v>
      </c>
      <c r="AO12" s="218">
        <v>0</v>
      </c>
      <c r="AP12" s="218">
        <v>0</v>
      </c>
      <c r="AQ12" s="218">
        <v>0</v>
      </c>
      <c r="AR12" s="218">
        <v>0</v>
      </c>
      <c r="AS12" s="218">
        <v>0</v>
      </c>
      <c r="AT12" s="218">
        <v>0</v>
      </c>
      <c r="AU12" s="218">
        <v>0</v>
      </c>
      <c r="AV12" s="218">
        <v>0</v>
      </c>
      <c r="AW12" s="218">
        <v>0</v>
      </c>
      <c r="AX12" s="218">
        <v>0</v>
      </c>
      <c r="AY12" s="218">
        <v>0</v>
      </c>
      <c r="AZ12" s="218">
        <v>0</v>
      </c>
      <c r="BA12" s="218">
        <v>0</v>
      </c>
      <c r="BB12" s="218">
        <v>0</v>
      </c>
      <c r="BC12" s="218">
        <v>0</v>
      </c>
    </row>
    <row r="13" spans="1:55" s="249" customFormat="1" hidden="1" outlineLevel="1" x14ac:dyDescent="0.2">
      <c r="A13" s="249" t="s">
        <v>103</v>
      </c>
      <c r="B13" s="249" t="s">
        <v>911</v>
      </c>
      <c r="D13" s="250" t="str">
        <f>IF([1]RENAME!$H$3=1,B13,A13)</f>
        <v>ICMS a recuperar</v>
      </c>
      <c r="E13" s="218">
        <v>1572</v>
      </c>
      <c r="F13" s="218">
        <v>1639</v>
      </c>
      <c r="G13" s="219">
        <v>1713</v>
      </c>
      <c r="H13" s="218">
        <v>1679</v>
      </c>
      <c r="I13" s="218">
        <v>1657</v>
      </c>
      <c r="J13" s="218">
        <v>1647</v>
      </c>
      <c r="K13" s="218">
        <v>1719</v>
      </c>
      <c r="L13" s="218">
        <v>1774</v>
      </c>
      <c r="M13" s="218">
        <v>1371</v>
      </c>
      <c r="N13" s="218">
        <v>1366</v>
      </c>
      <c r="O13" s="218">
        <v>1551</v>
      </c>
      <c r="P13" s="218">
        <v>1025</v>
      </c>
      <c r="Q13" s="218">
        <v>912</v>
      </c>
      <c r="R13" s="218">
        <v>897</v>
      </c>
      <c r="S13" s="218">
        <v>872</v>
      </c>
      <c r="T13" s="218">
        <v>871</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c r="AN13" s="218">
        <v>0</v>
      </c>
      <c r="AO13" s="218">
        <v>0</v>
      </c>
      <c r="AP13" s="218">
        <v>0</v>
      </c>
      <c r="AQ13" s="218">
        <v>0</v>
      </c>
      <c r="AR13" s="218">
        <v>0</v>
      </c>
      <c r="AS13" s="218">
        <v>0</v>
      </c>
      <c r="AT13" s="218">
        <v>0</v>
      </c>
      <c r="AU13" s="218">
        <v>0</v>
      </c>
      <c r="AV13" s="218">
        <v>0</v>
      </c>
      <c r="AW13" s="218">
        <v>0</v>
      </c>
      <c r="AX13" s="218">
        <v>0</v>
      </c>
      <c r="AY13" s="218">
        <v>0</v>
      </c>
      <c r="AZ13" s="218">
        <v>0</v>
      </c>
      <c r="BA13" s="218">
        <v>0</v>
      </c>
      <c r="BB13" s="218">
        <v>0</v>
      </c>
      <c r="BC13" s="218">
        <v>0</v>
      </c>
    </row>
    <row r="14" spans="1:55" ht="14.25" customHeight="1" collapsed="1" x14ac:dyDescent="0.2">
      <c r="A14" s="25" t="s">
        <v>73</v>
      </c>
      <c r="B14" s="25" t="s">
        <v>73</v>
      </c>
      <c r="D14" s="126" t="str">
        <f>IF([1]RENAME!$H$3=1,B14,A14)</f>
        <v>TOTAL</v>
      </c>
      <c r="E14" s="120">
        <f t="shared" ref="E14:AC14" si="9">SUM(E6:E13)</f>
        <v>23889</v>
      </c>
      <c r="F14" s="120">
        <f t="shared" si="9"/>
        <v>15987</v>
      </c>
      <c r="G14" s="162">
        <f t="shared" si="9"/>
        <v>14510</v>
      </c>
      <c r="H14" s="120">
        <f t="shared" si="9"/>
        <v>15375</v>
      </c>
      <c r="I14" s="120">
        <f t="shared" si="9"/>
        <v>19086</v>
      </c>
      <c r="J14" s="120">
        <f t="shared" si="9"/>
        <v>22813</v>
      </c>
      <c r="K14" s="120">
        <f t="shared" si="9"/>
        <v>25649</v>
      </c>
      <c r="L14" s="120">
        <f t="shared" si="9"/>
        <v>22515</v>
      </c>
      <c r="M14" s="120">
        <f t="shared" si="9"/>
        <v>22710</v>
      </c>
      <c r="N14" s="120">
        <f t="shared" si="9"/>
        <v>19173</v>
      </c>
      <c r="O14" s="120">
        <f t="shared" si="9"/>
        <v>16057</v>
      </c>
      <c r="P14" s="120">
        <f t="shared" si="9"/>
        <v>13644</v>
      </c>
      <c r="Q14" s="120">
        <f t="shared" si="9"/>
        <v>15869</v>
      </c>
      <c r="R14" s="120">
        <f t="shared" si="9"/>
        <v>15370</v>
      </c>
      <c r="S14" s="120">
        <f t="shared" si="9"/>
        <v>41432</v>
      </c>
      <c r="T14" s="120">
        <f t="shared" si="9"/>
        <v>28378</v>
      </c>
      <c r="U14" s="120">
        <f t="shared" si="9"/>
        <v>66698</v>
      </c>
      <c r="V14" s="120">
        <f t="shared" si="9"/>
        <v>24038</v>
      </c>
      <c r="W14" s="120">
        <f t="shared" si="9"/>
        <v>13228</v>
      </c>
      <c r="X14" s="120">
        <f t="shared" si="9"/>
        <v>12349</v>
      </c>
      <c r="Y14" s="120">
        <f t="shared" si="9"/>
        <v>21424</v>
      </c>
      <c r="Z14" s="120">
        <f t="shared" si="9"/>
        <v>21804</v>
      </c>
      <c r="AA14" s="120">
        <f t="shared" si="9"/>
        <v>22192</v>
      </c>
      <c r="AB14" s="120">
        <f t="shared" si="9"/>
        <v>114195</v>
      </c>
      <c r="AC14" s="120">
        <f t="shared" si="9"/>
        <v>115969</v>
      </c>
      <c r="AD14" s="120">
        <f t="shared" ref="AD14:AM14" si="10">SUM(AD6:AD13)</f>
        <v>66816</v>
      </c>
      <c r="AE14" s="120">
        <f t="shared" si="10"/>
        <v>67054</v>
      </c>
      <c r="AF14" s="120">
        <f t="shared" si="10"/>
        <v>60459</v>
      </c>
      <c r="AG14" s="120">
        <f t="shared" si="10"/>
        <v>43533</v>
      </c>
      <c r="AH14" s="120">
        <f t="shared" si="10"/>
        <v>39812</v>
      </c>
      <c r="AI14" s="120">
        <f t="shared" si="10"/>
        <v>53160</v>
      </c>
      <c r="AJ14" s="120">
        <f t="shared" si="10"/>
        <v>52524</v>
      </c>
      <c r="AK14" s="120">
        <f t="shared" si="10"/>
        <v>53074</v>
      </c>
      <c r="AL14" s="120">
        <f t="shared" si="10"/>
        <v>53142</v>
      </c>
      <c r="AM14" s="120">
        <f t="shared" si="10"/>
        <v>49911</v>
      </c>
      <c r="AN14" s="120">
        <f t="shared" ref="AN14:AU14" si="11">SUM(AN6:AN13)</f>
        <v>46817</v>
      </c>
      <c r="AO14" s="120">
        <f t="shared" si="11"/>
        <v>44538</v>
      </c>
      <c r="AP14" s="120">
        <f t="shared" si="11"/>
        <v>44377</v>
      </c>
      <c r="AQ14" s="120">
        <f t="shared" si="11"/>
        <v>40318</v>
      </c>
      <c r="AR14" s="120">
        <f t="shared" si="11"/>
        <v>36000</v>
      </c>
      <c r="AS14" s="120">
        <f t="shared" si="11"/>
        <v>31440</v>
      </c>
      <c r="AT14" s="120">
        <f t="shared" si="11"/>
        <v>28914</v>
      </c>
      <c r="AU14" s="120">
        <f t="shared" si="11"/>
        <v>28101</v>
      </c>
      <c r="AV14" s="120">
        <f t="shared" ref="AV14:BC14" si="12">SUM(AV6:AV13)</f>
        <v>10723</v>
      </c>
      <c r="AW14" s="120">
        <f t="shared" si="12"/>
        <v>10323</v>
      </c>
      <c r="AX14" s="120">
        <f t="shared" si="12"/>
        <v>12298</v>
      </c>
      <c r="AY14" s="120">
        <f t="shared" si="12"/>
        <v>13836</v>
      </c>
      <c r="AZ14" s="120">
        <f t="shared" si="12"/>
        <v>13852</v>
      </c>
      <c r="BA14" s="120">
        <f t="shared" si="12"/>
        <v>13280</v>
      </c>
      <c r="BB14" s="120">
        <f>SUM(BB6:BB13)</f>
        <v>13371</v>
      </c>
      <c r="BC14" s="120">
        <f t="shared" si="12"/>
        <v>13877</v>
      </c>
    </row>
    <row r="15" spans="1:55" ht="14.25" customHeight="1" x14ac:dyDescent="0.2">
      <c r="A15" s="25" t="s">
        <v>201</v>
      </c>
      <c r="B15" s="25" t="s">
        <v>907</v>
      </c>
      <c r="D15" s="129" t="str">
        <f>IF([1]RENAME!$H$3=1,B15,A15)</f>
        <v>Circulante</v>
      </c>
      <c r="E15" s="118"/>
      <c r="F15" s="118"/>
      <c r="G15" s="160"/>
      <c r="H15" s="118"/>
      <c r="I15" s="118"/>
      <c r="J15" s="118"/>
      <c r="K15" s="118"/>
      <c r="L15" s="118"/>
      <c r="M15" s="118"/>
      <c r="N15" s="118"/>
      <c r="O15" s="118"/>
      <c r="P15" s="118"/>
      <c r="Q15" s="118"/>
      <c r="R15" s="118"/>
      <c r="S15" s="118"/>
      <c r="T15" s="118"/>
      <c r="U15" s="118"/>
      <c r="V15" s="118"/>
      <c r="W15" s="118"/>
      <c r="X15" s="118"/>
      <c r="Y15" s="118">
        <v>12007</v>
      </c>
      <c r="Z15" s="118">
        <v>12317</v>
      </c>
      <c r="AA15" s="118">
        <v>12634</v>
      </c>
      <c r="AB15" s="118">
        <v>104567</v>
      </c>
      <c r="AC15" s="118">
        <v>106280</v>
      </c>
      <c r="AD15" s="118">
        <v>57079</v>
      </c>
      <c r="AE15" s="118">
        <v>57277</v>
      </c>
      <c r="AF15" s="118">
        <v>50657</v>
      </c>
      <c r="AG15" s="118">
        <v>33989</v>
      </c>
      <c r="AH15" s="118">
        <v>30248</v>
      </c>
      <c r="AI15" s="118">
        <v>43566</v>
      </c>
      <c r="AJ15" s="118">
        <v>42887</v>
      </c>
      <c r="AK15" s="118">
        <v>43369</v>
      </c>
      <c r="AL15" s="118">
        <v>44063</v>
      </c>
      <c r="AM15" s="118">
        <v>44352</v>
      </c>
      <c r="AN15" s="118">
        <v>41196</v>
      </c>
      <c r="AO15" s="118">
        <v>24726</v>
      </c>
      <c r="AP15" s="118">
        <v>24340</v>
      </c>
      <c r="AQ15" s="118">
        <v>20303</v>
      </c>
      <c r="AR15" s="118">
        <v>15773</v>
      </c>
      <c r="AS15" s="118">
        <v>11040</v>
      </c>
      <c r="AT15" s="118">
        <v>9955</v>
      </c>
      <c r="AU15" s="118">
        <v>7913</v>
      </c>
      <c r="AV15" s="118">
        <v>4827</v>
      </c>
      <c r="AW15" s="118">
        <v>4380</v>
      </c>
      <c r="AX15" s="118">
        <v>6301</v>
      </c>
      <c r="AY15" s="118">
        <v>7828</v>
      </c>
      <c r="AZ15" s="118">
        <v>7779</v>
      </c>
      <c r="BA15" s="118">
        <v>7142</v>
      </c>
      <c r="BB15" s="118">
        <v>7171</v>
      </c>
      <c r="BC15" s="118">
        <f>'[3]7 Imposto NL'!$H$15</f>
        <v>7617</v>
      </c>
    </row>
    <row r="16" spans="1:55" ht="14.25" customHeight="1" x14ac:dyDescent="0.2">
      <c r="A16" s="25" t="s">
        <v>187</v>
      </c>
      <c r="B16" s="25" t="s">
        <v>908</v>
      </c>
      <c r="D16" s="129" t="str">
        <f>IF([1]RENAME!$H$3=1,B16,A16)</f>
        <v>Não circulante</v>
      </c>
      <c r="E16" s="118"/>
      <c r="F16" s="118"/>
      <c r="G16" s="160"/>
      <c r="H16" s="118"/>
      <c r="I16" s="118"/>
      <c r="J16" s="118"/>
      <c r="K16" s="118"/>
      <c r="L16" s="118"/>
      <c r="M16" s="118"/>
      <c r="N16" s="118"/>
      <c r="O16" s="118"/>
      <c r="P16" s="118"/>
      <c r="Q16" s="118"/>
      <c r="R16" s="118"/>
      <c r="S16" s="118"/>
      <c r="T16" s="118"/>
      <c r="U16" s="118"/>
      <c r="V16" s="118"/>
      <c r="W16" s="118"/>
      <c r="X16" s="118"/>
      <c r="Y16" s="118">
        <v>9417</v>
      </c>
      <c r="Z16" s="118">
        <v>9487</v>
      </c>
      <c r="AA16" s="118">
        <v>9558</v>
      </c>
      <c r="AB16" s="118">
        <v>9628</v>
      </c>
      <c r="AC16" s="118">
        <v>9689</v>
      </c>
      <c r="AD16" s="118">
        <v>9737</v>
      </c>
      <c r="AE16" s="118">
        <v>9777</v>
      </c>
      <c r="AF16" s="118">
        <v>9802</v>
      </c>
      <c r="AG16" s="118">
        <v>9544</v>
      </c>
      <c r="AH16" s="118">
        <v>9564</v>
      </c>
      <c r="AI16" s="118">
        <v>9594</v>
      </c>
      <c r="AJ16" s="118">
        <v>9637</v>
      </c>
      <c r="AK16" s="118">
        <v>9705</v>
      </c>
      <c r="AL16" s="118">
        <v>9079</v>
      </c>
      <c r="AM16" s="118">
        <v>5559</v>
      </c>
      <c r="AN16" s="118">
        <v>5621</v>
      </c>
      <c r="AO16" s="118">
        <v>19812</v>
      </c>
      <c r="AP16" s="118">
        <v>20037</v>
      </c>
      <c r="AQ16" s="118">
        <v>20015</v>
      </c>
      <c r="AR16" s="118">
        <v>20227</v>
      </c>
      <c r="AS16" s="118">
        <v>20400</v>
      </c>
      <c r="AT16" s="118">
        <v>18959</v>
      </c>
      <c r="AU16" s="118">
        <v>20188</v>
      </c>
      <c r="AV16" s="118">
        <v>5896</v>
      </c>
      <c r="AW16" s="118">
        <v>5943</v>
      </c>
      <c r="AX16" s="118">
        <v>5997</v>
      </c>
      <c r="AY16" s="118">
        <v>6008</v>
      </c>
      <c r="AZ16" s="118">
        <v>6073</v>
      </c>
      <c r="BA16" s="118">
        <v>6138</v>
      </c>
      <c r="BB16" s="118">
        <v>6200</v>
      </c>
      <c r="BC16" s="118">
        <f>'[3]7 Imposto NL'!$H$16</f>
        <v>6260</v>
      </c>
    </row>
    <row r="17" spans="1:55" ht="14.25" customHeight="1" x14ac:dyDescent="0.2">
      <c r="A17" s="25" t="s">
        <v>73</v>
      </c>
      <c r="B17" s="25" t="s">
        <v>73</v>
      </c>
      <c r="D17" s="126" t="str">
        <f>IF([1]RENAME!$H$3=1,B17,A17)</f>
        <v>TOTAL</v>
      </c>
      <c r="E17" s="120"/>
      <c r="F17" s="120"/>
      <c r="G17" s="162"/>
      <c r="H17" s="120"/>
      <c r="I17" s="120"/>
      <c r="J17" s="120"/>
      <c r="K17" s="120"/>
      <c r="L17" s="120"/>
      <c r="M17" s="120"/>
      <c r="N17" s="120"/>
      <c r="O17" s="120"/>
      <c r="P17" s="120"/>
      <c r="Q17" s="120"/>
      <c r="R17" s="120"/>
      <c r="S17" s="120"/>
      <c r="T17" s="120"/>
      <c r="U17" s="120"/>
      <c r="V17" s="120"/>
      <c r="W17" s="120"/>
      <c r="X17" s="120"/>
      <c r="Y17" s="120">
        <f t="shared" ref="Y17:AD17" si="13">SUM(Y15:Y16)</f>
        <v>21424</v>
      </c>
      <c r="Z17" s="120">
        <f t="shared" si="13"/>
        <v>21804</v>
      </c>
      <c r="AA17" s="120">
        <f t="shared" si="13"/>
        <v>22192</v>
      </c>
      <c r="AB17" s="120">
        <f t="shared" si="13"/>
        <v>114195</v>
      </c>
      <c r="AC17" s="120">
        <f t="shared" si="13"/>
        <v>115969</v>
      </c>
      <c r="AD17" s="120">
        <f t="shared" si="13"/>
        <v>66816</v>
      </c>
      <c r="AE17" s="120">
        <f t="shared" ref="AE17:AM17" si="14">SUM(AE15:AE16)</f>
        <v>67054</v>
      </c>
      <c r="AF17" s="120">
        <f t="shared" si="14"/>
        <v>60459</v>
      </c>
      <c r="AG17" s="120">
        <f t="shared" si="14"/>
        <v>43533</v>
      </c>
      <c r="AH17" s="120">
        <f t="shared" si="14"/>
        <v>39812</v>
      </c>
      <c r="AI17" s="120">
        <f t="shared" si="14"/>
        <v>53160</v>
      </c>
      <c r="AJ17" s="120">
        <f t="shared" si="14"/>
        <v>52524</v>
      </c>
      <c r="AK17" s="120">
        <f t="shared" si="14"/>
        <v>53074</v>
      </c>
      <c r="AL17" s="120">
        <f t="shared" si="14"/>
        <v>53142</v>
      </c>
      <c r="AM17" s="120">
        <f t="shared" si="14"/>
        <v>49911</v>
      </c>
      <c r="AN17" s="120">
        <f t="shared" ref="AN17:AU17" si="15">SUM(AN15:AN16)</f>
        <v>46817</v>
      </c>
      <c r="AO17" s="120">
        <f t="shared" si="15"/>
        <v>44538</v>
      </c>
      <c r="AP17" s="120">
        <f t="shared" si="15"/>
        <v>44377</v>
      </c>
      <c r="AQ17" s="120">
        <f t="shared" si="15"/>
        <v>40318</v>
      </c>
      <c r="AR17" s="120">
        <f t="shared" si="15"/>
        <v>36000</v>
      </c>
      <c r="AS17" s="120">
        <f t="shared" si="15"/>
        <v>31440</v>
      </c>
      <c r="AT17" s="120">
        <f t="shared" si="15"/>
        <v>28914</v>
      </c>
      <c r="AU17" s="120">
        <f t="shared" si="15"/>
        <v>28101</v>
      </c>
      <c r="AV17" s="120">
        <f t="shared" ref="AV17:BA17" si="16">SUM(AV15:AV16)</f>
        <v>10723</v>
      </c>
      <c r="AW17" s="120">
        <f t="shared" si="16"/>
        <v>10323</v>
      </c>
      <c r="AX17" s="120">
        <f t="shared" si="16"/>
        <v>12298</v>
      </c>
      <c r="AY17" s="120">
        <f t="shared" si="16"/>
        <v>13836</v>
      </c>
      <c r="AZ17" s="120">
        <f t="shared" si="16"/>
        <v>13852</v>
      </c>
      <c r="BA17" s="120">
        <f t="shared" si="16"/>
        <v>13280</v>
      </c>
      <c r="BB17" s="120">
        <f>SUM(BB15:BB16)</f>
        <v>13371</v>
      </c>
      <c r="BC17" s="120">
        <f>SUM(BC15:BC16)</f>
        <v>13877</v>
      </c>
    </row>
    <row r="18" spans="1:55" x14ac:dyDescent="0.2">
      <c r="D18" s="552"/>
      <c r="E18" s="600">
        <f>+E14-BP!T12</f>
        <v>0</v>
      </c>
      <c r="F18" s="600">
        <f>+F14-BP!U12</f>
        <v>0</v>
      </c>
      <c r="G18" s="600">
        <f>+G14-BP!V12</f>
        <v>0</v>
      </c>
      <c r="H18" s="600">
        <f>+H14-BP!W12</f>
        <v>0</v>
      </c>
      <c r="I18" s="600">
        <f>+I14-BP!X12</f>
        <v>0</v>
      </c>
      <c r="J18" s="600">
        <f>+J14-BP!Y12</f>
        <v>0</v>
      </c>
      <c r="K18" s="600">
        <f>+K14-BP!Z12</f>
        <v>0</v>
      </c>
      <c r="L18" s="600">
        <f>+L14-BP!AA12</f>
        <v>0</v>
      </c>
      <c r="M18" s="600">
        <f>+M14-BP!AB12</f>
        <v>0</v>
      </c>
      <c r="N18" s="600">
        <f>+N14-BP!AC12</f>
        <v>0</v>
      </c>
      <c r="O18" s="600">
        <f>+O14-BP!AD12</f>
        <v>0</v>
      </c>
      <c r="P18" s="600">
        <f>+P14-BP!AE12</f>
        <v>0</v>
      </c>
      <c r="Q18" s="600">
        <f>+Q14-BP!AF12</f>
        <v>2837</v>
      </c>
      <c r="R18" s="600">
        <f>+BP!AG12+BP!AG24-R14</f>
        <v>-2837</v>
      </c>
      <c r="S18" s="600">
        <f>+BP!AH12+BP!AH24-S14</f>
        <v>-2837</v>
      </c>
      <c r="T18" s="600">
        <f>+BP!AI12+BP!AI24-T14</f>
        <v>-2837</v>
      </c>
      <c r="U18" s="154">
        <f>+BP!AJ12+BP!AJ24-U14</f>
        <v>0</v>
      </c>
      <c r="V18" s="154">
        <f>+BP!AK12+BP!AK24-V14</f>
        <v>0</v>
      </c>
      <c r="W18" s="154">
        <f>+BP!AL12+BP!AL24-W14</f>
        <v>0</v>
      </c>
      <c r="X18" s="154">
        <f>+BP!AM12+BP!AM24-X14</f>
        <v>0</v>
      </c>
      <c r="Y18" s="154">
        <f>+BP!AN12+BP!AN24-Y14</f>
        <v>0</v>
      </c>
      <c r="Z18" s="154">
        <v>0</v>
      </c>
      <c r="AA18" s="154">
        <v>1</v>
      </c>
      <c r="AB18" s="154">
        <v>0</v>
      </c>
      <c r="AC18" s="154">
        <v>0</v>
      </c>
      <c r="AD18" s="154">
        <f>+BP!AS12+BP!AS24-AD14</f>
        <v>-1</v>
      </c>
      <c r="AE18" s="154">
        <f>+BP!AT12+BP!AT24-AE14</f>
        <v>0</v>
      </c>
      <c r="AF18" s="154">
        <f>+BP!AU12+BP!AU24-AF14</f>
        <v>0</v>
      </c>
      <c r="AG18" s="154">
        <f>+BP!AV12+BP!AV24-AG14</f>
        <v>0</v>
      </c>
      <c r="AH18" s="154">
        <f>+BP!AW12+BP!AW24-AH14</f>
        <v>0</v>
      </c>
      <c r="AI18" s="154">
        <f>+BP!AX12+BP!AX24-AI14</f>
        <v>0</v>
      </c>
      <c r="AJ18" s="154">
        <f>+BP!AY12+BP!AY24-AJ14</f>
        <v>0</v>
      </c>
      <c r="AK18" s="154">
        <f>+BP!AZ12+BP!AZ24-AK14</f>
        <v>0</v>
      </c>
      <c r="AL18" s="154">
        <v>0</v>
      </c>
      <c r="AM18" s="154">
        <f>+BP!BB12+BP!BB24-AM14</f>
        <v>0</v>
      </c>
      <c r="AN18" s="154">
        <f>+BP!BC12+BP!BC24-AN14</f>
        <v>0</v>
      </c>
      <c r="AO18" s="154">
        <f>+BP!BD12+BP!BD24-AO14</f>
        <v>0</v>
      </c>
      <c r="AP18" s="154">
        <f>+BP!BE12+BP!BE24-AP14</f>
        <v>0</v>
      </c>
      <c r="AQ18" s="154">
        <f>+BP!BF12+BP!BF24-AQ14</f>
        <v>0</v>
      </c>
      <c r="AR18" s="154">
        <f>+BP!BG12+BP!BG24-AR14</f>
        <v>0</v>
      </c>
      <c r="AS18" s="154">
        <f>+BP!BH12+BP!BH24-AS14</f>
        <v>0</v>
      </c>
      <c r="AT18" s="154">
        <f>+BP!BI12+BP!BI24-AT14</f>
        <v>0</v>
      </c>
      <c r="AU18" s="154">
        <f>+BP!BJ12+BP!BJ24-AU14</f>
        <v>0</v>
      </c>
      <c r="AV18" s="154">
        <f>+BP!BK12+BP!BK24-AV14</f>
        <v>0</v>
      </c>
      <c r="AW18" s="154"/>
      <c r="AX18" s="154"/>
      <c r="AY18" s="154"/>
      <c r="AZ18" s="154">
        <f>+BP!BO12+BP!BO24-AZ14</f>
        <v>0</v>
      </c>
      <c r="BA18" s="154">
        <f>+BP!BP12+BP!BP24-BA14</f>
        <v>0</v>
      </c>
      <c r="BB18" s="154">
        <f>+BP!BQ12+BP!BQ24-BB14</f>
        <v>0</v>
      </c>
      <c r="BC18" s="154">
        <f>+BP!BR12+BP!BR24-BC14</f>
        <v>0</v>
      </c>
    </row>
    <row r="19" spans="1:55" x14ac:dyDescent="0.2">
      <c r="A19" s="25" t="s">
        <v>97</v>
      </c>
      <c r="B19" s="25" t="s">
        <v>872</v>
      </c>
      <c r="D19" s="151" t="str">
        <f>IF([1]RENAME!$H$3=1,B19,A19)</f>
        <v>Controladora</v>
      </c>
      <c r="E19" s="115">
        <f t="shared" ref="E19:Z19" si="17">E5</f>
        <v>2013</v>
      </c>
      <c r="F19" s="115" t="str">
        <f t="shared" si="17"/>
        <v>1T14</v>
      </c>
      <c r="G19" s="115" t="str">
        <f t="shared" si="17"/>
        <v>2T14</v>
      </c>
      <c r="H19" s="115" t="str">
        <f t="shared" si="17"/>
        <v>3T14</v>
      </c>
      <c r="I19" s="115" t="str">
        <f t="shared" si="17"/>
        <v>4T14</v>
      </c>
      <c r="J19" s="115" t="str">
        <f t="shared" si="17"/>
        <v>1T15</v>
      </c>
      <c r="K19" s="115" t="str">
        <f t="shared" si="17"/>
        <v>2T15</v>
      </c>
      <c r="L19" s="115" t="str">
        <f t="shared" si="17"/>
        <v>3T15</v>
      </c>
      <c r="M19" s="115" t="str">
        <f t="shared" si="17"/>
        <v>4T15</v>
      </c>
      <c r="N19" s="115" t="str">
        <f t="shared" si="17"/>
        <v>1T16</v>
      </c>
      <c r="O19" s="115" t="str">
        <f t="shared" si="17"/>
        <v>2T16</v>
      </c>
      <c r="P19" s="115" t="str">
        <f t="shared" si="17"/>
        <v>3T16</v>
      </c>
      <c r="Q19" s="115" t="str">
        <f t="shared" si="17"/>
        <v>4T16</v>
      </c>
      <c r="R19" s="115" t="str">
        <f t="shared" si="17"/>
        <v>1T17</v>
      </c>
      <c r="S19" s="115" t="str">
        <f t="shared" si="17"/>
        <v>2T17</v>
      </c>
      <c r="T19" s="115" t="str">
        <f t="shared" si="17"/>
        <v>3T17</v>
      </c>
      <c r="U19" s="115" t="str">
        <f t="shared" si="17"/>
        <v>4T17</v>
      </c>
      <c r="V19" s="115" t="str">
        <f t="shared" si="17"/>
        <v>1T18</v>
      </c>
      <c r="W19" s="115" t="str">
        <f t="shared" si="17"/>
        <v>2T18</v>
      </c>
      <c r="X19" s="115" t="str">
        <f t="shared" si="17"/>
        <v>3T18</v>
      </c>
      <c r="Y19" s="115" t="str">
        <f t="shared" si="17"/>
        <v>4T18</v>
      </c>
      <c r="Z19" s="115" t="str">
        <f t="shared" si="17"/>
        <v>1T19</v>
      </c>
      <c r="AA19" s="115" t="str">
        <f t="shared" ref="AA19:AF19" si="18">AA5</f>
        <v>2T19</v>
      </c>
      <c r="AB19" s="115" t="str">
        <f t="shared" si="18"/>
        <v>3T19</v>
      </c>
      <c r="AC19" s="115" t="str">
        <f t="shared" si="18"/>
        <v>4T19</v>
      </c>
      <c r="AD19" s="115" t="str">
        <f t="shared" si="18"/>
        <v>1T20</v>
      </c>
      <c r="AE19" s="115" t="str">
        <f t="shared" si="18"/>
        <v>2T20</v>
      </c>
      <c r="AF19" s="115" t="str">
        <f t="shared" si="18"/>
        <v>3T20</v>
      </c>
      <c r="AG19" s="115" t="str">
        <f t="shared" ref="AG19:AM19" si="19">AG5</f>
        <v>4T20</v>
      </c>
      <c r="AH19" s="115" t="str">
        <f t="shared" si="19"/>
        <v>1T21</v>
      </c>
      <c r="AI19" s="115" t="str">
        <f t="shared" si="19"/>
        <v>2T21</v>
      </c>
      <c r="AJ19" s="115" t="str">
        <f t="shared" si="19"/>
        <v>3T21</v>
      </c>
      <c r="AK19" s="115" t="str">
        <f t="shared" si="19"/>
        <v>4T21</v>
      </c>
      <c r="AL19" s="115" t="str">
        <f t="shared" si="19"/>
        <v>1T22</v>
      </c>
      <c r="AM19" s="115" t="str">
        <f t="shared" si="19"/>
        <v>2T22</v>
      </c>
      <c r="AN19" s="115" t="str">
        <f t="shared" ref="AN19:AU19" si="20">AN5</f>
        <v>3T22</v>
      </c>
      <c r="AO19" s="115" t="str">
        <f t="shared" si="20"/>
        <v>4T22</v>
      </c>
      <c r="AP19" s="115" t="str">
        <f t="shared" si="20"/>
        <v>1T23</v>
      </c>
      <c r="AQ19" s="115" t="str">
        <f t="shared" si="20"/>
        <v>2T23</v>
      </c>
      <c r="AR19" s="115" t="str">
        <f t="shared" si="20"/>
        <v>3T23</v>
      </c>
      <c r="AS19" s="115" t="str">
        <f t="shared" si="20"/>
        <v>4T23</v>
      </c>
      <c r="AT19" s="115" t="str">
        <f t="shared" si="20"/>
        <v>1T24</v>
      </c>
      <c r="AU19" s="115" t="str">
        <f t="shared" si="20"/>
        <v>2T24</v>
      </c>
      <c r="AV19" s="115" t="str">
        <f t="shared" ref="AV19:BA19" si="21">AV5</f>
        <v>3T24</v>
      </c>
      <c r="AW19" s="115" t="str">
        <f t="shared" si="21"/>
        <v>4T24</v>
      </c>
      <c r="AX19" s="115" t="str">
        <f t="shared" si="21"/>
        <v>1T25</v>
      </c>
      <c r="AY19" s="115" t="str">
        <f t="shared" si="21"/>
        <v>2T25</v>
      </c>
      <c r="AZ19" s="115" t="str">
        <f t="shared" si="21"/>
        <v>3T25</v>
      </c>
      <c r="BA19" s="115" t="str">
        <f t="shared" si="21"/>
        <v>4T25</v>
      </c>
      <c r="BB19" s="247" t="str">
        <f>BB5</f>
        <v>1T26</v>
      </c>
      <c r="BC19" s="115" t="str">
        <f>BC5</f>
        <v>2T26</v>
      </c>
    </row>
    <row r="20" spans="1:55" x14ac:dyDescent="0.2">
      <c r="A20" s="25" t="s">
        <v>100</v>
      </c>
      <c r="B20" s="25" t="s">
        <v>909</v>
      </c>
      <c r="D20" s="129" t="str">
        <f>IF([1]RENAME!$H$3=1,B20,A20)</f>
        <v>INSS a recuperar</v>
      </c>
      <c r="E20" s="118">
        <v>5282</v>
      </c>
      <c r="F20" s="118">
        <v>2461</v>
      </c>
      <c r="G20" s="160">
        <v>2367</v>
      </c>
      <c r="H20" s="118">
        <v>2442</v>
      </c>
      <c r="I20" s="118">
        <v>2530</v>
      </c>
      <c r="J20" s="118">
        <v>2420</v>
      </c>
      <c r="K20" s="118">
        <v>4604</v>
      </c>
      <c r="L20" s="118">
        <v>3373</v>
      </c>
      <c r="M20" s="118">
        <v>6550</v>
      </c>
      <c r="N20" s="118">
        <v>6890</v>
      </c>
      <c r="O20" s="118">
        <v>3695</v>
      </c>
      <c r="P20" s="118">
        <v>3588</v>
      </c>
      <c r="Q20" s="118">
        <v>6455</v>
      </c>
      <c r="R20" s="118">
        <v>6533</v>
      </c>
      <c r="S20" s="118">
        <v>6607</v>
      </c>
      <c r="T20" s="118">
        <v>6647</v>
      </c>
      <c r="U20" s="118">
        <v>8508</v>
      </c>
      <c r="V20" s="118">
        <v>6760</v>
      </c>
      <c r="W20" s="118">
        <v>6274</v>
      </c>
      <c r="X20" s="118">
        <v>6354</v>
      </c>
      <c r="Y20" s="118">
        <v>6413</v>
      </c>
      <c r="Z20" s="118">
        <v>6493</v>
      </c>
      <c r="AA20" s="118">
        <v>6526</v>
      </c>
      <c r="AB20" s="118">
        <v>6588</v>
      </c>
      <c r="AC20" s="118">
        <v>6639</v>
      </c>
      <c r="AD20" s="118">
        <v>6760</v>
      </c>
      <c r="AE20" s="118">
        <v>6507</v>
      </c>
      <c r="AF20" s="118">
        <v>6562</v>
      </c>
      <c r="AG20" s="118">
        <v>6335</v>
      </c>
      <c r="AH20" s="118">
        <v>6424</v>
      </c>
      <c r="AI20" s="118">
        <v>6462</v>
      </c>
      <c r="AJ20" s="118">
        <v>6491</v>
      </c>
      <c r="AK20" s="118">
        <v>6555</v>
      </c>
      <c r="AL20" s="118">
        <v>6062</v>
      </c>
      <c r="AM20" s="118">
        <v>2640</v>
      </c>
      <c r="AN20" s="118">
        <v>2740</v>
      </c>
      <c r="AO20" s="118">
        <v>1832</v>
      </c>
      <c r="AP20" s="118">
        <v>1715</v>
      </c>
      <c r="AQ20" s="118">
        <v>1778</v>
      </c>
      <c r="AR20" s="118">
        <v>1801</v>
      </c>
      <c r="AS20" s="118">
        <v>1889</v>
      </c>
      <c r="AT20" s="118">
        <v>1769</v>
      </c>
      <c r="AU20" s="118">
        <v>3426</v>
      </c>
      <c r="AV20" s="118">
        <v>3371</v>
      </c>
      <c r="AW20" s="118">
        <v>3418</v>
      </c>
      <c r="AX20" s="118">
        <v>3856</v>
      </c>
      <c r="AY20" s="118">
        <v>4090</v>
      </c>
      <c r="AZ20" s="118">
        <v>4306</v>
      </c>
      <c r="BA20" s="118">
        <v>4400</v>
      </c>
      <c r="BB20" s="118">
        <v>4377</v>
      </c>
      <c r="BC20" s="118">
        <f>'[3]7 Imposto NL'!$D$7</f>
        <v>4505</v>
      </c>
    </row>
    <row r="21" spans="1:55" x14ac:dyDescent="0.2">
      <c r="A21" s="25" t="s">
        <v>101</v>
      </c>
      <c r="B21" s="25" t="s">
        <v>910</v>
      </c>
      <c r="D21" s="129" t="str">
        <f>IF([1]RENAME!$H$3=1,B21,A21)</f>
        <v>IRRF sobre aplicações financeiras</v>
      </c>
      <c r="E21" s="118">
        <v>3027</v>
      </c>
      <c r="F21" s="118">
        <v>1354</v>
      </c>
      <c r="G21" s="160">
        <v>2137</v>
      </c>
      <c r="H21" s="118">
        <v>2985</v>
      </c>
      <c r="I21" s="118">
        <v>1162</v>
      </c>
      <c r="J21" s="118">
        <v>1327</v>
      </c>
      <c r="K21" s="118">
        <v>2070</v>
      </c>
      <c r="L21" s="118">
        <v>2910</v>
      </c>
      <c r="M21" s="118">
        <v>0</v>
      </c>
      <c r="N21" s="118">
        <v>438</v>
      </c>
      <c r="O21" s="118">
        <v>531</v>
      </c>
      <c r="P21" s="118">
        <v>0</v>
      </c>
      <c r="Q21" s="118">
        <v>0</v>
      </c>
      <c r="R21" s="118">
        <v>70</v>
      </c>
      <c r="S21" s="118">
        <v>0</v>
      </c>
      <c r="T21" s="118">
        <v>0</v>
      </c>
      <c r="U21" s="118">
        <v>0</v>
      </c>
      <c r="V21" s="118">
        <v>0</v>
      </c>
      <c r="W21" s="118">
        <v>221</v>
      </c>
      <c r="X21" s="118">
        <v>56</v>
      </c>
      <c r="Y21" s="118">
        <v>51</v>
      </c>
      <c r="Z21" s="118">
        <v>43</v>
      </c>
      <c r="AA21" s="118">
        <v>101</v>
      </c>
      <c r="AB21" s="118">
        <v>161</v>
      </c>
      <c r="AC21" s="118">
        <v>44</v>
      </c>
      <c r="AD21" s="118">
        <v>228</v>
      </c>
      <c r="AE21" s="118">
        <v>598</v>
      </c>
      <c r="AF21" s="118">
        <v>300</v>
      </c>
      <c r="AG21" s="118">
        <v>270</v>
      </c>
      <c r="AH21" s="118">
        <v>435</v>
      </c>
      <c r="AI21" s="118">
        <v>303</v>
      </c>
      <c r="AJ21" s="118">
        <v>424</v>
      </c>
      <c r="AK21" s="118">
        <v>414</v>
      </c>
      <c r="AL21" s="118">
        <v>511</v>
      </c>
      <c r="AM21" s="118">
        <v>183</v>
      </c>
      <c r="AN21" s="118">
        <v>270</v>
      </c>
      <c r="AO21" s="118">
        <v>467</v>
      </c>
      <c r="AP21" s="118">
        <v>1023</v>
      </c>
      <c r="AQ21" s="118">
        <v>1018</v>
      </c>
      <c r="AR21" s="118">
        <v>690</v>
      </c>
      <c r="AS21" s="118">
        <v>797</v>
      </c>
      <c r="AT21" s="118">
        <v>1115</v>
      </c>
      <c r="AU21" s="118">
        <v>999</v>
      </c>
      <c r="AV21" s="118">
        <v>448</v>
      </c>
      <c r="AW21" s="118">
        <v>448</v>
      </c>
      <c r="AX21" s="118">
        <v>903</v>
      </c>
      <c r="AY21" s="118">
        <v>1514</v>
      </c>
      <c r="AZ21" s="118">
        <v>1226</v>
      </c>
      <c r="BA21" s="118">
        <v>195</v>
      </c>
      <c r="BB21" s="118">
        <v>251</v>
      </c>
      <c r="BC21" s="118">
        <f>'[3]7 Imposto NL'!$D$8</f>
        <v>122</v>
      </c>
    </row>
    <row r="22" spans="1:55" x14ac:dyDescent="0.2">
      <c r="A22" s="25" t="s">
        <v>102</v>
      </c>
      <c r="B22" s="25" t="s">
        <v>913</v>
      </c>
      <c r="D22" s="129" t="str">
        <f>IF([1]RENAME!$H$3=1,B22,A22)</f>
        <v>PIS e Cofins</v>
      </c>
      <c r="E22" s="118">
        <v>644</v>
      </c>
      <c r="F22" s="118">
        <v>1282</v>
      </c>
      <c r="G22" s="160">
        <v>1338</v>
      </c>
      <c r="H22" s="118">
        <v>1378</v>
      </c>
      <c r="I22" s="118">
        <v>1417</v>
      </c>
      <c r="J22" s="118">
        <v>1422</v>
      </c>
      <c r="K22" s="118">
        <v>1440</v>
      </c>
      <c r="L22" s="118">
        <v>1458</v>
      </c>
      <c r="M22" s="118">
        <v>754</v>
      </c>
      <c r="N22" s="118">
        <v>591</v>
      </c>
      <c r="O22" s="118">
        <v>380</v>
      </c>
      <c r="P22" s="118">
        <v>408</v>
      </c>
      <c r="Q22" s="118">
        <v>144</v>
      </c>
      <c r="R22" s="118">
        <v>171</v>
      </c>
      <c r="S22" s="118">
        <v>207</v>
      </c>
      <c r="T22" s="118">
        <v>117</v>
      </c>
      <c r="U22" s="260">
        <v>33264</v>
      </c>
      <c r="V22" s="118">
        <v>9483</v>
      </c>
      <c r="W22" s="118">
        <v>1121</v>
      </c>
      <c r="X22" s="118">
        <v>258</v>
      </c>
      <c r="Y22" s="118">
        <v>9993</v>
      </c>
      <c r="Z22" s="118">
        <v>10094</v>
      </c>
      <c r="AA22" s="118">
        <v>10298</v>
      </c>
      <c r="AB22" s="260">
        <v>101922</v>
      </c>
      <c r="AC22" s="118">
        <v>103993</v>
      </c>
      <c r="AD22" s="118">
        <v>54541</v>
      </c>
      <c r="AE22" s="118">
        <v>54468</v>
      </c>
      <c r="AF22" s="118">
        <v>44885</v>
      </c>
      <c r="AG22" s="118">
        <v>31528</v>
      </c>
      <c r="AH22" s="118">
        <v>27069</v>
      </c>
      <c r="AI22" s="118">
        <v>30339</v>
      </c>
      <c r="AJ22" s="118">
        <v>29498</v>
      </c>
      <c r="AK22" s="118">
        <v>29735</v>
      </c>
      <c r="AL22" s="118">
        <v>30152</v>
      </c>
      <c r="AM22" s="118">
        <v>30601</v>
      </c>
      <c r="AN22" s="118">
        <v>18701</v>
      </c>
      <c r="AO22" s="118">
        <v>1243</v>
      </c>
      <c r="AP22" s="118">
        <v>1326</v>
      </c>
      <c r="AQ22" s="118">
        <v>1414</v>
      </c>
      <c r="AR22" s="118">
        <v>1472</v>
      </c>
      <c r="AS22" s="118">
        <v>1120</v>
      </c>
      <c r="AT22" s="118">
        <v>1202</v>
      </c>
      <c r="AU22" s="118">
        <v>15619</v>
      </c>
      <c r="AV22" s="118">
        <v>1531</v>
      </c>
      <c r="AW22" s="118">
        <v>1451</v>
      </c>
      <c r="AX22" s="118">
        <v>1754</v>
      </c>
      <c r="AY22" s="118">
        <v>1753</v>
      </c>
      <c r="AZ22" s="118">
        <v>1785</v>
      </c>
      <c r="BA22" s="118">
        <v>2797</v>
      </c>
      <c r="BB22" s="118">
        <v>2509</v>
      </c>
      <c r="BC22" s="118">
        <f>'[3]7 Imposto NL'!$D$10</f>
        <v>2801</v>
      </c>
    </row>
    <row r="23" spans="1:55" x14ac:dyDescent="0.2">
      <c r="C23" s="25">
        <v>0</v>
      </c>
      <c r="D23" s="129" t="s">
        <v>1254</v>
      </c>
      <c r="E23" s="118">
        <v>0</v>
      </c>
      <c r="F23" s="118">
        <v>0</v>
      </c>
      <c r="G23" s="160">
        <v>0</v>
      </c>
      <c r="H23" s="118">
        <v>0</v>
      </c>
      <c r="I23" s="118">
        <v>0</v>
      </c>
      <c r="J23" s="118">
        <v>0</v>
      </c>
      <c r="K23" s="118">
        <v>0</v>
      </c>
      <c r="L23" s="118">
        <v>0</v>
      </c>
      <c r="M23" s="118">
        <v>0</v>
      </c>
      <c r="N23" s="118">
        <v>0</v>
      </c>
      <c r="O23" s="118">
        <v>0</v>
      </c>
      <c r="P23" s="118">
        <v>0</v>
      </c>
      <c r="Q23" s="118">
        <v>0</v>
      </c>
      <c r="R23" s="118">
        <v>0</v>
      </c>
      <c r="S23" s="118">
        <v>0</v>
      </c>
      <c r="T23" s="118">
        <v>0</v>
      </c>
      <c r="U23" s="118">
        <v>0</v>
      </c>
      <c r="V23" s="118">
        <v>219</v>
      </c>
      <c r="W23" s="118">
        <v>181</v>
      </c>
      <c r="X23" s="118">
        <v>194</v>
      </c>
      <c r="Y23" s="118">
        <v>0</v>
      </c>
      <c r="Z23" s="118">
        <v>0</v>
      </c>
      <c r="AA23" s="118">
        <v>0</v>
      </c>
      <c r="AB23" s="118">
        <v>0</v>
      </c>
      <c r="AC23" s="118">
        <v>0</v>
      </c>
      <c r="AD23" s="118">
        <v>0</v>
      </c>
      <c r="AE23" s="118">
        <v>0</v>
      </c>
      <c r="AF23" s="118">
        <v>0</v>
      </c>
      <c r="AG23" s="118">
        <v>0</v>
      </c>
      <c r="AH23" s="118">
        <v>0</v>
      </c>
      <c r="AI23" s="118">
        <v>0</v>
      </c>
      <c r="AJ23" s="118">
        <v>0</v>
      </c>
      <c r="AK23" s="118">
        <v>0</v>
      </c>
      <c r="AL23" s="118">
        <v>0</v>
      </c>
      <c r="AM23" s="118">
        <v>0</v>
      </c>
      <c r="AN23" s="118">
        <v>0</v>
      </c>
      <c r="AO23" s="118">
        <v>0</v>
      </c>
      <c r="AP23" s="118">
        <v>0</v>
      </c>
      <c r="AQ23" s="118">
        <v>0</v>
      </c>
      <c r="AR23" s="118">
        <v>0</v>
      </c>
      <c r="AS23" s="118">
        <v>0</v>
      </c>
      <c r="AT23" s="118">
        <v>0</v>
      </c>
      <c r="AU23" s="118">
        <v>0</v>
      </c>
      <c r="AV23" s="118">
        <v>0</v>
      </c>
      <c r="AW23" s="118">
        <v>0</v>
      </c>
      <c r="AX23" s="118">
        <v>0</v>
      </c>
      <c r="AY23" s="118">
        <v>0</v>
      </c>
      <c r="AZ23" s="118">
        <v>0</v>
      </c>
      <c r="BA23" s="118">
        <v>0</v>
      </c>
      <c r="BB23" s="118">
        <v>0</v>
      </c>
      <c r="BC23" s="118">
        <v>0</v>
      </c>
    </row>
    <row r="24" spans="1:55" s="249" customFormat="1" x14ac:dyDescent="0.2">
      <c r="A24" s="249" t="s">
        <v>99</v>
      </c>
      <c r="B24" s="249" t="s">
        <v>912</v>
      </c>
      <c r="D24" s="129" t="str">
        <f>IF([1]RENAME!$H$3=1,B24,A24)</f>
        <v>IRRF sobre serviços e outros</v>
      </c>
      <c r="E24" s="118">
        <v>385</v>
      </c>
      <c r="F24" s="118">
        <v>576</v>
      </c>
      <c r="G24" s="160">
        <v>364</v>
      </c>
      <c r="H24" s="118">
        <v>414</v>
      </c>
      <c r="I24" s="118">
        <v>622</v>
      </c>
      <c r="J24" s="118">
        <v>1025</v>
      </c>
      <c r="K24" s="118">
        <v>4891</v>
      </c>
      <c r="L24" s="118">
        <v>4656</v>
      </c>
      <c r="M24" s="118">
        <v>0</v>
      </c>
      <c r="N24" s="118">
        <v>0</v>
      </c>
      <c r="O24" s="118">
        <v>0</v>
      </c>
      <c r="P24" s="118">
        <v>0</v>
      </c>
      <c r="Q24" s="118">
        <v>0</v>
      </c>
      <c r="R24" s="118">
        <v>4</v>
      </c>
      <c r="S24" s="118">
        <v>5</v>
      </c>
      <c r="T24" s="118">
        <v>5</v>
      </c>
      <c r="U24" s="118">
        <v>0</v>
      </c>
      <c r="V24" s="118">
        <v>0</v>
      </c>
      <c r="W24" s="118">
        <v>0</v>
      </c>
      <c r="X24" s="118">
        <v>0</v>
      </c>
      <c r="Y24" s="118">
        <v>0</v>
      </c>
      <c r="Z24" s="118">
        <v>0</v>
      </c>
      <c r="AA24" s="118"/>
      <c r="AB24" s="118">
        <v>0</v>
      </c>
      <c r="AC24" s="118">
        <v>0</v>
      </c>
      <c r="AD24" s="118">
        <v>0</v>
      </c>
      <c r="AE24" s="118">
        <v>0</v>
      </c>
      <c r="AF24" s="118">
        <v>3099</v>
      </c>
      <c r="AG24" s="118">
        <v>0</v>
      </c>
      <c r="AH24" s="118">
        <v>5</v>
      </c>
      <c r="AI24" s="118">
        <v>5</v>
      </c>
      <c r="AJ24" s="118">
        <v>5</v>
      </c>
      <c r="AK24" s="118"/>
      <c r="AL24" s="118">
        <v>0</v>
      </c>
      <c r="AM24" s="118">
        <v>5</v>
      </c>
      <c r="AN24" s="118">
        <v>5</v>
      </c>
      <c r="AO24" s="118">
        <v>5</v>
      </c>
      <c r="AP24" s="118">
        <v>5</v>
      </c>
      <c r="AQ24" s="118">
        <v>5</v>
      </c>
      <c r="AR24" s="118">
        <v>5</v>
      </c>
      <c r="AS24" s="118">
        <v>2</v>
      </c>
      <c r="AT24" s="118">
        <v>5</v>
      </c>
      <c r="AU24" s="118">
        <v>5</v>
      </c>
      <c r="AV24" s="118">
        <v>5</v>
      </c>
      <c r="AW24" s="118">
        <v>26</v>
      </c>
      <c r="AX24" s="118">
        <v>26</v>
      </c>
      <c r="AY24" s="118">
        <v>26</v>
      </c>
      <c r="AZ24" s="118">
        <v>26</v>
      </c>
      <c r="BA24" s="118">
        <v>26</v>
      </c>
      <c r="BB24" s="118">
        <v>26</v>
      </c>
      <c r="BC24" s="118">
        <f>'[3]7 Imposto NL'!$D$9</f>
        <v>26</v>
      </c>
    </row>
    <row r="25" spans="1:55" x14ac:dyDescent="0.2">
      <c r="A25" s="25" t="s">
        <v>49</v>
      </c>
      <c r="B25" s="25" t="s">
        <v>699</v>
      </c>
      <c r="D25" s="129" t="str">
        <f>IF([1]RENAME!$H$3=1,B25,A25)</f>
        <v>Outros</v>
      </c>
      <c r="E25" s="118">
        <v>467</v>
      </c>
      <c r="F25" s="118">
        <v>252</v>
      </c>
      <c r="G25" s="160">
        <v>306</v>
      </c>
      <c r="H25" s="118">
        <v>316</v>
      </c>
      <c r="I25" s="118">
        <v>328</v>
      </c>
      <c r="J25" s="118">
        <v>329</v>
      </c>
      <c r="K25" s="118">
        <v>191</v>
      </c>
      <c r="L25" s="118">
        <v>114</v>
      </c>
      <c r="M25" s="118">
        <v>102</v>
      </c>
      <c r="N25" s="118">
        <v>102</v>
      </c>
      <c r="O25" s="118">
        <v>24</v>
      </c>
      <c r="P25" s="118">
        <v>45</v>
      </c>
      <c r="Q25" s="118">
        <v>0</v>
      </c>
      <c r="R25" s="118">
        <v>7</v>
      </c>
      <c r="S25" s="118">
        <v>160</v>
      </c>
      <c r="T25" s="118">
        <v>196</v>
      </c>
      <c r="U25" s="118">
        <v>370</v>
      </c>
      <c r="V25" s="118">
        <v>16462</v>
      </c>
      <c r="W25" s="118">
        <v>7797</v>
      </c>
      <c r="X25" s="118">
        <v>6862</v>
      </c>
      <c r="Y25" s="118">
        <v>173</v>
      </c>
      <c r="Z25" s="118">
        <v>234</v>
      </c>
      <c r="AA25" s="118">
        <v>252</v>
      </c>
      <c r="AB25" s="118">
        <v>257</v>
      </c>
      <c r="AC25" s="118">
        <v>33</v>
      </c>
      <c r="AD25" s="118">
        <v>58</v>
      </c>
      <c r="AE25" s="118">
        <v>43</v>
      </c>
      <c r="AF25" s="118">
        <v>47</v>
      </c>
      <c r="AG25" s="118">
        <v>57</v>
      </c>
      <c r="AH25" s="118">
        <v>57</v>
      </c>
      <c r="AI25" s="118">
        <v>256</v>
      </c>
      <c r="AJ25" s="118">
        <v>263</v>
      </c>
      <c r="AK25" s="118">
        <v>268</v>
      </c>
      <c r="AL25" s="118">
        <v>102</v>
      </c>
      <c r="AM25" s="118">
        <v>146</v>
      </c>
      <c r="AN25" s="118">
        <v>135</v>
      </c>
      <c r="AO25" s="118">
        <v>157</v>
      </c>
      <c r="AP25" s="118">
        <v>173</v>
      </c>
      <c r="AQ25" s="118">
        <v>403</v>
      </c>
      <c r="AR25" s="118">
        <v>400</v>
      </c>
      <c r="AS25" s="118">
        <v>440</v>
      </c>
      <c r="AT25" s="118">
        <v>461</v>
      </c>
      <c r="AU25" s="118">
        <v>901</v>
      </c>
      <c r="AV25" s="118">
        <v>752</v>
      </c>
      <c r="AW25" s="118">
        <v>772</v>
      </c>
      <c r="AX25" s="118">
        <v>1263</v>
      </c>
      <c r="AY25" s="118">
        <v>1266</v>
      </c>
      <c r="AZ25" s="118">
        <v>1129</v>
      </c>
      <c r="BA25" s="118">
        <v>1051</v>
      </c>
      <c r="BB25" s="118">
        <v>981</v>
      </c>
      <c r="BC25" s="118">
        <f>'[3]7 Imposto NL'!$D$11</f>
        <v>916</v>
      </c>
    </row>
    <row r="26" spans="1:55" s="249" customFormat="1" hidden="1" outlineLevel="1" x14ac:dyDescent="0.2">
      <c r="A26" s="249" t="s">
        <v>103</v>
      </c>
      <c r="B26" s="249" t="s">
        <v>911</v>
      </c>
      <c r="D26" s="250" t="str">
        <f>IF([1]RENAME!$H$3=1,B26,A26)</f>
        <v>ICMS a recuperar</v>
      </c>
      <c r="E26" s="218">
        <v>278</v>
      </c>
      <c r="F26" s="218">
        <v>278</v>
      </c>
      <c r="G26" s="219">
        <v>278</v>
      </c>
      <c r="H26" s="218">
        <v>278</v>
      </c>
      <c r="I26" s="218">
        <v>278</v>
      </c>
      <c r="J26" s="218">
        <v>491</v>
      </c>
      <c r="K26" s="218">
        <v>491</v>
      </c>
      <c r="L26" s="218">
        <v>491</v>
      </c>
      <c r="M26" s="218">
        <v>486</v>
      </c>
      <c r="N26" s="218">
        <v>486</v>
      </c>
      <c r="O26" s="218">
        <v>486</v>
      </c>
      <c r="P26" s="218">
        <v>0</v>
      </c>
      <c r="Q26" s="218">
        <v>0</v>
      </c>
      <c r="R26" s="218">
        <v>1</v>
      </c>
      <c r="S26" s="218">
        <v>0</v>
      </c>
      <c r="T26" s="218">
        <v>0</v>
      </c>
      <c r="U26" s="218">
        <v>0</v>
      </c>
      <c r="V26" s="218">
        <v>0</v>
      </c>
      <c r="W26" s="218">
        <v>0</v>
      </c>
      <c r="X26" s="218">
        <v>0</v>
      </c>
      <c r="Y26" s="218">
        <v>0</v>
      </c>
      <c r="Z26" s="218">
        <v>0</v>
      </c>
      <c r="AA26" s="218"/>
      <c r="AB26" s="218">
        <v>0</v>
      </c>
      <c r="AC26" s="218">
        <v>0</v>
      </c>
      <c r="AD26" s="218">
        <v>0</v>
      </c>
      <c r="AE26" s="218">
        <v>0</v>
      </c>
      <c r="AF26" s="218">
        <v>0</v>
      </c>
      <c r="AG26" s="218">
        <v>0</v>
      </c>
      <c r="AH26" s="218">
        <v>0</v>
      </c>
      <c r="AI26" s="218">
        <v>0</v>
      </c>
      <c r="AJ26" s="218">
        <v>0</v>
      </c>
      <c r="AK26" s="218">
        <v>0</v>
      </c>
      <c r="AL26" s="218">
        <v>0</v>
      </c>
      <c r="AM26" s="218">
        <v>0</v>
      </c>
      <c r="AN26" s="218">
        <v>0</v>
      </c>
      <c r="AO26" s="218">
        <v>0</v>
      </c>
      <c r="AP26" s="218">
        <v>0</v>
      </c>
      <c r="AQ26" s="218">
        <v>0</v>
      </c>
      <c r="AR26" s="218">
        <v>0</v>
      </c>
      <c r="AS26" s="218">
        <v>0</v>
      </c>
      <c r="AT26" s="218">
        <v>0</v>
      </c>
      <c r="AU26" s="218">
        <v>0</v>
      </c>
      <c r="AV26" s="218">
        <v>0</v>
      </c>
      <c r="AW26" s="218">
        <v>0</v>
      </c>
      <c r="AX26" s="218">
        <v>0</v>
      </c>
      <c r="AY26" s="218">
        <v>0</v>
      </c>
      <c r="AZ26" s="218">
        <v>0</v>
      </c>
      <c r="BA26" s="218">
        <v>0</v>
      </c>
      <c r="BB26" s="218">
        <v>0</v>
      </c>
      <c r="BC26" s="218">
        <v>0</v>
      </c>
    </row>
    <row r="27" spans="1:55" s="249" customFormat="1" hidden="1" outlineLevel="1" x14ac:dyDescent="0.2">
      <c r="A27" s="249" t="s">
        <v>402</v>
      </c>
      <c r="B27" s="249" t="s">
        <v>914</v>
      </c>
      <c r="D27" s="250" t="str">
        <f>IF([1]RENAME!$H$3=1,B27,A27)</f>
        <v>IRPJ e CSLL</v>
      </c>
      <c r="E27" s="218">
        <v>0</v>
      </c>
      <c r="F27" s="218">
        <v>0</v>
      </c>
      <c r="G27" s="219">
        <v>0</v>
      </c>
      <c r="H27" s="218">
        <v>0</v>
      </c>
      <c r="I27" s="218">
        <v>1320</v>
      </c>
      <c r="J27" s="218">
        <v>4045</v>
      </c>
      <c r="K27" s="218">
        <v>0</v>
      </c>
      <c r="L27" s="218">
        <v>0</v>
      </c>
      <c r="M27" s="218">
        <v>2795</v>
      </c>
      <c r="N27" s="218">
        <v>52</v>
      </c>
      <c r="O27" s="218">
        <v>52</v>
      </c>
      <c r="P27" s="218">
        <v>0</v>
      </c>
      <c r="Q27" s="218">
        <v>61</v>
      </c>
      <c r="R27" s="218">
        <v>61</v>
      </c>
      <c r="S27" s="218">
        <v>12872</v>
      </c>
      <c r="T27" s="218">
        <v>61</v>
      </c>
      <c r="U27" s="218">
        <v>0</v>
      </c>
      <c r="V27" s="218">
        <v>0</v>
      </c>
      <c r="W27" s="218">
        <v>0</v>
      </c>
      <c r="X27" s="218">
        <v>0</v>
      </c>
      <c r="Y27" s="218">
        <v>0</v>
      </c>
      <c r="Z27" s="218">
        <v>0</v>
      </c>
      <c r="AA27" s="218"/>
      <c r="AB27" s="218">
        <v>0</v>
      </c>
      <c r="AC27" s="218">
        <v>0</v>
      </c>
      <c r="AD27" s="218">
        <v>0</v>
      </c>
      <c r="AE27" s="218">
        <v>0</v>
      </c>
      <c r="AF27" s="218">
        <v>0</v>
      </c>
      <c r="AG27" s="218">
        <v>0</v>
      </c>
      <c r="AH27" s="218">
        <v>0</v>
      </c>
      <c r="AI27" s="218">
        <v>0</v>
      </c>
      <c r="AJ27" s="218">
        <v>0</v>
      </c>
      <c r="AK27" s="218"/>
      <c r="AL27" s="218">
        <v>0</v>
      </c>
      <c r="AM27" s="218">
        <v>0</v>
      </c>
      <c r="AN27" s="218">
        <v>0</v>
      </c>
      <c r="AO27" s="218">
        <v>0</v>
      </c>
      <c r="AP27" s="218">
        <v>0</v>
      </c>
      <c r="AQ27" s="218">
        <v>0</v>
      </c>
      <c r="AR27" s="218">
        <v>0</v>
      </c>
      <c r="AS27" s="218">
        <v>0</v>
      </c>
      <c r="AT27" s="218">
        <v>0</v>
      </c>
      <c r="AU27" s="218"/>
      <c r="AV27" s="218">
        <v>0</v>
      </c>
      <c r="AW27" s="218"/>
      <c r="AX27" s="218"/>
      <c r="AY27" s="218">
        <v>0</v>
      </c>
      <c r="AZ27" s="218">
        <v>0</v>
      </c>
      <c r="BA27" s="218">
        <v>0</v>
      </c>
      <c r="BB27" s="218">
        <v>0</v>
      </c>
      <c r="BC27" s="218">
        <v>0</v>
      </c>
    </row>
    <row r="28" spans="1:55" collapsed="1" x14ac:dyDescent="0.2">
      <c r="A28" s="25" t="s">
        <v>73</v>
      </c>
      <c r="B28" s="25" t="s">
        <v>73</v>
      </c>
      <c r="D28" s="126" t="str">
        <f>IF([1]RENAME!$H$3=1,B28,A28)</f>
        <v>TOTAL</v>
      </c>
      <c r="E28" s="120">
        <f t="shared" ref="E28:AS28" si="22">SUM(E20:E25)</f>
        <v>9805</v>
      </c>
      <c r="F28" s="120">
        <f t="shared" si="22"/>
        <v>5925</v>
      </c>
      <c r="G28" s="162">
        <f t="shared" si="22"/>
        <v>6512</v>
      </c>
      <c r="H28" s="120">
        <f t="shared" si="22"/>
        <v>7535</v>
      </c>
      <c r="I28" s="120">
        <f t="shared" si="22"/>
        <v>6059</v>
      </c>
      <c r="J28" s="120">
        <f t="shared" si="22"/>
        <v>6523</v>
      </c>
      <c r="K28" s="120">
        <f t="shared" si="22"/>
        <v>13196</v>
      </c>
      <c r="L28" s="120">
        <f t="shared" si="22"/>
        <v>12511</v>
      </c>
      <c r="M28" s="120">
        <f t="shared" si="22"/>
        <v>7406</v>
      </c>
      <c r="N28" s="120">
        <f t="shared" si="22"/>
        <v>8021</v>
      </c>
      <c r="O28" s="120">
        <f t="shared" si="22"/>
        <v>4630</v>
      </c>
      <c r="P28" s="120">
        <f t="shared" si="22"/>
        <v>4041</v>
      </c>
      <c r="Q28" s="120">
        <f t="shared" si="22"/>
        <v>6599</v>
      </c>
      <c r="R28" s="120">
        <f t="shared" si="22"/>
        <v>6785</v>
      </c>
      <c r="S28" s="120">
        <f t="shared" si="22"/>
        <v>6979</v>
      </c>
      <c r="T28" s="120">
        <f t="shared" si="22"/>
        <v>6965</v>
      </c>
      <c r="U28" s="120">
        <f t="shared" si="22"/>
        <v>42142</v>
      </c>
      <c r="V28" s="120">
        <f t="shared" si="22"/>
        <v>32924</v>
      </c>
      <c r="W28" s="120">
        <f t="shared" si="22"/>
        <v>15594</v>
      </c>
      <c r="X28" s="120">
        <f t="shared" si="22"/>
        <v>13724</v>
      </c>
      <c r="Y28" s="120">
        <f t="shared" si="22"/>
        <v>16630</v>
      </c>
      <c r="Z28" s="120">
        <f t="shared" si="22"/>
        <v>16864</v>
      </c>
      <c r="AA28" s="120">
        <f t="shared" si="22"/>
        <v>17177</v>
      </c>
      <c r="AB28" s="120">
        <f t="shared" si="22"/>
        <v>108928</v>
      </c>
      <c r="AC28" s="120">
        <f t="shared" si="22"/>
        <v>110709</v>
      </c>
      <c r="AD28" s="120">
        <f t="shared" si="22"/>
        <v>61587</v>
      </c>
      <c r="AE28" s="120">
        <f t="shared" si="22"/>
        <v>61616</v>
      </c>
      <c r="AF28" s="120">
        <f t="shared" si="22"/>
        <v>54893</v>
      </c>
      <c r="AG28" s="120">
        <f t="shared" si="22"/>
        <v>38190</v>
      </c>
      <c r="AH28" s="120">
        <f t="shared" si="22"/>
        <v>33990</v>
      </c>
      <c r="AI28" s="120">
        <f t="shared" si="22"/>
        <v>37365</v>
      </c>
      <c r="AJ28" s="120">
        <f t="shared" si="22"/>
        <v>36681</v>
      </c>
      <c r="AK28" s="120">
        <f t="shared" si="22"/>
        <v>36972</v>
      </c>
      <c r="AL28" s="120">
        <f t="shared" si="22"/>
        <v>36827</v>
      </c>
      <c r="AM28" s="120">
        <f t="shared" si="22"/>
        <v>33575</v>
      </c>
      <c r="AN28" s="120">
        <f t="shared" si="22"/>
        <v>21851</v>
      </c>
      <c r="AO28" s="120">
        <f t="shared" si="22"/>
        <v>3704</v>
      </c>
      <c r="AP28" s="120">
        <f t="shared" si="22"/>
        <v>4242</v>
      </c>
      <c r="AQ28" s="120">
        <f t="shared" si="22"/>
        <v>4618</v>
      </c>
      <c r="AR28" s="120">
        <f t="shared" si="22"/>
        <v>4368</v>
      </c>
      <c r="AS28" s="120">
        <f t="shared" si="22"/>
        <v>4248</v>
      </c>
      <c r="AT28" s="120">
        <f t="shared" ref="AT28:AY28" si="23">SUM(AT20:AT25)</f>
        <v>4552</v>
      </c>
      <c r="AU28" s="120">
        <f t="shared" si="23"/>
        <v>20950</v>
      </c>
      <c r="AV28" s="120">
        <f t="shared" si="23"/>
        <v>6107</v>
      </c>
      <c r="AW28" s="120">
        <f t="shared" si="23"/>
        <v>6115</v>
      </c>
      <c r="AX28" s="120">
        <f t="shared" si="23"/>
        <v>7802</v>
      </c>
      <c r="AY28" s="120">
        <f t="shared" si="23"/>
        <v>8649</v>
      </c>
      <c r="AZ28" s="120">
        <f>SUM(AZ20:AZ25)</f>
        <v>8472</v>
      </c>
      <c r="BA28" s="120">
        <f>SUM(BA20:BA25)</f>
        <v>8469</v>
      </c>
      <c r="BB28" s="120">
        <f>SUM(BB20:BB25)</f>
        <v>8144</v>
      </c>
      <c r="BC28" s="120">
        <f>SUM(BC20:BC25)</f>
        <v>8370</v>
      </c>
    </row>
    <row r="29" spans="1:55" x14ac:dyDescent="0.2">
      <c r="A29" s="25" t="s">
        <v>201</v>
      </c>
      <c r="B29" s="25" t="s">
        <v>907</v>
      </c>
      <c r="D29" s="129" t="str">
        <f>IF([1]RENAME!$H$3=1,B29,A29)</f>
        <v>Circulante</v>
      </c>
      <c r="E29" s="118"/>
      <c r="F29" s="118"/>
      <c r="G29" s="160"/>
      <c r="H29" s="118"/>
      <c r="I29" s="118"/>
      <c r="J29" s="118"/>
      <c r="K29" s="118"/>
      <c r="L29" s="118"/>
      <c r="M29" s="118"/>
      <c r="N29" s="118"/>
      <c r="O29" s="118"/>
      <c r="P29" s="118"/>
      <c r="Q29" s="118"/>
      <c r="R29" s="118"/>
      <c r="S29" s="118"/>
      <c r="T29" s="118"/>
      <c r="U29" s="118"/>
      <c r="V29" s="118"/>
      <c r="W29" s="118"/>
      <c r="X29" s="118"/>
      <c r="Y29" s="118">
        <v>10477</v>
      </c>
      <c r="Z29" s="118">
        <v>10652</v>
      </c>
      <c r="AA29" s="118">
        <v>10905</v>
      </c>
      <c r="AB29" s="118">
        <v>102596</v>
      </c>
      <c r="AC29" s="118">
        <v>104325</v>
      </c>
      <c r="AD29" s="118">
        <v>55163</v>
      </c>
      <c r="AE29" s="118">
        <v>55158</v>
      </c>
      <c r="AF29" s="118">
        <v>48413</v>
      </c>
      <c r="AG29" s="118">
        <v>31920</v>
      </c>
      <c r="AH29" s="118">
        <v>27699</v>
      </c>
      <c r="AI29" s="118">
        <v>31094</v>
      </c>
      <c r="AJ29" s="118">
        <v>30323</v>
      </c>
      <c r="AK29" s="118">
        <v>30561</v>
      </c>
      <c r="AL29" s="118">
        <v>30561</v>
      </c>
      <c r="AM29" s="118">
        <v>31078</v>
      </c>
      <c r="AN29" s="118">
        <v>19308</v>
      </c>
      <c r="AO29" s="118">
        <v>2182</v>
      </c>
      <c r="AP29" s="118">
        <v>2694</v>
      </c>
      <c r="AQ29" s="118">
        <v>3044</v>
      </c>
      <c r="AR29" s="118">
        <v>2767</v>
      </c>
      <c r="AS29" s="118">
        <v>2627</v>
      </c>
      <c r="AT29" s="118">
        <v>3038</v>
      </c>
      <c r="AU29" s="118">
        <f>'[3]7 Imposto NL'!$D$15</f>
        <v>4970</v>
      </c>
      <c r="AV29" s="118">
        <v>3045</v>
      </c>
      <c r="AW29" s="118">
        <v>3014</v>
      </c>
      <c r="AX29" s="118">
        <v>4658</v>
      </c>
      <c r="AY29" s="118">
        <v>5457</v>
      </c>
      <c r="AZ29" s="118">
        <v>5227</v>
      </c>
      <c r="BA29" s="118">
        <v>5171</v>
      </c>
      <c r="BB29" s="118">
        <v>4794</v>
      </c>
      <c r="BC29" s="118">
        <f>'[3]7 Imposto NL'!$D$15</f>
        <v>4970</v>
      </c>
    </row>
    <row r="30" spans="1:55" x14ac:dyDescent="0.2">
      <c r="A30" s="25" t="s">
        <v>187</v>
      </c>
      <c r="B30" s="25" t="s">
        <v>908</v>
      </c>
      <c r="D30" s="129" t="str">
        <f>IF([1]RENAME!$H$3=1,B30,A30)</f>
        <v>Não circulante</v>
      </c>
      <c r="E30" s="118"/>
      <c r="F30" s="118"/>
      <c r="G30" s="160"/>
      <c r="H30" s="118"/>
      <c r="I30" s="118"/>
      <c r="J30" s="118"/>
      <c r="K30" s="118"/>
      <c r="L30" s="118"/>
      <c r="M30" s="118"/>
      <c r="N30" s="118"/>
      <c r="O30" s="118"/>
      <c r="P30" s="118"/>
      <c r="Q30" s="118"/>
      <c r="R30" s="118"/>
      <c r="S30" s="118"/>
      <c r="T30" s="118"/>
      <c r="U30" s="118"/>
      <c r="V30" s="118"/>
      <c r="W30" s="118"/>
      <c r="X30" s="118"/>
      <c r="Y30" s="118">
        <v>6153</v>
      </c>
      <c r="Z30" s="118">
        <v>6212</v>
      </c>
      <c r="AA30" s="118">
        <v>6272</v>
      </c>
      <c r="AB30" s="118">
        <v>6332</v>
      </c>
      <c r="AC30" s="118">
        <v>6384</v>
      </c>
      <c r="AD30" s="118">
        <v>6424</v>
      </c>
      <c r="AE30" s="118">
        <v>6458</v>
      </c>
      <c r="AF30" s="118">
        <v>6480</v>
      </c>
      <c r="AG30" s="118">
        <v>6270</v>
      </c>
      <c r="AH30" s="118">
        <v>6286</v>
      </c>
      <c r="AI30" s="118">
        <v>6312</v>
      </c>
      <c r="AJ30" s="118">
        <v>6353</v>
      </c>
      <c r="AK30" s="118">
        <v>6411</v>
      </c>
      <c r="AL30" s="118">
        <v>6411</v>
      </c>
      <c r="AM30" s="118">
        <v>2492</v>
      </c>
      <c r="AN30" s="118">
        <v>2538</v>
      </c>
      <c r="AO30" s="118">
        <v>1517</v>
      </c>
      <c r="AP30" s="118">
        <v>1543</v>
      </c>
      <c r="AQ30" s="118">
        <v>1569</v>
      </c>
      <c r="AR30" s="118">
        <v>1596</v>
      </c>
      <c r="AS30" s="118">
        <v>1621</v>
      </c>
      <c r="AT30" s="118">
        <v>1514</v>
      </c>
      <c r="AU30" s="118">
        <f>'[3]7 Imposto NL'!$D$16</f>
        <v>3400</v>
      </c>
      <c r="AV30" s="118">
        <v>3062</v>
      </c>
      <c r="AW30" s="118">
        <v>3101</v>
      </c>
      <c r="AX30" s="118">
        <v>3144</v>
      </c>
      <c r="AY30" s="118">
        <v>3192</v>
      </c>
      <c r="AZ30" s="118">
        <v>3245</v>
      </c>
      <c r="BA30" s="118">
        <v>3298</v>
      </c>
      <c r="BB30" s="118">
        <v>3350</v>
      </c>
      <c r="BC30" s="118">
        <f>'[3]7 Imposto NL'!$D$16</f>
        <v>3400</v>
      </c>
    </row>
    <row r="31" spans="1:55" x14ac:dyDescent="0.2">
      <c r="A31" s="25" t="s">
        <v>73</v>
      </c>
      <c r="B31" s="25" t="s">
        <v>73</v>
      </c>
      <c r="D31" s="126" t="str">
        <f>IF([1]RENAME!$H$3=1,B31,A31)</f>
        <v>TOTAL</v>
      </c>
      <c r="E31" s="120"/>
      <c r="F31" s="120"/>
      <c r="G31" s="162"/>
      <c r="H31" s="120"/>
      <c r="I31" s="120"/>
      <c r="J31" s="120"/>
      <c r="K31" s="120"/>
      <c r="L31" s="120"/>
      <c r="M31" s="120"/>
      <c r="N31" s="120"/>
      <c r="O31" s="120"/>
      <c r="P31" s="120"/>
      <c r="Q31" s="120"/>
      <c r="R31" s="120"/>
      <c r="S31" s="120"/>
      <c r="T31" s="120"/>
      <c r="U31" s="120"/>
      <c r="V31" s="120"/>
      <c r="W31" s="120"/>
      <c r="X31" s="120"/>
      <c r="Y31" s="120">
        <f t="shared" ref="Y31:AD31" si="24">SUM(Y29:Y30)</f>
        <v>16630</v>
      </c>
      <c r="Z31" s="120">
        <f t="shared" si="24"/>
        <v>16864</v>
      </c>
      <c r="AA31" s="120">
        <f t="shared" si="24"/>
        <v>17177</v>
      </c>
      <c r="AB31" s="120">
        <f t="shared" si="24"/>
        <v>108928</v>
      </c>
      <c r="AC31" s="120">
        <f t="shared" si="24"/>
        <v>110709</v>
      </c>
      <c r="AD31" s="120">
        <f t="shared" si="24"/>
        <v>61587</v>
      </c>
      <c r="AE31" s="120">
        <f t="shared" ref="AE31:AL31" si="25">SUM(AE29:AE30)</f>
        <v>61616</v>
      </c>
      <c r="AF31" s="120">
        <f t="shared" si="25"/>
        <v>54893</v>
      </c>
      <c r="AG31" s="120">
        <f t="shared" si="25"/>
        <v>38190</v>
      </c>
      <c r="AH31" s="120">
        <f t="shared" si="25"/>
        <v>33985</v>
      </c>
      <c r="AI31" s="120">
        <f t="shared" si="25"/>
        <v>37406</v>
      </c>
      <c r="AJ31" s="120">
        <f t="shared" si="25"/>
        <v>36676</v>
      </c>
      <c r="AK31" s="120">
        <f t="shared" si="25"/>
        <v>36972</v>
      </c>
      <c r="AL31" s="120">
        <f t="shared" si="25"/>
        <v>36972</v>
      </c>
      <c r="AM31" s="120">
        <f t="shared" ref="AM31:AR31" si="26">SUM(AM29:AM30)</f>
        <v>33570</v>
      </c>
      <c r="AN31" s="120">
        <f t="shared" si="26"/>
        <v>21846</v>
      </c>
      <c r="AO31" s="120">
        <f t="shared" si="26"/>
        <v>3699</v>
      </c>
      <c r="AP31" s="120">
        <f t="shared" si="26"/>
        <v>4237</v>
      </c>
      <c r="AQ31" s="120">
        <f t="shared" si="26"/>
        <v>4613</v>
      </c>
      <c r="AR31" s="120">
        <f t="shared" si="26"/>
        <v>4363</v>
      </c>
      <c r="AS31" s="120">
        <f t="shared" ref="AS31:AY31" si="27">SUM(AS29:AS30)</f>
        <v>4248</v>
      </c>
      <c r="AT31" s="120">
        <f t="shared" si="27"/>
        <v>4552</v>
      </c>
      <c r="AU31" s="120">
        <f t="shared" si="27"/>
        <v>8370</v>
      </c>
      <c r="AV31" s="120">
        <f t="shared" si="27"/>
        <v>6107</v>
      </c>
      <c r="AW31" s="120">
        <f t="shared" si="27"/>
        <v>6115</v>
      </c>
      <c r="AX31" s="120">
        <f t="shared" si="27"/>
        <v>7802</v>
      </c>
      <c r="AY31" s="120">
        <f t="shared" si="27"/>
        <v>8649</v>
      </c>
      <c r="AZ31" s="120">
        <f>SUM(AZ29:AZ30)</f>
        <v>8472</v>
      </c>
      <c r="BA31" s="120">
        <f>SUM(BA29:BA30)</f>
        <v>8469</v>
      </c>
      <c r="BB31" s="120">
        <f>SUM(BB29:BB30)</f>
        <v>8144</v>
      </c>
      <c r="BC31" s="120">
        <f>SUM(BC29:BC30)</f>
        <v>8370</v>
      </c>
    </row>
    <row r="33" spans="1:55" x14ac:dyDescent="0.2">
      <c r="A33" s="25" t="s">
        <v>98</v>
      </c>
      <c r="B33" s="25" t="s">
        <v>876</v>
      </c>
      <c r="D33" s="151" t="str">
        <f>IF([1]RENAME!$H$3=1,B33,A33)</f>
        <v>Controladas</v>
      </c>
      <c r="E33" s="115">
        <f t="shared" ref="E33:AK33" si="28">E19</f>
        <v>2013</v>
      </c>
      <c r="F33" s="115" t="str">
        <f t="shared" si="28"/>
        <v>1T14</v>
      </c>
      <c r="G33" s="115" t="str">
        <f t="shared" si="28"/>
        <v>2T14</v>
      </c>
      <c r="H33" s="115" t="str">
        <f t="shared" si="28"/>
        <v>3T14</v>
      </c>
      <c r="I33" s="115" t="str">
        <f t="shared" si="28"/>
        <v>4T14</v>
      </c>
      <c r="J33" s="115" t="str">
        <f t="shared" si="28"/>
        <v>1T15</v>
      </c>
      <c r="K33" s="115" t="str">
        <f t="shared" si="28"/>
        <v>2T15</v>
      </c>
      <c r="L33" s="115" t="str">
        <f t="shared" si="28"/>
        <v>3T15</v>
      </c>
      <c r="M33" s="115" t="str">
        <f t="shared" si="28"/>
        <v>4T15</v>
      </c>
      <c r="N33" s="115" t="str">
        <f t="shared" si="28"/>
        <v>1T16</v>
      </c>
      <c r="O33" s="115" t="str">
        <f t="shared" si="28"/>
        <v>2T16</v>
      </c>
      <c r="P33" s="115" t="str">
        <f t="shared" si="28"/>
        <v>3T16</v>
      </c>
      <c r="Q33" s="115" t="str">
        <f t="shared" si="28"/>
        <v>4T16</v>
      </c>
      <c r="R33" s="115" t="str">
        <f t="shared" si="28"/>
        <v>1T17</v>
      </c>
      <c r="S33" s="115" t="str">
        <f t="shared" si="28"/>
        <v>2T17</v>
      </c>
      <c r="T33" s="115" t="str">
        <f t="shared" si="28"/>
        <v>3T17</v>
      </c>
      <c r="U33" s="115" t="str">
        <f t="shared" si="28"/>
        <v>4T17</v>
      </c>
      <c r="V33" s="115" t="str">
        <f t="shared" si="28"/>
        <v>1T18</v>
      </c>
      <c r="W33" s="115" t="str">
        <f t="shared" si="28"/>
        <v>2T18</v>
      </c>
      <c r="X33" s="115" t="str">
        <f t="shared" si="28"/>
        <v>3T18</v>
      </c>
      <c r="Y33" s="115" t="str">
        <f t="shared" si="28"/>
        <v>4T18</v>
      </c>
      <c r="Z33" s="115" t="str">
        <f t="shared" si="28"/>
        <v>1T19</v>
      </c>
      <c r="AA33" s="115" t="str">
        <f t="shared" si="28"/>
        <v>2T19</v>
      </c>
      <c r="AB33" s="115" t="str">
        <f t="shared" si="28"/>
        <v>3T19</v>
      </c>
      <c r="AC33" s="115" t="str">
        <f t="shared" si="28"/>
        <v>4T19</v>
      </c>
      <c r="AD33" s="115" t="str">
        <f t="shared" si="28"/>
        <v>1T20</v>
      </c>
      <c r="AE33" s="115" t="str">
        <f t="shared" si="28"/>
        <v>2T20</v>
      </c>
      <c r="AF33" s="115" t="str">
        <f t="shared" si="28"/>
        <v>3T20</v>
      </c>
      <c r="AG33" s="115" t="str">
        <f t="shared" si="28"/>
        <v>4T20</v>
      </c>
      <c r="AH33" s="115" t="str">
        <f t="shared" si="28"/>
        <v>1T21</v>
      </c>
      <c r="AI33" s="115" t="str">
        <f t="shared" si="28"/>
        <v>2T21</v>
      </c>
      <c r="AJ33" s="115" t="str">
        <f t="shared" si="28"/>
        <v>3T21</v>
      </c>
      <c r="AK33" s="115" t="str">
        <f t="shared" si="28"/>
        <v>4T21</v>
      </c>
      <c r="AL33" s="115" t="s">
        <v>1942</v>
      </c>
      <c r="AM33" s="115" t="str">
        <f t="shared" ref="AM33:AS33" si="29">AM19</f>
        <v>2T22</v>
      </c>
      <c r="AN33" s="115" t="str">
        <f t="shared" si="29"/>
        <v>3T22</v>
      </c>
      <c r="AO33" s="115" t="str">
        <f t="shared" si="29"/>
        <v>4T22</v>
      </c>
      <c r="AP33" s="115" t="str">
        <f t="shared" si="29"/>
        <v>1T23</v>
      </c>
      <c r="AQ33" s="115" t="str">
        <f t="shared" si="29"/>
        <v>2T23</v>
      </c>
      <c r="AR33" s="115" t="str">
        <f t="shared" si="29"/>
        <v>3T23</v>
      </c>
      <c r="AS33" s="115" t="str">
        <f t="shared" si="29"/>
        <v>4T23</v>
      </c>
      <c r="AT33" s="115" t="str">
        <f t="shared" ref="AT33:AY33" si="30">AT19</f>
        <v>1T24</v>
      </c>
      <c r="AU33" s="115" t="str">
        <f t="shared" si="30"/>
        <v>2T24</v>
      </c>
      <c r="AV33" s="115" t="str">
        <f t="shared" si="30"/>
        <v>3T24</v>
      </c>
      <c r="AW33" s="115" t="str">
        <f t="shared" si="30"/>
        <v>4T24</v>
      </c>
      <c r="AX33" s="115" t="str">
        <f t="shared" si="30"/>
        <v>1T25</v>
      </c>
      <c r="AY33" s="115" t="str">
        <f t="shared" si="30"/>
        <v>2T25</v>
      </c>
      <c r="AZ33" s="115" t="str">
        <f>AZ19</f>
        <v>3T25</v>
      </c>
      <c r="BA33" s="115" t="str">
        <f>BA19</f>
        <v>4T25</v>
      </c>
      <c r="BB33" s="247" t="str">
        <f>BB19</f>
        <v>1T26</v>
      </c>
      <c r="BC33" s="115" t="str">
        <f>BC19</f>
        <v>2T26</v>
      </c>
    </row>
    <row r="34" spans="1:55" x14ac:dyDescent="0.2">
      <c r="A34" s="25" t="s">
        <v>100</v>
      </c>
      <c r="B34" s="25" t="s">
        <v>909</v>
      </c>
      <c r="D34" s="129" t="str">
        <f>IF([1]RENAME!$H$3=1,B34,A34)</f>
        <v>INSS a recuperar</v>
      </c>
      <c r="E34" s="118">
        <f t="shared" ref="E34:X34" si="31">+E6-E20</f>
        <v>1328</v>
      </c>
      <c r="F34" s="118">
        <f t="shared" si="31"/>
        <v>1139</v>
      </c>
      <c r="G34" s="160">
        <f t="shared" si="31"/>
        <v>1619</v>
      </c>
      <c r="H34" s="118">
        <f t="shared" si="31"/>
        <v>1595</v>
      </c>
      <c r="I34" s="118">
        <f t="shared" si="31"/>
        <v>1594</v>
      </c>
      <c r="J34" s="118">
        <f t="shared" si="31"/>
        <v>1595</v>
      </c>
      <c r="K34" s="118">
        <f t="shared" si="31"/>
        <v>2415</v>
      </c>
      <c r="L34" s="118">
        <f t="shared" si="31"/>
        <v>2461</v>
      </c>
      <c r="M34" s="118">
        <f t="shared" si="31"/>
        <v>2951</v>
      </c>
      <c r="N34" s="118">
        <f t="shared" si="31"/>
        <v>3010</v>
      </c>
      <c r="O34" s="118">
        <f t="shared" si="31"/>
        <v>3050</v>
      </c>
      <c r="P34" s="118">
        <f t="shared" si="31"/>
        <v>3062</v>
      </c>
      <c r="Q34" s="118">
        <f t="shared" si="31"/>
        <v>4687</v>
      </c>
      <c r="R34" s="118">
        <f t="shared" si="31"/>
        <v>4700</v>
      </c>
      <c r="S34" s="118">
        <f t="shared" si="31"/>
        <v>4771</v>
      </c>
      <c r="T34" s="118">
        <f t="shared" si="31"/>
        <v>4714</v>
      </c>
      <c r="U34" s="118">
        <f t="shared" si="31"/>
        <v>4846</v>
      </c>
      <c r="V34" s="118">
        <f t="shared" si="31"/>
        <v>3297</v>
      </c>
      <c r="W34" s="118">
        <f t="shared" si="31"/>
        <v>3373</v>
      </c>
      <c r="X34" s="118">
        <f t="shared" si="31"/>
        <v>3313</v>
      </c>
      <c r="Y34" s="118">
        <v>3413</v>
      </c>
      <c r="Z34" s="118">
        <v>3421</v>
      </c>
      <c r="AA34" s="118">
        <v>3373</v>
      </c>
      <c r="AB34" s="118">
        <v>3386</v>
      </c>
      <c r="AC34" s="118">
        <v>3465</v>
      </c>
      <c r="AD34" s="118">
        <v>3424</v>
      </c>
      <c r="AE34" s="118">
        <f t="shared" ref="AE34:AS34" si="32">+AE6-AE20</f>
        <v>3548</v>
      </c>
      <c r="AF34" s="118">
        <f t="shared" si="32"/>
        <v>3700</v>
      </c>
      <c r="AG34" s="118">
        <f t="shared" si="32"/>
        <v>3390</v>
      </c>
      <c r="AH34" s="118">
        <f t="shared" si="32"/>
        <v>3385</v>
      </c>
      <c r="AI34" s="118">
        <f t="shared" si="32"/>
        <v>3415</v>
      </c>
      <c r="AJ34" s="118">
        <f t="shared" si="32"/>
        <v>3420</v>
      </c>
      <c r="AK34" s="118">
        <f t="shared" si="32"/>
        <v>3429</v>
      </c>
      <c r="AL34" s="118">
        <f t="shared" si="32"/>
        <v>3258</v>
      </c>
      <c r="AM34" s="118">
        <f t="shared" si="32"/>
        <v>3188</v>
      </c>
      <c r="AN34" s="118">
        <f t="shared" si="32"/>
        <v>3166</v>
      </c>
      <c r="AO34" s="118">
        <f t="shared" si="32"/>
        <v>3029</v>
      </c>
      <c r="AP34" s="118">
        <f t="shared" si="32"/>
        <v>3041</v>
      </c>
      <c r="AQ34" s="118">
        <f t="shared" si="32"/>
        <v>3056</v>
      </c>
      <c r="AR34" s="118">
        <f t="shared" si="32"/>
        <v>3068</v>
      </c>
      <c r="AS34" s="118">
        <f t="shared" si="32"/>
        <v>3089</v>
      </c>
      <c r="AT34" s="118">
        <f>+AT6-AT20</f>
        <v>3024</v>
      </c>
      <c r="AU34" s="118">
        <f>+AU6-AU20</f>
        <v>3004</v>
      </c>
      <c r="AV34" s="118">
        <v>2933</v>
      </c>
      <c r="AW34" s="118">
        <v>3076</v>
      </c>
      <c r="AX34" s="118">
        <v>3191</v>
      </c>
      <c r="AY34" s="118">
        <v>3153</v>
      </c>
      <c r="AZ34" s="118">
        <v>3313</v>
      </c>
      <c r="BA34" s="118">
        <v>3267</v>
      </c>
      <c r="BB34" s="118">
        <v>3295</v>
      </c>
      <c r="BC34" s="118">
        <f>+BC6-BC20</f>
        <v>3280</v>
      </c>
    </row>
    <row r="35" spans="1:55" x14ac:dyDescent="0.2">
      <c r="A35" s="25" t="s">
        <v>101</v>
      </c>
      <c r="B35" s="25" t="s">
        <v>910</v>
      </c>
      <c r="D35" s="129" t="str">
        <f>IF([1]RENAME!$H$3=1,B35,A35)</f>
        <v>IRRF sobre aplicações financeiras</v>
      </c>
      <c r="E35" s="118">
        <f t="shared" ref="E35:X35" si="33">+E7-E21</f>
        <v>652</v>
      </c>
      <c r="F35" s="118">
        <f t="shared" si="33"/>
        <v>864</v>
      </c>
      <c r="G35" s="160">
        <f t="shared" si="33"/>
        <v>733</v>
      </c>
      <c r="H35" s="118">
        <f t="shared" si="33"/>
        <v>625</v>
      </c>
      <c r="I35" s="118">
        <f t="shared" si="33"/>
        <v>423</v>
      </c>
      <c r="J35" s="118">
        <f t="shared" si="33"/>
        <v>471</v>
      </c>
      <c r="K35" s="118">
        <f t="shared" si="33"/>
        <v>1189</v>
      </c>
      <c r="L35" s="118">
        <f t="shared" si="33"/>
        <v>1212</v>
      </c>
      <c r="M35" s="118">
        <f t="shared" si="33"/>
        <v>0</v>
      </c>
      <c r="N35" s="118">
        <f t="shared" si="33"/>
        <v>298</v>
      </c>
      <c r="O35" s="118">
        <f t="shared" si="33"/>
        <v>1357</v>
      </c>
      <c r="P35" s="118">
        <f t="shared" si="33"/>
        <v>1270</v>
      </c>
      <c r="Q35" s="118">
        <f t="shared" si="33"/>
        <v>0</v>
      </c>
      <c r="R35" s="118">
        <f t="shared" si="33"/>
        <v>366</v>
      </c>
      <c r="S35" s="118">
        <f t="shared" si="33"/>
        <v>887</v>
      </c>
      <c r="T35" s="118">
        <f t="shared" si="33"/>
        <v>903</v>
      </c>
      <c r="U35" s="118">
        <f t="shared" si="33"/>
        <v>0</v>
      </c>
      <c r="V35" s="118">
        <f t="shared" si="33"/>
        <v>206</v>
      </c>
      <c r="W35" s="118">
        <f t="shared" si="33"/>
        <v>1491</v>
      </c>
      <c r="X35" s="118">
        <f t="shared" si="33"/>
        <v>1528</v>
      </c>
      <c r="Y35" s="118">
        <v>40</v>
      </c>
      <c r="Z35" s="118">
        <v>51</v>
      </c>
      <c r="AA35" s="118">
        <v>67</v>
      </c>
      <c r="AB35" s="118">
        <v>101</v>
      </c>
      <c r="AC35" s="118">
        <v>80</v>
      </c>
      <c r="AD35" s="118">
        <v>107</v>
      </c>
      <c r="AE35" s="118">
        <f t="shared" ref="AE35:AS35" si="34">+AE7-AE21</f>
        <v>100</v>
      </c>
      <c r="AF35" s="118">
        <f t="shared" si="34"/>
        <v>127</v>
      </c>
      <c r="AG35" s="118">
        <f t="shared" si="34"/>
        <v>68</v>
      </c>
      <c r="AH35" s="118">
        <f t="shared" si="34"/>
        <v>83</v>
      </c>
      <c r="AI35" s="118">
        <f t="shared" si="34"/>
        <v>91</v>
      </c>
      <c r="AJ35" s="118">
        <f t="shared" si="34"/>
        <v>158</v>
      </c>
      <c r="AK35" s="118">
        <f t="shared" si="34"/>
        <v>232</v>
      </c>
      <c r="AL35" s="118">
        <f t="shared" si="34"/>
        <v>461</v>
      </c>
      <c r="AM35" s="118">
        <f t="shared" si="34"/>
        <v>356</v>
      </c>
      <c r="AN35" s="118">
        <f t="shared" si="34"/>
        <v>342</v>
      </c>
      <c r="AO35" s="118">
        <f t="shared" si="34"/>
        <v>375</v>
      </c>
      <c r="AP35" s="118">
        <f t="shared" si="34"/>
        <v>545</v>
      </c>
      <c r="AQ35" s="118">
        <f t="shared" si="34"/>
        <v>787</v>
      </c>
      <c r="AR35" s="118">
        <f t="shared" si="34"/>
        <v>505</v>
      </c>
      <c r="AS35" s="118">
        <f t="shared" si="34"/>
        <v>556</v>
      </c>
      <c r="AT35" s="118">
        <f>+AT7-AT21</f>
        <v>681</v>
      </c>
      <c r="AU35" s="118">
        <f>+AU7-AU21</f>
        <v>422</v>
      </c>
      <c r="AV35" s="118">
        <v>583</v>
      </c>
      <c r="AW35" s="118">
        <v>513</v>
      </c>
      <c r="AX35" s="118">
        <v>502</v>
      </c>
      <c r="AY35" s="118">
        <v>569</v>
      </c>
      <c r="AZ35" s="118">
        <v>691</v>
      </c>
      <c r="BA35" s="118">
        <v>220</v>
      </c>
      <c r="BB35" s="118">
        <v>357</v>
      </c>
      <c r="BC35" s="118">
        <f>+BC7-BC21</f>
        <v>666</v>
      </c>
    </row>
    <row r="36" spans="1:55" x14ac:dyDescent="0.2">
      <c r="A36" s="25" t="s">
        <v>99</v>
      </c>
      <c r="B36" s="25" t="s">
        <v>912</v>
      </c>
      <c r="D36" s="129" t="str">
        <f>IF([1]RENAME!$H$3=1,B36,A36)</f>
        <v>IRRF sobre serviços e outros</v>
      </c>
      <c r="E36" s="118">
        <f t="shared" ref="E36:AR36" si="35">E8-E24</f>
        <v>1434</v>
      </c>
      <c r="F36" s="118">
        <f t="shared" si="35"/>
        <v>1453</v>
      </c>
      <c r="G36" s="118">
        <f t="shared" si="35"/>
        <v>683</v>
      </c>
      <c r="H36" s="118">
        <f t="shared" si="35"/>
        <v>635</v>
      </c>
      <c r="I36" s="118">
        <f t="shared" si="35"/>
        <v>658</v>
      </c>
      <c r="J36" s="118">
        <f t="shared" si="35"/>
        <v>601</v>
      </c>
      <c r="K36" s="118">
        <f t="shared" si="35"/>
        <v>48</v>
      </c>
      <c r="L36" s="118">
        <f t="shared" si="35"/>
        <v>75</v>
      </c>
      <c r="M36" s="118">
        <f t="shared" si="35"/>
        <v>0</v>
      </c>
      <c r="N36" s="118">
        <f t="shared" si="35"/>
        <v>0</v>
      </c>
      <c r="O36" s="118">
        <f t="shared" si="35"/>
        <v>0</v>
      </c>
      <c r="P36" s="118">
        <f t="shared" si="35"/>
        <v>0</v>
      </c>
      <c r="Q36" s="118">
        <f t="shared" si="35"/>
        <v>0</v>
      </c>
      <c r="R36" s="118">
        <f t="shared" si="35"/>
        <v>28</v>
      </c>
      <c r="S36" s="118">
        <f t="shared" si="35"/>
        <v>53</v>
      </c>
      <c r="T36" s="118">
        <f t="shared" si="35"/>
        <v>71</v>
      </c>
      <c r="U36" s="118">
        <f t="shared" si="35"/>
        <v>4</v>
      </c>
      <c r="V36" s="118">
        <f t="shared" si="35"/>
        <v>27</v>
      </c>
      <c r="W36" s="118">
        <f t="shared" si="35"/>
        <v>63</v>
      </c>
      <c r="X36" s="118">
        <f t="shared" si="35"/>
        <v>82</v>
      </c>
      <c r="Y36" s="118">
        <f t="shared" si="35"/>
        <v>0</v>
      </c>
      <c r="Z36" s="118">
        <f t="shared" si="35"/>
        <v>0</v>
      </c>
      <c r="AA36" s="118">
        <f t="shared" si="35"/>
        <v>55</v>
      </c>
      <c r="AB36" s="118">
        <f t="shared" si="35"/>
        <v>102</v>
      </c>
      <c r="AC36" s="118">
        <f t="shared" si="35"/>
        <v>0</v>
      </c>
      <c r="AD36" s="118">
        <f t="shared" si="35"/>
        <v>0</v>
      </c>
      <c r="AE36" s="118">
        <f t="shared" si="35"/>
        <v>0</v>
      </c>
      <c r="AF36" s="118">
        <f t="shared" si="35"/>
        <v>0</v>
      </c>
      <c r="AG36" s="118">
        <f t="shared" si="35"/>
        <v>41</v>
      </c>
      <c r="AH36" s="118">
        <f t="shared" si="35"/>
        <v>59</v>
      </c>
      <c r="AI36" s="118">
        <f t="shared" si="35"/>
        <v>136</v>
      </c>
      <c r="AJ36" s="118">
        <f t="shared" si="35"/>
        <v>99</v>
      </c>
      <c r="AK36" s="118">
        <f t="shared" si="35"/>
        <v>104</v>
      </c>
      <c r="AL36" s="118">
        <f t="shared" si="35"/>
        <v>104</v>
      </c>
      <c r="AM36" s="118">
        <f t="shared" si="35"/>
        <v>99</v>
      </c>
      <c r="AN36" s="118">
        <f t="shared" si="35"/>
        <v>99</v>
      </c>
      <c r="AO36" s="118">
        <f t="shared" si="35"/>
        <v>99</v>
      </c>
      <c r="AP36" s="118">
        <f t="shared" si="35"/>
        <v>4</v>
      </c>
      <c r="AQ36" s="118">
        <f t="shared" si="35"/>
        <v>4</v>
      </c>
      <c r="AR36" s="118">
        <f t="shared" si="35"/>
        <v>4</v>
      </c>
      <c r="AS36" s="118">
        <f>AS8-AS24</f>
        <v>10</v>
      </c>
      <c r="AT36" s="118">
        <f>AT8-AT24</f>
        <v>9</v>
      </c>
      <c r="AU36" s="118">
        <f>AU8-AU24</f>
        <v>9</v>
      </c>
      <c r="AV36" s="118">
        <v>9</v>
      </c>
      <c r="AW36" s="118">
        <v>9</v>
      </c>
      <c r="AX36" s="118">
        <v>9</v>
      </c>
      <c r="AY36" s="118">
        <v>9</v>
      </c>
      <c r="AZ36" s="118">
        <v>9</v>
      </c>
      <c r="BA36" s="118">
        <v>9</v>
      </c>
      <c r="BB36" s="118">
        <v>38</v>
      </c>
      <c r="BC36" s="118">
        <f>BC8-BC24</f>
        <v>54</v>
      </c>
    </row>
    <row r="37" spans="1:55" x14ac:dyDescent="0.2">
      <c r="A37" s="25" t="s">
        <v>102</v>
      </c>
      <c r="B37" s="25" t="s">
        <v>913</v>
      </c>
      <c r="D37" s="129" t="str">
        <f>IF([1]RENAME!$H$3=1,B37,A37)</f>
        <v>PIS e Cofins</v>
      </c>
      <c r="E37" s="118">
        <f t="shared" ref="E37:X37" si="36">+E9-E22</f>
        <v>3749</v>
      </c>
      <c r="F37" s="118">
        <f t="shared" si="36"/>
        <v>3500</v>
      </c>
      <c r="G37" s="160">
        <f t="shared" si="36"/>
        <v>1858</v>
      </c>
      <c r="H37" s="118">
        <f t="shared" si="36"/>
        <v>1946</v>
      </c>
      <c r="I37" s="118">
        <f t="shared" si="36"/>
        <v>2035</v>
      </c>
      <c r="J37" s="118">
        <f t="shared" si="36"/>
        <v>2094</v>
      </c>
      <c r="K37" s="118">
        <f t="shared" si="36"/>
        <v>1708</v>
      </c>
      <c r="L37" s="118">
        <f t="shared" si="36"/>
        <v>1788</v>
      </c>
      <c r="M37" s="118">
        <f t="shared" si="36"/>
        <v>5280</v>
      </c>
      <c r="N37" s="118">
        <f t="shared" si="36"/>
        <v>4404</v>
      </c>
      <c r="O37" s="118">
        <f t="shared" si="36"/>
        <v>3339</v>
      </c>
      <c r="P37" s="118">
        <f t="shared" si="36"/>
        <v>2212</v>
      </c>
      <c r="Q37" s="118">
        <f t="shared" si="36"/>
        <v>409</v>
      </c>
      <c r="R37" s="118">
        <f t="shared" si="36"/>
        <v>252</v>
      </c>
      <c r="S37" s="118">
        <f t="shared" si="36"/>
        <v>307</v>
      </c>
      <c r="T37" s="118">
        <f t="shared" si="36"/>
        <v>244</v>
      </c>
      <c r="U37" s="260">
        <f t="shared" si="36"/>
        <v>5773</v>
      </c>
      <c r="V37" s="118">
        <f t="shared" si="36"/>
        <v>2332</v>
      </c>
      <c r="W37" s="118">
        <f t="shared" si="36"/>
        <v>462</v>
      </c>
      <c r="X37" s="118">
        <f t="shared" si="36"/>
        <v>508</v>
      </c>
      <c r="Y37" s="118">
        <v>1340</v>
      </c>
      <c r="Z37" s="118">
        <v>1417</v>
      </c>
      <c r="AA37" s="118">
        <v>1485</v>
      </c>
      <c r="AB37" s="118">
        <v>1612</v>
      </c>
      <c r="AC37" s="118">
        <v>1692</v>
      </c>
      <c r="AD37" s="118">
        <v>1684</v>
      </c>
      <c r="AE37" s="118">
        <f t="shared" ref="AE37:AS37" si="37">+AE9-AE22</f>
        <v>1761</v>
      </c>
      <c r="AF37" s="118">
        <f t="shared" si="37"/>
        <v>1718</v>
      </c>
      <c r="AG37" s="118">
        <f t="shared" si="37"/>
        <v>1795</v>
      </c>
      <c r="AH37" s="118">
        <f t="shared" si="37"/>
        <v>1866</v>
      </c>
      <c r="AI37" s="260">
        <f t="shared" si="37"/>
        <v>11653</v>
      </c>
      <c r="AJ37" s="118">
        <f t="shared" si="37"/>
        <v>11646</v>
      </c>
      <c r="AK37" s="118">
        <f t="shared" si="37"/>
        <v>11793</v>
      </c>
      <c r="AL37" s="118">
        <f t="shared" si="37"/>
        <v>11933</v>
      </c>
      <c r="AM37" s="118">
        <f t="shared" si="37"/>
        <v>12113</v>
      </c>
      <c r="AN37" s="118">
        <f t="shared" si="37"/>
        <v>20772</v>
      </c>
      <c r="AO37" s="118">
        <f t="shared" si="37"/>
        <v>36747</v>
      </c>
      <c r="AP37" s="118">
        <f t="shared" si="37"/>
        <v>36133</v>
      </c>
      <c r="AQ37" s="118">
        <f t="shared" si="37"/>
        <v>31430</v>
      </c>
      <c r="AR37" s="118">
        <f t="shared" si="37"/>
        <v>27633</v>
      </c>
      <c r="AS37" s="118">
        <f t="shared" si="37"/>
        <v>23115</v>
      </c>
      <c r="AT37" s="118">
        <f>+AT9-AT22</f>
        <v>20224</v>
      </c>
      <c r="AU37" s="118">
        <f>+AU9-AU22</f>
        <v>3711</v>
      </c>
      <c r="AV37" s="118">
        <v>1087</v>
      </c>
      <c r="AW37" s="118">
        <v>611</v>
      </c>
      <c r="AX37" s="118">
        <v>808</v>
      </c>
      <c r="AY37" s="118">
        <v>1487</v>
      </c>
      <c r="AZ37" s="118">
        <v>1411</v>
      </c>
      <c r="BA37" s="118">
        <v>1376</v>
      </c>
      <c r="BB37" s="118">
        <v>1615</v>
      </c>
      <c r="BC37" s="118">
        <f>+BC9-BC22</f>
        <v>1606</v>
      </c>
    </row>
    <row r="38" spans="1:55" x14ac:dyDescent="0.2">
      <c r="D38" s="129" t="s">
        <v>1254</v>
      </c>
      <c r="E38" s="118">
        <f t="shared" ref="E38:X38" si="38">+E12-E23</f>
        <v>0</v>
      </c>
      <c r="F38" s="118">
        <f t="shared" si="38"/>
        <v>0</v>
      </c>
      <c r="G38" s="118">
        <f t="shared" si="38"/>
        <v>0</v>
      </c>
      <c r="H38" s="118">
        <f t="shared" si="38"/>
        <v>0</v>
      </c>
      <c r="I38" s="118">
        <f t="shared" si="38"/>
        <v>0</v>
      </c>
      <c r="J38" s="118">
        <f t="shared" si="38"/>
        <v>0</v>
      </c>
      <c r="K38" s="118">
        <f t="shared" si="38"/>
        <v>0</v>
      </c>
      <c r="L38" s="118">
        <f t="shared" si="38"/>
        <v>0</v>
      </c>
      <c r="M38" s="118">
        <f t="shared" si="38"/>
        <v>0</v>
      </c>
      <c r="N38" s="118">
        <f t="shared" si="38"/>
        <v>0</v>
      </c>
      <c r="O38" s="118">
        <f t="shared" si="38"/>
        <v>0</v>
      </c>
      <c r="P38" s="118">
        <f t="shared" si="38"/>
        <v>0</v>
      </c>
      <c r="Q38" s="118">
        <f t="shared" si="38"/>
        <v>0</v>
      </c>
      <c r="R38" s="118">
        <f t="shared" si="38"/>
        <v>0</v>
      </c>
      <c r="S38" s="118">
        <f t="shared" si="38"/>
        <v>11764</v>
      </c>
      <c r="T38" s="118">
        <f t="shared" si="38"/>
        <v>12228</v>
      </c>
      <c r="U38" s="118">
        <f t="shared" si="38"/>
        <v>12162</v>
      </c>
      <c r="V38" s="118">
        <f t="shared" si="38"/>
        <v>-219</v>
      </c>
      <c r="W38" s="118">
        <f t="shared" si="38"/>
        <v>-181</v>
      </c>
      <c r="X38" s="118">
        <f t="shared" si="38"/>
        <v>-194</v>
      </c>
      <c r="Y38" s="118">
        <v>0</v>
      </c>
      <c r="Z38" s="118">
        <v>0</v>
      </c>
      <c r="AA38" s="118">
        <v>0</v>
      </c>
      <c r="AB38" s="118">
        <v>0</v>
      </c>
      <c r="AC38" s="118">
        <v>0</v>
      </c>
      <c r="AD38" s="118">
        <v>0</v>
      </c>
      <c r="AE38" s="118">
        <f t="shared" ref="AE38:AS38" si="39">+AE12-AE23</f>
        <v>0</v>
      </c>
      <c r="AF38" s="118">
        <f t="shared" si="39"/>
        <v>0</v>
      </c>
      <c r="AG38" s="118">
        <f t="shared" si="39"/>
        <v>0</v>
      </c>
      <c r="AH38" s="118">
        <f t="shared" si="39"/>
        <v>0</v>
      </c>
      <c r="AI38" s="118">
        <f t="shared" si="39"/>
        <v>0</v>
      </c>
      <c r="AJ38" s="118">
        <f t="shared" si="39"/>
        <v>0</v>
      </c>
      <c r="AK38" s="118">
        <f t="shared" si="39"/>
        <v>0</v>
      </c>
      <c r="AL38" s="118">
        <f t="shared" si="39"/>
        <v>0</v>
      </c>
      <c r="AM38" s="118">
        <f t="shared" si="39"/>
        <v>0</v>
      </c>
      <c r="AN38" s="118">
        <f t="shared" si="39"/>
        <v>0</v>
      </c>
      <c r="AO38" s="118">
        <f t="shared" si="39"/>
        <v>0</v>
      </c>
      <c r="AP38" s="118">
        <f t="shared" si="39"/>
        <v>0</v>
      </c>
      <c r="AQ38" s="118">
        <f t="shared" si="39"/>
        <v>0</v>
      </c>
      <c r="AR38" s="118">
        <f t="shared" si="39"/>
        <v>0</v>
      </c>
      <c r="AS38" s="118">
        <f t="shared" si="39"/>
        <v>0</v>
      </c>
      <c r="AT38" s="118">
        <f>+AT12-AT23</f>
        <v>0</v>
      </c>
      <c r="AU38" s="118">
        <f>+AU12-AU23</f>
        <v>0</v>
      </c>
      <c r="AV38" s="118">
        <v>0</v>
      </c>
      <c r="AW38" s="118">
        <v>0</v>
      </c>
      <c r="AX38" s="118">
        <v>0</v>
      </c>
      <c r="AY38" s="118">
        <v>0</v>
      </c>
      <c r="AZ38" s="118">
        <v>0</v>
      </c>
      <c r="BA38" s="118">
        <v>0</v>
      </c>
      <c r="BB38" s="118">
        <v>0</v>
      </c>
      <c r="BC38" s="118">
        <f>+BC12-BC23</f>
        <v>0</v>
      </c>
    </row>
    <row r="39" spans="1:55" x14ac:dyDescent="0.2">
      <c r="A39" s="25" t="s">
        <v>49</v>
      </c>
      <c r="B39" s="25" t="s">
        <v>699</v>
      </c>
      <c r="D39" s="129" t="str">
        <f>IF([1]RENAME!$H$3=1,B39,A39)</f>
        <v>Outros</v>
      </c>
      <c r="E39" s="118">
        <f t="shared" ref="E39:X39" si="40">+E10-E25</f>
        <v>1216</v>
      </c>
      <c r="F39" s="118">
        <f t="shared" si="40"/>
        <v>1467</v>
      </c>
      <c r="G39" s="160">
        <f t="shared" si="40"/>
        <v>1392</v>
      </c>
      <c r="H39" s="118">
        <f t="shared" si="40"/>
        <v>1360</v>
      </c>
      <c r="I39" s="118">
        <f t="shared" si="40"/>
        <v>1377</v>
      </c>
      <c r="J39" s="118">
        <f t="shared" si="40"/>
        <v>1394</v>
      </c>
      <c r="K39" s="118">
        <f t="shared" si="40"/>
        <v>909</v>
      </c>
      <c r="L39" s="118">
        <f t="shared" si="40"/>
        <v>927</v>
      </c>
      <c r="M39" s="118">
        <f t="shared" si="40"/>
        <v>208</v>
      </c>
      <c r="N39" s="118">
        <f t="shared" si="40"/>
        <v>310</v>
      </c>
      <c r="O39" s="118">
        <f t="shared" si="40"/>
        <v>337</v>
      </c>
      <c r="P39" s="118">
        <f t="shared" si="40"/>
        <v>435</v>
      </c>
      <c r="Q39" s="118">
        <f t="shared" si="40"/>
        <v>425</v>
      </c>
      <c r="R39" s="118">
        <f t="shared" si="40"/>
        <v>208</v>
      </c>
      <c r="S39" s="118">
        <f t="shared" si="40"/>
        <v>290</v>
      </c>
      <c r="T39" s="118">
        <f t="shared" si="40"/>
        <v>69</v>
      </c>
      <c r="U39" s="118">
        <f t="shared" si="40"/>
        <v>1771</v>
      </c>
      <c r="V39" s="118">
        <f t="shared" si="40"/>
        <v>-14529</v>
      </c>
      <c r="W39" s="118">
        <f t="shared" si="40"/>
        <v>-7574</v>
      </c>
      <c r="X39" s="118">
        <f t="shared" si="40"/>
        <v>-6612</v>
      </c>
      <c r="Y39" s="118">
        <v>1</v>
      </c>
      <c r="Z39" s="118">
        <v>51</v>
      </c>
      <c r="AA39" s="118">
        <v>35</v>
      </c>
      <c r="AB39" s="118">
        <v>66</v>
      </c>
      <c r="AC39" s="118">
        <v>23</v>
      </c>
      <c r="AD39" s="118">
        <v>14</v>
      </c>
      <c r="AE39" s="118">
        <f t="shared" ref="AE39:AS39" si="41">+AE10-AE25</f>
        <v>29</v>
      </c>
      <c r="AF39" s="118">
        <f t="shared" si="41"/>
        <v>21</v>
      </c>
      <c r="AG39" s="118">
        <f t="shared" si="41"/>
        <v>49</v>
      </c>
      <c r="AH39" s="118">
        <f t="shared" si="41"/>
        <v>429</v>
      </c>
      <c r="AI39" s="118">
        <f t="shared" si="41"/>
        <v>500</v>
      </c>
      <c r="AJ39" s="118">
        <f t="shared" si="41"/>
        <v>520</v>
      </c>
      <c r="AK39" s="118">
        <f t="shared" si="41"/>
        <v>544</v>
      </c>
      <c r="AL39" s="118">
        <f t="shared" si="41"/>
        <v>559</v>
      </c>
      <c r="AM39" s="118">
        <f t="shared" si="41"/>
        <v>580</v>
      </c>
      <c r="AN39" s="118">
        <f t="shared" si="41"/>
        <v>587</v>
      </c>
      <c r="AO39" s="118">
        <f t="shared" si="41"/>
        <v>584</v>
      </c>
      <c r="AP39" s="118">
        <f t="shared" si="41"/>
        <v>412</v>
      </c>
      <c r="AQ39" s="118">
        <f t="shared" si="41"/>
        <v>423</v>
      </c>
      <c r="AR39" s="118">
        <f t="shared" si="41"/>
        <v>422</v>
      </c>
      <c r="AS39" s="118">
        <f t="shared" si="41"/>
        <v>422</v>
      </c>
      <c r="AT39" s="118">
        <f>+AT10-AT25</f>
        <v>424</v>
      </c>
      <c r="AU39" s="118">
        <f>+AU10-AU25</f>
        <v>5</v>
      </c>
      <c r="AV39" s="118">
        <v>4</v>
      </c>
      <c r="AW39" s="118">
        <v>-1</v>
      </c>
      <c r="AX39" s="118">
        <v>-14</v>
      </c>
      <c r="AY39" s="118">
        <v>-31</v>
      </c>
      <c r="AZ39" s="118">
        <v>-44</v>
      </c>
      <c r="BA39" s="118">
        <v>-61</v>
      </c>
      <c r="BB39" s="118">
        <v>-78</v>
      </c>
      <c r="BC39" s="118">
        <f>+BC10-BC25</f>
        <v>-99</v>
      </c>
    </row>
    <row r="40" spans="1:55" s="249" customFormat="1" hidden="1" outlineLevel="1" x14ac:dyDescent="0.2">
      <c r="A40" s="249" t="s">
        <v>402</v>
      </c>
      <c r="B40" s="249" t="s">
        <v>914</v>
      </c>
      <c r="D40" s="250" t="str">
        <f>IF([1]RENAME!$H$3=1,B40,A40)</f>
        <v>IRPJ e CSLL</v>
      </c>
      <c r="E40" s="218">
        <f t="shared" ref="E40:X40" si="42">+E11-E27</f>
        <v>4133</v>
      </c>
      <c r="F40" s="218">
        <f t="shared" si="42"/>
        <v>0</v>
      </c>
      <c r="G40" s="219">
        <f t="shared" si="42"/>
        <v>0</v>
      </c>
      <c r="H40" s="218">
        <f t="shared" si="42"/>
        <v>0</v>
      </c>
      <c r="I40" s="218">
        <f t="shared" si="42"/>
        <v>3963</v>
      </c>
      <c r="J40" s="218">
        <f t="shared" si="42"/>
        <v>4443</v>
      </c>
      <c r="K40" s="218">
        <f t="shared" si="42"/>
        <v>4465</v>
      </c>
      <c r="L40" s="218">
        <f t="shared" si="42"/>
        <v>1767</v>
      </c>
      <c r="M40" s="218">
        <f t="shared" si="42"/>
        <v>2699</v>
      </c>
      <c r="N40" s="218">
        <f t="shared" si="42"/>
        <v>1712</v>
      </c>
      <c r="O40" s="218">
        <f t="shared" si="42"/>
        <v>1741</v>
      </c>
      <c r="P40" s="218">
        <f t="shared" si="42"/>
        <v>1599</v>
      </c>
      <c r="Q40" s="218">
        <f t="shared" si="42"/>
        <v>2776</v>
      </c>
      <c r="R40" s="218">
        <f t="shared" si="42"/>
        <v>2073</v>
      </c>
      <c r="S40" s="218">
        <f t="shared" si="42"/>
        <v>2637</v>
      </c>
      <c r="T40" s="218">
        <f t="shared" si="42"/>
        <v>2252</v>
      </c>
      <c r="U40" s="218">
        <f t="shared" si="42"/>
        <v>0</v>
      </c>
      <c r="V40" s="218">
        <f t="shared" si="42"/>
        <v>0</v>
      </c>
      <c r="W40" s="218">
        <f t="shared" si="42"/>
        <v>0</v>
      </c>
      <c r="X40" s="218">
        <f t="shared" si="42"/>
        <v>0</v>
      </c>
      <c r="Y40" s="218">
        <v>0</v>
      </c>
      <c r="Z40" s="218">
        <v>0</v>
      </c>
      <c r="AA40" s="218"/>
      <c r="AB40" s="218">
        <v>0</v>
      </c>
      <c r="AC40" s="218">
        <v>0</v>
      </c>
      <c r="AD40" s="218">
        <f t="shared" ref="AD40:AS40" si="43">+AD11-AD27</f>
        <v>0</v>
      </c>
      <c r="AE40" s="218">
        <f t="shared" si="43"/>
        <v>0</v>
      </c>
      <c r="AF40" s="218">
        <f t="shared" si="43"/>
        <v>0</v>
      </c>
      <c r="AG40" s="218">
        <f t="shared" si="43"/>
        <v>0</v>
      </c>
      <c r="AH40" s="218">
        <f t="shared" si="43"/>
        <v>0</v>
      </c>
      <c r="AI40" s="218">
        <f t="shared" si="43"/>
        <v>0</v>
      </c>
      <c r="AJ40" s="118">
        <f t="shared" si="43"/>
        <v>0</v>
      </c>
      <c r="AK40" s="118">
        <f t="shared" si="43"/>
        <v>0</v>
      </c>
      <c r="AL40" s="118">
        <f t="shared" si="43"/>
        <v>0</v>
      </c>
      <c r="AM40" s="118">
        <f t="shared" si="43"/>
        <v>0</v>
      </c>
      <c r="AN40" s="118">
        <f t="shared" si="43"/>
        <v>0</v>
      </c>
      <c r="AO40" s="118">
        <f t="shared" si="43"/>
        <v>0</v>
      </c>
      <c r="AP40" s="118">
        <f t="shared" si="43"/>
        <v>0</v>
      </c>
      <c r="AQ40" s="118">
        <f t="shared" si="43"/>
        <v>0</v>
      </c>
      <c r="AR40" s="118">
        <f t="shared" si="43"/>
        <v>0</v>
      </c>
      <c r="AS40" s="118">
        <f t="shared" si="43"/>
        <v>0</v>
      </c>
      <c r="AT40" s="118">
        <f>+AT11-AT27</f>
        <v>0</v>
      </c>
      <c r="AU40" s="118">
        <f>+AU11-AU27</f>
        <v>0</v>
      </c>
      <c r="AV40" s="118">
        <f>+AV11-AV27</f>
        <v>0</v>
      </c>
      <c r="AW40" s="118"/>
      <c r="AX40" s="118"/>
      <c r="AY40" s="118">
        <f>+AY11-AY27</f>
        <v>0</v>
      </c>
      <c r="AZ40" s="118">
        <f>+AZ11-AZ27</f>
        <v>0</v>
      </c>
      <c r="BA40" s="118">
        <f>+BA11-BA27</f>
        <v>0</v>
      </c>
      <c r="BB40" s="118">
        <f>+BB11-BB27</f>
        <v>0</v>
      </c>
      <c r="BC40" s="118">
        <f>+BC11-BC27</f>
        <v>0</v>
      </c>
    </row>
    <row r="41" spans="1:55" s="249" customFormat="1" hidden="1" outlineLevel="1" x14ac:dyDescent="0.2">
      <c r="A41" s="249" t="s">
        <v>103</v>
      </c>
      <c r="B41" s="249" t="s">
        <v>911</v>
      </c>
      <c r="D41" s="250" t="str">
        <f>IF([1]RENAME!$H$3=1,B41,A41)</f>
        <v>ICMS a recuperar</v>
      </c>
      <c r="E41" s="218">
        <f t="shared" ref="E41:X41" si="44">+E13-E26</f>
        <v>1294</v>
      </c>
      <c r="F41" s="218">
        <f t="shared" si="44"/>
        <v>1361</v>
      </c>
      <c r="G41" s="219">
        <f t="shared" si="44"/>
        <v>1435</v>
      </c>
      <c r="H41" s="218">
        <f t="shared" si="44"/>
        <v>1401</v>
      </c>
      <c r="I41" s="218">
        <f t="shared" si="44"/>
        <v>1379</v>
      </c>
      <c r="J41" s="218">
        <f t="shared" si="44"/>
        <v>1156</v>
      </c>
      <c r="K41" s="218">
        <f t="shared" si="44"/>
        <v>1228</v>
      </c>
      <c r="L41" s="218">
        <f t="shared" si="44"/>
        <v>1283</v>
      </c>
      <c r="M41" s="218">
        <f t="shared" si="44"/>
        <v>885</v>
      </c>
      <c r="N41" s="218">
        <f t="shared" si="44"/>
        <v>880</v>
      </c>
      <c r="O41" s="218">
        <f t="shared" si="44"/>
        <v>1065</v>
      </c>
      <c r="P41" s="218">
        <f t="shared" si="44"/>
        <v>1025</v>
      </c>
      <c r="Q41" s="218">
        <f t="shared" si="44"/>
        <v>912</v>
      </c>
      <c r="R41" s="218">
        <f t="shared" si="44"/>
        <v>896</v>
      </c>
      <c r="S41" s="218">
        <f t="shared" si="44"/>
        <v>872</v>
      </c>
      <c r="T41" s="218">
        <f t="shared" si="44"/>
        <v>871</v>
      </c>
      <c r="U41" s="218">
        <f t="shared" si="44"/>
        <v>0</v>
      </c>
      <c r="V41" s="218">
        <f t="shared" si="44"/>
        <v>0</v>
      </c>
      <c r="W41" s="218">
        <f t="shared" si="44"/>
        <v>0</v>
      </c>
      <c r="X41" s="218">
        <f t="shared" si="44"/>
        <v>0</v>
      </c>
      <c r="Y41" s="218">
        <v>0</v>
      </c>
      <c r="Z41" s="218">
        <v>0</v>
      </c>
      <c r="AA41" s="218"/>
      <c r="AB41" s="218">
        <v>0</v>
      </c>
      <c r="AC41" s="218">
        <v>0</v>
      </c>
      <c r="AD41" s="218">
        <f t="shared" ref="AD41:AS41" si="45">+AD13-AD26</f>
        <v>0</v>
      </c>
      <c r="AE41" s="218">
        <f t="shared" si="45"/>
        <v>0</v>
      </c>
      <c r="AF41" s="218">
        <f t="shared" si="45"/>
        <v>0</v>
      </c>
      <c r="AG41" s="218">
        <f t="shared" si="45"/>
        <v>0</v>
      </c>
      <c r="AH41" s="218">
        <f t="shared" si="45"/>
        <v>0</v>
      </c>
      <c r="AI41" s="218">
        <f t="shared" si="45"/>
        <v>0</v>
      </c>
      <c r="AJ41" s="118">
        <f t="shared" si="45"/>
        <v>0</v>
      </c>
      <c r="AK41" s="118">
        <f t="shared" si="45"/>
        <v>0</v>
      </c>
      <c r="AL41" s="118">
        <f t="shared" si="45"/>
        <v>0</v>
      </c>
      <c r="AM41" s="118">
        <f t="shared" si="45"/>
        <v>0</v>
      </c>
      <c r="AN41" s="118">
        <f t="shared" si="45"/>
        <v>0</v>
      </c>
      <c r="AO41" s="118">
        <f t="shared" si="45"/>
        <v>0</v>
      </c>
      <c r="AP41" s="118">
        <f t="shared" si="45"/>
        <v>0</v>
      </c>
      <c r="AQ41" s="118">
        <f t="shared" si="45"/>
        <v>0</v>
      </c>
      <c r="AR41" s="118">
        <f t="shared" si="45"/>
        <v>0</v>
      </c>
      <c r="AS41" s="118">
        <f t="shared" si="45"/>
        <v>0</v>
      </c>
      <c r="AT41" s="118">
        <f>+AT13-AT26</f>
        <v>0</v>
      </c>
      <c r="AU41" s="118">
        <f>+AU13-AU26</f>
        <v>0</v>
      </c>
      <c r="AV41" s="118">
        <f>+AV13-AV26</f>
        <v>0</v>
      </c>
      <c r="AW41" s="118"/>
      <c r="AX41" s="118"/>
      <c r="AY41" s="118">
        <f>+AY13-AY26</f>
        <v>0</v>
      </c>
      <c r="AZ41" s="118">
        <f>+AZ13-AZ26</f>
        <v>0</v>
      </c>
      <c r="BA41" s="118">
        <f>+BA13-BA26</f>
        <v>0</v>
      </c>
      <c r="BB41" s="118">
        <f>+BB13-BB26</f>
        <v>0</v>
      </c>
      <c r="BC41" s="118">
        <f>+BC13-BC26</f>
        <v>0</v>
      </c>
    </row>
    <row r="42" spans="1:55" collapsed="1" x14ac:dyDescent="0.2">
      <c r="A42" s="25" t="s">
        <v>73</v>
      </c>
      <c r="B42" s="25" t="s">
        <v>73</v>
      </c>
      <c r="D42" s="126" t="str">
        <f>IF([1]RENAME!$H$3=1,B42,A42)</f>
        <v>TOTAL</v>
      </c>
      <c r="E42" s="120">
        <f t="shared" ref="E42:S42" si="46">SUM(E34:E39)</f>
        <v>8379</v>
      </c>
      <c r="F42" s="120">
        <f t="shared" si="46"/>
        <v>8423</v>
      </c>
      <c r="G42" s="162">
        <f t="shared" si="46"/>
        <v>6285</v>
      </c>
      <c r="H42" s="120">
        <f t="shared" si="46"/>
        <v>6161</v>
      </c>
      <c r="I42" s="120">
        <f t="shared" si="46"/>
        <v>6087</v>
      </c>
      <c r="J42" s="120">
        <f t="shared" si="46"/>
        <v>6155</v>
      </c>
      <c r="K42" s="120">
        <f t="shared" si="46"/>
        <v>6269</v>
      </c>
      <c r="L42" s="120">
        <f t="shared" si="46"/>
        <v>6463</v>
      </c>
      <c r="M42" s="120">
        <f t="shared" si="46"/>
        <v>8439</v>
      </c>
      <c r="N42" s="120">
        <f t="shared" si="46"/>
        <v>8022</v>
      </c>
      <c r="O42" s="120">
        <f t="shared" si="46"/>
        <v>8083</v>
      </c>
      <c r="P42" s="120">
        <f t="shared" si="46"/>
        <v>6979</v>
      </c>
      <c r="Q42" s="120">
        <f t="shared" si="46"/>
        <v>5521</v>
      </c>
      <c r="R42" s="120">
        <f t="shared" si="46"/>
        <v>5554</v>
      </c>
      <c r="S42" s="120">
        <f t="shared" si="46"/>
        <v>18072</v>
      </c>
      <c r="T42" s="120">
        <f t="shared" ref="T42:AC42" si="47">SUM(T34:T39)</f>
        <v>18229</v>
      </c>
      <c r="U42" s="120">
        <f t="shared" si="47"/>
        <v>24556</v>
      </c>
      <c r="V42" s="120">
        <f t="shared" si="47"/>
        <v>-8886</v>
      </c>
      <c r="W42" s="120">
        <f t="shared" si="47"/>
        <v>-2366</v>
      </c>
      <c r="X42" s="120">
        <f t="shared" si="47"/>
        <v>-1375</v>
      </c>
      <c r="Y42" s="120">
        <f t="shared" si="47"/>
        <v>4794</v>
      </c>
      <c r="Z42" s="120">
        <f t="shared" si="47"/>
        <v>4940</v>
      </c>
      <c r="AA42" s="120">
        <f t="shared" si="47"/>
        <v>5015</v>
      </c>
      <c r="AB42" s="120">
        <f t="shared" si="47"/>
        <v>5267</v>
      </c>
      <c r="AC42" s="120">
        <f t="shared" si="47"/>
        <v>5260</v>
      </c>
      <c r="AD42" s="120">
        <f t="shared" ref="AD42:AI42" si="48">SUM(AD34:AD39)</f>
        <v>5229</v>
      </c>
      <c r="AE42" s="120">
        <f t="shared" si="48"/>
        <v>5438</v>
      </c>
      <c r="AF42" s="120">
        <f t="shared" si="48"/>
        <v>5566</v>
      </c>
      <c r="AG42" s="120">
        <f t="shared" si="48"/>
        <v>5343</v>
      </c>
      <c r="AH42" s="120">
        <f t="shared" si="48"/>
        <v>5822</v>
      </c>
      <c r="AI42" s="120">
        <f t="shared" si="48"/>
        <v>15795</v>
      </c>
      <c r="AJ42" s="120">
        <f t="shared" ref="AJ42:AO42" si="49">SUM(AJ34:AJ39)</f>
        <v>15843</v>
      </c>
      <c r="AK42" s="120">
        <f t="shared" si="49"/>
        <v>16102</v>
      </c>
      <c r="AL42" s="120">
        <f t="shared" si="49"/>
        <v>16315</v>
      </c>
      <c r="AM42" s="120">
        <f t="shared" si="49"/>
        <v>16336</v>
      </c>
      <c r="AN42" s="120">
        <f t="shared" si="49"/>
        <v>24966</v>
      </c>
      <c r="AO42" s="120">
        <f t="shared" si="49"/>
        <v>40834</v>
      </c>
      <c r="AP42" s="120">
        <f t="shared" ref="AP42:BC42" si="50">SUM(AP34:AP39)</f>
        <v>40135</v>
      </c>
      <c r="AQ42" s="120">
        <f t="shared" si="50"/>
        <v>35700</v>
      </c>
      <c r="AR42" s="120">
        <f t="shared" si="50"/>
        <v>31632</v>
      </c>
      <c r="AS42" s="120">
        <f t="shared" si="50"/>
        <v>27192</v>
      </c>
      <c r="AT42" s="120">
        <f t="shared" si="50"/>
        <v>24362</v>
      </c>
      <c r="AU42" s="120">
        <f t="shared" si="50"/>
        <v>7151</v>
      </c>
      <c r="AV42" s="120">
        <f t="shared" si="50"/>
        <v>4616</v>
      </c>
      <c r="AW42" s="120">
        <f t="shared" si="50"/>
        <v>4208</v>
      </c>
      <c r="AX42" s="120">
        <f t="shared" si="50"/>
        <v>4496</v>
      </c>
      <c r="AY42" s="120">
        <f t="shared" si="50"/>
        <v>5187</v>
      </c>
      <c r="AZ42" s="120">
        <f t="shared" si="50"/>
        <v>5380</v>
      </c>
      <c r="BA42" s="120">
        <f t="shared" si="50"/>
        <v>4811</v>
      </c>
      <c r="BB42" s="120">
        <f>SUM(BB34:BB39)</f>
        <v>5227</v>
      </c>
      <c r="BC42" s="120">
        <f t="shared" si="50"/>
        <v>5507</v>
      </c>
    </row>
    <row r="43" spans="1:55" x14ac:dyDescent="0.2">
      <c r="A43" s="25" t="s">
        <v>201</v>
      </c>
      <c r="B43" s="25" t="s">
        <v>907</v>
      </c>
      <c r="D43" s="129" t="str">
        <f>IF([1]RENAME!$H$3=1,B43,A43)</f>
        <v>Circulante</v>
      </c>
      <c r="E43" s="118"/>
      <c r="F43" s="118"/>
      <c r="G43" s="160"/>
      <c r="H43" s="118"/>
      <c r="I43" s="118"/>
      <c r="J43" s="118"/>
      <c r="K43" s="118"/>
      <c r="L43" s="118"/>
      <c r="M43" s="118"/>
      <c r="N43" s="118"/>
      <c r="O43" s="118"/>
      <c r="P43" s="118"/>
      <c r="Q43" s="118"/>
      <c r="R43" s="118"/>
      <c r="S43" s="118"/>
      <c r="T43" s="118"/>
      <c r="U43" s="118"/>
      <c r="V43" s="118"/>
      <c r="W43" s="118"/>
      <c r="X43" s="118"/>
      <c r="Y43" s="118">
        <f>Y15-Y29</f>
        <v>1530</v>
      </c>
      <c r="Z43" s="118">
        <f>Z15-Z29</f>
        <v>1665</v>
      </c>
      <c r="AA43" s="118">
        <v>1729</v>
      </c>
      <c r="AB43" s="118">
        <v>1971</v>
      </c>
      <c r="AC43" s="118">
        <v>1955</v>
      </c>
      <c r="AD43" s="118">
        <v>1916</v>
      </c>
      <c r="AE43" s="118">
        <f t="shared" ref="AE43:AS43" si="51">AE15-AE29</f>
        <v>2119</v>
      </c>
      <c r="AF43" s="118">
        <f t="shared" si="51"/>
        <v>2244</v>
      </c>
      <c r="AG43" s="118">
        <f t="shared" si="51"/>
        <v>2069</v>
      </c>
      <c r="AH43" s="118">
        <f t="shared" si="51"/>
        <v>2549</v>
      </c>
      <c r="AI43" s="118">
        <f t="shared" si="51"/>
        <v>12472</v>
      </c>
      <c r="AJ43" s="118">
        <f t="shared" si="51"/>
        <v>12564</v>
      </c>
      <c r="AK43" s="118">
        <f t="shared" si="51"/>
        <v>12808</v>
      </c>
      <c r="AL43" s="118">
        <f t="shared" si="51"/>
        <v>13502</v>
      </c>
      <c r="AM43" s="118">
        <f t="shared" si="51"/>
        <v>13274</v>
      </c>
      <c r="AN43" s="118">
        <f t="shared" si="51"/>
        <v>21888</v>
      </c>
      <c r="AO43" s="118">
        <f t="shared" si="51"/>
        <v>22544</v>
      </c>
      <c r="AP43" s="118">
        <f t="shared" si="51"/>
        <v>21646</v>
      </c>
      <c r="AQ43" s="118">
        <f t="shared" si="51"/>
        <v>17259</v>
      </c>
      <c r="AR43" s="118">
        <f t="shared" si="51"/>
        <v>13006</v>
      </c>
      <c r="AS43" s="118">
        <f t="shared" si="51"/>
        <v>8413</v>
      </c>
      <c r="AT43" s="118">
        <f>AT15-AT29</f>
        <v>6917</v>
      </c>
      <c r="AU43" s="118">
        <f>AU15-AU29</f>
        <v>2943</v>
      </c>
      <c r="AV43" s="118">
        <v>1782</v>
      </c>
      <c r="AW43" s="118">
        <v>1366</v>
      </c>
      <c r="AX43" s="118">
        <v>1643</v>
      </c>
      <c r="AY43" s="118">
        <v>2371</v>
      </c>
      <c r="AZ43" s="118">
        <v>2552</v>
      </c>
      <c r="BA43" s="118">
        <v>1971</v>
      </c>
      <c r="BB43" s="118">
        <v>2377</v>
      </c>
      <c r="BC43" s="118">
        <f>BC15-BC29</f>
        <v>2647</v>
      </c>
    </row>
    <row r="44" spans="1:55" x14ac:dyDescent="0.2">
      <c r="A44" s="25" t="s">
        <v>187</v>
      </c>
      <c r="B44" s="25" t="s">
        <v>908</v>
      </c>
      <c r="D44" s="129" t="str">
        <f>IF([1]RENAME!$H$3=1,B44,A44)</f>
        <v>Não circulante</v>
      </c>
      <c r="E44" s="118"/>
      <c r="F44" s="118"/>
      <c r="G44" s="160"/>
      <c r="H44" s="118"/>
      <c r="I44" s="118"/>
      <c r="J44" s="118"/>
      <c r="K44" s="118"/>
      <c r="L44" s="118"/>
      <c r="M44" s="118"/>
      <c r="N44" s="118"/>
      <c r="O44" s="118"/>
      <c r="P44" s="118"/>
      <c r="Q44" s="118"/>
      <c r="R44" s="118"/>
      <c r="S44" s="118"/>
      <c r="T44" s="118"/>
      <c r="U44" s="118"/>
      <c r="V44" s="118"/>
      <c r="W44" s="118"/>
      <c r="X44" s="118"/>
      <c r="Y44" s="118">
        <f>Y16-Y30</f>
        <v>3264</v>
      </c>
      <c r="Z44" s="118">
        <f>Z16-Z30</f>
        <v>3275</v>
      </c>
      <c r="AA44" s="118">
        <v>3286</v>
      </c>
      <c r="AB44" s="118">
        <v>3296</v>
      </c>
      <c r="AC44" s="118">
        <v>3305</v>
      </c>
      <c r="AD44" s="118">
        <v>3313</v>
      </c>
      <c r="AE44" s="118">
        <f t="shared" ref="AE44:AS44" si="52">AE16-AE30</f>
        <v>3319</v>
      </c>
      <c r="AF44" s="118">
        <f t="shared" si="52"/>
        <v>3322</v>
      </c>
      <c r="AG44" s="118">
        <f t="shared" si="52"/>
        <v>3274</v>
      </c>
      <c r="AH44" s="118">
        <f t="shared" si="52"/>
        <v>3278</v>
      </c>
      <c r="AI44" s="118">
        <f t="shared" si="52"/>
        <v>3282</v>
      </c>
      <c r="AJ44" s="118">
        <f t="shared" si="52"/>
        <v>3284</v>
      </c>
      <c r="AK44" s="118">
        <f t="shared" si="52"/>
        <v>3294</v>
      </c>
      <c r="AL44" s="118">
        <f t="shared" si="52"/>
        <v>2668</v>
      </c>
      <c r="AM44" s="118">
        <f t="shared" si="52"/>
        <v>3067</v>
      </c>
      <c r="AN44" s="118">
        <f t="shared" si="52"/>
        <v>3083</v>
      </c>
      <c r="AO44" s="118">
        <f t="shared" si="52"/>
        <v>18295</v>
      </c>
      <c r="AP44" s="118">
        <f t="shared" si="52"/>
        <v>18494</v>
      </c>
      <c r="AQ44" s="118">
        <f t="shared" si="52"/>
        <v>18446</v>
      </c>
      <c r="AR44" s="118">
        <f t="shared" si="52"/>
        <v>18631</v>
      </c>
      <c r="AS44" s="118">
        <f t="shared" si="52"/>
        <v>18779</v>
      </c>
      <c r="AT44" s="118">
        <f>AT16-AT30</f>
        <v>17445</v>
      </c>
      <c r="AU44" s="118">
        <f>AU16-AU30</f>
        <v>16788</v>
      </c>
      <c r="AV44" s="118">
        <v>2834</v>
      </c>
      <c r="AW44" s="118">
        <v>2842</v>
      </c>
      <c r="AX44" s="118">
        <v>2853</v>
      </c>
      <c r="AY44" s="118">
        <v>2816</v>
      </c>
      <c r="AZ44" s="118">
        <v>2828</v>
      </c>
      <c r="BA44" s="118">
        <v>2840</v>
      </c>
      <c r="BB44" s="118">
        <v>2850</v>
      </c>
      <c r="BC44" s="118">
        <f>BC16-BC30</f>
        <v>2860</v>
      </c>
    </row>
    <row r="45" spans="1:55" x14ac:dyDescent="0.2">
      <c r="A45" s="25" t="s">
        <v>73</v>
      </c>
      <c r="B45" s="25" t="s">
        <v>73</v>
      </c>
      <c r="D45" s="126" t="str">
        <f>IF([1]RENAME!$H$3=1,B45,A45)</f>
        <v>TOTAL</v>
      </c>
      <c r="E45" s="120"/>
      <c r="F45" s="120"/>
      <c r="G45" s="162"/>
      <c r="H45" s="120"/>
      <c r="I45" s="120"/>
      <c r="J45" s="120"/>
      <c r="K45" s="120"/>
      <c r="L45" s="120"/>
      <c r="M45" s="120"/>
      <c r="N45" s="120"/>
      <c r="O45" s="120"/>
      <c r="P45" s="120"/>
      <c r="Q45" s="120"/>
      <c r="R45" s="120"/>
      <c r="S45" s="120"/>
      <c r="T45" s="120"/>
      <c r="U45" s="120"/>
      <c r="V45" s="120"/>
      <c r="W45" s="120"/>
      <c r="X45" s="120"/>
      <c r="Y45" s="120">
        <f t="shared" ref="Y45:AD45" si="53">SUM(Y43:Y44)</f>
        <v>4794</v>
      </c>
      <c r="Z45" s="120">
        <f t="shared" si="53"/>
        <v>4940</v>
      </c>
      <c r="AA45" s="120">
        <f t="shared" si="53"/>
        <v>5015</v>
      </c>
      <c r="AB45" s="120">
        <f t="shared" si="53"/>
        <v>5267</v>
      </c>
      <c r="AC45" s="120">
        <f t="shared" si="53"/>
        <v>5260</v>
      </c>
      <c r="AD45" s="120">
        <f t="shared" si="53"/>
        <v>5229</v>
      </c>
      <c r="AE45" s="120">
        <f t="shared" ref="AE45:AJ45" si="54">SUM(AE43:AE44)</f>
        <v>5438</v>
      </c>
      <c r="AF45" s="120">
        <f t="shared" si="54"/>
        <v>5566</v>
      </c>
      <c r="AG45" s="120">
        <f t="shared" si="54"/>
        <v>5343</v>
      </c>
      <c r="AH45" s="120">
        <f t="shared" si="54"/>
        <v>5827</v>
      </c>
      <c r="AI45" s="120">
        <f t="shared" si="54"/>
        <v>15754</v>
      </c>
      <c r="AJ45" s="120">
        <f t="shared" si="54"/>
        <v>15848</v>
      </c>
      <c r="AK45" s="120">
        <f t="shared" ref="AK45:AP45" si="55">SUM(AK43:AK44)</f>
        <v>16102</v>
      </c>
      <c r="AL45" s="120">
        <f t="shared" si="55"/>
        <v>16170</v>
      </c>
      <c r="AM45" s="120">
        <f t="shared" si="55"/>
        <v>16341</v>
      </c>
      <c r="AN45" s="120">
        <f t="shared" si="55"/>
        <v>24971</v>
      </c>
      <c r="AO45" s="120">
        <f t="shared" si="55"/>
        <v>40839</v>
      </c>
      <c r="AP45" s="120">
        <f t="shared" si="55"/>
        <v>40140</v>
      </c>
      <c r="AQ45" s="120">
        <f t="shared" ref="AQ45:BC45" si="56">SUM(AQ43:AQ44)</f>
        <v>35705</v>
      </c>
      <c r="AR45" s="120">
        <f t="shared" si="56"/>
        <v>31637</v>
      </c>
      <c r="AS45" s="120">
        <f t="shared" si="56"/>
        <v>27192</v>
      </c>
      <c r="AT45" s="120">
        <f t="shared" si="56"/>
        <v>24362</v>
      </c>
      <c r="AU45" s="120">
        <f t="shared" si="56"/>
        <v>19731</v>
      </c>
      <c r="AV45" s="120">
        <f t="shared" si="56"/>
        <v>4616</v>
      </c>
      <c r="AW45" s="120">
        <f t="shared" si="56"/>
        <v>4208</v>
      </c>
      <c r="AX45" s="120">
        <f t="shared" si="56"/>
        <v>4496</v>
      </c>
      <c r="AY45" s="120">
        <f t="shared" si="56"/>
        <v>5187</v>
      </c>
      <c r="AZ45" s="120">
        <f t="shared" si="56"/>
        <v>5380</v>
      </c>
      <c r="BA45" s="120">
        <f t="shared" si="56"/>
        <v>4811</v>
      </c>
      <c r="BB45" s="120">
        <f>SUM(BB43:BB44)</f>
        <v>5227</v>
      </c>
      <c r="BC45" s="120">
        <f t="shared" si="56"/>
        <v>5507</v>
      </c>
    </row>
    <row r="201" spans="4:11" x14ac:dyDescent="0.2">
      <c r="D201" s="36"/>
      <c r="E201" s="36"/>
      <c r="F201" s="36"/>
      <c r="G201" s="36"/>
      <c r="H201" s="36"/>
      <c r="I201" s="36"/>
      <c r="J201" s="36"/>
      <c r="K201" s="36"/>
    </row>
    <row r="202" spans="4:11" s="36" customFormat="1" x14ac:dyDescent="0.2">
      <c r="D202" s="25"/>
      <c r="E202" s="25"/>
      <c r="F202" s="25"/>
      <c r="G202" s="25"/>
      <c r="H202" s="25"/>
      <c r="I202" s="25"/>
      <c r="J202" s="25"/>
      <c r="K202" s="25"/>
    </row>
  </sheetData>
  <mergeCells count="1">
    <mergeCell ref="E4:F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30">
    <pageSetUpPr autoPageBreaks="0"/>
  </sheetPr>
  <dimension ref="A1:FB57"/>
  <sheetViews>
    <sheetView showGridLines="0" workbookViewId="0">
      <pane xSplit="4" ySplit="6" topLeftCell="EH7" activePane="bottomRight" state="frozen"/>
      <selection activeCell="N57" sqref="N57"/>
      <selection pane="topRight" activeCell="N57" sqref="N57"/>
      <selection pane="bottomLeft" activeCell="N57" sqref="N57"/>
      <selection pane="bottomRight" activeCell="EY7" sqref="EY7"/>
    </sheetView>
  </sheetViews>
  <sheetFormatPr defaultRowHeight="12.75" outlineLevelRow="1" outlineLevelCol="1" x14ac:dyDescent="0.2"/>
  <cols>
    <col min="1" max="2" width="9.140625" hidden="1" customWidth="1"/>
    <col min="3" max="3" width="1.42578125" customWidth="1"/>
    <col min="4" max="4" width="47.42578125" customWidth="1"/>
    <col min="5" max="31" width="10.85546875" customWidth="1" outlineLevel="1"/>
    <col min="32" max="58" width="10.85546875" customWidth="1"/>
    <col min="60" max="60" width="11" customWidth="1"/>
    <col min="63" max="63" width="11" customWidth="1"/>
    <col min="65" max="65" width="10.85546875" customWidth="1"/>
    <col min="66" max="66" width="11.140625" customWidth="1"/>
    <col min="68" max="68" width="10.85546875" customWidth="1"/>
    <col min="69" max="69" width="11" customWidth="1"/>
    <col min="71" max="71" width="10.85546875" customWidth="1"/>
    <col min="72" max="72" width="11.140625" customWidth="1"/>
    <col min="74" max="76" width="11" customWidth="1"/>
    <col min="77" max="77" width="10.85546875" customWidth="1"/>
    <col min="78" max="78" width="11.140625" customWidth="1"/>
    <col min="80" max="80" width="10.85546875" customWidth="1"/>
    <col min="81" max="81" width="11.140625" customWidth="1"/>
    <col min="83" max="83" width="10.85546875" customWidth="1"/>
    <col min="84" max="84" width="11.140625" customWidth="1"/>
    <col min="86" max="86" width="10.85546875" customWidth="1"/>
    <col min="87" max="87" width="11.140625" customWidth="1"/>
    <col min="89" max="89" width="10.85546875" customWidth="1"/>
    <col min="90" max="90" width="11.140625" customWidth="1"/>
    <col min="92" max="92" width="10.85546875" customWidth="1"/>
    <col min="93" max="93" width="11.140625" customWidth="1"/>
    <col min="95" max="95" width="10.85546875" customWidth="1"/>
    <col min="96" max="96" width="11.140625" customWidth="1"/>
    <col min="98" max="98" width="10.85546875" customWidth="1"/>
    <col min="99" max="99" width="11.140625" customWidth="1"/>
    <col min="101" max="101" width="10.85546875" customWidth="1"/>
    <col min="102" max="102" width="11.140625" customWidth="1"/>
    <col min="104" max="104" width="10.85546875" customWidth="1"/>
    <col min="105" max="105" width="11.140625" customWidth="1"/>
    <col min="107" max="107" width="10.85546875" customWidth="1"/>
    <col min="108" max="108" width="11.140625" customWidth="1"/>
    <col min="110" max="110" width="10.85546875" customWidth="1"/>
    <col min="111" max="111" width="11.140625" customWidth="1"/>
    <col min="113" max="113" width="10.85546875" customWidth="1"/>
    <col min="114" max="114" width="11.140625" customWidth="1"/>
    <col min="116" max="116" width="11" bestFit="1" customWidth="1"/>
    <col min="117" max="117" width="10.5703125" bestFit="1" customWidth="1"/>
    <col min="118" max="118" width="7.42578125" bestFit="1" customWidth="1"/>
    <col min="119" max="119" width="11" bestFit="1" customWidth="1"/>
    <col min="120" max="120" width="10.5703125" bestFit="1" customWidth="1"/>
    <col min="121" max="121" width="7.42578125" bestFit="1" customWidth="1"/>
    <col min="122" max="122" width="11" bestFit="1" customWidth="1"/>
    <col min="123" max="123" width="10.5703125" bestFit="1" customWidth="1"/>
    <col min="124" max="124" width="7.42578125" bestFit="1" customWidth="1"/>
    <col min="125" max="125" width="11" bestFit="1" customWidth="1"/>
    <col min="126" max="126" width="10.5703125" bestFit="1" customWidth="1"/>
    <col min="127" max="127" width="7.42578125" bestFit="1" customWidth="1"/>
    <col min="128" max="128" width="11" bestFit="1" customWidth="1"/>
    <col min="129" max="129" width="10.5703125" bestFit="1" customWidth="1"/>
    <col min="130" max="130" width="7.42578125" bestFit="1" customWidth="1"/>
    <col min="131" max="131" width="11" bestFit="1" customWidth="1"/>
    <col min="132" max="132" width="10.5703125" bestFit="1" customWidth="1"/>
    <col min="133" max="133" width="7.42578125" bestFit="1" customWidth="1"/>
    <col min="134" max="134" width="11" bestFit="1" customWidth="1"/>
    <col min="135" max="135" width="10.5703125" bestFit="1" customWidth="1"/>
    <col min="136" max="136" width="7.42578125" bestFit="1" customWidth="1"/>
    <col min="137" max="137" width="11.85546875" customWidth="1"/>
    <col min="138" max="138" width="12" customWidth="1"/>
    <col min="139" max="139" width="7.42578125" bestFit="1" customWidth="1"/>
    <col min="140" max="140" width="11" bestFit="1" customWidth="1"/>
    <col min="141" max="141" width="10.5703125" bestFit="1" customWidth="1"/>
    <col min="142" max="142" width="7.42578125" bestFit="1" customWidth="1"/>
    <col min="143" max="143" width="11" bestFit="1" customWidth="1"/>
    <col min="144" max="144" width="10.5703125" bestFit="1" customWidth="1"/>
    <col min="145" max="145" width="7.42578125" bestFit="1" customWidth="1"/>
    <col min="146" max="146" width="9.85546875" bestFit="1" customWidth="1"/>
    <col min="147" max="147" width="10" bestFit="1" customWidth="1"/>
    <col min="148" max="148" width="7.42578125" customWidth="1"/>
    <col min="149" max="149" width="11" customWidth="1"/>
    <col min="150" max="150" width="11.85546875" customWidth="1"/>
    <col min="151" max="151" width="7.42578125" customWidth="1"/>
    <col min="152" max="152" width="11" customWidth="1"/>
    <col min="153" max="153" width="11.85546875" customWidth="1"/>
    <col min="154" max="154" width="7.42578125" customWidth="1"/>
    <col min="155" max="155" width="11" customWidth="1"/>
    <col min="156" max="156" width="11.85546875" customWidth="1"/>
    <col min="157" max="157" width="7.42578125" customWidth="1"/>
  </cols>
  <sheetData>
    <row r="1" spans="1:158" ht="7.5" customHeight="1" x14ac:dyDescent="0.2">
      <c r="E1" s="547">
        <v>2013</v>
      </c>
      <c r="F1" s="547" t="s">
        <v>45</v>
      </c>
      <c r="G1" s="547" t="str">
        <f>IF(LEFT(F1,1)="4","1T"&amp;RIGHT(F1,2)+1,LEFT(F1,1)+1&amp;RIGHT(F1,3))</f>
        <v>2T14</v>
      </c>
      <c r="H1" s="553" t="str">
        <f t="shared" ref="H1:T1" si="0">IF(LEFT(G1,1)="4","1T"&amp;RIGHT(G1,2)+1,LEFT(G1,1)+1&amp;RIGHT(G1,3))</f>
        <v>3T14</v>
      </c>
      <c r="I1" s="553" t="str">
        <f t="shared" si="0"/>
        <v>4T14</v>
      </c>
      <c r="J1" s="553" t="str">
        <f t="shared" si="0"/>
        <v>1T15</v>
      </c>
      <c r="K1" s="553" t="str">
        <f t="shared" si="0"/>
        <v>2T15</v>
      </c>
      <c r="L1" s="553" t="str">
        <f t="shared" si="0"/>
        <v>3T15</v>
      </c>
      <c r="M1" s="553" t="str">
        <f t="shared" si="0"/>
        <v>4T15</v>
      </c>
      <c r="N1" s="553" t="str">
        <f t="shared" si="0"/>
        <v>1T16</v>
      </c>
      <c r="O1" s="553" t="str">
        <f t="shared" si="0"/>
        <v>2T16</v>
      </c>
      <c r="P1" s="553" t="str">
        <f t="shared" si="0"/>
        <v>3T16</v>
      </c>
      <c r="Q1" s="553" t="str">
        <f t="shared" si="0"/>
        <v>4T16</v>
      </c>
      <c r="R1" s="553" t="str">
        <f t="shared" si="0"/>
        <v>1T17</v>
      </c>
      <c r="S1" s="553" t="str">
        <f t="shared" si="0"/>
        <v>2T17</v>
      </c>
      <c r="T1" s="553" t="str">
        <f t="shared" si="0"/>
        <v>3T17</v>
      </c>
      <c r="U1" s="553" t="str">
        <f>IF(LEFT(T1,1)="4","1T"&amp;RIGHT(T1,2)+1,LEFT(T1,1)+1&amp;RIGHT(T1,3))</f>
        <v>4T17</v>
      </c>
      <c r="V1" s="553" t="str">
        <f>IF(LEFT(U1,1)="4","1T"&amp;RIGHT(U1,2)+1,LEFT(U1,1)+1&amp;RIGHT(U1,3))</f>
        <v>1T18</v>
      </c>
      <c r="W1" s="553" t="str">
        <f>IF(LEFT(V1,1)="4","1T"&amp;RIGHT(V1,2)+1,LEFT(V1,1)+1&amp;RIGHT(V1,3))</f>
        <v>2T18</v>
      </c>
      <c r="X1" s="553" t="str">
        <f>IF(LEFT(W1,1)="4","1T"&amp;RIGHT(W1,2)+1,LEFT(W1,1)+1&amp;RIGHT(W1,3))</f>
        <v>3T18</v>
      </c>
      <c r="Y1" s="553" t="str">
        <f>IF(LEFT(X1,1)="4","1T"&amp;RIGHT(X1,2)+1,LEFT(X1,1)+1&amp;RIGHT(X1,3))</f>
        <v>4T18</v>
      </c>
      <c r="Z1" s="553" t="str">
        <f t="shared" ref="Z1:BN1" si="1">IF(LEFT(Y1,1)="4","1T"&amp;RIGHT(Y1,2)+1,LEFT(Y1,1)+1&amp;RIGHT(Y1,3))</f>
        <v>1T19</v>
      </c>
      <c r="AA1" s="553" t="str">
        <f t="shared" si="1"/>
        <v>2T19</v>
      </c>
      <c r="AB1" s="553" t="str">
        <f t="shared" si="1"/>
        <v>3T19</v>
      </c>
      <c r="AC1" s="553" t="str">
        <f t="shared" si="1"/>
        <v>4T19</v>
      </c>
      <c r="AD1" s="553" t="str">
        <f t="shared" si="1"/>
        <v>1T20</v>
      </c>
      <c r="AE1" s="553" t="str">
        <f t="shared" si="1"/>
        <v>2T20</v>
      </c>
      <c r="AF1" s="553" t="str">
        <f t="shared" si="1"/>
        <v>3T20</v>
      </c>
      <c r="AG1" s="553" t="str">
        <f t="shared" si="1"/>
        <v>4T20</v>
      </c>
      <c r="AH1" s="553" t="str">
        <f t="shared" si="1"/>
        <v>1T21</v>
      </c>
      <c r="AI1" s="553" t="str">
        <f t="shared" si="1"/>
        <v>2T21</v>
      </c>
      <c r="AJ1" s="553" t="str">
        <f t="shared" si="1"/>
        <v>3T21</v>
      </c>
      <c r="AK1" s="553" t="str">
        <f t="shared" si="1"/>
        <v>4T21</v>
      </c>
      <c r="AL1" s="553" t="str">
        <f t="shared" si="1"/>
        <v>1T22</v>
      </c>
      <c r="AM1" s="553" t="str">
        <f t="shared" si="1"/>
        <v>2T22</v>
      </c>
      <c r="AN1" s="553" t="str">
        <f t="shared" si="1"/>
        <v>3T22</v>
      </c>
      <c r="AO1" s="553" t="str">
        <f t="shared" si="1"/>
        <v>4T22</v>
      </c>
      <c r="AP1" s="553" t="str">
        <f t="shared" si="1"/>
        <v>1T23</v>
      </c>
      <c r="AQ1" s="553" t="str">
        <f t="shared" si="1"/>
        <v>2T23</v>
      </c>
      <c r="AR1" s="553" t="str">
        <f t="shared" si="1"/>
        <v>3T23</v>
      </c>
      <c r="AS1" s="553" t="str">
        <f t="shared" si="1"/>
        <v>4T23</v>
      </c>
      <c r="AT1" s="553" t="str">
        <f t="shared" si="1"/>
        <v>1T24</v>
      </c>
      <c r="AU1" s="553" t="str">
        <f t="shared" si="1"/>
        <v>2T24</v>
      </c>
      <c r="AV1" s="553" t="str">
        <f t="shared" si="1"/>
        <v>3T24</v>
      </c>
      <c r="AW1" s="553" t="str">
        <f t="shared" si="1"/>
        <v>4T24</v>
      </c>
      <c r="AX1" s="553" t="str">
        <f t="shared" si="1"/>
        <v>1T25</v>
      </c>
      <c r="AY1" s="553" t="str">
        <f t="shared" si="1"/>
        <v>2T25</v>
      </c>
      <c r="AZ1" s="553" t="str">
        <f t="shared" si="1"/>
        <v>3T25</v>
      </c>
      <c r="BA1" s="553" t="str">
        <f t="shared" si="1"/>
        <v>4T25</v>
      </c>
      <c r="BB1" s="553" t="str">
        <f t="shared" si="1"/>
        <v>1T26</v>
      </c>
      <c r="BC1" s="553" t="str">
        <f t="shared" si="1"/>
        <v>2T26</v>
      </c>
      <c r="BD1" s="553" t="str">
        <f t="shared" si="1"/>
        <v>3T26</v>
      </c>
      <c r="BE1" s="553" t="str">
        <f t="shared" si="1"/>
        <v>4T26</v>
      </c>
      <c r="BF1" s="553" t="str">
        <f t="shared" si="1"/>
        <v>1T27</v>
      </c>
      <c r="BG1" s="553" t="str">
        <f t="shared" si="1"/>
        <v>2T27</v>
      </c>
      <c r="BH1" s="553" t="str">
        <f t="shared" si="1"/>
        <v>3T27</v>
      </c>
      <c r="BI1" s="553" t="str">
        <f t="shared" si="1"/>
        <v>4T27</v>
      </c>
      <c r="BJ1" s="553" t="str">
        <f t="shared" si="1"/>
        <v>1T28</v>
      </c>
      <c r="BK1" s="553" t="str">
        <f t="shared" si="1"/>
        <v>2T28</v>
      </c>
      <c r="BL1" s="553" t="str">
        <f t="shared" si="1"/>
        <v>3T28</v>
      </c>
      <c r="BM1" s="553" t="str">
        <f t="shared" si="1"/>
        <v>4T28</v>
      </c>
      <c r="BN1" s="553" t="str">
        <f t="shared" si="1"/>
        <v>1T29</v>
      </c>
      <c r="BO1" s="553" t="str">
        <f>IF(LEFT(BN1,1)="4","1T"&amp;RIGHT(BN1,2)+1,LEFT(BN1,1)+1&amp;RIGHT(BN1,3))</f>
        <v>2T29</v>
      </c>
      <c r="BP1" s="553" t="str">
        <f>IF(LEFT(BO1,1)="4","1T"&amp;RIGHT(BO1,2)+1,LEFT(BO1,1)+1&amp;RIGHT(BO1,3))</f>
        <v>3T29</v>
      </c>
      <c r="BQ1" s="553" t="str">
        <f>IF(LEFT(BP1,1)="4","1T"&amp;RIGHT(BP1,2)+1,LEFT(BP1,1)+1&amp;RIGHT(BP1,3))</f>
        <v>4T29</v>
      </c>
      <c r="BR1" s="553" t="str">
        <f>IF(LEFT(BQ1,1)="4","1T"&amp;RIGHT(BQ1,2)+1,LEFT(BQ1,1)+1&amp;RIGHT(BQ1,3))</f>
        <v>1T30</v>
      </c>
      <c r="BS1" s="553"/>
      <c r="BT1" s="553"/>
      <c r="BU1" s="553"/>
      <c r="BV1" s="553"/>
      <c r="BW1" s="553"/>
      <c r="BX1" s="553"/>
      <c r="BY1" s="553"/>
      <c r="BZ1" s="553"/>
      <c r="CA1" s="553"/>
      <c r="CB1" s="553"/>
      <c r="CC1" s="553"/>
      <c r="CD1" s="553"/>
      <c r="CE1" s="553"/>
      <c r="CF1" s="553"/>
      <c r="CG1" s="553"/>
      <c r="CH1" s="553"/>
      <c r="CI1" s="553"/>
      <c r="CJ1" s="553"/>
      <c r="CK1" s="553"/>
      <c r="CL1" s="553"/>
      <c r="CM1" s="553"/>
      <c r="CN1" s="553"/>
      <c r="CO1" s="553"/>
      <c r="CP1" s="553"/>
      <c r="CQ1" s="553"/>
      <c r="CR1" s="553"/>
      <c r="CS1" s="553"/>
      <c r="CT1" s="553"/>
      <c r="CU1" s="553"/>
      <c r="CV1" s="553"/>
      <c r="CW1" s="553"/>
      <c r="CX1" s="553"/>
      <c r="CY1" s="553"/>
      <c r="CZ1" s="553"/>
      <c r="DA1" s="553"/>
      <c r="DB1" s="553"/>
      <c r="DC1" s="553"/>
      <c r="DD1" s="553"/>
      <c r="DE1" s="553"/>
      <c r="DF1" s="553"/>
      <c r="DG1" s="553"/>
      <c r="DH1" s="553"/>
      <c r="DI1" s="553"/>
      <c r="DJ1" s="553"/>
      <c r="DK1" s="553"/>
      <c r="DL1" s="547"/>
      <c r="DM1" s="547"/>
      <c r="DN1" s="547"/>
      <c r="DO1" s="547"/>
      <c r="DP1" s="547"/>
      <c r="DQ1" s="547"/>
      <c r="DR1" s="547"/>
      <c r="DS1" s="547"/>
      <c r="DT1" s="547"/>
      <c r="DU1" s="547"/>
      <c r="DV1" s="547"/>
      <c r="DW1" s="547"/>
      <c r="DX1" s="547"/>
      <c r="DY1" s="547"/>
      <c r="DZ1" s="547"/>
      <c r="EA1" s="547"/>
      <c r="EB1" s="40"/>
      <c r="EC1" s="40"/>
      <c r="ED1" s="40"/>
      <c r="EE1" s="40"/>
      <c r="EF1" s="40"/>
      <c r="EG1" s="40"/>
      <c r="EH1" s="40"/>
      <c r="EI1" s="40"/>
      <c r="EJ1" s="40"/>
      <c r="EK1" s="40"/>
      <c r="EL1" s="40"/>
      <c r="EM1" s="40"/>
      <c r="EN1" s="40"/>
      <c r="EO1" s="40"/>
      <c r="EP1" s="40"/>
      <c r="EQ1" s="547" t="s">
        <v>2240</v>
      </c>
      <c r="ER1" s="547" t="str">
        <f>IF(LEFT(EQ1,1)="4","1T"&amp;RIGHT(EQ1,2)+1,LEFT(EQ1,1)+1&amp;RIGHT(EQ1,3))</f>
        <v>3T25</v>
      </c>
      <c r="ES1" s="547" t="str">
        <f>IF(LEFT(ER1,1)="4","1T"&amp;RIGHT(ER1,2)+1,LEFT(ER1,1)+1&amp;RIGHT(ER1,3))</f>
        <v>4T25</v>
      </c>
      <c r="ET1" s="547" t="str">
        <f>IF(LEFT(ES1,1)="4","1T"&amp;RIGHT(ES1,2)+1,LEFT(ES1,1)+1&amp;RIGHT(ES1,3))</f>
        <v>1T26</v>
      </c>
      <c r="EU1" s="547" t="str">
        <f>IF(LEFT(ET1,1)="4","1T"&amp;RIGHT(ET1,2)+1,LEFT(ET1,1)+1&amp;RIGHT(ET1,3))</f>
        <v>2T26</v>
      </c>
      <c r="EV1" s="547"/>
      <c r="EW1" s="40"/>
      <c r="EX1" s="40"/>
      <c r="EY1" s="40"/>
      <c r="EZ1" s="40"/>
      <c r="FA1" s="40"/>
      <c r="FB1" s="40"/>
    </row>
    <row r="2" spans="1:158" ht="12.75" customHeight="1" x14ac:dyDescent="0.2">
      <c r="E2" s="547" t="str">
        <f>SUBSTITUTE(E1,"T","Q")</f>
        <v>2013</v>
      </c>
      <c r="F2" s="547" t="str">
        <f>SUBSTITUTE(F1,"T","Q")</f>
        <v>1Q14</v>
      </c>
      <c r="G2" s="547" t="str">
        <f>SUBSTITUTE(G1,"T","Q")</f>
        <v>2Q14</v>
      </c>
      <c r="H2" s="553" t="str">
        <f t="shared" ref="H2:T2" si="2">SUBSTITUTE(H1,"T","Q")</f>
        <v>3Q14</v>
      </c>
      <c r="I2" s="553" t="str">
        <f t="shared" si="2"/>
        <v>4Q14</v>
      </c>
      <c r="J2" s="553" t="str">
        <f t="shared" si="2"/>
        <v>1Q15</v>
      </c>
      <c r="K2" s="553" t="str">
        <f t="shared" si="2"/>
        <v>2Q15</v>
      </c>
      <c r="L2" s="553" t="str">
        <f t="shared" si="2"/>
        <v>3Q15</v>
      </c>
      <c r="M2" s="553" t="str">
        <f t="shared" si="2"/>
        <v>4Q15</v>
      </c>
      <c r="N2" s="553" t="str">
        <f t="shared" si="2"/>
        <v>1Q16</v>
      </c>
      <c r="O2" s="553" t="str">
        <f t="shared" si="2"/>
        <v>2Q16</v>
      </c>
      <c r="P2" s="553" t="str">
        <f t="shared" si="2"/>
        <v>3Q16</v>
      </c>
      <c r="Q2" s="553" t="str">
        <f t="shared" si="2"/>
        <v>4Q16</v>
      </c>
      <c r="R2" s="553" t="str">
        <f t="shared" si="2"/>
        <v>1Q17</v>
      </c>
      <c r="S2" s="553" t="str">
        <f t="shared" si="2"/>
        <v>2Q17</v>
      </c>
      <c r="T2" s="553" t="str">
        <f t="shared" si="2"/>
        <v>3Q17</v>
      </c>
      <c r="U2" s="553" t="str">
        <f>SUBSTITUTE(U1,"T","Q")</f>
        <v>4Q17</v>
      </c>
      <c r="V2" s="553" t="str">
        <f>SUBSTITUTE(V1,"T","Q")</f>
        <v>1Q18</v>
      </c>
      <c r="W2" s="553" t="str">
        <f>SUBSTITUTE(W1,"T","Q")</f>
        <v>2Q18</v>
      </c>
      <c r="X2" s="553" t="str">
        <f>SUBSTITUTE(X1,"T","Q")</f>
        <v>3Q18</v>
      </c>
      <c r="Y2" s="553" t="str">
        <f>SUBSTITUTE(Y1,"T","Q")</f>
        <v>4Q18</v>
      </c>
      <c r="Z2" s="553" t="str">
        <f t="shared" ref="Z2:BO2" si="3">SUBSTITUTE(Z1,"T","Q")</f>
        <v>1Q19</v>
      </c>
      <c r="AA2" s="553" t="str">
        <f t="shared" si="3"/>
        <v>2Q19</v>
      </c>
      <c r="AB2" s="553" t="str">
        <f t="shared" si="3"/>
        <v>3Q19</v>
      </c>
      <c r="AC2" s="553" t="str">
        <f t="shared" si="3"/>
        <v>4Q19</v>
      </c>
      <c r="AD2" s="553" t="str">
        <f t="shared" si="3"/>
        <v>1Q20</v>
      </c>
      <c r="AE2" s="553" t="str">
        <f t="shared" si="3"/>
        <v>2Q20</v>
      </c>
      <c r="AF2" s="553" t="str">
        <f t="shared" si="3"/>
        <v>3Q20</v>
      </c>
      <c r="AG2" s="553" t="str">
        <f t="shared" si="3"/>
        <v>4Q20</v>
      </c>
      <c r="AH2" s="553" t="str">
        <f t="shared" si="3"/>
        <v>1Q21</v>
      </c>
      <c r="AI2" s="553" t="str">
        <f t="shared" si="3"/>
        <v>2Q21</v>
      </c>
      <c r="AJ2" s="553" t="str">
        <f t="shared" si="3"/>
        <v>3Q21</v>
      </c>
      <c r="AK2" s="553" t="str">
        <f t="shared" si="3"/>
        <v>4Q21</v>
      </c>
      <c r="AL2" s="553" t="str">
        <f t="shared" si="3"/>
        <v>1Q22</v>
      </c>
      <c r="AM2" s="553" t="str">
        <f t="shared" si="3"/>
        <v>2Q22</v>
      </c>
      <c r="AN2" s="553" t="str">
        <f t="shared" si="3"/>
        <v>3Q22</v>
      </c>
      <c r="AO2" s="553" t="str">
        <f t="shared" si="3"/>
        <v>4Q22</v>
      </c>
      <c r="AP2" s="553" t="str">
        <f t="shared" si="3"/>
        <v>1Q23</v>
      </c>
      <c r="AQ2" s="553" t="str">
        <f t="shared" si="3"/>
        <v>2Q23</v>
      </c>
      <c r="AR2" s="553" t="str">
        <f t="shared" si="3"/>
        <v>3Q23</v>
      </c>
      <c r="AS2" s="553" t="str">
        <f t="shared" si="3"/>
        <v>4Q23</v>
      </c>
      <c r="AT2" s="553" t="str">
        <f t="shared" si="3"/>
        <v>1Q24</v>
      </c>
      <c r="AU2" s="553" t="str">
        <f t="shared" si="3"/>
        <v>2Q24</v>
      </c>
      <c r="AV2" s="553" t="str">
        <f t="shared" si="3"/>
        <v>3Q24</v>
      </c>
      <c r="AW2" s="553" t="str">
        <f t="shared" si="3"/>
        <v>4Q24</v>
      </c>
      <c r="AX2" s="553" t="str">
        <f t="shared" si="3"/>
        <v>1Q25</v>
      </c>
      <c r="AY2" s="553" t="str">
        <f t="shared" si="3"/>
        <v>2Q25</v>
      </c>
      <c r="AZ2" s="553" t="str">
        <f t="shared" si="3"/>
        <v>3Q25</v>
      </c>
      <c r="BA2" s="553" t="str">
        <f t="shared" si="3"/>
        <v>4Q25</v>
      </c>
      <c r="BB2" s="553" t="str">
        <f t="shared" si="3"/>
        <v>1Q26</v>
      </c>
      <c r="BC2" s="553" t="str">
        <f t="shared" si="3"/>
        <v>2Q26</v>
      </c>
      <c r="BD2" s="553" t="str">
        <f t="shared" si="3"/>
        <v>3Q26</v>
      </c>
      <c r="BE2" s="553" t="str">
        <f t="shared" si="3"/>
        <v>4Q26</v>
      </c>
      <c r="BF2" s="553" t="str">
        <f t="shared" si="3"/>
        <v>1Q27</v>
      </c>
      <c r="BG2" s="553" t="str">
        <f t="shared" si="3"/>
        <v>2Q27</v>
      </c>
      <c r="BH2" s="553" t="str">
        <f t="shared" si="3"/>
        <v>3Q27</v>
      </c>
      <c r="BI2" s="553" t="str">
        <f t="shared" si="3"/>
        <v>4Q27</v>
      </c>
      <c r="BJ2" s="553" t="str">
        <f t="shared" si="3"/>
        <v>1Q28</v>
      </c>
      <c r="BK2" s="553" t="str">
        <f t="shared" si="3"/>
        <v>2Q28</v>
      </c>
      <c r="BL2" s="553" t="str">
        <f t="shared" si="3"/>
        <v>3Q28</v>
      </c>
      <c r="BM2" s="553" t="str">
        <f t="shared" si="3"/>
        <v>4Q28</v>
      </c>
      <c r="BN2" s="553" t="str">
        <f t="shared" si="3"/>
        <v>1Q29</v>
      </c>
      <c r="BO2" s="553" t="str">
        <f t="shared" si="3"/>
        <v>2Q29</v>
      </c>
      <c r="BP2" s="553" t="str">
        <f>SUBSTITUTE(BP1,"T","Q")</f>
        <v>3Q29</v>
      </c>
      <c r="BQ2" s="553" t="str">
        <f>SUBSTITUTE(BQ1,"T","Q")</f>
        <v>4Q29</v>
      </c>
      <c r="BR2" s="553" t="str">
        <f>SUBSTITUTE(BR1,"T","Q")</f>
        <v>1Q30</v>
      </c>
      <c r="BS2" s="553"/>
      <c r="BT2" s="553"/>
      <c r="BU2" s="553"/>
      <c r="BV2" s="553"/>
      <c r="BW2" s="553"/>
      <c r="BX2" s="553"/>
      <c r="BY2" s="553"/>
      <c r="BZ2" s="553"/>
      <c r="CA2" s="553"/>
      <c r="CB2" s="553"/>
      <c r="CC2" s="553"/>
      <c r="CD2" s="553"/>
      <c r="CE2" s="553"/>
      <c r="CF2" s="553"/>
      <c r="CG2" s="553"/>
      <c r="CH2" s="553"/>
      <c r="CI2" s="553"/>
      <c r="CJ2" s="553"/>
      <c r="CK2" s="553"/>
      <c r="CL2" s="553"/>
      <c r="CM2" s="553"/>
      <c r="CN2" s="553"/>
      <c r="CO2" s="553"/>
      <c r="CP2" s="553"/>
      <c r="CQ2" s="553"/>
      <c r="CR2" s="553"/>
      <c r="CS2" s="553"/>
      <c r="CT2" s="553"/>
      <c r="CU2" s="553"/>
      <c r="CV2" s="553"/>
      <c r="CW2" s="553"/>
      <c r="CX2" s="553"/>
      <c r="CY2" s="553"/>
      <c r="CZ2" s="553"/>
      <c r="DA2" s="553"/>
      <c r="DB2" s="553"/>
      <c r="DC2" s="553"/>
      <c r="DD2" s="553"/>
      <c r="DE2" s="553"/>
      <c r="DF2" s="553"/>
      <c r="DG2" s="553"/>
      <c r="DH2" s="553"/>
      <c r="DI2" s="553"/>
      <c r="DJ2" s="553"/>
      <c r="DK2" s="553"/>
      <c r="DL2" s="547"/>
      <c r="DM2" s="547"/>
      <c r="DN2" s="547"/>
      <c r="DO2" s="547"/>
      <c r="DP2" s="547"/>
      <c r="DQ2" s="547"/>
      <c r="DR2" s="547"/>
      <c r="DS2" s="547"/>
      <c r="DT2" s="547"/>
      <c r="DU2" s="547"/>
      <c r="DV2" s="547"/>
      <c r="DW2" s="547"/>
      <c r="DX2" s="547"/>
      <c r="DY2" s="547"/>
      <c r="DZ2" s="547"/>
      <c r="EA2" s="547"/>
      <c r="EB2" s="40"/>
      <c r="EC2" s="40"/>
      <c r="ED2" s="40"/>
      <c r="EE2" s="40"/>
      <c r="EF2" s="40"/>
      <c r="EG2" s="40"/>
      <c r="EH2" s="40"/>
      <c r="EI2" s="40"/>
      <c r="EJ2" s="40"/>
      <c r="EK2" s="40"/>
      <c r="EL2" s="40"/>
      <c r="EM2" s="40"/>
      <c r="EN2" s="40"/>
      <c r="EO2" s="40"/>
      <c r="EP2" s="40"/>
      <c r="EQ2" s="547"/>
      <c r="ER2" s="547" t="str">
        <f>SUBSTITUTE(ER1,"T","Q")</f>
        <v>3Q25</v>
      </c>
      <c r="ES2" s="547" t="str">
        <f>SUBSTITUTE(ES1,"T","Q")</f>
        <v>4Q25</v>
      </c>
      <c r="ET2" s="547" t="str">
        <f>SUBSTITUTE(ET1,"T","Q")</f>
        <v>1Q26</v>
      </c>
      <c r="EU2" s="547" t="str">
        <f>SUBSTITUTE(EU1,"T","Q")</f>
        <v>2Q26</v>
      </c>
      <c r="EV2" s="547"/>
      <c r="EW2" s="40"/>
      <c r="EX2" s="40"/>
      <c r="EY2" s="40"/>
      <c r="EZ2" s="40"/>
      <c r="FA2" s="40"/>
      <c r="FB2" s="40"/>
    </row>
    <row r="3" spans="1:158" ht="12.75" customHeight="1" x14ac:dyDescent="0.2">
      <c r="E3" s="547"/>
      <c r="F3" s="547"/>
      <c r="G3" s="547"/>
      <c r="H3" s="553"/>
      <c r="I3" s="553"/>
      <c r="J3" s="553"/>
      <c r="K3" s="553"/>
      <c r="L3" s="553"/>
      <c r="M3" s="553"/>
      <c r="N3" s="553"/>
      <c r="O3" s="553"/>
      <c r="P3" s="553"/>
      <c r="Q3" s="553"/>
      <c r="R3" s="553"/>
      <c r="S3" s="553"/>
      <c r="T3" s="553"/>
      <c r="U3" s="553"/>
      <c r="V3" s="553"/>
      <c r="W3" s="553"/>
      <c r="X3" s="553"/>
      <c r="Y3" s="553"/>
      <c r="Z3" s="553"/>
      <c r="AA3" s="553"/>
      <c r="AB3" s="553"/>
      <c r="AC3" s="553"/>
      <c r="AD3" s="553"/>
      <c r="AE3" s="553"/>
      <c r="AF3" s="553"/>
      <c r="AG3" s="553"/>
      <c r="AH3" s="553"/>
      <c r="AI3" s="553"/>
      <c r="AJ3" s="553"/>
      <c r="AK3" s="553"/>
      <c r="AL3" s="553"/>
      <c r="AM3" s="553"/>
      <c r="AN3" s="553"/>
      <c r="AO3" s="553"/>
      <c r="AP3" s="553"/>
      <c r="AQ3" s="553"/>
      <c r="AR3" s="553"/>
      <c r="AS3" s="553"/>
      <c r="AT3" s="553"/>
      <c r="AU3" s="553"/>
      <c r="AV3" s="553"/>
      <c r="AW3" s="553"/>
      <c r="AX3" s="553"/>
      <c r="AY3" s="553"/>
      <c r="AZ3" s="553"/>
      <c r="BA3" s="553"/>
      <c r="BB3" s="553"/>
      <c r="BC3" s="553"/>
      <c r="BD3" s="553"/>
      <c r="BE3" s="553"/>
      <c r="BF3" s="553"/>
      <c r="BG3" s="553"/>
      <c r="BH3" s="553"/>
      <c r="BI3" s="553"/>
      <c r="BJ3" s="553"/>
      <c r="BK3" s="553"/>
      <c r="BL3" s="553"/>
      <c r="BM3" s="553"/>
      <c r="BN3" s="553"/>
      <c r="BO3" s="553"/>
      <c r="BP3" s="553"/>
      <c r="BQ3" s="553"/>
      <c r="BR3" s="553"/>
      <c r="BS3" s="553"/>
      <c r="BT3" s="553"/>
      <c r="BU3" s="553"/>
      <c r="BV3" s="553"/>
      <c r="BW3" s="553"/>
      <c r="BX3" s="553"/>
      <c r="BY3" s="553"/>
      <c r="BZ3" s="553"/>
      <c r="CA3" s="553"/>
      <c r="CB3" s="553"/>
      <c r="CC3" s="553"/>
      <c r="CD3" s="553"/>
      <c r="CE3" s="553"/>
      <c r="CF3" s="553"/>
      <c r="CG3" s="553"/>
      <c r="CH3" s="553"/>
      <c r="CI3" s="553"/>
      <c r="CJ3" s="553"/>
      <c r="CK3" s="553"/>
      <c r="CL3" s="553"/>
      <c r="CM3" s="553"/>
      <c r="CN3" s="553"/>
      <c r="CO3" s="553"/>
      <c r="CP3" s="553"/>
      <c r="CQ3" s="553"/>
      <c r="CR3" s="553"/>
      <c r="CS3" s="553"/>
      <c r="CT3" s="553"/>
      <c r="CU3" s="553"/>
      <c r="CV3" s="553"/>
      <c r="CW3" s="553"/>
      <c r="CX3" s="553"/>
      <c r="CY3" s="553"/>
      <c r="CZ3" s="553"/>
      <c r="DA3" s="553"/>
      <c r="DB3" s="553"/>
      <c r="DC3" s="553"/>
      <c r="DD3" s="553"/>
      <c r="DE3" s="553"/>
      <c r="DF3" s="553"/>
      <c r="DG3" s="553"/>
      <c r="DH3" s="553"/>
      <c r="DI3" s="553"/>
      <c r="DJ3" s="553"/>
      <c r="DK3" s="553"/>
      <c r="DL3" s="547"/>
      <c r="DM3" s="547"/>
      <c r="DN3" s="547"/>
      <c r="DO3" s="547"/>
      <c r="DP3" s="547"/>
      <c r="DQ3" s="547"/>
      <c r="DR3" s="547"/>
      <c r="DS3" s="547"/>
      <c r="DT3" s="547"/>
      <c r="DU3" s="547"/>
      <c r="DV3" s="547"/>
      <c r="DW3" s="547"/>
      <c r="DX3" s="547"/>
      <c r="DY3" s="547"/>
      <c r="DZ3" s="547"/>
      <c r="EA3" s="547"/>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row>
    <row r="4" spans="1:158" ht="15" customHeight="1" x14ac:dyDescent="0.2">
      <c r="H4" s="553"/>
      <c r="I4" s="553"/>
      <c r="J4" s="553"/>
      <c r="K4" s="553"/>
      <c r="L4" s="553"/>
      <c r="M4" s="553"/>
      <c r="N4" s="553"/>
      <c r="O4" s="553"/>
      <c r="P4" s="553"/>
      <c r="Q4" s="553"/>
      <c r="R4" s="553"/>
      <c r="S4" s="553"/>
      <c r="T4" s="553"/>
      <c r="U4" s="553"/>
      <c r="V4" s="553"/>
      <c r="W4" s="553"/>
      <c r="X4" s="553"/>
      <c r="Y4" s="553"/>
      <c r="Z4" s="553"/>
      <c r="AA4" s="553"/>
      <c r="AB4" s="553"/>
      <c r="AC4" s="553"/>
      <c r="AD4" s="553"/>
      <c r="AE4" s="553"/>
      <c r="AF4" s="553"/>
      <c r="AG4" s="553"/>
      <c r="AH4" s="553"/>
      <c r="AI4" s="553"/>
      <c r="AJ4" s="553"/>
      <c r="AK4" s="553"/>
      <c r="AL4" s="553"/>
      <c r="AM4" s="553"/>
      <c r="AN4" s="553"/>
      <c r="AO4" s="553"/>
      <c r="AP4" s="553"/>
      <c r="AQ4" s="553"/>
      <c r="AR4" s="553"/>
      <c r="AS4" s="553"/>
      <c r="AT4" s="553"/>
      <c r="AU4" s="553"/>
      <c r="AV4" s="553"/>
      <c r="AW4" s="553"/>
      <c r="AX4" s="553"/>
      <c r="AY4" s="553"/>
      <c r="AZ4" s="553"/>
      <c r="BA4" s="553"/>
      <c r="BB4" s="553"/>
      <c r="BC4" s="553"/>
      <c r="BD4" s="553"/>
      <c r="BE4" s="553"/>
      <c r="BF4" s="553"/>
      <c r="BG4" s="553"/>
      <c r="BH4" s="553"/>
      <c r="BI4" s="553"/>
      <c r="BJ4" s="553"/>
      <c r="BK4" s="553"/>
      <c r="BL4" s="553"/>
      <c r="BM4" s="553"/>
      <c r="BN4" s="553"/>
      <c r="BO4" s="553"/>
      <c r="BP4" s="553"/>
      <c r="BQ4" s="553"/>
      <c r="BR4" s="553"/>
      <c r="BS4" s="553"/>
      <c r="BT4" s="553"/>
      <c r="BU4" s="553"/>
      <c r="BV4" s="553"/>
      <c r="BW4" s="553"/>
      <c r="BX4" s="553"/>
      <c r="BY4" s="553"/>
      <c r="BZ4" s="553"/>
      <c r="CA4" s="553"/>
      <c r="CB4" s="553"/>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row>
    <row r="5" spans="1:158" ht="15" customHeight="1" x14ac:dyDescent="0.2">
      <c r="D5" s="155"/>
      <c r="E5" s="156">
        <f>E30</f>
        <v>2013</v>
      </c>
      <c r="F5" s="157"/>
      <c r="G5" s="158"/>
      <c r="H5" s="156" t="str">
        <f>F30</f>
        <v>1T14</v>
      </c>
      <c r="I5" s="157"/>
      <c r="J5" s="158"/>
      <c r="K5" s="156" t="str">
        <f>G30</f>
        <v>2T14</v>
      </c>
      <c r="L5" s="157"/>
      <c r="M5" s="158"/>
      <c r="N5" s="156" t="str">
        <f>H30</f>
        <v>3T14</v>
      </c>
      <c r="O5" s="536"/>
      <c r="P5" s="537"/>
      <c r="Q5" s="156" t="str">
        <f>I30</f>
        <v>4T14</v>
      </c>
      <c r="R5" s="536"/>
      <c r="S5" s="537"/>
      <c r="T5" s="156" t="str">
        <f>J30</f>
        <v>1T15</v>
      </c>
      <c r="U5" s="536"/>
      <c r="V5" s="537"/>
      <c r="W5" s="156" t="str">
        <f>K30</f>
        <v>2T15</v>
      </c>
      <c r="X5" s="536"/>
      <c r="Y5" s="537"/>
      <c r="Z5" s="156" t="str">
        <f>L30</f>
        <v>3T15</v>
      </c>
      <c r="AA5" s="536"/>
      <c r="AB5" s="537"/>
      <c r="AC5" s="156" t="str">
        <f>M30</f>
        <v>4T15</v>
      </c>
      <c r="AD5" s="536"/>
      <c r="AE5" s="537"/>
      <c r="AF5" s="156" t="str">
        <f>N30</f>
        <v>1T16</v>
      </c>
      <c r="AG5" s="536"/>
      <c r="AH5" s="537"/>
      <c r="AI5" s="156" t="str">
        <f>O30</f>
        <v>2T16</v>
      </c>
      <c r="AJ5" s="536"/>
      <c r="AK5" s="537"/>
      <c r="AL5" s="156" t="str">
        <f>P30</f>
        <v>3T16</v>
      </c>
      <c r="AM5" s="536"/>
      <c r="AN5" s="537"/>
      <c r="AO5" s="157" t="str">
        <f>Q30</f>
        <v>4T16</v>
      </c>
      <c r="AP5" s="536"/>
      <c r="AQ5" s="536"/>
      <c r="AR5" s="538" t="str">
        <f>R30</f>
        <v>1T17</v>
      </c>
      <c r="AS5" s="536"/>
      <c r="AT5" s="537"/>
      <c r="AU5" s="539" t="str">
        <f>S30</f>
        <v>2T17</v>
      </c>
      <c r="AV5" s="536"/>
      <c r="AW5" s="536"/>
      <c r="AX5" s="538" t="str">
        <f>T30</f>
        <v>3T17</v>
      </c>
      <c r="AY5" s="157"/>
      <c r="AZ5" s="158"/>
      <c r="BA5" s="538" t="str">
        <f>U30</f>
        <v>4T17</v>
      </c>
      <c r="BB5" s="157"/>
      <c r="BC5" s="158"/>
      <c r="BD5" s="538" t="str">
        <f>V30</f>
        <v>1T18</v>
      </c>
      <c r="BE5" s="157"/>
      <c r="BF5" s="158"/>
      <c r="BG5" s="538" t="str">
        <f>W30</f>
        <v>2T18</v>
      </c>
      <c r="BH5" s="157"/>
      <c r="BI5" s="158"/>
      <c r="BJ5" s="538" t="str">
        <f>X30</f>
        <v>3T18</v>
      </c>
      <c r="BK5" s="157"/>
      <c r="BL5" s="158"/>
      <c r="BM5" s="538" t="str">
        <f>Y30</f>
        <v>4T18</v>
      </c>
      <c r="BN5" s="157"/>
      <c r="BO5" s="158"/>
      <c r="BP5" s="538" t="str">
        <f>Z30</f>
        <v>1T19</v>
      </c>
      <c r="BQ5" s="157"/>
      <c r="BR5" s="158"/>
      <c r="BS5" s="538" t="str">
        <f>AA30</f>
        <v>2T19</v>
      </c>
      <c r="BT5" s="157"/>
      <c r="BU5" s="158"/>
      <c r="BV5" s="538" t="str">
        <f>AB30</f>
        <v>3T19</v>
      </c>
      <c r="BW5" s="157"/>
      <c r="BX5" s="158"/>
      <c r="BY5" s="538" t="str">
        <f>AC30</f>
        <v>4T19</v>
      </c>
      <c r="BZ5" s="157"/>
      <c r="CA5" s="158"/>
      <c r="CB5" s="538" t="str">
        <f>AD30</f>
        <v>1T20</v>
      </c>
      <c r="CC5" s="157"/>
      <c r="CD5" s="158"/>
      <c r="CE5" s="538" t="str">
        <f>AE30</f>
        <v>2T20</v>
      </c>
      <c r="CF5" s="157"/>
      <c r="CG5" s="158"/>
      <c r="CH5" s="538" t="str">
        <f>AF30</f>
        <v>3T20</v>
      </c>
      <c r="CI5" s="157"/>
      <c r="CJ5" s="158"/>
      <c r="CK5" s="538" t="str">
        <f>AG30</f>
        <v>4T20</v>
      </c>
      <c r="CL5" s="157"/>
      <c r="CM5" s="158"/>
      <c r="CN5" s="538" t="str">
        <f>AH30</f>
        <v>1T21</v>
      </c>
      <c r="CO5" s="157"/>
      <c r="CP5" s="158"/>
      <c r="CQ5" s="538" t="str">
        <f>AI30</f>
        <v>2T21</v>
      </c>
      <c r="CR5" s="157"/>
      <c r="CS5" s="158"/>
      <c r="CT5" s="538" t="s">
        <v>1786</v>
      </c>
      <c r="CU5" s="157"/>
      <c r="CV5" s="158"/>
      <c r="CW5" s="538" t="str">
        <f>AK30</f>
        <v>4T21</v>
      </c>
      <c r="CX5" s="157"/>
      <c r="CY5" s="158"/>
      <c r="CZ5" s="538" t="str">
        <f>AL30</f>
        <v>1T22</v>
      </c>
      <c r="DA5" s="157"/>
      <c r="DB5" s="158"/>
      <c r="DC5" s="538" t="str">
        <f>AM30</f>
        <v>2T22</v>
      </c>
      <c r="DD5" s="157"/>
      <c r="DE5" s="158"/>
      <c r="DF5" s="538" t="str">
        <f>AN30</f>
        <v>3T22</v>
      </c>
      <c r="DG5" s="157"/>
      <c r="DH5" s="158"/>
      <c r="DI5" s="538" t="str">
        <f>AO30</f>
        <v>4T22</v>
      </c>
      <c r="DJ5" s="157"/>
      <c r="DK5" s="158"/>
      <c r="DL5" s="538" t="str">
        <f>AR30</f>
        <v>1T23</v>
      </c>
      <c r="DM5" s="157"/>
      <c r="DN5" s="158"/>
      <c r="DO5" s="538" t="str">
        <f>AQ30</f>
        <v>2T23</v>
      </c>
      <c r="DP5" s="157"/>
      <c r="DQ5" s="158"/>
      <c r="DR5" s="538" t="str">
        <f>AT30</f>
        <v>3T23</v>
      </c>
      <c r="DS5" s="157"/>
      <c r="DT5" s="158"/>
      <c r="DU5" s="538" t="str">
        <f>AU30</f>
        <v>4T23</v>
      </c>
      <c r="DV5" s="157"/>
      <c r="DW5" s="158"/>
      <c r="DX5" s="538" t="str">
        <f>AX30</f>
        <v>1T24</v>
      </c>
      <c r="DY5" s="157"/>
      <c r="DZ5" s="158"/>
      <c r="EA5" s="538" t="str">
        <f>BA30</f>
        <v>2T24</v>
      </c>
      <c r="EB5" s="539"/>
      <c r="EC5" s="539"/>
      <c r="ED5" s="538" t="str">
        <f>BB30</f>
        <v>3T24</v>
      </c>
      <c r="EE5" s="539"/>
      <c r="EF5" s="539"/>
      <c r="EG5" s="538" t="str">
        <f>BC30</f>
        <v>4T24</v>
      </c>
      <c r="EH5" s="157"/>
      <c r="EI5" s="158"/>
      <c r="EJ5" s="538" t="str">
        <f>BD30</f>
        <v>1T25</v>
      </c>
      <c r="EK5" s="157"/>
      <c r="EL5" s="158"/>
      <c r="EM5" s="538" t="str">
        <f>BE30</f>
        <v>2T25</v>
      </c>
      <c r="EN5" s="157"/>
      <c r="EO5" s="158"/>
      <c r="EP5" s="1269" t="str">
        <f>IF([1]RENAME!$H$3=1,ER2,ER1)</f>
        <v>3T25</v>
      </c>
      <c r="EQ5" s="1270"/>
      <c r="ER5" s="1271"/>
      <c r="ES5" s="1269" t="str">
        <f>IF([1]RENAME!$H$3=1,ES2,ES1)</f>
        <v>4T25</v>
      </c>
      <c r="ET5" s="1270"/>
      <c r="EU5" s="1271"/>
      <c r="EV5" s="1269" t="str">
        <f>IF([1]RENAME!$H$3=1,ET2,ET1)</f>
        <v>1T26</v>
      </c>
      <c r="EW5" s="1270"/>
      <c r="EX5" s="1271"/>
      <c r="EY5" s="1269" t="str">
        <f>IF([1]RENAME!$H$3=1,EU2,EU1)</f>
        <v>2T26</v>
      </c>
      <c r="EZ5" s="1270"/>
      <c r="FA5" s="1271"/>
    </row>
    <row r="6" spans="1:158" ht="15" customHeight="1" x14ac:dyDescent="0.2">
      <c r="A6" t="s">
        <v>97</v>
      </c>
      <c r="B6" t="s">
        <v>872</v>
      </c>
      <c r="D6" s="145" t="str">
        <f>IF([1]RENAME!$H$3=1,B6,A6)</f>
        <v>Controladora</v>
      </c>
      <c r="E6" s="540" t="str">
        <f>IF([1]RENAME!$H$3=1,"Investments","Investimento")</f>
        <v>Investimento</v>
      </c>
      <c r="F6" s="541" t="str">
        <f>IF([1]RENAME!$H$3=1,"Net goodwill","Ágio líquido")</f>
        <v>Ágio líquido</v>
      </c>
      <c r="G6" s="159" t="s">
        <v>112</v>
      </c>
      <c r="H6" s="540" t="str">
        <f>E6</f>
        <v>Investimento</v>
      </c>
      <c r="I6" s="541" t="str">
        <f>F6</f>
        <v>Ágio líquido</v>
      </c>
      <c r="J6" s="159" t="s">
        <v>112</v>
      </c>
      <c r="K6" s="540" t="str">
        <f>E6</f>
        <v>Investimento</v>
      </c>
      <c r="L6" s="541" t="str">
        <f>F6</f>
        <v>Ágio líquido</v>
      </c>
      <c r="M6" s="159" t="s">
        <v>112</v>
      </c>
      <c r="N6" s="540" t="str">
        <f>H6</f>
        <v>Investimento</v>
      </c>
      <c r="O6" s="541" t="str">
        <f>I6</f>
        <v>Ágio líquido</v>
      </c>
      <c r="P6" s="159" t="s">
        <v>112</v>
      </c>
      <c r="Q6" s="540" t="str">
        <f>K6</f>
        <v>Investimento</v>
      </c>
      <c r="R6" s="541" t="str">
        <f>L6</f>
        <v>Ágio líquido</v>
      </c>
      <c r="S6" s="159" t="s">
        <v>112</v>
      </c>
      <c r="T6" s="540" t="str">
        <f>N6</f>
        <v>Investimento</v>
      </c>
      <c r="U6" s="541" t="str">
        <f>O6</f>
        <v>Ágio líquido</v>
      </c>
      <c r="V6" s="159" t="s">
        <v>112</v>
      </c>
      <c r="W6" s="540" t="str">
        <f>Q6</f>
        <v>Investimento</v>
      </c>
      <c r="X6" s="541" t="str">
        <f>R6</f>
        <v>Ágio líquido</v>
      </c>
      <c r="Y6" s="159" t="s">
        <v>112</v>
      </c>
      <c r="Z6" s="540" t="str">
        <f>T6</f>
        <v>Investimento</v>
      </c>
      <c r="AA6" s="541" t="str">
        <f>U6</f>
        <v>Ágio líquido</v>
      </c>
      <c r="AB6" s="159" t="s">
        <v>112</v>
      </c>
      <c r="AC6" s="540" t="str">
        <f>W6</f>
        <v>Investimento</v>
      </c>
      <c r="AD6" s="541" t="str">
        <f>X6</f>
        <v>Ágio líquido</v>
      </c>
      <c r="AE6" s="159" t="s">
        <v>112</v>
      </c>
      <c r="AF6" s="540" t="str">
        <f>Z6</f>
        <v>Investimento</v>
      </c>
      <c r="AG6" s="541" t="str">
        <f>AA6</f>
        <v>Ágio líquido</v>
      </c>
      <c r="AH6" s="159" t="s">
        <v>112</v>
      </c>
      <c r="AI6" s="540" t="str">
        <f>AC6</f>
        <v>Investimento</v>
      </c>
      <c r="AJ6" s="541" t="str">
        <f>AD6</f>
        <v>Ágio líquido</v>
      </c>
      <c r="AK6" s="159" t="s">
        <v>112</v>
      </c>
      <c r="AL6" s="540" t="str">
        <f>AF6</f>
        <v>Investimento</v>
      </c>
      <c r="AM6" s="541" t="str">
        <f>AG6</f>
        <v>Ágio líquido</v>
      </c>
      <c r="AN6" s="159" t="s">
        <v>112</v>
      </c>
      <c r="AO6" s="540" t="str">
        <f>AI6</f>
        <v>Investimento</v>
      </c>
      <c r="AP6" s="541" t="str">
        <f>AJ6</f>
        <v>Ágio líquido</v>
      </c>
      <c r="AQ6" s="146" t="s">
        <v>112</v>
      </c>
      <c r="AR6" s="540" t="str">
        <f>AL6</f>
        <v>Investimento</v>
      </c>
      <c r="AS6" s="541" t="str">
        <f>AM6</f>
        <v>Ágio líquido</v>
      </c>
      <c r="AT6" s="159" t="s">
        <v>112</v>
      </c>
      <c r="AU6" s="540" t="str">
        <f>AO6</f>
        <v>Investimento</v>
      </c>
      <c r="AV6" s="541" t="str">
        <f>AP6</f>
        <v>Ágio líquido</v>
      </c>
      <c r="AW6" s="146" t="s">
        <v>112</v>
      </c>
      <c r="AX6" s="540" t="str">
        <f>AO6</f>
        <v>Investimento</v>
      </c>
      <c r="AY6" s="541" t="str">
        <f>AP6</f>
        <v>Ágio líquido</v>
      </c>
      <c r="AZ6" s="159" t="s">
        <v>112</v>
      </c>
      <c r="BA6" s="540" t="str">
        <f>AR6</f>
        <v>Investimento</v>
      </c>
      <c r="BB6" s="541" t="str">
        <f>AS6</f>
        <v>Ágio líquido</v>
      </c>
      <c r="BC6" s="159" t="s">
        <v>112</v>
      </c>
      <c r="BD6" s="540" t="str">
        <f>AU6</f>
        <v>Investimento</v>
      </c>
      <c r="BE6" s="541" t="str">
        <f>AV6</f>
        <v>Ágio líquido</v>
      </c>
      <c r="BF6" s="159" t="s">
        <v>112</v>
      </c>
      <c r="BG6" s="540" t="str">
        <f>AX6</f>
        <v>Investimento</v>
      </c>
      <c r="BH6" s="541" t="str">
        <f>AY6</f>
        <v>Ágio líquido</v>
      </c>
      <c r="BI6" s="159" t="s">
        <v>112</v>
      </c>
      <c r="BJ6" s="540" t="str">
        <f>AX6</f>
        <v>Investimento</v>
      </c>
      <c r="BK6" s="541" t="str">
        <f>AY6</f>
        <v>Ágio líquido</v>
      </c>
      <c r="BL6" s="159" t="s">
        <v>112</v>
      </c>
      <c r="BM6" s="540" t="str">
        <f>BA6</f>
        <v>Investimento</v>
      </c>
      <c r="BN6" s="541" t="str">
        <f>BB6</f>
        <v>Ágio líquido</v>
      </c>
      <c r="BO6" s="159" t="s">
        <v>112</v>
      </c>
      <c r="BP6" s="540" t="str">
        <f>BA6</f>
        <v>Investimento</v>
      </c>
      <c r="BQ6" s="541" t="str">
        <f>BB6</f>
        <v>Ágio líquido</v>
      </c>
      <c r="BR6" s="159" t="s">
        <v>112</v>
      </c>
      <c r="BS6" s="540" t="str">
        <f>BD6</f>
        <v>Investimento</v>
      </c>
      <c r="BT6" s="541" t="str">
        <f>BE6</f>
        <v>Ágio líquido</v>
      </c>
      <c r="BU6" s="159" t="s">
        <v>112</v>
      </c>
      <c r="BV6" s="540" t="str">
        <f>BG6</f>
        <v>Investimento</v>
      </c>
      <c r="BW6" s="541" t="str">
        <f>BH6</f>
        <v>Ágio líquido</v>
      </c>
      <c r="BX6" s="159" t="s">
        <v>112</v>
      </c>
      <c r="BY6" s="540" t="str">
        <f>BJ6</f>
        <v>Investimento</v>
      </c>
      <c r="BZ6" s="541" t="str">
        <f>BK6</f>
        <v>Ágio líquido</v>
      </c>
      <c r="CA6" s="159" t="s">
        <v>112</v>
      </c>
      <c r="CB6" s="540" t="str">
        <f>BM6</f>
        <v>Investimento</v>
      </c>
      <c r="CC6" s="541" t="str">
        <f>BN6</f>
        <v>Ágio líquido</v>
      </c>
      <c r="CD6" s="159" t="s">
        <v>112</v>
      </c>
      <c r="CE6" s="540" t="str">
        <f>BP6</f>
        <v>Investimento</v>
      </c>
      <c r="CF6" s="541" t="str">
        <f>BQ6</f>
        <v>Ágio líquido</v>
      </c>
      <c r="CG6" s="159" t="s">
        <v>112</v>
      </c>
      <c r="CH6" s="540" t="str">
        <f>BS6</f>
        <v>Investimento</v>
      </c>
      <c r="CI6" s="541" t="str">
        <f>BT6</f>
        <v>Ágio líquido</v>
      </c>
      <c r="CJ6" s="159" t="s">
        <v>112</v>
      </c>
      <c r="CK6" s="540" t="str">
        <f>BV6</f>
        <v>Investimento</v>
      </c>
      <c r="CL6" s="541" t="str">
        <f>BW6</f>
        <v>Ágio líquido</v>
      </c>
      <c r="CM6" s="159" t="s">
        <v>112</v>
      </c>
      <c r="CN6" s="540" t="str">
        <f>BV6</f>
        <v>Investimento</v>
      </c>
      <c r="CO6" s="541" t="str">
        <f>BW6</f>
        <v>Ágio líquido</v>
      </c>
      <c r="CP6" s="159" t="s">
        <v>112</v>
      </c>
      <c r="CQ6" s="540" t="str">
        <f>BY6</f>
        <v>Investimento</v>
      </c>
      <c r="CR6" s="541" t="str">
        <f>BZ6</f>
        <v>Ágio líquido</v>
      </c>
      <c r="CS6" s="159" t="s">
        <v>112</v>
      </c>
      <c r="CT6" s="540" t="s">
        <v>1922</v>
      </c>
      <c r="CU6" s="541" t="s">
        <v>1923</v>
      </c>
      <c r="CV6" s="159" t="s">
        <v>112</v>
      </c>
      <c r="CW6" s="540" t="str">
        <f>CE6</f>
        <v>Investimento</v>
      </c>
      <c r="CX6" s="541" t="str">
        <f>CF6</f>
        <v>Ágio líquido</v>
      </c>
      <c r="CY6" s="159" t="s">
        <v>112</v>
      </c>
      <c r="CZ6" s="540" t="str">
        <f>CE6</f>
        <v>Investimento</v>
      </c>
      <c r="DA6" s="541" t="str">
        <f>CF6</f>
        <v>Ágio líquido</v>
      </c>
      <c r="DB6" s="159" t="s">
        <v>112</v>
      </c>
      <c r="DC6" s="540" t="str">
        <f>CH6</f>
        <v>Investimento</v>
      </c>
      <c r="DD6" s="541" t="str">
        <f>CI6</f>
        <v>Ágio líquido</v>
      </c>
      <c r="DE6" s="159" t="s">
        <v>112</v>
      </c>
      <c r="DF6" s="540" t="str">
        <f>CK6</f>
        <v>Investimento</v>
      </c>
      <c r="DG6" s="541" t="str">
        <f>CL6</f>
        <v>Ágio líquido</v>
      </c>
      <c r="DH6" s="159" t="s">
        <v>112</v>
      </c>
      <c r="DI6" s="540" t="str">
        <f>CN6</f>
        <v>Investimento</v>
      </c>
      <c r="DJ6" s="541" t="str">
        <f>CO6</f>
        <v>Ágio líquido</v>
      </c>
      <c r="DK6" s="159" t="s">
        <v>112</v>
      </c>
      <c r="DL6" s="540" t="str">
        <f>CQ6</f>
        <v>Investimento</v>
      </c>
      <c r="DM6" s="541" t="str">
        <f>CR6</f>
        <v>Ágio líquido</v>
      </c>
      <c r="DN6" s="159" t="s">
        <v>112</v>
      </c>
      <c r="DO6" s="540" t="str">
        <f>CT6</f>
        <v>Investimento</v>
      </c>
      <c r="DP6" s="541" t="str">
        <f>CU6</f>
        <v>Ágio líquido</v>
      </c>
      <c r="DQ6" s="159" t="s">
        <v>112</v>
      </c>
      <c r="DR6" s="540" t="str">
        <f>CW6</f>
        <v>Investimento</v>
      </c>
      <c r="DS6" s="541" t="str">
        <f>CX6</f>
        <v>Ágio líquido</v>
      </c>
      <c r="DT6" s="159" t="s">
        <v>112</v>
      </c>
      <c r="DU6" s="540" t="str">
        <f>CZ6</f>
        <v>Investimento</v>
      </c>
      <c r="DV6" s="541" t="str">
        <f>DA6</f>
        <v>Ágio líquido</v>
      </c>
      <c r="DW6" s="159" t="s">
        <v>112</v>
      </c>
      <c r="DX6" s="540" t="str">
        <f>DC6</f>
        <v>Investimento</v>
      </c>
      <c r="DY6" s="541" t="str">
        <f>DD6</f>
        <v>Ágio líquido</v>
      </c>
      <c r="DZ6" s="159" t="s">
        <v>112</v>
      </c>
      <c r="EA6" s="540" t="str">
        <f>DF6</f>
        <v>Investimento</v>
      </c>
      <c r="EB6" s="541" t="str">
        <f>DG6</f>
        <v>Ágio líquido</v>
      </c>
      <c r="EC6" s="159" t="s">
        <v>112</v>
      </c>
      <c r="ED6" s="540" t="str">
        <f>DI6</f>
        <v>Investimento</v>
      </c>
      <c r="EE6" s="541" t="str">
        <f>DJ6</f>
        <v>Ágio líquido</v>
      </c>
      <c r="EF6" s="159" t="s">
        <v>112</v>
      </c>
      <c r="EG6" s="540" t="str">
        <f>DC6</f>
        <v>Investimento</v>
      </c>
      <c r="EH6" s="541" t="str">
        <f>DD6</f>
        <v>Ágio líquido</v>
      </c>
      <c r="EI6" s="159" t="s">
        <v>112</v>
      </c>
      <c r="EJ6" s="540" t="str">
        <f>DC6</f>
        <v>Investimento</v>
      </c>
      <c r="EK6" s="541" t="str">
        <f>DD6</f>
        <v>Ágio líquido</v>
      </c>
      <c r="EL6" s="159" t="s">
        <v>112</v>
      </c>
      <c r="EM6" s="540" t="str">
        <f>DF6</f>
        <v>Investimento</v>
      </c>
      <c r="EN6" s="541" t="str">
        <f>DG6</f>
        <v>Ágio líquido</v>
      </c>
      <c r="EO6" s="159" t="s">
        <v>112</v>
      </c>
      <c r="EP6" s="540" t="str">
        <f>DI6</f>
        <v>Investimento</v>
      </c>
      <c r="EQ6" s="541" t="str">
        <f>DJ6</f>
        <v>Ágio líquido</v>
      </c>
      <c r="ER6" s="159" t="s">
        <v>112</v>
      </c>
      <c r="ES6" s="540" t="str">
        <f>DL6</f>
        <v>Investimento</v>
      </c>
      <c r="ET6" s="541" t="str">
        <f>DM6</f>
        <v>Ágio líquido</v>
      </c>
      <c r="EU6" s="159" t="s">
        <v>112</v>
      </c>
      <c r="EV6" s="540" t="str">
        <f>DL6</f>
        <v>Investimento</v>
      </c>
      <c r="EW6" s="541" t="str">
        <f>DM6</f>
        <v>Ágio líquido</v>
      </c>
      <c r="EX6" s="159" t="s">
        <v>112</v>
      </c>
      <c r="EY6" s="540" t="str">
        <f>DO6</f>
        <v>Investimento</v>
      </c>
      <c r="EZ6" s="541" t="str">
        <f>DP6</f>
        <v>Ágio líquido</v>
      </c>
      <c r="FA6" s="159" t="s">
        <v>112</v>
      </c>
    </row>
    <row r="7" spans="1:158" ht="15" customHeight="1" x14ac:dyDescent="0.2">
      <c r="A7" t="s">
        <v>204</v>
      </c>
      <c r="B7" t="s">
        <v>204</v>
      </c>
      <c r="D7" s="129" t="str">
        <f>IF([1]RENAME!$H$3=1,B7,A7)</f>
        <v xml:space="preserve">Tegma Cargas Especiais Ltda. (TCE) </v>
      </c>
      <c r="E7" s="160">
        <v>29478</v>
      </c>
      <c r="F7" s="118">
        <v>6364</v>
      </c>
      <c r="G7" s="161">
        <f>SUM(E7:F7)</f>
        <v>35842</v>
      </c>
      <c r="H7" s="160">
        <v>33338</v>
      </c>
      <c r="I7" s="118">
        <v>6364</v>
      </c>
      <c r="J7" s="161">
        <f>SUM(H7:I7)</f>
        <v>39702</v>
      </c>
      <c r="K7" s="160">
        <v>48311</v>
      </c>
      <c r="L7" s="118">
        <v>6364</v>
      </c>
      <c r="M7" s="161">
        <f>SUM(K7:L7)</f>
        <v>54675</v>
      </c>
      <c r="N7" s="160">
        <v>48738</v>
      </c>
      <c r="O7" s="118">
        <v>6364</v>
      </c>
      <c r="P7" s="161">
        <f>SUM(N7:O7)</f>
        <v>55102</v>
      </c>
      <c r="Q7" s="160">
        <v>81809</v>
      </c>
      <c r="R7" s="118">
        <v>6364</v>
      </c>
      <c r="S7" s="161">
        <f>SUM(Q7:R7)</f>
        <v>88173</v>
      </c>
      <c r="T7" s="160">
        <v>83580</v>
      </c>
      <c r="U7" s="118">
        <v>6364</v>
      </c>
      <c r="V7" s="161">
        <f>SUM(T7:U7)</f>
        <v>89944</v>
      </c>
      <c r="W7" s="160">
        <v>83859</v>
      </c>
      <c r="X7" s="118">
        <v>6364</v>
      </c>
      <c r="Y7" s="161">
        <f>SUM(W7:X7)</f>
        <v>90223</v>
      </c>
      <c r="Z7" s="160">
        <v>83402</v>
      </c>
      <c r="AA7" s="118">
        <v>6364</v>
      </c>
      <c r="AB7" s="161">
        <v>89766</v>
      </c>
      <c r="AC7" s="160">
        <v>83456</v>
      </c>
      <c r="AD7" s="118">
        <v>6364</v>
      </c>
      <c r="AE7" s="161">
        <f>SUM(AC7:AD7)</f>
        <v>89820</v>
      </c>
      <c r="AF7" s="160">
        <v>86724</v>
      </c>
      <c r="AG7" s="118">
        <v>6364</v>
      </c>
      <c r="AH7" s="161">
        <f>SUM(AF7:AG7)</f>
        <v>93088</v>
      </c>
      <c r="AI7" s="160">
        <v>88966</v>
      </c>
      <c r="AJ7" s="118">
        <v>6364</v>
      </c>
      <c r="AK7" s="161">
        <f>SUM(AI7:AJ7)</f>
        <v>95330</v>
      </c>
      <c r="AL7" s="160">
        <v>90775</v>
      </c>
      <c r="AM7" s="118">
        <v>6364</v>
      </c>
      <c r="AN7" s="161">
        <v>97139</v>
      </c>
      <c r="AO7" s="118">
        <v>93364</v>
      </c>
      <c r="AP7" s="118">
        <v>6364</v>
      </c>
      <c r="AQ7" s="118">
        <v>99728</v>
      </c>
      <c r="AR7" s="160">
        <v>96868</v>
      </c>
      <c r="AS7" s="118">
        <v>6364</v>
      </c>
      <c r="AT7" s="161">
        <v>103232</v>
      </c>
      <c r="AU7" s="118">
        <v>97463</v>
      </c>
      <c r="AV7" s="118">
        <v>6364</v>
      </c>
      <c r="AW7" s="118">
        <v>103827</v>
      </c>
      <c r="AX7" s="160">
        <v>97271</v>
      </c>
      <c r="AY7" s="118">
        <v>6364</v>
      </c>
      <c r="AZ7" s="161">
        <v>103635</v>
      </c>
      <c r="BA7" s="160">
        <v>108886</v>
      </c>
      <c r="BB7" s="118">
        <v>6364</v>
      </c>
      <c r="BC7" s="161">
        <v>115250</v>
      </c>
      <c r="BD7" s="160">
        <v>47278</v>
      </c>
      <c r="BE7" s="118">
        <v>6364</v>
      </c>
      <c r="BF7" s="161">
        <f>SUM(BD7:BE7)</f>
        <v>53642</v>
      </c>
      <c r="BG7" s="160">
        <v>49584</v>
      </c>
      <c r="BH7" s="118">
        <v>6364</v>
      </c>
      <c r="BI7" s="161">
        <f>SUM(BG7:BH7)</f>
        <v>55948</v>
      </c>
      <c r="BJ7" s="160">
        <v>31289</v>
      </c>
      <c r="BK7" s="118">
        <v>6364</v>
      </c>
      <c r="BL7" s="161">
        <f>SUM(BJ7:BK7)</f>
        <v>37653</v>
      </c>
      <c r="BM7" s="160">
        <v>33533</v>
      </c>
      <c r="BN7" s="118">
        <v>6364</v>
      </c>
      <c r="BO7" s="161">
        <f>SUM(BM7:BN7)</f>
        <v>39897</v>
      </c>
      <c r="BP7" s="160">
        <v>36365</v>
      </c>
      <c r="BQ7" s="118">
        <v>6364</v>
      </c>
      <c r="BR7" s="161">
        <f>SUM(BP7:BQ7)</f>
        <v>42729</v>
      </c>
      <c r="BS7" s="160">
        <v>38779</v>
      </c>
      <c r="BT7" s="118">
        <v>6364</v>
      </c>
      <c r="BU7" s="161">
        <f t="shared" ref="BU7:BU12" si="4">SUM(BS7:BT7)</f>
        <v>45143</v>
      </c>
      <c r="BV7" s="160">
        <v>43275</v>
      </c>
      <c r="BW7" s="118">
        <v>6364</v>
      </c>
      <c r="BX7" s="161">
        <v>49639</v>
      </c>
      <c r="BY7" s="160">
        <v>53257</v>
      </c>
      <c r="BZ7" s="118">
        <v>6364</v>
      </c>
      <c r="CA7" s="161">
        <v>59621</v>
      </c>
      <c r="CB7" s="160">
        <v>65416</v>
      </c>
      <c r="CC7" s="118">
        <v>6364</v>
      </c>
      <c r="CD7" s="161">
        <v>71780</v>
      </c>
      <c r="CE7" s="160">
        <v>48803</v>
      </c>
      <c r="CF7" s="118">
        <v>6364</v>
      </c>
      <c r="CG7" s="161">
        <v>55167</v>
      </c>
      <c r="CH7" s="160">
        <v>53246</v>
      </c>
      <c r="CI7" s="118">
        <v>6364</v>
      </c>
      <c r="CJ7" s="161">
        <f>SUM(CH7:CI7)</f>
        <v>59610</v>
      </c>
      <c r="CK7" s="160">
        <v>57630</v>
      </c>
      <c r="CL7" s="118">
        <v>6364</v>
      </c>
      <c r="CM7" s="161">
        <v>63994</v>
      </c>
      <c r="CN7" s="160">
        <v>59815</v>
      </c>
      <c r="CO7" s="118">
        <v>6364</v>
      </c>
      <c r="CP7" s="161">
        <f>SUM(CN7:CO7)</f>
        <v>66179</v>
      </c>
      <c r="CQ7" s="160">
        <v>58981</v>
      </c>
      <c r="CR7" s="118">
        <v>6364</v>
      </c>
      <c r="CS7" s="161">
        <f t="shared" ref="CS7:CS12" si="5">SUM(CQ7:CR7)</f>
        <v>65345</v>
      </c>
      <c r="CT7" s="160">
        <v>63479</v>
      </c>
      <c r="CU7" s="118">
        <v>6364</v>
      </c>
      <c r="CV7" s="161">
        <v>69843</v>
      </c>
      <c r="CW7" s="160">
        <v>66212</v>
      </c>
      <c r="CX7" s="118">
        <v>6364</v>
      </c>
      <c r="CY7" s="161">
        <f>SUM(CW7:CX7)</f>
        <v>72576</v>
      </c>
      <c r="CZ7" s="160">
        <v>71836</v>
      </c>
      <c r="DA7" s="118">
        <v>6364</v>
      </c>
      <c r="DB7" s="161">
        <f t="shared" ref="DB7:DB12" si="6">SUM(CZ7:DA7)</f>
        <v>78200</v>
      </c>
      <c r="DC7" s="160">
        <v>65609</v>
      </c>
      <c r="DD7" s="118">
        <v>6363</v>
      </c>
      <c r="DE7" s="161">
        <v>71972</v>
      </c>
      <c r="DF7" s="160">
        <v>59842</v>
      </c>
      <c r="DG7" s="118">
        <v>6363</v>
      </c>
      <c r="DH7" s="161">
        <f t="shared" ref="DH7:DH12" si="7">SUM(DF7:DG7)</f>
        <v>66205</v>
      </c>
      <c r="DI7" s="160">
        <v>62977</v>
      </c>
      <c r="DJ7" s="118">
        <v>6363</v>
      </c>
      <c r="DK7" s="161">
        <v>69340</v>
      </c>
      <c r="DL7" s="160">
        <v>66029</v>
      </c>
      <c r="DM7" s="118">
        <v>6363</v>
      </c>
      <c r="DN7" s="161">
        <f>SUM(DL7:DM7)</f>
        <v>72392</v>
      </c>
      <c r="DO7" s="160">
        <v>69197</v>
      </c>
      <c r="DP7" s="118">
        <v>6363</v>
      </c>
      <c r="DQ7" s="161">
        <v>75560</v>
      </c>
      <c r="DR7" s="160">
        <v>72735</v>
      </c>
      <c r="DS7" s="118">
        <v>6363</v>
      </c>
      <c r="DT7" s="161">
        <v>79098</v>
      </c>
      <c r="DU7" s="160">
        <v>75399</v>
      </c>
      <c r="DV7" s="118">
        <v>6363</v>
      </c>
      <c r="DW7" s="161">
        <v>81762</v>
      </c>
      <c r="DX7" s="160">
        <v>76976</v>
      </c>
      <c r="DY7" s="118">
        <v>6363</v>
      </c>
      <c r="DZ7" s="161">
        <f>SUM(DX7:DY7)</f>
        <v>83339</v>
      </c>
      <c r="EA7" s="160">
        <v>70160</v>
      </c>
      <c r="EB7" s="118">
        <v>6363</v>
      </c>
      <c r="EC7" s="161">
        <f>SUM(EA7:EB7)</f>
        <v>76523</v>
      </c>
      <c r="ED7" s="160">
        <v>71773</v>
      </c>
      <c r="EE7" s="118">
        <v>6363</v>
      </c>
      <c r="EF7" s="161">
        <f>SUM(ED7:EE7)</f>
        <v>78136</v>
      </c>
      <c r="EG7" s="118">
        <v>72786</v>
      </c>
      <c r="EH7" s="118">
        <v>6363</v>
      </c>
      <c r="EI7" s="118">
        <v>79149</v>
      </c>
      <c r="EJ7" s="160">
        <v>74864</v>
      </c>
      <c r="EK7" s="118">
        <v>6363</v>
      </c>
      <c r="EL7" s="161">
        <v>81227</v>
      </c>
      <c r="EM7" s="160">
        <v>55581</v>
      </c>
      <c r="EN7" s="118">
        <v>6363</v>
      </c>
      <c r="EO7" s="161">
        <v>61944</v>
      </c>
      <c r="EP7" s="160">
        <v>54787</v>
      </c>
      <c r="EQ7" s="118">
        <v>6363</v>
      </c>
      <c r="ER7" s="161">
        <v>61150</v>
      </c>
      <c r="ES7" s="160">
        <v>52780</v>
      </c>
      <c r="ET7" s="118">
        <v>6363</v>
      </c>
      <c r="EU7" s="161">
        <v>59143</v>
      </c>
      <c r="EV7" s="160">
        <v>54086</v>
      </c>
      <c r="EW7" s="118">
        <v>6363</v>
      </c>
      <c r="EX7" s="161">
        <f>SUM(EV7:EW7)</f>
        <v>60449</v>
      </c>
      <c r="EY7" s="160">
        <f>'[3]9 Invest. NL'!$D$9</f>
        <v>53452</v>
      </c>
      <c r="EZ7" s="118">
        <f>'[3]9 Invest. NL'!$F$9</f>
        <v>6363</v>
      </c>
      <c r="FA7" s="161">
        <f>SUM(EY7:EZ7)</f>
        <v>59815</v>
      </c>
    </row>
    <row r="8" spans="1:158" ht="15" customHeight="1" x14ac:dyDescent="0.2">
      <c r="A8" t="s">
        <v>1170</v>
      </c>
      <c r="B8" t="s">
        <v>1170</v>
      </c>
      <c r="D8" s="129" t="s">
        <v>1170</v>
      </c>
      <c r="E8" s="160" t="s">
        <v>160</v>
      </c>
      <c r="F8" s="118" t="s">
        <v>160</v>
      </c>
      <c r="G8" s="161" t="s">
        <v>160</v>
      </c>
      <c r="H8" s="160" t="s">
        <v>160</v>
      </c>
      <c r="I8" s="118" t="s">
        <v>160</v>
      </c>
      <c r="J8" s="161" t="s">
        <v>160</v>
      </c>
      <c r="K8" s="160" t="s">
        <v>160</v>
      </c>
      <c r="L8" s="118" t="s">
        <v>160</v>
      </c>
      <c r="M8" s="161" t="s">
        <v>160</v>
      </c>
      <c r="N8" s="160" t="s">
        <v>160</v>
      </c>
      <c r="O8" s="118" t="s">
        <v>160</v>
      </c>
      <c r="P8" s="161" t="s">
        <v>160</v>
      </c>
      <c r="Q8" s="160" t="s">
        <v>160</v>
      </c>
      <c r="R8" s="118" t="s">
        <v>160</v>
      </c>
      <c r="S8" s="161" t="s">
        <v>160</v>
      </c>
      <c r="T8" s="160" t="s">
        <v>160</v>
      </c>
      <c r="U8" s="118" t="s">
        <v>160</v>
      </c>
      <c r="V8" s="161" t="s">
        <v>160</v>
      </c>
      <c r="W8" s="160" t="s">
        <v>160</v>
      </c>
      <c r="X8" s="118" t="s">
        <v>160</v>
      </c>
      <c r="Y8" s="161" t="s">
        <v>160</v>
      </c>
      <c r="Z8" s="160" t="s">
        <v>160</v>
      </c>
      <c r="AA8" s="118" t="s">
        <v>160</v>
      </c>
      <c r="AB8" s="161" t="s">
        <v>160</v>
      </c>
      <c r="AC8" s="160" t="s">
        <v>160</v>
      </c>
      <c r="AD8" s="118" t="s">
        <v>160</v>
      </c>
      <c r="AE8" s="161" t="s">
        <v>160</v>
      </c>
      <c r="AF8" s="160" t="s">
        <v>160</v>
      </c>
      <c r="AG8" s="118" t="s">
        <v>160</v>
      </c>
      <c r="AH8" s="161" t="s">
        <v>160</v>
      </c>
      <c r="AI8" s="160" t="s">
        <v>160</v>
      </c>
      <c r="AJ8" s="118" t="s">
        <v>160</v>
      </c>
      <c r="AK8" s="161" t="s">
        <v>160</v>
      </c>
      <c r="AL8" s="160" t="s">
        <v>160</v>
      </c>
      <c r="AM8" s="118" t="s">
        <v>160</v>
      </c>
      <c r="AN8" s="161" t="s">
        <v>160</v>
      </c>
      <c r="AO8" s="118" t="s">
        <v>160</v>
      </c>
      <c r="AP8" s="118" t="s">
        <v>160</v>
      </c>
      <c r="AQ8" s="118" t="s">
        <v>160</v>
      </c>
      <c r="AR8" s="160" t="s">
        <v>160</v>
      </c>
      <c r="AS8" s="118" t="s">
        <v>160</v>
      </c>
      <c r="AT8" s="161" t="s">
        <v>160</v>
      </c>
      <c r="AU8" s="118" t="s">
        <v>160</v>
      </c>
      <c r="AV8" s="118" t="s">
        <v>160</v>
      </c>
      <c r="AW8" s="118" t="s">
        <v>160</v>
      </c>
      <c r="AX8" s="160" t="s">
        <v>160</v>
      </c>
      <c r="AY8" s="118" t="s">
        <v>160</v>
      </c>
      <c r="AZ8" s="161" t="s">
        <v>160</v>
      </c>
      <c r="BA8" s="160">
        <v>22236</v>
      </c>
      <c r="BB8" s="118">
        <v>0</v>
      </c>
      <c r="BC8" s="161">
        <v>22236</v>
      </c>
      <c r="BD8" s="160">
        <v>0</v>
      </c>
      <c r="BE8" s="118">
        <v>0</v>
      </c>
      <c r="BF8" s="161">
        <f>SUM(BD8:BE8)</f>
        <v>0</v>
      </c>
      <c r="BG8" s="160">
        <v>0</v>
      </c>
      <c r="BH8" s="118">
        <v>0</v>
      </c>
      <c r="BI8" s="161">
        <f>SUM(BG8:BH8)</f>
        <v>0</v>
      </c>
      <c r="BJ8" s="160">
        <v>27398</v>
      </c>
      <c r="BK8" s="118">
        <v>0</v>
      </c>
      <c r="BL8" s="161">
        <f>SUM(BJ8:BK8)</f>
        <v>27398</v>
      </c>
      <c r="BM8" s="160">
        <v>26099</v>
      </c>
      <c r="BN8" s="118">
        <v>0</v>
      </c>
      <c r="BO8" s="161">
        <f>SUM(BM8:BN8)</f>
        <v>26099</v>
      </c>
      <c r="BP8" s="160">
        <v>25530</v>
      </c>
      <c r="BQ8" s="118">
        <v>0</v>
      </c>
      <c r="BR8" s="161">
        <f>SUM(BP8:BQ8)</f>
        <v>25530</v>
      </c>
      <c r="BS8" s="160">
        <v>24857</v>
      </c>
      <c r="BT8" s="118">
        <v>0</v>
      </c>
      <c r="BU8" s="161">
        <f t="shared" si="4"/>
        <v>24857</v>
      </c>
      <c r="BV8" s="160">
        <v>24526</v>
      </c>
      <c r="BW8" s="118">
        <v>0</v>
      </c>
      <c r="BX8" s="161">
        <v>24526</v>
      </c>
      <c r="BY8" s="160">
        <v>23423</v>
      </c>
      <c r="BZ8" s="118">
        <v>0</v>
      </c>
      <c r="CA8" s="161">
        <v>23423</v>
      </c>
      <c r="CB8" s="160">
        <v>17781</v>
      </c>
      <c r="CC8" s="118">
        <v>0</v>
      </c>
      <c r="CD8" s="161">
        <v>17781</v>
      </c>
      <c r="CE8" s="160">
        <v>19149</v>
      </c>
      <c r="CF8" s="118">
        <v>0</v>
      </c>
      <c r="CG8" s="161">
        <v>19149</v>
      </c>
      <c r="CH8" s="160">
        <v>19628</v>
      </c>
      <c r="CI8" s="118">
        <v>0</v>
      </c>
      <c r="CJ8" s="161">
        <f>SUM(CH8:CI8)</f>
        <v>19628</v>
      </c>
      <c r="CK8" s="160">
        <v>15975</v>
      </c>
      <c r="CL8" s="118">
        <v>0</v>
      </c>
      <c r="CM8" s="161">
        <v>15975</v>
      </c>
      <c r="CN8" s="160">
        <v>15536</v>
      </c>
      <c r="CO8" s="118">
        <v>0</v>
      </c>
      <c r="CP8" s="161">
        <f>SUM(CN8:CO8)</f>
        <v>15536</v>
      </c>
      <c r="CQ8" s="160">
        <v>14656</v>
      </c>
      <c r="CR8" s="118">
        <v>0</v>
      </c>
      <c r="CS8" s="161">
        <f t="shared" si="5"/>
        <v>14656</v>
      </c>
      <c r="CT8" s="160">
        <v>14646</v>
      </c>
      <c r="CU8" s="118">
        <v>0</v>
      </c>
      <c r="CV8" s="161">
        <v>14646</v>
      </c>
      <c r="CW8" s="160">
        <v>14650</v>
      </c>
      <c r="CX8" s="118">
        <f>+'[3]9.a Investimentos'!$C$9</f>
        <v>0</v>
      </c>
      <c r="CY8" s="161">
        <f>SUM(CW8:CX8)</f>
        <v>14650</v>
      </c>
      <c r="CZ8" s="160">
        <v>14879</v>
      </c>
      <c r="DA8" s="118">
        <v>0</v>
      </c>
      <c r="DB8" s="161">
        <f t="shared" si="6"/>
        <v>14879</v>
      </c>
      <c r="DC8" s="160">
        <v>15241</v>
      </c>
      <c r="DD8" s="118">
        <v>0</v>
      </c>
      <c r="DE8" s="161">
        <v>15241</v>
      </c>
      <c r="DF8" s="160">
        <v>15626</v>
      </c>
      <c r="DG8" s="118">
        <v>0</v>
      </c>
      <c r="DH8" s="161">
        <f t="shared" si="7"/>
        <v>15626</v>
      </c>
      <c r="DI8" s="160">
        <v>15708</v>
      </c>
      <c r="DJ8" s="118">
        <v>0</v>
      </c>
      <c r="DK8" s="161">
        <v>15708</v>
      </c>
      <c r="DL8" s="160">
        <v>17206</v>
      </c>
      <c r="DM8" s="118">
        <v>0</v>
      </c>
      <c r="DN8" s="161">
        <f>SUM(DL8:DM8)</f>
        <v>17206</v>
      </c>
      <c r="DO8" s="160">
        <v>19483</v>
      </c>
      <c r="DP8" s="118">
        <v>0</v>
      </c>
      <c r="DQ8" s="161">
        <v>19483</v>
      </c>
      <c r="DR8" s="160">
        <v>20924</v>
      </c>
      <c r="DS8" s="118">
        <v>0</v>
      </c>
      <c r="DT8" s="161">
        <v>20924</v>
      </c>
      <c r="DU8" s="160">
        <v>25078</v>
      </c>
      <c r="DV8" s="118">
        <v>0</v>
      </c>
      <c r="DW8" s="161">
        <v>25078</v>
      </c>
      <c r="DX8" s="160">
        <v>31971</v>
      </c>
      <c r="DY8" s="118">
        <v>0</v>
      </c>
      <c r="DZ8" s="161">
        <f>SUM(DX8:DY8)</f>
        <v>31971</v>
      </c>
      <c r="EA8" s="160">
        <v>31457</v>
      </c>
      <c r="EB8" s="118">
        <v>0</v>
      </c>
      <c r="EC8" s="161">
        <f>SUM(EA8:EB8)</f>
        <v>31457</v>
      </c>
      <c r="ED8" s="160">
        <v>32740</v>
      </c>
      <c r="EE8" s="118">
        <v>0</v>
      </c>
      <c r="EF8" s="161">
        <f>SUM(ED8:EE8)</f>
        <v>32740</v>
      </c>
      <c r="EG8" s="118">
        <v>33799</v>
      </c>
      <c r="EH8" s="118">
        <v>0</v>
      </c>
      <c r="EI8" s="118">
        <v>33799</v>
      </c>
      <c r="EJ8" s="160">
        <v>35414</v>
      </c>
      <c r="EK8" s="118">
        <v>0</v>
      </c>
      <c r="EL8" s="161">
        <v>35414</v>
      </c>
      <c r="EM8" s="160">
        <v>35453</v>
      </c>
      <c r="EN8" s="118">
        <v>0</v>
      </c>
      <c r="EO8" s="161">
        <v>35453</v>
      </c>
      <c r="EP8" s="160">
        <v>37261</v>
      </c>
      <c r="EQ8" s="118">
        <v>0</v>
      </c>
      <c r="ER8" s="161">
        <v>37261</v>
      </c>
      <c r="ES8" s="160">
        <v>39437</v>
      </c>
      <c r="ET8" s="118">
        <v>0</v>
      </c>
      <c r="EU8" s="161">
        <v>39437</v>
      </c>
      <c r="EV8" s="160">
        <v>41707</v>
      </c>
      <c r="EW8" s="118">
        <v>0</v>
      </c>
      <c r="EX8" s="161">
        <f>SUM(EV8:EW8)</f>
        <v>41707</v>
      </c>
      <c r="EY8" s="160">
        <f>'[3]9 Invest. NL'!$D$10</f>
        <v>38219</v>
      </c>
      <c r="EZ8" s="118">
        <f>+'[3]9.a Investimentos'!$C$9</f>
        <v>0</v>
      </c>
      <c r="FA8" s="161">
        <f>SUM(EY8:EZ8)</f>
        <v>38219</v>
      </c>
    </row>
    <row r="9" spans="1:158" ht="15" customHeight="1" x14ac:dyDescent="0.2">
      <c r="A9" t="s">
        <v>206</v>
      </c>
      <c r="B9" t="s">
        <v>206</v>
      </c>
      <c r="D9" s="129" t="str">
        <f>IF([1]RENAME!$H$3=1,B9,A9)</f>
        <v>Niyati Empreendimentos e Participações Ltda (Niyati)</v>
      </c>
      <c r="E9" s="160">
        <v>18979</v>
      </c>
      <c r="F9" s="118">
        <v>0</v>
      </c>
      <c r="G9" s="161">
        <f>SUM(E9:F9)</f>
        <v>18979</v>
      </c>
      <c r="H9" s="160">
        <v>19969</v>
      </c>
      <c r="I9" s="118">
        <v>0</v>
      </c>
      <c r="J9" s="161">
        <f>SUM(H9:I9)</f>
        <v>19969</v>
      </c>
      <c r="K9" s="160">
        <v>20958</v>
      </c>
      <c r="L9" s="118">
        <v>0</v>
      </c>
      <c r="M9" s="161">
        <f>SUM(K9:L9)</f>
        <v>20958</v>
      </c>
      <c r="N9" s="160">
        <v>21620</v>
      </c>
      <c r="O9" s="118">
        <v>0</v>
      </c>
      <c r="P9" s="161">
        <f>SUM(N9:O9)</f>
        <v>21620</v>
      </c>
      <c r="Q9" s="160">
        <v>21620</v>
      </c>
      <c r="R9" s="118">
        <v>0</v>
      </c>
      <c r="S9" s="161">
        <f>SUM(Q9:R9)</f>
        <v>21620</v>
      </c>
      <c r="T9" s="160">
        <v>21708</v>
      </c>
      <c r="U9" s="118">
        <v>0</v>
      </c>
      <c r="V9" s="161">
        <f>SUM(T9:U9)</f>
        <v>21708</v>
      </c>
      <c r="W9" s="160">
        <v>23245</v>
      </c>
      <c r="X9" s="118">
        <v>0</v>
      </c>
      <c r="Y9" s="161">
        <f>SUM(W9:X9)</f>
        <v>23245</v>
      </c>
      <c r="Z9" s="160">
        <v>28867</v>
      </c>
      <c r="AA9" s="118">
        <v>0</v>
      </c>
      <c r="AB9" s="161">
        <v>28867</v>
      </c>
      <c r="AC9" s="160">
        <v>33759</v>
      </c>
      <c r="AD9" s="118">
        <v>0</v>
      </c>
      <c r="AE9" s="161">
        <f>SUM(AC9:AD9)</f>
        <v>33759</v>
      </c>
      <c r="AF9" s="160">
        <v>37843</v>
      </c>
      <c r="AG9" s="118">
        <v>0</v>
      </c>
      <c r="AH9" s="161">
        <f>SUM(AF9:AG9)</f>
        <v>37843</v>
      </c>
      <c r="AI9" s="160">
        <v>56798</v>
      </c>
      <c r="AJ9" s="118">
        <v>0</v>
      </c>
      <c r="AK9" s="161">
        <f>SUM(AI9:AJ9)</f>
        <v>56798</v>
      </c>
      <c r="AL9" s="160">
        <v>62969</v>
      </c>
      <c r="AM9" s="118">
        <v>0</v>
      </c>
      <c r="AN9" s="161">
        <v>62969</v>
      </c>
      <c r="AO9" s="118">
        <v>61947</v>
      </c>
      <c r="AP9" s="118">
        <v>0</v>
      </c>
      <c r="AQ9" s="118">
        <v>61947</v>
      </c>
      <c r="AR9" s="160">
        <v>62592</v>
      </c>
      <c r="AS9" s="118">
        <v>0</v>
      </c>
      <c r="AT9" s="161">
        <v>62592</v>
      </c>
      <c r="AU9" s="118">
        <v>63215</v>
      </c>
      <c r="AV9" s="118">
        <v>0</v>
      </c>
      <c r="AW9" s="118">
        <v>63215</v>
      </c>
      <c r="AX9" s="160">
        <v>63679</v>
      </c>
      <c r="AY9" s="118">
        <v>0</v>
      </c>
      <c r="AZ9" s="161">
        <v>63679</v>
      </c>
      <c r="BA9" s="160">
        <v>64203</v>
      </c>
      <c r="BB9" s="118">
        <v>0</v>
      </c>
      <c r="BC9" s="161">
        <v>64203</v>
      </c>
      <c r="BD9" s="160">
        <v>64705</v>
      </c>
      <c r="BE9" s="118">
        <v>0</v>
      </c>
      <c r="BF9" s="161">
        <f>SUM(BD9:BE9)</f>
        <v>64705</v>
      </c>
      <c r="BG9" s="160">
        <v>64110</v>
      </c>
      <c r="BH9" s="118">
        <v>0</v>
      </c>
      <c r="BI9" s="161">
        <f>SUM(BG9:BH9)</f>
        <v>64110</v>
      </c>
      <c r="BJ9" s="160">
        <v>71996</v>
      </c>
      <c r="BK9" s="118">
        <v>0</v>
      </c>
      <c r="BL9" s="161">
        <f>SUM(BJ9:BK9)</f>
        <v>71996</v>
      </c>
      <c r="BM9" s="160">
        <v>76452</v>
      </c>
      <c r="BN9" s="118">
        <v>0</v>
      </c>
      <c r="BO9" s="161">
        <f>SUM(BM9:BN9)</f>
        <v>76452</v>
      </c>
      <c r="BP9" s="160">
        <v>80906</v>
      </c>
      <c r="BQ9" s="118">
        <v>0</v>
      </c>
      <c r="BR9" s="161">
        <f t="shared" ref="BR9:BR20" si="8">SUM(BP9:BQ9)</f>
        <v>80906</v>
      </c>
      <c r="BS9" s="160">
        <v>84261</v>
      </c>
      <c r="BT9" s="118">
        <v>0</v>
      </c>
      <c r="BU9" s="161">
        <f t="shared" si="4"/>
        <v>84261</v>
      </c>
      <c r="BV9" s="160">
        <v>84881</v>
      </c>
      <c r="BW9" s="118">
        <v>0</v>
      </c>
      <c r="BX9" s="161">
        <v>84881</v>
      </c>
      <c r="BY9" s="160">
        <v>107579</v>
      </c>
      <c r="BZ9" s="118">
        <v>0</v>
      </c>
      <c r="CA9" s="161">
        <v>107579</v>
      </c>
      <c r="CB9" s="160">
        <v>108161</v>
      </c>
      <c r="CC9" s="118">
        <v>0</v>
      </c>
      <c r="CD9" s="161">
        <v>108161</v>
      </c>
      <c r="CE9" s="160">
        <v>106865</v>
      </c>
      <c r="CF9" s="118">
        <v>0</v>
      </c>
      <c r="CG9" s="161">
        <v>106865</v>
      </c>
      <c r="CH9" s="160">
        <v>107433</v>
      </c>
      <c r="CI9" s="118">
        <v>0</v>
      </c>
      <c r="CJ9" s="161">
        <f t="shared" ref="CJ9:CJ20" si="9">SUM(CH9:CI9)</f>
        <v>107433</v>
      </c>
      <c r="CK9" s="160">
        <v>108528</v>
      </c>
      <c r="CL9" s="118">
        <v>0</v>
      </c>
      <c r="CM9" s="161">
        <v>108528</v>
      </c>
      <c r="CN9" s="160">
        <v>109597</v>
      </c>
      <c r="CO9" s="118">
        <v>0</v>
      </c>
      <c r="CP9" s="161">
        <f t="shared" ref="CP9:CP20" si="10">SUM(CN9:CO9)</f>
        <v>109597</v>
      </c>
      <c r="CQ9" s="160">
        <v>106699</v>
      </c>
      <c r="CR9" s="118">
        <v>0</v>
      </c>
      <c r="CS9" s="161">
        <f t="shared" si="5"/>
        <v>106699</v>
      </c>
      <c r="CT9" s="160">
        <v>108077</v>
      </c>
      <c r="CU9" s="118">
        <v>0</v>
      </c>
      <c r="CV9" s="161">
        <v>108077</v>
      </c>
      <c r="CW9" s="160">
        <v>109416</v>
      </c>
      <c r="CX9" s="118">
        <f>+'[3]9.a Investimentos'!$C$11</f>
        <v>0</v>
      </c>
      <c r="CY9" s="161">
        <f t="shared" ref="CY9:CY17" si="11">SUM(CW9:CX9)</f>
        <v>109416</v>
      </c>
      <c r="CZ9" s="160">
        <v>110978</v>
      </c>
      <c r="DA9" s="118">
        <v>0</v>
      </c>
      <c r="DB9" s="161">
        <f t="shared" si="6"/>
        <v>110978</v>
      </c>
      <c r="DC9" s="160">
        <v>106725</v>
      </c>
      <c r="DD9" s="118">
        <v>0</v>
      </c>
      <c r="DE9" s="161">
        <v>106725</v>
      </c>
      <c r="DF9" s="160">
        <v>104623</v>
      </c>
      <c r="DG9" s="118">
        <v>0</v>
      </c>
      <c r="DH9" s="161">
        <f t="shared" si="7"/>
        <v>104623</v>
      </c>
      <c r="DI9" s="160">
        <v>105659</v>
      </c>
      <c r="DJ9" s="118">
        <v>0</v>
      </c>
      <c r="DK9" s="161">
        <v>105659</v>
      </c>
      <c r="DL9" s="160">
        <v>134059</v>
      </c>
      <c r="DM9" s="118">
        <v>0</v>
      </c>
      <c r="DN9" s="161">
        <f t="shared" ref="DN9:DN17" si="12">SUM(DL9:DM9)</f>
        <v>134059</v>
      </c>
      <c r="DO9" s="160">
        <v>132900</v>
      </c>
      <c r="DP9" s="118">
        <v>0</v>
      </c>
      <c r="DQ9" s="161">
        <v>132900</v>
      </c>
      <c r="DR9" s="160">
        <v>133724</v>
      </c>
      <c r="DS9" s="118">
        <v>0</v>
      </c>
      <c r="DT9" s="161">
        <v>133724</v>
      </c>
      <c r="DU9" s="160">
        <v>134605</v>
      </c>
      <c r="DV9" s="118">
        <v>0</v>
      </c>
      <c r="DW9" s="161">
        <v>134605</v>
      </c>
      <c r="DX9" s="160">
        <v>135451</v>
      </c>
      <c r="DY9" s="118">
        <v>0</v>
      </c>
      <c r="DZ9" s="161">
        <f t="shared" ref="DZ9:DZ17" si="13">SUM(DX9:DY9)</f>
        <v>135451</v>
      </c>
      <c r="EA9" s="160">
        <v>133134</v>
      </c>
      <c r="EB9" s="118">
        <v>0</v>
      </c>
      <c r="EC9" s="161">
        <f t="shared" ref="EC9:EC14" si="14">SUM(EA9:EB9)</f>
        <v>133134</v>
      </c>
      <c r="ED9" s="160">
        <v>134001</v>
      </c>
      <c r="EE9" s="118">
        <v>0</v>
      </c>
      <c r="EF9" s="161">
        <f t="shared" ref="EF9:EF17" si="15">SUM(ED9:EE9)</f>
        <v>134001</v>
      </c>
      <c r="EG9" s="118">
        <v>134911</v>
      </c>
      <c r="EH9" s="118">
        <v>0</v>
      </c>
      <c r="EI9" s="118">
        <v>134911</v>
      </c>
      <c r="EJ9" s="160">
        <v>135914</v>
      </c>
      <c r="EK9" s="118">
        <v>0</v>
      </c>
      <c r="EL9" s="161">
        <v>135914</v>
      </c>
      <c r="EM9" s="160">
        <v>133680</v>
      </c>
      <c r="EN9" s="118">
        <v>0</v>
      </c>
      <c r="EO9" s="161">
        <v>133680</v>
      </c>
      <c r="EP9" s="160">
        <v>134726</v>
      </c>
      <c r="EQ9" s="118">
        <v>0</v>
      </c>
      <c r="ER9" s="161">
        <v>134726</v>
      </c>
      <c r="ES9" s="160">
        <v>135448</v>
      </c>
      <c r="ET9" s="118">
        <v>0</v>
      </c>
      <c r="EU9" s="161">
        <v>135448</v>
      </c>
      <c r="EV9" s="160">
        <v>164505</v>
      </c>
      <c r="EW9" s="118">
        <v>0</v>
      </c>
      <c r="EX9" s="161">
        <f t="shared" ref="EX9:EX15" si="16">SUM(EV9:EW9)</f>
        <v>164505</v>
      </c>
      <c r="EY9" s="160">
        <f>'[3]9 Invest. NL'!$D$11</f>
        <v>165939</v>
      </c>
      <c r="EZ9" s="118">
        <f>+'[3]9.a Investimentos'!$C$11</f>
        <v>0</v>
      </c>
      <c r="FA9" s="161">
        <f t="shared" ref="FA9:FA15" si="17">SUM(EY9:EZ9)</f>
        <v>165939</v>
      </c>
    </row>
    <row r="10" spans="1:158" ht="15" customHeight="1" x14ac:dyDescent="0.2">
      <c r="A10" t="s">
        <v>208</v>
      </c>
      <c r="B10" t="s">
        <v>208</v>
      </c>
      <c r="D10" s="129" t="str">
        <f>IF([1]RENAME!$H$3=1,B10,A10)</f>
        <v>Tegmax Comércio e Serviços Automotivos Ltda. (Tegmax)</v>
      </c>
      <c r="E10" s="160">
        <v>10694</v>
      </c>
      <c r="F10" s="118">
        <v>0</v>
      </c>
      <c r="G10" s="161">
        <f>SUM(E10:F10)</f>
        <v>10694</v>
      </c>
      <c r="H10" s="160">
        <v>11395</v>
      </c>
      <c r="I10" s="118">
        <v>0</v>
      </c>
      <c r="J10" s="161">
        <f>SUM(H10:I10)</f>
        <v>11395</v>
      </c>
      <c r="K10" s="160">
        <v>12780</v>
      </c>
      <c r="L10" s="118">
        <v>0</v>
      </c>
      <c r="M10" s="161">
        <f>SUM(K10:L10)</f>
        <v>12780</v>
      </c>
      <c r="N10" s="160">
        <v>13823</v>
      </c>
      <c r="O10" s="118">
        <v>0</v>
      </c>
      <c r="P10" s="161">
        <f>SUM(N10:O10)</f>
        <v>13823</v>
      </c>
      <c r="Q10" s="160">
        <v>14186</v>
      </c>
      <c r="R10" s="118">
        <v>0</v>
      </c>
      <c r="S10" s="161">
        <f>SUM(Q10:R10)</f>
        <v>14186</v>
      </c>
      <c r="T10" s="160">
        <v>14896</v>
      </c>
      <c r="U10" s="118">
        <v>0</v>
      </c>
      <c r="V10" s="161">
        <f>SUM(T10:U10)</f>
        <v>14896</v>
      </c>
      <c r="W10" s="160">
        <v>15281</v>
      </c>
      <c r="X10" s="118">
        <v>0</v>
      </c>
      <c r="Y10" s="161">
        <f>SUM(W10:X10)</f>
        <v>15281</v>
      </c>
      <c r="Z10" s="160">
        <v>15624</v>
      </c>
      <c r="AA10" s="118">
        <v>0</v>
      </c>
      <c r="AB10" s="161">
        <v>15624</v>
      </c>
      <c r="AC10" s="118">
        <v>14560</v>
      </c>
      <c r="AD10" s="118">
        <v>0</v>
      </c>
      <c r="AE10" s="118">
        <f>SUM(AC10:AD10)</f>
        <v>14560</v>
      </c>
      <c r="AF10" s="160">
        <v>14693</v>
      </c>
      <c r="AG10" s="118">
        <v>0</v>
      </c>
      <c r="AH10" s="161">
        <f>SUM(AF10:AG10)</f>
        <v>14693</v>
      </c>
      <c r="AI10" s="160">
        <v>14110</v>
      </c>
      <c r="AJ10" s="118">
        <v>0</v>
      </c>
      <c r="AK10" s="161">
        <f>SUM(AI10:AJ10)</f>
        <v>14110</v>
      </c>
      <c r="AL10" s="160">
        <v>13963</v>
      </c>
      <c r="AM10" s="118">
        <v>0</v>
      </c>
      <c r="AN10" s="161">
        <v>13963</v>
      </c>
      <c r="AO10" s="118">
        <v>14025</v>
      </c>
      <c r="AP10" s="118">
        <v>0</v>
      </c>
      <c r="AQ10" s="118">
        <v>14025</v>
      </c>
      <c r="AR10" s="160">
        <v>14240</v>
      </c>
      <c r="AS10" s="118">
        <v>0</v>
      </c>
      <c r="AT10" s="161">
        <v>14240</v>
      </c>
      <c r="AU10" s="118">
        <v>14308</v>
      </c>
      <c r="AV10" s="118">
        <v>0</v>
      </c>
      <c r="AW10" s="118">
        <v>14308</v>
      </c>
      <c r="AX10" s="160">
        <v>14365</v>
      </c>
      <c r="AY10" s="118">
        <v>0</v>
      </c>
      <c r="AZ10" s="161">
        <v>14365</v>
      </c>
      <c r="BA10" s="160">
        <v>8319</v>
      </c>
      <c r="BB10" s="118">
        <v>0</v>
      </c>
      <c r="BC10" s="161">
        <v>8319</v>
      </c>
      <c r="BD10" s="160">
        <v>2920</v>
      </c>
      <c r="BE10" s="118">
        <v>0</v>
      </c>
      <c r="BF10" s="161">
        <f>SUM(BD10:BE10)</f>
        <v>2920</v>
      </c>
      <c r="BG10" s="160">
        <v>2619</v>
      </c>
      <c r="BH10" s="118">
        <v>0</v>
      </c>
      <c r="BI10" s="161">
        <f>SUM(BG10:BH10)</f>
        <v>2619</v>
      </c>
      <c r="BJ10" s="160">
        <v>2620</v>
      </c>
      <c r="BK10" s="118">
        <v>0</v>
      </c>
      <c r="BL10" s="161">
        <f>SUM(BJ10:BK10)</f>
        <v>2620</v>
      </c>
      <c r="BM10" s="160">
        <v>2640</v>
      </c>
      <c r="BN10" s="118">
        <v>0</v>
      </c>
      <c r="BO10" s="161">
        <f>SUM(BM10:BN10)</f>
        <v>2640</v>
      </c>
      <c r="BP10" s="160">
        <v>2669</v>
      </c>
      <c r="BQ10" s="118">
        <v>0</v>
      </c>
      <c r="BR10" s="161">
        <f t="shared" si="8"/>
        <v>2669</v>
      </c>
      <c r="BS10" s="160">
        <v>2686</v>
      </c>
      <c r="BT10" s="118">
        <v>0</v>
      </c>
      <c r="BU10" s="161">
        <f t="shared" si="4"/>
        <v>2686</v>
      </c>
      <c r="BV10" s="160">
        <v>2646</v>
      </c>
      <c r="BW10" s="118">
        <v>0</v>
      </c>
      <c r="BX10" s="161">
        <v>2646</v>
      </c>
      <c r="BY10" s="160">
        <v>2664</v>
      </c>
      <c r="BZ10" s="118">
        <v>0</v>
      </c>
      <c r="CA10" s="161">
        <v>2664</v>
      </c>
      <c r="CB10" s="160">
        <v>2676</v>
      </c>
      <c r="CC10" s="118">
        <v>0</v>
      </c>
      <c r="CD10" s="161">
        <v>2676</v>
      </c>
      <c r="CE10" s="160">
        <v>2533</v>
      </c>
      <c r="CF10" s="118">
        <v>0</v>
      </c>
      <c r="CG10" s="161">
        <v>2533</v>
      </c>
      <c r="CH10" s="160">
        <v>2536</v>
      </c>
      <c r="CI10" s="118">
        <v>0</v>
      </c>
      <c r="CJ10" s="161">
        <f t="shared" si="9"/>
        <v>2536</v>
      </c>
      <c r="CK10" s="160">
        <v>1377</v>
      </c>
      <c r="CL10" s="118">
        <v>0</v>
      </c>
      <c r="CM10" s="161">
        <v>1377</v>
      </c>
      <c r="CN10" s="160">
        <v>1378</v>
      </c>
      <c r="CO10" s="118">
        <v>0</v>
      </c>
      <c r="CP10" s="161">
        <f t="shared" si="10"/>
        <v>1378</v>
      </c>
      <c r="CQ10" s="160">
        <v>1328</v>
      </c>
      <c r="CR10" s="118">
        <v>0</v>
      </c>
      <c r="CS10" s="161">
        <f t="shared" si="5"/>
        <v>1328</v>
      </c>
      <c r="CT10" s="160">
        <v>1349</v>
      </c>
      <c r="CU10" s="118">
        <v>0</v>
      </c>
      <c r="CV10" s="161">
        <v>1349</v>
      </c>
      <c r="CW10" s="160">
        <v>1343</v>
      </c>
      <c r="CX10" s="118">
        <f>+'[3]9.a Investimentos'!$C$13</f>
        <v>0</v>
      </c>
      <c r="CY10" s="161">
        <f t="shared" si="11"/>
        <v>1343</v>
      </c>
      <c r="CZ10" s="160">
        <v>1349</v>
      </c>
      <c r="DA10" s="118">
        <v>0</v>
      </c>
      <c r="DB10" s="161">
        <f t="shared" si="6"/>
        <v>1349</v>
      </c>
      <c r="DC10" s="160">
        <v>1366</v>
      </c>
      <c r="DD10" s="118">
        <v>0</v>
      </c>
      <c r="DE10" s="161">
        <v>1366</v>
      </c>
      <c r="DF10" s="160">
        <v>1385</v>
      </c>
      <c r="DG10" s="118">
        <v>0</v>
      </c>
      <c r="DH10" s="161">
        <f t="shared" si="7"/>
        <v>1385</v>
      </c>
      <c r="DI10" s="160">
        <v>1374</v>
      </c>
      <c r="DJ10" s="118">
        <v>0</v>
      </c>
      <c r="DK10" s="161">
        <v>1374</v>
      </c>
      <c r="DL10" s="160">
        <v>1391</v>
      </c>
      <c r="DM10" s="118">
        <v>0</v>
      </c>
      <c r="DN10" s="161">
        <f t="shared" si="12"/>
        <v>1391</v>
      </c>
      <c r="DO10" s="160">
        <v>1380</v>
      </c>
      <c r="DP10" s="118">
        <v>0</v>
      </c>
      <c r="DQ10" s="161">
        <v>1380</v>
      </c>
      <c r="DR10" s="160">
        <v>1398</v>
      </c>
      <c r="DS10" s="118">
        <v>0</v>
      </c>
      <c r="DT10" s="161">
        <v>1398</v>
      </c>
      <c r="DU10" s="160">
        <v>1415</v>
      </c>
      <c r="DV10" s="118">
        <v>0</v>
      </c>
      <c r="DW10" s="161">
        <v>1415</v>
      </c>
      <c r="DX10" s="160">
        <v>1417</v>
      </c>
      <c r="DY10" s="118">
        <v>0</v>
      </c>
      <c r="DZ10" s="161">
        <f t="shared" si="13"/>
        <v>1417</v>
      </c>
      <c r="EA10" s="160">
        <v>1433</v>
      </c>
      <c r="EB10" s="118">
        <v>0</v>
      </c>
      <c r="EC10" s="161">
        <f t="shared" si="14"/>
        <v>1433</v>
      </c>
      <c r="ED10" s="160">
        <v>1424</v>
      </c>
      <c r="EE10" s="118">
        <v>0</v>
      </c>
      <c r="EF10" s="161">
        <f t="shared" si="15"/>
        <v>1424</v>
      </c>
      <c r="EG10" s="118">
        <v>1437</v>
      </c>
      <c r="EH10" s="118">
        <v>0</v>
      </c>
      <c r="EI10" s="118">
        <v>1437</v>
      </c>
      <c r="EJ10" s="160">
        <v>1453</v>
      </c>
      <c r="EK10" s="118">
        <v>0</v>
      </c>
      <c r="EL10" s="161">
        <v>1453</v>
      </c>
      <c r="EM10" s="160">
        <v>1452</v>
      </c>
      <c r="EN10" s="118">
        <v>0</v>
      </c>
      <c r="EO10" s="161">
        <v>1452</v>
      </c>
      <c r="EP10" s="160">
        <v>1520</v>
      </c>
      <c r="EQ10" s="118">
        <v>0</v>
      </c>
      <c r="ER10" s="161">
        <v>1520</v>
      </c>
      <c r="ES10" s="160">
        <v>1548</v>
      </c>
      <c r="ET10" s="118">
        <v>0</v>
      </c>
      <c r="EU10" s="161">
        <v>1548</v>
      </c>
      <c r="EV10" s="160">
        <v>1574</v>
      </c>
      <c r="EW10" s="118">
        <v>0</v>
      </c>
      <c r="EX10" s="161">
        <f t="shared" si="16"/>
        <v>1574</v>
      </c>
      <c r="EY10" s="160">
        <f>'[3]9 Invest. NL'!$D$13</f>
        <v>1468</v>
      </c>
      <c r="EZ10" s="118">
        <f>+'[3]9.a Investimentos'!$C$13</f>
        <v>0</v>
      </c>
      <c r="FA10" s="161">
        <f t="shared" si="17"/>
        <v>1468</v>
      </c>
    </row>
    <row r="11" spans="1:158" ht="15" customHeight="1" x14ac:dyDescent="0.2">
      <c r="A11" t="s">
        <v>1320</v>
      </c>
      <c r="B11" t="s">
        <v>1320</v>
      </c>
      <c r="D11" s="129" t="s">
        <v>1320</v>
      </c>
      <c r="E11" s="160">
        <v>0</v>
      </c>
      <c r="F11" s="118">
        <v>0</v>
      </c>
      <c r="G11" s="161">
        <v>0</v>
      </c>
      <c r="H11" s="160">
        <v>0</v>
      </c>
      <c r="I11" s="118">
        <v>0</v>
      </c>
      <c r="J11" s="161">
        <v>0</v>
      </c>
      <c r="K11" s="160">
        <v>0</v>
      </c>
      <c r="L11" s="118">
        <v>0</v>
      </c>
      <c r="M11" s="161">
        <v>0</v>
      </c>
      <c r="N11" s="160">
        <v>0</v>
      </c>
      <c r="O11" s="118">
        <v>0</v>
      </c>
      <c r="P11" s="161">
        <v>0</v>
      </c>
      <c r="Q11" s="160">
        <v>0</v>
      </c>
      <c r="R11" s="118">
        <v>0</v>
      </c>
      <c r="S11" s="161">
        <v>0</v>
      </c>
      <c r="T11" s="160">
        <v>0</v>
      </c>
      <c r="U11" s="118">
        <v>0</v>
      </c>
      <c r="V11" s="161">
        <v>0</v>
      </c>
      <c r="W11" s="160">
        <v>0</v>
      </c>
      <c r="X11" s="118">
        <v>0</v>
      </c>
      <c r="Y11" s="161">
        <v>0</v>
      </c>
      <c r="Z11" s="160">
        <v>0</v>
      </c>
      <c r="AA11" s="118">
        <v>0</v>
      </c>
      <c r="AB11" s="161">
        <v>0</v>
      </c>
      <c r="AC11" s="160">
        <v>0</v>
      </c>
      <c r="AD11" s="118">
        <v>0</v>
      </c>
      <c r="AE11" s="161">
        <v>0</v>
      </c>
      <c r="AF11" s="160">
        <v>0</v>
      </c>
      <c r="AG11" s="118">
        <v>0</v>
      </c>
      <c r="AH11" s="161">
        <v>0</v>
      </c>
      <c r="AI11" s="160">
        <v>0</v>
      </c>
      <c r="AJ11" s="118">
        <v>0</v>
      </c>
      <c r="AK11" s="161">
        <v>0</v>
      </c>
      <c r="AL11" s="160">
        <v>0</v>
      </c>
      <c r="AM11" s="118">
        <v>0</v>
      </c>
      <c r="AN11" s="161">
        <v>0</v>
      </c>
      <c r="AO11" s="118">
        <v>0</v>
      </c>
      <c r="AP11" s="118">
        <v>0</v>
      </c>
      <c r="AQ11" s="118">
        <v>0</v>
      </c>
      <c r="AR11" s="160">
        <v>0</v>
      </c>
      <c r="AS11" s="118">
        <v>0</v>
      </c>
      <c r="AT11" s="161">
        <v>0</v>
      </c>
      <c r="AU11" s="118">
        <v>0</v>
      </c>
      <c r="AV11" s="118">
        <v>0</v>
      </c>
      <c r="AW11" s="118">
        <v>0</v>
      </c>
      <c r="AX11" s="160">
        <v>0</v>
      </c>
      <c r="AY11" s="118">
        <v>0</v>
      </c>
      <c r="AZ11" s="161">
        <v>0</v>
      </c>
      <c r="BA11" s="160">
        <v>0</v>
      </c>
      <c r="BB11" s="118">
        <v>0</v>
      </c>
      <c r="BC11" s="161">
        <v>0</v>
      </c>
      <c r="BD11" s="160">
        <v>0</v>
      </c>
      <c r="BE11" s="118">
        <v>0</v>
      </c>
      <c r="BF11" s="161">
        <v>0</v>
      </c>
      <c r="BG11" s="160">
        <v>1</v>
      </c>
      <c r="BH11" s="118">
        <v>0</v>
      </c>
      <c r="BI11" s="161">
        <f>SUM(BG11:BH11)</f>
        <v>1</v>
      </c>
      <c r="BJ11" s="160">
        <v>1433</v>
      </c>
      <c r="BK11" s="118">
        <v>0</v>
      </c>
      <c r="BL11" s="161">
        <f>SUM(BJ11:BK11)</f>
        <v>1433</v>
      </c>
      <c r="BM11" s="160">
        <v>1448</v>
      </c>
      <c r="BN11" s="118">
        <v>0</v>
      </c>
      <c r="BO11" s="161">
        <f>SUM(BM11:BN11)</f>
        <v>1448</v>
      </c>
      <c r="BP11" s="160">
        <v>1426</v>
      </c>
      <c r="BQ11" s="118">
        <v>0</v>
      </c>
      <c r="BR11" s="161">
        <f t="shared" si="8"/>
        <v>1426</v>
      </c>
      <c r="BS11" s="160">
        <v>1430</v>
      </c>
      <c r="BT11" s="118">
        <v>0</v>
      </c>
      <c r="BU11" s="161">
        <f t="shared" si="4"/>
        <v>1430</v>
      </c>
      <c r="BV11" s="160">
        <v>4537</v>
      </c>
      <c r="BW11" s="118">
        <v>0</v>
      </c>
      <c r="BX11" s="161">
        <v>4537</v>
      </c>
      <c r="BY11" s="160">
        <v>4517</v>
      </c>
      <c r="BZ11" s="118">
        <v>0</v>
      </c>
      <c r="CA11" s="161">
        <v>4517</v>
      </c>
      <c r="CB11" s="160">
        <v>4496</v>
      </c>
      <c r="CC11" s="118">
        <v>0</v>
      </c>
      <c r="CD11" s="161">
        <v>4496</v>
      </c>
      <c r="CE11" s="160">
        <v>4624</v>
      </c>
      <c r="CF11" s="118">
        <v>0</v>
      </c>
      <c r="CG11" s="161">
        <v>4624</v>
      </c>
      <c r="CH11" s="160">
        <v>4641</v>
      </c>
      <c r="CI11" s="118">
        <v>0</v>
      </c>
      <c r="CJ11" s="161">
        <f t="shared" si="9"/>
        <v>4641</v>
      </c>
      <c r="CK11" s="160">
        <v>4907</v>
      </c>
      <c r="CL11" s="118">
        <v>0</v>
      </c>
      <c r="CM11" s="161">
        <v>4907</v>
      </c>
      <c r="CN11" s="160">
        <v>4889</v>
      </c>
      <c r="CO11" s="118">
        <v>0</v>
      </c>
      <c r="CP11" s="161">
        <f t="shared" si="10"/>
        <v>4889</v>
      </c>
      <c r="CQ11" s="160">
        <v>5097</v>
      </c>
      <c r="CR11" s="118">
        <v>0</v>
      </c>
      <c r="CS11" s="161">
        <f t="shared" si="5"/>
        <v>5097</v>
      </c>
      <c r="CT11" s="160">
        <v>5155</v>
      </c>
      <c r="CU11" s="118">
        <v>0</v>
      </c>
      <c r="CV11" s="161">
        <v>5155</v>
      </c>
      <c r="CW11" s="160">
        <v>6698</v>
      </c>
      <c r="CX11" s="118">
        <f>+'[3]9.a Investimentos'!$C$15</f>
        <v>0</v>
      </c>
      <c r="CY11" s="161">
        <f t="shared" si="11"/>
        <v>6698</v>
      </c>
      <c r="CZ11" s="160">
        <v>6831</v>
      </c>
      <c r="DA11" s="118">
        <v>0</v>
      </c>
      <c r="DB11" s="161">
        <f t="shared" si="6"/>
        <v>6831</v>
      </c>
      <c r="DC11" s="160">
        <v>7361</v>
      </c>
      <c r="DD11" s="118">
        <v>0</v>
      </c>
      <c r="DE11" s="161">
        <v>7361</v>
      </c>
      <c r="DF11" s="160">
        <v>7892</v>
      </c>
      <c r="DG11" s="118">
        <v>0</v>
      </c>
      <c r="DH11" s="161">
        <f t="shared" si="7"/>
        <v>7892</v>
      </c>
      <c r="DI11" s="160">
        <v>7542</v>
      </c>
      <c r="DJ11" s="118">
        <v>0</v>
      </c>
      <c r="DK11" s="161">
        <v>7542</v>
      </c>
      <c r="DL11" s="160">
        <v>7400</v>
      </c>
      <c r="DM11" s="118">
        <v>0</v>
      </c>
      <c r="DN11" s="161">
        <f t="shared" si="12"/>
        <v>7400</v>
      </c>
      <c r="DO11" s="160">
        <v>6974</v>
      </c>
      <c r="DP11" s="118">
        <v>0</v>
      </c>
      <c r="DQ11" s="161">
        <v>6974</v>
      </c>
      <c r="DR11" s="160">
        <v>6887</v>
      </c>
      <c r="DS11" s="118">
        <v>0</v>
      </c>
      <c r="DT11" s="161">
        <v>6887</v>
      </c>
      <c r="DU11" s="160">
        <v>6833</v>
      </c>
      <c r="DV11" s="118">
        <v>0</v>
      </c>
      <c r="DW11" s="161">
        <v>6833</v>
      </c>
      <c r="DX11" s="160">
        <v>6803</v>
      </c>
      <c r="DY11" s="118">
        <v>0</v>
      </c>
      <c r="DZ11" s="161">
        <f t="shared" si="13"/>
        <v>6803</v>
      </c>
      <c r="EA11" s="160">
        <v>6572</v>
      </c>
      <c r="EB11" s="118">
        <v>0</v>
      </c>
      <c r="EC11" s="161">
        <f t="shared" si="14"/>
        <v>6572</v>
      </c>
      <c r="ED11" s="160">
        <v>16178</v>
      </c>
      <c r="EE11" s="118">
        <v>0</v>
      </c>
      <c r="EF11" s="161">
        <f t="shared" si="15"/>
        <v>16178</v>
      </c>
      <c r="EG11" s="118">
        <v>15801</v>
      </c>
      <c r="EH11" s="118">
        <v>0</v>
      </c>
      <c r="EI11" s="118">
        <v>15801</v>
      </c>
      <c r="EJ11" s="160">
        <v>15408</v>
      </c>
      <c r="EK11" s="118">
        <v>0</v>
      </c>
      <c r="EL11" s="161">
        <v>15408</v>
      </c>
      <c r="EM11" s="160">
        <v>15029</v>
      </c>
      <c r="EN11" s="118">
        <v>0</v>
      </c>
      <c r="EO11" s="161">
        <v>15029</v>
      </c>
      <c r="EP11" s="160">
        <v>14655</v>
      </c>
      <c r="EQ11" s="118">
        <v>0</v>
      </c>
      <c r="ER11" s="161">
        <v>14655</v>
      </c>
      <c r="ES11" s="160">
        <v>14459</v>
      </c>
      <c r="ET11" s="118">
        <v>0</v>
      </c>
      <c r="EU11" s="161">
        <v>14459</v>
      </c>
      <c r="EV11" s="160">
        <v>14353</v>
      </c>
      <c r="EW11" s="118">
        <v>0</v>
      </c>
      <c r="EX11" s="161">
        <f t="shared" si="16"/>
        <v>14353</v>
      </c>
      <c r="EY11" s="160">
        <f>+'[3]9 Invest. NL'!$D$14</f>
        <v>14298</v>
      </c>
      <c r="EZ11" s="118">
        <f>+'[3]9.a Investimentos'!$C$15</f>
        <v>0</v>
      </c>
      <c r="FA11" s="161">
        <f t="shared" si="17"/>
        <v>14298</v>
      </c>
    </row>
    <row r="12" spans="1:158" ht="15" customHeight="1" x14ac:dyDescent="0.2">
      <c r="A12" t="s">
        <v>1434</v>
      </c>
      <c r="B12" t="s">
        <v>1434</v>
      </c>
      <c r="D12" s="129" t="s">
        <v>1434</v>
      </c>
      <c r="E12" s="160">
        <v>0</v>
      </c>
      <c r="F12" s="118">
        <v>0</v>
      </c>
      <c r="G12" s="161">
        <v>0</v>
      </c>
      <c r="H12" s="160">
        <v>0</v>
      </c>
      <c r="I12" s="118">
        <v>0</v>
      </c>
      <c r="J12" s="161">
        <v>0</v>
      </c>
      <c r="K12" s="160">
        <v>0</v>
      </c>
      <c r="L12" s="118">
        <v>0</v>
      </c>
      <c r="M12" s="161">
        <v>0</v>
      </c>
      <c r="N12" s="160">
        <v>0</v>
      </c>
      <c r="O12" s="118">
        <v>0</v>
      </c>
      <c r="P12" s="161">
        <v>0</v>
      </c>
      <c r="Q12" s="160">
        <v>0</v>
      </c>
      <c r="R12" s="118">
        <v>0</v>
      </c>
      <c r="S12" s="161">
        <v>0</v>
      </c>
      <c r="T12" s="160">
        <v>0</v>
      </c>
      <c r="U12" s="118">
        <v>0</v>
      </c>
      <c r="V12" s="161">
        <v>0</v>
      </c>
      <c r="W12" s="160">
        <v>0</v>
      </c>
      <c r="X12" s="118">
        <v>0</v>
      </c>
      <c r="Y12" s="161">
        <v>0</v>
      </c>
      <c r="Z12" s="160">
        <v>0</v>
      </c>
      <c r="AA12" s="118">
        <v>0</v>
      </c>
      <c r="AB12" s="161">
        <v>0</v>
      </c>
      <c r="AC12" s="160">
        <v>0</v>
      </c>
      <c r="AD12" s="118">
        <v>0</v>
      </c>
      <c r="AE12" s="161">
        <v>0</v>
      </c>
      <c r="AF12" s="160">
        <v>0</v>
      </c>
      <c r="AG12" s="118">
        <v>0</v>
      </c>
      <c r="AH12" s="161">
        <v>0</v>
      </c>
      <c r="AI12" s="160">
        <v>0</v>
      </c>
      <c r="AJ12" s="118">
        <v>0</v>
      </c>
      <c r="AK12" s="161">
        <v>0</v>
      </c>
      <c r="AL12" s="160">
        <v>0</v>
      </c>
      <c r="AM12" s="118">
        <v>0</v>
      </c>
      <c r="AN12" s="161">
        <v>0</v>
      </c>
      <c r="AO12" s="118">
        <v>0</v>
      </c>
      <c r="AP12" s="118">
        <v>0</v>
      </c>
      <c r="AQ12" s="118">
        <v>0</v>
      </c>
      <c r="AR12" s="160">
        <v>0</v>
      </c>
      <c r="AS12" s="118">
        <v>0</v>
      </c>
      <c r="AT12" s="161">
        <v>0</v>
      </c>
      <c r="AU12" s="118">
        <v>0</v>
      </c>
      <c r="AV12" s="118">
        <v>0</v>
      </c>
      <c r="AW12" s="118">
        <v>0</v>
      </c>
      <c r="AX12" s="160">
        <v>0</v>
      </c>
      <c r="AY12" s="118">
        <v>0</v>
      </c>
      <c r="AZ12" s="161">
        <v>0</v>
      </c>
      <c r="BA12" s="160">
        <v>0</v>
      </c>
      <c r="BB12" s="118">
        <v>0</v>
      </c>
      <c r="BC12" s="161">
        <v>0</v>
      </c>
      <c r="BD12" s="160">
        <v>0</v>
      </c>
      <c r="BE12" s="118">
        <v>0</v>
      </c>
      <c r="BF12" s="161">
        <v>0</v>
      </c>
      <c r="BG12" s="160">
        <v>0</v>
      </c>
      <c r="BH12" s="118">
        <v>0</v>
      </c>
      <c r="BI12" s="161">
        <v>0</v>
      </c>
      <c r="BJ12" s="160">
        <v>0</v>
      </c>
      <c r="BK12" s="118">
        <v>0</v>
      </c>
      <c r="BL12" s="161">
        <v>0</v>
      </c>
      <c r="BM12" s="160">
        <v>0</v>
      </c>
      <c r="BN12" s="118">
        <v>0</v>
      </c>
      <c r="BO12" s="161">
        <v>0</v>
      </c>
      <c r="BP12" s="160">
        <v>1</v>
      </c>
      <c r="BQ12" s="118">
        <v>0</v>
      </c>
      <c r="BR12" s="161">
        <f t="shared" si="8"/>
        <v>1</v>
      </c>
      <c r="BS12" s="160">
        <v>1</v>
      </c>
      <c r="BT12" s="118">
        <v>0</v>
      </c>
      <c r="BU12" s="161">
        <f t="shared" si="4"/>
        <v>1</v>
      </c>
      <c r="BV12" s="160">
        <v>1</v>
      </c>
      <c r="BW12" s="118">
        <v>0</v>
      </c>
      <c r="BX12" s="161">
        <v>1</v>
      </c>
      <c r="BY12" s="160">
        <v>1</v>
      </c>
      <c r="BZ12" s="118">
        <v>0</v>
      </c>
      <c r="CA12" s="161">
        <v>1</v>
      </c>
      <c r="CB12" s="160">
        <v>1</v>
      </c>
      <c r="CC12" s="118">
        <v>0</v>
      </c>
      <c r="CD12" s="161">
        <v>1</v>
      </c>
      <c r="CE12" s="160">
        <v>1</v>
      </c>
      <c r="CF12" s="118">
        <v>0</v>
      </c>
      <c r="CG12" s="161">
        <v>1</v>
      </c>
      <c r="CH12" s="160">
        <v>1</v>
      </c>
      <c r="CI12" s="118">
        <v>0</v>
      </c>
      <c r="CJ12" s="161">
        <f t="shared" si="9"/>
        <v>1</v>
      </c>
      <c r="CK12" s="160">
        <v>1</v>
      </c>
      <c r="CL12" s="118">
        <v>0</v>
      </c>
      <c r="CM12" s="161">
        <v>1</v>
      </c>
      <c r="CN12" s="160">
        <v>1</v>
      </c>
      <c r="CO12" s="118">
        <v>0</v>
      </c>
      <c r="CP12" s="161">
        <f t="shared" si="10"/>
        <v>1</v>
      </c>
      <c r="CQ12" s="160">
        <v>1</v>
      </c>
      <c r="CR12" s="118">
        <v>0</v>
      </c>
      <c r="CS12" s="161">
        <f t="shared" si="5"/>
        <v>1</v>
      </c>
      <c r="CT12" s="160">
        <v>1</v>
      </c>
      <c r="CU12" s="118">
        <v>0</v>
      </c>
      <c r="CV12" s="161">
        <v>1</v>
      </c>
      <c r="CW12" s="160">
        <v>1</v>
      </c>
      <c r="CX12" s="118">
        <f>+'[3]9.a Investimentos'!$C$12</f>
        <v>0</v>
      </c>
      <c r="CY12" s="161">
        <f t="shared" si="11"/>
        <v>1</v>
      </c>
      <c r="CZ12" s="160">
        <v>1</v>
      </c>
      <c r="DA12" s="118">
        <v>0</v>
      </c>
      <c r="DB12" s="161">
        <f t="shared" si="6"/>
        <v>1</v>
      </c>
      <c r="DC12" s="160">
        <v>1</v>
      </c>
      <c r="DD12" s="118">
        <v>0</v>
      </c>
      <c r="DE12" s="161">
        <v>1</v>
      </c>
      <c r="DF12" s="160">
        <v>1</v>
      </c>
      <c r="DG12" s="118">
        <v>0</v>
      </c>
      <c r="DH12" s="161">
        <f t="shared" si="7"/>
        <v>1</v>
      </c>
      <c r="DI12" s="160">
        <v>1</v>
      </c>
      <c r="DJ12" s="118">
        <v>0</v>
      </c>
      <c r="DK12" s="161">
        <v>1</v>
      </c>
      <c r="DL12" s="160">
        <v>1</v>
      </c>
      <c r="DM12" s="118">
        <v>0</v>
      </c>
      <c r="DN12" s="161">
        <f t="shared" si="12"/>
        <v>1</v>
      </c>
      <c r="DO12" s="160">
        <v>1</v>
      </c>
      <c r="DP12" s="118">
        <v>0</v>
      </c>
      <c r="DQ12" s="161">
        <v>1</v>
      </c>
      <c r="DR12" s="160">
        <v>1</v>
      </c>
      <c r="DS12" s="118">
        <v>0</v>
      </c>
      <c r="DT12" s="161">
        <v>1</v>
      </c>
      <c r="DU12" s="160">
        <v>1</v>
      </c>
      <c r="DV12" s="118">
        <v>0</v>
      </c>
      <c r="DW12" s="161">
        <v>1</v>
      </c>
      <c r="DX12" s="160">
        <v>1</v>
      </c>
      <c r="DY12" s="118">
        <v>0</v>
      </c>
      <c r="DZ12" s="161">
        <f t="shared" si="13"/>
        <v>1</v>
      </c>
      <c r="EA12" s="160">
        <v>1</v>
      </c>
      <c r="EB12" s="118">
        <v>0</v>
      </c>
      <c r="EC12" s="161">
        <f t="shared" si="14"/>
        <v>1</v>
      </c>
      <c r="ED12" s="160">
        <v>1</v>
      </c>
      <c r="EE12" s="118">
        <v>0</v>
      </c>
      <c r="EF12" s="161">
        <f t="shared" si="15"/>
        <v>1</v>
      </c>
      <c r="EG12" s="118">
        <v>1</v>
      </c>
      <c r="EH12" s="118">
        <v>0</v>
      </c>
      <c r="EI12" s="118">
        <v>1</v>
      </c>
      <c r="EJ12" s="160">
        <v>1</v>
      </c>
      <c r="EK12" s="118">
        <v>0</v>
      </c>
      <c r="EL12" s="161">
        <v>1</v>
      </c>
      <c r="EM12" s="160">
        <v>1</v>
      </c>
      <c r="EN12" s="118">
        <v>0</v>
      </c>
      <c r="EO12" s="161">
        <v>1</v>
      </c>
      <c r="EP12" s="160">
        <v>1</v>
      </c>
      <c r="EQ12" s="118">
        <v>0</v>
      </c>
      <c r="ER12" s="161">
        <v>1</v>
      </c>
      <c r="ES12" s="160">
        <v>1</v>
      </c>
      <c r="ET12" s="118">
        <v>0</v>
      </c>
      <c r="EU12" s="161">
        <v>1</v>
      </c>
      <c r="EV12" s="160">
        <v>1</v>
      </c>
      <c r="EW12" s="118">
        <v>0</v>
      </c>
      <c r="EX12" s="161">
        <f t="shared" si="16"/>
        <v>1</v>
      </c>
      <c r="EY12" s="160">
        <f>'[3]9 Invest. NL'!$D$12</f>
        <v>1</v>
      </c>
      <c r="EZ12" s="118">
        <f>+'[3]9.a Investimentos'!$C$12</f>
        <v>0</v>
      </c>
      <c r="FA12" s="161">
        <f t="shared" si="17"/>
        <v>1</v>
      </c>
    </row>
    <row r="13" spans="1:158" ht="15" customHeight="1" x14ac:dyDescent="0.2">
      <c r="D13" s="129" t="s">
        <v>210</v>
      </c>
      <c r="E13" s="160"/>
      <c r="F13" s="118"/>
      <c r="G13" s="161"/>
      <c r="H13" s="160"/>
      <c r="I13" s="118"/>
      <c r="J13" s="161"/>
      <c r="K13" s="160"/>
      <c r="L13" s="118"/>
      <c r="M13" s="161"/>
      <c r="N13" s="160"/>
      <c r="O13" s="118"/>
      <c r="P13" s="161"/>
      <c r="Q13" s="160"/>
      <c r="R13" s="118"/>
      <c r="S13" s="161"/>
      <c r="T13" s="160"/>
      <c r="U13" s="118"/>
      <c r="V13" s="161"/>
      <c r="W13" s="160"/>
      <c r="X13" s="118"/>
      <c r="Y13" s="161"/>
      <c r="Z13" s="160"/>
      <c r="AA13" s="118"/>
      <c r="AB13" s="161"/>
      <c r="AC13" s="160"/>
      <c r="AD13" s="118"/>
      <c r="AE13" s="161"/>
      <c r="AF13" s="160"/>
      <c r="AG13" s="118"/>
      <c r="AH13" s="161"/>
      <c r="AI13" s="160"/>
      <c r="AJ13" s="118"/>
      <c r="AK13" s="161"/>
      <c r="AL13" s="160"/>
      <c r="AM13" s="118"/>
      <c r="AN13" s="161"/>
      <c r="AO13" s="118"/>
      <c r="AP13" s="118"/>
      <c r="AQ13" s="118"/>
      <c r="AR13" s="160"/>
      <c r="AS13" s="118"/>
      <c r="AT13" s="161"/>
      <c r="AU13" s="118"/>
      <c r="AV13" s="118"/>
      <c r="AW13" s="118"/>
      <c r="AX13" s="160"/>
      <c r="AY13" s="118"/>
      <c r="AZ13" s="161"/>
      <c r="BA13" s="160"/>
      <c r="BB13" s="118"/>
      <c r="BC13" s="161"/>
      <c r="BD13" s="160"/>
      <c r="BE13" s="118"/>
      <c r="BF13" s="161"/>
      <c r="BG13" s="160"/>
      <c r="BH13" s="118"/>
      <c r="BI13" s="161"/>
      <c r="BJ13" s="160"/>
      <c r="BK13" s="118"/>
      <c r="BL13" s="161"/>
      <c r="BM13" s="160"/>
      <c r="BN13" s="118"/>
      <c r="BO13" s="161"/>
      <c r="BP13" s="160"/>
      <c r="BQ13" s="118"/>
      <c r="BR13" s="161"/>
      <c r="BS13" s="160"/>
      <c r="BT13" s="118"/>
      <c r="BU13" s="161"/>
      <c r="BV13" s="118"/>
      <c r="BW13" s="118"/>
      <c r="BX13" s="118"/>
      <c r="BY13" s="160"/>
      <c r="BZ13" s="118"/>
      <c r="CA13" s="161"/>
      <c r="CB13" s="160"/>
      <c r="CC13" s="118"/>
      <c r="CD13" s="161"/>
      <c r="CE13" s="160"/>
      <c r="CF13" s="118"/>
      <c r="CG13" s="161"/>
      <c r="CH13" s="160"/>
      <c r="CI13" s="118"/>
      <c r="CJ13" s="161"/>
      <c r="CK13" s="160"/>
      <c r="CL13" s="118"/>
      <c r="CM13" s="161"/>
      <c r="CN13" s="160"/>
      <c r="CO13" s="118"/>
      <c r="CP13" s="161"/>
      <c r="CQ13" s="160"/>
      <c r="CR13" s="118"/>
      <c r="CS13" s="161"/>
      <c r="CT13" s="160"/>
      <c r="CU13" s="118"/>
      <c r="CV13" s="161"/>
      <c r="CW13" s="160"/>
      <c r="CX13" s="118"/>
      <c r="CY13" s="161"/>
      <c r="CZ13" s="160"/>
      <c r="DA13" s="118"/>
      <c r="DB13" s="161"/>
      <c r="DC13" s="160"/>
      <c r="DD13" s="118"/>
      <c r="DE13" s="161"/>
      <c r="DF13" s="160"/>
      <c r="DG13" s="118"/>
      <c r="DH13" s="161"/>
      <c r="DI13" s="160">
        <v>15485</v>
      </c>
      <c r="DJ13" s="118">
        <v>0</v>
      </c>
      <c r="DK13" s="161">
        <v>15485</v>
      </c>
      <c r="DL13" s="160">
        <v>64977</v>
      </c>
      <c r="DM13" s="118">
        <v>0</v>
      </c>
      <c r="DN13" s="161">
        <f t="shared" si="12"/>
        <v>64977</v>
      </c>
      <c r="DO13" s="160">
        <v>60364</v>
      </c>
      <c r="DP13" s="118">
        <v>0</v>
      </c>
      <c r="DQ13" s="161">
        <v>60364</v>
      </c>
      <c r="DR13" s="160">
        <v>58399</v>
      </c>
      <c r="DS13" s="118">
        <v>0</v>
      </c>
      <c r="DT13" s="161">
        <v>58399</v>
      </c>
      <c r="DU13" s="160">
        <v>61371</v>
      </c>
      <c r="DV13" s="118">
        <v>0</v>
      </c>
      <c r="DW13" s="161">
        <v>61371</v>
      </c>
      <c r="DX13" s="160">
        <v>65059</v>
      </c>
      <c r="DY13" s="118">
        <v>0</v>
      </c>
      <c r="DZ13" s="161">
        <f t="shared" si="13"/>
        <v>65059</v>
      </c>
      <c r="EA13" s="160">
        <v>0</v>
      </c>
      <c r="EB13" s="118">
        <v>0</v>
      </c>
      <c r="EC13" s="161">
        <f t="shared" si="14"/>
        <v>0</v>
      </c>
      <c r="ED13" s="160">
        <v>0</v>
      </c>
      <c r="EE13" s="118">
        <v>0</v>
      </c>
      <c r="EF13" s="161">
        <f t="shared" si="15"/>
        <v>0</v>
      </c>
      <c r="EG13" s="118">
        <v>0</v>
      </c>
      <c r="EH13" s="118">
        <v>0</v>
      </c>
      <c r="EI13" s="118">
        <v>0</v>
      </c>
      <c r="EJ13" s="160">
        <v>0</v>
      </c>
      <c r="EK13" s="118">
        <v>0</v>
      </c>
      <c r="EL13" s="161">
        <v>0</v>
      </c>
      <c r="EM13" s="160">
        <v>0</v>
      </c>
      <c r="EN13" s="118">
        <v>0</v>
      </c>
      <c r="EO13" s="161">
        <v>0</v>
      </c>
      <c r="EP13" s="160">
        <v>0</v>
      </c>
      <c r="EQ13" s="118">
        <v>0</v>
      </c>
      <c r="ER13" s="161">
        <v>0</v>
      </c>
      <c r="ES13" s="160">
        <v>0</v>
      </c>
      <c r="ET13" s="118">
        <v>0</v>
      </c>
      <c r="EU13" s="161">
        <v>0</v>
      </c>
      <c r="EV13" s="160">
        <v>0</v>
      </c>
      <c r="EW13" s="118">
        <v>0</v>
      </c>
      <c r="EX13" s="161">
        <f t="shared" si="16"/>
        <v>0</v>
      </c>
      <c r="EY13" s="160">
        <f>'[3]9 Invest. NL'!$D$16</f>
        <v>0</v>
      </c>
      <c r="EZ13" s="118">
        <v>0</v>
      </c>
      <c r="FA13" s="161">
        <f t="shared" si="17"/>
        <v>0</v>
      </c>
    </row>
    <row r="14" spans="1:158" ht="15" customHeight="1" x14ac:dyDescent="0.2">
      <c r="D14" s="129" t="s">
        <v>2181</v>
      </c>
      <c r="E14" s="160" t="s">
        <v>160</v>
      </c>
      <c r="F14" s="118" t="s">
        <v>160</v>
      </c>
      <c r="G14" s="161" t="s">
        <v>160</v>
      </c>
      <c r="H14" s="160" t="s">
        <v>160</v>
      </c>
      <c r="I14" s="118" t="s">
        <v>160</v>
      </c>
      <c r="J14" s="161" t="s">
        <v>160</v>
      </c>
      <c r="K14" s="160" t="s">
        <v>160</v>
      </c>
      <c r="L14" s="118" t="s">
        <v>160</v>
      </c>
      <c r="M14" s="161" t="s">
        <v>160</v>
      </c>
      <c r="N14" s="160" t="s">
        <v>160</v>
      </c>
      <c r="O14" s="118" t="s">
        <v>160</v>
      </c>
      <c r="P14" s="161" t="s">
        <v>160</v>
      </c>
      <c r="Q14" s="160" t="s">
        <v>160</v>
      </c>
      <c r="R14" s="118" t="s">
        <v>160</v>
      </c>
      <c r="S14" s="161" t="s">
        <v>160</v>
      </c>
      <c r="T14" s="160" t="s">
        <v>160</v>
      </c>
      <c r="U14" s="118" t="s">
        <v>160</v>
      </c>
      <c r="V14" s="161" t="s">
        <v>160</v>
      </c>
      <c r="W14" s="160" t="s">
        <v>160</v>
      </c>
      <c r="X14" s="118" t="s">
        <v>160</v>
      </c>
      <c r="Y14" s="161" t="s">
        <v>160</v>
      </c>
      <c r="Z14" s="160" t="s">
        <v>160</v>
      </c>
      <c r="AA14" s="118" t="s">
        <v>160</v>
      </c>
      <c r="AB14" s="161" t="s">
        <v>160</v>
      </c>
      <c r="AC14" s="160" t="s">
        <v>160</v>
      </c>
      <c r="AD14" s="118" t="s">
        <v>160</v>
      </c>
      <c r="AE14" s="161" t="s">
        <v>160</v>
      </c>
      <c r="AF14" s="160" t="s">
        <v>160</v>
      </c>
      <c r="AG14" s="118" t="s">
        <v>160</v>
      </c>
      <c r="AH14" s="161" t="s">
        <v>160</v>
      </c>
      <c r="AI14" s="160" t="s">
        <v>160</v>
      </c>
      <c r="AJ14" s="118" t="s">
        <v>160</v>
      </c>
      <c r="AK14" s="161" t="s">
        <v>160</v>
      </c>
      <c r="AL14" s="160" t="s">
        <v>160</v>
      </c>
      <c r="AM14" s="118" t="s">
        <v>160</v>
      </c>
      <c r="AN14" s="161" t="s">
        <v>160</v>
      </c>
      <c r="AO14" s="118" t="s">
        <v>160</v>
      </c>
      <c r="AP14" s="118" t="s">
        <v>160</v>
      </c>
      <c r="AQ14" s="118" t="s">
        <v>160</v>
      </c>
      <c r="AR14" s="160" t="s">
        <v>160</v>
      </c>
      <c r="AS14" s="118" t="s">
        <v>160</v>
      </c>
      <c r="AT14" s="161" t="s">
        <v>160</v>
      </c>
      <c r="AU14" s="118" t="s">
        <v>160</v>
      </c>
      <c r="AV14" s="118" t="s">
        <v>160</v>
      </c>
      <c r="AW14" s="118" t="s">
        <v>160</v>
      </c>
      <c r="AX14" s="160" t="s">
        <v>160</v>
      </c>
      <c r="AY14" s="118" t="s">
        <v>160</v>
      </c>
      <c r="AZ14" s="161" t="s">
        <v>160</v>
      </c>
      <c r="BA14" s="160" t="s">
        <v>160</v>
      </c>
      <c r="BB14" s="118" t="s">
        <v>160</v>
      </c>
      <c r="BC14" s="161" t="s">
        <v>160</v>
      </c>
      <c r="BD14" s="160" t="s">
        <v>160</v>
      </c>
      <c r="BE14" s="118" t="s">
        <v>160</v>
      </c>
      <c r="BF14" s="161" t="s">
        <v>160</v>
      </c>
      <c r="BG14" s="160" t="s">
        <v>160</v>
      </c>
      <c r="BH14" s="118" t="s">
        <v>160</v>
      </c>
      <c r="BI14" s="161" t="s">
        <v>160</v>
      </c>
      <c r="BJ14" s="160" t="s">
        <v>160</v>
      </c>
      <c r="BK14" s="118" t="s">
        <v>160</v>
      </c>
      <c r="BL14" s="161" t="s">
        <v>160</v>
      </c>
      <c r="BM14" s="160" t="s">
        <v>160</v>
      </c>
      <c r="BN14" s="118" t="s">
        <v>160</v>
      </c>
      <c r="BO14" s="161" t="s">
        <v>160</v>
      </c>
      <c r="BP14" s="160" t="s">
        <v>160</v>
      </c>
      <c r="BQ14" s="118" t="s">
        <v>160</v>
      </c>
      <c r="BR14" s="161" t="s">
        <v>160</v>
      </c>
      <c r="BS14" s="160" t="s">
        <v>160</v>
      </c>
      <c r="BT14" s="118" t="s">
        <v>160</v>
      </c>
      <c r="BU14" s="161" t="s">
        <v>160</v>
      </c>
      <c r="BV14" s="118" t="s">
        <v>160</v>
      </c>
      <c r="BW14" s="118" t="s">
        <v>160</v>
      </c>
      <c r="BX14" s="118" t="s">
        <v>160</v>
      </c>
      <c r="BY14" s="160" t="s">
        <v>160</v>
      </c>
      <c r="BZ14" s="118" t="s">
        <v>160</v>
      </c>
      <c r="CA14" s="161" t="s">
        <v>160</v>
      </c>
      <c r="CB14" s="160" t="s">
        <v>160</v>
      </c>
      <c r="CC14" s="118" t="s">
        <v>160</v>
      </c>
      <c r="CD14" s="161" t="s">
        <v>160</v>
      </c>
      <c r="CE14" s="160" t="s">
        <v>160</v>
      </c>
      <c r="CF14" s="118" t="s">
        <v>160</v>
      </c>
      <c r="CG14" s="161" t="s">
        <v>160</v>
      </c>
      <c r="CH14" s="160" t="s">
        <v>160</v>
      </c>
      <c r="CI14" s="118" t="s">
        <v>160</v>
      </c>
      <c r="CJ14" s="161" t="s">
        <v>160</v>
      </c>
      <c r="CK14" s="160" t="s">
        <v>160</v>
      </c>
      <c r="CL14" s="118" t="s">
        <v>160</v>
      </c>
      <c r="CM14" s="161" t="s">
        <v>160</v>
      </c>
      <c r="CN14" s="160" t="s">
        <v>160</v>
      </c>
      <c r="CO14" s="118" t="s">
        <v>160</v>
      </c>
      <c r="CP14" s="161" t="s">
        <v>160</v>
      </c>
      <c r="CQ14" s="160" t="s">
        <v>160</v>
      </c>
      <c r="CR14" s="118" t="s">
        <v>160</v>
      </c>
      <c r="CS14" s="161" t="s">
        <v>160</v>
      </c>
      <c r="CT14" s="160" t="s">
        <v>160</v>
      </c>
      <c r="CU14" s="118" t="s">
        <v>160</v>
      </c>
      <c r="CV14" s="161" t="s">
        <v>160</v>
      </c>
      <c r="CW14" s="160" t="s">
        <v>160</v>
      </c>
      <c r="CX14" s="118" t="s">
        <v>160</v>
      </c>
      <c r="CY14" s="161" t="s">
        <v>160</v>
      </c>
      <c r="CZ14" s="160" t="s">
        <v>160</v>
      </c>
      <c r="DA14" s="118" t="s">
        <v>160</v>
      </c>
      <c r="DB14" s="161" t="s">
        <v>160</v>
      </c>
      <c r="DC14" s="160" t="s">
        <v>160</v>
      </c>
      <c r="DD14" s="118" t="s">
        <v>160</v>
      </c>
      <c r="DE14" s="161" t="s">
        <v>160</v>
      </c>
      <c r="DF14" s="160" t="s">
        <v>160</v>
      </c>
      <c r="DG14" s="118" t="s">
        <v>160</v>
      </c>
      <c r="DH14" s="161" t="s">
        <v>160</v>
      </c>
      <c r="DI14" s="160" t="s">
        <v>160</v>
      </c>
      <c r="DJ14" s="118" t="s">
        <v>160</v>
      </c>
      <c r="DK14" s="161" t="s">
        <v>160</v>
      </c>
      <c r="DL14" s="160" t="s">
        <v>160</v>
      </c>
      <c r="DM14" s="118" t="s">
        <v>160</v>
      </c>
      <c r="DN14" s="161" t="s">
        <v>160</v>
      </c>
      <c r="DO14" s="160" t="s">
        <v>160</v>
      </c>
      <c r="DP14" s="118" t="s">
        <v>160</v>
      </c>
      <c r="DQ14" s="161" t="s">
        <v>160</v>
      </c>
      <c r="DR14" s="160" t="s">
        <v>160</v>
      </c>
      <c r="DS14" s="118" t="s">
        <v>160</v>
      </c>
      <c r="DT14" s="161" t="s">
        <v>160</v>
      </c>
      <c r="DU14" s="160" t="s">
        <v>160</v>
      </c>
      <c r="DV14" s="118" t="s">
        <v>160</v>
      </c>
      <c r="DW14" s="161" t="s">
        <v>160</v>
      </c>
      <c r="DX14" s="160" t="s">
        <v>160</v>
      </c>
      <c r="DY14" s="118" t="s">
        <v>160</v>
      </c>
      <c r="DZ14" s="161" t="s">
        <v>160</v>
      </c>
      <c r="EA14" s="160">
        <v>7969</v>
      </c>
      <c r="EB14" s="118">
        <v>0</v>
      </c>
      <c r="EC14" s="161">
        <f t="shared" si="14"/>
        <v>7969</v>
      </c>
      <c r="ED14" s="160">
        <v>9066</v>
      </c>
      <c r="EE14" s="118">
        <v>0</v>
      </c>
      <c r="EF14" s="161">
        <f t="shared" si="15"/>
        <v>9066</v>
      </c>
      <c r="EG14" s="118">
        <v>10425</v>
      </c>
      <c r="EH14" s="118">
        <v>0</v>
      </c>
      <c r="EI14" s="118">
        <v>10425</v>
      </c>
      <c r="EJ14" s="160">
        <v>11416</v>
      </c>
      <c r="EK14" s="118">
        <v>0</v>
      </c>
      <c r="EL14" s="161">
        <v>11416</v>
      </c>
      <c r="EM14" s="160">
        <v>26244</v>
      </c>
      <c r="EN14" s="118">
        <v>0</v>
      </c>
      <c r="EO14" s="161">
        <v>26244</v>
      </c>
      <c r="EP14" s="160">
        <v>28449</v>
      </c>
      <c r="EQ14" s="118">
        <v>0</v>
      </c>
      <c r="ER14" s="161">
        <v>28449</v>
      </c>
      <c r="ES14" s="160">
        <v>29061</v>
      </c>
      <c r="ET14" s="118">
        <v>0</v>
      </c>
      <c r="EU14" s="161">
        <v>29061</v>
      </c>
      <c r="EV14" s="160">
        <v>30292</v>
      </c>
      <c r="EW14" s="118">
        <v>0</v>
      </c>
      <c r="EX14" s="161">
        <f t="shared" si="16"/>
        <v>30292</v>
      </c>
      <c r="EY14" s="160">
        <f>+'[3]9 Invest. NL'!$D$15</f>
        <v>37012</v>
      </c>
      <c r="EZ14" s="118">
        <v>0</v>
      </c>
      <c r="FA14" s="161">
        <f t="shared" si="17"/>
        <v>37012</v>
      </c>
    </row>
    <row r="15" spans="1:158" s="310" customFormat="1" ht="15" hidden="1" customHeight="1" outlineLevel="1" x14ac:dyDescent="0.2">
      <c r="D15" s="317" t="s">
        <v>1641</v>
      </c>
      <c r="E15" s="318" t="s">
        <v>160</v>
      </c>
      <c r="F15" s="311" t="s">
        <v>160</v>
      </c>
      <c r="G15" s="331" t="s">
        <v>160</v>
      </c>
      <c r="H15" s="318" t="s">
        <v>160</v>
      </c>
      <c r="I15" s="311" t="s">
        <v>160</v>
      </c>
      <c r="J15" s="331" t="s">
        <v>160</v>
      </c>
      <c r="K15" s="318" t="s">
        <v>160</v>
      </c>
      <c r="L15" s="311" t="s">
        <v>160</v>
      </c>
      <c r="M15" s="331" t="s">
        <v>160</v>
      </c>
      <c r="N15" s="318" t="s">
        <v>160</v>
      </c>
      <c r="O15" s="311" t="s">
        <v>160</v>
      </c>
      <c r="P15" s="331" t="s">
        <v>160</v>
      </c>
      <c r="Q15" s="318" t="s">
        <v>160</v>
      </c>
      <c r="R15" s="311" t="s">
        <v>160</v>
      </c>
      <c r="S15" s="331" t="s">
        <v>160</v>
      </c>
      <c r="T15" s="318" t="s">
        <v>160</v>
      </c>
      <c r="U15" s="311" t="s">
        <v>160</v>
      </c>
      <c r="V15" s="331" t="s">
        <v>160</v>
      </c>
      <c r="W15" s="318" t="s">
        <v>160</v>
      </c>
      <c r="X15" s="311" t="s">
        <v>160</v>
      </c>
      <c r="Y15" s="331" t="s">
        <v>160</v>
      </c>
      <c r="Z15" s="318" t="s">
        <v>160</v>
      </c>
      <c r="AA15" s="311" t="s">
        <v>160</v>
      </c>
      <c r="AB15" s="331" t="s">
        <v>160</v>
      </c>
      <c r="AC15" s="318" t="s">
        <v>160</v>
      </c>
      <c r="AD15" s="311" t="s">
        <v>160</v>
      </c>
      <c r="AE15" s="331" t="s">
        <v>160</v>
      </c>
      <c r="AF15" s="318" t="s">
        <v>160</v>
      </c>
      <c r="AG15" s="311" t="s">
        <v>160</v>
      </c>
      <c r="AH15" s="331" t="s">
        <v>160</v>
      </c>
      <c r="AI15" s="318" t="s">
        <v>160</v>
      </c>
      <c r="AJ15" s="311" t="s">
        <v>160</v>
      </c>
      <c r="AK15" s="331" t="s">
        <v>160</v>
      </c>
      <c r="AL15" s="318" t="s">
        <v>160</v>
      </c>
      <c r="AM15" s="311" t="s">
        <v>160</v>
      </c>
      <c r="AN15" s="331" t="s">
        <v>160</v>
      </c>
      <c r="AO15" s="311" t="s">
        <v>160</v>
      </c>
      <c r="AP15" s="311" t="s">
        <v>160</v>
      </c>
      <c r="AQ15" s="311" t="s">
        <v>160</v>
      </c>
      <c r="AR15" s="318" t="s">
        <v>160</v>
      </c>
      <c r="AS15" s="311" t="s">
        <v>160</v>
      </c>
      <c r="AT15" s="331" t="s">
        <v>160</v>
      </c>
      <c r="AU15" s="311" t="s">
        <v>160</v>
      </c>
      <c r="AV15" s="311" t="s">
        <v>160</v>
      </c>
      <c r="AW15" s="311" t="s">
        <v>160</v>
      </c>
      <c r="AX15" s="318" t="s">
        <v>160</v>
      </c>
      <c r="AY15" s="311" t="s">
        <v>160</v>
      </c>
      <c r="AZ15" s="331" t="s">
        <v>160</v>
      </c>
      <c r="BA15" s="318" t="s">
        <v>160</v>
      </c>
      <c r="BB15" s="311" t="s">
        <v>160</v>
      </c>
      <c r="BC15" s="331" t="s">
        <v>160</v>
      </c>
      <c r="BD15" s="318" t="s">
        <v>160</v>
      </c>
      <c r="BE15" s="311" t="s">
        <v>160</v>
      </c>
      <c r="BF15" s="331" t="s">
        <v>160</v>
      </c>
      <c r="BG15" s="318" t="s">
        <v>160</v>
      </c>
      <c r="BH15" s="311" t="s">
        <v>160</v>
      </c>
      <c r="BI15" s="331" t="s">
        <v>160</v>
      </c>
      <c r="BJ15" s="318" t="s">
        <v>160</v>
      </c>
      <c r="BK15" s="311" t="s">
        <v>160</v>
      </c>
      <c r="BL15" s="331" t="s">
        <v>160</v>
      </c>
      <c r="BM15" s="318" t="s">
        <v>160</v>
      </c>
      <c r="BN15" s="311" t="s">
        <v>160</v>
      </c>
      <c r="BO15" s="331" t="s">
        <v>160</v>
      </c>
      <c r="BP15" s="318" t="s">
        <v>160</v>
      </c>
      <c r="BQ15" s="311" t="s">
        <v>160</v>
      </c>
      <c r="BR15" s="331" t="s">
        <v>160</v>
      </c>
      <c r="BS15" s="318" t="s">
        <v>160</v>
      </c>
      <c r="BT15" s="311" t="s">
        <v>160</v>
      </c>
      <c r="BU15" s="331" t="s">
        <v>160</v>
      </c>
      <c r="BV15" s="311" t="s">
        <v>160</v>
      </c>
      <c r="BW15" s="311" t="s">
        <v>160</v>
      </c>
      <c r="BX15" s="311" t="s">
        <v>160</v>
      </c>
      <c r="BY15" s="318" t="s">
        <v>160</v>
      </c>
      <c r="BZ15" s="311" t="s">
        <v>160</v>
      </c>
      <c r="CA15" s="331" t="s">
        <v>160</v>
      </c>
      <c r="CB15" s="318">
        <v>1</v>
      </c>
      <c r="CC15" s="311">
        <v>0</v>
      </c>
      <c r="CD15" s="331">
        <v>1</v>
      </c>
      <c r="CE15" s="318">
        <v>1</v>
      </c>
      <c r="CF15" s="311">
        <v>0</v>
      </c>
      <c r="CG15" s="331">
        <v>1</v>
      </c>
      <c r="CH15" s="318">
        <v>1</v>
      </c>
      <c r="CI15" s="311">
        <v>0</v>
      </c>
      <c r="CJ15" s="331">
        <f t="shared" si="9"/>
        <v>1</v>
      </c>
      <c r="CK15" s="318">
        <v>0</v>
      </c>
      <c r="CL15" s="311">
        <v>0</v>
      </c>
      <c r="CM15" s="331">
        <v>0</v>
      </c>
      <c r="CN15" s="318">
        <v>0</v>
      </c>
      <c r="CO15" s="311">
        <v>0</v>
      </c>
      <c r="CP15" s="331">
        <f t="shared" si="10"/>
        <v>0</v>
      </c>
      <c r="CQ15" s="318">
        <v>0</v>
      </c>
      <c r="CR15" s="311">
        <v>0</v>
      </c>
      <c r="CS15" s="331">
        <v>0</v>
      </c>
      <c r="CT15" s="318">
        <v>0</v>
      </c>
      <c r="CU15" s="311">
        <v>0</v>
      </c>
      <c r="CV15" s="331">
        <v>0</v>
      </c>
      <c r="CW15" s="318">
        <v>0</v>
      </c>
      <c r="CX15" s="311">
        <v>0</v>
      </c>
      <c r="CY15" s="331">
        <f t="shared" si="11"/>
        <v>0</v>
      </c>
      <c r="CZ15" s="318">
        <v>0</v>
      </c>
      <c r="DA15" s="311">
        <v>0</v>
      </c>
      <c r="DB15" s="331">
        <v>0</v>
      </c>
      <c r="DC15" s="318">
        <v>0</v>
      </c>
      <c r="DD15" s="311">
        <v>0</v>
      </c>
      <c r="DE15" s="331">
        <f>SUM(DC15:DD15)</f>
        <v>0</v>
      </c>
      <c r="DF15" s="318">
        <v>0</v>
      </c>
      <c r="DG15" s="311">
        <v>0</v>
      </c>
      <c r="DH15" s="331">
        <f t="shared" ref="DH15:DH20" si="18">SUM(DF15:DG15)</f>
        <v>0</v>
      </c>
      <c r="DI15" s="318">
        <v>0</v>
      </c>
      <c r="DJ15" s="311">
        <v>0</v>
      </c>
      <c r="DK15" s="331">
        <f>SUM(DI15:DJ15)</f>
        <v>0</v>
      </c>
      <c r="DL15" s="318">
        <v>0</v>
      </c>
      <c r="DM15" s="311">
        <v>0</v>
      </c>
      <c r="DN15" s="331">
        <f t="shared" si="12"/>
        <v>0</v>
      </c>
      <c r="DO15" s="318">
        <v>0</v>
      </c>
      <c r="DP15" s="311">
        <v>0</v>
      </c>
      <c r="DQ15" s="331">
        <f>SUM(DO15:DP15)</f>
        <v>0</v>
      </c>
      <c r="DR15" s="318">
        <v>0</v>
      </c>
      <c r="DS15" s="311">
        <v>0</v>
      </c>
      <c r="DT15" s="331">
        <f>SUM(DR15:DS15)</f>
        <v>0</v>
      </c>
      <c r="DU15" s="318">
        <v>0</v>
      </c>
      <c r="DV15" s="311">
        <v>0</v>
      </c>
      <c r="DW15" s="331">
        <f>SUM(DU15:DV15)</f>
        <v>0</v>
      </c>
      <c r="DX15" s="318">
        <v>0</v>
      </c>
      <c r="DY15" s="311">
        <v>0</v>
      </c>
      <c r="DZ15" s="331">
        <f t="shared" si="13"/>
        <v>0</v>
      </c>
      <c r="EA15" s="318"/>
      <c r="EB15" s="311"/>
      <c r="EC15" s="331"/>
      <c r="ED15" s="318">
        <v>0</v>
      </c>
      <c r="EE15" s="311">
        <v>0</v>
      </c>
      <c r="EF15" s="331">
        <f t="shared" si="15"/>
        <v>0</v>
      </c>
      <c r="EG15" s="311">
        <v>0</v>
      </c>
      <c r="EH15" s="311">
        <v>0</v>
      </c>
      <c r="EI15" s="311">
        <v>0</v>
      </c>
      <c r="EJ15" s="318">
        <v>0</v>
      </c>
      <c r="EK15" s="311">
        <v>0</v>
      </c>
      <c r="EL15" s="331">
        <f t="shared" ref="EL15:EL20" si="19">SUM(EJ15:EK15)</f>
        <v>0</v>
      </c>
      <c r="EM15" s="318">
        <v>0</v>
      </c>
      <c r="EN15" s="311">
        <v>0</v>
      </c>
      <c r="EO15" s="331">
        <f t="shared" ref="EO15:EO20" si="20">SUM(EM15:EN15)</f>
        <v>0</v>
      </c>
      <c r="EP15" s="318">
        <v>0</v>
      </c>
      <c r="EQ15" s="311">
        <v>0</v>
      </c>
      <c r="ER15" s="331">
        <f t="shared" ref="ER15:ER20" si="21">SUM(EP15:EQ15)</f>
        <v>0</v>
      </c>
      <c r="ES15" s="318">
        <v>0</v>
      </c>
      <c r="ET15" s="311">
        <v>0</v>
      </c>
      <c r="EU15" s="331">
        <f t="shared" ref="EU15:EU20" si="22">SUM(ES15:ET15)</f>
        <v>0</v>
      </c>
      <c r="EV15" s="318">
        <v>0</v>
      </c>
      <c r="EW15" s="311">
        <v>0</v>
      </c>
      <c r="EX15" s="331">
        <f t="shared" si="16"/>
        <v>0</v>
      </c>
      <c r="EY15" s="318">
        <v>0</v>
      </c>
      <c r="EZ15" s="311">
        <v>0</v>
      </c>
      <c r="FA15" s="331">
        <f t="shared" si="17"/>
        <v>0</v>
      </c>
    </row>
    <row r="16" spans="1:158" ht="15" hidden="1" customHeight="1" outlineLevel="1" x14ac:dyDescent="0.2">
      <c r="A16" t="s">
        <v>477</v>
      </c>
      <c r="B16" t="s">
        <v>477</v>
      </c>
      <c r="D16" s="317" t="str">
        <f>IF([1]RENAME!$H$3=1,B16,A16)</f>
        <v>Tegma Logística de Veículos Ltda. (TLV)</v>
      </c>
      <c r="E16" s="318">
        <v>0</v>
      </c>
      <c r="F16" s="311">
        <v>0</v>
      </c>
      <c r="G16" s="331">
        <v>0</v>
      </c>
      <c r="H16" s="318">
        <v>0</v>
      </c>
      <c r="I16" s="311">
        <v>0</v>
      </c>
      <c r="J16" s="331">
        <v>0</v>
      </c>
      <c r="K16" s="318">
        <v>0</v>
      </c>
      <c r="L16" s="311">
        <v>0</v>
      </c>
      <c r="M16" s="331">
        <v>0</v>
      </c>
      <c r="N16" s="318">
        <v>0</v>
      </c>
      <c r="O16" s="311">
        <v>0</v>
      </c>
      <c r="P16" s="331">
        <v>0</v>
      </c>
      <c r="Q16" s="318">
        <v>0</v>
      </c>
      <c r="R16" s="311">
        <v>0</v>
      </c>
      <c r="S16" s="331">
        <v>0</v>
      </c>
      <c r="T16" s="318">
        <v>0</v>
      </c>
      <c r="U16" s="311">
        <v>0</v>
      </c>
      <c r="V16" s="331">
        <v>0</v>
      </c>
      <c r="W16" s="318">
        <v>0</v>
      </c>
      <c r="X16" s="311">
        <v>0</v>
      </c>
      <c r="Y16" s="331">
        <v>0</v>
      </c>
      <c r="Z16" s="318">
        <v>0</v>
      </c>
      <c r="AA16" s="311">
        <v>0</v>
      </c>
      <c r="AB16" s="331">
        <v>0</v>
      </c>
      <c r="AC16" s="318">
        <v>0</v>
      </c>
      <c r="AD16" s="311">
        <v>0</v>
      </c>
      <c r="AE16" s="331">
        <f>SUM(AC16:AD16)</f>
        <v>0</v>
      </c>
      <c r="AF16" s="318">
        <v>30636</v>
      </c>
      <c r="AG16" s="311">
        <v>0</v>
      </c>
      <c r="AH16" s="331">
        <f>SUM(AF16:AG16)</f>
        <v>30636</v>
      </c>
      <c r="AI16" s="318">
        <v>30627</v>
      </c>
      <c r="AJ16" s="311">
        <v>0</v>
      </c>
      <c r="AK16" s="331">
        <f>SUM(AI16:AJ16)</f>
        <v>30627</v>
      </c>
      <c r="AL16" s="318">
        <v>30769</v>
      </c>
      <c r="AM16" s="311">
        <v>0</v>
      </c>
      <c r="AN16" s="331">
        <v>30769</v>
      </c>
      <c r="AO16" s="311">
        <v>30136</v>
      </c>
      <c r="AP16" s="311">
        <v>0</v>
      </c>
      <c r="AQ16" s="311">
        <v>30136</v>
      </c>
      <c r="AR16" s="318">
        <v>30078</v>
      </c>
      <c r="AS16" s="311">
        <v>0</v>
      </c>
      <c r="AT16" s="331">
        <v>30078</v>
      </c>
      <c r="AU16" s="311">
        <v>30052</v>
      </c>
      <c r="AV16" s="311">
        <v>0</v>
      </c>
      <c r="AW16" s="311">
        <v>30052</v>
      </c>
      <c r="AX16" s="318">
        <v>26655</v>
      </c>
      <c r="AY16" s="311">
        <v>0</v>
      </c>
      <c r="AZ16" s="331">
        <v>26655</v>
      </c>
      <c r="BA16" s="318">
        <v>22864</v>
      </c>
      <c r="BB16" s="311">
        <v>0</v>
      </c>
      <c r="BC16" s="161">
        <v>22864</v>
      </c>
      <c r="BD16" s="318">
        <v>16926</v>
      </c>
      <c r="BE16" s="311">
        <v>0</v>
      </c>
      <c r="BF16" s="161">
        <f>SUM(BD16:BE16)</f>
        <v>16926</v>
      </c>
      <c r="BG16" s="318">
        <v>17065</v>
      </c>
      <c r="BH16" s="311">
        <v>0</v>
      </c>
      <c r="BI16" s="161">
        <f>SUM(BG16:BH16)</f>
        <v>17065</v>
      </c>
      <c r="BJ16" s="318">
        <v>17089</v>
      </c>
      <c r="BK16" s="311">
        <v>0</v>
      </c>
      <c r="BL16" s="161">
        <f>SUM(BJ16:BK16)</f>
        <v>17089</v>
      </c>
      <c r="BM16" s="318">
        <v>15248</v>
      </c>
      <c r="BN16" s="311">
        <v>0</v>
      </c>
      <c r="BO16" s="161">
        <f>SUM(BM16:BN16)</f>
        <v>15248</v>
      </c>
      <c r="BP16" s="318">
        <v>15026</v>
      </c>
      <c r="BQ16" s="311">
        <v>0</v>
      </c>
      <c r="BR16" s="161">
        <f>SUM(BP16:BQ16)</f>
        <v>15026</v>
      </c>
      <c r="BS16" s="318">
        <v>16000</v>
      </c>
      <c r="BT16" s="311">
        <v>0</v>
      </c>
      <c r="BU16" s="161">
        <f>SUM(BS16:BT16)</f>
        <v>16000</v>
      </c>
      <c r="BV16" s="118">
        <v>16817</v>
      </c>
      <c r="BW16" s="118">
        <v>0</v>
      </c>
      <c r="BX16" s="118">
        <v>16817</v>
      </c>
      <c r="BY16" s="318">
        <v>14752</v>
      </c>
      <c r="BZ16" s="311">
        <v>0</v>
      </c>
      <c r="CA16" s="161">
        <v>14752</v>
      </c>
      <c r="CB16" s="318">
        <v>18083</v>
      </c>
      <c r="CC16" s="311">
        <v>0</v>
      </c>
      <c r="CD16" s="161">
        <v>18083</v>
      </c>
      <c r="CE16" s="318">
        <v>19849</v>
      </c>
      <c r="CF16" s="311">
        <v>0</v>
      </c>
      <c r="CG16" s="161">
        <v>19849</v>
      </c>
      <c r="CH16" s="318">
        <v>22317</v>
      </c>
      <c r="CI16" s="311">
        <v>0</v>
      </c>
      <c r="CJ16" s="161">
        <f>SUM(CH16:CI16)</f>
        <v>22317</v>
      </c>
      <c r="CK16" s="318">
        <v>25326</v>
      </c>
      <c r="CL16" s="311">
        <v>0</v>
      </c>
      <c r="CM16" s="161">
        <v>25326</v>
      </c>
      <c r="CN16" s="318">
        <v>26950</v>
      </c>
      <c r="CO16" s="311">
        <v>0</v>
      </c>
      <c r="CP16" s="161">
        <f>SUM(CN16:CO16)</f>
        <v>26950</v>
      </c>
      <c r="CQ16" s="318">
        <v>28609</v>
      </c>
      <c r="CR16" s="311">
        <v>0</v>
      </c>
      <c r="CS16" s="161">
        <f>SUM(CQ16:CR16)</f>
        <v>28609</v>
      </c>
      <c r="CT16" s="318">
        <v>42735</v>
      </c>
      <c r="CU16" s="311">
        <v>0</v>
      </c>
      <c r="CV16" s="161">
        <v>42735</v>
      </c>
      <c r="CW16" s="318">
        <v>63142</v>
      </c>
      <c r="CX16" s="311">
        <f>+'[3]9.a Investimentos'!$C$14</f>
        <v>0</v>
      </c>
      <c r="CY16" s="161">
        <f>SUM(CW16:CX16)</f>
        <v>63142</v>
      </c>
      <c r="CZ16" s="318">
        <v>77360</v>
      </c>
      <c r="DA16" s="311">
        <v>0</v>
      </c>
      <c r="DB16" s="161">
        <f>SUM(CZ16:DA16)</f>
        <v>77360</v>
      </c>
      <c r="DC16" s="318">
        <v>51644</v>
      </c>
      <c r="DD16" s="311">
        <v>0</v>
      </c>
      <c r="DE16" s="161">
        <v>51644</v>
      </c>
      <c r="DF16" s="318">
        <v>40820</v>
      </c>
      <c r="DG16" s="311">
        <v>0</v>
      </c>
      <c r="DH16" s="161">
        <f t="shared" si="18"/>
        <v>40820</v>
      </c>
      <c r="DI16" s="318">
        <v>44534</v>
      </c>
      <c r="DJ16" s="311">
        <v>0</v>
      </c>
      <c r="DK16" s="161">
        <v>44534</v>
      </c>
      <c r="DL16" s="318">
        <v>0</v>
      </c>
      <c r="DM16" s="311">
        <v>0</v>
      </c>
      <c r="DN16" s="161">
        <f>SUM(DL16:DM16)</f>
        <v>0</v>
      </c>
      <c r="DO16" s="318">
        <v>0</v>
      </c>
      <c r="DP16" s="311">
        <v>0</v>
      </c>
      <c r="DQ16" s="161">
        <v>0</v>
      </c>
      <c r="DR16" s="318">
        <v>0</v>
      </c>
      <c r="DS16" s="311">
        <v>0</v>
      </c>
      <c r="DT16" s="161">
        <v>0</v>
      </c>
      <c r="DU16" s="318">
        <v>0</v>
      </c>
      <c r="DV16" s="311">
        <v>0</v>
      </c>
      <c r="DW16" s="161">
        <v>0</v>
      </c>
      <c r="DX16" s="318">
        <v>0</v>
      </c>
      <c r="DY16" s="311">
        <v>0</v>
      </c>
      <c r="DZ16" s="161">
        <f>SUM(DX16:DY16)</f>
        <v>0</v>
      </c>
      <c r="EA16" s="318"/>
      <c r="EB16" s="311"/>
      <c r="EC16" s="161"/>
      <c r="ED16" s="318"/>
      <c r="EE16" s="311">
        <v>0</v>
      </c>
      <c r="EF16" s="161">
        <f>SUM(ED16:EE16)</f>
        <v>0</v>
      </c>
      <c r="EG16" s="118"/>
      <c r="EH16" s="118">
        <v>0</v>
      </c>
      <c r="EI16" s="118">
        <v>0</v>
      </c>
      <c r="EJ16" s="318"/>
      <c r="EK16" s="311">
        <f>+'[3]9.a Investimentos'!$C$14</f>
        <v>0</v>
      </c>
      <c r="EL16" s="161">
        <f t="shared" si="19"/>
        <v>0</v>
      </c>
      <c r="EM16" s="318"/>
      <c r="EN16" s="311">
        <f>+'[3]9.a Investimentos'!$C$14</f>
        <v>0</v>
      </c>
      <c r="EO16" s="161">
        <f t="shared" si="20"/>
        <v>0</v>
      </c>
      <c r="EP16" s="318"/>
      <c r="EQ16" s="311">
        <f>+'[3]9.a Investimentos'!$C$14</f>
        <v>0</v>
      </c>
      <c r="ER16" s="161">
        <f t="shared" si="21"/>
        <v>0</v>
      </c>
      <c r="ES16" s="318"/>
      <c r="ET16" s="311">
        <f>+'[3]9.a Investimentos'!$C$14</f>
        <v>0</v>
      </c>
      <c r="EU16" s="161">
        <f t="shared" si="22"/>
        <v>0</v>
      </c>
      <c r="EV16" s="318"/>
      <c r="EW16" s="311">
        <f>+'[3]9.a Investimentos'!$C$14</f>
        <v>0</v>
      </c>
      <c r="EX16" s="161">
        <f>SUM(EV16:EW16)</f>
        <v>0</v>
      </c>
      <c r="EY16" s="318"/>
      <c r="EZ16" s="311">
        <f>+'[3]9.a Investimentos'!$C$14</f>
        <v>0</v>
      </c>
      <c r="FA16" s="161">
        <f>SUM(EY16:EZ16)</f>
        <v>0</v>
      </c>
    </row>
    <row r="17" spans="1:157" ht="15" hidden="1" customHeight="1" outlineLevel="1" x14ac:dyDescent="0.2">
      <c r="A17" t="s">
        <v>233</v>
      </c>
      <c r="B17" t="s">
        <v>233</v>
      </c>
      <c r="D17" s="317" t="str">
        <f>IF([1]RENAME!$H$3=1,B17,A17)</f>
        <v>Guriel Empreendimentos e Participações Ltda. (Guriel)</v>
      </c>
      <c r="E17" s="318">
        <v>0</v>
      </c>
      <c r="F17" s="311">
        <v>0</v>
      </c>
      <c r="G17" s="331">
        <v>0</v>
      </c>
      <c r="H17" s="318">
        <v>0</v>
      </c>
      <c r="I17" s="311">
        <v>0</v>
      </c>
      <c r="J17" s="331">
        <v>0</v>
      </c>
      <c r="K17" s="318">
        <v>1</v>
      </c>
      <c r="L17" s="311">
        <v>0</v>
      </c>
      <c r="M17" s="331">
        <v>1</v>
      </c>
      <c r="N17" s="318">
        <v>31640</v>
      </c>
      <c r="O17" s="311">
        <v>0</v>
      </c>
      <c r="P17" s="331">
        <v>31640</v>
      </c>
      <c r="Q17" s="318">
        <v>31530</v>
      </c>
      <c r="R17" s="311">
        <v>0</v>
      </c>
      <c r="S17" s="331">
        <v>31530</v>
      </c>
      <c r="T17" s="318">
        <v>31265</v>
      </c>
      <c r="U17" s="311">
        <v>31265</v>
      </c>
      <c r="V17" s="331">
        <v>31265</v>
      </c>
      <c r="W17" s="318">
        <v>31124</v>
      </c>
      <c r="X17" s="311">
        <v>0</v>
      </c>
      <c r="Y17" s="331">
        <v>31124</v>
      </c>
      <c r="Z17" s="318">
        <v>30642</v>
      </c>
      <c r="AA17" s="311">
        <v>0</v>
      </c>
      <c r="AB17" s="331">
        <v>30642</v>
      </c>
      <c r="AC17" s="318">
        <v>30353</v>
      </c>
      <c r="AD17" s="311">
        <v>0</v>
      </c>
      <c r="AE17" s="331">
        <f>SUM(AC17:AD17)</f>
        <v>30353</v>
      </c>
      <c r="AF17" s="318">
        <v>0</v>
      </c>
      <c r="AG17" s="311">
        <v>0</v>
      </c>
      <c r="AH17" s="331">
        <v>0</v>
      </c>
      <c r="AI17" s="318">
        <v>0</v>
      </c>
      <c r="AJ17" s="311">
        <v>0</v>
      </c>
      <c r="AK17" s="331">
        <v>0</v>
      </c>
      <c r="AL17" s="318">
        <v>0</v>
      </c>
      <c r="AM17" s="311">
        <v>0</v>
      </c>
      <c r="AN17" s="331">
        <v>0</v>
      </c>
      <c r="AO17" s="311">
        <v>0</v>
      </c>
      <c r="AP17" s="311">
        <v>0</v>
      </c>
      <c r="AQ17" s="311">
        <v>0</v>
      </c>
      <c r="AR17" s="318">
        <v>0</v>
      </c>
      <c r="AS17" s="311">
        <v>0</v>
      </c>
      <c r="AT17" s="331">
        <v>0</v>
      </c>
      <c r="AU17" s="311">
        <v>0</v>
      </c>
      <c r="AV17" s="311">
        <v>0</v>
      </c>
      <c r="AW17" s="311">
        <v>0</v>
      </c>
      <c r="AX17" s="318">
        <v>0</v>
      </c>
      <c r="AY17" s="311">
        <v>0</v>
      </c>
      <c r="AZ17" s="331">
        <v>0</v>
      </c>
      <c r="BA17" s="318">
        <v>0</v>
      </c>
      <c r="BB17" s="311">
        <v>0</v>
      </c>
      <c r="BC17" s="161">
        <v>0</v>
      </c>
      <c r="BD17" s="318">
        <v>0</v>
      </c>
      <c r="BE17" s="311">
        <v>0</v>
      </c>
      <c r="BF17" s="161">
        <f>SUM(BD17:BE17)</f>
        <v>0</v>
      </c>
      <c r="BG17" s="318">
        <v>0</v>
      </c>
      <c r="BH17" s="311">
        <v>0</v>
      </c>
      <c r="BI17" s="161">
        <f>SUM(BG17:BH17)</f>
        <v>0</v>
      </c>
      <c r="BJ17" s="318">
        <v>0</v>
      </c>
      <c r="BK17" s="311">
        <v>0</v>
      </c>
      <c r="BL17" s="161">
        <f>SUM(BJ17:BK17)</f>
        <v>0</v>
      </c>
      <c r="BM17" s="318">
        <v>0</v>
      </c>
      <c r="BN17" s="311">
        <v>0</v>
      </c>
      <c r="BO17" s="161">
        <f>SUM(BM17:BN17)</f>
        <v>0</v>
      </c>
      <c r="BP17" s="318">
        <v>0</v>
      </c>
      <c r="BQ17" s="311">
        <v>0</v>
      </c>
      <c r="BR17" s="161">
        <f t="shared" si="8"/>
        <v>0</v>
      </c>
      <c r="BS17" s="318"/>
      <c r="BT17" s="311"/>
      <c r="BU17" s="161"/>
      <c r="BV17" s="118"/>
      <c r="BW17" s="118"/>
      <c r="BX17" s="118"/>
      <c r="BY17" s="318">
        <v>0</v>
      </c>
      <c r="BZ17" s="311">
        <v>0</v>
      </c>
      <c r="CA17" s="161">
        <v>0</v>
      </c>
      <c r="CB17" s="318">
        <v>0</v>
      </c>
      <c r="CC17" s="311">
        <v>0</v>
      </c>
      <c r="CD17" s="161">
        <v>0</v>
      </c>
      <c r="CE17" s="318">
        <v>0</v>
      </c>
      <c r="CF17" s="311">
        <v>0</v>
      </c>
      <c r="CG17" s="161">
        <f>SUM(CE17:CF17)</f>
        <v>0</v>
      </c>
      <c r="CH17" s="318">
        <v>0</v>
      </c>
      <c r="CI17" s="311">
        <v>0</v>
      </c>
      <c r="CJ17" s="161">
        <f t="shared" si="9"/>
        <v>0</v>
      </c>
      <c r="CK17" s="318">
        <v>0</v>
      </c>
      <c r="CL17" s="311">
        <v>0</v>
      </c>
      <c r="CM17" s="161">
        <v>0</v>
      </c>
      <c r="CN17" s="318">
        <v>0</v>
      </c>
      <c r="CO17" s="311">
        <v>0</v>
      </c>
      <c r="CP17" s="161">
        <f t="shared" si="10"/>
        <v>0</v>
      </c>
      <c r="CQ17" s="318">
        <v>0</v>
      </c>
      <c r="CR17" s="311">
        <v>0</v>
      </c>
      <c r="CS17" s="161">
        <v>0</v>
      </c>
      <c r="CT17" s="318">
        <v>0</v>
      </c>
      <c r="CU17" s="311">
        <v>0</v>
      </c>
      <c r="CV17" s="161">
        <v>0</v>
      </c>
      <c r="CW17" s="318">
        <v>0</v>
      </c>
      <c r="CX17" s="311">
        <v>0</v>
      </c>
      <c r="CY17" s="161">
        <f t="shared" si="11"/>
        <v>0</v>
      </c>
      <c r="CZ17" s="318">
        <v>0</v>
      </c>
      <c r="DA17" s="311">
        <v>0</v>
      </c>
      <c r="DB17" s="161">
        <v>0</v>
      </c>
      <c r="DC17" s="318">
        <v>0</v>
      </c>
      <c r="DD17" s="311">
        <v>0</v>
      </c>
      <c r="DE17" s="161">
        <f>SUM(DC17:DD17)</f>
        <v>0</v>
      </c>
      <c r="DF17" s="318">
        <v>0</v>
      </c>
      <c r="DG17" s="311">
        <v>0</v>
      </c>
      <c r="DH17" s="161">
        <f t="shared" si="18"/>
        <v>0</v>
      </c>
      <c r="DI17" s="318">
        <v>0</v>
      </c>
      <c r="DJ17" s="311">
        <v>0</v>
      </c>
      <c r="DK17" s="161">
        <f>SUM(DI17:DJ17)</f>
        <v>0</v>
      </c>
      <c r="DL17" s="318">
        <v>0</v>
      </c>
      <c r="DM17" s="311">
        <v>0</v>
      </c>
      <c r="DN17" s="161">
        <f t="shared" si="12"/>
        <v>0</v>
      </c>
      <c r="DO17" s="318">
        <v>0</v>
      </c>
      <c r="DP17" s="311">
        <v>0</v>
      </c>
      <c r="DQ17" s="161">
        <f>SUM(DO17:DP17)</f>
        <v>0</v>
      </c>
      <c r="DR17" s="318">
        <v>0</v>
      </c>
      <c r="DS17" s="311">
        <v>0</v>
      </c>
      <c r="DT17" s="161">
        <f>SUM(DR17:DS17)</f>
        <v>0</v>
      </c>
      <c r="DU17" s="318">
        <v>0</v>
      </c>
      <c r="DV17" s="311">
        <v>0</v>
      </c>
      <c r="DW17" s="161">
        <f>SUM(DU17:DV17)</f>
        <v>0</v>
      </c>
      <c r="DX17" s="318">
        <v>0</v>
      </c>
      <c r="DY17" s="311">
        <v>0</v>
      </c>
      <c r="DZ17" s="161">
        <f t="shared" si="13"/>
        <v>0</v>
      </c>
      <c r="EA17" s="318"/>
      <c r="EB17" s="311"/>
      <c r="EC17" s="161"/>
      <c r="ED17" s="318">
        <v>0</v>
      </c>
      <c r="EE17" s="311">
        <v>0</v>
      </c>
      <c r="EF17" s="161">
        <f t="shared" si="15"/>
        <v>0</v>
      </c>
      <c r="EG17" s="118">
        <v>0</v>
      </c>
      <c r="EH17" s="118">
        <v>0</v>
      </c>
      <c r="EI17" s="118">
        <v>0</v>
      </c>
      <c r="EJ17" s="318">
        <v>0</v>
      </c>
      <c r="EK17" s="311">
        <v>0</v>
      </c>
      <c r="EL17" s="161">
        <f t="shared" si="19"/>
        <v>0</v>
      </c>
      <c r="EM17" s="318">
        <v>0</v>
      </c>
      <c r="EN17" s="311">
        <v>0</v>
      </c>
      <c r="EO17" s="161">
        <f t="shared" si="20"/>
        <v>0</v>
      </c>
      <c r="EP17" s="318">
        <v>0</v>
      </c>
      <c r="EQ17" s="311">
        <v>0</v>
      </c>
      <c r="ER17" s="161">
        <f t="shared" si="21"/>
        <v>0</v>
      </c>
      <c r="ES17" s="318">
        <v>0</v>
      </c>
      <c r="ET17" s="311">
        <v>0</v>
      </c>
      <c r="EU17" s="161">
        <f t="shared" si="22"/>
        <v>0</v>
      </c>
      <c r="EV17" s="318">
        <v>0</v>
      </c>
      <c r="EW17" s="311">
        <v>0</v>
      </c>
      <c r="EX17" s="161">
        <f>SUM(EV17:EW17)</f>
        <v>0</v>
      </c>
      <c r="EY17" s="318">
        <v>0</v>
      </c>
      <c r="EZ17" s="311">
        <v>0</v>
      </c>
      <c r="FA17" s="161">
        <f>SUM(EY17:EZ17)</f>
        <v>0</v>
      </c>
    </row>
    <row r="18" spans="1:157" s="310" customFormat="1" ht="15" hidden="1" customHeight="1" outlineLevel="1" x14ac:dyDescent="0.2">
      <c r="A18" s="310" t="s">
        <v>207</v>
      </c>
      <c r="B18" s="310" t="s">
        <v>207</v>
      </c>
      <c r="D18" s="317" t="str">
        <f>IF([1]RENAME!$H$3=1,B18,A18)</f>
        <v>PDI Comércio e Indústria e Serviços Ltda. (PDI)</v>
      </c>
      <c r="E18" s="318">
        <v>0</v>
      </c>
      <c r="F18" s="311">
        <v>37</v>
      </c>
      <c r="G18" s="331">
        <f>SUM(E18:F18)</f>
        <v>37</v>
      </c>
      <c r="H18" s="318">
        <v>0</v>
      </c>
      <c r="I18" s="311">
        <v>37</v>
      </c>
      <c r="J18" s="331">
        <f>SUM(H18:I18)</f>
        <v>37</v>
      </c>
      <c r="K18" s="318">
        <v>0</v>
      </c>
      <c r="L18" s="311">
        <v>37</v>
      </c>
      <c r="M18" s="331">
        <f>SUM(K18:L18)</f>
        <v>37</v>
      </c>
      <c r="N18" s="318">
        <v>0</v>
      </c>
      <c r="O18" s="311">
        <v>37</v>
      </c>
      <c r="P18" s="331">
        <f>SUM(N18:O18)</f>
        <v>37</v>
      </c>
      <c r="Q18" s="318">
        <v>0</v>
      </c>
      <c r="R18" s="311">
        <v>37</v>
      </c>
      <c r="S18" s="331">
        <f>SUM(Q18:R18)</f>
        <v>37</v>
      </c>
      <c r="T18" s="318">
        <v>0</v>
      </c>
      <c r="U18" s="311">
        <v>37</v>
      </c>
      <c r="V18" s="331">
        <f>SUM(T18:U18)</f>
        <v>37</v>
      </c>
      <c r="W18" s="318">
        <v>0</v>
      </c>
      <c r="X18" s="311">
        <v>37</v>
      </c>
      <c r="Y18" s="331">
        <f>SUM(W18:X18)</f>
        <v>37</v>
      </c>
      <c r="Z18" s="318">
        <v>0</v>
      </c>
      <c r="AA18" s="311">
        <v>37</v>
      </c>
      <c r="AB18" s="331">
        <v>37</v>
      </c>
      <c r="AC18" s="318">
        <v>0</v>
      </c>
      <c r="AD18" s="311">
        <v>37</v>
      </c>
      <c r="AE18" s="331">
        <f>SUM(AC18:AD18)</f>
        <v>37</v>
      </c>
      <c r="AF18" s="318">
        <v>0</v>
      </c>
      <c r="AG18" s="311">
        <v>37</v>
      </c>
      <c r="AH18" s="331">
        <f>SUM(AF18:AG18)</f>
        <v>37</v>
      </c>
      <c r="AI18" s="318">
        <v>0</v>
      </c>
      <c r="AJ18" s="311">
        <v>37</v>
      </c>
      <c r="AK18" s="331">
        <f>SUM(AI18:AJ18)</f>
        <v>37</v>
      </c>
      <c r="AL18" s="318">
        <v>0</v>
      </c>
      <c r="AM18" s="311">
        <v>37</v>
      </c>
      <c r="AN18" s="331">
        <v>37</v>
      </c>
      <c r="AO18" s="311">
        <v>0</v>
      </c>
      <c r="AP18" s="311">
        <v>37</v>
      </c>
      <c r="AQ18" s="311">
        <v>37</v>
      </c>
      <c r="AR18" s="318">
        <v>0</v>
      </c>
      <c r="AS18" s="311">
        <v>37</v>
      </c>
      <c r="AT18" s="331">
        <v>37</v>
      </c>
      <c r="AU18" s="311">
        <v>0</v>
      </c>
      <c r="AV18" s="311">
        <v>37</v>
      </c>
      <c r="AW18" s="311">
        <v>37</v>
      </c>
      <c r="AX18" s="318">
        <v>0</v>
      </c>
      <c r="AY18" s="311">
        <v>37</v>
      </c>
      <c r="AZ18" s="331">
        <v>37</v>
      </c>
      <c r="BA18" s="318">
        <v>0</v>
      </c>
      <c r="BB18" s="311">
        <v>37</v>
      </c>
      <c r="BC18" s="331">
        <v>37</v>
      </c>
      <c r="BD18" s="318">
        <v>0</v>
      </c>
      <c r="BE18" s="311">
        <v>0</v>
      </c>
      <c r="BF18" s="331">
        <f>SUM(BD18:BE18)</f>
        <v>0</v>
      </c>
      <c r="BG18" s="318">
        <v>0</v>
      </c>
      <c r="BH18" s="311">
        <v>0</v>
      </c>
      <c r="BI18" s="331">
        <f>SUM(BG18:BH18)</f>
        <v>0</v>
      </c>
      <c r="BJ18" s="318">
        <v>0</v>
      </c>
      <c r="BK18" s="311">
        <v>0</v>
      </c>
      <c r="BL18" s="331">
        <f>SUM(BJ18:BK18)</f>
        <v>0</v>
      </c>
      <c r="BM18" s="318">
        <v>0</v>
      </c>
      <c r="BN18" s="311">
        <v>0</v>
      </c>
      <c r="BO18" s="331">
        <f>SUM(BM18:BN18)</f>
        <v>0</v>
      </c>
      <c r="BP18" s="318">
        <v>0</v>
      </c>
      <c r="BQ18" s="311">
        <v>0</v>
      </c>
      <c r="BR18" s="331">
        <f>SUM(BP18:BQ18)</f>
        <v>0</v>
      </c>
      <c r="BS18" s="318">
        <v>0</v>
      </c>
      <c r="BT18" s="311">
        <v>0</v>
      </c>
      <c r="BU18" s="331">
        <f>SUM(BS18:BT18)</f>
        <v>0</v>
      </c>
      <c r="BV18" s="318">
        <v>0</v>
      </c>
      <c r="BW18" s="311">
        <v>0</v>
      </c>
      <c r="BX18" s="331">
        <v>0</v>
      </c>
      <c r="BY18" s="318">
        <v>0</v>
      </c>
      <c r="BZ18" s="311">
        <v>0</v>
      </c>
      <c r="CA18" s="331">
        <v>0</v>
      </c>
      <c r="CB18" s="318">
        <v>0</v>
      </c>
      <c r="CC18" s="311">
        <v>0</v>
      </c>
      <c r="CD18" s="331">
        <v>0</v>
      </c>
      <c r="CE18" s="318">
        <v>0</v>
      </c>
      <c r="CF18" s="311">
        <v>0</v>
      </c>
      <c r="CG18" s="331">
        <v>0</v>
      </c>
      <c r="CH18" s="318">
        <v>0</v>
      </c>
      <c r="CI18" s="311">
        <v>0</v>
      </c>
      <c r="CJ18" s="331">
        <f>SUM(CH18:CI18)</f>
        <v>0</v>
      </c>
      <c r="CK18" s="318">
        <v>0</v>
      </c>
      <c r="CL18" s="311">
        <v>0</v>
      </c>
      <c r="CM18" s="331">
        <v>0</v>
      </c>
      <c r="CN18" s="318">
        <v>0</v>
      </c>
      <c r="CO18" s="311">
        <v>0</v>
      </c>
      <c r="CP18" s="331">
        <f>SUM(CN18:CO18)</f>
        <v>0</v>
      </c>
      <c r="CQ18" s="318">
        <v>0</v>
      </c>
      <c r="CR18" s="311">
        <v>0</v>
      </c>
      <c r="CS18" s="331">
        <v>0</v>
      </c>
      <c r="CT18" s="318">
        <v>0</v>
      </c>
      <c r="CU18" s="311">
        <v>0</v>
      </c>
      <c r="CV18" s="331">
        <v>0</v>
      </c>
      <c r="CW18" s="318">
        <v>0</v>
      </c>
      <c r="CX18" s="311">
        <v>0</v>
      </c>
      <c r="CY18" s="331">
        <f>SUM(CW18:CX18)</f>
        <v>0</v>
      </c>
      <c r="CZ18" s="318">
        <v>0</v>
      </c>
      <c r="DA18" s="311">
        <v>0</v>
      </c>
      <c r="DB18" s="331">
        <v>0</v>
      </c>
      <c r="DC18" s="318">
        <v>0</v>
      </c>
      <c r="DD18" s="311">
        <v>0</v>
      </c>
      <c r="DE18" s="331">
        <f>SUM(DC18:DD18)</f>
        <v>0</v>
      </c>
      <c r="DF18" s="318">
        <v>0</v>
      </c>
      <c r="DG18" s="311">
        <v>0</v>
      </c>
      <c r="DH18" s="331">
        <f t="shared" si="18"/>
        <v>0</v>
      </c>
      <c r="DI18" s="318">
        <v>0</v>
      </c>
      <c r="DJ18" s="311">
        <v>0</v>
      </c>
      <c r="DK18" s="331">
        <f>SUM(DI18:DJ18)</f>
        <v>0</v>
      </c>
      <c r="DL18" s="318">
        <v>0</v>
      </c>
      <c r="DM18" s="311">
        <v>0</v>
      </c>
      <c r="DN18" s="331">
        <f>SUM(DL18:DM18)</f>
        <v>0</v>
      </c>
      <c r="DO18" s="318">
        <v>0</v>
      </c>
      <c r="DP18" s="311">
        <v>0</v>
      </c>
      <c r="DQ18" s="331">
        <f>SUM(DO18:DP18)</f>
        <v>0</v>
      </c>
      <c r="DR18" s="318">
        <v>0</v>
      </c>
      <c r="DS18" s="311">
        <v>0</v>
      </c>
      <c r="DT18" s="331">
        <f>SUM(DR18:DS18)</f>
        <v>0</v>
      </c>
      <c r="DU18" s="318">
        <v>0</v>
      </c>
      <c r="DV18" s="311">
        <v>0</v>
      </c>
      <c r="DW18" s="331">
        <f>SUM(DU18:DV18)</f>
        <v>0</v>
      </c>
      <c r="DX18" s="318">
        <v>0</v>
      </c>
      <c r="DY18" s="311">
        <v>0</v>
      </c>
      <c r="DZ18" s="331">
        <f>SUM(DX18:DY18)</f>
        <v>0</v>
      </c>
      <c r="EA18" s="318"/>
      <c r="EB18" s="311"/>
      <c r="EC18" s="331"/>
      <c r="ED18" s="318">
        <v>0</v>
      </c>
      <c r="EE18" s="311">
        <v>0</v>
      </c>
      <c r="EF18" s="331">
        <f>SUM(ED18:EE18)</f>
        <v>0</v>
      </c>
      <c r="EG18" s="311">
        <v>0</v>
      </c>
      <c r="EH18" s="311">
        <v>0</v>
      </c>
      <c r="EI18" s="311">
        <v>0</v>
      </c>
      <c r="EJ18" s="318">
        <v>0</v>
      </c>
      <c r="EK18" s="311">
        <v>0</v>
      </c>
      <c r="EL18" s="331">
        <f t="shared" si="19"/>
        <v>0</v>
      </c>
      <c r="EM18" s="318">
        <v>0</v>
      </c>
      <c r="EN18" s="311">
        <v>0</v>
      </c>
      <c r="EO18" s="331">
        <f t="shared" si="20"/>
        <v>0</v>
      </c>
      <c r="EP18" s="318">
        <v>0</v>
      </c>
      <c r="EQ18" s="311">
        <v>0</v>
      </c>
      <c r="ER18" s="331">
        <f t="shared" si="21"/>
        <v>0</v>
      </c>
      <c r="ES18" s="318">
        <v>0</v>
      </c>
      <c r="ET18" s="311">
        <v>0</v>
      </c>
      <c r="EU18" s="331">
        <f t="shared" si="22"/>
        <v>0</v>
      </c>
      <c r="EV18" s="318">
        <v>0</v>
      </c>
      <c r="EW18" s="311">
        <v>0</v>
      </c>
      <c r="EX18" s="331">
        <f>SUM(EV18:EW18)</f>
        <v>0</v>
      </c>
      <c r="EY18" s="318">
        <v>0</v>
      </c>
      <c r="EZ18" s="311">
        <v>0</v>
      </c>
      <c r="FA18" s="331">
        <f>SUM(EY18:EZ18)</f>
        <v>0</v>
      </c>
    </row>
    <row r="19" spans="1:157" s="310" customFormat="1" ht="15" hidden="1" customHeight="1" outlineLevel="1" x14ac:dyDescent="0.2">
      <c r="A19" s="310" t="s">
        <v>205</v>
      </c>
      <c r="B19" s="310" t="s">
        <v>205</v>
      </c>
      <c r="D19" s="317" t="str">
        <f>IF([1]RENAME!$H$3=1,B19,A19)</f>
        <v xml:space="preserve">Tegma Logística Integrada S.A. (TLI) </v>
      </c>
      <c r="E19" s="318">
        <v>59596</v>
      </c>
      <c r="F19" s="311">
        <v>2491</v>
      </c>
      <c r="G19" s="331">
        <f>SUM(E19:F19)</f>
        <v>62087</v>
      </c>
      <c r="H19" s="318">
        <v>62383</v>
      </c>
      <c r="I19" s="311">
        <v>2491</v>
      </c>
      <c r="J19" s="331">
        <f>SUM(H19:I19)</f>
        <v>64874</v>
      </c>
      <c r="K19" s="318">
        <v>60464</v>
      </c>
      <c r="L19" s="311">
        <v>2491</v>
      </c>
      <c r="M19" s="331">
        <f>SUM(K19:L19)</f>
        <v>62955</v>
      </c>
      <c r="N19" s="318">
        <v>61347</v>
      </c>
      <c r="O19" s="311">
        <v>2491</v>
      </c>
      <c r="P19" s="331">
        <f>SUM(N19:O19)</f>
        <v>63838</v>
      </c>
      <c r="Q19" s="318">
        <v>89070</v>
      </c>
      <c r="R19" s="311">
        <v>2491</v>
      </c>
      <c r="S19" s="331">
        <f>SUM(Q19:R19)</f>
        <v>91561</v>
      </c>
      <c r="T19" s="318">
        <v>87396</v>
      </c>
      <c r="U19" s="311">
        <v>2491</v>
      </c>
      <c r="V19" s="331">
        <f>SUM(T19:U19)</f>
        <v>89887</v>
      </c>
      <c r="W19" s="318">
        <v>82115</v>
      </c>
      <c r="X19" s="311">
        <v>2491</v>
      </c>
      <c r="Y19" s="331">
        <f>SUM(W19:X19)</f>
        <v>84606</v>
      </c>
      <c r="Z19" s="318">
        <v>80667</v>
      </c>
      <c r="AA19" s="311">
        <v>2491</v>
      </c>
      <c r="AB19" s="331">
        <v>83158</v>
      </c>
      <c r="AC19" s="318">
        <v>73639</v>
      </c>
      <c r="AD19" s="311">
        <v>2491</v>
      </c>
      <c r="AE19" s="331">
        <f>SUM(AC19:AD19)</f>
        <v>76130</v>
      </c>
      <c r="AF19" s="318">
        <v>70735</v>
      </c>
      <c r="AG19" s="311">
        <v>2491</v>
      </c>
      <c r="AH19" s="331">
        <f>SUM(AF19:AG19)</f>
        <v>73226</v>
      </c>
      <c r="AI19" s="318">
        <v>67926</v>
      </c>
      <c r="AJ19" s="311">
        <v>2491</v>
      </c>
      <c r="AK19" s="331">
        <f>SUM(AI19:AJ19)</f>
        <v>70417</v>
      </c>
      <c r="AL19" s="318">
        <v>66234</v>
      </c>
      <c r="AM19" s="311">
        <v>2491</v>
      </c>
      <c r="AN19" s="331">
        <v>68725</v>
      </c>
      <c r="AO19" s="311">
        <v>63959</v>
      </c>
      <c r="AP19" s="311">
        <v>2491</v>
      </c>
      <c r="AQ19" s="311">
        <v>66450</v>
      </c>
      <c r="AR19" s="318">
        <v>61358</v>
      </c>
      <c r="AS19" s="311">
        <v>2491</v>
      </c>
      <c r="AT19" s="331">
        <v>63849</v>
      </c>
      <c r="AU19" s="311">
        <v>68730</v>
      </c>
      <c r="AV19" s="311">
        <v>2491</v>
      </c>
      <c r="AW19" s="311">
        <v>71221</v>
      </c>
      <c r="AX19" s="318">
        <v>67392</v>
      </c>
      <c r="AY19" s="311">
        <v>2491</v>
      </c>
      <c r="AZ19" s="331">
        <v>69883</v>
      </c>
      <c r="BA19" s="318">
        <v>43465</v>
      </c>
      <c r="BB19" s="311">
        <v>2491</v>
      </c>
      <c r="BC19" s="331">
        <v>45956</v>
      </c>
      <c r="BD19" s="318">
        <v>22286</v>
      </c>
      <c r="BE19" s="311">
        <v>0</v>
      </c>
      <c r="BF19" s="331">
        <f>SUM(BD19:BE19)</f>
        <v>22286</v>
      </c>
      <c r="BG19" s="318">
        <v>26878</v>
      </c>
      <c r="BH19" s="311">
        <v>0</v>
      </c>
      <c r="BI19" s="331">
        <f>SUM(BG19:BH19)</f>
        <v>26878</v>
      </c>
      <c r="BJ19" s="318">
        <v>0</v>
      </c>
      <c r="BK19" s="311">
        <v>0</v>
      </c>
      <c r="BL19" s="331">
        <f>SUM(BJ19:BK19)</f>
        <v>0</v>
      </c>
      <c r="BM19" s="318">
        <v>0</v>
      </c>
      <c r="BN19" s="311">
        <v>0</v>
      </c>
      <c r="BO19" s="331">
        <f>SUM(BM19:BN19)</f>
        <v>0</v>
      </c>
      <c r="BP19" s="318">
        <v>0</v>
      </c>
      <c r="BQ19" s="311">
        <v>0</v>
      </c>
      <c r="BR19" s="331">
        <f>SUM(BP19:BQ19)</f>
        <v>0</v>
      </c>
      <c r="BS19" s="318">
        <v>0</v>
      </c>
      <c r="BT19" s="311">
        <v>0</v>
      </c>
      <c r="BU19" s="331">
        <f>SUM(BS19:BT19)</f>
        <v>0</v>
      </c>
      <c r="BV19" s="318">
        <v>0</v>
      </c>
      <c r="BW19" s="311">
        <v>0</v>
      </c>
      <c r="BX19" s="331">
        <v>0</v>
      </c>
      <c r="BY19" s="318">
        <v>0</v>
      </c>
      <c r="BZ19" s="311">
        <v>0</v>
      </c>
      <c r="CA19" s="331">
        <v>0</v>
      </c>
      <c r="CB19" s="318">
        <v>0</v>
      </c>
      <c r="CC19" s="311">
        <v>0</v>
      </c>
      <c r="CD19" s="331">
        <v>0</v>
      </c>
      <c r="CE19" s="318">
        <v>0</v>
      </c>
      <c r="CF19" s="311">
        <v>0</v>
      </c>
      <c r="CG19" s="331">
        <v>0</v>
      </c>
      <c r="CH19" s="318">
        <v>0</v>
      </c>
      <c r="CI19" s="311">
        <v>0</v>
      </c>
      <c r="CJ19" s="331">
        <f>SUM(CH19:CI19)</f>
        <v>0</v>
      </c>
      <c r="CK19" s="318">
        <v>0</v>
      </c>
      <c r="CL19" s="311">
        <v>0</v>
      </c>
      <c r="CM19" s="331">
        <v>0</v>
      </c>
      <c r="CN19" s="318">
        <v>0</v>
      </c>
      <c r="CO19" s="311">
        <v>0</v>
      </c>
      <c r="CP19" s="331">
        <f>SUM(CN19:CO19)</f>
        <v>0</v>
      </c>
      <c r="CQ19" s="318">
        <v>0</v>
      </c>
      <c r="CR19" s="311">
        <v>0</v>
      </c>
      <c r="CS19" s="331">
        <v>0</v>
      </c>
      <c r="CT19" s="318">
        <v>0</v>
      </c>
      <c r="CU19" s="311">
        <v>0</v>
      </c>
      <c r="CV19" s="331">
        <v>0</v>
      </c>
      <c r="CW19" s="318">
        <f>+'[3]9.a Investimentos'!$B$10</f>
        <v>0</v>
      </c>
      <c r="CX19" s="311">
        <v>0</v>
      </c>
      <c r="CY19" s="331">
        <f>SUM(CW19:CX19)</f>
        <v>0</v>
      </c>
      <c r="CZ19" s="318">
        <v>0</v>
      </c>
      <c r="DA19" s="311">
        <v>0</v>
      </c>
      <c r="DB19" s="331">
        <v>0</v>
      </c>
      <c r="DC19" s="318">
        <f>+'[3]9.a Investimentos'!$B$10</f>
        <v>0</v>
      </c>
      <c r="DD19" s="311">
        <v>0</v>
      </c>
      <c r="DE19" s="331">
        <f>SUM(DC19:DD19)</f>
        <v>0</v>
      </c>
      <c r="DF19" s="318">
        <f>+'[3]9.a Investimentos'!$B$10</f>
        <v>0</v>
      </c>
      <c r="DG19" s="311">
        <v>0</v>
      </c>
      <c r="DH19" s="331">
        <f t="shared" si="18"/>
        <v>0</v>
      </c>
      <c r="DI19" s="318">
        <f>+'[3]9.a Investimentos'!$B$10</f>
        <v>0</v>
      </c>
      <c r="DJ19" s="311">
        <v>0</v>
      </c>
      <c r="DK19" s="331">
        <f>SUM(DI19:DJ19)</f>
        <v>0</v>
      </c>
      <c r="DL19" s="318">
        <f>+'[3]9.a Investimentos'!$B$10</f>
        <v>0</v>
      </c>
      <c r="DM19" s="311">
        <v>0</v>
      </c>
      <c r="DN19" s="331">
        <f>SUM(DL19:DM19)</f>
        <v>0</v>
      </c>
      <c r="DO19" s="318">
        <f>+'[3]9.a Investimentos'!$B$10</f>
        <v>0</v>
      </c>
      <c r="DP19" s="311">
        <v>0</v>
      </c>
      <c r="DQ19" s="331">
        <f>SUM(DO19:DP19)</f>
        <v>0</v>
      </c>
      <c r="DR19" s="318">
        <f>+'[3]9.a Investimentos'!$B$10</f>
        <v>0</v>
      </c>
      <c r="DS19" s="311">
        <v>0</v>
      </c>
      <c r="DT19" s="331">
        <f>SUM(DR19:DS19)</f>
        <v>0</v>
      </c>
      <c r="DU19" s="318">
        <f>+'[3]9.a Investimentos'!$B$10</f>
        <v>0</v>
      </c>
      <c r="DV19" s="311">
        <v>0</v>
      </c>
      <c r="DW19" s="331">
        <f>SUM(DU19:DV19)</f>
        <v>0</v>
      </c>
      <c r="DX19" s="318">
        <f>+'[3]9.a Investimentos'!$B$10</f>
        <v>0</v>
      </c>
      <c r="DY19" s="311">
        <v>0</v>
      </c>
      <c r="DZ19" s="331">
        <f>SUM(DX19:DY19)</f>
        <v>0</v>
      </c>
      <c r="EA19" s="318"/>
      <c r="EB19" s="311"/>
      <c r="EC19" s="331"/>
      <c r="ED19" s="318">
        <v>0</v>
      </c>
      <c r="EE19" s="311">
        <v>0</v>
      </c>
      <c r="EF19" s="331">
        <f>SUM(ED19:EE19)</f>
        <v>0</v>
      </c>
      <c r="EG19" s="311">
        <v>0</v>
      </c>
      <c r="EH19" s="311">
        <v>0</v>
      </c>
      <c r="EI19" s="311">
        <v>0</v>
      </c>
      <c r="EJ19" s="318">
        <f>+'[3]9.a Investimentos'!$B$10</f>
        <v>0</v>
      </c>
      <c r="EK19" s="311">
        <v>0</v>
      </c>
      <c r="EL19" s="331">
        <f t="shared" si="19"/>
        <v>0</v>
      </c>
      <c r="EM19" s="318">
        <f>+'[3]9.a Investimentos'!$B$10</f>
        <v>0</v>
      </c>
      <c r="EN19" s="311">
        <v>0</v>
      </c>
      <c r="EO19" s="331">
        <f t="shared" si="20"/>
        <v>0</v>
      </c>
      <c r="EP19" s="318">
        <f>+'[3]9.a Investimentos'!$B$10</f>
        <v>0</v>
      </c>
      <c r="EQ19" s="311">
        <v>0</v>
      </c>
      <c r="ER19" s="331">
        <f t="shared" si="21"/>
        <v>0</v>
      </c>
      <c r="ES19" s="318">
        <f>+'[3]9.a Investimentos'!$B$10</f>
        <v>0</v>
      </c>
      <c r="ET19" s="311">
        <v>0</v>
      </c>
      <c r="EU19" s="331">
        <f t="shared" si="22"/>
        <v>0</v>
      </c>
      <c r="EV19" s="318">
        <f>+'[3]9.a Investimentos'!$B$10</f>
        <v>0</v>
      </c>
      <c r="EW19" s="311">
        <v>0</v>
      </c>
      <c r="EX19" s="331">
        <f>SUM(EV19:EW19)</f>
        <v>0</v>
      </c>
      <c r="EY19" s="318">
        <f>+'[3]9.a Investimentos'!$B$10</f>
        <v>0</v>
      </c>
      <c r="EZ19" s="311">
        <v>0</v>
      </c>
      <c r="FA19" s="331">
        <f>SUM(EY19:EZ19)</f>
        <v>0</v>
      </c>
    </row>
    <row r="20" spans="1:157" ht="15" hidden="1" customHeight="1" outlineLevel="1" x14ac:dyDescent="0.2">
      <c r="A20" t="s">
        <v>203</v>
      </c>
      <c r="B20" t="s">
        <v>203</v>
      </c>
      <c r="D20" s="317" t="str">
        <f>IF([1]RENAME!$H$3=1,B20,A20)</f>
        <v>Direct Express Logística Integrada S.A. (Direct)</v>
      </c>
      <c r="E20" s="318">
        <v>6740</v>
      </c>
      <c r="F20" s="311">
        <v>91361</v>
      </c>
      <c r="G20" s="331">
        <f>SUM(E20:F20)</f>
        <v>98101</v>
      </c>
      <c r="H20" s="318">
        <v>3946</v>
      </c>
      <c r="I20" s="311">
        <v>81529</v>
      </c>
      <c r="J20" s="331">
        <f>SUM(H20:I20)</f>
        <v>85475</v>
      </c>
      <c r="K20" s="318">
        <v>35161</v>
      </c>
      <c r="L20" s="311">
        <v>0</v>
      </c>
      <c r="M20" s="331">
        <f>SUM(K20:L20)</f>
        <v>35161</v>
      </c>
      <c r="N20" s="318">
        <v>0</v>
      </c>
      <c r="O20" s="311">
        <v>0</v>
      </c>
      <c r="P20" s="331">
        <f>SUM(N20:O20)</f>
        <v>0</v>
      </c>
      <c r="Q20" s="318">
        <v>0</v>
      </c>
      <c r="R20" s="311">
        <v>0</v>
      </c>
      <c r="S20" s="331">
        <f>SUM(Q20:R20)</f>
        <v>0</v>
      </c>
      <c r="T20" s="318">
        <v>0</v>
      </c>
      <c r="U20" s="311">
        <v>0</v>
      </c>
      <c r="V20" s="331">
        <f>SUM(T20:U20)</f>
        <v>0</v>
      </c>
      <c r="W20" s="318"/>
      <c r="X20" s="311"/>
      <c r="Y20" s="331">
        <f>SUM(W20:X20)</f>
        <v>0</v>
      </c>
      <c r="Z20" s="318"/>
      <c r="AA20" s="311"/>
      <c r="AB20" s="331">
        <f>SUM(Z20:AA20)</f>
        <v>0</v>
      </c>
      <c r="AC20" s="318"/>
      <c r="AD20" s="311"/>
      <c r="AE20" s="331">
        <f>SUM(AC20:AD20)</f>
        <v>0</v>
      </c>
      <c r="AF20" s="318">
        <v>0</v>
      </c>
      <c r="AG20" s="311">
        <v>0</v>
      </c>
      <c r="AH20" s="331">
        <v>0</v>
      </c>
      <c r="AI20" s="318">
        <v>0</v>
      </c>
      <c r="AJ20" s="311">
        <v>0</v>
      </c>
      <c r="AK20" s="331">
        <v>0</v>
      </c>
      <c r="AL20" s="318">
        <v>0</v>
      </c>
      <c r="AM20" s="311">
        <v>0</v>
      </c>
      <c r="AN20" s="331">
        <v>0</v>
      </c>
      <c r="AO20" s="311">
        <v>0</v>
      </c>
      <c r="AP20" s="311">
        <v>0</v>
      </c>
      <c r="AQ20" s="311">
        <v>0</v>
      </c>
      <c r="AR20" s="318">
        <v>0</v>
      </c>
      <c r="AS20" s="311">
        <v>0</v>
      </c>
      <c r="AT20" s="331">
        <v>0</v>
      </c>
      <c r="AU20" s="311">
        <v>0</v>
      </c>
      <c r="AV20" s="311">
        <v>0</v>
      </c>
      <c r="AW20" s="311">
        <v>0</v>
      </c>
      <c r="AX20" s="318">
        <v>0</v>
      </c>
      <c r="AY20" s="311">
        <v>0</v>
      </c>
      <c r="AZ20" s="331">
        <v>0</v>
      </c>
      <c r="BA20" s="318">
        <v>0</v>
      </c>
      <c r="BB20" s="311">
        <v>0</v>
      </c>
      <c r="BC20" s="161">
        <v>0</v>
      </c>
      <c r="BD20" s="318">
        <v>0</v>
      </c>
      <c r="BE20" s="311">
        <v>0</v>
      </c>
      <c r="BF20" s="161">
        <f>SUM(BD20:BE20)</f>
        <v>0</v>
      </c>
      <c r="BG20" s="318">
        <v>0</v>
      </c>
      <c r="BH20" s="311">
        <v>0</v>
      </c>
      <c r="BI20" s="161">
        <f>SUM(BG20:BH20)</f>
        <v>0</v>
      </c>
      <c r="BJ20" s="318">
        <v>0</v>
      </c>
      <c r="BK20" s="311">
        <v>0</v>
      </c>
      <c r="BL20" s="161">
        <f>SUM(BJ20:BK20)</f>
        <v>0</v>
      </c>
      <c r="BM20" s="318">
        <v>0</v>
      </c>
      <c r="BN20" s="311">
        <v>0</v>
      </c>
      <c r="BO20" s="161">
        <f>SUM(BM20:BN20)</f>
        <v>0</v>
      </c>
      <c r="BP20" s="318">
        <v>0</v>
      </c>
      <c r="BQ20" s="311">
        <v>0</v>
      </c>
      <c r="BR20" s="161">
        <f t="shared" si="8"/>
        <v>0</v>
      </c>
      <c r="BS20" s="318"/>
      <c r="BT20" s="311"/>
      <c r="BU20" s="161"/>
      <c r="BV20" s="118"/>
      <c r="BW20" s="118"/>
      <c r="BX20" s="118"/>
      <c r="BY20" s="318">
        <v>0</v>
      </c>
      <c r="BZ20" s="311">
        <v>0</v>
      </c>
      <c r="CA20" s="161">
        <v>0</v>
      </c>
      <c r="CB20" s="318" t="s">
        <v>160</v>
      </c>
      <c r="CC20" s="311" t="s">
        <v>160</v>
      </c>
      <c r="CD20" s="161">
        <v>0</v>
      </c>
      <c r="CE20" s="318" t="s">
        <v>160</v>
      </c>
      <c r="CF20" s="311" t="s">
        <v>160</v>
      </c>
      <c r="CG20" s="161">
        <f>SUM(CE20:CF20)</f>
        <v>0</v>
      </c>
      <c r="CH20" s="318" t="s">
        <v>160</v>
      </c>
      <c r="CI20" s="311" t="s">
        <v>160</v>
      </c>
      <c r="CJ20" s="161">
        <f t="shared" si="9"/>
        <v>0</v>
      </c>
      <c r="CK20" s="318" t="s">
        <v>160</v>
      </c>
      <c r="CL20" s="311" t="s">
        <v>160</v>
      </c>
      <c r="CM20" s="161">
        <v>0</v>
      </c>
      <c r="CN20" s="318" t="s">
        <v>160</v>
      </c>
      <c r="CO20" s="311" t="s">
        <v>160</v>
      </c>
      <c r="CP20" s="161">
        <f t="shared" si="10"/>
        <v>0</v>
      </c>
      <c r="CQ20" s="318" t="s">
        <v>160</v>
      </c>
      <c r="CR20" s="311" t="s">
        <v>160</v>
      </c>
      <c r="CS20" s="161">
        <v>0</v>
      </c>
      <c r="CT20" s="318" t="s">
        <v>160</v>
      </c>
      <c r="CU20" s="311" t="s">
        <v>160</v>
      </c>
      <c r="CV20" s="161">
        <v>0</v>
      </c>
      <c r="CW20" s="318" t="s">
        <v>160</v>
      </c>
      <c r="CX20" s="311" t="s">
        <v>160</v>
      </c>
      <c r="CY20" s="161">
        <f>SUM(CW20:CX20)</f>
        <v>0</v>
      </c>
      <c r="CZ20" s="318" t="s">
        <v>160</v>
      </c>
      <c r="DA20" s="311" t="s">
        <v>160</v>
      </c>
      <c r="DB20" s="161">
        <v>0</v>
      </c>
      <c r="DC20" s="318" t="s">
        <v>160</v>
      </c>
      <c r="DD20" s="311" t="s">
        <v>160</v>
      </c>
      <c r="DE20" s="161">
        <f>SUM(DC20:DD20)</f>
        <v>0</v>
      </c>
      <c r="DF20" s="318" t="s">
        <v>160</v>
      </c>
      <c r="DG20" s="311" t="s">
        <v>160</v>
      </c>
      <c r="DH20" s="161">
        <f t="shared" si="18"/>
        <v>0</v>
      </c>
      <c r="DI20" s="318" t="s">
        <v>160</v>
      </c>
      <c r="DJ20" s="311" t="s">
        <v>160</v>
      </c>
      <c r="DK20" s="161">
        <f>SUM(DI20:DJ20)</f>
        <v>0</v>
      </c>
      <c r="DL20" s="318" t="s">
        <v>160</v>
      </c>
      <c r="DM20" s="311" t="s">
        <v>160</v>
      </c>
      <c r="DN20" s="161">
        <f>SUM(DL20:DM20)</f>
        <v>0</v>
      </c>
      <c r="DO20" s="318" t="s">
        <v>160</v>
      </c>
      <c r="DP20" s="311" t="s">
        <v>160</v>
      </c>
      <c r="DQ20" s="161">
        <f>SUM(DO20:DP20)</f>
        <v>0</v>
      </c>
      <c r="DR20" s="318" t="s">
        <v>160</v>
      </c>
      <c r="DS20" s="311" t="s">
        <v>160</v>
      </c>
      <c r="DT20" s="161">
        <f>SUM(DR20:DS20)</f>
        <v>0</v>
      </c>
      <c r="DU20" s="318" t="s">
        <v>160</v>
      </c>
      <c r="DV20" s="311" t="s">
        <v>160</v>
      </c>
      <c r="DW20" s="161">
        <f>SUM(DU20:DV20)</f>
        <v>0</v>
      </c>
      <c r="DX20" s="318" t="s">
        <v>160</v>
      </c>
      <c r="DY20" s="311" t="s">
        <v>160</v>
      </c>
      <c r="DZ20" s="161">
        <f>SUM(DX20:DY20)</f>
        <v>0</v>
      </c>
      <c r="EA20" s="318"/>
      <c r="EB20" s="311"/>
      <c r="EC20" s="161"/>
      <c r="ED20" s="318" t="s">
        <v>160</v>
      </c>
      <c r="EE20" s="311" t="s">
        <v>160</v>
      </c>
      <c r="EF20" s="161">
        <f>SUM(ED20:EE20)</f>
        <v>0</v>
      </c>
      <c r="EG20" s="118" t="s">
        <v>160</v>
      </c>
      <c r="EH20" s="118" t="s">
        <v>160</v>
      </c>
      <c r="EI20" s="118">
        <v>0</v>
      </c>
      <c r="EJ20" s="318" t="s">
        <v>160</v>
      </c>
      <c r="EK20" s="311" t="s">
        <v>160</v>
      </c>
      <c r="EL20" s="161">
        <f t="shared" si="19"/>
        <v>0</v>
      </c>
      <c r="EM20" s="318" t="s">
        <v>160</v>
      </c>
      <c r="EN20" s="311" t="s">
        <v>160</v>
      </c>
      <c r="EO20" s="161">
        <f t="shared" si="20"/>
        <v>0</v>
      </c>
      <c r="EP20" s="318" t="s">
        <v>160</v>
      </c>
      <c r="EQ20" s="311" t="s">
        <v>160</v>
      </c>
      <c r="ER20" s="161">
        <f t="shared" si="21"/>
        <v>0</v>
      </c>
      <c r="ES20" s="318" t="s">
        <v>160</v>
      </c>
      <c r="ET20" s="311" t="s">
        <v>160</v>
      </c>
      <c r="EU20" s="161">
        <f t="shared" si="22"/>
        <v>0</v>
      </c>
      <c r="EV20" s="318" t="s">
        <v>160</v>
      </c>
      <c r="EW20" s="311" t="s">
        <v>160</v>
      </c>
      <c r="EX20" s="161">
        <f>SUM(EV20:EW20)</f>
        <v>0</v>
      </c>
      <c r="EY20" s="318" t="s">
        <v>160</v>
      </c>
      <c r="EZ20" s="311" t="s">
        <v>160</v>
      </c>
      <c r="FA20" s="161">
        <f>SUM(EY20:EZ20)</f>
        <v>0</v>
      </c>
    </row>
    <row r="21" spans="1:157" ht="15" customHeight="1" collapsed="1" x14ac:dyDescent="0.2">
      <c r="A21" t="s">
        <v>202</v>
      </c>
      <c r="B21" t="s">
        <v>915</v>
      </c>
      <c r="D21" s="126" t="str">
        <f>IF([1]RENAME!$H$3=1,B21,A21)</f>
        <v>Controle integral</v>
      </c>
      <c r="E21" s="162">
        <f t="shared" ref="E21:AJ21" si="23">SUM(E7:E20)</f>
        <v>125487</v>
      </c>
      <c r="F21" s="120">
        <f t="shared" si="23"/>
        <v>100253</v>
      </c>
      <c r="G21" s="163">
        <f t="shared" si="23"/>
        <v>225740</v>
      </c>
      <c r="H21" s="162">
        <f t="shared" si="23"/>
        <v>131031</v>
      </c>
      <c r="I21" s="120">
        <f t="shared" si="23"/>
        <v>90421</v>
      </c>
      <c r="J21" s="163">
        <f t="shared" si="23"/>
        <v>221452</v>
      </c>
      <c r="K21" s="162">
        <f t="shared" si="23"/>
        <v>177675</v>
      </c>
      <c r="L21" s="120">
        <f t="shared" si="23"/>
        <v>8892</v>
      </c>
      <c r="M21" s="163">
        <f t="shared" si="23"/>
        <v>186567</v>
      </c>
      <c r="N21" s="162">
        <f t="shared" si="23"/>
        <v>177168</v>
      </c>
      <c r="O21" s="120">
        <f t="shared" si="23"/>
        <v>8892</v>
      </c>
      <c r="P21" s="163">
        <f t="shared" si="23"/>
        <v>186060</v>
      </c>
      <c r="Q21" s="162">
        <f t="shared" si="23"/>
        <v>238215</v>
      </c>
      <c r="R21" s="120">
        <f t="shared" si="23"/>
        <v>8892</v>
      </c>
      <c r="S21" s="163">
        <f t="shared" si="23"/>
        <v>247107</v>
      </c>
      <c r="T21" s="162">
        <f t="shared" si="23"/>
        <v>238845</v>
      </c>
      <c r="U21" s="120">
        <f t="shared" si="23"/>
        <v>40157</v>
      </c>
      <c r="V21" s="163">
        <f t="shared" si="23"/>
        <v>247737</v>
      </c>
      <c r="W21" s="162">
        <f t="shared" si="23"/>
        <v>235624</v>
      </c>
      <c r="X21" s="120">
        <f t="shared" si="23"/>
        <v>8892</v>
      </c>
      <c r="Y21" s="163">
        <f t="shared" si="23"/>
        <v>244516</v>
      </c>
      <c r="Z21" s="162">
        <f t="shared" si="23"/>
        <v>239202</v>
      </c>
      <c r="AA21" s="120">
        <f t="shared" si="23"/>
        <v>8892</v>
      </c>
      <c r="AB21" s="163">
        <f t="shared" si="23"/>
        <v>248094</v>
      </c>
      <c r="AC21" s="162">
        <f t="shared" si="23"/>
        <v>235767</v>
      </c>
      <c r="AD21" s="120">
        <f t="shared" si="23"/>
        <v>8892</v>
      </c>
      <c r="AE21" s="163">
        <f t="shared" si="23"/>
        <v>244659</v>
      </c>
      <c r="AF21" s="162">
        <f t="shared" si="23"/>
        <v>240631</v>
      </c>
      <c r="AG21" s="120">
        <f t="shared" si="23"/>
        <v>8892</v>
      </c>
      <c r="AH21" s="163">
        <f t="shared" si="23"/>
        <v>249523</v>
      </c>
      <c r="AI21" s="162">
        <f t="shared" si="23"/>
        <v>258427</v>
      </c>
      <c r="AJ21" s="120">
        <f t="shared" si="23"/>
        <v>8892</v>
      </c>
      <c r="AK21" s="163">
        <f t="shared" ref="AK21:BP21" si="24">SUM(AK7:AK20)</f>
        <v>267319</v>
      </c>
      <c r="AL21" s="162">
        <f t="shared" si="24"/>
        <v>264710</v>
      </c>
      <c r="AM21" s="120">
        <f t="shared" si="24"/>
        <v>8892</v>
      </c>
      <c r="AN21" s="163">
        <f t="shared" si="24"/>
        <v>273602</v>
      </c>
      <c r="AO21" s="162">
        <f t="shared" si="24"/>
        <v>263431</v>
      </c>
      <c r="AP21" s="120">
        <f t="shared" si="24"/>
        <v>8892</v>
      </c>
      <c r="AQ21" s="163">
        <f t="shared" si="24"/>
        <v>272323</v>
      </c>
      <c r="AR21" s="162">
        <f t="shared" si="24"/>
        <v>265136</v>
      </c>
      <c r="AS21" s="120">
        <f t="shared" si="24"/>
        <v>8892</v>
      </c>
      <c r="AT21" s="163">
        <f t="shared" si="24"/>
        <v>274028</v>
      </c>
      <c r="AU21" s="162">
        <f t="shared" si="24"/>
        <v>273768</v>
      </c>
      <c r="AV21" s="120">
        <f t="shared" si="24"/>
        <v>8892</v>
      </c>
      <c r="AW21" s="163">
        <f t="shared" si="24"/>
        <v>282660</v>
      </c>
      <c r="AX21" s="162">
        <f t="shared" si="24"/>
        <v>269362</v>
      </c>
      <c r="AY21" s="120">
        <f t="shared" si="24"/>
        <v>8892</v>
      </c>
      <c r="AZ21" s="163">
        <f t="shared" si="24"/>
        <v>278254</v>
      </c>
      <c r="BA21" s="162">
        <f t="shared" si="24"/>
        <v>269973</v>
      </c>
      <c r="BB21" s="120">
        <f t="shared" si="24"/>
        <v>8892</v>
      </c>
      <c r="BC21" s="163">
        <f t="shared" si="24"/>
        <v>278865</v>
      </c>
      <c r="BD21" s="162">
        <f t="shared" si="24"/>
        <v>154115</v>
      </c>
      <c r="BE21" s="120">
        <f t="shared" si="24"/>
        <v>6364</v>
      </c>
      <c r="BF21" s="163">
        <f t="shared" si="24"/>
        <v>160479</v>
      </c>
      <c r="BG21" s="162">
        <f t="shared" si="24"/>
        <v>160257</v>
      </c>
      <c r="BH21" s="120">
        <f t="shared" si="24"/>
        <v>6364</v>
      </c>
      <c r="BI21" s="163">
        <f t="shared" si="24"/>
        <v>166621</v>
      </c>
      <c r="BJ21" s="162">
        <f t="shared" si="24"/>
        <v>151825</v>
      </c>
      <c r="BK21" s="120">
        <f t="shared" si="24"/>
        <v>6364</v>
      </c>
      <c r="BL21" s="163">
        <f t="shared" si="24"/>
        <v>158189</v>
      </c>
      <c r="BM21" s="162">
        <f t="shared" si="24"/>
        <v>155420</v>
      </c>
      <c r="BN21" s="120">
        <f t="shared" si="24"/>
        <v>6364</v>
      </c>
      <c r="BO21" s="163">
        <f t="shared" si="24"/>
        <v>161784</v>
      </c>
      <c r="BP21" s="162">
        <f t="shared" si="24"/>
        <v>161923</v>
      </c>
      <c r="BQ21" s="120">
        <f t="shared" ref="BQ21:CS21" si="25">SUM(BQ7:BQ20)</f>
        <v>6364</v>
      </c>
      <c r="BR21" s="163">
        <f t="shared" si="25"/>
        <v>168287</v>
      </c>
      <c r="BS21" s="162">
        <f t="shared" si="25"/>
        <v>168014</v>
      </c>
      <c r="BT21" s="120">
        <f t="shared" si="25"/>
        <v>6364</v>
      </c>
      <c r="BU21" s="163">
        <f t="shared" si="25"/>
        <v>174378</v>
      </c>
      <c r="BV21" s="162">
        <f t="shared" si="25"/>
        <v>176683</v>
      </c>
      <c r="BW21" s="120">
        <f t="shared" si="25"/>
        <v>6364</v>
      </c>
      <c r="BX21" s="163">
        <f t="shared" si="25"/>
        <v>183047</v>
      </c>
      <c r="BY21" s="162">
        <f t="shared" si="25"/>
        <v>206193</v>
      </c>
      <c r="BZ21" s="120">
        <f t="shared" si="25"/>
        <v>6364</v>
      </c>
      <c r="CA21" s="163">
        <f t="shared" si="25"/>
        <v>212557</v>
      </c>
      <c r="CB21" s="162">
        <f t="shared" si="25"/>
        <v>216615</v>
      </c>
      <c r="CC21" s="120">
        <f t="shared" si="25"/>
        <v>6364</v>
      </c>
      <c r="CD21" s="163">
        <f t="shared" si="25"/>
        <v>222979</v>
      </c>
      <c r="CE21" s="162">
        <f t="shared" si="25"/>
        <v>201825</v>
      </c>
      <c r="CF21" s="120">
        <f t="shared" si="25"/>
        <v>6364</v>
      </c>
      <c r="CG21" s="163">
        <f t="shared" si="25"/>
        <v>208189</v>
      </c>
      <c r="CH21" s="162">
        <f t="shared" si="25"/>
        <v>209803</v>
      </c>
      <c r="CI21" s="120">
        <f t="shared" si="25"/>
        <v>6364</v>
      </c>
      <c r="CJ21" s="163">
        <f t="shared" si="25"/>
        <v>216167</v>
      </c>
      <c r="CK21" s="162">
        <f t="shared" si="25"/>
        <v>213744</v>
      </c>
      <c r="CL21" s="120">
        <f t="shared" si="25"/>
        <v>6364</v>
      </c>
      <c r="CM21" s="163">
        <f t="shared" si="25"/>
        <v>220108</v>
      </c>
      <c r="CN21" s="162">
        <f t="shared" si="25"/>
        <v>218166</v>
      </c>
      <c r="CO21" s="120">
        <f t="shared" si="25"/>
        <v>6364</v>
      </c>
      <c r="CP21" s="163">
        <f t="shared" si="25"/>
        <v>224530</v>
      </c>
      <c r="CQ21" s="162">
        <f t="shared" si="25"/>
        <v>215371</v>
      </c>
      <c r="CR21" s="120">
        <f t="shared" si="25"/>
        <v>6364</v>
      </c>
      <c r="CS21" s="163">
        <f t="shared" si="25"/>
        <v>221735</v>
      </c>
      <c r="CT21" s="162">
        <v>235442</v>
      </c>
      <c r="CU21" s="120">
        <v>6364</v>
      </c>
      <c r="CV21" s="163">
        <v>241806</v>
      </c>
      <c r="CW21" s="162">
        <f t="shared" ref="CW21:EO21" si="26">SUM(CW7:CW20)</f>
        <v>261462</v>
      </c>
      <c r="CX21" s="120">
        <f t="shared" si="26"/>
        <v>6364</v>
      </c>
      <c r="CY21" s="163">
        <f t="shared" si="26"/>
        <v>267826</v>
      </c>
      <c r="CZ21" s="162">
        <f t="shared" si="26"/>
        <v>283234</v>
      </c>
      <c r="DA21" s="120">
        <f t="shared" si="26"/>
        <v>6364</v>
      </c>
      <c r="DB21" s="163">
        <f t="shared" si="26"/>
        <v>289598</v>
      </c>
      <c r="DC21" s="162">
        <f t="shared" si="26"/>
        <v>247947</v>
      </c>
      <c r="DD21" s="120">
        <f t="shared" si="26"/>
        <v>6363</v>
      </c>
      <c r="DE21" s="163">
        <f t="shared" si="26"/>
        <v>254310</v>
      </c>
      <c r="DF21" s="162">
        <f t="shared" si="26"/>
        <v>230189</v>
      </c>
      <c r="DG21" s="120">
        <f t="shared" si="26"/>
        <v>6363</v>
      </c>
      <c r="DH21" s="163">
        <f t="shared" si="26"/>
        <v>236552</v>
      </c>
      <c r="DI21" s="162">
        <f t="shared" si="26"/>
        <v>253280</v>
      </c>
      <c r="DJ21" s="120">
        <f t="shared" si="26"/>
        <v>6363</v>
      </c>
      <c r="DK21" s="163">
        <f t="shared" si="26"/>
        <v>259643</v>
      </c>
      <c r="DL21" s="162">
        <f t="shared" si="26"/>
        <v>291063</v>
      </c>
      <c r="DM21" s="120">
        <f t="shared" si="26"/>
        <v>6363</v>
      </c>
      <c r="DN21" s="163">
        <f t="shared" si="26"/>
        <v>297426</v>
      </c>
      <c r="DO21" s="162">
        <f t="shared" si="26"/>
        <v>290299</v>
      </c>
      <c r="DP21" s="120">
        <f t="shared" si="26"/>
        <v>6363</v>
      </c>
      <c r="DQ21" s="163">
        <f t="shared" si="26"/>
        <v>296662</v>
      </c>
      <c r="DR21" s="162">
        <f t="shared" si="26"/>
        <v>294068</v>
      </c>
      <c r="DS21" s="120">
        <f t="shared" si="26"/>
        <v>6363</v>
      </c>
      <c r="DT21" s="163">
        <f t="shared" si="26"/>
        <v>300431</v>
      </c>
      <c r="DU21" s="162">
        <f t="shared" si="26"/>
        <v>304702</v>
      </c>
      <c r="DV21" s="120">
        <f t="shared" si="26"/>
        <v>6363</v>
      </c>
      <c r="DW21" s="163">
        <f t="shared" si="26"/>
        <v>311065</v>
      </c>
      <c r="DX21" s="162">
        <f t="shared" si="26"/>
        <v>317678</v>
      </c>
      <c r="DY21" s="120">
        <f t="shared" si="26"/>
        <v>6363</v>
      </c>
      <c r="DZ21" s="163">
        <f t="shared" si="26"/>
        <v>324041</v>
      </c>
      <c r="EA21" s="162">
        <f t="shared" ref="EA21:EF21" si="27">SUM(EA7:EA20)</f>
        <v>250726</v>
      </c>
      <c r="EB21" s="120">
        <f t="shared" si="27"/>
        <v>6363</v>
      </c>
      <c r="EC21" s="163">
        <f t="shared" si="27"/>
        <v>257089</v>
      </c>
      <c r="ED21" s="162">
        <f t="shared" si="27"/>
        <v>265183</v>
      </c>
      <c r="EE21" s="120">
        <f t="shared" si="27"/>
        <v>6363</v>
      </c>
      <c r="EF21" s="163">
        <f t="shared" si="27"/>
        <v>271546</v>
      </c>
      <c r="EG21" s="120">
        <v>269160</v>
      </c>
      <c r="EH21" s="120">
        <v>6363</v>
      </c>
      <c r="EI21" s="120">
        <v>275523</v>
      </c>
      <c r="EJ21" s="162">
        <f>SUM(EJ7:EJ20)</f>
        <v>274470</v>
      </c>
      <c r="EK21" s="120">
        <f>SUM(EK7:EK20)</f>
        <v>6363</v>
      </c>
      <c r="EL21" s="163">
        <f>SUM(EL7:EL20)</f>
        <v>280833</v>
      </c>
      <c r="EM21" s="162">
        <f t="shared" si="26"/>
        <v>267440</v>
      </c>
      <c r="EN21" s="120">
        <f t="shared" si="26"/>
        <v>6363</v>
      </c>
      <c r="EO21" s="163">
        <f t="shared" si="26"/>
        <v>273803</v>
      </c>
      <c r="EP21" s="162">
        <f t="shared" ref="EP21:FA21" si="28">SUM(EP7:EP20)</f>
        <v>271399</v>
      </c>
      <c r="EQ21" s="120">
        <f t="shared" si="28"/>
        <v>6363</v>
      </c>
      <c r="ER21" s="163">
        <f t="shared" si="28"/>
        <v>277762</v>
      </c>
      <c r="ES21" s="162">
        <f t="shared" si="28"/>
        <v>272734</v>
      </c>
      <c r="ET21" s="120">
        <f t="shared" si="28"/>
        <v>6363</v>
      </c>
      <c r="EU21" s="163">
        <f t="shared" si="28"/>
        <v>279097</v>
      </c>
      <c r="EV21" s="162">
        <f>SUM(EV7:EV20)</f>
        <v>306518</v>
      </c>
      <c r="EW21" s="120">
        <f>SUM(EW7:EW20)</f>
        <v>6363</v>
      </c>
      <c r="EX21" s="163">
        <f>SUM(EX7:EX20)</f>
        <v>312881</v>
      </c>
      <c r="EY21" s="162">
        <f t="shared" si="28"/>
        <v>310389</v>
      </c>
      <c r="EZ21" s="120">
        <f t="shared" si="28"/>
        <v>6363</v>
      </c>
      <c r="FA21" s="163">
        <f t="shared" si="28"/>
        <v>316752</v>
      </c>
    </row>
    <row r="22" spans="1:157" ht="15" hidden="1" customHeight="1" outlineLevel="1" x14ac:dyDescent="0.2">
      <c r="A22" t="s">
        <v>211</v>
      </c>
      <c r="B22" t="s">
        <v>211</v>
      </c>
      <c r="D22" s="317" t="str">
        <f>IF([1]RENAME!$H$3=1,B22,A22)</f>
        <v>Tegma Venezuela S.A. (TV)</v>
      </c>
      <c r="E22" s="318">
        <v>595</v>
      </c>
      <c r="F22" s="311">
        <v>0</v>
      </c>
      <c r="G22" s="331">
        <f>SUM(E22:F22)</f>
        <v>595</v>
      </c>
      <c r="H22" s="318">
        <v>456</v>
      </c>
      <c r="I22" s="311">
        <v>0</v>
      </c>
      <c r="J22" s="331">
        <f>SUM(H22:I22)</f>
        <v>456</v>
      </c>
      <c r="K22" s="318">
        <v>463</v>
      </c>
      <c r="L22" s="311">
        <v>0</v>
      </c>
      <c r="M22" s="331">
        <f>SUM(K22:L22)</f>
        <v>463</v>
      </c>
      <c r="N22" s="318">
        <v>501</v>
      </c>
      <c r="O22" s="311">
        <v>0</v>
      </c>
      <c r="P22" s="331">
        <f>SUM(N22:O22)</f>
        <v>501</v>
      </c>
      <c r="Q22" s="318">
        <v>482</v>
      </c>
      <c r="R22" s="311">
        <v>0</v>
      </c>
      <c r="S22" s="331">
        <f>SUM(Q22:R22)</f>
        <v>482</v>
      </c>
      <c r="T22" s="318">
        <v>797</v>
      </c>
      <c r="U22" s="311">
        <v>797</v>
      </c>
      <c r="V22" s="331">
        <f>SUM(T22:U22)</f>
        <v>1594</v>
      </c>
      <c r="W22" s="318">
        <v>893</v>
      </c>
      <c r="X22" s="311">
        <v>0</v>
      </c>
      <c r="Y22" s="331">
        <f>SUM(W22:X22)</f>
        <v>893</v>
      </c>
      <c r="Z22" s="318">
        <v>1941</v>
      </c>
      <c r="AA22" s="311">
        <v>0</v>
      </c>
      <c r="AB22" s="331">
        <v>1941</v>
      </c>
      <c r="AC22" s="318">
        <v>2244</v>
      </c>
      <c r="AD22" s="311">
        <v>0</v>
      </c>
      <c r="AE22" s="331">
        <f>SUM(AC22:AD22)</f>
        <v>2244</v>
      </c>
      <c r="AF22" s="318">
        <v>827</v>
      </c>
      <c r="AG22" s="311">
        <v>0</v>
      </c>
      <c r="AH22" s="331">
        <f>SUM(AF22:AG22)</f>
        <v>827</v>
      </c>
      <c r="AI22" s="318">
        <v>211</v>
      </c>
      <c r="AJ22" s="311">
        <v>0</v>
      </c>
      <c r="AK22" s="331">
        <f>SUM(AI22:AJ22)</f>
        <v>211</v>
      </c>
      <c r="AL22" s="318">
        <v>211</v>
      </c>
      <c r="AM22" s="311">
        <v>0</v>
      </c>
      <c r="AN22" s="331">
        <v>211</v>
      </c>
      <c r="AO22" s="311">
        <v>0</v>
      </c>
      <c r="AP22" s="311">
        <v>0</v>
      </c>
      <c r="AQ22" s="311">
        <v>0</v>
      </c>
      <c r="AR22" s="318">
        <v>0</v>
      </c>
      <c r="AS22" s="311">
        <v>0</v>
      </c>
      <c r="AT22" s="331">
        <v>0</v>
      </c>
      <c r="AU22" s="311">
        <v>0</v>
      </c>
      <c r="AV22" s="311">
        <v>0</v>
      </c>
      <c r="AW22" s="311">
        <v>0</v>
      </c>
      <c r="AX22" s="318">
        <v>0</v>
      </c>
      <c r="AY22" s="311">
        <v>0</v>
      </c>
      <c r="AZ22" s="331">
        <v>0</v>
      </c>
      <c r="BA22" s="318">
        <v>0</v>
      </c>
      <c r="BB22" s="311">
        <v>0</v>
      </c>
      <c r="BC22" s="331">
        <v>0</v>
      </c>
      <c r="BD22" s="318" t="s">
        <v>160</v>
      </c>
      <c r="BE22" s="311" t="s">
        <v>160</v>
      </c>
      <c r="BF22" s="161">
        <f>SUM(BD22:BE22)</f>
        <v>0</v>
      </c>
      <c r="BG22" s="318" t="s">
        <v>160</v>
      </c>
      <c r="BH22" s="311" t="s">
        <v>160</v>
      </c>
      <c r="BI22" s="331" t="s">
        <v>160</v>
      </c>
      <c r="BJ22" s="318" t="s">
        <v>160</v>
      </c>
      <c r="BK22" s="311" t="s">
        <v>160</v>
      </c>
      <c r="BL22" s="331" t="s">
        <v>160</v>
      </c>
      <c r="BM22" s="318" t="s">
        <v>160</v>
      </c>
      <c r="BN22" s="311" t="s">
        <v>160</v>
      </c>
      <c r="BO22" s="331" t="s">
        <v>160</v>
      </c>
      <c r="BP22" s="318" t="s">
        <v>160</v>
      </c>
      <c r="BQ22" s="311" t="s">
        <v>160</v>
      </c>
      <c r="BR22" s="331" t="s">
        <v>160</v>
      </c>
      <c r="BS22" s="318"/>
      <c r="BT22" s="311"/>
      <c r="BU22" s="331"/>
      <c r="BV22" s="311"/>
      <c r="BW22" s="311"/>
      <c r="BX22" s="311"/>
      <c r="BY22" s="318" t="s">
        <v>160</v>
      </c>
      <c r="BZ22" s="311" t="s">
        <v>160</v>
      </c>
      <c r="CA22" s="331" t="s">
        <v>160</v>
      </c>
      <c r="CB22" s="318" t="s">
        <v>160</v>
      </c>
      <c r="CC22" s="311" t="s">
        <v>160</v>
      </c>
      <c r="CD22" s="331" t="s">
        <v>160</v>
      </c>
      <c r="CE22" s="318" t="s">
        <v>160</v>
      </c>
      <c r="CF22" s="311" t="s">
        <v>160</v>
      </c>
      <c r="CG22" s="331" t="s">
        <v>160</v>
      </c>
      <c r="CH22" s="318" t="s">
        <v>160</v>
      </c>
      <c r="CI22" s="311" t="s">
        <v>160</v>
      </c>
      <c r="CJ22" s="331" t="s">
        <v>160</v>
      </c>
      <c r="CK22" s="318" t="s">
        <v>160</v>
      </c>
      <c r="CL22" s="311" t="s">
        <v>160</v>
      </c>
      <c r="CM22" s="331" t="s">
        <v>160</v>
      </c>
      <c r="CN22" s="318" t="s">
        <v>160</v>
      </c>
      <c r="CO22" s="311" t="s">
        <v>160</v>
      </c>
      <c r="CP22" s="331" t="s">
        <v>160</v>
      </c>
      <c r="CQ22" s="318" t="s">
        <v>160</v>
      </c>
      <c r="CR22" s="311" t="s">
        <v>160</v>
      </c>
      <c r="CS22" s="331" t="s">
        <v>160</v>
      </c>
      <c r="CT22" s="318" t="s">
        <v>160</v>
      </c>
      <c r="CU22" s="311" t="s">
        <v>160</v>
      </c>
      <c r="CV22" s="331" t="s">
        <v>160</v>
      </c>
      <c r="CW22" s="318" t="s">
        <v>160</v>
      </c>
      <c r="CX22" s="311" t="s">
        <v>160</v>
      </c>
      <c r="CY22" s="331" t="s">
        <v>160</v>
      </c>
      <c r="CZ22" s="318" t="s">
        <v>160</v>
      </c>
      <c r="DA22" s="311" t="s">
        <v>160</v>
      </c>
      <c r="DB22" s="331" t="s">
        <v>160</v>
      </c>
      <c r="DC22" s="318" t="s">
        <v>160</v>
      </c>
      <c r="DD22" s="311" t="s">
        <v>160</v>
      </c>
      <c r="DE22" s="331" t="s">
        <v>160</v>
      </c>
      <c r="DF22" s="318" t="s">
        <v>160</v>
      </c>
      <c r="DG22" s="311" t="s">
        <v>160</v>
      </c>
      <c r="DH22" s="331" t="s">
        <v>160</v>
      </c>
      <c r="DI22" s="318" t="s">
        <v>160</v>
      </c>
      <c r="DJ22" s="311" t="s">
        <v>160</v>
      </c>
      <c r="DK22" s="331" t="s">
        <v>160</v>
      </c>
      <c r="DL22" s="318" t="s">
        <v>160</v>
      </c>
      <c r="DM22" s="311" t="s">
        <v>160</v>
      </c>
      <c r="DN22" s="331" t="s">
        <v>160</v>
      </c>
      <c r="DO22" s="318" t="s">
        <v>160</v>
      </c>
      <c r="DP22" s="311" t="s">
        <v>160</v>
      </c>
      <c r="DQ22" s="331" t="s">
        <v>160</v>
      </c>
      <c r="DR22" s="318" t="s">
        <v>160</v>
      </c>
      <c r="DS22" s="311" t="s">
        <v>160</v>
      </c>
      <c r="DT22" s="331" t="s">
        <v>160</v>
      </c>
      <c r="DU22" s="318" t="s">
        <v>160</v>
      </c>
      <c r="DV22" s="311" t="s">
        <v>160</v>
      </c>
      <c r="DW22" s="331" t="s">
        <v>160</v>
      </c>
      <c r="DX22" s="318" t="s">
        <v>160</v>
      </c>
      <c r="DY22" s="311" t="s">
        <v>160</v>
      </c>
      <c r="DZ22" s="331" t="s">
        <v>160</v>
      </c>
      <c r="EA22" s="318" t="s">
        <v>160</v>
      </c>
      <c r="EB22" s="311" t="s">
        <v>160</v>
      </c>
      <c r="EC22" s="331" t="s">
        <v>160</v>
      </c>
      <c r="ED22" s="318" t="s">
        <v>160</v>
      </c>
      <c r="EE22" s="311" t="s">
        <v>160</v>
      </c>
      <c r="EF22" s="331" t="s">
        <v>160</v>
      </c>
      <c r="EG22" s="311" t="s">
        <v>160</v>
      </c>
      <c r="EH22" s="311" t="s">
        <v>160</v>
      </c>
      <c r="EI22" s="311" t="s">
        <v>160</v>
      </c>
      <c r="EJ22" s="318" t="s">
        <v>160</v>
      </c>
      <c r="EK22" s="311" t="s">
        <v>160</v>
      </c>
      <c r="EL22" s="331" t="s">
        <v>160</v>
      </c>
      <c r="EM22" s="318" t="s">
        <v>160</v>
      </c>
      <c r="EN22" s="311" t="s">
        <v>160</v>
      </c>
      <c r="EO22" s="331" t="s">
        <v>160</v>
      </c>
      <c r="EP22" s="318" t="s">
        <v>160</v>
      </c>
      <c r="EQ22" s="311" t="s">
        <v>160</v>
      </c>
      <c r="ER22" s="331" t="s">
        <v>160</v>
      </c>
      <c r="ES22" s="318" t="s">
        <v>160</v>
      </c>
      <c r="ET22" s="311" t="s">
        <v>160</v>
      </c>
      <c r="EU22" s="331" t="s">
        <v>160</v>
      </c>
      <c r="EV22" s="318" t="s">
        <v>160</v>
      </c>
      <c r="EW22" s="311" t="s">
        <v>160</v>
      </c>
      <c r="EX22" s="331" t="s">
        <v>160</v>
      </c>
      <c r="EY22" s="318" t="s">
        <v>160</v>
      </c>
      <c r="EZ22" s="311" t="s">
        <v>160</v>
      </c>
      <c r="FA22" s="331" t="s">
        <v>160</v>
      </c>
    </row>
    <row r="23" spans="1:157" ht="15" hidden="1" customHeight="1" collapsed="1" x14ac:dyDescent="0.2">
      <c r="A23" t="s">
        <v>209</v>
      </c>
      <c r="B23" t="s">
        <v>916</v>
      </c>
      <c r="D23" s="126" t="str">
        <f>IF([1]RENAME!$H$3=1,B23,A23)</f>
        <v>Controle proporcional sem consolidação</v>
      </c>
      <c r="E23" s="162">
        <f t="shared" ref="E23:AJ23" si="29">SUM(E22:E22)</f>
        <v>595</v>
      </c>
      <c r="F23" s="120">
        <f t="shared" si="29"/>
        <v>0</v>
      </c>
      <c r="G23" s="163">
        <f t="shared" si="29"/>
        <v>595</v>
      </c>
      <c r="H23" s="162">
        <f t="shared" si="29"/>
        <v>456</v>
      </c>
      <c r="I23" s="120">
        <f t="shared" si="29"/>
        <v>0</v>
      </c>
      <c r="J23" s="163">
        <f t="shared" si="29"/>
        <v>456</v>
      </c>
      <c r="K23" s="162">
        <f t="shared" si="29"/>
        <v>463</v>
      </c>
      <c r="L23" s="120">
        <f t="shared" si="29"/>
        <v>0</v>
      </c>
      <c r="M23" s="163">
        <f t="shared" si="29"/>
        <v>463</v>
      </c>
      <c r="N23" s="162">
        <f t="shared" si="29"/>
        <v>501</v>
      </c>
      <c r="O23" s="120">
        <f t="shared" si="29"/>
        <v>0</v>
      </c>
      <c r="P23" s="163">
        <f t="shared" si="29"/>
        <v>501</v>
      </c>
      <c r="Q23" s="162">
        <f t="shared" si="29"/>
        <v>482</v>
      </c>
      <c r="R23" s="120">
        <f t="shared" si="29"/>
        <v>0</v>
      </c>
      <c r="S23" s="163">
        <f t="shared" si="29"/>
        <v>482</v>
      </c>
      <c r="T23" s="162">
        <f t="shared" si="29"/>
        <v>797</v>
      </c>
      <c r="U23" s="120">
        <f t="shared" si="29"/>
        <v>797</v>
      </c>
      <c r="V23" s="163">
        <f t="shared" si="29"/>
        <v>1594</v>
      </c>
      <c r="W23" s="162">
        <f t="shared" si="29"/>
        <v>893</v>
      </c>
      <c r="X23" s="120">
        <f t="shared" si="29"/>
        <v>0</v>
      </c>
      <c r="Y23" s="163">
        <f t="shared" si="29"/>
        <v>893</v>
      </c>
      <c r="Z23" s="162">
        <f t="shared" si="29"/>
        <v>1941</v>
      </c>
      <c r="AA23" s="120">
        <f t="shared" si="29"/>
        <v>0</v>
      </c>
      <c r="AB23" s="163">
        <f t="shared" si="29"/>
        <v>1941</v>
      </c>
      <c r="AC23" s="162">
        <f t="shared" si="29"/>
        <v>2244</v>
      </c>
      <c r="AD23" s="120">
        <f t="shared" si="29"/>
        <v>0</v>
      </c>
      <c r="AE23" s="163">
        <f t="shared" si="29"/>
        <v>2244</v>
      </c>
      <c r="AF23" s="162">
        <f t="shared" si="29"/>
        <v>827</v>
      </c>
      <c r="AG23" s="120">
        <f t="shared" si="29"/>
        <v>0</v>
      </c>
      <c r="AH23" s="163">
        <f t="shared" si="29"/>
        <v>827</v>
      </c>
      <c r="AI23" s="162">
        <f t="shared" si="29"/>
        <v>211</v>
      </c>
      <c r="AJ23" s="120">
        <f t="shared" si="29"/>
        <v>0</v>
      </c>
      <c r="AK23" s="163">
        <f t="shared" ref="AK23:BP23" si="30">SUM(AK22:AK22)</f>
        <v>211</v>
      </c>
      <c r="AL23" s="162">
        <f t="shared" si="30"/>
        <v>211</v>
      </c>
      <c r="AM23" s="120">
        <f t="shared" si="30"/>
        <v>0</v>
      </c>
      <c r="AN23" s="163">
        <f t="shared" si="30"/>
        <v>211</v>
      </c>
      <c r="AO23" s="162">
        <f t="shared" si="30"/>
        <v>0</v>
      </c>
      <c r="AP23" s="120">
        <f t="shared" si="30"/>
        <v>0</v>
      </c>
      <c r="AQ23" s="163">
        <f t="shared" si="30"/>
        <v>0</v>
      </c>
      <c r="AR23" s="162">
        <f t="shared" si="30"/>
        <v>0</v>
      </c>
      <c r="AS23" s="120">
        <f t="shared" si="30"/>
        <v>0</v>
      </c>
      <c r="AT23" s="163">
        <f t="shared" si="30"/>
        <v>0</v>
      </c>
      <c r="AU23" s="162">
        <f t="shared" si="30"/>
        <v>0</v>
      </c>
      <c r="AV23" s="120">
        <f t="shared" si="30"/>
        <v>0</v>
      </c>
      <c r="AW23" s="163">
        <f t="shared" si="30"/>
        <v>0</v>
      </c>
      <c r="AX23" s="162">
        <f t="shared" si="30"/>
        <v>0</v>
      </c>
      <c r="AY23" s="120">
        <f t="shared" si="30"/>
        <v>0</v>
      </c>
      <c r="AZ23" s="163">
        <f t="shared" si="30"/>
        <v>0</v>
      </c>
      <c r="BA23" s="162">
        <f t="shared" si="30"/>
        <v>0</v>
      </c>
      <c r="BB23" s="120">
        <f t="shared" si="30"/>
        <v>0</v>
      </c>
      <c r="BC23" s="163">
        <f t="shared" si="30"/>
        <v>0</v>
      </c>
      <c r="BD23" s="162">
        <f t="shared" si="30"/>
        <v>0</v>
      </c>
      <c r="BE23" s="120">
        <f t="shared" si="30"/>
        <v>0</v>
      </c>
      <c r="BF23" s="163">
        <f t="shared" si="30"/>
        <v>0</v>
      </c>
      <c r="BG23" s="162">
        <f t="shared" si="30"/>
        <v>0</v>
      </c>
      <c r="BH23" s="120">
        <f t="shared" si="30"/>
        <v>0</v>
      </c>
      <c r="BI23" s="163">
        <f t="shared" si="30"/>
        <v>0</v>
      </c>
      <c r="BJ23" s="162">
        <f t="shared" si="30"/>
        <v>0</v>
      </c>
      <c r="BK23" s="120">
        <f t="shared" si="30"/>
        <v>0</v>
      </c>
      <c r="BL23" s="163">
        <f t="shared" si="30"/>
        <v>0</v>
      </c>
      <c r="BM23" s="162">
        <f t="shared" si="30"/>
        <v>0</v>
      </c>
      <c r="BN23" s="120">
        <f t="shared" si="30"/>
        <v>0</v>
      </c>
      <c r="BO23" s="163">
        <f t="shared" si="30"/>
        <v>0</v>
      </c>
      <c r="BP23" s="162">
        <f t="shared" si="30"/>
        <v>0</v>
      </c>
      <c r="BQ23" s="120">
        <f t="shared" ref="BQ23:CP23" si="31">SUM(BQ22:BQ22)</f>
        <v>0</v>
      </c>
      <c r="BR23" s="163">
        <f t="shared" si="31"/>
        <v>0</v>
      </c>
      <c r="BS23" s="162">
        <f t="shared" si="31"/>
        <v>0</v>
      </c>
      <c r="BT23" s="120">
        <f t="shared" si="31"/>
        <v>0</v>
      </c>
      <c r="BU23" s="163">
        <f t="shared" si="31"/>
        <v>0</v>
      </c>
      <c r="BV23" s="162">
        <f t="shared" si="31"/>
        <v>0</v>
      </c>
      <c r="BW23" s="120">
        <f t="shared" si="31"/>
        <v>0</v>
      </c>
      <c r="BX23" s="163">
        <f t="shared" si="31"/>
        <v>0</v>
      </c>
      <c r="BY23" s="162">
        <f t="shared" si="31"/>
        <v>0</v>
      </c>
      <c r="BZ23" s="120">
        <f t="shared" si="31"/>
        <v>0</v>
      </c>
      <c r="CA23" s="163">
        <f t="shared" si="31"/>
        <v>0</v>
      </c>
      <c r="CB23" s="162">
        <f t="shared" si="31"/>
        <v>0</v>
      </c>
      <c r="CC23" s="120">
        <f t="shared" si="31"/>
        <v>0</v>
      </c>
      <c r="CD23" s="163">
        <f t="shared" si="31"/>
        <v>0</v>
      </c>
      <c r="CE23" s="162">
        <f t="shared" si="31"/>
        <v>0</v>
      </c>
      <c r="CF23" s="120">
        <f t="shared" si="31"/>
        <v>0</v>
      </c>
      <c r="CG23" s="163">
        <f t="shared" si="31"/>
        <v>0</v>
      </c>
      <c r="CH23" s="162">
        <f t="shared" si="31"/>
        <v>0</v>
      </c>
      <c r="CI23" s="120">
        <f t="shared" si="31"/>
        <v>0</v>
      </c>
      <c r="CJ23" s="163">
        <f t="shared" si="31"/>
        <v>0</v>
      </c>
      <c r="CK23" s="162">
        <f t="shared" si="31"/>
        <v>0</v>
      </c>
      <c r="CL23" s="120">
        <f t="shared" si="31"/>
        <v>0</v>
      </c>
      <c r="CM23" s="163">
        <f t="shared" si="31"/>
        <v>0</v>
      </c>
      <c r="CN23" s="162">
        <f t="shared" si="31"/>
        <v>0</v>
      </c>
      <c r="CO23" s="120">
        <f t="shared" si="31"/>
        <v>0</v>
      </c>
      <c r="CP23" s="163">
        <f t="shared" si="31"/>
        <v>0</v>
      </c>
      <c r="CQ23" s="162">
        <f>SUM(CQ22:CQ22)</f>
        <v>0</v>
      </c>
      <c r="CR23" s="120">
        <f>SUM(CR22:CR22)</f>
        <v>0</v>
      </c>
      <c r="CS23" s="163">
        <f>SUM(CS22:CS22)</f>
        <v>0</v>
      </c>
      <c r="CT23" s="162">
        <v>0</v>
      </c>
      <c r="CU23" s="120">
        <v>0</v>
      </c>
      <c r="CV23" s="163">
        <v>0</v>
      </c>
      <c r="CW23" s="162">
        <f t="shared" ref="CW23:DE23" si="32">SUM(CW22:CW22)</f>
        <v>0</v>
      </c>
      <c r="CX23" s="120">
        <f t="shared" si="32"/>
        <v>0</v>
      </c>
      <c r="CY23" s="163">
        <f t="shared" si="32"/>
        <v>0</v>
      </c>
      <c r="CZ23" s="162">
        <f>SUM(CZ22:CZ22)</f>
        <v>0</v>
      </c>
      <c r="DA23" s="120">
        <f>SUM(DA22:DA22)</f>
        <v>0</v>
      </c>
      <c r="DB23" s="163">
        <f>SUM(DB22:DB22)</f>
        <v>0</v>
      </c>
      <c r="DC23" s="162">
        <f t="shared" si="32"/>
        <v>0</v>
      </c>
      <c r="DD23" s="120">
        <f t="shared" si="32"/>
        <v>0</v>
      </c>
      <c r="DE23" s="163">
        <f t="shared" si="32"/>
        <v>0</v>
      </c>
      <c r="DF23" s="162">
        <f t="shared" ref="DF23:DZ23" si="33">SUM(DF22:DF22)</f>
        <v>0</v>
      </c>
      <c r="DG23" s="120">
        <f t="shared" si="33"/>
        <v>0</v>
      </c>
      <c r="DH23" s="163">
        <f t="shared" si="33"/>
        <v>0</v>
      </c>
      <c r="DI23" s="162">
        <f t="shared" si="33"/>
        <v>0</v>
      </c>
      <c r="DJ23" s="120">
        <f t="shared" si="33"/>
        <v>0</v>
      </c>
      <c r="DK23" s="163">
        <f t="shared" si="33"/>
        <v>0</v>
      </c>
      <c r="DL23" s="162">
        <f t="shared" si="33"/>
        <v>0</v>
      </c>
      <c r="DM23" s="120">
        <f t="shared" si="33"/>
        <v>0</v>
      </c>
      <c r="DN23" s="163">
        <f t="shared" si="33"/>
        <v>0</v>
      </c>
      <c r="DO23" s="162">
        <f t="shared" si="33"/>
        <v>0</v>
      </c>
      <c r="DP23" s="120">
        <f t="shared" si="33"/>
        <v>0</v>
      </c>
      <c r="DQ23" s="163">
        <f t="shared" si="33"/>
        <v>0</v>
      </c>
      <c r="DR23" s="162">
        <f t="shared" si="33"/>
        <v>0</v>
      </c>
      <c r="DS23" s="120">
        <f t="shared" si="33"/>
        <v>0</v>
      </c>
      <c r="DT23" s="163">
        <f t="shared" si="33"/>
        <v>0</v>
      </c>
      <c r="DU23" s="162">
        <f t="shared" si="33"/>
        <v>0</v>
      </c>
      <c r="DV23" s="120">
        <f t="shared" si="33"/>
        <v>0</v>
      </c>
      <c r="DW23" s="163">
        <f t="shared" si="33"/>
        <v>0</v>
      </c>
      <c r="DX23" s="162">
        <f t="shared" si="33"/>
        <v>0</v>
      </c>
      <c r="DY23" s="120">
        <f t="shared" si="33"/>
        <v>0</v>
      </c>
      <c r="DZ23" s="163">
        <f t="shared" si="33"/>
        <v>0</v>
      </c>
      <c r="EA23" s="162">
        <f t="shared" ref="EA23:EF23" si="34">SUM(EA22:EA22)</f>
        <v>0</v>
      </c>
      <c r="EB23" s="120">
        <f t="shared" si="34"/>
        <v>0</v>
      </c>
      <c r="EC23" s="163">
        <f t="shared" si="34"/>
        <v>0</v>
      </c>
      <c r="ED23" s="162">
        <f t="shared" si="34"/>
        <v>0</v>
      </c>
      <c r="EE23" s="120">
        <f t="shared" si="34"/>
        <v>0</v>
      </c>
      <c r="EF23" s="163">
        <f t="shared" si="34"/>
        <v>0</v>
      </c>
      <c r="EG23" s="120">
        <v>0</v>
      </c>
      <c r="EH23" s="120">
        <v>0</v>
      </c>
      <c r="EI23" s="120">
        <v>0</v>
      </c>
      <c r="EJ23" s="162">
        <f t="shared" ref="EJ23:FA23" si="35">SUM(EJ22:EJ22)</f>
        <v>0</v>
      </c>
      <c r="EK23" s="120">
        <f t="shared" si="35"/>
        <v>0</v>
      </c>
      <c r="EL23" s="163">
        <f t="shared" si="35"/>
        <v>0</v>
      </c>
      <c r="EM23" s="162">
        <f t="shared" si="35"/>
        <v>0</v>
      </c>
      <c r="EN23" s="120">
        <f t="shared" si="35"/>
        <v>0</v>
      </c>
      <c r="EO23" s="163">
        <f t="shared" si="35"/>
        <v>0</v>
      </c>
      <c r="EP23" s="162">
        <f t="shared" si="35"/>
        <v>0</v>
      </c>
      <c r="EQ23" s="120">
        <f t="shared" si="35"/>
        <v>0</v>
      </c>
      <c r="ER23" s="163">
        <f t="shared" si="35"/>
        <v>0</v>
      </c>
      <c r="ES23" s="162">
        <f t="shared" si="35"/>
        <v>0</v>
      </c>
      <c r="ET23" s="120">
        <f t="shared" si="35"/>
        <v>0</v>
      </c>
      <c r="EU23" s="163">
        <f t="shared" si="35"/>
        <v>0</v>
      </c>
      <c r="EV23" s="162">
        <f>SUM(EV22:EV22)</f>
        <v>0</v>
      </c>
      <c r="EW23" s="120">
        <f>SUM(EW22:EW22)</f>
        <v>0</v>
      </c>
      <c r="EX23" s="163">
        <f>SUM(EX22:EX22)</f>
        <v>0</v>
      </c>
      <c r="EY23" s="162">
        <f t="shared" si="35"/>
        <v>0</v>
      </c>
      <c r="EZ23" s="120">
        <f t="shared" si="35"/>
        <v>0</v>
      </c>
      <c r="FA23" s="163">
        <f t="shared" si="35"/>
        <v>0</v>
      </c>
    </row>
    <row r="24" spans="1:157" ht="15" customHeight="1" x14ac:dyDescent="0.2">
      <c r="A24" t="s">
        <v>1297</v>
      </c>
      <c r="B24" t="s">
        <v>1321</v>
      </c>
      <c r="D24" s="126" t="str">
        <f>IF([1]RENAME!$H$3=1,B24,A24)</f>
        <v>Empreendimento controlado em conjunto</v>
      </c>
      <c r="E24" s="162"/>
      <c r="F24" s="120"/>
      <c r="G24" s="163"/>
      <c r="H24" s="162"/>
      <c r="I24" s="120"/>
      <c r="J24" s="163"/>
      <c r="K24" s="162"/>
      <c r="L24" s="120"/>
      <c r="M24" s="163"/>
      <c r="N24" s="162"/>
      <c r="O24" s="120"/>
      <c r="P24" s="163"/>
      <c r="Q24" s="162"/>
      <c r="R24" s="120"/>
      <c r="S24" s="163"/>
      <c r="T24" s="162"/>
      <c r="U24" s="120"/>
      <c r="V24" s="163"/>
      <c r="W24" s="162"/>
      <c r="X24" s="120"/>
      <c r="Y24" s="163"/>
      <c r="Z24" s="162"/>
      <c r="AA24" s="120"/>
      <c r="AB24" s="163"/>
      <c r="AC24" s="162"/>
      <c r="AD24" s="120"/>
      <c r="AE24" s="163"/>
      <c r="AF24" s="653">
        <f t="shared" ref="AF24:CQ24" si="36">SUM(AF25:AF26)</f>
        <v>3475</v>
      </c>
      <c r="AG24" s="207">
        <f t="shared" si="36"/>
        <v>1365</v>
      </c>
      <c r="AH24" s="654">
        <f t="shared" si="36"/>
        <v>4840</v>
      </c>
      <c r="AI24" s="653">
        <f t="shared" si="36"/>
        <v>3187</v>
      </c>
      <c r="AJ24" s="207">
        <f t="shared" si="36"/>
        <v>1365</v>
      </c>
      <c r="AK24" s="654">
        <f t="shared" si="36"/>
        <v>4552</v>
      </c>
      <c r="AL24" s="653">
        <f t="shared" si="36"/>
        <v>3168</v>
      </c>
      <c r="AM24" s="207">
        <f t="shared" si="36"/>
        <v>1365</v>
      </c>
      <c r="AN24" s="654">
        <f t="shared" si="36"/>
        <v>4533</v>
      </c>
      <c r="AO24" s="653">
        <f t="shared" si="36"/>
        <v>2999</v>
      </c>
      <c r="AP24" s="207">
        <f t="shared" si="36"/>
        <v>1365</v>
      </c>
      <c r="AQ24" s="654">
        <f t="shared" si="36"/>
        <v>4364</v>
      </c>
      <c r="AR24" s="653">
        <f t="shared" si="36"/>
        <v>2984</v>
      </c>
      <c r="AS24" s="207">
        <f t="shared" si="36"/>
        <v>1365</v>
      </c>
      <c r="AT24" s="654">
        <f t="shared" si="36"/>
        <v>4349</v>
      </c>
      <c r="AU24" s="653">
        <f t="shared" si="36"/>
        <v>1340</v>
      </c>
      <c r="AV24" s="207">
        <f t="shared" si="36"/>
        <v>0</v>
      </c>
      <c r="AW24" s="654">
        <f t="shared" si="36"/>
        <v>1340</v>
      </c>
      <c r="AX24" s="653">
        <f t="shared" si="36"/>
        <v>1382</v>
      </c>
      <c r="AY24" s="207">
        <f t="shared" si="36"/>
        <v>0</v>
      </c>
      <c r="AZ24" s="654">
        <f t="shared" si="36"/>
        <v>1382</v>
      </c>
      <c r="BA24" s="653">
        <f t="shared" si="36"/>
        <v>1978</v>
      </c>
      <c r="BB24" s="207">
        <f t="shared" si="36"/>
        <v>0</v>
      </c>
      <c r="BC24" s="654">
        <f t="shared" si="36"/>
        <v>1978</v>
      </c>
      <c r="BD24" s="162">
        <f t="shared" si="36"/>
        <v>19190</v>
      </c>
      <c r="BE24" s="120">
        <f t="shared" si="36"/>
        <v>16693</v>
      </c>
      <c r="BF24" s="163">
        <f t="shared" si="36"/>
        <v>35883</v>
      </c>
      <c r="BG24" s="162">
        <f t="shared" si="36"/>
        <v>18720</v>
      </c>
      <c r="BH24" s="120">
        <f t="shared" si="36"/>
        <v>16693</v>
      </c>
      <c r="BI24" s="163">
        <f t="shared" si="36"/>
        <v>35413</v>
      </c>
      <c r="BJ24" s="162">
        <f t="shared" si="36"/>
        <v>18571</v>
      </c>
      <c r="BK24" s="120">
        <f t="shared" si="36"/>
        <v>16693</v>
      </c>
      <c r="BL24" s="163">
        <f t="shared" si="36"/>
        <v>35264</v>
      </c>
      <c r="BM24" s="162">
        <f t="shared" si="36"/>
        <v>19251</v>
      </c>
      <c r="BN24" s="120">
        <f t="shared" si="36"/>
        <v>16693</v>
      </c>
      <c r="BO24" s="163">
        <f t="shared" si="36"/>
        <v>35944</v>
      </c>
      <c r="BP24" s="162">
        <f t="shared" si="36"/>
        <v>18637</v>
      </c>
      <c r="BQ24" s="120">
        <f t="shared" si="36"/>
        <v>16693</v>
      </c>
      <c r="BR24" s="163">
        <f t="shared" si="36"/>
        <v>35330</v>
      </c>
      <c r="BS24" s="162">
        <f t="shared" si="36"/>
        <v>18777</v>
      </c>
      <c r="BT24" s="120">
        <f t="shared" si="36"/>
        <v>16693</v>
      </c>
      <c r="BU24" s="163">
        <f t="shared" si="36"/>
        <v>35470</v>
      </c>
      <c r="BV24" s="162">
        <f t="shared" si="36"/>
        <v>19301</v>
      </c>
      <c r="BW24" s="120">
        <f t="shared" si="36"/>
        <v>16693</v>
      </c>
      <c r="BX24" s="163">
        <f t="shared" si="36"/>
        <v>35994</v>
      </c>
      <c r="BY24" s="162">
        <f t="shared" si="36"/>
        <v>21650</v>
      </c>
      <c r="BZ24" s="120">
        <f t="shared" si="36"/>
        <v>16693</v>
      </c>
      <c r="CA24" s="163">
        <f t="shared" si="36"/>
        <v>38343</v>
      </c>
      <c r="CB24" s="162">
        <f t="shared" si="36"/>
        <v>23044</v>
      </c>
      <c r="CC24" s="120">
        <f t="shared" si="36"/>
        <v>16693</v>
      </c>
      <c r="CD24" s="163">
        <f t="shared" si="36"/>
        <v>39737</v>
      </c>
      <c r="CE24" s="162">
        <f t="shared" si="36"/>
        <v>23889</v>
      </c>
      <c r="CF24" s="120">
        <f t="shared" si="36"/>
        <v>16693</v>
      </c>
      <c r="CG24" s="163">
        <f t="shared" si="36"/>
        <v>40582</v>
      </c>
      <c r="CH24" s="162">
        <f t="shared" si="36"/>
        <v>22746</v>
      </c>
      <c r="CI24" s="120">
        <f t="shared" si="36"/>
        <v>21157</v>
      </c>
      <c r="CJ24" s="163">
        <f t="shared" si="36"/>
        <v>43903</v>
      </c>
      <c r="CK24" s="162">
        <f t="shared" si="36"/>
        <v>20584</v>
      </c>
      <c r="CL24" s="120">
        <f t="shared" si="36"/>
        <v>16693</v>
      </c>
      <c r="CM24" s="163">
        <f t="shared" si="36"/>
        <v>37277</v>
      </c>
      <c r="CN24" s="162">
        <f t="shared" si="36"/>
        <v>21395</v>
      </c>
      <c r="CO24" s="120">
        <f t="shared" si="36"/>
        <v>20174</v>
      </c>
      <c r="CP24" s="163">
        <f t="shared" si="36"/>
        <v>41569</v>
      </c>
      <c r="CQ24" s="162">
        <f t="shared" si="36"/>
        <v>21974</v>
      </c>
      <c r="CR24" s="120">
        <f t="shared" ref="CR24:DT24" si="37">SUM(CR25:CR26)</f>
        <v>16693</v>
      </c>
      <c r="CS24" s="163">
        <f t="shared" si="37"/>
        <v>38667</v>
      </c>
      <c r="CT24" s="162">
        <f t="shared" si="37"/>
        <v>21132</v>
      </c>
      <c r="CU24" s="120">
        <f t="shared" si="37"/>
        <v>16693</v>
      </c>
      <c r="CV24" s="163">
        <f t="shared" si="37"/>
        <v>37825</v>
      </c>
      <c r="CW24" s="162">
        <f t="shared" si="37"/>
        <v>23380</v>
      </c>
      <c r="CX24" s="120">
        <f t="shared" si="37"/>
        <v>26537</v>
      </c>
      <c r="CY24" s="163">
        <f t="shared" si="37"/>
        <v>43554</v>
      </c>
      <c r="CZ24" s="162">
        <f t="shared" si="37"/>
        <v>25249</v>
      </c>
      <c r="DA24" s="120">
        <f t="shared" si="37"/>
        <v>16693</v>
      </c>
      <c r="DB24" s="163">
        <f t="shared" si="37"/>
        <v>41942</v>
      </c>
      <c r="DC24" s="162">
        <f t="shared" si="37"/>
        <v>26060</v>
      </c>
      <c r="DD24" s="120">
        <f t="shared" si="37"/>
        <v>16693</v>
      </c>
      <c r="DE24" s="163">
        <f t="shared" si="37"/>
        <v>42753</v>
      </c>
      <c r="DF24" s="162">
        <f t="shared" si="37"/>
        <v>23191</v>
      </c>
      <c r="DG24" s="120">
        <f t="shared" si="37"/>
        <v>16693</v>
      </c>
      <c r="DH24" s="163">
        <f t="shared" si="37"/>
        <v>39884</v>
      </c>
      <c r="DI24" s="162">
        <f t="shared" si="37"/>
        <v>24368</v>
      </c>
      <c r="DJ24" s="120">
        <f t="shared" si="37"/>
        <v>16693</v>
      </c>
      <c r="DK24" s="163">
        <f t="shared" si="37"/>
        <v>41061</v>
      </c>
      <c r="DL24" s="162">
        <f t="shared" si="37"/>
        <v>26099</v>
      </c>
      <c r="DM24" s="120">
        <f t="shared" si="37"/>
        <v>16693</v>
      </c>
      <c r="DN24" s="163">
        <f t="shared" si="37"/>
        <v>42792</v>
      </c>
      <c r="DO24" s="162">
        <f t="shared" si="37"/>
        <v>26316</v>
      </c>
      <c r="DP24" s="120">
        <f t="shared" si="37"/>
        <v>16693</v>
      </c>
      <c r="DQ24" s="163">
        <f t="shared" si="37"/>
        <v>50684</v>
      </c>
      <c r="DR24" s="162">
        <f t="shared" si="37"/>
        <v>27505</v>
      </c>
      <c r="DS24" s="120">
        <f t="shared" si="37"/>
        <v>16693</v>
      </c>
      <c r="DT24" s="163">
        <f t="shared" si="37"/>
        <v>44198</v>
      </c>
      <c r="DU24" s="162">
        <f t="shared" ref="DU24:EF24" si="38">SUM(DU25:DU26)</f>
        <v>26508</v>
      </c>
      <c r="DV24" s="120">
        <f t="shared" si="38"/>
        <v>16693</v>
      </c>
      <c r="DW24" s="163">
        <f t="shared" si="38"/>
        <v>43201</v>
      </c>
      <c r="DX24" s="162">
        <f t="shared" si="38"/>
        <v>33149</v>
      </c>
      <c r="DY24" s="120">
        <f t="shared" si="38"/>
        <v>16693</v>
      </c>
      <c r="DZ24" s="163">
        <f t="shared" si="38"/>
        <v>49842</v>
      </c>
      <c r="EA24" s="162">
        <f t="shared" si="38"/>
        <v>39565</v>
      </c>
      <c r="EB24" s="120">
        <f t="shared" si="38"/>
        <v>16693</v>
      </c>
      <c r="EC24" s="163">
        <f t="shared" si="38"/>
        <v>56258</v>
      </c>
      <c r="ED24" s="162">
        <f t="shared" si="38"/>
        <v>29901</v>
      </c>
      <c r="EE24" s="120">
        <f t="shared" si="38"/>
        <v>16693</v>
      </c>
      <c r="EF24" s="163">
        <f t="shared" si="38"/>
        <v>46594</v>
      </c>
      <c r="EG24" s="120">
        <v>29652</v>
      </c>
      <c r="EH24" s="120">
        <v>16693</v>
      </c>
      <c r="EI24" s="120">
        <v>46345</v>
      </c>
      <c r="EJ24" s="162">
        <f>SUM(EJ25:EJ26)</f>
        <v>36360</v>
      </c>
      <c r="EK24" s="120">
        <f>SUM(EK25:EK26)</f>
        <v>16693</v>
      </c>
      <c r="EL24" s="163">
        <f>+SUM(EJ24:EK24)</f>
        <v>53053</v>
      </c>
      <c r="EM24" s="162">
        <f t="shared" ref="EM24:FA24" si="39">SUM(EM25:EM26)</f>
        <v>40164</v>
      </c>
      <c r="EN24" s="120">
        <f t="shared" si="39"/>
        <v>16693</v>
      </c>
      <c r="EO24" s="163">
        <f t="shared" si="39"/>
        <v>56857</v>
      </c>
      <c r="EP24" s="162">
        <f t="shared" si="39"/>
        <v>43176</v>
      </c>
      <c r="EQ24" s="120">
        <f t="shared" si="39"/>
        <v>16693</v>
      </c>
      <c r="ER24" s="163">
        <f t="shared" si="39"/>
        <v>59869</v>
      </c>
      <c r="ES24" s="162">
        <f t="shared" si="39"/>
        <v>33220</v>
      </c>
      <c r="ET24" s="120">
        <f t="shared" si="39"/>
        <v>16693</v>
      </c>
      <c r="EU24" s="163">
        <f t="shared" si="39"/>
        <v>49913</v>
      </c>
      <c r="EV24" s="162">
        <f>SUM(EV25:EV26)</f>
        <v>34768</v>
      </c>
      <c r="EW24" s="120">
        <f>SUM(EW25:EW26)</f>
        <v>16693</v>
      </c>
      <c r="EX24" s="163">
        <f>SUM(EX25:EX26)</f>
        <v>51461</v>
      </c>
      <c r="EY24" s="162">
        <f t="shared" si="39"/>
        <v>40525</v>
      </c>
      <c r="EZ24" s="120">
        <f t="shared" si="39"/>
        <v>16693</v>
      </c>
      <c r="FA24" s="163">
        <f t="shared" si="39"/>
        <v>57218</v>
      </c>
    </row>
    <row r="25" spans="1:157" ht="15" customHeight="1" x14ac:dyDescent="0.2">
      <c r="D25" s="129" t="s">
        <v>1322</v>
      </c>
      <c r="E25" s="160"/>
      <c r="F25" s="118"/>
      <c r="G25" s="161"/>
      <c r="H25" s="160"/>
      <c r="I25" s="118"/>
      <c r="J25" s="161"/>
      <c r="K25" s="160"/>
      <c r="L25" s="118"/>
      <c r="M25" s="161"/>
      <c r="N25" s="160"/>
      <c r="O25" s="118"/>
      <c r="P25" s="161"/>
      <c r="Q25" s="160"/>
      <c r="R25" s="118"/>
      <c r="S25" s="161"/>
      <c r="T25" s="160"/>
      <c r="U25" s="118"/>
      <c r="V25" s="161"/>
      <c r="W25" s="160"/>
      <c r="X25" s="118"/>
      <c r="Y25" s="161"/>
      <c r="Z25" s="160"/>
      <c r="AA25" s="118"/>
      <c r="AB25" s="161"/>
      <c r="AC25" s="160"/>
      <c r="AD25" s="118"/>
      <c r="AE25" s="161"/>
      <c r="AF25" s="160" t="s">
        <v>160</v>
      </c>
      <c r="AG25" s="118" t="s">
        <v>160</v>
      </c>
      <c r="AH25" s="161" t="s">
        <v>160</v>
      </c>
      <c r="AI25" s="160" t="s">
        <v>160</v>
      </c>
      <c r="AJ25" s="118" t="s">
        <v>160</v>
      </c>
      <c r="AK25" s="161" t="s">
        <v>160</v>
      </c>
      <c r="AL25" s="160" t="s">
        <v>160</v>
      </c>
      <c r="AM25" s="118" t="s">
        <v>160</v>
      </c>
      <c r="AN25" s="161" t="s">
        <v>160</v>
      </c>
      <c r="AO25" s="118" t="s">
        <v>160</v>
      </c>
      <c r="AP25" s="118" t="s">
        <v>160</v>
      </c>
      <c r="AQ25" s="118" t="s">
        <v>160</v>
      </c>
      <c r="AR25" s="160" t="s">
        <v>160</v>
      </c>
      <c r="AS25" s="118" t="s">
        <v>160</v>
      </c>
      <c r="AT25" s="161" t="s">
        <v>160</v>
      </c>
      <c r="AU25" s="118" t="s">
        <v>160</v>
      </c>
      <c r="AV25" s="118" t="s">
        <v>160</v>
      </c>
      <c r="AW25" s="118" t="s">
        <v>160</v>
      </c>
      <c r="AX25" s="160" t="s">
        <v>160</v>
      </c>
      <c r="AY25" s="118" t="s">
        <v>160</v>
      </c>
      <c r="AZ25" s="161" t="s">
        <v>160</v>
      </c>
      <c r="BA25" s="160" t="s">
        <v>160</v>
      </c>
      <c r="BB25" s="118" t="s">
        <v>160</v>
      </c>
      <c r="BC25" s="161" t="s">
        <v>160</v>
      </c>
      <c r="BD25" s="160">
        <v>17105</v>
      </c>
      <c r="BE25" s="118">
        <v>16693</v>
      </c>
      <c r="BF25" s="161">
        <f>+SUM(BC25:BE25)</f>
        <v>33798</v>
      </c>
      <c r="BG25" s="160">
        <v>16867</v>
      </c>
      <c r="BH25" s="118">
        <v>16693</v>
      </c>
      <c r="BI25" s="161">
        <f>+SUM(BG25:BH25)</f>
        <v>33560</v>
      </c>
      <c r="BJ25" s="160">
        <v>17132</v>
      </c>
      <c r="BK25" s="118">
        <v>16693</v>
      </c>
      <c r="BL25" s="161">
        <f>+SUM(BJ25:BK25)</f>
        <v>33825</v>
      </c>
      <c r="BM25" s="160">
        <v>17838</v>
      </c>
      <c r="BN25" s="118">
        <v>16693</v>
      </c>
      <c r="BO25" s="161">
        <f>+SUM(BM25:BN25)</f>
        <v>34531</v>
      </c>
      <c r="BP25" s="160">
        <v>17408</v>
      </c>
      <c r="BQ25" s="118">
        <v>16693</v>
      </c>
      <c r="BR25" s="161">
        <v>34101</v>
      </c>
      <c r="BS25" s="160">
        <v>17931</v>
      </c>
      <c r="BT25" s="118">
        <v>16693</v>
      </c>
      <c r="BU25" s="161">
        <f>+SUM(BS25:BT25)</f>
        <v>34624</v>
      </c>
      <c r="BV25" s="160">
        <v>18777</v>
      </c>
      <c r="BW25" s="118">
        <v>16693</v>
      </c>
      <c r="BX25" s="161">
        <v>35470</v>
      </c>
      <c r="BY25" s="160">
        <v>21157</v>
      </c>
      <c r="BZ25" s="118">
        <v>16693</v>
      </c>
      <c r="CA25" s="161">
        <v>37850</v>
      </c>
      <c r="CB25" s="160">
        <v>22621</v>
      </c>
      <c r="CC25" s="118">
        <v>16693</v>
      </c>
      <c r="CD25" s="161">
        <v>39314</v>
      </c>
      <c r="CE25" s="160">
        <v>23531</v>
      </c>
      <c r="CF25" s="118">
        <v>16693</v>
      </c>
      <c r="CG25" s="161">
        <v>40224</v>
      </c>
      <c r="CH25" s="160">
        <v>22317</v>
      </c>
      <c r="CI25" s="118">
        <v>21157</v>
      </c>
      <c r="CJ25" s="161">
        <f>+SUM(CH25:CI25)</f>
        <v>43474</v>
      </c>
      <c r="CK25" s="160">
        <v>20174</v>
      </c>
      <c r="CL25" s="118">
        <v>16693</v>
      </c>
      <c r="CM25" s="161">
        <v>36867</v>
      </c>
      <c r="CN25" s="160">
        <v>20992</v>
      </c>
      <c r="CO25" s="118">
        <v>20174</v>
      </c>
      <c r="CP25" s="161">
        <f>+SUM(CN25:CO25)</f>
        <v>41166</v>
      </c>
      <c r="CQ25" s="160">
        <v>21576</v>
      </c>
      <c r="CR25" s="118">
        <v>16693</v>
      </c>
      <c r="CS25" s="161">
        <f>+SUM(CQ25:CR25)</f>
        <v>38269</v>
      </c>
      <c r="CT25" s="160">
        <v>20806</v>
      </c>
      <c r="CU25" s="118">
        <v>16693</v>
      </c>
      <c r="CV25" s="161">
        <v>37499</v>
      </c>
      <c r="CW25" s="160">
        <v>20265</v>
      </c>
      <c r="CX25" s="118">
        <v>20174</v>
      </c>
      <c r="CY25" s="161">
        <f>+SUM(CW25:CX25)</f>
        <v>40439</v>
      </c>
      <c r="CZ25" s="160">
        <v>22108</v>
      </c>
      <c r="DA25" s="118">
        <v>16693</v>
      </c>
      <c r="DB25" s="161">
        <f>+SUM(CZ25:DA25)</f>
        <v>38801</v>
      </c>
      <c r="DC25" s="160">
        <v>22890</v>
      </c>
      <c r="DD25" s="118">
        <v>16693</v>
      </c>
      <c r="DE25" s="161">
        <v>39583</v>
      </c>
      <c r="DF25" s="160">
        <v>23191</v>
      </c>
      <c r="DG25" s="118">
        <v>16693</v>
      </c>
      <c r="DH25" s="161">
        <f>+SUM(DF25:DG25)</f>
        <v>39884</v>
      </c>
      <c r="DI25" s="160">
        <v>24368</v>
      </c>
      <c r="DJ25" s="118">
        <v>16693</v>
      </c>
      <c r="DK25" s="161">
        <f>+SUM(DI25:DJ25)</f>
        <v>41061</v>
      </c>
      <c r="DL25" s="160">
        <v>26099</v>
      </c>
      <c r="DM25" s="118">
        <v>16693</v>
      </c>
      <c r="DN25" s="161">
        <f>+SUM(DL25:DM25)</f>
        <v>42792</v>
      </c>
      <c r="DO25" s="160">
        <v>26316</v>
      </c>
      <c r="DP25" s="118">
        <v>16693</v>
      </c>
      <c r="DQ25" s="161">
        <v>50684</v>
      </c>
      <c r="DR25" s="160">
        <v>27505</v>
      </c>
      <c r="DS25" s="118">
        <v>16693</v>
      </c>
      <c r="DT25" s="161">
        <v>44198</v>
      </c>
      <c r="DU25" s="160">
        <v>26508</v>
      </c>
      <c r="DV25" s="118">
        <v>16693</v>
      </c>
      <c r="DW25" s="161">
        <v>43201</v>
      </c>
      <c r="DX25" s="160">
        <v>33149</v>
      </c>
      <c r="DY25" s="118">
        <v>16693</v>
      </c>
      <c r="DZ25" s="161">
        <f>+SUM(DX25:DY25)</f>
        <v>49842</v>
      </c>
      <c r="EA25" s="160">
        <v>39565</v>
      </c>
      <c r="EB25" s="118">
        <v>16693</v>
      </c>
      <c r="EC25" s="161">
        <f>+SUM(EA25:EB25)</f>
        <v>56258</v>
      </c>
      <c r="ED25" s="160">
        <v>29901</v>
      </c>
      <c r="EE25" s="118">
        <v>16693</v>
      </c>
      <c r="EF25" s="161">
        <f>+SUM(ED25:EE25)</f>
        <v>46594</v>
      </c>
      <c r="EG25" s="118">
        <v>29652</v>
      </c>
      <c r="EH25" s="118">
        <v>16693</v>
      </c>
      <c r="EI25" s="118">
        <v>46345</v>
      </c>
      <c r="EJ25" s="160">
        <v>36360</v>
      </c>
      <c r="EK25" s="118">
        <v>16693</v>
      </c>
      <c r="EL25" s="118">
        <f>+SUM(EJ25:EK25)</f>
        <v>53053</v>
      </c>
      <c r="EM25" s="160">
        <v>40164</v>
      </c>
      <c r="EN25" s="118">
        <v>16693</v>
      </c>
      <c r="EO25" s="161">
        <f>+SUM(EM25:EN25)</f>
        <v>56857</v>
      </c>
      <c r="EP25" s="160">
        <v>43176</v>
      </c>
      <c r="EQ25" s="118">
        <v>16693</v>
      </c>
      <c r="ER25" s="161">
        <v>59869</v>
      </c>
      <c r="ES25" s="160">
        <v>33220</v>
      </c>
      <c r="ET25" s="118">
        <v>16693</v>
      </c>
      <c r="EU25" s="161">
        <v>49913</v>
      </c>
      <c r="EV25" s="160">
        <v>34768</v>
      </c>
      <c r="EW25" s="118">
        <v>16693</v>
      </c>
      <c r="EX25" s="161">
        <f>+SUM(EV25:EW25)</f>
        <v>51461</v>
      </c>
      <c r="EY25" s="160">
        <f>+'[3]9 Invest. NL'!$D$20</f>
        <v>40525</v>
      </c>
      <c r="EZ25" s="118">
        <f>+'[3]9 Invest. NL'!$F$20</f>
        <v>16693</v>
      </c>
      <c r="FA25" s="161">
        <f>+SUM(EY25:EZ25)</f>
        <v>57218</v>
      </c>
    </row>
    <row r="26" spans="1:157" s="310" customFormat="1" ht="15" hidden="1" customHeight="1" outlineLevel="1" x14ac:dyDescent="0.2">
      <c r="A26" s="310" t="s">
        <v>210</v>
      </c>
      <c r="B26" s="310" t="s">
        <v>210</v>
      </c>
      <c r="D26" s="317" t="str">
        <f>IF([1]RENAME!$H$3=1,B26,A26)</f>
        <v>Catlog Logística de Transportes S.A. (Catlog)</v>
      </c>
      <c r="E26" s="318">
        <v>1668</v>
      </c>
      <c r="F26" s="311">
        <v>1365</v>
      </c>
      <c r="G26" s="331">
        <f>SUM(E26:F26)</f>
        <v>3033</v>
      </c>
      <c r="H26" s="318">
        <v>1602</v>
      </c>
      <c r="I26" s="311">
        <v>1365</v>
      </c>
      <c r="J26" s="331">
        <f>SUM(H26:I26)</f>
        <v>2967</v>
      </c>
      <c r="K26" s="318">
        <v>1644</v>
      </c>
      <c r="L26" s="311">
        <v>1365</v>
      </c>
      <c r="M26" s="331">
        <f>SUM(K26:L26)</f>
        <v>3009</v>
      </c>
      <c r="N26" s="318">
        <v>2065</v>
      </c>
      <c r="O26" s="311">
        <v>1365</v>
      </c>
      <c r="P26" s="331">
        <f>SUM(N26:O26)</f>
        <v>3430</v>
      </c>
      <c r="Q26" s="318">
        <v>4223</v>
      </c>
      <c r="R26" s="311">
        <v>1365</v>
      </c>
      <c r="S26" s="331">
        <f>SUM(Q26:R26)</f>
        <v>5588</v>
      </c>
      <c r="T26" s="318">
        <v>4404</v>
      </c>
      <c r="U26" s="311">
        <v>4404</v>
      </c>
      <c r="V26" s="331">
        <f>SUM(T26:U26)</f>
        <v>8808</v>
      </c>
      <c r="W26" s="318">
        <v>4536</v>
      </c>
      <c r="X26" s="311">
        <v>1365</v>
      </c>
      <c r="Y26" s="331">
        <f>SUM(W26:X26)</f>
        <v>5901</v>
      </c>
      <c r="Z26" s="318">
        <v>3420</v>
      </c>
      <c r="AA26" s="311">
        <v>1365</v>
      </c>
      <c r="AB26" s="331">
        <v>4785</v>
      </c>
      <c r="AC26" s="318">
        <v>3533</v>
      </c>
      <c r="AD26" s="311">
        <v>1365</v>
      </c>
      <c r="AE26" s="331">
        <f>SUM(AC26:AD26)</f>
        <v>4898</v>
      </c>
      <c r="AF26" s="318">
        <v>3475</v>
      </c>
      <c r="AG26" s="311">
        <v>1365</v>
      </c>
      <c r="AH26" s="331">
        <f>SUM(AF26:AG26)</f>
        <v>4840</v>
      </c>
      <c r="AI26" s="318">
        <v>3187</v>
      </c>
      <c r="AJ26" s="311">
        <v>1365</v>
      </c>
      <c r="AK26" s="331">
        <f>SUM(AI26:AJ26)</f>
        <v>4552</v>
      </c>
      <c r="AL26" s="318">
        <v>3168</v>
      </c>
      <c r="AM26" s="311">
        <v>1365</v>
      </c>
      <c r="AN26" s="331">
        <v>4533</v>
      </c>
      <c r="AO26" s="311">
        <v>2999</v>
      </c>
      <c r="AP26" s="311">
        <v>1365</v>
      </c>
      <c r="AQ26" s="311">
        <v>4364</v>
      </c>
      <c r="AR26" s="318">
        <v>2984</v>
      </c>
      <c r="AS26" s="311">
        <v>1365</v>
      </c>
      <c r="AT26" s="331">
        <v>4349</v>
      </c>
      <c r="AU26" s="311">
        <v>1340</v>
      </c>
      <c r="AV26" s="311">
        <v>0</v>
      </c>
      <c r="AW26" s="311">
        <v>1340</v>
      </c>
      <c r="AX26" s="318">
        <v>1382</v>
      </c>
      <c r="AY26" s="311">
        <v>0</v>
      </c>
      <c r="AZ26" s="331">
        <v>1382</v>
      </c>
      <c r="BA26" s="318">
        <v>1978</v>
      </c>
      <c r="BB26" s="311">
        <v>0</v>
      </c>
      <c r="BC26" s="331">
        <v>1978</v>
      </c>
      <c r="BD26" s="318">
        <v>2085</v>
      </c>
      <c r="BE26" s="311">
        <v>0</v>
      </c>
      <c r="BF26" s="331">
        <f>SUM(BD26:BE26)</f>
        <v>2085</v>
      </c>
      <c r="BG26" s="318">
        <v>1853</v>
      </c>
      <c r="BH26" s="311">
        <v>0</v>
      </c>
      <c r="BI26" s="331">
        <f>+BG26</f>
        <v>1853</v>
      </c>
      <c r="BJ26" s="318">
        <v>1439</v>
      </c>
      <c r="BK26" s="311">
        <v>0</v>
      </c>
      <c r="BL26" s="331">
        <f>+BJ26</f>
        <v>1439</v>
      </c>
      <c r="BM26" s="318">
        <v>1413</v>
      </c>
      <c r="BN26" s="311">
        <v>0</v>
      </c>
      <c r="BO26" s="331">
        <f>+BM26</f>
        <v>1413</v>
      </c>
      <c r="BP26" s="318">
        <v>1229</v>
      </c>
      <c r="BQ26" s="311">
        <v>0</v>
      </c>
      <c r="BR26" s="331">
        <v>1229</v>
      </c>
      <c r="BS26" s="318">
        <v>846</v>
      </c>
      <c r="BT26" s="311">
        <v>0</v>
      </c>
      <c r="BU26" s="331">
        <f>+BS26</f>
        <v>846</v>
      </c>
      <c r="BV26" s="318">
        <v>524</v>
      </c>
      <c r="BW26" s="311">
        <v>0</v>
      </c>
      <c r="BX26" s="331">
        <v>524</v>
      </c>
      <c r="BY26" s="318">
        <v>493</v>
      </c>
      <c r="BZ26" s="311">
        <v>0</v>
      </c>
      <c r="CA26" s="331">
        <v>493</v>
      </c>
      <c r="CB26" s="318">
        <v>423</v>
      </c>
      <c r="CC26" s="311">
        <v>0</v>
      </c>
      <c r="CD26" s="331">
        <v>423</v>
      </c>
      <c r="CE26" s="318">
        <v>358</v>
      </c>
      <c r="CF26" s="311">
        <v>0</v>
      </c>
      <c r="CG26" s="331">
        <v>358</v>
      </c>
      <c r="CH26" s="318">
        <v>429</v>
      </c>
      <c r="CI26" s="311">
        <v>0</v>
      </c>
      <c r="CJ26" s="331">
        <f>+CH26</f>
        <v>429</v>
      </c>
      <c r="CK26" s="318">
        <v>410</v>
      </c>
      <c r="CL26" s="311">
        <v>0</v>
      </c>
      <c r="CM26" s="331">
        <v>410</v>
      </c>
      <c r="CN26" s="318">
        <v>403</v>
      </c>
      <c r="CO26" s="311">
        <v>0</v>
      </c>
      <c r="CP26" s="331">
        <f>+CN26</f>
        <v>403</v>
      </c>
      <c r="CQ26" s="318">
        <v>398</v>
      </c>
      <c r="CR26" s="311">
        <v>0</v>
      </c>
      <c r="CS26" s="331">
        <f>+CQ26</f>
        <v>398</v>
      </c>
      <c r="CT26" s="318">
        <v>326</v>
      </c>
      <c r="CU26" s="311">
        <v>0</v>
      </c>
      <c r="CV26" s="331">
        <v>326</v>
      </c>
      <c r="CW26" s="318">
        <v>3115</v>
      </c>
      <c r="CX26" s="311">
        <f>+'[3]9.a Investimentos'!$C$18</f>
        <v>6363</v>
      </c>
      <c r="CY26" s="331">
        <f>+CW26</f>
        <v>3115</v>
      </c>
      <c r="CZ26" s="318">
        <v>3141</v>
      </c>
      <c r="DA26" s="311">
        <v>0</v>
      </c>
      <c r="DB26" s="331">
        <f>+CZ26</f>
        <v>3141</v>
      </c>
      <c r="DC26" s="318">
        <v>3170</v>
      </c>
      <c r="DD26" s="311">
        <v>0</v>
      </c>
      <c r="DE26" s="331">
        <v>3170</v>
      </c>
      <c r="DF26" s="318">
        <v>0</v>
      </c>
      <c r="DG26" s="311">
        <v>0</v>
      </c>
      <c r="DH26" s="331">
        <v>0</v>
      </c>
      <c r="DI26" s="318">
        <v>0</v>
      </c>
      <c r="DJ26" s="311">
        <v>0</v>
      </c>
      <c r="DK26" s="331">
        <v>0</v>
      </c>
      <c r="DL26" s="318">
        <f>+'[3]9.a Investimentos'!$B$21</f>
        <v>0</v>
      </c>
      <c r="DM26" s="311">
        <f>+'[3]9.a Investimentos'!$C$21</f>
        <v>0</v>
      </c>
      <c r="DN26" s="331">
        <f>+DL26</f>
        <v>0</v>
      </c>
      <c r="DO26" s="318">
        <v>0</v>
      </c>
      <c r="DP26" s="311">
        <v>0</v>
      </c>
      <c r="DQ26" s="331">
        <v>0</v>
      </c>
      <c r="DR26" s="318">
        <v>0</v>
      </c>
      <c r="DS26" s="311">
        <v>0</v>
      </c>
      <c r="DT26" s="331">
        <v>0</v>
      </c>
      <c r="DU26" s="318">
        <v>0</v>
      </c>
      <c r="DV26" s="311">
        <v>0</v>
      </c>
      <c r="DW26" s="331">
        <v>0</v>
      </c>
      <c r="DX26" s="318">
        <v>0</v>
      </c>
      <c r="DY26" s="311">
        <v>0</v>
      </c>
      <c r="DZ26" s="331" t="s">
        <v>160</v>
      </c>
      <c r="EA26" s="318"/>
      <c r="EB26" s="311"/>
      <c r="EC26" s="331"/>
      <c r="ED26" s="318" t="s">
        <v>160</v>
      </c>
      <c r="EE26" s="311" t="s">
        <v>160</v>
      </c>
      <c r="EF26" s="331" t="s">
        <v>160</v>
      </c>
      <c r="EG26" s="311" t="s">
        <v>160</v>
      </c>
      <c r="EH26" s="311" t="s">
        <v>160</v>
      </c>
      <c r="EI26" s="311" t="s">
        <v>160</v>
      </c>
      <c r="EJ26" s="318" t="s">
        <v>160</v>
      </c>
      <c r="EK26" s="311" t="s">
        <v>160</v>
      </c>
      <c r="EL26" s="331" t="s">
        <v>160</v>
      </c>
      <c r="EM26" s="318" t="s">
        <v>160</v>
      </c>
      <c r="EN26" s="311" t="s">
        <v>160</v>
      </c>
      <c r="EO26" s="331" t="s">
        <v>160</v>
      </c>
      <c r="EP26" s="318" t="s">
        <v>160</v>
      </c>
      <c r="EQ26" s="311" t="s">
        <v>160</v>
      </c>
      <c r="ER26" s="331" t="s">
        <v>160</v>
      </c>
      <c r="ES26" s="318" t="s">
        <v>160</v>
      </c>
      <c r="ET26" s="311" t="s">
        <v>160</v>
      </c>
      <c r="EU26" s="331" t="s">
        <v>160</v>
      </c>
      <c r="EV26" s="318" t="s">
        <v>160</v>
      </c>
      <c r="EW26" s="311" t="s">
        <v>160</v>
      </c>
      <c r="EX26" s="331" t="s">
        <v>160</v>
      </c>
      <c r="EY26" s="318" t="s">
        <v>160</v>
      </c>
      <c r="EZ26" s="311" t="s">
        <v>160</v>
      </c>
      <c r="FA26" s="331" t="s">
        <v>160</v>
      </c>
    </row>
    <row r="27" spans="1:157" ht="15" customHeight="1" collapsed="1" x14ac:dyDescent="0.2">
      <c r="A27" t="s">
        <v>212</v>
      </c>
      <c r="B27" t="s">
        <v>917</v>
      </c>
      <c r="D27" s="126" t="str">
        <f>IF([1]RENAME!$H$3=1,B27,A27)</f>
        <v>Total de investimento controladora</v>
      </c>
      <c r="E27" s="164">
        <f t="shared" ref="E27:AJ27" si="40">SUM(E23,E21)</f>
        <v>126082</v>
      </c>
      <c r="F27" s="125">
        <f t="shared" si="40"/>
        <v>100253</v>
      </c>
      <c r="G27" s="165">
        <f t="shared" si="40"/>
        <v>226335</v>
      </c>
      <c r="H27" s="164">
        <f t="shared" si="40"/>
        <v>131487</v>
      </c>
      <c r="I27" s="125">
        <f t="shared" si="40"/>
        <v>90421</v>
      </c>
      <c r="J27" s="165">
        <f t="shared" si="40"/>
        <v>221908</v>
      </c>
      <c r="K27" s="164">
        <f t="shared" si="40"/>
        <v>178138</v>
      </c>
      <c r="L27" s="125">
        <f t="shared" si="40"/>
        <v>8892</v>
      </c>
      <c r="M27" s="165">
        <f t="shared" si="40"/>
        <v>187030</v>
      </c>
      <c r="N27" s="164">
        <f t="shared" si="40"/>
        <v>177669</v>
      </c>
      <c r="O27" s="125">
        <f t="shared" si="40"/>
        <v>8892</v>
      </c>
      <c r="P27" s="165">
        <f t="shared" si="40"/>
        <v>186561</v>
      </c>
      <c r="Q27" s="164">
        <f t="shared" si="40"/>
        <v>238697</v>
      </c>
      <c r="R27" s="125">
        <f t="shared" si="40"/>
        <v>8892</v>
      </c>
      <c r="S27" s="165">
        <f t="shared" si="40"/>
        <v>247589</v>
      </c>
      <c r="T27" s="164">
        <f t="shared" si="40"/>
        <v>239642</v>
      </c>
      <c r="U27" s="125">
        <f t="shared" si="40"/>
        <v>40954</v>
      </c>
      <c r="V27" s="165">
        <f t="shared" si="40"/>
        <v>249331</v>
      </c>
      <c r="W27" s="164">
        <f t="shared" si="40"/>
        <v>236517</v>
      </c>
      <c r="X27" s="125">
        <f t="shared" si="40"/>
        <v>8892</v>
      </c>
      <c r="Y27" s="165">
        <f t="shared" si="40"/>
        <v>245409</v>
      </c>
      <c r="Z27" s="164">
        <f t="shared" si="40"/>
        <v>241143</v>
      </c>
      <c r="AA27" s="125">
        <f t="shared" si="40"/>
        <v>8892</v>
      </c>
      <c r="AB27" s="165">
        <f t="shared" si="40"/>
        <v>250035</v>
      </c>
      <c r="AC27" s="164">
        <f t="shared" si="40"/>
        <v>238011</v>
      </c>
      <c r="AD27" s="125">
        <f t="shared" si="40"/>
        <v>8892</v>
      </c>
      <c r="AE27" s="165">
        <f t="shared" si="40"/>
        <v>246903</v>
      </c>
      <c r="AF27" s="164">
        <f t="shared" si="40"/>
        <v>241458</v>
      </c>
      <c r="AG27" s="125">
        <f t="shared" si="40"/>
        <v>8892</v>
      </c>
      <c r="AH27" s="165">
        <f t="shared" si="40"/>
        <v>250350</v>
      </c>
      <c r="AI27" s="164">
        <f t="shared" si="40"/>
        <v>258638</v>
      </c>
      <c r="AJ27" s="125">
        <f t="shared" si="40"/>
        <v>8892</v>
      </c>
      <c r="AK27" s="165">
        <f t="shared" ref="AK27:BE27" si="41">SUM(AK23,AK21)</f>
        <v>267530</v>
      </c>
      <c r="AL27" s="164">
        <f t="shared" si="41"/>
        <v>264921</v>
      </c>
      <c r="AM27" s="125">
        <f t="shared" si="41"/>
        <v>8892</v>
      </c>
      <c r="AN27" s="165">
        <f t="shared" si="41"/>
        <v>273813</v>
      </c>
      <c r="AO27" s="164">
        <f t="shared" si="41"/>
        <v>263431</v>
      </c>
      <c r="AP27" s="125">
        <f t="shared" si="41"/>
        <v>8892</v>
      </c>
      <c r="AQ27" s="165">
        <f t="shared" si="41"/>
        <v>272323</v>
      </c>
      <c r="AR27" s="164">
        <f t="shared" si="41"/>
        <v>265136</v>
      </c>
      <c r="AS27" s="125">
        <f t="shared" si="41"/>
        <v>8892</v>
      </c>
      <c r="AT27" s="165">
        <f t="shared" si="41"/>
        <v>274028</v>
      </c>
      <c r="AU27" s="164">
        <f t="shared" si="41"/>
        <v>273768</v>
      </c>
      <c r="AV27" s="125">
        <f t="shared" si="41"/>
        <v>8892</v>
      </c>
      <c r="AW27" s="165">
        <f t="shared" si="41"/>
        <v>282660</v>
      </c>
      <c r="AX27" s="164">
        <f t="shared" si="41"/>
        <v>269362</v>
      </c>
      <c r="AY27" s="125">
        <f t="shared" si="41"/>
        <v>8892</v>
      </c>
      <c r="AZ27" s="165">
        <f t="shared" si="41"/>
        <v>278254</v>
      </c>
      <c r="BA27" s="164">
        <f t="shared" si="41"/>
        <v>269973</v>
      </c>
      <c r="BB27" s="125">
        <f t="shared" si="41"/>
        <v>8892</v>
      </c>
      <c r="BC27" s="165">
        <f t="shared" si="41"/>
        <v>278865</v>
      </c>
      <c r="BD27" s="164">
        <f t="shared" si="41"/>
        <v>154115</v>
      </c>
      <c r="BE27" s="125">
        <f t="shared" si="41"/>
        <v>6364</v>
      </c>
      <c r="BF27" s="165">
        <f>SUM(BF23,BF21,BF24)</f>
        <v>196362</v>
      </c>
      <c r="BG27" s="164">
        <f>SUM(BG23,BG21)</f>
        <v>160257</v>
      </c>
      <c r="BH27" s="125">
        <f>SUM(BH23,BH21)</f>
        <v>6364</v>
      </c>
      <c r="BI27" s="165">
        <f>SUM(BI23,BI21,BI24)</f>
        <v>202034</v>
      </c>
      <c r="BJ27" s="164">
        <f>SUM(BJ23,BJ21)</f>
        <v>151825</v>
      </c>
      <c r="BK27" s="125">
        <f>SUM(BK23,BK21)</f>
        <v>6364</v>
      </c>
      <c r="BL27" s="165">
        <f>SUM(BL23,BL21,BL24)</f>
        <v>193453</v>
      </c>
      <c r="BM27" s="164">
        <f>SUM(BM23,BM21)</f>
        <v>155420</v>
      </c>
      <c r="BN27" s="125">
        <f>SUM(BN23,BN21)</f>
        <v>6364</v>
      </c>
      <c r="BO27" s="165">
        <f>SUM(BO23,BO21,BO24)</f>
        <v>197728</v>
      </c>
      <c r="BP27" s="164">
        <f t="shared" ref="BP27:CC27" si="42">SUM(BP23,BP21,BP25)</f>
        <v>179331</v>
      </c>
      <c r="BQ27" s="125">
        <f t="shared" si="42"/>
        <v>23057</v>
      </c>
      <c r="BR27" s="165">
        <f t="shared" si="42"/>
        <v>202388</v>
      </c>
      <c r="BS27" s="164">
        <f t="shared" si="42"/>
        <v>185945</v>
      </c>
      <c r="BT27" s="125">
        <f t="shared" si="42"/>
        <v>23057</v>
      </c>
      <c r="BU27" s="165">
        <f t="shared" si="42"/>
        <v>209002</v>
      </c>
      <c r="BV27" s="164">
        <f t="shared" si="42"/>
        <v>195460</v>
      </c>
      <c r="BW27" s="125">
        <f t="shared" si="42"/>
        <v>23057</v>
      </c>
      <c r="BX27" s="165">
        <f t="shared" si="42"/>
        <v>218517</v>
      </c>
      <c r="BY27" s="164">
        <f t="shared" si="42"/>
        <v>227350</v>
      </c>
      <c r="BZ27" s="125">
        <f t="shared" si="42"/>
        <v>23057</v>
      </c>
      <c r="CA27" s="165">
        <f t="shared" si="42"/>
        <v>250407</v>
      </c>
      <c r="CB27" s="164">
        <f t="shared" si="42"/>
        <v>239236</v>
      </c>
      <c r="CC27" s="125">
        <f t="shared" si="42"/>
        <v>23057</v>
      </c>
      <c r="CD27" s="165">
        <f>SUM(CD23,CD21,CD25:CD25)</f>
        <v>262293</v>
      </c>
      <c r="CE27" s="164">
        <f>SUM(CE23,CE21,CE25)</f>
        <v>225356</v>
      </c>
      <c r="CF27" s="125">
        <f>SUM(CF23,CF21,CF25)</f>
        <v>23057</v>
      </c>
      <c r="CG27" s="165">
        <f>SUM(CG23,CG21,CG25:CG25)</f>
        <v>248413</v>
      </c>
      <c r="CH27" s="164">
        <f>SUM(CH23,CH21,CH25)</f>
        <v>232120</v>
      </c>
      <c r="CI27" s="125">
        <f>SUM(CI23,CI21,CI25)</f>
        <v>27521</v>
      </c>
      <c r="CJ27" s="165">
        <f>SUM(CJ23,CJ21,CJ25:CJ25)</f>
        <v>259641</v>
      </c>
      <c r="CK27" s="164">
        <f>SUM(CK23,CK21,CK24)</f>
        <v>234328</v>
      </c>
      <c r="CL27" s="125">
        <f>SUM(CL23,CL21,CL25)</f>
        <v>23057</v>
      </c>
      <c r="CM27" s="165">
        <f>SUM(CM23,CM21,CM25:CM25)</f>
        <v>256975</v>
      </c>
      <c r="CN27" s="164">
        <f>SUM(CN23,CN21,CN24)</f>
        <v>239561</v>
      </c>
      <c r="CO27" s="125">
        <f>SUM(CO23,CO21,CO25)</f>
        <v>26538</v>
      </c>
      <c r="CP27" s="165">
        <f>SUM(CP23,CP21,CP25:CP25)</f>
        <v>265696</v>
      </c>
      <c r="CQ27" s="164">
        <f>SUM(CQ23,CQ21,CQ24)</f>
        <v>237345</v>
      </c>
      <c r="CR27" s="125">
        <f>SUM(CR23,CR21,CR25)</f>
        <v>23057</v>
      </c>
      <c r="CS27" s="165">
        <f>SUM(CS23,CS21,CS25:CS25)</f>
        <v>260004</v>
      </c>
      <c r="CT27" s="164">
        <v>256574</v>
      </c>
      <c r="CU27" s="125">
        <v>23057</v>
      </c>
      <c r="CV27" s="165">
        <v>279631</v>
      </c>
      <c r="CW27" s="164">
        <f>SUM(CW23,CW21,CW24)</f>
        <v>284842</v>
      </c>
      <c r="CX27" s="125">
        <f>SUM(CX23,CX21,CX25)</f>
        <v>26538</v>
      </c>
      <c r="CY27" s="165">
        <f>SUM(CY23,CY21,CY25:CY25)</f>
        <v>308265</v>
      </c>
      <c r="CZ27" s="164">
        <f>SUM(CZ23,CZ21,CZ24)</f>
        <v>308483</v>
      </c>
      <c r="DA27" s="125">
        <f>SUM(DA23,DA21,DA25)</f>
        <v>23057</v>
      </c>
      <c r="DB27" s="165">
        <f>SUM(DB23,DB21,DB25:DB25)</f>
        <v>328399</v>
      </c>
      <c r="DC27" s="164">
        <f>SUM(DC23,DC21,DC24)</f>
        <v>274007</v>
      </c>
      <c r="DD27" s="125">
        <f>SUM(DD23,DD21,DD25)</f>
        <v>23056</v>
      </c>
      <c r="DE27" s="165">
        <f>SUM(DE23,DE21,DE25:DE25)</f>
        <v>293893</v>
      </c>
      <c r="DF27" s="164">
        <f>SUM(DF23,DF21,DF24)</f>
        <v>253380</v>
      </c>
      <c r="DG27" s="125">
        <f>SUM(DG23,DG21,DG25)</f>
        <v>23056</v>
      </c>
      <c r="DH27" s="165">
        <f>SUM(DH23,DH21,DH25:DH25)</f>
        <v>276436</v>
      </c>
      <c r="DI27" s="164">
        <f>SUM(DI23,DI21,DI24)</f>
        <v>277648</v>
      </c>
      <c r="DJ27" s="125">
        <f>SUM(DJ23,DJ21,DJ25)</f>
        <v>23056</v>
      </c>
      <c r="DK27" s="165">
        <f>SUM(DK23,DK21,DK25:DK25)</f>
        <v>300704</v>
      </c>
      <c r="DL27" s="164">
        <f>SUM(DL23,DL21,DL24)</f>
        <v>317162</v>
      </c>
      <c r="DM27" s="125">
        <f>SUM(DM23,DM21,DM25)</f>
        <v>23056</v>
      </c>
      <c r="DN27" s="165">
        <f>SUM(DN23,DN21,DN25:DN25)</f>
        <v>340218</v>
      </c>
      <c r="DO27" s="164">
        <f>SUM(DO23,DO21,DO24)</f>
        <v>316615</v>
      </c>
      <c r="DP27" s="125">
        <f>SUM(DP23,DP21,DP25)</f>
        <v>23056</v>
      </c>
      <c r="DQ27" s="165">
        <f>SUM(DQ23,DQ21,DQ25:DQ25)</f>
        <v>347346</v>
      </c>
      <c r="DR27" s="164">
        <f>SUM(DR23,DR21,DR24)</f>
        <v>321573</v>
      </c>
      <c r="DS27" s="125">
        <f>SUM(DS23,DS21,DS25)</f>
        <v>23056</v>
      </c>
      <c r="DT27" s="165">
        <f>SUM(DT23,DT21,DT25:DT25)</f>
        <v>344629</v>
      </c>
      <c r="DU27" s="164">
        <f>SUM(DU23,DU21,DU24)</f>
        <v>331210</v>
      </c>
      <c r="DV27" s="125">
        <f>SUM(DV23,DV21,DV25)</f>
        <v>23056</v>
      </c>
      <c r="DW27" s="165">
        <f>SUM(DW23,DW21,DW25:DW25)</f>
        <v>354266</v>
      </c>
      <c r="DX27" s="164">
        <f>SUM(DX23,DX21,DX24)</f>
        <v>350827</v>
      </c>
      <c r="DY27" s="125">
        <f>SUM(DY23,DY21,DY25)</f>
        <v>23056</v>
      </c>
      <c r="DZ27" s="165">
        <f>SUM(DZ23,DZ21,DZ25:DZ25)</f>
        <v>373883</v>
      </c>
      <c r="EA27" s="164">
        <f>SUM(EA23,EA21,EA24)</f>
        <v>290291</v>
      </c>
      <c r="EB27" s="125">
        <f>SUM(EB23,EB21,EB25)</f>
        <v>23056</v>
      </c>
      <c r="EC27" s="165">
        <f>SUM(EC23,EC21,EC25:EC25)</f>
        <v>313347</v>
      </c>
      <c r="ED27" s="164">
        <f>SUM(ED23,ED21,ED24)</f>
        <v>295084</v>
      </c>
      <c r="EE27" s="125">
        <f>SUM(EE23,EE21,EE25)</f>
        <v>23056</v>
      </c>
      <c r="EF27" s="165">
        <f>SUM(EF23,EF21,EF25:EF25)</f>
        <v>318140</v>
      </c>
      <c r="EG27" s="125">
        <v>298812</v>
      </c>
      <c r="EH27" s="125">
        <f>SUM(EH23,EH21,EH25)</f>
        <v>23056</v>
      </c>
      <c r="EI27" s="125">
        <v>321868</v>
      </c>
      <c r="EJ27" s="164">
        <f>SUM(EJ23,EJ21,EJ24)</f>
        <v>310830</v>
      </c>
      <c r="EK27" s="125">
        <f>SUM(EK23,EK21,EK25)</f>
        <v>23056</v>
      </c>
      <c r="EL27" s="165">
        <f>SUM(EL23,EL21,EL25:EL25)</f>
        <v>333886</v>
      </c>
      <c r="EM27" s="164">
        <f>SUM(EM23,EM21,EM24)</f>
        <v>307604</v>
      </c>
      <c r="EN27" s="125">
        <f>SUM(EN23,EN21,EN25)</f>
        <v>23056</v>
      </c>
      <c r="EO27" s="165">
        <f>SUM(EO23,EO21,EO25:EO25)</f>
        <v>330660</v>
      </c>
      <c r="EP27" s="164">
        <f>SUM(EP23,EP21,EP24)</f>
        <v>314575</v>
      </c>
      <c r="EQ27" s="125">
        <f>SUM(EQ23,EQ21,EQ25)</f>
        <v>23056</v>
      </c>
      <c r="ER27" s="165">
        <f>SUM(ER23,ER21,ER25:ER25)</f>
        <v>337631</v>
      </c>
      <c r="ES27" s="164">
        <f>SUM(ES23,ES21,ES24)</f>
        <v>305954</v>
      </c>
      <c r="ET27" s="125">
        <f>SUM(ET23,ET21,ET25)</f>
        <v>23056</v>
      </c>
      <c r="EU27" s="165">
        <f>SUM(EU23,EU21,EU25:EU25)</f>
        <v>329010</v>
      </c>
      <c r="EV27" s="164">
        <f>SUM(EV23,EV21,EV24)</f>
        <v>341286</v>
      </c>
      <c r="EW27" s="125">
        <f>SUM(EW23,EW21,EW25)</f>
        <v>23056</v>
      </c>
      <c r="EX27" s="165">
        <f>SUM(EX23,EX21,EX25:EX25)</f>
        <v>364342</v>
      </c>
      <c r="EY27" s="164">
        <f>SUM(EY23,EY21,EY24)</f>
        <v>350914</v>
      </c>
      <c r="EZ27" s="125">
        <f>SUM(EZ23,EZ21,EZ25)</f>
        <v>23056</v>
      </c>
      <c r="FA27" s="165">
        <f>SUM(FA23,FA21,FA25:FA25)</f>
        <v>373970</v>
      </c>
    </row>
    <row r="28" spans="1:157" s="189" customFormat="1" x14ac:dyDescent="0.2">
      <c r="D28" s="188"/>
      <c r="E28" s="154"/>
      <c r="H28" s="154"/>
      <c r="K28" s="154"/>
      <c r="N28" s="154"/>
      <c r="Q28" s="154"/>
      <c r="T28" s="154"/>
      <c r="U28" s="154"/>
      <c r="W28" s="154"/>
      <c r="Y28" s="190"/>
    </row>
    <row r="29" spans="1:157" x14ac:dyDescent="0.2">
      <c r="D29" s="62"/>
      <c r="E29" s="65"/>
      <c r="F29" s="65"/>
      <c r="G29" s="65"/>
      <c r="H29" s="65"/>
      <c r="I29" s="65"/>
      <c r="J29" s="65"/>
      <c r="K29" s="65"/>
      <c r="L29" s="65"/>
      <c r="M29" s="65"/>
      <c r="N29" s="65"/>
      <c r="O29" s="65"/>
      <c r="P29" s="65"/>
      <c r="Q29" s="65"/>
      <c r="R29" s="65"/>
      <c r="S29" s="65"/>
      <c r="T29" s="65"/>
      <c r="U29" s="65"/>
      <c r="V29" s="65"/>
      <c r="W29" s="65"/>
      <c r="X29" s="65"/>
      <c r="Y29" s="65"/>
      <c r="BD29" s="40"/>
      <c r="BE29" s="40"/>
      <c r="BF29" s="40"/>
      <c r="BG29" s="40"/>
      <c r="BH29" s="40"/>
      <c r="BI29" s="40"/>
    </row>
    <row r="30" spans="1:157" ht="15" customHeight="1" outlineLevel="1" x14ac:dyDescent="0.2">
      <c r="A30" t="s">
        <v>96</v>
      </c>
      <c r="B30" t="s">
        <v>866</v>
      </c>
      <c r="D30" s="151" t="str">
        <f>IF([1]RENAME!$H$3=1,B30,A30)</f>
        <v>Consolidado</v>
      </c>
      <c r="E30" s="247">
        <f>IF([1]RENAME!$H$3=1,E2,E1)</f>
        <v>2013</v>
      </c>
      <c r="F30" s="247" t="str">
        <f>IF([1]RENAME!$H$3=1,F2,F1)</f>
        <v>1T14</v>
      </c>
      <c r="G30" s="247" t="str">
        <f>IF([1]RENAME!$H$3=1,G2,G1)</f>
        <v>2T14</v>
      </c>
      <c r="H30" s="247" t="str">
        <f>IF([1]RENAME!$H$3=1,H2,H1)</f>
        <v>3T14</v>
      </c>
      <c r="I30" s="247" t="str">
        <f>IF([1]RENAME!$H$3=1,I2,I1)</f>
        <v>4T14</v>
      </c>
      <c r="J30" s="247" t="str">
        <f>IF([1]RENAME!$H$3=1,J2,J1)</f>
        <v>1T15</v>
      </c>
      <c r="K30" s="247" t="str">
        <f>IF([1]RENAME!$H$3=1,K2,K1)</f>
        <v>2T15</v>
      </c>
      <c r="L30" s="247" t="str">
        <f>IF([1]RENAME!$H$3=1,L2,L1)</f>
        <v>3T15</v>
      </c>
      <c r="M30" s="247" t="str">
        <f>IF([1]RENAME!$H$3=1,M2,M1)</f>
        <v>4T15</v>
      </c>
      <c r="N30" s="247" t="str">
        <f>IF([1]RENAME!$H$3=1,N2,N1)</f>
        <v>1T16</v>
      </c>
      <c r="O30" s="247" t="str">
        <f>IF([1]RENAME!$H$3=1,O2,O1)</f>
        <v>2T16</v>
      </c>
      <c r="P30" s="247" t="str">
        <f>IF([1]RENAME!$H$3=1,P2,P1)</f>
        <v>3T16</v>
      </c>
      <c r="Q30" s="247" t="str">
        <f>IF([1]RENAME!$H$3=1,Q2,Q1)</f>
        <v>4T16</v>
      </c>
      <c r="R30" s="547" t="str">
        <f>IF([1]RENAME!$H$3=1,R2,R1)</f>
        <v>1T17</v>
      </c>
      <c r="S30" s="547" t="str">
        <f>IF([1]RENAME!$H$3=1,S2,S1)</f>
        <v>2T17</v>
      </c>
      <c r="T30" s="547" t="str">
        <f>IF([1]RENAME!$H$3=1,T2,T1)</f>
        <v>3T17</v>
      </c>
      <c r="U30" s="547" t="str">
        <f>IF([1]RENAME!$H$3=1,U2,U1)</f>
        <v>4T17</v>
      </c>
      <c r="V30" s="547" t="str">
        <f>IF([1]RENAME!$H$3=1,V2,V1)</f>
        <v>1T18</v>
      </c>
      <c r="W30" s="547" t="str">
        <f>IF([1]RENAME!$H$3=1,W2,W1)</f>
        <v>2T18</v>
      </c>
      <c r="X30" s="547" t="str">
        <f>IF([1]RENAME!$H$3=1,X2,X1)</f>
        <v>3T18</v>
      </c>
      <c r="Y30" s="547" t="str">
        <f>IF([1]RENAME!$H$3=1,Y2,Y1)</f>
        <v>4T18</v>
      </c>
      <c r="Z30" s="547" t="str">
        <f>IF([1]RENAME!$H$3=1,Z2,Z1)</f>
        <v>1T19</v>
      </c>
      <c r="AA30" s="547" t="str">
        <f>IF([1]RENAME!$H$3=1,AA2,AA1)</f>
        <v>2T19</v>
      </c>
      <c r="AB30" s="547" t="str">
        <f>IF([1]RENAME!$H$3=1,AB2,AB1)</f>
        <v>3T19</v>
      </c>
      <c r="AC30" s="547" t="str">
        <f>IF([1]RENAME!$H$3=1,AC2,AC1)</f>
        <v>4T19</v>
      </c>
      <c r="AD30" s="547" t="str">
        <f>IF([1]RENAME!$H$3=1,AD2,AD1)</f>
        <v>1T20</v>
      </c>
      <c r="AE30" s="547" t="str">
        <f>IF([1]RENAME!$H$3=1,AE2,AE1)</f>
        <v>2T20</v>
      </c>
      <c r="AF30" s="547" t="str">
        <f>IF([1]RENAME!$H$3=1,AF2,AF1)</f>
        <v>3T20</v>
      </c>
      <c r="AG30" s="547" t="str">
        <f>IF([1]RENAME!$H$3=1,AG2,AG1)</f>
        <v>4T20</v>
      </c>
      <c r="AH30" s="547" t="str">
        <f>IF([1]RENAME!$H$3=1,AH2,AH1)</f>
        <v>1T21</v>
      </c>
      <c r="AI30" s="547" t="str">
        <f>IF([1]RENAME!$H$3=1,AI2,AI1)</f>
        <v>2T21</v>
      </c>
      <c r="AJ30" s="547" t="str">
        <f>IF([1]RENAME!$H$3=1,AJ2,AJ1)</f>
        <v>3T21</v>
      </c>
      <c r="AK30" s="547" t="str">
        <f>IF([1]RENAME!$H$3=1,AK2,AK1)</f>
        <v>4T21</v>
      </c>
      <c r="AL30" s="547" t="str">
        <f>IF([1]RENAME!$H$3=1,AL2,AL1)</f>
        <v>1T22</v>
      </c>
      <c r="AM30" s="547" t="str">
        <f>IF([1]RENAME!$H$3=1,AM2,AM1)</f>
        <v>2T22</v>
      </c>
      <c r="AN30" s="547" t="str">
        <f>IF([1]RENAME!$H$3=1,AN2,AN1)</f>
        <v>3T22</v>
      </c>
      <c r="AO30" s="547" t="str">
        <f>IF([1]RENAME!$H$3=1,AO2,AO1)</f>
        <v>4T22</v>
      </c>
      <c r="AP30" s="547" t="str">
        <f>IF([1]RENAME!$H$3=1,AP2,AP1)</f>
        <v>1T23</v>
      </c>
      <c r="AQ30" s="547" t="str">
        <f>IF([1]RENAME!$H$3=1,AQ2,AQ1)</f>
        <v>2T23</v>
      </c>
      <c r="AR30" s="547" t="str">
        <f>IF([1]RENAME!$H$3=1,AP2,AP1)</f>
        <v>1T23</v>
      </c>
      <c r="AT30" s="547" t="str">
        <f>IF([1]RENAME!$H$3=1,AR2,AR1)</f>
        <v>3T23</v>
      </c>
      <c r="AU30" s="547" t="str">
        <f>IF([1]RENAME!$H$3=1,AS2,AS1)</f>
        <v>4T23</v>
      </c>
      <c r="AV30" s="547"/>
      <c r="AW30" s="547"/>
      <c r="AX30" s="547" t="str">
        <f>IF([1]RENAME!$H$3=1,AT2,AT1)</f>
        <v>1T24</v>
      </c>
      <c r="AY30" s="547"/>
      <c r="AZ30" s="547"/>
      <c r="BA30" s="547" t="str">
        <f>IF([1]RENAME!$H$3=1,AU2,AU1)</f>
        <v>2T24</v>
      </c>
      <c r="BB30" s="547" t="str">
        <f>IF([1]RENAME!$H$3=1,AV2,AV1)</f>
        <v>3T24</v>
      </c>
      <c r="BC30" s="547" t="str">
        <f>IF([1]RENAME!$H$3=1,AW2,AW1)</f>
        <v>4T24</v>
      </c>
      <c r="BD30" s="40" t="str">
        <f>IF([1]RENAME!$H$3=1,AX2,AX1)</f>
        <v>1T25</v>
      </c>
      <c r="BE30" s="40" t="s">
        <v>2240</v>
      </c>
      <c r="BF30" s="40"/>
      <c r="BG30" s="40"/>
      <c r="BH30" s="40" t="s">
        <v>2242</v>
      </c>
      <c r="BI30" s="40" t="s">
        <v>2244</v>
      </c>
      <c r="BJ30" s="547" t="s">
        <v>2284</v>
      </c>
    </row>
    <row r="31" spans="1:157" ht="15" customHeight="1" outlineLevel="1" x14ac:dyDescent="0.2">
      <c r="A31" t="s">
        <v>210</v>
      </c>
      <c r="B31" t="s">
        <v>210</v>
      </c>
      <c r="D31" s="129" t="str">
        <f>IF([1]RENAME!$H$3=1,B31,A31)</f>
        <v>Catlog Logística de Transportes S.A. (Catlog)</v>
      </c>
      <c r="E31" s="118">
        <v>1668</v>
      </c>
      <c r="F31" s="118">
        <v>1602</v>
      </c>
      <c r="G31" s="118">
        <v>1644</v>
      </c>
      <c r="H31" s="118">
        <v>2065</v>
      </c>
      <c r="I31" s="118">
        <v>4223</v>
      </c>
      <c r="J31" s="118">
        <v>4404</v>
      </c>
      <c r="K31" s="118">
        <v>4536</v>
      </c>
      <c r="L31" s="118">
        <v>3420</v>
      </c>
      <c r="M31" s="118">
        <v>3533</v>
      </c>
      <c r="N31" s="118">
        <v>3475</v>
      </c>
      <c r="O31" s="118">
        <v>3187</v>
      </c>
      <c r="P31" s="118">
        <v>3168</v>
      </c>
      <c r="Q31" s="118">
        <v>2999</v>
      </c>
    </row>
    <row r="32" spans="1:157" ht="15" customHeight="1" outlineLevel="1" x14ac:dyDescent="0.2">
      <c r="A32" t="s">
        <v>211</v>
      </c>
      <c r="B32" t="s">
        <v>211</v>
      </c>
      <c r="D32" s="129" t="str">
        <f>IF([1]RENAME!$H$3=1,B32,A32)</f>
        <v>Tegma Venezuela S.A. (TV)</v>
      </c>
      <c r="E32" s="118">
        <v>595</v>
      </c>
      <c r="F32" s="118">
        <v>456</v>
      </c>
      <c r="G32" s="118">
        <v>463</v>
      </c>
      <c r="H32" s="118">
        <v>501</v>
      </c>
      <c r="I32" s="118">
        <v>482</v>
      </c>
      <c r="J32" s="118">
        <v>797</v>
      </c>
      <c r="K32" s="118">
        <v>893</v>
      </c>
      <c r="L32" s="118">
        <v>1941</v>
      </c>
      <c r="M32" s="118">
        <v>2244</v>
      </c>
      <c r="N32" s="118">
        <v>827</v>
      </c>
      <c r="O32" s="118">
        <v>211</v>
      </c>
      <c r="P32" s="118">
        <v>211</v>
      </c>
      <c r="Q32" s="118">
        <v>0</v>
      </c>
    </row>
    <row r="33" spans="1:25" ht="15" customHeight="1" outlineLevel="1" x14ac:dyDescent="0.2">
      <c r="A33" t="s">
        <v>112</v>
      </c>
      <c r="B33" t="s">
        <v>112</v>
      </c>
      <c r="D33" s="126" t="str">
        <f>IF([1]RENAME!$H$3=1,B33,A33)</f>
        <v>Total</v>
      </c>
      <c r="E33" s="120">
        <f>SUM(E31:E32)</f>
        <v>2263</v>
      </c>
      <c r="F33" s="120">
        <f t="shared" ref="F33:L33" si="43">SUM(F31:F32)</f>
        <v>2058</v>
      </c>
      <c r="G33" s="120">
        <f t="shared" si="43"/>
        <v>2107</v>
      </c>
      <c r="H33" s="120">
        <f t="shared" si="43"/>
        <v>2566</v>
      </c>
      <c r="I33" s="120">
        <f t="shared" si="43"/>
        <v>4705</v>
      </c>
      <c r="J33" s="120">
        <f t="shared" si="43"/>
        <v>5201</v>
      </c>
      <c r="K33" s="120">
        <f t="shared" si="43"/>
        <v>5429</v>
      </c>
      <c r="L33" s="120">
        <f t="shared" si="43"/>
        <v>5361</v>
      </c>
      <c r="M33" s="120">
        <f>SUM(M31:M32)</f>
        <v>5777</v>
      </c>
      <c r="N33" s="120">
        <f>SUM(N31:N32)</f>
        <v>4302</v>
      </c>
      <c r="O33" s="120">
        <f>SUM(O31:O32)</f>
        <v>3398</v>
      </c>
      <c r="P33" s="120">
        <f>SUM(P31:P32)</f>
        <v>3379</v>
      </c>
      <c r="Q33" s="120">
        <f>SUM(Q31:Q32)</f>
        <v>2999</v>
      </c>
    </row>
    <row r="34" spans="1:25" ht="15" customHeight="1" x14ac:dyDescent="0.2">
      <c r="D34" s="153"/>
      <c r="E34" s="154">
        <f>+E33-BP!T34</f>
        <v>0</v>
      </c>
      <c r="F34" s="154">
        <f>+F33-BP!U34</f>
        <v>0</v>
      </c>
      <c r="G34" s="154">
        <f>+G33-BP!V34</f>
        <v>0</v>
      </c>
      <c r="H34" s="154">
        <f>+H33-BP!W34</f>
        <v>0</v>
      </c>
      <c r="I34" s="154">
        <f>+I33-BP!X34</f>
        <v>0</v>
      </c>
      <c r="J34" s="154">
        <f>+J33-BP!Y34</f>
        <v>0</v>
      </c>
      <c r="K34" s="154">
        <f>+K33-BP!Z34</f>
        <v>0</v>
      </c>
      <c r="L34" s="154">
        <f>+L33-BP!AA34</f>
        <v>0</v>
      </c>
      <c r="M34" s="154">
        <f>+M33-BP!AB34</f>
        <v>0</v>
      </c>
      <c r="N34" s="154">
        <f>+N33-BP!AC34</f>
        <v>0</v>
      </c>
      <c r="O34" s="154">
        <f>+O33-BP!AD34</f>
        <v>0</v>
      </c>
      <c r="P34" s="154">
        <f>+P33-BP!AE34</f>
        <v>0</v>
      </c>
      <c r="Q34" s="154">
        <f>+Q33-BP!AF34</f>
        <v>0</v>
      </c>
    </row>
    <row r="35" spans="1:25" ht="15" customHeight="1" x14ac:dyDescent="0.2">
      <c r="D35" s="153"/>
    </row>
    <row r="36" spans="1:25" ht="15" customHeight="1" x14ac:dyDescent="0.2">
      <c r="D36" s="153"/>
      <c r="E36" s="154"/>
      <c r="F36" s="154"/>
      <c r="G36" s="154"/>
      <c r="H36" s="154"/>
      <c r="I36" s="154"/>
      <c r="J36" s="154"/>
      <c r="K36" s="154"/>
    </row>
    <row r="37" spans="1:25" ht="15" customHeight="1" x14ac:dyDescent="0.2">
      <c r="D37" s="60"/>
      <c r="F37" s="61"/>
      <c r="G37" s="61"/>
      <c r="H37" s="61"/>
      <c r="I37" s="61"/>
      <c r="J37" s="61"/>
      <c r="K37" s="61"/>
      <c r="L37" s="61"/>
      <c r="M37" s="61"/>
      <c r="N37" s="61"/>
      <c r="O37" s="61"/>
      <c r="P37" s="61"/>
      <c r="Q37" s="61"/>
      <c r="R37" s="61"/>
      <c r="S37" s="61"/>
      <c r="T37" s="61"/>
      <c r="U37" s="61"/>
      <c r="V37" s="61"/>
      <c r="W37" s="61"/>
      <c r="X37" s="61"/>
      <c r="Y37" s="61"/>
    </row>
    <row r="38" spans="1:25" x14ac:dyDescent="0.2">
      <c r="D38" s="60"/>
      <c r="E38" s="64"/>
      <c r="F38" s="64"/>
      <c r="G38" s="64"/>
      <c r="H38" s="64"/>
      <c r="I38" s="64"/>
      <c r="J38" s="64"/>
      <c r="K38" s="64"/>
      <c r="L38" s="64"/>
      <c r="M38" s="64"/>
      <c r="N38" s="64"/>
      <c r="O38" s="64"/>
      <c r="P38" s="64"/>
      <c r="Q38" s="64"/>
      <c r="R38" s="64"/>
      <c r="S38" s="64"/>
      <c r="T38" s="64"/>
      <c r="U38" s="64"/>
      <c r="V38" s="64"/>
      <c r="W38" s="45"/>
      <c r="X38" s="45"/>
      <c r="Y38" s="45"/>
    </row>
    <row r="39" spans="1:25" x14ac:dyDescent="0.2">
      <c r="D39" s="60"/>
      <c r="F39" s="61"/>
      <c r="G39" s="61"/>
      <c r="H39" s="61"/>
      <c r="I39" s="61"/>
      <c r="J39" s="61"/>
      <c r="K39" s="61"/>
      <c r="L39" s="45"/>
      <c r="M39" s="66"/>
      <c r="N39" s="1272"/>
      <c r="O39" s="1272"/>
      <c r="P39" s="66"/>
      <c r="Q39" s="66"/>
      <c r="R39" s="66"/>
      <c r="S39" s="66"/>
      <c r="T39" s="66"/>
      <c r="U39" s="66"/>
      <c r="V39" s="66"/>
      <c r="W39" s="1273"/>
      <c r="X39" s="1273"/>
      <c r="Y39" s="1273"/>
    </row>
    <row r="40" spans="1:25" x14ac:dyDescent="0.2">
      <c r="D40" s="166"/>
      <c r="E40" s="167"/>
      <c r="F40" s="167"/>
      <c r="G40" s="167"/>
      <c r="H40" s="167"/>
      <c r="I40" s="167"/>
      <c r="J40" s="167"/>
      <c r="K40" s="167"/>
      <c r="L40" s="60"/>
      <c r="Q40" s="45"/>
    </row>
    <row r="41" spans="1:25" x14ac:dyDescent="0.2">
      <c r="D41" s="168"/>
      <c r="E41" s="169"/>
      <c r="F41" s="169"/>
      <c r="G41" s="169"/>
      <c r="H41" s="169"/>
      <c r="I41" s="169"/>
      <c r="J41" s="169"/>
      <c r="K41" s="169"/>
      <c r="L41" s="60"/>
      <c r="Q41" s="69"/>
    </row>
    <row r="42" spans="1:25" x14ac:dyDescent="0.2">
      <c r="D42" s="168"/>
      <c r="E42" s="169"/>
      <c r="F42" s="169"/>
      <c r="G42" s="169"/>
      <c r="H42" s="169"/>
      <c r="I42" s="169"/>
      <c r="J42" s="169"/>
      <c r="K42" s="169"/>
      <c r="L42" s="60"/>
      <c r="Q42" s="69"/>
    </row>
    <row r="43" spans="1:25" x14ac:dyDescent="0.2">
      <c r="D43" s="153"/>
      <c r="E43" s="154"/>
      <c r="F43" s="154"/>
      <c r="G43" s="154"/>
      <c r="H43" s="154"/>
      <c r="I43" s="154"/>
      <c r="J43" s="154"/>
      <c r="K43" s="154"/>
      <c r="L43" s="62"/>
      <c r="N43" s="63"/>
      <c r="O43" s="63"/>
      <c r="P43" s="69"/>
      <c r="Q43" s="69"/>
    </row>
    <row r="44" spans="1:25" x14ac:dyDescent="0.2">
      <c r="N44" s="68"/>
      <c r="O44" s="68"/>
      <c r="P44" s="68"/>
    </row>
    <row r="45" spans="1:25" x14ac:dyDescent="0.2">
      <c r="N45" s="68"/>
      <c r="O45" s="68"/>
      <c r="P45" s="68"/>
    </row>
    <row r="46" spans="1:25" x14ac:dyDescent="0.2">
      <c r="N46" s="67"/>
      <c r="O46" s="67"/>
      <c r="P46" s="45"/>
    </row>
    <row r="57" spans="14:14" x14ac:dyDescent="0.2">
      <c r="N57">
        <f>'[3]11 Intang NL'!$N$19-N55-N56-N54</f>
        <v>5757</v>
      </c>
    </row>
  </sheetData>
  <mergeCells count="6">
    <mergeCell ref="EY5:FA5"/>
    <mergeCell ref="EV5:EX5"/>
    <mergeCell ref="ES5:EU5"/>
    <mergeCell ref="EP5:ER5"/>
    <mergeCell ref="N39:O39"/>
    <mergeCell ref="W39:Y39"/>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32">
    <pageSetUpPr autoPageBreaks="0"/>
  </sheetPr>
  <dimension ref="A1:AD454"/>
  <sheetViews>
    <sheetView showGridLines="0" topLeftCell="C1" zoomScaleNormal="100" workbookViewId="0">
      <pane ySplit="5" topLeftCell="A429" activePane="bottomLeft" state="frozen"/>
      <selection activeCell="N57" sqref="N57"/>
      <selection pane="bottomLeft" activeCell="Y444" sqref="Y444"/>
    </sheetView>
  </sheetViews>
  <sheetFormatPr defaultColWidth="9.140625" defaultRowHeight="12.75" outlineLevelRow="1" outlineLevelCol="1" x14ac:dyDescent="0.2"/>
  <cols>
    <col min="1" max="2" width="9.140625" style="532" hidden="1" customWidth="1"/>
    <col min="3" max="3" width="1.5703125" customWidth="1"/>
    <col min="4" max="4" width="36.85546875" bestFit="1" customWidth="1"/>
    <col min="5" max="5" width="12.140625" bestFit="1" customWidth="1"/>
    <col min="6" max="11" width="10.85546875" customWidth="1"/>
    <col min="12" max="21" width="10.85546875" style="312" hidden="1" customWidth="1" outlineLevel="1"/>
    <col min="22" max="22" width="10.85546875" customWidth="1" collapsed="1"/>
    <col min="23" max="23" width="4.42578125" style="532" customWidth="1"/>
    <col min="24" max="24" width="37" style="532" customWidth="1"/>
    <col min="25" max="16384" width="9.140625" style="532"/>
  </cols>
  <sheetData>
    <row r="1" spans="1:27" ht="7.5" customHeight="1" x14ac:dyDescent="0.2">
      <c r="X1" s="612" t="s">
        <v>96</v>
      </c>
    </row>
    <row r="2" spans="1:27" ht="12.75" customHeight="1" x14ac:dyDescent="0.2">
      <c r="X2" s="612" t="s">
        <v>866</v>
      </c>
    </row>
    <row r="3" spans="1:27" ht="12.75" customHeight="1" x14ac:dyDescent="0.2"/>
    <row r="4" spans="1:27" ht="12.75" customHeight="1" x14ac:dyDescent="0.2"/>
    <row r="5" spans="1:27" ht="15.75" customHeight="1" x14ac:dyDescent="0.2">
      <c r="A5" s="532" t="s">
        <v>97</v>
      </c>
      <c r="B5" s="532" t="s">
        <v>872</v>
      </c>
      <c r="D5" s="141" t="str">
        <f>IF([1]RENAME!$H$3=1,B5,A5)</f>
        <v>Controladora</v>
      </c>
      <c r="E5" s="139" t="s">
        <v>213</v>
      </c>
      <c r="F5" s="139" t="s">
        <v>599</v>
      </c>
      <c r="G5" s="139" t="s">
        <v>215</v>
      </c>
      <c r="H5" s="139" t="s">
        <v>1327</v>
      </c>
      <c r="I5" s="139" t="s">
        <v>1310</v>
      </c>
      <c r="J5" s="139" t="s">
        <v>2264</v>
      </c>
      <c r="K5" s="139" t="s">
        <v>218</v>
      </c>
      <c r="L5" s="313" t="s">
        <v>2192</v>
      </c>
      <c r="M5" s="313" t="s">
        <v>219</v>
      </c>
      <c r="N5" s="313" t="s">
        <v>217</v>
      </c>
      <c r="O5" s="313" t="s">
        <v>476</v>
      </c>
      <c r="P5" s="313" t="s">
        <v>218</v>
      </c>
      <c r="Q5" s="313" t="s">
        <v>1435</v>
      </c>
      <c r="R5" s="313" t="s">
        <v>220</v>
      </c>
      <c r="S5" s="313" t="s">
        <v>214</v>
      </c>
      <c r="T5" s="313" t="s">
        <v>216</v>
      </c>
      <c r="U5" s="313" t="s">
        <v>130</v>
      </c>
      <c r="V5" s="139" t="s">
        <v>112</v>
      </c>
      <c r="X5" s="141" t="str">
        <f>IF([1]RENAME!$H$3=1,X2,X1)</f>
        <v>Consolidado</v>
      </c>
      <c r="Y5" s="139" t="s">
        <v>1310</v>
      </c>
      <c r="Z5" s="139" t="s">
        <v>2152</v>
      </c>
      <c r="AA5" s="139" t="s">
        <v>112</v>
      </c>
    </row>
    <row r="6" spans="1:27" x14ac:dyDescent="0.2">
      <c r="A6" s="532" t="s">
        <v>222</v>
      </c>
      <c r="B6" s="532" t="s">
        <v>1462</v>
      </c>
      <c r="D6" s="126" t="str">
        <f>IF([1]RENAME!$H$3=1,B6,A6)</f>
        <v>Em 31 de dezembro de 2012</v>
      </c>
      <c r="E6" s="120">
        <v>48027</v>
      </c>
      <c r="F6" s="120">
        <v>0</v>
      </c>
      <c r="G6" s="120">
        <v>13360</v>
      </c>
      <c r="H6" s="120"/>
      <c r="I6" s="120"/>
      <c r="J6" s="120"/>
      <c r="K6" s="120"/>
      <c r="L6" s="314"/>
      <c r="M6" s="314">
        <v>2886</v>
      </c>
      <c r="N6" s="314">
        <v>2978</v>
      </c>
      <c r="O6" s="314"/>
      <c r="P6" s="314">
        <v>1998</v>
      </c>
      <c r="Q6" s="314"/>
      <c r="R6" s="314">
        <v>791</v>
      </c>
      <c r="S6" s="314">
        <v>48126</v>
      </c>
      <c r="T6" s="314">
        <v>3633</v>
      </c>
      <c r="U6" s="314">
        <v>0</v>
      </c>
      <c r="V6" s="120">
        <v>121799</v>
      </c>
    </row>
    <row r="7" spans="1:27" x14ac:dyDescent="0.2">
      <c r="D7" s="153"/>
      <c r="E7" s="154"/>
      <c r="F7" s="154"/>
      <c r="G7" s="154"/>
      <c r="H7" s="154"/>
      <c r="I7" s="154"/>
      <c r="J7" s="154"/>
      <c r="K7" s="154"/>
      <c r="L7" s="315"/>
      <c r="M7" s="315"/>
      <c r="N7" s="315"/>
      <c r="O7" s="315"/>
      <c r="P7" s="315"/>
      <c r="Q7" s="315"/>
      <c r="R7" s="315"/>
      <c r="S7" s="315"/>
      <c r="T7" s="315"/>
      <c r="U7" s="315"/>
      <c r="V7" s="154"/>
    </row>
    <row r="8" spans="1:27" ht="12.75" hidden="1" customHeight="1" outlineLevel="1" x14ac:dyDescent="0.2">
      <c r="A8" s="532" t="s">
        <v>223</v>
      </c>
      <c r="B8" s="532" t="s">
        <v>1097</v>
      </c>
      <c r="D8" s="129" t="str">
        <f>IF([1]RENAME!$H$3=1,B8,A8)</f>
        <v>Aumento de investimento</v>
      </c>
      <c r="E8" s="118">
        <v>0</v>
      </c>
      <c r="F8" s="118"/>
      <c r="G8" s="118">
        <v>5628</v>
      </c>
      <c r="H8" s="118"/>
      <c r="I8" s="118"/>
      <c r="J8" s="118"/>
      <c r="K8" s="118"/>
      <c r="L8" s="316"/>
      <c r="M8" s="316">
        <v>0</v>
      </c>
      <c r="N8" s="316">
        <v>0</v>
      </c>
      <c r="O8" s="316"/>
      <c r="P8" s="316">
        <v>0</v>
      </c>
      <c r="Q8" s="316"/>
      <c r="R8" s="316">
        <v>0</v>
      </c>
      <c r="S8" s="316">
        <v>20471</v>
      </c>
      <c r="T8" s="316">
        <v>0</v>
      </c>
      <c r="U8" s="316">
        <v>100000</v>
      </c>
      <c r="V8" s="118">
        <f t="shared" ref="V8:V15" si="0">SUM(E8:U8)</f>
        <v>126099</v>
      </c>
    </row>
    <row r="9" spans="1:27" ht="12.75" hidden="1" customHeight="1" outlineLevel="1" x14ac:dyDescent="0.2">
      <c r="A9" s="532" t="s">
        <v>225</v>
      </c>
      <c r="B9" s="532" t="s">
        <v>760</v>
      </c>
      <c r="D9" s="129" t="str">
        <f>IF([1]RENAME!$H$3=1,B9,A9)</f>
        <v>Equivalência patrimonial</v>
      </c>
      <c r="E9" s="118">
        <v>-18549</v>
      </c>
      <c r="F9" s="118"/>
      <c r="G9" s="118">
        <v>-9</v>
      </c>
      <c r="H9" s="118"/>
      <c r="I9" s="118"/>
      <c r="J9" s="118"/>
      <c r="K9" s="118"/>
      <c r="L9" s="316"/>
      <c r="M9" s="316">
        <v>630</v>
      </c>
      <c r="N9" s="316">
        <v>-66</v>
      </c>
      <c r="O9" s="316"/>
      <c r="P9" s="316">
        <v>2297</v>
      </c>
      <c r="Q9" s="316"/>
      <c r="R9" s="316">
        <v>165</v>
      </c>
      <c r="S9" s="316">
        <v>-9001</v>
      </c>
      <c r="T9" s="316">
        <v>50</v>
      </c>
      <c r="U9" s="316">
        <v>-47693</v>
      </c>
      <c r="V9" s="118">
        <f t="shared" si="0"/>
        <v>-72176</v>
      </c>
    </row>
    <row r="10" spans="1:27" ht="12.75" hidden="1" customHeight="1" outlineLevel="1" x14ac:dyDescent="0.2">
      <c r="A10" s="532" t="s">
        <v>227</v>
      </c>
      <c r="B10" s="532" t="s">
        <v>788</v>
      </c>
      <c r="D10" s="129" t="str">
        <f>IF([1]RENAME!$H$3=1,B10,A10)</f>
        <v>Dividendos distribuídos</v>
      </c>
      <c r="E10" s="118">
        <v>0</v>
      </c>
      <c r="F10" s="118"/>
      <c r="G10" s="118">
        <v>0</v>
      </c>
      <c r="H10" s="118"/>
      <c r="I10" s="118"/>
      <c r="J10" s="118"/>
      <c r="K10" s="118"/>
      <c r="L10" s="316"/>
      <c r="M10" s="316">
        <v>0</v>
      </c>
      <c r="N10" s="316">
        <v>-1244</v>
      </c>
      <c r="O10" s="316"/>
      <c r="P10" s="316">
        <v>-419</v>
      </c>
      <c r="Q10" s="316"/>
      <c r="R10" s="316">
        <v>0</v>
      </c>
      <c r="S10" s="316">
        <v>0</v>
      </c>
      <c r="T10" s="316">
        <v>0</v>
      </c>
      <c r="U10" s="316">
        <v>0</v>
      </c>
      <c r="V10" s="118">
        <f t="shared" si="0"/>
        <v>-1663</v>
      </c>
    </row>
    <row r="11" spans="1:27" ht="12.75" hidden="1" customHeight="1" outlineLevel="1" x14ac:dyDescent="0.2">
      <c r="A11" s="532" t="s">
        <v>228</v>
      </c>
      <c r="B11" s="532" t="s">
        <v>1098</v>
      </c>
      <c r="D11" s="129" t="str">
        <f>IF([1]RENAME!$H$3=1,B11,A11)</f>
        <v>Transferência para passivo a descoberto</v>
      </c>
      <c r="E11" s="118">
        <v>0</v>
      </c>
      <c r="F11" s="118"/>
      <c r="G11" s="118">
        <v>0</v>
      </c>
      <c r="H11" s="118"/>
      <c r="I11" s="118"/>
      <c r="J11" s="118"/>
      <c r="K11" s="118"/>
      <c r="L11" s="316"/>
      <c r="M11" s="316">
        <v>0</v>
      </c>
      <c r="N11" s="316">
        <v>0</v>
      </c>
      <c r="O11" s="316"/>
      <c r="P11" s="316">
        <v>0</v>
      </c>
      <c r="Q11" s="316"/>
      <c r="R11" s="316">
        <v>0</v>
      </c>
      <c r="S11" s="316">
        <v>0</v>
      </c>
      <c r="T11" s="316">
        <v>0</v>
      </c>
      <c r="U11" s="316">
        <v>-26704</v>
      </c>
      <c r="V11" s="118">
        <f t="shared" si="0"/>
        <v>-26704</v>
      </c>
    </row>
    <row r="12" spans="1:27" ht="12.75" hidden="1" customHeight="1" outlineLevel="1" x14ac:dyDescent="0.2">
      <c r="A12" s="532" t="s">
        <v>229</v>
      </c>
      <c r="B12" s="532" t="s">
        <v>1099</v>
      </c>
      <c r="D12" s="129" t="str">
        <f>IF([1]RENAME!$H$3=1,B12,A12)</f>
        <v>Transferência incorporação</v>
      </c>
      <c r="E12" s="118">
        <v>0</v>
      </c>
      <c r="F12" s="118"/>
      <c r="G12" s="118">
        <v>0</v>
      </c>
      <c r="H12" s="118"/>
      <c r="I12" s="118"/>
      <c r="J12" s="118"/>
      <c r="K12" s="118"/>
      <c r="L12" s="316"/>
      <c r="M12" s="316">
        <v>-3516</v>
      </c>
      <c r="N12" s="316">
        <v>0</v>
      </c>
      <c r="O12" s="316"/>
      <c r="P12" s="316">
        <v>7199</v>
      </c>
      <c r="Q12" s="316"/>
      <c r="R12" s="316">
        <v>0</v>
      </c>
      <c r="S12" s="316">
        <v>0</v>
      </c>
      <c r="T12" s="316">
        <v>-3683</v>
      </c>
      <c r="U12" s="316">
        <v>0</v>
      </c>
      <c r="V12" s="118">
        <f t="shared" si="0"/>
        <v>0</v>
      </c>
    </row>
    <row r="13" spans="1:27" ht="12.75" hidden="1" customHeight="1" outlineLevel="1" x14ac:dyDescent="0.2">
      <c r="A13" s="532" t="s">
        <v>230</v>
      </c>
      <c r="B13" s="532" t="s">
        <v>1463</v>
      </c>
      <c r="D13" s="129" t="str">
        <f>IF([1]RENAME!$H$3=1,B13,A13)</f>
        <v>Variação cambial de investimento</v>
      </c>
      <c r="E13" s="118">
        <v>0</v>
      </c>
      <c r="F13" s="118"/>
      <c r="G13" s="118">
        <v>0</v>
      </c>
      <c r="H13" s="118"/>
      <c r="I13" s="118"/>
      <c r="J13" s="118"/>
      <c r="K13" s="118"/>
      <c r="L13" s="316"/>
      <c r="M13" s="316">
        <v>0</v>
      </c>
      <c r="N13" s="316">
        <v>0</v>
      </c>
      <c r="O13" s="316"/>
      <c r="P13" s="316">
        <v>0</v>
      </c>
      <c r="Q13" s="316"/>
      <c r="R13" s="316">
        <v>-361</v>
      </c>
      <c r="S13" s="316">
        <v>0</v>
      </c>
      <c r="T13" s="316">
        <v>0</v>
      </c>
      <c r="U13" s="316">
        <v>0</v>
      </c>
      <c r="V13" s="118">
        <f t="shared" si="0"/>
        <v>-361</v>
      </c>
    </row>
    <row r="14" spans="1:27" ht="12.75" hidden="1" customHeight="1" outlineLevel="1" x14ac:dyDescent="0.2">
      <c r="A14" s="532" t="s">
        <v>41</v>
      </c>
      <c r="B14" s="532" t="s">
        <v>1100</v>
      </c>
      <c r="D14" s="129" t="str">
        <f>IF([1]RENAME!$H$3=1,B14,A14)</f>
        <v>Opção de compra em controlada</v>
      </c>
      <c r="E14" s="118">
        <v>0</v>
      </c>
      <c r="F14" s="118"/>
      <c r="G14" s="118">
        <v>0</v>
      </c>
      <c r="H14" s="118"/>
      <c r="I14" s="118"/>
      <c r="J14" s="118"/>
      <c r="K14" s="118"/>
      <c r="L14" s="316"/>
      <c r="M14" s="316">
        <v>0</v>
      </c>
      <c r="N14" s="316">
        <v>0</v>
      </c>
      <c r="O14" s="316"/>
      <c r="P14" s="316">
        <v>0</v>
      </c>
      <c r="Q14" s="316"/>
      <c r="R14" s="316">
        <v>0</v>
      </c>
      <c r="S14" s="316">
        <v>0</v>
      </c>
      <c r="T14" s="316">
        <v>0</v>
      </c>
      <c r="U14" s="316">
        <v>-18863</v>
      </c>
      <c r="V14" s="118">
        <f t="shared" si="0"/>
        <v>-18863</v>
      </c>
    </row>
    <row r="15" spans="1:27" ht="12.75" hidden="1" customHeight="1" outlineLevel="1" x14ac:dyDescent="0.2">
      <c r="A15" s="532" t="s">
        <v>49</v>
      </c>
      <c r="B15" s="532" t="s">
        <v>699</v>
      </c>
      <c r="D15" s="129" t="str">
        <f>IF([1]RENAME!$H$3=1,B15,A15)</f>
        <v>Outros</v>
      </c>
      <c r="E15" s="118">
        <v>0</v>
      </c>
      <c r="F15" s="118"/>
      <c r="G15" s="118">
        <v>0</v>
      </c>
      <c r="H15" s="118"/>
      <c r="I15" s="118"/>
      <c r="J15" s="118"/>
      <c r="K15" s="118"/>
      <c r="L15" s="316"/>
      <c r="M15" s="316">
        <v>0</v>
      </c>
      <c r="N15" s="316">
        <v>0</v>
      </c>
      <c r="O15" s="316"/>
      <c r="P15" s="316">
        <v>-381</v>
      </c>
      <c r="Q15" s="316"/>
      <c r="R15" s="316">
        <v>0</v>
      </c>
      <c r="S15" s="316">
        <v>0</v>
      </c>
      <c r="T15" s="316">
        <v>0</v>
      </c>
      <c r="U15" s="316">
        <v>0</v>
      </c>
      <c r="V15" s="118">
        <f t="shared" si="0"/>
        <v>-381</v>
      </c>
    </row>
    <row r="16" spans="1:27" collapsed="1" x14ac:dyDescent="0.2">
      <c r="A16" s="532" t="s">
        <v>171</v>
      </c>
      <c r="B16" s="532" t="s">
        <v>1464</v>
      </c>
      <c r="D16" s="126" t="str">
        <f>IF([1]RENAME!$H$3=1,B16,A16)</f>
        <v>Em 31 de dezembro de 2013</v>
      </c>
      <c r="E16" s="120">
        <f>SUM(E6:E15)</f>
        <v>29478</v>
      </c>
      <c r="F16" s="120">
        <v>0</v>
      </c>
      <c r="G16" s="120">
        <f>SUM(G6:G15)</f>
        <v>18979</v>
      </c>
      <c r="H16" s="120"/>
      <c r="I16" s="120"/>
      <c r="J16" s="120"/>
      <c r="K16" s="120"/>
      <c r="L16" s="314"/>
      <c r="M16" s="314">
        <f>SUM(M6:M15)</f>
        <v>0</v>
      </c>
      <c r="N16" s="314">
        <f>SUM(N6:N15)</f>
        <v>1668</v>
      </c>
      <c r="O16" s="314"/>
      <c r="P16" s="314">
        <f>SUM(P6:P15)</f>
        <v>10694</v>
      </c>
      <c r="Q16" s="314"/>
      <c r="R16" s="314">
        <f>SUM(R6:R15)</f>
        <v>595</v>
      </c>
      <c r="S16" s="314">
        <f>SUM(S6:S15)</f>
        <v>59596</v>
      </c>
      <c r="T16" s="314">
        <f>SUM(T6:T15)</f>
        <v>0</v>
      </c>
      <c r="U16" s="314">
        <f>SUM(U6:U15)</f>
        <v>6740</v>
      </c>
      <c r="V16" s="120">
        <f>SUM(V6:V15)</f>
        <v>127750</v>
      </c>
    </row>
    <row r="17" spans="1:22" x14ac:dyDescent="0.2">
      <c r="D17" s="153"/>
      <c r="E17" s="154"/>
      <c r="F17" s="154"/>
      <c r="G17" s="154"/>
      <c r="H17" s="154"/>
      <c r="I17" s="154"/>
      <c r="J17" s="154"/>
      <c r="K17" s="154"/>
      <c r="L17" s="315"/>
      <c r="M17" s="315"/>
      <c r="N17" s="315"/>
      <c r="O17" s="315"/>
      <c r="P17" s="315"/>
      <c r="Q17" s="315"/>
      <c r="R17" s="315"/>
      <c r="S17" s="315"/>
      <c r="T17" s="315"/>
      <c r="U17" s="315"/>
      <c r="V17" s="154"/>
    </row>
    <row r="18" spans="1:22" ht="12.75" hidden="1" customHeight="1" outlineLevel="1" x14ac:dyDescent="0.2">
      <c r="A18" s="532" t="s">
        <v>223</v>
      </c>
      <c r="B18" s="532" t="s">
        <v>1097</v>
      </c>
      <c r="D18" s="129" t="str">
        <f>IF([1]RENAME!$H$3=1,B18,A18)</f>
        <v>Aumento de investimento</v>
      </c>
      <c r="E18" s="118">
        <v>0</v>
      </c>
      <c r="F18" s="118"/>
      <c r="G18" s="118">
        <v>990</v>
      </c>
      <c r="H18" s="118"/>
      <c r="I18" s="118"/>
      <c r="J18" s="118"/>
      <c r="K18" s="118"/>
      <c r="L18" s="316"/>
      <c r="M18" s="316">
        <v>0</v>
      </c>
      <c r="N18" s="316">
        <v>0</v>
      </c>
      <c r="O18" s="316"/>
      <c r="P18" s="316">
        <v>0</v>
      </c>
      <c r="Q18" s="316"/>
      <c r="R18" s="316">
        <v>0</v>
      </c>
      <c r="S18" s="316">
        <v>6040</v>
      </c>
      <c r="T18" s="316">
        <v>0</v>
      </c>
      <c r="U18" s="316">
        <v>0</v>
      </c>
      <c r="V18" s="118">
        <f>SUM(E18:U18)</f>
        <v>7030</v>
      </c>
    </row>
    <row r="19" spans="1:22" ht="12.75" hidden="1" customHeight="1" outlineLevel="1" x14ac:dyDescent="0.2">
      <c r="A19" s="532" t="s">
        <v>224</v>
      </c>
      <c r="B19" s="532" t="s">
        <v>1102</v>
      </c>
      <c r="D19" s="129" t="str">
        <f>IF([1]RENAME!$H$3=1,B19,A19)</f>
        <v>Adiantamento para futuro aumento de capital</v>
      </c>
      <c r="E19" s="118">
        <v>420</v>
      </c>
      <c r="F19" s="118"/>
      <c r="G19" s="118">
        <v>0</v>
      </c>
      <c r="H19" s="118"/>
      <c r="I19" s="118"/>
      <c r="J19" s="118"/>
      <c r="K19" s="118"/>
      <c r="L19" s="316"/>
      <c r="M19" s="316">
        <v>0</v>
      </c>
      <c r="N19" s="316">
        <v>0</v>
      </c>
      <c r="O19" s="316"/>
      <c r="P19" s="316">
        <v>0</v>
      </c>
      <c r="Q19" s="316"/>
      <c r="R19" s="316">
        <v>0</v>
      </c>
      <c r="S19" s="316">
        <v>0</v>
      </c>
      <c r="T19" s="316">
        <v>0</v>
      </c>
      <c r="U19" s="316">
        <v>0</v>
      </c>
      <c r="V19" s="118">
        <f>SUM(E19:U19)</f>
        <v>420</v>
      </c>
    </row>
    <row r="20" spans="1:22" ht="12.75" hidden="1" customHeight="1" outlineLevel="1" x14ac:dyDescent="0.2">
      <c r="A20" s="532" t="s">
        <v>225</v>
      </c>
      <c r="B20" s="532" t="s">
        <v>760</v>
      </c>
      <c r="D20" s="129" t="str">
        <f>IF([1]RENAME!$H$3=1,B20,A20)</f>
        <v>Equivalência patrimonial</v>
      </c>
      <c r="E20" s="118">
        <v>3440</v>
      </c>
      <c r="F20" s="118"/>
      <c r="G20" s="118">
        <v>0</v>
      </c>
      <c r="H20" s="118"/>
      <c r="I20" s="118"/>
      <c r="J20" s="118"/>
      <c r="K20" s="118"/>
      <c r="L20" s="316"/>
      <c r="M20" s="316">
        <v>0</v>
      </c>
      <c r="N20" s="316">
        <v>-66</v>
      </c>
      <c r="O20" s="316"/>
      <c r="P20" s="316">
        <v>703</v>
      </c>
      <c r="Q20" s="316"/>
      <c r="R20" s="316">
        <v>-134</v>
      </c>
      <c r="S20" s="316">
        <v>-3253</v>
      </c>
      <c r="T20" s="316">
        <v>0</v>
      </c>
      <c r="U20" s="316">
        <v>-11994</v>
      </c>
      <c r="V20" s="118">
        <f>SUM(E20:U20)</f>
        <v>-11304</v>
      </c>
    </row>
    <row r="21" spans="1:22" ht="12.75" hidden="1" customHeight="1" outlineLevel="1" x14ac:dyDescent="0.2">
      <c r="A21" s="532" t="s">
        <v>230</v>
      </c>
      <c r="B21" s="532" t="s">
        <v>1463</v>
      </c>
      <c r="D21" s="129" t="str">
        <f>IF([1]RENAME!$H$3=1,B21,A21)</f>
        <v>Variação cambial de investimento</v>
      </c>
      <c r="E21" s="118">
        <v>0</v>
      </c>
      <c r="F21" s="118"/>
      <c r="G21" s="118">
        <v>0</v>
      </c>
      <c r="H21" s="118"/>
      <c r="I21" s="118"/>
      <c r="J21" s="118"/>
      <c r="K21" s="118"/>
      <c r="L21" s="316"/>
      <c r="M21" s="316">
        <v>0</v>
      </c>
      <c r="N21" s="316">
        <v>0</v>
      </c>
      <c r="O21" s="316"/>
      <c r="P21" s="316">
        <v>0</v>
      </c>
      <c r="Q21" s="316"/>
      <c r="R21" s="316">
        <v>-2</v>
      </c>
      <c r="S21" s="316">
        <v>0</v>
      </c>
      <c r="T21" s="316">
        <v>0</v>
      </c>
      <c r="U21" s="316">
        <v>0</v>
      </c>
      <c r="V21" s="118">
        <f>SUM(E21:U21)</f>
        <v>-2</v>
      </c>
    </row>
    <row r="22" spans="1:22" ht="12.75" hidden="1" customHeight="1" outlineLevel="1" x14ac:dyDescent="0.2">
      <c r="A22" s="532" t="s">
        <v>49</v>
      </c>
      <c r="B22" s="532" t="s">
        <v>699</v>
      </c>
      <c r="D22" s="129" t="str">
        <f>IF([1]RENAME!$H$3=1,B22,A22)</f>
        <v>Outros</v>
      </c>
      <c r="E22" s="118">
        <v>0</v>
      </c>
      <c r="F22" s="118"/>
      <c r="G22" s="118">
        <v>0</v>
      </c>
      <c r="H22" s="118"/>
      <c r="I22" s="118"/>
      <c r="J22" s="118"/>
      <c r="K22" s="118"/>
      <c r="L22" s="316"/>
      <c r="M22" s="316">
        <v>0</v>
      </c>
      <c r="N22" s="316">
        <v>0</v>
      </c>
      <c r="O22" s="316"/>
      <c r="P22" s="316">
        <v>-2</v>
      </c>
      <c r="Q22" s="316"/>
      <c r="R22" s="316">
        <v>-3</v>
      </c>
      <c r="S22" s="316">
        <v>0</v>
      </c>
      <c r="T22" s="316">
        <v>0</v>
      </c>
      <c r="U22" s="316">
        <v>9200</v>
      </c>
      <c r="V22" s="118">
        <f>SUM(E22:U22)</f>
        <v>9195</v>
      </c>
    </row>
    <row r="23" spans="1:22" collapsed="1" x14ac:dyDescent="0.2">
      <c r="A23" s="532" t="s">
        <v>170</v>
      </c>
      <c r="B23" s="532" t="s">
        <v>1465</v>
      </c>
      <c r="D23" s="126" t="str">
        <f>IF([1]RENAME!$H$3=1,B23,A23)</f>
        <v>Em 31 de março de 2014</v>
      </c>
      <c r="E23" s="120">
        <f>SUM(E16:E22)</f>
        <v>33338</v>
      </c>
      <c r="F23" s="120">
        <v>0</v>
      </c>
      <c r="G23" s="120">
        <f>SUM(G16:G22)</f>
        <v>19969</v>
      </c>
      <c r="H23" s="120"/>
      <c r="I23" s="120"/>
      <c r="J23" s="120"/>
      <c r="K23" s="120"/>
      <c r="L23" s="314"/>
      <c r="M23" s="314">
        <f>SUM(M16:M22)</f>
        <v>0</v>
      </c>
      <c r="N23" s="314">
        <f>SUM(N16:N22)</f>
        <v>1602</v>
      </c>
      <c r="O23" s="314"/>
      <c r="P23" s="314">
        <f>SUM(P16:P22)</f>
        <v>11395</v>
      </c>
      <c r="Q23" s="314"/>
      <c r="R23" s="314">
        <f>SUM(R16:R22)</f>
        <v>456</v>
      </c>
      <c r="S23" s="314">
        <f>SUM(S16:S22)</f>
        <v>62383</v>
      </c>
      <c r="T23" s="314">
        <f>SUM(T16:T22)</f>
        <v>0</v>
      </c>
      <c r="U23" s="314">
        <f>SUM(U16:U22)</f>
        <v>3946</v>
      </c>
      <c r="V23" s="120">
        <f>SUM(V16:V22)</f>
        <v>133089</v>
      </c>
    </row>
    <row r="24" spans="1:22" x14ac:dyDescent="0.2">
      <c r="D24" s="153"/>
      <c r="E24" s="154"/>
      <c r="F24" s="154"/>
      <c r="G24" s="154"/>
      <c r="H24" s="154"/>
      <c r="I24" s="154"/>
      <c r="J24" s="154"/>
      <c r="K24" s="154"/>
      <c r="L24" s="315"/>
      <c r="M24" s="315"/>
      <c r="N24" s="315"/>
      <c r="O24" s="315"/>
      <c r="P24" s="315"/>
      <c r="Q24" s="315"/>
      <c r="R24" s="315"/>
      <c r="S24" s="315"/>
      <c r="T24" s="315"/>
      <c r="U24" s="315"/>
      <c r="V24" s="154"/>
    </row>
    <row r="25" spans="1:22" ht="12.75" hidden="1" customHeight="1" outlineLevel="1" x14ac:dyDescent="0.2">
      <c r="A25" s="532" t="s">
        <v>223</v>
      </c>
      <c r="B25" s="532" t="s">
        <v>1097</v>
      </c>
      <c r="D25" s="129" t="str">
        <f>IF([1]RENAME!$H$3=1,B25,A25)</f>
        <v>Aumento de investimento</v>
      </c>
      <c r="E25" s="118">
        <v>0</v>
      </c>
      <c r="F25" s="118"/>
      <c r="G25" s="118">
        <v>-990</v>
      </c>
      <c r="H25" s="118"/>
      <c r="I25" s="118"/>
      <c r="J25" s="118"/>
      <c r="K25" s="118"/>
      <c r="L25" s="316"/>
      <c r="M25" s="316">
        <v>0</v>
      </c>
      <c r="N25" s="316">
        <v>0</v>
      </c>
      <c r="O25" s="316"/>
      <c r="P25" s="316">
        <v>0</v>
      </c>
      <c r="Q25" s="316"/>
      <c r="R25" s="316">
        <v>0</v>
      </c>
      <c r="S25" s="316">
        <v>0</v>
      </c>
      <c r="T25" s="316">
        <v>0</v>
      </c>
      <c r="U25" s="316">
        <v>75225</v>
      </c>
      <c r="V25" s="118">
        <f t="shared" ref="V25:V30" si="1">SUM(E25:U25)</f>
        <v>74235</v>
      </c>
    </row>
    <row r="26" spans="1:22" ht="12.75" hidden="1" customHeight="1" outlineLevel="1" x14ac:dyDescent="0.2">
      <c r="A26" s="532" t="s">
        <v>224</v>
      </c>
      <c r="B26" s="532" t="s">
        <v>1102</v>
      </c>
      <c r="D26" s="129" t="str">
        <f>IF([1]RENAME!$H$3=1,B26,A26)</f>
        <v>Adiantamento para futuro aumento de capital</v>
      </c>
      <c r="E26" s="118">
        <v>7000</v>
      </c>
      <c r="F26" s="118"/>
      <c r="G26" s="118">
        <v>2010</v>
      </c>
      <c r="H26" s="118"/>
      <c r="I26" s="118"/>
      <c r="J26" s="118"/>
      <c r="K26" s="118"/>
      <c r="L26" s="316"/>
      <c r="M26" s="316">
        <v>0</v>
      </c>
      <c r="N26" s="316">
        <v>0</v>
      </c>
      <c r="O26" s="316"/>
      <c r="P26" s="316">
        <v>0</v>
      </c>
      <c r="Q26" s="316"/>
      <c r="R26" s="316">
        <v>0</v>
      </c>
      <c r="S26" s="316">
        <v>0</v>
      </c>
      <c r="T26" s="316">
        <v>0</v>
      </c>
      <c r="U26" s="316">
        <v>0</v>
      </c>
      <c r="V26" s="118">
        <f t="shared" si="1"/>
        <v>9010</v>
      </c>
    </row>
    <row r="27" spans="1:22" ht="12.75" hidden="1" customHeight="1" outlineLevel="1" x14ac:dyDescent="0.2">
      <c r="A27" s="532" t="s">
        <v>225</v>
      </c>
      <c r="B27" s="532" t="s">
        <v>760</v>
      </c>
      <c r="D27" s="129" t="str">
        <f>IF([1]RENAME!$H$3=1,B27,A27)</f>
        <v>Equivalência patrimonial</v>
      </c>
      <c r="E27" s="118">
        <v>7973</v>
      </c>
      <c r="F27" s="118"/>
      <c r="G27" s="118">
        <v>-31</v>
      </c>
      <c r="H27" s="118"/>
      <c r="I27" s="118"/>
      <c r="J27" s="118"/>
      <c r="K27" s="118"/>
      <c r="L27" s="316"/>
      <c r="M27" s="316">
        <v>0</v>
      </c>
      <c r="N27" s="316">
        <v>42</v>
      </c>
      <c r="O27" s="316"/>
      <c r="P27" s="316">
        <v>1385</v>
      </c>
      <c r="Q27" s="316"/>
      <c r="R27" s="316">
        <v>26</v>
      </c>
      <c r="S27" s="316">
        <v>-1919</v>
      </c>
      <c r="T27" s="316">
        <v>0</v>
      </c>
      <c r="U27" s="316">
        <v>-7139</v>
      </c>
      <c r="V27" s="118">
        <f t="shared" si="1"/>
        <v>337</v>
      </c>
    </row>
    <row r="28" spans="1:22" ht="12.75" hidden="1" customHeight="1" outlineLevel="1" x14ac:dyDescent="0.2">
      <c r="A28" s="532" t="s">
        <v>231</v>
      </c>
      <c r="B28" s="532" t="s">
        <v>1466</v>
      </c>
      <c r="D28" s="129" t="str">
        <f>IF([1]RENAME!$H$3=1,B28,A28)</f>
        <v>Transferência para operações descontinuadas</v>
      </c>
      <c r="E28" s="118">
        <v>0</v>
      </c>
      <c r="F28" s="118"/>
      <c r="G28" s="118">
        <v>0</v>
      </c>
      <c r="H28" s="118"/>
      <c r="I28" s="118"/>
      <c r="J28" s="118"/>
      <c r="K28" s="118"/>
      <c r="L28" s="316"/>
      <c r="M28" s="316">
        <v>0</v>
      </c>
      <c r="N28" s="316">
        <v>0</v>
      </c>
      <c r="O28" s="316"/>
      <c r="P28" s="316">
        <v>0</v>
      </c>
      <c r="Q28" s="316"/>
      <c r="R28" s="316">
        <v>0</v>
      </c>
      <c r="S28" s="316">
        <v>0</v>
      </c>
      <c r="T28" s="316">
        <v>0</v>
      </c>
      <c r="U28" s="316">
        <v>-36871</v>
      </c>
      <c r="V28" s="118">
        <f t="shared" si="1"/>
        <v>-36871</v>
      </c>
    </row>
    <row r="29" spans="1:22" ht="12.75" hidden="1" customHeight="1" outlineLevel="1" x14ac:dyDescent="0.2">
      <c r="A29" s="532" t="s">
        <v>230</v>
      </c>
      <c r="B29" s="532" t="s">
        <v>1463</v>
      </c>
      <c r="D29" s="129" t="str">
        <f>IF([1]RENAME!$H$3=1,B29,A29)</f>
        <v>Variação cambial de investimento</v>
      </c>
      <c r="E29" s="118">
        <v>0</v>
      </c>
      <c r="F29" s="118"/>
      <c r="G29" s="118">
        <v>0</v>
      </c>
      <c r="H29" s="118"/>
      <c r="I29" s="118"/>
      <c r="J29" s="118"/>
      <c r="K29" s="118"/>
      <c r="L29" s="316"/>
      <c r="M29" s="316">
        <v>0</v>
      </c>
      <c r="N29" s="316">
        <v>0</v>
      </c>
      <c r="O29" s="316"/>
      <c r="P29" s="316">
        <v>0</v>
      </c>
      <c r="Q29" s="316"/>
      <c r="R29" s="316">
        <v>-18</v>
      </c>
      <c r="S29" s="316">
        <v>0</v>
      </c>
      <c r="T29" s="316">
        <v>0</v>
      </c>
      <c r="U29" s="316">
        <v>0</v>
      </c>
      <c r="V29" s="118">
        <f t="shared" si="1"/>
        <v>-18</v>
      </c>
    </row>
    <row r="30" spans="1:22" ht="12.75" hidden="1" customHeight="1" outlineLevel="1" x14ac:dyDescent="0.2">
      <c r="A30" s="532" t="s">
        <v>49</v>
      </c>
      <c r="B30" s="532" t="s">
        <v>699</v>
      </c>
      <c r="D30" s="129" t="str">
        <f>IF([1]RENAME!$H$3=1,B30,A30)</f>
        <v>Outros</v>
      </c>
      <c r="E30" s="118">
        <v>0</v>
      </c>
      <c r="F30" s="118"/>
      <c r="G30" s="118">
        <v>0</v>
      </c>
      <c r="H30" s="118"/>
      <c r="I30" s="118"/>
      <c r="J30" s="118"/>
      <c r="K30" s="118"/>
      <c r="L30" s="316"/>
      <c r="M30" s="316">
        <v>0</v>
      </c>
      <c r="N30" s="316">
        <v>0</v>
      </c>
      <c r="O30" s="316"/>
      <c r="P30" s="316">
        <v>0</v>
      </c>
      <c r="Q30" s="316"/>
      <c r="R30" s="316">
        <v>-1</v>
      </c>
      <c r="S30" s="316">
        <v>0</v>
      </c>
      <c r="T30" s="316">
        <v>0</v>
      </c>
      <c r="U30" s="316">
        <v>0</v>
      </c>
      <c r="V30" s="118">
        <f t="shared" si="1"/>
        <v>-1</v>
      </c>
    </row>
    <row r="31" spans="1:22" collapsed="1" x14ac:dyDescent="0.2">
      <c r="A31" s="532" t="s">
        <v>169</v>
      </c>
      <c r="B31" s="532" t="s">
        <v>1467</v>
      </c>
      <c r="D31" s="126" t="str">
        <f>IF([1]RENAME!$H$3=1,B31,A31)</f>
        <v>Em 30 de junho de 2014</v>
      </c>
      <c r="E31" s="120">
        <f>SUM(E23:E30)</f>
        <v>48311</v>
      </c>
      <c r="F31" s="120">
        <v>0</v>
      </c>
      <c r="G31" s="120">
        <f>SUM(G23:G30)</f>
        <v>20958</v>
      </c>
      <c r="H31" s="120"/>
      <c r="I31" s="120"/>
      <c r="J31" s="120"/>
      <c r="K31" s="120"/>
      <c r="L31" s="314"/>
      <c r="M31" s="314">
        <f>SUM(M23:M30)</f>
        <v>0</v>
      </c>
      <c r="N31" s="314">
        <f>SUM(N23:N30)</f>
        <v>1644</v>
      </c>
      <c r="O31" s="314"/>
      <c r="P31" s="314">
        <f>SUM(P23:P30)</f>
        <v>12780</v>
      </c>
      <c r="Q31" s="314"/>
      <c r="R31" s="314">
        <f>SUM(R23:R30)</f>
        <v>463</v>
      </c>
      <c r="S31" s="314">
        <f>SUM(S23:S30)</f>
        <v>60464</v>
      </c>
      <c r="T31" s="314">
        <f>SUM(T23:T30)</f>
        <v>0</v>
      </c>
      <c r="U31" s="314">
        <f>SUM(U23:U30)</f>
        <v>35161</v>
      </c>
      <c r="V31" s="120">
        <f>SUM(V23:V30)</f>
        <v>179781</v>
      </c>
    </row>
    <row r="32" spans="1:22" x14ac:dyDescent="0.2">
      <c r="D32" s="153"/>
      <c r="E32" s="154"/>
      <c r="F32" s="154"/>
      <c r="G32" s="154"/>
      <c r="H32" s="154"/>
      <c r="I32" s="154"/>
      <c r="J32" s="154"/>
      <c r="K32" s="154"/>
      <c r="L32" s="315"/>
      <c r="M32" s="315"/>
      <c r="N32" s="315"/>
      <c r="O32" s="315"/>
      <c r="P32" s="315"/>
      <c r="Q32" s="315"/>
      <c r="R32" s="315"/>
      <c r="S32" s="315"/>
      <c r="T32" s="315"/>
      <c r="U32" s="315"/>
      <c r="V32" s="154"/>
    </row>
    <row r="33" spans="1:22" ht="12.75" hidden="1" customHeight="1" outlineLevel="1" x14ac:dyDescent="0.2">
      <c r="A33" s="532" t="s">
        <v>223</v>
      </c>
      <c r="B33" s="532" t="s">
        <v>1097</v>
      </c>
      <c r="D33" s="129" t="str">
        <f>IF([1]RENAME!$H$3=1,B33,A33)</f>
        <v>Aumento de investimento</v>
      </c>
      <c r="E33" s="118">
        <v>7420</v>
      </c>
      <c r="F33" s="118"/>
      <c r="G33" s="118">
        <v>1702</v>
      </c>
      <c r="H33" s="118"/>
      <c r="I33" s="118"/>
      <c r="J33" s="118"/>
      <c r="K33" s="118"/>
      <c r="L33" s="316"/>
      <c r="M33" s="316">
        <v>0</v>
      </c>
      <c r="N33" s="316">
        <v>0</v>
      </c>
      <c r="O33" s="316"/>
      <c r="P33" s="316">
        <v>0</v>
      </c>
      <c r="Q33" s="316"/>
      <c r="R33" s="316">
        <v>0</v>
      </c>
      <c r="S33" s="316">
        <v>0</v>
      </c>
      <c r="T33" s="316">
        <v>0</v>
      </c>
      <c r="U33" s="316">
        <v>93701</v>
      </c>
      <c r="V33" s="118">
        <f t="shared" ref="V33:V39" si="2">SUM(E33:U33)</f>
        <v>102823</v>
      </c>
    </row>
    <row r="34" spans="1:22" ht="12.75" hidden="1" customHeight="1" outlineLevel="1" x14ac:dyDescent="0.2">
      <c r="A34" s="532" t="s">
        <v>224</v>
      </c>
      <c r="B34" s="532" t="s">
        <v>1102</v>
      </c>
      <c r="D34" s="129" t="str">
        <f>IF([1]RENAME!$H$3=1,B34,A34)</f>
        <v>Adiantamento para futuro aumento de capital</v>
      </c>
      <c r="E34" s="118">
        <v>-7420</v>
      </c>
      <c r="F34" s="118"/>
      <c r="G34" s="118">
        <v>-1017</v>
      </c>
      <c r="H34" s="118"/>
      <c r="I34" s="118"/>
      <c r="J34" s="118"/>
      <c r="K34" s="118"/>
      <c r="L34" s="316"/>
      <c r="M34" s="316">
        <v>0</v>
      </c>
      <c r="N34" s="316">
        <v>0</v>
      </c>
      <c r="O34" s="316"/>
      <c r="P34" s="316">
        <v>0</v>
      </c>
      <c r="Q34" s="316"/>
      <c r="R34" s="316">
        <v>0</v>
      </c>
      <c r="S34" s="316">
        <v>0</v>
      </c>
      <c r="T34" s="316">
        <v>0</v>
      </c>
      <c r="U34" s="316">
        <v>0</v>
      </c>
      <c r="V34" s="118">
        <f t="shared" si="2"/>
        <v>-8437</v>
      </c>
    </row>
    <row r="35" spans="1:22" ht="12.75" hidden="1" customHeight="1" outlineLevel="1" x14ac:dyDescent="0.2">
      <c r="A35" s="532" t="s">
        <v>225</v>
      </c>
      <c r="B35" s="532" t="s">
        <v>760</v>
      </c>
      <c r="D35" s="129" t="str">
        <f>IF([1]RENAME!$H$3=1,B35,A35)</f>
        <v>Equivalência patrimonial</v>
      </c>
      <c r="E35" s="118">
        <v>427</v>
      </c>
      <c r="F35" s="118"/>
      <c r="G35" s="118">
        <v>-23</v>
      </c>
      <c r="H35" s="118"/>
      <c r="I35" s="118"/>
      <c r="J35" s="118"/>
      <c r="K35" s="118"/>
      <c r="L35" s="316"/>
      <c r="M35" s="316">
        <v>0</v>
      </c>
      <c r="N35" s="316">
        <v>420</v>
      </c>
      <c r="O35" s="316"/>
      <c r="P35" s="316">
        <v>656</v>
      </c>
      <c r="Q35" s="316"/>
      <c r="R35" s="316">
        <v>-12</v>
      </c>
      <c r="S35" s="316">
        <v>886</v>
      </c>
      <c r="T35" s="316">
        <v>0</v>
      </c>
      <c r="U35" s="316">
        <v>-25341</v>
      </c>
      <c r="V35" s="118">
        <f t="shared" si="2"/>
        <v>-22987</v>
      </c>
    </row>
    <row r="36" spans="1:22" ht="12.75" hidden="1" customHeight="1" outlineLevel="1" x14ac:dyDescent="0.2">
      <c r="A36" s="532" t="s">
        <v>232</v>
      </c>
      <c r="B36" s="532" t="s">
        <v>1103</v>
      </c>
      <c r="D36" s="129" t="str">
        <f>IF([1]RENAME!$H$3=1,B36,A36)</f>
        <v>Incorporação</v>
      </c>
      <c r="E36" s="118">
        <v>0</v>
      </c>
      <c r="F36" s="118"/>
      <c r="G36" s="118">
        <v>0</v>
      </c>
      <c r="H36" s="118"/>
      <c r="I36" s="118"/>
      <c r="J36" s="118"/>
      <c r="K36" s="118"/>
      <c r="L36" s="316"/>
      <c r="M36" s="316">
        <v>0</v>
      </c>
      <c r="N36" s="316">
        <v>0</v>
      </c>
      <c r="O36" s="316"/>
      <c r="P36" s="316">
        <v>0</v>
      </c>
      <c r="Q36" s="316"/>
      <c r="R36" s="316">
        <v>0</v>
      </c>
      <c r="S36" s="316">
        <v>0</v>
      </c>
      <c r="T36" s="316">
        <v>0</v>
      </c>
      <c r="U36" s="316">
        <v>-34224</v>
      </c>
      <c r="V36" s="118">
        <f t="shared" si="2"/>
        <v>-34224</v>
      </c>
    </row>
    <row r="37" spans="1:22" ht="12.75" hidden="1" customHeight="1" outlineLevel="1" x14ac:dyDescent="0.2">
      <c r="A37" s="532" t="s">
        <v>231</v>
      </c>
      <c r="B37" s="532" t="s">
        <v>1466</v>
      </c>
      <c r="D37" s="129" t="str">
        <f>IF([1]RENAME!$H$3=1,B37,A37)</f>
        <v>Transferência para operações descontinuadas</v>
      </c>
      <c r="E37" s="118">
        <v>0</v>
      </c>
      <c r="F37" s="118"/>
      <c r="G37" s="118">
        <v>0</v>
      </c>
      <c r="H37" s="118"/>
      <c r="I37" s="118"/>
      <c r="J37" s="118"/>
      <c r="K37" s="118"/>
      <c r="L37" s="316"/>
      <c r="M37" s="316">
        <v>0</v>
      </c>
      <c r="N37" s="316">
        <v>0</v>
      </c>
      <c r="O37" s="316"/>
      <c r="P37" s="316">
        <v>0</v>
      </c>
      <c r="Q37" s="316"/>
      <c r="R37" s="316">
        <v>0</v>
      </c>
      <c r="S37" s="316">
        <v>0</v>
      </c>
      <c r="T37" s="316">
        <v>0</v>
      </c>
      <c r="U37" s="316">
        <v>-69297</v>
      </c>
      <c r="V37" s="118">
        <f t="shared" si="2"/>
        <v>-69297</v>
      </c>
    </row>
    <row r="38" spans="1:22" ht="12.75" hidden="1" customHeight="1" outlineLevel="1" x14ac:dyDescent="0.2">
      <c r="A38" s="532" t="s">
        <v>230</v>
      </c>
      <c r="B38" s="532" t="s">
        <v>1463</v>
      </c>
      <c r="D38" s="129" t="str">
        <f>IF([1]RENAME!$H$3=1,B38,A38)</f>
        <v>Variação cambial de investimento</v>
      </c>
      <c r="E38" s="118">
        <v>0</v>
      </c>
      <c r="F38" s="118"/>
      <c r="G38" s="118">
        <v>0</v>
      </c>
      <c r="H38" s="118"/>
      <c r="I38" s="118"/>
      <c r="J38" s="118"/>
      <c r="K38" s="118"/>
      <c r="L38" s="316"/>
      <c r="M38" s="316">
        <v>0</v>
      </c>
      <c r="N38" s="316">
        <v>0</v>
      </c>
      <c r="O38" s="316"/>
      <c r="P38" s="316">
        <v>0</v>
      </c>
      <c r="Q38" s="316"/>
      <c r="R38" s="316">
        <v>50</v>
      </c>
      <c r="S38" s="316">
        <v>0</v>
      </c>
      <c r="T38" s="316">
        <v>0</v>
      </c>
      <c r="U38" s="316">
        <v>0</v>
      </c>
      <c r="V38" s="118">
        <f t="shared" si="2"/>
        <v>50</v>
      </c>
    </row>
    <row r="39" spans="1:22" ht="12.75" hidden="1" customHeight="1" outlineLevel="1" x14ac:dyDescent="0.2">
      <c r="A39" s="532" t="s">
        <v>49</v>
      </c>
      <c r="B39" s="532" t="s">
        <v>699</v>
      </c>
      <c r="D39" s="129" t="str">
        <f>IF([1]RENAME!$H$3=1,B39,A39)</f>
        <v>Outros</v>
      </c>
      <c r="E39" s="118">
        <v>0</v>
      </c>
      <c r="F39" s="118"/>
      <c r="G39" s="118">
        <v>0</v>
      </c>
      <c r="H39" s="118"/>
      <c r="I39" s="118"/>
      <c r="J39" s="118"/>
      <c r="K39" s="118"/>
      <c r="L39" s="316"/>
      <c r="M39" s="316">
        <v>0</v>
      </c>
      <c r="N39" s="316">
        <v>1</v>
      </c>
      <c r="O39" s="316"/>
      <c r="P39" s="316">
        <v>387</v>
      </c>
      <c r="Q39" s="316"/>
      <c r="R39" s="316">
        <v>0</v>
      </c>
      <c r="S39" s="316">
        <v>-3</v>
      </c>
      <c r="T39" s="316">
        <v>0</v>
      </c>
      <c r="U39" s="316">
        <v>0</v>
      </c>
      <c r="V39" s="118">
        <f t="shared" si="2"/>
        <v>385</v>
      </c>
    </row>
    <row r="40" spans="1:22" collapsed="1" x14ac:dyDescent="0.2">
      <c r="A40" s="532" t="s">
        <v>168</v>
      </c>
      <c r="B40" s="532" t="s">
        <v>1468</v>
      </c>
      <c r="D40" s="126" t="str">
        <f>IF([1]RENAME!$H$3=1,B40,A40)</f>
        <v>Em 30 de setembro de 2014</v>
      </c>
      <c r="E40" s="120">
        <f>SUM(E31:E39)</f>
        <v>48738</v>
      </c>
      <c r="F40" s="120">
        <v>0</v>
      </c>
      <c r="G40" s="120">
        <f>SUM(G31:G39)</f>
        <v>21620</v>
      </c>
      <c r="H40" s="120"/>
      <c r="I40" s="120"/>
      <c r="J40" s="120"/>
      <c r="K40" s="120"/>
      <c r="L40" s="314"/>
      <c r="M40" s="314">
        <f t="shared" ref="M40:V40" si="3">SUM(M31:M39)</f>
        <v>0</v>
      </c>
      <c r="N40" s="314">
        <f>SUM(N31:N39)</f>
        <v>2065</v>
      </c>
      <c r="O40" s="314"/>
      <c r="P40" s="314">
        <f>SUM(P31:P39)</f>
        <v>13823</v>
      </c>
      <c r="Q40" s="314"/>
      <c r="R40" s="314">
        <f t="shared" si="3"/>
        <v>501</v>
      </c>
      <c r="S40" s="314">
        <f t="shared" si="3"/>
        <v>61347</v>
      </c>
      <c r="T40" s="314">
        <f t="shared" si="3"/>
        <v>0</v>
      </c>
      <c r="U40" s="314">
        <f t="shared" si="3"/>
        <v>0</v>
      </c>
      <c r="V40" s="120">
        <f t="shared" si="3"/>
        <v>148094</v>
      </c>
    </row>
    <row r="41" spans="1:22" x14ac:dyDescent="0.2">
      <c r="D41" s="153"/>
      <c r="E41" s="154"/>
      <c r="F41" s="154"/>
      <c r="G41" s="154"/>
      <c r="H41" s="154"/>
      <c r="I41" s="154"/>
      <c r="J41" s="154"/>
      <c r="K41" s="154"/>
      <c r="L41" s="315"/>
      <c r="M41" s="315"/>
      <c r="N41" s="315"/>
      <c r="O41" s="315"/>
      <c r="P41" s="315"/>
      <c r="Q41" s="315"/>
      <c r="R41" s="315"/>
      <c r="S41" s="315"/>
      <c r="T41" s="315"/>
      <c r="U41" s="315"/>
      <c r="V41" s="154"/>
    </row>
    <row r="42" spans="1:22" ht="12.75" hidden="1" customHeight="1" outlineLevel="1" x14ac:dyDescent="0.2">
      <c r="A42" s="532" t="s">
        <v>223</v>
      </c>
      <c r="B42" s="532" t="s">
        <v>1097</v>
      </c>
      <c r="D42" s="129" t="str">
        <f>IF([1]RENAME!$H$3=1,B42,A42)</f>
        <v>Aumento de investimento</v>
      </c>
      <c r="E42" s="118">
        <v>0</v>
      </c>
      <c r="F42" s="118"/>
      <c r="G42" s="118">
        <v>0</v>
      </c>
      <c r="H42" s="118"/>
      <c r="I42" s="118"/>
      <c r="J42" s="118"/>
      <c r="K42" s="118"/>
      <c r="L42" s="316"/>
      <c r="M42" s="316">
        <v>0</v>
      </c>
      <c r="N42" s="316">
        <v>0</v>
      </c>
      <c r="O42" s="316"/>
      <c r="P42" s="316">
        <v>0</v>
      </c>
      <c r="Q42" s="316"/>
      <c r="R42" s="316">
        <v>0</v>
      </c>
      <c r="S42" s="316">
        <v>0</v>
      </c>
      <c r="T42" s="316">
        <v>0</v>
      </c>
      <c r="U42" s="316">
        <v>0</v>
      </c>
      <c r="V42" s="118">
        <f t="shared" ref="V42:V48" si="4">SUM(E42:U42)</f>
        <v>0</v>
      </c>
    </row>
    <row r="43" spans="1:22" ht="12.75" hidden="1" customHeight="1" outlineLevel="1" x14ac:dyDescent="0.2">
      <c r="A43" s="532" t="s">
        <v>224</v>
      </c>
      <c r="B43" s="532" t="s">
        <v>1102</v>
      </c>
      <c r="D43" s="129" t="str">
        <f>IF([1]RENAME!$H$3=1,B43,A43)</f>
        <v>Adiantamento para futuro aumento de capital</v>
      </c>
      <c r="E43" s="118">
        <v>33360</v>
      </c>
      <c r="F43" s="118"/>
      <c r="G43" s="118">
        <v>7</v>
      </c>
      <c r="H43" s="118"/>
      <c r="I43" s="118"/>
      <c r="J43" s="118"/>
      <c r="K43" s="118"/>
      <c r="L43" s="316"/>
      <c r="M43" s="316">
        <v>0</v>
      </c>
      <c r="N43" s="316">
        <v>0</v>
      </c>
      <c r="O43" s="316"/>
      <c r="P43" s="316">
        <v>0</v>
      </c>
      <c r="Q43" s="316"/>
      <c r="R43" s="316">
        <v>0</v>
      </c>
      <c r="S43" s="316">
        <v>30000</v>
      </c>
      <c r="T43" s="316">
        <v>0</v>
      </c>
      <c r="U43" s="316">
        <v>0</v>
      </c>
      <c r="V43" s="118">
        <f t="shared" si="4"/>
        <v>63367</v>
      </c>
    </row>
    <row r="44" spans="1:22" ht="12.75" hidden="1" customHeight="1" outlineLevel="1" x14ac:dyDescent="0.2">
      <c r="A44" s="532" t="s">
        <v>225</v>
      </c>
      <c r="B44" s="532" t="s">
        <v>760</v>
      </c>
      <c r="D44" s="129" t="str">
        <f>IF([1]RENAME!$H$3=1,B44,A44)</f>
        <v>Equivalência patrimonial</v>
      </c>
      <c r="E44" s="118">
        <v>-289</v>
      </c>
      <c r="F44" s="118"/>
      <c r="G44" s="118">
        <v>-7</v>
      </c>
      <c r="H44" s="118"/>
      <c r="I44" s="118"/>
      <c r="J44" s="118"/>
      <c r="K44" s="118"/>
      <c r="L44" s="316"/>
      <c r="M44" s="316">
        <v>0</v>
      </c>
      <c r="N44" s="316">
        <v>2159</v>
      </c>
      <c r="O44" s="316"/>
      <c r="P44" s="316">
        <v>363</v>
      </c>
      <c r="Q44" s="316"/>
      <c r="R44" s="316">
        <v>-58</v>
      </c>
      <c r="S44" s="316">
        <v>-2278</v>
      </c>
      <c r="T44" s="316">
        <v>0</v>
      </c>
      <c r="U44" s="316">
        <v>0</v>
      </c>
      <c r="V44" s="118">
        <f t="shared" si="4"/>
        <v>-110</v>
      </c>
    </row>
    <row r="45" spans="1:22" ht="12.75" hidden="1" customHeight="1" outlineLevel="1" x14ac:dyDescent="0.2">
      <c r="A45" s="532" t="s">
        <v>232</v>
      </c>
      <c r="B45" s="532" t="s">
        <v>1103</v>
      </c>
      <c r="D45" s="129" t="str">
        <f>IF([1]RENAME!$H$3=1,B45,A45)</f>
        <v>Incorporação</v>
      </c>
      <c r="E45" s="118">
        <v>0</v>
      </c>
      <c r="F45" s="118"/>
      <c r="G45" s="118">
        <v>0</v>
      </c>
      <c r="H45" s="118"/>
      <c r="I45" s="118"/>
      <c r="J45" s="118"/>
      <c r="K45" s="118"/>
      <c r="L45" s="316"/>
      <c r="M45" s="316">
        <v>0</v>
      </c>
      <c r="N45" s="316">
        <v>0</v>
      </c>
      <c r="O45" s="316"/>
      <c r="P45" s="316">
        <v>0</v>
      </c>
      <c r="Q45" s="316"/>
      <c r="R45" s="316">
        <v>0</v>
      </c>
      <c r="S45" s="316">
        <v>0</v>
      </c>
      <c r="T45" s="316">
        <v>0</v>
      </c>
      <c r="U45" s="316">
        <v>0</v>
      </c>
      <c r="V45" s="118">
        <f t="shared" si="4"/>
        <v>0</v>
      </c>
    </row>
    <row r="46" spans="1:22" ht="12.75" hidden="1" customHeight="1" outlineLevel="1" x14ac:dyDescent="0.2">
      <c r="A46" s="532" t="s">
        <v>231</v>
      </c>
      <c r="B46" s="532" t="s">
        <v>1466</v>
      </c>
      <c r="D46" s="129" t="str">
        <f>IF([1]RENAME!$H$3=1,B46,A46)</f>
        <v>Transferência para operações descontinuadas</v>
      </c>
      <c r="E46" s="118">
        <v>0</v>
      </c>
      <c r="F46" s="118"/>
      <c r="G46" s="118">
        <v>0</v>
      </c>
      <c r="H46" s="118"/>
      <c r="I46" s="118"/>
      <c r="J46" s="118"/>
      <c r="K46" s="118"/>
      <c r="L46" s="316"/>
      <c r="M46" s="316">
        <v>0</v>
      </c>
      <c r="N46" s="316">
        <v>0</v>
      </c>
      <c r="O46" s="316"/>
      <c r="P46" s="316">
        <v>0</v>
      </c>
      <c r="Q46" s="316"/>
      <c r="R46" s="316">
        <v>0</v>
      </c>
      <c r="S46" s="316">
        <v>0</v>
      </c>
      <c r="T46" s="316">
        <v>0</v>
      </c>
      <c r="U46" s="316">
        <v>0</v>
      </c>
      <c r="V46" s="118">
        <f t="shared" si="4"/>
        <v>0</v>
      </c>
    </row>
    <row r="47" spans="1:22" ht="12.75" hidden="1" customHeight="1" outlineLevel="1" x14ac:dyDescent="0.2">
      <c r="A47" s="532" t="s">
        <v>230</v>
      </c>
      <c r="B47" s="532" t="s">
        <v>1463</v>
      </c>
      <c r="D47" s="129" t="str">
        <f>IF([1]RENAME!$H$3=1,B47,A47)</f>
        <v>Variação cambial de investimento</v>
      </c>
      <c r="E47" s="118">
        <v>0</v>
      </c>
      <c r="F47" s="118"/>
      <c r="G47" s="118">
        <v>0</v>
      </c>
      <c r="H47" s="118"/>
      <c r="I47" s="118"/>
      <c r="J47" s="118"/>
      <c r="K47" s="118"/>
      <c r="L47" s="316"/>
      <c r="M47" s="316">
        <v>0</v>
      </c>
      <c r="N47" s="316">
        <v>0</v>
      </c>
      <c r="O47" s="316"/>
      <c r="P47" s="316">
        <v>0</v>
      </c>
      <c r="Q47" s="316"/>
      <c r="R47" s="316">
        <v>39</v>
      </c>
      <c r="S47" s="316">
        <v>0</v>
      </c>
      <c r="T47" s="316">
        <v>0</v>
      </c>
      <c r="U47" s="316">
        <v>0</v>
      </c>
      <c r="V47" s="118">
        <f t="shared" si="4"/>
        <v>39</v>
      </c>
    </row>
    <row r="48" spans="1:22" ht="12.75" hidden="1" customHeight="1" outlineLevel="1" x14ac:dyDescent="0.2">
      <c r="A48" s="532" t="s">
        <v>49</v>
      </c>
      <c r="B48" s="532" t="s">
        <v>699</v>
      </c>
      <c r="D48" s="129" t="str">
        <f>IF([1]RENAME!$H$3=1,B48,A48)</f>
        <v>Outros</v>
      </c>
      <c r="E48" s="118">
        <v>0</v>
      </c>
      <c r="F48" s="118"/>
      <c r="G48" s="118">
        <v>0</v>
      </c>
      <c r="H48" s="118"/>
      <c r="I48" s="118"/>
      <c r="J48" s="118"/>
      <c r="K48" s="118"/>
      <c r="L48" s="316"/>
      <c r="M48" s="316">
        <v>0</v>
      </c>
      <c r="N48" s="316">
        <v>-1</v>
      </c>
      <c r="O48" s="316"/>
      <c r="P48" s="316">
        <v>0</v>
      </c>
      <c r="Q48" s="316"/>
      <c r="R48" s="316">
        <v>0</v>
      </c>
      <c r="S48" s="316">
        <v>1</v>
      </c>
      <c r="T48" s="316">
        <v>0</v>
      </c>
      <c r="U48" s="316">
        <v>0</v>
      </c>
      <c r="V48" s="118">
        <f t="shared" si="4"/>
        <v>0</v>
      </c>
    </row>
    <row r="49" spans="1:22" collapsed="1" x14ac:dyDescent="0.2">
      <c r="A49" s="532" t="s">
        <v>167</v>
      </c>
      <c r="B49" s="532" t="s">
        <v>1469</v>
      </c>
      <c r="D49" s="126" t="str">
        <f>IF([1]RENAME!$H$3=1,B49,A49)</f>
        <v>Em 31 de dezembro de 2014</v>
      </c>
      <c r="E49" s="120">
        <f>SUM(E40:E48)</f>
        <v>81809</v>
      </c>
      <c r="F49" s="120">
        <v>0</v>
      </c>
      <c r="G49" s="120">
        <f>SUM(G40:G48)</f>
        <v>21620</v>
      </c>
      <c r="H49" s="120"/>
      <c r="I49" s="120"/>
      <c r="J49" s="120"/>
      <c r="K49" s="120"/>
      <c r="L49" s="314"/>
      <c r="M49" s="314">
        <f t="shared" ref="M49:V49" si="5">SUM(M40:M48)</f>
        <v>0</v>
      </c>
      <c r="N49" s="314">
        <f>SUM(N40:N48)</f>
        <v>4223</v>
      </c>
      <c r="O49" s="314"/>
      <c r="P49" s="314">
        <f>SUM(P40:P48)</f>
        <v>14186</v>
      </c>
      <c r="Q49" s="314"/>
      <c r="R49" s="314">
        <f t="shared" si="5"/>
        <v>482</v>
      </c>
      <c r="S49" s="314">
        <f t="shared" si="5"/>
        <v>89070</v>
      </c>
      <c r="T49" s="314">
        <f t="shared" si="5"/>
        <v>0</v>
      </c>
      <c r="U49" s="314">
        <f t="shared" si="5"/>
        <v>0</v>
      </c>
      <c r="V49" s="120">
        <f t="shared" si="5"/>
        <v>211390</v>
      </c>
    </row>
    <row r="50" spans="1:22" x14ac:dyDescent="0.2">
      <c r="D50" s="153"/>
      <c r="E50" s="154"/>
      <c r="F50" s="154"/>
      <c r="G50" s="154"/>
      <c r="H50" s="154"/>
      <c r="I50" s="154"/>
      <c r="J50" s="154"/>
      <c r="K50" s="154"/>
      <c r="L50" s="315"/>
      <c r="M50" s="315"/>
      <c r="N50" s="315"/>
      <c r="O50" s="315"/>
      <c r="P50" s="315"/>
      <c r="Q50" s="315"/>
      <c r="R50" s="315"/>
      <c r="S50" s="315"/>
      <c r="T50" s="315"/>
      <c r="U50" s="315"/>
      <c r="V50" s="154"/>
    </row>
    <row r="51" spans="1:22" ht="13.5" hidden="1" customHeight="1" outlineLevel="1" x14ac:dyDescent="0.2">
      <c r="A51" s="532" t="s">
        <v>223</v>
      </c>
      <c r="B51" s="532" t="s">
        <v>1097</v>
      </c>
      <c r="D51" s="129" t="str">
        <f>IF([1]RENAME!$H$3=1,B51,A51)</f>
        <v>Aumento de investimento</v>
      </c>
      <c r="E51" s="118"/>
      <c r="F51" s="118"/>
      <c r="G51" s="118"/>
      <c r="H51" s="118"/>
      <c r="I51" s="118"/>
      <c r="J51" s="118"/>
      <c r="K51" s="118"/>
      <c r="L51" s="316"/>
      <c r="M51" s="316"/>
      <c r="N51" s="316"/>
      <c r="O51" s="316"/>
      <c r="P51" s="316"/>
      <c r="Q51" s="316"/>
      <c r="R51" s="316"/>
      <c r="S51" s="316"/>
      <c r="T51" s="316"/>
      <c r="U51" s="316"/>
      <c r="V51" s="118">
        <f>SUM(E51:U51)</f>
        <v>0</v>
      </c>
    </row>
    <row r="52" spans="1:22" ht="12.75" hidden="1" customHeight="1" outlineLevel="1" x14ac:dyDescent="0.2">
      <c r="A52" s="532" t="s">
        <v>224</v>
      </c>
      <c r="B52" s="532" t="s">
        <v>1102</v>
      </c>
      <c r="D52" s="129" t="str">
        <f>IF([1]RENAME!$H$3=1,B52,A52)</f>
        <v>Adiantamento para futuro aumento de capital</v>
      </c>
      <c r="E52" s="118"/>
      <c r="F52" s="118"/>
      <c r="G52" s="118">
        <v>104</v>
      </c>
      <c r="H52" s="118"/>
      <c r="I52" s="118"/>
      <c r="J52" s="118"/>
      <c r="K52" s="118"/>
      <c r="L52" s="316"/>
      <c r="M52" s="316"/>
      <c r="N52" s="316">
        <v>0</v>
      </c>
      <c r="O52" s="316"/>
      <c r="P52" s="316">
        <v>0</v>
      </c>
      <c r="Q52" s="316"/>
      <c r="R52" s="316">
        <v>0</v>
      </c>
      <c r="S52" s="316"/>
      <c r="T52" s="316"/>
      <c r="U52" s="316">
        <v>0</v>
      </c>
      <c r="V52" s="118">
        <f>SUM(E52:U52)</f>
        <v>104</v>
      </c>
    </row>
    <row r="53" spans="1:22" ht="12.75" hidden="1" customHeight="1" outlineLevel="1" x14ac:dyDescent="0.2">
      <c r="A53" s="532" t="s">
        <v>225</v>
      </c>
      <c r="B53" s="532" t="s">
        <v>760</v>
      </c>
      <c r="D53" s="129" t="str">
        <f>IF([1]RENAME!$H$3=1,B53,A53)</f>
        <v>Equivalência patrimonial</v>
      </c>
      <c r="E53" s="118">
        <v>1771</v>
      </c>
      <c r="F53" s="118"/>
      <c r="G53" s="118">
        <v>-16</v>
      </c>
      <c r="H53" s="118"/>
      <c r="I53" s="118"/>
      <c r="J53" s="118"/>
      <c r="K53" s="118"/>
      <c r="L53" s="316"/>
      <c r="M53" s="316"/>
      <c r="N53" s="316">
        <v>181</v>
      </c>
      <c r="O53" s="316"/>
      <c r="P53" s="316">
        <v>710</v>
      </c>
      <c r="Q53" s="316"/>
      <c r="R53" s="316">
        <v>192</v>
      </c>
      <c r="S53" s="316">
        <v>-1674</v>
      </c>
      <c r="T53" s="316"/>
      <c r="U53" s="316">
        <v>0</v>
      </c>
      <c r="V53" s="118">
        <f>SUM(E53:U53)</f>
        <v>1164</v>
      </c>
    </row>
    <row r="54" spans="1:22" ht="12.75" hidden="1" customHeight="1" outlineLevel="1" x14ac:dyDescent="0.2">
      <c r="A54" s="532" t="s">
        <v>230</v>
      </c>
      <c r="B54" s="532" t="s">
        <v>1463</v>
      </c>
      <c r="D54" s="129" t="str">
        <f>IF([1]RENAME!$H$3=1,B54,A54)</f>
        <v>Variação cambial de investimento</v>
      </c>
      <c r="E54" s="118">
        <v>0</v>
      </c>
      <c r="F54" s="118"/>
      <c r="G54" s="118">
        <v>0</v>
      </c>
      <c r="H54" s="118"/>
      <c r="I54" s="118"/>
      <c r="J54" s="118"/>
      <c r="K54" s="118"/>
      <c r="L54" s="316"/>
      <c r="M54" s="316"/>
      <c r="N54" s="316">
        <v>0</v>
      </c>
      <c r="O54" s="316"/>
      <c r="P54" s="316">
        <v>0</v>
      </c>
      <c r="Q54" s="316"/>
      <c r="R54" s="316">
        <v>123</v>
      </c>
      <c r="S54" s="316">
        <v>0</v>
      </c>
      <c r="T54" s="316"/>
      <c r="U54" s="316">
        <v>0</v>
      </c>
      <c r="V54" s="118">
        <f>SUM(E54:U54)</f>
        <v>123</v>
      </c>
    </row>
    <row r="55" spans="1:22" ht="12.75" hidden="1" customHeight="1" outlineLevel="1" x14ac:dyDescent="0.2">
      <c r="A55" s="532" t="s">
        <v>49</v>
      </c>
      <c r="B55" s="532" t="s">
        <v>699</v>
      </c>
      <c r="D55" s="129" t="str">
        <f>IF([1]RENAME!$H$3=1,B55,A55)</f>
        <v>Outros</v>
      </c>
      <c r="E55" s="118"/>
      <c r="F55" s="118"/>
      <c r="G55" s="118"/>
      <c r="H55" s="118"/>
      <c r="I55" s="118"/>
      <c r="J55" s="118"/>
      <c r="K55" s="118"/>
      <c r="L55" s="316"/>
      <c r="M55" s="316"/>
      <c r="N55" s="316"/>
      <c r="O55" s="316"/>
      <c r="P55" s="316"/>
      <c r="Q55" s="316"/>
      <c r="R55" s="316"/>
      <c r="S55" s="316"/>
      <c r="T55" s="316"/>
      <c r="U55" s="316"/>
      <c r="V55" s="118">
        <f>SUM(E55:U55)</f>
        <v>0</v>
      </c>
    </row>
    <row r="56" spans="1:22" collapsed="1" x14ac:dyDescent="0.2">
      <c r="A56" s="532" t="s">
        <v>166</v>
      </c>
      <c r="B56" s="532" t="s">
        <v>1470</v>
      </c>
      <c r="D56" s="126" t="str">
        <f>IF([1]RENAME!$H$3=1,B56,A56)</f>
        <v>Em 31 de março de 2015</v>
      </c>
      <c r="E56" s="120">
        <f>SUM(E49:E55)</f>
        <v>83580</v>
      </c>
      <c r="F56" s="120">
        <v>0</v>
      </c>
      <c r="G56" s="120">
        <f>SUM(G49:G55)</f>
        <v>21708</v>
      </c>
      <c r="H56" s="120"/>
      <c r="I56" s="120"/>
      <c r="J56" s="120"/>
      <c r="K56" s="120"/>
      <c r="L56" s="314"/>
      <c r="M56" s="314">
        <f t="shared" ref="M56:V56" si="6">SUM(M49:M55)</f>
        <v>0</v>
      </c>
      <c r="N56" s="314">
        <f>SUM(N49:N55)</f>
        <v>4404</v>
      </c>
      <c r="O56" s="314"/>
      <c r="P56" s="314">
        <f>SUM(P49:P55)</f>
        <v>14896</v>
      </c>
      <c r="Q56" s="314"/>
      <c r="R56" s="314">
        <f t="shared" si="6"/>
        <v>797</v>
      </c>
      <c r="S56" s="314">
        <f t="shared" si="6"/>
        <v>87396</v>
      </c>
      <c r="T56" s="314">
        <f t="shared" si="6"/>
        <v>0</v>
      </c>
      <c r="U56" s="314">
        <f t="shared" si="6"/>
        <v>0</v>
      </c>
      <c r="V56" s="120">
        <f t="shared" si="6"/>
        <v>212781</v>
      </c>
    </row>
    <row r="57" spans="1:22" x14ac:dyDescent="0.2">
      <c r="D57" s="153"/>
      <c r="E57" s="154"/>
      <c r="F57" s="154"/>
      <c r="G57" s="154"/>
      <c r="H57" s="154"/>
      <c r="I57" s="154"/>
      <c r="J57" s="154"/>
      <c r="K57" s="154"/>
      <c r="L57" s="315"/>
      <c r="M57" s="315"/>
      <c r="N57" s="315">
        <f>'[3]11 Intang NL'!$N$19-N55-N56-N54</f>
        <v>1353</v>
      </c>
      <c r="O57" s="315"/>
      <c r="P57" s="315"/>
      <c r="Q57" s="315"/>
      <c r="R57" s="315"/>
      <c r="S57" s="315"/>
      <c r="T57" s="315"/>
      <c r="U57" s="315"/>
      <c r="V57" s="154"/>
    </row>
    <row r="58" spans="1:22" ht="12.75" hidden="1" customHeight="1" outlineLevel="1" x14ac:dyDescent="0.2">
      <c r="A58" s="532" t="s">
        <v>223</v>
      </c>
      <c r="B58" s="532" t="s">
        <v>1097</v>
      </c>
      <c r="D58" s="129" t="str">
        <f>IF([1]RENAME!$H$3=1,B58,A58)</f>
        <v>Aumento de investimento</v>
      </c>
      <c r="E58" s="118">
        <v>0</v>
      </c>
      <c r="F58" s="118"/>
      <c r="G58" s="118">
        <v>0</v>
      </c>
      <c r="H58" s="118"/>
      <c r="I58" s="118"/>
      <c r="J58" s="118"/>
      <c r="K58" s="118"/>
      <c r="L58" s="316"/>
      <c r="M58" s="316">
        <v>0</v>
      </c>
      <c r="N58" s="316">
        <v>0</v>
      </c>
      <c r="O58" s="316"/>
      <c r="P58" s="316">
        <v>41</v>
      </c>
      <c r="Q58" s="316"/>
      <c r="R58" s="316">
        <v>0</v>
      </c>
      <c r="S58" s="316">
        <v>0</v>
      </c>
      <c r="T58" s="316">
        <v>0</v>
      </c>
      <c r="U58" s="316">
        <v>0</v>
      </c>
      <c r="V58" s="118">
        <f>SUM(E58:U58)</f>
        <v>41</v>
      </c>
    </row>
    <row r="59" spans="1:22" ht="12.75" hidden="1" customHeight="1" outlineLevel="1" x14ac:dyDescent="0.2">
      <c r="A59" s="532" t="s">
        <v>224</v>
      </c>
      <c r="B59" s="532" t="s">
        <v>1102</v>
      </c>
      <c r="D59" s="129" t="str">
        <f>IF([1]RENAME!$H$3=1,B59,A59)</f>
        <v>Adiantamento para futuro aumento de capital</v>
      </c>
      <c r="E59" s="118">
        <v>0</v>
      </c>
      <c r="F59" s="118"/>
      <c r="G59" s="118">
        <v>1538</v>
      </c>
      <c r="H59" s="118"/>
      <c r="I59" s="118"/>
      <c r="J59" s="118"/>
      <c r="K59" s="118"/>
      <c r="L59" s="316"/>
      <c r="M59" s="316">
        <v>0</v>
      </c>
      <c r="N59" s="316">
        <v>0</v>
      </c>
      <c r="O59" s="316"/>
      <c r="P59" s="316">
        <v>0</v>
      </c>
      <c r="Q59" s="316"/>
      <c r="R59" s="316">
        <v>0</v>
      </c>
      <c r="S59" s="316">
        <v>0</v>
      </c>
      <c r="T59" s="316">
        <v>0</v>
      </c>
      <c r="U59" s="316">
        <v>0</v>
      </c>
      <c r="V59" s="118">
        <f>SUM(E59:U59)</f>
        <v>1538</v>
      </c>
    </row>
    <row r="60" spans="1:22" ht="12.75" hidden="1" customHeight="1" outlineLevel="1" x14ac:dyDescent="0.2">
      <c r="A60" s="532" t="s">
        <v>225</v>
      </c>
      <c r="B60" s="532" t="s">
        <v>760</v>
      </c>
      <c r="D60" s="129" t="str">
        <f>IF([1]RENAME!$H$3=1,B60,A60)</f>
        <v>Equivalência patrimonial</v>
      </c>
      <c r="E60" s="118">
        <v>279</v>
      </c>
      <c r="F60" s="118"/>
      <c r="G60" s="118">
        <v>-1</v>
      </c>
      <c r="H60" s="118"/>
      <c r="I60" s="118"/>
      <c r="J60" s="118"/>
      <c r="K60" s="118"/>
      <c r="L60" s="316"/>
      <c r="M60" s="316">
        <v>0</v>
      </c>
      <c r="N60" s="316">
        <v>132</v>
      </c>
      <c r="O60" s="316"/>
      <c r="P60" s="316">
        <v>344</v>
      </c>
      <c r="Q60" s="316"/>
      <c r="R60" s="316">
        <v>124</v>
      </c>
      <c r="S60" s="316">
        <v>-5281</v>
      </c>
      <c r="T60" s="316">
        <v>0</v>
      </c>
      <c r="U60" s="316">
        <v>0</v>
      </c>
      <c r="V60" s="118">
        <f>SUM(E60:U60)</f>
        <v>-4403</v>
      </c>
    </row>
    <row r="61" spans="1:22" ht="12.75" hidden="1" customHeight="1" outlineLevel="1" x14ac:dyDescent="0.2">
      <c r="A61" s="532" t="s">
        <v>230</v>
      </c>
      <c r="B61" s="532" t="s">
        <v>1463</v>
      </c>
      <c r="D61" s="129" t="str">
        <f>IF([1]RENAME!$H$3=1,B61,A61)</f>
        <v>Variação cambial de investimento</v>
      </c>
      <c r="E61" s="118">
        <v>0</v>
      </c>
      <c r="F61" s="118"/>
      <c r="G61" s="118">
        <v>0</v>
      </c>
      <c r="H61" s="118"/>
      <c r="I61" s="118"/>
      <c r="J61" s="118"/>
      <c r="K61" s="118"/>
      <c r="L61" s="316"/>
      <c r="M61" s="316">
        <v>0</v>
      </c>
      <c r="N61" s="316">
        <v>0</v>
      </c>
      <c r="O61" s="316"/>
      <c r="P61" s="316">
        <v>0</v>
      </c>
      <c r="Q61" s="316"/>
      <c r="R61" s="316">
        <v>-28</v>
      </c>
      <c r="S61" s="316">
        <v>0</v>
      </c>
      <c r="T61" s="316">
        <v>0</v>
      </c>
      <c r="U61" s="316">
        <v>0</v>
      </c>
      <c r="V61" s="118">
        <f>SUM(E61:U61)</f>
        <v>-28</v>
      </c>
    </row>
    <row r="62" spans="1:22" collapsed="1" x14ac:dyDescent="0.2">
      <c r="A62" s="532" t="s">
        <v>163</v>
      </c>
      <c r="B62" s="532" t="s">
        <v>1471</v>
      </c>
      <c r="D62" s="126" t="str">
        <f>IF([1]RENAME!$H$3=1,B62,A62)</f>
        <v>Em 30 de junho de 2015</v>
      </c>
      <c r="E62" s="120">
        <f>SUM(E56:E61)</f>
        <v>83859</v>
      </c>
      <c r="F62" s="120">
        <v>0</v>
      </c>
      <c r="G62" s="120">
        <f>SUM(G56:G61)</f>
        <v>23245</v>
      </c>
      <c r="H62" s="120"/>
      <c r="I62" s="120"/>
      <c r="J62" s="120"/>
      <c r="K62" s="120"/>
      <c r="L62" s="314"/>
      <c r="M62" s="314">
        <f>SUM(M56:M61)</f>
        <v>0</v>
      </c>
      <c r="N62" s="314">
        <f>SUM(N56:N61)</f>
        <v>5889</v>
      </c>
      <c r="O62" s="314"/>
      <c r="P62" s="314">
        <f>SUM(P56:P61)</f>
        <v>15281</v>
      </c>
      <c r="Q62" s="314"/>
      <c r="R62" s="314">
        <f>SUM(R56:R61)</f>
        <v>893</v>
      </c>
      <c r="S62" s="314">
        <f>SUM(S56:S61)</f>
        <v>82115</v>
      </c>
      <c r="T62" s="314">
        <f>SUM(T56:T61)</f>
        <v>0</v>
      </c>
      <c r="U62" s="314">
        <f>SUM(U56:U61)</f>
        <v>0</v>
      </c>
      <c r="V62" s="120">
        <f>SUM(V56:V61)</f>
        <v>209929</v>
      </c>
    </row>
    <row r="64" spans="1:22" ht="12.75" hidden="1" customHeight="1" outlineLevel="1" x14ac:dyDescent="0.2">
      <c r="A64" s="532" t="s">
        <v>223</v>
      </c>
      <c r="B64" s="532" t="s">
        <v>1097</v>
      </c>
      <c r="D64" s="129" t="str">
        <f>IF([1]RENAME!$H$3=1,B64,A64)</f>
        <v>Aumento de investimento</v>
      </c>
      <c r="E64" s="118">
        <v>0</v>
      </c>
      <c r="F64" s="118"/>
      <c r="G64" s="118">
        <v>7315</v>
      </c>
      <c r="H64" s="118"/>
      <c r="I64" s="118"/>
      <c r="J64" s="118"/>
      <c r="K64" s="118"/>
      <c r="L64" s="316"/>
      <c r="M64" s="316">
        <v>0</v>
      </c>
      <c r="N64" s="316">
        <v>0</v>
      </c>
      <c r="O64" s="316"/>
      <c r="P64" s="316">
        <v>0</v>
      </c>
      <c r="Q64" s="316"/>
      <c r="R64" s="316">
        <v>0</v>
      </c>
      <c r="S64" s="316">
        <v>0</v>
      </c>
      <c r="T64" s="316">
        <v>0</v>
      </c>
      <c r="U64" s="316">
        <v>0</v>
      </c>
      <c r="V64" s="118">
        <f>SUM(E64:U64)</f>
        <v>7315</v>
      </c>
    </row>
    <row r="65" spans="1:22" ht="12.75" hidden="1" customHeight="1" outlineLevel="1" x14ac:dyDescent="0.2">
      <c r="A65" s="532" t="s">
        <v>224</v>
      </c>
      <c r="B65" s="532" t="s">
        <v>1102</v>
      </c>
      <c r="D65" s="129" t="str">
        <f>IF([1]RENAME!$H$3=1,B65,A65)</f>
        <v>Adiantamento para futuro aumento de capital</v>
      </c>
      <c r="E65" s="118">
        <v>0</v>
      </c>
      <c r="F65" s="118"/>
      <c r="G65" s="118">
        <f>-G59-G52</f>
        <v>-1642</v>
      </c>
      <c r="H65" s="118"/>
      <c r="I65" s="118"/>
      <c r="J65" s="118"/>
      <c r="K65" s="118"/>
      <c r="L65" s="316"/>
      <c r="M65" s="316">
        <v>0</v>
      </c>
      <c r="N65" s="316">
        <v>0</v>
      </c>
      <c r="O65" s="316"/>
      <c r="P65" s="316">
        <v>0</v>
      </c>
      <c r="Q65" s="316"/>
      <c r="R65" s="316">
        <v>0</v>
      </c>
      <c r="S65" s="316">
        <v>0</v>
      </c>
      <c r="T65" s="316">
        <v>0</v>
      </c>
      <c r="U65" s="316">
        <v>0</v>
      </c>
      <c r="V65" s="118">
        <f>SUM(E65:U65)</f>
        <v>-1642</v>
      </c>
    </row>
    <row r="66" spans="1:22" ht="12.75" hidden="1" customHeight="1" outlineLevel="1" x14ac:dyDescent="0.2">
      <c r="A66" s="532" t="s">
        <v>383</v>
      </c>
      <c r="B66" s="532" t="s">
        <v>788</v>
      </c>
      <c r="D66" s="129" t="str">
        <f>IF([1]RENAME!$H$3=1,B66,A66)</f>
        <v>Dividendos distribuidos</v>
      </c>
      <c r="E66" s="118">
        <v>0</v>
      </c>
      <c r="F66" s="118"/>
      <c r="G66" s="118">
        <v>0</v>
      </c>
      <c r="H66" s="118"/>
      <c r="I66" s="118"/>
      <c r="J66" s="118"/>
      <c r="K66" s="118"/>
      <c r="L66" s="316"/>
      <c r="M66" s="316"/>
      <c r="N66" s="316">
        <v>-1244</v>
      </c>
      <c r="O66" s="316"/>
      <c r="P66" s="316">
        <v>0</v>
      </c>
      <c r="Q66" s="316"/>
      <c r="R66" s="316">
        <v>0</v>
      </c>
      <c r="S66" s="316">
        <v>0</v>
      </c>
      <c r="T66" s="316"/>
      <c r="U66" s="316">
        <v>0</v>
      </c>
      <c r="V66" s="118">
        <f>SUM(E66:U66)</f>
        <v>-1244</v>
      </c>
    </row>
    <row r="67" spans="1:22" ht="12.75" hidden="1" customHeight="1" outlineLevel="1" x14ac:dyDescent="0.2">
      <c r="A67" s="532" t="s">
        <v>225</v>
      </c>
      <c r="B67" s="532" t="s">
        <v>760</v>
      </c>
      <c r="D67" s="129" t="str">
        <f>IF([1]RENAME!$H$3=1,B67,A67)</f>
        <v>Equivalência patrimonial</v>
      </c>
      <c r="E67" s="118">
        <v>-457</v>
      </c>
      <c r="F67" s="118"/>
      <c r="G67" s="118">
        <v>-51</v>
      </c>
      <c r="H67" s="118"/>
      <c r="I67" s="118"/>
      <c r="J67" s="118"/>
      <c r="K67" s="118"/>
      <c r="L67" s="316"/>
      <c r="M67" s="316">
        <v>0</v>
      </c>
      <c r="N67" s="316">
        <v>128</v>
      </c>
      <c r="O67" s="316"/>
      <c r="P67" s="316">
        <v>343</v>
      </c>
      <c r="Q67" s="316"/>
      <c r="R67" s="316">
        <v>657</v>
      </c>
      <c r="S67" s="316">
        <v>-1448</v>
      </c>
      <c r="T67" s="316">
        <v>0</v>
      </c>
      <c r="U67" s="316">
        <v>0</v>
      </c>
      <c r="V67" s="118">
        <f>SUM(E67:U67)</f>
        <v>-828</v>
      </c>
    </row>
    <row r="68" spans="1:22" ht="12.75" hidden="1" customHeight="1" outlineLevel="1" x14ac:dyDescent="0.2">
      <c r="A68" s="532" t="s">
        <v>230</v>
      </c>
      <c r="B68" s="532" t="s">
        <v>1463</v>
      </c>
      <c r="D68" s="129" t="str">
        <f>IF([1]RENAME!$H$3=1,B68,A68)</f>
        <v>Variação cambial de investimento</v>
      </c>
      <c r="E68" s="118">
        <v>0</v>
      </c>
      <c r="F68" s="118"/>
      <c r="G68" s="118">
        <v>0</v>
      </c>
      <c r="H68" s="118"/>
      <c r="I68" s="118"/>
      <c r="J68" s="118"/>
      <c r="K68" s="118"/>
      <c r="L68" s="316"/>
      <c r="M68" s="316">
        <v>0</v>
      </c>
      <c r="N68" s="316">
        <v>0</v>
      </c>
      <c r="O68" s="316"/>
      <c r="P68" s="316">
        <v>0</v>
      </c>
      <c r="Q68" s="316"/>
      <c r="R68" s="316">
        <v>391</v>
      </c>
      <c r="S68" s="316">
        <v>0</v>
      </c>
      <c r="T68" s="316">
        <v>0</v>
      </c>
      <c r="U68" s="316">
        <v>0</v>
      </c>
      <c r="V68" s="118">
        <f>SUM(E68:U68)</f>
        <v>391</v>
      </c>
    </row>
    <row r="69" spans="1:22" collapsed="1" x14ac:dyDescent="0.2">
      <c r="A69" s="532" t="s">
        <v>376</v>
      </c>
      <c r="B69" s="532" t="s">
        <v>1472</v>
      </c>
      <c r="D69" s="126" t="str">
        <f>IF([1]RENAME!$H$3=1,B69,A69)</f>
        <v>Em 30 de setembro de 2015</v>
      </c>
      <c r="E69" s="120">
        <v>83402</v>
      </c>
      <c r="F69" s="120">
        <v>0</v>
      </c>
      <c r="G69" s="120">
        <v>28867</v>
      </c>
      <c r="H69" s="120"/>
      <c r="I69" s="120"/>
      <c r="J69" s="120"/>
      <c r="K69" s="120"/>
      <c r="L69" s="314"/>
      <c r="M69" s="314">
        <v>0</v>
      </c>
      <c r="N69" s="314">
        <v>3420</v>
      </c>
      <c r="O69" s="314"/>
      <c r="P69" s="314">
        <v>15624</v>
      </c>
      <c r="Q69" s="314"/>
      <c r="R69" s="314">
        <v>1941</v>
      </c>
      <c r="S69" s="314">
        <v>80667</v>
      </c>
      <c r="T69" s="314">
        <v>0</v>
      </c>
      <c r="U69" s="314">
        <v>0</v>
      </c>
      <c r="V69" s="120">
        <f>SUM(V62:V68)</f>
        <v>213921</v>
      </c>
    </row>
    <row r="71" spans="1:22" ht="12.75" hidden="1" customHeight="1" outlineLevel="1" x14ac:dyDescent="0.2">
      <c r="A71" s="532" t="s">
        <v>223</v>
      </c>
      <c r="B71" s="532" t="s">
        <v>1097</v>
      </c>
      <c r="D71" s="129" t="str">
        <f>IF([1]RENAME!$H$3=1,B71,A71)</f>
        <v>Aumento de investimento</v>
      </c>
      <c r="E71" s="118">
        <v>0</v>
      </c>
      <c r="F71" s="118"/>
      <c r="G71" s="118">
        <v>4859</v>
      </c>
      <c r="H71" s="118"/>
      <c r="I71" s="118"/>
      <c r="J71" s="118"/>
      <c r="K71" s="118"/>
      <c r="L71" s="316"/>
      <c r="M71" s="316">
        <v>0</v>
      </c>
      <c r="N71" s="316">
        <v>0</v>
      </c>
      <c r="O71" s="316"/>
      <c r="P71" s="316">
        <v>0</v>
      </c>
      <c r="Q71" s="316"/>
      <c r="R71" s="316">
        <v>0</v>
      </c>
      <c r="S71" s="316">
        <v>0</v>
      </c>
      <c r="T71" s="316">
        <v>0</v>
      </c>
      <c r="U71" s="316">
        <v>0</v>
      </c>
      <c r="V71" s="118">
        <f>SUM(E71:U71)</f>
        <v>4859</v>
      </c>
    </row>
    <row r="72" spans="1:22" ht="12.75" hidden="1" customHeight="1" outlineLevel="1" x14ac:dyDescent="0.2">
      <c r="A72" s="532" t="s">
        <v>225</v>
      </c>
      <c r="B72" s="532" t="s">
        <v>760</v>
      </c>
      <c r="D72" s="129" t="str">
        <f>IF([1]RENAME!$H$3=1,B72,A72)</f>
        <v>Equivalência patrimonial</v>
      </c>
      <c r="E72" s="118">
        <v>54</v>
      </c>
      <c r="F72" s="118"/>
      <c r="G72" s="118">
        <v>33</v>
      </c>
      <c r="H72" s="118"/>
      <c r="I72" s="118"/>
      <c r="J72" s="118"/>
      <c r="K72" s="118"/>
      <c r="L72" s="316"/>
      <c r="M72" s="316">
        <v>0</v>
      </c>
      <c r="N72" s="316">
        <v>113</v>
      </c>
      <c r="O72" s="316"/>
      <c r="P72" s="316">
        <v>-1064</v>
      </c>
      <c r="Q72" s="316"/>
      <c r="R72" s="316">
        <v>340</v>
      </c>
      <c r="S72" s="316">
        <v>-7028</v>
      </c>
      <c r="T72" s="316">
        <v>0</v>
      </c>
      <c r="U72" s="316">
        <v>0</v>
      </c>
      <c r="V72" s="118">
        <f>SUM(E72:U72)</f>
        <v>-7552</v>
      </c>
    </row>
    <row r="73" spans="1:22" ht="12.75" hidden="1" customHeight="1" outlineLevel="1" x14ac:dyDescent="0.2">
      <c r="A73" s="532" t="s">
        <v>230</v>
      </c>
      <c r="B73" s="532" t="s">
        <v>1463</v>
      </c>
      <c r="D73" s="129" t="str">
        <f>IF([1]RENAME!$H$3=1,B73,A73)</f>
        <v>Variação cambial de investimento</v>
      </c>
      <c r="E73" s="118">
        <v>0</v>
      </c>
      <c r="F73" s="118"/>
      <c r="G73" s="118">
        <v>0</v>
      </c>
      <c r="H73" s="118"/>
      <c r="I73" s="118"/>
      <c r="J73" s="118"/>
      <c r="K73" s="118"/>
      <c r="L73" s="316"/>
      <c r="M73" s="316">
        <v>0</v>
      </c>
      <c r="N73" s="316">
        <v>0</v>
      </c>
      <c r="O73" s="316"/>
      <c r="P73" s="316">
        <v>0</v>
      </c>
      <c r="Q73" s="316"/>
      <c r="R73" s="316">
        <v>-37</v>
      </c>
      <c r="S73" s="316">
        <v>0</v>
      </c>
      <c r="T73" s="316">
        <v>0</v>
      </c>
      <c r="U73" s="316">
        <v>0</v>
      </c>
      <c r="V73" s="118">
        <f>SUM(E73:U73)</f>
        <v>-37</v>
      </c>
    </row>
    <row r="74" spans="1:22" collapsed="1" x14ac:dyDescent="0.2">
      <c r="A74" s="532" t="s">
        <v>412</v>
      </c>
      <c r="B74" s="532" t="s">
        <v>1482</v>
      </c>
      <c r="D74" s="126" t="str">
        <f>IF([1]RENAME!$H$3=1,B74,A74)</f>
        <v>Em 31 de dezembro de 2015</v>
      </c>
      <c r="E74" s="120">
        <f>SUM(E69:E73)</f>
        <v>83456</v>
      </c>
      <c r="F74" s="120">
        <v>0</v>
      </c>
      <c r="G74" s="120">
        <f>SUM(G69:G73)</f>
        <v>33759</v>
      </c>
      <c r="H74" s="120"/>
      <c r="I74" s="120"/>
      <c r="J74" s="120"/>
      <c r="K74" s="120"/>
      <c r="L74" s="314"/>
      <c r="M74" s="314">
        <f>SUM(M69:M73)</f>
        <v>0</v>
      </c>
      <c r="N74" s="314">
        <f>SUM(N69:N73)</f>
        <v>3533</v>
      </c>
      <c r="O74" s="314"/>
      <c r="P74" s="314">
        <f>SUM(P69:P73)</f>
        <v>14560</v>
      </c>
      <c r="Q74" s="314"/>
      <c r="R74" s="314">
        <f>SUM(R69:R73)</f>
        <v>2244</v>
      </c>
      <c r="S74" s="314">
        <f>SUM(S69:S73)</f>
        <v>73639</v>
      </c>
      <c r="T74" s="314">
        <f>SUM(T69:T73)</f>
        <v>0</v>
      </c>
      <c r="U74" s="314">
        <f>SUM(U69:U73)</f>
        <v>0</v>
      </c>
      <c r="V74" s="120">
        <f>SUM(V69:V73)</f>
        <v>211191</v>
      </c>
    </row>
    <row r="76" spans="1:22" ht="12.75" hidden="1" customHeight="1" outlineLevel="1" x14ac:dyDescent="0.2">
      <c r="A76" s="532" t="s">
        <v>223</v>
      </c>
      <c r="B76" s="532" t="s">
        <v>1097</v>
      </c>
      <c r="D76" s="129" t="str">
        <f>IF([1]RENAME!$H$3=1,B76,A76)</f>
        <v>Aumento de investimento</v>
      </c>
      <c r="E76" s="118">
        <v>0</v>
      </c>
      <c r="F76" s="118"/>
      <c r="G76" s="118">
        <v>4088</v>
      </c>
      <c r="H76" s="118"/>
      <c r="I76" s="118"/>
      <c r="J76" s="118"/>
      <c r="K76" s="118"/>
      <c r="L76" s="316"/>
      <c r="M76" s="316">
        <v>0</v>
      </c>
      <c r="N76" s="316">
        <v>0</v>
      </c>
      <c r="O76" s="316">
        <v>0</v>
      </c>
      <c r="P76" s="316">
        <v>0</v>
      </c>
      <c r="Q76" s="316"/>
      <c r="R76" s="316">
        <v>0</v>
      </c>
      <c r="S76" s="316">
        <v>0</v>
      </c>
      <c r="T76" s="316">
        <v>0</v>
      </c>
      <c r="U76" s="316">
        <v>0</v>
      </c>
      <c r="V76" s="118">
        <f>SUM(E76:U76)</f>
        <v>4088</v>
      </c>
    </row>
    <row r="77" spans="1:22" ht="12.75" hidden="1" customHeight="1" outlineLevel="1" x14ac:dyDescent="0.2">
      <c r="A77" s="532" t="s">
        <v>225</v>
      </c>
      <c r="B77" s="532" t="s">
        <v>760</v>
      </c>
      <c r="D77" s="129" t="str">
        <f>IF([1]RENAME!$H$3=1,B77,A77)</f>
        <v>Equivalência patrimonial</v>
      </c>
      <c r="E77" s="118">
        <v>3268</v>
      </c>
      <c r="F77" s="118"/>
      <c r="G77" s="118">
        <v>-4</v>
      </c>
      <c r="H77" s="118"/>
      <c r="I77" s="118"/>
      <c r="J77" s="118"/>
      <c r="K77" s="118"/>
      <c r="L77" s="316"/>
      <c r="M77" s="316">
        <v>0</v>
      </c>
      <c r="N77" s="316">
        <v>-58</v>
      </c>
      <c r="O77" s="316">
        <v>238</v>
      </c>
      <c r="P77" s="316">
        <v>133</v>
      </c>
      <c r="Q77" s="316"/>
      <c r="R77" s="316">
        <v>-739</v>
      </c>
      <c r="S77" s="316">
        <v>-2904</v>
      </c>
      <c r="T77" s="316">
        <v>0</v>
      </c>
      <c r="U77" s="316">
        <v>0</v>
      </c>
      <c r="V77" s="118">
        <f>SUM(E77:U77)</f>
        <v>-66</v>
      </c>
    </row>
    <row r="78" spans="1:22" ht="12.75" hidden="1" customHeight="1" outlineLevel="1" x14ac:dyDescent="0.2">
      <c r="A78" s="532" t="s">
        <v>230</v>
      </c>
      <c r="B78" s="532" t="s">
        <v>1463</v>
      </c>
      <c r="D78" s="129" t="str">
        <f>IF([1]RENAME!$H$3=1,B78,A78)</f>
        <v>Variação cambial de investimento</v>
      </c>
      <c r="E78" s="118">
        <v>0</v>
      </c>
      <c r="F78" s="118"/>
      <c r="G78" s="118">
        <v>0</v>
      </c>
      <c r="H78" s="118"/>
      <c r="I78" s="118"/>
      <c r="J78" s="118"/>
      <c r="K78" s="118"/>
      <c r="L78" s="316"/>
      <c r="M78" s="316">
        <v>0</v>
      </c>
      <c r="N78" s="316">
        <v>0</v>
      </c>
      <c r="O78" s="316">
        <v>0</v>
      </c>
      <c r="P78" s="316">
        <v>0</v>
      </c>
      <c r="Q78" s="316"/>
      <c r="R78" s="316">
        <v>-678</v>
      </c>
      <c r="S78" s="316">
        <v>0</v>
      </c>
      <c r="T78" s="316">
        <v>0</v>
      </c>
      <c r="U78" s="316">
        <v>0</v>
      </c>
      <c r="V78" s="118">
        <f>SUM(E78:U78)</f>
        <v>-678</v>
      </c>
    </row>
    <row r="79" spans="1:22" ht="12.75" hidden="1" customHeight="1" outlineLevel="1" x14ac:dyDescent="0.2">
      <c r="A79" s="532" t="s">
        <v>232</v>
      </c>
      <c r="B79" s="532" t="s">
        <v>699</v>
      </c>
      <c r="D79" s="129" t="str">
        <f>IF([1]RENAME!$H$3=1,B79,A79)</f>
        <v>Incorporação</v>
      </c>
      <c r="E79" s="118">
        <v>0</v>
      </c>
      <c r="F79" s="118"/>
      <c r="G79" s="118">
        <v>0</v>
      </c>
      <c r="H79" s="118"/>
      <c r="I79" s="118"/>
      <c r="J79" s="118"/>
      <c r="K79" s="118"/>
      <c r="L79" s="316"/>
      <c r="M79" s="316">
        <v>0</v>
      </c>
      <c r="N79" s="316">
        <v>0</v>
      </c>
      <c r="O79" s="316">
        <v>30398</v>
      </c>
      <c r="P79" s="316">
        <v>0</v>
      </c>
      <c r="Q79" s="316"/>
      <c r="R79" s="316">
        <v>0</v>
      </c>
      <c r="S79" s="316">
        <v>0</v>
      </c>
      <c r="T79" s="316">
        <v>0</v>
      </c>
      <c r="U79" s="316">
        <v>0</v>
      </c>
      <c r="V79" s="118">
        <f>SUM(E79:U79)</f>
        <v>30398</v>
      </c>
    </row>
    <row r="80" spans="1:22" collapsed="1" x14ac:dyDescent="0.2">
      <c r="A80" s="532" t="s">
        <v>474</v>
      </c>
      <c r="B80" s="532" t="s">
        <v>1473</v>
      </c>
      <c r="D80" s="126" t="str">
        <f>IF([1]RENAME!$H$3=1,B80,A80)</f>
        <v>Em 31 de março de 2016</v>
      </c>
      <c r="E80" s="120">
        <f>SUM(E74:E79)</f>
        <v>86724</v>
      </c>
      <c r="F80" s="120">
        <v>0</v>
      </c>
      <c r="G80" s="120">
        <f>SUM(G74:G79)</f>
        <v>37843</v>
      </c>
      <c r="H80" s="120"/>
      <c r="I80" s="120"/>
      <c r="J80" s="120"/>
      <c r="K80" s="120"/>
      <c r="L80" s="314"/>
      <c r="M80" s="314">
        <f t="shared" ref="M80:V80" si="7">SUM(M74:M79)</f>
        <v>0</v>
      </c>
      <c r="N80" s="314">
        <f>SUM(N74:N79)</f>
        <v>3475</v>
      </c>
      <c r="O80" s="314">
        <f>SUM(O74:O79)</f>
        <v>30636</v>
      </c>
      <c r="P80" s="314">
        <f>SUM(P74:P79)</f>
        <v>14693</v>
      </c>
      <c r="Q80" s="314"/>
      <c r="R80" s="314">
        <f t="shared" si="7"/>
        <v>827</v>
      </c>
      <c r="S80" s="314">
        <f t="shared" si="7"/>
        <v>70735</v>
      </c>
      <c r="T80" s="314">
        <f t="shared" si="7"/>
        <v>0</v>
      </c>
      <c r="U80" s="314">
        <f t="shared" si="7"/>
        <v>0</v>
      </c>
      <c r="V80" s="120">
        <f t="shared" si="7"/>
        <v>244933</v>
      </c>
    </row>
    <row r="82" spans="1:22" ht="12.75" hidden="1" customHeight="1" outlineLevel="1" x14ac:dyDescent="0.2">
      <c r="A82" s="532" t="s">
        <v>223</v>
      </c>
      <c r="B82" s="532" t="s">
        <v>1097</v>
      </c>
      <c r="D82" s="129" t="str">
        <f>IF([1]RENAME!$H$3=1,B82,A82)</f>
        <v>Aumento de investimento</v>
      </c>
      <c r="E82" s="118">
        <v>0</v>
      </c>
      <c r="F82" s="118"/>
      <c r="G82" s="118">
        <v>18617</v>
      </c>
      <c r="H82" s="118"/>
      <c r="I82" s="118"/>
      <c r="J82" s="118"/>
      <c r="K82" s="118"/>
      <c r="L82" s="316"/>
      <c r="M82" s="316">
        <v>0</v>
      </c>
      <c r="N82" s="316">
        <v>0</v>
      </c>
      <c r="O82" s="316">
        <v>0</v>
      </c>
      <c r="P82" s="316">
        <v>0</v>
      </c>
      <c r="Q82" s="316"/>
      <c r="R82" s="316">
        <v>0</v>
      </c>
      <c r="S82" s="316">
        <v>0</v>
      </c>
      <c r="T82" s="316">
        <v>0</v>
      </c>
      <c r="U82" s="316">
        <v>0</v>
      </c>
      <c r="V82" s="118">
        <f>SUM(E82:U82)</f>
        <v>18617</v>
      </c>
    </row>
    <row r="83" spans="1:22" ht="12.75" hidden="1" customHeight="1" outlineLevel="1" x14ac:dyDescent="0.2">
      <c r="A83" s="532" t="s">
        <v>225</v>
      </c>
      <c r="B83" s="532" t="s">
        <v>760</v>
      </c>
      <c r="D83" s="129" t="str">
        <f>IF([1]RENAME!$H$3=1,B83,A83)</f>
        <v>Equivalência patrimonial</v>
      </c>
      <c r="E83" s="118">
        <v>2242</v>
      </c>
      <c r="F83" s="118"/>
      <c r="G83" s="118">
        <v>338</v>
      </c>
      <c r="H83" s="118"/>
      <c r="I83" s="118"/>
      <c r="J83" s="118"/>
      <c r="K83" s="118"/>
      <c r="L83" s="316"/>
      <c r="M83" s="316">
        <v>0</v>
      </c>
      <c r="N83" s="316">
        <v>-288</v>
      </c>
      <c r="O83" s="316">
        <v>-9</v>
      </c>
      <c r="P83" s="316">
        <v>-268</v>
      </c>
      <c r="Q83" s="316"/>
      <c r="R83" s="316">
        <v>-620</v>
      </c>
      <c r="S83" s="316">
        <v>-2787</v>
      </c>
      <c r="T83" s="316">
        <v>0</v>
      </c>
      <c r="U83" s="316">
        <v>0</v>
      </c>
      <c r="V83" s="118">
        <f>SUM(E83:U83)</f>
        <v>-1392</v>
      </c>
    </row>
    <row r="84" spans="1:22" ht="12.75" hidden="1" customHeight="1" outlineLevel="1" x14ac:dyDescent="0.2">
      <c r="A84" s="532" t="s">
        <v>230</v>
      </c>
      <c r="B84" s="532" t="s">
        <v>1463</v>
      </c>
      <c r="D84" s="129" t="str">
        <f>IF([1]RENAME!$H$3=1,B84,A84)</f>
        <v>Variação cambial de investimento</v>
      </c>
      <c r="E84" s="118">
        <v>0</v>
      </c>
      <c r="F84" s="118"/>
      <c r="G84" s="118">
        <v>0</v>
      </c>
      <c r="H84" s="118"/>
      <c r="I84" s="118"/>
      <c r="J84" s="118"/>
      <c r="K84" s="118"/>
      <c r="L84" s="316"/>
      <c r="M84" s="316">
        <v>0</v>
      </c>
      <c r="N84" s="316">
        <v>0</v>
      </c>
      <c r="O84" s="316">
        <v>0</v>
      </c>
      <c r="P84" s="316">
        <v>0</v>
      </c>
      <c r="Q84" s="316"/>
      <c r="R84" s="316">
        <v>4</v>
      </c>
      <c r="S84" s="316">
        <v>0</v>
      </c>
      <c r="T84" s="316">
        <v>0</v>
      </c>
      <c r="U84" s="316">
        <v>0</v>
      </c>
      <c r="V84" s="118">
        <f>SUM(E84:U84)</f>
        <v>4</v>
      </c>
    </row>
    <row r="85" spans="1:22" ht="12.75" hidden="1" customHeight="1" outlineLevel="1" x14ac:dyDescent="0.2">
      <c r="A85" s="532" t="s">
        <v>49</v>
      </c>
      <c r="B85" s="532" t="s">
        <v>699</v>
      </c>
      <c r="D85" s="129" t="str">
        <f>IF([1]RENAME!$H$3=1,B85,A85)</f>
        <v>Outros</v>
      </c>
      <c r="E85" s="118">
        <v>0</v>
      </c>
      <c r="F85" s="118"/>
      <c r="G85" s="118">
        <v>0</v>
      </c>
      <c r="H85" s="118"/>
      <c r="I85" s="118"/>
      <c r="J85" s="118"/>
      <c r="K85" s="118"/>
      <c r="L85" s="316"/>
      <c r="M85" s="316">
        <v>0</v>
      </c>
      <c r="N85" s="316">
        <v>0</v>
      </c>
      <c r="O85" s="316">
        <v>0</v>
      </c>
      <c r="P85" s="316">
        <v>-315</v>
      </c>
      <c r="Q85" s="316"/>
      <c r="R85" s="316">
        <v>0</v>
      </c>
      <c r="S85" s="316">
        <v>-22</v>
      </c>
      <c r="T85" s="316">
        <v>0</v>
      </c>
      <c r="U85" s="316">
        <v>0</v>
      </c>
      <c r="V85" s="118">
        <f>SUM(E85:U85)</f>
        <v>-337</v>
      </c>
    </row>
    <row r="86" spans="1:22" collapsed="1" x14ac:dyDescent="0.2">
      <c r="A86" s="532" t="s">
        <v>501</v>
      </c>
      <c r="B86" s="532" t="s">
        <v>1474</v>
      </c>
      <c r="D86" s="126" t="str">
        <f>IF([1]RENAME!$H$3=1,B86,A86)</f>
        <v>Em 30 de junho de 2016</v>
      </c>
      <c r="E86" s="120">
        <f>SUM(E80:E85)</f>
        <v>88966</v>
      </c>
      <c r="F86" s="120">
        <v>0</v>
      </c>
      <c r="G86" s="120">
        <f>SUM(G80:G85)</f>
        <v>56798</v>
      </c>
      <c r="H86" s="120"/>
      <c r="I86" s="120"/>
      <c r="J86" s="120"/>
      <c r="K86" s="120"/>
      <c r="L86" s="314"/>
      <c r="M86" s="314">
        <f>SUM(M80:M85)</f>
        <v>0</v>
      </c>
      <c r="N86" s="314">
        <f>SUM(N80:N85)</f>
        <v>3187</v>
      </c>
      <c r="O86" s="314">
        <f>SUM(O80:O84)</f>
        <v>30627</v>
      </c>
      <c r="P86" s="314">
        <f>SUM(P80:P85)</f>
        <v>14110</v>
      </c>
      <c r="Q86" s="314"/>
      <c r="R86" s="314">
        <f>SUM(R80:R85)</f>
        <v>211</v>
      </c>
      <c r="S86" s="314">
        <f>SUM(S80:S85)</f>
        <v>67926</v>
      </c>
      <c r="T86" s="314">
        <f>SUM(T80:T85)</f>
        <v>0</v>
      </c>
      <c r="U86" s="314">
        <f>SUM(U80:U85)</f>
        <v>0</v>
      </c>
      <c r="V86" s="120">
        <f>SUM(V80:V85)</f>
        <v>261825</v>
      </c>
    </row>
    <row r="88" spans="1:22" ht="12.75" hidden="1" customHeight="1" outlineLevel="1" x14ac:dyDescent="0.2">
      <c r="A88" s="532" t="s">
        <v>223</v>
      </c>
      <c r="B88" s="532" t="s">
        <v>1097</v>
      </c>
      <c r="D88" s="129" t="str">
        <f>IF([1]RENAME!$H$3=1,B88,A88)</f>
        <v>Aumento de investimento</v>
      </c>
      <c r="E88" s="118">
        <v>0</v>
      </c>
      <c r="F88" s="118"/>
      <c r="G88" s="118">
        <v>6000</v>
      </c>
      <c r="H88" s="118"/>
      <c r="I88" s="118"/>
      <c r="J88" s="118"/>
      <c r="K88" s="118"/>
      <c r="L88" s="316"/>
      <c r="M88" s="316">
        <v>0</v>
      </c>
      <c r="N88" s="316">
        <v>0</v>
      </c>
      <c r="O88" s="316">
        <v>0</v>
      </c>
      <c r="P88" s="316">
        <v>0</v>
      </c>
      <c r="Q88" s="316"/>
      <c r="R88" s="316">
        <v>0</v>
      </c>
      <c r="S88" s="316">
        <v>0</v>
      </c>
      <c r="T88" s="316">
        <v>0</v>
      </c>
      <c r="U88" s="316">
        <v>0</v>
      </c>
      <c r="V88" s="118">
        <f>SUM(E88:U88)</f>
        <v>6000</v>
      </c>
    </row>
    <row r="89" spans="1:22" ht="12.75" hidden="1" customHeight="1" outlineLevel="1" x14ac:dyDescent="0.2">
      <c r="A89" s="532" t="s">
        <v>225</v>
      </c>
      <c r="B89" s="532" t="s">
        <v>760</v>
      </c>
      <c r="D89" s="129" t="str">
        <f>IF([1]RENAME!$H$3=1,B89,A89)</f>
        <v>Equivalência patrimonial</v>
      </c>
      <c r="E89" s="118">
        <v>1809</v>
      </c>
      <c r="F89" s="118"/>
      <c r="G89" s="118">
        <v>171</v>
      </c>
      <c r="H89" s="118"/>
      <c r="I89" s="118"/>
      <c r="J89" s="118"/>
      <c r="K89" s="118"/>
      <c r="L89" s="316"/>
      <c r="M89" s="316">
        <v>0</v>
      </c>
      <c r="N89" s="316">
        <v>-19</v>
      </c>
      <c r="O89" s="316">
        <v>142</v>
      </c>
      <c r="P89" s="316">
        <v>-147</v>
      </c>
      <c r="Q89" s="316"/>
      <c r="R89" s="316"/>
      <c r="S89" s="316">
        <v>-1692</v>
      </c>
      <c r="T89" s="316">
        <v>0</v>
      </c>
      <c r="U89" s="316">
        <v>0</v>
      </c>
      <c r="V89" s="118">
        <f>SUM(E89:U89)</f>
        <v>264</v>
      </c>
    </row>
    <row r="90" spans="1:22" collapsed="1" x14ac:dyDescent="0.2">
      <c r="A90" s="532" t="s">
        <v>518</v>
      </c>
      <c r="B90" s="532" t="s">
        <v>1475</v>
      </c>
      <c r="D90" s="126" t="str">
        <f>IF([1]RENAME!$H$3=1,B90,A90)</f>
        <v>Em 30 de setembro de 2016</v>
      </c>
      <c r="E90" s="120">
        <f>SUM(E86:E89)</f>
        <v>90775</v>
      </c>
      <c r="F90" s="120">
        <v>0</v>
      </c>
      <c r="G90" s="120">
        <f>SUM(G86:G89)</f>
        <v>62969</v>
      </c>
      <c r="H90" s="120"/>
      <c r="I90" s="120"/>
      <c r="J90" s="120"/>
      <c r="K90" s="120"/>
      <c r="L90" s="314"/>
      <c r="M90" s="314">
        <f t="shared" ref="M90:V90" si="8">SUM(M86:M89)</f>
        <v>0</v>
      </c>
      <c r="N90" s="314">
        <f>SUM(N86:N89)</f>
        <v>3168</v>
      </c>
      <c r="O90" s="314">
        <f>SUM(O86:O89)</f>
        <v>30769</v>
      </c>
      <c r="P90" s="314">
        <f>SUM(P86:P89)</f>
        <v>13963</v>
      </c>
      <c r="Q90" s="314"/>
      <c r="R90" s="314">
        <f t="shared" si="8"/>
        <v>211</v>
      </c>
      <c r="S90" s="314">
        <f t="shared" si="8"/>
        <v>66234</v>
      </c>
      <c r="T90" s="314">
        <f t="shared" si="8"/>
        <v>0</v>
      </c>
      <c r="U90" s="314">
        <f t="shared" si="8"/>
        <v>0</v>
      </c>
      <c r="V90" s="120">
        <f t="shared" si="8"/>
        <v>268089</v>
      </c>
    </row>
    <row r="91" spans="1:22" x14ac:dyDescent="0.2">
      <c r="F91" s="154"/>
    </row>
    <row r="92" spans="1:22" ht="12.75" hidden="1" customHeight="1" outlineLevel="1" x14ac:dyDescent="0.2">
      <c r="A92" s="532" t="s">
        <v>223</v>
      </c>
      <c r="B92" s="532" t="s">
        <v>1097</v>
      </c>
      <c r="D92" s="129" t="str">
        <f>IF([1]RENAME!$H$3=1,B92,A92)</f>
        <v>Aumento de investimento</v>
      </c>
      <c r="E92" s="118">
        <v>0</v>
      </c>
      <c r="F92" s="118"/>
      <c r="G92" s="118">
        <v>0</v>
      </c>
      <c r="H92" s="118"/>
      <c r="I92" s="118"/>
      <c r="J92" s="118"/>
      <c r="K92" s="118"/>
      <c r="L92" s="316"/>
      <c r="M92" s="316">
        <v>0</v>
      </c>
      <c r="N92" s="316">
        <v>0</v>
      </c>
      <c r="O92" s="316">
        <v>0</v>
      </c>
      <c r="P92" s="316">
        <v>0</v>
      </c>
      <c r="Q92" s="316"/>
      <c r="R92" s="316">
        <v>0</v>
      </c>
      <c r="S92" s="316">
        <v>0</v>
      </c>
      <c r="T92" s="316">
        <v>0</v>
      </c>
      <c r="U92" s="316">
        <v>0</v>
      </c>
      <c r="V92" s="118">
        <f>SUM(E92:U92)</f>
        <v>0</v>
      </c>
    </row>
    <row r="93" spans="1:22" ht="12.75" hidden="1" customHeight="1" outlineLevel="1" x14ac:dyDescent="0.2">
      <c r="A93" s="532" t="s">
        <v>228</v>
      </c>
      <c r="B93" s="532" t="s">
        <v>1109</v>
      </c>
      <c r="D93" s="129" t="str">
        <f>IF([1]RENAME!$H$3=1,B93,A93)</f>
        <v>Transferência para passivo a descoberto</v>
      </c>
      <c r="E93" s="118">
        <v>0</v>
      </c>
      <c r="F93" s="118"/>
      <c r="G93" s="118">
        <v>0</v>
      </c>
      <c r="H93" s="118"/>
      <c r="I93" s="118"/>
      <c r="J93" s="118"/>
      <c r="K93" s="118"/>
      <c r="L93" s="316"/>
      <c r="M93" s="316">
        <v>0</v>
      </c>
      <c r="N93" s="316">
        <v>0</v>
      </c>
      <c r="O93" s="316">
        <v>0</v>
      </c>
      <c r="P93" s="316">
        <v>0</v>
      </c>
      <c r="Q93" s="316"/>
      <c r="R93" s="316">
        <v>196</v>
      </c>
      <c r="S93" s="316">
        <v>0</v>
      </c>
      <c r="T93" s="316">
        <v>0</v>
      </c>
      <c r="U93" s="316">
        <v>0</v>
      </c>
      <c r="V93" s="118">
        <f>SUM(E93:U93)</f>
        <v>196</v>
      </c>
    </row>
    <row r="94" spans="1:22" ht="12.75" hidden="1" customHeight="1" outlineLevel="1" x14ac:dyDescent="0.2">
      <c r="A94" s="532" t="s">
        <v>225</v>
      </c>
      <c r="B94" s="532" t="s">
        <v>760</v>
      </c>
      <c r="D94" s="129" t="str">
        <f>IF([1]RENAME!$H$3=1,B94,A94)</f>
        <v>Equivalência patrimonial</v>
      </c>
      <c r="E94" s="118">
        <v>2589</v>
      </c>
      <c r="F94" s="118"/>
      <c r="G94" s="118">
        <v>-1022</v>
      </c>
      <c r="H94" s="118"/>
      <c r="I94" s="118"/>
      <c r="J94" s="118"/>
      <c r="K94" s="118"/>
      <c r="L94" s="316"/>
      <c r="M94" s="316">
        <v>0</v>
      </c>
      <c r="N94" s="316">
        <v>-169</v>
      </c>
      <c r="O94" s="316">
        <v>-633</v>
      </c>
      <c r="P94" s="316">
        <v>62</v>
      </c>
      <c r="Q94" s="316"/>
      <c r="R94" s="316">
        <v>-297</v>
      </c>
      <c r="S94" s="316">
        <v>-2274</v>
      </c>
      <c r="T94" s="316">
        <v>0</v>
      </c>
      <c r="U94" s="316">
        <v>0</v>
      </c>
      <c r="V94" s="118">
        <f>SUM(E94:U94)</f>
        <v>-1744</v>
      </c>
    </row>
    <row r="95" spans="1:22" ht="12.75" hidden="1" customHeight="1" outlineLevel="1" x14ac:dyDescent="0.2">
      <c r="A95" s="532" t="s">
        <v>230</v>
      </c>
      <c r="B95" s="532" t="s">
        <v>1463</v>
      </c>
      <c r="D95" s="129" t="str">
        <f>IF([1]RENAME!$H$3=1,B95,A95)</f>
        <v>Variação cambial de investimento</v>
      </c>
      <c r="E95" s="118">
        <v>0</v>
      </c>
      <c r="F95" s="118"/>
      <c r="G95" s="118">
        <v>0</v>
      </c>
      <c r="H95" s="118"/>
      <c r="I95" s="118"/>
      <c r="J95" s="118"/>
      <c r="K95" s="118"/>
      <c r="L95" s="316"/>
      <c r="M95" s="316">
        <v>0</v>
      </c>
      <c r="N95" s="316">
        <v>0</v>
      </c>
      <c r="O95" s="316">
        <v>0</v>
      </c>
      <c r="P95" s="316">
        <v>0</v>
      </c>
      <c r="Q95" s="316"/>
      <c r="R95" s="316">
        <v>-110</v>
      </c>
      <c r="S95" s="316">
        <v>0</v>
      </c>
      <c r="T95" s="316">
        <v>0</v>
      </c>
      <c r="U95" s="316">
        <v>0</v>
      </c>
      <c r="V95" s="118">
        <f>SUM(E95:U95)</f>
        <v>-110</v>
      </c>
    </row>
    <row r="96" spans="1:22" ht="12.75" hidden="1" customHeight="1" outlineLevel="1" x14ac:dyDescent="0.2">
      <c r="A96" s="532" t="s">
        <v>49</v>
      </c>
      <c r="B96" s="532" t="s">
        <v>699</v>
      </c>
      <c r="D96" s="129" t="str">
        <f>IF([1]RENAME!$H$3=1,B96,A96)</f>
        <v>Outros</v>
      </c>
      <c r="E96" s="118">
        <v>0</v>
      </c>
      <c r="F96" s="118"/>
      <c r="G96" s="118">
        <v>0</v>
      </c>
      <c r="H96" s="118"/>
      <c r="I96" s="118"/>
      <c r="J96" s="118"/>
      <c r="K96" s="118"/>
      <c r="L96" s="316"/>
      <c r="M96" s="316">
        <v>0</v>
      </c>
      <c r="N96" s="316">
        <v>0</v>
      </c>
      <c r="O96" s="316">
        <v>0</v>
      </c>
      <c r="P96" s="316">
        <v>0</v>
      </c>
      <c r="Q96" s="316"/>
      <c r="R96" s="316">
        <v>0</v>
      </c>
      <c r="S96" s="316">
        <v>-1</v>
      </c>
      <c r="T96" s="316">
        <v>0</v>
      </c>
      <c r="U96" s="316">
        <v>0</v>
      </c>
      <c r="V96" s="118">
        <f>SUM(E96:U96)</f>
        <v>-1</v>
      </c>
    </row>
    <row r="97" spans="1:22" collapsed="1" x14ac:dyDescent="0.2">
      <c r="A97" s="532" t="s">
        <v>554</v>
      </c>
      <c r="B97" s="532" t="s">
        <v>1476</v>
      </c>
      <c r="D97" s="126" t="str">
        <f>IF([1]RENAME!$H$3=1,B97,A97)</f>
        <v>Em 31 de dezembro de 2016</v>
      </c>
      <c r="E97" s="120">
        <f>SUM(E90:E96)</f>
        <v>93364</v>
      </c>
      <c r="F97" s="120">
        <v>0</v>
      </c>
      <c r="G97" s="120">
        <f>SUM(G90:G96)</f>
        <v>61947</v>
      </c>
      <c r="H97" s="120"/>
      <c r="I97" s="120"/>
      <c r="J97" s="120"/>
      <c r="K97" s="120"/>
      <c r="L97" s="314"/>
      <c r="M97" s="314">
        <f t="shared" ref="M97:V97" si="9">SUM(M90:M96)</f>
        <v>0</v>
      </c>
      <c r="N97" s="314">
        <f>SUM(N90:N96)</f>
        <v>2999</v>
      </c>
      <c r="O97" s="314">
        <f>SUM(O90:O96)</f>
        <v>30136</v>
      </c>
      <c r="P97" s="314">
        <f>SUM(P90:P96)</f>
        <v>14025</v>
      </c>
      <c r="Q97" s="314"/>
      <c r="R97" s="314">
        <f t="shared" si="9"/>
        <v>0</v>
      </c>
      <c r="S97" s="314">
        <f t="shared" si="9"/>
        <v>63959</v>
      </c>
      <c r="T97" s="314">
        <f t="shared" si="9"/>
        <v>0</v>
      </c>
      <c r="U97" s="314">
        <f t="shared" si="9"/>
        <v>0</v>
      </c>
      <c r="V97" s="120">
        <f t="shared" si="9"/>
        <v>266430</v>
      </c>
    </row>
    <row r="99" spans="1:22" ht="12.75" hidden="1" customHeight="1" outlineLevel="1" x14ac:dyDescent="0.2">
      <c r="A99" s="532" t="s">
        <v>223</v>
      </c>
      <c r="B99" s="532" t="s">
        <v>1097</v>
      </c>
      <c r="D99" s="129" t="str">
        <f>IF([1]RENAME!$H$3=1,B99,A99)</f>
        <v>Aumento de investimento</v>
      </c>
      <c r="E99" s="118">
        <v>0</v>
      </c>
      <c r="F99" s="118"/>
      <c r="G99" s="118">
        <v>500</v>
      </c>
      <c r="H99" s="118"/>
      <c r="I99" s="118"/>
      <c r="J99" s="118"/>
      <c r="K99" s="118"/>
      <c r="L99" s="316"/>
      <c r="M99" s="316">
        <v>0</v>
      </c>
      <c r="N99" s="316">
        <v>0</v>
      </c>
      <c r="O99" s="316">
        <v>0</v>
      </c>
      <c r="P99" s="316">
        <v>0</v>
      </c>
      <c r="Q99" s="316"/>
      <c r="R99" s="316">
        <v>0</v>
      </c>
      <c r="S99" s="316">
        <v>0</v>
      </c>
      <c r="T99" s="316">
        <v>0</v>
      </c>
      <c r="U99" s="316">
        <v>0</v>
      </c>
      <c r="V99" s="118">
        <f>SUM(E99:U99)</f>
        <v>500</v>
      </c>
    </row>
    <row r="100" spans="1:22" ht="12.75" hidden="1" customHeight="1" outlineLevel="1" x14ac:dyDescent="0.2">
      <c r="A100" s="532" t="s">
        <v>600</v>
      </c>
      <c r="B100" s="532" t="s">
        <v>1109</v>
      </c>
      <c r="D100" s="129" t="str">
        <f>IF([1]RENAME!$H$3=1,B100,A100)</f>
        <v>Reversão de patrimônio líquido negativo</v>
      </c>
      <c r="E100" s="118">
        <v>0</v>
      </c>
      <c r="F100" s="118"/>
      <c r="G100" s="118">
        <v>0</v>
      </c>
      <c r="H100" s="118"/>
      <c r="I100" s="118"/>
      <c r="J100" s="118"/>
      <c r="K100" s="118"/>
      <c r="L100" s="316"/>
      <c r="M100" s="316">
        <v>0</v>
      </c>
      <c r="N100" s="316">
        <v>0</v>
      </c>
      <c r="O100" s="316">
        <v>308</v>
      </c>
      <c r="P100" s="316">
        <v>0</v>
      </c>
      <c r="Q100" s="316"/>
      <c r="R100" s="316">
        <v>0</v>
      </c>
      <c r="S100" s="316">
        <v>0</v>
      </c>
      <c r="T100" s="316">
        <v>0</v>
      </c>
      <c r="U100" s="316">
        <v>0</v>
      </c>
      <c r="V100" s="118">
        <f>SUM(E100:U100)</f>
        <v>308</v>
      </c>
    </row>
    <row r="101" spans="1:22" ht="12.75" hidden="1" customHeight="1" outlineLevel="1" x14ac:dyDescent="0.2">
      <c r="A101" s="532" t="s">
        <v>225</v>
      </c>
      <c r="B101" s="532" t="s">
        <v>760</v>
      </c>
      <c r="D101" s="129" t="str">
        <f>IF([1]RENAME!$H$3=1,B101,A101)</f>
        <v>Equivalência patrimonial</v>
      </c>
      <c r="E101" s="118">
        <v>3504</v>
      </c>
      <c r="F101" s="118"/>
      <c r="G101" s="118">
        <v>145</v>
      </c>
      <c r="H101" s="118"/>
      <c r="I101" s="118"/>
      <c r="J101" s="118"/>
      <c r="K101" s="118"/>
      <c r="L101" s="316"/>
      <c r="M101" s="316">
        <v>0</v>
      </c>
      <c r="N101" s="316">
        <v>215</v>
      </c>
      <c r="O101" s="316">
        <v>-307</v>
      </c>
      <c r="P101" s="316">
        <v>0</v>
      </c>
      <c r="Q101" s="316"/>
      <c r="R101" s="316">
        <v>-58</v>
      </c>
      <c r="S101" s="316">
        <v>-2601</v>
      </c>
      <c r="T101" s="316">
        <v>0</v>
      </c>
      <c r="U101" s="316">
        <v>0</v>
      </c>
      <c r="V101" s="118">
        <f>SUM(E101:U101)</f>
        <v>898</v>
      </c>
    </row>
    <row r="102" spans="1:22" ht="12.75" hidden="1" customHeight="1" outlineLevel="1" x14ac:dyDescent="0.2">
      <c r="A102" s="532" t="s">
        <v>230</v>
      </c>
      <c r="B102" s="532" t="s">
        <v>1463</v>
      </c>
      <c r="D102" s="129" t="str">
        <f>IF([1]RENAME!$H$3=1,B102,A102)</f>
        <v>Variação cambial de investimento</v>
      </c>
      <c r="E102" s="118">
        <v>0</v>
      </c>
      <c r="F102" s="118"/>
      <c r="G102" s="118">
        <v>0</v>
      </c>
      <c r="H102" s="118"/>
      <c r="I102" s="118"/>
      <c r="J102" s="118"/>
      <c r="K102" s="118"/>
      <c r="L102" s="316"/>
      <c r="M102" s="316">
        <v>0</v>
      </c>
      <c r="N102" s="316">
        <v>0</v>
      </c>
      <c r="O102" s="316">
        <v>-1</v>
      </c>
      <c r="P102" s="316">
        <v>0</v>
      </c>
      <c r="Q102" s="316"/>
      <c r="R102" s="316">
        <v>0</v>
      </c>
      <c r="S102" s="316">
        <v>0</v>
      </c>
      <c r="T102" s="316">
        <v>0</v>
      </c>
      <c r="U102" s="316">
        <v>0</v>
      </c>
      <c r="V102" s="118">
        <f>SUM(E102:U102)</f>
        <v>-1</v>
      </c>
    </row>
    <row r="103" spans="1:22" collapsed="1" x14ac:dyDescent="0.2">
      <c r="A103" s="532" t="s">
        <v>568</v>
      </c>
      <c r="B103" s="532" t="s">
        <v>1477</v>
      </c>
      <c r="D103" s="126" t="str">
        <f>IF([1]RENAME!$H$3=1,B103,A103)</f>
        <v>Em 31 de março de 2017</v>
      </c>
      <c r="E103" s="120">
        <f>SUM(E97:E102)</f>
        <v>96868</v>
      </c>
      <c r="F103" s="120">
        <v>0</v>
      </c>
      <c r="G103" s="120">
        <f>SUM(G97:G102)</f>
        <v>62592</v>
      </c>
      <c r="H103" s="120"/>
      <c r="I103" s="120"/>
      <c r="J103" s="120"/>
      <c r="K103" s="120"/>
      <c r="L103" s="314"/>
      <c r="M103" s="314">
        <f>SUM(M97:M102)</f>
        <v>0</v>
      </c>
      <c r="N103" s="314">
        <f>SUM(N97:N102)</f>
        <v>3214</v>
      </c>
      <c r="O103" s="314">
        <f>SUM(O97:O102)</f>
        <v>30136</v>
      </c>
      <c r="P103" s="314">
        <f>SUM(P97:P102)</f>
        <v>14025</v>
      </c>
      <c r="Q103" s="314"/>
      <c r="R103" s="314">
        <f>SUM(R97:R102)</f>
        <v>-58</v>
      </c>
      <c r="S103" s="314">
        <f>SUM(S97:S102)</f>
        <v>61358</v>
      </c>
      <c r="T103" s="314">
        <f>SUM(T97:T102)</f>
        <v>0</v>
      </c>
      <c r="U103" s="314">
        <f>SUM(U97:U102)</f>
        <v>0</v>
      </c>
      <c r="V103" s="120">
        <f>SUM(V97:V102)</f>
        <v>268135</v>
      </c>
    </row>
    <row r="104" spans="1:22" s="606" customFormat="1" x14ac:dyDescent="0.2">
      <c r="C104"/>
      <c r="D104" s="607"/>
      <c r="E104" s="608"/>
      <c r="F104" s="608"/>
      <c r="G104" s="608"/>
      <c r="H104" s="608"/>
      <c r="I104" s="608"/>
      <c r="J104" s="608"/>
      <c r="K104" s="608"/>
      <c r="L104" s="609"/>
      <c r="M104" s="609"/>
      <c r="N104" s="609"/>
      <c r="O104" s="609"/>
      <c r="P104" s="609"/>
      <c r="Q104" s="609"/>
      <c r="R104" s="609"/>
      <c r="S104" s="609"/>
      <c r="T104" s="609"/>
      <c r="U104" s="609"/>
      <c r="V104" s="608"/>
    </row>
    <row r="105" spans="1:22" ht="12.75" hidden="1" customHeight="1" outlineLevel="1" x14ac:dyDescent="0.2">
      <c r="A105" s="532" t="s">
        <v>223</v>
      </c>
      <c r="B105" s="532" t="s">
        <v>1097</v>
      </c>
      <c r="D105" s="129" t="str">
        <f>IF([1]RENAME!$H$3=1,B105,A105)</f>
        <v>Aumento de investimento</v>
      </c>
      <c r="E105" s="118">
        <v>0</v>
      </c>
      <c r="F105" s="118">
        <v>0</v>
      </c>
      <c r="G105" s="118">
        <v>0</v>
      </c>
      <c r="H105" s="118">
        <v>0</v>
      </c>
      <c r="I105" s="118">
        <v>0</v>
      </c>
      <c r="J105" s="118"/>
      <c r="K105" s="118"/>
      <c r="L105" s="118"/>
      <c r="M105" s="118">
        <v>0</v>
      </c>
      <c r="N105" s="118">
        <v>0</v>
      </c>
      <c r="O105" s="118">
        <v>0</v>
      </c>
      <c r="P105" s="118">
        <v>0</v>
      </c>
      <c r="Q105" s="118"/>
      <c r="R105" s="118">
        <v>0</v>
      </c>
      <c r="S105" s="316">
        <v>0</v>
      </c>
      <c r="T105" s="316">
        <v>0</v>
      </c>
      <c r="U105" s="316">
        <v>0</v>
      </c>
      <c r="V105" s="118">
        <f>SUM(E105:U105)</f>
        <v>0</v>
      </c>
    </row>
    <row r="106" spans="1:22" ht="12.75" hidden="1" customHeight="1" outlineLevel="1" x14ac:dyDescent="0.2">
      <c r="A106" s="532" t="s">
        <v>600</v>
      </c>
      <c r="B106" s="532" t="s">
        <v>1109</v>
      </c>
      <c r="D106" s="129" t="str">
        <f>IF([1]RENAME!$H$3=1,B106,A106)</f>
        <v>Reversão de patrimônio líquido negativo</v>
      </c>
      <c r="E106" s="118">
        <v>0</v>
      </c>
      <c r="F106" s="118">
        <v>0</v>
      </c>
      <c r="G106" s="118">
        <v>0</v>
      </c>
      <c r="H106" s="118">
        <v>0</v>
      </c>
      <c r="I106" s="118">
        <v>0</v>
      </c>
      <c r="J106" s="118"/>
      <c r="K106" s="118"/>
      <c r="L106" s="118"/>
      <c r="M106" s="118">
        <v>0</v>
      </c>
      <c r="N106" s="118">
        <v>0</v>
      </c>
      <c r="O106" s="118">
        <v>-308</v>
      </c>
      <c r="P106" s="118">
        <v>0</v>
      </c>
      <c r="Q106" s="118"/>
      <c r="R106" s="118">
        <v>-424</v>
      </c>
      <c r="S106" s="316">
        <v>0</v>
      </c>
      <c r="T106" s="316">
        <v>0</v>
      </c>
      <c r="U106" s="316">
        <v>0</v>
      </c>
      <c r="V106" s="118">
        <f>SUM(E106:U106)</f>
        <v>-732</v>
      </c>
    </row>
    <row r="107" spans="1:22" ht="12.75" hidden="1" customHeight="1" outlineLevel="1" x14ac:dyDescent="0.2">
      <c r="A107" s="532" t="s">
        <v>225</v>
      </c>
      <c r="B107" s="532" t="s">
        <v>760</v>
      </c>
      <c r="D107" s="129" t="str">
        <f>IF([1]RENAME!$H$3=1,B107,A107)</f>
        <v>Equivalência patrimonial</v>
      </c>
      <c r="E107" s="118">
        <v>595</v>
      </c>
      <c r="F107" s="118">
        <v>0</v>
      </c>
      <c r="G107" s="118">
        <v>623</v>
      </c>
      <c r="H107" s="118">
        <v>0</v>
      </c>
      <c r="I107" s="118">
        <v>0</v>
      </c>
      <c r="J107" s="118"/>
      <c r="K107" s="118"/>
      <c r="L107" s="118"/>
      <c r="M107" s="118">
        <v>0</v>
      </c>
      <c r="N107" s="118">
        <v>-1139</v>
      </c>
      <c r="O107" s="118">
        <v>223</v>
      </c>
      <c r="P107" s="118">
        <v>283</v>
      </c>
      <c r="Q107" s="118"/>
      <c r="R107" s="118">
        <v>279</v>
      </c>
      <c r="S107" s="316">
        <v>7372</v>
      </c>
      <c r="T107" s="316">
        <v>0</v>
      </c>
      <c r="U107" s="316">
        <v>0</v>
      </c>
      <c r="V107" s="118">
        <f>SUM(E107:U107)</f>
        <v>8236</v>
      </c>
    </row>
    <row r="108" spans="1:22" ht="12.75" hidden="1" customHeight="1" outlineLevel="1" x14ac:dyDescent="0.2">
      <c r="A108" s="532" t="s">
        <v>230</v>
      </c>
      <c r="B108" s="532" t="s">
        <v>1463</v>
      </c>
      <c r="D108" s="129" t="str">
        <f>IF([1]RENAME!$H$3=1,B108,A108)</f>
        <v>Variação cambial de investimento</v>
      </c>
      <c r="E108" s="118">
        <v>0</v>
      </c>
      <c r="F108" s="118">
        <v>0</v>
      </c>
      <c r="G108" s="118">
        <v>0</v>
      </c>
      <c r="H108" s="118">
        <v>0</v>
      </c>
      <c r="I108" s="118">
        <v>0</v>
      </c>
      <c r="J108" s="118"/>
      <c r="K108" s="118"/>
      <c r="L108" s="118"/>
      <c r="M108" s="118">
        <v>0</v>
      </c>
      <c r="N108" s="118">
        <v>0</v>
      </c>
      <c r="O108" s="118">
        <v>1</v>
      </c>
      <c r="P108" s="118">
        <v>0</v>
      </c>
      <c r="Q108" s="118"/>
      <c r="R108" s="118">
        <v>203</v>
      </c>
      <c r="S108" s="316">
        <v>0</v>
      </c>
      <c r="T108" s="316">
        <v>0</v>
      </c>
      <c r="U108" s="316">
        <v>0</v>
      </c>
      <c r="V108" s="118">
        <f>SUM(E108:U108)</f>
        <v>204</v>
      </c>
    </row>
    <row r="109" spans="1:22" ht="12.75" hidden="1" customHeight="1" outlineLevel="1" x14ac:dyDescent="0.2">
      <c r="A109" s="532" t="s">
        <v>49</v>
      </c>
      <c r="B109" s="532" t="s">
        <v>699</v>
      </c>
      <c r="D109" s="129" t="str">
        <f>IF([1]RENAME!$H$3=1,B109,A109)</f>
        <v>Outros</v>
      </c>
      <c r="E109" s="118">
        <v>0</v>
      </c>
      <c r="F109" s="118">
        <v>0</v>
      </c>
      <c r="G109" s="118">
        <v>0</v>
      </c>
      <c r="H109" s="118">
        <v>0</v>
      </c>
      <c r="I109" s="118">
        <v>0</v>
      </c>
      <c r="J109" s="118"/>
      <c r="K109" s="118"/>
      <c r="L109" s="118"/>
      <c r="M109" s="118" t="s">
        <v>160</v>
      </c>
      <c r="N109" s="118">
        <v>-735</v>
      </c>
      <c r="O109" s="118">
        <v>0</v>
      </c>
      <c r="P109" s="118">
        <v>0</v>
      </c>
      <c r="Q109" s="118"/>
      <c r="R109" s="118">
        <v>0</v>
      </c>
      <c r="S109" s="118">
        <v>0</v>
      </c>
      <c r="T109" s="118" t="s">
        <v>160</v>
      </c>
      <c r="U109" s="118" t="s">
        <v>160</v>
      </c>
      <c r="V109" s="118">
        <f>SUM(E109:U109)</f>
        <v>-735</v>
      </c>
    </row>
    <row r="110" spans="1:22" collapsed="1" x14ac:dyDescent="0.2">
      <c r="A110" s="532" t="s">
        <v>577</v>
      </c>
      <c r="B110" s="532" t="s">
        <v>1478</v>
      </c>
      <c r="C110" s="153"/>
      <c r="D110" s="126" t="str">
        <f>IF([1]RENAME!$H$3=1,B110,A110)</f>
        <v>Em 30 de junho de 2017</v>
      </c>
      <c r="E110" s="120">
        <f>SUM(E103:E109)</f>
        <v>97463</v>
      </c>
      <c r="F110" s="120">
        <v>0</v>
      </c>
      <c r="G110" s="120">
        <f>SUM(G103:G109)</f>
        <v>63215</v>
      </c>
      <c r="H110" s="120">
        <v>0</v>
      </c>
      <c r="I110" s="120">
        <v>0</v>
      </c>
      <c r="J110" s="120"/>
      <c r="K110" s="120"/>
      <c r="L110" s="314"/>
      <c r="M110" s="314">
        <f t="shared" ref="M110:V110" si="10">SUM(M103:M109)</f>
        <v>0</v>
      </c>
      <c r="N110" s="314">
        <f>SUM(N103:N109)</f>
        <v>1340</v>
      </c>
      <c r="O110" s="314">
        <f>SUM(O103:O109)</f>
        <v>30052</v>
      </c>
      <c r="P110" s="314">
        <f>SUM(P103:P109)</f>
        <v>14308</v>
      </c>
      <c r="Q110" s="314"/>
      <c r="R110" s="314">
        <f t="shared" si="10"/>
        <v>0</v>
      </c>
      <c r="S110" s="314">
        <f t="shared" si="10"/>
        <v>68730</v>
      </c>
      <c r="T110" s="314">
        <f t="shared" si="10"/>
        <v>0</v>
      </c>
      <c r="U110" s="314">
        <f t="shared" si="10"/>
        <v>0</v>
      </c>
      <c r="V110" s="120">
        <f t="shared" si="10"/>
        <v>275108</v>
      </c>
    </row>
    <row r="111" spans="1:22" s="606" customFormat="1" x14ac:dyDescent="0.2">
      <c r="C111" s="149"/>
      <c r="D111" s="607"/>
      <c r="E111" s="607"/>
      <c r="F111" s="607"/>
      <c r="G111" s="607"/>
      <c r="H111" s="607"/>
      <c r="I111" s="607"/>
      <c r="J111" s="607"/>
      <c r="K111" s="607"/>
      <c r="L111" s="607"/>
      <c r="M111" s="607"/>
      <c r="N111" s="607"/>
      <c r="O111" s="607"/>
      <c r="P111" s="607"/>
      <c r="Q111" s="607"/>
      <c r="R111" s="607"/>
      <c r="S111" s="607"/>
      <c r="T111" s="607"/>
      <c r="U111" s="607"/>
      <c r="V111" s="607"/>
    </row>
    <row r="112" spans="1:22" ht="12.75" hidden="1" customHeight="1" outlineLevel="1" x14ac:dyDescent="0.2">
      <c r="A112" s="532" t="s">
        <v>1173</v>
      </c>
      <c r="D112" s="129" t="str">
        <f>IF([1]RENAME!$H$3=1,B112,A112)</f>
        <v>Provisão para patrimônio líquido negativo</v>
      </c>
      <c r="E112" s="118">
        <v>0</v>
      </c>
      <c r="F112" s="118">
        <v>0</v>
      </c>
      <c r="G112" s="118">
        <v>0</v>
      </c>
      <c r="H112" s="118">
        <v>0</v>
      </c>
      <c r="I112" s="118">
        <v>0</v>
      </c>
      <c r="J112" s="118"/>
      <c r="K112" s="118"/>
      <c r="L112" s="118"/>
      <c r="M112" s="118">
        <v>0</v>
      </c>
      <c r="N112" s="118">
        <v>0</v>
      </c>
      <c r="O112" s="118">
        <v>0</v>
      </c>
      <c r="P112" s="118">
        <v>0</v>
      </c>
      <c r="Q112" s="118"/>
      <c r="R112" s="118">
        <v>-196</v>
      </c>
      <c r="S112" s="118">
        <v>0</v>
      </c>
      <c r="T112" s="118">
        <v>0</v>
      </c>
      <c r="U112" s="118">
        <v>0</v>
      </c>
      <c r="V112" s="118">
        <f>SUM(E112:U112)</f>
        <v>-196</v>
      </c>
    </row>
    <row r="113" spans="1:22" ht="12.75" hidden="1" customHeight="1" outlineLevel="1" x14ac:dyDescent="0.2">
      <c r="A113" s="532" t="s">
        <v>223</v>
      </c>
      <c r="B113" s="532" t="s">
        <v>1097</v>
      </c>
      <c r="C113" s="153"/>
      <c r="D113" s="129" t="str">
        <f>IF([1]RENAME!$H$3=1,B113,A113)</f>
        <v>Aumento de investimento</v>
      </c>
      <c r="E113" s="118">
        <v>0</v>
      </c>
      <c r="F113" s="118">
        <v>0</v>
      </c>
      <c r="G113" s="118">
        <v>0</v>
      </c>
      <c r="H113" s="118">
        <v>0</v>
      </c>
      <c r="I113" s="118">
        <v>0</v>
      </c>
      <c r="J113" s="118"/>
      <c r="K113" s="118"/>
      <c r="L113" s="316"/>
      <c r="M113" s="316">
        <v>0</v>
      </c>
      <c r="N113" s="316">
        <v>0</v>
      </c>
      <c r="O113" s="316">
        <v>0</v>
      </c>
      <c r="P113" s="316">
        <v>0</v>
      </c>
      <c r="Q113" s="316"/>
      <c r="R113" s="316">
        <v>0</v>
      </c>
      <c r="S113" s="316">
        <v>0</v>
      </c>
      <c r="T113" s="316">
        <v>0</v>
      </c>
      <c r="U113" s="316">
        <v>0</v>
      </c>
      <c r="V113" s="118">
        <v>0</v>
      </c>
    </row>
    <row r="114" spans="1:22" ht="12.75" hidden="1" customHeight="1" outlineLevel="1" x14ac:dyDescent="0.2">
      <c r="A114" s="532" t="s">
        <v>600</v>
      </c>
      <c r="B114" s="532" t="s">
        <v>1109</v>
      </c>
      <c r="C114" s="153"/>
      <c r="D114" s="129" t="str">
        <f>IF([1]RENAME!$H$3=1,B114,A114)</f>
        <v>Reversão de patrimônio líquido negativo</v>
      </c>
      <c r="E114" s="118">
        <v>0</v>
      </c>
      <c r="F114" s="118">
        <v>0</v>
      </c>
      <c r="G114" s="118">
        <v>0</v>
      </c>
      <c r="H114" s="118">
        <v>0</v>
      </c>
      <c r="I114" s="118">
        <v>0</v>
      </c>
      <c r="J114" s="118"/>
      <c r="K114" s="118"/>
      <c r="L114" s="316"/>
      <c r="M114" s="316">
        <v>0</v>
      </c>
      <c r="N114" s="316">
        <v>0</v>
      </c>
      <c r="O114" s="316">
        <v>0</v>
      </c>
      <c r="P114" s="316">
        <v>0</v>
      </c>
      <c r="Q114" s="316"/>
      <c r="R114" s="316">
        <v>1107</v>
      </c>
      <c r="S114" s="316">
        <v>0</v>
      </c>
      <c r="T114" s="316">
        <v>0</v>
      </c>
      <c r="U114" s="316">
        <v>0</v>
      </c>
      <c r="V114" s="118">
        <v>1107</v>
      </c>
    </row>
    <row r="115" spans="1:22" ht="12.75" hidden="1" customHeight="1" outlineLevel="1" x14ac:dyDescent="0.2">
      <c r="A115" s="532" t="s">
        <v>225</v>
      </c>
      <c r="B115" s="532" t="s">
        <v>760</v>
      </c>
      <c r="C115" s="153"/>
      <c r="D115" s="129" t="str">
        <f>IF([1]RENAME!$H$3=1,B115,A115)</f>
        <v>Equivalência patrimonial</v>
      </c>
      <c r="E115" s="118">
        <v>1729</v>
      </c>
      <c r="F115" s="118">
        <v>0</v>
      </c>
      <c r="G115" s="118">
        <v>464</v>
      </c>
      <c r="H115" s="118">
        <v>0</v>
      </c>
      <c r="I115" s="118">
        <v>0</v>
      </c>
      <c r="J115" s="118"/>
      <c r="K115" s="118"/>
      <c r="L115" s="316"/>
      <c r="M115" s="316">
        <v>0</v>
      </c>
      <c r="N115" s="316">
        <v>42</v>
      </c>
      <c r="O115" s="316">
        <v>-3397</v>
      </c>
      <c r="P115" s="316">
        <v>57</v>
      </c>
      <c r="Q115" s="316"/>
      <c r="R115" s="316">
        <v>-699</v>
      </c>
      <c r="S115" s="316">
        <v>-1338</v>
      </c>
      <c r="T115" s="316">
        <v>0</v>
      </c>
      <c r="U115" s="316">
        <v>0</v>
      </c>
      <c r="V115" s="118">
        <v>-3142</v>
      </c>
    </row>
    <row r="116" spans="1:22" ht="12.75" hidden="1" customHeight="1" outlineLevel="1" x14ac:dyDescent="0.2">
      <c r="A116" s="532" t="s">
        <v>230</v>
      </c>
      <c r="B116" s="532" t="s">
        <v>1463</v>
      </c>
      <c r="C116" s="153"/>
      <c r="D116" s="129" t="str">
        <f>IF([1]RENAME!$H$3=1,B116,A116)</f>
        <v>Variação cambial de investimento</v>
      </c>
      <c r="E116" s="118">
        <v>0</v>
      </c>
      <c r="F116" s="118">
        <v>0</v>
      </c>
      <c r="G116" s="118">
        <v>0</v>
      </c>
      <c r="H116" s="118">
        <v>0</v>
      </c>
      <c r="I116" s="118">
        <v>0</v>
      </c>
      <c r="J116" s="118"/>
      <c r="K116" s="118"/>
      <c r="L116" s="316"/>
      <c r="M116" s="316">
        <v>0</v>
      </c>
      <c r="N116" s="316">
        <v>0</v>
      </c>
      <c r="O116" s="316">
        <v>0</v>
      </c>
      <c r="P116" s="316">
        <v>0</v>
      </c>
      <c r="Q116" s="316"/>
      <c r="R116" s="316">
        <v>-212</v>
      </c>
      <c r="S116" s="316">
        <v>0</v>
      </c>
      <c r="T116" s="316">
        <v>0</v>
      </c>
      <c r="U116" s="316">
        <v>0</v>
      </c>
      <c r="V116" s="118">
        <v>-212</v>
      </c>
    </row>
    <row r="117" spans="1:22" ht="12.75" hidden="1" customHeight="1" outlineLevel="1" x14ac:dyDescent="0.2">
      <c r="A117" s="532" t="s">
        <v>49</v>
      </c>
      <c r="B117" s="532" t="s">
        <v>699</v>
      </c>
      <c r="C117" s="153"/>
      <c r="D117" s="129" t="str">
        <f>IF([1]RENAME!$H$3=1,B117,A117)</f>
        <v>Outros</v>
      </c>
      <c r="E117" s="118">
        <v>-1921</v>
      </c>
      <c r="F117" s="118">
        <v>0</v>
      </c>
      <c r="G117" s="118">
        <v>0</v>
      </c>
      <c r="H117" s="118">
        <v>0</v>
      </c>
      <c r="I117" s="118">
        <v>0</v>
      </c>
      <c r="J117" s="118"/>
      <c r="K117" s="118"/>
      <c r="L117" s="316"/>
      <c r="M117" s="316"/>
      <c r="N117" s="316">
        <v>0</v>
      </c>
      <c r="O117" s="316">
        <v>0</v>
      </c>
      <c r="P117" s="316">
        <v>0</v>
      </c>
      <c r="Q117" s="316"/>
      <c r="R117" s="316">
        <v>0</v>
      </c>
      <c r="S117" s="316">
        <v>0</v>
      </c>
      <c r="T117" s="316"/>
      <c r="U117" s="316"/>
      <c r="V117" s="118">
        <v>-1921</v>
      </c>
    </row>
    <row r="118" spans="1:22" collapsed="1" x14ac:dyDescent="0.2">
      <c r="A118" s="532" t="s">
        <v>598</v>
      </c>
      <c r="B118" s="532" t="s">
        <v>1479</v>
      </c>
      <c r="C118" s="153"/>
      <c r="D118" s="126" t="str">
        <f>IF([1]RENAME!$H$3=1,B118,A118)</f>
        <v>Em 30 de setembro de 2017</v>
      </c>
      <c r="E118" s="120">
        <f>SUM(E110:E117)</f>
        <v>97271</v>
      </c>
      <c r="F118" s="120">
        <v>0</v>
      </c>
      <c r="G118" s="120">
        <f>SUM(G110:G117)</f>
        <v>63679</v>
      </c>
      <c r="H118" s="120">
        <v>0</v>
      </c>
      <c r="I118" s="120">
        <v>0</v>
      </c>
      <c r="J118" s="120"/>
      <c r="K118" s="120"/>
      <c r="L118" s="120"/>
      <c r="M118" s="120">
        <f>SUM(M110:M117)</f>
        <v>0</v>
      </c>
      <c r="N118" s="120">
        <f>SUM(N110:N117)</f>
        <v>1382</v>
      </c>
      <c r="O118" s="120">
        <f>SUM(O110:O117)</f>
        <v>26655</v>
      </c>
      <c r="P118" s="120">
        <f>SUM(P110:P117)</f>
        <v>14365</v>
      </c>
      <c r="Q118" s="120"/>
      <c r="R118" s="120">
        <f>SUM(R110:R117)</f>
        <v>0</v>
      </c>
      <c r="S118" s="120">
        <f>SUM(S110:S117)</f>
        <v>67392</v>
      </c>
      <c r="T118" s="120">
        <f>SUM(T110:T117)</f>
        <v>0</v>
      </c>
      <c r="U118" s="120">
        <f>SUM(U110:U117)</f>
        <v>0</v>
      </c>
      <c r="V118" s="120">
        <f>SUM(V110:V117)</f>
        <v>270744</v>
      </c>
    </row>
    <row r="120" spans="1:22" outlineLevel="1" x14ac:dyDescent="0.2">
      <c r="A120" s="532" t="s">
        <v>1173</v>
      </c>
      <c r="D120" s="129" t="str">
        <f>IF([1]RENAME!$H$3=1,B120,A120)</f>
        <v>Provisão para patrimônio líquido negativo</v>
      </c>
      <c r="E120" s="118">
        <v>0</v>
      </c>
      <c r="F120" s="118">
        <v>0</v>
      </c>
      <c r="G120" s="118">
        <v>0</v>
      </c>
      <c r="H120" s="118">
        <v>0</v>
      </c>
      <c r="I120" s="118">
        <v>0</v>
      </c>
      <c r="J120" s="118"/>
      <c r="K120" s="118"/>
      <c r="L120" s="118"/>
      <c r="M120" s="118">
        <v>0</v>
      </c>
      <c r="N120" s="118">
        <v>0</v>
      </c>
      <c r="O120" s="118">
        <v>0</v>
      </c>
      <c r="P120" s="118">
        <v>0</v>
      </c>
      <c r="Q120" s="118">
        <v>0</v>
      </c>
      <c r="R120" s="118">
        <v>0</v>
      </c>
      <c r="S120" s="118">
        <v>0</v>
      </c>
      <c r="T120" s="118">
        <v>0</v>
      </c>
      <c r="U120" s="118">
        <v>0</v>
      </c>
      <c r="V120" s="118">
        <f t="shared" ref="V120:V126" si="11">SUM(E120:U120)</f>
        <v>0</v>
      </c>
    </row>
    <row r="121" spans="1:22" outlineLevel="1" x14ac:dyDescent="0.2">
      <c r="A121" s="532" t="s">
        <v>223</v>
      </c>
      <c r="B121" s="532" t="s">
        <v>1097</v>
      </c>
      <c r="D121" s="129" t="str">
        <f>IF([1]RENAME!$H$3=1,B121,A121)</f>
        <v>Aumento de investimento</v>
      </c>
      <c r="E121" s="118">
        <v>0</v>
      </c>
      <c r="F121" s="118">
        <v>20640</v>
      </c>
      <c r="G121" s="118">
        <v>0</v>
      </c>
      <c r="H121" s="118">
        <v>0</v>
      </c>
      <c r="I121" s="118">
        <v>0</v>
      </c>
      <c r="J121" s="118"/>
      <c r="K121" s="118"/>
      <c r="L121" s="316"/>
      <c r="M121" s="316">
        <v>0</v>
      </c>
      <c r="N121" s="316">
        <v>0</v>
      </c>
      <c r="O121" s="316">
        <v>0</v>
      </c>
      <c r="P121" s="316">
        <v>0</v>
      </c>
      <c r="Q121" s="316">
        <v>0</v>
      </c>
      <c r="R121" s="316">
        <v>0</v>
      </c>
      <c r="S121" s="316">
        <v>0</v>
      </c>
      <c r="T121" s="316">
        <v>0</v>
      </c>
      <c r="U121" s="316">
        <v>0</v>
      </c>
      <c r="V121" s="118">
        <f t="shared" si="11"/>
        <v>20640</v>
      </c>
    </row>
    <row r="122" spans="1:22" ht="25.5" outlineLevel="1" x14ac:dyDescent="0.2">
      <c r="A122" s="532" t="s">
        <v>1279</v>
      </c>
      <c r="B122" s="532" t="s">
        <v>1109</v>
      </c>
      <c r="D122" s="129" t="str">
        <f>IF([1]RENAME!$H$3=1,B122,A122)</f>
        <v>Reversão (baixa) de patrimônio líquido negativo</v>
      </c>
      <c r="E122" s="118">
        <v>0</v>
      </c>
      <c r="F122" s="118">
        <v>0</v>
      </c>
      <c r="G122" s="118">
        <v>0</v>
      </c>
      <c r="H122" s="118">
        <v>0</v>
      </c>
      <c r="I122" s="118">
        <v>0</v>
      </c>
      <c r="J122" s="118"/>
      <c r="K122" s="118"/>
      <c r="L122" s="316"/>
      <c r="M122" s="316">
        <v>0</v>
      </c>
      <c r="N122" s="316">
        <v>0</v>
      </c>
      <c r="O122" s="316">
        <v>0</v>
      </c>
      <c r="P122" s="316">
        <v>0</v>
      </c>
      <c r="Q122" s="316">
        <v>0</v>
      </c>
      <c r="R122" s="316">
        <v>-9</v>
      </c>
      <c r="S122" s="316">
        <v>0</v>
      </c>
      <c r="T122" s="316">
        <v>0</v>
      </c>
      <c r="U122" s="316">
        <v>0</v>
      </c>
      <c r="V122" s="118">
        <f t="shared" si="11"/>
        <v>-9</v>
      </c>
    </row>
    <row r="123" spans="1:22" outlineLevel="1" x14ac:dyDescent="0.2">
      <c r="A123" s="532" t="s">
        <v>225</v>
      </c>
      <c r="B123" s="532" t="s">
        <v>760</v>
      </c>
      <c r="D123" s="129" t="str">
        <f>IF([1]RENAME!$H$3=1,B123,A123)</f>
        <v>Equivalência patrimonial</v>
      </c>
      <c r="E123" s="118">
        <v>11615</v>
      </c>
      <c r="F123" s="118">
        <v>1596</v>
      </c>
      <c r="G123" s="118">
        <v>524</v>
      </c>
      <c r="H123" s="118">
        <v>0</v>
      </c>
      <c r="I123" s="118">
        <v>0</v>
      </c>
      <c r="J123" s="118"/>
      <c r="K123" s="118"/>
      <c r="L123" s="316"/>
      <c r="M123" s="316">
        <v>0</v>
      </c>
      <c r="N123" s="316">
        <v>597</v>
      </c>
      <c r="O123" s="316">
        <v>-3791</v>
      </c>
      <c r="P123" s="316">
        <v>-11</v>
      </c>
      <c r="Q123" s="316">
        <v>0</v>
      </c>
      <c r="R123" s="316">
        <v>0</v>
      </c>
      <c r="S123" s="316">
        <v>-3287</v>
      </c>
      <c r="T123" s="316">
        <v>0</v>
      </c>
      <c r="U123" s="316">
        <v>0</v>
      </c>
      <c r="V123" s="118">
        <f t="shared" si="11"/>
        <v>7243</v>
      </c>
    </row>
    <row r="124" spans="1:22" outlineLevel="1" x14ac:dyDescent="0.2">
      <c r="A124" s="532" t="s">
        <v>1171</v>
      </c>
      <c r="B124" s="532" t="s">
        <v>1172</v>
      </c>
      <c r="D124" s="129" t="str">
        <f>IF([1]RENAME!$H$3=1,B124,A124)</f>
        <v>Redução de capital</v>
      </c>
      <c r="E124" s="118">
        <v>0</v>
      </c>
      <c r="F124" s="118">
        <v>0</v>
      </c>
      <c r="G124" s="118">
        <v>0</v>
      </c>
      <c r="H124" s="118">
        <v>0</v>
      </c>
      <c r="I124" s="118">
        <v>0</v>
      </c>
      <c r="J124" s="118"/>
      <c r="K124" s="118"/>
      <c r="L124" s="316"/>
      <c r="M124" s="316">
        <v>0</v>
      </c>
      <c r="N124" s="316">
        <v>0</v>
      </c>
      <c r="O124" s="316">
        <v>0</v>
      </c>
      <c r="P124" s="316">
        <v>0</v>
      </c>
      <c r="Q124" s="316">
        <v>0</v>
      </c>
      <c r="R124" s="316">
        <v>0</v>
      </c>
      <c r="S124" s="316">
        <v>-20640</v>
      </c>
      <c r="T124" s="316">
        <v>0</v>
      </c>
      <c r="U124" s="316">
        <v>0</v>
      </c>
      <c r="V124" s="118">
        <f t="shared" si="11"/>
        <v>-20640</v>
      </c>
    </row>
    <row r="125" spans="1:22" outlineLevel="1" x14ac:dyDescent="0.2">
      <c r="A125" s="532" t="s">
        <v>230</v>
      </c>
      <c r="B125" s="532" t="s">
        <v>1463</v>
      </c>
      <c r="C125" s="153"/>
      <c r="D125" s="129" t="str">
        <f>IF([1]RENAME!$H$3=1,B125,A125)</f>
        <v>Variação cambial de investimento</v>
      </c>
      <c r="E125" s="118">
        <v>0</v>
      </c>
      <c r="F125" s="118">
        <v>0</v>
      </c>
      <c r="G125" s="118">
        <v>0</v>
      </c>
      <c r="H125" s="118">
        <v>0</v>
      </c>
      <c r="I125" s="118">
        <v>0</v>
      </c>
      <c r="J125" s="118"/>
      <c r="K125" s="118"/>
      <c r="L125" s="316"/>
      <c r="M125" s="316">
        <v>0</v>
      </c>
      <c r="N125" s="316">
        <v>0</v>
      </c>
      <c r="O125" s="316">
        <v>0</v>
      </c>
      <c r="P125" s="316">
        <v>0</v>
      </c>
      <c r="Q125" s="316">
        <v>0</v>
      </c>
      <c r="R125" s="316">
        <v>9</v>
      </c>
      <c r="S125" s="316">
        <v>0</v>
      </c>
      <c r="T125" s="316">
        <v>0</v>
      </c>
      <c r="U125" s="316">
        <v>0</v>
      </c>
      <c r="V125" s="118">
        <f t="shared" si="11"/>
        <v>9</v>
      </c>
    </row>
    <row r="126" spans="1:22" ht="14.25" customHeight="1" outlineLevel="1" x14ac:dyDescent="0.2">
      <c r="A126" s="532" t="s">
        <v>430</v>
      </c>
      <c r="B126" s="532" t="s">
        <v>648</v>
      </c>
      <c r="D126" s="129" t="str">
        <f>IF([1]RENAME!$H$3=1,B126,A126)</f>
        <v>Dividendos</v>
      </c>
      <c r="E126" s="118">
        <v>0</v>
      </c>
      <c r="F126" s="118">
        <v>0</v>
      </c>
      <c r="G126" s="118">
        <v>0</v>
      </c>
      <c r="H126" s="118">
        <v>0</v>
      </c>
      <c r="I126" s="118">
        <v>0</v>
      </c>
      <c r="J126" s="118"/>
      <c r="K126" s="118"/>
      <c r="L126" s="316"/>
      <c r="M126" s="316">
        <v>0</v>
      </c>
      <c r="N126" s="316">
        <v>-1</v>
      </c>
      <c r="O126" s="316">
        <v>0</v>
      </c>
      <c r="P126" s="316">
        <v>-6035</v>
      </c>
      <c r="Q126" s="316">
        <v>0</v>
      </c>
      <c r="R126" s="316">
        <v>0</v>
      </c>
      <c r="S126" s="316">
        <v>0</v>
      </c>
      <c r="T126" s="316">
        <v>0</v>
      </c>
      <c r="U126" s="316">
        <v>0</v>
      </c>
      <c r="V126" s="118">
        <f t="shared" si="11"/>
        <v>-6036</v>
      </c>
    </row>
    <row r="127" spans="1:22" x14ac:dyDescent="0.2">
      <c r="A127" s="532" t="s">
        <v>1484</v>
      </c>
      <c r="B127" s="532" t="s">
        <v>1483</v>
      </c>
      <c r="D127" s="126" t="str">
        <f>IF([1]RENAME!$H$3=1,B127,A127)</f>
        <v>Em 31 de dezembro de 2017</v>
      </c>
      <c r="E127" s="120">
        <f>SUM(E118:E126)</f>
        <v>108886</v>
      </c>
      <c r="F127" s="120">
        <f>SUM(F118:F126)</f>
        <v>22236</v>
      </c>
      <c r="G127" s="120">
        <f>SUM(G118:G126)</f>
        <v>64203</v>
      </c>
      <c r="H127" s="120">
        <v>0</v>
      </c>
      <c r="I127" s="120">
        <v>0</v>
      </c>
      <c r="J127" s="120"/>
      <c r="K127" s="120"/>
      <c r="L127" s="120"/>
      <c r="M127" s="120">
        <f>SUM(M118:M126)</f>
        <v>0</v>
      </c>
      <c r="N127" s="120">
        <f t="shared" ref="N127:S127" si="12">SUM(N118:N126)</f>
        <v>1978</v>
      </c>
      <c r="O127" s="120">
        <f t="shared" si="12"/>
        <v>22864</v>
      </c>
      <c r="P127" s="120">
        <f t="shared" si="12"/>
        <v>8319</v>
      </c>
      <c r="Q127" s="120">
        <f t="shared" si="12"/>
        <v>0</v>
      </c>
      <c r="R127" s="120">
        <f t="shared" si="12"/>
        <v>0</v>
      </c>
      <c r="S127" s="120">
        <f t="shared" si="12"/>
        <v>43465</v>
      </c>
      <c r="T127" s="120">
        <f>SUM(T118:T126)</f>
        <v>0</v>
      </c>
      <c r="U127" s="120">
        <f>SUM(U118:U126)</f>
        <v>0</v>
      </c>
      <c r="V127" s="120">
        <f>SUM(V118:V126)</f>
        <v>271951</v>
      </c>
    </row>
    <row r="129" spans="1:22" ht="12.75" hidden="1" customHeight="1" outlineLevel="1" x14ac:dyDescent="0.2">
      <c r="A129" s="532" t="s">
        <v>225</v>
      </c>
      <c r="B129" s="532" t="s">
        <v>760</v>
      </c>
      <c r="D129" s="129" t="str">
        <f>IF([1]RENAME!$H$3=1,B129,A129)</f>
        <v>Equivalência patrimonial</v>
      </c>
      <c r="E129" s="118">
        <v>2392</v>
      </c>
      <c r="F129" s="118">
        <v>50</v>
      </c>
      <c r="G129" s="118">
        <v>502</v>
      </c>
      <c r="H129" s="118">
        <v>0</v>
      </c>
      <c r="I129" s="118">
        <v>-532</v>
      </c>
      <c r="J129" s="118"/>
      <c r="K129" s="118"/>
      <c r="L129" s="118"/>
      <c r="M129" s="118">
        <v>0</v>
      </c>
      <c r="N129" s="118">
        <v>107</v>
      </c>
      <c r="O129" s="118">
        <v>62</v>
      </c>
      <c r="P129" s="118">
        <v>101</v>
      </c>
      <c r="Q129" s="118">
        <v>0</v>
      </c>
      <c r="R129" s="118">
        <v>0</v>
      </c>
      <c r="S129" s="118">
        <v>-338</v>
      </c>
      <c r="T129" s="118">
        <v>0</v>
      </c>
      <c r="U129" s="118">
        <v>0</v>
      </c>
      <c r="V129" s="118">
        <f>SUM(E129:U129)</f>
        <v>2344</v>
      </c>
    </row>
    <row r="130" spans="1:22" ht="12.75" hidden="1" customHeight="1" outlineLevel="1" x14ac:dyDescent="0.2">
      <c r="A130" s="532" t="s">
        <v>1171</v>
      </c>
      <c r="B130" s="532" t="s">
        <v>1172</v>
      </c>
      <c r="D130" s="129" t="str">
        <f>IF([1]RENAME!$H$3=1,B130,A130)</f>
        <v>Redução de capital</v>
      </c>
      <c r="E130" s="118">
        <v>-64000</v>
      </c>
      <c r="F130" s="118">
        <v>0</v>
      </c>
      <c r="G130" s="118">
        <v>0</v>
      </c>
      <c r="H130" s="118">
        <v>0</v>
      </c>
      <c r="I130" s="118">
        <v>0</v>
      </c>
      <c r="J130" s="118"/>
      <c r="K130" s="118"/>
      <c r="L130" s="118"/>
      <c r="M130" s="118">
        <v>0</v>
      </c>
      <c r="N130" s="118">
        <v>0</v>
      </c>
      <c r="O130" s="118">
        <v>-6000</v>
      </c>
      <c r="P130" s="118">
        <v>-5500</v>
      </c>
      <c r="Q130" s="118">
        <v>0</v>
      </c>
      <c r="R130" s="118">
        <v>0</v>
      </c>
      <c r="S130" s="118">
        <v>0</v>
      </c>
      <c r="T130" s="118">
        <v>0</v>
      </c>
      <c r="U130" s="118">
        <v>0</v>
      </c>
      <c r="V130" s="118">
        <f>SUM(E130:U130)</f>
        <v>-75500</v>
      </c>
    </row>
    <row r="131" spans="1:22" ht="12.75" hidden="1" customHeight="1" outlineLevel="1" x14ac:dyDescent="0.2">
      <c r="A131" s="532" t="s">
        <v>1326</v>
      </c>
      <c r="B131" s="532" t="s">
        <v>1323</v>
      </c>
      <c r="D131" s="129" t="str">
        <f>IF([1]RENAME!$H$3=1,B131,A131)</f>
        <v>Aumento de Capital</v>
      </c>
      <c r="E131" s="118">
        <v>0</v>
      </c>
      <c r="F131" s="118">
        <v>0</v>
      </c>
      <c r="G131" s="118">
        <v>0</v>
      </c>
      <c r="H131" s="118">
        <v>0</v>
      </c>
      <c r="I131" s="118">
        <v>0</v>
      </c>
      <c r="J131" s="118"/>
      <c r="K131" s="118"/>
      <c r="L131" s="118"/>
      <c r="M131" s="118">
        <v>0</v>
      </c>
      <c r="N131" s="118">
        <v>0</v>
      </c>
      <c r="O131" s="118">
        <v>0</v>
      </c>
      <c r="P131" s="118">
        <v>0</v>
      </c>
      <c r="Q131" s="118">
        <v>0</v>
      </c>
      <c r="R131" s="118">
        <v>0</v>
      </c>
      <c r="S131" s="118">
        <v>5800</v>
      </c>
      <c r="T131" s="118">
        <v>0</v>
      </c>
      <c r="U131" s="118">
        <v>0</v>
      </c>
      <c r="V131" s="118">
        <f>SUM(E131:U131)</f>
        <v>5800</v>
      </c>
    </row>
    <row r="132" spans="1:22" ht="12.75" hidden="1" customHeight="1" outlineLevel="1" x14ac:dyDescent="0.2">
      <c r="A132" s="532" t="s">
        <v>1311</v>
      </c>
      <c r="B132" s="532" t="s">
        <v>1480</v>
      </c>
      <c r="C132" s="153"/>
      <c r="D132" s="129" t="str">
        <f>IF([1]RENAME!$H$3=1,B132,A132)</f>
        <v>Reestruturação societária</v>
      </c>
      <c r="E132" s="118">
        <v>0</v>
      </c>
      <c r="F132" s="118">
        <v>0</v>
      </c>
      <c r="G132" s="118">
        <v>0</v>
      </c>
      <c r="H132" s="118">
        <v>0</v>
      </c>
      <c r="I132" s="118">
        <v>17637</v>
      </c>
      <c r="J132" s="118"/>
      <c r="K132" s="118"/>
      <c r="L132" s="118"/>
      <c r="M132" s="118">
        <v>0</v>
      </c>
      <c r="N132" s="118">
        <v>0</v>
      </c>
      <c r="O132" s="118">
        <v>0</v>
      </c>
      <c r="P132" s="118">
        <v>0</v>
      </c>
      <c r="Q132" s="118">
        <v>0</v>
      </c>
      <c r="R132" s="118">
        <v>0</v>
      </c>
      <c r="S132" s="118">
        <v>-48927</v>
      </c>
      <c r="T132" s="118">
        <v>0</v>
      </c>
      <c r="U132" s="118">
        <v>0</v>
      </c>
      <c r="V132" s="118">
        <f>SUM(E132:U132)</f>
        <v>-31290</v>
      </c>
    </row>
    <row r="133" spans="1:22" collapsed="1" x14ac:dyDescent="0.2">
      <c r="A133" s="532" t="s">
        <v>1486</v>
      </c>
      <c r="B133" s="532" t="s">
        <v>1485</v>
      </c>
      <c r="D133" s="126" t="str">
        <f>IF([1]RENAME!$H$3=1,B133,A133)</f>
        <v>Em 31 de março de 2018</v>
      </c>
      <c r="E133" s="120">
        <f>SUM(E127:E132)</f>
        <v>47278</v>
      </c>
      <c r="F133" s="120">
        <f>SUM(F127:F132)</f>
        <v>22286</v>
      </c>
      <c r="G133" s="120">
        <f>SUM(G127:G132)</f>
        <v>64705</v>
      </c>
      <c r="H133" s="120">
        <v>0</v>
      </c>
      <c r="I133" s="120">
        <f>SUM(I127:I132)</f>
        <v>17105</v>
      </c>
      <c r="J133" s="120"/>
      <c r="K133" s="120"/>
      <c r="L133" s="120"/>
      <c r="M133" s="120">
        <f>SUM(M127:M132)</f>
        <v>0</v>
      </c>
      <c r="N133" s="120">
        <f t="shared" ref="N133:S133" si="13">SUM(N127:N132)</f>
        <v>2085</v>
      </c>
      <c r="O133" s="120">
        <f t="shared" si="13"/>
        <v>16926</v>
      </c>
      <c r="P133" s="120">
        <f t="shared" si="13"/>
        <v>2920</v>
      </c>
      <c r="Q133" s="120">
        <f t="shared" si="13"/>
        <v>0</v>
      </c>
      <c r="R133" s="120">
        <f t="shared" si="13"/>
        <v>0</v>
      </c>
      <c r="S133" s="120">
        <f t="shared" si="13"/>
        <v>0</v>
      </c>
      <c r="T133" s="120">
        <f>SUM(T127:T132)</f>
        <v>0</v>
      </c>
      <c r="U133" s="120">
        <f>SUM(U127:U132)</f>
        <v>0</v>
      </c>
      <c r="V133" s="120">
        <f>SUM(V127:V132)</f>
        <v>173305</v>
      </c>
    </row>
    <row r="135" spans="1:22" ht="12.75" hidden="1" customHeight="1" outlineLevel="1" x14ac:dyDescent="0.2">
      <c r="A135" s="532" t="s">
        <v>225</v>
      </c>
      <c r="B135" s="532" t="s">
        <v>760</v>
      </c>
      <c r="D135" s="129" t="str">
        <f>IF([1]RENAME!$H$3=1,B135,A135)</f>
        <v>Equivalência patrimonial</v>
      </c>
      <c r="E135" s="118">
        <v>2306</v>
      </c>
      <c r="F135" s="118">
        <v>42</v>
      </c>
      <c r="G135" s="118">
        <v>484</v>
      </c>
      <c r="H135" s="118">
        <v>0</v>
      </c>
      <c r="I135" s="118">
        <v>-238</v>
      </c>
      <c r="J135" s="118"/>
      <c r="K135" s="118"/>
      <c r="L135" s="316"/>
      <c r="M135" s="316">
        <v>0</v>
      </c>
      <c r="N135" s="316">
        <v>12</v>
      </c>
      <c r="O135" s="316">
        <v>139</v>
      </c>
      <c r="P135" s="316">
        <v>12</v>
      </c>
      <c r="Q135" s="316">
        <v>0</v>
      </c>
      <c r="R135" s="316">
        <v>0</v>
      </c>
      <c r="S135" s="316">
        <v>0</v>
      </c>
      <c r="T135" s="316">
        <v>0</v>
      </c>
      <c r="U135" s="316">
        <v>0</v>
      </c>
      <c r="V135" s="118">
        <f>SUM(E135:U135)</f>
        <v>2757</v>
      </c>
    </row>
    <row r="136" spans="1:22" ht="12.75" hidden="1" customHeight="1" outlineLevel="1" x14ac:dyDescent="0.2">
      <c r="A136" s="532" t="s">
        <v>1324</v>
      </c>
      <c r="B136" s="532" t="s">
        <v>1323</v>
      </c>
      <c r="D136" s="129" t="str">
        <f>IF([1]RENAME!$H$3=1,B136,A136)</f>
        <v>Aumento de capital</v>
      </c>
      <c r="E136" s="118">
        <v>0</v>
      </c>
      <c r="F136" s="118">
        <v>4550</v>
      </c>
      <c r="G136" s="118">
        <v>0</v>
      </c>
      <c r="H136" s="118">
        <v>1</v>
      </c>
      <c r="I136" s="118">
        <v>0</v>
      </c>
      <c r="J136" s="118"/>
      <c r="K136" s="118"/>
      <c r="L136" s="316"/>
      <c r="M136" s="316">
        <v>0</v>
      </c>
      <c r="N136" s="316">
        <v>0</v>
      </c>
      <c r="O136" s="316">
        <v>0</v>
      </c>
      <c r="P136" s="316">
        <v>0</v>
      </c>
      <c r="Q136" s="316">
        <v>0</v>
      </c>
      <c r="R136" s="316">
        <v>0</v>
      </c>
      <c r="S136" s="316">
        <v>0</v>
      </c>
      <c r="T136" s="316">
        <v>0</v>
      </c>
      <c r="U136" s="316">
        <v>0</v>
      </c>
      <c r="V136" s="118">
        <f>SUM(E136:U136)</f>
        <v>4551</v>
      </c>
    </row>
    <row r="137" spans="1:22" ht="12.75" hidden="1" customHeight="1" outlineLevel="1" x14ac:dyDescent="0.2">
      <c r="A137" s="532" t="s">
        <v>371</v>
      </c>
      <c r="B137" s="532" t="s">
        <v>1325</v>
      </c>
      <c r="D137" s="129" t="str">
        <f>IF([1]RENAME!$H$3=1,B137,A137)</f>
        <v>Aquisição de controlada</v>
      </c>
      <c r="E137" s="118">
        <v>0</v>
      </c>
      <c r="F137" s="118">
        <v>0</v>
      </c>
      <c r="G137" s="118">
        <v>0</v>
      </c>
      <c r="H137" s="118">
        <v>1</v>
      </c>
      <c r="I137" s="118">
        <v>0</v>
      </c>
      <c r="J137" s="118"/>
      <c r="K137" s="118"/>
      <c r="L137" s="316"/>
      <c r="M137" s="316">
        <v>0</v>
      </c>
      <c r="N137" s="316">
        <v>0</v>
      </c>
      <c r="O137" s="316">
        <v>0</v>
      </c>
      <c r="P137" s="316">
        <v>0</v>
      </c>
      <c r="Q137" s="316">
        <v>0</v>
      </c>
      <c r="R137" s="316">
        <v>0</v>
      </c>
      <c r="S137" s="316">
        <v>0</v>
      </c>
      <c r="T137" s="316">
        <v>0</v>
      </c>
      <c r="U137" s="316">
        <v>0</v>
      </c>
      <c r="V137" s="118">
        <f>SUM(E137:U137)</f>
        <v>1</v>
      </c>
    </row>
    <row r="138" spans="1:22" ht="14.25" hidden="1" customHeight="1" outlineLevel="1" x14ac:dyDescent="0.2">
      <c r="A138" s="532" t="s">
        <v>430</v>
      </c>
      <c r="B138" s="532" t="s">
        <v>648</v>
      </c>
      <c r="D138" s="129" t="str">
        <f>IF([1]RENAME!$H$3=1,B138,A138)</f>
        <v>Dividendos</v>
      </c>
      <c r="E138" s="118">
        <v>0</v>
      </c>
      <c r="F138" s="118">
        <v>0</v>
      </c>
      <c r="G138" s="118">
        <v>-1079</v>
      </c>
      <c r="H138" s="118">
        <v>0</v>
      </c>
      <c r="I138" s="118">
        <v>0</v>
      </c>
      <c r="J138" s="118"/>
      <c r="K138" s="118"/>
      <c r="L138" s="316"/>
      <c r="M138" s="316">
        <v>0</v>
      </c>
      <c r="N138" s="316">
        <v>-244</v>
      </c>
      <c r="O138" s="316">
        <v>0</v>
      </c>
      <c r="P138" s="316">
        <v>-313</v>
      </c>
      <c r="Q138" s="316">
        <v>0</v>
      </c>
      <c r="R138" s="316">
        <v>0</v>
      </c>
      <c r="S138" s="316">
        <v>0</v>
      </c>
      <c r="T138" s="316">
        <v>0</v>
      </c>
      <c r="U138" s="316">
        <v>0</v>
      </c>
      <c r="V138" s="118">
        <f>SUM(E138:U138)</f>
        <v>-1636</v>
      </c>
    </row>
    <row r="139" spans="1:22" collapsed="1" x14ac:dyDescent="0.2">
      <c r="A139" s="532" t="s">
        <v>1306</v>
      </c>
      <c r="B139" s="532" t="s">
        <v>1481</v>
      </c>
      <c r="D139" s="126" t="str">
        <f>IF([1]RENAME!$H$3=1,B139,A139)</f>
        <v>Em 30 de junho de 2018</v>
      </c>
      <c r="E139" s="120">
        <f t="shared" ref="E139:U139" si="14">SUM(E133:E138)</f>
        <v>49584</v>
      </c>
      <c r="F139" s="120">
        <f t="shared" si="14"/>
        <v>26878</v>
      </c>
      <c r="G139" s="120">
        <f t="shared" si="14"/>
        <v>64110</v>
      </c>
      <c r="H139" s="120">
        <f t="shared" si="14"/>
        <v>2</v>
      </c>
      <c r="I139" s="120">
        <f t="shared" si="14"/>
        <v>16867</v>
      </c>
      <c r="J139" s="120"/>
      <c r="K139" s="120"/>
      <c r="L139" s="120"/>
      <c r="M139" s="120">
        <f t="shared" si="14"/>
        <v>0</v>
      </c>
      <c r="N139" s="120">
        <f t="shared" ref="N139:S139" si="15">SUM(N133:N138)</f>
        <v>1853</v>
      </c>
      <c r="O139" s="120">
        <f t="shared" si="15"/>
        <v>17065</v>
      </c>
      <c r="P139" s="120">
        <f t="shared" si="15"/>
        <v>2619</v>
      </c>
      <c r="Q139" s="120">
        <f t="shared" si="15"/>
        <v>0</v>
      </c>
      <c r="R139" s="120">
        <f t="shared" si="15"/>
        <v>0</v>
      </c>
      <c r="S139" s="120">
        <f t="shared" si="15"/>
        <v>0</v>
      </c>
      <c r="T139" s="120">
        <f t="shared" si="14"/>
        <v>0</v>
      </c>
      <c r="U139" s="120">
        <f t="shared" si="14"/>
        <v>0</v>
      </c>
      <c r="V139" s="120">
        <f>SUM(V133:V138)</f>
        <v>178978</v>
      </c>
    </row>
    <row r="141" spans="1:22" ht="12.75" hidden="1" customHeight="1" outlineLevel="1" x14ac:dyDescent="0.2">
      <c r="A141" s="532" t="s">
        <v>225</v>
      </c>
      <c r="B141" s="532" t="s">
        <v>760</v>
      </c>
      <c r="D141" s="129" t="str">
        <f>IF([1]RENAME!$H$3=1,B141,A141)</f>
        <v>Equivalência patrimonial</v>
      </c>
      <c r="E141" s="118">
        <v>-1723</v>
      </c>
      <c r="F141" s="118">
        <v>-181</v>
      </c>
      <c r="G141" s="118">
        <v>486</v>
      </c>
      <c r="H141" s="118">
        <v>32</v>
      </c>
      <c r="I141" s="118">
        <v>265</v>
      </c>
      <c r="J141" s="118"/>
      <c r="K141" s="118"/>
      <c r="L141" s="316"/>
      <c r="M141" s="316">
        <v>0</v>
      </c>
      <c r="N141" s="316">
        <v>77</v>
      </c>
      <c r="O141" s="316">
        <v>24</v>
      </c>
      <c r="P141" s="316">
        <v>1</v>
      </c>
      <c r="Q141" s="316">
        <v>0</v>
      </c>
      <c r="R141" s="316">
        <v>0</v>
      </c>
      <c r="S141" s="316">
        <v>0</v>
      </c>
      <c r="T141" s="316">
        <v>0</v>
      </c>
      <c r="U141" s="316">
        <v>0</v>
      </c>
      <c r="V141" s="118">
        <f t="shared" ref="V141:V146" si="16">SUM(E141:U141)</f>
        <v>-1019</v>
      </c>
    </row>
    <row r="142" spans="1:22" ht="12.75" hidden="1" customHeight="1" outlineLevel="1" x14ac:dyDescent="0.2">
      <c r="A142" s="532" t="s">
        <v>1171</v>
      </c>
      <c r="B142" s="532" t="s">
        <v>1172</v>
      </c>
      <c r="D142" s="129" t="str">
        <f>IF([1]RENAME!$H$3=1,B142,A142)</f>
        <v>Redução de capital</v>
      </c>
      <c r="E142" s="118">
        <v>0</v>
      </c>
      <c r="F142" s="118">
        <v>0</v>
      </c>
      <c r="G142" s="118">
        <v>0</v>
      </c>
      <c r="H142" s="118">
        <v>0</v>
      </c>
      <c r="I142" s="118">
        <v>0</v>
      </c>
      <c r="J142" s="118"/>
      <c r="K142" s="118"/>
      <c r="L142" s="316"/>
      <c r="M142" s="316"/>
      <c r="N142" s="316">
        <v>-491</v>
      </c>
      <c r="O142" s="316">
        <v>0</v>
      </c>
      <c r="P142" s="316">
        <v>0</v>
      </c>
      <c r="Q142" s="316">
        <v>0</v>
      </c>
      <c r="R142" s="316">
        <v>0</v>
      </c>
      <c r="S142" s="316">
        <v>0</v>
      </c>
      <c r="T142" s="316"/>
      <c r="U142" s="316"/>
      <c r="V142" s="118">
        <f t="shared" si="16"/>
        <v>-491</v>
      </c>
    </row>
    <row r="143" spans="1:22" ht="12.75" hidden="1" customHeight="1" outlineLevel="1" x14ac:dyDescent="0.2">
      <c r="A143" s="532" t="s">
        <v>1324</v>
      </c>
      <c r="B143" s="532" t="s">
        <v>1323</v>
      </c>
      <c r="D143" s="129" t="str">
        <f>IF([1]RENAME!$H$3=1,B143,A143)</f>
        <v>Aumento de capital</v>
      </c>
      <c r="E143" s="118">
        <v>0</v>
      </c>
      <c r="F143" s="118">
        <v>701</v>
      </c>
      <c r="G143" s="118">
        <v>7400</v>
      </c>
      <c r="H143" s="260">
        <v>1399</v>
      </c>
      <c r="I143" s="118">
        <v>0</v>
      </c>
      <c r="J143" s="118"/>
      <c r="K143" s="118"/>
      <c r="L143" s="316"/>
      <c r="M143" s="316">
        <v>0</v>
      </c>
      <c r="N143" s="316">
        <v>0</v>
      </c>
      <c r="O143" s="316">
        <v>0</v>
      </c>
      <c r="P143" s="316">
        <v>0</v>
      </c>
      <c r="Q143" s="316">
        <v>0</v>
      </c>
      <c r="R143" s="316">
        <v>0</v>
      </c>
      <c r="S143" s="316">
        <v>0</v>
      </c>
      <c r="T143" s="316">
        <v>0</v>
      </c>
      <c r="U143" s="316">
        <v>0</v>
      </c>
      <c r="V143" s="118">
        <f t="shared" si="16"/>
        <v>9500</v>
      </c>
    </row>
    <row r="144" spans="1:22" ht="12.75" hidden="1" customHeight="1" outlineLevel="1" x14ac:dyDescent="0.2">
      <c r="A144" s="532" t="s">
        <v>371</v>
      </c>
      <c r="B144" s="532" t="s">
        <v>1325</v>
      </c>
      <c r="D144" s="129" t="str">
        <f>IF([1]RENAME!$H$3=1,B144,A144)</f>
        <v>Aquisição de controlada</v>
      </c>
      <c r="E144" s="118">
        <v>0</v>
      </c>
      <c r="F144" s="118">
        <v>0</v>
      </c>
      <c r="G144" s="118">
        <v>0</v>
      </c>
      <c r="H144" s="118">
        <v>0</v>
      </c>
      <c r="I144" s="118">
        <v>0</v>
      </c>
      <c r="J144" s="118"/>
      <c r="K144" s="118"/>
      <c r="L144" s="316"/>
      <c r="M144" s="316">
        <v>0</v>
      </c>
      <c r="N144" s="316">
        <v>0</v>
      </c>
      <c r="O144" s="316">
        <v>0</v>
      </c>
      <c r="P144" s="316">
        <v>0</v>
      </c>
      <c r="Q144" s="316">
        <v>0</v>
      </c>
      <c r="R144" s="316">
        <v>0</v>
      </c>
      <c r="S144" s="316">
        <v>0</v>
      </c>
      <c r="T144" s="316">
        <v>0</v>
      </c>
      <c r="U144" s="316">
        <v>0</v>
      </c>
      <c r="V144" s="118">
        <f t="shared" si="16"/>
        <v>0</v>
      </c>
    </row>
    <row r="145" spans="1:22" ht="12.75" hidden="1" customHeight="1" outlineLevel="1" x14ac:dyDescent="0.2">
      <c r="A145" s="532" t="s">
        <v>1311</v>
      </c>
      <c r="B145" s="532" t="s">
        <v>1480</v>
      </c>
      <c r="D145" s="129" t="str">
        <f>IF([1]RENAME!$H$3=1,B145,A145)</f>
        <v>Reestruturação societária</v>
      </c>
      <c r="E145" s="118">
        <v>0</v>
      </c>
      <c r="F145" s="118">
        <v>0</v>
      </c>
      <c r="G145" s="118">
        <v>0</v>
      </c>
      <c r="H145" s="118">
        <v>0</v>
      </c>
      <c r="I145" s="118">
        <v>0</v>
      </c>
      <c r="J145" s="118"/>
      <c r="K145" s="118"/>
      <c r="L145" s="316"/>
      <c r="M145" s="316"/>
      <c r="N145" s="316">
        <v>0</v>
      </c>
      <c r="O145" s="316">
        <v>0</v>
      </c>
      <c r="P145" s="316">
        <v>0</v>
      </c>
      <c r="Q145" s="316">
        <v>0</v>
      </c>
      <c r="R145" s="316">
        <v>0</v>
      </c>
      <c r="S145" s="316">
        <v>0</v>
      </c>
      <c r="T145" s="316"/>
      <c r="U145" s="316"/>
      <c r="V145" s="118">
        <f t="shared" si="16"/>
        <v>0</v>
      </c>
    </row>
    <row r="146" spans="1:22" ht="14.25" hidden="1" customHeight="1" outlineLevel="1" x14ac:dyDescent="0.2">
      <c r="A146" s="532" t="s">
        <v>430</v>
      </c>
      <c r="B146" s="532" t="s">
        <v>648</v>
      </c>
      <c r="D146" s="129" t="str">
        <f>IF([1]RENAME!$H$3=1,B146,A146)</f>
        <v>Dividendos</v>
      </c>
      <c r="E146" s="118">
        <v>-16572</v>
      </c>
      <c r="F146" s="118">
        <v>0</v>
      </c>
      <c r="G146" s="118">
        <v>0</v>
      </c>
      <c r="H146" s="118">
        <v>0</v>
      </c>
      <c r="I146" s="118">
        <v>0</v>
      </c>
      <c r="J146" s="118"/>
      <c r="K146" s="118"/>
      <c r="L146" s="316"/>
      <c r="M146" s="316">
        <v>0</v>
      </c>
      <c r="N146" s="316">
        <v>0</v>
      </c>
      <c r="O146" s="316">
        <v>0</v>
      </c>
      <c r="P146" s="316">
        <v>0</v>
      </c>
      <c r="Q146" s="316">
        <v>0</v>
      </c>
      <c r="R146" s="316">
        <v>0</v>
      </c>
      <c r="S146" s="316">
        <v>0</v>
      </c>
      <c r="T146" s="316">
        <v>0</v>
      </c>
      <c r="U146" s="316">
        <v>0</v>
      </c>
      <c r="V146" s="118">
        <f t="shared" si="16"/>
        <v>-16572</v>
      </c>
    </row>
    <row r="147" spans="1:22" collapsed="1" x14ac:dyDescent="0.2">
      <c r="A147" s="532" t="s">
        <v>1339</v>
      </c>
      <c r="B147" s="532" t="s">
        <v>1348</v>
      </c>
      <c r="D147" s="126" t="str">
        <f>IF([1]RENAME!$H$3=1,B147,A147)</f>
        <v>Em 30 de setembro de 2018</v>
      </c>
      <c r="E147" s="120">
        <f t="shared" ref="E147:U147" si="17">SUM(E139:E146)</f>
        <v>31289</v>
      </c>
      <c r="F147" s="120">
        <f t="shared" si="17"/>
        <v>27398</v>
      </c>
      <c r="G147" s="120">
        <f t="shared" si="17"/>
        <v>71996</v>
      </c>
      <c r="H147" s="120">
        <f t="shared" si="17"/>
        <v>1433</v>
      </c>
      <c r="I147" s="120">
        <f t="shared" si="17"/>
        <v>17132</v>
      </c>
      <c r="J147" s="120"/>
      <c r="K147" s="120"/>
      <c r="L147" s="120"/>
      <c r="M147" s="120">
        <f t="shared" si="17"/>
        <v>0</v>
      </c>
      <c r="N147" s="120">
        <f t="shared" ref="N147:S147" si="18">SUM(N139:N146)</f>
        <v>1439</v>
      </c>
      <c r="O147" s="120">
        <f t="shared" si="18"/>
        <v>17089</v>
      </c>
      <c r="P147" s="120">
        <f t="shared" si="18"/>
        <v>2620</v>
      </c>
      <c r="Q147" s="120">
        <f t="shared" si="18"/>
        <v>0</v>
      </c>
      <c r="R147" s="120">
        <f t="shared" si="18"/>
        <v>0</v>
      </c>
      <c r="S147" s="120">
        <f t="shared" si="18"/>
        <v>0</v>
      </c>
      <c r="T147" s="120">
        <f t="shared" si="17"/>
        <v>0</v>
      </c>
      <c r="U147" s="120">
        <f t="shared" si="17"/>
        <v>0</v>
      </c>
      <c r="V147" s="120">
        <f>SUM(V139:V146)</f>
        <v>170396</v>
      </c>
    </row>
    <row r="149" spans="1:22" x14ac:dyDescent="0.2">
      <c r="A149" s="532" t="s">
        <v>225</v>
      </c>
      <c r="B149" s="532" t="s">
        <v>760</v>
      </c>
      <c r="D149" s="129" t="str">
        <f>IF([1]RENAME!$H$3=1,B149,A149)</f>
        <v>Equivalência patrimonial</v>
      </c>
      <c r="E149" s="118">
        <v>2244</v>
      </c>
      <c r="F149" s="118">
        <v>-1299</v>
      </c>
      <c r="G149" s="118">
        <v>507</v>
      </c>
      <c r="H149" s="118">
        <v>15</v>
      </c>
      <c r="I149" s="118">
        <v>706</v>
      </c>
      <c r="J149" s="118"/>
      <c r="K149" s="118"/>
      <c r="L149" s="316"/>
      <c r="M149" s="316" t="s">
        <v>160</v>
      </c>
      <c r="N149" s="316">
        <v>-26</v>
      </c>
      <c r="O149" s="316">
        <v>-1841</v>
      </c>
      <c r="P149" s="316">
        <v>20</v>
      </c>
      <c r="Q149" s="316">
        <v>0</v>
      </c>
      <c r="R149" s="316">
        <v>0</v>
      </c>
      <c r="S149" s="316">
        <v>0</v>
      </c>
      <c r="T149" s="316" t="s">
        <v>160</v>
      </c>
      <c r="U149" s="316" t="s">
        <v>160</v>
      </c>
      <c r="V149" s="118">
        <f t="shared" ref="V149:V155" si="19">SUM(E149:U149)</f>
        <v>326</v>
      </c>
    </row>
    <row r="150" spans="1:22" x14ac:dyDescent="0.2">
      <c r="A150" s="532" t="s">
        <v>1171</v>
      </c>
      <c r="B150" s="532" t="s">
        <v>1172</v>
      </c>
      <c r="D150" s="129" t="str">
        <f>IF([1]RENAME!$H$3=1,B150,A150)</f>
        <v>Redução de capital</v>
      </c>
      <c r="E150" s="118">
        <v>0</v>
      </c>
      <c r="F150" s="118">
        <v>0</v>
      </c>
      <c r="G150" s="118">
        <v>0</v>
      </c>
      <c r="H150" s="118">
        <v>0</v>
      </c>
      <c r="I150" s="118">
        <v>0</v>
      </c>
      <c r="J150" s="118"/>
      <c r="K150" s="118"/>
      <c r="L150" s="316"/>
      <c r="M150" s="316" t="s">
        <v>160</v>
      </c>
      <c r="N150" s="316">
        <v>0</v>
      </c>
      <c r="O150" s="316">
        <v>0</v>
      </c>
      <c r="P150" s="316">
        <v>0</v>
      </c>
      <c r="Q150" s="316">
        <v>0</v>
      </c>
      <c r="R150" s="316">
        <v>0</v>
      </c>
      <c r="S150" s="316">
        <v>0</v>
      </c>
      <c r="T150" s="316" t="s">
        <v>160</v>
      </c>
      <c r="U150" s="316" t="s">
        <v>160</v>
      </c>
      <c r="V150" s="118">
        <f t="shared" si="19"/>
        <v>0</v>
      </c>
    </row>
    <row r="151" spans="1:22" x14ac:dyDescent="0.2">
      <c r="A151" s="532" t="s">
        <v>1324</v>
      </c>
      <c r="B151" s="532" t="s">
        <v>1323</v>
      </c>
      <c r="D151" s="129" t="str">
        <f>IF([1]RENAME!$H$3=1,B151,A151)</f>
        <v>Aumento de capital</v>
      </c>
      <c r="E151" s="118">
        <v>0</v>
      </c>
      <c r="F151" s="118">
        <v>0</v>
      </c>
      <c r="G151" s="118">
        <v>3949</v>
      </c>
      <c r="H151" s="118">
        <v>0</v>
      </c>
      <c r="I151" s="118">
        <v>0</v>
      </c>
      <c r="J151" s="118"/>
      <c r="K151" s="118"/>
      <c r="L151" s="316"/>
      <c r="M151" s="316" t="s">
        <v>160</v>
      </c>
      <c r="N151" s="316">
        <v>0</v>
      </c>
      <c r="O151" s="316">
        <v>0</v>
      </c>
      <c r="P151" s="316">
        <v>0</v>
      </c>
      <c r="Q151" s="316">
        <v>0</v>
      </c>
      <c r="R151" s="316">
        <v>0</v>
      </c>
      <c r="S151" s="316">
        <v>0</v>
      </c>
      <c r="T151" s="316" t="s">
        <v>160</v>
      </c>
      <c r="U151" s="316" t="s">
        <v>160</v>
      </c>
      <c r="V151" s="118">
        <f t="shared" si="19"/>
        <v>3949</v>
      </c>
    </row>
    <row r="152" spans="1:22" x14ac:dyDescent="0.2">
      <c r="A152" s="532" t="s">
        <v>371</v>
      </c>
      <c r="B152" s="532" t="s">
        <v>1325</v>
      </c>
      <c r="D152" s="129" t="str">
        <f>IF([1]RENAME!$H$3=1,B152,A152)</f>
        <v>Aquisição de controlada</v>
      </c>
      <c r="E152" s="118">
        <v>0</v>
      </c>
      <c r="F152" s="118">
        <v>0</v>
      </c>
      <c r="G152" s="118">
        <v>0</v>
      </c>
      <c r="H152" s="118">
        <v>0</v>
      </c>
      <c r="I152" s="118">
        <v>0</v>
      </c>
      <c r="J152" s="118"/>
      <c r="K152" s="118"/>
      <c r="L152" s="316"/>
      <c r="M152" s="316" t="s">
        <v>160</v>
      </c>
      <c r="N152" s="316">
        <v>0</v>
      </c>
      <c r="O152" s="316">
        <v>0</v>
      </c>
      <c r="P152" s="316">
        <v>0</v>
      </c>
      <c r="Q152" s="316">
        <v>0</v>
      </c>
      <c r="R152" s="316">
        <v>0</v>
      </c>
      <c r="S152" s="316">
        <v>0</v>
      </c>
      <c r="T152" s="316" t="s">
        <v>160</v>
      </c>
      <c r="U152" s="316" t="s">
        <v>160</v>
      </c>
      <c r="V152" s="118">
        <f t="shared" si="19"/>
        <v>0</v>
      </c>
    </row>
    <row r="153" spans="1:22" x14ac:dyDescent="0.2">
      <c r="A153" s="532" t="s">
        <v>1311</v>
      </c>
      <c r="B153" s="532" t="s">
        <v>1480</v>
      </c>
      <c r="D153" s="129" t="str">
        <f>IF([1]RENAME!$H$3=1,B153,A153)</f>
        <v>Reestruturação societária</v>
      </c>
      <c r="E153" s="118">
        <v>0</v>
      </c>
      <c r="F153" s="118">
        <v>0</v>
      </c>
      <c r="G153" s="118">
        <v>0</v>
      </c>
      <c r="H153" s="118">
        <v>0</v>
      </c>
      <c r="I153" s="118">
        <v>0</v>
      </c>
      <c r="J153" s="118"/>
      <c r="K153" s="118"/>
      <c r="L153" s="316"/>
      <c r="M153" s="316" t="s">
        <v>160</v>
      </c>
      <c r="N153" s="316">
        <v>0</v>
      </c>
      <c r="O153" s="316">
        <v>0</v>
      </c>
      <c r="P153" s="316">
        <v>0</v>
      </c>
      <c r="Q153" s="316">
        <v>0</v>
      </c>
      <c r="R153" s="316">
        <v>0</v>
      </c>
      <c r="S153" s="316">
        <v>0</v>
      </c>
      <c r="T153" s="316" t="s">
        <v>160</v>
      </c>
      <c r="U153" s="316" t="s">
        <v>160</v>
      </c>
      <c r="V153" s="118">
        <f t="shared" si="19"/>
        <v>0</v>
      </c>
    </row>
    <row r="154" spans="1:22" ht="14.25" customHeight="1" x14ac:dyDescent="0.2">
      <c r="A154" s="532" t="s">
        <v>430</v>
      </c>
      <c r="B154" s="532" t="s">
        <v>648</v>
      </c>
      <c r="D154" s="129" t="str">
        <f>IF([1]RENAME!$H$3=1,B154,A154)</f>
        <v>Dividendos</v>
      </c>
      <c r="E154" s="118">
        <v>0</v>
      </c>
      <c r="F154" s="118">
        <v>0</v>
      </c>
      <c r="G154" s="118">
        <v>0</v>
      </c>
      <c r="H154" s="118">
        <v>0</v>
      </c>
      <c r="I154" s="118">
        <v>0</v>
      </c>
      <c r="J154" s="118"/>
      <c r="K154" s="118"/>
      <c r="L154" s="316"/>
      <c r="M154" s="316" t="s">
        <v>160</v>
      </c>
      <c r="N154" s="316">
        <v>0</v>
      </c>
      <c r="O154" s="316">
        <v>0</v>
      </c>
      <c r="P154" s="316">
        <v>0</v>
      </c>
      <c r="Q154" s="316">
        <v>0</v>
      </c>
      <c r="R154" s="316">
        <v>0</v>
      </c>
      <c r="S154" s="316">
        <v>0</v>
      </c>
      <c r="T154" s="316" t="s">
        <v>160</v>
      </c>
      <c r="U154" s="316" t="s">
        <v>160</v>
      </c>
      <c r="V154" s="118">
        <f t="shared" si="19"/>
        <v>0</v>
      </c>
    </row>
    <row r="155" spans="1:22" ht="14.25" customHeight="1" x14ac:dyDescent="0.2">
      <c r="A155" s="532" t="s">
        <v>1412</v>
      </c>
      <c r="B155" s="532" t="s">
        <v>1413</v>
      </c>
      <c r="D155" s="129" t="str">
        <f>IF([1]RENAME!$H$3=1,B155,A155)</f>
        <v>Constituição/baixa ágio (GDL-TLI)</v>
      </c>
      <c r="E155" s="118">
        <v>6364</v>
      </c>
      <c r="F155" s="118">
        <v>0</v>
      </c>
      <c r="G155" s="118">
        <v>0</v>
      </c>
      <c r="H155" s="118">
        <v>0</v>
      </c>
      <c r="I155" s="118">
        <v>16693</v>
      </c>
      <c r="J155" s="118"/>
      <c r="K155" s="118"/>
      <c r="L155" s="316"/>
      <c r="M155" s="316" t="s">
        <v>160</v>
      </c>
      <c r="N155" s="316">
        <v>0</v>
      </c>
      <c r="O155" s="316">
        <v>0</v>
      </c>
      <c r="P155" s="316">
        <v>0</v>
      </c>
      <c r="Q155" s="316">
        <v>0</v>
      </c>
      <c r="R155" s="316">
        <v>0</v>
      </c>
      <c r="S155" s="316" t="s">
        <v>160</v>
      </c>
      <c r="T155" s="316" t="s">
        <v>160</v>
      </c>
      <c r="U155" s="316" t="s">
        <v>160</v>
      </c>
      <c r="V155" s="118">
        <f t="shared" si="19"/>
        <v>23057</v>
      </c>
    </row>
    <row r="156" spans="1:22" x14ac:dyDescent="0.2">
      <c r="A156" s="532" t="s">
        <v>1488</v>
      </c>
      <c r="B156" s="532" t="s">
        <v>1487</v>
      </c>
      <c r="D156" s="126" t="str">
        <f>IF([1]RENAME!$H$3=1,B156,A156)</f>
        <v>Em 31 de dezembro de 2018</v>
      </c>
      <c r="E156" s="120">
        <f>SUM(E147:E155)</f>
        <v>39897</v>
      </c>
      <c r="F156" s="120">
        <f>SUM(F147:F155)</f>
        <v>26099</v>
      </c>
      <c r="G156" s="120">
        <f>SUM(G147:G155)</f>
        <v>76452</v>
      </c>
      <c r="H156" s="120">
        <f>SUM(H147:H155)</f>
        <v>1448</v>
      </c>
      <c r="I156" s="120">
        <f>SUM(I147:I155)</f>
        <v>34531</v>
      </c>
      <c r="J156" s="120"/>
      <c r="K156" s="120"/>
      <c r="L156" s="120"/>
      <c r="M156" s="120">
        <f>SUM(M147:M155)</f>
        <v>0</v>
      </c>
      <c r="N156" s="120">
        <f t="shared" ref="N156:S156" si="20">SUM(N147:N155)</f>
        <v>1413</v>
      </c>
      <c r="O156" s="120">
        <f t="shared" si="20"/>
        <v>15248</v>
      </c>
      <c r="P156" s="120">
        <f t="shared" si="20"/>
        <v>2640</v>
      </c>
      <c r="Q156" s="120">
        <f t="shared" si="20"/>
        <v>0</v>
      </c>
      <c r="R156" s="120">
        <f t="shared" si="20"/>
        <v>0</v>
      </c>
      <c r="S156" s="120">
        <f t="shared" si="20"/>
        <v>0</v>
      </c>
      <c r="T156" s="120">
        <f>SUM(T147:T155)</f>
        <v>0</v>
      </c>
      <c r="U156" s="120">
        <f>SUM(U147:U155)</f>
        <v>0</v>
      </c>
      <c r="V156" s="120">
        <f>SUM(V147:V155)</f>
        <v>197728</v>
      </c>
    </row>
    <row r="158" spans="1:22" x14ac:dyDescent="0.2">
      <c r="A158" s="532" t="s">
        <v>225</v>
      </c>
      <c r="B158" s="532" t="s">
        <v>760</v>
      </c>
      <c r="D158" s="129" t="str">
        <f>IF([1]RENAME!$H$3=1,B158,A158)</f>
        <v>Equivalência patrimonial</v>
      </c>
      <c r="E158" s="118">
        <v>2832</v>
      </c>
      <c r="F158" s="118">
        <v>-569</v>
      </c>
      <c r="G158" s="118">
        <v>454</v>
      </c>
      <c r="H158" s="118">
        <v>-22</v>
      </c>
      <c r="I158" s="118">
        <v>-430</v>
      </c>
      <c r="J158" s="118"/>
      <c r="K158" s="118"/>
      <c r="L158" s="316"/>
      <c r="M158" s="316" t="s">
        <v>160</v>
      </c>
      <c r="N158" s="316">
        <v>-99</v>
      </c>
      <c r="O158" s="316">
        <v>-222</v>
      </c>
      <c r="P158" s="316">
        <v>29</v>
      </c>
      <c r="Q158" s="316">
        <v>0</v>
      </c>
      <c r="R158" s="316">
        <v>0</v>
      </c>
      <c r="S158" s="316">
        <v>0</v>
      </c>
      <c r="T158" s="316" t="s">
        <v>160</v>
      </c>
      <c r="U158" s="316" t="s">
        <v>160</v>
      </c>
      <c r="V158" s="118">
        <f t="shared" ref="V158:V164" si="21">SUM(E158:U158)</f>
        <v>1973</v>
      </c>
    </row>
    <row r="159" spans="1:22" x14ac:dyDescent="0.2">
      <c r="A159" s="532" t="s">
        <v>1171</v>
      </c>
      <c r="B159" s="532" t="s">
        <v>1172</v>
      </c>
      <c r="D159" s="129" t="str">
        <f>IF([1]RENAME!$H$3=1,B159,A159)</f>
        <v>Redução de capital</v>
      </c>
      <c r="E159" s="118">
        <v>0</v>
      </c>
      <c r="F159" s="118">
        <v>0</v>
      </c>
      <c r="G159" s="118">
        <v>0</v>
      </c>
      <c r="H159" s="118">
        <v>0</v>
      </c>
      <c r="I159" s="118">
        <v>0</v>
      </c>
      <c r="J159" s="118"/>
      <c r="K159" s="118"/>
      <c r="L159" s="316"/>
      <c r="M159" s="316" t="s">
        <v>160</v>
      </c>
      <c r="N159" s="316">
        <v>0</v>
      </c>
      <c r="O159" s="316">
        <v>0</v>
      </c>
      <c r="P159" s="316">
        <v>0</v>
      </c>
      <c r="Q159" s="316">
        <v>0</v>
      </c>
      <c r="R159" s="316">
        <v>0</v>
      </c>
      <c r="S159" s="316">
        <v>0</v>
      </c>
      <c r="T159" s="316" t="s">
        <v>160</v>
      </c>
      <c r="U159" s="316" t="s">
        <v>160</v>
      </c>
      <c r="V159" s="118">
        <f t="shared" si="21"/>
        <v>0</v>
      </c>
    </row>
    <row r="160" spans="1:22" x14ac:dyDescent="0.2">
      <c r="A160" s="532" t="s">
        <v>1324</v>
      </c>
      <c r="B160" s="532" t="s">
        <v>1323</v>
      </c>
      <c r="D160" s="129" t="str">
        <f>IF([1]RENAME!$H$3=1,B160,A160)</f>
        <v>Aumento de capital</v>
      </c>
      <c r="E160" s="118">
        <v>0</v>
      </c>
      <c r="F160" s="118">
        <v>0</v>
      </c>
      <c r="G160" s="118">
        <v>4000</v>
      </c>
      <c r="H160" s="118">
        <v>0</v>
      </c>
      <c r="I160" s="118">
        <v>0</v>
      </c>
      <c r="J160" s="118"/>
      <c r="K160" s="118"/>
      <c r="L160" s="316"/>
      <c r="M160" s="316" t="s">
        <v>160</v>
      </c>
      <c r="N160" s="316">
        <v>0</v>
      </c>
      <c r="O160" s="316">
        <v>0</v>
      </c>
      <c r="P160" s="316">
        <v>0</v>
      </c>
      <c r="Q160" s="316">
        <v>0</v>
      </c>
      <c r="R160" s="316">
        <v>0</v>
      </c>
      <c r="S160" s="316">
        <v>0</v>
      </c>
      <c r="T160" s="316" t="s">
        <v>160</v>
      </c>
      <c r="U160" s="316" t="s">
        <v>160</v>
      </c>
      <c r="V160" s="118">
        <f t="shared" si="21"/>
        <v>4000</v>
      </c>
    </row>
    <row r="161" spans="1:22" x14ac:dyDescent="0.2">
      <c r="A161" s="532" t="s">
        <v>371</v>
      </c>
      <c r="B161" s="532" t="s">
        <v>1325</v>
      </c>
      <c r="D161" s="129" t="str">
        <f>IF([1]RENAME!$H$3=1,B161,A161)</f>
        <v>Aquisição de controlada</v>
      </c>
      <c r="E161" s="118">
        <v>0</v>
      </c>
      <c r="F161" s="118">
        <v>0</v>
      </c>
      <c r="G161" s="118">
        <v>0</v>
      </c>
      <c r="H161" s="118">
        <v>0</v>
      </c>
      <c r="I161" s="118">
        <v>0</v>
      </c>
      <c r="J161" s="118"/>
      <c r="K161" s="118"/>
      <c r="L161" s="316"/>
      <c r="M161" s="316" t="s">
        <v>160</v>
      </c>
      <c r="N161" s="316">
        <v>0</v>
      </c>
      <c r="O161" s="316">
        <v>0</v>
      </c>
      <c r="P161" s="316">
        <v>0</v>
      </c>
      <c r="Q161" s="316">
        <v>1</v>
      </c>
      <c r="R161" s="316">
        <v>0</v>
      </c>
      <c r="S161" s="316">
        <v>0</v>
      </c>
      <c r="T161" s="316" t="s">
        <v>160</v>
      </c>
      <c r="U161" s="316" t="s">
        <v>160</v>
      </c>
      <c r="V161" s="118">
        <f t="shared" si="21"/>
        <v>1</v>
      </c>
    </row>
    <row r="162" spans="1:22" x14ac:dyDescent="0.2">
      <c r="A162" s="532" t="s">
        <v>1311</v>
      </c>
      <c r="B162" s="532" t="s">
        <v>1480</v>
      </c>
      <c r="D162" s="129" t="str">
        <f>IF([1]RENAME!$H$3=1,B162,A162)</f>
        <v>Reestruturação societária</v>
      </c>
      <c r="E162" s="118">
        <v>0</v>
      </c>
      <c r="F162" s="118">
        <v>0</v>
      </c>
      <c r="G162" s="118">
        <v>0</v>
      </c>
      <c r="H162" s="118">
        <v>0</v>
      </c>
      <c r="I162" s="118">
        <v>0</v>
      </c>
      <c r="J162" s="118"/>
      <c r="K162" s="118"/>
      <c r="L162" s="316"/>
      <c r="M162" s="316" t="s">
        <v>160</v>
      </c>
      <c r="N162" s="316">
        <v>0</v>
      </c>
      <c r="O162" s="316">
        <v>0</v>
      </c>
      <c r="P162" s="316">
        <v>0</v>
      </c>
      <c r="Q162" s="316">
        <v>0</v>
      </c>
      <c r="R162" s="316">
        <v>0</v>
      </c>
      <c r="S162" s="316">
        <v>0</v>
      </c>
      <c r="T162" s="316" t="s">
        <v>160</v>
      </c>
      <c r="U162" s="316" t="s">
        <v>160</v>
      </c>
      <c r="V162" s="118">
        <f t="shared" si="21"/>
        <v>0</v>
      </c>
    </row>
    <row r="163" spans="1:22" ht="14.25" customHeight="1" x14ac:dyDescent="0.2">
      <c r="A163" s="532" t="s">
        <v>430</v>
      </c>
      <c r="B163" s="532" t="s">
        <v>648</v>
      </c>
      <c r="D163" s="129" t="str">
        <f>IF([1]RENAME!$H$3=1,B163,A163)</f>
        <v>Dividendos</v>
      </c>
      <c r="E163" s="118">
        <v>0</v>
      </c>
      <c r="F163" s="118">
        <v>0</v>
      </c>
      <c r="G163" s="118">
        <v>0</v>
      </c>
      <c r="H163" s="118">
        <v>0</v>
      </c>
      <c r="I163" s="118">
        <v>0</v>
      </c>
      <c r="J163" s="118"/>
      <c r="K163" s="118"/>
      <c r="L163" s="316"/>
      <c r="M163" s="316" t="s">
        <v>160</v>
      </c>
      <c r="N163" s="316">
        <v>-85</v>
      </c>
      <c r="O163" s="316">
        <v>0</v>
      </c>
      <c r="P163" s="316">
        <v>0</v>
      </c>
      <c r="Q163" s="316">
        <v>0</v>
      </c>
      <c r="R163" s="316">
        <v>0</v>
      </c>
      <c r="S163" s="316">
        <v>0</v>
      </c>
      <c r="T163" s="316" t="s">
        <v>160</v>
      </c>
      <c r="U163" s="316" t="s">
        <v>160</v>
      </c>
      <c r="V163" s="118">
        <f t="shared" si="21"/>
        <v>-85</v>
      </c>
    </row>
    <row r="164" spans="1:22" ht="14.25" customHeight="1" x14ac:dyDescent="0.2">
      <c r="A164" s="532" t="s">
        <v>1412</v>
      </c>
      <c r="B164" s="532" t="s">
        <v>1413</v>
      </c>
      <c r="D164" s="129" t="str">
        <f>IF([1]RENAME!$H$3=1,B164,A164)</f>
        <v>Constituição/baixa ágio (GDL-TLI)</v>
      </c>
      <c r="E164" s="118">
        <v>0</v>
      </c>
      <c r="F164" s="118">
        <v>0</v>
      </c>
      <c r="G164" s="118">
        <v>0</v>
      </c>
      <c r="H164" s="118">
        <v>0</v>
      </c>
      <c r="I164" s="118">
        <v>0</v>
      </c>
      <c r="J164" s="118"/>
      <c r="K164" s="118"/>
      <c r="L164" s="316"/>
      <c r="M164" s="316" t="s">
        <v>160</v>
      </c>
      <c r="N164" s="316">
        <v>0</v>
      </c>
      <c r="O164" s="316">
        <v>0</v>
      </c>
      <c r="P164" s="316">
        <v>0</v>
      </c>
      <c r="Q164" s="316">
        <v>0</v>
      </c>
      <c r="R164" s="316">
        <v>0</v>
      </c>
      <c r="S164" s="316">
        <v>0</v>
      </c>
      <c r="T164" s="316" t="s">
        <v>160</v>
      </c>
      <c r="U164" s="316" t="s">
        <v>160</v>
      </c>
      <c r="V164" s="118">
        <f t="shared" si="21"/>
        <v>0</v>
      </c>
    </row>
    <row r="165" spans="1:22" x14ac:dyDescent="0.2">
      <c r="A165" s="532" t="s">
        <v>1424</v>
      </c>
      <c r="B165" s="532" t="s">
        <v>1425</v>
      </c>
      <c r="D165" s="126" t="str">
        <f>IF([1]RENAME!$H$3=1,B165,A165)</f>
        <v>Em 31 de março de 2019</v>
      </c>
      <c r="E165" s="120">
        <f>SUM(E156:E164)</f>
        <v>42729</v>
      </c>
      <c r="F165" s="120">
        <f>SUM(F156:F164)</f>
        <v>25530</v>
      </c>
      <c r="G165" s="120">
        <f>SUM(G156:G164)</f>
        <v>80906</v>
      </c>
      <c r="H165" s="120">
        <f>SUM(H156:H164)</f>
        <v>1426</v>
      </c>
      <c r="I165" s="120">
        <f>SUM(I156:I164)</f>
        <v>34101</v>
      </c>
      <c r="J165" s="120"/>
      <c r="K165" s="120"/>
      <c r="L165" s="120"/>
      <c r="M165" s="120">
        <f>SUM(M147:M164)</f>
        <v>0</v>
      </c>
      <c r="N165" s="120">
        <f t="shared" ref="N165:S165" si="22">SUM(N156:N164)</f>
        <v>1229</v>
      </c>
      <c r="O165" s="120">
        <f t="shared" si="22"/>
        <v>15026</v>
      </c>
      <c r="P165" s="120">
        <f t="shared" si="22"/>
        <v>2669</v>
      </c>
      <c r="Q165" s="120">
        <f t="shared" si="22"/>
        <v>1</v>
      </c>
      <c r="R165" s="120">
        <f t="shared" si="22"/>
        <v>0</v>
      </c>
      <c r="S165" s="120">
        <f t="shared" si="22"/>
        <v>0</v>
      </c>
      <c r="T165" s="120">
        <f>SUM(T147:T164)</f>
        <v>0</v>
      </c>
      <c r="U165" s="120">
        <f>SUM(U147:U164)</f>
        <v>0</v>
      </c>
      <c r="V165" s="120">
        <f>SUM(V156:V164)</f>
        <v>203617</v>
      </c>
    </row>
    <row r="167" spans="1:22" x14ac:dyDescent="0.2">
      <c r="A167" s="532" t="s">
        <v>225</v>
      </c>
      <c r="B167" s="532" t="s">
        <v>760</v>
      </c>
      <c r="D167" s="129" t="str">
        <f>IF([1]RENAME!$H$3=1,B167,A167)</f>
        <v>Equivalência patrimonial</v>
      </c>
      <c r="E167" s="118">
        <v>2414</v>
      </c>
      <c r="F167" s="118">
        <v>-673</v>
      </c>
      <c r="G167" s="118">
        <v>855</v>
      </c>
      <c r="H167" s="118">
        <v>4</v>
      </c>
      <c r="I167" s="118">
        <v>523</v>
      </c>
      <c r="J167" s="118"/>
      <c r="K167" s="118"/>
      <c r="L167" s="316"/>
      <c r="M167" s="316">
        <v>0</v>
      </c>
      <c r="N167" s="316">
        <v>-201</v>
      </c>
      <c r="O167" s="316">
        <v>974</v>
      </c>
      <c r="P167" s="316">
        <v>17</v>
      </c>
      <c r="Q167" s="316">
        <v>0</v>
      </c>
      <c r="R167" s="316">
        <v>0</v>
      </c>
      <c r="S167" s="316">
        <v>0</v>
      </c>
      <c r="T167" s="316">
        <v>0</v>
      </c>
      <c r="U167" s="316">
        <v>0</v>
      </c>
      <c r="V167" s="118">
        <f t="shared" ref="V167:V173" si="23">SUM(E167:U167)</f>
        <v>3913</v>
      </c>
    </row>
    <row r="168" spans="1:22" x14ac:dyDescent="0.2">
      <c r="A168" s="532" t="s">
        <v>1171</v>
      </c>
      <c r="B168" s="532" t="s">
        <v>1172</v>
      </c>
      <c r="D168" s="129" t="str">
        <f>IF([1]RENAME!$H$3=1,B168,A168)</f>
        <v>Redução de capital</v>
      </c>
      <c r="E168" s="118">
        <v>0</v>
      </c>
      <c r="F168" s="118">
        <v>0</v>
      </c>
      <c r="G168" s="118">
        <v>0</v>
      </c>
      <c r="H168" s="118">
        <v>0</v>
      </c>
      <c r="I168" s="118">
        <v>0</v>
      </c>
      <c r="J168" s="118"/>
      <c r="K168" s="118"/>
      <c r="L168" s="316"/>
      <c r="M168" s="316">
        <v>0</v>
      </c>
      <c r="N168" s="316">
        <v>0</v>
      </c>
      <c r="O168" s="316">
        <v>0</v>
      </c>
      <c r="P168" s="316">
        <v>0</v>
      </c>
      <c r="Q168" s="316">
        <v>0</v>
      </c>
      <c r="R168" s="316">
        <v>0</v>
      </c>
      <c r="S168" s="316">
        <v>0</v>
      </c>
      <c r="T168" s="316">
        <v>0</v>
      </c>
      <c r="U168" s="316">
        <v>0</v>
      </c>
      <c r="V168" s="118">
        <f t="shared" si="23"/>
        <v>0</v>
      </c>
    </row>
    <row r="169" spans="1:22" x14ac:dyDescent="0.2">
      <c r="A169" s="532" t="s">
        <v>1324</v>
      </c>
      <c r="B169" s="532" t="s">
        <v>1323</v>
      </c>
      <c r="D169" s="129" t="str">
        <f>IF([1]RENAME!$H$3=1,B169,A169)</f>
        <v>Aumento de capital</v>
      </c>
      <c r="E169" s="118">
        <v>0</v>
      </c>
      <c r="F169" s="118">
        <v>0</v>
      </c>
      <c r="G169" s="118">
        <v>2500</v>
      </c>
      <c r="H169" s="118">
        <v>0</v>
      </c>
      <c r="I169" s="118">
        <v>0</v>
      </c>
      <c r="J169" s="118"/>
      <c r="K169" s="118"/>
      <c r="L169" s="316"/>
      <c r="M169" s="316">
        <v>0</v>
      </c>
      <c r="N169" s="316">
        <v>0</v>
      </c>
      <c r="O169" s="316">
        <v>0</v>
      </c>
      <c r="P169" s="316">
        <v>0</v>
      </c>
      <c r="Q169" s="316">
        <v>0</v>
      </c>
      <c r="R169" s="316">
        <v>0</v>
      </c>
      <c r="S169" s="316">
        <v>0</v>
      </c>
      <c r="T169" s="316">
        <v>0</v>
      </c>
      <c r="U169" s="316">
        <v>0</v>
      </c>
      <c r="V169" s="118">
        <f t="shared" si="23"/>
        <v>2500</v>
      </c>
    </row>
    <row r="170" spans="1:22" x14ac:dyDescent="0.2">
      <c r="A170" s="532" t="s">
        <v>371</v>
      </c>
      <c r="B170" s="532" t="s">
        <v>1325</v>
      </c>
      <c r="D170" s="129" t="str">
        <f>IF([1]RENAME!$H$3=1,B170,A170)</f>
        <v>Aquisição de controlada</v>
      </c>
      <c r="E170" s="118">
        <v>0</v>
      </c>
      <c r="F170" s="118">
        <v>0</v>
      </c>
      <c r="G170" s="118">
        <v>0</v>
      </c>
      <c r="H170" s="118">
        <v>0</v>
      </c>
      <c r="I170" s="118">
        <v>0</v>
      </c>
      <c r="J170" s="118"/>
      <c r="K170" s="118"/>
      <c r="L170" s="316"/>
      <c r="M170" s="316">
        <v>0</v>
      </c>
      <c r="N170" s="316">
        <v>0</v>
      </c>
      <c r="O170" s="316">
        <v>0</v>
      </c>
      <c r="P170" s="316">
        <v>0</v>
      </c>
      <c r="Q170" s="316">
        <v>0</v>
      </c>
      <c r="R170" s="316">
        <v>0</v>
      </c>
      <c r="S170" s="316">
        <v>0</v>
      </c>
      <c r="T170" s="316">
        <v>0</v>
      </c>
      <c r="U170" s="316">
        <v>0</v>
      </c>
      <c r="V170" s="118">
        <f t="shared" si="23"/>
        <v>0</v>
      </c>
    </row>
    <row r="171" spans="1:22" x14ac:dyDescent="0.2">
      <c r="A171" s="532" t="s">
        <v>1311</v>
      </c>
      <c r="B171" s="532" t="s">
        <v>1480</v>
      </c>
      <c r="D171" s="129" t="str">
        <f>IF([1]RENAME!$H$3=1,B171,A171)</f>
        <v>Reestruturação societária</v>
      </c>
      <c r="E171" s="118">
        <v>0</v>
      </c>
      <c r="F171" s="118">
        <v>0</v>
      </c>
      <c r="G171" s="118">
        <v>0</v>
      </c>
      <c r="H171" s="118">
        <v>0</v>
      </c>
      <c r="I171" s="118">
        <v>0</v>
      </c>
      <c r="J171" s="118"/>
      <c r="K171" s="118"/>
      <c r="L171" s="316"/>
      <c r="M171" s="316">
        <v>0</v>
      </c>
      <c r="N171" s="316">
        <v>0</v>
      </c>
      <c r="O171" s="316">
        <v>0</v>
      </c>
      <c r="P171" s="316">
        <v>0</v>
      </c>
      <c r="Q171" s="316">
        <v>0</v>
      </c>
      <c r="R171" s="316">
        <v>0</v>
      </c>
      <c r="S171" s="316">
        <v>0</v>
      </c>
      <c r="T171" s="316">
        <v>0</v>
      </c>
      <c r="U171" s="316">
        <v>0</v>
      </c>
      <c r="V171" s="118">
        <f t="shared" si="23"/>
        <v>0</v>
      </c>
    </row>
    <row r="172" spans="1:22" ht="14.25" customHeight="1" x14ac:dyDescent="0.2">
      <c r="A172" s="532" t="s">
        <v>430</v>
      </c>
      <c r="B172" s="532" t="s">
        <v>648</v>
      </c>
      <c r="D172" s="129" t="str">
        <f>IF([1]RENAME!$H$3=1,B172,A172)</f>
        <v>Dividendos</v>
      </c>
      <c r="E172" s="118">
        <v>0</v>
      </c>
      <c r="F172" s="118">
        <v>0</v>
      </c>
      <c r="G172" s="118">
        <v>0</v>
      </c>
      <c r="H172" s="118">
        <v>0</v>
      </c>
      <c r="I172" s="118">
        <v>0</v>
      </c>
      <c r="J172" s="118"/>
      <c r="K172" s="118"/>
      <c r="L172" s="316"/>
      <c r="M172" s="316">
        <v>0</v>
      </c>
      <c r="N172" s="316">
        <v>-182</v>
      </c>
      <c r="O172" s="316">
        <v>0</v>
      </c>
      <c r="P172" s="316">
        <v>0</v>
      </c>
      <c r="Q172" s="316">
        <v>0</v>
      </c>
      <c r="R172" s="316">
        <v>0</v>
      </c>
      <c r="S172" s="316">
        <v>0</v>
      </c>
      <c r="T172" s="316">
        <v>0</v>
      </c>
      <c r="U172" s="316">
        <v>0</v>
      </c>
      <c r="V172" s="118">
        <f t="shared" si="23"/>
        <v>-182</v>
      </c>
    </row>
    <row r="173" spans="1:22" ht="14.25" customHeight="1" x14ac:dyDescent="0.2">
      <c r="A173" s="532" t="s">
        <v>1412</v>
      </c>
      <c r="B173" s="532" t="s">
        <v>1413</v>
      </c>
      <c r="D173" s="129" t="str">
        <f>IF([1]RENAME!$H$3=1,B173,A173)</f>
        <v>Constituição/baixa ágio (GDL-TLI)</v>
      </c>
      <c r="E173" s="118">
        <v>0</v>
      </c>
      <c r="F173" s="118">
        <v>0</v>
      </c>
      <c r="G173" s="118">
        <v>0</v>
      </c>
      <c r="H173" s="118">
        <v>0</v>
      </c>
      <c r="I173" s="118">
        <v>0</v>
      </c>
      <c r="J173" s="118"/>
      <c r="K173" s="118"/>
      <c r="L173" s="316"/>
      <c r="M173" s="316">
        <v>0</v>
      </c>
      <c r="N173" s="316">
        <v>0</v>
      </c>
      <c r="O173" s="316">
        <v>0</v>
      </c>
      <c r="P173" s="316">
        <v>0</v>
      </c>
      <c r="Q173" s="316">
        <v>0</v>
      </c>
      <c r="R173" s="316">
        <v>0</v>
      </c>
      <c r="S173" s="316">
        <v>0</v>
      </c>
      <c r="T173" s="316">
        <v>0</v>
      </c>
      <c r="U173" s="316">
        <v>0</v>
      </c>
      <c r="V173" s="118">
        <f t="shared" si="23"/>
        <v>0</v>
      </c>
    </row>
    <row r="174" spans="1:22" x14ac:dyDescent="0.2">
      <c r="A174" s="532" t="s">
        <v>1515</v>
      </c>
      <c r="B174" s="532" t="s">
        <v>1516</v>
      </c>
      <c r="D174" s="126" t="str">
        <f>IF([1]RENAME!$H$3=1,B174,A174)</f>
        <v>Em 30 de junho de 2019</v>
      </c>
      <c r="E174" s="120">
        <f>SUM(E165:E173)</f>
        <v>45143</v>
      </c>
      <c r="F174" s="120">
        <f>SUM(F165:F173)</f>
        <v>24857</v>
      </c>
      <c r="G174" s="120">
        <f>SUM(G165:G173)</f>
        <v>84261</v>
      </c>
      <c r="H174" s="120">
        <f>SUM(H165:H173)</f>
        <v>1430</v>
      </c>
      <c r="I174" s="120">
        <f>SUM(I165:I173)</f>
        <v>34624</v>
      </c>
      <c r="J174" s="120"/>
      <c r="K174" s="120"/>
      <c r="L174" s="120"/>
      <c r="M174" s="120">
        <f>SUM(M147:M173)</f>
        <v>0</v>
      </c>
      <c r="N174" s="120">
        <f t="shared" ref="N174:S174" si="24">SUM(N165:N173)</f>
        <v>846</v>
      </c>
      <c r="O174" s="120">
        <f t="shared" si="24"/>
        <v>16000</v>
      </c>
      <c r="P174" s="120">
        <f t="shared" si="24"/>
        <v>2686</v>
      </c>
      <c r="Q174" s="120">
        <f t="shared" si="24"/>
        <v>1</v>
      </c>
      <c r="R174" s="120">
        <f t="shared" si="24"/>
        <v>0</v>
      </c>
      <c r="S174" s="120">
        <f t="shared" si="24"/>
        <v>0</v>
      </c>
      <c r="T174" s="120">
        <f>SUM(T147:T173)</f>
        <v>0</v>
      </c>
      <c r="U174" s="120">
        <f>SUM(U147:U173)</f>
        <v>0</v>
      </c>
      <c r="V174" s="120">
        <f>SUM(V165:V173)</f>
        <v>209848</v>
      </c>
    </row>
    <row r="176" spans="1:22" x14ac:dyDescent="0.2">
      <c r="A176" s="532" t="s">
        <v>225</v>
      </c>
      <c r="B176" s="532" t="s">
        <v>760</v>
      </c>
      <c r="D176" s="129" t="s">
        <v>225</v>
      </c>
      <c r="E176" s="118">
        <v>3476</v>
      </c>
      <c r="F176" s="118">
        <v>-331</v>
      </c>
      <c r="G176" s="118">
        <v>620</v>
      </c>
      <c r="H176" s="118">
        <v>-95</v>
      </c>
      <c r="I176" s="118">
        <v>846</v>
      </c>
      <c r="J176" s="118"/>
      <c r="K176" s="118"/>
      <c r="L176" s="316"/>
      <c r="M176" s="316" t="s">
        <v>160</v>
      </c>
      <c r="N176" s="316">
        <v>-2</v>
      </c>
      <c r="O176" s="316">
        <v>817</v>
      </c>
      <c r="P176" s="316">
        <v>-40</v>
      </c>
      <c r="Q176" s="316">
        <v>0</v>
      </c>
      <c r="R176" s="316">
        <v>0</v>
      </c>
      <c r="S176" s="316">
        <v>0</v>
      </c>
      <c r="T176" s="316" t="s">
        <v>160</v>
      </c>
      <c r="U176" s="316" t="s">
        <v>160</v>
      </c>
      <c r="V176" s="118">
        <f t="shared" ref="V176:V182" si="25">SUM(E176:U176)</f>
        <v>5291</v>
      </c>
    </row>
    <row r="177" spans="1:22" x14ac:dyDescent="0.2">
      <c r="A177" s="532" t="s">
        <v>1171</v>
      </c>
      <c r="B177" s="532" t="s">
        <v>1172</v>
      </c>
      <c r="D177" s="129" t="s">
        <v>1171</v>
      </c>
      <c r="E177" s="118">
        <v>0</v>
      </c>
      <c r="F177" s="118">
        <v>0</v>
      </c>
      <c r="G177" s="118">
        <v>0</v>
      </c>
      <c r="H177" s="118">
        <v>0</v>
      </c>
      <c r="I177" s="118">
        <v>0</v>
      </c>
      <c r="J177" s="118"/>
      <c r="K177" s="118"/>
      <c r="L177" s="316"/>
      <c r="M177" s="316" t="s">
        <v>160</v>
      </c>
      <c r="N177" s="316">
        <v>0</v>
      </c>
      <c r="O177" s="316">
        <v>0</v>
      </c>
      <c r="P177" s="316">
        <v>0</v>
      </c>
      <c r="Q177" s="316">
        <v>0</v>
      </c>
      <c r="R177" s="316">
        <v>0</v>
      </c>
      <c r="S177" s="316">
        <v>0</v>
      </c>
      <c r="T177" s="316" t="s">
        <v>160</v>
      </c>
      <c r="U177" s="316" t="s">
        <v>160</v>
      </c>
      <c r="V177" s="118">
        <f t="shared" si="25"/>
        <v>0</v>
      </c>
    </row>
    <row r="178" spans="1:22" x14ac:dyDescent="0.2">
      <c r="A178" s="532" t="s">
        <v>1324</v>
      </c>
      <c r="B178" s="532" t="s">
        <v>1323</v>
      </c>
      <c r="D178" s="129" t="s">
        <v>1324</v>
      </c>
      <c r="E178" s="118">
        <v>1020</v>
      </c>
      <c r="F178" s="118">
        <v>0</v>
      </c>
      <c r="G178" s="118">
        <v>0</v>
      </c>
      <c r="H178" s="260">
        <v>3202</v>
      </c>
      <c r="I178" s="118">
        <v>0</v>
      </c>
      <c r="J178" s="118"/>
      <c r="K178" s="118"/>
      <c r="L178" s="316"/>
      <c r="M178" s="316" t="s">
        <v>160</v>
      </c>
      <c r="N178" s="316">
        <v>-320</v>
      </c>
      <c r="O178" s="316">
        <v>0</v>
      </c>
      <c r="P178" s="316">
        <v>0</v>
      </c>
      <c r="Q178" s="316">
        <v>0</v>
      </c>
      <c r="R178" s="316">
        <v>0</v>
      </c>
      <c r="S178" s="316">
        <v>0</v>
      </c>
      <c r="T178" s="316" t="s">
        <v>160</v>
      </c>
      <c r="U178" s="316" t="s">
        <v>160</v>
      </c>
      <c r="V178" s="118">
        <f t="shared" si="25"/>
        <v>3902</v>
      </c>
    </row>
    <row r="179" spans="1:22" x14ac:dyDescent="0.2">
      <c r="A179" s="532" t="s">
        <v>371</v>
      </c>
      <c r="B179" s="532" t="s">
        <v>1325</v>
      </c>
      <c r="D179" s="129" t="s">
        <v>371</v>
      </c>
      <c r="E179" s="118">
        <v>0</v>
      </c>
      <c r="F179" s="118">
        <v>0</v>
      </c>
      <c r="G179" s="118">
        <v>0</v>
      </c>
      <c r="H179" s="118">
        <v>0</v>
      </c>
      <c r="I179" s="118">
        <v>0</v>
      </c>
      <c r="J179" s="118"/>
      <c r="K179" s="118"/>
      <c r="L179" s="316"/>
      <c r="M179" s="316" t="s">
        <v>160</v>
      </c>
      <c r="N179" s="316">
        <v>0</v>
      </c>
      <c r="O179" s="316">
        <v>0</v>
      </c>
      <c r="P179" s="316">
        <v>0</v>
      </c>
      <c r="Q179" s="316">
        <v>0</v>
      </c>
      <c r="R179" s="316">
        <v>0</v>
      </c>
      <c r="S179" s="316">
        <v>0</v>
      </c>
      <c r="T179" s="316" t="s">
        <v>160</v>
      </c>
      <c r="U179" s="316" t="s">
        <v>160</v>
      </c>
      <c r="V179" s="118">
        <f t="shared" si="25"/>
        <v>0</v>
      </c>
    </row>
    <row r="180" spans="1:22" x14ac:dyDescent="0.2">
      <c r="A180" s="532" t="s">
        <v>1311</v>
      </c>
      <c r="B180" s="532" t="s">
        <v>1480</v>
      </c>
      <c r="D180" s="129" t="s">
        <v>1311</v>
      </c>
      <c r="E180" s="118">
        <v>0</v>
      </c>
      <c r="F180" s="118">
        <v>0</v>
      </c>
      <c r="G180" s="118">
        <v>0</v>
      </c>
      <c r="H180" s="118">
        <v>0</v>
      </c>
      <c r="I180" s="118">
        <v>0</v>
      </c>
      <c r="J180" s="118"/>
      <c r="K180" s="118"/>
      <c r="L180" s="316"/>
      <c r="M180" s="316" t="s">
        <v>160</v>
      </c>
      <c r="N180" s="316">
        <v>0</v>
      </c>
      <c r="O180" s="316">
        <v>0</v>
      </c>
      <c r="P180" s="316">
        <v>0</v>
      </c>
      <c r="Q180" s="316">
        <v>0</v>
      </c>
      <c r="R180" s="316">
        <v>0</v>
      </c>
      <c r="S180" s="316">
        <v>0</v>
      </c>
      <c r="T180" s="316" t="s">
        <v>160</v>
      </c>
      <c r="U180" s="316" t="s">
        <v>160</v>
      </c>
      <c r="V180" s="118">
        <f t="shared" si="25"/>
        <v>0</v>
      </c>
    </row>
    <row r="181" spans="1:22" ht="14.25" customHeight="1" x14ac:dyDescent="0.2">
      <c r="A181" s="532" t="s">
        <v>430</v>
      </c>
      <c r="B181" s="532" t="s">
        <v>648</v>
      </c>
      <c r="D181" s="129" t="s">
        <v>430</v>
      </c>
      <c r="E181" s="118">
        <v>0</v>
      </c>
      <c r="F181" s="118">
        <v>0</v>
      </c>
      <c r="G181" s="118">
        <v>0</v>
      </c>
      <c r="H181" s="118">
        <v>0</v>
      </c>
      <c r="I181" s="118">
        <v>0</v>
      </c>
      <c r="J181" s="118"/>
      <c r="K181" s="118"/>
      <c r="L181" s="316"/>
      <c r="M181" s="316" t="s">
        <v>160</v>
      </c>
      <c r="N181" s="316">
        <v>0</v>
      </c>
      <c r="O181" s="316">
        <v>0</v>
      </c>
      <c r="P181" s="316">
        <v>0</v>
      </c>
      <c r="Q181" s="316">
        <v>0</v>
      </c>
      <c r="R181" s="316">
        <v>0</v>
      </c>
      <c r="S181" s="316">
        <v>0</v>
      </c>
      <c r="T181" s="316" t="s">
        <v>160</v>
      </c>
      <c r="U181" s="316" t="s">
        <v>160</v>
      </c>
      <c r="V181" s="118">
        <f t="shared" si="25"/>
        <v>0</v>
      </c>
    </row>
    <row r="182" spans="1:22" ht="14.25" customHeight="1" x14ac:dyDescent="0.2">
      <c r="A182" s="532" t="s">
        <v>1412</v>
      </c>
      <c r="B182" s="532" t="s">
        <v>1413</v>
      </c>
      <c r="D182" s="129" t="s">
        <v>1412</v>
      </c>
      <c r="E182" s="118">
        <v>0</v>
      </c>
      <c r="F182" s="118">
        <v>0</v>
      </c>
      <c r="G182" s="118">
        <v>0</v>
      </c>
      <c r="H182" s="118">
        <v>0</v>
      </c>
      <c r="I182" s="118">
        <v>0</v>
      </c>
      <c r="J182" s="118"/>
      <c r="K182" s="118"/>
      <c r="L182" s="316"/>
      <c r="M182" s="316" t="s">
        <v>160</v>
      </c>
      <c r="N182" s="316">
        <v>0</v>
      </c>
      <c r="O182" s="316">
        <v>0</v>
      </c>
      <c r="P182" s="316">
        <v>0</v>
      </c>
      <c r="Q182" s="316">
        <v>0</v>
      </c>
      <c r="R182" s="316">
        <v>0</v>
      </c>
      <c r="S182" s="316">
        <v>0</v>
      </c>
      <c r="T182" s="316" t="s">
        <v>160</v>
      </c>
      <c r="U182" s="316" t="s">
        <v>160</v>
      </c>
      <c r="V182" s="118">
        <f t="shared" si="25"/>
        <v>0</v>
      </c>
    </row>
    <row r="183" spans="1:22" x14ac:dyDescent="0.2">
      <c r="A183" s="532" t="s">
        <v>1542</v>
      </c>
      <c r="B183" s="532" t="s">
        <v>1546</v>
      </c>
      <c r="D183" s="126" t="s">
        <v>1542</v>
      </c>
      <c r="E183" s="120">
        <f>SUM(E174:E182)</f>
        <v>49639</v>
      </c>
      <c r="F183" s="120">
        <f t="shared" ref="F183:V183" si="26">SUM(F174:F182)</f>
        <v>24526</v>
      </c>
      <c r="G183" s="120">
        <f t="shared" si="26"/>
        <v>84881</v>
      </c>
      <c r="H183" s="120">
        <f t="shared" si="26"/>
        <v>4537</v>
      </c>
      <c r="I183" s="120">
        <f t="shared" si="26"/>
        <v>35470</v>
      </c>
      <c r="J183" s="120"/>
      <c r="K183" s="120"/>
      <c r="L183" s="120"/>
      <c r="M183" s="120">
        <f t="shared" si="26"/>
        <v>0</v>
      </c>
      <c r="N183" s="120">
        <f t="shared" ref="N183:S183" si="27">SUM(N174:N182)</f>
        <v>524</v>
      </c>
      <c r="O183" s="120">
        <f t="shared" si="27"/>
        <v>16817</v>
      </c>
      <c r="P183" s="120">
        <f t="shared" si="27"/>
        <v>2646</v>
      </c>
      <c r="Q183" s="120">
        <f t="shared" si="27"/>
        <v>1</v>
      </c>
      <c r="R183" s="120">
        <f t="shared" si="27"/>
        <v>0</v>
      </c>
      <c r="S183" s="120">
        <f t="shared" si="27"/>
        <v>0</v>
      </c>
      <c r="T183" s="120">
        <f t="shared" si="26"/>
        <v>0</v>
      </c>
      <c r="U183" s="120">
        <f t="shared" si="26"/>
        <v>0</v>
      </c>
      <c r="V183" s="120">
        <f t="shared" si="26"/>
        <v>219041</v>
      </c>
    </row>
    <row r="185" spans="1:22" customFormat="1" x14ac:dyDescent="0.2">
      <c r="A185" s="532" t="s">
        <v>225</v>
      </c>
      <c r="B185" s="532" t="s">
        <v>760</v>
      </c>
      <c r="D185" s="129" t="str">
        <f>IF([1]RENAME!$H$3=1,B176,A176)</f>
        <v>Equivalência patrimonial</v>
      </c>
      <c r="E185" s="118">
        <v>9982</v>
      </c>
      <c r="F185" s="118">
        <v>-1103</v>
      </c>
      <c r="G185" s="118">
        <v>667</v>
      </c>
      <c r="H185" s="118">
        <v>-20</v>
      </c>
      <c r="I185" s="118">
        <v>2380</v>
      </c>
      <c r="J185" s="118"/>
      <c r="K185" s="118"/>
      <c r="L185" s="316"/>
      <c r="M185" s="316">
        <v>0</v>
      </c>
      <c r="N185" s="316">
        <v>-31</v>
      </c>
      <c r="O185" s="316">
        <v>-2065</v>
      </c>
      <c r="P185" s="316">
        <v>18</v>
      </c>
      <c r="Q185" s="316">
        <v>0</v>
      </c>
      <c r="R185" s="316">
        <v>0</v>
      </c>
      <c r="S185" s="316">
        <v>0</v>
      </c>
      <c r="T185" s="316">
        <v>0</v>
      </c>
      <c r="U185" s="316">
        <v>0</v>
      </c>
      <c r="V185" s="118">
        <f t="shared" ref="V185:V191" si="28">SUM(E185:U185)</f>
        <v>9828</v>
      </c>
    </row>
    <row r="186" spans="1:22" customFormat="1" x14ac:dyDescent="0.2">
      <c r="A186" s="532" t="s">
        <v>1171</v>
      </c>
      <c r="B186" s="532" t="s">
        <v>1172</v>
      </c>
      <c r="D186" s="129" t="str">
        <f>IF([1]RENAME!$H$3=1,B177,A177)</f>
        <v>Redução de capital</v>
      </c>
      <c r="E186" s="118">
        <v>0</v>
      </c>
      <c r="F186" s="118">
        <v>0</v>
      </c>
      <c r="G186" s="118">
        <v>0</v>
      </c>
      <c r="H186" s="118">
        <v>0</v>
      </c>
      <c r="I186" s="118">
        <v>0</v>
      </c>
      <c r="J186" s="118"/>
      <c r="K186" s="118"/>
      <c r="L186" s="316"/>
      <c r="M186" s="316">
        <v>0</v>
      </c>
      <c r="N186" s="316">
        <v>0</v>
      </c>
      <c r="O186" s="316">
        <v>0</v>
      </c>
      <c r="P186" s="316">
        <v>0</v>
      </c>
      <c r="Q186" s="316">
        <v>0</v>
      </c>
      <c r="R186" s="316">
        <v>0</v>
      </c>
      <c r="S186" s="316">
        <v>0</v>
      </c>
      <c r="T186" s="316">
        <v>0</v>
      </c>
      <c r="U186" s="316">
        <v>0</v>
      </c>
      <c r="V186" s="118">
        <f t="shared" si="28"/>
        <v>0</v>
      </c>
    </row>
    <row r="187" spans="1:22" customFormat="1" x14ac:dyDescent="0.2">
      <c r="A187" s="532" t="s">
        <v>1324</v>
      </c>
      <c r="B187" s="532" t="s">
        <v>1323</v>
      </c>
      <c r="D187" s="129" t="str">
        <f>IF([1]RENAME!$H$3=1,B178,A178)</f>
        <v>Aumento de capital</v>
      </c>
      <c r="E187" s="118">
        <v>0</v>
      </c>
      <c r="F187" s="118">
        <v>0</v>
      </c>
      <c r="G187" s="118">
        <v>22031</v>
      </c>
      <c r="H187" s="118">
        <v>0</v>
      </c>
      <c r="I187" s="118">
        <v>0</v>
      </c>
      <c r="J187" s="118"/>
      <c r="K187" s="118"/>
      <c r="L187" s="316"/>
      <c r="M187" s="316">
        <v>0</v>
      </c>
      <c r="N187" s="316">
        <v>0</v>
      </c>
      <c r="O187" s="316">
        <v>0</v>
      </c>
      <c r="P187" s="316">
        <v>0</v>
      </c>
      <c r="Q187" s="316">
        <v>0</v>
      </c>
      <c r="R187" s="316">
        <v>0</v>
      </c>
      <c r="S187" s="316">
        <v>0</v>
      </c>
      <c r="T187" s="316">
        <v>0</v>
      </c>
      <c r="U187" s="316">
        <v>0</v>
      </c>
      <c r="V187" s="118">
        <f t="shared" si="28"/>
        <v>22031</v>
      </c>
    </row>
    <row r="188" spans="1:22" customFormat="1" x14ac:dyDescent="0.2">
      <c r="A188" s="532" t="s">
        <v>371</v>
      </c>
      <c r="B188" s="532" t="s">
        <v>1325</v>
      </c>
      <c r="D188" s="129" t="str">
        <f>IF([1]RENAME!$H$3=1,B179,A179)</f>
        <v>Aquisição de controlada</v>
      </c>
      <c r="E188" s="118">
        <v>0</v>
      </c>
      <c r="F188" s="118">
        <v>0</v>
      </c>
      <c r="G188" s="118">
        <v>0</v>
      </c>
      <c r="H188" s="118">
        <v>0</v>
      </c>
      <c r="I188" s="118">
        <v>0</v>
      </c>
      <c r="J188" s="118"/>
      <c r="K188" s="118"/>
      <c r="L188" s="316"/>
      <c r="M188" s="316">
        <v>0</v>
      </c>
      <c r="N188" s="316">
        <v>0</v>
      </c>
      <c r="O188" s="316">
        <v>0</v>
      </c>
      <c r="P188" s="316">
        <v>0</v>
      </c>
      <c r="Q188" s="316">
        <v>0</v>
      </c>
      <c r="R188" s="316">
        <v>0</v>
      </c>
      <c r="S188" s="316">
        <v>0</v>
      </c>
      <c r="T188" s="316">
        <v>0</v>
      </c>
      <c r="U188" s="316">
        <v>0</v>
      </c>
      <c r="V188" s="118">
        <f t="shared" si="28"/>
        <v>0</v>
      </c>
    </row>
    <row r="189" spans="1:22" customFormat="1" x14ac:dyDescent="0.2">
      <c r="A189" s="532" t="s">
        <v>1311</v>
      </c>
      <c r="B189" s="532" t="s">
        <v>1480</v>
      </c>
      <c r="D189" s="129" t="str">
        <f>IF([1]RENAME!$H$3=1,B180,A180)</f>
        <v>Reestruturação societária</v>
      </c>
      <c r="E189" s="118">
        <v>0</v>
      </c>
      <c r="F189" s="118">
        <v>0</v>
      </c>
      <c r="G189" s="118">
        <v>0</v>
      </c>
      <c r="H189" s="118">
        <v>0</v>
      </c>
      <c r="I189" s="118">
        <v>0</v>
      </c>
      <c r="J189" s="118"/>
      <c r="K189" s="118"/>
      <c r="L189" s="316"/>
      <c r="M189" s="316">
        <v>0</v>
      </c>
      <c r="N189" s="316">
        <v>0</v>
      </c>
      <c r="O189" s="316">
        <v>0</v>
      </c>
      <c r="P189" s="316">
        <v>0</v>
      </c>
      <c r="Q189" s="316">
        <v>0</v>
      </c>
      <c r="R189" s="316">
        <v>0</v>
      </c>
      <c r="S189" s="316">
        <v>0</v>
      </c>
      <c r="T189" s="316">
        <v>0</v>
      </c>
      <c r="U189" s="316">
        <v>0</v>
      </c>
      <c r="V189" s="118">
        <f t="shared" si="28"/>
        <v>0</v>
      </c>
    </row>
    <row r="190" spans="1:22" customFormat="1" ht="14.25" customHeight="1" x14ac:dyDescent="0.2">
      <c r="A190" s="532" t="s">
        <v>430</v>
      </c>
      <c r="B190" s="532" t="s">
        <v>648</v>
      </c>
      <c r="D190" s="129" t="str">
        <f>IF([1]RENAME!$H$3=1,B181,A181)</f>
        <v>Dividendos</v>
      </c>
      <c r="E190" s="118">
        <v>0</v>
      </c>
      <c r="F190" s="118">
        <v>0</v>
      </c>
      <c r="G190" s="118">
        <v>0</v>
      </c>
      <c r="H190" s="118">
        <v>0</v>
      </c>
      <c r="I190" s="118">
        <v>0</v>
      </c>
      <c r="J190" s="118"/>
      <c r="K190" s="118"/>
      <c r="L190" s="316"/>
      <c r="M190" s="316">
        <v>0</v>
      </c>
      <c r="N190" s="316">
        <v>0</v>
      </c>
      <c r="O190" s="316">
        <v>0</v>
      </c>
      <c r="P190" s="316">
        <v>0</v>
      </c>
      <c r="Q190" s="316">
        <v>0</v>
      </c>
      <c r="R190" s="316">
        <v>0</v>
      </c>
      <c r="S190" s="316">
        <v>0</v>
      </c>
      <c r="T190" s="316">
        <v>0</v>
      </c>
      <c r="U190" s="316">
        <v>0</v>
      </c>
      <c r="V190" s="118">
        <f t="shared" si="28"/>
        <v>0</v>
      </c>
    </row>
    <row r="191" spans="1:22" customFormat="1" ht="14.25" customHeight="1" x14ac:dyDescent="0.2">
      <c r="A191" s="532" t="s">
        <v>1412</v>
      </c>
      <c r="B191" s="532" t="s">
        <v>1413</v>
      </c>
      <c r="D191" s="129" t="str">
        <f>IF([1]RENAME!$H$3=1,B182,A182)</f>
        <v>Constituição/baixa ágio (GDL-TLI)</v>
      </c>
      <c r="E191" s="118">
        <v>0</v>
      </c>
      <c r="F191" s="118">
        <v>0</v>
      </c>
      <c r="G191" s="118">
        <v>0</v>
      </c>
      <c r="H191" s="118">
        <v>0</v>
      </c>
      <c r="I191" s="118">
        <v>0</v>
      </c>
      <c r="J191" s="118"/>
      <c r="K191" s="118"/>
      <c r="L191" s="316"/>
      <c r="M191" s="316">
        <v>0</v>
      </c>
      <c r="N191" s="316">
        <v>0</v>
      </c>
      <c r="O191" s="316">
        <v>0</v>
      </c>
      <c r="P191" s="316">
        <v>0</v>
      </c>
      <c r="Q191" s="316">
        <v>0</v>
      </c>
      <c r="R191" s="316">
        <v>0</v>
      </c>
      <c r="S191" s="316">
        <v>0</v>
      </c>
      <c r="T191" s="316">
        <v>0</v>
      </c>
      <c r="U191" s="316">
        <v>0</v>
      </c>
      <c r="V191" s="118">
        <f t="shared" si="28"/>
        <v>0</v>
      </c>
    </row>
    <row r="192" spans="1:22" customFormat="1" x14ac:dyDescent="0.2">
      <c r="A192" s="532" t="s">
        <v>1586</v>
      </c>
      <c r="B192" s="532" t="s">
        <v>1589</v>
      </c>
      <c r="D192" s="126" t="str">
        <f>IF([1]RENAME!$H$3=1,B192,A192)</f>
        <v>Em 30 de dezembro de 2019</v>
      </c>
      <c r="E192" s="120">
        <f>SUM(E183:E191)</f>
        <v>59621</v>
      </c>
      <c r="F192" s="120">
        <f t="shared" ref="F192:V192" si="29">SUM(F183:F191)</f>
        <v>23423</v>
      </c>
      <c r="G192" s="120">
        <f t="shared" si="29"/>
        <v>107579</v>
      </c>
      <c r="H192" s="120">
        <f t="shared" si="29"/>
        <v>4517</v>
      </c>
      <c r="I192" s="120">
        <f t="shared" si="29"/>
        <v>37850</v>
      </c>
      <c r="J192" s="120"/>
      <c r="K192" s="120"/>
      <c r="L192" s="120"/>
      <c r="M192" s="120">
        <f t="shared" si="29"/>
        <v>0</v>
      </c>
      <c r="N192" s="120">
        <f t="shared" ref="N192:S192" si="30">SUM(N183:N191)</f>
        <v>493</v>
      </c>
      <c r="O192" s="120">
        <f t="shared" si="30"/>
        <v>14752</v>
      </c>
      <c r="P192" s="120">
        <f t="shared" si="30"/>
        <v>2664</v>
      </c>
      <c r="Q192" s="120">
        <f t="shared" si="30"/>
        <v>1</v>
      </c>
      <c r="R192" s="120">
        <f t="shared" si="30"/>
        <v>0</v>
      </c>
      <c r="S192" s="120">
        <f t="shared" si="30"/>
        <v>0</v>
      </c>
      <c r="T192" s="120">
        <f t="shared" si="29"/>
        <v>0</v>
      </c>
      <c r="U192" s="120">
        <f t="shared" si="29"/>
        <v>0</v>
      </c>
      <c r="V192" s="120">
        <f t="shared" si="29"/>
        <v>250900</v>
      </c>
    </row>
    <row r="193" spans="1:22" customFormat="1" x14ac:dyDescent="0.2"/>
    <row r="194" spans="1:22" customFormat="1" x14ac:dyDescent="0.2">
      <c r="A194" s="532" t="s">
        <v>225</v>
      </c>
      <c r="B194" s="532" t="s">
        <v>760</v>
      </c>
      <c r="C194" t="s">
        <v>1669</v>
      </c>
      <c r="D194" s="129" t="str">
        <f>IF([1]RENAME!$H$3=1,B185,A185)</f>
        <v>Equivalência patrimonial</v>
      </c>
      <c r="E194" s="118">
        <v>3433</v>
      </c>
      <c r="F194" s="118">
        <v>104</v>
      </c>
      <c r="G194" s="118">
        <v>582</v>
      </c>
      <c r="H194" s="118">
        <v>-21</v>
      </c>
      <c r="I194" s="118">
        <v>1464</v>
      </c>
      <c r="J194" s="118"/>
      <c r="K194" s="118"/>
      <c r="L194" s="316"/>
      <c r="M194" s="316">
        <v>0</v>
      </c>
      <c r="N194" s="316">
        <v>-70</v>
      </c>
      <c r="O194" s="316">
        <v>3331</v>
      </c>
      <c r="P194" s="316">
        <v>12</v>
      </c>
      <c r="Q194" s="316">
        <v>0</v>
      </c>
      <c r="R194" s="316" t="s">
        <v>160</v>
      </c>
      <c r="S194" s="316">
        <v>0</v>
      </c>
      <c r="T194" s="316">
        <v>0</v>
      </c>
      <c r="U194" s="316">
        <v>0</v>
      </c>
      <c r="V194" s="118">
        <v>8835</v>
      </c>
    </row>
    <row r="195" spans="1:22" customFormat="1" x14ac:dyDescent="0.2">
      <c r="A195" s="532" t="s">
        <v>1171</v>
      </c>
      <c r="B195" s="532" t="s">
        <v>1172</v>
      </c>
      <c r="D195" s="129" t="str">
        <f>IF([1]RENAME!$H$3=1,B186,A186)</f>
        <v>Redução de capital</v>
      </c>
      <c r="E195" s="118">
        <v>0</v>
      </c>
      <c r="F195" s="118">
        <v>0</v>
      </c>
      <c r="G195" s="118">
        <v>0</v>
      </c>
      <c r="H195" s="118">
        <v>0</v>
      </c>
      <c r="I195" s="118">
        <v>0</v>
      </c>
      <c r="J195" s="118"/>
      <c r="K195" s="118"/>
      <c r="L195" s="316"/>
      <c r="M195" s="316">
        <v>0</v>
      </c>
      <c r="N195" s="316">
        <v>0</v>
      </c>
      <c r="O195" s="316">
        <v>0</v>
      </c>
      <c r="P195" s="316">
        <v>0</v>
      </c>
      <c r="Q195" s="316">
        <v>0</v>
      </c>
      <c r="R195" s="316" t="s">
        <v>160</v>
      </c>
      <c r="S195" s="316">
        <v>1</v>
      </c>
      <c r="T195" s="316">
        <v>0</v>
      </c>
      <c r="U195" s="316">
        <v>0</v>
      </c>
      <c r="V195" s="118">
        <v>1</v>
      </c>
    </row>
    <row r="196" spans="1:22" customFormat="1" x14ac:dyDescent="0.2">
      <c r="A196" s="532" t="s">
        <v>1324</v>
      </c>
      <c r="B196" s="532" t="s">
        <v>1323</v>
      </c>
      <c r="D196" s="129" t="str">
        <f>IF([1]RENAME!$H$3=1,B187,A187)</f>
        <v>Aumento de capital</v>
      </c>
      <c r="E196" s="118">
        <v>8726</v>
      </c>
      <c r="F196" s="118">
        <v>-5746</v>
      </c>
      <c r="G196" s="118">
        <v>0</v>
      </c>
      <c r="H196" s="118">
        <v>0</v>
      </c>
      <c r="I196" s="118">
        <v>0</v>
      </c>
      <c r="J196" s="118"/>
      <c r="K196" s="118"/>
      <c r="L196" s="316"/>
      <c r="M196" s="316">
        <v>0</v>
      </c>
      <c r="N196" s="316">
        <v>0</v>
      </c>
      <c r="O196" s="316">
        <v>0</v>
      </c>
      <c r="P196" s="316">
        <v>0</v>
      </c>
      <c r="Q196" s="316">
        <v>0</v>
      </c>
      <c r="R196" s="316" t="s">
        <v>160</v>
      </c>
      <c r="S196" s="316">
        <v>0</v>
      </c>
      <c r="T196" s="316">
        <v>0</v>
      </c>
      <c r="U196" s="316">
        <v>0</v>
      </c>
      <c r="V196" s="118">
        <v>2980</v>
      </c>
    </row>
    <row r="197" spans="1:22" customFormat="1" x14ac:dyDescent="0.2">
      <c r="A197" s="532" t="s">
        <v>371</v>
      </c>
      <c r="B197" s="532" t="s">
        <v>1325</v>
      </c>
      <c r="D197" s="129" t="str">
        <f>IF([1]RENAME!$H$3=1,B188,A188)</f>
        <v>Aquisição de controlada</v>
      </c>
      <c r="E197" s="118">
        <v>0</v>
      </c>
      <c r="F197" s="118">
        <v>0</v>
      </c>
      <c r="G197" s="118">
        <v>0</v>
      </c>
      <c r="H197" s="118">
        <v>0</v>
      </c>
      <c r="I197" s="118">
        <v>0</v>
      </c>
      <c r="J197" s="118"/>
      <c r="K197" s="118"/>
      <c r="L197" s="316"/>
      <c r="M197" s="316">
        <v>0</v>
      </c>
      <c r="N197" s="316">
        <v>0</v>
      </c>
      <c r="O197" s="316">
        <v>0</v>
      </c>
      <c r="P197" s="316">
        <v>0</v>
      </c>
      <c r="Q197" s="316">
        <v>0</v>
      </c>
      <c r="R197" s="316" t="s">
        <v>160</v>
      </c>
      <c r="S197" s="316">
        <v>0</v>
      </c>
      <c r="T197" s="316">
        <v>0</v>
      </c>
      <c r="U197" s="316">
        <v>0</v>
      </c>
      <c r="V197" s="118">
        <v>0</v>
      </c>
    </row>
    <row r="198" spans="1:22" customFormat="1" x14ac:dyDescent="0.2">
      <c r="A198" s="532" t="s">
        <v>1311</v>
      </c>
      <c r="B198" s="532" t="s">
        <v>1480</v>
      </c>
      <c r="D198" s="129" t="str">
        <f>IF([1]RENAME!$H$3=1,B189,A189)</f>
        <v>Reestruturação societária</v>
      </c>
      <c r="E198" s="118">
        <v>0</v>
      </c>
      <c r="F198" s="118">
        <v>0</v>
      </c>
      <c r="G198" s="118">
        <v>0</v>
      </c>
      <c r="H198" s="118">
        <v>0</v>
      </c>
      <c r="I198" s="118">
        <v>0</v>
      </c>
      <c r="J198" s="118"/>
      <c r="K198" s="118"/>
      <c r="L198" s="316"/>
      <c r="M198" s="316">
        <v>0</v>
      </c>
      <c r="N198" s="316">
        <v>0</v>
      </c>
      <c r="O198" s="316">
        <v>0</v>
      </c>
      <c r="P198" s="316">
        <v>0</v>
      </c>
      <c r="Q198" s="316">
        <v>0</v>
      </c>
      <c r="R198" s="316" t="s">
        <v>160</v>
      </c>
      <c r="S198" s="316">
        <v>0</v>
      </c>
      <c r="T198" s="316">
        <v>0</v>
      </c>
      <c r="U198" s="316">
        <v>0</v>
      </c>
      <c r="V198" s="118">
        <v>0</v>
      </c>
    </row>
    <row r="199" spans="1:22" customFormat="1" ht="14.25" customHeight="1" x14ac:dyDescent="0.2">
      <c r="A199" s="532" t="s">
        <v>430</v>
      </c>
      <c r="B199" s="532" t="s">
        <v>648</v>
      </c>
      <c r="D199" s="129" t="str">
        <f>IF([1]RENAME!$H$3=1,B190,A190)</f>
        <v>Dividendos</v>
      </c>
      <c r="E199" s="118">
        <v>0</v>
      </c>
      <c r="F199" s="118">
        <v>0</v>
      </c>
      <c r="G199" s="118">
        <v>0</v>
      </c>
      <c r="H199" s="118">
        <v>0</v>
      </c>
      <c r="I199" s="118">
        <v>0</v>
      </c>
      <c r="J199" s="118"/>
      <c r="K199" s="118"/>
      <c r="L199" s="316"/>
      <c r="M199" s="316">
        <v>0</v>
      </c>
      <c r="N199" s="316">
        <v>0</v>
      </c>
      <c r="O199" s="316">
        <v>0</v>
      </c>
      <c r="P199" s="316">
        <v>0</v>
      </c>
      <c r="Q199" s="316">
        <v>0</v>
      </c>
      <c r="R199" s="316" t="s">
        <v>160</v>
      </c>
      <c r="S199" s="316">
        <v>0</v>
      </c>
      <c r="T199" s="316">
        <v>0</v>
      </c>
      <c r="U199" s="316">
        <v>0</v>
      </c>
      <c r="V199" s="118">
        <v>0</v>
      </c>
    </row>
    <row r="200" spans="1:22" customFormat="1" ht="14.25" customHeight="1" x14ac:dyDescent="0.2">
      <c r="A200" s="532" t="s">
        <v>1412</v>
      </c>
      <c r="B200" s="532" t="s">
        <v>1413</v>
      </c>
      <c r="D200" s="129" t="str">
        <f>IF([1]RENAME!$H$3=1,B191,A191)</f>
        <v>Constituição/baixa ágio (GDL-TLI)</v>
      </c>
      <c r="E200" s="118">
        <v>0</v>
      </c>
      <c r="F200" s="118">
        <v>0</v>
      </c>
      <c r="G200" s="118">
        <v>0</v>
      </c>
      <c r="H200" s="118">
        <v>0</v>
      </c>
      <c r="I200" s="118">
        <v>0</v>
      </c>
      <c r="J200" s="118"/>
      <c r="K200" s="118"/>
      <c r="L200" s="316"/>
      <c r="M200" s="316">
        <v>0</v>
      </c>
      <c r="N200" s="316">
        <v>0</v>
      </c>
      <c r="O200" s="316">
        <v>0</v>
      </c>
      <c r="P200" s="316">
        <v>0</v>
      </c>
      <c r="Q200" s="316">
        <v>0</v>
      </c>
      <c r="R200" s="316" t="s">
        <v>160</v>
      </c>
      <c r="S200" s="316">
        <v>0</v>
      </c>
      <c r="T200" s="316">
        <v>0</v>
      </c>
      <c r="U200" s="316">
        <v>0</v>
      </c>
      <c r="V200" s="118">
        <v>0</v>
      </c>
    </row>
    <row r="201" spans="1:22" customFormat="1" x14ac:dyDescent="0.2">
      <c r="A201" s="532" t="s">
        <v>1629</v>
      </c>
      <c r="B201" s="532" t="s">
        <v>1633</v>
      </c>
      <c r="D201" s="126" t="str">
        <f>IF([1]RENAME!$H$3=1,B201,A201)</f>
        <v>Em 31 de março de 2020</v>
      </c>
      <c r="E201" s="120">
        <f>SUM(E192:E200)</f>
        <v>71780</v>
      </c>
      <c r="F201" s="120">
        <f t="shared" ref="F201:V201" si="31">SUM(F192:F200)</f>
        <v>17781</v>
      </c>
      <c r="G201" s="120">
        <f t="shared" si="31"/>
        <v>108161</v>
      </c>
      <c r="H201" s="120">
        <f t="shared" si="31"/>
        <v>4496</v>
      </c>
      <c r="I201" s="120">
        <f t="shared" si="31"/>
        <v>39314</v>
      </c>
      <c r="J201" s="120"/>
      <c r="K201" s="120"/>
      <c r="L201" s="120"/>
      <c r="M201" s="120">
        <f t="shared" si="31"/>
        <v>0</v>
      </c>
      <c r="N201" s="120">
        <f t="shared" ref="N201:S201" si="32">SUM(N192:N200)</f>
        <v>423</v>
      </c>
      <c r="O201" s="120">
        <f t="shared" si="32"/>
        <v>18083</v>
      </c>
      <c r="P201" s="120">
        <f t="shared" si="32"/>
        <v>2676</v>
      </c>
      <c r="Q201" s="120">
        <f t="shared" si="32"/>
        <v>1</v>
      </c>
      <c r="R201" s="120">
        <f t="shared" si="32"/>
        <v>0</v>
      </c>
      <c r="S201" s="120">
        <f t="shared" si="32"/>
        <v>1</v>
      </c>
      <c r="T201" s="120">
        <f t="shared" si="31"/>
        <v>0</v>
      </c>
      <c r="U201" s="120">
        <f t="shared" si="31"/>
        <v>0</v>
      </c>
      <c r="V201" s="120">
        <f t="shared" si="31"/>
        <v>262716</v>
      </c>
    </row>
    <row r="203" spans="1:22" customFormat="1" x14ac:dyDescent="0.2">
      <c r="A203" s="532" t="s">
        <v>225</v>
      </c>
      <c r="B203" s="532" t="s">
        <v>760</v>
      </c>
      <c r="C203" t="s">
        <v>1669</v>
      </c>
      <c r="D203" s="129" t="str">
        <f>IF([1]RENAME!$H$3=1,B194,A194)</f>
        <v>Equivalência patrimonial</v>
      </c>
      <c r="E203" s="118">
        <v>4704</v>
      </c>
      <c r="F203" s="118">
        <v>1368</v>
      </c>
      <c r="G203" s="118">
        <v>582</v>
      </c>
      <c r="H203" s="118">
        <v>-6</v>
      </c>
      <c r="I203" s="118">
        <v>2477</v>
      </c>
      <c r="J203" s="118"/>
      <c r="K203" s="118"/>
      <c r="L203" s="316"/>
      <c r="M203" s="316">
        <v>0</v>
      </c>
      <c r="N203" s="316">
        <v>-65</v>
      </c>
      <c r="O203" s="316">
        <v>1766</v>
      </c>
      <c r="P203" s="316">
        <v>7</v>
      </c>
      <c r="Q203" s="316">
        <v>0</v>
      </c>
      <c r="R203" s="316" t="s">
        <v>160</v>
      </c>
      <c r="S203" s="316">
        <v>0</v>
      </c>
      <c r="T203" s="316">
        <v>0</v>
      </c>
      <c r="U203" s="316">
        <v>0</v>
      </c>
      <c r="V203" s="118">
        <f t="shared" ref="V203:V209" si="33">SUM(E203:U203)</f>
        <v>10833</v>
      </c>
    </row>
    <row r="204" spans="1:22" customFormat="1" x14ac:dyDescent="0.2">
      <c r="A204" s="532" t="s">
        <v>1171</v>
      </c>
      <c r="B204" s="532" t="s">
        <v>1172</v>
      </c>
      <c r="D204" s="129" t="str">
        <f>IF([1]RENAME!$H$3=1,B195,A195)</f>
        <v>Redução de capital</v>
      </c>
      <c r="E204" s="118">
        <v>0</v>
      </c>
      <c r="F204" s="118">
        <v>0</v>
      </c>
      <c r="G204" s="118">
        <v>0</v>
      </c>
      <c r="H204" s="118">
        <v>0</v>
      </c>
      <c r="I204" s="118">
        <v>0</v>
      </c>
      <c r="J204" s="118"/>
      <c r="K204" s="118"/>
      <c r="L204" s="316"/>
      <c r="M204" s="316">
        <v>0</v>
      </c>
      <c r="N204" s="316">
        <v>0</v>
      </c>
      <c r="O204" s="316">
        <v>0</v>
      </c>
      <c r="P204" s="316">
        <v>0</v>
      </c>
      <c r="Q204" s="316">
        <v>0</v>
      </c>
      <c r="R204" s="316" t="s">
        <v>160</v>
      </c>
      <c r="S204" s="316">
        <v>0</v>
      </c>
      <c r="T204" s="316">
        <v>0</v>
      </c>
      <c r="U204" s="316">
        <v>0</v>
      </c>
      <c r="V204" s="118">
        <f t="shared" si="33"/>
        <v>0</v>
      </c>
    </row>
    <row r="205" spans="1:22" customFormat="1" x14ac:dyDescent="0.2">
      <c r="A205" s="532" t="s">
        <v>1324</v>
      </c>
      <c r="B205" s="532" t="s">
        <v>1323</v>
      </c>
      <c r="D205" s="129" t="str">
        <f>IF([1]RENAME!$H$3=1,B196,A196)</f>
        <v>Aumento de capital</v>
      </c>
      <c r="E205" s="118">
        <v>0</v>
      </c>
      <c r="F205" s="118">
        <v>0</v>
      </c>
      <c r="G205" s="118">
        <v>0</v>
      </c>
      <c r="H205" s="118">
        <v>134</v>
      </c>
      <c r="I205" s="118">
        <v>0</v>
      </c>
      <c r="J205" s="118"/>
      <c r="K205" s="118"/>
      <c r="L205" s="316"/>
      <c r="M205" s="316">
        <v>0</v>
      </c>
      <c r="N205" s="316">
        <v>0</v>
      </c>
      <c r="O205" s="316">
        <v>0</v>
      </c>
      <c r="P205" s="316">
        <v>0</v>
      </c>
      <c r="Q205" s="316">
        <v>0</v>
      </c>
      <c r="R205" s="316" t="s">
        <v>160</v>
      </c>
      <c r="S205" s="316">
        <v>0</v>
      </c>
      <c r="T205" s="316">
        <v>0</v>
      </c>
      <c r="U205" s="316">
        <v>0</v>
      </c>
      <c r="V205" s="118">
        <f t="shared" si="33"/>
        <v>134</v>
      </c>
    </row>
    <row r="206" spans="1:22" customFormat="1" x14ac:dyDescent="0.2">
      <c r="A206" s="532" t="s">
        <v>371</v>
      </c>
      <c r="B206" s="532" t="s">
        <v>1325</v>
      </c>
      <c r="D206" s="129" t="str">
        <f>IF([1]RENAME!$H$3=1,B197,A197)</f>
        <v>Aquisição de controlada</v>
      </c>
      <c r="E206" s="118">
        <v>0</v>
      </c>
      <c r="F206" s="118">
        <v>0</v>
      </c>
      <c r="G206" s="118">
        <v>0</v>
      </c>
      <c r="H206" s="118">
        <v>0</v>
      </c>
      <c r="I206" s="118">
        <v>0</v>
      </c>
      <c r="J206" s="118"/>
      <c r="K206" s="118"/>
      <c r="L206" s="316"/>
      <c r="M206" s="316">
        <v>0</v>
      </c>
      <c r="N206" s="316">
        <v>0</v>
      </c>
      <c r="O206" s="316">
        <v>0</v>
      </c>
      <c r="P206" s="316">
        <v>0</v>
      </c>
      <c r="Q206" s="316">
        <v>0</v>
      </c>
      <c r="R206" s="316" t="s">
        <v>160</v>
      </c>
      <c r="S206" s="316">
        <v>0</v>
      </c>
      <c r="T206" s="316">
        <v>0</v>
      </c>
      <c r="U206" s="316">
        <v>0</v>
      </c>
      <c r="V206" s="118">
        <f t="shared" si="33"/>
        <v>0</v>
      </c>
    </row>
    <row r="207" spans="1:22" customFormat="1" x14ac:dyDescent="0.2">
      <c r="A207" s="532" t="s">
        <v>1311</v>
      </c>
      <c r="B207" s="532" t="s">
        <v>1480</v>
      </c>
      <c r="D207" s="129" t="str">
        <f>IF([1]RENAME!$H$3=1,B198,A198)</f>
        <v>Reestruturação societária</v>
      </c>
      <c r="E207" s="118">
        <v>0</v>
      </c>
      <c r="F207" s="118">
        <v>0</v>
      </c>
      <c r="G207" s="118">
        <v>0</v>
      </c>
      <c r="H207" s="118">
        <v>0</v>
      </c>
      <c r="I207" s="118">
        <v>0</v>
      </c>
      <c r="J207" s="118"/>
      <c r="K207" s="118"/>
      <c r="L207" s="316"/>
      <c r="M207" s="316">
        <v>0</v>
      </c>
      <c r="N207" s="316">
        <v>0</v>
      </c>
      <c r="O207" s="316">
        <v>0</v>
      </c>
      <c r="P207" s="316">
        <v>0</v>
      </c>
      <c r="Q207" s="316">
        <v>0</v>
      </c>
      <c r="R207" s="316" t="s">
        <v>160</v>
      </c>
      <c r="S207" s="316">
        <v>0</v>
      </c>
      <c r="T207" s="316">
        <v>0</v>
      </c>
      <c r="U207" s="316">
        <v>0</v>
      </c>
      <c r="V207" s="118">
        <f t="shared" si="33"/>
        <v>0</v>
      </c>
    </row>
    <row r="208" spans="1:22" customFormat="1" ht="14.25" customHeight="1" x14ac:dyDescent="0.2">
      <c r="A208" s="532" t="s">
        <v>430</v>
      </c>
      <c r="B208" s="532" t="s">
        <v>648</v>
      </c>
      <c r="D208" s="129" t="str">
        <f>IF([1]RENAME!$H$3=1,B199,A199)</f>
        <v>Dividendos</v>
      </c>
      <c r="E208" s="118">
        <v>-21317</v>
      </c>
      <c r="F208" s="118">
        <v>0</v>
      </c>
      <c r="G208" s="118">
        <v>-1878</v>
      </c>
      <c r="H208" s="118">
        <v>0</v>
      </c>
      <c r="I208" s="118">
        <v>-1567</v>
      </c>
      <c r="J208" s="118"/>
      <c r="K208" s="118"/>
      <c r="L208" s="316"/>
      <c r="M208" s="316">
        <v>0</v>
      </c>
      <c r="N208" s="316">
        <v>0</v>
      </c>
      <c r="O208" s="316">
        <v>0</v>
      </c>
      <c r="P208" s="316">
        <v>-150</v>
      </c>
      <c r="Q208" s="316">
        <v>0</v>
      </c>
      <c r="R208" s="316" t="s">
        <v>160</v>
      </c>
      <c r="S208" s="316">
        <v>0</v>
      </c>
      <c r="T208" s="316">
        <v>0</v>
      </c>
      <c r="U208" s="316">
        <v>0</v>
      </c>
      <c r="V208" s="118">
        <f t="shared" si="33"/>
        <v>-24912</v>
      </c>
    </row>
    <row r="209" spans="1:22" customFormat="1" ht="14.25" customHeight="1" x14ac:dyDescent="0.2">
      <c r="A209" s="532" t="s">
        <v>1412</v>
      </c>
      <c r="B209" s="532" t="s">
        <v>1413</v>
      </c>
      <c r="D209" s="129" t="str">
        <f>IF([1]RENAME!$H$3=1,B200,A200)</f>
        <v>Constituição/baixa ágio (GDL-TLI)</v>
      </c>
      <c r="E209" s="118">
        <v>0</v>
      </c>
      <c r="F209" s="118">
        <v>0</v>
      </c>
      <c r="G209" s="118">
        <v>0</v>
      </c>
      <c r="H209" s="118">
        <v>0</v>
      </c>
      <c r="I209" s="118">
        <v>0</v>
      </c>
      <c r="J209" s="118"/>
      <c r="K209" s="118"/>
      <c r="L209" s="316"/>
      <c r="M209" s="316">
        <v>0</v>
      </c>
      <c r="N209" s="316">
        <v>0</v>
      </c>
      <c r="O209" s="316">
        <v>0</v>
      </c>
      <c r="P209" s="316">
        <v>0</v>
      </c>
      <c r="Q209" s="316">
        <v>0</v>
      </c>
      <c r="R209" s="316" t="s">
        <v>160</v>
      </c>
      <c r="S209" s="316">
        <v>0</v>
      </c>
      <c r="T209" s="316">
        <v>0</v>
      </c>
      <c r="U209" s="316">
        <v>0</v>
      </c>
      <c r="V209" s="118">
        <f t="shared" si="33"/>
        <v>0</v>
      </c>
    </row>
    <row r="210" spans="1:22" customFormat="1" x14ac:dyDescent="0.2">
      <c r="A210" s="532" t="s">
        <v>1670</v>
      </c>
      <c r="B210" s="532" t="s">
        <v>1671</v>
      </c>
      <c r="D210" s="126" t="str">
        <f>IF([1]RENAME!$H$3=1,B210,A210)</f>
        <v>Em 30 de junho de 2020</v>
      </c>
      <c r="E210" s="120">
        <f>SUM(E201:E209)</f>
        <v>55167</v>
      </c>
      <c r="F210" s="120">
        <f t="shared" ref="F210:V210" si="34">SUM(F201:F209)</f>
        <v>19149</v>
      </c>
      <c r="G210" s="120">
        <f t="shared" si="34"/>
        <v>106865</v>
      </c>
      <c r="H210" s="120">
        <f t="shared" si="34"/>
        <v>4624</v>
      </c>
      <c r="I210" s="120">
        <f t="shared" si="34"/>
        <v>40224</v>
      </c>
      <c r="J210" s="120"/>
      <c r="K210" s="120"/>
      <c r="L210" s="120"/>
      <c r="M210" s="120">
        <f t="shared" si="34"/>
        <v>0</v>
      </c>
      <c r="N210" s="120">
        <f t="shared" ref="N210:S210" si="35">SUM(N201:N209)</f>
        <v>358</v>
      </c>
      <c r="O210" s="120">
        <f t="shared" si="35"/>
        <v>19849</v>
      </c>
      <c r="P210" s="120">
        <f t="shared" si="35"/>
        <v>2533</v>
      </c>
      <c r="Q210" s="120">
        <f t="shared" si="35"/>
        <v>1</v>
      </c>
      <c r="R210" s="120">
        <f t="shared" si="35"/>
        <v>0</v>
      </c>
      <c r="S210" s="120">
        <f t="shared" si="35"/>
        <v>1</v>
      </c>
      <c r="T210" s="120">
        <f t="shared" si="34"/>
        <v>0</v>
      </c>
      <c r="U210" s="120">
        <f t="shared" si="34"/>
        <v>0</v>
      </c>
      <c r="V210" s="120">
        <f t="shared" si="34"/>
        <v>248771</v>
      </c>
    </row>
    <row r="212" spans="1:22" customFormat="1" x14ac:dyDescent="0.2">
      <c r="A212" s="532" t="s">
        <v>225</v>
      </c>
      <c r="B212" s="532" t="s">
        <v>760</v>
      </c>
      <c r="C212" t="s">
        <v>1669</v>
      </c>
      <c r="D212" s="129" t="str">
        <f>IF([1]RENAME!$H$3=1,B203,A203)</f>
        <v>Equivalência patrimonial</v>
      </c>
      <c r="E212" s="118">
        <v>4443</v>
      </c>
      <c r="F212" s="118">
        <v>479</v>
      </c>
      <c r="G212" s="118">
        <v>568</v>
      </c>
      <c r="H212" s="118">
        <v>-13</v>
      </c>
      <c r="I212" s="118">
        <v>2561</v>
      </c>
      <c r="J212" s="118"/>
      <c r="K212" s="118"/>
      <c r="L212" s="316"/>
      <c r="M212" s="316">
        <v>0</v>
      </c>
      <c r="N212" s="316">
        <v>71</v>
      </c>
      <c r="O212" s="316">
        <v>2468</v>
      </c>
      <c r="P212" s="316">
        <v>3</v>
      </c>
      <c r="Q212" s="316">
        <v>0</v>
      </c>
      <c r="R212" s="316" t="s">
        <v>160</v>
      </c>
      <c r="S212" s="316">
        <v>0</v>
      </c>
      <c r="T212" s="316">
        <v>0</v>
      </c>
      <c r="U212" s="316">
        <v>0</v>
      </c>
      <c r="V212" s="118">
        <f t="shared" ref="V212:V218" si="36">SUM(E212:U212)</f>
        <v>10580</v>
      </c>
    </row>
    <row r="213" spans="1:22" customFormat="1" x14ac:dyDescent="0.2">
      <c r="A213" s="532" t="s">
        <v>1171</v>
      </c>
      <c r="B213" s="532" t="s">
        <v>1172</v>
      </c>
      <c r="D213" s="129" t="str">
        <f>IF([1]RENAME!$H$3=1,B204,A204)</f>
        <v>Redução de capital</v>
      </c>
      <c r="E213" s="118">
        <v>0</v>
      </c>
      <c r="F213" s="118">
        <v>0</v>
      </c>
      <c r="G213" s="118">
        <v>0</v>
      </c>
      <c r="H213" s="118">
        <v>0</v>
      </c>
      <c r="I213" s="118">
        <v>0</v>
      </c>
      <c r="J213" s="118"/>
      <c r="K213" s="118"/>
      <c r="L213" s="316"/>
      <c r="M213" s="316">
        <v>0</v>
      </c>
      <c r="N213" s="316">
        <v>0</v>
      </c>
      <c r="O213" s="316">
        <v>0</v>
      </c>
      <c r="P213" s="316">
        <v>0</v>
      </c>
      <c r="Q213" s="316">
        <v>0</v>
      </c>
      <c r="R213" s="316" t="s">
        <v>160</v>
      </c>
      <c r="S213" s="316">
        <v>0</v>
      </c>
      <c r="T213" s="316">
        <v>0</v>
      </c>
      <c r="U213" s="316">
        <v>0</v>
      </c>
      <c r="V213" s="118">
        <f t="shared" si="36"/>
        <v>0</v>
      </c>
    </row>
    <row r="214" spans="1:22" customFormat="1" x14ac:dyDescent="0.2">
      <c r="A214" s="532" t="s">
        <v>1324</v>
      </c>
      <c r="B214" s="532" t="s">
        <v>1323</v>
      </c>
      <c r="D214" s="129" t="str">
        <f>IF([1]RENAME!$H$3=1,B205,A205)</f>
        <v>Aumento de capital</v>
      </c>
      <c r="E214" s="118">
        <v>0</v>
      </c>
      <c r="F214" s="118">
        <v>0</v>
      </c>
      <c r="G214" s="118">
        <v>0</v>
      </c>
      <c r="H214" s="118">
        <v>30</v>
      </c>
      <c r="I214" s="118">
        <v>0</v>
      </c>
      <c r="J214" s="118"/>
      <c r="K214" s="118"/>
      <c r="L214" s="316"/>
      <c r="M214" s="316">
        <v>0</v>
      </c>
      <c r="N214" s="316">
        <v>0</v>
      </c>
      <c r="O214" s="316">
        <v>0</v>
      </c>
      <c r="P214" s="316">
        <v>0</v>
      </c>
      <c r="Q214" s="316">
        <v>0</v>
      </c>
      <c r="R214" s="316" t="s">
        <v>160</v>
      </c>
      <c r="S214" s="316">
        <v>0</v>
      </c>
      <c r="T214" s="316">
        <v>0</v>
      </c>
      <c r="U214" s="316">
        <v>0</v>
      </c>
      <c r="V214" s="118">
        <f t="shared" si="36"/>
        <v>30</v>
      </c>
    </row>
    <row r="215" spans="1:22" customFormat="1" x14ac:dyDescent="0.2">
      <c r="A215" s="532" t="s">
        <v>371</v>
      </c>
      <c r="B215" s="532" t="s">
        <v>1325</v>
      </c>
      <c r="D215" s="129" t="str">
        <f>IF([1]RENAME!$H$3=1,B206,A206)</f>
        <v>Aquisição de controlada</v>
      </c>
      <c r="E215" s="118">
        <v>0</v>
      </c>
      <c r="F215" s="118">
        <v>0</v>
      </c>
      <c r="G215" s="118">
        <v>0</v>
      </c>
      <c r="H215" s="118">
        <v>0</v>
      </c>
      <c r="I215" s="118">
        <v>0</v>
      </c>
      <c r="J215" s="118"/>
      <c r="K215" s="118"/>
      <c r="L215" s="316"/>
      <c r="M215" s="316">
        <v>0</v>
      </c>
      <c r="N215" s="316">
        <v>0</v>
      </c>
      <c r="O215" s="316">
        <v>0</v>
      </c>
      <c r="P215" s="316">
        <v>0</v>
      </c>
      <c r="Q215" s="316">
        <v>0</v>
      </c>
      <c r="R215" s="316" t="s">
        <v>160</v>
      </c>
      <c r="S215" s="316">
        <v>0</v>
      </c>
      <c r="T215" s="316">
        <v>0</v>
      </c>
      <c r="U215" s="316">
        <v>0</v>
      </c>
      <c r="V215" s="118">
        <f t="shared" si="36"/>
        <v>0</v>
      </c>
    </row>
    <row r="216" spans="1:22" customFormat="1" x14ac:dyDescent="0.2">
      <c r="A216" s="532" t="s">
        <v>1311</v>
      </c>
      <c r="B216" s="532" t="s">
        <v>1480</v>
      </c>
      <c r="D216" s="129" t="str">
        <f>IF([1]RENAME!$H$3=1,B207,A207)</f>
        <v>Reestruturação societária</v>
      </c>
      <c r="E216" s="118">
        <v>0</v>
      </c>
      <c r="F216" s="118">
        <v>0</v>
      </c>
      <c r="G216" s="118">
        <v>0</v>
      </c>
      <c r="H216" s="118">
        <v>0</v>
      </c>
      <c r="I216" s="118">
        <v>0</v>
      </c>
      <c r="J216" s="118"/>
      <c r="K216" s="118"/>
      <c r="L216" s="316"/>
      <c r="M216" s="316">
        <v>0</v>
      </c>
      <c r="N216" s="316">
        <v>0</v>
      </c>
      <c r="O216" s="316">
        <v>0</v>
      </c>
      <c r="P216" s="316">
        <v>0</v>
      </c>
      <c r="Q216" s="316">
        <v>0</v>
      </c>
      <c r="R216" s="316" t="s">
        <v>160</v>
      </c>
      <c r="S216" s="316">
        <v>0</v>
      </c>
      <c r="T216" s="316">
        <v>0</v>
      </c>
      <c r="U216" s="316">
        <v>0</v>
      </c>
      <c r="V216" s="118">
        <f t="shared" si="36"/>
        <v>0</v>
      </c>
    </row>
    <row r="217" spans="1:22" customFormat="1" ht="14.25" customHeight="1" x14ac:dyDescent="0.2">
      <c r="A217" s="532" t="s">
        <v>430</v>
      </c>
      <c r="B217" s="532" t="s">
        <v>648</v>
      </c>
      <c r="D217" s="129" t="str">
        <f>IF([1]RENAME!$H$3=1,B208,A208)</f>
        <v>Dividendos</v>
      </c>
      <c r="E217" s="118">
        <v>0</v>
      </c>
      <c r="F217" s="118">
        <v>0</v>
      </c>
      <c r="G217" s="118">
        <v>0</v>
      </c>
      <c r="H217" s="118">
        <v>0</v>
      </c>
      <c r="I217" s="118">
        <v>-3775</v>
      </c>
      <c r="J217" s="118"/>
      <c r="K217" s="118"/>
      <c r="L217" s="316"/>
      <c r="M217" s="316">
        <v>0</v>
      </c>
      <c r="N217" s="316">
        <v>0</v>
      </c>
      <c r="O217" s="316">
        <v>0</v>
      </c>
      <c r="P217" s="316">
        <v>0</v>
      </c>
      <c r="Q217" s="316">
        <v>0</v>
      </c>
      <c r="R217" s="316" t="s">
        <v>160</v>
      </c>
      <c r="S217" s="316">
        <v>0</v>
      </c>
      <c r="T217" s="316">
        <v>0</v>
      </c>
      <c r="U217" s="316">
        <v>0</v>
      </c>
      <c r="V217" s="118">
        <f t="shared" si="36"/>
        <v>-3775</v>
      </c>
    </row>
    <row r="218" spans="1:22" customFormat="1" ht="14.25" customHeight="1" x14ac:dyDescent="0.2">
      <c r="A218" s="532" t="s">
        <v>1412</v>
      </c>
      <c r="B218" s="532" t="s">
        <v>1413</v>
      </c>
      <c r="D218" s="129" t="str">
        <f>IF([1]RENAME!$H$3=1,B209,A209)</f>
        <v>Constituição/baixa ágio (GDL-TLI)</v>
      </c>
      <c r="E218" s="118">
        <v>0</v>
      </c>
      <c r="F218" s="118">
        <v>0</v>
      </c>
      <c r="G218" s="118">
        <v>0</v>
      </c>
      <c r="H218" s="118">
        <v>0</v>
      </c>
      <c r="I218" s="118">
        <v>0</v>
      </c>
      <c r="J218" s="118"/>
      <c r="K218" s="118"/>
      <c r="L218" s="316"/>
      <c r="M218" s="316">
        <v>0</v>
      </c>
      <c r="N218" s="316">
        <v>0</v>
      </c>
      <c r="O218" s="316">
        <v>0</v>
      </c>
      <c r="P218" s="316">
        <v>0</v>
      </c>
      <c r="Q218" s="316">
        <v>0</v>
      </c>
      <c r="R218" s="316" t="s">
        <v>160</v>
      </c>
      <c r="S218" s="316">
        <v>0</v>
      </c>
      <c r="T218" s="316">
        <v>0</v>
      </c>
      <c r="U218" s="316">
        <v>0</v>
      </c>
      <c r="V218" s="118">
        <f t="shared" si="36"/>
        <v>0</v>
      </c>
    </row>
    <row r="219" spans="1:22" customFormat="1" x14ac:dyDescent="0.2">
      <c r="A219" s="532" t="s">
        <v>1780</v>
      </c>
      <c r="B219" s="532" t="s">
        <v>1781</v>
      </c>
      <c r="D219" s="126" t="str">
        <f>IF([1]RENAME!$H$3=1,B219,A219)</f>
        <v>Em 30 de setembro de 2020</v>
      </c>
      <c r="E219" s="120">
        <f>SUM(E210:E218)</f>
        <v>59610</v>
      </c>
      <c r="F219" s="120">
        <f t="shared" ref="F219:V219" si="37">SUM(F210:F218)</f>
        <v>19628</v>
      </c>
      <c r="G219" s="120">
        <f t="shared" si="37"/>
        <v>107433</v>
      </c>
      <c r="H219" s="120">
        <f t="shared" si="37"/>
        <v>4641</v>
      </c>
      <c r="I219" s="120">
        <f t="shared" si="37"/>
        <v>39010</v>
      </c>
      <c r="J219" s="120"/>
      <c r="K219" s="120"/>
      <c r="L219" s="120"/>
      <c r="M219" s="120">
        <f t="shared" si="37"/>
        <v>0</v>
      </c>
      <c r="N219" s="120">
        <f t="shared" ref="N219:S219" si="38">SUM(N210:N218)</f>
        <v>429</v>
      </c>
      <c r="O219" s="120">
        <f t="shared" si="38"/>
        <v>22317</v>
      </c>
      <c r="P219" s="120">
        <f t="shared" si="38"/>
        <v>2536</v>
      </c>
      <c r="Q219" s="120">
        <f t="shared" si="38"/>
        <v>1</v>
      </c>
      <c r="R219" s="120">
        <f t="shared" si="38"/>
        <v>0</v>
      </c>
      <c r="S219" s="120">
        <f t="shared" si="38"/>
        <v>1</v>
      </c>
      <c r="T219" s="120">
        <f t="shared" si="37"/>
        <v>0</v>
      </c>
      <c r="U219" s="120">
        <f t="shared" si="37"/>
        <v>0</v>
      </c>
      <c r="V219" s="120">
        <f t="shared" si="37"/>
        <v>255606</v>
      </c>
    </row>
    <row r="221" spans="1:22" customFormat="1" x14ac:dyDescent="0.2">
      <c r="A221" s="532" t="s">
        <v>225</v>
      </c>
      <c r="B221" s="532" t="s">
        <v>760</v>
      </c>
      <c r="C221" t="s">
        <v>1669</v>
      </c>
      <c r="D221" s="129" t="str">
        <f>IF([1]RENAME!$H$3=1,B221,A221)</f>
        <v>Equivalência patrimonial</v>
      </c>
      <c r="E221" s="118">
        <v>4383</v>
      </c>
      <c r="F221" s="118">
        <v>-3653</v>
      </c>
      <c r="G221" s="118">
        <v>1095</v>
      </c>
      <c r="H221" s="118">
        <v>31</v>
      </c>
      <c r="I221" s="118">
        <v>-143</v>
      </c>
      <c r="J221" s="118"/>
      <c r="K221" s="118"/>
      <c r="L221" s="316"/>
      <c r="M221" s="316">
        <v>0</v>
      </c>
      <c r="N221" s="316">
        <v>-19</v>
      </c>
      <c r="O221" s="316">
        <v>3009</v>
      </c>
      <c r="P221" s="316">
        <v>11</v>
      </c>
      <c r="Q221" s="316">
        <v>0</v>
      </c>
      <c r="R221" s="316" t="s">
        <v>160</v>
      </c>
      <c r="S221" s="316">
        <v>0</v>
      </c>
      <c r="T221" s="316">
        <v>0</v>
      </c>
      <c r="U221" s="316">
        <v>0</v>
      </c>
      <c r="V221" s="118">
        <f t="shared" ref="V221:V226" si="39">SUM(E221:U221)</f>
        <v>4714</v>
      </c>
    </row>
    <row r="222" spans="1:22" customFormat="1" x14ac:dyDescent="0.2">
      <c r="A222" s="532" t="s">
        <v>1833</v>
      </c>
      <c r="B222" s="532" t="s">
        <v>1834</v>
      </c>
      <c r="D222" s="129" t="str">
        <f>IF([1]RENAME!$H$3=1,B222,A222)</f>
        <v>Constituição de controlada</v>
      </c>
      <c r="E222" s="118">
        <v>0</v>
      </c>
      <c r="F222" s="118">
        <v>0</v>
      </c>
      <c r="G222" s="118">
        <v>0</v>
      </c>
      <c r="H222" s="118">
        <v>0</v>
      </c>
      <c r="I222" s="118">
        <v>0</v>
      </c>
      <c r="J222" s="118"/>
      <c r="K222" s="118"/>
      <c r="L222" s="316"/>
      <c r="M222" s="316">
        <v>0</v>
      </c>
      <c r="N222" s="316">
        <v>0</v>
      </c>
      <c r="O222" s="316">
        <v>0</v>
      </c>
      <c r="P222" s="316">
        <v>0</v>
      </c>
      <c r="Q222" s="316">
        <v>0</v>
      </c>
      <c r="R222" s="316" t="s">
        <v>160</v>
      </c>
      <c r="S222" s="316">
        <v>-1</v>
      </c>
      <c r="T222" s="316">
        <v>0</v>
      </c>
      <c r="U222" s="316">
        <v>0</v>
      </c>
      <c r="V222" s="118">
        <f t="shared" si="39"/>
        <v>-1</v>
      </c>
    </row>
    <row r="223" spans="1:22" customFormat="1" x14ac:dyDescent="0.2">
      <c r="A223" s="532" t="s">
        <v>1831</v>
      </c>
      <c r="B223" s="532" t="s">
        <v>1832</v>
      </c>
      <c r="D223" s="129" t="str">
        <f>IF([1]RENAME!$H$3=1,B223,A223)</f>
        <v>Aumento (Redução) de capital</v>
      </c>
      <c r="E223" s="118">
        <v>1</v>
      </c>
      <c r="F223" s="118">
        <v>0</v>
      </c>
      <c r="G223" s="118">
        <v>0</v>
      </c>
      <c r="H223" s="118">
        <v>235</v>
      </c>
      <c r="I223" s="118">
        <v>0</v>
      </c>
      <c r="J223" s="118"/>
      <c r="K223" s="118"/>
      <c r="L223" s="316"/>
      <c r="M223" s="316">
        <v>0</v>
      </c>
      <c r="N223" s="316">
        <v>0</v>
      </c>
      <c r="O223" s="316">
        <v>0</v>
      </c>
      <c r="P223" s="316">
        <v>-1170</v>
      </c>
      <c r="Q223" s="316">
        <v>0</v>
      </c>
      <c r="R223" s="316" t="s">
        <v>160</v>
      </c>
      <c r="S223" s="316">
        <v>0</v>
      </c>
      <c r="T223" s="316">
        <v>0</v>
      </c>
      <c r="U223" s="316">
        <v>0</v>
      </c>
      <c r="V223" s="118">
        <f t="shared" si="39"/>
        <v>-934</v>
      </c>
    </row>
    <row r="224" spans="1:22" customFormat="1" x14ac:dyDescent="0.2">
      <c r="A224" s="532" t="s">
        <v>1311</v>
      </c>
      <c r="B224" s="532" t="s">
        <v>1480</v>
      </c>
      <c r="D224" s="129" t="str">
        <f>IF([1]RENAME!$H$3=1,B224,A224)</f>
        <v>Reestruturação societária</v>
      </c>
      <c r="E224" s="118">
        <v>0</v>
      </c>
      <c r="F224" s="118">
        <v>0</v>
      </c>
      <c r="G224" s="118">
        <v>0</v>
      </c>
      <c r="H224" s="118">
        <v>0</v>
      </c>
      <c r="I224" s="118">
        <v>0</v>
      </c>
      <c r="J224" s="118"/>
      <c r="K224" s="118"/>
      <c r="L224" s="316"/>
      <c r="M224" s="316">
        <v>0</v>
      </c>
      <c r="N224" s="316">
        <v>0</v>
      </c>
      <c r="O224" s="316">
        <v>0</v>
      </c>
      <c r="P224" s="316">
        <v>0</v>
      </c>
      <c r="Q224" s="316">
        <v>0</v>
      </c>
      <c r="R224" s="316" t="s">
        <v>160</v>
      </c>
      <c r="S224" s="316">
        <v>0</v>
      </c>
      <c r="T224" s="316">
        <v>0</v>
      </c>
      <c r="U224" s="316">
        <v>0</v>
      </c>
      <c r="V224" s="118">
        <f t="shared" si="39"/>
        <v>0</v>
      </c>
    </row>
    <row r="225" spans="1:22" customFormat="1" ht="14.25" customHeight="1" x14ac:dyDescent="0.2">
      <c r="A225" s="532" t="s">
        <v>430</v>
      </c>
      <c r="B225" s="532" t="s">
        <v>648</v>
      </c>
      <c r="D225" s="129" t="str">
        <f>IF([1]RENAME!$H$3=1,B225,A225)</f>
        <v>Dividendos</v>
      </c>
      <c r="E225" s="118">
        <v>0</v>
      </c>
      <c r="F225" s="118">
        <v>0</v>
      </c>
      <c r="G225" s="118">
        <v>0</v>
      </c>
      <c r="H225" s="118">
        <v>0</v>
      </c>
      <c r="I225" s="118">
        <v>-2000</v>
      </c>
      <c r="J225" s="118"/>
      <c r="K225" s="118"/>
      <c r="L225" s="316"/>
      <c r="M225" s="316">
        <v>0</v>
      </c>
      <c r="N225" s="316">
        <v>0</v>
      </c>
      <c r="O225" s="316">
        <v>0</v>
      </c>
      <c r="P225" s="316">
        <v>0</v>
      </c>
      <c r="Q225" s="316">
        <v>0</v>
      </c>
      <c r="R225" s="316" t="s">
        <v>160</v>
      </c>
      <c r="S225" s="316">
        <v>0</v>
      </c>
      <c r="T225" s="316">
        <v>0</v>
      </c>
      <c r="U225" s="316">
        <v>0</v>
      </c>
      <c r="V225" s="118">
        <f t="shared" si="39"/>
        <v>-2000</v>
      </c>
    </row>
    <row r="226" spans="1:22" customFormat="1" ht="14.25" customHeight="1" x14ac:dyDescent="0.2">
      <c r="A226" s="532" t="s">
        <v>1412</v>
      </c>
      <c r="B226" s="532" t="s">
        <v>1413</v>
      </c>
      <c r="D226" s="129" t="str">
        <f>IF([1]RENAME!$H$3=1,B226,A226)</f>
        <v>Constituição/baixa ágio (GDL-TLI)</v>
      </c>
      <c r="E226" s="118">
        <v>0</v>
      </c>
      <c r="F226" s="118">
        <v>0</v>
      </c>
      <c r="G226" s="118">
        <v>0</v>
      </c>
      <c r="H226" s="118">
        <v>0</v>
      </c>
      <c r="I226" s="118">
        <v>0</v>
      </c>
      <c r="J226" s="118"/>
      <c r="K226" s="118"/>
      <c r="L226" s="316"/>
      <c r="M226" s="316">
        <v>0</v>
      </c>
      <c r="N226" s="316">
        <v>0</v>
      </c>
      <c r="O226" s="316">
        <v>0</v>
      </c>
      <c r="P226" s="316">
        <v>0</v>
      </c>
      <c r="Q226" s="316">
        <v>0</v>
      </c>
      <c r="R226" s="316" t="s">
        <v>160</v>
      </c>
      <c r="S226" s="316">
        <v>0</v>
      </c>
      <c r="T226" s="316">
        <v>0</v>
      </c>
      <c r="U226" s="316">
        <v>0</v>
      </c>
      <c r="V226" s="118">
        <f t="shared" si="39"/>
        <v>0</v>
      </c>
    </row>
    <row r="227" spans="1:22" customFormat="1" x14ac:dyDescent="0.2">
      <c r="A227" s="532" t="s">
        <v>1819</v>
      </c>
      <c r="B227" s="532" t="s">
        <v>1820</v>
      </c>
      <c r="D227" s="126" t="str">
        <f>IF([1]RENAME!$H$3=1,B227,A227)</f>
        <v>Em 30 de dezembro de 2020</v>
      </c>
      <c r="E227" s="120">
        <f>SUM(E219:E226)</f>
        <v>63994</v>
      </c>
      <c r="F227" s="120">
        <f t="shared" ref="F227:V227" si="40">SUM(F219:F226)</f>
        <v>15975</v>
      </c>
      <c r="G227" s="120">
        <f t="shared" si="40"/>
        <v>108528</v>
      </c>
      <c r="H227" s="120">
        <f t="shared" si="40"/>
        <v>4907</v>
      </c>
      <c r="I227" s="120">
        <f t="shared" si="40"/>
        <v>36867</v>
      </c>
      <c r="J227" s="120"/>
      <c r="K227" s="120"/>
      <c r="L227" s="120"/>
      <c r="M227" s="120">
        <f t="shared" si="40"/>
        <v>0</v>
      </c>
      <c r="N227" s="120">
        <f t="shared" ref="N227:S227" si="41">SUM(N219:N226)</f>
        <v>410</v>
      </c>
      <c r="O227" s="120">
        <f t="shared" si="41"/>
        <v>25326</v>
      </c>
      <c r="P227" s="120">
        <f t="shared" si="41"/>
        <v>1377</v>
      </c>
      <c r="Q227" s="120">
        <f t="shared" si="41"/>
        <v>1</v>
      </c>
      <c r="R227" s="120">
        <f t="shared" si="41"/>
        <v>0</v>
      </c>
      <c r="S227" s="120">
        <f t="shared" si="41"/>
        <v>0</v>
      </c>
      <c r="T227" s="120">
        <f t="shared" si="40"/>
        <v>0</v>
      </c>
      <c r="U227" s="120">
        <f t="shared" si="40"/>
        <v>0</v>
      </c>
      <c r="V227" s="120">
        <f t="shared" si="40"/>
        <v>257385</v>
      </c>
    </row>
    <row r="229" spans="1:22" customFormat="1" x14ac:dyDescent="0.2">
      <c r="A229" s="532" t="s">
        <v>225</v>
      </c>
      <c r="B229" s="532" t="s">
        <v>760</v>
      </c>
      <c r="C229" t="s">
        <v>1669</v>
      </c>
      <c r="D229" s="129" t="str">
        <f>IF([1]RENAME!$H$3=1,B229,A229)</f>
        <v>Equivalência patrimonial</v>
      </c>
      <c r="E229" s="118">
        <v>2185</v>
      </c>
      <c r="F229" s="118">
        <v>-439</v>
      </c>
      <c r="G229" s="118">
        <v>1069</v>
      </c>
      <c r="H229" s="118">
        <v>-18</v>
      </c>
      <c r="I229" s="118">
        <v>818</v>
      </c>
      <c r="J229" s="118"/>
      <c r="K229" s="118"/>
      <c r="L229" s="316"/>
      <c r="M229" s="316">
        <v>0</v>
      </c>
      <c r="N229" s="316">
        <v>-7</v>
      </c>
      <c r="O229" s="316">
        <v>1624</v>
      </c>
      <c r="P229" s="316">
        <v>1</v>
      </c>
      <c r="Q229" s="316">
        <v>0</v>
      </c>
      <c r="R229" s="316">
        <v>0</v>
      </c>
      <c r="S229" s="316">
        <v>0</v>
      </c>
      <c r="T229" s="316">
        <v>0</v>
      </c>
      <c r="U229" s="316">
        <v>0</v>
      </c>
      <c r="V229" s="118">
        <f t="shared" ref="V229:V234" si="42">SUM(E229:U229)</f>
        <v>5233</v>
      </c>
    </row>
    <row r="230" spans="1:22" customFormat="1" x14ac:dyDescent="0.2">
      <c r="A230" s="532" t="s">
        <v>1833</v>
      </c>
      <c r="B230" s="532" t="s">
        <v>1834</v>
      </c>
      <c r="D230" s="129" t="str">
        <f>IF([1]RENAME!$H$3=1,B230,A230)</f>
        <v>Constituição de controlada</v>
      </c>
      <c r="E230" s="118">
        <v>0</v>
      </c>
      <c r="F230" s="118">
        <v>0</v>
      </c>
      <c r="G230" s="118">
        <v>0</v>
      </c>
      <c r="H230" s="118">
        <v>0</v>
      </c>
      <c r="I230" s="118">
        <v>0</v>
      </c>
      <c r="J230" s="118"/>
      <c r="K230" s="118"/>
      <c r="L230" s="316"/>
      <c r="M230" s="316">
        <v>0</v>
      </c>
      <c r="N230" s="316">
        <v>0</v>
      </c>
      <c r="O230" s="316">
        <v>0</v>
      </c>
      <c r="P230" s="316">
        <v>0</v>
      </c>
      <c r="Q230" s="316">
        <v>0</v>
      </c>
      <c r="R230" s="316" t="s">
        <v>160</v>
      </c>
      <c r="S230" s="316">
        <v>0</v>
      </c>
      <c r="T230" s="316">
        <v>0</v>
      </c>
      <c r="U230" s="316">
        <v>0</v>
      </c>
      <c r="V230" s="118">
        <f t="shared" si="42"/>
        <v>0</v>
      </c>
    </row>
    <row r="231" spans="1:22" customFormat="1" x14ac:dyDescent="0.2">
      <c r="A231" s="532" t="s">
        <v>1831</v>
      </c>
      <c r="B231" s="532" t="s">
        <v>1832</v>
      </c>
      <c r="D231" s="129" t="str">
        <f>IF([1]RENAME!$H$3=1,B231,A231)</f>
        <v>Aumento (Redução) de capital</v>
      </c>
      <c r="E231" s="118">
        <v>0</v>
      </c>
      <c r="F231" s="118">
        <v>0</v>
      </c>
      <c r="G231" s="118">
        <v>0</v>
      </c>
      <c r="H231" s="118">
        <v>0</v>
      </c>
      <c r="I231" s="118">
        <v>0</v>
      </c>
      <c r="J231" s="118"/>
      <c r="K231" s="118"/>
      <c r="L231" s="316"/>
      <c r="M231" s="316">
        <v>0</v>
      </c>
      <c r="N231" s="316">
        <v>0</v>
      </c>
      <c r="O231" s="316">
        <v>0</v>
      </c>
      <c r="P231" s="316">
        <v>0</v>
      </c>
      <c r="Q231" s="316">
        <v>0</v>
      </c>
      <c r="R231" s="316" t="s">
        <v>160</v>
      </c>
      <c r="S231" s="316">
        <v>0</v>
      </c>
      <c r="T231" s="316">
        <v>0</v>
      </c>
      <c r="U231" s="316">
        <v>0</v>
      </c>
      <c r="V231" s="118">
        <f t="shared" si="42"/>
        <v>0</v>
      </c>
    </row>
    <row r="232" spans="1:22" customFormat="1" x14ac:dyDescent="0.2">
      <c r="A232" s="532" t="s">
        <v>1311</v>
      </c>
      <c r="B232" s="532" t="s">
        <v>1480</v>
      </c>
      <c r="D232" s="129" t="str">
        <f>IF([1]RENAME!$H$3=1,B232,A232)</f>
        <v>Reestruturação societária</v>
      </c>
      <c r="E232" s="118">
        <v>0</v>
      </c>
      <c r="F232" s="118">
        <v>0</v>
      </c>
      <c r="G232" s="118">
        <v>0</v>
      </c>
      <c r="H232" s="118">
        <v>0</v>
      </c>
      <c r="I232" s="118">
        <v>0</v>
      </c>
      <c r="J232" s="118"/>
      <c r="K232" s="118"/>
      <c r="L232" s="316"/>
      <c r="M232" s="316">
        <v>0</v>
      </c>
      <c r="N232" s="316">
        <v>0</v>
      </c>
      <c r="O232" s="316">
        <v>0</v>
      </c>
      <c r="P232" s="316">
        <v>0</v>
      </c>
      <c r="Q232" s="316">
        <v>0</v>
      </c>
      <c r="R232" s="316" t="s">
        <v>160</v>
      </c>
      <c r="S232" s="316">
        <v>0</v>
      </c>
      <c r="T232" s="316">
        <v>0</v>
      </c>
      <c r="U232" s="316">
        <v>0</v>
      </c>
      <c r="V232" s="118">
        <f t="shared" si="42"/>
        <v>0</v>
      </c>
    </row>
    <row r="233" spans="1:22" customFormat="1" ht="14.25" customHeight="1" x14ac:dyDescent="0.2">
      <c r="A233" s="532" t="s">
        <v>430</v>
      </c>
      <c r="B233" s="532" t="s">
        <v>648</v>
      </c>
      <c r="D233" s="129" t="str">
        <f>IF([1]RENAME!$H$3=1,B233,A233)</f>
        <v>Dividendos</v>
      </c>
      <c r="E233" s="118">
        <v>0</v>
      </c>
      <c r="F233" s="118">
        <v>0</v>
      </c>
      <c r="G233" s="118">
        <v>0</v>
      </c>
      <c r="H233" s="118">
        <v>0</v>
      </c>
      <c r="I233" s="118">
        <v>0</v>
      </c>
      <c r="J233" s="118"/>
      <c r="K233" s="118"/>
      <c r="L233" s="316"/>
      <c r="M233" s="316">
        <v>0</v>
      </c>
      <c r="N233" s="316">
        <v>0</v>
      </c>
      <c r="O233" s="316">
        <v>0</v>
      </c>
      <c r="P233" s="316">
        <v>0</v>
      </c>
      <c r="Q233" s="316">
        <v>0</v>
      </c>
      <c r="R233" s="316">
        <v>0</v>
      </c>
      <c r="S233" s="316">
        <v>0</v>
      </c>
      <c r="T233" s="316">
        <v>0</v>
      </c>
      <c r="U233" s="316">
        <v>0</v>
      </c>
      <c r="V233" s="118">
        <f t="shared" si="42"/>
        <v>0</v>
      </c>
    </row>
    <row r="234" spans="1:22" customFormat="1" ht="14.25" customHeight="1" x14ac:dyDescent="0.2">
      <c r="A234" s="532" t="s">
        <v>1412</v>
      </c>
      <c r="B234" s="532" t="s">
        <v>1413</v>
      </c>
      <c r="D234" s="129" t="str">
        <f>IF([1]RENAME!$H$3=1,B234,A234)</f>
        <v>Constituição/baixa ágio (GDL-TLI)</v>
      </c>
      <c r="E234" s="118">
        <v>0</v>
      </c>
      <c r="F234" s="118">
        <v>0</v>
      </c>
      <c r="G234" s="118">
        <v>0</v>
      </c>
      <c r="H234" s="118">
        <v>0</v>
      </c>
      <c r="I234" s="118">
        <v>0</v>
      </c>
      <c r="J234" s="118"/>
      <c r="K234" s="118"/>
      <c r="L234" s="316"/>
      <c r="M234" s="316">
        <v>0</v>
      </c>
      <c r="N234" s="316">
        <v>0</v>
      </c>
      <c r="O234" s="316">
        <v>0</v>
      </c>
      <c r="P234" s="316">
        <v>0</v>
      </c>
      <c r="Q234" s="316">
        <v>0</v>
      </c>
      <c r="R234" s="316" t="s">
        <v>160</v>
      </c>
      <c r="S234" s="316">
        <v>0</v>
      </c>
      <c r="T234" s="316">
        <v>0</v>
      </c>
      <c r="U234" s="316">
        <v>0</v>
      </c>
      <c r="V234" s="118">
        <f t="shared" si="42"/>
        <v>0</v>
      </c>
    </row>
    <row r="235" spans="1:22" customFormat="1" x14ac:dyDescent="0.2">
      <c r="A235" s="532" t="s">
        <v>1850</v>
      </c>
      <c r="B235" s="532" t="s">
        <v>1851</v>
      </c>
      <c r="D235" s="126" t="str">
        <f>IF([1]RENAME!$H$3=1,B235,A235)</f>
        <v>Em 31 de março de 2021</v>
      </c>
      <c r="E235" s="120">
        <f>SUM(E227:E234)</f>
        <v>66179</v>
      </c>
      <c r="F235" s="120">
        <f>SUM(F227:F234)</f>
        <v>15536</v>
      </c>
      <c r="G235" s="120">
        <f>SUM(G227:G234)</f>
        <v>109597</v>
      </c>
      <c r="H235" s="120">
        <f>SUM(H227:H234)</f>
        <v>4889</v>
      </c>
      <c r="I235" s="120">
        <f>SUM(I227:I234)</f>
        <v>37685</v>
      </c>
      <c r="J235" s="120"/>
      <c r="K235" s="120"/>
      <c r="L235" s="120"/>
      <c r="M235" s="120">
        <f>SUM(M227:M234)</f>
        <v>0</v>
      </c>
      <c r="N235" s="120">
        <f t="shared" ref="N235:S235" si="43">SUM(N227:N234)</f>
        <v>403</v>
      </c>
      <c r="O235" s="120">
        <f t="shared" si="43"/>
        <v>26950</v>
      </c>
      <c r="P235" s="120">
        <f t="shared" si="43"/>
        <v>1378</v>
      </c>
      <c r="Q235" s="120">
        <f t="shared" si="43"/>
        <v>1</v>
      </c>
      <c r="R235" s="120">
        <f t="shared" si="43"/>
        <v>0</v>
      </c>
      <c r="S235" s="120">
        <f t="shared" si="43"/>
        <v>0</v>
      </c>
      <c r="T235" s="120">
        <f>SUM(T227:T234)</f>
        <v>0</v>
      </c>
      <c r="U235" s="120">
        <f>SUM(U227:U234)</f>
        <v>0</v>
      </c>
      <c r="V235" s="120">
        <f>SUM(V227:V234)</f>
        <v>262618</v>
      </c>
    </row>
    <row r="237" spans="1:22" customFormat="1" x14ac:dyDescent="0.2">
      <c r="A237" s="532" t="s">
        <v>225</v>
      </c>
      <c r="B237" s="532" t="s">
        <v>760</v>
      </c>
      <c r="C237" t="s">
        <v>1669</v>
      </c>
      <c r="D237" s="129" t="str">
        <f>IF([1]RENAME!$H$3=1,B237,A237)</f>
        <v>Equivalência patrimonial</v>
      </c>
      <c r="E237" s="118">
        <v>9166</v>
      </c>
      <c r="F237" s="118">
        <v>-880</v>
      </c>
      <c r="G237" s="118">
        <v>-213</v>
      </c>
      <c r="H237" s="118">
        <v>208</v>
      </c>
      <c r="I237" s="118">
        <v>2395</v>
      </c>
      <c r="J237" s="118"/>
      <c r="K237" s="118"/>
      <c r="L237" s="118"/>
      <c r="M237" s="118">
        <f>'[3]9.c Investimentos'!O15-M229</f>
        <v>0</v>
      </c>
      <c r="N237" s="118">
        <v>-5</v>
      </c>
      <c r="O237" s="118">
        <v>2321</v>
      </c>
      <c r="P237" s="118">
        <v>-17</v>
      </c>
      <c r="Q237" s="118">
        <v>0</v>
      </c>
      <c r="R237" s="118">
        <v>0</v>
      </c>
      <c r="S237" s="118">
        <v>0</v>
      </c>
      <c r="T237" s="118">
        <f>'[3]9.c Investimentos'!P15-T229</f>
        <v>0</v>
      </c>
      <c r="U237" s="118">
        <f>'[3]9.c Investimentos'!Q15-U229</f>
        <v>0</v>
      </c>
      <c r="V237" s="118">
        <f t="shared" ref="V237:V242" si="44">SUM(E237:U237)</f>
        <v>12975</v>
      </c>
    </row>
    <row r="238" spans="1:22" customFormat="1" x14ac:dyDescent="0.2">
      <c r="A238" s="532" t="s">
        <v>1833</v>
      </c>
      <c r="B238" s="532" t="s">
        <v>1834</v>
      </c>
      <c r="D238" s="129" t="str">
        <f>IF([1]RENAME!$H$3=1,B238,A238)</f>
        <v>Constituição de controlada</v>
      </c>
      <c r="E238" s="118">
        <v>0</v>
      </c>
      <c r="F238" s="118">
        <v>0</v>
      </c>
      <c r="G238" s="118">
        <v>0</v>
      </c>
      <c r="H238" s="118">
        <v>0</v>
      </c>
      <c r="I238" s="118">
        <v>0</v>
      </c>
      <c r="J238" s="118"/>
      <c r="K238" s="118"/>
      <c r="L238" s="118"/>
      <c r="M238" s="118">
        <v>0</v>
      </c>
      <c r="N238" s="118">
        <v>0</v>
      </c>
      <c r="O238" s="118">
        <v>0</v>
      </c>
      <c r="P238" s="118">
        <v>0</v>
      </c>
      <c r="Q238" s="118">
        <v>0</v>
      </c>
      <c r="R238" s="118">
        <v>0</v>
      </c>
      <c r="S238" s="118">
        <v>0</v>
      </c>
      <c r="T238" s="118">
        <v>0</v>
      </c>
      <c r="U238" s="118">
        <f>'[3]9.c Investimentos'!R16</f>
        <v>0</v>
      </c>
      <c r="V238" s="118">
        <f t="shared" si="44"/>
        <v>0</v>
      </c>
    </row>
    <row r="239" spans="1:22" customFormat="1" x14ac:dyDescent="0.2">
      <c r="A239" s="532" t="s">
        <v>1831</v>
      </c>
      <c r="B239" s="532" t="s">
        <v>1832</v>
      </c>
      <c r="D239" s="129" t="str">
        <f>IF([1]RENAME!$H$3=1,B239,A239)</f>
        <v>Aumento (Redução) de capital</v>
      </c>
      <c r="E239" s="118">
        <v>0</v>
      </c>
      <c r="F239" s="118">
        <v>0</v>
      </c>
      <c r="G239" s="118">
        <v>0</v>
      </c>
      <c r="H239" s="118">
        <v>0</v>
      </c>
      <c r="I239" s="118">
        <v>0</v>
      </c>
      <c r="J239" s="118"/>
      <c r="K239" s="118"/>
      <c r="L239" s="118"/>
      <c r="M239" s="118">
        <f>'[3]9.c Investimentos'!P17</f>
        <v>0</v>
      </c>
      <c r="N239" s="118">
        <v>0</v>
      </c>
      <c r="O239" s="118">
        <v>0</v>
      </c>
      <c r="P239" s="118">
        <v>0</v>
      </c>
      <c r="Q239" s="118">
        <v>0</v>
      </c>
      <c r="R239" s="118">
        <v>0</v>
      </c>
      <c r="S239" s="118">
        <v>0</v>
      </c>
      <c r="T239" s="118">
        <f>'[3]9.c Investimentos'!Q17</f>
        <v>0</v>
      </c>
      <c r="U239" s="118">
        <f>'[3]9.c Investimentos'!R17</f>
        <v>0</v>
      </c>
      <c r="V239" s="118">
        <f t="shared" si="44"/>
        <v>0</v>
      </c>
    </row>
    <row r="240" spans="1:22" customFormat="1" x14ac:dyDescent="0.2">
      <c r="A240" s="532" t="s">
        <v>1311</v>
      </c>
      <c r="B240" s="532" t="s">
        <v>1480</v>
      </c>
      <c r="D240" s="129" t="str">
        <f>IF([1]RENAME!$H$3=1,B240,A240)</f>
        <v>Reestruturação societária</v>
      </c>
      <c r="E240" s="118">
        <v>0</v>
      </c>
      <c r="F240" s="118">
        <v>0</v>
      </c>
      <c r="G240" s="118">
        <v>0</v>
      </c>
      <c r="H240" s="118">
        <v>0</v>
      </c>
      <c r="I240" s="118">
        <v>0</v>
      </c>
      <c r="J240" s="118"/>
      <c r="K240" s="118"/>
      <c r="L240" s="118"/>
      <c r="M240" s="118">
        <f>'[3]9.c Investimentos'!P18</f>
        <v>0</v>
      </c>
      <c r="N240" s="118">
        <v>0</v>
      </c>
      <c r="O240" s="118">
        <v>0</v>
      </c>
      <c r="P240" s="118">
        <v>0</v>
      </c>
      <c r="Q240" s="118">
        <v>0</v>
      </c>
      <c r="R240" s="118">
        <v>0</v>
      </c>
      <c r="S240" s="118">
        <v>0</v>
      </c>
      <c r="T240" s="118">
        <f>'[3]9.c Investimentos'!Q18</f>
        <v>0</v>
      </c>
      <c r="U240" s="118">
        <f>'[3]9.c Investimentos'!R18</f>
        <v>0</v>
      </c>
      <c r="V240" s="118">
        <f t="shared" si="44"/>
        <v>0</v>
      </c>
    </row>
    <row r="241" spans="1:22" customFormat="1" ht="14.25" customHeight="1" x14ac:dyDescent="0.2">
      <c r="A241" s="532" t="s">
        <v>430</v>
      </c>
      <c r="B241" s="532" t="s">
        <v>648</v>
      </c>
      <c r="D241" s="129" t="str">
        <f>IF([1]RENAME!$H$3=1,B241,A241)</f>
        <v>Dividendos</v>
      </c>
      <c r="E241" s="118">
        <v>-10000</v>
      </c>
      <c r="F241" s="118">
        <v>0</v>
      </c>
      <c r="G241" s="118">
        <v>-2685</v>
      </c>
      <c r="H241" s="118">
        <v>0</v>
      </c>
      <c r="I241" s="118">
        <v>-1811</v>
      </c>
      <c r="J241" s="118"/>
      <c r="K241" s="118"/>
      <c r="L241" s="118"/>
      <c r="M241" s="118">
        <v>0</v>
      </c>
      <c r="N241" s="118">
        <v>0</v>
      </c>
      <c r="O241" s="118">
        <v>-662</v>
      </c>
      <c r="P241" s="118">
        <v>-33</v>
      </c>
      <c r="Q241" s="118">
        <v>0</v>
      </c>
      <c r="R241" s="118">
        <v>0</v>
      </c>
      <c r="S241" s="118">
        <v>0</v>
      </c>
      <c r="T241" s="118">
        <f>'[3]9.c Investimentos'!Q19</f>
        <v>0</v>
      </c>
      <c r="U241" s="118">
        <f>'[3]9.c Investimentos'!R19</f>
        <v>0</v>
      </c>
      <c r="V241" s="118">
        <f t="shared" si="44"/>
        <v>-15191</v>
      </c>
    </row>
    <row r="242" spans="1:22" customFormat="1" ht="14.25" customHeight="1" x14ac:dyDescent="0.2">
      <c r="A242" s="532" t="s">
        <v>1412</v>
      </c>
      <c r="B242" s="532" t="s">
        <v>1413</v>
      </c>
      <c r="D242" s="129" t="str">
        <f>IF([1]RENAME!$H$3=1,B242,A242)</f>
        <v>Constituição/baixa ágio (GDL-TLI)</v>
      </c>
      <c r="E242" s="118">
        <v>0</v>
      </c>
      <c r="F242" s="118">
        <v>0</v>
      </c>
      <c r="G242" s="118">
        <v>0</v>
      </c>
      <c r="H242" s="118">
        <v>0</v>
      </c>
      <c r="I242" s="118">
        <v>0</v>
      </c>
      <c r="J242" s="118"/>
      <c r="K242" s="118"/>
      <c r="L242" s="118"/>
      <c r="M242" s="118">
        <f>'[3]9.c Investimentos'!P20</f>
        <v>0</v>
      </c>
      <c r="N242" s="118">
        <v>0</v>
      </c>
      <c r="O242" s="118">
        <v>0</v>
      </c>
      <c r="P242" s="118">
        <v>0</v>
      </c>
      <c r="Q242" s="118">
        <v>0</v>
      </c>
      <c r="R242" s="118">
        <v>0</v>
      </c>
      <c r="S242" s="118">
        <v>0</v>
      </c>
      <c r="T242" s="118">
        <f>'[3]9.c Investimentos'!Q20</f>
        <v>0</v>
      </c>
      <c r="U242" s="118">
        <f>'[3]9.c Investimentos'!R20</f>
        <v>0</v>
      </c>
      <c r="V242" s="118">
        <f t="shared" si="44"/>
        <v>0</v>
      </c>
    </row>
    <row r="243" spans="1:22" customFormat="1" x14ac:dyDescent="0.2">
      <c r="A243" s="532" t="s">
        <v>1859</v>
      </c>
      <c r="B243" s="532" t="s">
        <v>1860</v>
      </c>
      <c r="D243" s="126" t="str">
        <f>IF([1]RENAME!$H$3=1,B243,A243)</f>
        <v>Em 30 de junho de 2021</v>
      </c>
      <c r="E243" s="120">
        <f>SUM(E235:E242)</f>
        <v>65345</v>
      </c>
      <c r="F243" s="120">
        <f>SUM(F235:F242)</f>
        <v>14656</v>
      </c>
      <c r="G243" s="120">
        <f>SUM(G235:G242)</f>
        <v>106699</v>
      </c>
      <c r="H243" s="120">
        <f>SUM(H235:H242)</f>
        <v>5097</v>
      </c>
      <c r="I243" s="120">
        <f>SUM(I235:I242)</f>
        <v>38269</v>
      </c>
      <c r="J243" s="120"/>
      <c r="K243" s="120"/>
      <c r="L243" s="120"/>
      <c r="M243" s="120">
        <f>SUM(M235:M242)</f>
        <v>0</v>
      </c>
      <c r="N243" s="120">
        <f t="shared" ref="N243:S243" si="45">SUM(N235:N242)</f>
        <v>398</v>
      </c>
      <c r="O243" s="120">
        <f t="shared" si="45"/>
        <v>28609</v>
      </c>
      <c r="P243" s="120">
        <f t="shared" si="45"/>
        <v>1328</v>
      </c>
      <c r="Q243" s="120">
        <f t="shared" si="45"/>
        <v>1</v>
      </c>
      <c r="R243" s="120">
        <f t="shared" si="45"/>
        <v>0</v>
      </c>
      <c r="S243" s="120">
        <f t="shared" si="45"/>
        <v>0</v>
      </c>
      <c r="T243" s="120">
        <f>SUM(T235:T242)</f>
        <v>0</v>
      </c>
      <c r="U243" s="120">
        <f>SUM(U235:U242)</f>
        <v>0</v>
      </c>
      <c r="V243" s="120">
        <f>SUM(V235:V242)</f>
        <v>260402</v>
      </c>
    </row>
    <row r="245" spans="1:22" customFormat="1" x14ac:dyDescent="0.2">
      <c r="A245" s="532" t="s">
        <v>225</v>
      </c>
      <c r="B245" s="532" t="s">
        <v>760</v>
      </c>
      <c r="C245" t="s">
        <v>1669</v>
      </c>
      <c r="D245" s="129" t="s">
        <v>225</v>
      </c>
      <c r="E245" s="118">
        <v>4498</v>
      </c>
      <c r="F245" s="118">
        <v>-10</v>
      </c>
      <c r="G245" s="118">
        <v>1379</v>
      </c>
      <c r="H245" s="118">
        <v>58</v>
      </c>
      <c r="I245" s="118">
        <v>1857</v>
      </c>
      <c r="J245" s="118"/>
      <c r="K245" s="118"/>
      <c r="L245" s="118"/>
      <c r="M245" s="118">
        <v>0</v>
      </c>
      <c r="N245" s="118">
        <v>-72</v>
      </c>
      <c r="O245" s="118">
        <v>2118</v>
      </c>
      <c r="P245" s="118">
        <v>21</v>
      </c>
      <c r="Q245" s="118">
        <v>0</v>
      </c>
      <c r="R245" s="118">
        <v>0</v>
      </c>
      <c r="S245" s="118">
        <v>0</v>
      </c>
      <c r="T245" s="118">
        <v>0</v>
      </c>
      <c r="U245" s="118">
        <v>0</v>
      </c>
      <c r="V245" s="118">
        <f t="shared" ref="V245:V250" si="46">SUM(E245:U245)</f>
        <v>9849</v>
      </c>
    </row>
    <row r="246" spans="1:22" customFormat="1" ht="16.5" customHeight="1" x14ac:dyDescent="0.2">
      <c r="A246" s="532" t="s">
        <v>1833</v>
      </c>
      <c r="B246" s="532" t="s">
        <v>1834</v>
      </c>
      <c r="D246" s="129" t="s">
        <v>1833</v>
      </c>
      <c r="E246" s="118">
        <v>0</v>
      </c>
      <c r="F246" s="118">
        <v>0</v>
      </c>
      <c r="G246" s="118">
        <v>0</v>
      </c>
      <c r="H246" s="118">
        <v>0</v>
      </c>
      <c r="I246" s="118">
        <v>0</v>
      </c>
      <c r="J246" s="118"/>
      <c r="K246" s="118"/>
      <c r="L246" s="118"/>
      <c r="M246" s="118">
        <v>0</v>
      </c>
      <c r="N246" s="118">
        <v>0</v>
      </c>
      <c r="O246" s="118">
        <v>0</v>
      </c>
      <c r="P246" s="118">
        <v>0</v>
      </c>
      <c r="Q246" s="118">
        <v>0</v>
      </c>
      <c r="R246" s="118">
        <v>0</v>
      </c>
      <c r="S246" s="118">
        <v>0</v>
      </c>
      <c r="T246" s="118">
        <v>0</v>
      </c>
      <c r="U246" s="118">
        <v>0</v>
      </c>
      <c r="V246" s="118">
        <f t="shared" si="46"/>
        <v>0</v>
      </c>
    </row>
    <row r="247" spans="1:22" customFormat="1" x14ac:dyDescent="0.2">
      <c r="A247" s="532" t="s">
        <v>1831</v>
      </c>
      <c r="B247" s="532" t="s">
        <v>1832</v>
      </c>
      <c r="D247" s="129" t="s">
        <v>1831</v>
      </c>
      <c r="E247" s="118">
        <v>0</v>
      </c>
      <c r="F247" s="118">
        <v>0</v>
      </c>
      <c r="G247" s="118">
        <v>0</v>
      </c>
      <c r="H247" s="118">
        <v>0</v>
      </c>
      <c r="I247" s="118">
        <v>0</v>
      </c>
      <c r="J247" s="118"/>
      <c r="K247" s="118"/>
      <c r="L247" s="118"/>
      <c r="M247" s="118">
        <v>0</v>
      </c>
      <c r="N247" s="118">
        <v>0</v>
      </c>
      <c r="O247" s="118">
        <v>12008</v>
      </c>
      <c r="P247" s="118">
        <v>0</v>
      </c>
      <c r="Q247" s="118">
        <v>0</v>
      </c>
      <c r="R247" s="118">
        <v>0</v>
      </c>
      <c r="S247" s="118">
        <v>0</v>
      </c>
      <c r="T247" s="118">
        <v>0</v>
      </c>
      <c r="U247" s="118">
        <v>0</v>
      </c>
      <c r="V247" s="118">
        <f t="shared" si="46"/>
        <v>12008</v>
      </c>
    </row>
    <row r="248" spans="1:22" customFormat="1" x14ac:dyDescent="0.2">
      <c r="A248" s="532" t="s">
        <v>1311</v>
      </c>
      <c r="B248" s="532" t="s">
        <v>1480</v>
      </c>
      <c r="D248" s="129" t="s">
        <v>1311</v>
      </c>
      <c r="E248" s="118">
        <v>0</v>
      </c>
      <c r="F248" s="118">
        <v>0</v>
      </c>
      <c r="G248" s="118">
        <v>0</v>
      </c>
      <c r="H248" s="118">
        <v>0</v>
      </c>
      <c r="I248" s="118">
        <v>0</v>
      </c>
      <c r="J248" s="118"/>
      <c r="K248" s="118"/>
      <c r="L248" s="118"/>
      <c r="M248" s="118">
        <v>0</v>
      </c>
      <c r="N248" s="118">
        <v>0</v>
      </c>
      <c r="O248" s="118">
        <v>0</v>
      </c>
      <c r="P248" s="118">
        <v>0</v>
      </c>
      <c r="Q248" s="118">
        <v>0</v>
      </c>
      <c r="R248" s="118">
        <v>0</v>
      </c>
      <c r="S248" s="118">
        <v>0</v>
      </c>
      <c r="T248" s="118">
        <v>0</v>
      </c>
      <c r="U248" s="118">
        <v>0</v>
      </c>
      <c r="V248" s="118">
        <f t="shared" si="46"/>
        <v>0</v>
      </c>
    </row>
    <row r="249" spans="1:22" customFormat="1" ht="14.25" customHeight="1" x14ac:dyDescent="0.2">
      <c r="A249" s="532" t="s">
        <v>430</v>
      </c>
      <c r="B249" s="532" t="s">
        <v>648</v>
      </c>
      <c r="D249" s="129" t="s">
        <v>430</v>
      </c>
      <c r="E249" s="118">
        <v>0</v>
      </c>
      <c r="F249" s="118">
        <v>0</v>
      </c>
      <c r="G249" s="118">
        <v>-1</v>
      </c>
      <c r="H249" s="118">
        <v>0</v>
      </c>
      <c r="I249" s="118">
        <v>-2627</v>
      </c>
      <c r="J249" s="118"/>
      <c r="K249" s="118"/>
      <c r="L249" s="118"/>
      <c r="M249" s="118">
        <v>0</v>
      </c>
      <c r="N249" s="118">
        <v>0</v>
      </c>
      <c r="O249" s="118">
        <v>0</v>
      </c>
      <c r="P249" s="118">
        <v>0</v>
      </c>
      <c r="Q249" s="118">
        <v>0</v>
      </c>
      <c r="R249" s="118">
        <v>0</v>
      </c>
      <c r="S249" s="118">
        <v>0</v>
      </c>
      <c r="T249" s="118">
        <v>0</v>
      </c>
      <c r="U249" s="118">
        <v>0</v>
      </c>
      <c r="V249" s="118">
        <f t="shared" si="46"/>
        <v>-2628</v>
      </c>
    </row>
    <row r="250" spans="1:22" customFormat="1" ht="14.25" customHeight="1" x14ac:dyDescent="0.2">
      <c r="A250" s="532" t="s">
        <v>1412</v>
      </c>
      <c r="B250" s="532" t="s">
        <v>1413</v>
      </c>
      <c r="D250" s="129" t="s">
        <v>1412</v>
      </c>
      <c r="E250" s="118">
        <v>0</v>
      </c>
      <c r="F250" s="118">
        <v>0</v>
      </c>
      <c r="G250" s="118">
        <v>0</v>
      </c>
      <c r="H250" s="118">
        <v>0</v>
      </c>
      <c r="I250" s="118">
        <v>0</v>
      </c>
      <c r="J250" s="118"/>
      <c r="K250" s="118"/>
      <c r="L250" s="118"/>
      <c r="M250" s="118">
        <v>0</v>
      </c>
      <c r="N250" s="118">
        <v>0</v>
      </c>
      <c r="O250" s="118">
        <v>0</v>
      </c>
      <c r="P250" s="118">
        <v>0</v>
      </c>
      <c r="Q250" s="118">
        <v>0</v>
      </c>
      <c r="R250" s="118">
        <v>0</v>
      </c>
      <c r="S250" s="118">
        <v>0</v>
      </c>
      <c r="T250" s="118">
        <v>0</v>
      </c>
      <c r="U250" s="118">
        <v>0</v>
      </c>
      <c r="V250" s="118">
        <f t="shared" si="46"/>
        <v>0</v>
      </c>
    </row>
    <row r="251" spans="1:22" customFormat="1" x14ac:dyDescent="0.2">
      <c r="A251" s="532" t="s">
        <v>1905</v>
      </c>
      <c r="B251" s="532" t="s">
        <v>1906</v>
      </c>
      <c r="D251" s="126" t="str">
        <f>IF([1]RENAME!$H$3=1,B251,A251)</f>
        <v>Em 30 de setembro de 2021</v>
      </c>
      <c r="E251" s="120">
        <f>SUM(E243:E250)</f>
        <v>69843</v>
      </c>
      <c r="F251" s="120">
        <f>SUM(F243:F250)</f>
        <v>14646</v>
      </c>
      <c r="G251" s="120">
        <f>SUM(G243:G250)</f>
        <v>108077</v>
      </c>
      <c r="H251" s="120">
        <f>SUM(H243:H250)</f>
        <v>5155</v>
      </c>
      <c r="I251" s="120">
        <f>SUM(I243:I250)</f>
        <v>37499</v>
      </c>
      <c r="J251" s="120"/>
      <c r="K251" s="120"/>
      <c r="L251" s="120"/>
      <c r="M251" s="120">
        <f>SUM(M243:M250)</f>
        <v>0</v>
      </c>
      <c r="N251" s="120">
        <f t="shared" ref="N251:S251" si="47">SUM(N243:N250)</f>
        <v>326</v>
      </c>
      <c r="O251" s="120">
        <f t="shared" si="47"/>
        <v>42735</v>
      </c>
      <c r="P251" s="120">
        <f t="shared" si="47"/>
        <v>1349</v>
      </c>
      <c r="Q251" s="120">
        <f t="shared" si="47"/>
        <v>1</v>
      </c>
      <c r="R251" s="120">
        <f t="shared" si="47"/>
        <v>0</v>
      </c>
      <c r="S251" s="120">
        <f t="shared" si="47"/>
        <v>0</v>
      </c>
      <c r="T251" s="120">
        <f>SUM(T243:T250)</f>
        <v>0</v>
      </c>
      <c r="U251" s="120">
        <f>SUM(U243:U250)</f>
        <v>0</v>
      </c>
      <c r="V251" s="120">
        <f>SUM(V243:V250)</f>
        <v>279631</v>
      </c>
    </row>
    <row r="253" spans="1:22" customFormat="1" x14ac:dyDescent="0.2">
      <c r="A253" s="532" t="s">
        <v>225</v>
      </c>
      <c r="B253" s="532" t="s">
        <v>760</v>
      </c>
      <c r="D253" s="129" t="str">
        <f>IF([1]RENAME!$H$3=1,B253,A253)</f>
        <v>Equivalência patrimonial</v>
      </c>
      <c r="E253" s="118">
        <v>2733</v>
      </c>
      <c r="F253" s="118">
        <v>4</v>
      </c>
      <c r="G253" s="118">
        <v>1339</v>
      </c>
      <c r="H253" s="118">
        <v>1543</v>
      </c>
      <c r="I253" s="118">
        <v>1609</v>
      </c>
      <c r="J253" s="118"/>
      <c r="K253" s="118"/>
      <c r="L253" s="118"/>
      <c r="M253" s="118">
        <v>0</v>
      </c>
      <c r="N253" s="118">
        <v>2789</v>
      </c>
      <c r="O253" s="118">
        <v>2594</v>
      </c>
      <c r="P253" s="118">
        <v>-6</v>
      </c>
      <c r="Q253" s="118">
        <v>0</v>
      </c>
      <c r="R253" s="118">
        <v>0</v>
      </c>
      <c r="S253" s="118">
        <v>0</v>
      </c>
      <c r="T253" s="118">
        <v>0</v>
      </c>
      <c r="U253" s="118">
        <v>0</v>
      </c>
      <c r="V253" s="118">
        <f t="shared" ref="V253:V258" si="48">SUM(E253:U253)</f>
        <v>12605</v>
      </c>
    </row>
    <row r="254" spans="1:22" customFormat="1" ht="16.5" customHeight="1" x14ac:dyDescent="0.2">
      <c r="A254" s="532" t="s">
        <v>1833</v>
      </c>
      <c r="B254" s="532" t="s">
        <v>1834</v>
      </c>
      <c r="D254" s="129" t="str">
        <f>IF([1]RENAME!$H$3=1,B254,A254)</f>
        <v>Constituição de controlada</v>
      </c>
      <c r="E254" s="118">
        <v>0</v>
      </c>
      <c r="F254" s="118">
        <v>0</v>
      </c>
      <c r="G254" s="118">
        <v>0</v>
      </c>
      <c r="H254" s="118">
        <v>0</v>
      </c>
      <c r="I254" s="118">
        <v>0</v>
      </c>
      <c r="J254" s="118"/>
      <c r="K254" s="118"/>
      <c r="L254" s="118"/>
      <c r="M254" s="118">
        <v>0</v>
      </c>
      <c r="N254" s="118">
        <v>0</v>
      </c>
      <c r="O254" s="118">
        <v>0</v>
      </c>
      <c r="P254" s="118">
        <v>0</v>
      </c>
      <c r="Q254" s="118">
        <v>0</v>
      </c>
      <c r="R254" s="118">
        <v>0</v>
      </c>
      <c r="S254" s="118">
        <v>0</v>
      </c>
      <c r="T254" s="118">
        <v>0</v>
      </c>
      <c r="U254" s="118">
        <v>0</v>
      </c>
      <c r="V254" s="118">
        <f t="shared" si="48"/>
        <v>0</v>
      </c>
    </row>
    <row r="255" spans="1:22" customFormat="1" x14ac:dyDescent="0.2">
      <c r="A255" s="532" t="s">
        <v>1831</v>
      </c>
      <c r="B255" s="532" t="s">
        <v>1832</v>
      </c>
      <c r="D255" s="129" t="str">
        <f>IF([1]RENAME!$H$3=1,B255,A255)</f>
        <v>Aumento (Redução) de capital</v>
      </c>
      <c r="E255" s="118">
        <v>0</v>
      </c>
      <c r="F255" s="118">
        <v>0</v>
      </c>
      <c r="G255" s="118">
        <v>0</v>
      </c>
      <c r="H255" s="118">
        <v>0</v>
      </c>
      <c r="I255" s="118">
        <v>0</v>
      </c>
      <c r="J255" s="118"/>
      <c r="K255" s="118"/>
      <c r="L255" s="118"/>
      <c r="M255" s="118">
        <v>0</v>
      </c>
      <c r="N255" s="118">
        <v>0</v>
      </c>
      <c r="O255" s="118">
        <v>17712</v>
      </c>
      <c r="P255" s="118">
        <v>0</v>
      </c>
      <c r="Q255" s="118">
        <v>0</v>
      </c>
      <c r="R255" s="118">
        <v>0</v>
      </c>
      <c r="S255" s="118">
        <v>0</v>
      </c>
      <c r="T255" s="118">
        <v>0</v>
      </c>
      <c r="U255" s="118">
        <v>0</v>
      </c>
      <c r="V255" s="118">
        <f t="shared" si="48"/>
        <v>17712</v>
      </c>
    </row>
    <row r="256" spans="1:22" customFormat="1" x14ac:dyDescent="0.2">
      <c r="A256" s="532" t="s">
        <v>1311</v>
      </c>
      <c r="B256" s="532" t="s">
        <v>1480</v>
      </c>
      <c r="D256" s="129" t="str">
        <f>IF([1]RENAME!$H$3=1,B256,A256)</f>
        <v>Reestruturação societária</v>
      </c>
      <c r="E256" s="118">
        <v>0</v>
      </c>
      <c r="F256" s="118">
        <v>0</v>
      </c>
      <c r="G256" s="118">
        <v>0</v>
      </c>
      <c r="H256" s="118">
        <v>0</v>
      </c>
      <c r="I256" s="118">
        <v>0</v>
      </c>
      <c r="J256" s="118"/>
      <c r="K256" s="118"/>
      <c r="L256" s="118"/>
      <c r="M256" s="118">
        <v>0</v>
      </c>
      <c r="N256" s="118">
        <v>0</v>
      </c>
      <c r="O256" s="118">
        <v>0</v>
      </c>
      <c r="P256" s="118">
        <v>0</v>
      </c>
      <c r="Q256" s="118">
        <v>0</v>
      </c>
      <c r="R256" s="118">
        <v>0</v>
      </c>
      <c r="S256" s="118">
        <v>0</v>
      </c>
      <c r="T256" s="118">
        <v>0</v>
      </c>
      <c r="U256" s="118">
        <v>0</v>
      </c>
      <c r="V256" s="118">
        <f t="shared" si="48"/>
        <v>0</v>
      </c>
    </row>
    <row r="257" spans="1:22" customFormat="1" ht="14.25" customHeight="1" x14ac:dyDescent="0.2">
      <c r="A257" s="532" t="s">
        <v>430</v>
      </c>
      <c r="B257" s="532" t="s">
        <v>648</v>
      </c>
      <c r="D257" s="129" t="str">
        <f>IF([1]RENAME!$H$3=1,B257,A257)</f>
        <v>Dividendos</v>
      </c>
      <c r="E257" s="118">
        <v>0</v>
      </c>
      <c r="F257" s="118">
        <v>0</v>
      </c>
      <c r="G257" s="118">
        <v>0</v>
      </c>
      <c r="H257" s="118">
        <v>0</v>
      </c>
      <c r="I257" s="118">
        <v>-2150</v>
      </c>
      <c r="J257" s="118"/>
      <c r="K257" s="118"/>
      <c r="L257" s="118"/>
      <c r="M257" s="118">
        <v>0</v>
      </c>
      <c r="N257" s="118">
        <v>0</v>
      </c>
      <c r="O257" s="118">
        <v>0</v>
      </c>
      <c r="P257" s="118">
        <v>0</v>
      </c>
      <c r="Q257" s="118">
        <v>0</v>
      </c>
      <c r="R257" s="118">
        <v>0</v>
      </c>
      <c r="S257" s="118">
        <v>0</v>
      </c>
      <c r="T257" s="118">
        <v>0</v>
      </c>
      <c r="U257" s="118">
        <v>0</v>
      </c>
      <c r="V257" s="118">
        <f t="shared" si="48"/>
        <v>-2150</v>
      </c>
    </row>
    <row r="258" spans="1:22" customFormat="1" ht="14.25" customHeight="1" x14ac:dyDescent="0.2">
      <c r="A258" s="532" t="s">
        <v>1412</v>
      </c>
      <c r="B258" s="532" t="s">
        <v>1413</v>
      </c>
      <c r="D258" s="129" t="str">
        <f>IF([1]RENAME!$H$3=1,B258,A258)</f>
        <v>Constituição/baixa ágio (GDL-TLI)</v>
      </c>
      <c r="E258" s="118">
        <v>0</v>
      </c>
      <c r="F258" s="118">
        <v>0</v>
      </c>
      <c r="G258" s="118">
        <v>0</v>
      </c>
      <c r="H258" s="118">
        <v>0</v>
      </c>
      <c r="I258" s="118">
        <v>0</v>
      </c>
      <c r="J258" s="118"/>
      <c r="K258" s="118"/>
      <c r="L258" s="118"/>
      <c r="M258" s="118">
        <v>0</v>
      </c>
      <c r="N258" s="118">
        <v>0</v>
      </c>
      <c r="O258" s="118">
        <v>101</v>
      </c>
      <c r="P258" s="118">
        <v>0</v>
      </c>
      <c r="Q258" s="118">
        <v>0</v>
      </c>
      <c r="R258" s="118">
        <v>0</v>
      </c>
      <c r="S258" s="118">
        <v>0</v>
      </c>
      <c r="T258" s="118">
        <v>0</v>
      </c>
      <c r="U258" s="118">
        <v>0</v>
      </c>
      <c r="V258" s="118">
        <f t="shared" si="48"/>
        <v>101</v>
      </c>
    </row>
    <row r="259" spans="1:22" customFormat="1" x14ac:dyDescent="0.2">
      <c r="A259" s="532" t="s">
        <v>1921</v>
      </c>
      <c r="B259" s="532" t="s">
        <v>1920</v>
      </c>
      <c r="D259" s="126" t="str">
        <f>IF([1]RENAME!$H$3=1,B259,A259)</f>
        <v>Em 31 de dezembro de 2021</v>
      </c>
      <c r="E259" s="120">
        <f>SUM(E251:E258)</f>
        <v>72576</v>
      </c>
      <c r="F259" s="120">
        <f t="shared" ref="F259:V259" si="49">SUM(F251:F258)</f>
        <v>14650</v>
      </c>
      <c r="G259" s="120">
        <f t="shared" si="49"/>
        <v>109416</v>
      </c>
      <c r="H259" s="120">
        <f t="shared" si="49"/>
        <v>6698</v>
      </c>
      <c r="I259" s="120">
        <f t="shared" si="49"/>
        <v>36958</v>
      </c>
      <c r="J259" s="120"/>
      <c r="K259" s="120"/>
      <c r="L259" s="120"/>
      <c r="M259" s="120">
        <f t="shared" si="49"/>
        <v>0</v>
      </c>
      <c r="N259" s="120">
        <f t="shared" ref="N259:S259" si="50">SUM(N251:N258)</f>
        <v>3115</v>
      </c>
      <c r="O259" s="120">
        <f t="shared" si="50"/>
        <v>63142</v>
      </c>
      <c r="P259" s="120">
        <f t="shared" si="50"/>
        <v>1343</v>
      </c>
      <c r="Q259" s="120">
        <f t="shared" si="50"/>
        <v>1</v>
      </c>
      <c r="R259" s="120">
        <f t="shared" si="50"/>
        <v>0</v>
      </c>
      <c r="S259" s="120">
        <f t="shared" si="50"/>
        <v>0</v>
      </c>
      <c r="T259" s="120">
        <f t="shared" si="49"/>
        <v>0</v>
      </c>
      <c r="U259" s="120">
        <f t="shared" si="49"/>
        <v>0</v>
      </c>
      <c r="V259" s="120">
        <f t="shared" si="49"/>
        <v>307899</v>
      </c>
    </row>
    <row r="261" spans="1:22" customFormat="1" x14ac:dyDescent="0.2">
      <c r="A261" s="532" t="s">
        <v>225</v>
      </c>
      <c r="B261" s="532" t="s">
        <v>760</v>
      </c>
      <c r="D261" s="129" t="str">
        <f>IF([1]RENAME!$H$3=1,B261,A261)</f>
        <v>Equivalência patrimonial</v>
      </c>
      <c r="E261" s="118">
        <v>5624</v>
      </c>
      <c r="F261" s="118">
        <v>229</v>
      </c>
      <c r="G261" s="118">
        <v>1562</v>
      </c>
      <c r="H261" s="118">
        <v>133</v>
      </c>
      <c r="I261" s="118">
        <v>2987</v>
      </c>
      <c r="J261" s="118"/>
      <c r="K261" s="118"/>
      <c r="L261" s="118"/>
      <c r="M261" s="118">
        <f>'[3]9.c Investimentos'!O23-M237</f>
        <v>0</v>
      </c>
      <c r="N261" s="118">
        <v>26</v>
      </c>
      <c r="O261" s="118">
        <v>2983</v>
      </c>
      <c r="P261" s="118">
        <v>6</v>
      </c>
      <c r="Q261" s="118">
        <v>0</v>
      </c>
      <c r="R261" s="118">
        <v>0</v>
      </c>
      <c r="S261" s="118">
        <v>0</v>
      </c>
      <c r="T261" s="118">
        <f>'[3]9.c Investimentos'!P23-T237</f>
        <v>0</v>
      </c>
      <c r="U261" s="118">
        <f>'[3]9.c Investimentos'!Q23-U237</f>
        <v>0</v>
      </c>
      <c r="V261" s="118">
        <f t="shared" ref="V261:V266" si="51">SUM(E261:U261)</f>
        <v>13550</v>
      </c>
    </row>
    <row r="262" spans="1:22" customFormat="1" ht="16.5" customHeight="1" x14ac:dyDescent="0.2">
      <c r="A262" s="532" t="s">
        <v>1833</v>
      </c>
      <c r="B262" s="532" t="s">
        <v>1834</v>
      </c>
      <c r="D262" s="129" t="str">
        <f>IF([1]RENAME!$H$3=1,B262,A262)</f>
        <v>Constituição de controlada</v>
      </c>
      <c r="E262" s="118" t="s">
        <v>160</v>
      </c>
      <c r="F262" s="118">
        <v>0</v>
      </c>
      <c r="G262" s="118">
        <v>0</v>
      </c>
      <c r="H262" s="118">
        <v>0</v>
      </c>
      <c r="I262" s="118">
        <v>0</v>
      </c>
      <c r="J262" s="118"/>
      <c r="K262" s="118"/>
      <c r="L262" s="118"/>
      <c r="M262" s="118">
        <f>'[3]9.c Investimentos'!P24</f>
        <v>0</v>
      </c>
      <c r="N262" s="118">
        <v>0</v>
      </c>
      <c r="O262" s="118">
        <v>0</v>
      </c>
      <c r="P262" s="118">
        <v>0</v>
      </c>
      <c r="Q262" s="118">
        <v>0</v>
      </c>
      <c r="R262" s="118">
        <v>0</v>
      </c>
      <c r="S262" s="118">
        <v>0</v>
      </c>
      <c r="T262" s="118">
        <f>'[3]9.c Investimentos'!Q24</f>
        <v>0</v>
      </c>
      <c r="U262" s="118">
        <f>'[3]9.c Investimentos'!R24</f>
        <v>0</v>
      </c>
      <c r="V262" s="118">
        <f t="shared" si="51"/>
        <v>0</v>
      </c>
    </row>
    <row r="263" spans="1:22" customFormat="1" x14ac:dyDescent="0.2">
      <c r="A263" s="532" t="s">
        <v>1831</v>
      </c>
      <c r="B263" s="532" t="s">
        <v>1832</v>
      </c>
      <c r="D263" s="129" t="str">
        <f>IF([1]RENAME!$H$3=1,B263,A263)</f>
        <v>Aumento (Redução) de capital</v>
      </c>
      <c r="E263" s="118">
        <v>0</v>
      </c>
      <c r="F263" s="118">
        <v>0</v>
      </c>
      <c r="G263" s="118">
        <v>0</v>
      </c>
      <c r="H263" s="118">
        <v>0</v>
      </c>
      <c r="I263" s="118">
        <v>0</v>
      </c>
      <c r="J263" s="118"/>
      <c r="K263" s="118"/>
      <c r="L263" s="118"/>
      <c r="M263" s="118">
        <f>'[3]9.c Investimentos'!P25</f>
        <v>0</v>
      </c>
      <c r="N263" s="118">
        <v>0</v>
      </c>
      <c r="O263" s="118">
        <v>11235</v>
      </c>
      <c r="P263" s="118">
        <v>0</v>
      </c>
      <c r="Q263" s="118">
        <v>0</v>
      </c>
      <c r="R263" s="118">
        <v>0</v>
      </c>
      <c r="S263" s="118">
        <v>0</v>
      </c>
      <c r="T263" s="118">
        <f>'[3]9.c Investimentos'!Q25</f>
        <v>0</v>
      </c>
      <c r="U263" s="118">
        <f>'[3]9.c Investimentos'!R25</f>
        <v>0</v>
      </c>
      <c r="V263" s="118">
        <f t="shared" si="51"/>
        <v>11235</v>
      </c>
    </row>
    <row r="264" spans="1:22" customFormat="1" x14ac:dyDescent="0.2">
      <c r="A264" s="532" t="s">
        <v>1311</v>
      </c>
      <c r="B264" s="532" t="s">
        <v>1480</v>
      </c>
      <c r="D264" s="129" t="str">
        <f>IF([1]RENAME!$H$3=1,B264,A264)</f>
        <v>Reestruturação societária</v>
      </c>
      <c r="E264" s="118">
        <v>0</v>
      </c>
      <c r="F264" s="118">
        <v>0</v>
      </c>
      <c r="G264" s="118">
        <v>0</v>
      </c>
      <c r="H264" s="118">
        <v>0</v>
      </c>
      <c r="I264" s="118">
        <v>0</v>
      </c>
      <c r="J264" s="118"/>
      <c r="K264" s="118"/>
      <c r="L264" s="118"/>
      <c r="M264" s="118">
        <f>'[3]9.c Investimentos'!P26</f>
        <v>0</v>
      </c>
      <c r="N264" s="118">
        <v>0</v>
      </c>
      <c r="O264" s="118">
        <v>0</v>
      </c>
      <c r="P264" s="118">
        <v>0</v>
      </c>
      <c r="Q264" s="118">
        <v>0</v>
      </c>
      <c r="R264" s="118">
        <v>0</v>
      </c>
      <c r="S264" s="118">
        <v>0</v>
      </c>
      <c r="T264" s="118">
        <f>'[3]9.c Investimentos'!Q26</f>
        <v>0</v>
      </c>
      <c r="U264" s="118">
        <f>'[3]9.c Investimentos'!R26</f>
        <v>0</v>
      </c>
      <c r="V264" s="118">
        <f t="shared" si="51"/>
        <v>0</v>
      </c>
    </row>
    <row r="265" spans="1:22" customFormat="1" ht="14.25" customHeight="1" x14ac:dyDescent="0.2">
      <c r="A265" s="532" t="s">
        <v>430</v>
      </c>
      <c r="B265" s="532" t="s">
        <v>648</v>
      </c>
      <c r="D265" s="129" t="str">
        <f>IF([1]RENAME!$H$3=1,B265,A265)</f>
        <v>Dividendos</v>
      </c>
      <c r="E265" s="118">
        <v>0</v>
      </c>
      <c r="F265" s="118">
        <v>0</v>
      </c>
      <c r="G265" s="118">
        <v>0</v>
      </c>
      <c r="H265" s="118">
        <v>0</v>
      </c>
      <c r="I265" s="118">
        <v>-1144</v>
      </c>
      <c r="J265" s="118"/>
      <c r="K265" s="118"/>
      <c r="L265" s="118"/>
      <c r="M265" s="118">
        <v>0</v>
      </c>
      <c r="N265" s="118">
        <v>0</v>
      </c>
      <c r="O265" s="118">
        <v>0</v>
      </c>
      <c r="P265" s="118">
        <v>0</v>
      </c>
      <c r="Q265" s="118">
        <v>0</v>
      </c>
      <c r="R265" s="118">
        <v>0</v>
      </c>
      <c r="S265" s="118">
        <v>0</v>
      </c>
      <c r="T265" s="118">
        <f>'[3]9.c Investimentos'!Q27</f>
        <v>0</v>
      </c>
      <c r="U265" s="118">
        <f>'[3]9.c Investimentos'!R27</f>
        <v>0</v>
      </c>
      <c r="V265" s="118">
        <f t="shared" si="51"/>
        <v>-1144</v>
      </c>
    </row>
    <row r="266" spans="1:22" customFormat="1" ht="14.25" customHeight="1" x14ac:dyDescent="0.2">
      <c r="A266" s="532" t="s">
        <v>1412</v>
      </c>
      <c r="B266" s="532" t="s">
        <v>1413</v>
      </c>
      <c r="D266" s="129" t="str">
        <f>IF([1]RENAME!$H$3=1,B266,A266)</f>
        <v>Constituição/baixa ágio (GDL-TLI)</v>
      </c>
      <c r="E266" s="118">
        <v>0</v>
      </c>
      <c r="F266" s="118">
        <v>0</v>
      </c>
      <c r="G266" s="118">
        <v>0</v>
      </c>
      <c r="H266" s="118">
        <v>0</v>
      </c>
      <c r="I266" s="118">
        <v>0</v>
      </c>
      <c r="J266" s="118"/>
      <c r="K266" s="118"/>
      <c r="L266" s="118"/>
      <c r="M266" s="118">
        <f>'[3]9.c Investimentos'!P28</f>
        <v>0</v>
      </c>
      <c r="N266" s="118">
        <v>0</v>
      </c>
      <c r="O266" s="118">
        <v>0</v>
      </c>
      <c r="P266" s="118">
        <v>0</v>
      </c>
      <c r="Q266" s="118">
        <v>0</v>
      </c>
      <c r="R266" s="118">
        <v>0</v>
      </c>
      <c r="S266" s="118">
        <v>0</v>
      </c>
      <c r="T266" s="118">
        <f>'[3]9.c Investimentos'!Q28</f>
        <v>0</v>
      </c>
      <c r="U266" s="118">
        <f>'[3]9.c Investimentos'!R28</f>
        <v>0</v>
      </c>
      <c r="V266" s="118">
        <f t="shared" si="51"/>
        <v>0</v>
      </c>
    </row>
    <row r="267" spans="1:22" customFormat="1" x14ac:dyDescent="0.2">
      <c r="A267" s="532" t="s">
        <v>1954</v>
      </c>
      <c r="B267" s="532" t="s">
        <v>1955</v>
      </c>
      <c r="D267" s="126" t="str">
        <f>IF([1]RENAME!$H$3=1,B267,A267)</f>
        <v>Em 31 de março de 2022</v>
      </c>
      <c r="E267" s="120">
        <f>SUM(E259:E266)</f>
        <v>78200</v>
      </c>
      <c r="F267" s="120">
        <f>SUM(F259:F266)</f>
        <v>14879</v>
      </c>
      <c r="G267" s="120">
        <f>SUM(G259:G266)</f>
        <v>110978</v>
      </c>
      <c r="H267" s="120">
        <f>SUM(H259:H266)</f>
        <v>6831</v>
      </c>
      <c r="I267" s="120">
        <f>SUM(I259:I266)</f>
        <v>38801</v>
      </c>
      <c r="J267" s="120"/>
      <c r="K267" s="120"/>
      <c r="L267" s="120"/>
      <c r="M267" s="120">
        <f>SUM(M251:M266)</f>
        <v>0</v>
      </c>
      <c r="N267" s="120">
        <f>SUM(N259:N266)</f>
        <v>3141</v>
      </c>
      <c r="O267" s="120">
        <f>SUM(O259:O266)</f>
        <v>77360</v>
      </c>
      <c r="P267" s="120">
        <f>SUM(P259:P266)</f>
        <v>1349</v>
      </c>
      <c r="Q267" s="120">
        <f>SUM(Q259:Q266)</f>
        <v>1</v>
      </c>
      <c r="R267" s="120">
        <f>SUM(R251:R266)</f>
        <v>0</v>
      </c>
      <c r="S267" s="120">
        <f>SUM(S251:S266)</f>
        <v>0</v>
      </c>
      <c r="T267" s="120">
        <f>SUM(T251:T266)</f>
        <v>0</v>
      </c>
      <c r="U267" s="120">
        <f>SUM(U251:U266)</f>
        <v>0</v>
      </c>
      <c r="V267" s="120">
        <f>SUM(V259:V266)</f>
        <v>331540</v>
      </c>
    </row>
    <row r="269" spans="1:22" customFormat="1" x14ac:dyDescent="0.2">
      <c r="A269" s="532" t="s">
        <v>225</v>
      </c>
      <c r="B269" s="532" t="s">
        <v>760</v>
      </c>
      <c r="D269" s="129" t="str">
        <f>IF([1]RENAME!$H$3=1,B269,A269)</f>
        <v>Equivalência patrimonial</v>
      </c>
      <c r="E269" s="118">
        <v>3773</v>
      </c>
      <c r="F269" s="118">
        <v>362</v>
      </c>
      <c r="G269" s="118">
        <v>1662</v>
      </c>
      <c r="H269" s="118">
        <v>-570</v>
      </c>
      <c r="I269" s="118">
        <v>2977</v>
      </c>
      <c r="J269" s="118"/>
      <c r="K269" s="118"/>
      <c r="L269" s="118"/>
      <c r="M269" s="118">
        <v>0</v>
      </c>
      <c r="N269" s="118">
        <v>29</v>
      </c>
      <c r="O269" s="118">
        <v>3234</v>
      </c>
      <c r="P269" s="118">
        <v>17</v>
      </c>
      <c r="Q269" s="118">
        <v>0</v>
      </c>
      <c r="R269" s="118">
        <v>0</v>
      </c>
      <c r="S269" s="118">
        <v>0</v>
      </c>
      <c r="T269" s="118">
        <v>0</v>
      </c>
      <c r="U269" s="118">
        <v>0</v>
      </c>
      <c r="V269" s="118">
        <f t="shared" ref="V269:V276" si="52">SUM(E269:U269)</f>
        <v>11484</v>
      </c>
    </row>
    <row r="270" spans="1:22" customFormat="1" ht="16.5" customHeight="1" x14ac:dyDescent="0.2">
      <c r="A270" s="532" t="s">
        <v>1833</v>
      </c>
      <c r="B270" s="532" t="s">
        <v>1834</v>
      </c>
      <c r="D270" s="129" t="str">
        <f>IF([1]RENAME!$H$3=1,B270,A270)</f>
        <v>Constituição de controlada</v>
      </c>
      <c r="E270" s="118" t="s">
        <v>160</v>
      </c>
      <c r="F270" s="118">
        <v>0</v>
      </c>
      <c r="G270" s="118">
        <v>0</v>
      </c>
      <c r="H270" s="118">
        <v>0</v>
      </c>
      <c r="I270" s="118">
        <v>0</v>
      </c>
      <c r="J270" s="118"/>
      <c r="K270" s="118"/>
      <c r="L270" s="118"/>
      <c r="M270" s="118">
        <v>0</v>
      </c>
      <c r="N270" s="118">
        <v>0</v>
      </c>
      <c r="O270" s="118">
        <v>0</v>
      </c>
      <c r="P270" s="118">
        <v>0</v>
      </c>
      <c r="Q270" s="118">
        <v>0</v>
      </c>
      <c r="R270" s="118">
        <v>0</v>
      </c>
      <c r="S270" s="118">
        <v>0</v>
      </c>
      <c r="T270" s="118">
        <v>0</v>
      </c>
      <c r="U270" s="118">
        <v>0</v>
      </c>
      <c r="V270" s="118">
        <f t="shared" si="52"/>
        <v>0</v>
      </c>
    </row>
    <row r="271" spans="1:22" customFormat="1" x14ac:dyDescent="0.2">
      <c r="A271" s="532" t="s">
        <v>1831</v>
      </c>
      <c r="B271" s="532" t="s">
        <v>1832</v>
      </c>
      <c r="D271" s="129" t="str">
        <f>IF([1]RENAME!$H$3=1,B271,A271)</f>
        <v>Aumento (Redução) de capital</v>
      </c>
      <c r="E271" s="118">
        <v>0</v>
      </c>
      <c r="F271" s="118">
        <v>0</v>
      </c>
      <c r="G271" s="118">
        <v>0</v>
      </c>
      <c r="H271" s="118">
        <v>1100</v>
      </c>
      <c r="I271" s="118">
        <v>0</v>
      </c>
      <c r="J271" s="118"/>
      <c r="K271" s="118"/>
      <c r="L271" s="118"/>
      <c r="M271" s="118">
        <v>0</v>
      </c>
      <c r="N271" s="118">
        <v>0</v>
      </c>
      <c r="O271" s="118">
        <v>-28947</v>
      </c>
      <c r="P271" s="118">
        <v>0</v>
      </c>
      <c r="Q271" s="118">
        <v>0</v>
      </c>
      <c r="R271" s="118">
        <v>0</v>
      </c>
      <c r="S271" s="118">
        <v>0</v>
      </c>
      <c r="T271" s="118">
        <v>0</v>
      </c>
      <c r="U271" s="118">
        <v>0</v>
      </c>
      <c r="V271" s="118">
        <f t="shared" si="52"/>
        <v>-27847</v>
      </c>
    </row>
    <row r="272" spans="1:22" customFormat="1" x14ac:dyDescent="0.2">
      <c r="A272" s="532" t="s">
        <v>1976</v>
      </c>
      <c r="B272" s="532"/>
      <c r="D272" s="129" t="str">
        <f>IF([1]RENAME!$H$3=1,B272,A272)</f>
        <v xml:space="preserve">Aumento na participação societária </v>
      </c>
      <c r="E272" s="118">
        <v>0</v>
      </c>
      <c r="F272" s="118">
        <v>0</v>
      </c>
      <c r="G272" s="118">
        <v>0</v>
      </c>
      <c r="H272" s="118">
        <v>0</v>
      </c>
      <c r="I272" s="118">
        <v>0</v>
      </c>
      <c r="J272" s="118"/>
      <c r="K272" s="118"/>
      <c r="L272" s="118"/>
      <c r="M272" s="118">
        <v>0</v>
      </c>
      <c r="N272" s="118">
        <v>0</v>
      </c>
      <c r="O272" s="118">
        <v>0</v>
      </c>
      <c r="P272" s="118">
        <v>0</v>
      </c>
      <c r="Q272" s="118">
        <v>0</v>
      </c>
      <c r="R272" s="118">
        <v>0</v>
      </c>
      <c r="S272" s="118">
        <v>0</v>
      </c>
      <c r="T272" s="118">
        <v>0</v>
      </c>
      <c r="U272" s="118">
        <v>0</v>
      </c>
      <c r="V272" s="118">
        <f t="shared" si="52"/>
        <v>0</v>
      </c>
    </row>
    <row r="273" spans="1:22" customFormat="1" x14ac:dyDescent="0.2">
      <c r="A273" s="532" t="s">
        <v>1311</v>
      </c>
      <c r="B273" s="532" t="s">
        <v>1480</v>
      </c>
      <c r="D273" s="129" t="str">
        <f>IF([1]RENAME!$H$3=1,B273,A273)</f>
        <v>Reestruturação societária</v>
      </c>
      <c r="E273" s="118">
        <v>0</v>
      </c>
      <c r="F273" s="118">
        <v>0</v>
      </c>
      <c r="G273" s="118">
        <v>0</v>
      </c>
      <c r="H273" s="118">
        <v>0</v>
      </c>
      <c r="I273" s="118">
        <v>0</v>
      </c>
      <c r="J273" s="118"/>
      <c r="K273" s="118"/>
      <c r="L273" s="118"/>
      <c r="M273" s="118">
        <v>0</v>
      </c>
      <c r="N273" s="118">
        <v>0</v>
      </c>
      <c r="O273" s="118">
        <v>0</v>
      </c>
      <c r="P273" s="118">
        <v>0</v>
      </c>
      <c r="Q273" s="118">
        <v>0</v>
      </c>
      <c r="R273" s="118">
        <v>0</v>
      </c>
      <c r="S273" s="118">
        <v>0</v>
      </c>
      <c r="T273" s="118">
        <v>0</v>
      </c>
      <c r="U273" s="118">
        <v>0</v>
      </c>
      <c r="V273" s="118">
        <f t="shared" si="52"/>
        <v>0</v>
      </c>
    </row>
    <row r="274" spans="1:22" customFormat="1" ht="14.25" customHeight="1" x14ac:dyDescent="0.2">
      <c r="A274" s="532" t="s">
        <v>430</v>
      </c>
      <c r="B274" s="532" t="s">
        <v>648</v>
      </c>
      <c r="D274" s="129" t="str">
        <f>IF([1]RENAME!$H$3=1,B274,A274)</f>
        <v>Dividendos</v>
      </c>
      <c r="E274" s="118">
        <v>-10000</v>
      </c>
      <c r="F274" s="118">
        <v>0</v>
      </c>
      <c r="G274" s="118">
        <v>-5915</v>
      </c>
      <c r="H274" s="118">
        <v>0</v>
      </c>
      <c r="I274" s="118">
        <v>-2195</v>
      </c>
      <c r="J274" s="118"/>
      <c r="K274" s="118"/>
      <c r="L274" s="118"/>
      <c r="M274" s="118">
        <v>0</v>
      </c>
      <c r="N274" s="118">
        <v>0</v>
      </c>
      <c r="O274" s="118">
        <v>0</v>
      </c>
      <c r="P274" s="118">
        <v>0</v>
      </c>
      <c r="Q274" s="118">
        <v>0</v>
      </c>
      <c r="R274" s="118">
        <v>0</v>
      </c>
      <c r="S274" s="118">
        <v>0</v>
      </c>
      <c r="T274" s="118">
        <v>0</v>
      </c>
      <c r="U274" s="118">
        <v>0</v>
      </c>
      <c r="V274" s="118">
        <f t="shared" si="52"/>
        <v>-18110</v>
      </c>
    </row>
    <row r="275" spans="1:22" customFormat="1" ht="14.25" customHeight="1" x14ac:dyDescent="0.2">
      <c r="A275" s="532" t="s">
        <v>1412</v>
      </c>
      <c r="B275" s="532" t="s">
        <v>1413</v>
      </c>
      <c r="D275" s="129" t="str">
        <f>IF([1]RENAME!$H$3=1,B275,A275)</f>
        <v>Constituição/baixa ágio (GDL-TLI)</v>
      </c>
      <c r="E275" s="118">
        <v>0</v>
      </c>
      <c r="F275" s="118">
        <v>0</v>
      </c>
      <c r="G275" s="118">
        <v>0</v>
      </c>
      <c r="H275" s="118">
        <v>0</v>
      </c>
      <c r="I275" s="118">
        <v>0</v>
      </c>
      <c r="J275" s="118"/>
      <c r="K275" s="118"/>
      <c r="L275" s="118"/>
      <c r="M275" s="118">
        <v>0</v>
      </c>
      <c r="N275" s="118">
        <v>0</v>
      </c>
      <c r="O275" s="118">
        <v>0</v>
      </c>
      <c r="P275" s="118">
        <v>0</v>
      </c>
      <c r="Q275" s="118">
        <v>0</v>
      </c>
      <c r="R275" s="118">
        <v>0</v>
      </c>
      <c r="S275" s="118">
        <v>0</v>
      </c>
      <c r="T275" s="118">
        <v>0</v>
      </c>
      <c r="U275" s="118">
        <v>0</v>
      </c>
      <c r="V275" s="118">
        <f t="shared" si="52"/>
        <v>0</v>
      </c>
    </row>
    <row r="276" spans="1:22" customFormat="1" ht="14.25" customHeight="1" x14ac:dyDescent="0.2">
      <c r="A276" s="532" t="s">
        <v>49</v>
      </c>
      <c r="B276" s="532" t="s">
        <v>728</v>
      </c>
      <c r="D276" s="129" t="str">
        <f>IF([1]RENAME!$H$3=1,B276,A276)</f>
        <v>Outros</v>
      </c>
      <c r="E276" s="118">
        <v>-1</v>
      </c>
      <c r="F276" s="118" t="s">
        <v>160</v>
      </c>
      <c r="G276" s="118" t="s">
        <v>160</v>
      </c>
      <c r="H276" s="118" t="s">
        <v>160</v>
      </c>
      <c r="I276" s="118">
        <v>0</v>
      </c>
      <c r="J276" s="118"/>
      <c r="K276" s="118"/>
      <c r="L276" s="118"/>
      <c r="M276" s="118" t="s">
        <v>160</v>
      </c>
      <c r="N276" s="118">
        <v>0</v>
      </c>
      <c r="O276" s="118">
        <v>0</v>
      </c>
      <c r="P276" s="118" t="s">
        <v>160</v>
      </c>
      <c r="Q276" s="118" t="s">
        <v>160</v>
      </c>
      <c r="R276" s="118" t="s">
        <v>160</v>
      </c>
      <c r="S276" s="118" t="s">
        <v>160</v>
      </c>
      <c r="T276" s="118" t="s">
        <v>160</v>
      </c>
      <c r="U276" s="118" t="s">
        <v>160</v>
      </c>
      <c r="V276" s="118">
        <f t="shared" si="52"/>
        <v>-1</v>
      </c>
    </row>
    <row r="277" spans="1:22" customFormat="1" x14ac:dyDescent="0.2">
      <c r="A277" s="532" t="s">
        <v>1967</v>
      </c>
      <c r="B277" s="532" t="s">
        <v>1966</v>
      </c>
      <c r="D277" s="126" t="str">
        <f>IF([1]RENAME!$H$3=1,B277,A277)</f>
        <v>Em 30 de Junho de 2022</v>
      </c>
      <c r="E277" s="120">
        <f>SUM(E267:E276)</f>
        <v>71972</v>
      </c>
      <c r="F277" s="120">
        <f t="shared" ref="F277:V277" si="53">SUM(F267:F276)</f>
        <v>15241</v>
      </c>
      <c r="G277" s="120">
        <f t="shared" si="53"/>
        <v>106725</v>
      </c>
      <c r="H277" s="120">
        <f t="shared" si="53"/>
        <v>7361</v>
      </c>
      <c r="I277" s="120">
        <f t="shared" si="53"/>
        <v>39583</v>
      </c>
      <c r="J277" s="120"/>
      <c r="K277" s="120"/>
      <c r="L277" s="120"/>
      <c r="M277" s="120">
        <f t="shared" si="53"/>
        <v>0</v>
      </c>
      <c r="N277" s="120">
        <f>SUM(N267:N276)</f>
        <v>3170</v>
      </c>
      <c r="O277" s="120">
        <f>SUM(O267:O276)</f>
        <v>51647</v>
      </c>
      <c r="P277" s="120">
        <f>SUM(P267:P276)</f>
        <v>1366</v>
      </c>
      <c r="Q277" s="120">
        <f>SUM(Q267:Q276)</f>
        <v>1</v>
      </c>
      <c r="R277" s="120">
        <f t="shared" si="53"/>
        <v>0</v>
      </c>
      <c r="S277" s="120">
        <f t="shared" si="53"/>
        <v>0</v>
      </c>
      <c r="T277" s="120">
        <f t="shared" si="53"/>
        <v>0</v>
      </c>
      <c r="U277" s="120">
        <f t="shared" si="53"/>
        <v>0</v>
      </c>
      <c r="V277" s="120">
        <f t="shared" si="53"/>
        <v>297066</v>
      </c>
    </row>
    <row r="279" spans="1:22" customFormat="1" x14ac:dyDescent="0.2">
      <c r="A279" s="532" t="s">
        <v>225</v>
      </c>
      <c r="B279" s="532" t="s">
        <v>760</v>
      </c>
      <c r="D279" s="129" t="str">
        <f>IF([1]RENAME!$H$3=1,B279,A279)</f>
        <v>Equivalência patrimonial</v>
      </c>
      <c r="E279" s="118">
        <v>4833</v>
      </c>
      <c r="F279" s="118">
        <v>385</v>
      </c>
      <c r="G279" s="118">
        <v>1123</v>
      </c>
      <c r="H279" s="118">
        <v>231</v>
      </c>
      <c r="I279" s="118">
        <v>2344</v>
      </c>
      <c r="J279" s="118"/>
      <c r="K279" s="118"/>
      <c r="L279" s="118"/>
      <c r="M279" s="118">
        <f>'[3]9.c Investimentos'!O41-M255</f>
        <v>0</v>
      </c>
      <c r="N279" s="118">
        <v>84</v>
      </c>
      <c r="O279" s="118">
        <v>4071</v>
      </c>
      <c r="P279" s="118">
        <v>19</v>
      </c>
      <c r="Q279" s="118">
        <v>0</v>
      </c>
      <c r="R279" s="118">
        <v>0</v>
      </c>
      <c r="S279" s="118">
        <v>0</v>
      </c>
      <c r="T279" s="118">
        <f>'[3]9.c Investimentos'!P41-T255</f>
        <v>0</v>
      </c>
      <c r="U279" s="118">
        <f>'[3]9.c Investimentos'!Q41-U255</f>
        <v>0</v>
      </c>
      <c r="V279" s="118">
        <f t="shared" ref="V279:V286" si="54">SUM(E279:U279)</f>
        <v>13090</v>
      </c>
    </row>
    <row r="280" spans="1:22" customFormat="1" ht="16.5" customHeight="1" x14ac:dyDescent="0.2">
      <c r="A280" s="532" t="s">
        <v>1833</v>
      </c>
      <c r="B280" s="532" t="s">
        <v>1834</v>
      </c>
      <c r="D280" s="129" t="str">
        <f>IF([1]RENAME!$H$3=1,B280,A280)</f>
        <v>Constituição de controlada</v>
      </c>
      <c r="E280" s="118" t="s">
        <v>160</v>
      </c>
      <c r="F280" s="118">
        <v>0</v>
      </c>
      <c r="G280" s="118">
        <v>0</v>
      </c>
      <c r="H280" s="118">
        <v>0</v>
      </c>
      <c r="I280" s="118">
        <v>0</v>
      </c>
      <c r="J280" s="118"/>
      <c r="K280" s="118"/>
      <c r="L280" s="118"/>
      <c r="M280" s="118">
        <f>'[3]9.c Investimentos'!P42</f>
        <v>0</v>
      </c>
      <c r="N280" s="118">
        <v>0</v>
      </c>
      <c r="O280" s="118">
        <v>0</v>
      </c>
      <c r="P280" s="118">
        <v>0</v>
      </c>
      <c r="Q280" s="118">
        <v>0</v>
      </c>
      <c r="R280" s="118">
        <v>0</v>
      </c>
      <c r="S280" s="118">
        <v>0</v>
      </c>
      <c r="T280" s="118">
        <f>'[3]9.c Investimentos'!Q42</f>
        <v>0</v>
      </c>
      <c r="U280" s="118">
        <f>'[3]9.c Investimentos'!R42</f>
        <v>0</v>
      </c>
      <c r="V280" s="118">
        <f t="shared" si="54"/>
        <v>0</v>
      </c>
    </row>
    <row r="281" spans="1:22" customFormat="1" x14ac:dyDescent="0.2">
      <c r="A281" s="532" t="s">
        <v>1831</v>
      </c>
      <c r="B281" s="532" t="s">
        <v>1832</v>
      </c>
      <c r="D281" s="129" t="str">
        <f>IF([1]RENAME!$H$3=1,B281,A281)</f>
        <v>Aumento (Redução) de capital</v>
      </c>
      <c r="E281" s="118">
        <v>0</v>
      </c>
      <c r="F281" s="118">
        <v>0</v>
      </c>
      <c r="G281" s="118">
        <v>0</v>
      </c>
      <c r="H281" s="118">
        <v>300</v>
      </c>
      <c r="I281" s="118">
        <v>0</v>
      </c>
      <c r="J281" s="118"/>
      <c r="K281" s="118"/>
      <c r="L281" s="118"/>
      <c r="M281" s="118">
        <f>'[3]9.c Investimentos'!P43</f>
        <v>0</v>
      </c>
      <c r="N281" s="118">
        <v>0</v>
      </c>
      <c r="O281" s="118">
        <v>0</v>
      </c>
      <c r="P281" s="118">
        <v>0</v>
      </c>
      <c r="Q281" s="118">
        <v>0</v>
      </c>
      <c r="R281" s="118">
        <v>0</v>
      </c>
      <c r="S281" s="118">
        <v>0</v>
      </c>
      <c r="T281" s="118">
        <f>'[3]9.c Investimentos'!Q43</f>
        <v>0</v>
      </c>
      <c r="U281" s="118">
        <f>'[3]9.c Investimentos'!R43</f>
        <v>0</v>
      </c>
      <c r="V281" s="118">
        <f t="shared" si="54"/>
        <v>300</v>
      </c>
    </row>
    <row r="282" spans="1:22" customFormat="1" x14ac:dyDescent="0.2">
      <c r="A282" s="532" t="s">
        <v>1976</v>
      </c>
      <c r="B282" s="532"/>
      <c r="D282" s="129" t="str">
        <f>IF([1]RENAME!$H$3=1,B282,A282)</f>
        <v xml:space="preserve">Aumento na participação societária </v>
      </c>
      <c r="E282" s="118">
        <v>0</v>
      </c>
      <c r="F282" s="118">
        <v>0</v>
      </c>
      <c r="G282" s="118">
        <v>0</v>
      </c>
      <c r="H282" s="118">
        <v>0</v>
      </c>
      <c r="I282" s="118">
        <v>0</v>
      </c>
      <c r="J282" s="118"/>
      <c r="K282" s="118"/>
      <c r="L282" s="118"/>
      <c r="M282" s="118">
        <v>0</v>
      </c>
      <c r="N282" s="118">
        <v>0</v>
      </c>
      <c r="O282" s="118">
        <v>0</v>
      </c>
      <c r="P282" s="118">
        <v>0</v>
      </c>
      <c r="Q282" s="118">
        <v>0</v>
      </c>
      <c r="R282" s="118">
        <v>0</v>
      </c>
      <c r="S282" s="118">
        <v>0</v>
      </c>
      <c r="T282" s="118">
        <v>0</v>
      </c>
      <c r="U282" s="118">
        <v>0</v>
      </c>
      <c r="V282" s="118">
        <f t="shared" si="54"/>
        <v>0</v>
      </c>
    </row>
    <row r="283" spans="1:22" customFormat="1" x14ac:dyDescent="0.2">
      <c r="A283" s="532" t="s">
        <v>1311</v>
      </c>
      <c r="B283" s="532" t="s">
        <v>1480</v>
      </c>
      <c r="D283" s="129" t="str">
        <f>IF([1]RENAME!$H$3=1,B283,A283)</f>
        <v>Reestruturação societária</v>
      </c>
      <c r="E283" s="118">
        <v>0</v>
      </c>
      <c r="F283" s="118">
        <v>0</v>
      </c>
      <c r="G283" s="118">
        <v>0</v>
      </c>
      <c r="H283" s="118">
        <v>0</v>
      </c>
      <c r="I283" s="118">
        <v>0</v>
      </c>
      <c r="J283" s="118"/>
      <c r="K283" s="118"/>
      <c r="L283" s="118"/>
      <c r="M283" s="118">
        <f>'[3]9.c Investimentos'!P44</f>
        <v>0</v>
      </c>
      <c r="N283" s="118">
        <v>0</v>
      </c>
      <c r="O283" s="118">
        <v>0</v>
      </c>
      <c r="P283" s="118">
        <v>0</v>
      </c>
      <c r="Q283" s="118">
        <v>0</v>
      </c>
      <c r="R283" s="118">
        <v>0</v>
      </c>
      <c r="S283" s="118">
        <v>0</v>
      </c>
      <c r="T283" s="118">
        <f>'[3]9.c Investimentos'!Q44</f>
        <v>0</v>
      </c>
      <c r="U283" s="118">
        <f>'[3]9.c Investimentos'!R44</f>
        <v>0</v>
      </c>
      <c r="V283" s="118">
        <f t="shared" si="54"/>
        <v>0</v>
      </c>
    </row>
    <row r="284" spans="1:22" customFormat="1" ht="14.25" customHeight="1" x14ac:dyDescent="0.2">
      <c r="A284" s="532" t="s">
        <v>430</v>
      </c>
      <c r="B284" s="532" t="s">
        <v>648</v>
      </c>
      <c r="D284" s="129" t="str">
        <f>IF([1]RENAME!$H$3=1,B284,A284)</f>
        <v>Dividendos</v>
      </c>
      <c r="E284" s="118">
        <v>-10600</v>
      </c>
      <c r="F284" s="118">
        <v>0</v>
      </c>
      <c r="G284" s="118">
        <v>-3225</v>
      </c>
      <c r="H284" s="118">
        <v>0</v>
      </c>
      <c r="I284" s="118">
        <v>-2043</v>
      </c>
      <c r="J284" s="118"/>
      <c r="K284" s="118"/>
      <c r="L284" s="118"/>
      <c r="M284" s="118">
        <v>0</v>
      </c>
      <c r="N284" s="118">
        <v>0</v>
      </c>
      <c r="O284" s="118">
        <v>-14895</v>
      </c>
      <c r="P284" s="118">
        <v>0</v>
      </c>
      <c r="Q284" s="118">
        <v>0</v>
      </c>
      <c r="R284" s="118">
        <v>0</v>
      </c>
      <c r="S284" s="118">
        <v>0</v>
      </c>
      <c r="T284" s="118">
        <f>'[3]9.c Investimentos'!Q45</f>
        <v>0</v>
      </c>
      <c r="U284" s="118">
        <f>'[3]9.c Investimentos'!R45</f>
        <v>0</v>
      </c>
      <c r="V284" s="118">
        <f t="shared" si="54"/>
        <v>-30763</v>
      </c>
    </row>
    <row r="285" spans="1:22" customFormat="1" ht="14.25" customHeight="1" x14ac:dyDescent="0.2">
      <c r="A285" s="532" t="s">
        <v>1412</v>
      </c>
      <c r="B285" s="532" t="s">
        <v>1413</v>
      </c>
      <c r="D285" s="129" t="str">
        <f>IF([1]RENAME!$H$3=1,B285,A285)</f>
        <v>Constituição/baixa ágio (GDL-TLI)</v>
      </c>
      <c r="E285" s="118">
        <v>0</v>
      </c>
      <c r="F285" s="118">
        <v>0</v>
      </c>
      <c r="G285" s="118">
        <v>0</v>
      </c>
      <c r="H285" s="118">
        <v>0</v>
      </c>
      <c r="I285" s="118">
        <v>0</v>
      </c>
      <c r="J285" s="118"/>
      <c r="K285" s="118"/>
      <c r="L285" s="118"/>
      <c r="M285" s="118">
        <f>'[3]9.c Investimentos'!P46</f>
        <v>0</v>
      </c>
      <c r="N285" s="118">
        <v>0</v>
      </c>
      <c r="O285" s="118">
        <v>0</v>
      </c>
      <c r="P285" s="118">
        <v>0</v>
      </c>
      <c r="Q285" s="118">
        <v>0</v>
      </c>
      <c r="R285" s="118">
        <v>0</v>
      </c>
      <c r="S285" s="118">
        <v>0</v>
      </c>
      <c r="T285" s="118">
        <f>'[3]9.c Investimentos'!Q46</f>
        <v>0</v>
      </c>
      <c r="U285" s="118">
        <f>'[3]9.c Investimentos'!R46</f>
        <v>0</v>
      </c>
      <c r="V285" s="118">
        <f t="shared" si="54"/>
        <v>0</v>
      </c>
    </row>
    <row r="286" spans="1:22" customFormat="1" ht="14.25" customHeight="1" x14ac:dyDescent="0.2">
      <c r="A286" s="532" t="s">
        <v>49</v>
      </c>
      <c r="B286" s="532" t="s">
        <v>728</v>
      </c>
      <c r="D286" s="129" t="str">
        <f>IF([1]RENAME!$H$3=1,B286,A286)</f>
        <v>Outros</v>
      </c>
      <c r="E286" s="118">
        <v>0</v>
      </c>
      <c r="F286" s="118" t="s">
        <v>160</v>
      </c>
      <c r="G286" s="118" t="s">
        <v>160</v>
      </c>
      <c r="H286" s="118" t="s">
        <v>160</v>
      </c>
      <c r="I286" s="118" t="s">
        <v>160</v>
      </c>
      <c r="J286" s="118"/>
      <c r="K286" s="118"/>
      <c r="L286" s="118"/>
      <c r="M286" s="118" t="s">
        <v>160</v>
      </c>
      <c r="N286" s="118">
        <v>3345</v>
      </c>
      <c r="O286" s="118">
        <v>-3</v>
      </c>
      <c r="P286" s="118" t="s">
        <v>160</v>
      </c>
      <c r="Q286" s="118" t="s">
        <v>160</v>
      </c>
      <c r="R286" s="118" t="s">
        <v>160</v>
      </c>
      <c r="S286" s="118" t="s">
        <v>160</v>
      </c>
      <c r="T286" s="118" t="s">
        <v>160</v>
      </c>
      <c r="U286" s="118" t="s">
        <v>160</v>
      </c>
      <c r="V286" s="118">
        <f t="shared" si="54"/>
        <v>3342</v>
      </c>
    </row>
    <row r="287" spans="1:22" customFormat="1" x14ac:dyDescent="0.2">
      <c r="A287" s="532" t="s">
        <v>1988</v>
      </c>
      <c r="B287" s="532" t="s">
        <v>1987</v>
      </c>
      <c r="D287" s="126" t="str">
        <f>IF([1]RENAME!$H$3=1,B287,A287)</f>
        <v>Em 30 de Setembro de 2022</v>
      </c>
      <c r="E287" s="120">
        <f>SUM(E277:E286)</f>
        <v>66205</v>
      </c>
      <c r="F287" s="120">
        <f t="shared" ref="F287:V287" si="55">SUM(F277:F286)</f>
        <v>15626</v>
      </c>
      <c r="G287" s="120">
        <f t="shared" si="55"/>
        <v>104623</v>
      </c>
      <c r="H287" s="120">
        <f t="shared" si="55"/>
        <v>7892</v>
      </c>
      <c r="I287" s="120">
        <f t="shared" si="55"/>
        <v>39884</v>
      </c>
      <c r="J287" s="120"/>
      <c r="K287" s="120"/>
      <c r="L287" s="120"/>
      <c r="M287" s="120">
        <f t="shared" si="55"/>
        <v>0</v>
      </c>
      <c r="N287" s="120">
        <f>SUM(N277:N286)</f>
        <v>6599</v>
      </c>
      <c r="O287" s="120">
        <f>SUM(O277:O286)</f>
        <v>40820</v>
      </c>
      <c r="P287" s="120">
        <f>SUM(P277:P286)</f>
        <v>1385</v>
      </c>
      <c r="Q287" s="120">
        <f>SUM(Q277:Q286)</f>
        <v>1</v>
      </c>
      <c r="R287" s="120">
        <f t="shared" si="55"/>
        <v>0</v>
      </c>
      <c r="S287" s="120">
        <f t="shared" si="55"/>
        <v>0</v>
      </c>
      <c r="T287" s="120">
        <f t="shared" si="55"/>
        <v>0</v>
      </c>
      <c r="U287" s="120">
        <f t="shared" si="55"/>
        <v>0</v>
      </c>
      <c r="V287" s="120">
        <f t="shared" si="55"/>
        <v>283035</v>
      </c>
    </row>
    <row r="289" spans="1:27" x14ac:dyDescent="0.2">
      <c r="A289" s="532" t="s">
        <v>225</v>
      </c>
      <c r="B289" s="532" t="s">
        <v>760</v>
      </c>
      <c r="D289" s="129" t="str">
        <f>IF([1]RENAME!$H$3=1,B289,A289)</f>
        <v>Equivalência patrimonial</v>
      </c>
      <c r="E289" s="118">
        <v>3135</v>
      </c>
      <c r="F289" s="118">
        <v>82</v>
      </c>
      <c r="G289" s="118">
        <v>1036</v>
      </c>
      <c r="H289" s="118">
        <v>-350</v>
      </c>
      <c r="I289" s="118">
        <v>2477</v>
      </c>
      <c r="J289" s="118"/>
      <c r="K289" s="118"/>
      <c r="L289" s="118"/>
      <c r="M289" s="118">
        <f>'[3]9.c Investimentos'!O51-M265</f>
        <v>0</v>
      </c>
      <c r="N289" s="118">
        <v>8886</v>
      </c>
      <c r="O289" s="118">
        <v>3052</v>
      </c>
      <c r="P289" s="118">
        <v>-11</v>
      </c>
      <c r="Q289" s="118">
        <v>0</v>
      </c>
      <c r="R289" s="118">
        <v>0</v>
      </c>
      <c r="S289" s="118">
        <v>0</v>
      </c>
      <c r="T289" s="118">
        <f>'[3]9.c Investimentos'!P51-T265</f>
        <v>0</v>
      </c>
      <c r="U289" s="118">
        <f>'[3]9.c Investimentos'!Q51-U265</f>
        <v>0</v>
      </c>
      <c r="V289" s="118">
        <f t="shared" ref="V289:V296" si="56">SUM(E289:U289)</f>
        <v>18307</v>
      </c>
    </row>
    <row r="290" spans="1:27" x14ac:dyDescent="0.2">
      <c r="A290" s="532" t="s">
        <v>1833</v>
      </c>
      <c r="B290" s="532" t="s">
        <v>1834</v>
      </c>
      <c r="D290" s="129" t="str">
        <f>IF([1]RENAME!$H$3=1,B290,A290)</f>
        <v>Constituição de controlada</v>
      </c>
      <c r="E290" s="118" t="s">
        <v>160</v>
      </c>
      <c r="F290" s="118">
        <v>0</v>
      </c>
      <c r="G290" s="118">
        <v>0</v>
      </c>
      <c r="H290" s="118">
        <v>0</v>
      </c>
      <c r="I290" s="118">
        <v>0</v>
      </c>
      <c r="J290" s="118"/>
      <c r="K290" s="118"/>
      <c r="L290" s="118"/>
      <c r="M290" s="118">
        <f>'[3]9.c Investimentos'!P52</f>
        <v>0</v>
      </c>
      <c r="N290" s="118">
        <v>0</v>
      </c>
      <c r="O290" s="118">
        <v>0</v>
      </c>
      <c r="P290" s="118">
        <v>0</v>
      </c>
      <c r="Q290" s="118">
        <v>0</v>
      </c>
      <c r="R290" s="118">
        <v>0</v>
      </c>
      <c r="S290" s="118">
        <v>0</v>
      </c>
      <c r="T290" s="118">
        <f>'[3]9.c Investimentos'!Q52</f>
        <v>0</v>
      </c>
      <c r="U290" s="118">
        <f>'[3]9.c Investimentos'!R52</f>
        <v>0</v>
      </c>
      <c r="V290" s="118">
        <f t="shared" si="56"/>
        <v>0</v>
      </c>
    </row>
    <row r="291" spans="1:27" x14ac:dyDescent="0.2">
      <c r="A291" s="532" t="s">
        <v>1831</v>
      </c>
      <c r="B291" s="532" t="s">
        <v>1832</v>
      </c>
      <c r="D291" s="129" t="str">
        <f>IF([1]RENAME!$H$3=1,B291,A291)</f>
        <v>Aumento (Redução) de capital</v>
      </c>
      <c r="E291" s="118">
        <v>0</v>
      </c>
      <c r="F291" s="118">
        <v>0</v>
      </c>
      <c r="G291" s="118">
        <v>0</v>
      </c>
      <c r="H291" s="118">
        <v>0</v>
      </c>
      <c r="I291" s="118">
        <v>0</v>
      </c>
      <c r="J291" s="118"/>
      <c r="K291" s="118"/>
      <c r="L291" s="118"/>
      <c r="M291" s="118">
        <f>'[3]9.c Investimentos'!P53</f>
        <v>0</v>
      </c>
      <c r="N291" s="118">
        <v>0</v>
      </c>
      <c r="O291" s="118">
        <v>-2</v>
      </c>
      <c r="P291" s="118">
        <v>0</v>
      </c>
      <c r="Q291" s="118">
        <v>0</v>
      </c>
      <c r="R291" s="118">
        <v>0</v>
      </c>
      <c r="S291" s="118">
        <v>0</v>
      </c>
      <c r="T291" s="118">
        <f>'[3]9.c Investimentos'!Q53</f>
        <v>0</v>
      </c>
      <c r="U291" s="118">
        <f>'[3]9.c Investimentos'!R53</f>
        <v>0</v>
      </c>
      <c r="V291" s="118">
        <f t="shared" si="56"/>
        <v>-2</v>
      </c>
    </row>
    <row r="292" spans="1:27" x14ac:dyDescent="0.2">
      <c r="A292" s="532" t="s">
        <v>1976</v>
      </c>
      <c r="D292" s="129" t="str">
        <f>IF([1]RENAME!$H$3=1,B292,A292)</f>
        <v xml:space="preserve">Aumento na participação societária </v>
      </c>
      <c r="E292" s="118">
        <v>0</v>
      </c>
      <c r="F292" s="118">
        <v>0</v>
      </c>
      <c r="G292" s="118">
        <v>0</v>
      </c>
      <c r="H292" s="118">
        <v>0</v>
      </c>
      <c r="I292" s="118">
        <v>0</v>
      </c>
      <c r="J292" s="118"/>
      <c r="K292" s="118"/>
      <c r="L292" s="118"/>
      <c r="M292" s="118">
        <v>0</v>
      </c>
      <c r="N292" s="118">
        <v>0</v>
      </c>
      <c r="O292" s="118">
        <v>0</v>
      </c>
      <c r="P292" s="118">
        <v>0</v>
      </c>
      <c r="Q292" s="118">
        <v>0</v>
      </c>
      <c r="R292" s="118">
        <v>0</v>
      </c>
      <c r="S292" s="118">
        <v>0</v>
      </c>
      <c r="T292" s="118">
        <v>0</v>
      </c>
      <c r="U292" s="118">
        <v>0</v>
      </c>
      <c r="V292" s="118">
        <f t="shared" si="56"/>
        <v>0</v>
      </c>
    </row>
    <row r="293" spans="1:27" x14ac:dyDescent="0.2">
      <c r="A293" s="532" t="s">
        <v>1311</v>
      </c>
      <c r="B293" s="532" t="s">
        <v>1480</v>
      </c>
      <c r="D293" s="129" t="str">
        <f>IF([1]RENAME!$H$3=1,B293,A293)</f>
        <v>Reestruturação societária</v>
      </c>
      <c r="E293" s="118">
        <v>0</v>
      </c>
      <c r="F293" s="118">
        <v>0</v>
      </c>
      <c r="G293" s="118">
        <v>0</v>
      </c>
      <c r="H293" s="118">
        <v>0</v>
      </c>
      <c r="I293" s="118">
        <v>0</v>
      </c>
      <c r="J293" s="118"/>
      <c r="K293" s="118"/>
      <c r="L293" s="118"/>
      <c r="M293" s="118">
        <f>'[3]9.c Investimentos'!P54</f>
        <v>0</v>
      </c>
      <c r="N293" s="118">
        <v>0</v>
      </c>
      <c r="O293" s="118">
        <v>0</v>
      </c>
      <c r="P293" s="118">
        <v>0</v>
      </c>
      <c r="Q293" s="118">
        <v>0</v>
      </c>
      <c r="R293" s="118">
        <v>0</v>
      </c>
      <c r="S293" s="118">
        <v>0</v>
      </c>
      <c r="T293" s="118">
        <f>'[3]9.c Investimentos'!Q54</f>
        <v>0</v>
      </c>
      <c r="U293" s="118">
        <f>'[3]9.c Investimentos'!R54</f>
        <v>0</v>
      </c>
      <c r="V293" s="118">
        <f t="shared" si="56"/>
        <v>0</v>
      </c>
    </row>
    <row r="294" spans="1:27" x14ac:dyDescent="0.2">
      <c r="A294" s="532" t="s">
        <v>430</v>
      </c>
      <c r="B294" s="532" t="s">
        <v>648</v>
      </c>
      <c r="D294" s="129" t="str">
        <f>IF([1]RENAME!$H$3=1,B294,A294)</f>
        <v>Dividendos</v>
      </c>
      <c r="E294" s="118">
        <v>0</v>
      </c>
      <c r="F294" s="118">
        <v>0</v>
      </c>
      <c r="G294" s="118">
        <v>0</v>
      </c>
      <c r="H294" s="118">
        <v>0</v>
      </c>
      <c r="I294" s="118">
        <v>-1300</v>
      </c>
      <c r="J294" s="118"/>
      <c r="K294" s="118"/>
      <c r="L294" s="118"/>
      <c r="M294" s="118">
        <v>0</v>
      </c>
      <c r="N294" s="118">
        <v>0</v>
      </c>
      <c r="O294" s="118">
        <v>0</v>
      </c>
      <c r="P294" s="118">
        <v>0</v>
      </c>
      <c r="Q294" s="118">
        <v>0</v>
      </c>
      <c r="R294" s="118">
        <v>0</v>
      </c>
      <c r="S294" s="118">
        <v>0</v>
      </c>
      <c r="T294" s="118">
        <f>'[3]9.c Investimentos'!Q55</f>
        <v>0</v>
      </c>
      <c r="U294" s="118">
        <f>'[3]9.c Investimentos'!R55</f>
        <v>0</v>
      </c>
      <c r="V294" s="118">
        <f t="shared" si="56"/>
        <v>-1300</v>
      </c>
    </row>
    <row r="295" spans="1:27" x14ac:dyDescent="0.2">
      <c r="A295" s="532" t="s">
        <v>1412</v>
      </c>
      <c r="B295" s="532" t="s">
        <v>1413</v>
      </c>
      <c r="D295" s="129" t="str">
        <f>IF([1]RENAME!$H$3=1,B295,A295)</f>
        <v>Constituição/baixa ágio (GDL-TLI)</v>
      </c>
      <c r="E295" s="118">
        <v>0</v>
      </c>
      <c r="F295" s="118">
        <v>0</v>
      </c>
      <c r="G295" s="118">
        <v>0</v>
      </c>
      <c r="H295" s="118">
        <v>0</v>
      </c>
      <c r="I295" s="118">
        <v>0</v>
      </c>
      <c r="J295" s="118"/>
      <c r="K295" s="118"/>
      <c r="L295" s="118"/>
      <c r="M295" s="118">
        <f>'[3]9.c Investimentos'!P56</f>
        <v>0</v>
      </c>
      <c r="N295" s="118">
        <v>0</v>
      </c>
      <c r="O295" s="118">
        <v>0</v>
      </c>
      <c r="P295" s="118">
        <v>0</v>
      </c>
      <c r="Q295" s="118">
        <v>0</v>
      </c>
      <c r="R295" s="118">
        <v>0</v>
      </c>
      <c r="S295" s="118">
        <v>0</v>
      </c>
      <c r="T295" s="118">
        <f>'[3]9.c Investimentos'!Q56</f>
        <v>0</v>
      </c>
      <c r="U295" s="118">
        <f>'[3]9.c Investimentos'!R56</f>
        <v>0</v>
      </c>
      <c r="V295" s="118">
        <f t="shared" si="56"/>
        <v>0</v>
      </c>
    </row>
    <row r="296" spans="1:27" x14ac:dyDescent="0.2">
      <c r="A296" s="532" t="s">
        <v>49</v>
      </c>
      <c r="B296" s="532" t="s">
        <v>728</v>
      </c>
      <c r="D296" s="129" t="str">
        <f>IF([1]RENAME!$H$3=1,B296,A296)</f>
        <v>Outros</v>
      </c>
      <c r="E296" s="118">
        <v>0</v>
      </c>
      <c r="F296" s="118" t="s">
        <v>160</v>
      </c>
      <c r="G296" s="118" t="s">
        <v>160</v>
      </c>
      <c r="H296" s="118" t="s">
        <v>160</v>
      </c>
      <c r="I296" s="118" t="s">
        <v>160</v>
      </c>
      <c r="J296" s="118"/>
      <c r="K296" s="118"/>
      <c r="L296" s="118"/>
      <c r="M296" s="118" t="s">
        <v>160</v>
      </c>
      <c r="N296" s="118">
        <v>0</v>
      </c>
      <c r="O296" s="118">
        <v>664</v>
      </c>
      <c r="P296" s="118" t="s">
        <v>160</v>
      </c>
      <c r="Q296" s="118" t="s">
        <v>160</v>
      </c>
      <c r="R296" s="118" t="s">
        <v>160</v>
      </c>
      <c r="S296" s="118" t="s">
        <v>160</v>
      </c>
      <c r="T296" s="118" t="s">
        <v>160</v>
      </c>
      <c r="U296" s="118" t="s">
        <v>160</v>
      </c>
      <c r="V296" s="118">
        <f t="shared" si="56"/>
        <v>664</v>
      </c>
    </row>
    <row r="297" spans="1:27" x14ac:dyDescent="0.2">
      <c r="A297" s="532" t="s">
        <v>2004</v>
      </c>
      <c r="B297" s="532" t="s">
        <v>2001</v>
      </c>
      <c r="D297" s="126" t="str">
        <f>IF([1]RENAME!$H$3=1,B297,A297)</f>
        <v>Em 31 de Dezembro de 2022</v>
      </c>
      <c r="E297" s="120">
        <f>SUM(E287:E296)</f>
        <v>69340</v>
      </c>
      <c r="F297" s="120">
        <f t="shared" ref="F297:V297" si="57">SUM(F287:F296)</f>
        <v>15708</v>
      </c>
      <c r="G297" s="120">
        <f t="shared" si="57"/>
        <v>105659</v>
      </c>
      <c r="H297" s="120">
        <f t="shared" si="57"/>
        <v>7542</v>
      </c>
      <c r="I297" s="120">
        <f t="shared" si="57"/>
        <v>41061</v>
      </c>
      <c r="J297" s="120"/>
      <c r="K297" s="120"/>
      <c r="L297" s="120"/>
      <c r="M297" s="120">
        <f t="shared" si="57"/>
        <v>0</v>
      </c>
      <c r="N297" s="120">
        <f>SUM(N287:N296)</f>
        <v>15485</v>
      </c>
      <c r="O297" s="120">
        <f>SUM(O287:O296)</f>
        <v>44534</v>
      </c>
      <c r="P297" s="120">
        <f>SUM(P287:P296)</f>
        <v>1374</v>
      </c>
      <c r="Q297" s="120">
        <f>SUM(Q287:Q296)</f>
        <v>1</v>
      </c>
      <c r="R297" s="120">
        <f t="shared" si="57"/>
        <v>0</v>
      </c>
      <c r="S297" s="120">
        <f t="shared" si="57"/>
        <v>0</v>
      </c>
      <c r="T297" s="120">
        <f t="shared" si="57"/>
        <v>0</v>
      </c>
      <c r="U297" s="120">
        <f t="shared" si="57"/>
        <v>0</v>
      </c>
      <c r="V297" s="120">
        <f t="shared" si="57"/>
        <v>300704</v>
      </c>
      <c r="X297" s="126" t="str">
        <f>IF([1]RENAME!$H$3=1,B297,A297)</f>
        <v>Em 31 de Dezembro de 2022</v>
      </c>
      <c r="Y297" s="120">
        <v>41061</v>
      </c>
      <c r="Z297" s="120">
        <v>6889</v>
      </c>
      <c r="AA297" s="120">
        <v>47950</v>
      </c>
    </row>
    <row r="299" spans="1:27" x14ac:dyDescent="0.2">
      <c r="A299" s="532" t="s">
        <v>225</v>
      </c>
      <c r="B299" s="532" t="s">
        <v>760</v>
      </c>
      <c r="D299" s="129" t="str">
        <f>IF([1]RENAME!$H$3=1,B299,A299)</f>
        <v>Equivalência patrimonial</v>
      </c>
      <c r="E299" s="118">
        <v>2799</v>
      </c>
      <c r="F299" s="118">
        <v>1751</v>
      </c>
      <c r="G299" s="118">
        <v>932</v>
      </c>
      <c r="H299" s="118">
        <v>-142</v>
      </c>
      <c r="I299" s="118">
        <v>3987</v>
      </c>
      <c r="J299" s="118"/>
      <c r="K299" s="118"/>
      <c r="L299" s="118"/>
      <c r="M299" s="118">
        <f>'[3]9.c Investimentos'!O61-M275</f>
        <v>0</v>
      </c>
      <c r="N299" s="118">
        <v>4701</v>
      </c>
      <c r="O299" s="118">
        <v>257</v>
      </c>
      <c r="P299" s="118">
        <v>17</v>
      </c>
      <c r="Q299" s="118">
        <v>0</v>
      </c>
      <c r="R299" s="118">
        <v>0</v>
      </c>
      <c r="S299" s="118">
        <v>0</v>
      </c>
      <c r="T299" s="118">
        <f>'[3]9.c Investimentos'!P61-T275</f>
        <v>0</v>
      </c>
      <c r="U299" s="118">
        <f>'[3]9.c Investimentos'!Q61-U275</f>
        <v>0</v>
      </c>
      <c r="V299" s="118">
        <f>SUM(E299:U299)</f>
        <v>14302</v>
      </c>
      <c r="W299" s="612" t="s">
        <v>2153</v>
      </c>
      <c r="X299" s="129" t="str">
        <f>IF([1]RENAME!$H$3=1,B299,A299)</f>
        <v>Equivalência patrimonial</v>
      </c>
      <c r="Y299" s="118">
        <v>3987</v>
      </c>
      <c r="Z299" s="118">
        <v>-149</v>
      </c>
      <c r="AA299" s="118">
        <f>SUM(Y299:Z299)</f>
        <v>3838</v>
      </c>
    </row>
    <row r="300" spans="1:27" x14ac:dyDescent="0.2">
      <c r="A300" s="532" t="s">
        <v>1833</v>
      </c>
      <c r="B300" s="532" t="s">
        <v>1834</v>
      </c>
      <c r="D300" s="129" t="str">
        <f>IF([1]RENAME!$H$3=1,B300,A300)</f>
        <v>Constituição de controlada</v>
      </c>
      <c r="E300" s="118">
        <v>0</v>
      </c>
      <c r="F300" s="118">
        <v>0</v>
      </c>
      <c r="G300" s="118">
        <v>0</v>
      </c>
      <c r="H300" s="118">
        <v>0</v>
      </c>
      <c r="I300" s="118">
        <v>0</v>
      </c>
      <c r="J300" s="118"/>
      <c r="K300" s="118"/>
      <c r="L300" s="118"/>
      <c r="M300" s="118">
        <f>'[3]9.c Investimentos'!P62</f>
        <v>0</v>
      </c>
      <c r="N300" s="118">
        <v>0</v>
      </c>
      <c r="O300" s="118">
        <v>0</v>
      </c>
      <c r="P300" s="118">
        <v>0</v>
      </c>
      <c r="Q300" s="118">
        <v>0</v>
      </c>
      <c r="R300" s="118">
        <v>0</v>
      </c>
      <c r="S300" s="118">
        <v>0</v>
      </c>
      <c r="T300" s="118">
        <f>'[3]9.c Investimentos'!Q62</f>
        <v>0</v>
      </c>
      <c r="U300" s="118">
        <f>'[3]9.c Investimentos'!R62</f>
        <v>0</v>
      </c>
      <c r="V300" s="118">
        <f>SUM(E300:U300)</f>
        <v>0</v>
      </c>
      <c r="X300" s="129" t="str">
        <f>IF([1]RENAME!$H$3=1,B300,A300)</f>
        <v>Constituição de controlada</v>
      </c>
      <c r="Y300" s="118">
        <v>0</v>
      </c>
      <c r="Z300" s="118"/>
      <c r="AA300" s="118">
        <f t="shared" ref="AA300:AA306" si="58">SUM(Y300:Z300)</f>
        <v>0</v>
      </c>
    </row>
    <row r="301" spans="1:27" x14ac:dyDescent="0.2">
      <c r="A301" s="532" t="s">
        <v>1831</v>
      </c>
      <c r="B301" s="532" t="s">
        <v>1832</v>
      </c>
      <c r="D301" s="129" t="str">
        <f>IF([1]RENAME!$H$3=1,B301,A301)</f>
        <v>Aumento (Redução) de capital</v>
      </c>
      <c r="E301" s="118">
        <v>253</v>
      </c>
      <c r="F301" s="118">
        <v>-253</v>
      </c>
      <c r="G301" s="118">
        <v>27468</v>
      </c>
      <c r="H301" s="118"/>
      <c r="I301" s="118">
        <v>0</v>
      </c>
      <c r="J301" s="118"/>
      <c r="K301" s="118"/>
      <c r="L301" s="118"/>
      <c r="M301" s="118">
        <f>'[3]9.c Investimentos'!P63</f>
        <v>0</v>
      </c>
      <c r="N301" s="118">
        <v>0</v>
      </c>
      <c r="O301" s="118">
        <v>0</v>
      </c>
      <c r="P301" s="118">
        <v>0</v>
      </c>
      <c r="Q301" s="118">
        <v>0</v>
      </c>
      <c r="R301" s="118">
        <v>0</v>
      </c>
      <c r="S301" s="118">
        <v>0</v>
      </c>
      <c r="T301" s="118">
        <f>'[3]9.c Investimentos'!Q63</f>
        <v>0</v>
      </c>
      <c r="U301" s="118">
        <f>'[3]9.c Investimentos'!R63</f>
        <v>0</v>
      </c>
      <c r="V301" s="118">
        <f>SUM(E301:Q301)</f>
        <v>27468</v>
      </c>
      <c r="X301" s="129" t="str">
        <f>IF([1]RENAME!$H$3=1,B301,A301)</f>
        <v>Aumento (Redução) de capital</v>
      </c>
      <c r="Y301" s="118">
        <v>0</v>
      </c>
      <c r="Z301" s="118"/>
      <c r="AA301" s="118">
        <f t="shared" si="58"/>
        <v>0</v>
      </c>
    </row>
    <row r="302" spans="1:27" x14ac:dyDescent="0.2">
      <c r="A302" s="532" t="s">
        <v>1976</v>
      </c>
      <c r="D302" s="129" t="str">
        <f>IF([1]RENAME!$H$3=1,B302,A302)</f>
        <v xml:space="preserve">Aumento na participação societária </v>
      </c>
      <c r="E302" s="118">
        <v>0</v>
      </c>
      <c r="F302" s="118">
        <v>0</v>
      </c>
      <c r="G302" s="118">
        <v>0</v>
      </c>
      <c r="H302" s="118">
        <v>0</v>
      </c>
      <c r="I302" s="118">
        <v>0</v>
      </c>
      <c r="J302" s="118"/>
      <c r="K302" s="118"/>
      <c r="L302" s="118"/>
      <c r="M302" s="118">
        <v>0</v>
      </c>
      <c r="N302" s="118">
        <v>0</v>
      </c>
      <c r="O302" s="118">
        <v>0</v>
      </c>
      <c r="P302" s="118">
        <v>0</v>
      </c>
      <c r="Q302" s="118">
        <v>0</v>
      </c>
      <c r="R302" s="118">
        <v>0</v>
      </c>
      <c r="S302" s="118">
        <v>0</v>
      </c>
      <c r="T302" s="118">
        <v>0</v>
      </c>
      <c r="U302" s="118">
        <v>0</v>
      </c>
      <c r="V302" s="118">
        <f>SUM(E302:U302)</f>
        <v>0</v>
      </c>
      <c r="X302" s="129" t="str">
        <f>IF([1]RENAME!$H$3=1,B302,A302)</f>
        <v xml:space="preserve">Aumento na participação societária </v>
      </c>
      <c r="Y302" s="118">
        <v>0</v>
      </c>
      <c r="Z302" s="118"/>
      <c r="AA302" s="118">
        <f t="shared" si="58"/>
        <v>0</v>
      </c>
    </row>
    <row r="303" spans="1:27" x14ac:dyDescent="0.2">
      <c r="A303" s="532" t="s">
        <v>1311</v>
      </c>
      <c r="B303" s="532" t="s">
        <v>1480</v>
      </c>
      <c r="D303" s="129" t="str">
        <f>IF([1]RENAME!$H$3=1,B303,A303)</f>
        <v>Reestruturação societária</v>
      </c>
      <c r="E303" s="118">
        <v>0</v>
      </c>
      <c r="F303" s="118">
        <v>0</v>
      </c>
      <c r="G303" s="118">
        <v>0</v>
      </c>
      <c r="H303" s="118">
        <v>0</v>
      </c>
      <c r="I303" s="118">
        <v>0</v>
      </c>
      <c r="J303" s="118"/>
      <c r="K303" s="118"/>
      <c r="L303" s="118"/>
      <c r="M303" s="118">
        <f>'[3]9.c Investimentos'!P64</f>
        <v>0</v>
      </c>
      <c r="N303" s="118">
        <v>0</v>
      </c>
      <c r="O303" s="118">
        <v>0</v>
      </c>
      <c r="P303" s="118">
        <v>0</v>
      </c>
      <c r="Q303" s="118">
        <v>0</v>
      </c>
      <c r="R303" s="118">
        <v>0</v>
      </c>
      <c r="S303" s="118">
        <v>0</v>
      </c>
      <c r="T303" s="118">
        <f>'[3]9.c Investimentos'!Q64</f>
        <v>0</v>
      </c>
      <c r="U303" s="118">
        <f>'[3]9.c Investimentos'!R64</f>
        <v>0</v>
      </c>
      <c r="V303" s="118">
        <f>SUM(E303:U303)</f>
        <v>0</v>
      </c>
      <c r="X303" s="129" t="str">
        <f>IF([1]RENAME!$H$3=1,B303,A303)</f>
        <v>Reestruturação societária</v>
      </c>
      <c r="Y303" s="118">
        <v>0</v>
      </c>
      <c r="Z303" s="118"/>
      <c r="AA303" s="118">
        <f t="shared" si="58"/>
        <v>0</v>
      </c>
    </row>
    <row r="304" spans="1:27" x14ac:dyDescent="0.2">
      <c r="A304" s="532" t="s">
        <v>430</v>
      </c>
      <c r="B304" s="532" t="s">
        <v>648</v>
      </c>
      <c r="D304" s="129" t="str">
        <f>IF([1]RENAME!$H$3=1,B304,A304)</f>
        <v>Dividendos</v>
      </c>
      <c r="E304" s="118">
        <v>0</v>
      </c>
      <c r="F304" s="118">
        <v>0</v>
      </c>
      <c r="G304" s="118">
        <v>0</v>
      </c>
      <c r="H304" s="118">
        <v>0</v>
      </c>
      <c r="I304" s="118">
        <v>-2100</v>
      </c>
      <c r="J304" s="118"/>
      <c r="K304" s="118"/>
      <c r="L304" s="118"/>
      <c r="M304" s="118">
        <v>0</v>
      </c>
      <c r="N304" s="118">
        <v>0</v>
      </c>
      <c r="O304" s="118">
        <v>0</v>
      </c>
      <c r="P304" s="118">
        <v>0</v>
      </c>
      <c r="Q304" s="118">
        <v>0</v>
      </c>
      <c r="R304" s="118">
        <v>0</v>
      </c>
      <c r="S304" s="118">
        <v>0</v>
      </c>
      <c r="T304" s="118">
        <f>'[3]9.c Investimentos'!Q65</f>
        <v>0</v>
      </c>
      <c r="U304" s="118">
        <f>'[3]9.c Investimentos'!R65</f>
        <v>0</v>
      </c>
      <c r="V304" s="118">
        <f>SUM(E304:Q304)</f>
        <v>-2100</v>
      </c>
      <c r="X304" s="129" t="str">
        <f>IF([1]RENAME!$H$3=1,B304,A304)</f>
        <v>Dividendos</v>
      </c>
      <c r="Y304" s="118">
        <v>-2100</v>
      </c>
      <c r="Z304" s="118"/>
      <c r="AA304" s="118">
        <f t="shared" si="58"/>
        <v>-2100</v>
      </c>
    </row>
    <row r="305" spans="1:27" x14ac:dyDescent="0.2">
      <c r="A305" s="532" t="s">
        <v>1412</v>
      </c>
      <c r="B305" s="532" t="s">
        <v>1413</v>
      </c>
      <c r="D305" s="129" t="str">
        <f>IF([1]RENAME!$H$3=1,B305,A305)</f>
        <v>Constituição/baixa ágio (GDL-TLI)</v>
      </c>
      <c r="E305" s="118">
        <v>0</v>
      </c>
      <c r="F305" s="118">
        <v>0</v>
      </c>
      <c r="G305" s="118">
        <v>0</v>
      </c>
      <c r="H305" s="118">
        <v>0</v>
      </c>
      <c r="I305" s="118">
        <v>0</v>
      </c>
      <c r="J305" s="118"/>
      <c r="K305" s="118"/>
      <c r="L305" s="118"/>
      <c r="M305" s="118">
        <f>'[3]9.c Investimentos'!P66</f>
        <v>0</v>
      </c>
      <c r="N305" s="118">
        <v>0</v>
      </c>
      <c r="O305" s="118">
        <v>0</v>
      </c>
      <c r="P305" s="118">
        <v>0</v>
      </c>
      <c r="Q305" s="118">
        <v>0</v>
      </c>
      <c r="R305" s="118">
        <v>0</v>
      </c>
      <c r="S305" s="118">
        <v>0</v>
      </c>
      <c r="T305" s="118">
        <f>'[3]9.c Investimentos'!Q66</f>
        <v>0</v>
      </c>
      <c r="U305" s="118">
        <f>'[3]9.c Investimentos'!R66</f>
        <v>0</v>
      </c>
      <c r="V305" s="118">
        <f>SUM(E305:U305)</f>
        <v>0</v>
      </c>
      <c r="X305" s="129" t="str">
        <f>IF([1]RENAME!$H$3=1,B305,A305)</f>
        <v>Constituição/baixa ágio (GDL-TLI)</v>
      </c>
      <c r="Y305" s="118">
        <v>0</v>
      </c>
      <c r="Z305" s="118"/>
      <c r="AA305" s="118">
        <f t="shared" si="58"/>
        <v>0</v>
      </c>
    </row>
    <row r="306" spans="1:27" x14ac:dyDescent="0.2">
      <c r="A306" s="532" t="s">
        <v>49</v>
      </c>
      <c r="B306" s="532" t="s">
        <v>728</v>
      </c>
      <c r="D306" s="129" t="str">
        <f>IF([1]RENAME!$H$3=1,B306,A306)</f>
        <v>Outros</v>
      </c>
      <c r="E306" s="118">
        <v>0</v>
      </c>
      <c r="F306" s="118">
        <v>0</v>
      </c>
      <c r="G306" s="118">
        <v>0</v>
      </c>
      <c r="H306" s="118">
        <v>0</v>
      </c>
      <c r="I306" s="118">
        <v>-156</v>
      </c>
      <c r="J306" s="118"/>
      <c r="K306" s="118"/>
      <c r="L306" s="118"/>
      <c r="M306" s="118" t="s">
        <v>160</v>
      </c>
      <c r="N306" s="118">
        <v>44791</v>
      </c>
      <c r="O306" s="118">
        <v>-44791</v>
      </c>
      <c r="P306" s="118">
        <v>0</v>
      </c>
      <c r="Q306" s="118" t="s">
        <v>160</v>
      </c>
      <c r="R306" s="118" t="s">
        <v>160</v>
      </c>
      <c r="S306" s="118" t="s">
        <v>160</v>
      </c>
      <c r="T306" s="118" t="s">
        <v>160</v>
      </c>
      <c r="U306" s="118" t="s">
        <v>160</v>
      </c>
      <c r="V306" s="118">
        <f>SUM(E306:U306)</f>
        <v>-156</v>
      </c>
      <c r="X306" s="129" t="str">
        <f>IF([1]RENAME!$H$3=1,B306,A306)</f>
        <v>Outros</v>
      </c>
      <c r="Y306" s="118">
        <v>-156</v>
      </c>
      <c r="Z306" s="118"/>
      <c r="AA306" s="118">
        <f t="shared" si="58"/>
        <v>-156</v>
      </c>
    </row>
    <row r="307" spans="1:27" x14ac:dyDescent="0.2">
      <c r="A307" s="532" t="s">
        <v>2037</v>
      </c>
      <c r="B307" s="532" t="s">
        <v>2036</v>
      </c>
      <c r="D307" s="126" t="str">
        <f>IF([1]RENAME!$H$3=1,B307,A307)</f>
        <v>Em 31 de Março de 2023</v>
      </c>
      <c r="E307" s="120">
        <f>SUM(E297:E306)</f>
        <v>72392</v>
      </c>
      <c r="F307" s="120">
        <f t="shared" ref="F307:V307" si="59">SUM(F297:F306)</f>
        <v>17206</v>
      </c>
      <c r="G307" s="120">
        <f t="shared" si="59"/>
        <v>134059</v>
      </c>
      <c r="H307" s="120">
        <f t="shared" si="59"/>
        <v>7400</v>
      </c>
      <c r="I307" s="120">
        <f t="shared" si="59"/>
        <v>42792</v>
      </c>
      <c r="J307" s="120"/>
      <c r="K307" s="120"/>
      <c r="L307" s="120"/>
      <c r="M307" s="120">
        <f t="shared" si="59"/>
        <v>0</v>
      </c>
      <c r="N307" s="120">
        <f>SUM(N297:N306)</f>
        <v>64977</v>
      </c>
      <c r="O307" s="120">
        <f>SUM(O297:O306)</f>
        <v>0</v>
      </c>
      <c r="P307" s="120">
        <f>SUM(P297:P306)</f>
        <v>1391</v>
      </c>
      <c r="Q307" s="120">
        <f>SUM(Q297:Q306)</f>
        <v>1</v>
      </c>
      <c r="R307" s="120">
        <f t="shared" si="59"/>
        <v>0</v>
      </c>
      <c r="S307" s="120">
        <f t="shared" si="59"/>
        <v>0</v>
      </c>
      <c r="T307" s="120">
        <f t="shared" si="59"/>
        <v>0</v>
      </c>
      <c r="U307" s="120">
        <f t="shared" si="59"/>
        <v>0</v>
      </c>
      <c r="V307" s="120">
        <f t="shared" si="59"/>
        <v>340218</v>
      </c>
      <c r="X307" s="126" t="str">
        <f>IF([1]RENAME!$H$3=1,B307,A307)</f>
        <v>Em 31 de Março de 2023</v>
      </c>
      <c r="Y307" s="120">
        <f>SUM(Y297:Y306)</f>
        <v>42792</v>
      </c>
      <c r="Z307" s="120">
        <f>SUM(Z297:Z306)</f>
        <v>6740</v>
      </c>
      <c r="AA307" s="120">
        <f>SUM(AA297:AA306)</f>
        <v>49532</v>
      </c>
    </row>
    <row r="308" spans="1:27" x14ac:dyDescent="0.2">
      <c r="W308" s="612"/>
    </row>
    <row r="309" spans="1:27" x14ac:dyDescent="0.2">
      <c r="A309" s="532" t="s">
        <v>225</v>
      </c>
      <c r="B309" s="532" t="s">
        <v>760</v>
      </c>
      <c r="D309" s="129" t="str">
        <f>IF([1]RENAME!$H$3=1,B309,A309)</f>
        <v>Equivalência patrimonial</v>
      </c>
      <c r="E309" s="118">
        <v>3168</v>
      </c>
      <c r="F309" s="118">
        <v>1776</v>
      </c>
      <c r="G309" s="118">
        <v>731</v>
      </c>
      <c r="H309" s="118">
        <v>-426</v>
      </c>
      <c r="I309" s="118">
        <v>3318</v>
      </c>
      <c r="J309" s="118"/>
      <c r="K309" s="118"/>
      <c r="L309" s="118"/>
      <c r="M309" s="118">
        <f>'[3]9.c Investimentos'!O71-M285</f>
        <v>0</v>
      </c>
      <c r="N309" s="118">
        <v>4515</v>
      </c>
      <c r="O309" s="118">
        <v>0</v>
      </c>
      <c r="P309" s="118">
        <v>20</v>
      </c>
      <c r="Q309" s="118">
        <v>0</v>
      </c>
      <c r="R309" s="118">
        <v>0</v>
      </c>
      <c r="S309" s="118">
        <v>0</v>
      </c>
      <c r="T309" s="118">
        <f>'[3]9.c Investimentos'!P71-T285</f>
        <v>0</v>
      </c>
      <c r="U309" s="118">
        <f>'[3]9.c Investimentos'!Q71-U285</f>
        <v>0</v>
      </c>
      <c r="V309" s="118">
        <f t="shared" ref="V309:V316" si="60">SUM(E309:U309)</f>
        <v>13102</v>
      </c>
      <c r="W309" s="612" t="s">
        <v>2028</v>
      </c>
      <c r="X309" s="129" t="str">
        <f>IF([1]RENAME!$H$3=1,B309,A309)</f>
        <v>Equivalência patrimonial</v>
      </c>
      <c r="Y309" s="118">
        <v>3318</v>
      </c>
      <c r="Z309" s="118">
        <f>-584-Z299</f>
        <v>-435</v>
      </c>
      <c r="AA309" s="118">
        <f>SUM(Y309:Z309)</f>
        <v>2883</v>
      </c>
    </row>
    <row r="310" spans="1:27" x14ac:dyDescent="0.2">
      <c r="A310" s="532" t="s">
        <v>1833</v>
      </c>
      <c r="B310" s="532" t="s">
        <v>1834</v>
      </c>
      <c r="D310" s="129" t="str">
        <f>IF([1]RENAME!$H$3=1,B310,A310)</f>
        <v>Constituição de controlada</v>
      </c>
      <c r="E310" s="118">
        <v>0</v>
      </c>
      <c r="F310" s="118">
        <v>0</v>
      </c>
      <c r="G310" s="118">
        <v>0</v>
      </c>
      <c r="H310" s="118">
        <v>0</v>
      </c>
      <c r="I310" s="118">
        <v>0</v>
      </c>
      <c r="J310" s="118"/>
      <c r="K310" s="118"/>
      <c r="L310" s="118"/>
      <c r="M310" s="118">
        <f>'[3]9.c Investimentos'!P72</f>
        <v>0</v>
      </c>
      <c r="N310" s="118">
        <v>0</v>
      </c>
      <c r="O310" s="118">
        <v>0</v>
      </c>
      <c r="P310" s="118">
        <v>0</v>
      </c>
      <c r="Q310" s="118">
        <v>0</v>
      </c>
      <c r="R310" s="118">
        <v>0</v>
      </c>
      <c r="S310" s="118">
        <v>0</v>
      </c>
      <c r="T310" s="118">
        <f>'[3]9.c Investimentos'!Q72</f>
        <v>0</v>
      </c>
      <c r="U310" s="118">
        <f>'[3]9.c Investimentos'!R72</f>
        <v>0</v>
      </c>
      <c r="V310" s="118">
        <f t="shared" si="60"/>
        <v>0</v>
      </c>
      <c r="W310" s="612"/>
      <c r="X310" s="129" t="str">
        <f>IF([1]RENAME!$H$3=1,B310,A310)</f>
        <v>Constituição de controlada</v>
      </c>
      <c r="Y310" s="118">
        <v>0</v>
      </c>
      <c r="Z310" s="118"/>
      <c r="AA310" s="118">
        <f t="shared" ref="AA310:AA316" si="61">SUM(Y310:Z310)</f>
        <v>0</v>
      </c>
    </row>
    <row r="311" spans="1:27" x14ac:dyDescent="0.2">
      <c r="A311" s="532" t="s">
        <v>1831</v>
      </c>
      <c r="B311" s="532" t="s">
        <v>1832</v>
      </c>
      <c r="D311" s="129" t="str">
        <f>IF([1]RENAME!$H$3=1,B311,A311)</f>
        <v>Aumento (Redução) de capital</v>
      </c>
      <c r="E311" s="118">
        <v>0</v>
      </c>
      <c r="F311" s="118">
        <f>248-F301</f>
        <v>501</v>
      </c>
      <c r="G311" s="118">
        <v>0</v>
      </c>
      <c r="H311" s="118">
        <v>0</v>
      </c>
      <c r="I311" s="118">
        <v>0</v>
      </c>
      <c r="J311" s="118"/>
      <c r="K311" s="118"/>
      <c r="L311" s="118"/>
      <c r="M311" s="118">
        <f>'[3]9.c Investimentos'!P73</f>
        <v>0</v>
      </c>
      <c r="N311" s="118">
        <v>0</v>
      </c>
      <c r="O311" s="118">
        <v>0</v>
      </c>
      <c r="P311" s="118">
        <v>0</v>
      </c>
      <c r="Q311" s="118">
        <v>0</v>
      </c>
      <c r="R311" s="118">
        <v>0</v>
      </c>
      <c r="S311" s="118">
        <v>0</v>
      </c>
      <c r="T311" s="118">
        <f>'[3]9.c Investimentos'!Q73</f>
        <v>0</v>
      </c>
      <c r="U311" s="118">
        <f>'[3]9.c Investimentos'!R73</f>
        <v>0</v>
      </c>
      <c r="V311" s="118">
        <f t="shared" si="60"/>
        <v>501</v>
      </c>
      <c r="W311" s="612"/>
      <c r="X311" s="129" t="str">
        <f>IF([1]RENAME!$H$3=1,B311,A311)</f>
        <v>Aumento (Redução) de capital</v>
      </c>
      <c r="Y311" s="118">
        <v>0</v>
      </c>
      <c r="Z311" s="118"/>
      <c r="AA311" s="118">
        <f t="shared" si="61"/>
        <v>0</v>
      </c>
    </row>
    <row r="312" spans="1:27" x14ac:dyDescent="0.2">
      <c r="A312" s="532" t="s">
        <v>1976</v>
      </c>
      <c r="D312" s="129" t="str">
        <f>IF([1]RENAME!$H$3=1,B312,A312)</f>
        <v xml:space="preserve">Aumento na participação societária </v>
      </c>
      <c r="E312" s="118">
        <v>0</v>
      </c>
      <c r="F312" s="118">
        <v>0</v>
      </c>
      <c r="G312" s="118">
        <v>0</v>
      </c>
      <c r="H312" s="118">
        <v>0</v>
      </c>
      <c r="I312" s="118">
        <v>0</v>
      </c>
      <c r="J312" s="118"/>
      <c r="K312" s="118"/>
      <c r="L312" s="118"/>
      <c r="M312" s="118">
        <v>0</v>
      </c>
      <c r="N312" s="118">
        <v>0</v>
      </c>
      <c r="O312" s="118">
        <v>0</v>
      </c>
      <c r="P312" s="118">
        <v>0</v>
      </c>
      <c r="Q312" s="118">
        <v>0</v>
      </c>
      <c r="R312" s="118">
        <v>0</v>
      </c>
      <c r="S312" s="118">
        <v>0</v>
      </c>
      <c r="T312" s="118">
        <v>0</v>
      </c>
      <c r="U312" s="118">
        <v>0</v>
      </c>
      <c r="V312" s="118">
        <f t="shared" si="60"/>
        <v>0</v>
      </c>
      <c r="W312" s="612"/>
      <c r="X312" s="129" t="str">
        <f>IF([1]RENAME!$H$3=1,B312,A312)</f>
        <v xml:space="preserve">Aumento na participação societária </v>
      </c>
      <c r="Y312" s="118">
        <v>0</v>
      </c>
      <c r="Z312" s="118"/>
      <c r="AA312" s="118">
        <f t="shared" si="61"/>
        <v>0</v>
      </c>
    </row>
    <row r="313" spans="1:27" x14ac:dyDescent="0.2">
      <c r="A313" s="532" t="s">
        <v>1311</v>
      </c>
      <c r="B313" s="532" t="s">
        <v>1480</v>
      </c>
      <c r="D313" s="129" t="str">
        <f>IF([1]RENAME!$H$3=1,B313,A313)</f>
        <v>Reestruturação societária</v>
      </c>
      <c r="E313" s="118">
        <v>0</v>
      </c>
      <c r="F313" s="118">
        <v>0</v>
      </c>
      <c r="G313" s="118">
        <v>0</v>
      </c>
      <c r="H313" s="118">
        <v>0</v>
      </c>
      <c r="I313" s="118">
        <v>0</v>
      </c>
      <c r="J313" s="118"/>
      <c r="K313" s="118"/>
      <c r="L313" s="118"/>
      <c r="M313" s="118">
        <f>'[3]9.c Investimentos'!P74</f>
        <v>0</v>
      </c>
      <c r="N313" s="118">
        <v>0</v>
      </c>
      <c r="O313" s="118">
        <v>0</v>
      </c>
      <c r="P313" s="118">
        <v>0</v>
      </c>
      <c r="Q313" s="118">
        <v>0</v>
      </c>
      <c r="R313" s="118">
        <v>0</v>
      </c>
      <c r="S313" s="118">
        <v>0</v>
      </c>
      <c r="T313" s="118">
        <f>'[3]9.c Investimentos'!Q74</f>
        <v>0</v>
      </c>
      <c r="U313" s="118">
        <f>'[3]9.c Investimentos'!R74</f>
        <v>0</v>
      </c>
      <c r="V313" s="118">
        <f t="shared" si="60"/>
        <v>0</v>
      </c>
      <c r="W313" s="612"/>
      <c r="X313" s="129" t="str">
        <f>IF([1]RENAME!$H$3=1,B313,A313)</f>
        <v>Reestruturação societária</v>
      </c>
      <c r="Y313" s="118">
        <v>0</v>
      </c>
      <c r="Z313" s="118"/>
      <c r="AA313" s="118">
        <f t="shared" si="61"/>
        <v>0</v>
      </c>
    </row>
    <row r="314" spans="1:27" ht="12.75" customHeight="1" x14ac:dyDescent="0.2">
      <c r="A314" s="532" t="s">
        <v>430</v>
      </c>
      <c r="B314" s="532" t="s">
        <v>648</v>
      </c>
      <c r="D314" s="129" t="str">
        <f>IF([1]RENAME!$H$3=1,B314,A314)</f>
        <v>Dividendos</v>
      </c>
      <c r="E314" s="118">
        <v>0</v>
      </c>
      <c r="F314" s="118">
        <v>0</v>
      </c>
      <c r="G314" s="118">
        <v>-1890</v>
      </c>
      <c r="H314" s="118">
        <v>0</v>
      </c>
      <c r="I314" s="118">
        <f>-5202-I304</f>
        <v>-3102</v>
      </c>
      <c r="J314" s="118"/>
      <c r="K314" s="118"/>
      <c r="L314" s="118"/>
      <c r="M314" s="118">
        <v>0</v>
      </c>
      <c r="N314" s="118">
        <v>-9129</v>
      </c>
      <c r="O314" s="118">
        <v>0</v>
      </c>
      <c r="P314" s="118">
        <v>-31</v>
      </c>
      <c r="Q314" s="118">
        <v>0</v>
      </c>
      <c r="R314" s="118">
        <v>0</v>
      </c>
      <c r="S314" s="118">
        <v>0</v>
      </c>
      <c r="T314" s="118">
        <f>'[3]9.c Investimentos'!Q75</f>
        <v>0</v>
      </c>
      <c r="U314" s="118">
        <f>'[3]9.c Investimentos'!R75</f>
        <v>0</v>
      </c>
      <c r="V314" s="118">
        <f t="shared" si="60"/>
        <v>-14152</v>
      </c>
      <c r="W314" s="612"/>
      <c r="X314" s="129" t="str">
        <f>IF([1]RENAME!$H$3=1,B314,A314)</f>
        <v>Dividendos</v>
      </c>
      <c r="Y314" s="118">
        <v>-3102</v>
      </c>
      <c r="Z314" s="118"/>
      <c r="AA314" s="118">
        <f t="shared" si="61"/>
        <v>-3102</v>
      </c>
    </row>
    <row r="315" spans="1:27" x14ac:dyDescent="0.2">
      <c r="A315" s="532" t="s">
        <v>1412</v>
      </c>
      <c r="B315" s="532" t="s">
        <v>1413</v>
      </c>
      <c r="D315" s="129" t="str">
        <f>IF([1]RENAME!$H$3=1,B315,A315)</f>
        <v>Constituição/baixa ágio (GDL-TLI)</v>
      </c>
      <c r="E315" s="118">
        <v>0</v>
      </c>
      <c r="F315" s="118">
        <v>0</v>
      </c>
      <c r="G315" s="118">
        <v>0</v>
      </c>
      <c r="H315" s="118">
        <v>0</v>
      </c>
      <c r="I315" s="118">
        <v>0</v>
      </c>
      <c r="J315" s="118"/>
      <c r="K315" s="118"/>
      <c r="L315" s="118"/>
      <c r="M315" s="118">
        <f>'[3]9.c Investimentos'!P76</f>
        <v>0</v>
      </c>
      <c r="N315" s="118">
        <v>0</v>
      </c>
      <c r="O315" s="118">
        <v>0</v>
      </c>
      <c r="P315" s="118">
        <v>0</v>
      </c>
      <c r="Q315" s="118">
        <v>0</v>
      </c>
      <c r="R315" s="118">
        <v>0</v>
      </c>
      <c r="S315" s="118">
        <v>0</v>
      </c>
      <c r="T315" s="118">
        <f>'[3]9.c Investimentos'!Q76</f>
        <v>0</v>
      </c>
      <c r="U315" s="118">
        <f>'[3]9.c Investimentos'!R76</f>
        <v>0</v>
      </c>
      <c r="V315" s="118">
        <f t="shared" si="60"/>
        <v>0</v>
      </c>
      <c r="W315" s="612"/>
      <c r="X315" s="129" t="str">
        <f>IF([1]RENAME!$H$3=1,B315,A315)</f>
        <v>Constituição/baixa ágio (GDL-TLI)</v>
      </c>
      <c r="Y315" s="118">
        <v>0</v>
      </c>
      <c r="Z315" s="118"/>
      <c r="AA315" s="118">
        <f t="shared" si="61"/>
        <v>0</v>
      </c>
    </row>
    <row r="316" spans="1:27" x14ac:dyDescent="0.2">
      <c r="A316" s="532" t="s">
        <v>49</v>
      </c>
      <c r="B316" s="532" t="s">
        <v>728</v>
      </c>
      <c r="D316" s="129" t="str">
        <f>IF([1]RENAME!$H$3=1,B316,A316)</f>
        <v>Outros</v>
      </c>
      <c r="E316" s="118">
        <v>0</v>
      </c>
      <c r="F316" s="118">
        <v>0</v>
      </c>
      <c r="G316" s="118">
        <v>0</v>
      </c>
      <c r="H316" s="118">
        <v>0</v>
      </c>
      <c r="I316" s="118"/>
      <c r="J316" s="118"/>
      <c r="K316" s="118"/>
      <c r="L316" s="118"/>
      <c r="M316" s="118" t="s">
        <v>160</v>
      </c>
      <c r="N316" s="118">
        <v>0</v>
      </c>
      <c r="O316" s="118">
        <v>0</v>
      </c>
      <c r="P316" s="118">
        <v>0</v>
      </c>
      <c r="Q316" s="118" t="s">
        <v>160</v>
      </c>
      <c r="R316" s="118" t="s">
        <v>160</v>
      </c>
      <c r="S316" s="118" t="s">
        <v>160</v>
      </c>
      <c r="T316" s="118" t="s">
        <v>160</v>
      </c>
      <c r="U316" s="118" t="s">
        <v>160</v>
      </c>
      <c r="V316" s="118">
        <f t="shared" si="60"/>
        <v>0</v>
      </c>
      <c r="W316" s="612"/>
      <c r="X316" s="129" t="str">
        <f>IF([1]RENAME!$H$3=1,B316,A316)</f>
        <v>Outros</v>
      </c>
      <c r="Y316" s="118">
        <v>0</v>
      </c>
      <c r="Z316" s="118"/>
      <c r="AA316" s="118">
        <f t="shared" si="61"/>
        <v>0</v>
      </c>
    </row>
    <row r="317" spans="1:27" x14ac:dyDescent="0.2">
      <c r="A317" s="532" t="s">
        <v>2075</v>
      </c>
      <c r="B317" s="532" t="s">
        <v>2073</v>
      </c>
      <c r="D317" s="126" t="str">
        <f>IF([1]RENAME!$H$3=1,B317,A317)</f>
        <v>Em 30 de Junho de 2023</v>
      </c>
      <c r="E317" s="120">
        <f>SUM(E307:E316)</f>
        <v>75560</v>
      </c>
      <c r="F317" s="120">
        <f t="shared" ref="F317:V317" si="62">SUM(F307:F316)</f>
        <v>19483</v>
      </c>
      <c r="G317" s="120">
        <f t="shared" si="62"/>
        <v>132900</v>
      </c>
      <c r="H317" s="120">
        <f t="shared" si="62"/>
        <v>6974</v>
      </c>
      <c r="I317" s="120">
        <f t="shared" si="62"/>
        <v>43008</v>
      </c>
      <c r="J317" s="120"/>
      <c r="K317" s="120"/>
      <c r="L317" s="120"/>
      <c r="M317" s="120">
        <f t="shared" si="62"/>
        <v>0</v>
      </c>
      <c r="N317" s="120">
        <f>SUM(N307:N316)</f>
        <v>60363</v>
      </c>
      <c r="O317" s="120">
        <f>SUM(O307:O316)</f>
        <v>0</v>
      </c>
      <c r="P317" s="120">
        <f>SUM(P307:P316)</f>
        <v>1380</v>
      </c>
      <c r="Q317" s="120">
        <f>SUM(Q307:Q316)</f>
        <v>1</v>
      </c>
      <c r="R317" s="120">
        <f t="shared" si="62"/>
        <v>0</v>
      </c>
      <c r="S317" s="120">
        <f t="shared" si="62"/>
        <v>0</v>
      </c>
      <c r="T317" s="120">
        <f t="shared" si="62"/>
        <v>0</v>
      </c>
      <c r="U317" s="120">
        <f t="shared" si="62"/>
        <v>0</v>
      </c>
      <c r="V317" s="120">
        <f t="shared" si="62"/>
        <v>339669</v>
      </c>
      <c r="X317" s="126" t="str">
        <f>IF([1]RENAME!$H$3=1,B317,A317)</f>
        <v>Em 30 de Junho de 2023</v>
      </c>
      <c r="Y317" s="120">
        <f>SUM(Y307:Y316)</f>
        <v>43008</v>
      </c>
      <c r="Z317" s="120">
        <f>SUM(Z307:Z316)</f>
        <v>6305</v>
      </c>
      <c r="AA317" s="120">
        <f>SUM(AA307:AA316)</f>
        <v>49313</v>
      </c>
    </row>
    <row r="318" spans="1:27" x14ac:dyDescent="0.2">
      <c r="W318" s="612"/>
    </row>
    <row r="319" spans="1:27" x14ac:dyDescent="0.2">
      <c r="A319" s="532" t="s">
        <v>225</v>
      </c>
      <c r="B319" s="532" t="s">
        <v>760</v>
      </c>
      <c r="D319" s="129" t="str">
        <f>IF([1]RENAME!$H$3=1,B319,A319)</f>
        <v>Equivalência patrimonial</v>
      </c>
      <c r="E319" s="118">
        <v>3538</v>
      </c>
      <c r="F319" s="118">
        <v>1942</v>
      </c>
      <c r="G319" s="118">
        <v>824</v>
      </c>
      <c r="H319" s="118">
        <v>-87</v>
      </c>
      <c r="I319" s="118">
        <f>12496-I309-I299</f>
        <v>5191</v>
      </c>
      <c r="J319" s="118"/>
      <c r="K319" s="118"/>
      <c r="L319" s="118"/>
      <c r="M319" s="118">
        <f>'[3]9.c Investimentos'!O81-M295</f>
        <v>0</v>
      </c>
      <c r="N319" s="118">
        <v>4493</v>
      </c>
      <c r="O319" s="118">
        <v>0</v>
      </c>
      <c r="P319" s="118">
        <v>18</v>
      </c>
      <c r="Q319" s="118">
        <v>0</v>
      </c>
      <c r="R319" s="118">
        <v>0</v>
      </c>
      <c r="S319" s="118">
        <v>0</v>
      </c>
      <c r="T319" s="118">
        <f>'[3]9.c Investimentos'!P81-T295</f>
        <v>0</v>
      </c>
      <c r="U319" s="118">
        <f>'[3]9.c Investimentos'!Q81-U295</f>
        <v>0</v>
      </c>
      <c r="V319" s="118">
        <f t="shared" ref="V319:V326" si="63">SUM(E319:Q319)</f>
        <v>15919</v>
      </c>
      <c r="W319" s="612" t="s">
        <v>2030</v>
      </c>
      <c r="X319" s="129" t="str">
        <f>IF([1]RENAME!$H$3=1,B319,A319)</f>
        <v>Equivalência patrimonial</v>
      </c>
      <c r="Y319" s="118">
        <f>12496-Y309-Y299</f>
        <v>5191</v>
      </c>
      <c r="Z319" s="118">
        <f>-680-Z309-Z299</f>
        <v>-96</v>
      </c>
      <c r="AA319" s="118">
        <f>SUM(Y319:Z319)</f>
        <v>5095</v>
      </c>
    </row>
    <row r="320" spans="1:27" x14ac:dyDescent="0.2">
      <c r="A320" s="532" t="s">
        <v>1833</v>
      </c>
      <c r="B320" s="532" t="s">
        <v>1834</v>
      </c>
      <c r="D320" s="129" t="str">
        <f>IF([1]RENAME!$H$3=1,B320,A320)</f>
        <v>Constituição de controlada</v>
      </c>
      <c r="E320" s="118">
        <v>0</v>
      </c>
      <c r="F320" s="118">
        <v>0</v>
      </c>
      <c r="G320" s="118">
        <v>0</v>
      </c>
      <c r="H320" s="118">
        <v>0</v>
      </c>
      <c r="I320" s="118">
        <v>0</v>
      </c>
      <c r="J320" s="118"/>
      <c r="K320" s="118"/>
      <c r="L320" s="118"/>
      <c r="M320" s="118">
        <f>'[3]9.c Investimentos'!P82</f>
        <v>0</v>
      </c>
      <c r="N320" s="118">
        <v>0</v>
      </c>
      <c r="O320" s="118">
        <v>0</v>
      </c>
      <c r="P320" s="118">
        <v>0</v>
      </c>
      <c r="Q320" s="118">
        <v>0</v>
      </c>
      <c r="R320" s="118">
        <v>0</v>
      </c>
      <c r="S320" s="118">
        <v>0</v>
      </c>
      <c r="T320" s="118">
        <f>'[3]9.c Investimentos'!Q82</f>
        <v>0</v>
      </c>
      <c r="U320" s="118">
        <f>'[3]9.c Investimentos'!R82</f>
        <v>0</v>
      </c>
      <c r="V320" s="118">
        <f t="shared" si="63"/>
        <v>0</v>
      </c>
      <c r="W320" s="612"/>
      <c r="X320" s="129" t="str">
        <f>IF([1]RENAME!$H$3=1,B320,A320)</f>
        <v>Constituição de controlada</v>
      </c>
      <c r="Y320" s="118">
        <v>0</v>
      </c>
      <c r="Z320" s="118"/>
      <c r="AA320" s="118">
        <f t="shared" ref="AA320:AA326" si="64">SUM(Y320:Z320)</f>
        <v>0</v>
      </c>
    </row>
    <row r="321" spans="1:30" x14ac:dyDescent="0.2">
      <c r="A321" s="532" t="s">
        <v>1831</v>
      </c>
      <c r="B321" s="532" t="s">
        <v>1832</v>
      </c>
      <c r="D321" s="129" t="str">
        <f>IF([1]RENAME!$H$3=1,B321,A321)</f>
        <v>Aumento (Redução) de capital</v>
      </c>
      <c r="E321" s="118">
        <v>0</v>
      </c>
      <c r="F321" s="118">
        <f>-253-F311-F301</f>
        <v>-501</v>
      </c>
      <c r="G321" s="118">
        <v>0</v>
      </c>
      <c r="H321" s="118"/>
      <c r="I321" s="118">
        <v>0</v>
      </c>
      <c r="J321" s="118"/>
      <c r="K321" s="118"/>
      <c r="L321" s="118"/>
      <c r="M321" s="118">
        <f>'[3]9.c Investimentos'!P83</f>
        <v>0</v>
      </c>
      <c r="N321" s="118">
        <v>0</v>
      </c>
      <c r="O321" s="118">
        <v>17714</v>
      </c>
      <c r="P321" s="118">
        <v>0</v>
      </c>
      <c r="Q321" s="118">
        <v>0</v>
      </c>
      <c r="R321" s="118">
        <v>0</v>
      </c>
      <c r="S321" s="118">
        <v>0</v>
      </c>
      <c r="T321" s="118">
        <f>'[3]9.c Investimentos'!Q83</f>
        <v>0</v>
      </c>
      <c r="U321" s="118">
        <f>'[3]9.c Investimentos'!R83</f>
        <v>0</v>
      </c>
      <c r="V321" s="118">
        <f t="shared" si="63"/>
        <v>17213</v>
      </c>
      <c r="W321" s="612"/>
      <c r="X321" s="129" t="str">
        <f>IF([1]RENAME!$H$3=1,B321,A321)</f>
        <v>Aumento (Redução) de capital</v>
      </c>
      <c r="Y321" s="118">
        <v>0</v>
      </c>
      <c r="Z321" s="118"/>
      <c r="AA321" s="118">
        <f t="shared" si="64"/>
        <v>0</v>
      </c>
    </row>
    <row r="322" spans="1:30" x14ac:dyDescent="0.2">
      <c r="A322" s="532" t="s">
        <v>1976</v>
      </c>
      <c r="D322" s="129" t="str">
        <f>IF([1]RENAME!$H$3=1,B322,A322)</f>
        <v xml:space="preserve">Aumento na participação societária </v>
      </c>
      <c r="E322" s="118">
        <v>0</v>
      </c>
      <c r="F322" s="118">
        <v>0</v>
      </c>
      <c r="G322" s="118">
        <v>0</v>
      </c>
      <c r="H322" s="118">
        <v>0</v>
      </c>
      <c r="I322" s="118">
        <v>0</v>
      </c>
      <c r="J322" s="118"/>
      <c r="K322" s="118"/>
      <c r="L322" s="118"/>
      <c r="M322" s="118">
        <v>0</v>
      </c>
      <c r="N322" s="118">
        <v>0</v>
      </c>
      <c r="O322" s="118">
        <v>0</v>
      </c>
      <c r="P322" s="118">
        <v>0</v>
      </c>
      <c r="Q322" s="118">
        <v>0</v>
      </c>
      <c r="R322" s="118">
        <v>0</v>
      </c>
      <c r="S322" s="118">
        <v>0</v>
      </c>
      <c r="T322" s="118">
        <v>0</v>
      </c>
      <c r="U322" s="118">
        <v>0</v>
      </c>
      <c r="V322" s="118">
        <f t="shared" si="63"/>
        <v>0</v>
      </c>
      <c r="W322" s="612"/>
      <c r="X322" s="129" t="str">
        <f>IF([1]RENAME!$H$3=1,B322,A322)</f>
        <v xml:space="preserve">Aumento na participação societária </v>
      </c>
      <c r="Y322" s="118">
        <v>0</v>
      </c>
      <c r="Z322" s="118"/>
      <c r="AA322" s="118">
        <f t="shared" si="64"/>
        <v>0</v>
      </c>
    </row>
    <row r="323" spans="1:30" x14ac:dyDescent="0.2">
      <c r="A323" s="532" t="s">
        <v>1311</v>
      </c>
      <c r="B323" s="532" t="s">
        <v>1480</v>
      </c>
      <c r="D323" s="129" t="str">
        <f>IF([1]RENAME!$H$3=1,B323,A323)</f>
        <v>Reestruturação societária</v>
      </c>
      <c r="E323" s="118">
        <v>0</v>
      </c>
      <c r="F323" s="118">
        <v>0</v>
      </c>
      <c r="G323" s="118">
        <v>0</v>
      </c>
      <c r="H323" s="118">
        <v>0</v>
      </c>
      <c r="I323" s="118">
        <v>0</v>
      </c>
      <c r="J323" s="118"/>
      <c r="K323" s="118"/>
      <c r="L323" s="118"/>
      <c r="M323" s="118">
        <f>'[3]9.c Investimentos'!P84</f>
        <v>0</v>
      </c>
      <c r="N323" s="118">
        <v>0</v>
      </c>
      <c r="O323" s="118">
        <v>0</v>
      </c>
      <c r="P323" s="118">
        <v>0</v>
      </c>
      <c r="Q323" s="118">
        <v>0</v>
      </c>
      <c r="R323" s="118">
        <v>0</v>
      </c>
      <c r="S323" s="118">
        <v>0</v>
      </c>
      <c r="T323" s="118">
        <f>'[3]9.c Investimentos'!Q84</f>
        <v>0</v>
      </c>
      <c r="U323" s="118">
        <f>'[3]9.c Investimentos'!R84</f>
        <v>0</v>
      </c>
      <c r="V323" s="118">
        <f t="shared" si="63"/>
        <v>0</v>
      </c>
      <c r="W323" s="612"/>
      <c r="X323" s="129" t="str">
        <f>IF([1]RENAME!$H$3=1,B323,A323)</f>
        <v>Reestruturação societária</v>
      </c>
      <c r="Y323" s="118">
        <v>0</v>
      </c>
      <c r="Z323" s="118"/>
      <c r="AA323" s="118">
        <f t="shared" si="64"/>
        <v>0</v>
      </c>
    </row>
    <row r="324" spans="1:30" x14ac:dyDescent="0.2">
      <c r="A324" s="532" t="s">
        <v>430</v>
      </c>
      <c r="B324" s="532" t="s">
        <v>648</v>
      </c>
      <c r="D324" s="129" t="str">
        <f>IF([1]RENAME!$H$3=1,B324,A324)</f>
        <v>Dividendos</v>
      </c>
      <c r="E324" s="118">
        <v>0</v>
      </c>
      <c r="F324" s="118">
        <v>0</v>
      </c>
      <c r="G324" s="118">
        <v>0</v>
      </c>
      <c r="H324" s="118">
        <v>0</v>
      </c>
      <c r="I324" s="118">
        <f>-9202-I314-I304</f>
        <v>-4000</v>
      </c>
      <c r="J324" s="118"/>
      <c r="K324" s="118"/>
      <c r="L324" s="118"/>
      <c r="M324" s="118">
        <v>0</v>
      </c>
      <c r="N324" s="118">
        <f>-15586-N314</f>
        <v>-6457</v>
      </c>
      <c r="O324" s="118">
        <v>14895</v>
      </c>
      <c r="P324" s="118">
        <v>0</v>
      </c>
      <c r="Q324" s="118">
        <v>0</v>
      </c>
      <c r="R324" s="118">
        <v>0</v>
      </c>
      <c r="S324" s="118">
        <v>0</v>
      </c>
      <c r="T324" s="118">
        <f>'[3]9.c Investimentos'!Q85</f>
        <v>0</v>
      </c>
      <c r="U324" s="118">
        <f>'[3]9.c Investimentos'!R85</f>
        <v>0</v>
      </c>
      <c r="V324" s="118">
        <f t="shared" si="63"/>
        <v>4438</v>
      </c>
      <c r="W324" s="612"/>
      <c r="X324" s="129" t="str">
        <f>IF([1]RENAME!$H$3=1,B324,A324)</f>
        <v>Dividendos</v>
      </c>
      <c r="Y324" s="118">
        <f>-9202-Y314-Y304</f>
        <v>-4000</v>
      </c>
      <c r="Z324" s="118"/>
      <c r="AA324" s="118">
        <f t="shared" si="64"/>
        <v>-4000</v>
      </c>
    </row>
    <row r="325" spans="1:30" x14ac:dyDescent="0.2">
      <c r="A325" s="532" t="s">
        <v>1412</v>
      </c>
      <c r="B325" s="532" t="s">
        <v>1413</v>
      </c>
      <c r="D325" s="129" t="str">
        <f>IF([1]RENAME!$H$3=1,B325,A325)</f>
        <v>Constituição/baixa ágio (GDL-TLI)</v>
      </c>
      <c r="E325" s="118">
        <v>0</v>
      </c>
      <c r="F325" s="118">
        <v>0</v>
      </c>
      <c r="G325" s="118">
        <v>0</v>
      </c>
      <c r="H325" s="118">
        <v>0</v>
      </c>
      <c r="I325" s="118">
        <v>0</v>
      </c>
      <c r="J325" s="118"/>
      <c r="K325" s="118"/>
      <c r="L325" s="118"/>
      <c r="M325" s="118">
        <f>'[3]9.c Investimentos'!P86</f>
        <v>0</v>
      </c>
      <c r="N325" s="118">
        <v>0</v>
      </c>
      <c r="O325" s="118">
        <v>0</v>
      </c>
      <c r="P325" s="118">
        <v>0</v>
      </c>
      <c r="Q325" s="118">
        <v>0</v>
      </c>
      <c r="R325" s="118">
        <v>0</v>
      </c>
      <c r="S325" s="118">
        <v>0</v>
      </c>
      <c r="T325" s="118">
        <f>'[3]9.c Investimentos'!Q86</f>
        <v>0</v>
      </c>
      <c r="U325" s="118">
        <f>'[3]9.c Investimentos'!R86</f>
        <v>0</v>
      </c>
      <c r="V325" s="118">
        <f t="shared" si="63"/>
        <v>0</v>
      </c>
      <c r="W325" s="612"/>
      <c r="X325" s="129" t="str">
        <f>IF([1]RENAME!$H$3=1,B325,A325)</f>
        <v>Constituição/baixa ágio (GDL-TLI)</v>
      </c>
      <c r="Y325" s="118">
        <v>0</v>
      </c>
      <c r="Z325" s="118"/>
      <c r="AA325" s="118">
        <f t="shared" si="64"/>
        <v>0</v>
      </c>
      <c r="AC325" s="1154"/>
      <c r="AD325" s="1153"/>
    </row>
    <row r="326" spans="1:30" x14ac:dyDescent="0.2">
      <c r="A326" s="532" t="s">
        <v>49</v>
      </c>
      <c r="B326" s="532" t="s">
        <v>728</v>
      </c>
      <c r="D326" s="129" t="str">
        <f>IF([1]RENAME!$H$3=1,B326,A326)</f>
        <v>Outros</v>
      </c>
      <c r="E326" s="118">
        <v>0</v>
      </c>
      <c r="F326" s="118">
        <v>0</v>
      </c>
      <c r="G326" s="118">
        <v>0</v>
      </c>
      <c r="H326" s="118">
        <v>0</v>
      </c>
      <c r="I326" s="118">
        <v>-1</v>
      </c>
      <c r="J326" s="118"/>
      <c r="K326" s="118"/>
      <c r="L326" s="118"/>
      <c r="M326" s="118">
        <v>0</v>
      </c>
      <c r="N326" s="118">
        <v>0</v>
      </c>
      <c r="O326" s="118">
        <v>-45452</v>
      </c>
      <c r="P326" s="118">
        <v>0</v>
      </c>
      <c r="Q326" s="118">
        <v>0</v>
      </c>
      <c r="R326" s="118">
        <v>0</v>
      </c>
      <c r="S326" s="118">
        <v>0</v>
      </c>
      <c r="T326" s="118">
        <f>'[3]9.c Investimentos'!Q87</f>
        <v>0</v>
      </c>
      <c r="U326" s="118">
        <f>'[3]9.c Investimentos'!R87</f>
        <v>0</v>
      </c>
      <c r="V326" s="118">
        <f t="shared" si="63"/>
        <v>-45453</v>
      </c>
      <c r="W326" s="612"/>
      <c r="X326" s="129" t="str">
        <f>IF([1]RENAME!$H$3=1,B326,A326)</f>
        <v>Outros</v>
      </c>
      <c r="Y326" s="118">
        <v>-1</v>
      </c>
      <c r="Z326" s="118"/>
      <c r="AA326" s="118">
        <f t="shared" si="64"/>
        <v>-1</v>
      </c>
      <c r="AC326" s="1154"/>
    </row>
    <row r="327" spans="1:30" x14ac:dyDescent="0.2">
      <c r="A327" s="532" t="s">
        <v>2096</v>
      </c>
      <c r="B327" s="532" t="s">
        <v>2094</v>
      </c>
      <c r="D327" s="126" t="str">
        <f>IF([1]RENAME!$H$3=1,B327,A327)</f>
        <v>Em 30 de Setembro de 2023</v>
      </c>
      <c r="E327" s="120">
        <f>SUM(E317:E326)</f>
        <v>79098</v>
      </c>
      <c r="F327" s="120">
        <f t="shared" ref="F327:V327" si="65">SUM(F317:F326)</f>
        <v>20924</v>
      </c>
      <c r="G327" s="120">
        <f t="shared" si="65"/>
        <v>133724</v>
      </c>
      <c r="H327" s="120">
        <f t="shared" si="65"/>
        <v>6887</v>
      </c>
      <c r="I327" s="120">
        <f t="shared" si="65"/>
        <v>44198</v>
      </c>
      <c r="J327" s="120"/>
      <c r="K327" s="120"/>
      <c r="L327" s="120"/>
      <c r="M327" s="120">
        <f t="shared" si="65"/>
        <v>0</v>
      </c>
      <c r="N327" s="120">
        <f>SUM(N317:N326)</f>
        <v>58399</v>
      </c>
      <c r="O327" s="120">
        <f>SUM(O317:O326)</f>
        <v>-12843</v>
      </c>
      <c r="P327" s="120">
        <f>SUM(P317:P326)</f>
        <v>1398</v>
      </c>
      <c r="Q327" s="120">
        <f>SUM(Q317:Q326)</f>
        <v>1</v>
      </c>
      <c r="R327" s="120">
        <f t="shared" si="65"/>
        <v>0</v>
      </c>
      <c r="S327" s="120">
        <f t="shared" si="65"/>
        <v>0</v>
      </c>
      <c r="T327" s="120">
        <f t="shared" si="65"/>
        <v>0</v>
      </c>
      <c r="U327" s="120">
        <f t="shared" si="65"/>
        <v>0</v>
      </c>
      <c r="V327" s="120">
        <f t="shared" si="65"/>
        <v>331786</v>
      </c>
      <c r="X327" s="126" t="str">
        <f>IF([1]RENAME!$H$3=1,B327,A327)</f>
        <v>Em 30 de Setembro de 2023</v>
      </c>
      <c r="Y327" s="120">
        <f>SUM(Y317:Y326)</f>
        <v>44198</v>
      </c>
      <c r="Z327" s="120">
        <f>SUM(Z317:Z326)</f>
        <v>6209</v>
      </c>
      <c r="AA327" s="120">
        <f>SUM(AA317:AA326)</f>
        <v>50407</v>
      </c>
    </row>
    <row r="328" spans="1:30" x14ac:dyDescent="0.2">
      <c r="W328" s="612"/>
    </row>
    <row r="329" spans="1:30" x14ac:dyDescent="0.2">
      <c r="A329" s="532" t="s">
        <v>225</v>
      </c>
      <c r="B329" s="532" t="s">
        <v>760</v>
      </c>
      <c r="D329" s="129" t="str">
        <f>IF([1]RENAME!$H$3=1,B329,A329)</f>
        <v>Equivalência patrimonial</v>
      </c>
      <c r="E329" s="118">
        <v>2664</v>
      </c>
      <c r="F329" s="118">
        <v>1174</v>
      </c>
      <c r="G329" s="118">
        <v>881</v>
      </c>
      <c r="H329" s="118">
        <v>-54</v>
      </c>
      <c r="I329" s="118">
        <v>4503</v>
      </c>
      <c r="J329" s="118"/>
      <c r="K329" s="118"/>
      <c r="L329" s="118"/>
      <c r="M329" s="118">
        <f>'[3]9.c Investimentos'!O91-M305</f>
        <v>0</v>
      </c>
      <c r="N329" s="118">
        <v>2970</v>
      </c>
      <c r="O329" s="118">
        <f>'[3]9 Invest. NL'!$AE$70-O319-O309-O299</f>
        <v>-257</v>
      </c>
      <c r="P329" s="118">
        <v>17</v>
      </c>
      <c r="Q329" s="118">
        <v>0</v>
      </c>
      <c r="R329" s="118">
        <v>0</v>
      </c>
      <c r="S329" s="118">
        <v>0</v>
      </c>
      <c r="T329" s="118">
        <f>'[3]9.c Investimentos'!P91-T305</f>
        <v>0</v>
      </c>
      <c r="U329" s="118">
        <f>'[3]9.c Investimentos'!Q91-U305</f>
        <v>0</v>
      </c>
      <c r="V329" s="118">
        <f t="shared" ref="V329:V336" si="66">SUM(E329:Q329)</f>
        <v>11898</v>
      </c>
      <c r="W329" s="612" t="s">
        <v>2032</v>
      </c>
      <c r="X329" s="129" t="str">
        <f>IF([1]RENAME!$H$3=1,B329,A329)</f>
        <v>Equivalência patrimonial</v>
      </c>
      <c r="Y329" s="118">
        <v>4503</v>
      </c>
      <c r="Z329" s="118">
        <v>-64</v>
      </c>
      <c r="AA329" s="118">
        <f>SUM(Y329:Z329)</f>
        <v>4439</v>
      </c>
      <c r="AB329" s="1154"/>
      <c r="AC329" s="1153"/>
    </row>
    <row r="330" spans="1:30" x14ac:dyDescent="0.2">
      <c r="A330" s="532" t="s">
        <v>1833</v>
      </c>
      <c r="B330" s="532" t="s">
        <v>1834</v>
      </c>
      <c r="D330" s="129" t="str">
        <f>IF([1]RENAME!$H$3=1,B330,A330)</f>
        <v>Constituição de controlada</v>
      </c>
      <c r="E330" s="118">
        <v>0</v>
      </c>
      <c r="F330" s="118">
        <v>0</v>
      </c>
      <c r="G330" s="118">
        <v>0</v>
      </c>
      <c r="H330" s="118">
        <v>0</v>
      </c>
      <c r="I330" s="118">
        <v>0</v>
      </c>
      <c r="J330" s="118"/>
      <c r="K330" s="118"/>
      <c r="L330" s="118"/>
      <c r="M330" s="118">
        <f>'[3]9.c Investimentos'!P92</f>
        <v>0</v>
      </c>
      <c r="N330" s="118">
        <v>0</v>
      </c>
      <c r="O330" s="118">
        <f>'[3]9.c Investimentos'!O27-O320-O310</f>
        <v>0</v>
      </c>
      <c r="P330" s="118">
        <v>0</v>
      </c>
      <c r="Q330" s="118">
        <v>0</v>
      </c>
      <c r="R330" s="118">
        <v>0</v>
      </c>
      <c r="S330" s="118">
        <v>0</v>
      </c>
      <c r="T330" s="118">
        <f>'[3]9.c Investimentos'!Q92</f>
        <v>0</v>
      </c>
      <c r="U330" s="118">
        <f>'[3]9.c Investimentos'!R92</f>
        <v>0</v>
      </c>
      <c r="V330" s="118">
        <f t="shared" si="66"/>
        <v>0</v>
      </c>
      <c r="W330" s="612"/>
      <c r="X330" s="129" t="str">
        <f>IF([1]RENAME!$H$3=1,B330,A330)</f>
        <v>Constituição de controlada</v>
      </c>
      <c r="Y330" s="118">
        <v>0</v>
      </c>
      <c r="Z330" s="118">
        <v>0</v>
      </c>
      <c r="AA330" s="118">
        <f t="shared" ref="AA330:AA336" si="67">SUM(Y330:Z330)</f>
        <v>0</v>
      </c>
      <c r="AB330" s="1154"/>
    </row>
    <row r="331" spans="1:30" x14ac:dyDescent="0.2">
      <c r="A331" s="532" t="s">
        <v>1831</v>
      </c>
      <c r="B331" s="532" t="s">
        <v>1832</v>
      </c>
      <c r="D331" s="129" t="str">
        <f>IF([1]RENAME!$H$3=1,B331,A331)</f>
        <v>Aumento (Redução) de capital</v>
      </c>
      <c r="E331" s="118">
        <v>0</v>
      </c>
      <c r="F331" s="118">
        <v>2980</v>
      </c>
      <c r="G331" s="118">
        <v>0</v>
      </c>
      <c r="H331" s="118"/>
      <c r="I331" s="118">
        <v>0</v>
      </c>
      <c r="J331" s="118"/>
      <c r="K331" s="118"/>
      <c r="L331" s="118"/>
      <c r="M331" s="118">
        <f>'[3]9.c Investimentos'!P93</f>
        <v>0</v>
      </c>
      <c r="N331" s="118">
        <v>0</v>
      </c>
      <c r="O331" s="118">
        <f>'[3]9 Invest. NL'!$AC$72-O321-O311-O301</f>
        <v>-17714</v>
      </c>
      <c r="P331" s="118">
        <v>0</v>
      </c>
      <c r="Q331" s="118">
        <v>0</v>
      </c>
      <c r="R331" s="118">
        <v>0</v>
      </c>
      <c r="S331" s="118">
        <v>0</v>
      </c>
      <c r="T331" s="118">
        <f>'[3]9.c Investimentos'!Q93</f>
        <v>0</v>
      </c>
      <c r="U331" s="118">
        <f>'[3]9.c Investimentos'!R93</f>
        <v>0</v>
      </c>
      <c r="V331" s="118">
        <f t="shared" si="66"/>
        <v>-14734</v>
      </c>
      <c r="W331" s="612"/>
      <c r="X331" s="129" t="str">
        <f>IF([1]RENAME!$H$3=1,B331,A331)</f>
        <v>Aumento (Redução) de capital</v>
      </c>
      <c r="Y331" s="118">
        <v>0</v>
      </c>
      <c r="Z331" s="118">
        <v>0</v>
      </c>
      <c r="AA331" s="118">
        <f t="shared" si="67"/>
        <v>0</v>
      </c>
    </row>
    <row r="332" spans="1:30" x14ac:dyDescent="0.2">
      <c r="A332" s="532" t="s">
        <v>1976</v>
      </c>
      <c r="D332" s="129" t="str">
        <f>IF([1]RENAME!$H$3=1,B332,A332)</f>
        <v xml:space="preserve">Aumento na participação societária </v>
      </c>
      <c r="E332" s="118">
        <v>0</v>
      </c>
      <c r="F332" s="118">
        <v>0</v>
      </c>
      <c r="G332" s="118">
        <v>0</v>
      </c>
      <c r="H332" s="118">
        <v>0</v>
      </c>
      <c r="I332" s="118">
        <v>0</v>
      </c>
      <c r="J332" s="118"/>
      <c r="K332" s="118"/>
      <c r="L332" s="118"/>
      <c r="M332" s="118">
        <v>0</v>
      </c>
      <c r="N332" s="118">
        <v>0</v>
      </c>
      <c r="O332" s="118">
        <f>'[3]9.c Investimentos'!O29-O322-O312</f>
        <v>0</v>
      </c>
      <c r="P332" s="118">
        <v>0</v>
      </c>
      <c r="Q332" s="118">
        <v>0</v>
      </c>
      <c r="R332" s="118">
        <v>0</v>
      </c>
      <c r="S332" s="118">
        <v>0</v>
      </c>
      <c r="T332" s="118">
        <v>0</v>
      </c>
      <c r="U332" s="118">
        <v>0</v>
      </c>
      <c r="V332" s="118">
        <f t="shared" si="66"/>
        <v>0</v>
      </c>
      <c r="W332" s="612"/>
      <c r="X332" s="129" t="str">
        <f>IF([1]RENAME!$H$3=1,B332,A332)</f>
        <v xml:space="preserve">Aumento na participação societária </v>
      </c>
      <c r="Y332" s="118">
        <v>0</v>
      </c>
      <c r="Z332" s="118">
        <v>0</v>
      </c>
      <c r="AA332" s="118">
        <f t="shared" si="67"/>
        <v>0</v>
      </c>
    </row>
    <row r="333" spans="1:30" x14ac:dyDescent="0.2">
      <c r="A333" s="532" t="s">
        <v>1311</v>
      </c>
      <c r="B333" s="532" t="s">
        <v>1480</v>
      </c>
      <c r="D333" s="129" t="str">
        <f>IF([1]RENAME!$H$3=1,B333,A333)</f>
        <v>Reestruturação societária</v>
      </c>
      <c r="E333" s="118">
        <v>0</v>
      </c>
      <c r="F333" s="118">
        <v>0</v>
      </c>
      <c r="G333" s="118">
        <v>0</v>
      </c>
      <c r="H333" s="118">
        <v>0</v>
      </c>
      <c r="I333" s="118">
        <v>0</v>
      </c>
      <c r="J333" s="118"/>
      <c r="K333" s="118"/>
      <c r="L333" s="118"/>
      <c r="M333" s="118">
        <f>'[3]9.c Investimentos'!P94</f>
        <v>0</v>
      </c>
      <c r="N333" s="118">
        <v>0</v>
      </c>
      <c r="O333" s="118">
        <v>0</v>
      </c>
      <c r="P333" s="118">
        <v>0</v>
      </c>
      <c r="Q333" s="118">
        <v>0</v>
      </c>
      <c r="R333" s="118">
        <v>0</v>
      </c>
      <c r="S333" s="118">
        <v>0</v>
      </c>
      <c r="T333" s="118">
        <f>'[3]9.c Investimentos'!Q94</f>
        <v>0</v>
      </c>
      <c r="U333" s="118">
        <f>'[3]9.c Investimentos'!R94</f>
        <v>0</v>
      </c>
      <c r="V333" s="118">
        <f t="shared" si="66"/>
        <v>0</v>
      </c>
      <c r="W333" s="612"/>
      <c r="X333" s="129" t="str">
        <f>IF([1]RENAME!$H$3=1,B333,A333)</f>
        <v>Reestruturação societária</v>
      </c>
      <c r="Y333" s="118">
        <v>0</v>
      </c>
      <c r="Z333" s="118">
        <v>0</v>
      </c>
      <c r="AA333" s="118">
        <f t="shared" si="67"/>
        <v>0</v>
      </c>
    </row>
    <row r="334" spans="1:30" x14ac:dyDescent="0.2">
      <c r="A334" s="532" t="s">
        <v>430</v>
      </c>
      <c r="B334" s="532" t="s">
        <v>648</v>
      </c>
      <c r="D334" s="129" t="str">
        <f>IF([1]RENAME!$H$3=1,B334,A334)</f>
        <v>Dividendos</v>
      </c>
      <c r="E334" s="118">
        <v>0</v>
      </c>
      <c r="F334" s="118">
        <v>0</v>
      </c>
      <c r="G334" s="118">
        <v>0</v>
      </c>
      <c r="H334" s="118">
        <v>0</v>
      </c>
      <c r="I334" s="118">
        <v>-5500</v>
      </c>
      <c r="J334" s="118"/>
      <c r="K334" s="118"/>
      <c r="L334" s="118"/>
      <c r="M334" s="118">
        <v>0</v>
      </c>
      <c r="N334" s="118">
        <v>0</v>
      </c>
      <c r="O334" s="118">
        <f>'[3]9 Invest. NL'!$AE$73-O324-O314-O304</f>
        <v>-14895</v>
      </c>
      <c r="P334" s="118">
        <v>0</v>
      </c>
      <c r="Q334" s="118">
        <v>0</v>
      </c>
      <c r="R334" s="118">
        <v>0</v>
      </c>
      <c r="S334" s="118">
        <v>0</v>
      </c>
      <c r="T334" s="118">
        <f>'[3]9.c Investimentos'!Q95</f>
        <v>0</v>
      </c>
      <c r="U334" s="118">
        <f>'[3]9.c Investimentos'!R95</f>
        <v>0</v>
      </c>
      <c r="V334" s="118">
        <f t="shared" si="66"/>
        <v>-20395</v>
      </c>
      <c r="W334" s="612"/>
      <c r="X334" s="129" t="str">
        <f>IF([1]RENAME!$H$3=1,B334,A334)</f>
        <v>Dividendos</v>
      </c>
      <c r="Y334" s="118">
        <v>-5500</v>
      </c>
      <c r="Z334" s="118">
        <v>0</v>
      </c>
      <c r="AA334" s="118">
        <f t="shared" si="67"/>
        <v>-5500</v>
      </c>
    </row>
    <row r="335" spans="1:30" x14ac:dyDescent="0.2">
      <c r="A335" s="532" t="s">
        <v>1412</v>
      </c>
      <c r="B335" s="532" t="s">
        <v>1413</v>
      </c>
      <c r="D335" s="129" t="str">
        <f>IF([1]RENAME!$H$3=1,B335,A335)</f>
        <v>Constituição/baixa ágio (GDL-TLI)</v>
      </c>
      <c r="E335" s="118">
        <v>0</v>
      </c>
      <c r="F335" s="118">
        <v>0</v>
      </c>
      <c r="G335" s="118">
        <v>0</v>
      </c>
      <c r="H335" s="118">
        <v>0</v>
      </c>
      <c r="I335" s="118">
        <v>0</v>
      </c>
      <c r="J335" s="118"/>
      <c r="K335" s="118"/>
      <c r="L335" s="118"/>
      <c r="M335" s="118">
        <f>'[3]9.c Investimentos'!P96</f>
        <v>0</v>
      </c>
      <c r="N335" s="118">
        <v>0</v>
      </c>
      <c r="O335" s="118">
        <v>0</v>
      </c>
      <c r="P335" s="118">
        <v>0</v>
      </c>
      <c r="Q335" s="118">
        <v>0</v>
      </c>
      <c r="R335" s="118">
        <v>0</v>
      </c>
      <c r="S335" s="118">
        <v>0</v>
      </c>
      <c r="T335" s="118">
        <f>'[3]9.c Investimentos'!Q96</f>
        <v>0</v>
      </c>
      <c r="U335" s="118">
        <f>'[3]9.c Investimentos'!R96</f>
        <v>0</v>
      </c>
      <c r="V335" s="118">
        <f t="shared" si="66"/>
        <v>0</v>
      </c>
      <c r="W335" s="612"/>
      <c r="X335" s="129" t="str">
        <f>IF([1]RENAME!$H$3=1,B335,A335)</f>
        <v>Constituição/baixa ágio (GDL-TLI)</v>
      </c>
      <c r="Y335" s="118">
        <v>0</v>
      </c>
      <c r="Z335" s="118">
        <v>0</v>
      </c>
      <c r="AA335" s="118">
        <f t="shared" si="67"/>
        <v>0</v>
      </c>
    </row>
    <row r="336" spans="1:30" x14ac:dyDescent="0.2">
      <c r="A336" s="532" t="s">
        <v>49</v>
      </c>
      <c r="B336" s="532" t="s">
        <v>728</v>
      </c>
      <c r="D336" s="129" t="str">
        <f>IF([1]RENAME!$H$3=1,B336,A336)</f>
        <v>Outros</v>
      </c>
      <c r="E336" s="118">
        <v>0</v>
      </c>
      <c r="F336" s="118">
        <v>0</v>
      </c>
      <c r="G336" s="118">
        <v>0</v>
      </c>
      <c r="H336" s="118">
        <v>0</v>
      </c>
      <c r="I336" s="118">
        <v>0</v>
      </c>
      <c r="J336" s="118"/>
      <c r="K336" s="118"/>
      <c r="L336" s="118"/>
      <c r="M336" s="118">
        <v>0</v>
      </c>
      <c r="N336" s="118">
        <v>0</v>
      </c>
      <c r="O336" s="118">
        <f>'[3]9 Invest. NL'!$AE$74-O326-O316-O306</f>
        <v>90243</v>
      </c>
      <c r="P336" s="118">
        <v>0</v>
      </c>
      <c r="Q336" s="118">
        <v>0</v>
      </c>
      <c r="R336" s="118">
        <v>0</v>
      </c>
      <c r="S336" s="118">
        <v>0</v>
      </c>
      <c r="T336" s="118">
        <f>'[3]9.c Investimentos'!Q97</f>
        <v>0</v>
      </c>
      <c r="U336" s="118">
        <f>'[3]9.c Investimentos'!R97</f>
        <v>0</v>
      </c>
      <c r="V336" s="118">
        <f t="shared" si="66"/>
        <v>90243</v>
      </c>
      <c r="W336" s="612"/>
      <c r="X336" s="129" t="str">
        <f>IF([1]RENAME!$H$3=1,B336,A336)</f>
        <v>Outros</v>
      </c>
      <c r="Y336" s="118">
        <v>0</v>
      </c>
      <c r="Z336" s="118">
        <v>0</v>
      </c>
      <c r="AA336" s="118">
        <f t="shared" si="67"/>
        <v>0</v>
      </c>
    </row>
    <row r="337" spans="1:27" x14ac:dyDescent="0.2">
      <c r="A337" s="532" t="s">
        <v>2133</v>
      </c>
      <c r="B337" s="532" t="s">
        <v>2132</v>
      </c>
      <c r="D337" s="126" t="str">
        <f>IF([1]RENAME!$H$3=1,B337,A337)</f>
        <v>Em 31 de Dezembro de 2023</v>
      </c>
      <c r="E337" s="120">
        <f>SUM(E327:E336)</f>
        <v>81762</v>
      </c>
      <c r="F337" s="120">
        <f t="shared" ref="F337:V337" si="68">SUM(F327:F336)</f>
        <v>25078</v>
      </c>
      <c r="G337" s="120">
        <f t="shared" si="68"/>
        <v>134605</v>
      </c>
      <c r="H337" s="120">
        <f t="shared" si="68"/>
        <v>6833</v>
      </c>
      <c r="I337" s="120">
        <f t="shared" si="68"/>
        <v>43201</v>
      </c>
      <c r="J337" s="120"/>
      <c r="K337" s="120"/>
      <c r="L337" s="120">
        <f>+'[3]9 Invest. NL (2)'!$AI$65</f>
        <v>0</v>
      </c>
      <c r="M337" s="120">
        <f t="shared" si="68"/>
        <v>0</v>
      </c>
      <c r="N337" s="120">
        <f>SUM(N327:N336)</f>
        <v>61369</v>
      </c>
      <c r="O337" s="120">
        <f>SUM(O327:O336)</f>
        <v>44534</v>
      </c>
      <c r="P337" s="120">
        <f>SUM(P327:P336)</f>
        <v>1415</v>
      </c>
      <c r="Q337" s="120">
        <f>SUM(Q327:Q336)</f>
        <v>1</v>
      </c>
      <c r="R337" s="120">
        <f t="shared" si="68"/>
        <v>0</v>
      </c>
      <c r="S337" s="120">
        <f t="shared" si="68"/>
        <v>0</v>
      </c>
      <c r="T337" s="120">
        <f t="shared" si="68"/>
        <v>0</v>
      </c>
      <c r="U337" s="120">
        <f t="shared" si="68"/>
        <v>0</v>
      </c>
      <c r="V337" s="120">
        <f t="shared" si="68"/>
        <v>398798</v>
      </c>
      <c r="W337" s="612"/>
      <c r="X337" s="126" t="str">
        <f>IF([1]RENAME!$H$3=1,B337,A337)</f>
        <v>Em 31 de Dezembro de 2023</v>
      </c>
      <c r="Y337" s="120">
        <f>SUM(Y327:Y336)</f>
        <v>43201</v>
      </c>
      <c r="Z337" s="120">
        <f>SUM(Z327:Z336)</f>
        <v>6145</v>
      </c>
      <c r="AA337" s="120">
        <f>SUM(AA327:AA336)</f>
        <v>49346</v>
      </c>
    </row>
    <row r="339" spans="1:27" x14ac:dyDescent="0.2">
      <c r="A339" s="532" t="s">
        <v>225</v>
      </c>
      <c r="B339" s="532" t="s">
        <v>760</v>
      </c>
      <c r="D339" s="129" t="str">
        <f>IF([1]RENAME!$H$3=1,B339,A339)</f>
        <v>Equivalência patrimonial</v>
      </c>
      <c r="E339" s="118">
        <v>1577</v>
      </c>
      <c r="F339" s="118">
        <v>1855</v>
      </c>
      <c r="G339" s="118">
        <v>846</v>
      </c>
      <c r="H339" s="118">
        <v>-30</v>
      </c>
      <c r="I339" s="118">
        <v>6641</v>
      </c>
      <c r="J339" s="118"/>
      <c r="K339" s="118"/>
      <c r="L339" s="118" t="s">
        <v>160</v>
      </c>
      <c r="M339" s="118">
        <f>'[3]9.c Investimentos'!O101-M315</f>
        <v>0</v>
      </c>
      <c r="N339" s="118">
        <v>3688</v>
      </c>
      <c r="O339" s="118">
        <f>'[3]9 Invest. NL'!$AE$70-O329-O319-O309</f>
        <v>257</v>
      </c>
      <c r="P339" s="118">
        <v>4</v>
      </c>
      <c r="Q339" s="118">
        <v>0</v>
      </c>
      <c r="R339" s="118">
        <v>0</v>
      </c>
      <c r="S339" s="118">
        <v>0</v>
      </c>
      <c r="T339" s="118">
        <f>'[3]9.c Investimentos'!P101-T315</f>
        <v>0</v>
      </c>
      <c r="U339" s="118">
        <f>'[3]9.c Investimentos'!Q101-U315</f>
        <v>0</v>
      </c>
      <c r="V339" s="118">
        <f t="shared" ref="V339:V346" si="69">SUM(E339:Q339)</f>
        <v>14838</v>
      </c>
      <c r="W339" s="612" t="s">
        <v>2129</v>
      </c>
      <c r="X339" s="129" t="str">
        <f>IF([1]RENAME!$H$3=1,B339,A339)</f>
        <v>Equivalência patrimonial</v>
      </c>
      <c r="Y339" s="118">
        <v>6641</v>
      </c>
      <c r="Z339" s="118">
        <v>-38</v>
      </c>
      <c r="AA339" s="118">
        <f>SUM(Y339:Z339)</f>
        <v>6603</v>
      </c>
    </row>
    <row r="340" spans="1:27" x14ac:dyDescent="0.2">
      <c r="A340" s="532" t="s">
        <v>1833</v>
      </c>
      <c r="B340" s="532" t="s">
        <v>1834</v>
      </c>
      <c r="D340" s="129" t="str">
        <f>IF([1]RENAME!$H$3=1,B340,A340)</f>
        <v>Constituição de controlada</v>
      </c>
      <c r="E340" s="118">
        <v>0</v>
      </c>
      <c r="F340" s="118">
        <v>0</v>
      </c>
      <c r="G340" s="118">
        <v>0</v>
      </c>
      <c r="H340" s="118">
        <v>0</v>
      </c>
      <c r="I340" s="118">
        <v>0</v>
      </c>
      <c r="J340" s="118"/>
      <c r="K340" s="118"/>
      <c r="L340" s="118" t="s">
        <v>160</v>
      </c>
      <c r="M340" s="118">
        <f>'[3]9.c Investimentos'!P102</f>
        <v>0</v>
      </c>
      <c r="N340" s="118">
        <v>0</v>
      </c>
      <c r="O340" s="118">
        <f>'[3]9.c Investimentos'!O37-O330-O320</f>
        <v>0</v>
      </c>
      <c r="P340" s="118">
        <v>0</v>
      </c>
      <c r="Q340" s="118">
        <v>0</v>
      </c>
      <c r="R340" s="118">
        <v>0</v>
      </c>
      <c r="S340" s="118">
        <v>0</v>
      </c>
      <c r="T340" s="118">
        <f>'[3]9.c Investimentos'!Q102</f>
        <v>0</v>
      </c>
      <c r="U340" s="118">
        <f>'[3]9.c Investimentos'!R102</f>
        <v>0</v>
      </c>
      <c r="V340" s="118">
        <f t="shared" si="69"/>
        <v>0</v>
      </c>
      <c r="W340" s="612"/>
      <c r="X340" s="129" t="str">
        <f>IF([1]RENAME!$H$3=1,B340,A340)</f>
        <v>Constituição de controlada</v>
      </c>
      <c r="Y340" s="118">
        <v>0</v>
      </c>
      <c r="Z340" s="118">
        <v>0</v>
      </c>
      <c r="AA340" s="118">
        <f t="shared" ref="AA340:AA346" si="70">SUM(Y340:Z340)</f>
        <v>0</v>
      </c>
    </row>
    <row r="341" spans="1:27" x14ac:dyDescent="0.2">
      <c r="A341" s="532" t="s">
        <v>1831</v>
      </c>
      <c r="B341" s="532" t="s">
        <v>1832</v>
      </c>
      <c r="D341" s="129" t="str">
        <f>IF([1]RENAME!$H$3=1,B341,A341)</f>
        <v>Aumento (Redução) de capital</v>
      </c>
      <c r="E341" s="118">
        <v>0</v>
      </c>
      <c r="F341" s="118">
        <v>5038</v>
      </c>
      <c r="G341" s="118">
        <v>0</v>
      </c>
      <c r="H341" s="118"/>
      <c r="I341" s="118">
        <v>0</v>
      </c>
      <c r="J341" s="118"/>
      <c r="K341" s="118"/>
      <c r="L341" s="118" t="s">
        <v>160</v>
      </c>
      <c r="M341" s="118">
        <f>'[3]9.c Investimentos'!P103</f>
        <v>0</v>
      </c>
      <c r="N341" s="118">
        <v>0</v>
      </c>
      <c r="O341" s="118">
        <f>'[3]9 Invest. NL'!$AC$72-O331-O321-O311</f>
        <v>0</v>
      </c>
      <c r="P341" s="118">
        <v>0</v>
      </c>
      <c r="Q341" s="118">
        <v>0</v>
      </c>
      <c r="R341" s="118">
        <v>0</v>
      </c>
      <c r="S341" s="118">
        <v>0</v>
      </c>
      <c r="T341" s="118">
        <f>'[3]9.c Investimentos'!Q103</f>
        <v>0</v>
      </c>
      <c r="U341" s="118">
        <f>'[3]9.c Investimentos'!R103</f>
        <v>0</v>
      </c>
      <c r="V341" s="118">
        <f t="shared" si="69"/>
        <v>5038</v>
      </c>
      <c r="W341" s="612"/>
      <c r="X341" s="129" t="str">
        <f>IF([1]RENAME!$H$3=1,B341,A341)</f>
        <v>Aumento (Redução) de capital</v>
      </c>
      <c r="Y341" s="118">
        <v>0</v>
      </c>
      <c r="Z341" s="118">
        <v>0</v>
      </c>
      <c r="AA341" s="118">
        <f t="shared" si="70"/>
        <v>0</v>
      </c>
    </row>
    <row r="342" spans="1:27" x14ac:dyDescent="0.2">
      <c r="A342" s="532" t="s">
        <v>1976</v>
      </c>
      <c r="D342" s="129" t="str">
        <f>IF([1]RENAME!$H$3=1,B342,A342)</f>
        <v xml:space="preserve">Aumento na participação societária </v>
      </c>
      <c r="E342" s="118">
        <v>0</v>
      </c>
      <c r="F342" s="118">
        <v>0</v>
      </c>
      <c r="G342" s="118">
        <v>0</v>
      </c>
      <c r="H342" s="118">
        <v>0</v>
      </c>
      <c r="I342" s="118">
        <v>0</v>
      </c>
      <c r="J342" s="118"/>
      <c r="K342" s="118"/>
      <c r="L342" s="118" t="s">
        <v>160</v>
      </c>
      <c r="M342" s="118">
        <v>0</v>
      </c>
      <c r="N342" s="118">
        <v>0</v>
      </c>
      <c r="O342" s="118">
        <f>'[3]9.c Investimentos'!O39-O332-O322</f>
        <v>0</v>
      </c>
      <c r="P342" s="118">
        <v>0</v>
      </c>
      <c r="Q342" s="118">
        <v>0</v>
      </c>
      <c r="R342" s="118">
        <v>0</v>
      </c>
      <c r="S342" s="118">
        <v>0</v>
      </c>
      <c r="T342" s="118">
        <v>0</v>
      </c>
      <c r="U342" s="118">
        <v>0</v>
      </c>
      <c r="V342" s="118">
        <f t="shared" si="69"/>
        <v>0</v>
      </c>
      <c r="W342" s="612"/>
      <c r="X342" s="129" t="str">
        <f>IF([1]RENAME!$H$3=1,B342,A342)</f>
        <v xml:space="preserve">Aumento na participação societária </v>
      </c>
      <c r="Y342" s="118">
        <v>0</v>
      </c>
      <c r="Z342" s="118">
        <v>0</v>
      </c>
      <c r="AA342" s="118">
        <f t="shared" si="70"/>
        <v>0</v>
      </c>
    </row>
    <row r="343" spans="1:27" x14ac:dyDescent="0.2">
      <c r="A343" s="532" t="s">
        <v>1311</v>
      </c>
      <c r="B343" s="532" t="s">
        <v>1480</v>
      </c>
      <c r="D343" s="129" t="str">
        <f>IF([1]RENAME!$H$3=1,B343,A343)</f>
        <v>Reestruturação societária</v>
      </c>
      <c r="E343" s="118">
        <v>0</v>
      </c>
      <c r="F343" s="118">
        <v>0</v>
      </c>
      <c r="G343" s="118">
        <v>0</v>
      </c>
      <c r="H343" s="118">
        <v>0</v>
      </c>
      <c r="I343" s="118">
        <v>0</v>
      </c>
      <c r="J343" s="118"/>
      <c r="K343" s="118"/>
      <c r="L343" s="118" t="s">
        <v>160</v>
      </c>
      <c r="M343" s="118">
        <f>'[3]9.c Investimentos'!P104</f>
        <v>0</v>
      </c>
      <c r="N343" s="118">
        <v>0</v>
      </c>
      <c r="O343" s="118">
        <v>0</v>
      </c>
      <c r="P343" s="118">
        <v>0</v>
      </c>
      <c r="Q343" s="118">
        <v>0</v>
      </c>
      <c r="R343" s="118">
        <v>0</v>
      </c>
      <c r="S343" s="118">
        <v>0</v>
      </c>
      <c r="T343" s="118">
        <f>'[3]9.c Investimentos'!Q104</f>
        <v>0</v>
      </c>
      <c r="U343" s="118">
        <f>'[3]9.c Investimentos'!R104</f>
        <v>0</v>
      </c>
      <c r="V343" s="118">
        <f t="shared" si="69"/>
        <v>0</v>
      </c>
      <c r="W343" s="612"/>
      <c r="X343" s="129" t="str">
        <f>IF([1]RENAME!$H$3=1,B343,A343)</f>
        <v>Reestruturação societária</v>
      </c>
      <c r="Y343" s="118">
        <v>0</v>
      </c>
      <c r="Z343" s="118">
        <v>0</v>
      </c>
      <c r="AA343" s="118">
        <f t="shared" si="70"/>
        <v>0</v>
      </c>
    </row>
    <row r="344" spans="1:27" x14ac:dyDescent="0.2">
      <c r="A344" s="532" t="s">
        <v>430</v>
      </c>
      <c r="B344" s="532" t="s">
        <v>648</v>
      </c>
      <c r="D344" s="129" t="str">
        <f>IF([1]RENAME!$H$3=1,B344,A344)</f>
        <v>Dividendos</v>
      </c>
      <c r="E344" s="118">
        <v>0</v>
      </c>
      <c r="F344" s="118">
        <v>0</v>
      </c>
      <c r="G344" s="118">
        <v>0</v>
      </c>
      <c r="H344" s="118">
        <v>0</v>
      </c>
      <c r="I344" s="118">
        <v>0</v>
      </c>
      <c r="J344" s="118"/>
      <c r="K344" s="118"/>
      <c r="L344" s="118" t="s">
        <v>160</v>
      </c>
      <c r="M344" s="118">
        <v>0</v>
      </c>
      <c r="N344" s="118">
        <v>0</v>
      </c>
      <c r="O344" s="118">
        <f>'[3]9 Invest. NL'!$AE$73-O334-O324-O314</f>
        <v>0</v>
      </c>
      <c r="P344" s="118">
        <v>0</v>
      </c>
      <c r="Q344" s="118">
        <v>0</v>
      </c>
      <c r="R344" s="118">
        <v>0</v>
      </c>
      <c r="S344" s="118">
        <v>0</v>
      </c>
      <c r="T344" s="118">
        <f>'[3]9.c Investimentos'!Q105</f>
        <v>0</v>
      </c>
      <c r="U344" s="118">
        <f>'[3]9.c Investimentos'!R105</f>
        <v>0</v>
      </c>
      <c r="V344" s="118">
        <f t="shared" si="69"/>
        <v>0</v>
      </c>
      <c r="W344" s="612"/>
      <c r="X344" s="129" t="str">
        <f>IF([1]RENAME!$H$3=1,B344,A344)</f>
        <v>Dividendos</v>
      </c>
      <c r="Y344" s="118">
        <v>0</v>
      </c>
      <c r="Z344" s="118">
        <v>0</v>
      </c>
      <c r="AA344" s="118">
        <f t="shared" si="70"/>
        <v>0</v>
      </c>
    </row>
    <row r="345" spans="1:27" x14ac:dyDescent="0.2">
      <c r="A345" s="532" t="s">
        <v>1412</v>
      </c>
      <c r="B345" s="532" t="s">
        <v>1413</v>
      </c>
      <c r="D345" s="129" t="str">
        <f>IF([1]RENAME!$H$3=1,B345,A345)</f>
        <v>Constituição/baixa ágio (GDL-TLI)</v>
      </c>
      <c r="E345" s="118">
        <v>0</v>
      </c>
      <c r="F345" s="118">
        <v>0</v>
      </c>
      <c r="G345" s="118">
        <v>0</v>
      </c>
      <c r="H345" s="118">
        <v>0</v>
      </c>
      <c r="I345" s="118">
        <v>0</v>
      </c>
      <c r="J345" s="118"/>
      <c r="K345" s="118"/>
      <c r="L345" s="118" t="s">
        <v>160</v>
      </c>
      <c r="M345" s="118">
        <f>'[3]9.c Investimentos'!P106</f>
        <v>0</v>
      </c>
      <c r="N345" s="118">
        <v>0</v>
      </c>
      <c r="O345" s="118">
        <v>0</v>
      </c>
      <c r="P345" s="118">
        <v>0</v>
      </c>
      <c r="Q345" s="118">
        <v>0</v>
      </c>
      <c r="R345" s="118">
        <v>0</v>
      </c>
      <c r="S345" s="118">
        <v>0</v>
      </c>
      <c r="T345" s="118">
        <f>'[3]9.c Investimentos'!Q106</f>
        <v>0</v>
      </c>
      <c r="U345" s="118">
        <f>'[3]9.c Investimentos'!R106</f>
        <v>0</v>
      </c>
      <c r="V345" s="118">
        <f t="shared" si="69"/>
        <v>0</v>
      </c>
      <c r="W345" s="612"/>
      <c r="X345" s="129" t="str">
        <f>IF([1]RENAME!$H$3=1,B345,A345)</f>
        <v>Constituição/baixa ágio (GDL-TLI)</v>
      </c>
      <c r="Y345" s="118">
        <v>0</v>
      </c>
      <c r="Z345" s="118">
        <v>0</v>
      </c>
      <c r="AA345" s="118">
        <f t="shared" si="70"/>
        <v>0</v>
      </c>
    </row>
    <row r="346" spans="1:27" x14ac:dyDescent="0.2">
      <c r="A346" s="532" t="s">
        <v>49</v>
      </c>
      <c r="B346" s="532" t="s">
        <v>728</v>
      </c>
      <c r="D346" s="129" t="str">
        <f>IF([1]RENAME!$H$3=1,B346,A346)</f>
        <v>Outros</v>
      </c>
      <c r="E346" s="118">
        <v>0</v>
      </c>
      <c r="F346" s="118">
        <v>0</v>
      </c>
      <c r="G346" s="118">
        <v>0</v>
      </c>
      <c r="H346" s="118">
        <v>0</v>
      </c>
      <c r="I346" s="118">
        <v>0</v>
      </c>
      <c r="J346" s="118"/>
      <c r="K346" s="118"/>
      <c r="L346" s="118" t="s">
        <v>160</v>
      </c>
      <c r="M346" s="118">
        <v>0</v>
      </c>
      <c r="N346" s="118">
        <v>0</v>
      </c>
      <c r="O346" s="118">
        <f>'[3]9 Invest. NL'!$AE$74-O336-O326-O316</f>
        <v>-44791</v>
      </c>
      <c r="P346" s="118">
        <v>0</v>
      </c>
      <c r="Q346" s="118">
        <v>0</v>
      </c>
      <c r="R346" s="118">
        <v>0</v>
      </c>
      <c r="S346" s="118">
        <v>0</v>
      </c>
      <c r="T346" s="118">
        <f>'[3]9.c Investimentos'!Q107</f>
        <v>0</v>
      </c>
      <c r="U346" s="118">
        <f>'[3]9.c Investimentos'!R107</f>
        <v>0</v>
      </c>
      <c r="V346" s="118">
        <f t="shared" si="69"/>
        <v>-44791</v>
      </c>
      <c r="W346" s="612"/>
      <c r="X346" s="129" t="str">
        <f>IF([1]RENAME!$H$3=1,B346,A346)</f>
        <v>Outros</v>
      </c>
      <c r="Y346" s="118">
        <v>0</v>
      </c>
      <c r="Z346" s="118">
        <v>0</v>
      </c>
      <c r="AA346" s="118">
        <f t="shared" si="70"/>
        <v>0</v>
      </c>
    </row>
    <row r="347" spans="1:27" x14ac:dyDescent="0.2">
      <c r="A347" s="532" t="s">
        <v>2158</v>
      </c>
      <c r="B347" s="532" t="s">
        <v>2159</v>
      </c>
      <c r="D347" s="126" t="str">
        <f>IF([1]RENAME!$H$3=1,B347,A347)</f>
        <v>Em 31 de março de 2024</v>
      </c>
      <c r="E347" s="120">
        <f>SUM(E337:E346)</f>
        <v>83339</v>
      </c>
      <c r="F347" s="120">
        <f t="shared" ref="F347:V347" si="71">SUM(F337:F346)</f>
        <v>31971</v>
      </c>
      <c r="G347" s="120">
        <f t="shared" si="71"/>
        <v>135451</v>
      </c>
      <c r="H347" s="120">
        <f t="shared" si="71"/>
        <v>6803</v>
      </c>
      <c r="I347" s="120">
        <f t="shared" si="71"/>
        <v>49842</v>
      </c>
      <c r="J347" s="120"/>
      <c r="K347" s="120"/>
      <c r="L347" s="120">
        <f t="shared" si="71"/>
        <v>0</v>
      </c>
      <c r="M347" s="120">
        <f t="shared" si="71"/>
        <v>0</v>
      </c>
      <c r="N347" s="120">
        <f>SUM(N337:N346)</f>
        <v>65057</v>
      </c>
      <c r="O347" s="120">
        <f>SUM(O337:O346)</f>
        <v>0</v>
      </c>
      <c r="P347" s="120">
        <v>2</v>
      </c>
      <c r="Q347" s="120">
        <v>0</v>
      </c>
      <c r="R347" s="120">
        <f t="shared" si="71"/>
        <v>0</v>
      </c>
      <c r="S347" s="120">
        <f t="shared" si="71"/>
        <v>0</v>
      </c>
      <c r="T347" s="120">
        <f t="shared" si="71"/>
        <v>0</v>
      </c>
      <c r="U347" s="120">
        <f t="shared" si="71"/>
        <v>0</v>
      </c>
      <c r="V347" s="120">
        <f t="shared" si="71"/>
        <v>373883</v>
      </c>
      <c r="W347" s="612"/>
      <c r="X347" s="126" t="str">
        <f>IF([1]RENAME!$H$3=1,B347,A347)</f>
        <v>Em 31 de março de 2024</v>
      </c>
      <c r="Y347" s="120">
        <f>SUM(Y337:Y346)</f>
        <v>49842</v>
      </c>
      <c r="Z347" s="120">
        <f>SUM(Z337:Z346)</f>
        <v>6107</v>
      </c>
      <c r="AA347" s="120">
        <f>SUM(AA337:AA346)</f>
        <v>55949</v>
      </c>
    </row>
    <row r="349" spans="1:27" x14ac:dyDescent="0.2">
      <c r="A349" s="532" t="s">
        <v>225</v>
      </c>
      <c r="B349" s="532" t="s">
        <v>760</v>
      </c>
      <c r="D349" s="129" t="str">
        <f>IF([1]RENAME!$H$3=1,B349,A349)</f>
        <v>Equivalência patrimonial</v>
      </c>
      <c r="E349" s="118">
        <v>3013</v>
      </c>
      <c r="F349" s="118">
        <v>1309</v>
      </c>
      <c r="G349" s="118">
        <v>882</v>
      </c>
      <c r="H349" s="118">
        <v>-231</v>
      </c>
      <c r="I349" s="118">
        <v>9597</v>
      </c>
      <c r="J349" s="118"/>
      <c r="K349" s="118"/>
      <c r="L349" s="118">
        <v>894</v>
      </c>
      <c r="M349" s="118">
        <v>0</v>
      </c>
      <c r="N349" s="118">
        <v>1338</v>
      </c>
      <c r="O349" s="118">
        <v>0</v>
      </c>
      <c r="P349" s="118" t="s">
        <v>160</v>
      </c>
      <c r="Q349" s="118">
        <v>0</v>
      </c>
      <c r="R349" s="118">
        <v>0</v>
      </c>
      <c r="S349" s="118">
        <v>0</v>
      </c>
      <c r="T349" s="118">
        <v>0</v>
      </c>
      <c r="U349" s="118">
        <v>0</v>
      </c>
      <c r="V349" s="118">
        <f t="shared" ref="V349:V357" si="72">SUM(E349:L349)</f>
        <v>15464</v>
      </c>
      <c r="W349" s="612"/>
      <c r="X349" s="129" t="str">
        <f>IF([1]RENAME!$H$3=1,B349,A349)</f>
        <v>Equivalência patrimonial</v>
      </c>
      <c r="Y349" s="118">
        <v>9597</v>
      </c>
      <c r="Z349" s="118">
        <v>-234</v>
      </c>
      <c r="AA349" s="118">
        <f t="shared" ref="AA349:AA357" si="73">SUM(Y349:Z349)</f>
        <v>9363</v>
      </c>
    </row>
    <row r="350" spans="1:27" x14ac:dyDescent="0.2">
      <c r="A350" s="532" t="s">
        <v>1833</v>
      </c>
      <c r="B350" s="532" t="s">
        <v>1834</v>
      </c>
      <c r="D350" s="129" t="str">
        <f>IF([1]RENAME!$H$3=1,B350,A350)</f>
        <v>Constituição de controlada</v>
      </c>
      <c r="E350" s="118">
        <v>0</v>
      </c>
      <c r="F350" s="118">
        <v>0</v>
      </c>
      <c r="G350" s="118">
        <v>0</v>
      </c>
      <c r="H350" s="118">
        <v>0</v>
      </c>
      <c r="I350" s="118">
        <v>0</v>
      </c>
      <c r="J350" s="118"/>
      <c r="K350" s="118"/>
      <c r="L350" s="118" t="s">
        <v>160</v>
      </c>
      <c r="M350" s="118">
        <v>0</v>
      </c>
      <c r="N350" s="118">
        <v>0</v>
      </c>
      <c r="O350" s="118">
        <v>0</v>
      </c>
      <c r="P350" s="118">
        <v>0</v>
      </c>
      <c r="Q350" s="118">
        <v>0</v>
      </c>
      <c r="R350" s="118">
        <v>0</v>
      </c>
      <c r="S350" s="118">
        <v>0</v>
      </c>
      <c r="T350" s="118">
        <v>0</v>
      </c>
      <c r="U350" s="118">
        <v>0</v>
      </c>
      <c r="V350" s="118">
        <f t="shared" si="72"/>
        <v>0</v>
      </c>
      <c r="W350" s="612"/>
      <c r="X350" s="129" t="str">
        <f>IF([1]RENAME!$H$3=1,B350,A350)</f>
        <v>Constituição de controlada</v>
      </c>
      <c r="Y350" s="118">
        <v>0</v>
      </c>
      <c r="Z350" s="118">
        <v>0</v>
      </c>
      <c r="AA350" s="118">
        <f t="shared" si="73"/>
        <v>0</v>
      </c>
    </row>
    <row r="351" spans="1:27" x14ac:dyDescent="0.2">
      <c r="A351" s="532" t="s">
        <v>2182</v>
      </c>
      <c r="B351" s="532" t="s">
        <v>2183</v>
      </c>
      <c r="D351" s="129" t="str">
        <f>IF([1]RENAME!$H$3=1,B351,A351)</f>
        <v>Alteração de participação societária</v>
      </c>
      <c r="E351" s="118" t="s">
        <v>160</v>
      </c>
      <c r="F351" s="118" t="s">
        <v>160</v>
      </c>
      <c r="G351" s="118" t="s">
        <v>160</v>
      </c>
      <c r="H351" s="118" t="s">
        <v>160</v>
      </c>
      <c r="I351" s="118" t="s">
        <v>160</v>
      </c>
      <c r="J351" s="118"/>
      <c r="K351" s="118"/>
      <c r="L351" s="118">
        <v>8254</v>
      </c>
      <c r="M351" s="118" t="s">
        <v>160</v>
      </c>
      <c r="N351" s="118">
        <v>-66395</v>
      </c>
      <c r="O351" s="118" t="s">
        <v>160</v>
      </c>
      <c r="P351" s="118" t="s">
        <v>160</v>
      </c>
      <c r="Q351" s="118" t="s">
        <v>160</v>
      </c>
      <c r="R351" s="118" t="s">
        <v>160</v>
      </c>
      <c r="S351" s="118" t="s">
        <v>160</v>
      </c>
      <c r="T351" s="118"/>
      <c r="U351" s="118"/>
      <c r="V351" s="118">
        <f t="shared" si="72"/>
        <v>8254</v>
      </c>
      <c r="W351" s="612"/>
      <c r="X351" s="129" t="str">
        <f>IF([1]RENAME!$H$3=1,B351,A351)</f>
        <v>Alteração de participação societária</v>
      </c>
      <c r="Y351" s="118"/>
      <c r="Z351" s="118"/>
      <c r="AA351" s="118">
        <f t="shared" si="73"/>
        <v>0</v>
      </c>
    </row>
    <row r="352" spans="1:27" x14ac:dyDescent="0.2">
      <c r="A352" s="532" t="s">
        <v>1831</v>
      </c>
      <c r="B352" s="532" t="s">
        <v>1832</v>
      </c>
      <c r="D352" s="129" t="str">
        <f>IF([1]RENAME!$H$3=1,B352,A352)</f>
        <v>Aumento (Redução) de capital</v>
      </c>
      <c r="E352" s="118" t="s">
        <v>160</v>
      </c>
      <c r="F352" s="118" t="s">
        <v>160</v>
      </c>
      <c r="G352" s="118" t="s">
        <v>160</v>
      </c>
      <c r="H352" s="118"/>
      <c r="I352" s="118">
        <v>0</v>
      </c>
      <c r="J352" s="118"/>
      <c r="K352" s="118"/>
      <c r="L352" s="118" t="s">
        <v>160</v>
      </c>
      <c r="M352" s="118">
        <v>0</v>
      </c>
      <c r="N352" s="118">
        <v>0</v>
      </c>
      <c r="O352" s="118">
        <v>0</v>
      </c>
      <c r="P352" s="118">
        <v>0</v>
      </c>
      <c r="Q352" s="118">
        <v>0</v>
      </c>
      <c r="R352" s="118">
        <v>0</v>
      </c>
      <c r="S352" s="118">
        <v>0</v>
      </c>
      <c r="T352" s="118">
        <v>0</v>
      </c>
      <c r="U352" s="118">
        <v>0</v>
      </c>
      <c r="V352" s="118">
        <f t="shared" si="72"/>
        <v>0</v>
      </c>
      <c r="W352" s="612"/>
      <c r="X352" s="129" t="str">
        <f>IF([1]RENAME!$H$3=1,B352,A352)</f>
        <v>Aumento (Redução) de capital</v>
      </c>
      <c r="Y352" s="118">
        <v>0</v>
      </c>
      <c r="Z352" s="118">
        <v>0</v>
      </c>
      <c r="AA352" s="118">
        <f t="shared" si="73"/>
        <v>0</v>
      </c>
    </row>
    <row r="353" spans="1:27" x14ac:dyDescent="0.2">
      <c r="A353" s="532" t="s">
        <v>1976</v>
      </c>
      <c r="D353" s="129" t="str">
        <f>IF([1]RENAME!$H$3=1,B353,A353)</f>
        <v xml:space="preserve">Aumento na participação societária </v>
      </c>
      <c r="E353" s="118">
        <v>0</v>
      </c>
      <c r="F353" s="118">
        <v>0</v>
      </c>
      <c r="G353" s="118">
        <v>0</v>
      </c>
      <c r="H353" s="118">
        <v>0</v>
      </c>
      <c r="I353" s="118">
        <v>0</v>
      </c>
      <c r="J353" s="118"/>
      <c r="K353" s="118"/>
      <c r="L353" s="118" t="s">
        <v>160</v>
      </c>
      <c r="M353" s="118">
        <v>0</v>
      </c>
      <c r="N353" s="118">
        <v>0</v>
      </c>
      <c r="O353" s="118">
        <v>0</v>
      </c>
      <c r="P353" s="118">
        <v>0</v>
      </c>
      <c r="Q353" s="118">
        <v>0</v>
      </c>
      <c r="R353" s="118">
        <v>0</v>
      </c>
      <c r="S353" s="118">
        <v>0</v>
      </c>
      <c r="T353" s="118">
        <v>0</v>
      </c>
      <c r="U353" s="118">
        <v>0</v>
      </c>
      <c r="V353" s="118">
        <f t="shared" si="72"/>
        <v>0</v>
      </c>
      <c r="W353" s="612"/>
      <c r="X353" s="129" t="str">
        <f>IF([1]RENAME!$H$3=1,B353,A353)</f>
        <v xml:space="preserve">Aumento na participação societária </v>
      </c>
      <c r="Y353" s="118">
        <v>0</v>
      </c>
      <c r="Z353" s="118">
        <v>0</v>
      </c>
      <c r="AA353" s="118">
        <f t="shared" si="73"/>
        <v>0</v>
      </c>
    </row>
    <row r="354" spans="1:27" x14ac:dyDescent="0.2">
      <c r="A354" s="532" t="s">
        <v>1311</v>
      </c>
      <c r="B354" s="532" t="s">
        <v>1480</v>
      </c>
      <c r="D354" s="129" t="str">
        <f>IF([1]RENAME!$H$3=1,B354,A354)</f>
        <v>Reestruturação societária</v>
      </c>
      <c r="E354" s="118">
        <v>0</v>
      </c>
      <c r="F354" s="118">
        <v>0</v>
      </c>
      <c r="G354" s="118">
        <v>0</v>
      </c>
      <c r="H354" s="118">
        <v>0</v>
      </c>
      <c r="I354" s="118">
        <v>0</v>
      </c>
      <c r="J354" s="118"/>
      <c r="K354" s="118"/>
      <c r="L354" s="118" t="s">
        <v>160</v>
      </c>
      <c r="M354" s="118">
        <v>0</v>
      </c>
      <c r="N354" s="118">
        <v>0</v>
      </c>
      <c r="O354" s="118">
        <v>0</v>
      </c>
      <c r="P354" s="118">
        <v>0</v>
      </c>
      <c r="Q354" s="118">
        <v>0</v>
      </c>
      <c r="R354" s="118">
        <v>0</v>
      </c>
      <c r="S354" s="118">
        <v>0</v>
      </c>
      <c r="T354" s="118">
        <v>0</v>
      </c>
      <c r="U354" s="118">
        <v>0</v>
      </c>
      <c r="V354" s="118">
        <f t="shared" si="72"/>
        <v>0</v>
      </c>
      <c r="W354" s="612"/>
      <c r="X354" s="129" t="str">
        <f>IF([1]RENAME!$H$3=1,B354,A354)</f>
        <v>Reestruturação societária</v>
      </c>
      <c r="Y354" s="118">
        <v>0</v>
      </c>
      <c r="Z354" s="118">
        <v>0</v>
      </c>
      <c r="AA354" s="118">
        <f t="shared" si="73"/>
        <v>0</v>
      </c>
    </row>
    <row r="355" spans="1:27" x14ac:dyDescent="0.2">
      <c r="A355" s="532" t="s">
        <v>430</v>
      </c>
      <c r="B355" s="532" t="s">
        <v>648</v>
      </c>
      <c r="D355" s="129" t="str">
        <f>IF([1]RENAME!$H$3=1,B355,A355)</f>
        <v>Dividendos</v>
      </c>
      <c r="E355" s="118">
        <v>-9829</v>
      </c>
      <c r="F355" s="118">
        <v>-1823</v>
      </c>
      <c r="G355" s="118">
        <v>-3199</v>
      </c>
      <c r="H355" s="118">
        <v>0</v>
      </c>
      <c r="I355" s="118">
        <v>-3181</v>
      </c>
      <c r="J355" s="118"/>
      <c r="K355" s="118"/>
      <c r="L355" s="118">
        <v>-1161</v>
      </c>
      <c r="M355" s="118">
        <v>0</v>
      </c>
      <c r="N355" s="118">
        <v>0</v>
      </c>
      <c r="O355" s="118">
        <v>0</v>
      </c>
      <c r="P355" s="118">
        <v>0</v>
      </c>
      <c r="Q355" s="118">
        <v>0</v>
      </c>
      <c r="R355" s="118">
        <v>0</v>
      </c>
      <c r="S355" s="118">
        <v>0</v>
      </c>
      <c r="T355" s="118">
        <v>0</v>
      </c>
      <c r="U355" s="118">
        <v>0</v>
      </c>
      <c r="V355" s="118">
        <f t="shared" si="72"/>
        <v>-19193</v>
      </c>
      <c r="W355" s="612"/>
      <c r="X355" s="129" t="str">
        <f>IF([1]RENAME!$H$3=1,B355,A355)</f>
        <v>Dividendos</v>
      </c>
      <c r="Y355" s="118">
        <v>0</v>
      </c>
      <c r="Z355" s="118">
        <v>0</v>
      </c>
      <c r="AA355" s="118">
        <f t="shared" si="73"/>
        <v>0</v>
      </c>
    </row>
    <row r="356" spans="1:27" x14ac:dyDescent="0.2">
      <c r="A356" s="532" t="s">
        <v>1412</v>
      </c>
      <c r="B356" s="532" t="s">
        <v>1413</v>
      </c>
      <c r="D356" s="129" t="str">
        <f>IF([1]RENAME!$H$3=1,B356,A356)</f>
        <v>Constituição/baixa ágio (GDL-TLI)</v>
      </c>
      <c r="E356" s="118">
        <v>0</v>
      </c>
      <c r="F356" s="118">
        <v>0</v>
      </c>
      <c r="G356" s="118">
        <v>0</v>
      </c>
      <c r="H356" s="118">
        <v>0</v>
      </c>
      <c r="I356" s="118">
        <v>0</v>
      </c>
      <c r="J356" s="118"/>
      <c r="K356" s="118"/>
      <c r="L356" s="118" t="s">
        <v>160</v>
      </c>
      <c r="M356" s="118">
        <v>0</v>
      </c>
      <c r="N356" s="118">
        <v>0</v>
      </c>
      <c r="O356" s="118">
        <v>0</v>
      </c>
      <c r="P356" s="118">
        <v>0</v>
      </c>
      <c r="Q356" s="118">
        <v>0</v>
      </c>
      <c r="R356" s="118">
        <v>0</v>
      </c>
      <c r="S356" s="118">
        <v>0</v>
      </c>
      <c r="T356" s="118">
        <v>0</v>
      </c>
      <c r="U356" s="118">
        <v>0</v>
      </c>
      <c r="V356" s="118">
        <f t="shared" si="72"/>
        <v>0</v>
      </c>
      <c r="W356" s="612"/>
      <c r="X356" s="129" t="str">
        <f>IF([1]RENAME!$H$3=1,B356,A356)</f>
        <v>Constituição/baixa ágio (GDL-TLI)</v>
      </c>
      <c r="Y356" s="118">
        <v>0</v>
      </c>
      <c r="Z356" s="118">
        <v>0</v>
      </c>
      <c r="AA356" s="118">
        <f t="shared" si="73"/>
        <v>0</v>
      </c>
    </row>
    <row r="357" spans="1:27" x14ac:dyDescent="0.2">
      <c r="A357" s="532" t="s">
        <v>49</v>
      </c>
      <c r="B357" s="532" t="s">
        <v>728</v>
      </c>
      <c r="D357" s="129" t="str">
        <f>IF([1]RENAME!$H$3=1,B357,A357)</f>
        <v>Outros</v>
      </c>
      <c r="E357" s="118">
        <v>0</v>
      </c>
      <c r="F357" s="118">
        <v>0</v>
      </c>
      <c r="G357" s="118">
        <v>0</v>
      </c>
      <c r="H357" s="118">
        <v>0</v>
      </c>
      <c r="I357" s="118">
        <v>0</v>
      </c>
      <c r="J357" s="118"/>
      <c r="K357" s="118"/>
      <c r="L357" s="118" t="s">
        <v>160</v>
      </c>
      <c r="M357" s="118">
        <v>0</v>
      </c>
      <c r="N357" s="118">
        <v>0</v>
      </c>
      <c r="O357" s="118">
        <v>0</v>
      </c>
      <c r="P357" s="118">
        <v>0</v>
      </c>
      <c r="Q357" s="118">
        <v>0</v>
      </c>
      <c r="R357" s="118">
        <v>0</v>
      </c>
      <c r="S357" s="118">
        <v>0</v>
      </c>
      <c r="T357" s="118">
        <v>0</v>
      </c>
      <c r="U357" s="118">
        <v>0</v>
      </c>
      <c r="V357" s="118">
        <f t="shared" si="72"/>
        <v>0</v>
      </c>
      <c r="W357" s="612"/>
      <c r="X357" s="129" t="str">
        <f>IF([1]RENAME!$H$3=1,B357,A357)</f>
        <v>Outros</v>
      </c>
      <c r="Y357" s="118">
        <v>0</v>
      </c>
      <c r="Z357" s="118">
        <v>0</v>
      </c>
      <c r="AA357" s="118">
        <f t="shared" si="73"/>
        <v>0</v>
      </c>
    </row>
    <row r="358" spans="1:27" x14ac:dyDescent="0.2">
      <c r="A358" s="532" t="s">
        <v>2177</v>
      </c>
      <c r="B358" s="532" t="s">
        <v>2176</v>
      </c>
      <c r="D358" s="126" t="str">
        <f>IF([1]RENAME!$H$3=1,B358,A358)</f>
        <v>Em 30 de junho de 2024</v>
      </c>
      <c r="E358" s="120">
        <f>+SUM(E347:E357)</f>
        <v>76523</v>
      </c>
      <c r="F358" s="120">
        <f t="shared" ref="F358:U358" si="74">+SUM(F347:F357)</f>
        <v>31457</v>
      </c>
      <c r="G358" s="120">
        <f t="shared" si="74"/>
        <v>133134</v>
      </c>
      <c r="H358" s="120">
        <f t="shared" si="74"/>
        <v>6572</v>
      </c>
      <c r="I358" s="120">
        <f t="shared" si="74"/>
        <v>56258</v>
      </c>
      <c r="J358" s="120"/>
      <c r="K358" s="120"/>
      <c r="L358" s="120">
        <f t="shared" si="74"/>
        <v>7987</v>
      </c>
      <c r="M358" s="120">
        <f t="shared" si="74"/>
        <v>0</v>
      </c>
      <c r="N358" s="120">
        <f>+SUM(N347:N357)</f>
        <v>0</v>
      </c>
      <c r="O358" s="120">
        <f>+SUM(O347:O357)</f>
        <v>0</v>
      </c>
      <c r="P358" s="120">
        <f t="shared" si="74"/>
        <v>2</v>
      </c>
      <c r="Q358" s="120">
        <f t="shared" si="74"/>
        <v>0</v>
      </c>
      <c r="R358" s="120">
        <f t="shared" si="74"/>
        <v>0</v>
      </c>
      <c r="S358" s="120">
        <f t="shared" si="74"/>
        <v>0</v>
      </c>
      <c r="T358" s="120">
        <f t="shared" si="74"/>
        <v>0</v>
      </c>
      <c r="U358" s="120">
        <f t="shared" si="74"/>
        <v>0</v>
      </c>
      <c r="V358" s="120">
        <f>+SUM(E358:U358)</f>
        <v>311933</v>
      </c>
      <c r="W358" s="612"/>
      <c r="X358" s="126" t="str">
        <f>IF([1]RENAME!$H$3=1,B358,A358)</f>
        <v>Em 30 de junho de 2024</v>
      </c>
      <c r="Y358" s="120">
        <f>SUM(Y347:Y357)</f>
        <v>59439</v>
      </c>
      <c r="Z358" s="120">
        <f>SUM(Z347:Z357)</f>
        <v>5873</v>
      </c>
      <c r="AA358" s="120">
        <f>SUM(AA347:AA357)</f>
        <v>65312</v>
      </c>
    </row>
    <row r="360" spans="1:27" x14ac:dyDescent="0.2">
      <c r="A360" s="532" t="s">
        <v>225</v>
      </c>
      <c r="B360" s="532" t="s">
        <v>760</v>
      </c>
      <c r="D360" s="129" t="str">
        <f>IF([1]RENAME!$H$3=1,B360,A360)</f>
        <v>Equivalência patrimonial</v>
      </c>
      <c r="E360" s="118">
        <v>1612</v>
      </c>
      <c r="F360" s="118">
        <v>1283</v>
      </c>
      <c r="G360" s="118">
        <v>868</v>
      </c>
      <c r="H360" s="118">
        <v>-394</v>
      </c>
      <c r="I360" s="118">
        <v>7809</v>
      </c>
      <c r="J360" s="118"/>
      <c r="K360" s="118"/>
      <c r="L360" s="118">
        <v>1087</v>
      </c>
      <c r="M360" s="118">
        <v>0</v>
      </c>
      <c r="N360" s="118">
        <v>0</v>
      </c>
      <c r="O360" s="118">
        <v>0</v>
      </c>
      <c r="P360" s="118" t="s">
        <v>160</v>
      </c>
      <c r="Q360" s="118">
        <v>0</v>
      </c>
      <c r="R360" s="118">
        <v>0</v>
      </c>
      <c r="S360" s="118">
        <v>0</v>
      </c>
      <c r="T360" s="118">
        <v>0</v>
      </c>
      <c r="U360" s="118">
        <v>0</v>
      </c>
      <c r="V360" s="118">
        <f t="shared" ref="V360:V369" si="75">SUM(E360:L360)</f>
        <v>12265</v>
      </c>
      <c r="W360" s="612"/>
      <c r="X360" s="129" t="str">
        <f>IF([1]RENAME!$H$3=1,B360,A360)</f>
        <v>Equivalência patrimonial</v>
      </c>
      <c r="Y360" s="118">
        <v>7809</v>
      </c>
      <c r="Z360" s="118">
        <v>-376</v>
      </c>
      <c r="AA360" s="118">
        <f>SUM(Y360:Z360)</f>
        <v>7433</v>
      </c>
    </row>
    <row r="361" spans="1:27" x14ac:dyDescent="0.2">
      <c r="A361" s="532" t="s">
        <v>1833</v>
      </c>
      <c r="B361" s="532" t="s">
        <v>1834</v>
      </c>
      <c r="D361" s="129" t="str">
        <f>IF([1]RENAME!$H$3=1,B361,A361)</f>
        <v>Constituição de controlada</v>
      </c>
      <c r="E361" s="118">
        <v>0</v>
      </c>
      <c r="F361" s="118">
        <v>0</v>
      </c>
      <c r="G361" s="118">
        <v>0</v>
      </c>
      <c r="H361" s="118">
        <v>0</v>
      </c>
      <c r="I361" s="118">
        <v>0</v>
      </c>
      <c r="J361" s="118"/>
      <c r="K361" s="118"/>
      <c r="L361" s="118" t="s">
        <v>160</v>
      </c>
      <c r="M361" s="118">
        <v>0</v>
      </c>
      <c r="N361" s="118">
        <v>0</v>
      </c>
      <c r="O361" s="118">
        <v>0</v>
      </c>
      <c r="P361" s="118">
        <v>0</v>
      </c>
      <c r="Q361" s="118">
        <v>0</v>
      </c>
      <c r="R361" s="118">
        <v>0</v>
      </c>
      <c r="S361" s="118">
        <v>0</v>
      </c>
      <c r="T361" s="118">
        <v>0</v>
      </c>
      <c r="U361" s="118">
        <v>0</v>
      </c>
      <c r="V361" s="118">
        <f t="shared" si="75"/>
        <v>0</v>
      </c>
      <c r="W361" s="612"/>
      <c r="X361" s="129" t="str">
        <f>IF([1]RENAME!$H$3=1,B361,A361)</f>
        <v>Constituição de controlada</v>
      </c>
      <c r="Y361" s="118">
        <v>0</v>
      </c>
      <c r="Z361" s="118">
        <v>0</v>
      </c>
      <c r="AA361" s="118">
        <f t="shared" ref="AA361:AA369" si="76">SUM(Y361:Z361)</f>
        <v>0</v>
      </c>
    </row>
    <row r="362" spans="1:27" x14ac:dyDescent="0.2">
      <c r="A362" s="532" t="s">
        <v>2182</v>
      </c>
      <c r="B362" s="532" t="s">
        <v>2183</v>
      </c>
      <c r="D362" s="129" t="str">
        <f>IF([1]RENAME!$H$3=1,B362,A362)</f>
        <v>Alteração de participação societária</v>
      </c>
      <c r="E362" s="118" t="s">
        <v>160</v>
      </c>
      <c r="F362" s="118" t="s">
        <v>160</v>
      </c>
      <c r="G362" s="118" t="s">
        <v>160</v>
      </c>
      <c r="H362" s="118" t="s">
        <v>160</v>
      </c>
      <c r="I362" s="118" t="s">
        <v>160</v>
      </c>
      <c r="J362" s="118"/>
      <c r="K362" s="118"/>
      <c r="L362" s="118">
        <v>1</v>
      </c>
      <c r="M362" s="118" t="s">
        <v>160</v>
      </c>
      <c r="N362" s="118">
        <v>0</v>
      </c>
      <c r="O362" s="118" t="s">
        <v>160</v>
      </c>
      <c r="P362" s="118" t="s">
        <v>160</v>
      </c>
      <c r="Q362" s="118" t="s">
        <v>160</v>
      </c>
      <c r="R362" s="118" t="s">
        <v>160</v>
      </c>
      <c r="S362" s="118" t="s">
        <v>160</v>
      </c>
      <c r="T362" s="118" t="s">
        <v>160</v>
      </c>
      <c r="U362" s="118" t="s">
        <v>160</v>
      </c>
      <c r="V362" s="118">
        <f t="shared" si="75"/>
        <v>1</v>
      </c>
      <c r="W362" s="612"/>
      <c r="X362" s="129" t="str">
        <f>IF([1]RENAME!$H$3=1,B362,A362)</f>
        <v>Alteração de participação societária</v>
      </c>
      <c r="Y362" s="118"/>
      <c r="Z362" s="118"/>
      <c r="AA362" s="118"/>
    </row>
    <row r="363" spans="1:27" x14ac:dyDescent="0.2">
      <c r="A363" s="532" t="s">
        <v>1831</v>
      </c>
      <c r="B363" s="532" t="s">
        <v>1832</v>
      </c>
      <c r="D363" s="129" t="str">
        <f>IF([1]RENAME!$H$3=1,B363,A363)</f>
        <v>Aumento (Redução) de capital</v>
      </c>
      <c r="E363" s="118" t="s">
        <v>160</v>
      </c>
      <c r="F363" s="118" t="s">
        <v>160</v>
      </c>
      <c r="G363" s="118" t="s">
        <v>160</v>
      </c>
      <c r="H363" s="118">
        <v>10000</v>
      </c>
      <c r="I363" s="118">
        <v>0</v>
      </c>
      <c r="J363" s="118"/>
      <c r="K363" s="118"/>
      <c r="L363" s="118" t="s">
        <v>160</v>
      </c>
      <c r="M363" s="118">
        <v>0</v>
      </c>
      <c r="N363" s="118">
        <v>0</v>
      </c>
      <c r="O363" s="118">
        <v>0</v>
      </c>
      <c r="P363" s="118">
        <v>0</v>
      </c>
      <c r="Q363" s="118">
        <v>0</v>
      </c>
      <c r="R363" s="118">
        <v>0</v>
      </c>
      <c r="S363" s="118">
        <v>0</v>
      </c>
      <c r="T363" s="118">
        <v>0</v>
      </c>
      <c r="U363" s="118">
        <v>0</v>
      </c>
      <c r="V363" s="118">
        <f t="shared" si="75"/>
        <v>10000</v>
      </c>
      <c r="W363" s="612"/>
      <c r="X363" s="129" t="str">
        <f>IF([1]RENAME!$H$3=1,B363,A363)</f>
        <v>Aumento (Redução) de capital</v>
      </c>
      <c r="Y363" s="118">
        <v>0</v>
      </c>
      <c r="Z363" s="118">
        <v>0</v>
      </c>
      <c r="AA363" s="118">
        <f t="shared" si="76"/>
        <v>0</v>
      </c>
    </row>
    <row r="364" spans="1:27" x14ac:dyDescent="0.2">
      <c r="A364" s="532" t="s">
        <v>2210</v>
      </c>
      <c r="B364" s="532" t="s">
        <v>2211</v>
      </c>
      <c r="D364" s="129" t="str">
        <f>IF([1]RENAME!$H$3=1,B364,A364)</f>
        <v xml:space="preserve">Aquisição na participação societária </v>
      </c>
      <c r="E364" s="118" t="s">
        <v>160</v>
      </c>
      <c r="F364" s="118" t="s">
        <v>160</v>
      </c>
      <c r="G364" s="118" t="s">
        <v>160</v>
      </c>
      <c r="H364" s="118" t="s">
        <v>160</v>
      </c>
      <c r="I364" s="118" t="s">
        <v>160</v>
      </c>
      <c r="J364" s="118"/>
      <c r="K364" s="118"/>
      <c r="L364" s="118" t="s">
        <v>160</v>
      </c>
      <c r="M364" s="118" t="s">
        <v>160</v>
      </c>
      <c r="N364" s="118" t="s">
        <v>160</v>
      </c>
      <c r="O364" s="118" t="s">
        <v>160</v>
      </c>
      <c r="P364" s="118" t="s">
        <v>160</v>
      </c>
      <c r="Q364" s="118" t="s">
        <v>160</v>
      </c>
      <c r="R364" s="118" t="s">
        <v>160</v>
      </c>
      <c r="S364" s="118" t="s">
        <v>160</v>
      </c>
      <c r="T364" s="118" t="s">
        <v>160</v>
      </c>
      <c r="U364" s="118" t="s">
        <v>160</v>
      </c>
      <c r="V364" s="118">
        <f t="shared" si="75"/>
        <v>0</v>
      </c>
      <c r="W364" s="612"/>
      <c r="X364" s="129" t="str">
        <f>IF([1]RENAME!$H$3=1,B364,A364)</f>
        <v xml:space="preserve">Aquisição na participação societária </v>
      </c>
      <c r="Y364" s="118"/>
      <c r="Z364" s="118">
        <v>10000</v>
      </c>
      <c r="AA364" s="118">
        <f t="shared" si="76"/>
        <v>10000</v>
      </c>
    </row>
    <row r="365" spans="1:27" x14ac:dyDescent="0.2">
      <c r="A365" s="532" t="s">
        <v>1976</v>
      </c>
      <c r="D365" s="129" t="str">
        <f>IF([1]RENAME!$H$3=1,B365,A365)</f>
        <v xml:space="preserve">Aumento na participação societária </v>
      </c>
      <c r="E365" s="118">
        <v>0</v>
      </c>
      <c r="F365" s="118">
        <v>0</v>
      </c>
      <c r="G365" s="118">
        <v>0</v>
      </c>
      <c r="H365" s="118">
        <v>0</v>
      </c>
      <c r="I365" s="118">
        <v>0</v>
      </c>
      <c r="J365" s="118"/>
      <c r="K365" s="118"/>
      <c r="L365" s="118" t="s">
        <v>160</v>
      </c>
      <c r="M365" s="118">
        <v>0</v>
      </c>
      <c r="N365" s="118">
        <v>0</v>
      </c>
      <c r="O365" s="118">
        <v>0</v>
      </c>
      <c r="P365" s="118">
        <v>0</v>
      </c>
      <c r="Q365" s="118">
        <v>0</v>
      </c>
      <c r="R365" s="118">
        <v>0</v>
      </c>
      <c r="S365" s="118">
        <v>0</v>
      </c>
      <c r="T365" s="118">
        <v>0</v>
      </c>
      <c r="U365" s="118">
        <v>0</v>
      </c>
      <c r="V365" s="118">
        <f t="shared" si="75"/>
        <v>0</v>
      </c>
      <c r="W365" s="612"/>
      <c r="X365" s="129" t="str">
        <f>IF([1]RENAME!$H$3=1,B365,A365)</f>
        <v xml:space="preserve">Aumento na participação societária </v>
      </c>
      <c r="Y365" s="118">
        <v>0</v>
      </c>
      <c r="Z365" s="118">
        <v>0</v>
      </c>
      <c r="AA365" s="118">
        <f t="shared" si="76"/>
        <v>0</v>
      </c>
    </row>
    <row r="366" spans="1:27" x14ac:dyDescent="0.2">
      <c r="A366" s="532" t="s">
        <v>1311</v>
      </c>
      <c r="B366" s="532" t="s">
        <v>1480</v>
      </c>
      <c r="D366" s="129" t="str">
        <f>IF([1]RENAME!$H$3=1,B366,A366)</f>
        <v>Reestruturação societária</v>
      </c>
      <c r="E366" s="118">
        <v>0</v>
      </c>
      <c r="F366" s="118">
        <v>0</v>
      </c>
      <c r="G366" s="118">
        <v>0</v>
      </c>
      <c r="H366" s="118">
        <v>0</v>
      </c>
      <c r="I366" s="118">
        <v>0</v>
      </c>
      <c r="J366" s="118"/>
      <c r="K366" s="118"/>
      <c r="L366" s="118" t="s">
        <v>160</v>
      </c>
      <c r="M366" s="118">
        <v>0</v>
      </c>
      <c r="N366" s="118">
        <v>0</v>
      </c>
      <c r="O366" s="118">
        <v>0</v>
      </c>
      <c r="P366" s="118">
        <v>0</v>
      </c>
      <c r="Q366" s="118">
        <v>0</v>
      </c>
      <c r="R366" s="118">
        <v>0</v>
      </c>
      <c r="S366" s="118">
        <v>0</v>
      </c>
      <c r="T366" s="118">
        <v>0</v>
      </c>
      <c r="U366" s="118">
        <v>0</v>
      </c>
      <c r="V366" s="118">
        <f t="shared" si="75"/>
        <v>0</v>
      </c>
      <c r="W366" s="612"/>
      <c r="X366" s="129" t="str">
        <f>IF([1]RENAME!$H$3=1,B366,A366)</f>
        <v>Reestruturação societária</v>
      </c>
      <c r="Y366" s="118">
        <v>0</v>
      </c>
      <c r="Z366" s="118">
        <v>0</v>
      </c>
      <c r="AA366" s="118">
        <f t="shared" si="76"/>
        <v>0</v>
      </c>
    </row>
    <row r="367" spans="1:27" x14ac:dyDescent="0.2">
      <c r="A367" s="532" t="s">
        <v>430</v>
      </c>
      <c r="B367" s="532" t="s">
        <v>648</v>
      </c>
      <c r="D367" s="129" t="str">
        <f>IF([1]RENAME!$H$3=1,B367,A367)</f>
        <v>Dividendos</v>
      </c>
      <c r="E367" s="118">
        <v>1</v>
      </c>
      <c r="F367" s="118">
        <v>0</v>
      </c>
      <c r="G367" s="118">
        <v>-1</v>
      </c>
      <c r="H367" s="118">
        <v>0</v>
      </c>
      <c r="I367" s="118">
        <v>-17473</v>
      </c>
      <c r="J367" s="118"/>
      <c r="K367" s="118"/>
      <c r="L367" s="118">
        <v>0</v>
      </c>
      <c r="M367" s="118">
        <v>0</v>
      </c>
      <c r="N367" s="118">
        <v>0</v>
      </c>
      <c r="O367" s="118">
        <v>0</v>
      </c>
      <c r="P367" s="118">
        <v>0</v>
      </c>
      <c r="Q367" s="118">
        <v>0</v>
      </c>
      <c r="R367" s="118">
        <v>0</v>
      </c>
      <c r="S367" s="118">
        <v>0</v>
      </c>
      <c r="T367" s="118">
        <v>0</v>
      </c>
      <c r="U367" s="118">
        <v>0</v>
      </c>
      <c r="V367" s="118">
        <f t="shared" si="75"/>
        <v>-17473</v>
      </c>
      <c r="W367" s="612"/>
      <c r="X367" s="129" t="str">
        <f>IF([1]RENAME!$H$3=1,B367,A367)</f>
        <v>Dividendos</v>
      </c>
      <c r="Y367" s="118">
        <v>-20654</v>
      </c>
      <c r="Z367" s="118">
        <v>0</v>
      </c>
      <c r="AA367" s="118">
        <f t="shared" si="76"/>
        <v>-20654</v>
      </c>
    </row>
    <row r="368" spans="1:27" x14ac:dyDescent="0.2">
      <c r="A368" s="532" t="s">
        <v>1412</v>
      </c>
      <c r="B368" s="532" t="s">
        <v>1413</v>
      </c>
      <c r="D368" s="129" t="str">
        <f>IF([1]RENAME!$H$3=1,B368,A368)</f>
        <v>Constituição/baixa ágio (GDL-TLI)</v>
      </c>
      <c r="E368" s="118">
        <v>0</v>
      </c>
      <c r="F368" s="118">
        <v>0</v>
      </c>
      <c r="G368" s="118">
        <v>0</v>
      </c>
      <c r="H368" s="118">
        <v>0</v>
      </c>
      <c r="I368" s="118">
        <v>0</v>
      </c>
      <c r="J368" s="118"/>
      <c r="K368" s="118"/>
      <c r="L368" s="118" t="s">
        <v>160</v>
      </c>
      <c r="M368" s="118">
        <v>0</v>
      </c>
      <c r="N368" s="118">
        <v>0</v>
      </c>
      <c r="O368" s="118">
        <v>0</v>
      </c>
      <c r="P368" s="118">
        <v>0</v>
      </c>
      <c r="Q368" s="118">
        <v>0</v>
      </c>
      <c r="R368" s="118">
        <v>0</v>
      </c>
      <c r="S368" s="118">
        <v>0</v>
      </c>
      <c r="T368" s="118">
        <v>0</v>
      </c>
      <c r="U368" s="118">
        <v>0</v>
      </c>
      <c r="V368" s="118">
        <f t="shared" si="75"/>
        <v>0</v>
      </c>
      <c r="W368" s="612"/>
      <c r="X368" s="129" t="str">
        <f>IF([1]RENAME!$H$3=1,B368,A368)</f>
        <v>Constituição/baixa ágio (GDL-TLI)</v>
      </c>
      <c r="Y368" s="118">
        <v>0</v>
      </c>
      <c r="Z368" s="118">
        <v>0</v>
      </c>
      <c r="AA368" s="118">
        <f t="shared" si="76"/>
        <v>0</v>
      </c>
    </row>
    <row r="369" spans="1:27" x14ac:dyDescent="0.2">
      <c r="A369" s="532" t="s">
        <v>49</v>
      </c>
      <c r="B369" s="532" t="s">
        <v>728</v>
      </c>
      <c r="D369" s="129" t="str">
        <f>IF([1]RENAME!$H$3=1,B369,A369)</f>
        <v>Outros</v>
      </c>
      <c r="E369" s="118">
        <v>0</v>
      </c>
      <c r="F369" s="118">
        <v>0</v>
      </c>
      <c r="G369" s="118">
        <v>0</v>
      </c>
      <c r="H369" s="118">
        <v>0</v>
      </c>
      <c r="I369" s="118">
        <v>0</v>
      </c>
      <c r="J369" s="118"/>
      <c r="K369" s="118"/>
      <c r="L369" s="118" t="s">
        <v>160</v>
      </c>
      <c r="M369" s="118">
        <v>0</v>
      </c>
      <c r="N369" s="118">
        <v>0</v>
      </c>
      <c r="O369" s="118">
        <v>0</v>
      </c>
      <c r="P369" s="118">
        <v>0</v>
      </c>
      <c r="Q369" s="118">
        <v>0</v>
      </c>
      <c r="R369" s="118">
        <v>0</v>
      </c>
      <c r="S369" s="118">
        <v>0</v>
      </c>
      <c r="T369" s="118">
        <v>0</v>
      </c>
      <c r="U369" s="118">
        <v>0</v>
      </c>
      <c r="V369" s="118">
        <f t="shared" si="75"/>
        <v>0</v>
      </c>
      <c r="W369" s="612"/>
      <c r="X369" s="129" t="str">
        <f>IF([1]RENAME!$H$3=1,B369,A369)</f>
        <v>Outros</v>
      </c>
      <c r="Y369" s="118">
        <v>0</v>
      </c>
      <c r="Z369" s="118">
        <v>0</v>
      </c>
      <c r="AA369" s="118">
        <f t="shared" si="76"/>
        <v>0</v>
      </c>
    </row>
    <row r="370" spans="1:27" x14ac:dyDescent="0.2">
      <c r="A370" s="532" t="s">
        <v>2203</v>
      </c>
      <c r="B370" s="532" t="s">
        <v>2204</v>
      </c>
      <c r="D370" s="126" t="str">
        <f>IF([1]RENAME!$H$3=1,B370,A370)</f>
        <v>Em 30 de Setembro de 2024</v>
      </c>
      <c r="E370" s="120">
        <f>SUM(E358:E369)</f>
        <v>78136</v>
      </c>
      <c r="F370" s="120">
        <f t="shared" ref="F370:L370" si="77">SUM(F358:F369)</f>
        <v>32740</v>
      </c>
      <c r="G370" s="120">
        <f t="shared" si="77"/>
        <v>134001</v>
      </c>
      <c r="H370" s="120">
        <f t="shared" si="77"/>
        <v>16178</v>
      </c>
      <c r="I370" s="120">
        <f t="shared" si="77"/>
        <v>46594</v>
      </c>
      <c r="J370" s="120"/>
      <c r="K370" s="120"/>
      <c r="L370" s="120">
        <f t="shared" si="77"/>
        <v>9075</v>
      </c>
      <c r="M370" s="120">
        <f>SUM(M347:M369)</f>
        <v>0</v>
      </c>
      <c r="N370" s="120">
        <f>SUM(N358:N369)</f>
        <v>0</v>
      </c>
      <c r="O370" s="120">
        <f>SUM(O358:O369)</f>
        <v>0</v>
      </c>
      <c r="P370" s="120" t="s">
        <v>160</v>
      </c>
      <c r="Q370" s="120">
        <v>0</v>
      </c>
      <c r="R370" s="120">
        <f>SUM(R347:R369)</f>
        <v>0</v>
      </c>
      <c r="S370" s="120">
        <f>SUM(S347:S369)</f>
        <v>0</v>
      </c>
      <c r="T370" s="120">
        <f>SUM(T347:T369)</f>
        <v>0</v>
      </c>
      <c r="U370" s="120">
        <f>SUM(U347:U369)</f>
        <v>0</v>
      </c>
      <c r="V370" s="120">
        <f>+SUM(E370:U370)</f>
        <v>316724</v>
      </c>
      <c r="W370" s="612"/>
      <c r="X370" s="126" t="str">
        <f>IF([1]RENAME!$H$3=1,B370,A370)</f>
        <v>Em 30 de Setembro de 2024</v>
      </c>
      <c r="Y370" s="120">
        <f>SUM(Y358:Y369)</f>
        <v>46594</v>
      </c>
      <c r="Z370" s="120">
        <f>SUM(Z358:Z369)</f>
        <v>15497</v>
      </c>
      <c r="AA370" s="120">
        <f>SUM(AA358:AA369)</f>
        <v>62091</v>
      </c>
    </row>
    <row r="372" spans="1:27" x14ac:dyDescent="0.2">
      <c r="A372" s="532" t="s">
        <v>225</v>
      </c>
      <c r="B372" s="532" t="s">
        <v>760</v>
      </c>
      <c r="D372" s="129" t="str">
        <f>IF([1]RENAME!$H$3=1,B372,A372)</f>
        <v>Equivalência patrimonial</v>
      </c>
      <c r="E372" s="118">
        <v>1013</v>
      </c>
      <c r="F372" s="118">
        <v>1058</v>
      </c>
      <c r="G372" s="118">
        <v>910</v>
      </c>
      <c r="H372" s="118">
        <v>-377</v>
      </c>
      <c r="I372" s="118">
        <v>6251</v>
      </c>
      <c r="J372" s="118" t="s">
        <v>160</v>
      </c>
      <c r="K372" s="118" t="s">
        <v>160</v>
      </c>
      <c r="L372" s="118">
        <v>668</v>
      </c>
      <c r="M372" s="118">
        <v>0</v>
      </c>
      <c r="N372" s="118">
        <v>0</v>
      </c>
      <c r="O372" s="118">
        <v>0</v>
      </c>
      <c r="P372" s="118" t="s">
        <v>160</v>
      </c>
      <c r="Q372" s="118">
        <v>0</v>
      </c>
      <c r="R372" s="118">
        <v>0</v>
      </c>
      <c r="S372" s="118">
        <v>0</v>
      </c>
      <c r="T372" s="118">
        <v>0</v>
      </c>
      <c r="U372" s="118">
        <v>0</v>
      </c>
      <c r="V372" s="118">
        <v>9523</v>
      </c>
      <c r="W372" s="612" t="s">
        <v>2139</v>
      </c>
      <c r="X372" s="129" t="str">
        <f>IF([1]RENAME!$H$3=1,B372,A372)</f>
        <v>Equivalência patrimonial</v>
      </c>
      <c r="Y372" s="118">
        <v>6250</v>
      </c>
      <c r="Z372" s="118">
        <v>-385</v>
      </c>
      <c r="AA372" s="118">
        <v>5865</v>
      </c>
    </row>
    <row r="373" spans="1:27" x14ac:dyDescent="0.2">
      <c r="A373" s="532" t="s">
        <v>1833</v>
      </c>
      <c r="B373" s="532" t="s">
        <v>1834</v>
      </c>
      <c r="D373" s="129" t="str">
        <f>IF([1]RENAME!$H$3=1,B373,A373)</f>
        <v>Constituição de controlada</v>
      </c>
      <c r="E373" s="118">
        <v>0</v>
      </c>
      <c r="F373" s="118">
        <v>0</v>
      </c>
      <c r="G373" s="118">
        <v>0</v>
      </c>
      <c r="H373" s="118">
        <v>0</v>
      </c>
      <c r="I373" s="118">
        <v>0</v>
      </c>
      <c r="J373" s="118" t="s">
        <v>160</v>
      </c>
      <c r="K373" s="118" t="s">
        <v>160</v>
      </c>
      <c r="L373" s="118" t="s">
        <v>160</v>
      </c>
      <c r="M373" s="118">
        <v>0</v>
      </c>
      <c r="N373" s="118">
        <v>0</v>
      </c>
      <c r="O373" s="118">
        <v>0</v>
      </c>
      <c r="P373" s="118">
        <v>0</v>
      </c>
      <c r="Q373" s="118">
        <v>0</v>
      </c>
      <c r="R373" s="118">
        <v>0</v>
      </c>
      <c r="S373" s="118">
        <v>0</v>
      </c>
      <c r="T373" s="118">
        <v>0</v>
      </c>
      <c r="U373" s="118">
        <v>0</v>
      </c>
      <c r="V373" s="118">
        <v>0</v>
      </c>
      <c r="W373" s="612"/>
      <c r="X373" s="129" t="str">
        <f>IF([1]RENAME!$H$3=1,B373,A373)</f>
        <v>Constituição de controlada</v>
      </c>
      <c r="Y373" s="118">
        <v>0</v>
      </c>
      <c r="Z373" s="118">
        <v>0</v>
      </c>
      <c r="AA373" s="118">
        <v>0</v>
      </c>
    </row>
    <row r="374" spans="1:27" x14ac:dyDescent="0.2">
      <c r="A374" s="532" t="s">
        <v>2182</v>
      </c>
      <c r="B374" s="532" t="s">
        <v>2183</v>
      </c>
      <c r="D374" s="129" t="str">
        <f>IF([1]RENAME!$H$3=1,B374,A374)</f>
        <v>Alteração de participação societária</v>
      </c>
      <c r="E374" s="118" t="s">
        <v>160</v>
      </c>
      <c r="F374" s="118" t="s">
        <v>160</v>
      </c>
      <c r="G374" s="118" t="s">
        <v>160</v>
      </c>
      <c r="H374" s="118" t="s">
        <v>160</v>
      </c>
      <c r="I374" s="118" t="s">
        <v>160</v>
      </c>
      <c r="J374" s="118" t="s">
        <v>160</v>
      </c>
      <c r="K374" s="118" t="s">
        <v>160</v>
      </c>
      <c r="L374" s="118">
        <v>704</v>
      </c>
      <c r="M374" s="118" t="s">
        <v>160</v>
      </c>
      <c r="N374" s="118">
        <v>0</v>
      </c>
      <c r="O374" s="118" t="s">
        <v>160</v>
      </c>
      <c r="P374" s="118" t="s">
        <v>160</v>
      </c>
      <c r="Q374" s="118" t="s">
        <v>160</v>
      </c>
      <c r="R374" s="118" t="s">
        <v>160</v>
      </c>
      <c r="S374" s="118" t="s">
        <v>160</v>
      </c>
      <c r="T374" s="118" t="s">
        <v>160</v>
      </c>
      <c r="U374" s="118" t="s">
        <v>160</v>
      </c>
      <c r="V374" s="118">
        <v>704</v>
      </c>
      <c r="W374" s="612"/>
      <c r="X374" s="129" t="str">
        <f>IF([1]RENAME!$H$3=1,B374,A374)</f>
        <v>Alteração de participação societária</v>
      </c>
      <c r="Y374" s="118"/>
      <c r="Z374" s="118"/>
      <c r="AA374" s="118"/>
    </row>
    <row r="375" spans="1:27" x14ac:dyDescent="0.2">
      <c r="A375" s="532" t="s">
        <v>1831</v>
      </c>
      <c r="B375" s="532" t="s">
        <v>1832</v>
      </c>
      <c r="D375" s="129" t="str">
        <f>IF([1]RENAME!$H$3=1,B375,A375)</f>
        <v>Aumento (Redução) de capital</v>
      </c>
      <c r="E375" s="118" t="s">
        <v>160</v>
      </c>
      <c r="F375" s="118" t="s">
        <v>160</v>
      </c>
      <c r="G375" s="118" t="s">
        <v>160</v>
      </c>
      <c r="H375" s="118">
        <v>0</v>
      </c>
      <c r="I375" s="118">
        <v>0</v>
      </c>
      <c r="J375" s="118" t="s">
        <v>160</v>
      </c>
      <c r="K375" s="118" t="s">
        <v>160</v>
      </c>
      <c r="L375" s="118" t="s">
        <v>160</v>
      </c>
      <c r="M375" s="118">
        <v>0</v>
      </c>
      <c r="N375" s="118">
        <v>0</v>
      </c>
      <c r="O375" s="118">
        <v>0</v>
      </c>
      <c r="P375" s="118">
        <v>0</v>
      </c>
      <c r="Q375" s="118">
        <v>0</v>
      </c>
      <c r="R375" s="118">
        <v>0</v>
      </c>
      <c r="S375" s="118">
        <v>0</v>
      </c>
      <c r="T375" s="118">
        <v>0</v>
      </c>
      <c r="U375" s="118">
        <v>0</v>
      </c>
      <c r="V375" s="118">
        <v>0</v>
      </c>
      <c r="W375" s="612"/>
      <c r="X375" s="129" t="str">
        <f>IF([1]RENAME!$H$3=1,B375,A375)</f>
        <v>Aumento (Redução) de capital</v>
      </c>
      <c r="Y375" s="118">
        <v>0</v>
      </c>
      <c r="Z375" s="118">
        <v>0</v>
      </c>
      <c r="AA375" s="118">
        <v>0</v>
      </c>
    </row>
    <row r="376" spans="1:27" x14ac:dyDescent="0.2">
      <c r="A376" s="532" t="s">
        <v>2210</v>
      </c>
      <c r="B376" s="532" t="s">
        <v>2211</v>
      </c>
      <c r="D376" s="129" t="str">
        <f>IF([1]RENAME!$H$3=1,B376,A376)</f>
        <v xml:space="preserve">Aquisição na participação societária </v>
      </c>
      <c r="E376" s="118" t="s">
        <v>160</v>
      </c>
      <c r="F376" s="118" t="s">
        <v>160</v>
      </c>
      <c r="G376" s="118" t="s">
        <v>160</v>
      </c>
      <c r="H376" s="118" t="s">
        <v>160</v>
      </c>
      <c r="I376" s="118" t="s">
        <v>160</v>
      </c>
      <c r="J376" s="118" t="s">
        <v>160</v>
      </c>
      <c r="K376" s="118" t="s">
        <v>160</v>
      </c>
      <c r="L376" s="118" t="s">
        <v>160</v>
      </c>
      <c r="M376" s="118" t="s">
        <v>160</v>
      </c>
      <c r="N376" s="118" t="s">
        <v>160</v>
      </c>
      <c r="O376" s="118" t="s">
        <v>160</v>
      </c>
      <c r="P376" s="118" t="s">
        <v>160</v>
      </c>
      <c r="Q376" s="118" t="s">
        <v>160</v>
      </c>
      <c r="R376" s="118" t="s">
        <v>160</v>
      </c>
      <c r="S376" s="118" t="s">
        <v>160</v>
      </c>
      <c r="T376" s="118" t="s">
        <v>160</v>
      </c>
      <c r="U376" s="118" t="s">
        <v>160</v>
      </c>
      <c r="V376" s="118">
        <v>0</v>
      </c>
      <c r="W376" s="612"/>
      <c r="X376" s="129" t="str">
        <f>IF([1]RENAME!$H$3=1,B376,A376)</f>
        <v xml:space="preserve">Aquisição na participação societária </v>
      </c>
      <c r="Y376" s="118"/>
      <c r="Z376" s="118">
        <v>0</v>
      </c>
      <c r="AA376" s="118">
        <v>0</v>
      </c>
    </row>
    <row r="377" spans="1:27" x14ac:dyDescent="0.2">
      <c r="A377" s="532" t="s">
        <v>1976</v>
      </c>
      <c r="D377" s="129" t="str">
        <f>IF([1]RENAME!$H$3=1,B377,A377)</f>
        <v xml:space="preserve">Aumento na participação societária </v>
      </c>
      <c r="E377" s="118">
        <v>0</v>
      </c>
      <c r="F377" s="118">
        <v>0</v>
      </c>
      <c r="G377" s="118">
        <v>0</v>
      </c>
      <c r="H377" s="118">
        <v>0</v>
      </c>
      <c r="I377" s="118">
        <v>0</v>
      </c>
      <c r="J377" s="118" t="s">
        <v>160</v>
      </c>
      <c r="K377" s="118" t="s">
        <v>160</v>
      </c>
      <c r="L377" s="118" t="s">
        <v>160</v>
      </c>
      <c r="M377" s="118">
        <v>0</v>
      </c>
      <c r="N377" s="118">
        <v>0</v>
      </c>
      <c r="O377" s="118">
        <v>0</v>
      </c>
      <c r="P377" s="118">
        <v>0</v>
      </c>
      <c r="Q377" s="118">
        <v>0</v>
      </c>
      <c r="R377" s="118">
        <v>0</v>
      </c>
      <c r="S377" s="118">
        <v>0</v>
      </c>
      <c r="T377" s="118">
        <v>0</v>
      </c>
      <c r="U377" s="118">
        <v>0</v>
      </c>
      <c r="V377" s="118">
        <v>0</v>
      </c>
      <c r="W377" s="612"/>
      <c r="X377" s="129" t="str">
        <f>IF([1]RENAME!$H$3=1,B377,A377)</f>
        <v xml:space="preserve">Aumento na participação societária </v>
      </c>
      <c r="Y377" s="118">
        <v>0</v>
      </c>
      <c r="Z377" s="118">
        <v>0</v>
      </c>
      <c r="AA377" s="118">
        <v>0</v>
      </c>
    </row>
    <row r="378" spans="1:27" x14ac:dyDescent="0.2">
      <c r="A378" s="532" t="s">
        <v>1311</v>
      </c>
      <c r="B378" s="532" t="s">
        <v>1480</v>
      </c>
      <c r="D378" s="129" t="str">
        <f>IF([1]RENAME!$H$3=1,B378,A378)</f>
        <v>Reestruturação societária</v>
      </c>
      <c r="E378" s="118">
        <v>0</v>
      </c>
      <c r="F378" s="118">
        <v>0</v>
      </c>
      <c r="G378" s="118">
        <v>0</v>
      </c>
      <c r="H378" s="118">
        <v>0</v>
      </c>
      <c r="I378" s="118">
        <v>0</v>
      </c>
      <c r="J378" s="118" t="s">
        <v>160</v>
      </c>
      <c r="K378" s="118" t="s">
        <v>160</v>
      </c>
      <c r="L378" s="118" t="s">
        <v>160</v>
      </c>
      <c r="M378" s="118">
        <v>0</v>
      </c>
      <c r="N378" s="118">
        <v>0</v>
      </c>
      <c r="O378" s="118">
        <v>0</v>
      </c>
      <c r="P378" s="118">
        <v>0</v>
      </c>
      <c r="Q378" s="118">
        <v>0</v>
      </c>
      <c r="R378" s="118">
        <v>0</v>
      </c>
      <c r="S378" s="118">
        <v>0</v>
      </c>
      <c r="T378" s="118">
        <v>0</v>
      </c>
      <c r="U378" s="118">
        <v>0</v>
      </c>
      <c r="V378" s="118">
        <v>0</v>
      </c>
      <c r="W378" s="612"/>
      <c r="X378" s="129" t="str">
        <f>IF([1]RENAME!$H$3=1,B378,A378)</f>
        <v>Reestruturação societária</v>
      </c>
      <c r="Y378" s="118">
        <v>0</v>
      </c>
      <c r="Z378" s="118">
        <v>0</v>
      </c>
      <c r="AA378" s="118">
        <v>0</v>
      </c>
    </row>
    <row r="379" spans="1:27" x14ac:dyDescent="0.2">
      <c r="A379" s="532" t="s">
        <v>430</v>
      </c>
      <c r="B379" s="532" t="s">
        <v>648</v>
      </c>
      <c r="D379" s="129" t="str">
        <f>IF([1]RENAME!$H$3=1,B379,A379)</f>
        <v>Dividendos</v>
      </c>
      <c r="E379" s="118">
        <v>0</v>
      </c>
      <c r="F379" s="118">
        <v>1</v>
      </c>
      <c r="G379" s="118">
        <v>0</v>
      </c>
      <c r="H379" s="118">
        <v>0</v>
      </c>
      <c r="I379" s="118">
        <v>-6500</v>
      </c>
      <c r="J379" s="118" t="s">
        <v>160</v>
      </c>
      <c r="K379" s="118" t="s">
        <v>160</v>
      </c>
      <c r="L379" s="118">
        <v>0</v>
      </c>
      <c r="M379" s="118">
        <v>0</v>
      </c>
      <c r="N379" s="118">
        <v>0</v>
      </c>
      <c r="O379" s="118">
        <v>0</v>
      </c>
      <c r="P379" s="118">
        <v>0</v>
      </c>
      <c r="Q379" s="118">
        <v>0</v>
      </c>
      <c r="R379" s="118">
        <v>0</v>
      </c>
      <c r="S379" s="118">
        <v>0</v>
      </c>
      <c r="T379" s="118">
        <v>0</v>
      </c>
      <c r="U379" s="118">
        <v>0</v>
      </c>
      <c r="V379" s="118">
        <v>-6499</v>
      </c>
      <c r="W379" s="612"/>
      <c r="X379" s="129" t="str">
        <f>IF([1]RENAME!$H$3=1,B379,A379)</f>
        <v>Dividendos</v>
      </c>
      <c r="Y379" s="118">
        <v>-6500</v>
      </c>
      <c r="Z379" s="118">
        <v>0</v>
      </c>
      <c r="AA379" s="118">
        <v>-6500</v>
      </c>
    </row>
    <row r="380" spans="1:27" x14ac:dyDescent="0.2">
      <c r="A380" s="532" t="s">
        <v>1412</v>
      </c>
      <c r="B380" s="532" t="s">
        <v>1413</v>
      </c>
      <c r="D380" s="129" t="str">
        <f>IF([1]RENAME!$H$3=1,B380,A380)</f>
        <v>Constituição/baixa ágio (GDL-TLI)</v>
      </c>
      <c r="E380" s="118">
        <v>0</v>
      </c>
      <c r="F380" s="118">
        <v>0</v>
      </c>
      <c r="G380" s="118">
        <v>0</v>
      </c>
      <c r="H380" s="118">
        <v>0</v>
      </c>
      <c r="I380" s="118">
        <v>0</v>
      </c>
      <c r="J380" s="118" t="s">
        <v>160</v>
      </c>
      <c r="K380" s="118" t="s">
        <v>160</v>
      </c>
      <c r="L380" s="118" t="s">
        <v>160</v>
      </c>
      <c r="M380" s="118">
        <v>0</v>
      </c>
      <c r="N380" s="118">
        <v>0</v>
      </c>
      <c r="O380" s="118">
        <v>0</v>
      </c>
      <c r="P380" s="118">
        <v>0</v>
      </c>
      <c r="Q380" s="118">
        <v>0</v>
      </c>
      <c r="R380" s="118">
        <v>0</v>
      </c>
      <c r="S380" s="118">
        <v>0</v>
      </c>
      <c r="T380" s="118">
        <v>0</v>
      </c>
      <c r="U380" s="118">
        <v>0</v>
      </c>
      <c r="V380" s="118">
        <v>0</v>
      </c>
      <c r="W380" s="612"/>
      <c r="X380" s="129" t="str">
        <f>IF([1]RENAME!$H$3=1,B380,A380)</f>
        <v>Constituição/baixa ágio (GDL-TLI)</v>
      </c>
      <c r="Y380" s="118">
        <v>0</v>
      </c>
      <c r="Z380" s="118">
        <v>0</v>
      </c>
      <c r="AA380" s="118">
        <v>0</v>
      </c>
    </row>
    <row r="381" spans="1:27" x14ac:dyDescent="0.2">
      <c r="A381" s="532" t="s">
        <v>49</v>
      </c>
      <c r="B381" s="532" t="s">
        <v>728</v>
      </c>
      <c r="D381" s="129" t="str">
        <f>IF([1]RENAME!$H$3=1,B381,A381)</f>
        <v>Outros</v>
      </c>
      <c r="E381" s="118">
        <v>0</v>
      </c>
      <c r="F381" s="118">
        <v>0</v>
      </c>
      <c r="G381" s="118">
        <v>0</v>
      </c>
      <c r="H381" s="118">
        <v>0</v>
      </c>
      <c r="I381" s="118">
        <v>0</v>
      </c>
      <c r="J381" s="118" t="s">
        <v>160</v>
      </c>
      <c r="K381" s="118" t="s">
        <v>160</v>
      </c>
      <c r="L381" s="118" t="s">
        <v>160</v>
      </c>
      <c r="M381" s="118">
        <v>0</v>
      </c>
      <c r="N381" s="118">
        <v>0</v>
      </c>
      <c r="O381" s="118">
        <v>0</v>
      </c>
      <c r="P381" s="118">
        <v>0</v>
      </c>
      <c r="Q381" s="118">
        <v>0</v>
      </c>
      <c r="R381" s="118">
        <v>0</v>
      </c>
      <c r="S381" s="118">
        <v>0</v>
      </c>
      <c r="T381" s="118">
        <v>0</v>
      </c>
      <c r="U381" s="118">
        <v>0</v>
      </c>
      <c r="V381" s="118">
        <v>0</v>
      </c>
      <c r="W381" s="612"/>
      <c r="X381" s="129" t="str">
        <f>IF([1]RENAME!$H$3=1,B381,A381)</f>
        <v>Outros</v>
      </c>
      <c r="Y381" s="118">
        <v>0</v>
      </c>
      <c r="Z381" s="118">
        <v>0</v>
      </c>
      <c r="AA381" s="118">
        <v>0</v>
      </c>
    </row>
    <row r="382" spans="1:27" x14ac:dyDescent="0.2">
      <c r="A382" s="532" t="s">
        <v>2229</v>
      </c>
      <c r="B382" s="532" t="s">
        <v>2228</v>
      </c>
      <c r="D382" s="126" t="str">
        <f>IF([1]RENAME!$H$3=1,B382,A382)</f>
        <v>Em 31 de dezembro de 2024</v>
      </c>
      <c r="E382" s="120">
        <f>SUM(E370:E381)</f>
        <v>79149</v>
      </c>
      <c r="F382" s="120">
        <f>SUM(F370:F381)</f>
        <v>33799</v>
      </c>
      <c r="G382" s="120">
        <f>SUM(G370:G381)</f>
        <v>134911</v>
      </c>
      <c r="H382" s="120">
        <f>SUM(H370:H381)</f>
        <v>15801</v>
      </c>
      <c r="I382" s="120">
        <f>SUM(I370:I381)</f>
        <v>46345</v>
      </c>
      <c r="J382" s="120">
        <v>10425</v>
      </c>
      <c r="K382" s="120">
        <v>1437</v>
      </c>
      <c r="L382" s="120">
        <v>0</v>
      </c>
      <c r="M382" s="120">
        <f>SUM(M335:M381)</f>
        <v>0</v>
      </c>
      <c r="N382" s="120">
        <f>SUM(N370:N381)</f>
        <v>0</v>
      </c>
      <c r="O382" s="120">
        <f>SUM(O370:O381)</f>
        <v>0</v>
      </c>
      <c r="P382" s="120" t="s">
        <v>160</v>
      </c>
      <c r="Q382" s="120">
        <v>0</v>
      </c>
      <c r="R382" s="120">
        <f>SUM(R335:R381)</f>
        <v>0</v>
      </c>
      <c r="S382" s="120">
        <f>SUM(S335:S381)</f>
        <v>0</v>
      </c>
      <c r="T382" s="120">
        <f>SUM(T335:T381)</f>
        <v>0</v>
      </c>
      <c r="U382" s="120">
        <f>SUM(U335:U381)</f>
        <v>0</v>
      </c>
      <c r="V382" s="120">
        <f>+SUM(E382:U382)</f>
        <v>321867</v>
      </c>
      <c r="W382" s="612"/>
      <c r="X382" s="126" t="str">
        <f>IF([1]RENAME!$H$3=1,B382,A382)</f>
        <v>Em 31 de dezembro de 2024</v>
      </c>
      <c r="Y382" s="120">
        <f>SUM(Y370:Y381)</f>
        <v>46344</v>
      </c>
      <c r="Z382" s="120">
        <f>SUM(Z370:Z381)</f>
        <v>15112</v>
      </c>
      <c r="AA382" s="120">
        <f>SUM(AA370:AA381)</f>
        <v>61456</v>
      </c>
    </row>
    <row r="384" spans="1:27" x14ac:dyDescent="0.2">
      <c r="A384" s="532" t="s">
        <v>225</v>
      </c>
      <c r="B384" s="532" t="s">
        <v>760</v>
      </c>
      <c r="D384" s="129" t="str">
        <f>IF([1]RENAME!$H$3=1,B384,A384)</f>
        <v>Equivalência patrimonial</v>
      </c>
      <c r="E384" s="118">
        <v>2079</v>
      </c>
      <c r="F384" s="118">
        <v>1615</v>
      </c>
      <c r="G384" s="118">
        <v>1003</v>
      </c>
      <c r="H384" s="118">
        <v>-393</v>
      </c>
      <c r="I384" s="118">
        <v>6709</v>
      </c>
      <c r="J384" s="118">
        <v>991</v>
      </c>
      <c r="K384" s="118">
        <v>16</v>
      </c>
      <c r="L384" s="118" t="s">
        <v>160</v>
      </c>
      <c r="M384" s="118">
        <v>0</v>
      </c>
      <c r="N384" s="118" t="s">
        <v>160</v>
      </c>
      <c r="O384" s="118" t="s">
        <v>160</v>
      </c>
      <c r="P384" s="118" t="s">
        <v>160</v>
      </c>
      <c r="Q384" s="118">
        <v>0</v>
      </c>
      <c r="R384" s="118">
        <v>0</v>
      </c>
      <c r="S384" s="118">
        <v>0</v>
      </c>
      <c r="T384" s="118">
        <f>'[3]9.c Investimentos'!P99-T313</f>
        <v>0</v>
      </c>
      <c r="U384" s="118">
        <f>'[3]9.c Investimentos'!Q99-U313</f>
        <v>0</v>
      </c>
      <c r="V384" s="118">
        <f t="shared" ref="V384:V393" si="78">SUM(E384:L384)</f>
        <v>12020</v>
      </c>
      <c r="W384" s="612" t="s">
        <v>2139</v>
      </c>
      <c r="X384" s="129" t="str">
        <f>IF([1]RENAME!$H$3=1,B384,A384)</f>
        <v>Equivalência patrimonial</v>
      </c>
      <c r="Y384" s="118">
        <v>6709</v>
      </c>
      <c r="Z384" s="118">
        <v>-402</v>
      </c>
      <c r="AA384" s="118">
        <f>SUM(Y384:Z384)</f>
        <v>6307</v>
      </c>
    </row>
    <row r="385" spans="1:27" x14ac:dyDescent="0.2">
      <c r="A385" s="532" t="s">
        <v>1833</v>
      </c>
      <c r="B385" s="532" t="s">
        <v>1834</v>
      </c>
      <c r="D385" s="129" t="str">
        <f>IF([1]RENAME!$H$3=1,B385,A385)</f>
        <v>Constituição de controlada</v>
      </c>
      <c r="E385" s="118" t="s">
        <v>160</v>
      </c>
      <c r="F385" s="118" t="s">
        <v>160</v>
      </c>
      <c r="G385" s="118" t="s">
        <v>160</v>
      </c>
      <c r="H385" s="118" t="s">
        <v>160</v>
      </c>
      <c r="I385" s="118" t="s">
        <v>160</v>
      </c>
      <c r="J385" s="118" t="s">
        <v>160</v>
      </c>
      <c r="K385" s="118" t="s">
        <v>160</v>
      </c>
      <c r="L385" s="118" t="s">
        <v>160</v>
      </c>
      <c r="M385" s="118">
        <v>0</v>
      </c>
      <c r="N385" s="118" t="s">
        <v>160</v>
      </c>
      <c r="O385" s="118" t="s">
        <v>160</v>
      </c>
      <c r="P385" s="118">
        <v>0</v>
      </c>
      <c r="Q385" s="118">
        <v>0</v>
      </c>
      <c r="R385" s="118">
        <v>0</v>
      </c>
      <c r="S385" s="118">
        <v>0</v>
      </c>
      <c r="T385" s="118">
        <f>'[3]9.c Investimentos'!Q100</f>
        <v>0</v>
      </c>
      <c r="U385" s="118">
        <f>'[3]9.c Investimentos'!R100</f>
        <v>0</v>
      </c>
      <c r="V385" s="118">
        <f t="shared" si="78"/>
        <v>0</v>
      </c>
      <c r="W385" s="612"/>
      <c r="X385" s="129" t="str">
        <f>IF([1]RENAME!$H$3=1,B385,A385)</f>
        <v>Constituição de controlada</v>
      </c>
      <c r="Y385" s="118">
        <v>0</v>
      </c>
      <c r="Z385" s="118">
        <v>0</v>
      </c>
      <c r="AA385" s="118">
        <v>0</v>
      </c>
    </row>
    <row r="386" spans="1:27" x14ac:dyDescent="0.2">
      <c r="A386" s="532" t="s">
        <v>2182</v>
      </c>
      <c r="B386" s="532" t="s">
        <v>2183</v>
      </c>
      <c r="D386" s="129" t="str">
        <f>IF([1]RENAME!$H$3=1,B386,A386)</f>
        <v>Alteração de participação societária</v>
      </c>
      <c r="E386" s="118" t="s">
        <v>160</v>
      </c>
      <c r="F386" s="118" t="s">
        <v>160</v>
      </c>
      <c r="G386" s="118" t="s">
        <v>160</v>
      </c>
      <c r="H386" s="118" t="s">
        <v>160</v>
      </c>
      <c r="I386" s="118" t="s">
        <v>160</v>
      </c>
      <c r="J386" s="118" t="s">
        <v>160</v>
      </c>
      <c r="K386" s="118" t="s">
        <v>160</v>
      </c>
      <c r="L386" s="118" t="s">
        <v>160</v>
      </c>
      <c r="M386" s="118">
        <v>0</v>
      </c>
      <c r="N386" s="118" t="s">
        <v>160</v>
      </c>
      <c r="O386" s="118" t="s">
        <v>160</v>
      </c>
      <c r="P386" s="118" t="s">
        <v>160</v>
      </c>
      <c r="Q386" s="118" t="s">
        <v>160</v>
      </c>
      <c r="R386" s="118" t="s">
        <v>160</v>
      </c>
      <c r="S386" s="118" t="s">
        <v>160</v>
      </c>
      <c r="T386" s="118" t="s">
        <v>160</v>
      </c>
      <c r="U386" s="118" t="s">
        <v>160</v>
      </c>
      <c r="V386" s="118">
        <f t="shared" si="78"/>
        <v>0</v>
      </c>
      <c r="W386" s="612"/>
      <c r="X386" s="129" t="str">
        <f>IF([1]RENAME!$H$3=1,B386,A386)</f>
        <v>Alteração de participação societária</v>
      </c>
      <c r="Y386" s="118">
        <v>0</v>
      </c>
      <c r="Z386" s="118">
        <v>0</v>
      </c>
      <c r="AA386" s="118">
        <v>0</v>
      </c>
    </row>
    <row r="387" spans="1:27" x14ac:dyDescent="0.2">
      <c r="A387" s="532" t="s">
        <v>1831</v>
      </c>
      <c r="B387" s="532" t="s">
        <v>1832</v>
      </c>
      <c r="D387" s="129" t="str">
        <f>IF([1]RENAME!$H$3=1,B387,A387)</f>
        <v>Aumento (Redução) de capital</v>
      </c>
      <c r="E387" s="118" t="s">
        <v>160</v>
      </c>
      <c r="F387" s="118" t="s">
        <v>160</v>
      </c>
      <c r="G387" s="118" t="s">
        <v>160</v>
      </c>
      <c r="H387" s="118" t="s">
        <v>160</v>
      </c>
      <c r="I387" s="118" t="s">
        <v>160</v>
      </c>
      <c r="J387" s="118" t="s">
        <v>160</v>
      </c>
      <c r="K387" s="118" t="s">
        <v>160</v>
      </c>
      <c r="L387" s="118" t="s">
        <v>160</v>
      </c>
      <c r="M387" s="118">
        <v>0</v>
      </c>
      <c r="N387" s="118" t="s">
        <v>160</v>
      </c>
      <c r="O387" s="118" t="s">
        <v>160</v>
      </c>
      <c r="P387" s="118">
        <v>0</v>
      </c>
      <c r="Q387" s="118">
        <v>0</v>
      </c>
      <c r="R387" s="118">
        <v>0</v>
      </c>
      <c r="S387" s="118">
        <v>0</v>
      </c>
      <c r="T387" s="118">
        <f>'[3]9.c Investimentos'!Q101</f>
        <v>0</v>
      </c>
      <c r="U387" s="118">
        <f>'[3]9.c Investimentos'!R101</f>
        <v>0</v>
      </c>
      <c r="V387" s="118">
        <f t="shared" si="78"/>
        <v>0</v>
      </c>
      <c r="W387" s="612"/>
      <c r="X387" s="129" t="str">
        <f>IF([1]RENAME!$H$3=1,B387,A387)</f>
        <v>Aumento (Redução) de capital</v>
      </c>
      <c r="Y387" s="118">
        <v>0</v>
      </c>
      <c r="Z387" s="118">
        <v>0</v>
      </c>
      <c r="AA387" s="118">
        <v>0</v>
      </c>
    </row>
    <row r="388" spans="1:27" x14ac:dyDescent="0.2">
      <c r="A388" s="532" t="s">
        <v>2210</v>
      </c>
      <c r="B388" s="532" t="s">
        <v>2211</v>
      </c>
      <c r="D388" s="129" t="str">
        <f>IF([1]RENAME!$H$3=1,B388,A388)</f>
        <v xml:space="preserve">Aquisição na participação societária </v>
      </c>
      <c r="E388" s="118" t="s">
        <v>160</v>
      </c>
      <c r="F388" s="118" t="s">
        <v>160</v>
      </c>
      <c r="G388" s="118" t="s">
        <v>160</v>
      </c>
      <c r="H388" s="118" t="s">
        <v>160</v>
      </c>
      <c r="I388" s="118" t="s">
        <v>160</v>
      </c>
      <c r="J388" s="118" t="s">
        <v>160</v>
      </c>
      <c r="K388" s="118" t="s">
        <v>160</v>
      </c>
      <c r="L388" s="118" t="s">
        <v>160</v>
      </c>
      <c r="M388" s="118">
        <v>0</v>
      </c>
      <c r="N388" s="118" t="s">
        <v>160</v>
      </c>
      <c r="O388" s="118" t="s">
        <v>160</v>
      </c>
      <c r="P388" s="118" t="s">
        <v>160</v>
      </c>
      <c r="Q388" s="118" t="s">
        <v>160</v>
      </c>
      <c r="R388" s="118" t="s">
        <v>160</v>
      </c>
      <c r="S388" s="118" t="s">
        <v>160</v>
      </c>
      <c r="T388" s="118" t="s">
        <v>160</v>
      </c>
      <c r="U388" s="118" t="s">
        <v>160</v>
      </c>
      <c r="V388" s="118">
        <f t="shared" si="78"/>
        <v>0</v>
      </c>
      <c r="W388" s="612"/>
      <c r="X388" s="129" t="str">
        <f>IF([1]RENAME!$H$3=1,B388,A388)</f>
        <v xml:space="preserve">Aquisição na participação societária </v>
      </c>
      <c r="Y388" s="118">
        <v>0</v>
      </c>
      <c r="Z388" s="118">
        <v>0</v>
      </c>
      <c r="AA388" s="118">
        <v>0</v>
      </c>
    </row>
    <row r="389" spans="1:27" x14ac:dyDescent="0.2">
      <c r="A389" s="532" t="s">
        <v>1976</v>
      </c>
      <c r="D389" s="129" t="str">
        <f>IF([1]RENAME!$H$3=1,B389,A389)</f>
        <v xml:space="preserve">Aumento na participação societária </v>
      </c>
      <c r="E389" s="118" t="s">
        <v>160</v>
      </c>
      <c r="F389" s="118" t="s">
        <v>160</v>
      </c>
      <c r="G389" s="118" t="s">
        <v>160</v>
      </c>
      <c r="H389" s="118" t="s">
        <v>160</v>
      </c>
      <c r="I389" s="118" t="s">
        <v>160</v>
      </c>
      <c r="J389" s="118" t="s">
        <v>160</v>
      </c>
      <c r="K389" s="118" t="s">
        <v>160</v>
      </c>
      <c r="L389" s="118" t="s">
        <v>160</v>
      </c>
      <c r="M389" s="118">
        <v>0</v>
      </c>
      <c r="N389" s="118" t="s">
        <v>160</v>
      </c>
      <c r="O389" s="118" t="s">
        <v>160</v>
      </c>
      <c r="P389" s="118">
        <v>0</v>
      </c>
      <c r="Q389" s="118">
        <v>0</v>
      </c>
      <c r="R389" s="118">
        <v>0</v>
      </c>
      <c r="S389" s="118">
        <v>0</v>
      </c>
      <c r="T389" s="118">
        <v>0</v>
      </c>
      <c r="U389" s="118">
        <v>0</v>
      </c>
      <c r="V389" s="118">
        <f t="shared" si="78"/>
        <v>0</v>
      </c>
      <c r="W389" s="612"/>
      <c r="X389" s="129" t="str">
        <f>IF([1]RENAME!$H$3=1,B389,A389)</f>
        <v xml:space="preserve">Aumento na participação societária </v>
      </c>
      <c r="Y389" s="118">
        <v>0</v>
      </c>
      <c r="Z389" s="118">
        <v>0</v>
      </c>
      <c r="AA389" s="118">
        <v>0</v>
      </c>
    </row>
    <row r="390" spans="1:27" x14ac:dyDescent="0.2">
      <c r="A390" s="532" t="s">
        <v>1311</v>
      </c>
      <c r="B390" s="532" t="s">
        <v>1480</v>
      </c>
      <c r="D390" s="129" t="str">
        <f>IF([1]RENAME!$H$3=1,B390,A390)</f>
        <v>Reestruturação societária</v>
      </c>
      <c r="E390" s="118" t="s">
        <v>160</v>
      </c>
      <c r="F390" s="118" t="s">
        <v>160</v>
      </c>
      <c r="G390" s="118" t="s">
        <v>160</v>
      </c>
      <c r="H390" s="118" t="s">
        <v>160</v>
      </c>
      <c r="I390" s="118" t="s">
        <v>160</v>
      </c>
      <c r="J390" s="118" t="s">
        <v>160</v>
      </c>
      <c r="K390" s="118" t="s">
        <v>160</v>
      </c>
      <c r="L390" s="118" t="s">
        <v>160</v>
      </c>
      <c r="M390" s="118">
        <v>0</v>
      </c>
      <c r="N390" s="118" t="s">
        <v>160</v>
      </c>
      <c r="O390" s="118" t="s">
        <v>160</v>
      </c>
      <c r="P390" s="118">
        <v>0</v>
      </c>
      <c r="Q390" s="118">
        <v>0</v>
      </c>
      <c r="R390" s="118">
        <v>0</v>
      </c>
      <c r="S390" s="118">
        <v>0</v>
      </c>
      <c r="T390" s="118">
        <f>'[3]9.c Investimentos'!Q102</f>
        <v>0</v>
      </c>
      <c r="U390" s="118">
        <f>'[3]9.c Investimentos'!R102</f>
        <v>0</v>
      </c>
      <c r="V390" s="118">
        <f t="shared" si="78"/>
        <v>0</v>
      </c>
      <c r="W390" s="612"/>
      <c r="X390" s="129" t="str">
        <f>IF([1]RENAME!$H$3=1,B390,A390)</f>
        <v>Reestruturação societária</v>
      </c>
      <c r="Y390" s="118">
        <v>0</v>
      </c>
      <c r="Z390" s="118">
        <v>0</v>
      </c>
      <c r="AA390" s="118">
        <v>0</v>
      </c>
    </row>
    <row r="391" spans="1:27" x14ac:dyDescent="0.2">
      <c r="A391" s="532" t="s">
        <v>430</v>
      </c>
      <c r="B391" s="532" t="s">
        <v>648</v>
      </c>
      <c r="D391" s="129" t="str">
        <f>IF([1]RENAME!$H$3=1,B391,A391)</f>
        <v>Dividendos</v>
      </c>
      <c r="E391" s="118" t="s">
        <v>160</v>
      </c>
      <c r="F391" s="118" t="s">
        <v>160</v>
      </c>
      <c r="G391" s="118" t="s">
        <v>160</v>
      </c>
      <c r="H391" s="118" t="s">
        <v>160</v>
      </c>
      <c r="I391" s="118" t="s">
        <v>160</v>
      </c>
      <c r="J391" s="118" t="s">
        <v>160</v>
      </c>
      <c r="K391" s="118" t="s">
        <v>160</v>
      </c>
      <c r="L391" s="118" t="s">
        <v>160</v>
      </c>
      <c r="M391" s="118">
        <v>0</v>
      </c>
      <c r="N391" s="118" t="s">
        <v>160</v>
      </c>
      <c r="O391" s="118" t="s">
        <v>160</v>
      </c>
      <c r="P391" s="118">
        <v>0</v>
      </c>
      <c r="Q391" s="118">
        <v>0</v>
      </c>
      <c r="R391" s="118">
        <v>0</v>
      </c>
      <c r="S391" s="118">
        <v>0</v>
      </c>
      <c r="T391" s="118">
        <f>'[3]9.c Investimentos'!Q103</f>
        <v>0</v>
      </c>
      <c r="U391" s="118">
        <f>'[3]9.c Investimentos'!R103</f>
        <v>0</v>
      </c>
      <c r="V391" s="118">
        <f t="shared" si="78"/>
        <v>0</v>
      </c>
      <c r="W391" s="612"/>
      <c r="X391" s="129" t="str">
        <f>IF([1]RENAME!$H$3=1,B391,A391)</f>
        <v>Dividendos</v>
      </c>
      <c r="Y391" s="118">
        <v>0</v>
      </c>
      <c r="Z391" s="118">
        <v>0</v>
      </c>
      <c r="AA391" s="118">
        <f>SUM(Y391:Z391)</f>
        <v>0</v>
      </c>
    </row>
    <row r="392" spans="1:27" x14ac:dyDescent="0.2">
      <c r="A392" s="532" t="s">
        <v>1412</v>
      </c>
      <c r="B392" s="532" t="s">
        <v>1413</v>
      </c>
      <c r="D392" s="129" t="str">
        <f>IF([1]RENAME!$H$3=1,B392,A392)</f>
        <v>Constituição/baixa ágio (GDL-TLI)</v>
      </c>
      <c r="E392" s="118" t="s">
        <v>160</v>
      </c>
      <c r="F392" s="118" t="s">
        <v>160</v>
      </c>
      <c r="G392" s="118" t="s">
        <v>160</v>
      </c>
      <c r="H392" s="118" t="s">
        <v>160</v>
      </c>
      <c r="I392" s="118" t="s">
        <v>160</v>
      </c>
      <c r="J392" s="118" t="s">
        <v>160</v>
      </c>
      <c r="K392" s="118" t="s">
        <v>160</v>
      </c>
      <c r="L392" s="118" t="s">
        <v>160</v>
      </c>
      <c r="M392" s="118">
        <v>0</v>
      </c>
      <c r="N392" s="118" t="s">
        <v>160</v>
      </c>
      <c r="O392" s="118" t="s">
        <v>160</v>
      </c>
      <c r="P392" s="118">
        <v>0</v>
      </c>
      <c r="Q392" s="118">
        <v>0</v>
      </c>
      <c r="R392" s="118">
        <v>0</v>
      </c>
      <c r="S392" s="118">
        <v>0</v>
      </c>
      <c r="T392" s="118">
        <f>'[3]9.c Investimentos'!Q104</f>
        <v>0</v>
      </c>
      <c r="U392" s="118">
        <f>'[3]9.c Investimentos'!R104</f>
        <v>0</v>
      </c>
      <c r="V392" s="118">
        <f t="shared" si="78"/>
        <v>0</v>
      </c>
      <c r="W392" s="612"/>
      <c r="X392" s="129" t="str">
        <f>IF([1]RENAME!$H$3=1,B392,A392)</f>
        <v>Constituição/baixa ágio (GDL-TLI)</v>
      </c>
      <c r="Y392" s="118">
        <v>0</v>
      </c>
      <c r="Z392" s="118">
        <v>0</v>
      </c>
      <c r="AA392" s="118">
        <v>0</v>
      </c>
    </row>
    <row r="393" spans="1:27" x14ac:dyDescent="0.2">
      <c r="A393" s="532" t="s">
        <v>49</v>
      </c>
      <c r="B393" s="532" t="s">
        <v>728</v>
      </c>
      <c r="D393" s="129" t="str">
        <f>IF([1]RENAME!$H$3=1,B393,A393)</f>
        <v>Outros</v>
      </c>
      <c r="E393" s="118" t="s">
        <v>160</v>
      </c>
      <c r="F393" s="118" t="s">
        <v>160</v>
      </c>
      <c r="G393" s="118" t="s">
        <v>160</v>
      </c>
      <c r="H393" s="118" t="s">
        <v>160</v>
      </c>
      <c r="I393" s="118" t="s">
        <v>160</v>
      </c>
      <c r="J393" s="118" t="s">
        <v>160</v>
      </c>
      <c r="K393" s="118" t="s">
        <v>160</v>
      </c>
      <c r="L393" s="118" t="s">
        <v>160</v>
      </c>
      <c r="M393" s="118">
        <v>0</v>
      </c>
      <c r="N393" s="118" t="s">
        <v>160</v>
      </c>
      <c r="O393" s="118" t="s">
        <v>160</v>
      </c>
      <c r="P393" s="118">
        <v>0</v>
      </c>
      <c r="Q393" s="118">
        <v>0</v>
      </c>
      <c r="R393" s="118">
        <v>0</v>
      </c>
      <c r="S393" s="118">
        <v>0</v>
      </c>
      <c r="T393" s="118">
        <f>'[3]9.c Investimentos'!Q105</f>
        <v>0</v>
      </c>
      <c r="U393" s="118">
        <f>'[3]9.c Investimentos'!R105</f>
        <v>0</v>
      </c>
      <c r="V393" s="118">
        <f t="shared" si="78"/>
        <v>0</v>
      </c>
      <c r="W393" s="612"/>
      <c r="X393" s="129" t="str">
        <f>IF([1]RENAME!$H$3=1,B393,A393)</f>
        <v>Outros</v>
      </c>
      <c r="Y393" s="118">
        <v>0</v>
      </c>
      <c r="Z393" s="118">
        <v>0</v>
      </c>
      <c r="AA393" s="118">
        <v>0</v>
      </c>
    </row>
    <row r="394" spans="1:27" x14ac:dyDescent="0.2">
      <c r="A394" s="532" t="s">
        <v>2256</v>
      </c>
      <c r="B394" s="532" t="s">
        <v>2257</v>
      </c>
      <c r="D394" s="126" t="str">
        <f>IF([1]RENAME!$H$3=1,B394,A394)</f>
        <v>Em 31 de março de 2025</v>
      </c>
      <c r="E394" s="120">
        <f>SUM(E382:E393)</f>
        <v>81228</v>
      </c>
      <c r="F394" s="120">
        <f t="shared" ref="F394:V394" si="79">SUM(F382:F393)</f>
        <v>35414</v>
      </c>
      <c r="G394" s="120">
        <f t="shared" si="79"/>
        <v>135914</v>
      </c>
      <c r="H394" s="120">
        <f t="shared" si="79"/>
        <v>15408</v>
      </c>
      <c r="I394" s="120">
        <f t="shared" si="79"/>
        <v>53054</v>
      </c>
      <c r="J394" s="120">
        <f>SUM(J382:J393)</f>
        <v>11416</v>
      </c>
      <c r="K394" s="120">
        <f t="shared" si="79"/>
        <v>1453</v>
      </c>
      <c r="L394" s="120">
        <f t="shared" si="79"/>
        <v>0</v>
      </c>
      <c r="M394" s="120">
        <f t="shared" si="79"/>
        <v>0</v>
      </c>
      <c r="N394" s="120">
        <f t="shared" si="79"/>
        <v>0</v>
      </c>
      <c r="O394" s="120">
        <f t="shared" si="79"/>
        <v>0</v>
      </c>
      <c r="P394" s="120">
        <f t="shared" si="79"/>
        <v>0</v>
      </c>
      <c r="Q394" s="120">
        <f t="shared" si="79"/>
        <v>0</v>
      </c>
      <c r="R394" s="120">
        <f t="shared" si="79"/>
        <v>0</v>
      </c>
      <c r="S394" s="120">
        <f t="shared" si="79"/>
        <v>0</v>
      </c>
      <c r="T394" s="120">
        <f t="shared" si="79"/>
        <v>0</v>
      </c>
      <c r="U394" s="120">
        <f t="shared" si="79"/>
        <v>0</v>
      </c>
      <c r="V394" s="120">
        <f t="shared" si="79"/>
        <v>333887</v>
      </c>
      <c r="W394" s="612"/>
      <c r="X394" s="126" t="str">
        <f>IF([1]RENAME!$H$3=1,B394,A394)</f>
        <v>Em 31 de março de 2025</v>
      </c>
      <c r="Y394" s="120">
        <f>SUM(Y382:Y393)</f>
        <v>53053</v>
      </c>
      <c r="Z394" s="120">
        <f>SUM(Z382:Z393)</f>
        <v>14710</v>
      </c>
      <c r="AA394" s="120">
        <f>SUM(AA382:AA393)</f>
        <v>67763</v>
      </c>
    </row>
    <row r="396" spans="1:27" x14ac:dyDescent="0.2">
      <c r="A396" s="532" t="s">
        <v>225</v>
      </c>
      <c r="B396" s="532" t="s">
        <v>760</v>
      </c>
      <c r="D396" s="129" t="str">
        <f>IF([1]RENAME!$H$3=1,B396,A396)</f>
        <v>Equivalência patrimonial</v>
      </c>
      <c r="E396" s="118">
        <v>2210</v>
      </c>
      <c r="F396" s="118">
        <v>1608</v>
      </c>
      <c r="G396" s="118">
        <v>1097</v>
      </c>
      <c r="H396" s="118">
        <v>-379</v>
      </c>
      <c r="I396" s="118">
        <v>9330</v>
      </c>
      <c r="J396" s="118">
        <v>3156</v>
      </c>
      <c r="K396" s="118">
        <v>22</v>
      </c>
      <c r="L396" s="118" t="s">
        <v>160</v>
      </c>
      <c r="M396" s="118">
        <v>0</v>
      </c>
      <c r="N396" s="118" t="s">
        <v>160</v>
      </c>
      <c r="O396" s="118" t="s">
        <v>160</v>
      </c>
      <c r="P396" s="118" t="s">
        <v>160</v>
      </c>
      <c r="Q396" s="118">
        <v>0</v>
      </c>
      <c r="R396" s="118">
        <v>0</v>
      </c>
      <c r="S396" s="118">
        <v>0</v>
      </c>
      <c r="T396" s="118">
        <v>0</v>
      </c>
      <c r="U396" s="118">
        <v>0</v>
      </c>
      <c r="V396" s="118">
        <v>17044</v>
      </c>
      <c r="W396" s="612" t="s">
        <v>2139</v>
      </c>
      <c r="X396" s="129" t="str">
        <f>IF([1]RENAME!$H$3=1,B396,A396)</f>
        <v>Equivalência patrimonial</v>
      </c>
      <c r="Y396" s="118">
        <v>9330</v>
      </c>
      <c r="Z396" s="118">
        <v>-388</v>
      </c>
      <c r="AA396" s="118">
        <v>8942</v>
      </c>
    </row>
    <row r="397" spans="1:27" x14ac:dyDescent="0.2">
      <c r="A397" s="532" t="s">
        <v>1833</v>
      </c>
      <c r="B397" s="532" t="s">
        <v>1834</v>
      </c>
      <c r="D397" s="129" t="str">
        <f>IF([1]RENAME!$H$3=1,B397,A397)</f>
        <v>Constituição de controlada</v>
      </c>
      <c r="E397" s="118" t="s">
        <v>160</v>
      </c>
      <c r="F397" s="118" t="s">
        <v>160</v>
      </c>
      <c r="G397" s="118" t="s">
        <v>160</v>
      </c>
      <c r="H397" s="118" t="s">
        <v>160</v>
      </c>
      <c r="I397" s="118" t="s">
        <v>160</v>
      </c>
      <c r="J397" s="118" t="s">
        <v>160</v>
      </c>
      <c r="K397" s="118" t="s">
        <v>160</v>
      </c>
      <c r="L397" s="118" t="s">
        <v>160</v>
      </c>
      <c r="M397" s="118">
        <v>0</v>
      </c>
      <c r="N397" s="118" t="s">
        <v>160</v>
      </c>
      <c r="O397" s="118" t="s">
        <v>160</v>
      </c>
      <c r="P397" s="118">
        <v>0</v>
      </c>
      <c r="Q397" s="118">
        <v>0</v>
      </c>
      <c r="R397" s="118">
        <v>0</v>
      </c>
      <c r="S397" s="118">
        <v>0</v>
      </c>
      <c r="T397" s="118">
        <v>0</v>
      </c>
      <c r="U397" s="118">
        <v>0</v>
      </c>
      <c r="V397" s="118">
        <v>0</v>
      </c>
      <c r="W397" s="612"/>
      <c r="X397" s="129" t="str">
        <f>IF([1]RENAME!$H$3=1,B397,A397)</f>
        <v>Constituição de controlada</v>
      </c>
      <c r="Y397" s="118">
        <v>0</v>
      </c>
      <c r="Z397" s="118">
        <v>0</v>
      </c>
      <c r="AA397" s="118">
        <v>0</v>
      </c>
    </row>
    <row r="398" spans="1:27" x14ac:dyDescent="0.2">
      <c r="A398" s="532" t="s">
        <v>2182</v>
      </c>
      <c r="B398" s="532" t="s">
        <v>2183</v>
      </c>
      <c r="D398" s="129" t="str">
        <f>IF([1]RENAME!$H$3=1,B398,A398)</f>
        <v>Alteração de participação societária</v>
      </c>
      <c r="E398" s="118" t="s">
        <v>160</v>
      </c>
      <c r="F398" s="118" t="s">
        <v>160</v>
      </c>
      <c r="G398" s="118" t="s">
        <v>160</v>
      </c>
      <c r="H398" s="118" t="s">
        <v>160</v>
      </c>
      <c r="I398" s="118" t="s">
        <v>160</v>
      </c>
      <c r="J398" s="118">
        <v>0</v>
      </c>
      <c r="K398" s="118" t="s">
        <v>160</v>
      </c>
      <c r="L398" s="118" t="s">
        <v>160</v>
      </c>
      <c r="M398" s="118" t="s">
        <v>160</v>
      </c>
      <c r="N398" s="118" t="s">
        <v>160</v>
      </c>
      <c r="O398" s="118" t="s">
        <v>160</v>
      </c>
      <c r="P398" s="118" t="s">
        <v>160</v>
      </c>
      <c r="Q398" s="118" t="s">
        <v>160</v>
      </c>
      <c r="R398" s="118" t="s">
        <v>160</v>
      </c>
      <c r="S398" s="118" t="s">
        <v>160</v>
      </c>
      <c r="T398" s="118" t="s">
        <v>160</v>
      </c>
      <c r="U398" s="118" t="s">
        <v>160</v>
      </c>
      <c r="V398" s="118">
        <v>0</v>
      </c>
      <c r="W398" s="612"/>
      <c r="X398" s="129" t="str">
        <f>IF([1]RENAME!$H$3=1,B398,A398)</f>
        <v>Alteração de participação societária</v>
      </c>
      <c r="Y398" s="118">
        <v>0</v>
      </c>
      <c r="Z398" s="118">
        <v>0</v>
      </c>
      <c r="AA398" s="118">
        <v>0</v>
      </c>
    </row>
    <row r="399" spans="1:27" x14ac:dyDescent="0.2">
      <c r="A399" s="532" t="s">
        <v>1831</v>
      </c>
      <c r="B399" s="532" t="s">
        <v>1832</v>
      </c>
      <c r="D399" s="129" t="str">
        <f>IF([1]RENAME!$H$3=1,B399,A399)</f>
        <v>Aumento (Redução) de capital</v>
      </c>
      <c r="E399" s="118" t="s">
        <v>160</v>
      </c>
      <c r="F399" s="118" t="s">
        <v>160</v>
      </c>
      <c r="G399" s="118" t="s">
        <v>160</v>
      </c>
      <c r="H399" s="118" t="s">
        <v>160</v>
      </c>
      <c r="I399" s="118">
        <v>0</v>
      </c>
      <c r="J399" s="118">
        <v>12850</v>
      </c>
      <c r="K399" s="118" t="s">
        <v>160</v>
      </c>
      <c r="L399" s="118" t="s">
        <v>160</v>
      </c>
      <c r="M399" s="118">
        <v>0</v>
      </c>
      <c r="N399" s="118" t="s">
        <v>160</v>
      </c>
      <c r="O399" s="118" t="s">
        <v>160</v>
      </c>
      <c r="P399" s="118">
        <v>0</v>
      </c>
      <c r="Q399" s="118">
        <v>0</v>
      </c>
      <c r="R399" s="118">
        <v>0</v>
      </c>
      <c r="S399" s="118">
        <v>0</v>
      </c>
      <c r="T399" s="118">
        <v>0</v>
      </c>
      <c r="U399" s="118">
        <v>0</v>
      </c>
      <c r="V399" s="118">
        <v>12850</v>
      </c>
      <c r="W399" s="612"/>
      <c r="X399" s="129" t="str">
        <f>IF([1]RENAME!$H$3=1,B399,A399)</f>
        <v>Aumento (Redução) de capital</v>
      </c>
      <c r="Y399" s="118">
        <v>0</v>
      </c>
      <c r="Z399" s="118">
        <v>0</v>
      </c>
      <c r="AA399" s="118">
        <v>0</v>
      </c>
    </row>
    <row r="400" spans="1:27" x14ac:dyDescent="0.2">
      <c r="A400" s="532" t="s">
        <v>2210</v>
      </c>
      <c r="B400" s="532" t="s">
        <v>2211</v>
      </c>
      <c r="D400" s="129" t="str">
        <f>IF([1]RENAME!$H$3=1,B400,A400)</f>
        <v xml:space="preserve">Aquisição na participação societária </v>
      </c>
      <c r="E400" s="118" t="s">
        <v>160</v>
      </c>
      <c r="F400" s="118" t="s">
        <v>160</v>
      </c>
      <c r="G400" s="118" t="s">
        <v>160</v>
      </c>
      <c r="H400" s="118" t="s">
        <v>160</v>
      </c>
      <c r="I400" s="118" t="s">
        <v>160</v>
      </c>
      <c r="J400" s="118" t="s">
        <v>160</v>
      </c>
      <c r="K400" s="118" t="s">
        <v>160</v>
      </c>
      <c r="L400" s="118" t="s">
        <v>160</v>
      </c>
      <c r="M400" s="118" t="s">
        <v>160</v>
      </c>
      <c r="N400" s="118" t="s">
        <v>160</v>
      </c>
      <c r="O400" s="118" t="s">
        <v>160</v>
      </c>
      <c r="P400" s="118" t="s">
        <v>160</v>
      </c>
      <c r="Q400" s="118" t="s">
        <v>160</v>
      </c>
      <c r="R400" s="118" t="s">
        <v>160</v>
      </c>
      <c r="S400" s="118" t="s">
        <v>160</v>
      </c>
      <c r="T400" s="118" t="s">
        <v>160</v>
      </c>
      <c r="U400" s="118" t="s">
        <v>160</v>
      </c>
      <c r="V400" s="118">
        <v>0</v>
      </c>
      <c r="W400" s="612"/>
      <c r="X400" s="129" t="str">
        <f>IF([1]RENAME!$H$3=1,B400,A400)</f>
        <v xml:space="preserve">Aquisição na participação societária </v>
      </c>
      <c r="Y400" s="118">
        <v>0</v>
      </c>
      <c r="Z400" s="118" t="s">
        <v>160</v>
      </c>
      <c r="AA400" s="118">
        <v>0</v>
      </c>
    </row>
    <row r="401" spans="1:27" x14ac:dyDescent="0.2">
      <c r="A401" s="532" t="s">
        <v>1976</v>
      </c>
      <c r="D401" s="129" t="str">
        <f>IF([1]RENAME!$H$3=1,B401,A401)</f>
        <v xml:space="preserve">Aumento na participação societária </v>
      </c>
      <c r="E401" s="118" t="s">
        <v>160</v>
      </c>
      <c r="F401" s="118" t="s">
        <v>160</v>
      </c>
      <c r="G401" s="118" t="s">
        <v>160</v>
      </c>
      <c r="H401" s="118" t="s">
        <v>160</v>
      </c>
      <c r="I401" s="118" t="s">
        <v>160</v>
      </c>
      <c r="J401" s="118" t="s">
        <v>160</v>
      </c>
      <c r="K401" s="118" t="s">
        <v>160</v>
      </c>
      <c r="L401" s="118" t="s">
        <v>160</v>
      </c>
      <c r="M401" s="118">
        <v>0</v>
      </c>
      <c r="N401" s="118" t="s">
        <v>160</v>
      </c>
      <c r="O401" s="118" t="s">
        <v>160</v>
      </c>
      <c r="P401" s="118">
        <v>0</v>
      </c>
      <c r="Q401" s="118">
        <v>0</v>
      </c>
      <c r="R401" s="118">
        <v>0</v>
      </c>
      <c r="S401" s="118">
        <v>0</v>
      </c>
      <c r="T401" s="118">
        <v>0</v>
      </c>
      <c r="U401" s="118">
        <v>0</v>
      </c>
      <c r="V401" s="118">
        <v>0</v>
      </c>
      <c r="W401" s="612"/>
      <c r="X401" s="129" t="str">
        <f>IF([1]RENAME!$H$3=1,B401,A401)</f>
        <v xml:space="preserve">Aumento na participação societária </v>
      </c>
      <c r="Y401" s="118">
        <v>0</v>
      </c>
      <c r="Z401" s="118">
        <v>0</v>
      </c>
      <c r="AA401" s="118">
        <v>0</v>
      </c>
    </row>
    <row r="402" spans="1:27" x14ac:dyDescent="0.2">
      <c r="A402" s="532" t="s">
        <v>1311</v>
      </c>
      <c r="B402" s="532" t="s">
        <v>1480</v>
      </c>
      <c r="D402" s="129" t="str">
        <f>IF([1]RENAME!$H$3=1,B402,A402)</f>
        <v>Reestruturação societária</v>
      </c>
      <c r="E402" s="118" t="s">
        <v>160</v>
      </c>
      <c r="F402" s="118" t="s">
        <v>160</v>
      </c>
      <c r="G402" s="118" t="s">
        <v>160</v>
      </c>
      <c r="H402" s="118" t="s">
        <v>160</v>
      </c>
      <c r="I402" s="118" t="s">
        <v>160</v>
      </c>
      <c r="J402" s="118" t="s">
        <v>160</v>
      </c>
      <c r="K402" s="118" t="s">
        <v>160</v>
      </c>
      <c r="L402" s="118" t="s">
        <v>160</v>
      </c>
      <c r="M402" s="118">
        <v>0</v>
      </c>
      <c r="N402" s="118" t="s">
        <v>160</v>
      </c>
      <c r="O402" s="118" t="s">
        <v>160</v>
      </c>
      <c r="P402" s="118">
        <v>0</v>
      </c>
      <c r="Q402" s="118">
        <v>0</v>
      </c>
      <c r="R402" s="118">
        <v>0</v>
      </c>
      <c r="S402" s="118">
        <v>0</v>
      </c>
      <c r="T402" s="118">
        <v>0</v>
      </c>
      <c r="U402" s="118">
        <v>0</v>
      </c>
      <c r="V402" s="118">
        <v>0</v>
      </c>
      <c r="W402" s="612"/>
      <c r="X402" s="129" t="str">
        <f>IF([1]RENAME!$H$3=1,B402,A402)</f>
        <v>Reestruturação societária</v>
      </c>
      <c r="Y402" s="118">
        <v>0</v>
      </c>
      <c r="Z402" s="118">
        <v>0</v>
      </c>
      <c r="AA402" s="118">
        <v>0</v>
      </c>
    </row>
    <row r="403" spans="1:27" x14ac:dyDescent="0.2">
      <c r="A403" s="532" t="s">
        <v>430</v>
      </c>
      <c r="B403" s="532" t="s">
        <v>648</v>
      </c>
      <c r="D403" s="129" t="str">
        <f>IF([1]RENAME!$H$3=1,B403,A403)</f>
        <v>Dividendos</v>
      </c>
      <c r="E403" s="118">
        <v>-21493</v>
      </c>
      <c r="F403" s="118">
        <v>-1569</v>
      </c>
      <c r="G403" s="118">
        <v>-3331</v>
      </c>
      <c r="H403" s="118" t="s">
        <v>160</v>
      </c>
      <c r="I403" s="118">
        <v>-5526</v>
      </c>
      <c r="J403" s="118">
        <v>-1178</v>
      </c>
      <c r="K403" s="118">
        <v>-23</v>
      </c>
      <c r="L403" s="118" t="s">
        <v>160</v>
      </c>
      <c r="M403" s="118">
        <v>0</v>
      </c>
      <c r="N403" s="118" t="s">
        <v>160</v>
      </c>
      <c r="O403" s="118" t="s">
        <v>160</v>
      </c>
      <c r="P403" s="118">
        <v>0</v>
      </c>
      <c r="Q403" s="118">
        <v>0</v>
      </c>
      <c r="R403" s="118">
        <v>0</v>
      </c>
      <c r="S403" s="118">
        <v>0</v>
      </c>
      <c r="T403" s="118">
        <v>0</v>
      </c>
      <c r="U403" s="118">
        <v>0</v>
      </c>
      <c r="V403" s="118">
        <v>-33120</v>
      </c>
      <c r="W403" s="612"/>
      <c r="X403" s="129" t="str">
        <f>IF([1]RENAME!$H$3=1,B403,A403)</f>
        <v>Dividendos</v>
      </c>
      <c r="Y403" s="118">
        <v>-5526</v>
      </c>
      <c r="Z403" s="118">
        <v>0</v>
      </c>
      <c r="AA403" s="118">
        <v>-5526</v>
      </c>
    </row>
    <row r="404" spans="1:27" x14ac:dyDescent="0.2">
      <c r="A404" s="532" t="s">
        <v>1412</v>
      </c>
      <c r="B404" s="532" t="s">
        <v>1413</v>
      </c>
      <c r="D404" s="129" t="str">
        <f>IF([1]RENAME!$H$3=1,B404,A404)</f>
        <v>Constituição/baixa ágio (GDL-TLI)</v>
      </c>
      <c r="E404" s="118" t="s">
        <v>160</v>
      </c>
      <c r="F404" s="118" t="s">
        <v>160</v>
      </c>
      <c r="G404" s="118" t="s">
        <v>160</v>
      </c>
      <c r="H404" s="118" t="s">
        <v>160</v>
      </c>
      <c r="I404" s="118" t="s">
        <v>160</v>
      </c>
      <c r="J404" s="118" t="s">
        <v>160</v>
      </c>
      <c r="K404" s="118" t="s">
        <v>160</v>
      </c>
      <c r="L404" s="118" t="s">
        <v>160</v>
      </c>
      <c r="M404" s="118">
        <v>0</v>
      </c>
      <c r="N404" s="118" t="s">
        <v>160</v>
      </c>
      <c r="O404" s="118" t="s">
        <v>160</v>
      </c>
      <c r="P404" s="118">
        <v>0</v>
      </c>
      <c r="Q404" s="118">
        <v>0</v>
      </c>
      <c r="R404" s="118">
        <v>0</v>
      </c>
      <c r="S404" s="118">
        <v>0</v>
      </c>
      <c r="T404" s="118">
        <v>0</v>
      </c>
      <c r="U404" s="118">
        <v>0</v>
      </c>
      <c r="V404" s="118">
        <v>0</v>
      </c>
      <c r="W404" s="612"/>
      <c r="X404" s="129" t="str">
        <f>IF([1]RENAME!$H$3=1,B404,A404)</f>
        <v>Constituição/baixa ágio (GDL-TLI)</v>
      </c>
      <c r="Y404" s="118">
        <v>0</v>
      </c>
      <c r="Z404" s="118">
        <v>0</v>
      </c>
      <c r="AA404" s="118">
        <v>0</v>
      </c>
    </row>
    <row r="405" spans="1:27" x14ac:dyDescent="0.2">
      <c r="A405" s="532" t="s">
        <v>49</v>
      </c>
      <c r="B405" s="532" t="s">
        <v>728</v>
      </c>
      <c r="D405" s="129" t="str">
        <f>IF([1]RENAME!$H$3=1,B405,A405)</f>
        <v>Outros</v>
      </c>
      <c r="E405" s="118" t="s">
        <v>160</v>
      </c>
      <c r="F405" s="118" t="s">
        <v>160</v>
      </c>
      <c r="G405" s="118" t="s">
        <v>160</v>
      </c>
      <c r="H405" s="118" t="s">
        <v>160</v>
      </c>
      <c r="I405" s="118" t="s">
        <v>160</v>
      </c>
      <c r="J405" s="118" t="s">
        <v>160</v>
      </c>
      <c r="K405" s="118" t="s">
        <v>160</v>
      </c>
      <c r="L405" s="118" t="s">
        <v>160</v>
      </c>
      <c r="M405" s="118">
        <v>0</v>
      </c>
      <c r="N405" s="118" t="s">
        <v>160</v>
      </c>
      <c r="O405" s="118" t="s">
        <v>160</v>
      </c>
      <c r="P405" s="118">
        <v>0</v>
      </c>
      <c r="Q405" s="118">
        <v>0</v>
      </c>
      <c r="R405" s="118">
        <v>0</v>
      </c>
      <c r="S405" s="118">
        <v>0</v>
      </c>
      <c r="T405" s="118">
        <v>0</v>
      </c>
      <c r="U405" s="118">
        <v>0</v>
      </c>
      <c r="V405" s="118">
        <v>0</v>
      </c>
      <c r="W405" s="612"/>
      <c r="X405" s="129" t="str">
        <f>IF([1]RENAME!$H$3=1,B405,A405)</f>
        <v>Outros</v>
      </c>
      <c r="Y405" s="118">
        <v>0</v>
      </c>
      <c r="Z405" s="118">
        <v>0</v>
      </c>
      <c r="AA405" s="118">
        <v>0</v>
      </c>
    </row>
    <row r="406" spans="1:27" x14ac:dyDescent="0.2">
      <c r="A406" s="532" t="s">
        <v>2268</v>
      </c>
      <c r="B406" s="532" t="s">
        <v>2269</v>
      </c>
      <c r="D406" s="126" t="str">
        <f>IF([1]RENAME!$H$3=1,B406,A406)</f>
        <v>Em 30 de junho de 2025</v>
      </c>
      <c r="E406" s="120">
        <f>SUM(E394:E405)</f>
        <v>61945</v>
      </c>
      <c r="F406" s="120">
        <f t="shared" ref="F406:V406" si="80">SUM(F394:F405)</f>
        <v>35453</v>
      </c>
      <c r="G406" s="120">
        <f t="shared" si="80"/>
        <v>133680</v>
      </c>
      <c r="H406" s="120">
        <f t="shared" si="80"/>
        <v>15029</v>
      </c>
      <c r="I406" s="120">
        <f t="shared" si="80"/>
        <v>56858</v>
      </c>
      <c r="J406" s="120">
        <f t="shared" si="80"/>
        <v>26244</v>
      </c>
      <c r="K406" s="120">
        <f t="shared" si="80"/>
        <v>1452</v>
      </c>
      <c r="L406" s="120">
        <f t="shared" si="80"/>
        <v>0</v>
      </c>
      <c r="M406" s="120">
        <f t="shared" si="80"/>
        <v>0</v>
      </c>
      <c r="N406" s="120">
        <f t="shared" si="80"/>
        <v>0</v>
      </c>
      <c r="O406" s="120">
        <f t="shared" si="80"/>
        <v>0</v>
      </c>
      <c r="P406" s="120">
        <f t="shared" si="80"/>
        <v>0</v>
      </c>
      <c r="Q406" s="120">
        <f t="shared" si="80"/>
        <v>0</v>
      </c>
      <c r="R406" s="120">
        <f t="shared" si="80"/>
        <v>0</v>
      </c>
      <c r="S406" s="120">
        <f t="shared" si="80"/>
        <v>0</v>
      </c>
      <c r="T406" s="120">
        <f t="shared" si="80"/>
        <v>0</v>
      </c>
      <c r="U406" s="120">
        <f t="shared" si="80"/>
        <v>0</v>
      </c>
      <c r="V406" s="120">
        <f t="shared" si="80"/>
        <v>330661</v>
      </c>
      <c r="W406" s="612"/>
      <c r="X406" s="126" t="str">
        <f>IF([1]RENAME!$H$3=1,B406,A406)</f>
        <v>Em 30 de junho de 2025</v>
      </c>
      <c r="Y406" s="120">
        <f>SUM(Y394:Y405)</f>
        <v>56857</v>
      </c>
      <c r="Z406" s="120">
        <f>SUM(Z394:Z405)</f>
        <v>14322</v>
      </c>
      <c r="AA406" s="120">
        <f>SUM(AA394:AA405)</f>
        <v>71179</v>
      </c>
    </row>
    <row r="408" spans="1:27" x14ac:dyDescent="0.2">
      <c r="A408" s="532" t="s">
        <v>225</v>
      </c>
      <c r="B408" s="532" t="s">
        <v>760</v>
      </c>
      <c r="D408" s="129" t="str">
        <f>IF([1]RENAME!$H$3=1,B408,A408)</f>
        <v>Equivalência patrimonial</v>
      </c>
      <c r="E408" s="118">
        <v>-794</v>
      </c>
      <c r="F408" s="118">
        <v>1808</v>
      </c>
      <c r="G408" s="118">
        <v>1045</v>
      </c>
      <c r="H408" s="118">
        <v>-374</v>
      </c>
      <c r="I408" s="118">
        <v>7762</v>
      </c>
      <c r="J408" s="118">
        <v>2205</v>
      </c>
      <c r="K408" s="118">
        <v>68</v>
      </c>
      <c r="L408" s="118" t="s">
        <v>160</v>
      </c>
      <c r="M408" s="118">
        <v>0</v>
      </c>
      <c r="N408" s="118" t="s">
        <v>160</v>
      </c>
      <c r="O408" s="118" t="s">
        <v>160</v>
      </c>
      <c r="P408" s="118" t="s">
        <v>160</v>
      </c>
      <c r="Q408" s="118">
        <v>0</v>
      </c>
      <c r="R408" s="118">
        <v>0</v>
      </c>
      <c r="S408" s="118">
        <v>0</v>
      </c>
      <c r="T408" s="118">
        <v>0</v>
      </c>
      <c r="U408" s="118">
        <v>0</v>
      </c>
      <c r="V408" s="118">
        <v>11720</v>
      </c>
      <c r="W408" s="612" t="s">
        <v>2139</v>
      </c>
      <c r="X408" s="129" t="str">
        <f>IF([1]RENAME!$H$3=1,B408,A408)</f>
        <v>Equivalência patrimonial</v>
      </c>
      <c r="Y408" s="118">
        <v>7762</v>
      </c>
      <c r="Z408" s="118">
        <v>-387</v>
      </c>
      <c r="AA408" s="118">
        <v>7375</v>
      </c>
    </row>
    <row r="409" spans="1:27" x14ac:dyDescent="0.2">
      <c r="A409" s="532" t="s">
        <v>1833</v>
      </c>
      <c r="B409" s="532" t="s">
        <v>1834</v>
      </c>
      <c r="D409" s="129" t="str">
        <f>IF([1]RENAME!$H$3=1,B409,A409)</f>
        <v>Constituição de controlada</v>
      </c>
      <c r="E409" s="118" t="s">
        <v>160</v>
      </c>
      <c r="F409" s="118" t="s">
        <v>160</v>
      </c>
      <c r="G409" s="118" t="s">
        <v>160</v>
      </c>
      <c r="H409" s="118" t="s">
        <v>160</v>
      </c>
      <c r="I409" s="118" t="s">
        <v>160</v>
      </c>
      <c r="J409" s="118" t="s">
        <v>160</v>
      </c>
      <c r="K409" s="118" t="s">
        <v>160</v>
      </c>
      <c r="L409" s="118" t="s">
        <v>160</v>
      </c>
      <c r="M409" s="118">
        <v>0</v>
      </c>
      <c r="N409" s="118" t="s">
        <v>160</v>
      </c>
      <c r="O409" s="118" t="s">
        <v>160</v>
      </c>
      <c r="P409" s="118">
        <v>0</v>
      </c>
      <c r="Q409" s="118">
        <v>0</v>
      </c>
      <c r="R409" s="118">
        <v>0</v>
      </c>
      <c r="S409" s="118">
        <v>0</v>
      </c>
      <c r="T409" s="118">
        <v>0</v>
      </c>
      <c r="U409" s="118">
        <v>0</v>
      </c>
      <c r="V409" s="118">
        <v>0</v>
      </c>
      <c r="W409" s="612"/>
      <c r="X409" s="129" t="str">
        <f>IF([1]RENAME!$H$3=1,B409,A409)</f>
        <v>Constituição de controlada</v>
      </c>
      <c r="Y409" s="118">
        <v>0</v>
      </c>
      <c r="Z409" s="118">
        <v>0</v>
      </c>
      <c r="AA409" s="118">
        <v>0</v>
      </c>
    </row>
    <row r="410" spans="1:27" x14ac:dyDescent="0.2">
      <c r="A410" s="532" t="s">
        <v>2182</v>
      </c>
      <c r="B410" s="532" t="s">
        <v>2183</v>
      </c>
      <c r="D410" s="129" t="str">
        <f>IF([1]RENAME!$H$3=1,B410,A410)</f>
        <v>Alteração de participação societária</v>
      </c>
      <c r="E410" s="118" t="s">
        <v>160</v>
      </c>
      <c r="F410" s="118" t="s">
        <v>160</v>
      </c>
      <c r="G410" s="118" t="s">
        <v>160</v>
      </c>
      <c r="H410" s="118" t="s">
        <v>160</v>
      </c>
      <c r="I410" s="118" t="s">
        <v>160</v>
      </c>
      <c r="J410" s="118">
        <v>0</v>
      </c>
      <c r="K410" s="118" t="s">
        <v>160</v>
      </c>
      <c r="L410" s="118" t="s">
        <v>160</v>
      </c>
      <c r="M410" s="118" t="s">
        <v>160</v>
      </c>
      <c r="N410" s="118" t="s">
        <v>160</v>
      </c>
      <c r="O410" s="118" t="s">
        <v>160</v>
      </c>
      <c r="P410" s="118" t="s">
        <v>160</v>
      </c>
      <c r="Q410" s="118" t="s">
        <v>160</v>
      </c>
      <c r="R410" s="118" t="s">
        <v>160</v>
      </c>
      <c r="S410" s="118" t="s">
        <v>160</v>
      </c>
      <c r="T410" s="118" t="s">
        <v>160</v>
      </c>
      <c r="U410" s="118" t="s">
        <v>160</v>
      </c>
      <c r="V410" s="118">
        <v>0</v>
      </c>
      <c r="W410" s="612"/>
      <c r="X410" s="129" t="str">
        <f>IF([1]RENAME!$H$3=1,B410,A410)</f>
        <v>Alteração de participação societária</v>
      </c>
      <c r="Y410" s="118">
        <v>0</v>
      </c>
      <c r="Z410" s="118">
        <v>0</v>
      </c>
      <c r="AA410" s="118">
        <v>0</v>
      </c>
    </row>
    <row r="411" spans="1:27" x14ac:dyDescent="0.2">
      <c r="A411" s="532" t="s">
        <v>1831</v>
      </c>
      <c r="B411" s="532" t="s">
        <v>1832</v>
      </c>
      <c r="D411" s="129" t="str">
        <f>IF([1]RENAME!$H$3=1,B411,A411)</f>
        <v>Aumento (Redução) de capital</v>
      </c>
      <c r="E411" s="118" t="s">
        <v>160</v>
      </c>
      <c r="F411" s="118" t="s">
        <v>160</v>
      </c>
      <c r="G411" s="118" t="s">
        <v>160</v>
      </c>
      <c r="H411" s="118" t="s">
        <v>160</v>
      </c>
      <c r="I411" s="118">
        <v>0</v>
      </c>
      <c r="J411" s="118">
        <v>0</v>
      </c>
      <c r="K411" s="118" t="s">
        <v>160</v>
      </c>
      <c r="L411" s="118" t="s">
        <v>160</v>
      </c>
      <c r="M411" s="118">
        <v>0</v>
      </c>
      <c r="N411" s="118" t="s">
        <v>160</v>
      </c>
      <c r="O411" s="118" t="s">
        <v>160</v>
      </c>
      <c r="P411" s="118">
        <v>0</v>
      </c>
      <c r="Q411" s="118">
        <v>0</v>
      </c>
      <c r="R411" s="118">
        <v>0</v>
      </c>
      <c r="S411" s="118">
        <v>0</v>
      </c>
      <c r="T411" s="118">
        <v>0</v>
      </c>
      <c r="U411" s="118">
        <v>0</v>
      </c>
      <c r="V411" s="118">
        <v>0</v>
      </c>
      <c r="W411" s="612"/>
      <c r="X411" s="129" t="str">
        <f>IF([1]RENAME!$H$3=1,B411,A411)</f>
        <v>Aumento (Redução) de capital</v>
      </c>
      <c r="Y411" s="118">
        <v>0</v>
      </c>
      <c r="Z411" s="118">
        <v>0</v>
      </c>
      <c r="AA411" s="118">
        <v>0</v>
      </c>
    </row>
    <row r="412" spans="1:27" x14ac:dyDescent="0.2">
      <c r="A412" s="532" t="s">
        <v>2210</v>
      </c>
      <c r="B412" s="532" t="s">
        <v>2211</v>
      </c>
      <c r="D412" s="129" t="str">
        <f>IF([1]RENAME!$H$3=1,B412,A412)</f>
        <v xml:space="preserve">Aquisição na participação societária </v>
      </c>
      <c r="E412" s="118" t="s">
        <v>160</v>
      </c>
      <c r="F412" s="118" t="s">
        <v>160</v>
      </c>
      <c r="G412" s="118" t="s">
        <v>160</v>
      </c>
      <c r="H412" s="118" t="s">
        <v>160</v>
      </c>
      <c r="I412" s="118" t="s">
        <v>160</v>
      </c>
      <c r="J412" s="118" t="s">
        <v>160</v>
      </c>
      <c r="K412" s="118" t="s">
        <v>160</v>
      </c>
      <c r="L412" s="118" t="s">
        <v>160</v>
      </c>
      <c r="M412" s="118" t="s">
        <v>160</v>
      </c>
      <c r="N412" s="118" t="s">
        <v>160</v>
      </c>
      <c r="O412" s="118" t="s">
        <v>160</v>
      </c>
      <c r="P412" s="118" t="s">
        <v>160</v>
      </c>
      <c r="Q412" s="118" t="s">
        <v>160</v>
      </c>
      <c r="R412" s="118" t="s">
        <v>160</v>
      </c>
      <c r="S412" s="118" t="s">
        <v>160</v>
      </c>
      <c r="T412" s="118" t="s">
        <v>160</v>
      </c>
      <c r="U412" s="118" t="s">
        <v>160</v>
      </c>
      <c r="V412" s="118">
        <v>0</v>
      </c>
      <c r="W412" s="612"/>
      <c r="X412" s="129" t="str">
        <f>IF([1]RENAME!$H$3=1,B412,A412)</f>
        <v xml:space="preserve">Aquisição na participação societária </v>
      </c>
      <c r="Y412" s="118">
        <v>0</v>
      </c>
      <c r="Z412" s="118" t="s">
        <v>160</v>
      </c>
      <c r="AA412" s="118">
        <v>0</v>
      </c>
    </row>
    <row r="413" spans="1:27" x14ac:dyDescent="0.2">
      <c r="A413" s="532" t="s">
        <v>1976</v>
      </c>
      <c r="D413" s="129" t="str">
        <f>IF([1]RENAME!$H$3=1,B413,A413)</f>
        <v xml:space="preserve">Aumento na participação societária </v>
      </c>
      <c r="E413" s="118" t="s">
        <v>160</v>
      </c>
      <c r="F413" s="118" t="s">
        <v>160</v>
      </c>
      <c r="G413" s="118" t="s">
        <v>160</v>
      </c>
      <c r="H413" s="118" t="s">
        <v>160</v>
      </c>
      <c r="I413" s="118" t="s">
        <v>160</v>
      </c>
      <c r="J413" s="118" t="s">
        <v>160</v>
      </c>
      <c r="K413" s="118" t="s">
        <v>160</v>
      </c>
      <c r="L413" s="118" t="s">
        <v>160</v>
      </c>
      <c r="M413" s="118">
        <v>0</v>
      </c>
      <c r="N413" s="118" t="s">
        <v>160</v>
      </c>
      <c r="O413" s="118" t="s">
        <v>160</v>
      </c>
      <c r="P413" s="118">
        <v>0</v>
      </c>
      <c r="Q413" s="118">
        <v>0</v>
      </c>
      <c r="R413" s="118">
        <v>0</v>
      </c>
      <c r="S413" s="118">
        <v>0</v>
      </c>
      <c r="T413" s="118">
        <v>0</v>
      </c>
      <c r="U413" s="118">
        <v>0</v>
      </c>
      <c r="V413" s="118">
        <v>0</v>
      </c>
      <c r="W413" s="612"/>
      <c r="X413" s="129" t="str">
        <f>IF([1]RENAME!$H$3=1,B413,A413)</f>
        <v xml:space="preserve">Aumento na participação societária </v>
      </c>
      <c r="Y413" s="118">
        <v>0</v>
      </c>
      <c r="Z413" s="118">
        <v>0</v>
      </c>
      <c r="AA413" s="118">
        <v>0</v>
      </c>
    </row>
    <row r="414" spans="1:27" x14ac:dyDescent="0.2">
      <c r="A414" s="532" t="s">
        <v>1311</v>
      </c>
      <c r="B414" s="532" t="s">
        <v>1480</v>
      </c>
      <c r="D414" s="129" t="str">
        <f>IF([1]RENAME!$H$3=1,B414,A414)</f>
        <v>Reestruturação societária</v>
      </c>
      <c r="E414" s="118" t="s">
        <v>160</v>
      </c>
      <c r="F414" s="118" t="s">
        <v>160</v>
      </c>
      <c r="G414" s="118" t="s">
        <v>160</v>
      </c>
      <c r="H414" s="118" t="s">
        <v>160</v>
      </c>
      <c r="I414" s="118" t="s">
        <v>160</v>
      </c>
      <c r="J414" s="118" t="s">
        <v>160</v>
      </c>
      <c r="K414" s="118" t="s">
        <v>160</v>
      </c>
      <c r="L414" s="118" t="s">
        <v>160</v>
      </c>
      <c r="M414" s="118">
        <v>0</v>
      </c>
      <c r="N414" s="118" t="s">
        <v>160</v>
      </c>
      <c r="O414" s="118" t="s">
        <v>160</v>
      </c>
      <c r="P414" s="118">
        <v>0</v>
      </c>
      <c r="Q414" s="118">
        <v>0</v>
      </c>
      <c r="R414" s="118">
        <v>0</v>
      </c>
      <c r="S414" s="118">
        <v>0</v>
      </c>
      <c r="T414" s="118">
        <v>0</v>
      </c>
      <c r="U414" s="118">
        <v>0</v>
      </c>
      <c r="V414" s="118">
        <v>0</v>
      </c>
      <c r="W414" s="612"/>
      <c r="X414" s="129" t="str">
        <f>IF([1]RENAME!$H$3=1,B414,A414)</f>
        <v>Reestruturação societária</v>
      </c>
      <c r="Y414" s="118">
        <v>0</v>
      </c>
      <c r="Z414" s="118">
        <v>0</v>
      </c>
      <c r="AA414" s="118">
        <v>0</v>
      </c>
    </row>
    <row r="415" spans="1:27" x14ac:dyDescent="0.2">
      <c r="A415" s="532" t="s">
        <v>430</v>
      </c>
      <c r="B415" s="532" t="s">
        <v>648</v>
      </c>
      <c r="D415" s="129" t="str">
        <f>IF([1]RENAME!$H$3=1,B415,A415)</f>
        <v>Dividendos</v>
      </c>
      <c r="E415" s="118">
        <v>0</v>
      </c>
      <c r="F415" s="118">
        <v>0</v>
      </c>
      <c r="G415" s="118">
        <v>1</v>
      </c>
      <c r="H415" s="118" t="s">
        <v>160</v>
      </c>
      <c r="I415" s="118">
        <v>-4750</v>
      </c>
      <c r="J415" s="118">
        <v>0</v>
      </c>
      <c r="K415" s="118">
        <v>0</v>
      </c>
      <c r="L415" s="118" t="s">
        <v>160</v>
      </c>
      <c r="M415" s="118">
        <v>0</v>
      </c>
      <c r="N415" s="118" t="s">
        <v>160</v>
      </c>
      <c r="O415" s="118" t="s">
        <v>160</v>
      </c>
      <c r="P415" s="118">
        <v>0</v>
      </c>
      <c r="Q415" s="118">
        <v>0</v>
      </c>
      <c r="R415" s="118">
        <v>0</v>
      </c>
      <c r="S415" s="118">
        <v>0</v>
      </c>
      <c r="T415" s="118">
        <v>0</v>
      </c>
      <c r="U415" s="118">
        <v>0</v>
      </c>
      <c r="V415" s="118">
        <v>-4749</v>
      </c>
      <c r="W415" s="612"/>
      <c r="X415" s="129" t="str">
        <f>IF([1]RENAME!$H$3=1,B415,A415)</f>
        <v>Dividendos</v>
      </c>
      <c r="Y415" s="118">
        <v>-4750</v>
      </c>
      <c r="Z415" s="118">
        <v>0</v>
      </c>
      <c r="AA415" s="118">
        <v>-4750</v>
      </c>
    </row>
    <row r="416" spans="1:27" x14ac:dyDescent="0.2">
      <c r="A416" s="532" t="s">
        <v>1412</v>
      </c>
      <c r="B416" s="532" t="s">
        <v>1413</v>
      </c>
      <c r="D416" s="129" t="str">
        <f>IF([1]RENAME!$H$3=1,B416,A416)</f>
        <v>Constituição/baixa ágio (GDL-TLI)</v>
      </c>
      <c r="E416" s="118" t="s">
        <v>160</v>
      </c>
      <c r="F416" s="118" t="s">
        <v>160</v>
      </c>
      <c r="G416" s="118" t="s">
        <v>160</v>
      </c>
      <c r="H416" s="118" t="s">
        <v>160</v>
      </c>
      <c r="I416" s="118" t="s">
        <v>160</v>
      </c>
      <c r="J416" s="118" t="s">
        <v>160</v>
      </c>
      <c r="K416" s="118" t="s">
        <v>160</v>
      </c>
      <c r="L416" s="118" t="s">
        <v>160</v>
      </c>
      <c r="M416" s="118">
        <v>0</v>
      </c>
      <c r="N416" s="118" t="s">
        <v>160</v>
      </c>
      <c r="O416" s="118" t="s">
        <v>160</v>
      </c>
      <c r="P416" s="118">
        <v>0</v>
      </c>
      <c r="Q416" s="118">
        <v>0</v>
      </c>
      <c r="R416" s="118">
        <v>0</v>
      </c>
      <c r="S416" s="118">
        <v>0</v>
      </c>
      <c r="T416" s="118">
        <v>0</v>
      </c>
      <c r="U416" s="118">
        <v>0</v>
      </c>
      <c r="V416" s="118">
        <v>0</v>
      </c>
      <c r="W416" s="612"/>
      <c r="X416" s="129" t="str">
        <f>IF([1]RENAME!$H$3=1,B416,A416)</f>
        <v>Constituição/baixa ágio (GDL-TLI)</v>
      </c>
      <c r="Y416" s="118">
        <v>0</v>
      </c>
      <c r="Z416" s="118">
        <v>0</v>
      </c>
      <c r="AA416" s="118">
        <v>0</v>
      </c>
    </row>
    <row r="417" spans="1:27" x14ac:dyDescent="0.2">
      <c r="A417" s="532" t="s">
        <v>49</v>
      </c>
      <c r="B417" s="532" t="s">
        <v>728</v>
      </c>
      <c r="D417" s="129" t="str">
        <f>IF([1]RENAME!$H$3=1,B417,A417)</f>
        <v>Outros</v>
      </c>
      <c r="E417" s="118" t="s">
        <v>160</v>
      </c>
      <c r="F417" s="118" t="s">
        <v>160</v>
      </c>
      <c r="G417" s="118" t="s">
        <v>160</v>
      </c>
      <c r="H417" s="118" t="s">
        <v>160</v>
      </c>
      <c r="I417" s="118" t="s">
        <v>160</v>
      </c>
      <c r="J417" s="118" t="s">
        <v>160</v>
      </c>
      <c r="K417" s="118" t="s">
        <v>160</v>
      </c>
      <c r="L417" s="118" t="s">
        <v>160</v>
      </c>
      <c r="M417" s="118">
        <v>0</v>
      </c>
      <c r="N417" s="118" t="s">
        <v>160</v>
      </c>
      <c r="O417" s="118" t="s">
        <v>160</v>
      </c>
      <c r="P417" s="118">
        <v>0</v>
      </c>
      <c r="Q417" s="118">
        <v>0</v>
      </c>
      <c r="R417" s="118">
        <v>0</v>
      </c>
      <c r="S417" s="118">
        <v>0</v>
      </c>
      <c r="T417" s="118">
        <v>0</v>
      </c>
      <c r="U417" s="118">
        <v>0</v>
      </c>
      <c r="V417" s="118">
        <v>0</v>
      </c>
      <c r="W417" s="612"/>
      <c r="X417" s="129" t="str">
        <f>IF([1]RENAME!$H$3=1,B417,A417)</f>
        <v>Outros</v>
      </c>
      <c r="Y417" s="118">
        <v>0</v>
      </c>
      <c r="Z417" s="118">
        <v>0</v>
      </c>
      <c r="AA417" s="118">
        <v>0</v>
      </c>
    </row>
    <row r="418" spans="1:27" x14ac:dyDescent="0.2">
      <c r="A418" s="532" t="s">
        <v>2279</v>
      </c>
      <c r="B418" s="532" t="s">
        <v>2280</v>
      </c>
      <c r="D418" s="126" t="str">
        <f>IF([1]RENAME!$H$3=1,B418,A418)</f>
        <v>Em 30 de setembro de 2025</v>
      </c>
      <c r="E418" s="120">
        <f>SUM(E406:E417)</f>
        <v>61151</v>
      </c>
      <c r="F418" s="120">
        <f t="shared" ref="F418:V418" si="81">SUM(F406:F417)</f>
        <v>37261</v>
      </c>
      <c r="G418" s="120">
        <f t="shared" si="81"/>
        <v>134726</v>
      </c>
      <c r="H418" s="120">
        <f t="shared" si="81"/>
        <v>14655</v>
      </c>
      <c r="I418" s="120">
        <f t="shared" si="81"/>
        <v>59870</v>
      </c>
      <c r="J418" s="120">
        <f t="shared" si="81"/>
        <v>28449</v>
      </c>
      <c r="K418" s="120">
        <f t="shared" si="81"/>
        <v>1520</v>
      </c>
      <c r="L418" s="120">
        <f t="shared" si="81"/>
        <v>0</v>
      </c>
      <c r="M418" s="120">
        <f t="shared" si="81"/>
        <v>0</v>
      </c>
      <c r="N418" s="120">
        <f t="shared" si="81"/>
        <v>0</v>
      </c>
      <c r="O418" s="120">
        <f t="shared" si="81"/>
        <v>0</v>
      </c>
      <c r="P418" s="120">
        <f t="shared" si="81"/>
        <v>0</v>
      </c>
      <c r="Q418" s="120">
        <f t="shared" si="81"/>
        <v>0</v>
      </c>
      <c r="R418" s="120">
        <f t="shared" si="81"/>
        <v>0</v>
      </c>
      <c r="S418" s="120">
        <f t="shared" si="81"/>
        <v>0</v>
      </c>
      <c r="T418" s="120">
        <f t="shared" si="81"/>
        <v>0</v>
      </c>
      <c r="U418" s="120">
        <f t="shared" si="81"/>
        <v>0</v>
      </c>
      <c r="V418" s="120">
        <f t="shared" si="81"/>
        <v>337632</v>
      </c>
      <c r="W418" s="612"/>
      <c r="X418" s="126" t="str">
        <f>IF([1]RENAME!$H$3=1,B418,A418)</f>
        <v>Em 30 de setembro de 2025</v>
      </c>
      <c r="Y418" s="120">
        <f>SUM(Y406:Y417)</f>
        <v>59869</v>
      </c>
      <c r="Z418" s="120">
        <f>SUM(Z406:Z417)</f>
        <v>13935</v>
      </c>
      <c r="AA418" s="120">
        <f>SUM(AA406:AA417)</f>
        <v>73804</v>
      </c>
    </row>
    <row r="419" spans="1:27" x14ac:dyDescent="0.2">
      <c r="L419"/>
      <c r="M419"/>
      <c r="N419"/>
      <c r="O419"/>
      <c r="P419"/>
      <c r="Q419"/>
      <c r="R419"/>
      <c r="S419"/>
      <c r="T419"/>
      <c r="U419"/>
    </row>
    <row r="420" spans="1:27" x14ac:dyDescent="0.2">
      <c r="A420" s="532" t="s">
        <v>225</v>
      </c>
      <c r="B420" s="532" t="s">
        <v>760</v>
      </c>
      <c r="D420" s="129" t="str">
        <f>IF([1]RENAME!$H$3=1,B420,A420)</f>
        <v>Equivalência patrimonial</v>
      </c>
      <c r="E420" s="118">
        <v>-2008</v>
      </c>
      <c r="F420" s="118">
        <v>2176</v>
      </c>
      <c r="G420" s="118">
        <v>722</v>
      </c>
      <c r="H420" s="118">
        <v>-196</v>
      </c>
      <c r="I420" s="118">
        <v>4394</v>
      </c>
      <c r="J420" s="118">
        <v>612</v>
      </c>
      <c r="K420" s="118">
        <v>28</v>
      </c>
      <c r="L420" s="118" t="s">
        <v>160</v>
      </c>
      <c r="M420" s="118">
        <v>0</v>
      </c>
      <c r="N420" s="118" t="s">
        <v>160</v>
      </c>
      <c r="O420" s="118" t="s">
        <v>160</v>
      </c>
      <c r="P420" s="118" t="s">
        <v>160</v>
      </c>
      <c r="Q420" s="118">
        <v>0</v>
      </c>
      <c r="R420" s="118">
        <v>0</v>
      </c>
      <c r="S420" s="118">
        <v>0</v>
      </c>
      <c r="T420" s="118">
        <v>0</v>
      </c>
      <c r="U420" s="118">
        <v>0</v>
      </c>
      <c r="V420" s="118">
        <v>5728</v>
      </c>
      <c r="W420" s="612" t="s">
        <v>2139</v>
      </c>
      <c r="X420" s="129" t="str">
        <f>IF([1]RENAME!$H$3=1,B420,A420)</f>
        <v>Equivalência patrimonial</v>
      </c>
      <c r="Y420" s="118">
        <v>4394</v>
      </c>
      <c r="Z420" s="118">
        <v>-206</v>
      </c>
      <c r="AA420" s="118">
        <v>4187</v>
      </c>
    </row>
    <row r="421" spans="1:27" x14ac:dyDescent="0.2">
      <c r="A421" s="532" t="s">
        <v>1833</v>
      </c>
      <c r="B421" s="532" t="s">
        <v>1834</v>
      </c>
      <c r="D421" s="129" t="str">
        <f>IF([1]RENAME!$H$3=1,B421,A421)</f>
        <v>Constituição de controlada</v>
      </c>
      <c r="E421" s="118" t="s">
        <v>160</v>
      </c>
      <c r="F421" s="118" t="s">
        <v>160</v>
      </c>
      <c r="G421" s="118" t="s">
        <v>160</v>
      </c>
      <c r="H421" s="118" t="s">
        <v>160</v>
      </c>
      <c r="I421" s="118" t="s">
        <v>160</v>
      </c>
      <c r="J421" s="118" t="s">
        <v>160</v>
      </c>
      <c r="K421" s="118" t="s">
        <v>160</v>
      </c>
      <c r="L421" s="118" t="s">
        <v>160</v>
      </c>
      <c r="M421" s="118">
        <v>0</v>
      </c>
      <c r="N421" s="118" t="s">
        <v>160</v>
      </c>
      <c r="O421" s="118" t="s">
        <v>160</v>
      </c>
      <c r="P421" s="118">
        <v>0</v>
      </c>
      <c r="Q421" s="118">
        <v>0</v>
      </c>
      <c r="R421" s="118">
        <v>0</v>
      </c>
      <c r="S421" s="118">
        <v>0</v>
      </c>
      <c r="T421" s="118">
        <v>0</v>
      </c>
      <c r="U421" s="118">
        <v>0</v>
      </c>
      <c r="V421" s="118">
        <v>0</v>
      </c>
      <c r="W421" s="612"/>
      <c r="X421" s="129" t="str">
        <f>IF([1]RENAME!$H$3=1,B421,A421)</f>
        <v>Constituição de controlada</v>
      </c>
      <c r="Y421" s="118">
        <v>0</v>
      </c>
      <c r="Z421" s="118">
        <v>0</v>
      </c>
      <c r="AA421" s="118">
        <v>0</v>
      </c>
    </row>
    <row r="422" spans="1:27" x14ac:dyDescent="0.2">
      <c r="A422" s="532" t="s">
        <v>2182</v>
      </c>
      <c r="B422" s="532" t="s">
        <v>2183</v>
      </c>
      <c r="D422" s="129" t="str">
        <f>IF([1]RENAME!$H$3=1,B422,A422)</f>
        <v>Alteração de participação societária</v>
      </c>
      <c r="E422" s="118" t="s">
        <v>160</v>
      </c>
      <c r="F422" s="118" t="s">
        <v>160</v>
      </c>
      <c r="G422" s="118" t="s">
        <v>160</v>
      </c>
      <c r="H422" s="118" t="s">
        <v>160</v>
      </c>
      <c r="I422" s="118" t="s">
        <v>160</v>
      </c>
      <c r="J422" s="118">
        <v>0</v>
      </c>
      <c r="K422" s="118" t="s">
        <v>160</v>
      </c>
      <c r="L422" s="118" t="s">
        <v>160</v>
      </c>
      <c r="M422" s="118" t="s">
        <v>160</v>
      </c>
      <c r="N422" s="118" t="s">
        <v>160</v>
      </c>
      <c r="O422" s="118" t="s">
        <v>160</v>
      </c>
      <c r="P422" s="118" t="s">
        <v>160</v>
      </c>
      <c r="Q422" s="118" t="s">
        <v>160</v>
      </c>
      <c r="R422" s="118" t="s">
        <v>160</v>
      </c>
      <c r="S422" s="118" t="s">
        <v>160</v>
      </c>
      <c r="T422" s="118" t="s">
        <v>160</v>
      </c>
      <c r="U422" s="118" t="s">
        <v>160</v>
      </c>
      <c r="V422" s="118">
        <v>0</v>
      </c>
      <c r="W422" s="612"/>
      <c r="X422" s="129" t="str">
        <f>IF([1]RENAME!$H$3=1,B422,A422)</f>
        <v>Alteração de participação societária</v>
      </c>
      <c r="Y422" s="118">
        <v>0</v>
      </c>
      <c r="Z422" s="118">
        <v>0</v>
      </c>
      <c r="AA422" s="118">
        <v>0</v>
      </c>
    </row>
    <row r="423" spans="1:27" x14ac:dyDescent="0.2">
      <c r="A423" s="532" t="s">
        <v>1831</v>
      </c>
      <c r="B423" s="532" t="s">
        <v>1832</v>
      </c>
      <c r="D423" s="129" t="str">
        <f>IF([1]RENAME!$H$3=1,B423,A423)</f>
        <v>Aumento (Redução) de capital</v>
      </c>
      <c r="E423" s="118" t="s">
        <v>160</v>
      </c>
      <c r="F423" s="118" t="s">
        <v>160</v>
      </c>
      <c r="G423" s="118" t="s">
        <v>160</v>
      </c>
      <c r="H423" s="118" t="s">
        <v>160</v>
      </c>
      <c r="I423" s="118">
        <v>0</v>
      </c>
      <c r="J423" s="118">
        <v>0</v>
      </c>
      <c r="K423" s="118" t="s">
        <v>160</v>
      </c>
      <c r="L423" s="118" t="s">
        <v>160</v>
      </c>
      <c r="M423" s="118">
        <v>0</v>
      </c>
      <c r="N423" s="118" t="s">
        <v>160</v>
      </c>
      <c r="O423" s="118" t="s">
        <v>160</v>
      </c>
      <c r="P423" s="118">
        <v>0</v>
      </c>
      <c r="Q423" s="118">
        <v>0</v>
      </c>
      <c r="R423" s="118">
        <v>0</v>
      </c>
      <c r="S423" s="118">
        <v>0</v>
      </c>
      <c r="T423" s="118">
        <v>0</v>
      </c>
      <c r="U423" s="118">
        <v>0</v>
      </c>
      <c r="V423" s="118">
        <v>0</v>
      </c>
      <c r="W423" s="612"/>
      <c r="X423" s="129" t="str">
        <f>IF([1]RENAME!$H$3=1,B423,A423)</f>
        <v>Aumento (Redução) de capital</v>
      </c>
      <c r="Y423" s="118">
        <v>0</v>
      </c>
      <c r="Z423" s="118">
        <v>0</v>
      </c>
      <c r="AA423" s="118">
        <v>0</v>
      </c>
    </row>
    <row r="424" spans="1:27" x14ac:dyDescent="0.2">
      <c r="A424" s="532" t="s">
        <v>2210</v>
      </c>
      <c r="B424" s="532" t="s">
        <v>2211</v>
      </c>
      <c r="D424" s="129" t="str">
        <f>IF([1]RENAME!$H$3=1,B424,A424)</f>
        <v xml:space="preserve">Aquisição na participação societária </v>
      </c>
      <c r="E424" s="118" t="s">
        <v>160</v>
      </c>
      <c r="F424" s="118" t="s">
        <v>160</v>
      </c>
      <c r="G424" s="118" t="s">
        <v>160</v>
      </c>
      <c r="H424" s="118" t="s">
        <v>160</v>
      </c>
      <c r="I424" s="118" t="s">
        <v>160</v>
      </c>
      <c r="J424" s="118" t="s">
        <v>160</v>
      </c>
      <c r="K424" s="118" t="s">
        <v>160</v>
      </c>
      <c r="L424" s="118" t="s">
        <v>160</v>
      </c>
      <c r="M424" s="118" t="s">
        <v>160</v>
      </c>
      <c r="N424" s="118" t="s">
        <v>160</v>
      </c>
      <c r="O424" s="118" t="s">
        <v>160</v>
      </c>
      <c r="P424" s="118" t="s">
        <v>160</v>
      </c>
      <c r="Q424" s="118" t="s">
        <v>160</v>
      </c>
      <c r="R424" s="118" t="s">
        <v>160</v>
      </c>
      <c r="S424" s="118" t="s">
        <v>160</v>
      </c>
      <c r="T424" s="118" t="s">
        <v>160</v>
      </c>
      <c r="U424" s="118" t="s">
        <v>160</v>
      </c>
      <c r="V424" s="118">
        <v>0</v>
      </c>
      <c r="W424" s="612"/>
      <c r="X424" s="129" t="str">
        <f>IF([1]RENAME!$H$3=1,B424,A424)</f>
        <v xml:space="preserve">Aquisição na participação societária </v>
      </c>
      <c r="Y424" s="118">
        <v>0</v>
      </c>
      <c r="Z424" s="118" t="s">
        <v>160</v>
      </c>
      <c r="AA424" s="118">
        <v>0</v>
      </c>
    </row>
    <row r="425" spans="1:27" x14ac:dyDescent="0.2">
      <c r="A425" s="532" t="s">
        <v>1976</v>
      </c>
      <c r="D425" s="129" t="str">
        <f>IF([1]RENAME!$H$3=1,B425,A425)</f>
        <v xml:space="preserve">Aumento na participação societária </v>
      </c>
      <c r="E425" s="118" t="s">
        <v>160</v>
      </c>
      <c r="F425" s="118" t="s">
        <v>160</v>
      </c>
      <c r="G425" s="118" t="s">
        <v>160</v>
      </c>
      <c r="H425" s="118" t="s">
        <v>160</v>
      </c>
      <c r="I425" s="118" t="s">
        <v>160</v>
      </c>
      <c r="J425" s="118" t="s">
        <v>160</v>
      </c>
      <c r="K425" s="118" t="s">
        <v>160</v>
      </c>
      <c r="L425" s="118" t="s">
        <v>160</v>
      </c>
      <c r="M425" s="118">
        <v>0</v>
      </c>
      <c r="N425" s="118" t="s">
        <v>160</v>
      </c>
      <c r="O425" s="118" t="s">
        <v>160</v>
      </c>
      <c r="P425" s="118">
        <v>0</v>
      </c>
      <c r="Q425" s="118">
        <v>0</v>
      </c>
      <c r="R425" s="118">
        <v>0</v>
      </c>
      <c r="S425" s="118">
        <v>0</v>
      </c>
      <c r="T425" s="118">
        <v>0</v>
      </c>
      <c r="U425" s="118">
        <v>0</v>
      </c>
      <c r="V425" s="118">
        <v>0</v>
      </c>
      <c r="W425" s="612"/>
      <c r="X425" s="129" t="str">
        <f>IF([1]RENAME!$H$3=1,B425,A425)</f>
        <v xml:space="preserve">Aumento na participação societária </v>
      </c>
      <c r="Y425" s="118">
        <v>0</v>
      </c>
      <c r="Z425" s="118">
        <v>0</v>
      </c>
      <c r="AA425" s="118">
        <v>0</v>
      </c>
    </row>
    <row r="426" spans="1:27" x14ac:dyDescent="0.2">
      <c r="A426" s="532" t="s">
        <v>1311</v>
      </c>
      <c r="B426" s="532" t="s">
        <v>1480</v>
      </c>
      <c r="D426" s="129" t="str">
        <f>IF([1]RENAME!$H$3=1,B426,A426)</f>
        <v>Reestruturação societária</v>
      </c>
      <c r="E426" s="118" t="s">
        <v>160</v>
      </c>
      <c r="F426" s="118" t="s">
        <v>160</v>
      </c>
      <c r="G426" s="118" t="s">
        <v>160</v>
      </c>
      <c r="H426" s="118" t="s">
        <v>160</v>
      </c>
      <c r="I426" s="118" t="s">
        <v>160</v>
      </c>
      <c r="J426" s="118" t="s">
        <v>160</v>
      </c>
      <c r="K426" s="118" t="s">
        <v>160</v>
      </c>
      <c r="L426" s="118" t="s">
        <v>160</v>
      </c>
      <c r="M426" s="118">
        <v>0</v>
      </c>
      <c r="N426" s="118" t="s">
        <v>160</v>
      </c>
      <c r="O426" s="118" t="s">
        <v>160</v>
      </c>
      <c r="P426" s="118">
        <v>0</v>
      </c>
      <c r="Q426" s="118">
        <v>0</v>
      </c>
      <c r="R426" s="118">
        <v>0</v>
      </c>
      <c r="S426" s="118">
        <v>0</v>
      </c>
      <c r="T426" s="118">
        <v>0</v>
      </c>
      <c r="U426" s="118">
        <v>0</v>
      </c>
      <c r="V426" s="118">
        <v>0</v>
      </c>
      <c r="W426" s="612"/>
      <c r="X426" s="129" t="str">
        <f>IF([1]RENAME!$H$3=1,B426,A426)</f>
        <v>Reestruturação societária</v>
      </c>
      <c r="Y426" s="118">
        <v>0</v>
      </c>
      <c r="Z426" s="118">
        <v>0</v>
      </c>
      <c r="AA426" s="118">
        <v>0</v>
      </c>
    </row>
    <row r="427" spans="1:27" x14ac:dyDescent="0.2">
      <c r="A427" s="532" t="s">
        <v>430</v>
      </c>
      <c r="B427" s="532" t="s">
        <v>648</v>
      </c>
      <c r="D427" s="129" t="str">
        <f>IF([1]RENAME!$H$3=1,B427,A427)</f>
        <v>Dividendos</v>
      </c>
      <c r="E427" s="118">
        <v>0</v>
      </c>
      <c r="F427" s="118">
        <v>0</v>
      </c>
      <c r="G427" s="118">
        <v>0</v>
      </c>
      <c r="H427" s="118" t="s">
        <v>160</v>
      </c>
      <c r="I427" s="118">
        <v>-14351</v>
      </c>
      <c r="J427" s="118">
        <v>0</v>
      </c>
      <c r="K427" s="118">
        <v>0</v>
      </c>
      <c r="L427" s="118" t="s">
        <v>160</v>
      </c>
      <c r="M427" s="118">
        <v>0</v>
      </c>
      <c r="N427" s="118" t="s">
        <v>160</v>
      </c>
      <c r="O427" s="118" t="s">
        <v>160</v>
      </c>
      <c r="P427" s="118">
        <v>0</v>
      </c>
      <c r="Q427" s="118">
        <v>0</v>
      </c>
      <c r="R427" s="118">
        <v>0</v>
      </c>
      <c r="S427" s="118">
        <v>0</v>
      </c>
      <c r="T427" s="118">
        <v>0</v>
      </c>
      <c r="U427" s="118">
        <v>0</v>
      </c>
      <c r="V427" s="118">
        <v>-14351</v>
      </c>
      <c r="W427" s="612"/>
      <c r="X427" s="129" t="str">
        <f>IF([1]RENAME!$H$3=1,B427,A427)</f>
        <v>Dividendos</v>
      </c>
      <c r="Y427" s="118">
        <v>-14350</v>
      </c>
      <c r="Z427" s="118">
        <v>0</v>
      </c>
      <c r="AA427" s="118">
        <v>-14350</v>
      </c>
    </row>
    <row r="428" spans="1:27" x14ac:dyDescent="0.2">
      <c r="A428" s="532" t="s">
        <v>1412</v>
      </c>
      <c r="B428" s="532" t="s">
        <v>1413</v>
      </c>
      <c r="D428" s="129" t="str">
        <f>IF([1]RENAME!$H$3=1,B428,A428)</f>
        <v>Constituição/baixa ágio (GDL-TLI)</v>
      </c>
      <c r="E428" s="118" t="s">
        <v>160</v>
      </c>
      <c r="F428" s="118" t="s">
        <v>160</v>
      </c>
      <c r="G428" s="118" t="s">
        <v>160</v>
      </c>
      <c r="H428" s="118" t="s">
        <v>160</v>
      </c>
      <c r="I428" s="118" t="s">
        <v>160</v>
      </c>
      <c r="J428" s="118" t="s">
        <v>160</v>
      </c>
      <c r="K428" s="118" t="s">
        <v>160</v>
      </c>
      <c r="L428" s="118" t="s">
        <v>160</v>
      </c>
      <c r="M428" s="118">
        <v>0</v>
      </c>
      <c r="N428" s="118" t="s">
        <v>160</v>
      </c>
      <c r="O428" s="118" t="s">
        <v>160</v>
      </c>
      <c r="P428" s="118">
        <v>0</v>
      </c>
      <c r="Q428" s="118">
        <v>0</v>
      </c>
      <c r="R428" s="118">
        <v>0</v>
      </c>
      <c r="S428" s="118">
        <v>0</v>
      </c>
      <c r="T428" s="118">
        <v>0</v>
      </c>
      <c r="U428" s="118">
        <v>0</v>
      </c>
      <c r="V428" s="118">
        <v>0</v>
      </c>
      <c r="W428" s="612"/>
      <c r="X428" s="129" t="str">
        <f>IF([1]RENAME!$H$3=1,B428,A428)</f>
        <v>Constituição/baixa ágio (GDL-TLI)</v>
      </c>
      <c r="Y428" s="118">
        <v>0</v>
      </c>
      <c r="Z428" s="118">
        <v>0</v>
      </c>
      <c r="AA428" s="118">
        <v>0</v>
      </c>
    </row>
    <row r="429" spans="1:27" x14ac:dyDescent="0.2">
      <c r="A429" s="532" t="s">
        <v>49</v>
      </c>
      <c r="B429" s="532" t="s">
        <v>728</v>
      </c>
      <c r="D429" s="129" t="str">
        <f>IF([1]RENAME!$H$3=1,B429,A429)</f>
        <v>Outros</v>
      </c>
      <c r="E429" s="118" t="s">
        <v>160</v>
      </c>
      <c r="F429" s="118" t="s">
        <v>160</v>
      </c>
      <c r="G429" s="118" t="s">
        <v>160</v>
      </c>
      <c r="H429" s="118" t="s">
        <v>160</v>
      </c>
      <c r="I429" s="118" t="s">
        <v>160</v>
      </c>
      <c r="J429" s="118" t="s">
        <v>160</v>
      </c>
      <c r="K429" s="118" t="s">
        <v>160</v>
      </c>
      <c r="L429" s="118" t="s">
        <v>160</v>
      </c>
      <c r="M429" s="118">
        <v>0</v>
      </c>
      <c r="N429" s="118" t="s">
        <v>160</v>
      </c>
      <c r="O429" s="118" t="s">
        <v>160</v>
      </c>
      <c r="P429" s="118">
        <v>0</v>
      </c>
      <c r="Q429" s="118">
        <v>0</v>
      </c>
      <c r="R429" s="118">
        <v>0</v>
      </c>
      <c r="S429" s="118">
        <v>0</v>
      </c>
      <c r="T429" s="118">
        <v>0</v>
      </c>
      <c r="U429" s="118">
        <v>0</v>
      </c>
      <c r="V429" s="118">
        <v>0</v>
      </c>
      <c r="W429" s="612"/>
      <c r="X429" s="129" t="str">
        <f>IF([1]RENAME!$H$3=1,B429,A429)</f>
        <v>Outros</v>
      </c>
      <c r="Y429" s="118">
        <v>0</v>
      </c>
      <c r="Z429" s="118">
        <v>0</v>
      </c>
      <c r="AA429" s="118">
        <v>0</v>
      </c>
    </row>
    <row r="430" spans="1:27" x14ac:dyDescent="0.2">
      <c r="A430" s="532" t="s">
        <v>2297</v>
      </c>
      <c r="B430" s="532" t="s">
        <v>2298</v>
      </c>
      <c r="D430" s="126" t="str">
        <f>IF([1]RENAME!$H$3=1,B430,A430)</f>
        <v>Em 31 de dezembro de 2025</v>
      </c>
      <c r="E430" s="120">
        <f>SUM(E418:E429)</f>
        <v>59143</v>
      </c>
      <c r="F430" s="120">
        <f t="shared" ref="F430:V430" si="82">SUM(F418:F429)</f>
        <v>39437</v>
      </c>
      <c r="G430" s="120">
        <f t="shared" si="82"/>
        <v>135448</v>
      </c>
      <c r="H430" s="120">
        <f t="shared" si="82"/>
        <v>14459</v>
      </c>
      <c r="I430" s="120">
        <f t="shared" si="82"/>
        <v>49913</v>
      </c>
      <c r="J430" s="120">
        <f t="shared" si="82"/>
        <v>29061</v>
      </c>
      <c r="K430" s="120">
        <f t="shared" si="82"/>
        <v>1548</v>
      </c>
      <c r="L430" s="120">
        <f t="shared" si="82"/>
        <v>0</v>
      </c>
      <c r="M430" s="120">
        <f t="shared" si="82"/>
        <v>0</v>
      </c>
      <c r="N430" s="120">
        <f t="shared" si="82"/>
        <v>0</v>
      </c>
      <c r="O430" s="120">
        <f t="shared" si="82"/>
        <v>0</v>
      </c>
      <c r="P430" s="120">
        <f t="shared" si="82"/>
        <v>0</v>
      </c>
      <c r="Q430" s="120">
        <f t="shared" si="82"/>
        <v>0</v>
      </c>
      <c r="R430" s="120">
        <f t="shared" si="82"/>
        <v>0</v>
      </c>
      <c r="S430" s="120">
        <f t="shared" si="82"/>
        <v>0</v>
      </c>
      <c r="T430" s="120">
        <f t="shared" si="82"/>
        <v>0</v>
      </c>
      <c r="U430" s="120">
        <f t="shared" si="82"/>
        <v>0</v>
      </c>
      <c r="V430" s="120">
        <f t="shared" si="82"/>
        <v>329009</v>
      </c>
      <c r="W430" s="612"/>
      <c r="X430" s="126" t="str">
        <f>IF([1]RENAME!$H$3=1,B430,A430)</f>
        <v>Em 31 de dezembro de 2025</v>
      </c>
      <c r="Y430" s="120">
        <f>SUM(Y418:Y429)</f>
        <v>49913</v>
      </c>
      <c r="Z430" s="120">
        <f>SUM(Z418:Z429)</f>
        <v>13729</v>
      </c>
      <c r="AA430" s="120">
        <f>SUM(AA418:AA429)</f>
        <v>63641</v>
      </c>
    </row>
    <row r="432" spans="1:27" x14ac:dyDescent="0.2">
      <c r="A432" s="532" t="s">
        <v>225</v>
      </c>
      <c r="B432" s="532" t="s">
        <v>760</v>
      </c>
      <c r="D432" s="129" t="str">
        <f>IF([1]RENAME!$H$3=1,B432,A432)</f>
        <v>Equivalência patrimonial</v>
      </c>
      <c r="E432" s="118">
        <v>1306</v>
      </c>
      <c r="F432" s="118">
        <v>2270</v>
      </c>
      <c r="G432" s="118">
        <v>1057</v>
      </c>
      <c r="H432" s="118">
        <v>-106</v>
      </c>
      <c r="I432" s="118">
        <v>1548</v>
      </c>
      <c r="J432" s="118">
        <v>1231</v>
      </c>
      <c r="K432" s="118">
        <v>26</v>
      </c>
      <c r="L432" s="118" t="s">
        <v>160</v>
      </c>
      <c r="M432" s="118">
        <v>0</v>
      </c>
      <c r="N432" s="118" t="s">
        <v>160</v>
      </c>
      <c r="O432" s="118" t="s">
        <v>160</v>
      </c>
      <c r="P432" s="118" t="s">
        <v>160</v>
      </c>
      <c r="Q432" s="118">
        <v>0</v>
      </c>
      <c r="R432" s="118">
        <v>0</v>
      </c>
      <c r="S432" s="118">
        <v>0</v>
      </c>
      <c r="T432" s="118">
        <f>'[3]9.c Investimentos'!P123-T337</f>
        <v>0</v>
      </c>
      <c r="U432" s="118">
        <f>'[3]9.c Investimentos'!Q123-U337</f>
        <v>0</v>
      </c>
      <c r="V432" s="118">
        <f>SUM(E432:L432)</f>
        <v>7332</v>
      </c>
      <c r="W432" s="612" t="s">
        <v>2139</v>
      </c>
      <c r="X432" s="129" t="str">
        <f>IF([1]RENAME!$H$3=1,B432,A432)</f>
        <v>Equivalência patrimonial</v>
      </c>
      <c r="Y432" s="118">
        <v>1548</v>
      </c>
      <c r="Z432" s="118">
        <v>-116</v>
      </c>
      <c r="AA432" s="118">
        <f>SUM(Y432:Z432)</f>
        <v>1432</v>
      </c>
    </row>
    <row r="433" spans="1:27" x14ac:dyDescent="0.2">
      <c r="A433" s="532" t="s">
        <v>1833</v>
      </c>
      <c r="B433" s="532" t="s">
        <v>1834</v>
      </c>
      <c r="D433" s="129" t="str">
        <f>IF([1]RENAME!$H$3=1,B433,A433)</f>
        <v>Constituição de controlada</v>
      </c>
      <c r="E433" s="118" t="s">
        <v>160</v>
      </c>
      <c r="F433" s="118" t="s">
        <v>160</v>
      </c>
      <c r="G433" s="118" t="s">
        <v>160</v>
      </c>
      <c r="H433" s="118" t="s">
        <v>160</v>
      </c>
      <c r="I433" s="118" t="s">
        <v>160</v>
      </c>
      <c r="J433" s="118" t="s">
        <v>160</v>
      </c>
      <c r="K433" s="118" t="s">
        <v>160</v>
      </c>
      <c r="L433" s="118" t="s">
        <v>160</v>
      </c>
      <c r="M433" s="118">
        <v>0</v>
      </c>
      <c r="N433" s="118" t="s">
        <v>160</v>
      </c>
      <c r="O433" s="118" t="s">
        <v>160</v>
      </c>
      <c r="P433" s="118">
        <v>0</v>
      </c>
      <c r="Q433" s="118">
        <v>0</v>
      </c>
      <c r="R433" s="118">
        <v>0</v>
      </c>
      <c r="S433" s="118">
        <v>0</v>
      </c>
      <c r="T433" s="118">
        <f>'[3]9.c Investimentos'!Q124</f>
        <v>0</v>
      </c>
      <c r="U433" s="118">
        <f>'[3]9.c Investimentos'!R124</f>
        <v>0</v>
      </c>
      <c r="V433" s="118">
        <f t="shared" ref="V433:V441" si="83">SUM(E433:L433)</f>
        <v>0</v>
      </c>
      <c r="W433" s="612"/>
      <c r="X433" s="129" t="str">
        <f>IF([1]RENAME!$H$3=1,B433,A433)</f>
        <v>Constituição de controlada</v>
      </c>
      <c r="Y433" s="118">
        <v>0</v>
      </c>
      <c r="Z433" s="118">
        <v>0</v>
      </c>
      <c r="AA433" s="118">
        <f>SUM(Y433:Z433)</f>
        <v>0</v>
      </c>
    </row>
    <row r="434" spans="1:27" x14ac:dyDescent="0.2">
      <c r="A434" s="532" t="s">
        <v>2182</v>
      </c>
      <c r="B434" s="532" t="s">
        <v>2183</v>
      </c>
      <c r="D434" s="129" t="str">
        <f>IF([1]RENAME!$H$3=1,B434,A434)</f>
        <v>Alteração de participação societária</v>
      </c>
      <c r="E434" s="118" t="s">
        <v>160</v>
      </c>
      <c r="F434" s="118" t="s">
        <v>160</v>
      </c>
      <c r="G434" s="118" t="s">
        <v>160</v>
      </c>
      <c r="H434" s="118" t="s">
        <v>160</v>
      </c>
      <c r="I434" s="118" t="s">
        <v>160</v>
      </c>
      <c r="J434" s="118">
        <f>'[3]9 Invest. NL'!$AK$69</f>
        <v>0</v>
      </c>
      <c r="K434" s="118" t="s">
        <v>160</v>
      </c>
      <c r="L434" s="118" t="s">
        <v>160</v>
      </c>
      <c r="M434" s="118">
        <v>0</v>
      </c>
      <c r="N434" s="118" t="s">
        <v>160</v>
      </c>
      <c r="O434" s="118" t="s">
        <v>160</v>
      </c>
      <c r="P434" s="118" t="s">
        <v>160</v>
      </c>
      <c r="Q434" s="118" t="s">
        <v>160</v>
      </c>
      <c r="R434" s="118" t="s">
        <v>160</v>
      </c>
      <c r="S434" s="118" t="s">
        <v>160</v>
      </c>
      <c r="T434" s="118" t="s">
        <v>160</v>
      </c>
      <c r="U434" s="118" t="s">
        <v>160</v>
      </c>
      <c r="V434" s="118">
        <f t="shared" si="83"/>
        <v>0</v>
      </c>
      <c r="W434" s="612"/>
      <c r="X434" s="129" t="str">
        <f>IF([1]RENAME!$H$3=1,B434,A434)</f>
        <v>Alteração de participação societária</v>
      </c>
      <c r="Y434" s="118">
        <v>0</v>
      </c>
      <c r="Z434" s="118">
        <v>0</v>
      </c>
      <c r="AA434" s="118">
        <v>0</v>
      </c>
    </row>
    <row r="435" spans="1:27" x14ac:dyDescent="0.2">
      <c r="A435" s="532" t="s">
        <v>1831</v>
      </c>
      <c r="B435" s="532" t="s">
        <v>1832</v>
      </c>
      <c r="D435" s="129" t="str">
        <f>IF([1]RENAME!$H$3=1,B435,A435)</f>
        <v>Aumento (Redução) de capital</v>
      </c>
      <c r="E435" s="118" t="s">
        <v>160</v>
      </c>
      <c r="F435" s="118" t="s">
        <v>160</v>
      </c>
      <c r="G435" s="260">
        <v>28000</v>
      </c>
      <c r="H435" s="118" t="s">
        <v>160</v>
      </c>
      <c r="I435" s="118">
        <f>'[3]9 Invest. NL'!$AM$70</f>
        <v>0</v>
      </c>
      <c r="J435" s="118">
        <v>0</v>
      </c>
      <c r="K435" s="118">
        <v>0</v>
      </c>
      <c r="L435" s="118" t="s">
        <v>160</v>
      </c>
      <c r="M435" s="118">
        <v>0</v>
      </c>
      <c r="N435" s="118" t="s">
        <v>160</v>
      </c>
      <c r="O435" s="118" t="s">
        <v>160</v>
      </c>
      <c r="P435" s="118">
        <v>0</v>
      </c>
      <c r="Q435" s="118">
        <v>0</v>
      </c>
      <c r="R435" s="118">
        <v>0</v>
      </c>
      <c r="S435" s="118">
        <v>0</v>
      </c>
      <c r="T435" s="118">
        <f>'[3]9.c Investimentos'!Q125</f>
        <v>0</v>
      </c>
      <c r="U435" s="118">
        <f>'[3]9.c Investimentos'!R125</f>
        <v>0</v>
      </c>
      <c r="V435" s="118">
        <f t="shared" si="83"/>
        <v>28000</v>
      </c>
      <c r="W435" s="612"/>
      <c r="X435" s="129" t="str">
        <f>IF([1]RENAME!$H$3=1,B435,A435)</f>
        <v>Aumento (Redução) de capital</v>
      </c>
      <c r="Y435" s="118">
        <v>0</v>
      </c>
      <c r="Z435" s="118">
        <v>0</v>
      </c>
      <c r="AA435" s="118">
        <f t="shared" ref="AA435:AA441" si="84">SUM(Y435:Z435)</f>
        <v>0</v>
      </c>
    </row>
    <row r="436" spans="1:27" x14ac:dyDescent="0.2">
      <c r="A436" s="532" t="s">
        <v>2210</v>
      </c>
      <c r="B436" s="532" t="s">
        <v>2211</v>
      </c>
      <c r="D436" s="129" t="str">
        <f>IF([1]RENAME!$H$3=1,B436,A436)</f>
        <v xml:space="preserve">Aquisição na participação societária </v>
      </c>
      <c r="E436" s="118" t="s">
        <v>160</v>
      </c>
      <c r="F436" s="118" t="s">
        <v>160</v>
      </c>
      <c r="G436" s="118" t="s">
        <v>160</v>
      </c>
      <c r="H436" s="118" t="s">
        <v>160</v>
      </c>
      <c r="I436" s="118" t="s">
        <v>160</v>
      </c>
      <c r="J436" s="118">
        <v>0</v>
      </c>
      <c r="K436" s="118">
        <v>0</v>
      </c>
      <c r="L436" s="118" t="s">
        <v>160</v>
      </c>
      <c r="M436" s="118">
        <v>0</v>
      </c>
      <c r="N436" s="118" t="s">
        <v>160</v>
      </c>
      <c r="O436" s="118" t="s">
        <v>160</v>
      </c>
      <c r="P436" s="118" t="s">
        <v>160</v>
      </c>
      <c r="Q436" s="118" t="s">
        <v>160</v>
      </c>
      <c r="R436" s="118" t="s">
        <v>160</v>
      </c>
      <c r="S436" s="118" t="s">
        <v>160</v>
      </c>
      <c r="T436" s="118" t="s">
        <v>160</v>
      </c>
      <c r="U436" s="118" t="s">
        <v>160</v>
      </c>
      <c r="V436" s="118">
        <f t="shared" si="83"/>
        <v>0</v>
      </c>
      <c r="W436" s="612"/>
      <c r="X436" s="129" t="str">
        <f>IF([1]RENAME!$H$3=1,B436,A436)</f>
        <v xml:space="preserve">Aquisição na participação societária </v>
      </c>
      <c r="Y436" s="118">
        <v>0</v>
      </c>
      <c r="Z436" s="118" t="s">
        <v>160</v>
      </c>
      <c r="AA436" s="118">
        <f t="shared" si="84"/>
        <v>0</v>
      </c>
    </row>
    <row r="437" spans="1:27" x14ac:dyDescent="0.2">
      <c r="A437" s="532" t="s">
        <v>1976</v>
      </c>
      <c r="D437" s="129" t="str">
        <f>IF([1]RENAME!$H$3=1,B437,A437)</f>
        <v xml:space="preserve">Aumento na participação societária </v>
      </c>
      <c r="E437" s="118" t="s">
        <v>160</v>
      </c>
      <c r="F437" s="118" t="s">
        <v>160</v>
      </c>
      <c r="G437" s="118" t="s">
        <v>160</v>
      </c>
      <c r="H437" s="118" t="s">
        <v>160</v>
      </c>
      <c r="I437" s="118" t="s">
        <v>160</v>
      </c>
      <c r="J437" s="118">
        <v>0</v>
      </c>
      <c r="K437" s="118">
        <v>0</v>
      </c>
      <c r="L437" s="118" t="s">
        <v>160</v>
      </c>
      <c r="M437" s="118">
        <v>0</v>
      </c>
      <c r="N437" s="118" t="s">
        <v>160</v>
      </c>
      <c r="O437" s="118" t="s">
        <v>160</v>
      </c>
      <c r="P437" s="118">
        <v>0</v>
      </c>
      <c r="Q437" s="118">
        <v>0</v>
      </c>
      <c r="R437" s="118">
        <v>0</v>
      </c>
      <c r="S437" s="118">
        <v>0</v>
      </c>
      <c r="T437" s="118">
        <v>0</v>
      </c>
      <c r="U437" s="118">
        <v>0</v>
      </c>
      <c r="V437" s="118">
        <f t="shared" si="83"/>
        <v>0</v>
      </c>
      <c r="W437" s="612"/>
      <c r="X437" s="129" t="str">
        <f>IF([1]RENAME!$H$3=1,B437,A437)</f>
        <v xml:space="preserve">Aumento na participação societária </v>
      </c>
      <c r="Y437" s="118">
        <v>0</v>
      </c>
      <c r="Z437" s="118">
        <v>0</v>
      </c>
      <c r="AA437" s="118">
        <f t="shared" si="84"/>
        <v>0</v>
      </c>
    </row>
    <row r="438" spans="1:27" x14ac:dyDescent="0.2">
      <c r="A438" s="532" t="s">
        <v>1311</v>
      </c>
      <c r="B438" s="532" t="s">
        <v>1480</v>
      </c>
      <c r="D438" s="129" t="str">
        <f>IF([1]RENAME!$H$3=1,B438,A438)</f>
        <v>Reestruturação societária</v>
      </c>
      <c r="E438" s="118">
        <v>0</v>
      </c>
      <c r="F438" s="118">
        <v>0</v>
      </c>
      <c r="G438" s="118">
        <v>0</v>
      </c>
      <c r="H438" s="118" t="s">
        <v>160</v>
      </c>
      <c r="I438" s="118" t="s">
        <v>160</v>
      </c>
      <c r="J438" s="118">
        <v>0</v>
      </c>
      <c r="K438" s="118">
        <v>0</v>
      </c>
      <c r="L438" s="118" t="s">
        <v>160</v>
      </c>
      <c r="M438" s="118">
        <v>0</v>
      </c>
      <c r="N438" s="118" t="s">
        <v>160</v>
      </c>
      <c r="O438" s="118" t="s">
        <v>160</v>
      </c>
      <c r="P438" s="118">
        <v>0</v>
      </c>
      <c r="Q438" s="118">
        <v>0</v>
      </c>
      <c r="R438" s="118">
        <v>0</v>
      </c>
      <c r="S438" s="118">
        <v>0</v>
      </c>
      <c r="T438" s="118">
        <f>'[3]9.c Investimentos'!Q126</f>
        <v>0</v>
      </c>
      <c r="U438" s="118">
        <f>'[3]9.c Investimentos'!R126</f>
        <v>0</v>
      </c>
      <c r="V438" s="118">
        <f t="shared" si="83"/>
        <v>0</v>
      </c>
      <c r="W438" s="612"/>
      <c r="X438" s="129" t="str">
        <f>IF([1]RENAME!$H$3=1,B438,A438)</f>
        <v>Reestruturação societária</v>
      </c>
      <c r="Y438" s="118">
        <v>0</v>
      </c>
      <c r="Z438" s="118">
        <v>0</v>
      </c>
      <c r="AA438" s="118">
        <f t="shared" si="84"/>
        <v>0</v>
      </c>
    </row>
    <row r="439" spans="1:27" x14ac:dyDescent="0.2">
      <c r="A439" s="532" t="s">
        <v>430</v>
      </c>
      <c r="B439" s="532" t="s">
        <v>648</v>
      </c>
      <c r="D439" s="129" t="str">
        <f>IF([1]RENAME!$H$3=1,B439,A439)</f>
        <v>Dividendos</v>
      </c>
      <c r="E439" s="118">
        <v>0</v>
      </c>
      <c r="F439" s="118">
        <v>0</v>
      </c>
      <c r="G439" s="118">
        <v>0</v>
      </c>
      <c r="H439" s="118" t="s">
        <v>160</v>
      </c>
      <c r="I439" s="118">
        <v>0</v>
      </c>
      <c r="J439" s="118">
        <v>0</v>
      </c>
      <c r="K439" s="118">
        <v>0</v>
      </c>
      <c r="L439" s="118" t="s">
        <v>160</v>
      </c>
      <c r="M439" s="118">
        <v>0</v>
      </c>
      <c r="N439" s="118" t="s">
        <v>160</v>
      </c>
      <c r="O439" s="118" t="s">
        <v>160</v>
      </c>
      <c r="P439" s="118">
        <v>0</v>
      </c>
      <c r="Q439" s="118">
        <v>0</v>
      </c>
      <c r="R439" s="118">
        <v>0</v>
      </c>
      <c r="S439" s="118">
        <v>0</v>
      </c>
      <c r="T439" s="118">
        <f>'[3]9.c Investimentos'!Q127</f>
        <v>0</v>
      </c>
      <c r="U439" s="118">
        <f>'[3]9.c Investimentos'!R127</f>
        <v>0</v>
      </c>
      <c r="V439" s="118">
        <f t="shared" si="83"/>
        <v>0</v>
      </c>
      <c r="W439" s="612"/>
      <c r="X439" s="129" t="str">
        <f>IF([1]RENAME!$H$3=1,B439,A439)</f>
        <v>Dividendos</v>
      </c>
      <c r="Y439" s="118">
        <f>'[3]9 Invest. NL'!$AX$112</f>
        <v>0</v>
      </c>
      <c r="Z439" s="118">
        <v>0</v>
      </c>
      <c r="AA439" s="118">
        <f t="shared" si="84"/>
        <v>0</v>
      </c>
    </row>
    <row r="440" spans="1:27" x14ac:dyDescent="0.2">
      <c r="A440" s="532" t="s">
        <v>1412</v>
      </c>
      <c r="B440" s="532" t="s">
        <v>1413</v>
      </c>
      <c r="D440" s="129" t="str">
        <f>IF([1]RENAME!$H$3=1,B440,A440)</f>
        <v>Constituição/baixa ágio (GDL-TLI)</v>
      </c>
      <c r="E440" s="118" t="s">
        <v>160</v>
      </c>
      <c r="F440" s="118" t="s">
        <v>160</v>
      </c>
      <c r="G440" s="118" t="s">
        <v>160</v>
      </c>
      <c r="H440" s="118" t="s">
        <v>160</v>
      </c>
      <c r="I440" s="118" t="s">
        <v>160</v>
      </c>
      <c r="J440" s="118" t="s">
        <v>160</v>
      </c>
      <c r="K440" s="118" t="s">
        <v>160</v>
      </c>
      <c r="L440" s="118" t="s">
        <v>160</v>
      </c>
      <c r="M440" s="118">
        <v>0</v>
      </c>
      <c r="N440" s="118" t="s">
        <v>160</v>
      </c>
      <c r="O440" s="118" t="s">
        <v>160</v>
      </c>
      <c r="P440" s="118">
        <v>0</v>
      </c>
      <c r="Q440" s="118">
        <v>0</v>
      </c>
      <c r="R440" s="118">
        <v>0</v>
      </c>
      <c r="S440" s="118">
        <v>0</v>
      </c>
      <c r="T440" s="118">
        <f>'[3]9.c Investimentos'!Q128</f>
        <v>0</v>
      </c>
      <c r="U440" s="118">
        <f>'[3]9.c Investimentos'!R128</f>
        <v>0</v>
      </c>
      <c r="V440" s="118">
        <f t="shared" si="83"/>
        <v>0</v>
      </c>
      <c r="W440" s="612"/>
      <c r="X440" s="129" t="str">
        <f>IF([1]RENAME!$H$3=1,B440,A440)</f>
        <v>Constituição/baixa ágio (GDL-TLI)</v>
      </c>
      <c r="Y440" s="118">
        <v>0</v>
      </c>
      <c r="Z440" s="118">
        <v>0</v>
      </c>
      <c r="AA440" s="118">
        <f t="shared" si="84"/>
        <v>0</v>
      </c>
    </row>
    <row r="441" spans="1:27" x14ac:dyDescent="0.2">
      <c r="A441" s="532" t="s">
        <v>49</v>
      </c>
      <c r="B441" s="532" t="s">
        <v>728</v>
      </c>
      <c r="D441" s="129" t="str">
        <f>IF([1]RENAME!$H$3=1,B441,A441)</f>
        <v>Outros</v>
      </c>
      <c r="E441" s="118" t="s">
        <v>160</v>
      </c>
      <c r="F441" s="118" t="s">
        <v>160</v>
      </c>
      <c r="G441" s="118" t="s">
        <v>160</v>
      </c>
      <c r="H441" s="118" t="s">
        <v>160</v>
      </c>
      <c r="I441" s="118" t="s">
        <v>160</v>
      </c>
      <c r="J441" s="118" t="s">
        <v>160</v>
      </c>
      <c r="K441" s="118" t="s">
        <v>160</v>
      </c>
      <c r="L441" s="118" t="s">
        <v>160</v>
      </c>
      <c r="M441" s="118">
        <v>0</v>
      </c>
      <c r="N441" s="118" t="s">
        <v>160</v>
      </c>
      <c r="O441" s="118" t="s">
        <v>160</v>
      </c>
      <c r="P441" s="118">
        <v>0</v>
      </c>
      <c r="Q441" s="118">
        <v>0</v>
      </c>
      <c r="R441" s="118">
        <v>0</v>
      </c>
      <c r="S441" s="118">
        <v>0</v>
      </c>
      <c r="T441" s="118">
        <f>'[3]9.c Investimentos'!Q129</f>
        <v>0</v>
      </c>
      <c r="U441" s="118">
        <f>'[3]9.c Investimentos'!R129</f>
        <v>0</v>
      </c>
      <c r="V441" s="118">
        <f t="shared" si="83"/>
        <v>0</v>
      </c>
      <c r="W441" s="612"/>
      <c r="X441" s="129" t="str">
        <f>IF([1]RENAME!$H$3=1,B441,A441)</f>
        <v>Outros</v>
      </c>
      <c r="Y441" s="118">
        <v>0</v>
      </c>
      <c r="Z441" s="118">
        <v>0</v>
      </c>
      <c r="AA441" s="118">
        <f t="shared" si="84"/>
        <v>0</v>
      </c>
    </row>
    <row r="442" spans="1:27" x14ac:dyDescent="0.2">
      <c r="A442" s="532" t="s">
        <v>2321</v>
      </c>
      <c r="B442" s="532" t="s">
        <v>2322</v>
      </c>
      <c r="D442" s="126" t="str">
        <f>IF([1]RENAME!$H$3=1,B442,A442)</f>
        <v>Em 31 de março de 2026</v>
      </c>
      <c r="E442" s="120">
        <f>SUM(E430:E441)</f>
        <v>60449</v>
      </c>
      <c r="F442" s="120">
        <f t="shared" ref="F442:K442" si="85">SUM(F430:F441)</f>
        <v>41707</v>
      </c>
      <c r="G442" s="120">
        <f t="shared" si="85"/>
        <v>164505</v>
      </c>
      <c r="H442" s="120">
        <f t="shared" si="85"/>
        <v>14353</v>
      </c>
      <c r="I442" s="120">
        <f t="shared" si="85"/>
        <v>51461</v>
      </c>
      <c r="J442" s="120">
        <f t="shared" si="85"/>
        <v>30292</v>
      </c>
      <c r="K442" s="120">
        <f t="shared" si="85"/>
        <v>1574</v>
      </c>
      <c r="L442" s="120">
        <f t="shared" ref="L442:U442" si="86">SUM(L418:L441)</f>
        <v>0</v>
      </c>
      <c r="M442" s="120">
        <f t="shared" si="86"/>
        <v>0</v>
      </c>
      <c r="N442" s="120">
        <f t="shared" si="86"/>
        <v>0</v>
      </c>
      <c r="O442" s="120">
        <f t="shared" si="86"/>
        <v>0</v>
      </c>
      <c r="P442" s="120">
        <f t="shared" si="86"/>
        <v>0</v>
      </c>
      <c r="Q442" s="120">
        <f t="shared" si="86"/>
        <v>0</v>
      </c>
      <c r="R442" s="120">
        <f t="shared" si="86"/>
        <v>0</v>
      </c>
      <c r="S442" s="120">
        <f t="shared" si="86"/>
        <v>0</v>
      </c>
      <c r="T442" s="120">
        <f t="shared" si="86"/>
        <v>0</v>
      </c>
      <c r="U442" s="120">
        <f t="shared" si="86"/>
        <v>0</v>
      </c>
      <c r="V442" s="120">
        <f>SUM(V430:V441)</f>
        <v>364341</v>
      </c>
      <c r="W442" s="612"/>
      <c r="X442" s="126" t="str">
        <f>IF([1]RENAME!$H$3=1,B442,A442)</f>
        <v>Em 31 de março de 2026</v>
      </c>
      <c r="Y442" s="120">
        <f>SUM(Y430:Y441)</f>
        <v>51461</v>
      </c>
      <c r="Z442" s="120">
        <f>SUM(Z430:Z441)</f>
        <v>13613</v>
      </c>
      <c r="AA442" s="120">
        <f>SUM(AA430:AA441)</f>
        <v>65073</v>
      </c>
    </row>
    <row r="444" spans="1:27" x14ac:dyDescent="0.2">
      <c r="A444" s="532" t="s">
        <v>225</v>
      </c>
      <c r="B444" s="532" t="s">
        <v>760</v>
      </c>
      <c r="D444" s="129" t="str">
        <f>IF([1]RENAME!$H$3=1,B444,A444)</f>
        <v>Equivalência patrimonial</v>
      </c>
      <c r="E444" s="118">
        <f>+'[3]9 Invest. NL'!$U$68-E432</f>
        <v>780</v>
      </c>
      <c r="F444" s="118">
        <f>+'[3]9 Invest. NL'!$W$68-F432</f>
        <v>1766</v>
      </c>
      <c r="G444" s="118">
        <f>+'[3]9 Invest. NL'!$Y$68-G432</f>
        <v>1434</v>
      </c>
      <c r="H444" s="118">
        <f>+'[3]9 Invest. NL'!$AG$68-H432</f>
        <v>-55</v>
      </c>
      <c r="I444" s="118">
        <f>+'[3]9 Invest. NL'!$AM$68-I432</f>
        <v>5757</v>
      </c>
      <c r="J444" s="118">
        <f>+'[3]9 Invest. NL'!$AK$68-J432</f>
        <v>1720</v>
      </c>
      <c r="K444" s="118">
        <f>+'[3]9 Invest. NL'!$AC$68-K432</f>
        <v>28</v>
      </c>
      <c r="L444" s="118" t="s">
        <v>160</v>
      </c>
      <c r="M444" s="118">
        <v>0</v>
      </c>
      <c r="N444" s="118" t="s">
        <v>160</v>
      </c>
      <c r="O444" s="118" t="s">
        <v>160</v>
      </c>
      <c r="P444" s="118" t="s">
        <v>160</v>
      </c>
      <c r="Q444" s="118">
        <v>0</v>
      </c>
      <c r="R444" s="118">
        <v>0</v>
      </c>
      <c r="S444" s="118">
        <v>0</v>
      </c>
      <c r="T444" s="118">
        <f>'[3]9.c Investimentos'!P135-T349</f>
        <v>0</v>
      </c>
      <c r="U444" s="118">
        <f>'[3]9.c Investimentos'!Q135-U349</f>
        <v>0</v>
      </c>
      <c r="V444" s="118">
        <f>SUM(E444:L444)</f>
        <v>11430</v>
      </c>
      <c r="W444" s="612" t="s">
        <v>2139</v>
      </c>
      <c r="X444" s="129" t="str">
        <f>IF([1]RENAME!$H$3=1,B444,A444)</f>
        <v>Equivalência patrimonial</v>
      </c>
      <c r="Y444" s="118">
        <f>'[3]9 Invest. NL'!$AX$111-Y432</f>
        <v>5757</v>
      </c>
      <c r="Z444" s="118">
        <f>'[3]9 Invest. NL'!$AZ$111+1-Z432</f>
        <v>-65</v>
      </c>
      <c r="AA444" s="118">
        <f>SUM(Y444:Z444)</f>
        <v>5692</v>
      </c>
    </row>
    <row r="445" spans="1:27" x14ac:dyDescent="0.2">
      <c r="A445" s="532" t="s">
        <v>1833</v>
      </c>
      <c r="B445" s="532" t="s">
        <v>1834</v>
      </c>
      <c r="D445" s="129" t="str">
        <f>IF([1]RENAME!$H$3=1,B445,A445)</f>
        <v>Constituição de controlada</v>
      </c>
      <c r="E445" s="118" t="s">
        <v>160</v>
      </c>
      <c r="F445" s="118" t="s">
        <v>160</v>
      </c>
      <c r="G445" s="118" t="s">
        <v>160</v>
      </c>
      <c r="H445" s="118" t="s">
        <v>160</v>
      </c>
      <c r="I445" s="118" t="s">
        <v>160</v>
      </c>
      <c r="J445" s="118" t="s">
        <v>160</v>
      </c>
      <c r="K445" s="118" t="s">
        <v>160</v>
      </c>
      <c r="L445" s="118" t="s">
        <v>160</v>
      </c>
      <c r="M445" s="118">
        <v>0</v>
      </c>
      <c r="N445" s="118" t="s">
        <v>160</v>
      </c>
      <c r="O445" s="118" t="s">
        <v>160</v>
      </c>
      <c r="P445" s="118">
        <v>0</v>
      </c>
      <c r="Q445" s="118">
        <v>0</v>
      </c>
      <c r="R445" s="118">
        <v>0</v>
      </c>
      <c r="S445" s="118">
        <v>0</v>
      </c>
      <c r="T445" s="118">
        <f>'[3]9.c Investimentos'!Q136</f>
        <v>0</v>
      </c>
      <c r="U445" s="118">
        <f>'[3]9.c Investimentos'!R136</f>
        <v>0</v>
      </c>
      <c r="V445" s="118">
        <f t="shared" ref="V445:V453" si="87">SUM(E445:L445)</f>
        <v>0</v>
      </c>
      <c r="W445" s="612"/>
      <c r="X445" s="129" t="str">
        <f>IF([1]RENAME!$H$3=1,B445,A445)</f>
        <v>Constituição de controlada</v>
      </c>
      <c r="Y445" s="118">
        <v>0</v>
      </c>
      <c r="Z445" s="118">
        <v>0</v>
      </c>
      <c r="AA445" s="118">
        <f>SUM(Y445:Z445)</f>
        <v>0</v>
      </c>
    </row>
    <row r="446" spans="1:27" x14ac:dyDescent="0.2">
      <c r="A446" s="532" t="s">
        <v>2182</v>
      </c>
      <c r="B446" s="532" t="s">
        <v>2183</v>
      </c>
      <c r="D446" s="129" t="str">
        <f>IF([1]RENAME!$H$3=1,B446,A446)</f>
        <v>Alteração de participação societária</v>
      </c>
      <c r="E446" s="118" t="s">
        <v>160</v>
      </c>
      <c r="F446" s="118" t="s">
        <v>160</v>
      </c>
      <c r="G446" s="118" t="s">
        <v>160</v>
      </c>
      <c r="H446" s="118" t="s">
        <v>160</v>
      </c>
      <c r="I446" s="118" t="s">
        <v>160</v>
      </c>
      <c r="J446" s="118">
        <f>'[3]9 Invest. NL'!$AK$69</f>
        <v>0</v>
      </c>
      <c r="K446" s="118" t="s">
        <v>160</v>
      </c>
      <c r="L446" s="118" t="s">
        <v>160</v>
      </c>
      <c r="M446" s="118">
        <v>0</v>
      </c>
      <c r="N446" s="118" t="s">
        <v>160</v>
      </c>
      <c r="O446" s="118" t="s">
        <v>160</v>
      </c>
      <c r="P446" s="118" t="s">
        <v>160</v>
      </c>
      <c r="Q446" s="118" t="s">
        <v>160</v>
      </c>
      <c r="R446" s="118" t="s">
        <v>160</v>
      </c>
      <c r="S446" s="118" t="s">
        <v>160</v>
      </c>
      <c r="T446" s="118" t="s">
        <v>160</v>
      </c>
      <c r="U446" s="118" t="s">
        <v>160</v>
      </c>
      <c r="V446" s="118">
        <f t="shared" si="87"/>
        <v>0</v>
      </c>
      <c r="W446" s="612"/>
      <c r="X446" s="129" t="str">
        <f>IF([1]RENAME!$H$3=1,B446,A446)</f>
        <v>Alteração de participação societária</v>
      </c>
      <c r="Y446" s="118">
        <v>0</v>
      </c>
      <c r="Z446" s="118">
        <v>0</v>
      </c>
      <c r="AA446" s="118">
        <v>0</v>
      </c>
    </row>
    <row r="447" spans="1:27" x14ac:dyDescent="0.2">
      <c r="A447" s="532" t="s">
        <v>1831</v>
      </c>
      <c r="B447" s="532" t="s">
        <v>1832</v>
      </c>
      <c r="D447" s="129" t="str">
        <f>IF([1]RENAME!$H$3=1,B447,A447)</f>
        <v>Aumento (Redução) de capital</v>
      </c>
      <c r="E447" s="118" t="s">
        <v>160</v>
      </c>
      <c r="F447" s="118" t="s">
        <v>160</v>
      </c>
      <c r="G447" s="260">
        <f>'[3]9 Invest. NL'!$Y$70-G435</f>
        <v>0</v>
      </c>
      <c r="H447" s="118" t="s">
        <v>160</v>
      </c>
      <c r="I447" s="118">
        <f>'[3]9 Invest. NL'!$AM$70</f>
        <v>0</v>
      </c>
      <c r="J447" s="118">
        <f>'[3]9 Invest. NL'!$AK$70-J423-J411+1</f>
        <v>5001</v>
      </c>
      <c r="K447" s="118" t="s">
        <v>160</v>
      </c>
      <c r="L447" s="118" t="s">
        <v>160</v>
      </c>
      <c r="M447" s="118">
        <v>0</v>
      </c>
      <c r="N447" s="118" t="s">
        <v>160</v>
      </c>
      <c r="O447" s="118" t="s">
        <v>160</v>
      </c>
      <c r="P447" s="118">
        <v>0</v>
      </c>
      <c r="Q447" s="118">
        <v>0</v>
      </c>
      <c r="R447" s="118">
        <v>0</v>
      </c>
      <c r="S447" s="118">
        <v>0</v>
      </c>
      <c r="T447" s="118">
        <f>'[3]9.c Investimentos'!Q137</f>
        <v>0</v>
      </c>
      <c r="U447" s="118">
        <f>'[3]9.c Investimentos'!R137</f>
        <v>0</v>
      </c>
      <c r="V447" s="118">
        <f t="shared" si="87"/>
        <v>5001</v>
      </c>
      <c r="W447" s="612"/>
      <c r="X447" s="129" t="str">
        <f>IF([1]RENAME!$H$3=1,B447,A447)</f>
        <v>Aumento (Redução) de capital</v>
      </c>
      <c r="Y447" s="118">
        <v>0</v>
      </c>
      <c r="Z447" s="118">
        <v>0</v>
      </c>
      <c r="AA447" s="118">
        <f t="shared" ref="AA447:AA453" si="88">SUM(Y447:Z447)</f>
        <v>0</v>
      </c>
    </row>
    <row r="448" spans="1:27" x14ac:dyDescent="0.2">
      <c r="A448" s="532" t="s">
        <v>2210</v>
      </c>
      <c r="B448" s="532" t="s">
        <v>2211</v>
      </c>
      <c r="D448" s="129" t="str">
        <f>IF([1]RENAME!$H$3=1,B448,A448)</f>
        <v xml:space="preserve">Aquisição na participação societária </v>
      </c>
      <c r="E448" s="118" t="s">
        <v>160</v>
      </c>
      <c r="F448" s="118" t="s">
        <v>160</v>
      </c>
      <c r="G448" s="118" t="s">
        <v>160</v>
      </c>
      <c r="H448" s="118" t="s">
        <v>160</v>
      </c>
      <c r="I448" s="118" t="s">
        <v>160</v>
      </c>
      <c r="J448" s="118" t="s">
        <v>160</v>
      </c>
      <c r="K448" s="118" t="s">
        <v>160</v>
      </c>
      <c r="L448" s="118" t="s">
        <v>160</v>
      </c>
      <c r="M448" s="118">
        <v>0</v>
      </c>
      <c r="N448" s="118" t="s">
        <v>160</v>
      </c>
      <c r="O448" s="118" t="s">
        <v>160</v>
      </c>
      <c r="P448" s="118" t="s">
        <v>160</v>
      </c>
      <c r="Q448" s="118" t="s">
        <v>160</v>
      </c>
      <c r="R448" s="118" t="s">
        <v>160</v>
      </c>
      <c r="S448" s="118" t="s">
        <v>160</v>
      </c>
      <c r="T448" s="118" t="s">
        <v>160</v>
      </c>
      <c r="U448" s="118" t="s">
        <v>160</v>
      </c>
      <c r="V448" s="118">
        <f t="shared" si="87"/>
        <v>0</v>
      </c>
      <c r="W448" s="612"/>
      <c r="X448" s="129" t="str">
        <f>IF([1]RENAME!$H$3=1,B448,A448)</f>
        <v xml:space="preserve">Aquisição na participação societária </v>
      </c>
      <c r="Y448" s="118">
        <v>0</v>
      </c>
      <c r="Z448" s="118" t="s">
        <v>160</v>
      </c>
      <c r="AA448" s="118">
        <f t="shared" si="88"/>
        <v>0</v>
      </c>
    </row>
    <row r="449" spans="1:27" x14ac:dyDescent="0.2">
      <c r="A449" s="532" t="s">
        <v>1976</v>
      </c>
      <c r="D449" s="129" t="str">
        <f>IF([1]RENAME!$H$3=1,B449,A449)</f>
        <v xml:space="preserve">Aumento na participação societária </v>
      </c>
      <c r="E449" s="118" t="s">
        <v>160</v>
      </c>
      <c r="F449" s="118" t="s">
        <v>160</v>
      </c>
      <c r="G449" s="118" t="s">
        <v>160</v>
      </c>
      <c r="H449" s="118" t="s">
        <v>160</v>
      </c>
      <c r="I449" s="118" t="s">
        <v>160</v>
      </c>
      <c r="J449" s="118" t="s">
        <v>160</v>
      </c>
      <c r="K449" s="118" t="s">
        <v>160</v>
      </c>
      <c r="L449" s="118" t="s">
        <v>160</v>
      </c>
      <c r="M449" s="118">
        <v>0</v>
      </c>
      <c r="N449" s="118" t="s">
        <v>160</v>
      </c>
      <c r="O449" s="118" t="s">
        <v>160</v>
      </c>
      <c r="P449" s="118">
        <v>0</v>
      </c>
      <c r="Q449" s="118">
        <v>0</v>
      </c>
      <c r="R449" s="118">
        <v>0</v>
      </c>
      <c r="S449" s="118">
        <v>0</v>
      </c>
      <c r="T449" s="118">
        <v>0</v>
      </c>
      <c r="U449" s="118">
        <v>0</v>
      </c>
      <c r="V449" s="118">
        <f t="shared" si="87"/>
        <v>0</v>
      </c>
      <c r="W449" s="612"/>
      <c r="X449" s="129" t="str">
        <f>IF([1]RENAME!$H$3=1,B449,A449)</f>
        <v xml:space="preserve">Aumento na participação societária </v>
      </c>
      <c r="Y449" s="118">
        <v>0</v>
      </c>
      <c r="Z449" s="118">
        <v>0</v>
      </c>
      <c r="AA449" s="118">
        <f t="shared" si="88"/>
        <v>0</v>
      </c>
    </row>
    <row r="450" spans="1:27" x14ac:dyDescent="0.2">
      <c r="A450" s="532" t="s">
        <v>1311</v>
      </c>
      <c r="B450" s="532" t="s">
        <v>1480</v>
      </c>
      <c r="D450" s="129" t="str">
        <f>IF([1]RENAME!$H$3=1,B450,A450)</f>
        <v>Reestruturação societária</v>
      </c>
      <c r="E450" s="118" t="s">
        <v>160</v>
      </c>
      <c r="F450" s="118" t="s">
        <v>160</v>
      </c>
      <c r="G450" s="118" t="s">
        <v>160</v>
      </c>
      <c r="H450" s="118" t="s">
        <v>160</v>
      </c>
      <c r="I450" s="118" t="s">
        <v>160</v>
      </c>
      <c r="J450" s="118" t="s">
        <v>160</v>
      </c>
      <c r="K450" s="118" t="s">
        <v>160</v>
      </c>
      <c r="L450" s="118" t="s">
        <v>160</v>
      </c>
      <c r="M450" s="118">
        <v>0</v>
      </c>
      <c r="N450" s="118" t="s">
        <v>160</v>
      </c>
      <c r="O450" s="118" t="s">
        <v>160</v>
      </c>
      <c r="P450" s="118">
        <v>0</v>
      </c>
      <c r="Q450" s="118">
        <v>0</v>
      </c>
      <c r="R450" s="118">
        <v>0</v>
      </c>
      <c r="S450" s="118">
        <v>0</v>
      </c>
      <c r="T450" s="118">
        <f>'[3]9.c Investimentos'!Q138</f>
        <v>0</v>
      </c>
      <c r="U450" s="118">
        <f>'[3]9.c Investimentos'!R138</f>
        <v>0</v>
      </c>
      <c r="V450" s="118">
        <f t="shared" si="87"/>
        <v>0</v>
      </c>
      <c r="W450" s="612"/>
      <c r="X450" s="129" t="str">
        <f>IF([1]RENAME!$H$3=1,B450,A450)</f>
        <v>Reestruturação societária</v>
      </c>
      <c r="Y450" s="118">
        <v>0</v>
      </c>
      <c r="Z450" s="118">
        <v>0</v>
      </c>
      <c r="AA450" s="118">
        <f t="shared" si="88"/>
        <v>0</v>
      </c>
    </row>
    <row r="451" spans="1:27" x14ac:dyDescent="0.2">
      <c r="A451" s="532" t="s">
        <v>430</v>
      </c>
      <c r="B451" s="532" t="s">
        <v>648</v>
      </c>
      <c r="D451" s="129" t="str">
        <f>IF([1]RENAME!$H$3=1,B451,A451)</f>
        <v>Dividendos</v>
      </c>
      <c r="E451" s="118">
        <f>'[3]9 Invest. NL'!$U$71-E427-E415</f>
        <v>-1414</v>
      </c>
      <c r="F451" s="118">
        <f>'[3]9 Invest. NL'!$W$71-F427-F415</f>
        <v>-5254</v>
      </c>
      <c r="G451" s="118">
        <f>'[3]9 Invest. NL'!$Y$71</f>
        <v>0</v>
      </c>
      <c r="H451" s="118" t="s">
        <v>160</v>
      </c>
      <c r="I451" s="118">
        <f>'[3]9 Invest. NL'!$AM$71</f>
        <v>0</v>
      </c>
      <c r="J451" s="118">
        <f>'[3]9 Invest. NL'!$AK$71-J427-J415</f>
        <v>0</v>
      </c>
      <c r="K451" s="118">
        <f>'[3]9 Invest. NL'!$AC$71-K427-K415</f>
        <v>-134</v>
      </c>
      <c r="L451" s="118" t="s">
        <v>160</v>
      </c>
      <c r="M451" s="118">
        <v>0</v>
      </c>
      <c r="N451" s="118" t="s">
        <v>160</v>
      </c>
      <c r="O451" s="118" t="s">
        <v>160</v>
      </c>
      <c r="P451" s="118">
        <v>0</v>
      </c>
      <c r="Q451" s="118">
        <v>0</v>
      </c>
      <c r="R451" s="118">
        <v>0</v>
      </c>
      <c r="S451" s="118">
        <v>0</v>
      </c>
      <c r="T451" s="118">
        <f>'[3]9.c Investimentos'!Q139</f>
        <v>0</v>
      </c>
      <c r="U451" s="118">
        <f>'[3]9.c Investimentos'!R139</f>
        <v>0</v>
      </c>
      <c r="V451" s="118">
        <f t="shared" si="87"/>
        <v>-6802</v>
      </c>
      <c r="W451" s="612"/>
      <c r="X451" s="129" t="str">
        <f>IF([1]RENAME!$H$3=1,B451,A451)</f>
        <v>Dividendos</v>
      </c>
      <c r="Y451" s="118">
        <f>'[3]9 Invest. NL'!$AX$112</f>
        <v>0</v>
      </c>
      <c r="Z451" s="118">
        <v>0</v>
      </c>
      <c r="AA451" s="118">
        <f t="shared" si="88"/>
        <v>0</v>
      </c>
    </row>
    <row r="452" spans="1:27" x14ac:dyDescent="0.2">
      <c r="A452" s="532" t="s">
        <v>1412</v>
      </c>
      <c r="B452" s="532" t="s">
        <v>1413</v>
      </c>
      <c r="D452" s="129" t="str">
        <f>IF([1]RENAME!$H$3=1,B452,A452)</f>
        <v>Constituição/baixa ágio (GDL-TLI)</v>
      </c>
      <c r="E452" s="118" t="s">
        <v>160</v>
      </c>
      <c r="F452" s="118" t="s">
        <v>160</v>
      </c>
      <c r="G452" s="118" t="s">
        <v>160</v>
      </c>
      <c r="H452" s="118" t="s">
        <v>160</v>
      </c>
      <c r="I452" s="118" t="s">
        <v>160</v>
      </c>
      <c r="J452" s="118" t="s">
        <v>160</v>
      </c>
      <c r="K452" s="118" t="s">
        <v>160</v>
      </c>
      <c r="L452" s="118" t="s">
        <v>160</v>
      </c>
      <c r="M452" s="118">
        <v>0</v>
      </c>
      <c r="N452" s="118" t="s">
        <v>160</v>
      </c>
      <c r="O452" s="118" t="s">
        <v>160</v>
      </c>
      <c r="P452" s="118">
        <v>0</v>
      </c>
      <c r="Q452" s="118">
        <v>0</v>
      </c>
      <c r="R452" s="118">
        <v>0</v>
      </c>
      <c r="S452" s="118">
        <v>0</v>
      </c>
      <c r="T452" s="118">
        <f>'[3]9.c Investimentos'!Q140</f>
        <v>0</v>
      </c>
      <c r="U452" s="118">
        <f>'[3]9.c Investimentos'!R140</f>
        <v>0</v>
      </c>
      <c r="V452" s="118">
        <f t="shared" si="87"/>
        <v>0</v>
      </c>
      <c r="W452" s="612"/>
      <c r="X452" s="129" t="str">
        <f>IF([1]RENAME!$H$3=1,B452,A452)</f>
        <v>Constituição/baixa ágio (GDL-TLI)</v>
      </c>
      <c r="Y452" s="118">
        <v>0</v>
      </c>
      <c r="Z452" s="118">
        <v>0</v>
      </c>
      <c r="AA452" s="118">
        <f t="shared" si="88"/>
        <v>0</v>
      </c>
    </row>
    <row r="453" spans="1:27" x14ac:dyDescent="0.2">
      <c r="A453" s="532" t="s">
        <v>49</v>
      </c>
      <c r="B453" s="532" t="s">
        <v>728</v>
      </c>
      <c r="D453" s="129" t="str">
        <f>IF([1]RENAME!$H$3=1,B453,A453)</f>
        <v>Outros</v>
      </c>
      <c r="E453" s="118" t="s">
        <v>160</v>
      </c>
      <c r="F453" s="118" t="s">
        <v>160</v>
      </c>
      <c r="G453" s="118" t="s">
        <v>160</v>
      </c>
      <c r="H453" s="118" t="s">
        <v>160</v>
      </c>
      <c r="I453" s="118" t="s">
        <v>160</v>
      </c>
      <c r="J453" s="118" t="s">
        <v>160</v>
      </c>
      <c r="K453" s="118" t="s">
        <v>160</v>
      </c>
      <c r="L453" s="118" t="s">
        <v>160</v>
      </c>
      <c r="M453" s="118">
        <v>0</v>
      </c>
      <c r="N453" s="118" t="s">
        <v>160</v>
      </c>
      <c r="O453" s="118" t="s">
        <v>160</v>
      </c>
      <c r="P453" s="118">
        <v>0</v>
      </c>
      <c r="Q453" s="118">
        <v>0</v>
      </c>
      <c r="R453" s="118">
        <v>0</v>
      </c>
      <c r="S453" s="118">
        <v>0</v>
      </c>
      <c r="T453" s="118">
        <f>'[3]9.c Investimentos'!Q141</f>
        <v>0</v>
      </c>
      <c r="U453" s="118">
        <f>'[3]9.c Investimentos'!R141</f>
        <v>0</v>
      </c>
      <c r="V453" s="118">
        <f t="shared" si="87"/>
        <v>0</v>
      </c>
      <c r="W453" s="612"/>
      <c r="X453" s="129" t="str">
        <f>IF([1]RENAME!$H$3=1,B453,A453)</f>
        <v>Outros</v>
      </c>
      <c r="Y453" s="118">
        <v>0</v>
      </c>
      <c r="Z453" s="118">
        <v>0</v>
      </c>
      <c r="AA453" s="118">
        <f t="shared" si="88"/>
        <v>0</v>
      </c>
    </row>
    <row r="454" spans="1:27" x14ac:dyDescent="0.2">
      <c r="A454" s="532" t="s">
        <v>2321</v>
      </c>
      <c r="B454" s="532" t="s">
        <v>2322</v>
      </c>
      <c r="D454" s="126" t="str">
        <f>IF([1]RENAME!$H$3=1,B454,A454)</f>
        <v>Em 31 de março de 2026</v>
      </c>
      <c r="E454" s="120">
        <f t="shared" ref="E454:K454" si="89">SUM(E442:E453)</f>
        <v>59815</v>
      </c>
      <c r="F454" s="120">
        <f t="shared" si="89"/>
        <v>38219</v>
      </c>
      <c r="G454" s="120">
        <f t="shared" si="89"/>
        <v>165939</v>
      </c>
      <c r="H454" s="120">
        <f t="shared" si="89"/>
        <v>14298</v>
      </c>
      <c r="I454" s="120">
        <f t="shared" si="89"/>
        <v>57218</v>
      </c>
      <c r="J454" s="120">
        <f t="shared" si="89"/>
        <v>37013</v>
      </c>
      <c r="K454" s="120">
        <f t="shared" si="89"/>
        <v>1468</v>
      </c>
      <c r="L454" s="120">
        <f t="shared" ref="L454:U454" si="90">SUM(L430:L453)</f>
        <v>0</v>
      </c>
      <c r="M454" s="120">
        <f t="shared" si="90"/>
        <v>0</v>
      </c>
      <c r="N454" s="120">
        <f t="shared" si="90"/>
        <v>0</v>
      </c>
      <c r="O454" s="120">
        <f t="shared" si="90"/>
        <v>0</v>
      </c>
      <c r="P454" s="120">
        <f t="shared" si="90"/>
        <v>0</v>
      </c>
      <c r="Q454" s="120">
        <f t="shared" si="90"/>
        <v>0</v>
      </c>
      <c r="R454" s="120">
        <f t="shared" si="90"/>
        <v>0</v>
      </c>
      <c r="S454" s="120">
        <f t="shared" si="90"/>
        <v>0</v>
      </c>
      <c r="T454" s="120">
        <f t="shared" si="90"/>
        <v>0</v>
      </c>
      <c r="U454" s="120">
        <f t="shared" si="90"/>
        <v>0</v>
      </c>
      <c r="V454" s="120">
        <f>SUM(V442:V453)</f>
        <v>373970</v>
      </c>
      <c r="W454" s="612"/>
      <c r="X454" s="126" t="str">
        <f>IF([1]RENAME!$H$3=1,B454,A454)</f>
        <v>Em 31 de março de 2026</v>
      </c>
      <c r="Y454" s="120">
        <f>SUM(Y442:Y453)</f>
        <v>57218</v>
      </c>
      <c r="Z454" s="120">
        <f>SUM(Z442:Z453)</f>
        <v>13548</v>
      </c>
      <c r="AA454" s="120">
        <f>SUM(AA442:AA453)</f>
        <v>70765</v>
      </c>
    </row>
  </sheetData>
  <pageMargins left="0.511811024" right="0.511811024" top="0.78740157499999996" bottom="0.78740157499999996" header="0.31496062000000002" footer="0.31496062000000002"/>
  <pageSetup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34">
    <pageSetUpPr autoPageBreaks="0"/>
  </sheetPr>
  <dimension ref="A1:N441"/>
  <sheetViews>
    <sheetView showGridLines="0" zoomScaleNormal="100" workbookViewId="0">
      <pane xSplit="3" ySplit="5" topLeftCell="D6" activePane="bottomRight" state="frozen"/>
      <selection activeCell="N57" sqref="N57"/>
      <selection pane="topRight" activeCell="N57" sqref="N57"/>
      <selection pane="bottomLeft" activeCell="N57" sqref="N57"/>
      <selection pane="bottomRight" activeCell="H6" sqref="H6"/>
    </sheetView>
  </sheetViews>
  <sheetFormatPr defaultRowHeight="12.75" outlineLevelCol="1" x14ac:dyDescent="0.2"/>
  <cols>
    <col min="1" max="2" width="9.140625" hidden="1" customWidth="1"/>
    <col min="3" max="3" width="1.42578125" customWidth="1"/>
    <col min="4" max="4" width="21.42578125" customWidth="1"/>
    <col min="5" max="8" width="10.85546875" customWidth="1"/>
    <col min="9" max="10" width="10.85546875" customWidth="1" outlineLevel="1"/>
    <col min="11" max="11" width="10.85546875" customWidth="1"/>
    <col min="12" max="12" width="10.140625" bestFit="1" customWidth="1"/>
    <col min="13" max="13" width="11.140625" bestFit="1" customWidth="1"/>
    <col min="15" max="15" width="10.140625" bestFit="1" customWidth="1"/>
  </cols>
  <sheetData>
    <row r="1" spans="1:11" ht="7.5" customHeight="1" x14ac:dyDescent="0.2"/>
    <row r="2" spans="1:11" ht="12.75" customHeight="1" x14ac:dyDescent="0.2"/>
    <row r="3" spans="1:11" ht="12.75" customHeight="1" x14ac:dyDescent="0.2"/>
    <row r="4" spans="1:11" ht="12.75" customHeight="1" x14ac:dyDescent="0.2"/>
    <row r="5" spans="1:11" ht="38.25" x14ac:dyDescent="0.2">
      <c r="A5" t="s">
        <v>89</v>
      </c>
      <c r="B5" t="s">
        <v>89</v>
      </c>
      <c r="D5" s="141" t="str">
        <f>IF([1]RENAME!$H$3=1,B5,A5)</f>
        <v xml:space="preserve"> </v>
      </c>
      <c r="E5" s="139" t="str">
        <f>IF([1]RENAME!$H$3=1,"Assets","Ativo")</f>
        <v>Ativo</v>
      </c>
      <c r="F5" s="139" t="str">
        <f>IF([1]RENAME!$H$3=1,"Liabilities","Passivo")</f>
        <v>Passivo</v>
      </c>
      <c r="G5" s="139" t="str">
        <f>IF([1]RENAME!$H$3=1,"Equity","Patrimônio líquido")</f>
        <v>Patrimônio líquido</v>
      </c>
      <c r="H5" s="139" t="str">
        <f>IF([1]RENAME!$H$3=1,"Accumulated net revenue","Receita líquida acumulada")</f>
        <v>Receita líquida acumulada</v>
      </c>
      <c r="I5" s="139" t="str">
        <f>IF([1]RENAME!$H$3=1,"Gross income","Lucro bruto")</f>
        <v>Lucro bruto</v>
      </c>
      <c r="J5" s="139" t="str">
        <f>IF([1]RENAME!$H$3=1,"Operating income (loss)","Lucro (prejuízo) operacional")</f>
        <v>Lucro (prejuízo) operacional</v>
      </c>
      <c r="K5" s="139" t="str">
        <f>IF([1]RENAME!$H$3=1,"Net income (loss)","Lucro (prejuízo) do período")</f>
        <v>Lucro (prejuízo) do período</v>
      </c>
    </row>
    <row r="6" spans="1:11" x14ac:dyDescent="0.2">
      <c r="A6" t="s">
        <v>213</v>
      </c>
      <c r="B6" t="s">
        <v>213</v>
      </c>
      <c r="D6" s="129" t="str">
        <f>IF([1]RENAME!$H$3=1,B6,A6)</f>
        <v>TCE</v>
      </c>
      <c r="E6" s="118">
        <f>'[3]9 Invest. NL'!$BO$143</f>
        <v>105559</v>
      </c>
      <c r="F6" s="118">
        <f>'[3]9 Invest. NL'!$BO$144</f>
        <v>52107</v>
      </c>
      <c r="G6" s="118">
        <f>'[3]9 Invest. NL'!$BO$145</f>
        <v>53452</v>
      </c>
      <c r="H6" s="118">
        <f>'[3]9 Invest. NL'!$CJ$183</f>
        <v>45972</v>
      </c>
      <c r="I6" s="118">
        <f>'[3]9 Invest. NL'!$CJ$186</f>
        <v>5916</v>
      </c>
      <c r="J6" s="118">
        <f>'[3]9 Invest. NL'!$CJ$193</f>
        <v>4191</v>
      </c>
      <c r="K6" s="118">
        <f>'[3]9 Invest. NL'!$CJ$202</f>
        <v>2086</v>
      </c>
    </row>
    <row r="7" spans="1:11" x14ac:dyDescent="0.2">
      <c r="A7" t="s">
        <v>599</v>
      </c>
      <c r="B7" t="s">
        <v>599</v>
      </c>
      <c r="D7" s="129" t="str">
        <f>IF([1]RENAME!$H$3=1,B7,A7)</f>
        <v>TLA</v>
      </c>
      <c r="E7" s="118">
        <f>'[3]9 Invest. NL'!$BQ$143</f>
        <v>55472</v>
      </c>
      <c r="F7" s="118">
        <f>'[3]9 Invest. NL'!$BQ$144</f>
        <v>17253</v>
      </c>
      <c r="G7" s="118">
        <f>'[3]9 Invest. NL'!$BQ$145</f>
        <v>38219</v>
      </c>
      <c r="H7" s="118">
        <f>'[3]9 Invest. NL'!$CL$183</f>
        <v>36705</v>
      </c>
      <c r="I7" s="118">
        <f>'[3]9 Invest. NL'!$CL$186</f>
        <v>8329</v>
      </c>
      <c r="J7" s="118">
        <f>'[3]9 Invest. NL'!$CL$193</f>
        <v>5805</v>
      </c>
      <c r="K7" s="118">
        <f>'[3]9 Invest. NL'!$CL$202</f>
        <v>4036</v>
      </c>
    </row>
    <row r="8" spans="1:11" x14ac:dyDescent="0.2">
      <c r="A8" t="s">
        <v>215</v>
      </c>
      <c r="B8" t="s">
        <v>215</v>
      </c>
      <c r="D8" s="129" t="str">
        <f>IF([1]RENAME!$H$3=1,B8,A8)</f>
        <v>Niyati</v>
      </c>
      <c r="E8" s="118">
        <f>'[3]9 Invest. NL'!$BS$143</f>
        <v>191357</v>
      </c>
      <c r="F8" s="118">
        <f>'[3]9 Invest. NL'!$BS$144</f>
        <v>25418</v>
      </c>
      <c r="G8" s="118">
        <f>'[3]9 Invest. NL'!$BS$145</f>
        <v>165939</v>
      </c>
      <c r="H8" s="118">
        <f>'[3]9 Invest. NL'!$CN$183</f>
        <v>3567</v>
      </c>
      <c r="I8" s="118">
        <f>'[3]9 Invest. NL'!$CN$186</f>
        <v>1979</v>
      </c>
      <c r="J8" s="118">
        <f>'[3]9 Invest. NL'!$CN$193</f>
        <v>1921</v>
      </c>
      <c r="K8" s="118">
        <f>'[3]9 Invest. NL'!$CN$202</f>
        <v>2491</v>
      </c>
    </row>
    <row r="9" spans="1:11" x14ac:dyDescent="0.2">
      <c r="A9" t="s">
        <v>1327</v>
      </c>
      <c r="B9" t="s">
        <v>1327</v>
      </c>
      <c r="D9" s="129" t="str">
        <f>IF([1]RENAME!$H$3=1,B9,A9)</f>
        <v>Tegup</v>
      </c>
      <c r="E9" s="118">
        <f>'[3]9 Invest. NL'!$BY$143</f>
        <v>14301</v>
      </c>
      <c r="F9" s="118">
        <f>'[3]9 Invest. NL'!$BY$144</f>
        <v>3</v>
      </c>
      <c r="G9" s="118">
        <f>'[3]9 Invest. NL'!$BY$145</f>
        <v>14298</v>
      </c>
      <c r="H9" s="118">
        <f>'[3]9 Invest. NL'!$CT$183</f>
        <v>0</v>
      </c>
      <c r="I9" s="118">
        <f>'[3]9 Invest. NL'!$CT$186</f>
        <v>-1</v>
      </c>
      <c r="J9" s="118">
        <f>'[3]9 Invest. NL'!$CT$193</f>
        <v>-2</v>
      </c>
      <c r="K9" s="118">
        <f>'[3]9 Invest. NL'!$CT$202</f>
        <v>-161</v>
      </c>
    </row>
    <row r="10" spans="1:11" x14ac:dyDescent="0.2">
      <c r="A10" s="129" t="s">
        <v>2273</v>
      </c>
      <c r="B10" s="129" t="s">
        <v>2273</v>
      </c>
      <c r="D10" s="129" t="str">
        <f>IF([1]RENAME!$H$3=1,B10,A10)</f>
        <v>Fastline</v>
      </c>
      <c r="E10" s="118">
        <f>'[3]9 Invest. NL'!$CC$143</f>
        <v>62122</v>
      </c>
      <c r="F10" s="118">
        <f>'[3]9 Invest. NL'!$CC$144</f>
        <v>25110</v>
      </c>
      <c r="G10" s="118">
        <f>'[3]9 Invest. NL'!$CC$145</f>
        <v>37012</v>
      </c>
      <c r="H10" s="118">
        <f>'[3]9 Invest. NL'!$CX$183</f>
        <v>34821</v>
      </c>
      <c r="I10" s="118">
        <f>'[3]9 Invest. NL'!$CX$186</f>
        <v>10843</v>
      </c>
      <c r="J10" s="118">
        <f>'[3]9 Invest. NL'!$CX$193</f>
        <v>4514</v>
      </c>
      <c r="K10" s="118">
        <f>'[3]9 Invest. NL'!$CX$202</f>
        <v>2951</v>
      </c>
    </row>
    <row r="11" spans="1:11" x14ac:dyDescent="0.2">
      <c r="A11" s="129"/>
      <c r="B11" s="129"/>
      <c r="D11" s="129" t="s">
        <v>2295</v>
      </c>
      <c r="E11" s="118">
        <f>'[3]9 Invest. NL'!$CE$143</f>
        <v>3948</v>
      </c>
      <c r="F11" s="118">
        <f>'[3]9 Invest. NL'!$CE$144</f>
        <v>1681</v>
      </c>
      <c r="G11" s="118">
        <f>'[3]9 Invest. NL'!$CE$145</f>
        <v>2267</v>
      </c>
      <c r="H11" s="118">
        <f>'[3]9 Invest. NL'!$CZ$183</f>
        <v>5301</v>
      </c>
      <c r="I11" s="118">
        <f>'[3]9 Invest. NL'!$CZ$186</f>
        <v>403</v>
      </c>
      <c r="J11" s="118">
        <f>'[3]9 Invest. NL'!$CZ$193</f>
        <v>-831</v>
      </c>
      <c r="K11" s="118">
        <f>'[3]9 Invest. NL'!$CZ$202</f>
        <v>-442</v>
      </c>
    </row>
    <row r="12" spans="1:11" x14ac:dyDescent="0.2">
      <c r="A12" t="s">
        <v>2193</v>
      </c>
      <c r="B12" t="s">
        <v>2194</v>
      </c>
      <c r="D12" s="129" t="str">
        <f>IF([1]RENAME!$H$3=1,B12,A12)</f>
        <v>Outros¹</v>
      </c>
      <c r="E12" s="118">
        <f>'[3]9 Invest. NL'!$BW$143+'[3]9 Invest. NL'!$BU$143</f>
        <v>1643</v>
      </c>
      <c r="F12" s="118">
        <f>+'[3]9 Invest. NL'!$BW$144+'[3]9 Invest. NL'!$BU$144</f>
        <v>174</v>
      </c>
      <c r="G12" s="118">
        <f>+'[3]9 Invest. NL'!$BW$145+'[3]9 Invest. NL'!$BU$145</f>
        <v>1469</v>
      </c>
      <c r="H12" s="118">
        <f>SUM('[3]9 Invest. NL'!$CP$183,$CV$210,)</f>
        <v>0</v>
      </c>
      <c r="I12" s="118">
        <f>SUM('[3]9 Invest. NL'!$CP$186,$CV$213,)</f>
        <v>0</v>
      </c>
      <c r="J12" s="118">
        <f>SUM('[3]9 Invest. NL'!$CP$193,$CV$220,)</f>
        <v>-2</v>
      </c>
      <c r="K12" s="118">
        <f>SUM('[3]9 Invest. NL'!$CP$202,$CV$229,)</f>
        <v>54</v>
      </c>
    </row>
    <row r="13" spans="1:11" x14ac:dyDescent="0.2">
      <c r="A13" t="s">
        <v>2394</v>
      </c>
      <c r="B13" t="s">
        <v>2395</v>
      </c>
      <c r="D13" s="126" t="str">
        <f>IF([1]RENAME!$H$3=1,B13,A13)</f>
        <v>30 de junho de 2026</v>
      </c>
      <c r="E13" s="120">
        <f t="shared" ref="E13:J13" si="0">SUM(E6:E12)</f>
        <v>434402</v>
      </c>
      <c r="F13" s="120">
        <f t="shared" si="0"/>
        <v>121746</v>
      </c>
      <c r="G13" s="120">
        <f t="shared" si="0"/>
        <v>312656</v>
      </c>
      <c r="H13" s="120">
        <f t="shared" si="0"/>
        <v>126366</v>
      </c>
      <c r="I13" s="120">
        <f t="shared" si="0"/>
        <v>27469</v>
      </c>
      <c r="J13" s="120">
        <f t="shared" si="0"/>
        <v>15596</v>
      </c>
      <c r="K13" s="120">
        <f>SUM(K6:K12)</f>
        <v>11015</v>
      </c>
    </row>
    <row r="14" spans="1:11" x14ac:dyDescent="0.2">
      <c r="A14" t="s">
        <v>2278</v>
      </c>
      <c r="B14" t="s">
        <v>2277</v>
      </c>
      <c r="D14" s="1176" t="str">
        <f>IF([1]RENAME!$H$3=1,B14,A14)</f>
        <v>¹ Refere-se às controladas Tech Cargo Plataforma de Transportes Ltda e Tegmax Comércio e Serviços Automotivos Ltda</v>
      </c>
      <c r="E14" s="183"/>
      <c r="F14" s="183"/>
      <c r="G14" s="183"/>
      <c r="H14" s="183"/>
      <c r="I14" s="183"/>
      <c r="J14" s="183"/>
      <c r="K14" s="183"/>
    </row>
    <row r="15" spans="1:11" x14ac:dyDescent="0.2">
      <c r="A15" t="s">
        <v>213</v>
      </c>
      <c r="B15" t="s">
        <v>213</v>
      </c>
      <c r="D15" s="129" t="str">
        <f>IF([1]RENAME!$H$3=1,B15,A15)</f>
        <v>TCE</v>
      </c>
      <c r="E15" s="118">
        <v>107279</v>
      </c>
      <c r="F15" s="118">
        <v>53193</v>
      </c>
      <c r="G15" s="118">
        <v>54086</v>
      </c>
      <c r="H15" s="118">
        <v>22794</v>
      </c>
      <c r="I15" s="118">
        <v>3190</v>
      </c>
      <c r="J15" s="118">
        <v>2525</v>
      </c>
      <c r="K15" s="118">
        <v>1306</v>
      </c>
    </row>
    <row r="16" spans="1:11" x14ac:dyDescent="0.2">
      <c r="A16" t="s">
        <v>599</v>
      </c>
      <c r="B16" t="s">
        <v>599</v>
      </c>
      <c r="D16" s="129" t="str">
        <f>IF([1]RENAME!$H$3=1,B16,A16)</f>
        <v>TLA</v>
      </c>
      <c r="E16" s="118">
        <v>53642</v>
      </c>
      <c r="F16" s="118">
        <v>11935</v>
      </c>
      <c r="G16" s="118">
        <v>41707</v>
      </c>
      <c r="H16" s="118">
        <v>17933</v>
      </c>
      <c r="I16" s="118">
        <v>4428</v>
      </c>
      <c r="J16" s="118">
        <v>3291</v>
      </c>
      <c r="K16" s="118">
        <v>2270</v>
      </c>
    </row>
    <row r="17" spans="1:11" x14ac:dyDescent="0.2">
      <c r="A17" t="s">
        <v>215</v>
      </c>
      <c r="B17" t="s">
        <v>215</v>
      </c>
      <c r="D17" s="129" t="str">
        <f>IF([1]RENAME!$H$3=1,B17,A17)</f>
        <v>Niyati</v>
      </c>
      <c r="E17" s="118">
        <v>185696</v>
      </c>
      <c r="F17" s="118">
        <v>21191</v>
      </c>
      <c r="G17" s="118">
        <v>164505</v>
      </c>
      <c r="H17" s="118">
        <v>1769</v>
      </c>
      <c r="I17" s="118">
        <v>979</v>
      </c>
      <c r="J17" s="118">
        <v>952</v>
      </c>
      <c r="K17" s="118">
        <v>1057</v>
      </c>
    </row>
    <row r="18" spans="1:11" x14ac:dyDescent="0.2">
      <c r="A18" t="s">
        <v>1327</v>
      </c>
      <c r="B18" t="s">
        <v>1327</v>
      </c>
      <c r="D18" s="129" t="str">
        <f>IF([1]RENAME!$H$3=1,B18,A18)</f>
        <v>Tegup</v>
      </c>
      <c r="E18" s="118">
        <v>14356</v>
      </c>
      <c r="F18" s="118">
        <v>3</v>
      </c>
      <c r="G18" s="118">
        <v>14353</v>
      </c>
      <c r="H18" s="118">
        <v>0</v>
      </c>
      <c r="I18" s="118">
        <v>-1</v>
      </c>
      <c r="J18" s="118">
        <v>-1</v>
      </c>
      <c r="K18" s="118">
        <v>-106</v>
      </c>
    </row>
    <row r="19" spans="1:11" x14ac:dyDescent="0.2">
      <c r="A19" s="129" t="s">
        <v>2273</v>
      </c>
      <c r="B19" s="129" t="s">
        <v>2273</v>
      </c>
      <c r="D19" s="129" t="str">
        <f>IF([1]RENAME!$H$3=1,B19,A19)</f>
        <v>Fastline</v>
      </c>
      <c r="E19" s="118">
        <v>47199</v>
      </c>
      <c r="F19" s="118">
        <v>16907</v>
      </c>
      <c r="G19" s="118">
        <v>30292</v>
      </c>
      <c r="H19" s="118">
        <v>16975</v>
      </c>
      <c r="I19" s="118">
        <v>5192</v>
      </c>
      <c r="J19" s="118">
        <v>1976</v>
      </c>
      <c r="K19" s="118">
        <v>1231</v>
      </c>
    </row>
    <row r="20" spans="1:11" x14ac:dyDescent="0.2">
      <c r="A20" s="129"/>
      <c r="B20" s="129"/>
      <c r="D20" s="129" t="s">
        <v>2295</v>
      </c>
      <c r="E20" s="118">
        <v>3991</v>
      </c>
      <c r="F20" s="118">
        <v>1442</v>
      </c>
      <c r="G20" s="118">
        <v>2549</v>
      </c>
      <c r="H20" s="118">
        <v>2654</v>
      </c>
      <c r="I20" s="118">
        <v>247</v>
      </c>
      <c r="J20" s="118">
        <v>-323</v>
      </c>
      <c r="K20" s="118">
        <v>-161</v>
      </c>
    </row>
    <row r="21" spans="1:11" x14ac:dyDescent="0.2">
      <c r="A21" t="s">
        <v>2193</v>
      </c>
      <c r="B21" t="s">
        <v>2194</v>
      </c>
      <c r="D21" s="129" t="str">
        <f>IF([1]RENAME!$H$3=1,B21,A21)</f>
        <v>Outros¹</v>
      </c>
      <c r="E21" s="118">
        <v>1615</v>
      </c>
      <c r="F21" s="118">
        <v>40</v>
      </c>
      <c r="G21" s="118">
        <v>1575</v>
      </c>
      <c r="H21" s="118">
        <v>0</v>
      </c>
      <c r="I21" s="118">
        <v>0</v>
      </c>
      <c r="J21" s="118">
        <v>-1</v>
      </c>
      <c r="K21" s="118">
        <v>26</v>
      </c>
    </row>
    <row r="22" spans="1:11" x14ac:dyDescent="0.2">
      <c r="A22" t="s">
        <v>2324</v>
      </c>
      <c r="B22" t="s">
        <v>2325</v>
      </c>
      <c r="D22" s="126" t="str">
        <f>IF([1]RENAME!$H$3=1,B22,A22)</f>
        <v>31 de março de 2026</v>
      </c>
      <c r="E22" s="120">
        <f t="shared" ref="E22:J22" si="1">SUM(E15:E21)</f>
        <v>413778</v>
      </c>
      <c r="F22" s="120">
        <f t="shared" si="1"/>
        <v>104711</v>
      </c>
      <c r="G22" s="120">
        <f t="shared" si="1"/>
        <v>309067</v>
      </c>
      <c r="H22" s="120">
        <f t="shared" si="1"/>
        <v>62125</v>
      </c>
      <c r="I22" s="120">
        <f t="shared" si="1"/>
        <v>14035</v>
      </c>
      <c r="J22" s="120">
        <f t="shared" si="1"/>
        <v>8419</v>
      </c>
      <c r="K22" s="120">
        <f>SUM(K15:K21)</f>
        <v>5623</v>
      </c>
    </row>
    <row r="23" spans="1:11" x14ac:dyDescent="0.2">
      <c r="A23" t="s">
        <v>2278</v>
      </c>
      <c r="B23" t="s">
        <v>2277</v>
      </c>
      <c r="D23" s="1176" t="str">
        <f>IF([1]RENAME!$H$3=1,B23,A23)</f>
        <v>¹ Refere-se às controladas Tech Cargo Plataforma de Transportes Ltda e Tegmax Comércio e Serviços Automotivos Ltda</v>
      </c>
      <c r="E23" s="183"/>
      <c r="F23" s="183"/>
      <c r="G23" s="183"/>
      <c r="H23" s="183"/>
      <c r="I23" s="183"/>
      <c r="J23" s="183"/>
      <c r="K23" s="183"/>
    </row>
    <row r="24" spans="1:11" x14ac:dyDescent="0.2">
      <c r="A24" t="s">
        <v>213</v>
      </c>
      <c r="B24" t="s">
        <v>213</v>
      </c>
      <c r="D24" s="129" t="str">
        <f>IF([1]RENAME!$H$3=1,B24,A24)</f>
        <v>TCE</v>
      </c>
      <c r="E24" s="118">
        <v>107041</v>
      </c>
      <c r="F24" s="118">
        <v>54261</v>
      </c>
      <c r="G24" s="118">
        <v>52780</v>
      </c>
      <c r="H24" s="118">
        <v>99327</v>
      </c>
      <c r="I24" s="118">
        <v>13433</v>
      </c>
      <c r="J24" s="118">
        <v>3764</v>
      </c>
      <c r="K24" s="118">
        <v>1487</v>
      </c>
    </row>
    <row r="25" spans="1:11" x14ac:dyDescent="0.2">
      <c r="A25" t="s">
        <v>599</v>
      </c>
      <c r="B25" t="s">
        <v>599</v>
      </c>
      <c r="D25" s="129" t="str">
        <f>IF([1]RENAME!$H$3=1,B25,A25)</f>
        <v>TLA</v>
      </c>
      <c r="E25" s="118">
        <v>51150</v>
      </c>
      <c r="F25" s="118">
        <v>11713</v>
      </c>
      <c r="G25" s="118">
        <v>39437</v>
      </c>
      <c r="H25" s="118">
        <v>63728</v>
      </c>
      <c r="I25" s="118">
        <v>13377</v>
      </c>
      <c r="J25" s="118">
        <v>10178</v>
      </c>
      <c r="K25" s="118">
        <v>7207</v>
      </c>
    </row>
    <row r="26" spans="1:11" x14ac:dyDescent="0.2">
      <c r="A26" t="s">
        <v>215</v>
      </c>
      <c r="B26" t="s">
        <v>215</v>
      </c>
      <c r="D26" s="129" t="str">
        <f>IF([1]RENAME!$H$3=1,B26,A26)</f>
        <v>Niyati</v>
      </c>
      <c r="E26" s="118">
        <v>158445</v>
      </c>
      <c r="F26" s="118">
        <v>22997</v>
      </c>
      <c r="G26" s="118">
        <v>135448</v>
      </c>
      <c r="H26" s="118">
        <v>6889</v>
      </c>
      <c r="I26" s="118">
        <v>3574</v>
      </c>
      <c r="J26" s="118">
        <v>3345</v>
      </c>
      <c r="K26" s="118">
        <v>3867</v>
      </c>
    </row>
    <row r="27" spans="1:11" x14ac:dyDescent="0.2">
      <c r="A27" t="s">
        <v>1327</v>
      </c>
      <c r="B27" t="s">
        <v>1327</v>
      </c>
      <c r="D27" s="129" t="str">
        <f>IF([1]RENAME!$H$3=1,B27,A27)</f>
        <v>Tegup</v>
      </c>
      <c r="E27" s="118">
        <v>14460</v>
      </c>
      <c r="F27" s="118">
        <v>1</v>
      </c>
      <c r="G27" s="118">
        <v>14459</v>
      </c>
      <c r="H27" s="118">
        <v>0</v>
      </c>
      <c r="I27" s="118">
        <v>-1</v>
      </c>
      <c r="J27" s="118">
        <v>-3</v>
      </c>
      <c r="K27" s="118">
        <v>-1342</v>
      </c>
    </row>
    <row r="28" spans="1:11" x14ac:dyDescent="0.2">
      <c r="A28" s="129" t="s">
        <v>2273</v>
      </c>
      <c r="B28" s="129" t="s">
        <v>2273</v>
      </c>
      <c r="D28" s="129" t="str">
        <f>IF([1]RENAME!$H$3=1,B28,A28)</f>
        <v>Fastline</v>
      </c>
      <c r="E28" s="118">
        <v>44746</v>
      </c>
      <c r="F28" s="118">
        <v>15685</v>
      </c>
      <c r="G28" s="118">
        <v>29061</v>
      </c>
      <c r="H28" s="118">
        <v>58567</v>
      </c>
      <c r="I28" s="118">
        <v>19567</v>
      </c>
      <c r="J28" s="118">
        <v>11875</v>
      </c>
      <c r="K28" s="118">
        <v>6964</v>
      </c>
    </row>
    <row r="29" spans="1:11" x14ac:dyDescent="0.2">
      <c r="A29" s="129"/>
      <c r="B29" s="129"/>
      <c r="D29" s="129" t="s">
        <v>2295</v>
      </c>
      <c r="E29" s="118">
        <v>3961</v>
      </c>
      <c r="F29" s="118">
        <v>1252</v>
      </c>
      <c r="G29" s="118">
        <v>2709</v>
      </c>
      <c r="H29" s="118">
        <v>4795</v>
      </c>
      <c r="I29" s="118">
        <v>-227</v>
      </c>
      <c r="J29" s="118">
        <v>-1420</v>
      </c>
      <c r="K29" s="118">
        <v>-1568</v>
      </c>
    </row>
    <row r="30" spans="1:11" x14ac:dyDescent="0.2">
      <c r="A30" t="s">
        <v>2193</v>
      </c>
      <c r="B30" t="s">
        <v>2194</v>
      </c>
      <c r="D30" s="129" t="str">
        <f>IF([1]RENAME!$H$3=1,B30,A30)</f>
        <v>Outros¹</v>
      </c>
      <c r="E30" s="118">
        <v>1588</v>
      </c>
      <c r="F30" s="118">
        <v>39</v>
      </c>
      <c r="G30" s="118">
        <v>1549</v>
      </c>
      <c r="H30" s="118">
        <v>0</v>
      </c>
      <c r="I30" s="118">
        <v>0</v>
      </c>
      <c r="J30" s="118">
        <v>-18</v>
      </c>
      <c r="K30" s="118">
        <v>134</v>
      </c>
    </row>
    <row r="31" spans="1:11" x14ac:dyDescent="0.2">
      <c r="A31" t="s">
        <v>2307</v>
      </c>
      <c r="B31" t="s">
        <v>2308</v>
      </c>
      <c r="D31" s="126" t="str">
        <f>IF([1]RENAME!$H$3=1,B31,A31)</f>
        <v>31 de dezembro de 2025</v>
      </c>
      <c r="E31" s="120">
        <f t="shared" ref="E31:J31" si="2">SUM(E24:E30)</f>
        <v>381391</v>
      </c>
      <c r="F31" s="120">
        <f t="shared" si="2"/>
        <v>105948</v>
      </c>
      <c r="G31" s="120">
        <f t="shared" si="2"/>
        <v>275443</v>
      </c>
      <c r="H31" s="120">
        <f t="shared" si="2"/>
        <v>233306</v>
      </c>
      <c r="I31" s="120">
        <f t="shared" si="2"/>
        <v>49723</v>
      </c>
      <c r="J31" s="120">
        <f t="shared" si="2"/>
        <v>27721</v>
      </c>
      <c r="K31" s="120">
        <f>SUM(K24:K30)</f>
        <v>16749</v>
      </c>
    </row>
    <row r="32" spans="1:11" x14ac:dyDescent="0.2">
      <c r="A32" t="s">
        <v>2278</v>
      </c>
      <c r="B32" t="s">
        <v>2277</v>
      </c>
      <c r="D32" s="1176" t="str">
        <f>IF([1]RENAME!$H$3=1,B32,A32)</f>
        <v>¹ Refere-se às controladas Tech Cargo Plataforma de Transportes Ltda e Tegmax Comércio e Serviços Automotivos Ltda</v>
      </c>
      <c r="E32" s="183"/>
      <c r="F32" s="183"/>
      <c r="G32" s="183"/>
      <c r="H32" s="183"/>
      <c r="I32" s="183"/>
      <c r="J32" s="183"/>
      <c r="K32" s="183"/>
    </row>
    <row r="33" spans="1:11" x14ac:dyDescent="0.2">
      <c r="A33" t="s">
        <v>213</v>
      </c>
      <c r="B33" t="s">
        <v>213</v>
      </c>
      <c r="D33" s="129" t="str">
        <f>IF([1]RENAME!$H$3=1,B33,A33)</f>
        <v>TCE</v>
      </c>
      <c r="E33" s="118">
        <v>111865</v>
      </c>
      <c r="F33" s="118">
        <v>57078</v>
      </c>
      <c r="G33" s="118">
        <v>54787</v>
      </c>
      <c r="H33" s="118">
        <v>78712</v>
      </c>
      <c r="I33" s="118">
        <v>13124</v>
      </c>
      <c r="J33" s="118">
        <v>6223</v>
      </c>
      <c r="K33" s="118">
        <v>3495</v>
      </c>
    </row>
    <row r="34" spans="1:11" x14ac:dyDescent="0.2">
      <c r="A34" t="s">
        <v>599</v>
      </c>
      <c r="B34" t="s">
        <v>599</v>
      </c>
      <c r="D34" s="129" t="str">
        <f>IF([1]RENAME!$H$3=1,B34,A34)</f>
        <v>TLA</v>
      </c>
      <c r="E34" s="118">
        <v>47059</v>
      </c>
      <c r="F34" s="118">
        <v>9798</v>
      </c>
      <c r="G34" s="118">
        <v>37261</v>
      </c>
      <c r="H34" s="118">
        <v>45989</v>
      </c>
      <c r="I34" s="118">
        <v>9329</v>
      </c>
      <c r="J34" s="118">
        <v>7033</v>
      </c>
      <c r="K34" s="118">
        <v>5031</v>
      </c>
    </row>
    <row r="35" spans="1:11" x14ac:dyDescent="0.2">
      <c r="A35" t="s">
        <v>215</v>
      </c>
      <c r="B35" t="s">
        <v>215</v>
      </c>
      <c r="D35" s="129" t="str">
        <f>IF([1]RENAME!$H$3=1,B35,A35)</f>
        <v>Niyati</v>
      </c>
      <c r="E35" s="118">
        <v>134994</v>
      </c>
      <c r="F35" s="118">
        <v>268</v>
      </c>
      <c r="G35" s="118">
        <v>134726</v>
      </c>
      <c r="H35" s="118">
        <v>5139</v>
      </c>
      <c r="I35" s="118">
        <v>2770</v>
      </c>
      <c r="J35" s="118">
        <v>2552</v>
      </c>
      <c r="K35" s="118">
        <v>3145</v>
      </c>
    </row>
    <row r="36" spans="1:11" x14ac:dyDescent="0.2">
      <c r="A36" t="s">
        <v>1327</v>
      </c>
      <c r="B36" t="s">
        <v>1327</v>
      </c>
      <c r="D36" s="129" t="str">
        <f>IF([1]RENAME!$H$3=1,B36,A36)</f>
        <v>Tegup</v>
      </c>
      <c r="E36" s="118">
        <v>14656</v>
      </c>
      <c r="F36" s="118">
        <v>1</v>
      </c>
      <c r="G36" s="118">
        <v>14655</v>
      </c>
      <c r="H36" s="118">
        <v>0</v>
      </c>
      <c r="I36" s="118">
        <v>-1</v>
      </c>
      <c r="J36" s="118">
        <v>-2</v>
      </c>
      <c r="K36" s="118">
        <v>-1146</v>
      </c>
    </row>
    <row r="37" spans="1:11" x14ac:dyDescent="0.2">
      <c r="A37" s="129" t="s">
        <v>2273</v>
      </c>
      <c r="B37" s="129" t="s">
        <v>2273</v>
      </c>
      <c r="D37" s="129" t="str">
        <f>IF([1]RENAME!$H$3=1,B37,A37)</f>
        <v>Fastline</v>
      </c>
      <c r="E37" s="118">
        <v>43495</v>
      </c>
      <c r="F37" s="118">
        <v>15046</v>
      </c>
      <c r="G37" s="118">
        <v>28449</v>
      </c>
      <c r="H37" s="118">
        <v>42271</v>
      </c>
      <c r="I37" s="118">
        <v>14315</v>
      </c>
      <c r="J37" s="118">
        <v>8940</v>
      </c>
      <c r="K37" s="118">
        <v>6352</v>
      </c>
    </row>
    <row r="38" spans="1:11" x14ac:dyDescent="0.2">
      <c r="A38" s="129"/>
      <c r="B38" s="129"/>
      <c r="D38" s="129" t="s">
        <v>2295</v>
      </c>
      <c r="E38" s="118">
        <v>5037</v>
      </c>
      <c r="F38" s="118">
        <v>892</v>
      </c>
      <c r="G38" s="118">
        <v>4145</v>
      </c>
      <c r="H38" s="118">
        <v>1916</v>
      </c>
      <c r="I38" s="118">
        <v>253</v>
      </c>
      <c r="J38" s="118">
        <v>-60</v>
      </c>
      <c r="K38" s="118">
        <v>-132</v>
      </c>
    </row>
    <row r="39" spans="1:11" x14ac:dyDescent="0.2">
      <c r="A39" t="s">
        <v>2193</v>
      </c>
      <c r="B39" t="s">
        <v>2194</v>
      </c>
      <c r="D39" s="129" t="str">
        <f>IF([1]RENAME!$H$3=1,B39,A39)</f>
        <v>Outros¹</v>
      </c>
      <c r="E39" s="118">
        <v>1582</v>
      </c>
      <c r="F39" s="118">
        <v>61</v>
      </c>
      <c r="G39" s="118">
        <v>1521</v>
      </c>
      <c r="H39" s="118">
        <v>0</v>
      </c>
      <c r="I39" s="118">
        <v>0</v>
      </c>
      <c r="J39" s="118">
        <v>-17</v>
      </c>
      <c r="K39" s="118">
        <v>106</v>
      </c>
    </row>
    <row r="40" spans="1:11" x14ac:dyDescent="0.2">
      <c r="A40" t="s">
        <v>2282</v>
      </c>
      <c r="B40" t="s">
        <v>2283</v>
      </c>
      <c r="D40" s="126" t="str">
        <f>IF([1]RENAME!$H$3=1,B40,A40)</f>
        <v>30 de setembro de 2025</v>
      </c>
      <c r="E40" s="120">
        <f t="shared" ref="E40:J40" si="3">SUM(E33:E39)</f>
        <v>358688</v>
      </c>
      <c r="F40" s="120">
        <f t="shared" si="3"/>
        <v>83144</v>
      </c>
      <c r="G40" s="120">
        <f t="shared" si="3"/>
        <v>275544</v>
      </c>
      <c r="H40" s="120">
        <f t="shared" si="3"/>
        <v>174027</v>
      </c>
      <c r="I40" s="120">
        <f t="shared" si="3"/>
        <v>39790</v>
      </c>
      <c r="J40" s="120">
        <f t="shared" si="3"/>
        <v>24669</v>
      </c>
      <c r="K40" s="120">
        <f>SUM(K33:K39)</f>
        <v>16851</v>
      </c>
    </row>
    <row r="41" spans="1:11" x14ac:dyDescent="0.2">
      <c r="A41" t="s">
        <v>2278</v>
      </c>
      <c r="B41" t="s">
        <v>2277</v>
      </c>
      <c r="D41" s="1176" t="str">
        <f>IF([1]RENAME!$H$3=1,B41,A41)</f>
        <v>¹ Refere-se às controladas Tech Cargo Plataforma de Transportes Ltda e Tegmax Comércio e Serviços Automotivos Ltda</v>
      </c>
      <c r="E41" s="183"/>
      <c r="F41" s="183"/>
      <c r="G41" s="183"/>
      <c r="H41" s="183"/>
      <c r="I41" s="183"/>
      <c r="J41" s="183"/>
      <c r="K41" s="183"/>
    </row>
    <row r="42" spans="1:11" x14ac:dyDescent="0.2">
      <c r="A42" t="s">
        <v>213</v>
      </c>
      <c r="B42" t="s">
        <v>213</v>
      </c>
      <c r="D42" s="129" t="str">
        <f>IF([1]RENAME!$H$3=1,B42,A42)</f>
        <v>TCE</v>
      </c>
      <c r="E42" s="118">
        <v>115548</v>
      </c>
      <c r="F42" s="118">
        <v>59967</v>
      </c>
      <c r="G42" s="118">
        <v>55581</v>
      </c>
      <c r="H42" s="118">
        <v>59927</v>
      </c>
      <c r="I42" s="118">
        <v>11654</v>
      </c>
      <c r="J42" s="118">
        <v>6824</v>
      </c>
      <c r="K42" s="118">
        <v>4289</v>
      </c>
    </row>
    <row r="43" spans="1:11" x14ac:dyDescent="0.2">
      <c r="A43" t="s">
        <v>599</v>
      </c>
      <c r="B43" t="s">
        <v>599</v>
      </c>
      <c r="D43" s="129" t="str">
        <f>IF([1]RENAME!$H$3=1,B43,A43)</f>
        <v>TLA</v>
      </c>
      <c r="E43" s="118">
        <v>44709</v>
      </c>
      <c r="F43" s="118">
        <v>9256</v>
      </c>
      <c r="G43" s="118">
        <v>35453</v>
      </c>
      <c r="H43" s="118">
        <v>30456</v>
      </c>
      <c r="I43" s="118">
        <v>6235</v>
      </c>
      <c r="J43" s="118">
        <v>4566</v>
      </c>
      <c r="K43" s="118">
        <v>3223</v>
      </c>
    </row>
    <row r="44" spans="1:11" x14ac:dyDescent="0.2">
      <c r="A44" t="s">
        <v>215</v>
      </c>
      <c r="B44" t="s">
        <v>215</v>
      </c>
      <c r="D44" s="129" t="str">
        <f>IF([1]RENAME!$H$3=1,B44,A44)</f>
        <v>Niyati</v>
      </c>
      <c r="E44" s="118">
        <v>134093</v>
      </c>
      <c r="F44" s="118">
        <v>413</v>
      </c>
      <c r="G44" s="118">
        <v>133680</v>
      </c>
      <c r="H44" s="118">
        <v>3407</v>
      </c>
      <c r="I44" s="118">
        <v>1828</v>
      </c>
      <c r="J44" s="118">
        <v>1717</v>
      </c>
      <c r="K44" s="118">
        <v>2100</v>
      </c>
    </row>
    <row r="45" spans="1:11" x14ac:dyDescent="0.2">
      <c r="A45" t="s">
        <v>1327</v>
      </c>
      <c r="B45" t="s">
        <v>1327</v>
      </c>
      <c r="D45" s="129" t="str">
        <f>IF([1]RENAME!$H$3=1,B45,A45)</f>
        <v>Tegup</v>
      </c>
      <c r="E45" s="118">
        <v>15032</v>
      </c>
      <c r="F45" s="118">
        <v>3</v>
      </c>
      <c r="G45" s="118">
        <v>15029</v>
      </c>
      <c r="H45" s="118">
        <v>0</v>
      </c>
      <c r="I45" s="118">
        <v>-1</v>
      </c>
      <c r="J45" s="118">
        <v>-2</v>
      </c>
      <c r="K45" s="118">
        <v>-772</v>
      </c>
    </row>
    <row r="46" spans="1:11" x14ac:dyDescent="0.2">
      <c r="D46" s="129" t="s">
        <v>2273</v>
      </c>
      <c r="E46" s="118">
        <v>33905</v>
      </c>
      <c r="F46" s="118">
        <v>7661</v>
      </c>
      <c r="G46" s="118">
        <v>26244</v>
      </c>
      <c r="H46" s="118">
        <v>27231</v>
      </c>
      <c r="I46" s="118">
        <v>9662</v>
      </c>
      <c r="J46" s="118">
        <v>5840</v>
      </c>
      <c r="K46" s="118">
        <v>4147</v>
      </c>
    </row>
    <row r="47" spans="1:11" x14ac:dyDescent="0.2">
      <c r="A47" t="s">
        <v>2193</v>
      </c>
      <c r="B47" t="s">
        <v>2194</v>
      </c>
      <c r="D47" s="129" t="str">
        <f>IF([1]RENAME!$H$3=1,B47,A47)</f>
        <v>Outros¹</v>
      </c>
      <c r="E47" s="118">
        <v>1560</v>
      </c>
      <c r="F47" s="118">
        <v>107</v>
      </c>
      <c r="G47" s="118">
        <v>1453</v>
      </c>
      <c r="H47" s="118">
        <v>0</v>
      </c>
      <c r="I47" s="118">
        <v>0</v>
      </c>
      <c r="J47" s="118">
        <v>-11</v>
      </c>
      <c r="K47" s="118">
        <v>38</v>
      </c>
    </row>
    <row r="48" spans="1:11" x14ac:dyDescent="0.2">
      <c r="A48" t="s">
        <v>2271</v>
      </c>
      <c r="B48" t="s">
        <v>2272</v>
      </c>
      <c r="D48" s="126" t="str">
        <f>IF([1]RENAME!$H$3=1,B48,A48)</f>
        <v>30 de junho de 2025</v>
      </c>
      <c r="E48" s="120">
        <f t="shared" ref="E48:K48" si="4">SUM(E42:E47)</f>
        <v>344847</v>
      </c>
      <c r="F48" s="120">
        <f t="shared" si="4"/>
        <v>77407</v>
      </c>
      <c r="G48" s="120">
        <f t="shared" si="4"/>
        <v>267440</v>
      </c>
      <c r="H48" s="120">
        <f t="shared" si="4"/>
        <v>121021</v>
      </c>
      <c r="I48" s="120">
        <f t="shared" si="4"/>
        <v>29378</v>
      </c>
      <c r="J48" s="120">
        <f t="shared" si="4"/>
        <v>18934</v>
      </c>
      <c r="K48" s="120">
        <f t="shared" si="4"/>
        <v>13025</v>
      </c>
    </row>
    <row r="49" spans="1:11" x14ac:dyDescent="0.2">
      <c r="A49" t="s">
        <v>2278</v>
      </c>
      <c r="B49" t="s">
        <v>2277</v>
      </c>
      <c r="C49" s="28"/>
      <c r="D49" s="1176" t="str">
        <f>IF([1]RENAME!$H$3=1,B49,A49)</f>
        <v>¹ Refere-se às controladas Tech Cargo Plataforma de Transportes Ltda e Tegmax Comércio e Serviços Automotivos Ltda</v>
      </c>
      <c r="E49" s="183"/>
      <c r="F49" s="183"/>
      <c r="G49" s="183"/>
      <c r="H49" s="183"/>
      <c r="I49" s="183"/>
      <c r="J49" s="183"/>
      <c r="K49" s="183"/>
    </row>
    <row r="50" spans="1:11" x14ac:dyDescent="0.2">
      <c r="A50" t="s">
        <v>213</v>
      </c>
      <c r="B50" t="s">
        <v>213</v>
      </c>
      <c r="D50" s="129" t="str">
        <f>IF([1]RENAME!$H$3=1,B50,A50)</f>
        <v>TCE</v>
      </c>
      <c r="E50" s="118">
        <v>137054</v>
      </c>
      <c r="F50" s="118">
        <v>62190</v>
      </c>
      <c r="G50" s="118">
        <v>74864</v>
      </c>
      <c r="H50" s="118">
        <v>30747</v>
      </c>
      <c r="I50" s="118">
        <v>5704</v>
      </c>
      <c r="J50" s="118">
        <v>3347</v>
      </c>
      <c r="K50" s="118">
        <v>2080</v>
      </c>
    </row>
    <row r="51" spans="1:11" x14ac:dyDescent="0.2">
      <c r="A51" t="s">
        <v>599</v>
      </c>
      <c r="B51" t="s">
        <v>599</v>
      </c>
      <c r="D51" s="129" t="str">
        <f>IF([1]RENAME!$H$3=1,B51,A51)</f>
        <v>TLA</v>
      </c>
      <c r="E51" s="118">
        <v>44352</v>
      </c>
      <c r="F51" s="118">
        <v>8938</v>
      </c>
      <c r="G51" s="118">
        <v>35414</v>
      </c>
      <c r="H51" s="118">
        <v>15054</v>
      </c>
      <c r="I51" s="118">
        <v>3142</v>
      </c>
      <c r="J51" s="118">
        <v>2311</v>
      </c>
      <c r="K51" s="118">
        <v>1615</v>
      </c>
    </row>
    <row r="52" spans="1:11" x14ac:dyDescent="0.2">
      <c r="A52" t="s">
        <v>215</v>
      </c>
      <c r="B52" t="s">
        <v>215</v>
      </c>
      <c r="D52" s="129" t="str">
        <f>IF([1]RENAME!$H$3=1,B52,A52)</f>
        <v>Niyati</v>
      </c>
      <c r="E52" s="118">
        <v>136129</v>
      </c>
      <c r="F52" s="118">
        <v>215</v>
      </c>
      <c r="G52" s="118">
        <v>135914</v>
      </c>
      <c r="H52" s="118">
        <v>1692</v>
      </c>
      <c r="I52" s="118">
        <v>902</v>
      </c>
      <c r="J52" s="118">
        <v>846</v>
      </c>
      <c r="K52" s="118">
        <v>1003</v>
      </c>
    </row>
    <row r="53" spans="1:11" x14ac:dyDescent="0.2">
      <c r="A53" t="s">
        <v>1327</v>
      </c>
      <c r="B53" t="s">
        <v>1327</v>
      </c>
      <c r="D53" s="129" t="str">
        <f>IF([1]RENAME!$H$3=1,B53,A53)</f>
        <v>Tegup</v>
      </c>
      <c r="E53" s="118">
        <v>15410</v>
      </c>
      <c r="F53" s="118">
        <v>2</v>
      </c>
      <c r="G53" s="118">
        <v>15408</v>
      </c>
      <c r="H53" s="118">
        <v>0</v>
      </c>
      <c r="I53" s="118">
        <v>-1</v>
      </c>
      <c r="J53" s="118">
        <v>-2</v>
      </c>
      <c r="K53" s="118">
        <v>-393</v>
      </c>
    </row>
    <row r="54" spans="1:11" x14ac:dyDescent="0.2">
      <c r="D54" s="129" t="s">
        <v>2273</v>
      </c>
      <c r="E54" s="118">
        <v>18505</v>
      </c>
      <c r="F54" s="118">
        <v>7089</v>
      </c>
      <c r="G54" s="118">
        <v>11416</v>
      </c>
      <c r="H54" s="118">
        <v>10647</v>
      </c>
      <c r="I54" s="118">
        <v>3088</v>
      </c>
      <c r="J54" s="118">
        <v>1256</v>
      </c>
      <c r="K54" s="118">
        <v>991</v>
      </c>
    </row>
    <row r="55" spans="1:11" x14ac:dyDescent="0.2">
      <c r="A55" t="s">
        <v>2193</v>
      </c>
      <c r="B55" t="s">
        <v>2194</v>
      </c>
      <c r="D55" s="129" t="str">
        <f>IF([1]RENAME!$H$3=1,B55,A55)</f>
        <v>Outros¹</v>
      </c>
      <c r="E55" s="118">
        <v>1560</v>
      </c>
      <c r="F55" s="118">
        <v>106</v>
      </c>
      <c r="G55" s="118">
        <v>1454</v>
      </c>
      <c r="H55" s="118">
        <v>0</v>
      </c>
      <c r="I55" s="118">
        <v>0</v>
      </c>
      <c r="J55" s="118">
        <v>-7</v>
      </c>
      <c r="K55" s="118">
        <v>16</v>
      </c>
    </row>
    <row r="56" spans="1:11" x14ac:dyDescent="0.2">
      <c r="A56" t="s">
        <v>2265</v>
      </c>
      <c r="B56" t="s">
        <v>2266</v>
      </c>
      <c r="D56" s="126" t="str">
        <f>IF([1]RENAME!$H$3=1,B56,A56)</f>
        <v>31 de março de 2025</v>
      </c>
      <c r="E56" s="120">
        <f t="shared" ref="E56:K56" si="5">SUM(E50:E55)</f>
        <v>353010</v>
      </c>
      <c r="F56" s="120">
        <f t="shared" si="5"/>
        <v>78540</v>
      </c>
      <c r="G56" s="120">
        <f>SUM(G50:G55)</f>
        <v>274470</v>
      </c>
      <c r="H56" s="120">
        <f t="shared" si="5"/>
        <v>58140</v>
      </c>
      <c r="I56" s="120">
        <f t="shared" si="5"/>
        <v>12835</v>
      </c>
      <c r="J56" s="120">
        <f t="shared" si="5"/>
        <v>7751</v>
      </c>
      <c r="K56" s="120">
        <f t="shared" si="5"/>
        <v>5312</v>
      </c>
    </row>
    <row r="57" spans="1:11" x14ac:dyDescent="0.2">
      <c r="A57" t="s">
        <v>2195</v>
      </c>
      <c r="B57" t="s">
        <v>2196</v>
      </c>
      <c r="C57" s="28"/>
      <c r="D57" s="1176" t="str">
        <f>IF([1]RENAME!$H$3=1,B57,A57)</f>
        <v>¹ Refere-se às controladas Fastline Logística Automotiva Ltda, Tech Cargo Plataforma de Transportes Ltda e Tegmax Comércio e Serviços Automotivos Ltda</v>
      </c>
      <c r="E57" s="183"/>
      <c r="F57" s="183"/>
      <c r="G57" s="183"/>
      <c r="H57" s="183"/>
      <c r="I57" s="183"/>
      <c r="J57" s="183"/>
      <c r="K57" s="183"/>
    </row>
    <row r="58" spans="1:11" x14ac:dyDescent="0.2">
      <c r="A58" t="s">
        <v>213</v>
      </c>
      <c r="B58" t="s">
        <v>213</v>
      </c>
      <c r="D58" s="129" t="str">
        <f>IF([1]RENAME!$H$3=1,B58,A58)</f>
        <v>TCE</v>
      </c>
      <c r="E58" s="118">
        <v>116601</v>
      </c>
      <c r="F58" s="118">
        <v>43815</v>
      </c>
      <c r="G58" s="118">
        <v>72786</v>
      </c>
      <c r="H58" s="118">
        <v>115261</v>
      </c>
      <c r="I58" s="118">
        <v>18577</v>
      </c>
      <c r="J58" s="118">
        <v>10047</v>
      </c>
      <c r="K58" s="118">
        <v>7215</v>
      </c>
    </row>
    <row r="59" spans="1:11" x14ac:dyDescent="0.2">
      <c r="A59" t="s">
        <v>599</v>
      </c>
      <c r="B59" t="s">
        <v>599</v>
      </c>
      <c r="D59" s="129" t="str">
        <f>IF([1]RENAME!$H$3=1,B59,A59)</f>
        <v>TLA</v>
      </c>
      <c r="E59" s="118">
        <v>39462</v>
      </c>
      <c r="F59" s="118">
        <v>5663</v>
      </c>
      <c r="G59" s="118">
        <v>33799</v>
      </c>
      <c r="H59" s="118">
        <v>54905</v>
      </c>
      <c r="I59" s="118">
        <v>11067</v>
      </c>
      <c r="J59" s="118">
        <v>7811</v>
      </c>
      <c r="K59" s="118">
        <v>5506</v>
      </c>
    </row>
    <row r="60" spans="1:11" x14ac:dyDescent="0.2">
      <c r="A60" t="s">
        <v>215</v>
      </c>
      <c r="B60" t="s">
        <v>215</v>
      </c>
      <c r="D60" s="129" t="str">
        <f>IF([1]RENAME!$H$3=1,B60,A60)</f>
        <v>Niyati</v>
      </c>
      <c r="E60" s="118">
        <v>135206</v>
      </c>
      <c r="F60" s="118">
        <v>295</v>
      </c>
      <c r="G60" s="118">
        <v>134911</v>
      </c>
      <c r="H60" s="118">
        <v>6574</v>
      </c>
      <c r="I60" s="118">
        <v>3410</v>
      </c>
      <c r="J60" s="118">
        <v>3225</v>
      </c>
      <c r="K60" s="118">
        <v>3506</v>
      </c>
    </row>
    <row r="61" spans="1:11" x14ac:dyDescent="0.2">
      <c r="A61" t="s">
        <v>1327</v>
      </c>
      <c r="B61" t="s">
        <v>1327</v>
      </c>
      <c r="D61" s="129" t="str">
        <f>IF([1]RENAME!$H$3=1,B61,A61)</f>
        <v>Tegup</v>
      </c>
      <c r="E61" s="118">
        <v>15802</v>
      </c>
      <c r="F61" s="118">
        <v>1</v>
      </c>
      <c r="G61" s="118">
        <v>15801</v>
      </c>
      <c r="H61" s="118">
        <v>0</v>
      </c>
      <c r="I61" s="118">
        <v>-1</v>
      </c>
      <c r="J61" s="118">
        <v>-8</v>
      </c>
      <c r="K61" s="118">
        <v>-1032</v>
      </c>
    </row>
    <row r="62" spans="1:11" x14ac:dyDescent="0.2">
      <c r="D62" s="129" t="s">
        <v>217</v>
      </c>
      <c r="E62" s="118" t="s">
        <v>160</v>
      </c>
      <c r="F62" s="118" t="s">
        <v>160</v>
      </c>
      <c r="G62" s="118" t="s">
        <v>160</v>
      </c>
      <c r="H62" s="118">
        <v>32712</v>
      </c>
      <c r="I62" s="118">
        <v>4664</v>
      </c>
      <c r="J62" s="118">
        <v>3571</v>
      </c>
      <c r="K62" s="118">
        <v>5025</v>
      </c>
    </row>
    <row r="63" spans="1:11" x14ac:dyDescent="0.2">
      <c r="A63" t="s">
        <v>2193</v>
      </c>
      <c r="B63" t="s">
        <v>2194</v>
      </c>
      <c r="D63" s="129" t="str">
        <f>IF([1]RENAME!$H$3=1,B63,A63)</f>
        <v>Outros¹</v>
      </c>
      <c r="E63" s="118">
        <v>17240</v>
      </c>
      <c r="F63" s="118">
        <v>5377</v>
      </c>
      <c r="G63" s="118">
        <v>11863</v>
      </c>
      <c r="H63" s="118">
        <v>42747</v>
      </c>
      <c r="I63" s="118">
        <v>13733</v>
      </c>
      <c r="J63" s="118">
        <v>7161</v>
      </c>
      <c r="K63" s="118">
        <v>4984</v>
      </c>
    </row>
    <row r="64" spans="1:11" x14ac:dyDescent="0.2">
      <c r="A64" t="s">
        <v>2235</v>
      </c>
      <c r="B64" t="s">
        <v>2236</v>
      </c>
      <c r="D64" s="126" t="str">
        <f>IF([1]RENAME!$H$3=1,B64,A64)</f>
        <v>31 de dezembro de 2024</v>
      </c>
      <c r="E64" s="120">
        <f t="shared" ref="E64:K64" si="6">SUM(E58:E63)</f>
        <v>324311</v>
      </c>
      <c r="F64" s="120">
        <f t="shared" si="6"/>
        <v>55151</v>
      </c>
      <c r="G64" s="120">
        <f t="shared" si="6"/>
        <v>269160</v>
      </c>
      <c r="H64" s="120">
        <f t="shared" si="6"/>
        <v>252199</v>
      </c>
      <c r="I64" s="120">
        <f t="shared" si="6"/>
        <v>51450</v>
      </c>
      <c r="J64" s="120">
        <f t="shared" si="6"/>
        <v>31807</v>
      </c>
      <c r="K64" s="120">
        <f t="shared" si="6"/>
        <v>25204</v>
      </c>
    </row>
    <row r="65" spans="1:14" x14ac:dyDescent="0.2">
      <c r="A65" t="s">
        <v>2195</v>
      </c>
      <c r="B65" t="s">
        <v>2196</v>
      </c>
      <c r="C65" s="28"/>
      <c r="D65" s="1176" t="str">
        <f>IF([1]RENAME!$H$3=1,B65,A65)</f>
        <v>¹ Refere-se às controladas Fastline Logística Automotiva Ltda, Tech Cargo Plataforma de Transportes Ltda e Tegmax Comércio e Serviços Automotivos Ltda</v>
      </c>
      <c r="E65" s="183"/>
      <c r="F65" s="183"/>
      <c r="G65" s="183"/>
      <c r="H65" s="183"/>
      <c r="I65" s="183"/>
      <c r="J65" s="183"/>
      <c r="K65" s="183"/>
    </row>
    <row r="66" spans="1:14" x14ac:dyDescent="0.2">
      <c r="A66" t="s">
        <v>213</v>
      </c>
      <c r="B66" t="s">
        <v>213</v>
      </c>
      <c r="D66" s="129" t="str">
        <f>IF([1]RENAME!$H$3=1,B66,A66)</f>
        <v>TCE</v>
      </c>
      <c r="E66" s="118">
        <v>121288</v>
      </c>
      <c r="F66" s="118">
        <v>49515</v>
      </c>
      <c r="G66" s="118">
        <v>71773</v>
      </c>
      <c r="H66" s="118">
        <v>88783</v>
      </c>
      <c r="I66" s="118">
        <v>14744</v>
      </c>
      <c r="J66" s="118">
        <v>8783</v>
      </c>
      <c r="K66" s="118">
        <v>6204</v>
      </c>
    </row>
    <row r="67" spans="1:14" x14ac:dyDescent="0.2">
      <c r="A67" t="s">
        <v>599</v>
      </c>
      <c r="B67" t="s">
        <v>599</v>
      </c>
      <c r="D67" s="129" t="str">
        <f>IF([1]RENAME!$H$3=1,B67,A67)</f>
        <v>TLA</v>
      </c>
      <c r="E67" s="118">
        <v>38539</v>
      </c>
      <c r="F67" s="118">
        <v>5799</v>
      </c>
      <c r="G67" s="118">
        <v>32740</v>
      </c>
      <c r="H67" s="118">
        <v>40365</v>
      </c>
      <c r="I67" s="118">
        <v>8745</v>
      </c>
      <c r="J67" s="118">
        <v>6374</v>
      </c>
      <c r="K67" s="118">
        <v>4447</v>
      </c>
    </row>
    <row r="68" spans="1:14" x14ac:dyDescent="0.2">
      <c r="A68" t="s">
        <v>215</v>
      </c>
      <c r="B68" t="s">
        <v>215</v>
      </c>
      <c r="D68" s="129" t="str">
        <f>IF([1]RENAME!$H$3=1,B68,A68)</f>
        <v>Niyati</v>
      </c>
      <c r="E68" s="118">
        <v>134339</v>
      </c>
      <c r="F68" s="118">
        <v>338</v>
      </c>
      <c r="G68" s="118">
        <v>134001</v>
      </c>
      <c r="H68" s="118">
        <v>4909</v>
      </c>
      <c r="I68" s="118">
        <v>2534</v>
      </c>
      <c r="J68" s="118">
        <v>2403</v>
      </c>
      <c r="K68" s="118">
        <v>2596</v>
      </c>
    </row>
    <row r="69" spans="1:14" x14ac:dyDescent="0.2">
      <c r="A69" t="s">
        <v>1327</v>
      </c>
      <c r="B69" t="s">
        <v>1327</v>
      </c>
      <c r="D69" s="129" t="str">
        <f>IF([1]RENAME!$H$3=1,B69,A69)</f>
        <v>Tegup</v>
      </c>
      <c r="E69" s="118">
        <v>16178</v>
      </c>
      <c r="F69" s="118">
        <v>0</v>
      </c>
      <c r="G69" s="118">
        <v>16178</v>
      </c>
      <c r="H69" s="118">
        <v>0</v>
      </c>
      <c r="I69" s="118">
        <v>-1</v>
      </c>
      <c r="J69" s="118">
        <v>-7</v>
      </c>
      <c r="K69" s="118">
        <v>-654</v>
      </c>
    </row>
    <row r="70" spans="1:14" x14ac:dyDescent="0.2">
      <c r="D70" s="129" t="s">
        <v>217</v>
      </c>
      <c r="E70" s="118" t="s">
        <v>160</v>
      </c>
      <c r="F70" s="118" t="s">
        <v>160</v>
      </c>
      <c r="G70" s="118" t="s">
        <v>160</v>
      </c>
      <c r="H70" s="118">
        <v>32712</v>
      </c>
      <c r="I70" s="118">
        <v>4664</v>
      </c>
      <c r="J70" s="118">
        <v>3571</v>
      </c>
      <c r="K70" s="118">
        <v>5025</v>
      </c>
    </row>
    <row r="71" spans="1:14" x14ac:dyDescent="0.2">
      <c r="A71" t="s">
        <v>2193</v>
      </c>
      <c r="B71" t="s">
        <v>2194</v>
      </c>
      <c r="D71" s="129" t="str">
        <f>IF([1]RENAME!$H$3=1,B71,A71)</f>
        <v>Outros¹</v>
      </c>
      <c r="E71" s="118">
        <v>18547</v>
      </c>
      <c r="F71" s="118">
        <v>6199</v>
      </c>
      <c r="G71" s="118">
        <v>12348</v>
      </c>
      <c r="H71" s="118">
        <v>33137</v>
      </c>
      <c r="I71" s="118">
        <v>10759</v>
      </c>
      <c r="J71" s="118">
        <v>6047</v>
      </c>
      <c r="K71" s="118">
        <v>4239</v>
      </c>
    </row>
    <row r="72" spans="1:14" x14ac:dyDescent="0.2">
      <c r="A72" t="s">
        <v>2206</v>
      </c>
      <c r="B72" t="s">
        <v>2207</v>
      </c>
      <c r="D72" s="126" t="str">
        <f>IF([1]RENAME!$H$3=1,B72,A72)</f>
        <v>30 de setembro de 2024</v>
      </c>
      <c r="E72" s="120">
        <f t="shared" ref="E72:K72" si="7">SUM(E66:E71)</f>
        <v>328891</v>
      </c>
      <c r="F72" s="120">
        <f t="shared" si="7"/>
        <v>61851</v>
      </c>
      <c r="G72" s="120">
        <f t="shared" si="7"/>
        <v>267040</v>
      </c>
      <c r="H72" s="120">
        <f t="shared" si="7"/>
        <v>199906</v>
      </c>
      <c r="I72" s="120">
        <f t="shared" si="7"/>
        <v>41445</v>
      </c>
      <c r="J72" s="120">
        <f t="shared" si="7"/>
        <v>27171</v>
      </c>
      <c r="K72" s="120">
        <f t="shared" si="7"/>
        <v>21857</v>
      </c>
    </row>
    <row r="73" spans="1:14" x14ac:dyDescent="0.2">
      <c r="A73" t="s">
        <v>2195</v>
      </c>
      <c r="B73" t="s">
        <v>2196</v>
      </c>
      <c r="C73" s="28"/>
      <c r="D73" s="1176" t="str">
        <f>IF([1]RENAME!$H$3=1,B73,A73)</f>
        <v>¹ Refere-se às controladas Fastline Logística Automotiva Ltda, Tech Cargo Plataforma de Transportes Ltda e Tegmax Comércio e Serviços Automotivos Ltda</v>
      </c>
      <c r="E73" s="183"/>
      <c r="F73" s="183"/>
      <c r="G73" s="183"/>
      <c r="H73" s="183"/>
      <c r="I73" s="183"/>
      <c r="J73" s="183"/>
      <c r="K73" s="183"/>
    </row>
    <row r="74" spans="1:14" x14ac:dyDescent="0.2">
      <c r="A74" t="s">
        <v>213</v>
      </c>
      <c r="B74" t="s">
        <v>213</v>
      </c>
      <c r="D74" s="129" t="str">
        <f>IF([1]RENAME!$H$3=1,B74,A74)</f>
        <v>TCE</v>
      </c>
      <c r="E74" s="118">
        <v>124705</v>
      </c>
      <c r="F74" s="118">
        <v>54545</v>
      </c>
      <c r="G74" s="118">
        <v>70160</v>
      </c>
      <c r="H74" s="118">
        <v>61036</v>
      </c>
      <c r="I74" s="118">
        <v>10019</v>
      </c>
      <c r="J74" s="118">
        <v>6433</v>
      </c>
      <c r="K74" s="118">
        <v>4590</v>
      </c>
    </row>
    <row r="75" spans="1:14" x14ac:dyDescent="0.2">
      <c r="A75" t="s">
        <v>599</v>
      </c>
      <c r="B75" t="s">
        <v>599</v>
      </c>
      <c r="D75" s="129" t="str">
        <f>IF([1]RENAME!$H$3=1,B75,A75)</f>
        <v>TLA</v>
      </c>
      <c r="E75" s="118">
        <v>38166</v>
      </c>
      <c r="F75" s="118">
        <v>6709</v>
      </c>
      <c r="G75" s="118">
        <v>31457</v>
      </c>
      <c r="H75" s="118">
        <v>26290</v>
      </c>
      <c r="I75" s="118">
        <v>6071</v>
      </c>
      <c r="J75" s="118">
        <v>4544</v>
      </c>
      <c r="K75" s="118">
        <v>3164</v>
      </c>
      <c r="N75">
        <f>'[3]11 Intang NL'!$N$19-N73-N74-N72</f>
        <v>5757</v>
      </c>
    </row>
    <row r="76" spans="1:14" x14ac:dyDescent="0.2">
      <c r="A76" t="s">
        <v>215</v>
      </c>
      <c r="B76" t="s">
        <v>215</v>
      </c>
      <c r="D76" s="129" t="str">
        <f>IF([1]RENAME!$H$3=1,B76,A76)</f>
        <v>Niyati</v>
      </c>
      <c r="E76" s="118">
        <v>133382</v>
      </c>
      <c r="F76" s="118">
        <v>248</v>
      </c>
      <c r="G76" s="118">
        <v>133134</v>
      </c>
      <c r="H76" s="118">
        <v>3259</v>
      </c>
      <c r="I76" s="118">
        <v>1676</v>
      </c>
      <c r="J76" s="118">
        <v>1593</v>
      </c>
      <c r="K76" s="118">
        <v>1728</v>
      </c>
    </row>
    <row r="77" spans="1:14" x14ac:dyDescent="0.2">
      <c r="A77" t="s">
        <v>1327</v>
      </c>
      <c r="B77" t="s">
        <v>1327</v>
      </c>
      <c r="D77" s="129" t="str">
        <f>IF([1]RENAME!$H$3=1,B77,A77)</f>
        <v>Tegup</v>
      </c>
      <c r="E77" s="118">
        <v>6576</v>
      </c>
      <c r="F77" s="118">
        <v>4</v>
      </c>
      <c r="G77" s="118">
        <v>6572</v>
      </c>
      <c r="H77" s="118">
        <v>0</v>
      </c>
      <c r="I77" s="118">
        <v>-1</v>
      </c>
      <c r="J77" s="118">
        <v>-6</v>
      </c>
      <c r="K77" s="118">
        <v>-260</v>
      </c>
    </row>
    <row r="78" spans="1:14" x14ac:dyDescent="0.2">
      <c r="D78" s="129" t="s">
        <v>217</v>
      </c>
      <c r="E78" s="118" t="s">
        <v>160</v>
      </c>
      <c r="F78" s="118" t="s">
        <v>160</v>
      </c>
      <c r="G78" s="118" t="s">
        <v>160</v>
      </c>
      <c r="H78" s="118">
        <v>32712</v>
      </c>
      <c r="I78" s="118">
        <v>4664</v>
      </c>
      <c r="J78" s="118">
        <v>3571</v>
      </c>
      <c r="K78" s="118">
        <v>5025</v>
      </c>
    </row>
    <row r="79" spans="1:14" x14ac:dyDescent="0.2">
      <c r="A79" t="s">
        <v>2193</v>
      </c>
      <c r="B79" t="s">
        <v>2194</v>
      </c>
      <c r="D79" s="129" t="str">
        <f>IF([1]RENAME!$H$3=1,B79,A79)</f>
        <v>Outros¹</v>
      </c>
      <c r="E79" s="118">
        <v>17521</v>
      </c>
      <c r="F79" s="118">
        <v>6485</v>
      </c>
      <c r="G79" s="118">
        <v>11036</v>
      </c>
      <c r="H79" s="118">
        <v>21409</v>
      </c>
      <c r="I79" s="118">
        <v>6964</v>
      </c>
      <c r="J79" s="118">
        <v>4181</v>
      </c>
      <c r="K79" s="118">
        <v>2928</v>
      </c>
    </row>
    <row r="80" spans="1:14" x14ac:dyDescent="0.2">
      <c r="A80" t="s">
        <v>2178</v>
      </c>
      <c r="B80" t="s">
        <v>2179</v>
      </c>
      <c r="D80" s="126" t="str">
        <f>IF([1]RENAME!$H$3=1,B80,A80)</f>
        <v>30 de junho de 2024</v>
      </c>
      <c r="E80" s="120">
        <f t="shared" ref="E80:K80" si="8">SUM(E74:E79)</f>
        <v>320350</v>
      </c>
      <c r="F80" s="120">
        <f t="shared" si="8"/>
        <v>67991</v>
      </c>
      <c r="G80" s="120">
        <f t="shared" si="8"/>
        <v>252359</v>
      </c>
      <c r="H80" s="120">
        <f t="shared" si="8"/>
        <v>144706</v>
      </c>
      <c r="I80" s="120">
        <f t="shared" si="8"/>
        <v>29393</v>
      </c>
      <c r="J80" s="120">
        <f t="shared" si="8"/>
        <v>20316</v>
      </c>
      <c r="K80" s="120">
        <f t="shared" si="8"/>
        <v>17175</v>
      </c>
    </row>
    <row r="81" spans="1:11" x14ac:dyDescent="0.2">
      <c r="A81" t="s">
        <v>2195</v>
      </c>
      <c r="B81" t="s">
        <v>2196</v>
      </c>
      <c r="C81" s="28"/>
      <c r="D81" s="1176" t="str">
        <f>IF([1]RENAME!$H$3=1,B81,A81)</f>
        <v>¹ Refere-se às controladas Fastline Logística Automotiva Ltda, Tech Cargo Plataforma de Transportes Ltda e Tegmax Comércio e Serviços Automotivos Ltda</v>
      </c>
      <c r="E81" s="183"/>
      <c r="F81" s="183"/>
      <c r="G81" s="183"/>
      <c r="H81" s="183"/>
      <c r="I81" s="183"/>
      <c r="J81" s="183"/>
      <c r="K81" s="183"/>
    </row>
    <row r="82" spans="1:11" x14ac:dyDescent="0.2">
      <c r="A82" t="s">
        <v>213</v>
      </c>
      <c r="B82" t="s">
        <v>213</v>
      </c>
      <c r="D82" s="129" t="str">
        <f>IF([1]RENAME!$H$3=1,B82,A82)</f>
        <v>TCE</v>
      </c>
      <c r="E82" s="118">
        <v>121485</v>
      </c>
      <c r="F82" s="118">
        <v>44509</v>
      </c>
      <c r="G82" s="118">
        <v>76976</v>
      </c>
      <c r="H82" s="118">
        <v>28913</v>
      </c>
      <c r="I82" s="118">
        <v>3365</v>
      </c>
      <c r="J82" s="118">
        <v>2140</v>
      </c>
      <c r="K82" s="118">
        <v>1577</v>
      </c>
    </row>
    <row r="83" spans="1:11" x14ac:dyDescent="0.2">
      <c r="D83" s="129" t="s">
        <v>217</v>
      </c>
      <c r="E83" s="118">
        <v>74306</v>
      </c>
      <c r="F83" s="118">
        <v>9247</v>
      </c>
      <c r="G83" s="118">
        <v>1417</v>
      </c>
      <c r="H83" s="118">
        <v>23712</v>
      </c>
      <c r="I83" s="118">
        <v>3365</v>
      </c>
      <c r="J83" s="118">
        <v>2519</v>
      </c>
      <c r="K83" s="118">
        <v>3688</v>
      </c>
    </row>
    <row r="84" spans="1:11" x14ac:dyDescent="0.2">
      <c r="A84" t="s">
        <v>599</v>
      </c>
      <c r="B84" t="s">
        <v>599</v>
      </c>
      <c r="D84" s="129" t="str">
        <f>IF([1]RENAME!$H$3=1,B84,A84)</f>
        <v>TLA</v>
      </c>
      <c r="E84" s="118">
        <v>36974</v>
      </c>
      <c r="F84" s="118">
        <v>5003</v>
      </c>
      <c r="G84" s="118">
        <v>31971</v>
      </c>
      <c r="H84" s="118">
        <v>12746</v>
      </c>
      <c r="I84" s="118">
        <f>SUM(H84:H84)</f>
        <v>12746</v>
      </c>
      <c r="J84" s="118">
        <v>2675</v>
      </c>
      <c r="K84" s="118">
        <v>1856</v>
      </c>
    </row>
    <row r="85" spans="1:11" x14ac:dyDescent="0.2">
      <c r="A85" t="s">
        <v>215</v>
      </c>
      <c r="B85" t="s">
        <v>215</v>
      </c>
      <c r="D85" s="129" t="str">
        <f>IF([1]RENAME!$H$3=1,B85,A85)</f>
        <v>Niyati</v>
      </c>
      <c r="E85" s="118">
        <v>135717</v>
      </c>
      <c r="F85" s="118">
        <v>266</v>
      </c>
      <c r="G85" s="118">
        <v>135451</v>
      </c>
      <c r="H85" s="118">
        <v>1620</v>
      </c>
      <c r="I85" s="118">
        <f>SUM(H85:H85)</f>
        <v>1620</v>
      </c>
      <c r="J85" s="118">
        <v>786</v>
      </c>
      <c r="K85" s="118">
        <v>846</v>
      </c>
    </row>
    <row r="86" spans="1:11" x14ac:dyDescent="0.2">
      <c r="A86" t="s">
        <v>218</v>
      </c>
      <c r="B86" t="s">
        <v>218</v>
      </c>
      <c r="D86" s="129" t="str">
        <f>IF([1]RENAME!$H$3=1,B86,A86)</f>
        <v>Tegmax</v>
      </c>
      <c r="E86" s="118">
        <v>1515</v>
      </c>
      <c r="F86" s="118">
        <v>98</v>
      </c>
      <c r="G86" s="118">
        <v>1417</v>
      </c>
      <c r="H86" s="118">
        <v>0</v>
      </c>
      <c r="I86" s="118">
        <f>SUM(H86:H86)</f>
        <v>0</v>
      </c>
      <c r="J86" s="118">
        <v>-15</v>
      </c>
      <c r="K86" s="118">
        <v>3</v>
      </c>
    </row>
    <row r="87" spans="1:11" x14ac:dyDescent="0.2">
      <c r="A87" t="s">
        <v>1436</v>
      </c>
      <c r="B87" t="s">
        <v>1436</v>
      </c>
      <c r="D87" s="129" t="str">
        <f>IF([1]RENAME!$H$3=1,B87,A87)</f>
        <v>Tech cargo</v>
      </c>
      <c r="E87" s="118">
        <v>1</v>
      </c>
      <c r="F87" s="118">
        <v>0</v>
      </c>
      <c r="G87" s="118">
        <v>1</v>
      </c>
      <c r="H87" s="118">
        <v>0</v>
      </c>
      <c r="I87" s="118">
        <f>SUM(H87:H87)</f>
        <v>0</v>
      </c>
      <c r="J87" s="118" t="s">
        <v>160</v>
      </c>
      <c r="K87" s="118" t="s">
        <v>160</v>
      </c>
    </row>
    <row r="88" spans="1:11" x14ac:dyDescent="0.2">
      <c r="A88" t="s">
        <v>1327</v>
      </c>
      <c r="B88" t="s">
        <v>1327</v>
      </c>
      <c r="D88" s="129" t="str">
        <f>IF([1]RENAME!$H$3=1,B88,A88)</f>
        <v>Tegup</v>
      </c>
      <c r="E88" s="118">
        <v>6805</v>
      </c>
      <c r="F88" s="118">
        <v>2</v>
      </c>
      <c r="G88" s="118">
        <v>6803</v>
      </c>
      <c r="H88" s="118">
        <v>0</v>
      </c>
      <c r="I88" s="118">
        <v>-1</v>
      </c>
      <c r="J88" s="118">
        <v>-1</v>
      </c>
      <c r="K88" s="118">
        <v>-29</v>
      </c>
    </row>
    <row r="89" spans="1:11" x14ac:dyDescent="0.2">
      <c r="A89" t="s">
        <v>2156</v>
      </c>
      <c r="B89" t="s">
        <v>2157</v>
      </c>
      <c r="D89" s="126" t="str">
        <f>IF([1]RENAME!$H$3=1,B89,A89)</f>
        <v>31 de março de 2024</v>
      </c>
      <c r="E89" s="120">
        <f t="shared" ref="E89:J89" si="9">SUM(E82:E88)</f>
        <v>376803</v>
      </c>
      <c r="F89" s="120">
        <f t="shared" si="9"/>
        <v>59125</v>
      </c>
      <c r="G89" s="120">
        <f t="shared" si="9"/>
        <v>254036</v>
      </c>
      <c r="H89" s="120">
        <f t="shared" si="9"/>
        <v>66991</v>
      </c>
      <c r="I89" s="120">
        <f t="shared" si="9"/>
        <v>21095</v>
      </c>
      <c r="J89" s="120">
        <f t="shared" si="9"/>
        <v>8104</v>
      </c>
      <c r="K89" s="120">
        <f>SUM(K82:K88)</f>
        <v>7941</v>
      </c>
    </row>
    <row r="90" spans="1:11" x14ac:dyDescent="0.2">
      <c r="B90" s="28"/>
      <c r="C90" s="28"/>
      <c r="D90" s="182"/>
      <c r="E90" s="183"/>
      <c r="F90" s="183"/>
      <c r="G90" s="183"/>
      <c r="H90" s="183"/>
      <c r="I90" s="183"/>
      <c r="J90" s="183"/>
      <c r="K90" s="183"/>
    </row>
    <row r="91" spans="1:11" x14ac:dyDescent="0.2">
      <c r="A91" t="s">
        <v>213</v>
      </c>
      <c r="B91" t="s">
        <v>213</v>
      </c>
      <c r="D91" s="129" t="str">
        <f>IF([1]RENAME!$H$3=1,B91,A91)</f>
        <v>TCE</v>
      </c>
      <c r="E91" s="118">
        <v>118091</v>
      </c>
      <c r="F91" s="118">
        <v>42692</v>
      </c>
      <c r="G91" s="118">
        <v>75399</v>
      </c>
      <c r="H91" s="118">
        <v>102257</v>
      </c>
      <c r="I91" s="118">
        <v>18557</v>
      </c>
      <c r="J91" s="118">
        <v>16727</v>
      </c>
      <c r="K91" s="118">
        <v>12168</v>
      </c>
    </row>
    <row r="92" spans="1:11" x14ac:dyDescent="0.2">
      <c r="D92" s="129" t="s">
        <v>217</v>
      </c>
      <c r="E92" s="118">
        <v>74272</v>
      </c>
      <c r="F92" s="118">
        <v>12901</v>
      </c>
      <c r="G92" s="118">
        <v>61371</v>
      </c>
      <c r="H92" s="118">
        <v>103173</v>
      </c>
      <c r="I92" s="118">
        <v>12119</v>
      </c>
      <c r="J92" s="118">
        <v>15681</v>
      </c>
      <c r="K92" s="118">
        <v>16681</v>
      </c>
    </row>
    <row r="93" spans="1:11" x14ac:dyDescent="0.2">
      <c r="A93" t="s">
        <v>599</v>
      </c>
      <c r="B93" t="s">
        <v>599</v>
      </c>
      <c r="D93" s="129" t="str">
        <f>IF([1]RENAME!$H$3=1,B93,A93)</f>
        <v>TLA</v>
      </c>
      <c r="E93" s="118">
        <v>27679</v>
      </c>
      <c r="F93" s="118">
        <v>2602</v>
      </c>
      <c r="G93" s="118">
        <v>25078</v>
      </c>
      <c r="H93" s="118">
        <v>34235</v>
      </c>
      <c r="I93" s="118">
        <v>9767</v>
      </c>
      <c r="J93" s="118">
        <v>9500</v>
      </c>
      <c r="K93" s="118">
        <v>6642</v>
      </c>
    </row>
    <row r="94" spans="1:11" x14ac:dyDescent="0.2">
      <c r="A94" t="s">
        <v>215</v>
      </c>
      <c r="B94" t="s">
        <v>215</v>
      </c>
      <c r="D94" s="129" t="str">
        <f>IF([1]RENAME!$H$3=1,B94,A94)</f>
        <v>Niyati</v>
      </c>
      <c r="E94" s="118">
        <v>134872</v>
      </c>
      <c r="F94" s="118">
        <v>267</v>
      </c>
      <c r="G94" s="118">
        <v>134605</v>
      </c>
      <c r="H94" s="118">
        <v>6532</v>
      </c>
      <c r="I94" s="118">
        <v>3545</v>
      </c>
      <c r="J94" s="118">
        <v>3205</v>
      </c>
      <c r="K94" s="118">
        <v>3368</v>
      </c>
    </row>
    <row r="95" spans="1:11" x14ac:dyDescent="0.2">
      <c r="A95" t="s">
        <v>218</v>
      </c>
      <c r="B95" t="s">
        <v>218</v>
      </c>
      <c r="D95" s="129" t="str">
        <f>IF([1]RENAME!$H$3=1,B95,A95)</f>
        <v>Tegmax</v>
      </c>
      <c r="E95" s="118">
        <v>1516</v>
      </c>
      <c r="F95" s="118">
        <v>101</v>
      </c>
      <c r="G95" s="118">
        <v>1415</v>
      </c>
      <c r="H95" s="118">
        <v>0</v>
      </c>
      <c r="I95" s="118" t="s">
        <v>160</v>
      </c>
      <c r="J95" s="118">
        <v>-7</v>
      </c>
      <c r="K95" s="118">
        <v>72</v>
      </c>
    </row>
    <row r="96" spans="1:11" x14ac:dyDescent="0.2">
      <c r="A96" t="s">
        <v>1436</v>
      </c>
      <c r="B96" t="s">
        <v>1436</v>
      </c>
      <c r="D96" s="129" t="str">
        <f>IF([1]RENAME!$H$3=1,B96,A96)</f>
        <v>Tech cargo</v>
      </c>
      <c r="E96" s="118">
        <v>1</v>
      </c>
      <c r="F96" s="118">
        <v>0</v>
      </c>
      <c r="G96" s="118">
        <v>1</v>
      </c>
      <c r="H96" s="118">
        <v>0</v>
      </c>
      <c r="I96" s="118" t="s">
        <v>160</v>
      </c>
      <c r="J96" s="118" t="s">
        <v>160</v>
      </c>
      <c r="K96" s="118" t="s">
        <v>160</v>
      </c>
    </row>
    <row r="97" spans="1:12" x14ac:dyDescent="0.2">
      <c r="A97" t="s">
        <v>476</v>
      </c>
      <c r="B97" t="s">
        <v>476</v>
      </c>
      <c r="D97" s="129" t="str">
        <f>IF([1]RENAME!$H$3=1,B97,A97)</f>
        <v>TLV</v>
      </c>
      <c r="E97" s="118">
        <v>0</v>
      </c>
      <c r="F97" s="118">
        <v>0</v>
      </c>
      <c r="G97" s="118">
        <v>0</v>
      </c>
      <c r="H97" s="118">
        <v>3041</v>
      </c>
      <c r="I97" s="118">
        <v>-60</v>
      </c>
      <c r="J97" s="118">
        <v>-61</v>
      </c>
      <c r="K97" s="118">
        <v>257</v>
      </c>
    </row>
    <row r="98" spans="1:12" x14ac:dyDescent="0.2">
      <c r="A98" t="s">
        <v>1327</v>
      </c>
      <c r="B98" t="s">
        <v>1327</v>
      </c>
      <c r="D98" s="129" t="str">
        <f>IF([1]RENAME!$H$3=1,B98,A98)</f>
        <v>Tegup</v>
      </c>
      <c r="E98" s="118">
        <v>6833</v>
      </c>
      <c r="F98" s="118">
        <v>0</v>
      </c>
      <c r="G98" s="118">
        <v>6833</v>
      </c>
      <c r="H98" s="118">
        <v>0</v>
      </c>
      <c r="I98" s="118">
        <v>-2</v>
      </c>
      <c r="J98" s="118">
        <v>-3</v>
      </c>
      <c r="K98" s="118">
        <v>-709</v>
      </c>
    </row>
    <row r="99" spans="1:12" x14ac:dyDescent="0.2">
      <c r="A99" t="s">
        <v>2134</v>
      </c>
      <c r="B99" t="s">
        <v>2135</v>
      </c>
      <c r="D99" s="126" t="str">
        <f>IF([1]RENAME!$H$3=1,B99,A99)</f>
        <v>31 de dezembro de 2023</v>
      </c>
      <c r="E99" s="120">
        <f t="shared" ref="E99:K99" si="10">SUM(E91:E98)</f>
        <v>363264</v>
      </c>
      <c r="F99" s="120">
        <f t="shared" si="10"/>
        <v>58563</v>
      </c>
      <c r="G99" s="120">
        <f t="shared" si="10"/>
        <v>304702</v>
      </c>
      <c r="H99" s="120">
        <f t="shared" si="10"/>
        <v>249238</v>
      </c>
      <c r="I99" s="120">
        <f t="shared" si="10"/>
        <v>43926</v>
      </c>
      <c r="J99" s="120">
        <f t="shared" si="10"/>
        <v>45042</v>
      </c>
      <c r="K99" s="120">
        <f t="shared" si="10"/>
        <v>38479</v>
      </c>
    </row>
    <row r="100" spans="1:12" x14ac:dyDescent="0.2">
      <c r="B100" s="28"/>
      <c r="C100" s="28"/>
      <c r="D100" s="182"/>
      <c r="E100" s="183"/>
      <c r="F100" s="183"/>
      <c r="G100" s="183"/>
      <c r="H100" s="183"/>
      <c r="I100" s="183"/>
      <c r="J100" s="183"/>
      <c r="K100" s="183"/>
    </row>
    <row r="101" spans="1:12" x14ac:dyDescent="0.2">
      <c r="A101" t="s">
        <v>213</v>
      </c>
      <c r="B101" t="s">
        <v>213</v>
      </c>
      <c r="D101" s="129" t="str">
        <f>IF([1]RENAME!$H$3=1,B101,A101)</f>
        <v>TCE</v>
      </c>
      <c r="E101" s="118">
        <v>111564</v>
      </c>
      <c r="F101" s="118">
        <v>38829</v>
      </c>
      <c r="G101" s="118">
        <v>72735</v>
      </c>
      <c r="H101" s="118">
        <v>75502</v>
      </c>
      <c r="I101" s="118" t="s">
        <v>160</v>
      </c>
      <c r="J101" s="118" t="s">
        <v>160</v>
      </c>
      <c r="K101" s="118" t="s">
        <v>160</v>
      </c>
    </row>
    <row r="102" spans="1:12" x14ac:dyDescent="0.2">
      <c r="D102" s="129" t="s">
        <v>217</v>
      </c>
      <c r="E102" s="118">
        <v>71122</v>
      </c>
      <c r="F102" s="118">
        <v>12723</v>
      </c>
      <c r="G102" s="118">
        <v>58399</v>
      </c>
      <c r="H102" s="118">
        <v>71974</v>
      </c>
      <c r="I102" s="118" t="s">
        <v>160</v>
      </c>
      <c r="J102" s="118" t="s">
        <v>160</v>
      </c>
      <c r="K102" s="118" t="s">
        <v>160</v>
      </c>
    </row>
    <row r="103" spans="1:12" x14ac:dyDescent="0.2">
      <c r="A103" t="s">
        <v>599</v>
      </c>
      <c r="B103" t="s">
        <v>599</v>
      </c>
      <c r="D103" s="129" t="str">
        <f>IF([1]RENAME!$H$3=1,B103,A103)</f>
        <v>TLA</v>
      </c>
      <c r="E103" s="118">
        <v>25278</v>
      </c>
      <c r="F103" s="118">
        <v>4354</v>
      </c>
      <c r="G103" s="118">
        <v>20924</v>
      </c>
      <c r="H103" s="118">
        <v>25506</v>
      </c>
      <c r="I103" s="118" t="s">
        <v>160</v>
      </c>
      <c r="J103" s="118" t="s">
        <v>160</v>
      </c>
      <c r="K103" s="118" t="s">
        <v>160</v>
      </c>
    </row>
    <row r="104" spans="1:12" x14ac:dyDescent="0.2">
      <c r="A104" t="s">
        <v>215</v>
      </c>
      <c r="B104" t="s">
        <v>215</v>
      </c>
      <c r="D104" s="129" t="str">
        <f>IF([1]RENAME!$H$3=1,B104,A104)</f>
        <v>Niyati</v>
      </c>
      <c r="E104" s="118">
        <v>133921</v>
      </c>
      <c r="F104" s="118">
        <v>197</v>
      </c>
      <c r="G104" s="118">
        <v>133724</v>
      </c>
      <c r="H104" s="118">
        <v>4935</v>
      </c>
      <c r="I104" s="118" t="s">
        <v>160</v>
      </c>
      <c r="J104" s="118" t="s">
        <v>160</v>
      </c>
      <c r="K104" s="118" t="s">
        <v>160</v>
      </c>
    </row>
    <row r="105" spans="1:12" x14ac:dyDescent="0.2">
      <c r="A105" t="s">
        <v>218</v>
      </c>
      <c r="B105" t="s">
        <v>218</v>
      </c>
      <c r="D105" s="129" t="str">
        <f>IF([1]RENAME!$H$3=1,B105,A105)</f>
        <v>Tegmax</v>
      </c>
      <c r="E105" s="118">
        <v>1499</v>
      </c>
      <c r="F105" s="118">
        <v>101</v>
      </c>
      <c r="G105" s="118">
        <v>1398</v>
      </c>
      <c r="H105" s="118">
        <v>0</v>
      </c>
      <c r="I105" s="118" t="s">
        <v>160</v>
      </c>
      <c r="J105" s="118" t="s">
        <v>160</v>
      </c>
      <c r="K105" s="118" t="s">
        <v>160</v>
      </c>
    </row>
    <row r="106" spans="1:12" x14ac:dyDescent="0.2">
      <c r="A106" t="s">
        <v>1436</v>
      </c>
      <c r="B106" t="s">
        <v>1436</v>
      </c>
      <c r="D106" s="129" t="str">
        <f>IF([1]RENAME!$H$3=1,B106,A106)</f>
        <v>Tech cargo</v>
      </c>
      <c r="E106" s="118">
        <v>1</v>
      </c>
      <c r="F106" s="118">
        <v>0</v>
      </c>
      <c r="G106" s="118">
        <v>1</v>
      </c>
      <c r="H106" s="118">
        <v>0</v>
      </c>
      <c r="I106" s="118" t="s">
        <v>160</v>
      </c>
      <c r="J106" s="118" t="s">
        <v>160</v>
      </c>
      <c r="K106" s="118" t="s">
        <v>160</v>
      </c>
    </row>
    <row r="107" spans="1:12" x14ac:dyDescent="0.2">
      <c r="A107" t="s">
        <v>476</v>
      </c>
      <c r="B107" t="s">
        <v>476</v>
      </c>
      <c r="D107" s="129" t="str">
        <f>IF([1]RENAME!$H$3=1,B107,A107)</f>
        <v>TLV</v>
      </c>
      <c r="E107" s="118">
        <v>0</v>
      </c>
      <c r="F107" s="118">
        <v>0</v>
      </c>
      <c r="G107" s="118">
        <v>0</v>
      </c>
      <c r="H107" s="118">
        <v>3041</v>
      </c>
      <c r="I107" s="118" t="s">
        <v>160</v>
      </c>
      <c r="J107" s="118" t="s">
        <v>160</v>
      </c>
      <c r="K107" s="118" t="s">
        <v>160</v>
      </c>
    </row>
    <row r="108" spans="1:12" x14ac:dyDescent="0.2">
      <c r="A108" t="s">
        <v>1327</v>
      </c>
      <c r="B108" t="s">
        <v>1327</v>
      </c>
      <c r="D108" s="129" t="str">
        <f>IF([1]RENAME!$H$3=1,B108,A108)</f>
        <v>Tegup</v>
      </c>
      <c r="E108" s="118">
        <v>6888</v>
      </c>
      <c r="F108" s="118">
        <v>1</v>
      </c>
      <c r="G108" s="118">
        <v>6887</v>
      </c>
      <c r="H108" s="118">
        <v>0</v>
      </c>
      <c r="I108" s="118" t="s">
        <v>160</v>
      </c>
      <c r="J108" s="118" t="s">
        <v>160</v>
      </c>
      <c r="K108" s="118" t="s">
        <v>160</v>
      </c>
    </row>
    <row r="109" spans="1:12" x14ac:dyDescent="0.2">
      <c r="A109" t="s">
        <v>2097</v>
      </c>
      <c r="B109" t="s">
        <v>2098</v>
      </c>
      <c r="D109" s="126" t="str">
        <f>IF([1]RENAME!$H$3=1,B109,A109)</f>
        <v>30 de setembro de 2023</v>
      </c>
      <c r="E109" s="120">
        <f t="shared" ref="E109:K109" si="11">SUM(E101:E108)</f>
        <v>350273</v>
      </c>
      <c r="F109" s="120">
        <f t="shared" si="11"/>
        <v>56205</v>
      </c>
      <c r="G109" s="120">
        <f t="shared" si="11"/>
        <v>294068</v>
      </c>
      <c r="H109" s="120">
        <f t="shared" si="11"/>
        <v>180958</v>
      </c>
      <c r="I109" s="120">
        <f t="shared" si="11"/>
        <v>0</v>
      </c>
      <c r="J109" s="120">
        <f t="shared" si="11"/>
        <v>0</v>
      </c>
      <c r="K109" s="120">
        <f t="shared" si="11"/>
        <v>0</v>
      </c>
    </row>
    <row r="110" spans="1:12" x14ac:dyDescent="0.2">
      <c r="B110" s="28"/>
      <c r="C110" s="28"/>
      <c r="D110" s="182"/>
      <c r="E110" s="183"/>
      <c r="F110" s="183"/>
      <c r="G110" s="183"/>
      <c r="H110" s="183"/>
      <c r="I110" s="183"/>
      <c r="J110" s="183"/>
      <c r="K110" s="183"/>
      <c r="L110" s="28"/>
    </row>
    <row r="111" spans="1:12" x14ac:dyDescent="0.2">
      <c r="A111" t="s">
        <v>213</v>
      </c>
      <c r="B111" t="s">
        <v>213</v>
      </c>
      <c r="D111" s="129" t="str">
        <f>IF([1]RENAME!$H$3=1,B111,A111)</f>
        <v>TCE</v>
      </c>
      <c r="E111" s="118">
        <v>100875</v>
      </c>
      <c r="F111" s="118">
        <v>31678</v>
      </c>
      <c r="G111" s="118">
        <v>69197</v>
      </c>
      <c r="H111" s="118">
        <v>48401</v>
      </c>
      <c r="I111" s="118" t="s">
        <v>160</v>
      </c>
      <c r="J111" s="118" t="s">
        <v>160</v>
      </c>
      <c r="K111" s="118" t="s">
        <v>160</v>
      </c>
    </row>
    <row r="112" spans="1:12" x14ac:dyDescent="0.2">
      <c r="D112" s="129" t="s">
        <v>217</v>
      </c>
      <c r="E112" s="118">
        <v>81005</v>
      </c>
      <c r="F112" s="118">
        <v>20641</v>
      </c>
      <c r="G112" s="118">
        <v>60364</v>
      </c>
      <c r="H112" s="118">
        <v>43411</v>
      </c>
      <c r="I112" s="118" t="s">
        <v>160</v>
      </c>
      <c r="J112" s="118" t="s">
        <v>160</v>
      </c>
      <c r="K112" s="118" t="s">
        <v>160</v>
      </c>
    </row>
    <row r="113" spans="1:12" x14ac:dyDescent="0.2">
      <c r="A113" t="s">
        <v>599</v>
      </c>
      <c r="B113" t="s">
        <v>599</v>
      </c>
      <c r="D113" s="129" t="str">
        <f>IF([1]RENAME!$H$3=1,B113,A113)</f>
        <v>TLA</v>
      </c>
      <c r="E113" s="118">
        <v>23451</v>
      </c>
      <c r="F113" s="118">
        <v>3969</v>
      </c>
      <c r="G113" s="118">
        <v>19482</v>
      </c>
      <c r="H113" s="118">
        <v>16398</v>
      </c>
      <c r="I113" s="118" t="s">
        <v>160</v>
      </c>
      <c r="J113" s="118" t="s">
        <v>160</v>
      </c>
      <c r="K113" s="118" t="s">
        <v>160</v>
      </c>
    </row>
    <row r="114" spans="1:12" x14ac:dyDescent="0.2">
      <c r="A114" t="s">
        <v>215</v>
      </c>
      <c r="B114" t="s">
        <v>215</v>
      </c>
      <c r="D114" s="129" t="str">
        <f>IF([1]RENAME!$H$3=1,B114,A114)</f>
        <v>Niyati</v>
      </c>
      <c r="E114" s="118">
        <v>135064</v>
      </c>
      <c r="F114" s="118">
        <v>2164</v>
      </c>
      <c r="G114" s="118">
        <v>132900</v>
      </c>
      <c r="H114" s="118">
        <v>3353</v>
      </c>
      <c r="I114" s="118" t="s">
        <v>160</v>
      </c>
      <c r="J114" s="118" t="s">
        <v>160</v>
      </c>
      <c r="K114" s="118" t="s">
        <v>160</v>
      </c>
    </row>
    <row r="115" spans="1:12" x14ac:dyDescent="0.2">
      <c r="A115" t="s">
        <v>218</v>
      </c>
      <c r="B115" t="s">
        <v>218</v>
      </c>
      <c r="D115" s="129" t="str">
        <f>IF([1]RENAME!$H$3=1,B115,A115)</f>
        <v>Tegmax</v>
      </c>
      <c r="E115" s="118">
        <v>1509</v>
      </c>
      <c r="F115" s="118">
        <v>129</v>
      </c>
      <c r="G115" s="118">
        <v>1380</v>
      </c>
      <c r="H115" s="118">
        <v>0</v>
      </c>
      <c r="I115" s="118" t="s">
        <v>160</v>
      </c>
      <c r="J115" s="118" t="s">
        <v>160</v>
      </c>
      <c r="K115" s="118" t="s">
        <v>160</v>
      </c>
    </row>
    <row r="116" spans="1:12" x14ac:dyDescent="0.2">
      <c r="A116" t="s">
        <v>1436</v>
      </c>
      <c r="B116" t="s">
        <v>1436</v>
      </c>
      <c r="D116" s="129" t="str">
        <f>IF([1]RENAME!$H$3=1,B116,A116)</f>
        <v>Tech cargo</v>
      </c>
      <c r="E116" s="118">
        <v>1</v>
      </c>
      <c r="F116" s="118">
        <v>0</v>
      </c>
      <c r="G116" s="118">
        <v>1</v>
      </c>
      <c r="H116" s="118">
        <v>0</v>
      </c>
      <c r="I116" s="118" t="s">
        <v>160</v>
      </c>
      <c r="J116" s="118" t="s">
        <v>160</v>
      </c>
      <c r="K116" s="118" t="s">
        <v>160</v>
      </c>
    </row>
    <row r="117" spans="1:12" x14ac:dyDescent="0.2">
      <c r="A117" t="s">
        <v>476</v>
      </c>
      <c r="B117" t="s">
        <v>476</v>
      </c>
      <c r="D117" s="129" t="str">
        <f>IF([1]RENAME!$H$3=1,B117,A117)</f>
        <v>TLV</v>
      </c>
      <c r="E117" s="118">
        <v>0</v>
      </c>
      <c r="F117" s="118">
        <v>0</v>
      </c>
      <c r="G117" s="118">
        <v>0</v>
      </c>
      <c r="H117" s="118">
        <v>3041</v>
      </c>
      <c r="I117" s="118" t="s">
        <v>160</v>
      </c>
      <c r="J117" s="118" t="s">
        <v>160</v>
      </c>
      <c r="K117" s="118" t="s">
        <v>160</v>
      </c>
    </row>
    <row r="118" spans="1:12" x14ac:dyDescent="0.2">
      <c r="A118" t="s">
        <v>1327</v>
      </c>
      <c r="B118" t="s">
        <v>1327</v>
      </c>
      <c r="D118" s="129" t="str">
        <f>IF([1]RENAME!$H$3=1,B118,A118)</f>
        <v>Tegup</v>
      </c>
      <c r="E118" s="118">
        <v>6976</v>
      </c>
      <c r="F118" s="118">
        <v>2</v>
      </c>
      <c r="G118" s="118">
        <v>6974</v>
      </c>
      <c r="H118" s="118">
        <v>0</v>
      </c>
      <c r="I118" s="118" t="s">
        <v>160</v>
      </c>
      <c r="J118" s="118" t="s">
        <v>160</v>
      </c>
      <c r="K118" s="118" t="s">
        <v>160</v>
      </c>
    </row>
    <row r="119" spans="1:12" x14ac:dyDescent="0.2">
      <c r="A119" t="s">
        <v>2077</v>
      </c>
      <c r="B119" t="s">
        <v>2076</v>
      </c>
      <c r="D119" s="126" t="str">
        <f>IF([1]RENAME!$H$3=1,B119,A119)</f>
        <v>30 de junho de 2023</v>
      </c>
      <c r="E119" s="120">
        <f t="shared" ref="E119:K119" si="12">SUM(E111:E118)</f>
        <v>348881</v>
      </c>
      <c r="F119" s="120">
        <f t="shared" si="12"/>
        <v>58583</v>
      </c>
      <c r="G119" s="120">
        <f t="shared" si="12"/>
        <v>290298</v>
      </c>
      <c r="H119" s="120">
        <f t="shared" si="12"/>
        <v>114604</v>
      </c>
      <c r="I119" s="120">
        <f t="shared" si="12"/>
        <v>0</v>
      </c>
      <c r="J119" s="120">
        <f t="shared" si="12"/>
        <v>0</v>
      </c>
      <c r="K119" s="120">
        <f t="shared" si="12"/>
        <v>0</v>
      </c>
    </row>
    <row r="120" spans="1:12" x14ac:dyDescent="0.2">
      <c r="B120" s="28"/>
      <c r="C120" s="28"/>
      <c r="D120" s="182"/>
      <c r="E120" s="183"/>
      <c r="F120" s="183"/>
      <c r="G120" s="183"/>
      <c r="H120" s="183"/>
      <c r="I120" s="183"/>
      <c r="J120" s="183"/>
      <c r="K120" s="183"/>
      <c r="L120" s="28"/>
    </row>
    <row r="121" spans="1:12" x14ac:dyDescent="0.2">
      <c r="A121" t="s">
        <v>213</v>
      </c>
      <c r="B121" t="s">
        <v>213</v>
      </c>
      <c r="D121" s="129" t="str">
        <f>IF([1]RENAME!$H$3=1,B121,A121)</f>
        <v>TCE</v>
      </c>
      <c r="E121" s="118">
        <v>103292</v>
      </c>
      <c r="F121" s="118">
        <v>37263</v>
      </c>
      <c r="G121" s="118">
        <v>66029</v>
      </c>
      <c r="H121" s="118">
        <v>25742</v>
      </c>
      <c r="I121" s="118" t="s">
        <v>160</v>
      </c>
      <c r="J121" s="118" t="s">
        <v>160</v>
      </c>
      <c r="K121" s="118" t="s">
        <v>160</v>
      </c>
    </row>
    <row r="122" spans="1:12" x14ac:dyDescent="0.2">
      <c r="D122" s="129" t="s">
        <v>217</v>
      </c>
      <c r="E122" s="118">
        <v>81739</v>
      </c>
      <c r="F122" s="118">
        <v>16762</v>
      </c>
      <c r="G122" s="118">
        <v>64977</v>
      </c>
      <c r="H122" s="118">
        <v>20082</v>
      </c>
      <c r="I122" s="118" t="s">
        <v>160</v>
      </c>
      <c r="J122" s="118" t="s">
        <v>160</v>
      </c>
      <c r="K122" s="118" t="s">
        <v>160</v>
      </c>
    </row>
    <row r="123" spans="1:12" x14ac:dyDescent="0.2">
      <c r="A123" t="s">
        <v>599</v>
      </c>
      <c r="B123" t="s">
        <v>599</v>
      </c>
      <c r="D123" s="129" t="str">
        <f>IF([1]RENAME!$H$3=1,B123,A123)</f>
        <v>TLA</v>
      </c>
      <c r="E123" s="118">
        <v>21015</v>
      </c>
      <c r="F123" s="118">
        <v>3810</v>
      </c>
      <c r="G123" s="118">
        <v>17205</v>
      </c>
      <c r="H123" s="118">
        <v>8226</v>
      </c>
      <c r="I123" s="118" t="s">
        <v>160</v>
      </c>
      <c r="J123" s="118" t="s">
        <v>160</v>
      </c>
      <c r="K123" s="118" t="s">
        <v>160</v>
      </c>
    </row>
    <row r="124" spans="1:12" x14ac:dyDescent="0.2">
      <c r="A124" t="s">
        <v>215</v>
      </c>
      <c r="B124" t="s">
        <v>215</v>
      </c>
      <c r="D124" s="129" t="str">
        <f>IF([1]RENAME!$H$3=1,B124,A124)</f>
        <v>Niyati</v>
      </c>
      <c r="E124" s="118">
        <v>134384</v>
      </c>
      <c r="F124" s="118">
        <v>325</v>
      </c>
      <c r="G124" s="118">
        <v>134059</v>
      </c>
      <c r="H124" s="118">
        <v>1895</v>
      </c>
      <c r="I124" s="118" t="s">
        <v>160</v>
      </c>
      <c r="J124" s="118" t="s">
        <v>160</v>
      </c>
      <c r="K124" s="118" t="s">
        <v>160</v>
      </c>
    </row>
    <row r="125" spans="1:12" x14ac:dyDescent="0.2">
      <c r="A125" t="s">
        <v>218</v>
      </c>
      <c r="B125" t="s">
        <v>218</v>
      </c>
      <c r="D125" s="129" t="str">
        <f>IF([1]RENAME!$H$3=1,B125,A125)</f>
        <v>Tegmax</v>
      </c>
      <c r="E125" s="118">
        <v>1487</v>
      </c>
      <c r="F125" s="118">
        <v>96</v>
      </c>
      <c r="G125" s="118">
        <v>1391</v>
      </c>
      <c r="H125" s="118">
        <v>0</v>
      </c>
      <c r="I125" s="118" t="s">
        <v>160</v>
      </c>
      <c r="J125" s="118" t="s">
        <v>160</v>
      </c>
      <c r="K125" s="118" t="s">
        <v>160</v>
      </c>
    </row>
    <row r="126" spans="1:12" x14ac:dyDescent="0.2">
      <c r="A126" t="s">
        <v>1436</v>
      </c>
      <c r="B126" t="s">
        <v>1436</v>
      </c>
      <c r="D126" s="129" t="str">
        <f>IF([1]RENAME!$H$3=1,B126,A126)</f>
        <v>Tech cargo</v>
      </c>
      <c r="E126" s="118">
        <v>1</v>
      </c>
      <c r="F126" s="118">
        <v>0</v>
      </c>
      <c r="G126" s="118">
        <v>1</v>
      </c>
      <c r="H126" s="118">
        <v>0</v>
      </c>
      <c r="I126" s="118" t="s">
        <v>160</v>
      </c>
      <c r="J126" s="118" t="s">
        <v>160</v>
      </c>
      <c r="K126" s="118" t="s">
        <v>160</v>
      </c>
    </row>
    <row r="127" spans="1:12" x14ac:dyDescent="0.2">
      <c r="A127" t="s">
        <v>476</v>
      </c>
      <c r="B127" t="s">
        <v>476</v>
      </c>
      <c r="D127" s="129" t="str">
        <f>IF([1]RENAME!$H$3=1,B127,A127)</f>
        <v>TLV</v>
      </c>
      <c r="E127" s="118">
        <v>0</v>
      </c>
      <c r="F127" s="118">
        <v>0</v>
      </c>
      <c r="G127" s="118">
        <v>0</v>
      </c>
      <c r="H127" s="118">
        <v>3041</v>
      </c>
      <c r="I127" s="118" t="s">
        <v>160</v>
      </c>
      <c r="J127" s="118" t="s">
        <v>160</v>
      </c>
      <c r="K127" s="118" t="s">
        <v>160</v>
      </c>
    </row>
    <row r="128" spans="1:12" x14ac:dyDescent="0.2">
      <c r="A128" t="s">
        <v>1327</v>
      </c>
      <c r="B128" t="s">
        <v>1327</v>
      </c>
      <c r="D128" s="129" t="str">
        <f>IF([1]RENAME!$H$3=1,B128,A128)</f>
        <v>Tegup</v>
      </c>
      <c r="E128" s="118">
        <v>7403</v>
      </c>
      <c r="F128" s="118">
        <v>3</v>
      </c>
      <c r="G128" s="118">
        <v>7400</v>
      </c>
      <c r="H128" s="118">
        <v>0</v>
      </c>
      <c r="I128" s="118" t="s">
        <v>160</v>
      </c>
      <c r="J128" s="118" t="s">
        <v>160</v>
      </c>
      <c r="K128" s="118" t="s">
        <v>160</v>
      </c>
    </row>
    <row r="129" spans="1:11" x14ac:dyDescent="0.2">
      <c r="A129" t="s">
        <v>2038</v>
      </c>
      <c r="B129" t="s">
        <v>2039</v>
      </c>
      <c r="D129" s="126" t="str">
        <f>IF([1]RENAME!$H$3=1,B129,A129)</f>
        <v>31 de março de 2023</v>
      </c>
      <c r="E129" s="120">
        <f>SUM(E121:E128)</f>
        <v>349321</v>
      </c>
      <c r="F129" s="120">
        <f>SUM(F121:F128)</f>
        <v>58259</v>
      </c>
      <c r="G129" s="120">
        <f>SUM(G121:G128)</f>
        <v>291062</v>
      </c>
      <c r="H129" s="120">
        <f>SUM(H121:H128)</f>
        <v>58986</v>
      </c>
      <c r="I129" s="120"/>
      <c r="J129" s="120"/>
      <c r="K129" s="120">
        <f>SUM(K121:K128)</f>
        <v>0</v>
      </c>
    </row>
    <row r="130" spans="1:11" x14ac:dyDescent="0.2">
      <c r="D130" s="149"/>
      <c r="E130" s="150"/>
      <c r="F130" s="150"/>
      <c r="G130" s="150"/>
      <c r="H130" s="150"/>
      <c r="I130" s="150"/>
      <c r="J130" s="150"/>
      <c r="K130" s="150"/>
    </row>
    <row r="131" spans="1:11" x14ac:dyDescent="0.2">
      <c r="A131" t="s">
        <v>213</v>
      </c>
      <c r="B131" t="s">
        <v>213</v>
      </c>
      <c r="D131" s="129" t="str">
        <f>IF([1]RENAME!$H$3=1,B131,A131)</f>
        <v>TCE</v>
      </c>
      <c r="E131" s="118">
        <v>85148</v>
      </c>
      <c r="F131" s="118">
        <v>22171</v>
      </c>
      <c r="G131" s="118">
        <v>62977</v>
      </c>
      <c r="H131" s="118">
        <v>109239</v>
      </c>
      <c r="I131" s="118">
        <v>0</v>
      </c>
      <c r="J131" s="118">
        <v>0</v>
      </c>
      <c r="K131" s="118">
        <v>17365</v>
      </c>
    </row>
    <row r="132" spans="1:11" x14ac:dyDescent="0.2">
      <c r="D132" s="129" t="s">
        <v>217</v>
      </c>
      <c r="E132" s="118">
        <v>24544</v>
      </c>
      <c r="F132" s="118">
        <v>9058</v>
      </c>
      <c r="G132" s="118">
        <v>15486</v>
      </c>
      <c r="H132" s="118">
        <v>0</v>
      </c>
      <c r="I132" s="118">
        <v>0</v>
      </c>
      <c r="J132" s="118">
        <v>0</v>
      </c>
      <c r="K132" s="118">
        <v>8927</v>
      </c>
    </row>
    <row r="133" spans="1:11" x14ac:dyDescent="0.2">
      <c r="A133" t="s">
        <v>599</v>
      </c>
      <c r="B133" t="s">
        <v>599</v>
      </c>
      <c r="D133" s="129" t="str">
        <f>IF([1]RENAME!$H$3=1,B133,A133)</f>
        <v>TLA</v>
      </c>
      <c r="E133" s="118">
        <v>18883</v>
      </c>
      <c r="F133" s="118">
        <v>3175</v>
      </c>
      <c r="G133" s="118">
        <v>15708</v>
      </c>
      <c r="H133" s="118">
        <v>7703</v>
      </c>
      <c r="I133" s="118">
        <v>0</v>
      </c>
      <c r="J133" s="118">
        <v>0</v>
      </c>
      <c r="K133" s="118">
        <v>1060</v>
      </c>
    </row>
    <row r="134" spans="1:11" x14ac:dyDescent="0.2">
      <c r="A134" t="s">
        <v>215</v>
      </c>
      <c r="B134" t="s">
        <v>215</v>
      </c>
      <c r="D134" s="129" t="str">
        <f>IF([1]RENAME!$H$3=1,B134,A134)</f>
        <v>Niyati</v>
      </c>
      <c r="E134" s="118">
        <v>105945</v>
      </c>
      <c r="F134" s="118">
        <v>286</v>
      </c>
      <c r="G134" s="118">
        <v>105659</v>
      </c>
      <c r="H134" s="118">
        <v>8044</v>
      </c>
      <c r="I134" s="118">
        <v>0</v>
      </c>
      <c r="J134" s="118">
        <v>0</v>
      </c>
      <c r="K134" s="118">
        <v>5383</v>
      </c>
    </row>
    <row r="135" spans="1:11" x14ac:dyDescent="0.2">
      <c r="A135" t="s">
        <v>218</v>
      </c>
      <c r="B135" t="s">
        <v>218</v>
      </c>
      <c r="D135" s="129" t="str">
        <f>IF([1]RENAME!$H$3=1,B135,A135)</f>
        <v>Tegmax</v>
      </c>
      <c r="E135" s="118">
        <v>1473</v>
      </c>
      <c r="F135" s="118">
        <v>99</v>
      </c>
      <c r="G135" s="118">
        <v>1374</v>
      </c>
      <c r="H135" s="118">
        <v>0</v>
      </c>
      <c r="I135" s="118">
        <v>0</v>
      </c>
      <c r="J135" s="118">
        <v>0</v>
      </c>
      <c r="K135" s="118">
        <v>31</v>
      </c>
    </row>
    <row r="136" spans="1:11" x14ac:dyDescent="0.2">
      <c r="A136" t="s">
        <v>1436</v>
      </c>
      <c r="B136" t="s">
        <v>1436</v>
      </c>
      <c r="D136" s="129" t="str">
        <f>IF([1]RENAME!$H$3=1,B136,A136)</f>
        <v>Tech cargo</v>
      </c>
      <c r="E136" s="118">
        <v>1</v>
      </c>
      <c r="F136" s="118">
        <v>0</v>
      </c>
      <c r="G136" s="118">
        <v>1</v>
      </c>
      <c r="H136" s="118">
        <v>0</v>
      </c>
      <c r="I136" s="118">
        <v>0</v>
      </c>
      <c r="J136" s="118">
        <v>0</v>
      </c>
      <c r="K136" s="118">
        <v>0</v>
      </c>
    </row>
    <row r="137" spans="1:11" x14ac:dyDescent="0.2">
      <c r="A137" t="s">
        <v>476</v>
      </c>
      <c r="B137" t="s">
        <v>476</v>
      </c>
      <c r="D137" s="129" t="str">
        <f>IF([1]RENAME!$H$3=1,B137,A137)</f>
        <v>TLV</v>
      </c>
      <c r="E137" s="118">
        <v>55408</v>
      </c>
      <c r="F137" s="118">
        <v>10874</v>
      </c>
      <c r="G137" s="118">
        <v>44534</v>
      </c>
      <c r="H137" s="118">
        <v>105679</v>
      </c>
      <c r="I137" s="118">
        <v>0</v>
      </c>
      <c r="J137" s="118">
        <v>0</v>
      </c>
      <c r="K137" s="118">
        <v>13340</v>
      </c>
    </row>
    <row r="138" spans="1:11" x14ac:dyDescent="0.2">
      <c r="A138" t="s">
        <v>1327</v>
      </c>
      <c r="B138" t="s">
        <v>1327</v>
      </c>
      <c r="D138" s="129" t="str">
        <f>IF([1]RENAME!$H$3=1,B138,A138)</f>
        <v>Tegup</v>
      </c>
      <c r="E138" s="118">
        <v>7543</v>
      </c>
      <c r="F138" s="118">
        <v>1</v>
      </c>
      <c r="G138" s="118">
        <v>7542</v>
      </c>
      <c r="H138" s="118">
        <v>0</v>
      </c>
      <c r="I138" s="118">
        <v>0</v>
      </c>
      <c r="J138" s="118">
        <v>0</v>
      </c>
      <c r="K138" s="118">
        <v>-557</v>
      </c>
    </row>
    <row r="139" spans="1:11" x14ac:dyDescent="0.2">
      <c r="A139" t="s">
        <v>2005</v>
      </c>
      <c r="B139" t="s">
        <v>2006</v>
      </c>
      <c r="D139" s="126" t="str">
        <f>IF([1]RENAME!$H$3=1,B139,A139)</f>
        <v>31 de dezembro de 2022</v>
      </c>
      <c r="E139" s="120">
        <f>SUM(E131:E138)</f>
        <v>298945</v>
      </c>
      <c r="F139" s="120">
        <f>SUM(F131:F138)</f>
        <v>45664</v>
      </c>
      <c r="G139" s="120">
        <f>SUM(G131:G138)</f>
        <v>253281</v>
      </c>
      <c r="H139" s="120">
        <f>SUM(H131:H138)</f>
        <v>230665</v>
      </c>
      <c r="I139" s="120"/>
      <c r="J139" s="120"/>
      <c r="K139" s="120">
        <f>SUM(K131:K138)</f>
        <v>45549</v>
      </c>
    </row>
    <row r="140" spans="1:11" x14ac:dyDescent="0.2">
      <c r="D140" s="149"/>
      <c r="E140" s="150"/>
      <c r="F140" s="150"/>
      <c r="G140" s="150"/>
      <c r="H140" s="150"/>
      <c r="I140" s="150"/>
      <c r="J140" s="150"/>
      <c r="K140" s="150"/>
    </row>
    <row r="141" spans="1:11" x14ac:dyDescent="0.2">
      <c r="A141" t="s">
        <v>213</v>
      </c>
      <c r="B141" t="s">
        <v>213</v>
      </c>
      <c r="D141" s="129" t="str">
        <f>IF([1]RENAME!$H$3=1,B141,A141)</f>
        <v>TCE</v>
      </c>
      <c r="E141" s="118">
        <v>86605</v>
      </c>
      <c r="F141" s="118">
        <v>26763</v>
      </c>
      <c r="G141" s="118">
        <v>59842</v>
      </c>
      <c r="H141" s="118">
        <v>84163</v>
      </c>
      <c r="I141" s="118">
        <v>0</v>
      </c>
      <c r="J141" s="118">
        <v>0</v>
      </c>
      <c r="K141" s="118">
        <v>14230</v>
      </c>
    </row>
    <row r="142" spans="1:11" x14ac:dyDescent="0.2">
      <c r="A142" t="s">
        <v>599</v>
      </c>
      <c r="B142" t="s">
        <v>599</v>
      </c>
      <c r="D142" s="129" t="str">
        <f>IF([1]RENAME!$H$3=1,B142,A142)</f>
        <v>TLA</v>
      </c>
      <c r="E142" s="118">
        <v>18268</v>
      </c>
      <c r="F142" s="118">
        <v>2642</v>
      </c>
      <c r="G142" s="118">
        <v>15626</v>
      </c>
      <c r="H142" s="118">
        <v>2613</v>
      </c>
      <c r="I142" s="118">
        <v>0</v>
      </c>
      <c r="J142" s="118">
        <v>0</v>
      </c>
      <c r="K142" s="118">
        <v>976</v>
      </c>
    </row>
    <row r="143" spans="1:11" x14ac:dyDescent="0.2">
      <c r="A143" t="s">
        <v>215</v>
      </c>
      <c r="B143" t="s">
        <v>215</v>
      </c>
      <c r="D143" s="129" t="str">
        <f>IF([1]RENAME!$H$3=1,B143,A143)</f>
        <v>Niyati</v>
      </c>
      <c r="E143" s="118">
        <v>104873</v>
      </c>
      <c r="F143" s="118">
        <v>250</v>
      </c>
      <c r="G143" s="118">
        <v>104623</v>
      </c>
      <c r="H143" s="118">
        <v>6331</v>
      </c>
      <c r="I143" s="118">
        <v>0</v>
      </c>
      <c r="J143" s="118">
        <v>0</v>
      </c>
      <c r="K143" s="118">
        <v>4347</v>
      </c>
    </row>
    <row r="144" spans="1:11" x14ac:dyDescent="0.2">
      <c r="A144" t="s">
        <v>218</v>
      </c>
      <c r="B144" t="s">
        <v>218</v>
      </c>
      <c r="D144" s="129" t="str">
        <f>IF([1]RENAME!$H$3=1,B144,A144)</f>
        <v>Tegmax</v>
      </c>
      <c r="E144" s="118">
        <v>1444</v>
      </c>
      <c r="F144" s="118">
        <v>59</v>
      </c>
      <c r="G144" s="118">
        <v>1385</v>
      </c>
      <c r="H144" s="118">
        <v>0</v>
      </c>
      <c r="I144" s="118">
        <v>0</v>
      </c>
      <c r="J144" s="118">
        <v>0</v>
      </c>
      <c r="K144" s="118">
        <v>42</v>
      </c>
    </row>
    <row r="145" spans="1:11" x14ac:dyDescent="0.2">
      <c r="A145" t="s">
        <v>1436</v>
      </c>
      <c r="B145" t="s">
        <v>1436</v>
      </c>
      <c r="D145" s="129" t="str">
        <f>IF([1]RENAME!$H$3=1,B145,A145)</f>
        <v>Tech cargo</v>
      </c>
      <c r="E145" s="118">
        <v>1</v>
      </c>
      <c r="F145" s="118">
        <v>0</v>
      </c>
      <c r="G145" s="118">
        <v>1</v>
      </c>
      <c r="H145" s="118">
        <v>0</v>
      </c>
      <c r="I145" s="118">
        <v>0</v>
      </c>
      <c r="J145" s="118">
        <v>0</v>
      </c>
      <c r="K145" s="118">
        <v>0</v>
      </c>
    </row>
    <row r="146" spans="1:11" x14ac:dyDescent="0.2">
      <c r="A146" t="s">
        <v>476</v>
      </c>
      <c r="B146" t="s">
        <v>476</v>
      </c>
      <c r="D146" s="129" t="str">
        <f>IF([1]RENAME!$H$3=1,B146,A146)</f>
        <v>TLV</v>
      </c>
      <c r="E146" s="118">
        <v>55186</v>
      </c>
      <c r="F146" s="118">
        <v>14366</v>
      </c>
      <c r="G146" s="118">
        <v>40820</v>
      </c>
      <c r="H146" s="118">
        <v>77165</v>
      </c>
      <c r="I146" s="118">
        <v>0</v>
      </c>
      <c r="J146" s="118">
        <v>0</v>
      </c>
      <c r="K146" s="118">
        <v>10288</v>
      </c>
    </row>
    <row r="147" spans="1:11" x14ac:dyDescent="0.2">
      <c r="A147" t="s">
        <v>1327</v>
      </c>
      <c r="B147" t="s">
        <v>1327</v>
      </c>
      <c r="D147" s="129" t="str">
        <f>IF([1]RENAME!$H$3=1,B147,A147)</f>
        <v>Tegup</v>
      </c>
      <c r="E147" s="118">
        <v>7894</v>
      </c>
      <c r="F147" s="118">
        <v>2</v>
      </c>
      <c r="G147" s="118">
        <v>7892</v>
      </c>
      <c r="H147" s="118">
        <v>0</v>
      </c>
      <c r="I147" s="118">
        <v>0</v>
      </c>
      <c r="J147" s="118">
        <v>0</v>
      </c>
      <c r="K147" s="118">
        <v>-206</v>
      </c>
    </row>
    <row r="148" spans="1:11" x14ac:dyDescent="0.2">
      <c r="A148" t="s">
        <v>1990</v>
      </c>
      <c r="B148" t="s">
        <v>1989</v>
      </c>
      <c r="D148" s="126" t="str">
        <f>IF([1]RENAME!$H$3=1,B148,A148)</f>
        <v>30 de setembro de 2022</v>
      </c>
      <c r="E148" s="120">
        <f>SUM(E141:E147)</f>
        <v>274271</v>
      </c>
      <c r="F148" s="120">
        <f>SUM(F141:F147)</f>
        <v>44082</v>
      </c>
      <c r="G148" s="120">
        <f>SUM(G141:G147)</f>
        <v>230189</v>
      </c>
      <c r="H148" s="120">
        <f>SUM(H141:H147)</f>
        <v>170272</v>
      </c>
      <c r="I148" s="120"/>
      <c r="J148" s="120"/>
      <c r="K148" s="120">
        <f>SUM(K141:K147)</f>
        <v>29677</v>
      </c>
    </row>
    <row r="149" spans="1:11" x14ac:dyDescent="0.2">
      <c r="D149" s="149"/>
      <c r="E149" s="150"/>
      <c r="F149" s="150"/>
      <c r="G149" s="150"/>
      <c r="H149" s="150"/>
      <c r="I149" s="150"/>
      <c r="J149" s="150"/>
      <c r="K149" s="150"/>
    </row>
    <row r="150" spans="1:11" x14ac:dyDescent="0.2">
      <c r="A150" t="s">
        <v>213</v>
      </c>
      <c r="B150" t="s">
        <v>213</v>
      </c>
      <c r="D150" s="129" t="str">
        <f>IF([1]RENAME!$H$3=1,B150,A150)</f>
        <v>TCE</v>
      </c>
      <c r="E150" s="118">
        <v>95448</v>
      </c>
      <c r="F150" s="118">
        <v>29839</v>
      </c>
      <c r="G150" s="118">
        <v>65609</v>
      </c>
      <c r="H150" s="118">
        <v>54604</v>
      </c>
      <c r="I150" s="118">
        <v>0</v>
      </c>
      <c r="J150" s="118">
        <v>0</v>
      </c>
      <c r="K150" s="118">
        <v>9397</v>
      </c>
    </row>
    <row r="151" spans="1:11" x14ac:dyDescent="0.2">
      <c r="A151" t="s">
        <v>599</v>
      </c>
      <c r="B151" t="s">
        <v>599</v>
      </c>
      <c r="D151" s="129" t="str">
        <f>IF([1]RENAME!$H$3=1,B151,A151)</f>
        <v>TLA</v>
      </c>
      <c r="E151" s="118">
        <v>18084</v>
      </c>
      <c r="F151" s="118">
        <v>2843</v>
      </c>
      <c r="G151" s="118">
        <v>15241</v>
      </c>
      <c r="H151" s="118">
        <v>1667</v>
      </c>
      <c r="I151" s="118">
        <v>0</v>
      </c>
      <c r="J151" s="118">
        <v>0</v>
      </c>
      <c r="K151" s="118">
        <v>591</v>
      </c>
    </row>
    <row r="152" spans="1:11" x14ac:dyDescent="0.2">
      <c r="A152" t="s">
        <v>215</v>
      </c>
      <c r="B152" t="s">
        <v>215</v>
      </c>
      <c r="D152" s="129" t="str">
        <f>IF([1]RENAME!$H$3=1,B152,A152)</f>
        <v>Niyati</v>
      </c>
      <c r="E152" s="118">
        <v>107041</v>
      </c>
      <c r="F152" s="118">
        <v>316</v>
      </c>
      <c r="G152" s="118">
        <v>106725</v>
      </c>
      <c r="H152" s="118">
        <v>4553</v>
      </c>
      <c r="I152" s="118">
        <v>0</v>
      </c>
      <c r="J152" s="118">
        <v>0</v>
      </c>
      <c r="K152" s="118">
        <v>3224</v>
      </c>
    </row>
    <row r="153" spans="1:11" x14ac:dyDescent="0.2">
      <c r="A153" t="s">
        <v>218</v>
      </c>
      <c r="B153" t="s">
        <v>218</v>
      </c>
      <c r="D153" s="129" t="str">
        <f>IF([1]RENAME!$H$3=1,B153,A153)</f>
        <v>Tegmax</v>
      </c>
      <c r="E153" s="118">
        <v>1424</v>
      </c>
      <c r="F153" s="118">
        <v>58</v>
      </c>
      <c r="G153" s="118">
        <v>1366</v>
      </c>
      <c r="H153" s="118">
        <v>0</v>
      </c>
      <c r="I153" s="118">
        <v>0</v>
      </c>
      <c r="J153" s="118">
        <v>0</v>
      </c>
      <c r="K153" s="118">
        <v>23</v>
      </c>
    </row>
    <row r="154" spans="1:11" x14ac:dyDescent="0.2">
      <c r="A154" t="s">
        <v>1436</v>
      </c>
      <c r="B154" t="s">
        <v>1436</v>
      </c>
      <c r="D154" s="129" t="str">
        <f>IF([1]RENAME!$H$3=1,B154,A154)</f>
        <v>Tech cargo</v>
      </c>
      <c r="E154" s="118">
        <v>1</v>
      </c>
      <c r="F154" s="118">
        <v>0</v>
      </c>
      <c r="G154" s="118">
        <v>1</v>
      </c>
      <c r="H154" s="118">
        <v>0</v>
      </c>
      <c r="I154" s="118">
        <v>0</v>
      </c>
      <c r="J154" s="118">
        <v>0</v>
      </c>
      <c r="K154" s="118">
        <v>0</v>
      </c>
    </row>
    <row r="155" spans="1:11" x14ac:dyDescent="0.2">
      <c r="A155" t="s">
        <v>476</v>
      </c>
      <c r="B155" t="s">
        <v>476</v>
      </c>
      <c r="D155" s="129" t="str">
        <f>IF([1]RENAME!$H$3=1,B155,A155)</f>
        <v>TLV</v>
      </c>
      <c r="E155" s="118">
        <v>67868</v>
      </c>
      <c r="F155" s="118">
        <v>16224</v>
      </c>
      <c r="G155" s="118">
        <v>51644</v>
      </c>
      <c r="H155" s="118">
        <v>47689</v>
      </c>
      <c r="I155" s="118">
        <v>0</v>
      </c>
      <c r="J155" s="118">
        <v>0</v>
      </c>
      <c r="K155" s="118">
        <v>6217</v>
      </c>
    </row>
    <row r="156" spans="1:11" x14ac:dyDescent="0.2">
      <c r="A156" t="s">
        <v>1327</v>
      </c>
      <c r="B156" t="s">
        <v>1327</v>
      </c>
      <c r="D156" s="129" t="str">
        <f>IF([1]RENAME!$H$3=1,B156,A156)</f>
        <v>Tegup</v>
      </c>
      <c r="E156" s="118">
        <v>7361</v>
      </c>
      <c r="F156" s="118">
        <v>0</v>
      </c>
      <c r="G156" s="118">
        <v>7361</v>
      </c>
      <c r="H156" s="118">
        <v>0</v>
      </c>
      <c r="I156" s="118">
        <v>0</v>
      </c>
      <c r="J156" s="118">
        <v>0</v>
      </c>
      <c r="K156" s="118">
        <v>-437</v>
      </c>
    </row>
    <row r="157" spans="1:11" x14ac:dyDescent="0.2">
      <c r="A157" t="s">
        <v>1968</v>
      </c>
      <c r="B157" t="s">
        <v>1969</v>
      </c>
      <c r="D157" s="126" t="str">
        <f>IF([1]RENAME!$H$3=1,B157,A157)</f>
        <v>30 de junho de 2022</v>
      </c>
      <c r="E157" s="120">
        <f>SUM(E150:E156)</f>
        <v>297227</v>
      </c>
      <c r="F157" s="120">
        <f>SUM(F150:F156)</f>
        <v>49280</v>
      </c>
      <c r="G157" s="120">
        <f>SUM(G150:G156)</f>
        <v>247947</v>
      </c>
      <c r="H157" s="120">
        <f>SUM(H150:H156)</f>
        <v>108513</v>
      </c>
      <c r="I157" s="120"/>
      <c r="J157" s="120"/>
      <c r="K157" s="120">
        <f>SUM(K150:K156)</f>
        <v>19015</v>
      </c>
    </row>
    <row r="159" spans="1:11" x14ac:dyDescent="0.2">
      <c r="A159" t="s">
        <v>213</v>
      </c>
      <c r="B159" t="s">
        <v>213</v>
      </c>
      <c r="D159" s="129" t="str">
        <f>IF([1]RENAME!$H$3=1,B159,A159)</f>
        <v>TCE</v>
      </c>
      <c r="E159" s="118">
        <v>100409</v>
      </c>
      <c r="F159" s="118">
        <v>28573</v>
      </c>
      <c r="G159" s="118">
        <v>71836</v>
      </c>
      <c r="H159" s="118">
        <v>28155</v>
      </c>
      <c r="I159" s="118">
        <v>0</v>
      </c>
      <c r="J159" s="118">
        <v>0</v>
      </c>
      <c r="K159" s="118">
        <v>5624</v>
      </c>
    </row>
    <row r="160" spans="1:11" x14ac:dyDescent="0.2">
      <c r="A160" t="s">
        <v>599</v>
      </c>
      <c r="B160" t="s">
        <v>599</v>
      </c>
      <c r="D160" s="129" t="str">
        <f>IF([1]RENAME!$H$3=1,B160,A160)</f>
        <v>TLA</v>
      </c>
      <c r="E160" s="118">
        <v>17795</v>
      </c>
      <c r="F160" s="118">
        <v>2916</v>
      </c>
      <c r="G160" s="118">
        <v>14879</v>
      </c>
      <c r="H160" s="118">
        <v>826</v>
      </c>
      <c r="I160" s="118">
        <v>0</v>
      </c>
      <c r="J160" s="118">
        <v>0</v>
      </c>
      <c r="K160" s="118">
        <v>229</v>
      </c>
    </row>
    <row r="161" spans="1:11" x14ac:dyDescent="0.2">
      <c r="A161" t="s">
        <v>215</v>
      </c>
      <c r="B161" t="s">
        <v>215</v>
      </c>
      <c r="D161" s="129" t="str">
        <f>IF([1]RENAME!$H$3=1,B161,A161)</f>
        <v>Niyati</v>
      </c>
      <c r="E161" s="118">
        <v>111340</v>
      </c>
      <c r="F161" s="118">
        <v>362</v>
      </c>
      <c r="G161" s="118">
        <v>110978</v>
      </c>
      <c r="H161" s="118">
        <v>2250</v>
      </c>
      <c r="I161" s="118">
        <v>0</v>
      </c>
      <c r="J161" s="118">
        <v>0</v>
      </c>
      <c r="K161" s="118">
        <v>1562</v>
      </c>
    </row>
    <row r="162" spans="1:11" x14ac:dyDescent="0.2">
      <c r="A162" t="s">
        <v>218</v>
      </c>
      <c r="B162" t="s">
        <v>218</v>
      </c>
      <c r="D162" s="129" t="str">
        <f>IF([1]RENAME!$H$3=1,B162,A162)</f>
        <v>Tegmax</v>
      </c>
      <c r="E162" s="118">
        <v>1405</v>
      </c>
      <c r="F162" s="118">
        <v>56</v>
      </c>
      <c r="G162" s="118">
        <v>1349</v>
      </c>
      <c r="H162" s="118">
        <v>0</v>
      </c>
      <c r="I162" s="118">
        <v>0</v>
      </c>
      <c r="J162" s="118">
        <v>0</v>
      </c>
      <c r="K162" s="118">
        <v>6</v>
      </c>
    </row>
    <row r="163" spans="1:11" x14ac:dyDescent="0.2">
      <c r="A163" t="s">
        <v>1436</v>
      </c>
      <c r="B163" t="s">
        <v>1436</v>
      </c>
      <c r="D163" s="129" t="str">
        <f>IF([1]RENAME!$H$3=1,B163,A163)</f>
        <v>Tech cargo</v>
      </c>
      <c r="E163" s="118">
        <v>1</v>
      </c>
      <c r="F163" s="118">
        <v>0</v>
      </c>
      <c r="G163" s="118">
        <v>1</v>
      </c>
      <c r="H163" s="118">
        <v>0</v>
      </c>
      <c r="I163" s="118">
        <v>0</v>
      </c>
      <c r="J163" s="118">
        <v>0</v>
      </c>
      <c r="K163" s="118">
        <v>0</v>
      </c>
    </row>
    <row r="164" spans="1:11" x14ac:dyDescent="0.2">
      <c r="A164" t="s">
        <v>476</v>
      </c>
      <c r="B164" t="s">
        <v>476</v>
      </c>
      <c r="D164" s="129" t="str">
        <f>IF([1]RENAME!$H$3=1,B164,A164)</f>
        <v>TLV</v>
      </c>
      <c r="E164" s="118">
        <v>87660</v>
      </c>
      <c r="F164" s="118">
        <v>10300</v>
      </c>
      <c r="G164" s="118">
        <v>77360</v>
      </c>
      <c r="H164" s="118">
        <v>20847</v>
      </c>
      <c r="I164" s="118">
        <v>0</v>
      </c>
      <c r="J164" s="118">
        <v>0</v>
      </c>
      <c r="K164" s="118">
        <v>2983</v>
      </c>
    </row>
    <row r="165" spans="1:11" x14ac:dyDescent="0.2">
      <c r="A165" t="s">
        <v>1327</v>
      </c>
      <c r="B165" t="s">
        <v>1327</v>
      </c>
      <c r="D165" s="129" t="str">
        <f>IF([1]RENAME!$H$3=1,B165,A165)</f>
        <v>Tegup</v>
      </c>
      <c r="E165" s="118">
        <v>6889</v>
      </c>
      <c r="F165" s="118">
        <v>58</v>
      </c>
      <c r="G165" s="118">
        <v>6831</v>
      </c>
      <c r="H165" s="118">
        <v>0</v>
      </c>
      <c r="I165" s="118">
        <v>0</v>
      </c>
      <c r="J165" s="118">
        <v>0</v>
      </c>
      <c r="K165" s="118">
        <v>133</v>
      </c>
    </row>
    <row r="166" spans="1:11" x14ac:dyDescent="0.2">
      <c r="A166" t="s">
        <v>1956</v>
      </c>
      <c r="B166" t="s">
        <v>1957</v>
      </c>
      <c r="D166" s="126" t="str">
        <f>IF([1]RENAME!$H$3=1,B166,A166)</f>
        <v>31 de março de 2022</v>
      </c>
      <c r="E166" s="120">
        <f>SUM(E159:E165)</f>
        <v>325499</v>
      </c>
      <c r="F166" s="120">
        <f>SUM(F159:F165)</f>
        <v>42265</v>
      </c>
      <c r="G166" s="120">
        <f>SUM(G159:G165)</f>
        <v>283234</v>
      </c>
      <c r="H166" s="120">
        <f>SUM(H159:H165)</f>
        <v>52078</v>
      </c>
      <c r="I166" s="120"/>
      <c r="J166" s="120"/>
      <c r="K166" s="120">
        <f>SUM(K159:K165)</f>
        <v>10537</v>
      </c>
    </row>
    <row r="168" spans="1:11" x14ac:dyDescent="0.2">
      <c r="A168" t="s">
        <v>213</v>
      </c>
      <c r="B168" t="s">
        <v>213</v>
      </c>
      <c r="D168" s="129" t="str">
        <f>IF([1]RENAME!$H$3=1,B168,A168)</f>
        <v>TCE</v>
      </c>
      <c r="E168" s="118">
        <v>93089</v>
      </c>
      <c r="F168" s="118">
        <v>26877</v>
      </c>
      <c r="G168" s="118">
        <v>66212</v>
      </c>
      <c r="H168" s="118">
        <v>91519</v>
      </c>
      <c r="I168" s="118">
        <v>0</v>
      </c>
      <c r="J168" s="118">
        <v>0</v>
      </c>
      <c r="K168" s="118">
        <v>18582</v>
      </c>
    </row>
    <row r="169" spans="1:11" x14ac:dyDescent="0.2">
      <c r="A169" t="s">
        <v>599</v>
      </c>
      <c r="B169" t="s">
        <v>599</v>
      </c>
      <c r="D169" s="129" t="str">
        <f>IF([1]RENAME!$H$3=1,B169,A169)</f>
        <v>TLA</v>
      </c>
      <c r="E169" s="118">
        <v>17264</v>
      </c>
      <c r="F169" s="118">
        <v>2614</v>
      </c>
      <c r="G169" s="118">
        <v>14650</v>
      </c>
      <c r="H169" s="118">
        <v>2322</v>
      </c>
      <c r="I169" s="118">
        <v>0</v>
      </c>
      <c r="J169" s="118">
        <v>0</v>
      </c>
      <c r="K169" s="118">
        <v>-1325</v>
      </c>
    </row>
    <row r="170" spans="1:11" x14ac:dyDescent="0.2">
      <c r="A170" t="s">
        <v>215</v>
      </c>
      <c r="B170" t="s">
        <v>215</v>
      </c>
      <c r="D170" s="129" t="str">
        <f>IF([1]RENAME!$H$3=1,B170,A170)</f>
        <v>Niyati</v>
      </c>
      <c r="E170" s="118">
        <v>109757</v>
      </c>
      <c r="F170" s="118">
        <v>341</v>
      </c>
      <c r="G170" s="118">
        <v>109416</v>
      </c>
      <c r="H170" s="118">
        <v>8266</v>
      </c>
      <c r="I170" s="118">
        <v>0</v>
      </c>
      <c r="J170" s="118">
        <v>0</v>
      </c>
      <c r="K170" s="118">
        <v>3574</v>
      </c>
    </row>
    <row r="171" spans="1:11" x14ac:dyDescent="0.2">
      <c r="A171" t="s">
        <v>218</v>
      </c>
      <c r="B171" t="s">
        <v>218</v>
      </c>
      <c r="D171" s="129" t="str">
        <f>IF([1]RENAME!$H$3=1,B171,A171)</f>
        <v>Tegmax</v>
      </c>
      <c r="E171" s="118">
        <v>1415</v>
      </c>
      <c r="F171" s="118">
        <v>72</v>
      </c>
      <c r="G171" s="118">
        <v>1343</v>
      </c>
      <c r="H171" s="118">
        <v>0</v>
      </c>
      <c r="I171" s="118">
        <v>0</v>
      </c>
      <c r="J171" s="118">
        <v>0</v>
      </c>
      <c r="K171" s="118">
        <v>-1</v>
      </c>
    </row>
    <row r="172" spans="1:11" x14ac:dyDescent="0.2">
      <c r="A172" t="s">
        <v>1436</v>
      </c>
      <c r="B172" t="s">
        <v>1436</v>
      </c>
      <c r="D172" s="129" t="str">
        <f>IF([1]RENAME!$H$3=1,B172,A172)</f>
        <v>Tech cargo</v>
      </c>
      <c r="E172" s="118">
        <v>1</v>
      </c>
      <c r="F172" s="118">
        <v>0</v>
      </c>
      <c r="G172" s="118">
        <v>1</v>
      </c>
      <c r="H172" s="118">
        <v>0</v>
      </c>
      <c r="I172" s="118">
        <v>0</v>
      </c>
      <c r="J172" s="118">
        <v>0</v>
      </c>
      <c r="K172" s="118">
        <v>0</v>
      </c>
    </row>
    <row r="173" spans="1:11" x14ac:dyDescent="0.2">
      <c r="A173" t="s">
        <v>476</v>
      </c>
      <c r="B173" t="s">
        <v>476</v>
      </c>
      <c r="D173" s="129" t="str">
        <f>IF([1]RENAME!$H$3=1,B173,A173)</f>
        <v>TLV</v>
      </c>
      <c r="E173" s="118">
        <v>74126</v>
      </c>
      <c r="F173" s="118">
        <v>10984</v>
      </c>
      <c r="G173" s="118">
        <v>63142</v>
      </c>
      <c r="H173" s="118">
        <v>82168</v>
      </c>
      <c r="I173" s="118">
        <v>0</v>
      </c>
      <c r="J173" s="118">
        <v>0</v>
      </c>
      <c r="K173" s="118">
        <v>8657</v>
      </c>
    </row>
    <row r="174" spans="1:11" x14ac:dyDescent="0.2">
      <c r="A174" t="s">
        <v>1327</v>
      </c>
      <c r="B174" t="s">
        <v>1327</v>
      </c>
      <c r="D174" s="129" t="str">
        <f>IF([1]RENAME!$H$3=1,B174,A174)</f>
        <v>Tegup</v>
      </c>
      <c r="E174" s="118">
        <v>7674</v>
      </c>
      <c r="F174" s="118">
        <v>976</v>
      </c>
      <c r="G174" s="118">
        <v>6698</v>
      </c>
      <c r="H174" s="118">
        <v>17</v>
      </c>
      <c r="I174" s="118">
        <v>0</v>
      </c>
      <c r="J174" s="118">
        <v>0</v>
      </c>
      <c r="K174" s="118">
        <v>1791</v>
      </c>
    </row>
    <row r="175" spans="1:11" x14ac:dyDescent="0.2">
      <c r="A175" t="s">
        <v>1924</v>
      </c>
      <c r="B175" t="s">
        <v>1925</v>
      </c>
      <c r="D175" s="126" t="str">
        <f>IF([1]RENAME!$H$3=1,B175,A175)</f>
        <v>31 de dezembro de 2021</v>
      </c>
      <c r="E175" s="120">
        <v>303326</v>
      </c>
      <c r="F175" s="120">
        <v>41864</v>
      </c>
      <c r="G175" s="120">
        <v>261462</v>
      </c>
      <c r="H175" s="120">
        <v>184292</v>
      </c>
      <c r="I175" s="120"/>
      <c r="J175" s="120"/>
      <c r="K175" s="120">
        <v>31278</v>
      </c>
    </row>
    <row r="177" spans="1:11" x14ac:dyDescent="0.2">
      <c r="A177" t="s">
        <v>213</v>
      </c>
      <c r="B177" t="s">
        <v>213</v>
      </c>
      <c r="D177" s="129" t="s">
        <v>213</v>
      </c>
      <c r="E177" s="118">
        <v>104162</v>
      </c>
      <c r="F177" s="118">
        <v>40683</v>
      </c>
      <c r="G177" s="118">
        <v>63479</v>
      </c>
      <c r="H177" s="118">
        <v>69594</v>
      </c>
      <c r="I177" s="118">
        <v>0</v>
      </c>
      <c r="J177" s="118">
        <v>0</v>
      </c>
      <c r="K177" s="118">
        <v>15849</v>
      </c>
    </row>
    <row r="178" spans="1:11" x14ac:dyDescent="0.2">
      <c r="A178" t="s">
        <v>599</v>
      </c>
      <c r="B178" t="s">
        <v>599</v>
      </c>
      <c r="D178" s="129" t="s">
        <v>599</v>
      </c>
      <c r="E178" s="118">
        <v>17240</v>
      </c>
      <c r="F178" s="118">
        <v>2594</v>
      </c>
      <c r="G178" s="118">
        <v>14646</v>
      </c>
      <c r="H178" s="118">
        <v>1755</v>
      </c>
      <c r="I178" s="118">
        <v>0</v>
      </c>
      <c r="J178" s="118">
        <v>0</v>
      </c>
      <c r="K178" s="118">
        <v>-1329</v>
      </c>
    </row>
    <row r="179" spans="1:11" x14ac:dyDescent="0.2">
      <c r="A179" t="s">
        <v>215</v>
      </c>
      <c r="B179" t="s">
        <v>215</v>
      </c>
      <c r="D179" s="129" t="s">
        <v>215</v>
      </c>
      <c r="E179" s="118">
        <v>111071</v>
      </c>
      <c r="F179" s="118">
        <v>2994</v>
      </c>
      <c r="G179" s="118">
        <v>108077</v>
      </c>
      <c r="H179" s="118">
        <v>6085</v>
      </c>
      <c r="I179" s="118">
        <v>0</v>
      </c>
      <c r="J179" s="118">
        <v>0</v>
      </c>
      <c r="K179" s="118">
        <v>2235</v>
      </c>
    </row>
    <row r="180" spans="1:11" x14ac:dyDescent="0.2">
      <c r="A180" t="s">
        <v>218</v>
      </c>
      <c r="B180" t="s">
        <v>218</v>
      </c>
      <c r="D180" s="129" t="s">
        <v>218</v>
      </c>
      <c r="E180" s="118">
        <v>1433</v>
      </c>
      <c r="F180" s="118">
        <v>84</v>
      </c>
      <c r="G180" s="118">
        <v>1349</v>
      </c>
      <c r="H180" s="118">
        <v>0</v>
      </c>
      <c r="I180" s="118">
        <v>0</v>
      </c>
      <c r="J180" s="118">
        <v>0</v>
      </c>
      <c r="K180" s="118">
        <v>5</v>
      </c>
    </row>
    <row r="181" spans="1:11" x14ac:dyDescent="0.2">
      <c r="A181" t="s">
        <v>1436</v>
      </c>
      <c r="B181" t="s">
        <v>1436</v>
      </c>
      <c r="D181" s="129" t="s">
        <v>1436</v>
      </c>
      <c r="E181" s="118">
        <v>1</v>
      </c>
      <c r="F181" s="118">
        <v>0</v>
      </c>
      <c r="G181" s="118">
        <v>1</v>
      </c>
      <c r="H181" s="118">
        <v>0</v>
      </c>
      <c r="I181" s="118">
        <v>0</v>
      </c>
      <c r="J181" s="118">
        <v>0</v>
      </c>
      <c r="K181" s="118">
        <v>0</v>
      </c>
    </row>
    <row r="182" spans="1:11" x14ac:dyDescent="0.2">
      <c r="A182" t="s">
        <v>476</v>
      </c>
      <c r="B182" t="s">
        <v>476</v>
      </c>
      <c r="D182" s="129" t="s">
        <v>476</v>
      </c>
      <c r="E182" s="118">
        <v>52387</v>
      </c>
      <c r="F182" s="118">
        <v>9652</v>
      </c>
      <c r="G182" s="118">
        <v>42735</v>
      </c>
      <c r="H182" s="118">
        <v>60123</v>
      </c>
      <c r="I182" s="118">
        <v>0</v>
      </c>
      <c r="J182" s="118">
        <v>0</v>
      </c>
      <c r="K182" s="118">
        <v>6063</v>
      </c>
    </row>
    <row r="183" spans="1:11" x14ac:dyDescent="0.2">
      <c r="A183" t="s">
        <v>1327</v>
      </c>
      <c r="B183" t="s">
        <v>1327</v>
      </c>
      <c r="D183" s="129" t="s">
        <v>1327</v>
      </c>
      <c r="E183" s="118">
        <v>5193</v>
      </c>
      <c r="F183" s="118">
        <v>38</v>
      </c>
      <c r="G183" s="118">
        <v>5155</v>
      </c>
      <c r="H183" s="118">
        <v>13</v>
      </c>
      <c r="I183" s="118">
        <v>0</v>
      </c>
      <c r="J183" s="118">
        <v>0</v>
      </c>
      <c r="K183" s="118">
        <v>248</v>
      </c>
    </row>
    <row r="184" spans="1:11" x14ac:dyDescent="0.2">
      <c r="A184" t="s">
        <v>1907</v>
      </c>
      <c r="B184" t="s">
        <v>1908</v>
      </c>
      <c r="D184" s="126" t="str">
        <f>IF([1]RENAME!$H$3=1,B184,A184)</f>
        <v>30 de setembro de 2021</v>
      </c>
      <c r="E184" s="120">
        <f>SUM(E177:E183)</f>
        <v>291487</v>
      </c>
      <c r="F184" s="120">
        <f>SUM(F177:F183)</f>
        <v>56045</v>
      </c>
      <c r="G184" s="120">
        <f>SUM(G177:G183)</f>
        <v>235442</v>
      </c>
      <c r="H184" s="120">
        <f>SUM(H177:H183)</f>
        <v>137570</v>
      </c>
      <c r="I184" s="120"/>
      <c r="J184" s="120"/>
      <c r="K184" s="120">
        <f>SUM(K177:K183)</f>
        <v>23071</v>
      </c>
    </row>
    <row r="186" spans="1:11" x14ac:dyDescent="0.2">
      <c r="A186" t="s">
        <v>213</v>
      </c>
      <c r="B186" t="s">
        <v>213</v>
      </c>
      <c r="D186" s="129" t="str">
        <f>IF([1]RENAME!$H$3=1,B186,A186)</f>
        <v>TCE</v>
      </c>
      <c r="E186" s="118">
        <v>101480</v>
      </c>
      <c r="F186" s="118">
        <v>42499</v>
      </c>
      <c r="G186" s="118">
        <v>58981</v>
      </c>
      <c r="H186" s="118">
        <v>44990</v>
      </c>
      <c r="I186" s="118">
        <v>0</v>
      </c>
      <c r="J186" s="118">
        <v>0</v>
      </c>
      <c r="K186" s="118">
        <v>11351</v>
      </c>
    </row>
    <row r="187" spans="1:11" x14ac:dyDescent="0.2">
      <c r="A187" t="s">
        <v>599</v>
      </c>
      <c r="B187" t="s">
        <v>599</v>
      </c>
      <c r="D187" s="129" t="str">
        <f>IF([1]RENAME!$H$3=1,B187,A187)</f>
        <v>TLA</v>
      </c>
      <c r="E187" s="118">
        <v>17846</v>
      </c>
      <c r="F187" s="118">
        <v>3190</v>
      </c>
      <c r="G187" s="118">
        <v>14656</v>
      </c>
      <c r="H187" s="118">
        <v>1382</v>
      </c>
      <c r="I187" s="118">
        <v>0</v>
      </c>
      <c r="J187" s="118">
        <v>0</v>
      </c>
      <c r="K187" s="118">
        <v>-1319</v>
      </c>
    </row>
    <row r="188" spans="1:11" x14ac:dyDescent="0.2">
      <c r="A188" t="s">
        <v>215</v>
      </c>
      <c r="B188" t="s">
        <v>215</v>
      </c>
      <c r="D188" s="129" t="str">
        <f>IF([1]RENAME!$H$3=1,B188,A188)</f>
        <v>Niyati</v>
      </c>
      <c r="E188" s="118">
        <v>109717</v>
      </c>
      <c r="F188" s="118">
        <v>3018</v>
      </c>
      <c r="G188" s="118">
        <v>106699</v>
      </c>
      <c r="H188" s="118">
        <v>3933</v>
      </c>
      <c r="I188" s="118">
        <v>0</v>
      </c>
      <c r="J188" s="118">
        <v>0</v>
      </c>
      <c r="K188" s="118">
        <v>856</v>
      </c>
    </row>
    <row r="189" spans="1:11" x14ac:dyDescent="0.2">
      <c r="A189" t="s">
        <v>218</v>
      </c>
      <c r="B189" t="s">
        <v>218</v>
      </c>
      <c r="D189" s="129" t="str">
        <f>IF([1]RENAME!$H$3=1,B189,A189)</f>
        <v>Tegmax</v>
      </c>
      <c r="E189" s="118">
        <v>1556</v>
      </c>
      <c r="F189" s="118">
        <v>228</v>
      </c>
      <c r="G189" s="118">
        <v>1328</v>
      </c>
      <c r="H189" s="118">
        <v>0</v>
      </c>
      <c r="I189" s="118">
        <v>0</v>
      </c>
      <c r="J189" s="118">
        <v>0</v>
      </c>
      <c r="K189" s="118">
        <v>-16</v>
      </c>
    </row>
    <row r="190" spans="1:11" x14ac:dyDescent="0.2">
      <c r="A190" t="s">
        <v>1436</v>
      </c>
      <c r="B190" t="s">
        <v>1436</v>
      </c>
      <c r="D190" s="129" t="str">
        <f>IF([1]RENAME!$H$3=1,B190,A190)</f>
        <v>Tech cargo</v>
      </c>
      <c r="E190" s="118">
        <v>1</v>
      </c>
      <c r="F190" s="118">
        <v>0</v>
      </c>
      <c r="G190" s="118">
        <v>1</v>
      </c>
      <c r="H190" s="118">
        <v>0</v>
      </c>
      <c r="I190" s="118">
        <v>0</v>
      </c>
      <c r="J190" s="118">
        <v>0</v>
      </c>
      <c r="K190" s="118">
        <v>0</v>
      </c>
    </row>
    <row r="191" spans="1:11" x14ac:dyDescent="0.2">
      <c r="A191" t="s">
        <v>476</v>
      </c>
      <c r="B191" t="s">
        <v>476</v>
      </c>
      <c r="D191" s="129" t="str">
        <f>IF([1]RENAME!$H$3=1,B191,A191)</f>
        <v>TLV</v>
      </c>
      <c r="E191" s="118">
        <v>38086</v>
      </c>
      <c r="F191" s="118">
        <v>9477</v>
      </c>
      <c r="G191" s="118">
        <v>28609</v>
      </c>
      <c r="H191" s="118">
        <v>40632</v>
      </c>
      <c r="I191" s="118">
        <v>0</v>
      </c>
      <c r="J191" s="118">
        <v>0</v>
      </c>
      <c r="K191" s="118">
        <v>3945</v>
      </c>
    </row>
    <row r="192" spans="1:11" x14ac:dyDescent="0.2">
      <c r="A192" t="s">
        <v>1327</v>
      </c>
      <c r="B192" t="s">
        <v>1327</v>
      </c>
      <c r="D192" s="129" t="str">
        <f>IF([1]RENAME!$H$3=1,B192,A192)</f>
        <v>Tegup</v>
      </c>
      <c r="E192" s="118">
        <v>5162</v>
      </c>
      <c r="F192" s="118">
        <v>65</v>
      </c>
      <c r="G192" s="118">
        <v>5097</v>
      </c>
      <c r="H192" s="118">
        <v>8</v>
      </c>
      <c r="I192" s="118">
        <v>0</v>
      </c>
      <c r="J192" s="118">
        <v>0</v>
      </c>
      <c r="K192" s="118">
        <v>190</v>
      </c>
    </row>
    <row r="193" spans="1:11" x14ac:dyDescent="0.2">
      <c r="A193" t="s">
        <v>1862</v>
      </c>
      <c r="B193" t="s">
        <v>1861</v>
      </c>
      <c r="D193" s="126" t="str">
        <f>IF([1]RENAME!$H$3=1,B193,A193)</f>
        <v>30 de junho de 2021</v>
      </c>
      <c r="E193" s="120">
        <f>SUM(E186:E192)</f>
        <v>273848</v>
      </c>
      <c r="F193" s="120">
        <f>SUM(F186:F192)</f>
        <v>58477</v>
      </c>
      <c r="G193" s="120">
        <f>SUM(G186:G192)</f>
        <v>215371</v>
      </c>
      <c r="H193" s="120">
        <f>SUM(H186:H192)</f>
        <v>90945</v>
      </c>
      <c r="I193" s="120"/>
      <c r="J193" s="120"/>
      <c r="K193" s="120">
        <f>SUM(K186:K192)</f>
        <v>15007</v>
      </c>
    </row>
    <row r="195" spans="1:11" x14ac:dyDescent="0.2">
      <c r="A195" t="s">
        <v>213</v>
      </c>
      <c r="B195" t="s">
        <v>213</v>
      </c>
      <c r="D195" s="129" t="str">
        <f>IF([1]RENAME!$H$3=1,B195,A195)</f>
        <v>TCE</v>
      </c>
      <c r="E195" s="118">
        <v>91938</v>
      </c>
      <c r="F195" s="118">
        <v>32123</v>
      </c>
      <c r="G195" s="118">
        <v>59815</v>
      </c>
      <c r="H195" s="118">
        <v>20486</v>
      </c>
      <c r="I195" s="118">
        <v>0</v>
      </c>
      <c r="J195" s="118">
        <v>0</v>
      </c>
      <c r="K195" s="118">
        <v>2185</v>
      </c>
    </row>
    <row r="196" spans="1:11" x14ac:dyDescent="0.2">
      <c r="A196" t="s">
        <v>599</v>
      </c>
      <c r="B196" t="s">
        <v>599</v>
      </c>
      <c r="D196" s="129" t="str">
        <f>IF([1]RENAME!$H$3=1,B196,A196)</f>
        <v>TLA</v>
      </c>
      <c r="E196" s="118">
        <v>19886</v>
      </c>
      <c r="F196" s="118">
        <v>4350</v>
      </c>
      <c r="G196" s="118">
        <v>15536</v>
      </c>
      <c r="H196" s="118">
        <v>1132</v>
      </c>
      <c r="I196" s="118">
        <v>0</v>
      </c>
      <c r="J196" s="118">
        <v>0</v>
      </c>
      <c r="K196" s="118">
        <v>-439</v>
      </c>
    </row>
    <row r="197" spans="1:11" x14ac:dyDescent="0.2">
      <c r="A197" t="s">
        <v>215</v>
      </c>
      <c r="B197" t="s">
        <v>215</v>
      </c>
      <c r="D197" s="129" t="str">
        <f>IF([1]RENAME!$H$3=1,B197,A197)</f>
        <v>Niyati</v>
      </c>
      <c r="E197" s="118">
        <v>109844</v>
      </c>
      <c r="F197" s="118">
        <v>247</v>
      </c>
      <c r="G197" s="118">
        <v>109597</v>
      </c>
      <c r="H197" s="118">
        <v>1860</v>
      </c>
      <c r="I197" s="118">
        <v>0</v>
      </c>
      <c r="J197" s="118">
        <v>0</v>
      </c>
      <c r="K197" s="118">
        <v>1069</v>
      </c>
    </row>
    <row r="198" spans="1:11" x14ac:dyDescent="0.2">
      <c r="A198" t="s">
        <v>218</v>
      </c>
      <c r="B198" t="s">
        <v>218</v>
      </c>
      <c r="D198" s="129" t="str">
        <f>IF([1]RENAME!$H$3=1,B198,A198)</f>
        <v>Tegmax</v>
      </c>
      <c r="E198" s="118">
        <v>1548</v>
      </c>
      <c r="F198" s="118">
        <v>170</v>
      </c>
      <c r="G198" s="118">
        <v>1378</v>
      </c>
      <c r="H198" s="118">
        <v>0</v>
      </c>
      <c r="I198" s="118">
        <v>0</v>
      </c>
      <c r="J198" s="118">
        <v>0</v>
      </c>
      <c r="K198" s="118">
        <v>1</v>
      </c>
    </row>
    <row r="199" spans="1:11" x14ac:dyDescent="0.2">
      <c r="A199" t="s">
        <v>1436</v>
      </c>
      <c r="B199" t="s">
        <v>1436</v>
      </c>
      <c r="D199" s="129" t="str">
        <f>IF([1]RENAME!$H$3=1,B199,A199)</f>
        <v>Tech cargo</v>
      </c>
      <c r="E199" s="118">
        <v>1</v>
      </c>
      <c r="F199" s="118">
        <v>0</v>
      </c>
      <c r="G199" s="118">
        <v>1</v>
      </c>
      <c r="H199" s="118">
        <v>0</v>
      </c>
      <c r="I199" s="118">
        <v>0</v>
      </c>
      <c r="J199" s="118">
        <v>0</v>
      </c>
      <c r="K199" s="118">
        <v>0</v>
      </c>
    </row>
    <row r="200" spans="1:11" x14ac:dyDescent="0.2">
      <c r="A200" t="s">
        <v>476</v>
      </c>
      <c r="B200" t="s">
        <v>476</v>
      </c>
      <c r="D200" s="129" t="str">
        <f>IF([1]RENAME!$H$3=1,B200,A200)</f>
        <v>TLV</v>
      </c>
      <c r="E200" s="118">
        <v>34389</v>
      </c>
      <c r="F200" s="118">
        <v>7439</v>
      </c>
      <c r="G200" s="118">
        <v>26950</v>
      </c>
      <c r="H200" s="118">
        <v>19148</v>
      </c>
      <c r="I200" s="118">
        <v>0</v>
      </c>
      <c r="J200" s="118">
        <v>0</v>
      </c>
      <c r="K200" s="118">
        <v>1624</v>
      </c>
    </row>
    <row r="201" spans="1:11" x14ac:dyDescent="0.2">
      <c r="A201" t="s">
        <v>1327</v>
      </c>
      <c r="B201" t="s">
        <v>1327</v>
      </c>
      <c r="D201" s="129" t="str">
        <f>IF([1]RENAME!$H$3=1,B201,A201)</f>
        <v>Tegup</v>
      </c>
      <c r="E201" s="118">
        <v>4892</v>
      </c>
      <c r="F201" s="118">
        <v>3</v>
      </c>
      <c r="G201" s="118">
        <v>4889</v>
      </c>
      <c r="H201" s="118">
        <v>4</v>
      </c>
      <c r="I201" s="118">
        <v>0</v>
      </c>
      <c r="J201" s="118">
        <v>0</v>
      </c>
      <c r="K201" s="118">
        <v>-18</v>
      </c>
    </row>
    <row r="202" spans="1:11" x14ac:dyDescent="0.2">
      <c r="A202" t="s">
        <v>1852</v>
      </c>
      <c r="B202" t="s">
        <v>1853</v>
      </c>
      <c r="D202" s="126" t="str">
        <f>IF([1]RENAME!$H$3=1,B202,A202)</f>
        <v>31 de março de 2021</v>
      </c>
      <c r="E202" s="120">
        <f>SUM(E195:E201)</f>
        <v>262498</v>
      </c>
      <c r="F202" s="120">
        <f>SUM(F195:F201)</f>
        <v>44332</v>
      </c>
      <c r="G202" s="120">
        <f>SUM(G195:G201)</f>
        <v>218166</v>
      </c>
      <c r="H202" s="120">
        <f>SUM(H195:H201)</f>
        <v>42630</v>
      </c>
      <c r="I202" s="120"/>
      <c r="J202" s="120"/>
      <c r="K202" s="120">
        <f>SUM(K195:K201)</f>
        <v>4422</v>
      </c>
    </row>
    <row r="204" spans="1:11" x14ac:dyDescent="0.2">
      <c r="A204" t="s">
        <v>213</v>
      </c>
      <c r="B204" t="s">
        <v>213</v>
      </c>
      <c r="D204" s="129" t="str">
        <f>IF([1]RENAME!$H$3=1,B204,A204)</f>
        <v>TCE</v>
      </c>
      <c r="E204" s="118">
        <v>76338</v>
      </c>
      <c r="F204" s="118">
        <v>18708</v>
      </c>
      <c r="G204" s="118">
        <v>57630</v>
      </c>
      <c r="H204" s="118">
        <v>92878</v>
      </c>
      <c r="I204" s="118">
        <v>0</v>
      </c>
      <c r="J204" s="118">
        <v>0</v>
      </c>
      <c r="K204" s="118">
        <v>16963</v>
      </c>
    </row>
    <row r="205" spans="1:11" x14ac:dyDescent="0.2">
      <c r="A205" t="s">
        <v>599</v>
      </c>
      <c r="B205" t="s">
        <v>599</v>
      </c>
      <c r="D205" s="129" t="str">
        <f>IF([1]RENAME!$H$3=1,B205,A205)</f>
        <v>TLA</v>
      </c>
      <c r="E205" s="118">
        <v>22415</v>
      </c>
      <c r="F205" s="118">
        <v>6440</v>
      </c>
      <c r="G205" s="118">
        <v>15975</v>
      </c>
      <c r="H205" s="118">
        <v>30786</v>
      </c>
      <c r="I205" s="118">
        <v>0</v>
      </c>
      <c r="J205" s="118">
        <v>0</v>
      </c>
      <c r="K205" s="118">
        <v>-1702</v>
      </c>
    </row>
    <row r="206" spans="1:11" x14ac:dyDescent="0.2">
      <c r="A206" t="s">
        <v>215</v>
      </c>
      <c r="B206" t="s">
        <v>215</v>
      </c>
      <c r="D206" s="129" t="str">
        <f>IF([1]RENAME!$H$3=1,B206,A206)</f>
        <v>Niyati</v>
      </c>
      <c r="E206" s="118">
        <v>108783</v>
      </c>
      <c r="F206" s="118">
        <v>255</v>
      </c>
      <c r="G206" s="118">
        <v>108528</v>
      </c>
      <c r="H206" s="118">
        <v>5733</v>
      </c>
      <c r="I206" s="118">
        <v>0</v>
      </c>
      <c r="J206" s="118">
        <v>0</v>
      </c>
      <c r="K206" s="118">
        <v>2827</v>
      </c>
    </row>
    <row r="207" spans="1:11" x14ac:dyDescent="0.2">
      <c r="A207" t="s">
        <v>218</v>
      </c>
      <c r="B207" t="s">
        <v>218</v>
      </c>
      <c r="D207" s="129" t="str">
        <f>IF([1]RENAME!$H$3=1,B207,A207)</f>
        <v>Tegmax</v>
      </c>
      <c r="E207" s="118">
        <v>1547</v>
      </c>
      <c r="F207" s="118">
        <v>170</v>
      </c>
      <c r="G207" s="118">
        <v>1377</v>
      </c>
      <c r="H207" s="118">
        <v>0</v>
      </c>
      <c r="I207" s="118">
        <v>0</v>
      </c>
      <c r="J207" s="118">
        <v>0</v>
      </c>
      <c r="K207" s="118">
        <v>33</v>
      </c>
    </row>
    <row r="208" spans="1:11" x14ac:dyDescent="0.2">
      <c r="A208" t="s">
        <v>1436</v>
      </c>
      <c r="B208" t="s">
        <v>1436</v>
      </c>
      <c r="D208" s="129" t="str">
        <f>IF([1]RENAME!$H$3=1,B208,A208)</f>
        <v>Tech cargo</v>
      </c>
      <c r="E208" s="118">
        <v>1</v>
      </c>
      <c r="F208" s="118">
        <v>0</v>
      </c>
      <c r="G208" s="118">
        <v>1</v>
      </c>
      <c r="H208" s="118">
        <v>0</v>
      </c>
      <c r="I208" s="118">
        <v>0</v>
      </c>
      <c r="J208" s="118">
        <v>0</v>
      </c>
      <c r="K208" s="118">
        <v>0</v>
      </c>
    </row>
    <row r="209" spans="1:11" x14ac:dyDescent="0.2">
      <c r="A209" t="s">
        <v>476</v>
      </c>
      <c r="B209" t="s">
        <v>476</v>
      </c>
      <c r="D209" s="129" t="str">
        <f>IF([1]RENAME!$H$3=1,B209,A209)</f>
        <v>TLV</v>
      </c>
      <c r="E209" s="118">
        <v>33564</v>
      </c>
      <c r="F209" s="118">
        <v>8238</v>
      </c>
      <c r="G209" s="118">
        <v>25326</v>
      </c>
      <c r="H209" s="118">
        <v>60107</v>
      </c>
      <c r="I209" s="118">
        <v>0</v>
      </c>
      <c r="J209" s="118">
        <v>0</v>
      </c>
      <c r="K209" s="118">
        <v>10574</v>
      </c>
    </row>
    <row r="210" spans="1:11" x14ac:dyDescent="0.2">
      <c r="A210" t="s">
        <v>1327</v>
      </c>
      <c r="B210" t="s">
        <v>1327</v>
      </c>
      <c r="D210" s="129" t="str">
        <f>IF([1]RENAME!$H$3=1,B210,A210)</f>
        <v>Tegup</v>
      </c>
      <c r="E210" s="118">
        <v>4924</v>
      </c>
      <c r="F210" s="118">
        <v>17</v>
      </c>
      <c r="G210" s="118">
        <v>4907</v>
      </c>
      <c r="H210" s="118">
        <v>17</v>
      </c>
      <c r="I210" s="118">
        <v>0</v>
      </c>
      <c r="J210" s="118">
        <v>0</v>
      </c>
      <c r="K210" s="118">
        <v>-9</v>
      </c>
    </row>
    <row r="211" spans="1:11" x14ac:dyDescent="0.2">
      <c r="A211" t="s">
        <v>1821</v>
      </c>
      <c r="B211" t="s">
        <v>1822</v>
      </c>
      <c r="D211" s="126" t="str">
        <f>IF([1]RENAME!$H$3=1,B211,A211)</f>
        <v>30 de dezembro de 2020</v>
      </c>
      <c r="E211" s="120">
        <f>SUM(E204:E210)</f>
        <v>247572</v>
      </c>
      <c r="F211" s="120">
        <f>SUM(F204:F210)</f>
        <v>33828</v>
      </c>
      <c r="G211" s="120">
        <f>SUM(G204:G210)</f>
        <v>213744</v>
      </c>
      <c r="H211" s="120">
        <f>SUM(H204:H210)</f>
        <v>189521</v>
      </c>
      <c r="I211" s="120"/>
      <c r="J211" s="120"/>
      <c r="K211" s="120">
        <f>SUM(K204:K210)</f>
        <v>28686</v>
      </c>
    </row>
    <row r="213" spans="1:11" x14ac:dyDescent="0.2">
      <c r="A213" t="s">
        <v>213</v>
      </c>
      <c r="B213" t="s">
        <v>213</v>
      </c>
      <c r="D213" s="129" t="str">
        <f>IF([1]RENAME!$H$3=1,B213,A213)</f>
        <v>TCE</v>
      </c>
      <c r="E213" s="118">
        <v>96972</v>
      </c>
      <c r="F213" s="118">
        <v>43726</v>
      </c>
      <c r="G213" s="118">
        <v>53246</v>
      </c>
      <c r="H213" s="118">
        <v>69777</v>
      </c>
      <c r="I213" s="118">
        <v>0</v>
      </c>
      <c r="J213" s="118">
        <v>0</v>
      </c>
      <c r="K213" s="118">
        <v>12580</v>
      </c>
    </row>
    <row r="214" spans="1:11" x14ac:dyDescent="0.2">
      <c r="D214" s="129" t="s">
        <v>1772</v>
      </c>
      <c r="E214" s="118">
        <v>1</v>
      </c>
      <c r="F214" s="118">
        <v>0</v>
      </c>
      <c r="G214" s="118">
        <v>1</v>
      </c>
      <c r="H214" s="118">
        <v>0</v>
      </c>
      <c r="I214" s="118">
        <v>0</v>
      </c>
      <c r="J214" s="118">
        <v>0</v>
      </c>
      <c r="K214" s="118">
        <v>0</v>
      </c>
    </row>
    <row r="215" spans="1:11" x14ac:dyDescent="0.2">
      <c r="A215" t="s">
        <v>599</v>
      </c>
      <c r="B215" t="s">
        <v>599</v>
      </c>
      <c r="D215" s="129" t="str">
        <f>IF([1]RENAME!$H$3=1,B215,A215)</f>
        <v>TLA</v>
      </c>
      <c r="E215" s="118">
        <v>28195</v>
      </c>
      <c r="F215" s="118">
        <v>8567</v>
      </c>
      <c r="G215" s="118">
        <v>19628</v>
      </c>
      <c r="H215" s="118">
        <v>26242</v>
      </c>
      <c r="I215" s="118">
        <v>0</v>
      </c>
      <c r="J215" s="118">
        <v>0</v>
      </c>
      <c r="K215" s="118">
        <v>1951</v>
      </c>
    </row>
    <row r="216" spans="1:11" x14ac:dyDescent="0.2">
      <c r="A216" t="s">
        <v>215</v>
      </c>
      <c r="B216" t="s">
        <v>215</v>
      </c>
      <c r="D216" s="129" t="str">
        <f>IF([1]RENAME!$H$3=1,B216,A216)</f>
        <v>Niyati</v>
      </c>
      <c r="E216" s="118">
        <v>107650</v>
      </c>
      <c r="F216" s="118">
        <v>217</v>
      </c>
      <c r="G216" s="118">
        <v>107433</v>
      </c>
      <c r="H216" s="118">
        <v>3822</v>
      </c>
      <c r="I216" s="118">
        <v>0</v>
      </c>
      <c r="J216" s="118">
        <v>0</v>
      </c>
      <c r="K216" s="118">
        <v>1732</v>
      </c>
    </row>
    <row r="217" spans="1:11" x14ac:dyDescent="0.2">
      <c r="A217" t="s">
        <v>218</v>
      </c>
      <c r="B217" t="s">
        <v>218</v>
      </c>
      <c r="D217" s="129" t="str">
        <f>IF([1]RENAME!$H$3=1,B217,A217)</f>
        <v>Tegmax</v>
      </c>
      <c r="E217" s="118">
        <v>2726</v>
      </c>
      <c r="F217" s="118">
        <v>190</v>
      </c>
      <c r="G217" s="118">
        <v>2536</v>
      </c>
      <c r="H217" s="118">
        <v>0</v>
      </c>
      <c r="I217" s="118">
        <v>0</v>
      </c>
      <c r="J217" s="118">
        <v>0</v>
      </c>
      <c r="K217" s="118">
        <v>22</v>
      </c>
    </row>
    <row r="218" spans="1:11" x14ac:dyDescent="0.2">
      <c r="A218" t="s">
        <v>1436</v>
      </c>
      <c r="B218" t="s">
        <v>1436</v>
      </c>
      <c r="D218" s="129" t="str">
        <f>IF([1]RENAME!$H$3=1,B218,A218)</f>
        <v>Tech cargo</v>
      </c>
      <c r="E218" s="118">
        <v>1</v>
      </c>
      <c r="F218" s="118">
        <v>0</v>
      </c>
      <c r="G218" s="118">
        <v>1</v>
      </c>
      <c r="H218" s="118">
        <v>0</v>
      </c>
      <c r="I218" s="118">
        <v>0</v>
      </c>
      <c r="J218" s="118">
        <v>0</v>
      </c>
      <c r="K218" s="118">
        <v>0</v>
      </c>
    </row>
    <row r="219" spans="1:11" x14ac:dyDescent="0.2">
      <c r="A219" t="s">
        <v>476</v>
      </c>
      <c r="B219" t="s">
        <v>476</v>
      </c>
      <c r="D219" s="129" t="str">
        <f>IF([1]RENAME!$H$3=1,B219,A219)</f>
        <v>TLV</v>
      </c>
      <c r="E219" s="118">
        <v>31405</v>
      </c>
      <c r="F219" s="118">
        <v>9088</v>
      </c>
      <c r="G219" s="118">
        <v>22317</v>
      </c>
      <c r="H219" s="118">
        <v>40255</v>
      </c>
      <c r="I219" s="118">
        <v>0</v>
      </c>
      <c r="J219" s="118">
        <v>0</v>
      </c>
      <c r="K219" s="118">
        <v>7565</v>
      </c>
    </row>
    <row r="220" spans="1:11" x14ac:dyDescent="0.2">
      <c r="A220" t="s">
        <v>1327</v>
      </c>
      <c r="B220" t="s">
        <v>1327</v>
      </c>
      <c r="D220" s="129" t="str">
        <f>IF([1]RENAME!$H$3=1,B220,A220)</f>
        <v>Tegup</v>
      </c>
      <c r="E220" s="118">
        <v>4648</v>
      </c>
      <c r="F220" s="118">
        <v>7</v>
      </c>
      <c r="G220" s="118">
        <v>4641</v>
      </c>
      <c r="H220" s="118">
        <v>13</v>
      </c>
      <c r="I220" s="118">
        <v>0</v>
      </c>
      <c r="J220" s="118">
        <v>0</v>
      </c>
      <c r="K220" s="118">
        <v>-40</v>
      </c>
    </row>
    <row r="221" spans="1:11" x14ac:dyDescent="0.2">
      <c r="A221" t="s">
        <v>1782</v>
      </c>
      <c r="B221" t="s">
        <v>1783</v>
      </c>
      <c r="D221" s="126" t="str">
        <f>IF([1]RENAME!$H$3=1,B221,A221)</f>
        <v>30 de setembro de 2020</v>
      </c>
      <c r="E221" s="120">
        <f>SUM(E213:E220)</f>
        <v>271598</v>
      </c>
      <c r="F221" s="120">
        <f>SUM(F213:F220)</f>
        <v>61795</v>
      </c>
      <c r="G221" s="120">
        <f>SUM(G213:G220)</f>
        <v>209803</v>
      </c>
      <c r="H221" s="120">
        <f>SUM(H213:H220)</f>
        <v>140109</v>
      </c>
      <c r="I221" s="120"/>
      <c r="J221" s="120"/>
      <c r="K221" s="120">
        <f>SUM(K213:K220)</f>
        <v>23810</v>
      </c>
    </row>
    <row r="223" spans="1:11" x14ac:dyDescent="0.2">
      <c r="A223" t="s">
        <v>213</v>
      </c>
      <c r="B223" t="s">
        <v>213</v>
      </c>
      <c r="D223" s="129" t="str">
        <f>IF([1]RENAME!$H$3=1,B223,A223)</f>
        <v>TCE</v>
      </c>
      <c r="E223" s="118">
        <v>94901</v>
      </c>
      <c r="F223" s="118">
        <v>46098</v>
      </c>
      <c r="G223" s="118">
        <v>48803</v>
      </c>
      <c r="H223" s="118">
        <v>46230</v>
      </c>
      <c r="I223" s="118">
        <v>0</v>
      </c>
      <c r="J223" s="118">
        <v>0</v>
      </c>
      <c r="K223" s="118">
        <v>8137</v>
      </c>
    </row>
    <row r="224" spans="1:11" x14ac:dyDescent="0.2">
      <c r="D224" s="129" t="s">
        <v>1772</v>
      </c>
      <c r="E224" s="118">
        <v>1</v>
      </c>
      <c r="F224" s="118">
        <v>0</v>
      </c>
      <c r="G224" s="118">
        <v>1</v>
      </c>
      <c r="H224" s="118">
        <v>0</v>
      </c>
      <c r="I224" s="118">
        <v>0</v>
      </c>
      <c r="J224" s="118">
        <v>0</v>
      </c>
      <c r="K224" s="118">
        <v>0</v>
      </c>
    </row>
    <row r="225" spans="1:11" x14ac:dyDescent="0.2">
      <c r="A225" t="s">
        <v>599</v>
      </c>
      <c r="B225" t="s">
        <v>599</v>
      </c>
      <c r="D225" s="129" t="str">
        <f>IF([1]RENAME!$H$3=1,B225,A225)</f>
        <v>TLA</v>
      </c>
      <c r="E225" s="118">
        <v>31201</v>
      </c>
      <c r="F225" s="118">
        <v>12052</v>
      </c>
      <c r="G225" s="118">
        <v>19149</v>
      </c>
      <c r="H225" s="118">
        <v>18045</v>
      </c>
      <c r="I225" s="118">
        <v>0</v>
      </c>
      <c r="J225" s="118">
        <v>0</v>
      </c>
      <c r="K225" s="118">
        <v>1472</v>
      </c>
    </row>
    <row r="226" spans="1:11" x14ac:dyDescent="0.2">
      <c r="A226" t="s">
        <v>215</v>
      </c>
      <c r="B226" t="s">
        <v>215</v>
      </c>
      <c r="D226" s="129" t="str">
        <f>IF([1]RENAME!$H$3=1,B226,A226)</f>
        <v>Niyati</v>
      </c>
      <c r="E226" s="118">
        <v>107101</v>
      </c>
      <c r="F226" s="118">
        <v>236</v>
      </c>
      <c r="G226" s="118">
        <v>106865</v>
      </c>
      <c r="H226" s="118">
        <v>2525</v>
      </c>
      <c r="I226" s="118">
        <v>0</v>
      </c>
      <c r="J226" s="118">
        <v>0</v>
      </c>
      <c r="K226" s="118">
        <v>1164</v>
      </c>
    </row>
    <row r="227" spans="1:11" x14ac:dyDescent="0.2">
      <c r="A227" t="s">
        <v>218</v>
      </c>
      <c r="B227" t="s">
        <v>218</v>
      </c>
      <c r="D227" s="129" t="str">
        <f>IF([1]RENAME!$H$3=1,B227,A227)</f>
        <v>Tegmax</v>
      </c>
      <c r="E227" s="118">
        <v>2724</v>
      </c>
      <c r="F227" s="118">
        <v>191</v>
      </c>
      <c r="G227" s="118">
        <v>2533</v>
      </c>
      <c r="H227" s="118">
        <v>0</v>
      </c>
      <c r="I227" s="118">
        <v>0</v>
      </c>
      <c r="J227" s="118">
        <v>0</v>
      </c>
      <c r="K227" s="118">
        <v>19</v>
      </c>
    </row>
    <row r="228" spans="1:11" x14ac:dyDescent="0.2">
      <c r="A228" t="s">
        <v>1436</v>
      </c>
      <c r="B228" t="s">
        <v>1436</v>
      </c>
      <c r="D228" s="129" t="str">
        <f>IF([1]RENAME!$H$3=1,B228,A228)</f>
        <v>Tech cargo</v>
      </c>
      <c r="E228" s="118">
        <v>1</v>
      </c>
      <c r="F228" s="118">
        <v>0</v>
      </c>
      <c r="G228" s="118">
        <v>1</v>
      </c>
      <c r="H228" s="118">
        <v>0</v>
      </c>
      <c r="I228" s="118">
        <v>0</v>
      </c>
      <c r="J228" s="118">
        <v>0</v>
      </c>
      <c r="K228" s="118">
        <v>0</v>
      </c>
    </row>
    <row r="229" spans="1:11" x14ac:dyDescent="0.2">
      <c r="A229" t="s">
        <v>476</v>
      </c>
      <c r="B229" t="s">
        <v>476</v>
      </c>
      <c r="D229" s="129" t="str">
        <f>IF([1]RENAME!$H$3=1,B229,A229)</f>
        <v>TLV</v>
      </c>
      <c r="E229" s="118">
        <v>27614</v>
      </c>
      <c r="F229" s="118">
        <v>7765</v>
      </c>
      <c r="G229" s="118">
        <v>19849</v>
      </c>
      <c r="H229" s="118">
        <v>23591</v>
      </c>
      <c r="I229" s="118">
        <v>0</v>
      </c>
      <c r="J229" s="118">
        <v>0</v>
      </c>
      <c r="K229" s="118">
        <v>5097</v>
      </c>
    </row>
    <row r="230" spans="1:11" x14ac:dyDescent="0.2">
      <c r="A230" t="s">
        <v>1327</v>
      </c>
      <c r="B230" t="s">
        <v>1327</v>
      </c>
      <c r="D230" s="129" t="str">
        <f>IF([1]RENAME!$H$3=1,B230,A230)</f>
        <v>Tegup</v>
      </c>
      <c r="E230" s="118">
        <v>4634</v>
      </c>
      <c r="F230" s="118">
        <v>10</v>
      </c>
      <c r="G230" s="118">
        <v>4624</v>
      </c>
      <c r="H230" s="118">
        <v>8</v>
      </c>
      <c r="I230" s="118">
        <v>0</v>
      </c>
      <c r="J230" s="118">
        <v>0</v>
      </c>
      <c r="K230" s="118">
        <v>-27</v>
      </c>
    </row>
    <row r="231" spans="1:11" x14ac:dyDescent="0.2">
      <c r="A231" t="s">
        <v>1674</v>
      </c>
      <c r="B231" t="s">
        <v>1675</v>
      </c>
      <c r="D231" s="126" t="str">
        <f>IF([1]RENAME!$H$3=1,B231,A231)</f>
        <v>30 de junho de 2020</v>
      </c>
      <c r="E231" s="120">
        <f>SUM(E223:E230)</f>
        <v>268177</v>
      </c>
      <c r="F231" s="120">
        <f>SUM(F223:F230)</f>
        <v>66352</v>
      </c>
      <c r="G231" s="120">
        <f>SUM(G223:G230)</f>
        <v>201825</v>
      </c>
      <c r="H231" s="120">
        <f>SUM(H223:H230)</f>
        <v>90399</v>
      </c>
      <c r="I231" s="120"/>
      <c r="J231" s="120"/>
      <c r="K231" s="120">
        <f>SUM(K223:K230)</f>
        <v>15862</v>
      </c>
    </row>
    <row r="233" spans="1:11" x14ac:dyDescent="0.2">
      <c r="A233" t="s">
        <v>213</v>
      </c>
      <c r="B233" t="s">
        <v>213</v>
      </c>
      <c r="D233" s="129" t="str">
        <f>IF([1]RENAME!$H$3=1,B233,A233)</f>
        <v>TCE</v>
      </c>
      <c r="E233" s="118">
        <v>88814</v>
      </c>
      <c r="F233" s="118">
        <v>23398</v>
      </c>
      <c r="G233" s="118">
        <v>65416</v>
      </c>
      <c r="H233" s="118">
        <v>20579</v>
      </c>
      <c r="I233" s="118">
        <v>0</v>
      </c>
      <c r="J233" s="118">
        <v>0</v>
      </c>
      <c r="K233" s="118">
        <v>3433</v>
      </c>
    </row>
    <row r="234" spans="1:11" x14ac:dyDescent="0.2">
      <c r="D234" s="129" t="s">
        <v>1772</v>
      </c>
      <c r="E234" s="118">
        <v>1</v>
      </c>
      <c r="F234" s="118">
        <v>0</v>
      </c>
      <c r="G234" s="118">
        <v>1</v>
      </c>
      <c r="H234" s="118">
        <v>0</v>
      </c>
      <c r="I234" s="118">
        <v>0</v>
      </c>
      <c r="J234" s="118">
        <v>0</v>
      </c>
      <c r="K234" s="118">
        <v>0</v>
      </c>
    </row>
    <row r="235" spans="1:11" x14ac:dyDescent="0.2">
      <c r="A235" t="s">
        <v>599</v>
      </c>
      <c r="B235" t="s">
        <v>599</v>
      </c>
      <c r="D235" s="129" t="str">
        <f>IF([1]RENAME!$H$3=1,B235,A235)</f>
        <v>TLA</v>
      </c>
      <c r="E235" s="118">
        <v>30460</v>
      </c>
      <c r="F235" s="118">
        <v>12679</v>
      </c>
      <c r="G235" s="118">
        <v>17781</v>
      </c>
      <c r="H235" s="118">
        <v>7641</v>
      </c>
      <c r="I235" s="118">
        <v>0</v>
      </c>
      <c r="J235" s="118">
        <v>0</v>
      </c>
      <c r="K235" s="118">
        <v>104</v>
      </c>
    </row>
    <row r="236" spans="1:11" x14ac:dyDescent="0.2">
      <c r="A236" t="s">
        <v>215</v>
      </c>
      <c r="B236" t="s">
        <v>215</v>
      </c>
      <c r="D236" s="129" t="str">
        <f>IF([1]RENAME!$H$3=1,B236,A236)</f>
        <v>Niyati</v>
      </c>
      <c r="E236" s="118">
        <v>108734</v>
      </c>
      <c r="F236" s="118">
        <v>573</v>
      </c>
      <c r="G236" s="118">
        <v>108161</v>
      </c>
      <c r="H236" s="118">
        <v>1240</v>
      </c>
      <c r="I236" s="118">
        <v>0</v>
      </c>
      <c r="J236" s="118">
        <v>0</v>
      </c>
      <c r="K236" s="118">
        <v>582</v>
      </c>
    </row>
    <row r="237" spans="1:11" x14ac:dyDescent="0.2">
      <c r="A237" t="s">
        <v>218</v>
      </c>
      <c r="B237" t="s">
        <v>218</v>
      </c>
      <c r="D237" s="129" t="str">
        <f>IF([1]RENAME!$H$3=1,B237,A237)</f>
        <v>Tegmax</v>
      </c>
      <c r="E237" s="118">
        <v>2839</v>
      </c>
      <c r="F237" s="118">
        <v>163</v>
      </c>
      <c r="G237" s="118">
        <v>2676</v>
      </c>
      <c r="H237" s="118">
        <v>0</v>
      </c>
      <c r="I237" s="118">
        <v>0</v>
      </c>
      <c r="J237" s="118">
        <v>0</v>
      </c>
      <c r="K237" s="118">
        <v>12</v>
      </c>
    </row>
    <row r="238" spans="1:11" x14ac:dyDescent="0.2">
      <c r="A238" t="s">
        <v>1436</v>
      </c>
      <c r="B238" t="s">
        <v>1436</v>
      </c>
      <c r="D238" s="129" t="str">
        <f>IF([1]RENAME!$H$3=1,B238,A238)</f>
        <v>Tech cargo</v>
      </c>
      <c r="E238" s="118">
        <v>1</v>
      </c>
      <c r="F238" s="118">
        <v>0</v>
      </c>
      <c r="G238" s="118">
        <v>1</v>
      </c>
      <c r="H238" s="118">
        <v>0</v>
      </c>
      <c r="I238" s="118">
        <v>0</v>
      </c>
      <c r="J238" s="118">
        <v>0</v>
      </c>
      <c r="K238" s="118">
        <v>0</v>
      </c>
    </row>
    <row r="239" spans="1:11" x14ac:dyDescent="0.2">
      <c r="A239" t="s">
        <v>476</v>
      </c>
      <c r="B239" t="s">
        <v>476</v>
      </c>
      <c r="D239" s="129" t="str">
        <f>IF([1]RENAME!$H$3=1,B239,A239)</f>
        <v>TLV</v>
      </c>
      <c r="E239" s="118">
        <v>26396</v>
      </c>
      <c r="F239" s="118">
        <v>8313</v>
      </c>
      <c r="G239" s="118">
        <v>18083</v>
      </c>
      <c r="H239" s="118">
        <v>15676</v>
      </c>
      <c r="I239" s="118">
        <v>0</v>
      </c>
      <c r="J239" s="118">
        <v>0</v>
      </c>
      <c r="K239" s="118">
        <v>3331</v>
      </c>
    </row>
    <row r="240" spans="1:11" x14ac:dyDescent="0.2">
      <c r="A240" t="s">
        <v>1327</v>
      </c>
      <c r="B240" t="s">
        <v>1327</v>
      </c>
      <c r="D240" s="129" t="str">
        <f>IF([1]RENAME!$H$3=1,B240,A240)</f>
        <v>Tegup</v>
      </c>
      <c r="E240" s="118">
        <v>4500</v>
      </c>
      <c r="F240" s="118">
        <v>4</v>
      </c>
      <c r="G240" s="118">
        <v>4496</v>
      </c>
      <c r="H240" s="118">
        <v>4</v>
      </c>
      <c r="I240" s="118">
        <v>0</v>
      </c>
      <c r="J240" s="118">
        <v>0</v>
      </c>
      <c r="K240" s="118">
        <v>-21</v>
      </c>
    </row>
    <row r="241" spans="1:11" x14ac:dyDescent="0.2">
      <c r="A241" t="s">
        <v>1672</v>
      </c>
      <c r="B241" t="s">
        <v>1673</v>
      </c>
      <c r="D241" s="126" t="str">
        <f>IF([1]RENAME!$H$3=1,B241,A241)</f>
        <v>31 de março de 2020</v>
      </c>
      <c r="E241" s="120">
        <f>SUM(E233:E240)</f>
        <v>261745</v>
      </c>
      <c r="F241" s="120">
        <f>SUM(F233:F240)</f>
        <v>45130</v>
      </c>
      <c r="G241" s="120">
        <f>SUM(G233:G240)</f>
        <v>216615</v>
      </c>
      <c r="H241" s="120">
        <f>SUM(H233:H240)</f>
        <v>45140</v>
      </c>
      <c r="I241" s="120"/>
      <c r="J241" s="120"/>
      <c r="K241" s="120">
        <f>SUM(K233:K240)</f>
        <v>7441</v>
      </c>
    </row>
    <row r="243" spans="1:11" x14ac:dyDescent="0.2">
      <c r="A243" t="s">
        <v>213</v>
      </c>
      <c r="B243" t="s">
        <v>213</v>
      </c>
      <c r="C243" s="825" t="s">
        <v>1634</v>
      </c>
      <c r="D243" s="129" t="str">
        <f>IF([1]RENAME!$H$3=1,B243,A243)</f>
        <v>TCE</v>
      </c>
      <c r="E243" s="118">
        <v>75911</v>
      </c>
      <c r="F243" s="118">
        <v>22654</v>
      </c>
      <c r="G243" s="118">
        <v>53257</v>
      </c>
      <c r="H243" s="118">
        <v>83993</v>
      </c>
      <c r="I243" s="118">
        <v>0</v>
      </c>
      <c r="J243" s="118">
        <v>0</v>
      </c>
      <c r="K243" s="118">
        <v>18704</v>
      </c>
    </row>
    <row r="244" spans="1:11" x14ac:dyDescent="0.2">
      <c r="A244" t="s">
        <v>599</v>
      </c>
      <c r="B244" t="s">
        <v>599</v>
      </c>
      <c r="D244" s="129" t="str">
        <f>IF([1]RENAME!$H$3=1,B244,A244)</f>
        <v>TLA</v>
      </c>
      <c r="E244" s="118">
        <v>39365</v>
      </c>
      <c r="F244" s="118">
        <v>15942</v>
      </c>
      <c r="G244" s="118">
        <v>23423</v>
      </c>
      <c r="H244" s="118">
        <v>32165</v>
      </c>
      <c r="I244" s="118">
        <v>0</v>
      </c>
      <c r="J244" s="118">
        <v>0</v>
      </c>
      <c r="K244" s="118">
        <v>-2676</v>
      </c>
    </row>
    <row r="245" spans="1:11" x14ac:dyDescent="0.2">
      <c r="A245" t="s">
        <v>215</v>
      </c>
      <c r="B245" t="s">
        <v>215</v>
      </c>
      <c r="D245" s="129" t="str">
        <f>IF([1]RENAME!$H$3=1,B245,A245)</f>
        <v>Niyati</v>
      </c>
      <c r="E245" s="118">
        <v>107807</v>
      </c>
      <c r="F245" s="118">
        <v>228</v>
      </c>
      <c r="G245" s="118">
        <v>107579</v>
      </c>
      <c r="H245" s="118">
        <v>4776</v>
      </c>
      <c r="I245" s="118">
        <v>0</v>
      </c>
      <c r="J245" s="118">
        <v>0</v>
      </c>
      <c r="K245" s="118">
        <v>2596</v>
      </c>
    </row>
    <row r="246" spans="1:11" x14ac:dyDescent="0.2">
      <c r="A246" t="s">
        <v>218</v>
      </c>
      <c r="B246" t="s">
        <v>218</v>
      </c>
      <c r="D246" s="129" t="str">
        <f>IF([1]RENAME!$H$3=1,B246,A246)</f>
        <v>Tegmax</v>
      </c>
      <c r="E246" s="118">
        <v>2827</v>
      </c>
      <c r="F246" s="118">
        <v>163</v>
      </c>
      <c r="G246" s="118">
        <v>2664</v>
      </c>
      <c r="H246" s="118">
        <v>0</v>
      </c>
      <c r="I246" s="118">
        <v>0</v>
      </c>
      <c r="J246" s="118">
        <v>0</v>
      </c>
      <c r="K246" s="118">
        <v>24</v>
      </c>
    </row>
    <row r="247" spans="1:11" x14ac:dyDescent="0.2">
      <c r="A247" t="s">
        <v>1436</v>
      </c>
      <c r="B247" t="s">
        <v>1436</v>
      </c>
      <c r="D247" s="129" t="str">
        <f>IF([1]RENAME!$H$3=1,B247,A247)</f>
        <v>Tech cargo</v>
      </c>
      <c r="E247" s="118">
        <v>1</v>
      </c>
      <c r="F247" s="118">
        <v>0</v>
      </c>
      <c r="G247" s="118">
        <v>1</v>
      </c>
      <c r="H247" s="118">
        <v>0</v>
      </c>
      <c r="I247" s="118">
        <v>0</v>
      </c>
      <c r="J247" s="118">
        <v>0</v>
      </c>
      <c r="K247" s="118">
        <v>0</v>
      </c>
    </row>
    <row r="248" spans="1:11" x14ac:dyDescent="0.2">
      <c r="A248" t="s">
        <v>476</v>
      </c>
      <c r="B248" t="s">
        <v>476</v>
      </c>
      <c r="D248" s="129" t="str">
        <f>IF([1]RENAME!$H$3=1,B248,A248)</f>
        <v>TLV</v>
      </c>
      <c r="E248" s="118">
        <v>23956</v>
      </c>
      <c r="F248" s="118">
        <v>9204</v>
      </c>
      <c r="G248" s="118">
        <v>14752</v>
      </c>
      <c r="H248" s="118">
        <v>49416</v>
      </c>
      <c r="I248" s="118">
        <v>0</v>
      </c>
      <c r="J248" s="118">
        <v>0</v>
      </c>
      <c r="K248" s="118">
        <v>-496</v>
      </c>
    </row>
    <row r="249" spans="1:11" x14ac:dyDescent="0.2">
      <c r="A249" t="s">
        <v>1327</v>
      </c>
      <c r="B249" t="s">
        <v>1327</v>
      </c>
      <c r="D249" s="129" t="str">
        <f>IF([1]RENAME!$H$3=1,B249,A249)</f>
        <v>Tegup</v>
      </c>
      <c r="E249" s="118">
        <v>4525</v>
      </c>
      <c r="F249" s="118">
        <v>8</v>
      </c>
      <c r="G249" s="118">
        <v>4517</v>
      </c>
      <c r="H249" s="118">
        <v>25</v>
      </c>
      <c r="I249" s="118">
        <v>0</v>
      </c>
      <c r="J249" s="118">
        <v>0</v>
      </c>
      <c r="K249" s="118">
        <v>-133</v>
      </c>
    </row>
    <row r="250" spans="1:11" x14ac:dyDescent="0.2">
      <c r="A250" t="s">
        <v>1590</v>
      </c>
      <c r="B250" t="s">
        <v>1591</v>
      </c>
      <c r="D250" s="126" t="str">
        <f>IF([1]RENAME!$H$3=1,B250,A250)</f>
        <v>30 de dezembro de 2019</v>
      </c>
      <c r="E250" s="120">
        <f>SUM(E243:E249)</f>
        <v>254392</v>
      </c>
      <c r="F250" s="120">
        <f>SUM(F243:F249)</f>
        <v>48199</v>
      </c>
      <c r="G250" s="120">
        <f>SUM(G243:G249)</f>
        <v>206193</v>
      </c>
      <c r="H250" s="120">
        <f>SUM(H243:H249)</f>
        <v>170375</v>
      </c>
      <c r="I250" s="120"/>
      <c r="J250" s="120"/>
      <c r="K250" s="120">
        <f>SUM(K243:K249)</f>
        <v>18019</v>
      </c>
    </row>
    <row r="252" spans="1:11" x14ac:dyDescent="0.2">
      <c r="A252" t="s">
        <v>213</v>
      </c>
      <c r="B252" t="s">
        <v>213</v>
      </c>
      <c r="D252" s="129" t="str">
        <f>IF([1]RENAME!$H$3=1,B252,A252)</f>
        <v>TCE</v>
      </c>
      <c r="E252" s="118">
        <v>66495</v>
      </c>
      <c r="F252" s="118">
        <v>23220</v>
      </c>
      <c r="G252" s="118">
        <v>43275</v>
      </c>
      <c r="H252" s="118">
        <v>63548</v>
      </c>
      <c r="I252" s="118">
        <v>0</v>
      </c>
      <c r="J252" s="118">
        <v>0</v>
      </c>
      <c r="K252" s="118">
        <v>8722</v>
      </c>
    </row>
    <row r="253" spans="1:11" x14ac:dyDescent="0.2">
      <c r="A253" t="s">
        <v>599</v>
      </c>
      <c r="B253" t="s">
        <v>599</v>
      </c>
      <c r="D253" s="129" t="str">
        <f>IF([1]RENAME!$H$3=1,B253,A253)</f>
        <v>TLA</v>
      </c>
      <c r="E253" s="118">
        <v>41646</v>
      </c>
      <c r="F253" s="118">
        <v>17120</v>
      </c>
      <c r="G253" s="118">
        <v>24526</v>
      </c>
      <c r="H253" s="118">
        <v>22828</v>
      </c>
      <c r="I253" s="118">
        <v>0</v>
      </c>
      <c r="J253" s="118">
        <v>0</v>
      </c>
      <c r="K253" s="118">
        <v>-1573</v>
      </c>
    </row>
    <row r="254" spans="1:11" x14ac:dyDescent="0.2">
      <c r="A254" t="s">
        <v>215</v>
      </c>
      <c r="B254" t="s">
        <v>215</v>
      </c>
      <c r="D254" s="129" t="str">
        <f>IF([1]RENAME!$H$3=1,B254,A254)</f>
        <v>Niyati</v>
      </c>
      <c r="E254" s="118">
        <v>85048</v>
      </c>
      <c r="F254" s="118">
        <v>167</v>
      </c>
      <c r="G254" s="118">
        <v>84881</v>
      </c>
      <c r="H254" s="118">
        <v>3562</v>
      </c>
      <c r="I254" s="118">
        <v>0</v>
      </c>
      <c r="J254" s="118">
        <v>0</v>
      </c>
      <c r="K254" s="118">
        <v>1929</v>
      </c>
    </row>
    <row r="255" spans="1:11" x14ac:dyDescent="0.2">
      <c r="A255" t="s">
        <v>218</v>
      </c>
      <c r="B255" t="s">
        <v>218</v>
      </c>
      <c r="D255" s="129" t="str">
        <f>IF([1]RENAME!$H$3=1,B255,A255)</f>
        <v>Tegmax</v>
      </c>
      <c r="E255" s="118">
        <v>2811</v>
      </c>
      <c r="F255" s="118">
        <v>165</v>
      </c>
      <c r="G255" s="118">
        <v>2646</v>
      </c>
      <c r="H255" s="118">
        <v>0</v>
      </c>
      <c r="I255" s="118">
        <v>0</v>
      </c>
      <c r="J255" s="118">
        <v>0</v>
      </c>
      <c r="K255" s="118">
        <v>6</v>
      </c>
    </row>
    <row r="256" spans="1:11" x14ac:dyDescent="0.2">
      <c r="A256" t="s">
        <v>1436</v>
      </c>
      <c r="B256" t="s">
        <v>1436</v>
      </c>
      <c r="D256" s="129" t="str">
        <f>IF([1]RENAME!$H$3=1,B256,A256)</f>
        <v>Tech cargo</v>
      </c>
      <c r="E256" s="118">
        <v>1</v>
      </c>
      <c r="F256" s="118">
        <v>0</v>
      </c>
      <c r="G256" s="118">
        <v>1</v>
      </c>
      <c r="H256" s="118">
        <v>0</v>
      </c>
      <c r="I256" s="118">
        <v>0</v>
      </c>
      <c r="J256" s="118">
        <v>0</v>
      </c>
      <c r="K256" s="118">
        <v>0</v>
      </c>
    </row>
    <row r="257" spans="1:11" x14ac:dyDescent="0.2">
      <c r="A257" t="s">
        <v>476</v>
      </c>
      <c r="B257" t="s">
        <v>476</v>
      </c>
      <c r="D257" s="129" t="str">
        <f>IF([1]RENAME!$H$3=1,B257,A257)</f>
        <v>TLV</v>
      </c>
      <c r="E257" s="118">
        <v>24646</v>
      </c>
      <c r="F257" s="118">
        <v>7829</v>
      </c>
      <c r="G257" s="118">
        <v>16817</v>
      </c>
      <c r="H257" s="118">
        <v>30576</v>
      </c>
      <c r="I257" s="118">
        <v>0</v>
      </c>
      <c r="J257" s="118">
        <v>0</v>
      </c>
      <c r="K257" s="118">
        <v>1569</v>
      </c>
    </row>
    <row r="258" spans="1:11" x14ac:dyDescent="0.2">
      <c r="A258" t="s">
        <v>1327</v>
      </c>
      <c r="B258" t="s">
        <v>1327</v>
      </c>
      <c r="D258" s="129" t="str">
        <f>IF([1]RENAME!$H$3=1,B258,A258)</f>
        <v>Tegup</v>
      </c>
      <c r="E258" s="118">
        <v>4546</v>
      </c>
      <c r="F258" s="118">
        <v>9</v>
      </c>
      <c r="G258" s="118">
        <v>4537</v>
      </c>
      <c r="H258" s="118">
        <v>21</v>
      </c>
      <c r="I258" s="118">
        <v>0</v>
      </c>
      <c r="J258" s="118">
        <v>0</v>
      </c>
      <c r="K258" s="118">
        <v>-113</v>
      </c>
    </row>
    <row r="259" spans="1:11" x14ac:dyDescent="0.2">
      <c r="A259" t="s">
        <v>1544</v>
      </c>
      <c r="B259" t="s">
        <v>1545</v>
      </c>
      <c r="D259" s="126" t="str">
        <f>IF([1]RENAME!$H$3=1,B259,A259)</f>
        <v>30 de setembro de 2019</v>
      </c>
      <c r="E259" s="120">
        <f>SUM(E252:E258)</f>
        <v>225193</v>
      </c>
      <c r="F259" s="120">
        <f>SUM(F252:F258)</f>
        <v>48510</v>
      </c>
      <c r="G259" s="120">
        <f>SUM(G252:G258)</f>
        <v>176683</v>
      </c>
      <c r="H259" s="120">
        <f>SUM(H252:H258)</f>
        <v>120535</v>
      </c>
      <c r="I259" s="120"/>
      <c r="J259" s="120"/>
      <c r="K259" s="120">
        <f>SUM(K252:K258)</f>
        <v>10540</v>
      </c>
    </row>
    <row r="260" spans="1:11" s="28" customFormat="1" x14ac:dyDescent="0.2">
      <c r="D260" s="153"/>
      <c r="E260" s="154"/>
      <c r="F260" s="154"/>
      <c r="G260" s="154"/>
      <c r="H260" s="154"/>
      <c r="I260" s="154"/>
      <c r="J260" s="154"/>
      <c r="K260" s="154"/>
    </row>
    <row r="261" spans="1:11" x14ac:dyDescent="0.2">
      <c r="A261" t="s">
        <v>213</v>
      </c>
      <c r="B261" t="s">
        <v>213</v>
      </c>
      <c r="D261" s="129" t="str">
        <f>IF([1]RENAME!$H$3=1,B261,A261)</f>
        <v>TCE</v>
      </c>
      <c r="E261" s="118">
        <v>71943</v>
      </c>
      <c r="F261" s="118">
        <v>33164</v>
      </c>
      <c r="G261" s="118">
        <v>38779</v>
      </c>
      <c r="H261" s="118">
        <v>40877</v>
      </c>
      <c r="I261" s="118">
        <v>0</v>
      </c>
      <c r="J261" s="118">
        <v>0</v>
      </c>
      <c r="K261" s="118">
        <v>5246</v>
      </c>
    </row>
    <row r="262" spans="1:11" x14ac:dyDescent="0.2">
      <c r="A262" t="s">
        <v>599</v>
      </c>
      <c r="B262" t="s">
        <v>599</v>
      </c>
      <c r="D262" s="129" t="str">
        <f>IF([1]RENAME!$H$3=1,B262,A262)</f>
        <v>TLA</v>
      </c>
      <c r="E262" s="118">
        <v>43879</v>
      </c>
      <c r="F262" s="118">
        <v>19022</v>
      </c>
      <c r="G262" s="118">
        <v>24857</v>
      </c>
      <c r="H262" s="118">
        <v>15105</v>
      </c>
      <c r="I262" s="118">
        <v>0</v>
      </c>
      <c r="J262" s="118">
        <v>0</v>
      </c>
      <c r="K262" s="118">
        <v>-1242</v>
      </c>
    </row>
    <row r="263" spans="1:11" x14ac:dyDescent="0.2">
      <c r="A263" t="s">
        <v>215</v>
      </c>
      <c r="B263" t="s">
        <v>215</v>
      </c>
      <c r="D263" s="129" t="str">
        <f>IF([1]RENAME!$H$3=1,B263,A263)</f>
        <v>Niyati</v>
      </c>
      <c r="E263" s="118">
        <v>84507</v>
      </c>
      <c r="F263" s="118">
        <v>246</v>
      </c>
      <c r="G263" s="118">
        <v>84261</v>
      </c>
      <c r="H263" s="118">
        <v>2375</v>
      </c>
      <c r="I263" s="118">
        <v>0</v>
      </c>
      <c r="J263" s="118">
        <v>0</v>
      </c>
      <c r="K263" s="118">
        <v>1309</v>
      </c>
    </row>
    <row r="264" spans="1:11" x14ac:dyDescent="0.2">
      <c r="A264" t="s">
        <v>218</v>
      </c>
      <c r="B264" t="s">
        <v>218</v>
      </c>
      <c r="D264" s="129" t="str">
        <f>IF([1]RENAME!$H$3=1,B264,A264)</f>
        <v>Tegmax</v>
      </c>
      <c r="E264" s="118">
        <v>2756</v>
      </c>
      <c r="F264" s="118">
        <v>70</v>
      </c>
      <c r="G264" s="118">
        <v>2686</v>
      </c>
      <c r="H264" s="118">
        <v>0</v>
      </c>
      <c r="I264" s="118">
        <v>0</v>
      </c>
      <c r="J264" s="118">
        <v>0</v>
      </c>
      <c r="K264" s="118">
        <v>46</v>
      </c>
    </row>
    <row r="265" spans="1:11" x14ac:dyDescent="0.2">
      <c r="A265" t="s">
        <v>1436</v>
      </c>
      <c r="B265" t="s">
        <v>1436</v>
      </c>
      <c r="D265" s="129" t="str">
        <f>IF([1]RENAME!$H$3=1,B265,A265)</f>
        <v>Tech cargo</v>
      </c>
      <c r="E265" s="118">
        <v>1</v>
      </c>
      <c r="F265" s="118">
        <v>0</v>
      </c>
      <c r="G265" s="118">
        <v>1</v>
      </c>
      <c r="H265" s="118">
        <v>0</v>
      </c>
      <c r="I265" s="118">
        <v>0</v>
      </c>
      <c r="J265" s="118">
        <v>0</v>
      </c>
      <c r="K265" s="118">
        <v>0</v>
      </c>
    </row>
    <row r="266" spans="1:11" x14ac:dyDescent="0.2">
      <c r="A266" t="s">
        <v>476</v>
      </c>
      <c r="B266" t="s">
        <v>476</v>
      </c>
      <c r="D266" s="129" t="str">
        <f>IF([1]RENAME!$H$3=1,B266,A266)</f>
        <v>TLV</v>
      </c>
      <c r="E266" s="118">
        <v>24725</v>
      </c>
      <c r="F266" s="118">
        <v>8725</v>
      </c>
      <c r="G266" s="118">
        <v>16000</v>
      </c>
      <c r="H266" s="118">
        <v>16499</v>
      </c>
      <c r="I266" s="118">
        <v>0</v>
      </c>
      <c r="J266" s="118">
        <v>0</v>
      </c>
      <c r="K266" s="118">
        <v>752</v>
      </c>
    </row>
    <row r="267" spans="1:11" x14ac:dyDescent="0.2">
      <c r="A267" t="s">
        <v>1327</v>
      </c>
      <c r="B267" t="s">
        <v>1327</v>
      </c>
      <c r="D267" s="129" t="str">
        <f>IF([1]RENAME!$H$3=1,B267,A267)</f>
        <v>Tegup</v>
      </c>
      <c r="E267" s="118">
        <v>1435</v>
      </c>
      <c r="F267" s="118">
        <v>5</v>
      </c>
      <c r="G267" s="118">
        <v>1430</v>
      </c>
      <c r="H267" s="118">
        <v>17</v>
      </c>
      <c r="I267" s="118">
        <v>0</v>
      </c>
      <c r="J267" s="118">
        <v>0</v>
      </c>
      <c r="K267" s="118">
        <v>-18</v>
      </c>
    </row>
    <row r="268" spans="1:11" x14ac:dyDescent="0.2">
      <c r="A268" t="s">
        <v>1518</v>
      </c>
      <c r="B268" t="s">
        <v>1519</v>
      </c>
      <c r="D268" s="126" t="str">
        <f>IF([1]RENAME!$H$3=1,B268,A268)</f>
        <v>30 de junho de 2019</v>
      </c>
      <c r="E268" s="120">
        <f>SUM(E261:E267)</f>
        <v>229246</v>
      </c>
      <c r="F268" s="120">
        <f>SUM(F261:F267)</f>
        <v>61232</v>
      </c>
      <c r="G268" s="120">
        <f>SUM(G261:G267)</f>
        <v>168014</v>
      </c>
      <c r="H268" s="120">
        <f>SUM(H261:H267)</f>
        <v>74873</v>
      </c>
      <c r="I268" s="120"/>
      <c r="J268" s="120"/>
      <c r="K268" s="120">
        <f>SUM(K261:K267)</f>
        <v>6093</v>
      </c>
    </row>
    <row r="269" spans="1:11" x14ac:dyDescent="0.2">
      <c r="D269" s="129"/>
      <c r="E269" s="129"/>
      <c r="F269" s="129"/>
      <c r="G269" s="129"/>
      <c r="H269" s="129"/>
      <c r="I269" s="129"/>
      <c r="J269" s="129"/>
      <c r="K269" s="129"/>
    </row>
    <row r="270" spans="1:11" x14ac:dyDescent="0.2">
      <c r="A270" t="s">
        <v>213</v>
      </c>
      <c r="B270" t="s">
        <v>213</v>
      </c>
      <c r="D270" s="129" t="str">
        <f>IF([1]RENAME!$H$3=1,B270,A270)</f>
        <v>TCE</v>
      </c>
      <c r="E270" s="118">
        <v>60705</v>
      </c>
      <c r="F270" s="118">
        <v>24340</v>
      </c>
      <c r="G270" s="118">
        <v>36365</v>
      </c>
      <c r="H270" s="118">
        <v>20871</v>
      </c>
      <c r="I270" s="118">
        <v>0</v>
      </c>
      <c r="J270" s="118">
        <v>0</v>
      </c>
      <c r="K270" s="118">
        <v>2832</v>
      </c>
    </row>
    <row r="271" spans="1:11" x14ac:dyDescent="0.2">
      <c r="A271" t="s">
        <v>599</v>
      </c>
      <c r="B271" t="s">
        <v>599</v>
      </c>
      <c r="D271" s="129" t="str">
        <f>IF([1]RENAME!$H$3=1,B271,A271)</f>
        <v>TLA</v>
      </c>
      <c r="E271" s="118">
        <v>47302</v>
      </c>
      <c r="F271" s="118">
        <v>21772</v>
      </c>
      <c r="G271" s="118">
        <v>25530</v>
      </c>
      <c r="H271" s="118">
        <v>7452</v>
      </c>
      <c r="I271" s="118">
        <v>0</v>
      </c>
      <c r="J271" s="118">
        <v>0</v>
      </c>
      <c r="K271" s="118">
        <v>-569</v>
      </c>
    </row>
    <row r="272" spans="1:11" x14ac:dyDescent="0.2">
      <c r="A272" t="s">
        <v>215</v>
      </c>
      <c r="B272" t="s">
        <v>215</v>
      </c>
      <c r="D272" s="129" t="str">
        <f>IF([1]RENAME!$H$3=1,B272,A272)</f>
        <v>Niyati</v>
      </c>
      <c r="E272" s="118">
        <v>81378</v>
      </c>
      <c r="F272" s="118">
        <v>472</v>
      </c>
      <c r="G272" s="118">
        <v>80906</v>
      </c>
      <c r="H272" s="118">
        <v>915</v>
      </c>
      <c r="I272" s="118">
        <v>0</v>
      </c>
      <c r="J272" s="118">
        <v>0</v>
      </c>
      <c r="K272" s="118">
        <v>454</v>
      </c>
    </row>
    <row r="273" spans="1:11" x14ac:dyDescent="0.2">
      <c r="A273" t="s">
        <v>218</v>
      </c>
      <c r="B273" t="s">
        <v>218</v>
      </c>
      <c r="D273" s="129" t="str">
        <f>IF([1]RENAME!$H$3=1,B273,A273)</f>
        <v>Tegmax</v>
      </c>
      <c r="E273" s="118">
        <v>2750</v>
      </c>
      <c r="F273" s="118">
        <v>81</v>
      </c>
      <c r="G273" s="118">
        <v>2669</v>
      </c>
      <c r="H273" s="118">
        <v>0</v>
      </c>
      <c r="I273" s="118">
        <v>0</v>
      </c>
      <c r="J273" s="118">
        <v>0</v>
      </c>
      <c r="K273" s="118">
        <v>29</v>
      </c>
    </row>
    <row r="274" spans="1:11" x14ac:dyDescent="0.2">
      <c r="A274" t="s">
        <v>1436</v>
      </c>
      <c r="B274" t="s">
        <v>1436</v>
      </c>
      <c r="D274" s="129" t="str">
        <f>IF([1]RENAME!$H$3=1,B274,A274)</f>
        <v>Tech cargo</v>
      </c>
      <c r="E274" s="118">
        <v>1</v>
      </c>
      <c r="F274" s="118">
        <v>0</v>
      </c>
      <c r="G274" s="118">
        <v>1</v>
      </c>
      <c r="H274" s="118">
        <v>0</v>
      </c>
      <c r="I274" s="118">
        <v>0</v>
      </c>
      <c r="J274" s="118">
        <v>0</v>
      </c>
      <c r="K274" s="118">
        <v>0</v>
      </c>
    </row>
    <row r="275" spans="1:11" x14ac:dyDescent="0.2">
      <c r="A275" t="s">
        <v>476</v>
      </c>
      <c r="B275" t="s">
        <v>476</v>
      </c>
      <c r="D275" s="129" t="str">
        <f>IF([1]RENAME!$H$3=1,B275,A275)</f>
        <v>TLV</v>
      </c>
      <c r="E275" s="118">
        <v>17317</v>
      </c>
      <c r="F275" s="118">
        <v>2291</v>
      </c>
      <c r="G275" s="118">
        <v>15026</v>
      </c>
      <c r="H275" s="118">
        <v>2398</v>
      </c>
      <c r="I275" s="118">
        <v>0</v>
      </c>
      <c r="J275" s="118">
        <v>0</v>
      </c>
      <c r="K275" s="118">
        <v>-222</v>
      </c>
    </row>
    <row r="276" spans="1:11" x14ac:dyDescent="0.2">
      <c r="A276" t="s">
        <v>1327</v>
      </c>
      <c r="B276" t="s">
        <v>1327</v>
      </c>
      <c r="D276" s="129" t="str">
        <f>IF([1]RENAME!$H$3=1,B276,A276)</f>
        <v>Tegup</v>
      </c>
      <c r="E276" s="118">
        <v>1469</v>
      </c>
      <c r="F276" s="118">
        <v>43</v>
      </c>
      <c r="G276" s="118">
        <v>1426</v>
      </c>
      <c r="H276" s="118">
        <v>12</v>
      </c>
      <c r="I276" s="118">
        <v>0</v>
      </c>
      <c r="J276" s="118">
        <v>0</v>
      </c>
      <c r="K276" s="118">
        <v>-23</v>
      </c>
    </row>
    <row r="277" spans="1:11" x14ac:dyDescent="0.2">
      <c r="A277" t="s">
        <v>1490</v>
      </c>
      <c r="B277" t="s">
        <v>1489</v>
      </c>
      <c r="D277" s="126" t="str">
        <f>IF([1]RENAME!$H$3=1,B277,A277)</f>
        <v>31 de março de 2019</v>
      </c>
      <c r="E277" s="120">
        <f>SUM(E270:E276)</f>
        <v>210922</v>
      </c>
      <c r="F277" s="120">
        <f>SUM(F270:F276)</f>
        <v>48999</v>
      </c>
      <c r="G277" s="120">
        <f>SUM(G270:G276)</f>
        <v>161923</v>
      </c>
      <c r="H277" s="120">
        <f>SUM(H270:H276)</f>
        <v>31648</v>
      </c>
      <c r="I277" s="120"/>
      <c r="J277" s="120"/>
      <c r="K277" s="120">
        <f>SUM(K270:K276)</f>
        <v>2501</v>
      </c>
    </row>
    <row r="278" spans="1:11" x14ac:dyDescent="0.2">
      <c r="D278" s="129"/>
      <c r="E278" s="129"/>
      <c r="F278" s="129"/>
      <c r="G278" s="129"/>
      <c r="H278" s="129"/>
      <c r="I278" s="129"/>
      <c r="J278" s="129"/>
      <c r="K278" s="129"/>
    </row>
    <row r="279" spans="1:11" x14ac:dyDescent="0.2">
      <c r="A279" t="s">
        <v>213</v>
      </c>
      <c r="B279" t="s">
        <v>213</v>
      </c>
      <c r="D279" s="129" t="str">
        <f>IF([1]RENAME!$H$3=1,B279,A279)</f>
        <v>TCE</v>
      </c>
      <c r="E279" s="118">
        <v>53384</v>
      </c>
      <c r="F279" s="118">
        <v>19851</v>
      </c>
      <c r="G279" s="118">
        <v>33533</v>
      </c>
      <c r="H279" s="118">
        <v>75975</v>
      </c>
      <c r="I279" s="118">
        <v>0</v>
      </c>
      <c r="J279" s="118">
        <v>0</v>
      </c>
      <c r="K279" s="118">
        <v>5219</v>
      </c>
    </row>
    <row r="280" spans="1:11" x14ac:dyDescent="0.2">
      <c r="A280" t="s">
        <v>214</v>
      </c>
      <c r="B280" t="s">
        <v>214</v>
      </c>
      <c r="D280" s="129" t="str">
        <f>IF([1]RENAME!$H$3=1,B280,A280)</f>
        <v>TLI</v>
      </c>
      <c r="E280" s="118">
        <v>0</v>
      </c>
      <c r="F280" s="118">
        <v>0</v>
      </c>
      <c r="G280" s="118">
        <v>0</v>
      </c>
      <c r="H280" s="118">
        <v>2333</v>
      </c>
      <c r="I280" s="118">
        <v>0</v>
      </c>
      <c r="J280" s="118">
        <v>0</v>
      </c>
      <c r="K280" s="118">
        <v>-338</v>
      </c>
    </row>
    <row r="281" spans="1:11" x14ac:dyDescent="0.2">
      <c r="A281" t="s">
        <v>599</v>
      </c>
      <c r="B281" t="s">
        <v>599</v>
      </c>
      <c r="D281" s="129" t="str">
        <f>IF([1]RENAME!$H$3=1,B281,A281)</f>
        <v>TLA</v>
      </c>
      <c r="E281" s="118">
        <v>32552</v>
      </c>
      <c r="F281" s="118">
        <v>6453</v>
      </c>
      <c r="G281" s="118">
        <v>26099</v>
      </c>
      <c r="H281" s="118">
        <v>39318</v>
      </c>
      <c r="I281" s="118">
        <v>0</v>
      </c>
      <c r="J281" s="118">
        <v>0</v>
      </c>
      <c r="K281" s="118">
        <v>-1388</v>
      </c>
    </row>
    <row r="282" spans="1:11" x14ac:dyDescent="0.2">
      <c r="A282" t="s">
        <v>215</v>
      </c>
      <c r="B282" t="s">
        <v>215</v>
      </c>
      <c r="D282" s="129" t="str">
        <f>IF([1]RENAME!$H$3=1,B282,A282)</f>
        <v>Niyati</v>
      </c>
      <c r="E282" s="118">
        <v>78440</v>
      </c>
      <c r="F282" s="118">
        <v>1988</v>
      </c>
      <c r="G282" s="118">
        <v>76452</v>
      </c>
      <c r="H282" s="118">
        <v>3606</v>
      </c>
      <c r="I282" s="118">
        <v>0</v>
      </c>
      <c r="J282" s="118">
        <v>0</v>
      </c>
      <c r="K282" s="118">
        <v>1979</v>
      </c>
    </row>
    <row r="283" spans="1:11" x14ac:dyDescent="0.2">
      <c r="A283" t="s">
        <v>218</v>
      </c>
      <c r="B283" t="s">
        <v>218</v>
      </c>
      <c r="D283" s="129" t="str">
        <f>IF([1]RENAME!$H$3=1,B283,A283)</f>
        <v>Tegmax</v>
      </c>
      <c r="E283" s="118">
        <v>2731</v>
      </c>
      <c r="F283" s="118">
        <v>91</v>
      </c>
      <c r="G283" s="118">
        <v>2640</v>
      </c>
      <c r="H283" s="118">
        <v>77</v>
      </c>
      <c r="I283" s="118">
        <v>0</v>
      </c>
      <c r="J283" s="118">
        <v>0</v>
      </c>
      <c r="K283" s="118">
        <v>134</v>
      </c>
    </row>
    <row r="284" spans="1:11" x14ac:dyDescent="0.2">
      <c r="A284" t="s">
        <v>476</v>
      </c>
      <c r="B284" t="s">
        <v>476</v>
      </c>
      <c r="D284" s="129" t="str">
        <f>IF([1]RENAME!$H$3=1,B284,A284)</f>
        <v>TLV</v>
      </c>
      <c r="E284" s="118">
        <v>16967</v>
      </c>
      <c r="F284" s="118">
        <v>1719</v>
      </c>
      <c r="G284" s="118">
        <v>15248</v>
      </c>
      <c r="H284" s="118">
        <v>0</v>
      </c>
      <c r="I284" s="118">
        <v>0</v>
      </c>
      <c r="J284" s="118">
        <v>0</v>
      </c>
      <c r="K284" s="118">
        <v>-1616</v>
      </c>
    </row>
    <row r="285" spans="1:11" x14ac:dyDescent="0.2">
      <c r="A285" t="s">
        <v>1327</v>
      </c>
      <c r="B285" t="s">
        <v>1327</v>
      </c>
      <c r="D285" s="129" t="str">
        <f>IF([1]RENAME!$H$3=1,B285,A285)</f>
        <v>Tegup</v>
      </c>
      <c r="E285" s="118">
        <v>1451</v>
      </c>
      <c r="F285" s="118">
        <v>3</v>
      </c>
      <c r="G285" s="118">
        <v>1448</v>
      </c>
      <c r="H285" s="118">
        <v>47</v>
      </c>
      <c r="I285" s="118">
        <v>0</v>
      </c>
      <c r="J285" s="118">
        <v>0</v>
      </c>
      <c r="K285" s="118">
        <v>47</v>
      </c>
    </row>
    <row r="286" spans="1:11" x14ac:dyDescent="0.2">
      <c r="A286" t="s">
        <v>1492</v>
      </c>
      <c r="B286" t="s">
        <v>1491</v>
      </c>
      <c r="D286" s="126" t="str">
        <f>IF([1]RENAME!$H$3=1,B286,A286)</f>
        <v>31 de dezembro de 2018</v>
      </c>
      <c r="E286" s="120">
        <f>SUM(E279:E285)</f>
        <v>185525</v>
      </c>
      <c r="F286" s="120">
        <f>SUM(F279:F285)</f>
        <v>30105</v>
      </c>
      <c r="G286" s="120">
        <f>SUM(G279:G285)</f>
        <v>155420</v>
      </c>
      <c r="H286" s="120">
        <f>SUM(H279:H285)</f>
        <v>121356</v>
      </c>
      <c r="I286" s="120"/>
      <c r="J286" s="120"/>
      <c r="K286" s="120">
        <f>SUM(K279:K285)</f>
        <v>4037</v>
      </c>
    </row>
    <row r="287" spans="1:11" x14ac:dyDescent="0.2">
      <c r="D287" s="129"/>
      <c r="E287" s="129"/>
      <c r="F287" s="129"/>
      <c r="G287" s="129"/>
      <c r="H287" s="129"/>
      <c r="I287" s="129"/>
      <c r="J287" s="129"/>
      <c r="K287" s="129"/>
    </row>
    <row r="288" spans="1:11" x14ac:dyDescent="0.2">
      <c r="A288" t="s">
        <v>213</v>
      </c>
      <c r="B288" t="s">
        <v>213</v>
      </c>
      <c r="D288" s="129" t="str">
        <f>IF([1]RENAME!$H$3=1,B288,A288)</f>
        <v>TCE</v>
      </c>
      <c r="E288" s="118">
        <v>51839</v>
      </c>
      <c r="F288" s="118">
        <v>20550</v>
      </c>
      <c r="G288" s="118">
        <v>31289</v>
      </c>
      <c r="H288" s="118">
        <v>54919</v>
      </c>
      <c r="I288" s="118">
        <v>0</v>
      </c>
      <c r="J288" s="118">
        <v>0</v>
      </c>
      <c r="K288" s="118">
        <v>2975</v>
      </c>
    </row>
    <row r="289" spans="1:11" x14ac:dyDescent="0.2">
      <c r="A289" t="s">
        <v>214</v>
      </c>
      <c r="B289" t="s">
        <v>214</v>
      </c>
      <c r="D289" s="129" t="str">
        <f>IF([1]RENAME!$H$3=1,B289,A289)</f>
        <v>TLI</v>
      </c>
      <c r="E289" s="118">
        <v>0</v>
      </c>
      <c r="F289" s="118">
        <v>0</v>
      </c>
      <c r="G289" s="118">
        <v>0</v>
      </c>
      <c r="H289" s="118">
        <v>2333</v>
      </c>
      <c r="I289" s="118">
        <v>0</v>
      </c>
      <c r="J289" s="118">
        <v>0</v>
      </c>
      <c r="K289" s="118">
        <v>-338</v>
      </c>
    </row>
    <row r="290" spans="1:11" x14ac:dyDescent="0.2">
      <c r="A290" t="s">
        <v>599</v>
      </c>
      <c r="B290" t="s">
        <v>599</v>
      </c>
      <c r="D290" s="129" t="str">
        <f>IF([1]RENAME!$H$3=1,B290,A290)</f>
        <v>TLA</v>
      </c>
      <c r="E290" s="118">
        <v>34086</v>
      </c>
      <c r="F290" s="118">
        <v>6688</v>
      </c>
      <c r="G290" s="118">
        <v>27398</v>
      </c>
      <c r="H290" s="118">
        <v>28686</v>
      </c>
      <c r="I290" s="118">
        <v>0</v>
      </c>
      <c r="J290" s="118">
        <v>0</v>
      </c>
      <c r="K290" s="118">
        <v>-89</v>
      </c>
    </row>
    <row r="291" spans="1:11" x14ac:dyDescent="0.2">
      <c r="A291" t="s">
        <v>215</v>
      </c>
      <c r="B291" t="s">
        <v>215</v>
      </c>
      <c r="D291" s="129" t="str">
        <f>IF([1]RENAME!$H$3=1,B291,A291)</f>
        <v>Niyati</v>
      </c>
      <c r="E291" s="118">
        <v>72140</v>
      </c>
      <c r="F291" s="118">
        <v>144</v>
      </c>
      <c r="G291" s="118">
        <v>71996</v>
      </c>
      <c r="H291" s="118">
        <v>2701</v>
      </c>
      <c r="I291" s="118">
        <v>0</v>
      </c>
      <c r="J291" s="118">
        <v>0</v>
      </c>
      <c r="K291" s="118">
        <v>1472</v>
      </c>
    </row>
    <row r="292" spans="1:11" x14ac:dyDescent="0.2">
      <c r="A292" t="s">
        <v>218</v>
      </c>
      <c r="B292" t="s">
        <v>218</v>
      </c>
      <c r="D292" s="129" t="str">
        <f>IF([1]RENAME!$H$3=1,B292,A292)</f>
        <v>Tegmax</v>
      </c>
      <c r="E292" s="118">
        <v>2703</v>
      </c>
      <c r="F292" s="118">
        <v>83</v>
      </c>
      <c r="G292" s="118">
        <v>2620</v>
      </c>
      <c r="H292" s="118">
        <v>77</v>
      </c>
      <c r="I292" s="118">
        <v>0</v>
      </c>
      <c r="J292" s="118">
        <v>0</v>
      </c>
      <c r="K292" s="118">
        <v>114</v>
      </c>
    </row>
    <row r="293" spans="1:11" x14ac:dyDescent="0.2">
      <c r="A293" t="s">
        <v>476</v>
      </c>
      <c r="B293" t="s">
        <v>476</v>
      </c>
      <c r="D293" s="129" t="str">
        <f>IF([1]RENAME!$H$3=1,B293,A293)</f>
        <v>TLV</v>
      </c>
      <c r="E293" s="118">
        <v>17833</v>
      </c>
      <c r="F293" s="118">
        <v>744</v>
      </c>
      <c r="G293" s="118">
        <v>17089</v>
      </c>
      <c r="H293" s="118">
        <v>0</v>
      </c>
      <c r="I293" s="118">
        <v>0</v>
      </c>
      <c r="J293" s="118">
        <v>0</v>
      </c>
      <c r="K293" s="118">
        <v>225</v>
      </c>
    </row>
    <row r="294" spans="1:11" x14ac:dyDescent="0.2">
      <c r="D294" s="129" t="s">
        <v>1327</v>
      </c>
      <c r="E294" s="118">
        <v>1440</v>
      </c>
      <c r="F294" s="118">
        <v>7</v>
      </c>
      <c r="G294" s="118">
        <v>1433</v>
      </c>
      <c r="H294" s="118">
        <v>19</v>
      </c>
      <c r="I294" s="118">
        <v>0</v>
      </c>
      <c r="J294" s="118">
        <v>0</v>
      </c>
      <c r="K294" s="118">
        <v>32</v>
      </c>
    </row>
    <row r="295" spans="1:11" x14ac:dyDescent="0.2">
      <c r="A295" t="s">
        <v>1337</v>
      </c>
      <c r="B295" t="s">
        <v>1336</v>
      </c>
      <c r="D295" s="126" t="str">
        <f>IF([1]RENAME!$H$3=1,B295,A295)</f>
        <v>30 de setembro de 2018</v>
      </c>
      <c r="E295" s="120">
        <f>SUM(E288:E294)</f>
        <v>180041</v>
      </c>
      <c r="F295" s="120">
        <f>SUM(F288:F294)</f>
        <v>28216</v>
      </c>
      <c r="G295" s="120">
        <f>SUM(G288:G294)</f>
        <v>151825</v>
      </c>
      <c r="H295" s="120">
        <f>SUM(H288:H294)</f>
        <v>88735</v>
      </c>
      <c r="I295" s="120"/>
      <c r="J295" s="120"/>
      <c r="K295" s="120">
        <f>SUM(K288:K294)</f>
        <v>4391</v>
      </c>
    </row>
    <row r="296" spans="1:11" x14ac:dyDescent="0.2">
      <c r="D296" s="129"/>
      <c r="E296" s="129"/>
      <c r="F296" s="129"/>
      <c r="G296" s="129"/>
      <c r="H296" s="129"/>
      <c r="I296" s="129"/>
      <c r="J296" s="129"/>
      <c r="K296" s="129"/>
    </row>
    <row r="297" spans="1:11" x14ac:dyDescent="0.2">
      <c r="A297" t="s">
        <v>213</v>
      </c>
      <c r="B297" t="s">
        <v>213</v>
      </c>
      <c r="D297" s="129" t="str">
        <f>IF([1]RENAME!$H$3=1,B297,A297)</f>
        <v>TCE</v>
      </c>
      <c r="E297" s="118">
        <v>69045</v>
      </c>
      <c r="F297" s="118">
        <v>19461</v>
      </c>
      <c r="G297" s="118">
        <v>49584</v>
      </c>
      <c r="H297" s="118">
        <v>38723</v>
      </c>
      <c r="I297" s="118">
        <v>0</v>
      </c>
      <c r="J297" s="118">
        <v>0</v>
      </c>
      <c r="K297" s="118">
        <v>4698</v>
      </c>
    </row>
    <row r="298" spans="1:11" x14ac:dyDescent="0.2">
      <c r="A298" t="s">
        <v>214</v>
      </c>
      <c r="B298" t="s">
        <v>214</v>
      </c>
      <c r="D298" s="129" t="str">
        <f>IF([1]RENAME!$H$3=1,B298,A298)</f>
        <v>TLI</v>
      </c>
      <c r="E298" s="118">
        <v>0</v>
      </c>
      <c r="F298" s="118">
        <v>0</v>
      </c>
      <c r="G298" s="118">
        <v>0</v>
      </c>
      <c r="H298" s="118">
        <v>2333</v>
      </c>
      <c r="I298" s="118">
        <v>0</v>
      </c>
      <c r="J298" s="118">
        <v>0</v>
      </c>
      <c r="K298" s="118">
        <v>-338</v>
      </c>
    </row>
    <row r="299" spans="1:11" x14ac:dyDescent="0.2">
      <c r="A299" t="s">
        <v>599</v>
      </c>
      <c r="B299" t="s">
        <v>599</v>
      </c>
      <c r="D299" s="129" t="str">
        <f>IF([1]RENAME!$H$3=1,B299,A299)</f>
        <v>TLA</v>
      </c>
      <c r="E299" s="118">
        <v>33476</v>
      </c>
      <c r="F299" s="118">
        <v>6598</v>
      </c>
      <c r="G299" s="118">
        <v>26878</v>
      </c>
      <c r="H299" s="118">
        <v>19316</v>
      </c>
      <c r="I299" s="118">
        <v>0</v>
      </c>
      <c r="J299" s="118">
        <v>0</v>
      </c>
      <c r="K299" s="118">
        <v>92</v>
      </c>
    </row>
    <row r="300" spans="1:11" x14ac:dyDescent="0.2">
      <c r="A300" t="s">
        <v>215</v>
      </c>
      <c r="B300" t="s">
        <v>215</v>
      </c>
      <c r="D300" s="129" t="str">
        <f>IF([1]RENAME!$H$3=1,B300,A300)</f>
        <v>Niyati</v>
      </c>
      <c r="E300" s="118">
        <v>64249</v>
      </c>
      <c r="F300" s="118">
        <v>139</v>
      </c>
      <c r="G300" s="118">
        <v>64110</v>
      </c>
      <c r="H300" s="118">
        <v>1796</v>
      </c>
      <c r="I300" s="118">
        <v>0</v>
      </c>
      <c r="J300" s="118">
        <v>0</v>
      </c>
      <c r="K300" s="118">
        <v>986</v>
      </c>
    </row>
    <row r="301" spans="1:11" x14ac:dyDescent="0.2">
      <c r="A301" t="s">
        <v>218</v>
      </c>
      <c r="B301" t="s">
        <v>218</v>
      </c>
      <c r="D301" s="129" t="str">
        <f>IF([1]RENAME!$H$3=1,B301,A301)</f>
        <v>Tegmax</v>
      </c>
      <c r="E301" s="118">
        <v>2715</v>
      </c>
      <c r="F301" s="118">
        <v>96</v>
      </c>
      <c r="G301" s="118">
        <v>2619</v>
      </c>
      <c r="H301" s="118">
        <v>77</v>
      </c>
      <c r="I301" s="118">
        <v>0</v>
      </c>
      <c r="J301" s="118">
        <v>0</v>
      </c>
      <c r="K301" s="118">
        <v>113</v>
      </c>
    </row>
    <row r="302" spans="1:11" x14ac:dyDescent="0.2">
      <c r="A302" t="s">
        <v>476</v>
      </c>
      <c r="B302" t="s">
        <v>476</v>
      </c>
      <c r="D302" s="129" t="str">
        <f>IF([1]RENAME!$H$3=1,B302,A302)</f>
        <v>TLV</v>
      </c>
      <c r="E302" s="118">
        <v>17384</v>
      </c>
      <c r="F302" s="118">
        <v>319</v>
      </c>
      <c r="G302" s="118">
        <v>17065</v>
      </c>
      <c r="H302" s="118">
        <v>0</v>
      </c>
      <c r="I302" s="118">
        <v>0</v>
      </c>
      <c r="J302" s="118">
        <v>0</v>
      </c>
      <c r="K302" s="118">
        <v>201</v>
      </c>
    </row>
    <row r="303" spans="1:11" x14ac:dyDescent="0.2">
      <c r="D303" s="129" t="s">
        <v>1327</v>
      </c>
      <c r="E303" s="118">
        <v>1</v>
      </c>
      <c r="F303" s="118">
        <v>0</v>
      </c>
      <c r="G303" s="118">
        <v>1</v>
      </c>
      <c r="H303" s="118">
        <v>0</v>
      </c>
      <c r="I303" s="118">
        <v>0</v>
      </c>
      <c r="J303" s="118">
        <v>0</v>
      </c>
      <c r="K303" s="118">
        <v>0</v>
      </c>
    </row>
    <row r="304" spans="1:11" x14ac:dyDescent="0.2">
      <c r="A304" t="s">
        <v>1309</v>
      </c>
      <c r="B304" t="s">
        <v>1308</v>
      </c>
      <c r="D304" s="126" t="str">
        <f>IF([1]RENAME!$H$3=1,B304,A304)</f>
        <v>30 de junho de 2018</v>
      </c>
      <c r="E304" s="120">
        <f>SUM(E297:E303)</f>
        <v>186870</v>
      </c>
      <c r="F304" s="120">
        <f>SUM(F297:F303)</f>
        <v>26613</v>
      </c>
      <c r="G304" s="120">
        <f>SUM(G297:G303)</f>
        <v>160257</v>
      </c>
      <c r="H304" s="120">
        <f>SUM(H297:H303)</f>
        <v>62245</v>
      </c>
      <c r="I304" s="120"/>
      <c r="J304" s="120"/>
      <c r="K304" s="120">
        <f>SUM(K297:K303)</f>
        <v>5752</v>
      </c>
    </row>
    <row r="305" spans="1:11" x14ac:dyDescent="0.2">
      <c r="D305" s="129"/>
      <c r="E305" s="129"/>
      <c r="F305" s="129"/>
      <c r="G305" s="129"/>
      <c r="H305" s="129"/>
      <c r="I305" s="129"/>
      <c r="J305" s="129"/>
      <c r="K305" s="129"/>
    </row>
    <row r="306" spans="1:11" x14ac:dyDescent="0.2">
      <c r="A306" t="s">
        <v>213</v>
      </c>
      <c r="B306" t="s">
        <v>213</v>
      </c>
      <c r="D306" s="129" t="str">
        <f>IF([1]RENAME!$H$3=1,B306,A306)</f>
        <v>TCE</v>
      </c>
      <c r="E306" s="118">
        <v>129977</v>
      </c>
      <c r="F306" s="118">
        <v>82699</v>
      </c>
      <c r="G306" s="118">
        <v>47278</v>
      </c>
      <c r="H306" s="118">
        <v>19386</v>
      </c>
      <c r="I306" s="118">
        <v>0</v>
      </c>
      <c r="J306" s="118">
        <v>0</v>
      </c>
      <c r="K306" s="118">
        <v>2392</v>
      </c>
    </row>
    <row r="307" spans="1:11" x14ac:dyDescent="0.2">
      <c r="A307" t="s">
        <v>214</v>
      </c>
      <c r="B307" t="s">
        <v>214</v>
      </c>
      <c r="D307" s="129" t="str">
        <f>IF([1]RENAME!$H$3=1,B307,A307)</f>
        <v>TLI</v>
      </c>
      <c r="E307" s="118">
        <v>0</v>
      </c>
      <c r="F307" s="118">
        <v>0</v>
      </c>
      <c r="G307" s="118">
        <v>0</v>
      </c>
      <c r="H307" s="118">
        <v>2333</v>
      </c>
      <c r="I307" s="118">
        <v>0</v>
      </c>
      <c r="J307" s="118">
        <v>0</v>
      </c>
      <c r="K307" s="118">
        <v>-338</v>
      </c>
    </row>
    <row r="308" spans="1:11" x14ac:dyDescent="0.2">
      <c r="A308" t="s">
        <v>599</v>
      </c>
      <c r="B308" t="s">
        <v>599</v>
      </c>
      <c r="D308" s="129" t="str">
        <f>IF([1]RENAME!$H$3=1,B308,A308)</f>
        <v>TLA</v>
      </c>
      <c r="E308" s="118">
        <v>32839</v>
      </c>
      <c r="F308" s="118">
        <v>10553</v>
      </c>
      <c r="G308" s="118">
        <v>22286</v>
      </c>
      <c r="H308" s="118">
        <v>9281</v>
      </c>
      <c r="I308" s="118">
        <v>0</v>
      </c>
      <c r="J308" s="118">
        <v>0</v>
      </c>
      <c r="K308" s="118">
        <v>50</v>
      </c>
    </row>
    <row r="309" spans="1:11" x14ac:dyDescent="0.2">
      <c r="A309" t="s">
        <v>215</v>
      </c>
      <c r="B309" t="s">
        <v>215</v>
      </c>
      <c r="D309" s="129" t="str">
        <f>IF([1]RENAME!$H$3=1,B309,A309)</f>
        <v>Niyati</v>
      </c>
      <c r="E309" s="118">
        <v>64815</v>
      </c>
      <c r="F309" s="118">
        <v>110</v>
      </c>
      <c r="G309" s="118">
        <v>64705</v>
      </c>
      <c r="H309" s="118">
        <v>895</v>
      </c>
      <c r="I309" s="118">
        <v>0</v>
      </c>
      <c r="J309" s="118">
        <v>0</v>
      </c>
      <c r="K309" s="118">
        <v>502</v>
      </c>
    </row>
    <row r="310" spans="1:11" x14ac:dyDescent="0.2">
      <c r="A310" t="s">
        <v>218</v>
      </c>
      <c r="B310" t="s">
        <v>218</v>
      </c>
      <c r="D310" s="129" t="str">
        <f>IF([1]RENAME!$H$3=1,B310,A310)</f>
        <v>Tegmax</v>
      </c>
      <c r="E310" s="118">
        <v>8586</v>
      </c>
      <c r="F310" s="118">
        <v>5666</v>
      </c>
      <c r="G310" s="118">
        <v>2920</v>
      </c>
      <c r="H310" s="118">
        <v>86</v>
      </c>
      <c r="I310" s="118">
        <v>0</v>
      </c>
      <c r="J310" s="118">
        <v>0</v>
      </c>
      <c r="K310" s="118">
        <v>101</v>
      </c>
    </row>
    <row r="311" spans="1:11" x14ac:dyDescent="0.2">
      <c r="A311" t="s">
        <v>476</v>
      </c>
      <c r="B311" t="s">
        <v>476</v>
      </c>
      <c r="D311" s="129" t="str">
        <f>IF([1]RENAME!$H$3=1,B311,A311)</f>
        <v>TLV</v>
      </c>
      <c r="E311" s="118">
        <v>17463</v>
      </c>
      <c r="F311" s="118">
        <v>537</v>
      </c>
      <c r="G311" s="118">
        <v>16926</v>
      </c>
      <c r="H311" s="118">
        <v>0</v>
      </c>
      <c r="I311" s="118">
        <v>0</v>
      </c>
      <c r="J311" s="118">
        <v>0</v>
      </c>
      <c r="K311" s="118">
        <v>62</v>
      </c>
    </row>
    <row r="312" spans="1:11" x14ac:dyDescent="0.2">
      <c r="A312" t="s">
        <v>1494</v>
      </c>
      <c r="B312" t="s">
        <v>1493</v>
      </c>
      <c r="D312" s="126" t="str">
        <f>IF([1]RENAME!$H$3=1,B312,A312)</f>
        <v>31 de março de 2018</v>
      </c>
      <c r="E312" s="120">
        <f>SUM(E306:E311)</f>
        <v>253680</v>
      </c>
      <c r="F312" s="120">
        <f>SUM(F306:F311)</f>
        <v>99565</v>
      </c>
      <c r="G312" s="120">
        <f>SUM(G306:G311)</f>
        <v>154115</v>
      </c>
      <c r="H312" s="120">
        <f>SUM(H306:H311)</f>
        <v>31981</v>
      </c>
      <c r="I312" s="120"/>
      <c r="J312" s="120"/>
      <c r="K312" s="120">
        <f>SUM(K306:K311)</f>
        <v>2769</v>
      </c>
    </row>
    <row r="313" spans="1:11" x14ac:dyDescent="0.2">
      <c r="D313" s="129"/>
      <c r="E313" s="129"/>
      <c r="F313" s="129"/>
      <c r="G313" s="129"/>
      <c r="H313" s="129"/>
      <c r="I313" s="129"/>
      <c r="J313" s="129"/>
      <c r="K313" s="129"/>
    </row>
    <row r="314" spans="1:11" x14ac:dyDescent="0.2">
      <c r="A314" t="s">
        <v>213</v>
      </c>
      <c r="B314" t="s">
        <v>213</v>
      </c>
      <c r="D314" s="129" t="str">
        <f>IF([1]RENAME!$H$3=1,B314,A314)</f>
        <v>TCE</v>
      </c>
      <c r="E314" s="118">
        <v>121642</v>
      </c>
      <c r="F314" s="118">
        <v>12756</v>
      </c>
      <c r="G314" s="118">
        <v>108886</v>
      </c>
      <c r="H314" s="118">
        <v>77060</v>
      </c>
      <c r="I314" s="118">
        <v>0</v>
      </c>
      <c r="J314" s="118">
        <v>0</v>
      </c>
      <c r="K314" s="118">
        <v>17443</v>
      </c>
    </row>
    <row r="315" spans="1:11" x14ac:dyDescent="0.2">
      <c r="A315" t="s">
        <v>214</v>
      </c>
      <c r="B315" t="s">
        <v>214</v>
      </c>
      <c r="D315" s="129" t="str">
        <f>IF([1]RENAME!$H$3=1,B315,A315)</f>
        <v>TLI</v>
      </c>
      <c r="E315" s="118">
        <v>53295</v>
      </c>
      <c r="F315" s="118">
        <v>9830</v>
      </c>
      <c r="G315" s="118">
        <v>43465</v>
      </c>
      <c r="H315" s="118">
        <v>51090</v>
      </c>
      <c r="I315" s="118">
        <v>0</v>
      </c>
      <c r="J315" s="118">
        <v>0</v>
      </c>
      <c r="K315" s="118">
        <v>146</v>
      </c>
    </row>
    <row r="316" spans="1:11" x14ac:dyDescent="0.2">
      <c r="A316" t="s">
        <v>599</v>
      </c>
      <c r="B316" t="s">
        <v>599</v>
      </c>
      <c r="D316" s="129" t="str">
        <f>IF([1]RENAME!$H$3=1,B316,A316)</f>
        <v>TLA</v>
      </c>
      <c r="E316" s="118">
        <v>33583</v>
      </c>
      <c r="F316" s="118">
        <v>11347</v>
      </c>
      <c r="G316" s="118">
        <v>22236</v>
      </c>
      <c r="H316" s="118">
        <v>11585</v>
      </c>
      <c r="I316" s="118">
        <v>0</v>
      </c>
      <c r="J316" s="118">
        <v>0</v>
      </c>
      <c r="K316" s="118">
        <v>1596</v>
      </c>
    </row>
    <row r="317" spans="1:11" x14ac:dyDescent="0.2">
      <c r="A317" t="s">
        <v>215</v>
      </c>
      <c r="B317" t="s">
        <v>215</v>
      </c>
      <c r="D317" s="129" t="str">
        <f>IF([1]RENAME!$H$3=1,B317,A317)</f>
        <v>Niyati</v>
      </c>
      <c r="E317" s="118">
        <v>64324</v>
      </c>
      <c r="F317" s="118">
        <v>121</v>
      </c>
      <c r="G317" s="118">
        <v>64203</v>
      </c>
      <c r="H317" s="118">
        <v>3296</v>
      </c>
      <c r="I317" s="118">
        <v>0</v>
      </c>
      <c r="J317" s="118">
        <v>0</v>
      </c>
      <c r="K317" s="118">
        <v>1756</v>
      </c>
    </row>
    <row r="318" spans="1:11" x14ac:dyDescent="0.2">
      <c r="A318" t="s">
        <v>218</v>
      </c>
      <c r="B318" t="s">
        <v>218</v>
      </c>
      <c r="D318" s="129" t="str">
        <f>IF([1]RENAME!$H$3=1,B318,A318)</f>
        <v>Tegmax</v>
      </c>
      <c r="E318" s="118">
        <v>14575</v>
      </c>
      <c r="F318" s="118">
        <v>6256</v>
      </c>
      <c r="G318" s="118">
        <v>8319</v>
      </c>
      <c r="H318" s="118">
        <v>1317</v>
      </c>
      <c r="I318" s="118">
        <v>0</v>
      </c>
      <c r="J318" s="118">
        <v>0</v>
      </c>
      <c r="K318" s="118">
        <v>329</v>
      </c>
    </row>
    <row r="319" spans="1:11" x14ac:dyDescent="0.2">
      <c r="A319" t="s">
        <v>476</v>
      </c>
      <c r="B319" t="s">
        <v>476</v>
      </c>
      <c r="D319" s="129" t="str">
        <f>IF([1]RENAME!$H$3=1,B319,A319)</f>
        <v>TLV</v>
      </c>
      <c r="E319" s="118">
        <v>23394</v>
      </c>
      <c r="F319" s="118">
        <v>530</v>
      </c>
      <c r="G319" s="118">
        <v>22864</v>
      </c>
      <c r="H319" s="118">
        <v>0</v>
      </c>
      <c r="I319" s="118">
        <v>0</v>
      </c>
      <c r="J319" s="118">
        <v>0</v>
      </c>
      <c r="K319" s="118">
        <v>-7272</v>
      </c>
    </row>
    <row r="320" spans="1:11" x14ac:dyDescent="0.2">
      <c r="A320" t="s">
        <v>1496</v>
      </c>
      <c r="B320" t="s">
        <v>1495</v>
      </c>
      <c r="D320" s="126" t="str">
        <f>IF([1]RENAME!$H$3=1,B320,A320)</f>
        <v>31 de dezembro de 2017</v>
      </c>
      <c r="E320" s="120">
        <f>SUM(E314:E319)</f>
        <v>310813</v>
      </c>
      <c r="F320" s="120">
        <f>SUM(F314:F319)</f>
        <v>40840</v>
      </c>
      <c r="G320" s="120">
        <f>SUM(G314:G319)</f>
        <v>269973</v>
      </c>
      <c r="H320" s="120">
        <f>SUM(H314:H319)</f>
        <v>144348</v>
      </c>
      <c r="I320" s="120"/>
      <c r="J320" s="120"/>
      <c r="K320" s="120">
        <f>SUM(K314:K319)</f>
        <v>13998</v>
      </c>
    </row>
    <row r="321" spans="1:11" x14ac:dyDescent="0.2">
      <c r="D321" s="129"/>
      <c r="E321" s="129"/>
      <c r="F321" s="129"/>
      <c r="G321" s="129"/>
      <c r="H321" s="129"/>
      <c r="I321" s="129"/>
      <c r="J321" s="129"/>
      <c r="K321" s="129"/>
    </row>
    <row r="322" spans="1:11" x14ac:dyDescent="0.2">
      <c r="A322" t="s">
        <v>213</v>
      </c>
      <c r="B322" t="s">
        <v>213</v>
      </c>
      <c r="D322" s="129" t="str">
        <f>IF([1]RENAME!$H$3=1,B322,A322)</f>
        <v>TCE</v>
      </c>
      <c r="E322" s="118">
        <v>117851</v>
      </c>
      <c r="F322" s="118">
        <v>20580</v>
      </c>
      <c r="G322" s="118">
        <v>97271</v>
      </c>
      <c r="H322" s="118">
        <v>57569</v>
      </c>
      <c r="I322" s="118">
        <v>0</v>
      </c>
      <c r="J322" s="118">
        <v>0</v>
      </c>
      <c r="K322" s="118">
        <v>5828</v>
      </c>
    </row>
    <row r="323" spans="1:11" x14ac:dyDescent="0.2">
      <c r="A323" t="s">
        <v>214</v>
      </c>
      <c r="B323" t="s">
        <v>214</v>
      </c>
      <c r="D323" s="129" t="str">
        <f>IF([1]RENAME!$H$3=1,B323,A323)</f>
        <v>TLI</v>
      </c>
      <c r="E323" s="118">
        <v>76056</v>
      </c>
      <c r="F323" s="118">
        <v>8664</v>
      </c>
      <c r="G323" s="118">
        <v>67392</v>
      </c>
      <c r="H323" s="118">
        <v>44951</v>
      </c>
      <c r="I323" s="118">
        <v>0</v>
      </c>
      <c r="J323" s="118">
        <v>0</v>
      </c>
      <c r="K323" s="118">
        <v>3433</v>
      </c>
    </row>
    <row r="324" spans="1:11" x14ac:dyDescent="0.2">
      <c r="A324" t="s">
        <v>599</v>
      </c>
      <c r="B324" t="s">
        <v>599</v>
      </c>
      <c r="D324" s="129" t="str">
        <f>IF([1]RENAME!$H$3=1,B324,A324)</f>
        <v>TLA</v>
      </c>
      <c r="E324" s="118">
        <v>34036</v>
      </c>
      <c r="F324" s="118">
        <v>12251</v>
      </c>
      <c r="G324" s="118">
        <v>21785</v>
      </c>
      <c r="H324" s="118">
        <v>2504</v>
      </c>
      <c r="I324" s="118">
        <v>0</v>
      </c>
      <c r="J324" s="118">
        <v>0</v>
      </c>
      <c r="K324" s="118">
        <v>42</v>
      </c>
    </row>
    <row r="325" spans="1:11" x14ac:dyDescent="0.2">
      <c r="A325" t="s">
        <v>215</v>
      </c>
      <c r="B325" t="s">
        <v>215</v>
      </c>
      <c r="D325" s="129" t="str">
        <f>IF([1]RENAME!$H$3=1,B325,A325)</f>
        <v>Niyati</v>
      </c>
      <c r="E325" s="118">
        <v>63806</v>
      </c>
      <c r="F325" s="118">
        <v>127</v>
      </c>
      <c r="G325" s="118">
        <v>63679</v>
      </c>
      <c r="H325" s="118">
        <v>2401</v>
      </c>
      <c r="I325" s="118">
        <v>0</v>
      </c>
      <c r="J325" s="118">
        <v>0</v>
      </c>
      <c r="K325" s="118">
        <v>1233</v>
      </c>
    </row>
    <row r="326" spans="1:11" x14ac:dyDescent="0.2">
      <c r="A326" t="s">
        <v>218</v>
      </c>
      <c r="B326" t="s">
        <v>218</v>
      </c>
      <c r="D326" s="129" t="str">
        <f>IF([1]RENAME!$H$3=1,B326,A326)</f>
        <v>Tegmax</v>
      </c>
      <c r="E326" s="118">
        <v>14683</v>
      </c>
      <c r="F326" s="118">
        <v>318</v>
      </c>
      <c r="G326" s="118">
        <v>14365</v>
      </c>
      <c r="H326" s="118">
        <v>993</v>
      </c>
      <c r="I326" s="118">
        <v>0</v>
      </c>
      <c r="J326" s="118">
        <v>0</v>
      </c>
      <c r="K326" s="118">
        <v>340</v>
      </c>
    </row>
    <row r="327" spans="1:11" x14ac:dyDescent="0.2">
      <c r="A327" t="s">
        <v>221</v>
      </c>
      <c r="B327" t="s">
        <v>221</v>
      </c>
      <c r="D327" s="129" t="str">
        <f>IF([1]RENAME!$H$3=1,B327,A327)</f>
        <v>Guriel</v>
      </c>
      <c r="E327" s="118">
        <v>0</v>
      </c>
      <c r="F327" s="118">
        <v>0</v>
      </c>
      <c r="G327" s="118">
        <v>0</v>
      </c>
      <c r="H327" s="118">
        <v>0</v>
      </c>
      <c r="I327" s="118">
        <v>0</v>
      </c>
      <c r="J327" s="118">
        <v>0</v>
      </c>
      <c r="K327" s="118">
        <v>0</v>
      </c>
    </row>
    <row r="328" spans="1:11" x14ac:dyDescent="0.2">
      <c r="A328" t="s">
        <v>476</v>
      </c>
      <c r="B328" t="s">
        <v>476</v>
      </c>
      <c r="D328" s="129" t="str">
        <f>IF([1]RENAME!$H$3=1,B328,A328)</f>
        <v>TLV</v>
      </c>
      <c r="E328" s="118">
        <v>27265</v>
      </c>
      <c r="F328" s="118">
        <v>610</v>
      </c>
      <c r="G328" s="118">
        <v>26655</v>
      </c>
      <c r="H328" s="118">
        <v>0</v>
      </c>
      <c r="I328" s="118">
        <v>0</v>
      </c>
      <c r="J328" s="118">
        <v>0</v>
      </c>
      <c r="K328" s="118">
        <v>-3481</v>
      </c>
    </row>
    <row r="329" spans="1:11" x14ac:dyDescent="0.2">
      <c r="A329" t="s">
        <v>597</v>
      </c>
      <c r="B329" t="s">
        <v>918</v>
      </c>
      <c r="D329" s="126" t="str">
        <f>IF([1]RENAME!$H$3=1,B329,A329)</f>
        <v>30 de setembro de 2017</v>
      </c>
      <c r="E329" s="120">
        <f>SUM(E322:E328)</f>
        <v>333697</v>
      </c>
      <c r="F329" s="120">
        <f>SUM(F322:F328)</f>
        <v>42550</v>
      </c>
      <c r="G329" s="120">
        <f>SUM(G322:G328)</f>
        <v>291147</v>
      </c>
      <c r="H329" s="120">
        <f>SUM(H322:H328)</f>
        <v>108418</v>
      </c>
      <c r="I329" s="120"/>
      <c r="J329" s="120"/>
      <c r="K329" s="120">
        <f>SUM(K322:K328)</f>
        <v>7395</v>
      </c>
    </row>
    <row r="330" spans="1:11" x14ac:dyDescent="0.2">
      <c r="D330" s="149"/>
      <c r="E330" s="150"/>
      <c r="F330" s="150"/>
      <c r="G330" s="150"/>
      <c r="H330" s="150"/>
      <c r="I330" s="150"/>
      <c r="J330" s="150"/>
      <c r="K330" s="150"/>
    </row>
    <row r="331" spans="1:11" x14ac:dyDescent="0.2">
      <c r="A331" t="s">
        <v>213</v>
      </c>
      <c r="B331" t="s">
        <v>213</v>
      </c>
      <c r="D331" s="129" t="str">
        <f>IF([1]RENAME!$H$3=1,B331,A331)</f>
        <v>TCE</v>
      </c>
      <c r="E331" s="118">
        <v>116988</v>
      </c>
      <c r="F331" s="118">
        <v>19524</v>
      </c>
      <c r="G331" s="118">
        <v>97464</v>
      </c>
      <c r="H331" s="118">
        <v>38227</v>
      </c>
      <c r="I331" s="118">
        <v>0</v>
      </c>
      <c r="J331" s="118">
        <v>0</v>
      </c>
      <c r="K331" s="118">
        <v>4100</v>
      </c>
    </row>
    <row r="332" spans="1:11" x14ac:dyDescent="0.2">
      <c r="A332" t="s">
        <v>214</v>
      </c>
      <c r="B332" t="s">
        <v>214</v>
      </c>
      <c r="D332" s="129" t="str">
        <f>IF([1]RENAME!$H$3=1,B332,A332)</f>
        <v>TLI</v>
      </c>
      <c r="E332" s="118">
        <v>85959</v>
      </c>
      <c r="F332" s="118">
        <v>17229</v>
      </c>
      <c r="G332" s="118">
        <v>68730</v>
      </c>
      <c r="H332" s="118">
        <v>34509</v>
      </c>
      <c r="I332" s="118">
        <v>0</v>
      </c>
      <c r="J332" s="118">
        <v>0</v>
      </c>
      <c r="K332" s="118">
        <v>4771</v>
      </c>
    </row>
    <row r="333" spans="1:11" x14ac:dyDescent="0.2">
      <c r="A333" t="s">
        <v>215</v>
      </c>
      <c r="B333" t="s">
        <v>215</v>
      </c>
      <c r="D333" s="129" t="str">
        <f>IF([1]RENAME!$H$3=1,B333,A333)</f>
        <v>Niyati</v>
      </c>
      <c r="E333" s="118">
        <v>63344</v>
      </c>
      <c r="F333" s="118">
        <v>129</v>
      </c>
      <c r="G333" s="118">
        <v>63215</v>
      </c>
      <c r="H333" s="118">
        <v>1506</v>
      </c>
      <c r="I333" s="118">
        <v>0</v>
      </c>
      <c r="J333" s="118">
        <v>0</v>
      </c>
      <c r="K333" s="118">
        <v>769</v>
      </c>
    </row>
    <row r="334" spans="1:11" x14ac:dyDescent="0.2">
      <c r="A334" t="s">
        <v>218</v>
      </c>
      <c r="B334" t="s">
        <v>218</v>
      </c>
      <c r="D334" s="129" t="str">
        <f>IF([1]RENAME!$H$3=1,B334,A334)</f>
        <v>Tegmax</v>
      </c>
      <c r="E334" s="118">
        <v>14662</v>
      </c>
      <c r="F334" s="118">
        <v>354</v>
      </c>
      <c r="G334" s="118">
        <v>14308</v>
      </c>
      <c r="H334" s="118">
        <v>762</v>
      </c>
      <c r="I334" s="118">
        <v>0</v>
      </c>
      <c r="J334" s="118">
        <v>0</v>
      </c>
      <c r="K334" s="118">
        <v>283</v>
      </c>
    </row>
    <row r="335" spans="1:11" x14ac:dyDescent="0.2">
      <c r="A335" t="s">
        <v>221</v>
      </c>
      <c r="B335" t="s">
        <v>221</v>
      </c>
      <c r="D335" s="129" t="str">
        <f>IF([1]RENAME!$H$3=1,B335,A335)</f>
        <v>Guriel</v>
      </c>
      <c r="E335" s="118">
        <v>0</v>
      </c>
      <c r="F335" s="118">
        <v>0</v>
      </c>
      <c r="G335" s="118">
        <v>0</v>
      </c>
      <c r="H335" s="118">
        <v>0</v>
      </c>
      <c r="I335" s="118">
        <v>0</v>
      </c>
      <c r="J335" s="118">
        <v>0</v>
      </c>
      <c r="K335" s="118">
        <v>0</v>
      </c>
    </row>
    <row r="336" spans="1:11" x14ac:dyDescent="0.2">
      <c r="A336" t="s">
        <v>476</v>
      </c>
      <c r="B336" t="s">
        <v>476</v>
      </c>
      <c r="D336" s="129" t="str">
        <f>IF([1]RENAME!$H$3=1,B336,A336)</f>
        <v>TLV</v>
      </c>
      <c r="E336" s="118">
        <v>30574</v>
      </c>
      <c r="F336" s="118">
        <v>522</v>
      </c>
      <c r="G336" s="118">
        <v>30052</v>
      </c>
      <c r="H336" s="118">
        <v>0</v>
      </c>
      <c r="I336" s="118">
        <v>0</v>
      </c>
      <c r="J336" s="118">
        <v>0</v>
      </c>
      <c r="K336" s="118">
        <v>-84</v>
      </c>
    </row>
    <row r="337" spans="1:11" x14ac:dyDescent="0.2">
      <c r="A337" t="s">
        <v>576</v>
      </c>
      <c r="B337" t="s">
        <v>919</v>
      </c>
      <c r="D337" s="126" t="str">
        <f>IF([1]RENAME!$H$3=1,B337,A337)</f>
        <v>30 de junho de 2017</v>
      </c>
      <c r="E337" s="120">
        <f>SUM(E331:E336)</f>
        <v>311527</v>
      </c>
      <c r="F337" s="120">
        <f>SUM(F331:F336)</f>
        <v>37758</v>
      </c>
      <c r="G337" s="120">
        <f>SUM(G331:G336)</f>
        <v>273769</v>
      </c>
      <c r="H337" s="120">
        <f>SUM(H331:H336)</f>
        <v>75004</v>
      </c>
      <c r="I337" s="120"/>
      <c r="J337" s="120"/>
      <c r="K337" s="120">
        <f>SUM(K331:K336)</f>
        <v>9839</v>
      </c>
    </row>
    <row r="338" spans="1:11" x14ac:dyDescent="0.2">
      <c r="D338" s="149"/>
      <c r="E338" s="150"/>
      <c r="F338" s="150"/>
      <c r="G338" s="150"/>
      <c r="H338" s="150"/>
      <c r="I338" s="150"/>
      <c r="J338" s="150"/>
      <c r="K338" s="150"/>
    </row>
    <row r="339" spans="1:11" x14ac:dyDescent="0.2">
      <c r="A339" t="s">
        <v>213</v>
      </c>
      <c r="B339" t="s">
        <v>213</v>
      </c>
      <c r="D339" s="129" t="str">
        <f>IF([1]RENAME!$H$3=1,B339,A339)</f>
        <v>TCE</v>
      </c>
      <c r="E339" s="118">
        <v>120094</v>
      </c>
      <c r="F339" s="118">
        <v>23226</v>
      </c>
      <c r="G339" s="118">
        <v>96868</v>
      </c>
      <c r="H339" s="118">
        <v>19807</v>
      </c>
      <c r="I339" s="118">
        <v>0</v>
      </c>
      <c r="J339" s="118">
        <v>0</v>
      </c>
      <c r="K339" s="118">
        <v>3504</v>
      </c>
    </row>
    <row r="340" spans="1:11" x14ac:dyDescent="0.2">
      <c r="A340" t="s">
        <v>214</v>
      </c>
      <c r="B340" t="s">
        <v>214</v>
      </c>
      <c r="D340" s="129" t="str">
        <f>IF([1]RENAME!$H$3=1,B340,A340)</f>
        <v>TLI</v>
      </c>
      <c r="E340" s="118">
        <v>74864</v>
      </c>
      <c r="F340" s="118">
        <v>13506</v>
      </c>
      <c r="G340" s="118">
        <v>61358</v>
      </c>
      <c r="H340" s="118">
        <v>11988</v>
      </c>
      <c r="I340" s="118">
        <v>0</v>
      </c>
      <c r="J340" s="118">
        <v>0</v>
      </c>
      <c r="K340" s="118">
        <v>-2601</v>
      </c>
    </row>
    <row r="341" spans="1:11" x14ac:dyDescent="0.2">
      <c r="A341" t="s">
        <v>215</v>
      </c>
      <c r="B341" t="s">
        <v>215</v>
      </c>
      <c r="D341" s="129" t="str">
        <f>IF([1]RENAME!$H$3=1,B341,A341)</f>
        <v>Niyati</v>
      </c>
      <c r="E341" s="118">
        <v>62644</v>
      </c>
      <c r="F341" s="118">
        <v>52</v>
      </c>
      <c r="G341" s="118">
        <v>62592</v>
      </c>
      <c r="H341" s="118">
        <v>486</v>
      </c>
      <c r="I341" s="118">
        <v>0</v>
      </c>
      <c r="J341" s="118">
        <v>0</v>
      </c>
      <c r="K341" s="118">
        <v>145</v>
      </c>
    </row>
    <row r="342" spans="1:11" x14ac:dyDescent="0.2">
      <c r="A342" t="s">
        <v>218</v>
      </c>
      <c r="B342" t="s">
        <v>218</v>
      </c>
      <c r="D342" s="129" t="str">
        <f>IF([1]RENAME!$H$3=1,B342,A342)</f>
        <v>Tegmax</v>
      </c>
      <c r="E342" s="118">
        <v>14541</v>
      </c>
      <c r="F342" s="118">
        <v>301</v>
      </c>
      <c r="G342" s="118">
        <v>14240</v>
      </c>
      <c r="H342" s="118">
        <v>520</v>
      </c>
      <c r="I342" s="118">
        <v>0</v>
      </c>
      <c r="J342" s="118">
        <v>0</v>
      </c>
      <c r="K342" s="118">
        <v>215</v>
      </c>
    </row>
    <row r="343" spans="1:11" x14ac:dyDescent="0.2">
      <c r="A343" t="s">
        <v>221</v>
      </c>
      <c r="B343" t="s">
        <v>221</v>
      </c>
      <c r="D343" s="129" t="str">
        <f>IF([1]RENAME!$H$3=1,B343,A343)</f>
        <v>Guriel</v>
      </c>
      <c r="E343" s="118">
        <v>0</v>
      </c>
      <c r="F343" s="118">
        <v>0</v>
      </c>
      <c r="G343" s="118">
        <v>0</v>
      </c>
      <c r="H343" s="118">
        <v>0</v>
      </c>
      <c r="I343" s="118">
        <v>0</v>
      </c>
      <c r="J343" s="118">
        <v>0</v>
      </c>
      <c r="K343" s="118">
        <v>0</v>
      </c>
    </row>
    <row r="344" spans="1:11" x14ac:dyDescent="0.2">
      <c r="A344" t="s">
        <v>476</v>
      </c>
      <c r="B344" t="s">
        <v>476</v>
      </c>
      <c r="D344" s="129" t="str">
        <f>IF([1]RENAME!$H$3=1,B344,A344)</f>
        <v>TLV</v>
      </c>
      <c r="E344" s="118">
        <v>30572</v>
      </c>
      <c r="F344" s="118">
        <v>494</v>
      </c>
      <c r="G344" s="118">
        <v>30078</v>
      </c>
      <c r="H344" s="118">
        <v>0</v>
      </c>
      <c r="I344" s="118">
        <v>0</v>
      </c>
      <c r="J344" s="118">
        <v>0</v>
      </c>
      <c r="K344" s="118">
        <v>-58</v>
      </c>
    </row>
    <row r="345" spans="1:11" x14ac:dyDescent="0.2">
      <c r="A345" t="s">
        <v>1497</v>
      </c>
      <c r="B345" t="s">
        <v>920</v>
      </c>
      <c r="D345" s="126" t="str">
        <f>IF([1]RENAME!$H$3=1,B345,A345)</f>
        <v>31 de março de 2017</v>
      </c>
      <c r="E345" s="120">
        <f>SUM(E339:E344)</f>
        <v>302715</v>
      </c>
      <c r="F345" s="120">
        <f>SUM(F339:F344)</f>
        <v>37579</v>
      </c>
      <c r="G345" s="120">
        <f>SUM(G339:G344)</f>
        <v>265136</v>
      </c>
      <c r="H345" s="120">
        <f>SUM(H339:H344)</f>
        <v>32801</v>
      </c>
      <c r="I345" s="120"/>
      <c r="J345" s="120"/>
      <c r="K345" s="120">
        <f>SUM(K339:K344)</f>
        <v>1205</v>
      </c>
    </row>
    <row r="346" spans="1:11" x14ac:dyDescent="0.2">
      <c r="D346" s="149"/>
      <c r="E346" s="150"/>
      <c r="F346" s="150"/>
      <c r="G346" s="150"/>
      <c r="H346" s="150"/>
      <c r="I346" s="150"/>
      <c r="J346" s="150"/>
      <c r="K346" s="150"/>
    </row>
    <row r="347" spans="1:11" x14ac:dyDescent="0.2">
      <c r="A347" t="s">
        <v>213</v>
      </c>
      <c r="B347" t="s">
        <v>213</v>
      </c>
      <c r="D347" s="129" t="str">
        <f>IF([1]RENAME!$H$3=1,B347,A347)</f>
        <v>TCE</v>
      </c>
      <c r="E347" s="118">
        <v>114349</v>
      </c>
      <c r="F347" s="118">
        <v>20985</v>
      </c>
      <c r="G347" s="118">
        <v>93364</v>
      </c>
      <c r="H347" s="118">
        <v>78902</v>
      </c>
      <c r="I347" s="118">
        <v>0</v>
      </c>
      <c r="J347" s="118">
        <v>0</v>
      </c>
      <c r="K347" s="118">
        <v>9908</v>
      </c>
    </row>
    <row r="348" spans="1:11" x14ac:dyDescent="0.2">
      <c r="A348" t="s">
        <v>214</v>
      </c>
      <c r="B348" t="s">
        <v>214</v>
      </c>
      <c r="D348" s="129" t="str">
        <f>IF([1]RENAME!$H$3=1,B348,A348)</f>
        <v>TLI</v>
      </c>
      <c r="E348" s="118">
        <v>75503</v>
      </c>
      <c r="F348" s="118">
        <v>11544</v>
      </c>
      <c r="G348" s="118">
        <v>63959</v>
      </c>
      <c r="H348" s="118">
        <v>52041</v>
      </c>
      <c r="I348" s="118">
        <v>0</v>
      </c>
      <c r="J348" s="118">
        <v>0</v>
      </c>
      <c r="K348" s="118">
        <v>-9657</v>
      </c>
    </row>
    <row r="349" spans="1:11" x14ac:dyDescent="0.2">
      <c r="A349" t="s">
        <v>215</v>
      </c>
      <c r="B349" t="s">
        <v>215</v>
      </c>
      <c r="D349" s="129" t="str">
        <f>IF([1]RENAME!$H$3=1,B349,A349)</f>
        <v>Niyati</v>
      </c>
      <c r="E349" s="118">
        <v>62862</v>
      </c>
      <c r="F349" s="118">
        <v>915</v>
      </c>
      <c r="G349" s="118">
        <v>61947</v>
      </c>
      <c r="H349" s="118">
        <v>1300</v>
      </c>
      <c r="I349" s="118">
        <v>0</v>
      </c>
      <c r="J349" s="118">
        <v>0</v>
      </c>
      <c r="K349" s="118">
        <v>-517</v>
      </c>
    </row>
    <row r="350" spans="1:11" x14ac:dyDescent="0.2">
      <c r="A350" t="s">
        <v>218</v>
      </c>
      <c r="B350" t="s">
        <v>218</v>
      </c>
      <c r="D350" s="129" t="str">
        <f>IF([1]RENAME!$H$3=1,B350,A350)</f>
        <v>Tegmax</v>
      </c>
      <c r="E350" s="118">
        <v>14275</v>
      </c>
      <c r="F350" s="118">
        <v>250</v>
      </c>
      <c r="G350" s="118">
        <v>14025</v>
      </c>
      <c r="H350" s="118">
        <v>1497</v>
      </c>
      <c r="I350" s="118">
        <v>0</v>
      </c>
      <c r="J350" s="118">
        <v>0</v>
      </c>
      <c r="K350" s="118">
        <v>-220</v>
      </c>
    </row>
    <row r="351" spans="1:11" x14ac:dyDescent="0.2">
      <c r="A351" t="s">
        <v>221</v>
      </c>
      <c r="B351" t="s">
        <v>221</v>
      </c>
      <c r="D351" s="129" t="str">
        <f>IF([1]RENAME!$H$3=1,B351,A351)</f>
        <v>Guriel</v>
      </c>
      <c r="E351" s="118">
        <v>0</v>
      </c>
      <c r="F351" s="118">
        <v>0</v>
      </c>
      <c r="G351" s="118">
        <v>0</v>
      </c>
      <c r="H351" s="118">
        <v>0</v>
      </c>
      <c r="I351" s="118">
        <v>0</v>
      </c>
      <c r="J351" s="118">
        <v>0</v>
      </c>
      <c r="K351" s="118">
        <v>45</v>
      </c>
    </row>
    <row r="352" spans="1:11" x14ac:dyDescent="0.2">
      <c r="A352" t="s">
        <v>476</v>
      </c>
      <c r="B352" t="s">
        <v>476</v>
      </c>
      <c r="D352" s="129" t="str">
        <f>IF([1]RENAME!$H$3=1,B352,A352)</f>
        <v>TLV</v>
      </c>
      <c r="E352" s="118">
        <v>42947</v>
      </c>
      <c r="F352" s="118">
        <v>12811</v>
      </c>
      <c r="G352" s="118">
        <v>30136</v>
      </c>
      <c r="H352" s="118">
        <v>0</v>
      </c>
      <c r="I352" s="118">
        <v>0</v>
      </c>
      <c r="J352" s="118">
        <v>0</v>
      </c>
      <c r="K352" s="118">
        <v>-215</v>
      </c>
    </row>
    <row r="353" spans="1:11" x14ac:dyDescent="0.2">
      <c r="A353" t="s">
        <v>555</v>
      </c>
      <c r="B353" t="s">
        <v>921</v>
      </c>
      <c r="D353" s="126" t="str">
        <f>IF([1]RENAME!$H$3=1,B353,A353)</f>
        <v>31 de dezembro de 2016</v>
      </c>
      <c r="E353" s="120">
        <f>SUM(E347:E352)</f>
        <v>309936</v>
      </c>
      <c r="F353" s="120">
        <f>SUM(F347:F352)</f>
        <v>46505</v>
      </c>
      <c r="G353" s="120">
        <f>SUM(G347:G352)</f>
        <v>263431</v>
      </c>
      <c r="H353" s="120">
        <f>SUM(H347:H352)</f>
        <v>133740</v>
      </c>
      <c r="I353" s="120"/>
      <c r="J353" s="120"/>
      <c r="K353" s="120">
        <f>SUM(K347:K352)</f>
        <v>-656</v>
      </c>
    </row>
    <row r="355" spans="1:11" x14ac:dyDescent="0.2">
      <c r="A355" t="s">
        <v>213</v>
      </c>
      <c r="B355" t="s">
        <v>213</v>
      </c>
      <c r="D355" s="129" t="str">
        <f>IF([1]RENAME!$H$3=1,B355,A355)</f>
        <v>TCE</v>
      </c>
      <c r="E355" s="118">
        <v>113130</v>
      </c>
      <c r="F355" s="118">
        <v>22355</v>
      </c>
      <c r="G355" s="118">
        <v>90775</v>
      </c>
      <c r="H355" s="118">
        <v>59169</v>
      </c>
      <c r="I355" s="118">
        <v>0</v>
      </c>
      <c r="J355" s="118">
        <v>0</v>
      </c>
      <c r="K355" s="118">
        <v>7319</v>
      </c>
    </row>
    <row r="356" spans="1:11" x14ac:dyDescent="0.2">
      <c r="A356" t="s">
        <v>214</v>
      </c>
      <c r="B356" t="s">
        <v>214</v>
      </c>
      <c r="D356" s="129" t="str">
        <f>IF([1]RENAME!$H$3=1,B356,A356)</f>
        <v>TLI</v>
      </c>
      <c r="E356" s="118">
        <v>78209</v>
      </c>
      <c r="F356" s="118">
        <v>11975</v>
      </c>
      <c r="G356" s="118">
        <v>66234</v>
      </c>
      <c r="H356" s="118">
        <v>38878</v>
      </c>
      <c r="I356" s="118">
        <v>0</v>
      </c>
      <c r="J356" s="118">
        <v>0</v>
      </c>
      <c r="K356" s="118">
        <v>-7383</v>
      </c>
    </row>
    <row r="357" spans="1:11" x14ac:dyDescent="0.2">
      <c r="A357" t="s">
        <v>215</v>
      </c>
      <c r="B357" t="s">
        <v>215</v>
      </c>
      <c r="D357" s="129" t="str">
        <f>IF([1]RENAME!$H$3=1,B357,A357)</f>
        <v>Niyati</v>
      </c>
      <c r="E357" s="118">
        <v>69515</v>
      </c>
      <c r="F357" s="118">
        <v>6546</v>
      </c>
      <c r="G357" s="118">
        <v>62969</v>
      </c>
      <c r="H357" s="118">
        <v>815</v>
      </c>
      <c r="I357" s="118">
        <v>0</v>
      </c>
      <c r="J357" s="118">
        <v>0</v>
      </c>
      <c r="K357" s="118">
        <v>505</v>
      </c>
    </row>
    <row r="358" spans="1:11" x14ac:dyDescent="0.2">
      <c r="A358" t="s">
        <v>218</v>
      </c>
      <c r="B358" t="s">
        <v>218</v>
      </c>
      <c r="D358" s="129" t="str">
        <f>IF([1]RENAME!$H$3=1,B358,A358)</f>
        <v>Tegmax</v>
      </c>
      <c r="E358" s="118">
        <v>14313</v>
      </c>
      <c r="F358" s="118">
        <v>350</v>
      </c>
      <c r="G358" s="118">
        <v>13963</v>
      </c>
      <c r="H358" s="118">
        <v>1146</v>
      </c>
      <c r="I358" s="118">
        <v>0</v>
      </c>
      <c r="J358" s="118">
        <v>0</v>
      </c>
      <c r="K358" s="118">
        <v>-282</v>
      </c>
    </row>
    <row r="359" spans="1:11" x14ac:dyDescent="0.2">
      <c r="A359" t="s">
        <v>221</v>
      </c>
      <c r="B359" t="s">
        <v>221</v>
      </c>
      <c r="D359" s="129" t="str">
        <f>IF([1]RENAME!$H$3=1,B359,A359)</f>
        <v>Guriel</v>
      </c>
      <c r="E359" s="118">
        <v>0</v>
      </c>
      <c r="F359" s="118">
        <v>0</v>
      </c>
      <c r="G359" s="118">
        <v>0</v>
      </c>
      <c r="H359" s="118">
        <v>0</v>
      </c>
      <c r="I359" s="118">
        <v>0</v>
      </c>
      <c r="J359" s="118">
        <v>0</v>
      </c>
      <c r="K359" s="118">
        <v>45</v>
      </c>
    </row>
    <row r="360" spans="1:11" x14ac:dyDescent="0.2">
      <c r="A360" t="s">
        <v>476</v>
      </c>
      <c r="B360" t="s">
        <v>476</v>
      </c>
      <c r="D360" s="129" t="str">
        <f>IF([1]RENAME!$H$3=1,B360,A360)</f>
        <v>TLV</v>
      </c>
      <c r="E360" s="118">
        <v>43048</v>
      </c>
      <c r="F360" s="118">
        <v>12279</v>
      </c>
      <c r="G360" s="118">
        <v>30769</v>
      </c>
      <c r="H360" s="118">
        <v>0</v>
      </c>
      <c r="I360" s="118">
        <v>0</v>
      </c>
      <c r="J360" s="118">
        <v>0</v>
      </c>
      <c r="K360" s="118">
        <v>417</v>
      </c>
    </row>
    <row r="361" spans="1:11" x14ac:dyDescent="0.2">
      <c r="A361" t="s">
        <v>519</v>
      </c>
      <c r="B361" t="s">
        <v>922</v>
      </c>
      <c r="D361" s="126" t="str">
        <f>IF([1]RENAME!$H$3=1,B361,A361)</f>
        <v>30 de setembro de 2016</v>
      </c>
      <c r="E361" s="120">
        <f>SUM(E355:E360)</f>
        <v>318215</v>
      </c>
      <c r="F361" s="120">
        <f>SUM(F355:F360)</f>
        <v>53505</v>
      </c>
      <c r="G361" s="120">
        <f>SUM(G355:G360)</f>
        <v>264710</v>
      </c>
      <c r="H361" s="120">
        <f>SUM(H355:H360)</f>
        <v>100008</v>
      </c>
      <c r="I361" s="120"/>
      <c r="J361" s="120"/>
      <c r="K361" s="120">
        <f>SUM(K355:K360)</f>
        <v>621</v>
      </c>
    </row>
    <row r="363" spans="1:11" x14ac:dyDescent="0.2">
      <c r="A363" t="s">
        <v>213</v>
      </c>
      <c r="B363" t="s">
        <v>213</v>
      </c>
      <c r="D363" s="129" t="str">
        <f>IF([1]RENAME!$H$3=1,B363,A363)</f>
        <v>TCE</v>
      </c>
      <c r="E363" s="118">
        <v>109408</v>
      </c>
      <c r="F363" s="118">
        <v>20442</v>
      </c>
      <c r="G363" s="118">
        <v>88966</v>
      </c>
      <c r="H363" s="118">
        <v>40110</v>
      </c>
      <c r="I363" s="118">
        <v>0</v>
      </c>
      <c r="J363" s="118">
        <v>0</v>
      </c>
      <c r="K363" s="118">
        <v>5510</v>
      </c>
    </row>
    <row r="364" spans="1:11" x14ac:dyDescent="0.2">
      <c r="A364" t="s">
        <v>214</v>
      </c>
      <c r="B364" t="s">
        <v>214</v>
      </c>
      <c r="D364" s="129" t="str">
        <f>IF([1]RENAME!$H$3=1,B364,A364)</f>
        <v>TLI</v>
      </c>
      <c r="E364" s="118">
        <v>81321</v>
      </c>
      <c r="F364" s="118">
        <v>13395</v>
      </c>
      <c r="G364" s="118">
        <v>67926</v>
      </c>
      <c r="H364" s="118">
        <v>26311</v>
      </c>
      <c r="I364" s="118">
        <v>0</v>
      </c>
      <c r="J364" s="118">
        <v>0</v>
      </c>
      <c r="K364" s="118">
        <v>-5691</v>
      </c>
    </row>
    <row r="365" spans="1:11" x14ac:dyDescent="0.2">
      <c r="A365" t="s">
        <v>215</v>
      </c>
      <c r="B365" t="s">
        <v>215</v>
      </c>
      <c r="D365" s="129" t="str">
        <f>IF([1]RENAME!$H$3=1,B365,A365)</f>
        <v>Niyati</v>
      </c>
      <c r="E365" s="118">
        <v>68746</v>
      </c>
      <c r="F365" s="118">
        <v>11948</v>
      </c>
      <c r="G365" s="118">
        <v>56798</v>
      </c>
      <c r="H365" s="118">
        <v>329</v>
      </c>
      <c r="I365" s="118">
        <v>0</v>
      </c>
      <c r="J365" s="118">
        <v>0</v>
      </c>
      <c r="K365" s="118">
        <v>334</v>
      </c>
    </row>
    <row r="366" spans="1:11" x14ac:dyDescent="0.2">
      <c r="A366" t="s">
        <v>218</v>
      </c>
      <c r="B366" t="s">
        <v>218</v>
      </c>
      <c r="D366" s="129" t="str">
        <f>IF([1]RENAME!$H$3=1,B366,A366)</f>
        <v>Tegmax</v>
      </c>
      <c r="E366" s="118">
        <v>14497</v>
      </c>
      <c r="F366" s="118">
        <v>387</v>
      </c>
      <c r="G366" s="118">
        <v>14110</v>
      </c>
      <c r="H366" s="118">
        <v>891</v>
      </c>
      <c r="I366" s="118">
        <v>0</v>
      </c>
      <c r="J366" s="118">
        <v>0</v>
      </c>
      <c r="K366" s="118">
        <v>-135</v>
      </c>
    </row>
    <row r="367" spans="1:11" x14ac:dyDescent="0.2">
      <c r="A367" t="s">
        <v>221</v>
      </c>
      <c r="B367" t="s">
        <v>221</v>
      </c>
      <c r="D367" s="129" t="str">
        <f>IF([1]RENAME!$H$3=1,B367,A367)</f>
        <v>Guriel</v>
      </c>
      <c r="E367" s="118">
        <v>0</v>
      </c>
      <c r="F367" s="118">
        <v>0</v>
      </c>
      <c r="G367" s="118">
        <v>0</v>
      </c>
      <c r="H367" s="118">
        <v>0</v>
      </c>
      <c r="I367" s="118">
        <v>0</v>
      </c>
      <c r="J367" s="118">
        <v>0</v>
      </c>
      <c r="K367" s="118">
        <v>45</v>
      </c>
    </row>
    <row r="368" spans="1:11" x14ac:dyDescent="0.2">
      <c r="A368" t="s">
        <v>476</v>
      </c>
      <c r="B368" t="s">
        <v>476</v>
      </c>
      <c r="D368" s="129" t="str">
        <f>IF([1]RENAME!$H$3=1,B368,A368)</f>
        <v>TLV</v>
      </c>
      <c r="E368" s="118">
        <v>42494</v>
      </c>
      <c r="F368" s="118">
        <v>11867</v>
      </c>
      <c r="G368" s="118">
        <v>30627</v>
      </c>
      <c r="H368" s="118">
        <v>0</v>
      </c>
      <c r="I368" s="118">
        <v>0</v>
      </c>
      <c r="J368" s="118">
        <v>0</v>
      </c>
      <c r="K368" s="118">
        <v>276</v>
      </c>
    </row>
    <row r="369" spans="1:11" x14ac:dyDescent="0.2">
      <c r="A369" t="s">
        <v>502</v>
      </c>
      <c r="B369" t="s">
        <v>923</v>
      </c>
      <c r="D369" s="126" t="str">
        <f>IF([1]RENAME!$H$3=1,B369,A369)</f>
        <v>30 de junho de 2016</v>
      </c>
      <c r="E369" s="120">
        <f>SUM(E363:E368)</f>
        <v>316466</v>
      </c>
      <c r="F369" s="120">
        <f>SUM(F363:F368)</f>
        <v>58039</v>
      </c>
      <c r="G369" s="120">
        <f>SUM(G363:G368)</f>
        <v>258427</v>
      </c>
      <c r="H369" s="120">
        <f>SUM(H363:H368)</f>
        <v>67641</v>
      </c>
      <c r="I369" s="120"/>
      <c r="J369" s="120"/>
      <c r="K369" s="120">
        <f>SUM(K363:K368)</f>
        <v>339</v>
      </c>
    </row>
    <row r="371" spans="1:11" x14ac:dyDescent="0.2">
      <c r="A371" t="s">
        <v>213</v>
      </c>
      <c r="B371" t="s">
        <v>213</v>
      </c>
      <c r="D371" s="129" t="str">
        <f>IF([1]RENAME!$H$3=1,B371,A371)</f>
        <v>TCE</v>
      </c>
      <c r="E371" s="118">
        <v>110957</v>
      </c>
      <c r="F371" s="118">
        <v>24233</v>
      </c>
      <c r="G371" s="118">
        <v>86724</v>
      </c>
      <c r="H371" s="118">
        <v>19151</v>
      </c>
      <c r="I371" s="118">
        <v>0</v>
      </c>
      <c r="J371" s="118">
        <v>0</v>
      </c>
      <c r="K371" s="118">
        <v>3268</v>
      </c>
    </row>
    <row r="372" spans="1:11" x14ac:dyDescent="0.2">
      <c r="A372" t="s">
        <v>214</v>
      </c>
      <c r="B372" t="s">
        <v>214</v>
      </c>
      <c r="D372" s="129" t="str">
        <f>IF([1]RENAME!$H$3=1,B372,A372)</f>
        <v>TLI</v>
      </c>
      <c r="E372" s="118">
        <v>93420</v>
      </c>
      <c r="F372" s="118">
        <v>22685</v>
      </c>
      <c r="G372" s="118">
        <v>70735</v>
      </c>
      <c r="H372" s="118">
        <v>14163</v>
      </c>
      <c r="I372" s="118">
        <v>0</v>
      </c>
      <c r="J372" s="118">
        <v>0</v>
      </c>
      <c r="K372" s="118">
        <v>-2904</v>
      </c>
    </row>
    <row r="373" spans="1:11" x14ac:dyDescent="0.2">
      <c r="A373" t="s">
        <v>215</v>
      </c>
      <c r="B373" t="s">
        <v>215</v>
      </c>
      <c r="D373" s="129" t="str">
        <f>IF([1]RENAME!$H$3=1,B373,A373)</f>
        <v>Niyati</v>
      </c>
      <c r="E373" s="118">
        <v>50087</v>
      </c>
      <c r="F373" s="118">
        <v>12244</v>
      </c>
      <c r="G373" s="118">
        <v>37843</v>
      </c>
      <c r="H373" s="118">
        <v>0</v>
      </c>
      <c r="I373" s="118">
        <v>0</v>
      </c>
      <c r="J373" s="118">
        <v>0</v>
      </c>
      <c r="K373" s="118">
        <v>-4</v>
      </c>
    </row>
    <row r="374" spans="1:11" x14ac:dyDescent="0.2">
      <c r="A374" t="s">
        <v>218</v>
      </c>
      <c r="B374" t="s">
        <v>218</v>
      </c>
      <c r="D374" s="129" t="str">
        <f>IF([1]RENAME!$H$3=1,B374,A374)</f>
        <v>Tegmax</v>
      </c>
      <c r="E374" s="118">
        <v>15026</v>
      </c>
      <c r="F374" s="118">
        <v>333</v>
      </c>
      <c r="G374" s="118">
        <v>14693</v>
      </c>
      <c r="H374" s="118">
        <v>644</v>
      </c>
      <c r="I374" s="118">
        <v>0</v>
      </c>
      <c r="J374" s="118">
        <v>0</v>
      </c>
      <c r="K374" s="118">
        <v>133</v>
      </c>
    </row>
    <row r="375" spans="1:11" x14ac:dyDescent="0.2">
      <c r="A375" t="s">
        <v>221</v>
      </c>
      <c r="B375" t="s">
        <v>221</v>
      </c>
      <c r="D375" s="129" t="str">
        <f>IF([1]RENAME!$H$3=1,B375,A375)</f>
        <v>Guriel</v>
      </c>
      <c r="E375" s="118">
        <v>0</v>
      </c>
      <c r="F375" s="118">
        <v>0</v>
      </c>
      <c r="G375" s="118">
        <v>0</v>
      </c>
      <c r="H375" s="118">
        <v>0</v>
      </c>
      <c r="I375" s="118">
        <v>0</v>
      </c>
      <c r="J375" s="118">
        <v>0</v>
      </c>
      <c r="K375" s="118">
        <v>45</v>
      </c>
    </row>
    <row r="376" spans="1:11" x14ac:dyDescent="0.2">
      <c r="A376" t="s">
        <v>476</v>
      </c>
      <c r="B376" t="s">
        <v>476</v>
      </c>
      <c r="D376" s="129" t="str">
        <f>IF([1]RENAME!$H$3=1,B376,A376)</f>
        <v>TLV</v>
      </c>
      <c r="E376" s="118">
        <v>42161</v>
      </c>
      <c r="F376" s="118">
        <v>11525</v>
      </c>
      <c r="G376" s="118">
        <v>30636</v>
      </c>
      <c r="H376" s="118">
        <v>0</v>
      </c>
      <c r="I376" s="118">
        <v>0</v>
      </c>
      <c r="J376" s="118">
        <v>0</v>
      </c>
      <c r="K376" s="118">
        <v>285</v>
      </c>
    </row>
    <row r="377" spans="1:11" x14ac:dyDescent="0.2">
      <c r="A377" t="s">
        <v>475</v>
      </c>
      <c r="B377" t="s">
        <v>924</v>
      </c>
      <c r="D377" s="126" t="str">
        <f>IF([1]RENAME!$H$3=1,B377,A377)</f>
        <v>31 de março de 2016</v>
      </c>
      <c r="E377" s="120">
        <f>SUM(E371:E376)</f>
        <v>311651</v>
      </c>
      <c r="F377" s="120">
        <f>SUM(F371:F376)</f>
        <v>71020</v>
      </c>
      <c r="G377" s="120">
        <f>SUM(G371:G376)</f>
        <v>240631</v>
      </c>
      <c r="H377" s="120">
        <f>SUM(H371:H376)</f>
        <v>33958</v>
      </c>
      <c r="I377" s="120"/>
      <c r="J377" s="120"/>
      <c r="K377" s="120">
        <f>SUM(K371:K376)</f>
        <v>823</v>
      </c>
    </row>
    <row r="379" spans="1:11" x14ac:dyDescent="0.2">
      <c r="A379" t="s">
        <v>213</v>
      </c>
      <c r="B379" t="s">
        <v>213</v>
      </c>
      <c r="D379" s="129" t="str">
        <f>IF([1]RENAME!$H$3=1,B379,A379)</f>
        <v>TCE</v>
      </c>
      <c r="E379" s="118">
        <v>108312</v>
      </c>
      <c r="F379" s="118">
        <v>24856</v>
      </c>
      <c r="G379" s="118">
        <v>83456</v>
      </c>
      <c r="H379" s="118">
        <v>103065</v>
      </c>
      <c r="I379" s="118">
        <v>0</v>
      </c>
      <c r="J379" s="118">
        <v>0</v>
      </c>
      <c r="K379" s="118">
        <v>1647</v>
      </c>
    </row>
    <row r="380" spans="1:11" x14ac:dyDescent="0.2">
      <c r="A380" t="s">
        <v>214</v>
      </c>
      <c r="B380" t="s">
        <v>214</v>
      </c>
      <c r="D380" s="129" t="str">
        <f>IF([1]RENAME!$H$3=1,B380,A380)</f>
        <v>TLI</v>
      </c>
      <c r="E380" s="118">
        <v>93094</v>
      </c>
      <c r="F380" s="118">
        <v>19455</v>
      </c>
      <c r="G380" s="118">
        <v>73639</v>
      </c>
      <c r="H380" s="118">
        <v>61462</v>
      </c>
      <c r="I380" s="118">
        <v>0</v>
      </c>
      <c r="J380" s="118">
        <v>0</v>
      </c>
      <c r="K380" s="118">
        <v>-15431</v>
      </c>
    </row>
    <row r="381" spans="1:11" x14ac:dyDescent="0.2">
      <c r="A381" t="s">
        <v>215</v>
      </c>
      <c r="B381" t="s">
        <v>215</v>
      </c>
      <c r="D381" s="129" t="str">
        <f>IF([1]RENAME!$H$3=1,B381,A381)</f>
        <v>Niyati</v>
      </c>
      <c r="E381" s="118">
        <v>46494</v>
      </c>
      <c r="F381" s="118">
        <v>12735</v>
      </c>
      <c r="G381" s="118">
        <v>33759</v>
      </c>
      <c r="H381" s="118">
        <v>0</v>
      </c>
      <c r="I381" s="118">
        <v>0</v>
      </c>
      <c r="J381" s="118">
        <v>0</v>
      </c>
      <c r="K381" s="118">
        <v>-35</v>
      </c>
    </row>
    <row r="382" spans="1:11" x14ac:dyDescent="0.2">
      <c r="A382" t="s">
        <v>218</v>
      </c>
      <c r="B382" t="s">
        <v>218</v>
      </c>
      <c r="D382" s="129" t="str">
        <f>IF([1]RENAME!$H$3=1,B382,A382)</f>
        <v>Tegmax</v>
      </c>
      <c r="E382" s="118">
        <v>14880</v>
      </c>
      <c r="F382" s="118">
        <v>320</v>
      </c>
      <c r="G382" s="118">
        <v>14560</v>
      </c>
      <c r="H382" s="118">
        <v>5236</v>
      </c>
      <c r="I382" s="118">
        <v>0</v>
      </c>
      <c r="J382" s="118">
        <v>0</v>
      </c>
      <c r="K382" s="118">
        <v>333</v>
      </c>
    </row>
    <row r="383" spans="1:11" x14ac:dyDescent="0.2">
      <c r="A383" t="s">
        <v>221</v>
      </c>
      <c r="B383" t="s">
        <v>221</v>
      </c>
      <c r="D383" s="129" t="str">
        <f>IF([1]RENAME!$H$3=1,B383,A383)</f>
        <v>Guriel</v>
      </c>
      <c r="E383" s="118">
        <v>41367</v>
      </c>
      <c r="F383" s="118">
        <v>11014</v>
      </c>
      <c r="G383" s="118">
        <v>30353</v>
      </c>
      <c r="H383" s="118">
        <v>0</v>
      </c>
      <c r="I383" s="118">
        <v>0</v>
      </c>
      <c r="J383" s="118">
        <v>0</v>
      </c>
      <c r="K383" s="118">
        <v>-1177</v>
      </c>
    </row>
    <row r="384" spans="1:11" x14ac:dyDescent="0.2">
      <c r="A384" t="s">
        <v>1499</v>
      </c>
      <c r="B384" t="s">
        <v>1498</v>
      </c>
      <c r="D384" s="126" t="str">
        <f>IF([1]RENAME!$H$3=1,B384,A384)</f>
        <v>31 de dezembro de 2015</v>
      </c>
      <c r="E384" s="120">
        <f>SUM(E379:E383)</f>
        <v>304147</v>
      </c>
      <c r="F384" s="120">
        <f>SUM(F379:F383)</f>
        <v>68380</v>
      </c>
      <c r="G384" s="120">
        <f>SUM(G379:G383)</f>
        <v>235767</v>
      </c>
      <c r="H384" s="120">
        <f>SUM(H379:H383)</f>
        <v>169763</v>
      </c>
      <c r="I384" s="120"/>
      <c r="J384" s="120"/>
      <c r="K384" s="120">
        <f>SUM(K379:K383)</f>
        <v>-14663</v>
      </c>
    </row>
    <row r="385" spans="1:11" x14ac:dyDescent="0.2">
      <c r="D385" s="182"/>
      <c r="E385" s="183"/>
      <c r="F385" s="183"/>
      <c r="G385" s="183"/>
      <c r="H385" s="183"/>
      <c r="I385" s="183"/>
      <c r="J385" s="183"/>
      <c r="K385" s="183"/>
    </row>
    <row r="386" spans="1:11" x14ac:dyDescent="0.2">
      <c r="A386" t="s">
        <v>213</v>
      </c>
      <c r="B386" t="s">
        <v>213</v>
      </c>
      <c r="D386" s="129" t="str">
        <f>IF([1]RENAME!$H$3=1,B386,A386)</f>
        <v>TCE</v>
      </c>
      <c r="E386" s="118">
        <v>104461</v>
      </c>
      <c r="F386" s="118">
        <v>21059</v>
      </c>
      <c r="G386" s="118">
        <v>83402</v>
      </c>
      <c r="H386" s="118">
        <v>78125</v>
      </c>
      <c r="I386" s="118">
        <v>0</v>
      </c>
      <c r="J386" s="118">
        <v>0</v>
      </c>
      <c r="K386" s="118">
        <v>1593</v>
      </c>
    </row>
    <row r="387" spans="1:11" x14ac:dyDescent="0.2">
      <c r="A387" t="s">
        <v>214</v>
      </c>
      <c r="B387" t="s">
        <v>214</v>
      </c>
      <c r="D387" s="129" t="str">
        <f>IF([1]RENAME!$H$3=1,B387,A387)</f>
        <v>TLI</v>
      </c>
      <c r="E387" s="118">
        <v>92629</v>
      </c>
      <c r="F387" s="118">
        <v>11962</v>
      </c>
      <c r="G387" s="118">
        <v>80667</v>
      </c>
      <c r="H387" s="118">
        <v>44179</v>
      </c>
      <c r="I387" s="118">
        <v>0</v>
      </c>
      <c r="J387" s="118">
        <v>0</v>
      </c>
      <c r="K387" s="118">
        <v>-8403</v>
      </c>
    </row>
    <row r="388" spans="1:11" x14ac:dyDescent="0.2">
      <c r="A388" t="s">
        <v>215</v>
      </c>
      <c r="B388" t="s">
        <v>215</v>
      </c>
      <c r="D388" s="129" t="str">
        <f>IF([1]RENAME!$H$3=1,B388,A388)</f>
        <v>Niyati</v>
      </c>
      <c r="E388" s="118">
        <v>40879</v>
      </c>
      <c r="F388" s="118">
        <v>12012</v>
      </c>
      <c r="G388" s="118">
        <v>28867</v>
      </c>
      <c r="H388" s="118">
        <v>0</v>
      </c>
      <c r="I388" s="118">
        <v>0</v>
      </c>
      <c r="J388" s="118">
        <v>0</v>
      </c>
      <c r="K388" s="118">
        <v>-68</v>
      </c>
    </row>
    <row r="389" spans="1:11" x14ac:dyDescent="0.2">
      <c r="A389" t="s">
        <v>218</v>
      </c>
      <c r="B389" t="s">
        <v>218</v>
      </c>
      <c r="D389" s="129" t="str">
        <f>IF([1]RENAME!$H$3=1,B389,A389)</f>
        <v>Tegmax</v>
      </c>
      <c r="E389" s="118">
        <v>16075</v>
      </c>
      <c r="F389" s="118">
        <v>451</v>
      </c>
      <c r="G389" s="118">
        <v>15624</v>
      </c>
      <c r="H389" s="118">
        <v>4557</v>
      </c>
      <c r="I389" s="118">
        <v>0</v>
      </c>
      <c r="J389" s="118">
        <v>0</v>
      </c>
      <c r="K389" s="118">
        <v>1397</v>
      </c>
    </row>
    <row r="390" spans="1:11" x14ac:dyDescent="0.2">
      <c r="A390" t="s">
        <v>221</v>
      </c>
      <c r="B390" t="s">
        <v>221</v>
      </c>
      <c r="D390" s="129" t="str">
        <f>IF([1]RENAME!$H$3=1,B390,A390)</f>
        <v>Guriel</v>
      </c>
      <c r="E390" s="118">
        <v>41298</v>
      </c>
      <c r="F390" s="118">
        <v>10656</v>
      </c>
      <c r="G390" s="118">
        <v>30642</v>
      </c>
      <c r="H390" s="118">
        <v>0</v>
      </c>
      <c r="I390" s="118">
        <v>0</v>
      </c>
      <c r="J390" s="118">
        <v>0</v>
      </c>
      <c r="K390" s="118">
        <v>-888</v>
      </c>
    </row>
    <row r="391" spans="1:11" x14ac:dyDescent="0.2">
      <c r="A391" t="s">
        <v>384</v>
      </c>
      <c r="B391" t="s">
        <v>925</v>
      </c>
      <c r="D391" s="126" t="str">
        <f>IF([1]RENAME!$H$3=1,B391,A391)</f>
        <v>30 de setembro de 2015</v>
      </c>
      <c r="E391" s="120">
        <f>SUM(E386:E390)</f>
        <v>295342</v>
      </c>
      <c r="F391" s="120">
        <f>SUM(F386:F390)</f>
        <v>56140</v>
      </c>
      <c r="G391" s="120">
        <f>SUM(G386:G390)</f>
        <v>239202</v>
      </c>
      <c r="H391" s="120">
        <f>SUM(H386:H390)</f>
        <v>126861</v>
      </c>
      <c r="I391" s="120"/>
      <c r="J391" s="120"/>
      <c r="K391" s="120">
        <f>SUM(K386:K390)</f>
        <v>-6369</v>
      </c>
    </row>
    <row r="392" spans="1:11" x14ac:dyDescent="0.2">
      <c r="D392" s="182"/>
      <c r="E392" s="183"/>
      <c r="F392" s="183"/>
      <c r="G392" s="183"/>
      <c r="H392" s="183"/>
      <c r="I392" s="183"/>
      <c r="J392" s="183"/>
      <c r="K392" s="183"/>
    </row>
    <row r="393" spans="1:11" x14ac:dyDescent="0.2">
      <c r="A393" t="s">
        <v>213</v>
      </c>
      <c r="B393" t="s">
        <v>213</v>
      </c>
      <c r="D393" s="129" t="str">
        <f>IF([1]RENAME!$H$3=1,B393,A393)</f>
        <v>TCE</v>
      </c>
      <c r="E393" s="118">
        <v>104832</v>
      </c>
      <c r="F393" s="118">
        <v>20973</v>
      </c>
      <c r="G393" s="118">
        <v>83859</v>
      </c>
      <c r="H393" s="118">
        <v>51369</v>
      </c>
      <c r="I393" s="118">
        <v>0</v>
      </c>
      <c r="J393" s="118">
        <v>0</v>
      </c>
      <c r="K393" s="118">
        <v>2050</v>
      </c>
    </row>
    <row r="394" spans="1:11" x14ac:dyDescent="0.2">
      <c r="A394" t="s">
        <v>214</v>
      </c>
      <c r="B394" t="s">
        <v>214</v>
      </c>
      <c r="D394" s="129" t="str">
        <f>IF([1]RENAME!$H$3=1,B394,A394)</f>
        <v>TLI</v>
      </c>
      <c r="E394" s="118">
        <v>98521</v>
      </c>
      <c r="F394" s="118">
        <v>16406</v>
      </c>
      <c r="G394" s="118">
        <v>82115</v>
      </c>
      <c r="H394" s="118">
        <v>27983</v>
      </c>
      <c r="I394" s="118">
        <v>0</v>
      </c>
      <c r="J394" s="118">
        <v>0</v>
      </c>
      <c r="K394" s="118">
        <v>-6955</v>
      </c>
    </row>
    <row r="395" spans="1:11" x14ac:dyDescent="0.2">
      <c r="A395" t="s">
        <v>215</v>
      </c>
      <c r="B395" t="s">
        <v>215</v>
      </c>
      <c r="D395" s="129" t="str">
        <f>IF([1]RENAME!$H$3=1,B395,A395)</f>
        <v>Niyati</v>
      </c>
      <c r="E395" s="118">
        <v>29639</v>
      </c>
      <c r="F395" s="118">
        <v>6394</v>
      </c>
      <c r="G395" s="118">
        <v>23245</v>
      </c>
      <c r="H395" s="118">
        <v>0</v>
      </c>
      <c r="I395" s="118">
        <v>0</v>
      </c>
      <c r="J395" s="118">
        <v>0</v>
      </c>
      <c r="K395" s="118">
        <v>-17</v>
      </c>
    </row>
    <row r="396" spans="1:11" x14ac:dyDescent="0.2">
      <c r="A396" t="s">
        <v>218</v>
      </c>
      <c r="B396" t="s">
        <v>218</v>
      </c>
      <c r="D396" s="129" t="str">
        <f>IF([1]RENAME!$H$3=1,B396,A396)</f>
        <v>Tegmax</v>
      </c>
      <c r="E396" s="118">
        <v>15628</v>
      </c>
      <c r="F396" s="118">
        <v>347</v>
      </c>
      <c r="G396" s="118">
        <v>15281</v>
      </c>
      <c r="H396" s="118">
        <v>3168</v>
      </c>
      <c r="I396" s="118">
        <v>0</v>
      </c>
      <c r="J396" s="118">
        <v>0</v>
      </c>
      <c r="K396" s="118">
        <v>1054</v>
      </c>
    </row>
    <row r="397" spans="1:11" x14ac:dyDescent="0.2">
      <c r="A397" t="s">
        <v>221</v>
      </c>
      <c r="B397" t="s">
        <v>221</v>
      </c>
      <c r="D397" s="129" t="str">
        <f>IF([1]RENAME!$H$3=1,B397,A397)</f>
        <v>Guriel</v>
      </c>
      <c r="E397" s="118">
        <v>41407</v>
      </c>
      <c r="F397" s="118">
        <v>10283</v>
      </c>
      <c r="G397" s="118">
        <v>31124</v>
      </c>
      <c r="H397" s="118">
        <v>0</v>
      </c>
      <c r="I397" s="118">
        <v>0</v>
      </c>
      <c r="J397" s="118">
        <v>0</v>
      </c>
      <c r="K397" s="118">
        <v>-406</v>
      </c>
    </row>
    <row r="398" spans="1:11" x14ac:dyDescent="0.2">
      <c r="A398" t="s">
        <v>178</v>
      </c>
      <c r="B398" t="s">
        <v>926</v>
      </c>
      <c r="D398" s="126" t="str">
        <f>IF([1]RENAME!$H$3=1,B398,A398)</f>
        <v>30 de junho de 2015</v>
      </c>
      <c r="E398" s="120">
        <f>SUM(E393:E397)</f>
        <v>290027</v>
      </c>
      <c r="F398" s="120">
        <f>SUM(F393:F397)</f>
        <v>54403</v>
      </c>
      <c r="G398" s="120">
        <f>SUM(G393:G397)</f>
        <v>235624</v>
      </c>
      <c r="H398" s="120">
        <f>SUM(H393:H397)</f>
        <v>82520</v>
      </c>
      <c r="I398" s="120"/>
      <c r="J398" s="120"/>
      <c r="K398" s="120">
        <f>SUM(K393:K397)</f>
        <v>-4274</v>
      </c>
    </row>
    <row r="399" spans="1:11" x14ac:dyDescent="0.2">
      <c r="E399" s="91"/>
      <c r="F399" s="91"/>
      <c r="G399" s="91"/>
      <c r="H399" s="91"/>
      <c r="I399" s="91"/>
      <c r="J399" s="91"/>
      <c r="K399" s="90"/>
    </row>
    <row r="400" spans="1:11" x14ac:dyDescent="0.2">
      <c r="A400" t="s">
        <v>213</v>
      </c>
      <c r="B400" t="s">
        <v>213</v>
      </c>
      <c r="D400" s="129" t="str">
        <f>IF([1]RENAME!$H$3=1,B400,A400)</f>
        <v>TCE</v>
      </c>
      <c r="E400" s="118">
        <v>102800</v>
      </c>
      <c r="F400" s="118">
        <v>19220</v>
      </c>
      <c r="G400" s="118">
        <v>83580</v>
      </c>
      <c r="H400" s="118">
        <v>24529</v>
      </c>
      <c r="I400" s="118">
        <v>0</v>
      </c>
      <c r="J400" s="118">
        <v>0</v>
      </c>
      <c r="K400" s="118">
        <v>1771</v>
      </c>
    </row>
    <row r="401" spans="1:11" x14ac:dyDescent="0.2">
      <c r="A401" t="s">
        <v>214</v>
      </c>
      <c r="B401" t="s">
        <v>214</v>
      </c>
      <c r="D401" s="129" t="str">
        <f>IF([1]RENAME!$H$3=1,B401,A401)</f>
        <v>TLI</v>
      </c>
      <c r="E401" s="118">
        <v>99281</v>
      </c>
      <c r="F401" s="118">
        <v>11885</v>
      </c>
      <c r="G401" s="118">
        <v>87396</v>
      </c>
      <c r="H401" s="118">
        <v>14118</v>
      </c>
      <c r="I401" s="118">
        <v>0</v>
      </c>
      <c r="J401" s="118">
        <v>0</v>
      </c>
      <c r="K401" s="118">
        <v>-1674</v>
      </c>
    </row>
    <row r="402" spans="1:11" x14ac:dyDescent="0.2">
      <c r="A402" t="s">
        <v>215</v>
      </c>
      <c r="B402" t="s">
        <v>215</v>
      </c>
      <c r="D402" s="129" t="str">
        <f>IF([1]RENAME!$H$3=1,B402,A402)</f>
        <v>Niyati</v>
      </c>
      <c r="E402" s="118">
        <v>22239</v>
      </c>
      <c r="F402" s="118">
        <v>531</v>
      </c>
      <c r="G402" s="118">
        <v>21708</v>
      </c>
      <c r="H402" s="118">
        <v>0</v>
      </c>
      <c r="I402" s="118">
        <v>0</v>
      </c>
      <c r="J402" s="118">
        <v>0</v>
      </c>
      <c r="K402" s="118">
        <v>-16</v>
      </c>
    </row>
    <row r="403" spans="1:11" x14ac:dyDescent="0.2">
      <c r="A403" t="s">
        <v>218</v>
      </c>
      <c r="B403" t="s">
        <v>218</v>
      </c>
      <c r="D403" s="129" t="str">
        <f>IF([1]RENAME!$H$3=1,B403,A403)</f>
        <v>Tegmax</v>
      </c>
      <c r="E403" s="118">
        <v>15668</v>
      </c>
      <c r="F403" s="118">
        <v>772</v>
      </c>
      <c r="G403" s="118">
        <v>14896</v>
      </c>
      <c r="H403" s="118">
        <v>2342</v>
      </c>
      <c r="I403" s="118">
        <v>0</v>
      </c>
      <c r="J403" s="118">
        <v>0</v>
      </c>
      <c r="K403" s="118">
        <v>710</v>
      </c>
    </row>
    <row r="404" spans="1:11" x14ac:dyDescent="0.2">
      <c r="A404" t="s">
        <v>221</v>
      </c>
      <c r="B404" t="s">
        <v>221</v>
      </c>
      <c r="D404" s="129" t="str">
        <f>IF([1]RENAME!$H$3=1,B404,A404)</f>
        <v>Guriel</v>
      </c>
      <c r="E404" s="118">
        <v>41246</v>
      </c>
      <c r="F404" s="118">
        <v>9981</v>
      </c>
      <c r="G404" s="118">
        <v>31265</v>
      </c>
      <c r="H404" s="118">
        <v>0</v>
      </c>
      <c r="I404" s="118">
        <v>0</v>
      </c>
      <c r="J404" s="118">
        <v>0</v>
      </c>
      <c r="K404" s="118">
        <v>-265</v>
      </c>
    </row>
    <row r="405" spans="1:11" x14ac:dyDescent="0.2">
      <c r="A405" t="s">
        <v>177</v>
      </c>
      <c r="B405" t="s">
        <v>927</v>
      </c>
      <c r="D405" s="126" t="str">
        <f>IF([1]RENAME!$H$3=1,B405,A405)</f>
        <v>31 de março de 2015</v>
      </c>
      <c r="E405" s="120">
        <f>SUM(E400:E404)</f>
        <v>281234</v>
      </c>
      <c r="F405" s="120">
        <f>SUM(F400:F404)</f>
        <v>42389</v>
      </c>
      <c r="G405" s="120">
        <f>SUM(G400:G404)</f>
        <v>238845</v>
      </c>
      <c r="H405" s="120">
        <f>SUM(H400:H404)</f>
        <v>40989</v>
      </c>
      <c r="I405" s="120"/>
      <c r="J405" s="120"/>
      <c r="K405" s="120">
        <f>SUM(K400:K404)</f>
        <v>526</v>
      </c>
    </row>
    <row r="406" spans="1:11" x14ac:dyDescent="0.2">
      <c r="E406" s="91"/>
      <c r="F406" s="91"/>
      <c r="G406" s="91"/>
      <c r="H406" s="91"/>
      <c r="I406" s="91"/>
      <c r="J406" s="91"/>
      <c r="K406" s="90"/>
    </row>
    <row r="407" spans="1:11" x14ac:dyDescent="0.2">
      <c r="A407" t="s">
        <v>213</v>
      </c>
      <c r="B407" t="s">
        <v>213</v>
      </c>
      <c r="D407" s="129" t="str">
        <f>IF([1]RENAME!$H$3=1,B407,A407)</f>
        <v>TCE</v>
      </c>
      <c r="E407" s="118">
        <v>101309</v>
      </c>
      <c r="F407" s="118">
        <v>19500</v>
      </c>
      <c r="G407" s="118">
        <v>81809</v>
      </c>
      <c r="H407" s="118">
        <v>98741</v>
      </c>
      <c r="I407" s="118">
        <v>0</v>
      </c>
      <c r="J407" s="118">
        <v>0</v>
      </c>
      <c r="K407" s="118">
        <v>11551</v>
      </c>
    </row>
    <row r="408" spans="1:11" x14ac:dyDescent="0.2">
      <c r="A408" t="s">
        <v>214</v>
      </c>
      <c r="B408" t="s">
        <v>214</v>
      </c>
      <c r="D408" s="129" t="str">
        <f>IF([1]RENAME!$H$3=1,B408,A408)</f>
        <v>TLI</v>
      </c>
      <c r="E408" s="118">
        <v>101066</v>
      </c>
      <c r="F408" s="118">
        <v>11996</v>
      </c>
      <c r="G408" s="118">
        <v>89070</v>
      </c>
      <c r="H408" s="118">
        <v>69602</v>
      </c>
      <c r="I408" s="118">
        <v>0</v>
      </c>
      <c r="J408" s="118">
        <v>0</v>
      </c>
      <c r="K408" s="118">
        <v>-6564</v>
      </c>
    </row>
    <row r="409" spans="1:11" x14ac:dyDescent="0.2">
      <c r="A409" t="s">
        <v>215</v>
      </c>
      <c r="B409" t="s">
        <v>215</v>
      </c>
      <c r="D409" s="129" t="str">
        <f>IF([1]RENAME!$H$3=1,B409,A409)</f>
        <v>Niyati</v>
      </c>
      <c r="E409" s="118">
        <v>22239</v>
      </c>
      <c r="F409" s="118">
        <v>619</v>
      </c>
      <c r="G409" s="118">
        <v>21620</v>
      </c>
      <c r="H409" s="118">
        <v>0</v>
      </c>
      <c r="I409" s="118">
        <v>0</v>
      </c>
      <c r="J409" s="118">
        <v>0</v>
      </c>
      <c r="K409" s="118">
        <v>-61</v>
      </c>
    </row>
    <row r="410" spans="1:11" x14ac:dyDescent="0.2">
      <c r="A410" t="s">
        <v>218</v>
      </c>
      <c r="B410" t="s">
        <v>218</v>
      </c>
      <c r="D410" s="129" t="str">
        <f>IF([1]RENAME!$H$3=1,B410,A410)</f>
        <v>Tegmax</v>
      </c>
      <c r="E410" s="118">
        <v>14743</v>
      </c>
      <c r="F410" s="118">
        <v>480</v>
      </c>
      <c r="G410" s="118">
        <v>14263</v>
      </c>
      <c r="H410" s="118">
        <v>12592</v>
      </c>
      <c r="I410" s="118">
        <v>0</v>
      </c>
      <c r="J410" s="118">
        <v>0</v>
      </c>
      <c r="K410" s="118">
        <v>3125</v>
      </c>
    </row>
    <row r="411" spans="1:11" x14ac:dyDescent="0.2">
      <c r="A411" t="s">
        <v>221</v>
      </c>
      <c r="B411" t="s">
        <v>221</v>
      </c>
      <c r="D411" s="129" t="str">
        <f>IF([1]RENAME!$H$3=1,B411,A411)</f>
        <v>Guriel</v>
      </c>
      <c r="E411" s="118">
        <v>41239</v>
      </c>
      <c r="F411" s="118">
        <v>9709</v>
      </c>
      <c r="G411" s="118">
        <v>31530</v>
      </c>
      <c r="H411" s="118">
        <v>0</v>
      </c>
      <c r="I411" s="118">
        <v>0</v>
      </c>
      <c r="J411" s="118">
        <v>0</v>
      </c>
      <c r="K411" s="118">
        <v>-6495</v>
      </c>
    </row>
    <row r="412" spans="1:11" x14ac:dyDescent="0.2">
      <c r="A412" t="s">
        <v>176</v>
      </c>
      <c r="B412" t="s">
        <v>928</v>
      </c>
      <c r="D412" s="126" t="str">
        <f>IF([1]RENAME!$H$3=1,B412,A412)</f>
        <v>31 de dezembro de 2014</v>
      </c>
      <c r="E412" s="120">
        <f>SUM(E407:E411)</f>
        <v>280596</v>
      </c>
      <c r="F412" s="120">
        <f>SUM(F407:F411)</f>
        <v>42304</v>
      </c>
      <c r="G412" s="120">
        <f>SUM(G407:G411)</f>
        <v>238292</v>
      </c>
      <c r="H412" s="120">
        <f>SUM(H407:H411)</f>
        <v>180935</v>
      </c>
      <c r="I412" s="120"/>
      <c r="J412" s="120"/>
      <c r="K412" s="120">
        <f>SUM(K407:K411)</f>
        <v>1556</v>
      </c>
    </row>
    <row r="413" spans="1:11" x14ac:dyDescent="0.2">
      <c r="E413" s="91"/>
      <c r="F413" s="91"/>
      <c r="G413" s="91"/>
      <c r="H413" s="91"/>
      <c r="I413" s="91"/>
      <c r="J413" s="91"/>
      <c r="K413" s="90"/>
    </row>
    <row r="414" spans="1:11" x14ac:dyDescent="0.2">
      <c r="A414" t="s">
        <v>213</v>
      </c>
      <c r="B414" t="s">
        <v>213</v>
      </c>
      <c r="D414" s="129" t="str">
        <f>IF([1]RENAME!$H$3=1,B414,A414)</f>
        <v>TCE</v>
      </c>
      <c r="E414" s="118">
        <v>70161</v>
      </c>
      <c r="F414" s="118">
        <v>21423</v>
      </c>
      <c r="G414" s="118">
        <v>48738</v>
      </c>
      <c r="H414" s="118">
        <v>73853</v>
      </c>
      <c r="I414" s="118">
        <v>0</v>
      </c>
      <c r="J414" s="118">
        <v>0</v>
      </c>
      <c r="K414" s="118">
        <v>11840</v>
      </c>
    </row>
    <row r="415" spans="1:11" x14ac:dyDescent="0.2">
      <c r="A415" t="s">
        <v>214</v>
      </c>
      <c r="B415" t="s">
        <v>214</v>
      </c>
      <c r="D415" s="129" t="str">
        <f>IF([1]RENAME!$H$3=1,B415,A415)</f>
        <v>TLI</v>
      </c>
      <c r="E415" s="118">
        <v>72883</v>
      </c>
      <c r="F415" s="118">
        <v>11536</v>
      </c>
      <c r="G415" s="118">
        <v>61347</v>
      </c>
      <c r="H415" s="118">
        <v>51817</v>
      </c>
      <c r="I415" s="118">
        <v>0</v>
      </c>
      <c r="J415" s="118">
        <v>0</v>
      </c>
      <c r="K415" s="118">
        <v>-4286</v>
      </c>
    </row>
    <row r="416" spans="1:11" x14ac:dyDescent="0.2">
      <c r="A416" t="s">
        <v>215</v>
      </c>
      <c r="B416" t="s">
        <v>215</v>
      </c>
      <c r="D416" s="129" t="str">
        <f>IF([1]RENAME!$H$3=1,B416,A416)</f>
        <v>Niyati</v>
      </c>
      <c r="E416" s="118">
        <v>22239</v>
      </c>
      <c r="F416" s="118">
        <v>619</v>
      </c>
      <c r="G416" s="118">
        <v>21620</v>
      </c>
      <c r="H416" s="118">
        <v>0</v>
      </c>
      <c r="I416" s="118">
        <v>0</v>
      </c>
      <c r="J416" s="118">
        <v>0</v>
      </c>
      <c r="K416" s="118">
        <v>-54</v>
      </c>
    </row>
    <row r="417" spans="1:11" x14ac:dyDescent="0.2">
      <c r="A417" t="s">
        <v>218</v>
      </c>
      <c r="B417" t="s">
        <v>218</v>
      </c>
      <c r="D417" s="129" t="str">
        <f>IF([1]RENAME!$H$3=1,B417,A417)</f>
        <v>Tegmax</v>
      </c>
      <c r="E417" s="118">
        <v>14780</v>
      </c>
      <c r="F417" s="118">
        <v>882</v>
      </c>
      <c r="G417" s="118">
        <v>13898</v>
      </c>
      <c r="H417" s="118">
        <v>9926</v>
      </c>
      <c r="I417" s="118">
        <v>0</v>
      </c>
      <c r="J417" s="118">
        <v>0</v>
      </c>
      <c r="K417" s="118">
        <v>2759</v>
      </c>
    </row>
    <row r="418" spans="1:11" x14ac:dyDescent="0.2">
      <c r="A418" t="s">
        <v>221</v>
      </c>
      <c r="B418" t="s">
        <v>221</v>
      </c>
      <c r="D418" s="129" t="str">
        <f>IF([1]RENAME!$H$3=1,B418,A418)</f>
        <v>Guriel</v>
      </c>
      <c r="E418" s="118">
        <v>44869</v>
      </c>
      <c r="F418" s="118">
        <v>13229</v>
      </c>
      <c r="G418" s="118">
        <v>31640</v>
      </c>
      <c r="H418" s="118">
        <v>0</v>
      </c>
      <c r="I418" s="118">
        <v>0</v>
      </c>
      <c r="J418" s="118">
        <v>0</v>
      </c>
      <c r="K418" s="118">
        <v>-6385</v>
      </c>
    </row>
    <row r="419" spans="1:11" x14ac:dyDescent="0.2">
      <c r="A419" t="s">
        <v>175</v>
      </c>
      <c r="B419" t="s">
        <v>929</v>
      </c>
      <c r="D419" s="126" t="str">
        <f>IF([1]RENAME!$H$3=1,B419,A419)</f>
        <v>30 de setembro de 2014</v>
      </c>
      <c r="E419" s="120">
        <f>SUM(E414:E418)</f>
        <v>224932</v>
      </c>
      <c r="F419" s="120">
        <f>SUM(F414:F418)</f>
        <v>47689</v>
      </c>
      <c r="G419" s="120">
        <f>SUM(G414:G418)</f>
        <v>177243</v>
      </c>
      <c r="H419" s="120">
        <f>SUM(H414:H418)</f>
        <v>135596</v>
      </c>
      <c r="I419" s="120"/>
      <c r="J419" s="120"/>
      <c r="K419" s="120">
        <f>SUM(K414:K418)</f>
        <v>3874</v>
      </c>
    </row>
    <row r="420" spans="1:11" x14ac:dyDescent="0.2">
      <c r="E420" s="91"/>
      <c r="F420" s="91"/>
      <c r="G420" s="91"/>
      <c r="H420" s="91"/>
      <c r="I420" s="91"/>
      <c r="J420" s="91"/>
      <c r="K420" s="90"/>
    </row>
    <row r="421" spans="1:11" x14ac:dyDescent="0.2">
      <c r="A421" t="s">
        <v>130</v>
      </c>
      <c r="B421" t="s">
        <v>130</v>
      </c>
      <c r="D421" s="129" t="str">
        <f>IF([1]RENAME!$H$3=1,B421,A421)</f>
        <v>Direct</v>
      </c>
      <c r="E421" s="118">
        <v>0</v>
      </c>
      <c r="F421" s="118">
        <v>1</v>
      </c>
      <c r="G421" s="118">
        <v>0</v>
      </c>
      <c r="H421" s="118">
        <v>0</v>
      </c>
      <c r="I421" s="118">
        <v>0</v>
      </c>
      <c r="J421" s="118">
        <v>0</v>
      </c>
      <c r="K421" s="118">
        <v>0</v>
      </c>
    </row>
    <row r="422" spans="1:11" x14ac:dyDescent="0.2">
      <c r="A422" t="s">
        <v>213</v>
      </c>
      <c r="B422" t="s">
        <v>213</v>
      </c>
      <c r="D422" s="129" t="str">
        <f>IF([1]RENAME!$H$3=1,B422,A422)</f>
        <v>TCE</v>
      </c>
      <c r="E422" s="118">
        <v>0</v>
      </c>
      <c r="F422" s="118">
        <v>230</v>
      </c>
      <c r="G422" s="118">
        <v>-9815</v>
      </c>
      <c r="H422" s="118">
        <v>40032</v>
      </c>
      <c r="I422" s="118">
        <v>0</v>
      </c>
      <c r="J422" s="118">
        <v>0</v>
      </c>
      <c r="K422" s="118">
        <v>0</v>
      </c>
    </row>
    <row r="423" spans="1:11" x14ac:dyDescent="0.2">
      <c r="A423" t="s">
        <v>214</v>
      </c>
      <c r="B423" t="s">
        <v>214</v>
      </c>
      <c r="D423" s="129" t="str">
        <f>IF([1]RENAME!$H$3=1,B423,A423)</f>
        <v>TLI</v>
      </c>
      <c r="E423" s="118">
        <v>0</v>
      </c>
      <c r="F423" s="118">
        <v>0</v>
      </c>
      <c r="G423" s="118">
        <v>0</v>
      </c>
      <c r="H423" s="118">
        <v>0</v>
      </c>
      <c r="I423" s="118">
        <v>0</v>
      </c>
      <c r="J423" s="118">
        <v>0</v>
      </c>
      <c r="K423" s="118">
        <v>5597</v>
      </c>
    </row>
    <row r="424" spans="1:11" x14ac:dyDescent="0.2">
      <c r="A424" t="s">
        <v>215</v>
      </c>
      <c r="B424" t="s">
        <v>215</v>
      </c>
      <c r="D424" s="129" t="str">
        <f>IF([1]RENAME!$H$3=1,B424,A424)</f>
        <v>Niyati</v>
      </c>
      <c r="E424" s="118">
        <v>-1</v>
      </c>
      <c r="F424" s="118">
        <v>0</v>
      </c>
      <c r="G424" s="118">
        <v>0</v>
      </c>
      <c r="H424" s="118">
        <v>0</v>
      </c>
      <c r="I424" s="118">
        <v>0</v>
      </c>
      <c r="J424" s="118">
        <v>0</v>
      </c>
      <c r="K424" s="118">
        <v>0</v>
      </c>
    </row>
    <row r="425" spans="1:11" x14ac:dyDescent="0.2">
      <c r="A425" t="s">
        <v>218</v>
      </c>
      <c r="B425" t="s">
        <v>218</v>
      </c>
      <c r="D425" s="129" t="str">
        <f>IF([1]RENAME!$H$3=1,B425,A425)</f>
        <v>Tegmax</v>
      </c>
      <c r="E425" s="118">
        <v>0</v>
      </c>
      <c r="F425" s="118">
        <v>2862</v>
      </c>
      <c r="G425" s="118">
        <v>-21120</v>
      </c>
      <c r="H425" s="118">
        <v>21018</v>
      </c>
      <c r="I425" s="118">
        <v>0</v>
      </c>
      <c r="J425" s="118">
        <v>0</v>
      </c>
      <c r="K425" s="118">
        <v>1</v>
      </c>
    </row>
    <row r="426" spans="1:11" x14ac:dyDescent="0.2">
      <c r="A426" t="s">
        <v>221</v>
      </c>
      <c r="B426" t="s">
        <v>221</v>
      </c>
      <c r="D426" s="129" t="str">
        <f>IF([1]RENAME!$H$3=1,B426,A426)</f>
        <v>Guriel</v>
      </c>
      <c r="E426" s="118">
        <v>1</v>
      </c>
      <c r="F426" s="118">
        <v>0</v>
      </c>
      <c r="G426" s="118">
        <v>1</v>
      </c>
      <c r="H426" s="118">
        <v>59251</v>
      </c>
      <c r="I426" s="118">
        <v>0</v>
      </c>
      <c r="J426" s="118">
        <v>0</v>
      </c>
      <c r="K426" s="118">
        <v>0</v>
      </c>
    </row>
    <row r="427" spans="1:11" x14ac:dyDescent="0.2">
      <c r="A427" t="s">
        <v>174</v>
      </c>
      <c r="B427" t="s">
        <v>930</v>
      </c>
      <c r="D427" s="126" t="str">
        <f>IF([1]RENAME!$H$3=1,B427,A427)</f>
        <v>30 de junho de 2014</v>
      </c>
      <c r="E427" s="120">
        <f>SUM(E421:E426)</f>
        <v>0</v>
      </c>
      <c r="F427" s="120">
        <f>SUM(F421:F426)</f>
        <v>3093</v>
      </c>
      <c r="G427" s="120">
        <f>SUM(G421:G426)</f>
        <v>-30934</v>
      </c>
      <c r="H427" s="120">
        <f>SUM(H421:H426)</f>
        <v>120301</v>
      </c>
      <c r="I427" s="120"/>
      <c r="J427" s="120"/>
      <c r="K427" s="120">
        <f>SUM(K421:K426)</f>
        <v>5598</v>
      </c>
    </row>
    <row r="428" spans="1:11" x14ac:dyDescent="0.2">
      <c r="E428" s="91"/>
      <c r="F428" s="91"/>
      <c r="G428" s="91"/>
      <c r="H428" s="91"/>
      <c r="I428" s="91"/>
      <c r="J428" s="91"/>
      <c r="K428" s="90"/>
    </row>
    <row r="429" spans="1:11" x14ac:dyDescent="0.2">
      <c r="A429" t="s">
        <v>235</v>
      </c>
      <c r="B429" t="s">
        <v>235</v>
      </c>
      <c r="D429" s="129" t="str">
        <f>IF([1]RENAME!$H$3=1,B429,A429)</f>
        <v>Direct (Consolidado)</v>
      </c>
      <c r="E429" s="118">
        <v>268287</v>
      </c>
      <c r="F429" s="118">
        <v>264341</v>
      </c>
      <c r="G429" s="118">
        <v>3946</v>
      </c>
      <c r="H429" s="118">
        <v>51117</v>
      </c>
      <c r="I429" s="118">
        <v>0</v>
      </c>
      <c r="J429" s="118">
        <v>0</v>
      </c>
      <c r="K429" s="118">
        <v>-11994</v>
      </c>
    </row>
    <row r="430" spans="1:11" x14ac:dyDescent="0.2">
      <c r="A430" t="s">
        <v>213</v>
      </c>
      <c r="B430" t="s">
        <v>213</v>
      </c>
      <c r="D430" s="129" t="str">
        <f>IF([1]RENAME!$H$3=1,B430,A430)</f>
        <v>TCE</v>
      </c>
      <c r="E430" s="118">
        <v>62431</v>
      </c>
      <c r="F430" s="118">
        <v>29093</v>
      </c>
      <c r="G430" s="118">
        <v>33338</v>
      </c>
      <c r="H430" s="118">
        <v>25524</v>
      </c>
      <c r="I430" s="118">
        <v>0</v>
      </c>
      <c r="J430" s="118">
        <v>0</v>
      </c>
      <c r="K430" s="118">
        <v>3440</v>
      </c>
    </row>
    <row r="431" spans="1:11" x14ac:dyDescent="0.2">
      <c r="A431" t="s">
        <v>214</v>
      </c>
      <c r="B431" t="s">
        <v>214</v>
      </c>
      <c r="D431" s="129" t="str">
        <f>IF([1]RENAME!$H$3=1,B431,A431)</f>
        <v>TLI</v>
      </c>
      <c r="E431" s="118">
        <v>76779</v>
      </c>
      <c r="F431" s="118">
        <v>14396</v>
      </c>
      <c r="G431" s="118">
        <v>62383</v>
      </c>
      <c r="H431" s="118">
        <v>15839</v>
      </c>
      <c r="I431" s="118">
        <v>0</v>
      </c>
      <c r="J431" s="118">
        <v>0</v>
      </c>
      <c r="K431" s="118">
        <v>-3253</v>
      </c>
    </row>
    <row r="432" spans="1:11" x14ac:dyDescent="0.2">
      <c r="A432" t="s">
        <v>215</v>
      </c>
      <c r="B432" t="s">
        <v>215</v>
      </c>
      <c r="D432" s="129" t="str">
        <f>IF([1]RENAME!$H$3=1,B432,A432)</f>
        <v>Niyati</v>
      </c>
      <c r="E432" s="118">
        <v>21597</v>
      </c>
      <c r="F432" s="118">
        <v>1628</v>
      </c>
      <c r="G432" s="118">
        <v>19969</v>
      </c>
      <c r="H432" s="118">
        <v>0</v>
      </c>
      <c r="I432" s="118">
        <v>0</v>
      </c>
      <c r="J432" s="118">
        <v>0</v>
      </c>
      <c r="K432" s="118">
        <v>0</v>
      </c>
    </row>
    <row r="433" spans="1:11" x14ac:dyDescent="0.2">
      <c r="A433" t="s">
        <v>218</v>
      </c>
      <c r="B433" t="s">
        <v>218</v>
      </c>
      <c r="D433" s="129" t="str">
        <f>IF([1]RENAME!$H$3=1,B433,A433)</f>
        <v>Tegmax</v>
      </c>
      <c r="E433" s="118">
        <v>13567</v>
      </c>
      <c r="F433" s="118">
        <v>2110</v>
      </c>
      <c r="G433" s="118">
        <v>11457</v>
      </c>
      <c r="H433" s="118">
        <v>3770</v>
      </c>
      <c r="I433" s="118">
        <v>0</v>
      </c>
      <c r="J433" s="118">
        <v>0</v>
      </c>
      <c r="K433" s="118">
        <v>703</v>
      </c>
    </row>
    <row r="434" spans="1:11" x14ac:dyDescent="0.2">
      <c r="A434" t="s">
        <v>173</v>
      </c>
      <c r="B434" t="s">
        <v>931</v>
      </c>
      <c r="D434" s="126" t="str">
        <f>IF([1]RENAME!$H$3=1,B434,A434)</f>
        <v>31 de março de 2014</v>
      </c>
      <c r="E434" s="120">
        <f>SUM(E429:E433)</f>
        <v>442661</v>
      </c>
      <c r="F434" s="120">
        <f>SUM(F429:F433)</f>
        <v>311568</v>
      </c>
      <c r="G434" s="120">
        <f>SUM(G429:G433)</f>
        <v>131093</v>
      </c>
      <c r="H434" s="120">
        <f>SUM(H429:H433)</f>
        <v>96250</v>
      </c>
      <c r="I434" s="120"/>
      <c r="J434" s="120"/>
      <c r="K434" s="120">
        <f>SUM(K429:K433)</f>
        <v>-11104</v>
      </c>
    </row>
    <row r="435" spans="1:11" x14ac:dyDescent="0.2">
      <c r="E435" s="92"/>
      <c r="F435" s="92"/>
      <c r="G435" s="92"/>
      <c r="H435" s="92"/>
      <c r="I435" s="92"/>
      <c r="J435" s="92"/>
      <c r="K435" s="93"/>
    </row>
    <row r="436" spans="1:11" x14ac:dyDescent="0.2">
      <c r="A436" t="s">
        <v>235</v>
      </c>
      <c r="B436" t="s">
        <v>235</v>
      </c>
      <c r="D436" s="129" t="str">
        <f>IF([1]RENAME!$H$3=1,B436,A436)</f>
        <v>Direct (Consolidado)</v>
      </c>
      <c r="E436" s="118">
        <v>275441</v>
      </c>
      <c r="F436" s="118">
        <v>259501</v>
      </c>
      <c r="G436" s="118">
        <v>15940</v>
      </c>
      <c r="H436" s="118">
        <v>194580</v>
      </c>
      <c r="I436" s="118">
        <v>0</v>
      </c>
      <c r="J436" s="118">
        <v>0</v>
      </c>
      <c r="K436" s="118">
        <v>-57689</v>
      </c>
    </row>
    <row r="437" spans="1:11" x14ac:dyDescent="0.2">
      <c r="A437" t="s">
        <v>213</v>
      </c>
      <c r="B437" t="s">
        <v>213</v>
      </c>
      <c r="D437" s="129" t="str">
        <f>IF([1]RENAME!$H$3=1,B437,A437)</f>
        <v>TCE</v>
      </c>
      <c r="E437" s="118">
        <v>62070</v>
      </c>
      <c r="F437" s="118">
        <v>32592</v>
      </c>
      <c r="G437" s="118">
        <v>29478</v>
      </c>
      <c r="H437" s="118">
        <v>87409</v>
      </c>
      <c r="I437" s="118">
        <v>0</v>
      </c>
      <c r="J437" s="118">
        <v>0</v>
      </c>
      <c r="K437" s="118">
        <v>-18549</v>
      </c>
    </row>
    <row r="438" spans="1:11" x14ac:dyDescent="0.2">
      <c r="A438" t="s">
        <v>214</v>
      </c>
      <c r="B438" t="s">
        <v>214</v>
      </c>
      <c r="D438" s="129" t="str">
        <f>IF([1]RENAME!$H$3=1,B438,A438)</f>
        <v>TLI</v>
      </c>
      <c r="E438" s="118">
        <v>73988</v>
      </c>
      <c r="F438" s="118">
        <v>14392</v>
      </c>
      <c r="G438" s="118">
        <v>59596</v>
      </c>
      <c r="H438" s="118">
        <v>77160</v>
      </c>
      <c r="I438" s="118">
        <v>0</v>
      </c>
      <c r="J438" s="118">
        <v>0</v>
      </c>
      <c r="K438" s="118">
        <v>-9001</v>
      </c>
    </row>
    <row r="439" spans="1:11" x14ac:dyDescent="0.2">
      <c r="A439" t="s">
        <v>215</v>
      </c>
      <c r="B439" t="s">
        <v>215</v>
      </c>
      <c r="D439" s="129" t="str">
        <f>IF([1]RENAME!$H$3=1,B439,A439)</f>
        <v>Niyati</v>
      </c>
      <c r="E439" s="118">
        <v>21597</v>
      </c>
      <c r="F439" s="118">
        <v>2618</v>
      </c>
      <c r="G439" s="118">
        <v>18979</v>
      </c>
      <c r="H439" s="118">
        <v>0</v>
      </c>
      <c r="I439" s="118">
        <v>0</v>
      </c>
      <c r="J439" s="118">
        <v>0</v>
      </c>
      <c r="K439" s="118">
        <v>-9</v>
      </c>
    </row>
    <row r="440" spans="1:11" x14ac:dyDescent="0.2">
      <c r="A440" t="s">
        <v>218</v>
      </c>
      <c r="B440" t="s">
        <v>218</v>
      </c>
      <c r="D440" s="129" t="str">
        <f>IF([1]RENAME!$H$3=1,B440,A440)</f>
        <v>Tegmax</v>
      </c>
      <c r="E440" s="118">
        <v>13161</v>
      </c>
      <c r="F440" s="118">
        <v>2372</v>
      </c>
      <c r="G440" s="118">
        <v>10789</v>
      </c>
      <c r="H440" s="118">
        <v>19777</v>
      </c>
      <c r="I440" s="118">
        <v>0</v>
      </c>
      <c r="J440" s="118">
        <v>0</v>
      </c>
      <c r="K440" s="118">
        <v>2993</v>
      </c>
    </row>
    <row r="441" spans="1:11" x14ac:dyDescent="0.2">
      <c r="A441" t="s">
        <v>236</v>
      </c>
      <c r="B441" t="s">
        <v>932</v>
      </c>
      <c r="D441" s="126" t="str">
        <f>IF([1]RENAME!$H$3=1,B441,A441)</f>
        <v>31 de dezembro de 2013</v>
      </c>
      <c r="E441" s="120">
        <f>SUM(E436:E440)</f>
        <v>446257</v>
      </c>
      <c r="F441" s="120">
        <f>SUM(F436:F440)</f>
        <v>311475</v>
      </c>
      <c r="G441" s="120">
        <f>SUM(G436:G440)</f>
        <v>134782</v>
      </c>
      <c r="H441" s="120">
        <f>SUM(H436:H440)</f>
        <v>378926</v>
      </c>
      <c r="I441" s="120"/>
      <c r="J441" s="120"/>
      <c r="K441" s="120">
        <f>SUM(K436:K440)</f>
        <v>-82255</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35">
    <pageSetUpPr autoPageBreaks="0"/>
  </sheetPr>
  <dimension ref="A1:BC90"/>
  <sheetViews>
    <sheetView showGridLines="0" zoomScale="114" zoomScaleNormal="115" workbookViewId="0">
      <pane xSplit="4" ySplit="4" topLeftCell="AS5" activePane="bottomRight" state="frozen"/>
      <selection activeCell="N57" sqref="N57"/>
      <selection pane="topRight" activeCell="N57" sqref="N57"/>
      <selection pane="bottomLeft" activeCell="N57" sqref="N57"/>
      <selection pane="bottomRight" activeCell="BC19" sqref="BC19"/>
    </sheetView>
  </sheetViews>
  <sheetFormatPr defaultRowHeight="12.75" x14ac:dyDescent="0.2"/>
  <cols>
    <col min="1" max="2" width="9.140625" hidden="1" customWidth="1"/>
    <col min="3" max="3" width="1.42578125" customWidth="1"/>
    <col min="4" max="4" width="31.140625" bestFit="1" customWidth="1"/>
    <col min="5" max="23" width="10.85546875" customWidth="1"/>
    <col min="24" max="24" width="12.140625" customWidth="1"/>
    <col min="25" max="55" width="10.85546875" customWidth="1"/>
  </cols>
  <sheetData>
    <row r="1" spans="1:55" ht="7.5" customHeight="1" x14ac:dyDescent="0.2">
      <c r="A1" s="553"/>
      <c r="B1" s="553"/>
      <c r="C1" s="553"/>
      <c r="D1" s="553"/>
      <c r="E1" s="553">
        <v>2013</v>
      </c>
      <c r="F1" s="553" t="s">
        <v>45</v>
      </c>
      <c r="G1" s="553" t="str">
        <f>IF(LEFT(F1,1)="4","1T"&amp;RIGHT(F1,2)+1,LEFT(F1,1)+1&amp;RIGHT(F1,3))</f>
        <v>2T14</v>
      </c>
      <c r="H1" s="553" t="str">
        <f t="shared" ref="H1:W1" si="0">IF(LEFT(G1,1)="4","1T"&amp;RIGHT(G1,2)+1,LEFT(G1,1)+1&amp;RIGHT(G1,3))</f>
        <v>3T14</v>
      </c>
      <c r="I1" s="553" t="str">
        <f t="shared" si="0"/>
        <v>4T14</v>
      </c>
      <c r="J1" s="553" t="str">
        <f t="shared" si="0"/>
        <v>1T15</v>
      </c>
      <c r="K1" s="553" t="str">
        <f t="shared" si="0"/>
        <v>2T15</v>
      </c>
      <c r="L1" s="553" t="str">
        <f t="shared" si="0"/>
        <v>3T15</v>
      </c>
      <c r="M1" s="553" t="str">
        <f t="shared" si="0"/>
        <v>4T15</v>
      </c>
      <c r="N1" s="553" t="str">
        <f t="shared" si="0"/>
        <v>1T16</v>
      </c>
      <c r="O1" s="553" t="str">
        <f t="shared" si="0"/>
        <v>2T16</v>
      </c>
      <c r="P1" s="553" t="str">
        <f t="shared" si="0"/>
        <v>3T16</v>
      </c>
      <c r="Q1" s="553" t="str">
        <f t="shared" si="0"/>
        <v>4T16</v>
      </c>
      <c r="R1" s="553" t="str">
        <f t="shared" si="0"/>
        <v>1T17</v>
      </c>
      <c r="S1" s="553" t="str">
        <f t="shared" si="0"/>
        <v>2T17</v>
      </c>
      <c r="T1" s="553" t="str">
        <f t="shared" si="0"/>
        <v>3T17</v>
      </c>
      <c r="U1" s="553" t="str">
        <f t="shared" si="0"/>
        <v>4T17</v>
      </c>
      <c r="V1" s="553" t="str">
        <f t="shared" si="0"/>
        <v>1T18</v>
      </c>
      <c r="W1" s="553" t="str">
        <f t="shared" si="0"/>
        <v>2T18</v>
      </c>
      <c r="X1" s="553" t="str">
        <f t="shared" ref="X1:AH1" si="1">IF(LEFT(W1,1)="4","1T"&amp;RIGHT(W1,2)+1,LEFT(W1,1)+1&amp;RIGHT(W1,3))</f>
        <v>3T18</v>
      </c>
      <c r="Y1" s="553" t="str">
        <f t="shared" si="1"/>
        <v>4T18</v>
      </c>
      <c r="Z1" s="553" t="str">
        <f t="shared" si="1"/>
        <v>1T19</v>
      </c>
      <c r="AA1" s="553" t="str">
        <f t="shared" si="1"/>
        <v>2T19</v>
      </c>
      <c r="AB1" s="553" t="str">
        <f t="shared" si="1"/>
        <v>3T19</v>
      </c>
      <c r="AC1" s="553" t="str">
        <f t="shared" si="1"/>
        <v>4T19</v>
      </c>
      <c r="AD1" s="553" t="str">
        <f t="shared" si="1"/>
        <v>1T20</v>
      </c>
      <c r="AE1" s="553" t="str">
        <f t="shared" si="1"/>
        <v>2T20</v>
      </c>
      <c r="AF1" s="553" t="str">
        <f t="shared" si="1"/>
        <v>3T20</v>
      </c>
      <c r="AG1" s="553" t="str">
        <f t="shared" si="1"/>
        <v>4T20</v>
      </c>
      <c r="AH1" s="553" t="str">
        <f t="shared" si="1"/>
        <v>1T21</v>
      </c>
      <c r="AI1" s="553" t="str">
        <f t="shared" ref="AI1:AT1" si="2">IF(LEFT(AH1,1)="4","1T"&amp;RIGHT(AH1,2)+1,LEFT(AH1,1)+1&amp;RIGHT(AH1,3))</f>
        <v>2T21</v>
      </c>
      <c r="AJ1" s="553" t="str">
        <f t="shared" si="2"/>
        <v>3T21</v>
      </c>
      <c r="AK1" s="553" t="str">
        <f t="shared" si="2"/>
        <v>4T21</v>
      </c>
      <c r="AL1" s="553" t="str">
        <f t="shared" si="2"/>
        <v>1T22</v>
      </c>
      <c r="AM1" s="553" t="str">
        <f t="shared" si="2"/>
        <v>2T22</v>
      </c>
      <c r="AN1" s="553" t="str">
        <f t="shared" si="2"/>
        <v>3T22</v>
      </c>
      <c r="AO1" s="553" t="str">
        <f t="shared" si="2"/>
        <v>4T22</v>
      </c>
      <c r="AP1" s="553" t="str">
        <f t="shared" si="2"/>
        <v>1T23</v>
      </c>
      <c r="AQ1" s="553" t="str">
        <f t="shared" si="2"/>
        <v>2T23</v>
      </c>
      <c r="AR1" s="553" t="str">
        <f t="shared" si="2"/>
        <v>3T23</v>
      </c>
      <c r="AS1" s="553" t="str">
        <f t="shared" si="2"/>
        <v>4T23</v>
      </c>
      <c r="AT1" s="553" t="str">
        <f t="shared" si="2"/>
        <v>1T24</v>
      </c>
      <c r="AU1" s="553" t="str">
        <f t="shared" ref="AU1:BC1" si="3">IF(LEFT(AT1,1)="4","1T"&amp;RIGHT(AT1,2)+1,LEFT(AT1,1)+1&amp;RIGHT(AT1,3))</f>
        <v>2T24</v>
      </c>
      <c r="AV1" s="553" t="str">
        <f t="shared" si="3"/>
        <v>3T24</v>
      </c>
      <c r="AW1" s="553" t="str">
        <f t="shared" si="3"/>
        <v>4T24</v>
      </c>
      <c r="AX1" s="553" t="str">
        <f t="shared" si="3"/>
        <v>1T25</v>
      </c>
      <c r="AY1" s="553" t="str">
        <f t="shared" si="3"/>
        <v>2T25</v>
      </c>
      <c r="AZ1" s="553" t="str">
        <f t="shared" si="3"/>
        <v>3T25</v>
      </c>
      <c r="BA1" s="553" t="str">
        <f t="shared" si="3"/>
        <v>4T25</v>
      </c>
      <c r="BB1" s="553" t="str">
        <f t="shared" si="3"/>
        <v>1T26</v>
      </c>
      <c r="BC1" s="553" t="str">
        <f t="shared" si="3"/>
        <v>2T26</v>
      </c>
    </row>
    <row r="2" spans="1:55" ht="12.75" customHeight="1" x14ac:dyDescent="0.2">
      <c r="A2" s="553"/>
      <c r="B2" s="553"/>
      <c r="C2" s="553"/>
      <c r="D2" s="553"/>
      <c r="E2" s="553" t="str">
        <f>SUBSTITUTE(E1,"T","Q")</f>
        <v>2013</v>
      </c>
      <c r="F2" s="553" t="str">
        <f>SUBSTITUTE(F1,"T","Q")</f>
        <v>1Q14</v>
      </c>
      <c r="G2" s="553" t="str">
        <f>SUBSTITUTE(G1,"T","Q")</f>
        <v>2Q14</v>
      </c>
      <c r="H2" s="553" t="str">
        <f t="shared" ref="H2:T2" si="4">SUBSTITUTE(H1,"T","Q")</f>
        <v>3Q14</v>
      </c>
      <c r="I2" s="553" t="str">
        <f t="shared" si="4"/>
        <v>4Q14</v>
      </c>
      <c r="J2" s="553" t="str">
        <f t="shared" si="4"/>
        <v>1Q15</v>
      </c>
      <c r="K2" s="553" t="str">
        <f t="shared" si="4"/>
        <v>2Q15</v>
      </c>
      <c r="L2" s="553" t="str">
        <f t="shared" si="4"/>
        <v>3Q15</v>
      </c>
      <c r="M2" s="553" t="str">
        <f t="shared" si="4"/>
        <v>4Q15</v>
      </c>
      <c r="N2" s="553" t="str">
        <f t="shared" si="4"/>
        <v>1Q16</v>
      </c>
      <c r="O2" s="553" t="str">
        <f t="shared" si="4"/>
        <v>2Q16</v>
      </c>
      <c r="P2" s="553" t="str">
        <f t="shared" si="4"/>
        <v>3Q16</v>
      </c>
      <c r="Q2" s="553" t="str">
        <f t="shared" si="4"/>
        <v>4Q16</v>
      </c>
      <c r="R2" s="553" t="str">
        <f t="shared" si="4"/>
        <v>1Q17</v>
      </c>
      <c r="S2" s="553" t="str">
        <f t="shared" si="4"/>
        <v>2Q17</v>
      </c>
      <c r="T2" s="553" t="str">
        <f t="shared" si="4"/>
        <v>3Q17</v>
      </c>
      <c r="U2" s="553" t="str">
        <f t="shared" ref="U2:Z2" si="5">SUBSTITUTE(U1,"T","Q")</f>
        <v>4Q17</v>
      </c>
      <c r="V2" s="553" t="str">
        <f t="shared" si="5"/>
        <v>1Q18</v>
      </c>
      <c r="W2" s="553" t="str">
        <f t="shared" si="5"/>
        <v>2Q18</v>
      </c>
      <c r="X2" s="553" t="str">
        <f t="shared" si="5"/>
        <v>3Q18</v>
      </c>
      <c r="Y2" s="553" t="str">
        <f t="shared" si="5"/>
        <v>4Q18</v>
      </c>
      <c r="Z2" s="553" t="str">
        <f t="shared" si="5"/>
        <v>1Q19</v>
      </c>
      <c r="AA2" s="553" t="str">
        <f t="shared" ref="AA2:AF2" si="6">SUBSTITUTE(AA1,"T","Q")</f>
        <v>2Q19</v>
      </c>
      <c r="AB2" s="553" t="str">
        <f t="shared" si="6"/>
        <v>3Q19</v>
      </c>
      <c r="AC2" s="553" t="str">
        <f t="shared" si="6"/>
        <v>4Q19</v>
      </c>
      <c r="AD2" s="553" t="str">
        <f t="shared" si="6"/>
        <v>1Q20</v>
      </c>
      <c r="AE2" s="553" t="str">
        <f t="shared" si="6"/>
        <v>2Q20</v>
      </c>
      <c r="AF2" s="553" t="str">
        <f t="shared" si="6"/>
        <v>3Q20</v>
      </c>
      <c r="AG2" s="553" t="str">
        <f t="shared" ref="AG2:AM2" si="7">SUBSTITUTE(AG1,"T","Q")</f>
        <v>4Q20</v>
      </c>
      <c r="AH2" s="553" t="str">
        <f t="shared" si="7"/>
        <v>1Q21</v>
      </c>
      <c r="AI2" s="553" t="str">
        <f t="shared" si="7"/>
        <v>2Q21</v>
      </c>
      <c r="AJ2" s="553" t="str">
        <f t="shared" si="7"/>
        <v>3Q21</v>
      </c>
      <c r="AK2" s="553" t="str">
        <f t="shared" si="7"/>
        <v>4Q21</v>
      </c>
      <c r="AL2" s="553" t="str">
        <f t="shared" si="7"/>
        <v>1Q22</v>
      </c>
      <c r="AM2" s="553" t="str">
        <f t="shared" si="7"/>
        <v>2Q22</v>
      </c>
      <c r="AN2" s="553" t="str">
        <f t="shared" ref="AN2:AT2" si="8">SUBSTITUTE(AN1,"T","Q")</f>
        <v>3Q22</v>
      </c>
      <c r="AO2" s="553" t="str">
        <f t="shared" si="8"/>
        <v>4Q22</v>
      </c>
      <c r="AP2" s="553" t="str">
        <f t="shared" si="8"/>
        <v>1Q23</v>
      </c>
      <c r="AQ2" s="553" t="str">
        <f t="shared" si="8"/>
        <v>2Q23</v>
      </c>
      <c r="AR2" s="553" t="str">
        <f t="shared" si="8"/>
        <v>3Q23</v>
      </c>
      <c r="AS2" s="553" t="str">
        <f t="shared" si="8"/>
        <v>4Q23</v>
      </c>
      <c r="AT2" s="553" t="str">
        <f t="shared" si="8"/>
        <v>1Q24</v>
      </c>
      <c r="AU2" s="553" t="str">
        <f t="shared" ref="AU2:BA2" si="9">SUBSTITUTE(AU1,"T","Q")</f>
        <v>2Q24</v>
      </c>
      <c r="AV2" s="553" t="str">
        <f t="shared" si="9"/>
        <v>3Q24</v>
      </c>
      <c r="AW2" s="553" t="str">
        <f t="shared" si="9"/>
        <v>4Q24</v>
      </c>
      <c r="AX2" s="553" t="str">
        <f t="shared" si="9"/>
        <v>1Q25</v>
      </c>
      <c r="AY2" s="553" t="str">
        <f t="shared" si="9"/>
        <v>2Q25</v>
      </c>
      <c r="AZ2" s="553" t="str">
        <f t="shared" si="9"/>
        <v>3Q25</v>
      </c>
      <c r="BA2" s="553" t="str">
        <f t="shared" si="9"/>
        <v>4Q25</v>
      </c>
      <c r="BB2" s="553" t="str">
        <f>SUBSTITUTE(BB1,"T","Q")</f>
        <v>1Q26</v>
      </c>
      <c r="BC2" s="553" t="str">
        <f>SUBSTITUTE(BC1,"T","Q")</f>
        <v>2Q26</v>
      </c>
    </row>
    <row r="3" spans="1:55" ht="12.75" customHeight="1" x14ac:dyDescent="0.2">
      <c r="Y3" s="547"/>
      <c r="Z3" s="547"/>
      <c r="AA3" s="547"/>
      <c r="AB3" s="547"/>
      <c r="AC3" s="547"/>
      <c r="AD3" s="547"/>
      <c r="AE3" s="547"/>
      <c r="AF3" s="547"/>
      <c r="AG3" s="547"/>
      <c r="AH3" s="547"/>
      <c r="AI3" s="547"/>
      <c r="AJ3" s="547"/>
      <c r="AK3" s="547"/>
      <c r="AL3" s="547"/>
      <c r="AM3" s="547"/>
      <c r="AN3" s="547"/>
      <c r="AO3" s="547"/>
      <c r="AP3" s="547"/>
      <c r="AQ3" s="547"/>
      <c r="AR3" s="547"/>
      <c r="AS3" s="327"/>
      <c r="AT3" s="327"/>
      <c r="AU3" s="327"/>
      <c r="AV3" s="327"/>
      <c r="AW3" s="327"/>
      <c r="AX3" s="327"/>
      <c r="AY3" s="327"/>
      <c r="AZ3" s="327"/>
      <c r="BA3" s="327"/>
      <c r="BB3" s="327"/>
      <c r="BC3" s="327"/>
    </row>
    <row r="4" spans="1:55" ht="12.75" customHeight="1" x14ac:dyDescent="0.2">
      <c r="AK4" s="1043"/>
      <c r="AL4" s="1043"/>
      <c r="AM4" s="1043"/>
      <c r="AN4" s="1043"/>
      <c r="AO4" s="1043"/>
      <c r="AP4" s="1043"/>
      <c r="AQ4" s="1043"/>
      <c r="AR4" s="1043"/>
      <c r="AS4" s="1043"/>
      <c r="AT4" s="1043"/>
      <c r="AU4" s="1043"/>
      <c r="AV4" s="1043"/>
      <c r="AW4" s="1043"/>
      <c r="AX4" s="1043"/>
      <c r="AY4" s="1043"/>
      <c r="AZ4" s="1043"/>
      <c r="BA4" s="1043"/>
      <c r="BB4" s="1043"/>
      <c r="BC4" s="1043"/>
    </row>
    <row r="5" spans="1:55" x14ac:dyDescent="0.2">
      <c r="D5" s="145" t="s">
        <v>1328</v>
      </c>
      <c r="E5" s="247">
        <f>IF([1]RENAME!$H$3=1,E2,E1)</f>
        <v>2013</v>
      </c>
      <c r="F5" s="247" t="str">
        <f>IF([1]RENAME!$H$3=1,F2,F1)</f>
        <v>1T14</v>
      </c>
      <c r="G5" s="247" t="str">
        <f>IF([1]RENAME!$H$3=1,G2,G1)</f>
        <v>2T14</v>
      </c>
      <c r="H5" s="247" t="str">
        <f>IF([1]RENAME!$H$3=1,H2,H1)</f>
        <v>3T14</v>
      </c>
      <c r="I5" s="247" t="str">
        <f>IF([1]RENAME!$H$3=1,I2,I1)</f>
        <v>4T14</v>
      </c>
      <c r="J5" s="247" t="str">
        <f>IF([1]RENAME!$H$3=1,J2,J1)</f>
        <v>1T15</v>
      </c>
      <c r="K5" s="247" t="str">
        <f>IF([1]RENAME!$H$3=1,K2,K1)</f>
        <v>2T15</v>
      </c>
      <c r="L5" s="247" t="str">
        <f>IF([1]RENAME!$H$3=1,L2,L1)</f>
        <v>3T15</v>
      </c>
      <c r="M5" s="247" t="str">
        <f>IF([1]RENAME!$H$3=1,M2,M1)</f>
        <v>4T15</v>
      </c>
      <c r="N5" s="247" t="str">
        <f>IF([1]RENAME!$H$3=1,N2,N1)</f>
        <v>1T16</v>
      </c>
      <c r="O5" s="247" t="str">
        <f>IF([1]RENAME!$H$3=1,O2,O1)</f>
        <v>2T16</v>
      </c>
      <c r="P5" s="247" t="str">
        <f>IF([1]RENAME!$H$3=1,P2,P1)</f>
        <v>3T16</v>
      </c>
      <c r="Q5" s="247" t="str">
        <f>IF([1]RENAME!$H$3=1,Q2,Q1)</f>
        <v>4T16</v>
      </c>
      <c r="R5" s="247" t="str">
        <f>IF([1]RENAME!$H$3=1,R2,R1)</f>
        <v>1T17</v>
      </c>
      <c r="S5" s="247" t="str">
        <f>IF([1]RENAME!$H$3=1,S2,S1)</f>
        <v>2T17</v>
      </c>
      <c r="T5" s="247" t="str">
        <f>IF([1]RENAME!$H$3=1,T2,T1)</f>
        <v>3T17</v>
      </c>
      <c r="U5" s="247" t="str">
        <f>IF([1]RENAME!$H$3=1,U2,U1)</f>
        <v>4T17</v>
      </c>
      <c r="V5" s="247" t="str">
        <f>IF([1]RENAME!$H$3=1,V2,V1)</f>
        <v>1T18</v>
      </c>
      <c r="W5" s="247" t="str">
        <f>IF([1]RENAME!$H$3=1,W2,W1)</f>
        <v>2T18</v>
      </c>
      <c r="X5" s="247" t="str">
        <f>IF([1]RENAME!$H$3=1,X2,X1)</f>
        <v>3T18</v>
      </c>
      <c r="Y5" s="247" t="str">
        <f>IF([1]RENAME!$H$3=1,Y2,Y1)</f>
        <v>4T18</v>
      </c>
      <c r="Z5" s="247" t="str">
        <f>IF([1]RENAME!$H$3=1,Z2,Z1)</f>
        <v>1T19</v>
      </c>
      <c r="AA5" s="247" t="str">
        <f>IF([1]RENAME!$H$3=1,AA2,AA1)</f>
        <v>2T19</v>
      </c>
      <c r="AB5" s="247" t="str">
        <f>IF([1]RENAME!$H$3=1,AB2,AB1)</f>
        <v>3T19</v>
      </c>
      <c r="AC5" s="247" t="str">
        <f>IF([1]RENAME!$H$3=1,AC2,AC1)</f>
        <v>4T19</v>
      </c>
      <c r="AD5" s="247" t="str">
        <f>IF([1]RENAME!$H$3=1,AD2,AD1)</f>
        <v>1T20</v>
      </c>
      <c r="AE5" s="247" t="str">
        <f>IF([1]RENAME!$H$3=1,AE2,AE1)</f>
        <v>2T20</v>
      </c>
      <c r="AF5" s="247" t="str">
        <f>IF([1]RENAME!$H$3=1,AF2,AF1)</f>
        <v>3T20</v>
      </c>
      <c r="AG5" s="247" t="str">
        <f>IF([1]RENAME!$H$3=1,AG2,AG1)</f>
        <v>4T20</v>
      </c>
      <c r="AH5" s="247" t="str">
        <f>IF([1]RENAME!$H$3=1,AH2,AH1)</f>
        <v>1T21</v>
      </c>
      <c r="AI5" s="247" t="str">
        <f>IF([1]RENAME!$H$3=1,AI2,AI1)</f>
        <v>2T21</v>
      </c>
      <c r="AJ5" s="247" t="str">
        <f>IF([1]RENAME!$H$3=1,AJ2,AJ1)</f>
        <v>3T21</v>
      </c>
      <c r="AK5" s="247" t="str">
        <f>IF([1]RENAME!$H$3=1,AK2,AK1)</f>
        <v>4T21</v>
      </c>
      <c r="AL5" s="247" t="str">
        <f>IF([1]RENAME!$H$3=1,AL2,AL1)</f>
        <v>1T22</v>
      </c>
      <c r="AM5" s="247" t="str">
        <f>IF([1]RENAME!$H$3=1,AM2,AM1)</f>
        <v>2T22</v>
      </c>
      <c r="AN5" s="247" t="str">
        <f>IF([1]RENAME!$H$3=1,AN2,AN1)</f>
        <v>3T22</v>
      </c>
      <c r="AO5" s="247" t="str">
        <f>IF([1]RENAME!$H$3=1,AO2,AO1)</f>
        <v>4T22</v>
      </c>
      <c r="AP5" s="247" t="str">
        <f>IF([1]RENAME!$H$3=1,AP2,AP1)</f>
        <v>1T23</v>
      </c>
      <c r="AQ5" s="247" t="str">
        <f>IF([1]RENAME!$H$3=1,AQ2,AQ1)</f>
        <v>2T23</v>
      </c>
      <c r="AR5" s="247" t="str">
        <f>IF([1]RENAME!$H$3=1,AR2,AR1)</f>
        <v>3T23</v>
      </c>
      <c r="AS5" s="247" t="str">
        <f>IF([1]RENAME!$H$3=1,AS2,AS1)</f>
        <v>4T23</v>
      </c>
      <c r="AT5" s="247" t="str">
        <f>IF([1]RENAME!$H$3=1,AT2,AT1)</f>
        <v>1T24</v>
      </c>
      <c r="AU5" s="247" t="str">
        <f>IF([1]RENAME!$H$3=1,AU2,AU1)</f>
        <v>2T24</v>
      </c>
      <c r="AV5" s="247" t="str">
        <f>IF([1]RENAME!$H$3=1,AV2,AV1)</f>
        <v>3T24</v>
      </c>
      <c r="AW5" s="247" t="str">
        <f>IF([1]RENAME!$H$3=1,AW2,AW1)</f>
        <v>4T24</v>
      </c>
      <c r="AX5" s="247" t="str">
        <f>IF([1]RENAME!$H$3=1,AX2,AX1)</f>
        <v>1T25</v>
      </c>
      <c r="AY5" s="247" t="str">
        <f>IF([1]RENAME!$H$3=1,AY2,AY1)</f>
        <v>2T25</v>
      </c>
      <c r="AZ5" s="247" t="str">
        <f>IF([1]RENAME!$H$3=1,AZ2,AZ1)</f>
        <v>3T25</v>
      </c>
      <c r="BA5" s="247" t="str">
        <f>IF([1]RENAME!$H$3=1,BA2,BA1)</f>
        <v>4T25</v>
      </c>
      <c r="BB5" s="247" t="str">
        <f>IF([1]RENAME!$H$3=1,BB2,BB1)</f>
        <v>1T26</v>
      </c>
      <c r="BC5" s="247" t="str">
        <f>IF([1]RENAME!$H$3=1,BC2,BC1)</f>
        <v>2T26</v>
      </c>
    </row>
    <row r="6" spans="1:55" x14ac:dyDescent="0.2">
      <c r="A6" t="s">
        <v>234</v>
      </c>
      <c r="B6" t="s">
        <v>638</v>
      </c>
      <c r="D6" s="126" t="str">
        <f>IF([1]RENAME!$H$3=1,B6,A6)</f>
        <v>Ativo</v>
      </c>
      <c r="E6" s="207" t="s">
        <v>160</v>
      </c>
      <c r="F6" s="207" t="s">
        <v>160</v>
      </c>
      <c r="G6" s="207" t="s">
        <v>160</v>
      </c>
      <c r="H6" s="207" t="s">
        <v>160</v>
      </c>
      <c r="I6" s="207" t="s">
        <v>160</v>
      </c>
      <c r="J6" s="207" t="s">
        <v>160</v>
      </c>
      <c r="K6" s="207" t="s">
        <v>160</v>
      </c>
      <c r="L6" s="207" t="s">
        <v>160</v>
      </c>
      <c r="M6" s="207" t="s">
        <v>160</v>
      </c>
      <c r="N6" s="207" t="s">
        <v>160</v>
      </c>
      <c r="O6" s="207" t="s">
        <v>160</v>
      </c>
      <c r="P6" s="207" t="s">
        <v>160</v>
      </c>
      <c r="Q6" s="207" t="s">
        <v>160</v>
      </c>
      <c r="R6" s="207" t="s">
        <v>160</v>
      </c>
      <c r="S6" s="207" t="s">
        <v>160</v>
      </c>
      <c r="T6" s="207" t="s">
        <v>160</v>
      </c>
      <c r="U6" s="207" t="s">
        <v>160</v>
      </c>
      <c r="V6" s="120">
        <v>59584</v>
      </c>
      <c r="W6" s="120">
        <v>65665</v>
      </c>
      <c r="X6" s="120">
        <v>69328</v>
      </c>
      <c r="Y6" s="120">
        <v>72562</v>
      </c>
      <c r="Z6" s="120">
        <v>91284</v>
      </c>
      <c r="AA6" s="120">
        <v>87215</v>
      </c>
      <c r="AB6" s="120">
        <v>80413</v>
      </c>
      <c r="AC6" s="120">
        <v>63106</v>
      </c>
      <c r="AD6" s="120">
        <v>65580</v>
      </c>
      <c r="AE6" s="120">
        <v>69959</v>
      </c>
      <c r="AF6" s="120">
        <v>62305</v>
      </c>
      <c r="AG6" s="120">
        <v>57222</v>
      </c>
      <c r="AH6" s="120">
        <v>58534</v>
      </c>
      <c r="AI6" s="120">
        <v>59740</v>
      </c>
      <c r="AJ6" s="120">
        <v>56265</v>
      </c>
      <c r="AK6" s="120">
        <v>54972</v>
      </c>
      <c r="AL6" s="120">
        <v>59785</v>
      </c>
      <c r="AM6" s="120">
        <v>61388</v>
      </c>
      <c r="AN6" s="120">
        <v>61816</v>
      </c>
      <c r="AO6" s="120">
        <v>69173</v>
      </c>
      <c r="AP6" s="120">
        <v>74573</v>
      </c>
      <c r="AQ6" s="120">
        <v>77781</v>
      </c>
      <c r="AR6" s="120">
        <v>87070</v>
      </c>
      <c r="AS6" s="120">
        <v>87390</v>
      </c>
      <c r="AT6" s="120">
        <v>101296</v>
      </c>
      <c r="AU6" s="120">
        <v>120932</v>
      </c>
      <c r="AV6" s="120">
        <v>118750</v>
      </c>
      <c r="AW6" s="120">
        <v>114972</v>
      </c>
      <c r="AX6" s="120">
        <v>121696</v>
      </c>
      <c r="AY6" s="120">
        <v>136066</v>
      </c>
      <c r="AZ6" s="120">
        <v>151554</v>
      </c>
      <c r="BA6" s="120">
        <v>139580</v>
      </c>
      <c r="BB6" s="120">
        <v>129877</v>
      </c>
      <c r="BC6" s="120">
        <f>+'[3]9 Invest. NL'!DH262</f>
        <v>133497</v>
      </c>
    </row>
    <row r="7" spans="1:55" x14ac:dyDescent="0.2">
      <c r="A7" t="s">
        <v>2109</v>
      </c>
      <c r="B7" t="s">
        <v>2108</v>
      </c>
      <c r="D7" s="129" t="str">
        <f>IF([1]RENAME!$H$3=1,B7,A7)</f>
        <v xml:space="preserve"> Passivo</v>
      </c>
      <c r="E7" s="118">
        <v>0</v>
      </c>
      <c r="F7" s="118">
        <v>0</v>
      </c>
      <c r="G7" s="118">
        <v>0</v>
      </c>
      <c r="H7" s="118">
        <v>0</v>
      </c>
      <c r="I7" s="118">
        <v>0</v>
      </c>
      <c r="J7" s="118">
        <v>0</v>
      </c>
      <c r="K7" s="118">
        <v>0</v>
      </c>
      <c r="L7" s="118">
        <v>0</v>
      </c>
      <c r="M7" s="118">
        <v>0</v>
      </c>
      <c r="N7" s="118">
        <v>0</v>
      </c>
      <c r="O7" s="118">
        <v>0</v>
      </c>
      <c r="P7" s="118">
        <v>0</v>
      </c>
      <c r="Q7" s="118">
        <v>0</v>
      </c>
      <c r="R7" s="118">
        <v>0</v>
      </c>
      <c r="S7" s="118">
        <v>0</v>
      </c>
      <c r="T7" s="118">
        <v>0</v>
      </c>
      <c r="U7" s="118">
        <v>0</v>
      </c>
      <c r="V7" s="118">
        <v>25373</v>
      </c>
      <c r="W7" s="118">
        <v>31933</v>
      </c>
      <c r="X7" s="118">
        <v>35066</v>
      </c>
      <c r="Y7" s="118">
        <v>36885</v>
      </c>
      <c r="Z7" s="118">
        <v>56464</v>
      </c>
      <c r="AA7" s="118">
        <v>51353</v>
      </c>
      <c r="AB7" s="118">
        <v>42860</v>
      </c>
      <c r="AC7" s="118">
        <v>20792</v>
      </c>
      <c r="AD7" s="118">
        <v>20337</v>
      </c>
      <c r="AE7" s="118">
        <v>22898</v>
      </c>
      <c r="AF7" s="118">
        <v>17672</v>
      </c>
      <c r="AG7" s="118">
        <v>16875</v>
      </c>
      <c r="AH7" s="118">
        <v>16550</v>
      </c>
      <c r="AI7" s="118">
        <v>16589</v>
      </c>
      <c r="AJ7" s="118">
        <v>14653</v>
      </c>
      <c r="AK7" s="118">
        <v>14443</v>
      </c>
      <c r="AL7" s="118">
        <v>15570</v>
      </c>
      <c r="AM7" s="118">
        <v>15609</v>
      </c>
      <c r="AN7" s="118">
        <v>15434</v>
      </c>
      <c r="AO7" s="118">
        <v>20438</v>
      </c>
      <c r="AP7" s="118">
        <v>22375</v>
      </c>
      <c r="AQ7" s="118">
        <v>25149</v>
      </c>
      <c r="AR7" s="118">
        <v>32060</v>
      </c>
      <c r="AS7" s="118">
        <v>34373</v>
      </c>
      <c r="AT7" s="118">
        <v>34998</v>
      </c>
      <c r="AU7" s="118">
        <v>41802</v>
      </c>
      <c r="AV7" s="118">
        <v>58949</v>
      </c>
      <c r="AW7" s="118">
        <v>55671</v>
      </c>
      <c r="AX7" s="118">
        <v>48977</v>
      </c>
      <c r="AY7" s="118">
        <v>55737</v>
      </c>
      <c r="AZ7" s="118">
        <v>65203</v>
      </c>
      <c r="BA7" s="118">
        <v>73140</v>
      </c>
      <c r="BB7" s="118">
        <v>60342</v>
      </c>
      <c r="BC7" s="118">
        <f>+'[3]9 Invest. NL'!DH263</f>
        <v>52447</v>
      </c>
    </row>
    <row r="8" spans="1:55" x14ac:dyDescent="0.2">
      <c r="A8" t="s">
        <v>240</v>
      </c>
      <c r="B8" t="s">
        <v>708</v>
      </c>
      <c r="D8" s="129" t="str">
        <f>IF([1]RENAME!$H$3=1,B8,A8)</f>
        <v xml:space="preserve"> Patrimônio líquido</v>
      </c>
      <c r="E8" s="118" t="s">
        <v>160</v>
      </c>
      <c r="F8" s="118" t="s">
        <v>160</v>
      </c>
      <c r="G8" s="118" t="s">
        <v>160</v>
      </c>
      <c r="H8" s="118" t="s">
        <v>160</v>
      </c>
      <c r="I8" s="118" t="s">
        <v>160</v>
      </c>
      <c r="J8" s="118" t="s">
        <v>160</v>
      </c>
      <c r="K8" s="118" t="s">
        <v>160</v>
      </c>
      <c r="L8" s="118" t="s">
        <v>160</v>
      </c>
      <c r="M8" s="118" t="s">
        <v>160</v>
      </c>
      <c r="N8" s="118" t="s">
        <v>160</v>
      </c>
      <c r="O8" s="118" t="s">
        <v>160</v>
      </c>
      <c r="P8" s="118" t="s">
        <v>160</v>
      </c>
      <c r="Q8" s="118" t="s">
        <v>160</v>
      </c>
      <c r="R8" s="118" t="s">
        <v>160</v>
      </c>
      <c r="S8" s="118" t="s">
        <v>160</v>
      </c>
      <c r="T8" s="118" t="s">
        <v>160</v>
      </c>
      <c r="U8" s="118" t="s">
        <v>160</v>
      </c>
      <c r="V8" s="118">
        <v>34211</v>
      </c>
      <c r="W8" s="118">
        <v>33732</v>
      </c>
      <c r="X8" s="118">
        <v>34262</v>
      </c>
      <c r="Y8" s="118">
        <v>35677</v>
      </c>
      <c r="Z8" s="118">
        <v>34820</v>
      </c>
      <c r="AA8" s="118">
        <v>35862</v>
      </c>
      <c r="AB8" s="118">
        <v>37553</v>
      </c>
      <c r="AC8" s="118">
        <v>42314</v>
      </c>
      <c r="AD8" s="118">
        <v>45243</v>
      </c>
      <c r="AE8" s="118">
        <v>47061</v>
      </c>
      <c r="AF8" s="118">
        <v>44633</v>
      </c>
      <c r="AG8" s="118">
        <v>40347</v>
      </c>
      <c r="AH8" s="118">
        <v>41984</v>
      </c>
      <c r="AI8" s="118">
        <v>43151</v>
      </c>
      <c r="AJ8" s="118">
        <v>41612</v>
      </c>
      <c r="AK8" s="118">
        <v>40529</v>
      </c>
      <c r="AL8" s="118">
        <v>44215</v>
      </c>
      <c r="AM8" s="118">
        <v>45779</v>
      </c>
      <c r="AN8" s="118">
        <v>46382</v>
      </c>
      <c r="AO8" s="118">
        <v>48735</v>
      </c>
      <c r="AP8" s="118">
        <v>52198</v>
      </c>
      <c r="AQ8" s="118">
        <v>52632</v>
      </c>
      <c r="AR8" s="118">
        <v>55010</v>
      </c>
      <c r="AS8" s="118">
        <v>53017</v>
      </c>
      <c r="AT8" s="118">
        <v>66298</v>
      </c>
      <c r="AU8" s="118">
        <v>79129</v>
      </c>
      <c r="AV8" s="118">
        <v>59801</v>
      </c>
      <c r="AW8" s="118">
        <v>59301</v>
      </c>
      <c r="AX8" s="118">
        <v>72719</v>
      </c>
      <c r="AY8" s="118">
        <v>80328</v>
      </c>
      <c r="AZ8" s="118">
        <v>86352</v>
      </c>
      <c r="BA8" s="118">
        <v>66440</v>
      </c>
      <c r="BB8" s="118">
        <v>69535</v>
      </c>
      <c r="BC8" s="118">
        <f>+'[3]9 Invest. NL'!DH264</f>
        <v>81050</v>
      </c>
    </row>
    <row r="9" spans="1:55" x14ac:dyDescent="0.2">
      <c r="A9" t="s">
        <v>239</v>
      </c>
      <c r="B9" t="s">
        <v>937</v>
      </c>
      <c r="D9" s="126" t="str">
        <f>IF([1]RENAME!$H$3=1,B9,A9)</f>
        <v>Passivo e patrimônio líquido</v>
      </c>
      <c r="E9" s="207" t="s">
        <v>160</v>
      </c>
      <c r="F9" s="207" t="s">
        <v>160</v>
      </c>
      <c r="G9" s="207" t="s">
        <v>160</v>
      </c>
      <c r="H9" s="207" t="s">
        <v>160</v>
      </c>
      <c r="I9" s="207" t="s">
        <v>160</v>
      </c>
      <c r="J9" s="207" t="s">
        <v>160</v>
      </c>
      <c r="K9" s="207" t="s">
        <v>160</v>
      </c>
      <c r="L9" s="207" t="s">
        <v>160</v>
      </c>
      <c r="M9" s="207" t="s">
        <v>160</v>
      </c>
      <c r="N9" s="207" t="s">
        <v>160</v>
      </c>
      <c r="O9" s="207" t="s">
        <v>160</v>
      </c>
      <c r="P9" s="207" t="s">
        <v>160</v>
      </c>
      <c r="Q9" s="207" t="s">
        <v>160</v>
      </c>
      <c r="R9" s="207" t="s">
        <v>160</v>
      </c>
      <c r="S9" s="207" t="s">
        <v>160</v>
      </c>
      <c r="T9" s="207" t="s">
        <v>160</v>
      </c>
      <c r="U9" s="207" t="s">
        <v>160</v>
      </c>
      <c r="V9" s="120">
        <f t="shared" ref="V9:AR9" si="10">SUM(V7:V8)</f>
        <v>59584</v>
      </c>
      <c r="W9" s="120">
        <f t="shared" si="10"/>
        <v>65665</v>
      </c>
      <c r="X9" s="120">
        <f t="shared" si="10"/>
        <v>69328</v>
      </c>
      <c r="Y9" s="120">
        <f t="shared" si="10"/>
        <v>72562</v>
      </c>
      <c r="Z9" s="120">
        <f t="shared" si="10"/>
        <v>91284</v>
      </c>
      <c r="AA9" s="120">
        <f t="shared" si="10"/>
        <v>87215</v>
      </c>
      <c r="AB9" s="120">
        <f t="shared" si="10"/>
        <v>80413</v>
      </c>
      <c r="AC9" s="120">
        <f t="shared" si="10"/>
        <v>63106</v>
      </c>
      <c r="AD9" s="120">
        <f t="shared" si="10"/>
        <v>65580</v>
      </c>
      <c r="AE9" s="120">
        <f t="shared" si="10"/>
        <v>69959</v>
      </c>
      <c r="AF9" s="120">
        <f t="shared" si="10"/>
        <v>62305</v>
      </c>
      <c r="AG9" s="120">
        <f t="shared" si="10"/>
        <v>57222</v>
      </c>
      <c r="AH9" s="120">
        <f t="shared" si="10"/>
        <v>58534</v>
      </c>
      <c r="AI9" s="120">
        <f t="shared" si="10"/>
        <v>59740</v>
      </c>
      <c r="AJ9" s="120">
        <f t="shared" si="10"/>
        <v>56265</v>
      </c>
      <c r="AK9" s="120">
        <f t="shared" si="10"/>
        <v>54972</v>
      </c>
      <c r="AL9" s="120">
        <f t="shared" si="10"/>
        <v>59785</v>
      </c>
      <c r="AM9" s="120">
        <f t="shared" si="10"/>
        <v>61388</v>
      </c>
      <c r="AN9" s="120">
        <f t="shared" si="10"/>
        <v>61816</v>
      </c>
      <c r="AO9" s="120">
        <f t="shared" si="10"/>
        <v>69173</v>
      </c>
      <c r="AP9" s="120">
        <f t="shared" si="10"/>
        <v>74573</v>
      </c>
      <c r="AQ9" s="120">
        <f t="shared" si="10"/>
        <v>77781</v>
      </c>
      <c r="AR9" s="120">
        <f t="shared" si="10"/>
        <v>87070</v>
      </c>
      <c r="AS9" s="120">
        <f t="shared" ref="AS9:AX9" si="11">SUM(AS7:AS8)</f>
        <v>87390</v>
      </c>
      <c r="AT9" s="120">
        <f t="shared" si="11"/>
        <v>101296</v>
      </c>
      <c r="AU9" s="120">
        <f t="shared" si="11"/>
        <v>120931</v>
      </c>
      <c r="AV9" s="120">
        <f t="shared" si="11"/>
        <v>118750</v>
      </c>
      <c r="AW9" s="120">
        <f>SUM(AW7:AW8)</f>
        <v>114972</v>
      </c>
      <c r="AX9" s="120">
        <f t="shared" si="11"/>
        <v>121696</v>
      </c>
      <c r="AY9" s="120">
        <v>136065</v>
      </c>
      <c r="AZ9" s="120">
        <f>SUM(AZ7:AZ8)-1</f>
        <v>151554</v>
      </c>
      <c r="BA9" s="120">
        <f>SUM(BA7:BA8)</f>
        <v>139580</v>
      </c>
      <c r="BB9" s="120">
        <f>SUM(BB7:BB8)</f>
        <v>129877</v>
      </c>
      <c r="BC9" s="120">
        <f>SUM(BC7:BC8)</f>
        <v>133497</v>
      </c>
    </row>
    <row r="11" spans="1:55" x14ac:dyDescent="0.2">
      <c r="D11" s="145" t="s">
        <v>1328</v>
      </c>
      <c r="E11" s="115">
        <f t="shared" ref="E11:AR11" si="12">E5</f>
        <v>2013</v>
      </c>
      <c r="F11" s="115" t="str">
        <f t="shared" si="12"/>
        <v>1T14</v>
      </c>
      <c r="G11" s="115" t="str">
        <f t="shared" si="12"/>
        <v>2T14</v>
      </c>
      <c r="H11" s="115" t="str">
        <f t="shared" si="12"/>
        <v>3T14</v>
      </c>
      <c r="I11" s="115" t="str">
        <f t="shared" si="12"/>
        <v>4T14</v>
      </c>
      <c r="J11" s="115" t="str">
        <f t="shared" si="12"/>
        <v>1T15</v>
      </c>
      <c r="K11" s="115" t="str">
        <f t="shared" si="12"/>
        <v>2T15</v>
      </c>
      <c r="L11" s="115" t="str">
        <f t="shared" si="12"/>
        <v>3T15</v>
      </c>
      <c r="M11" s="115" t="str">
        <f t="shared" si="12"/>
        <v>4T15</v>
      </c>
      <c r="N11" s="115" t="str">
        <f t="shared" si="12"/>
        <v>1T16</v>
      </c>
      <c r="O11" s="115" t="str">
        <f t="shared" si="12"/>
        <v>2T16</v>
      </c>
      <c r="P11" s="115" t="str">
        <f t="shared" si="12"/>
        <v>3T16</v>
      </c>
      <c r="Q11" s="115" t="str">
        <f t="shared" si="12"/>
        <v>4T16</v>
      </c>
      <c r="R11" s="115" t="str">
        <f t="shared" si="12"/>
        <v>1T17</v>
      </c>
      <c r="S11" s="115" t="str">
        <f t="shared" si="12"/>
        <v>2T17</v>
      </c>
      <c r="T11" s="115" t="str">
        <f t="shared" si="12"/>
        <v>3T17</v>
      </c>
      <c r="U11" s="115" t="str">
        <f t="shared" si="12"/>
        <v>4T17</v>
      </c>
      <c r="V11" s="115" t="str">
        <f t="shared" si="12"/>
        <v>1T18</v>
      </c>
      <c r="W11" s="115" t="str">
        <f t="shared" si="12"/>
        <v>2T18</v>
      </c>
      <c r="X11" s="115" t="str">
        <f t="shared" si="12"/>
        <v>3T18</v>
      </c>
      <c r="Y11" s="115" t="str">
        <f t="shared" si="12"/>
        <v>4T18</v>
      </c>
      <c r="Z11" s="115" t="str">
        <f t="shared" si="12"/>
        <v>1T19</v>
      </c>
      <c r="AA11" s="115" t="str">
        <f t="shared" si="12"/>
        <v>2T19</v>
      </c>
      <c r="AB11" s="115" t="str">
        <f t="shared" si="12"/>
        <v>3T19</v>
      </c>
      <c r="AC11" s="115" t="str">
        <f t="shared" si="12"/>
        <v>4T19</v>
      </c>
      <c r="AD11" s="115" t="str">
        <f t="shared" si="12"/>
        <v>1T20</v>
      </c>
      <c r="AE11" s="115" t="str">
        <f t="shared" si="12"/>
        <v>2T20</v>
      </c>
      <c r="AF11" s="115" t="str">
        <f t="shared" si="12"/>
        <v>3T20</v>
      </c>
      <c r="AG11" s="115" t="str">
        <f t="shared" si="12"/>
        <v>4T20</v>
      </c>
      <c r="AH11" s="115" t="str">
        <f t="shared" si="12"/>
        <v>1T21</v>
      </c>
      <c r="AI11" s="115" t="str">
        <f t="shared" si="12"/>
        <v>2T21</v>
      </c>
      <c r="AJ11" s="115" t="str">
        <f t="shared" si="12"/>
        <v>3T21</v>
      </c>
      <c r="AK11" s="115" t="str">
        <f t="shared" si="12"/>
        <v>4T21</v>
      </c>
      <c r="AL11" s="115" t="str">
        <f t="shared" si="12"/>
        <v>1T22</v>
      </c>
      <c r="AM11" s="115" t="str">
        <f t="shared" si="12"/>
        <v>2T22</v>
      </c>
      <c r="AN11" s="115" t="str">
        <f t="shared" si="12"/>
        <v>3T22</v>
      </c>
      <c r="AO11" s="115" t="str">
        <f t="shared" si="12"/>
        <v>4T22</v>
      </c>
      <c r="AP11" s="115" t="str">
        <f t="shared" si="12"/>
        <v>1T23</v>
      </c>
      <c r="AQ11" s="115" t="str">
        <f t="shared" si="12"/>
        <v>2T23</v>
      </c>
      <c r="AR11" s="115" t="str">
        <f t="shared" si="12"/>
        <v>3T23</v>
      </c>
      <c r="AS11" s="115" t="str">
        <f t="shared" ref="AS11:AY11" si="13">AS5</f>
        <v>4T23</v>
      </c>
      <c r="AT11" s="115" t="str">
        <f t="shared" si="13"/>
        <v>1T24</v>
      </c>
      <c r="AU11" s="115" t="str">
        <f t="shared" si="13"/>
        <v>2T24</v>
      </c>
      <c r="AV11" s="115" t="str">
        <f t="shared" si="13"/>
        <v>3T24</v>
      </c>
      <c r="AW11" s="115" t="str">
        <f t="shared" si="13"/>
        <v>4T24</v>
      </c>
      <c r="AX11" s="115" t="str">
        <f t="shared" si="13"/>
        <v>1T25</v>
      </c>
      <c r="AY11" s="115" t="str">
        <f t="shared" si="13"/>
        <v>2T25</v>
      </c>
      <c r="AZ11" s="115" t="str">
        <f>AZ5</f>
        <v>3T25</v>
      </c>
      <c r="BA11" s="115" t="str">
        <f>BA5</f>
        <v>4T25</v>
      </c>
      <c r="BB11" s="115" t="str">
        <f>BB5</f>
        <v>1T26</v>
      </c>
      <c r="BC11" s="115" t="str">
        <f>BC5</f>
        <v>2T26</v>
      </c>
    </row>
    <row r="12" spans="1:55" x14ac:dyDescent="0.2">
      <c r="A12" t="s">
        <v>241</v>
      </c>
      <c r="B12" t="s">
        <v>695</v>
      </c>
      <c r="D12" s="126" t="str">
        <f>IF([1]RENAME!$H$3=1,B12,A12)</f>
        <v xml:space="preserve"> Receita líquida</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7177</v>
      </c>
      <c r="W12" s="120">
        <v>12681</v>
      </c>
      <c r="X12" s="120">
        <v>14895</v>
      </c>
      <c r="Y12" s="120">
        <v>17373</v>
      </c>
      <c r="Z12" s="120">
        <v>15688</v>
      </c>
      <c r="AA12" s="120">
        <v>16298.599999999999</v>
      </c>
      <c r="AB12" s="120">
        <v>19398.511290000002</v>
      </c>
      <c r="AC12" s="120">
        <v>20352.888709999999</v>
      </c>
      <c r="AD12" s="120">
        <v>18364</v>
      </c>
      <c r="AE12" s="120">
        <v>19256</v>
      </c>
      <c r="AF12" s="120">
        <v>19150</v>
      </c>
      <c r="AG12" s="120">
        <v>16497</v>
      </c>
      <c r="AH12" s="120">
        <v>17226</v>
      </c>
      <c r="AI12" s="120">
        <v>23826</v>
      </c>
      <c r="AJ12" s="120">
        <v>23339</v>
      </c>
      <c r="AK12" s="120">
        <v>26986</v>
      </c>
      <c r="AL12" s="120">
        <v>28405</v>
      </c>
      <c r="AM12" s="120">
        <v>30037</v>
      </c>
      <c r="AN12" s="120">
        <v>28510</v>
      </c>
      <c r="AO12" s="120">
        <v>30684</v>
      </c>
      <c r="AP12" s="120">
        <v>36776</v>
      </c>
      <c r="AQ12" s="120">
        <v>34967</v>
      </c>
      <c r="AR12" s="120">
        <v>41135</v>
      </c>
      <c r="AS12" s="120">
        <v>47572</v>
      </c>
      <c r="AT12" s="120">
        <v>51826</v>
      </c>
      <c r="AU12" s="120">
        <v>70532</v>
      </c>
      <c r="AV12" s="120">
        <v>74528</v>
      </c>
      <c r="AW12" s="120">
        <v>65337</v>
      </c>
      <c r="AX12" s="120">
        <v>67061</v>
      </c>
      <c r="AY12" s="120">
        <v>78569</v>
      </c>
      <c r="AZ12" s="120">
        <v>81039</v>
      </c>
      <c r="BA12" s="120">
        <v>61338</v>
      </c>
      <c r="BB12" s="120">
        <v>53306</v>
      </c>
      <c r="BC12" s="120">
        <f>'[3]9 Invest. NL'!$DU$276-BB12</f>
        <v>68305</v>
      </c>
    </row>
    <row r="13" spans="1:55" x14ac:dyDescent="0.2">
      <c r="A13" t="s">
        <v>242</v>
      </c>
      <c r="B13" t="s">
        <v>802</v>
      </c>
      <c r="D13" s="129" t="str">
        <f>IF([1]RENAME!$H$3=1,B13,A13)</f>
        <v>Custo dos serviços prestados</v>
      </c>
      <c r="E13" s="118">
        <v>0</v>
      </c>
      <c r="F13" s="118">
        <v>0</v>
      </c>
      <c r="G13" s="118">
        <v>0</v>
      </c>
      <c r="H13" s="118">
        <v>0</v>
      </c>
      <c r="I13" s="118">
        <v>0</v>
      </c>
      <c r="J13" s="118">
        <v>0</v>
      </c>
      <c r="K13" s="118">
        <v>0</v>
      </c>
      <c r="L13" s="118">
        <v>0</v>
      </c>
      <c r="M13" s="118">
        <v>0</v>
      </c>
      <c r="N13" s="118">
        <v>0</v>
      </c>
      <c r="O13" s="118">
        <v>0</v>
      </c>
      <c r="P13" s="118">
        <v>0</v>
      </c>
      <c r="Q13" s="118">
        <v>0</v>
      </c>
      <c r="R13" s="118">
        <v>0</v>
      </c>
      <c r="S13" s="118">
        <v>0</v>
      </c>
      <c r="T13" s="118">
        <v>0</v>
      </c>
      <c r="U13" s="118">
        <v>0</v>
      </c>
      <c r="V13" s="118">
        <v>-6795</v>
      </c>
      <c r="W13" s="118">
        <v>-11749</v>
      </c>
      <c r="X13" s="118">
        <v>-12648</v>
      </c>
      <c r="Y13" s="118">
        <v>-14715</v>
      </c>
      <c r="Z13" s="118">
        <v>-14812</v>
      </c>
      <c r="AA13" s="118">
        <v>-14546</v>
      </c>
      <c r="AB13" s="118">
        <v>-16155.160750000003</v>
      </c>
      <c r="AC13" s="118">
        <v>-11746.839249999997</v>
      </c>
      <c r="AD13" s="118">
        <v>-14649</v>
      </c>
      <c r="AE13" s="118">
        <v>-11342</v>
      </c>
      <c r="AF13" s="118">
        <v>-11562</v>
      </c>
      <c r="AG13" s="118">
        <v>-14333</v>
      </c>
      <c r="AH13" s="118">
        <v>-13958</v>
      </c>
      <c r="AI13" s="118">
        <v>-15910</v>
      </c>
      <c r="AJ13" s="118">
        <v>-16933</v>
      </c>
      <c r="AK13" s="118">
        <v>-19224</v>
      </c>
      <c r="AL13" s="118">
        <v>-17789</v>
      </c>
      <c r="AM13" s="118">
        <v>-19063</v>
      </c>
      <c r="AN13" s="118">
        <v>-19201</v>
      </c>
      <c r="AO13" s="118">
        <v>-20665</v>
      </c>
      <c r="AP13" s="118">
        <v>-22330</v>
      </c>
      <c r="AQ13" s="118">
        <v>-21422</v>
      </c>
      <c r="AR13" s="118">
        <v>-22724</v>
      </c>
      <c r="AS13" s="118">
        <v>-32486</v>
      </c>
      <c r="AT13" s="118">
        <v>-29352</v>
      </c>
      <c r="AU13" s="118">
        <v>-38343</v>
      </c>
      <c r="AV13" s="118">
        <v>-47138</v>
      </c>
      <c r="AW13" s="118">
        <v>-42628</v>
      </c>
      <c r="AX13" s="118">
        <v>-42273</v>
      </c>
      <c r="AY13" s="118">
        <v>-45875</v>
      </c>
      <c r="AZ13" s="118">
        <v>-52355</v>
      </c>
      <c r="BA13" s="118">
        <v>-45657</v>
      </c>
      <c r="BB13" s="118">
        <v>-43509</v>
      </c>
      <c r="BC13" s="118">
        <f>'[3]9 Invest. NL'!$DU$277-BB13</f>
        <v>-45526</v>
      </c>
    </row>
    <row r="14" spans="1:55" x14ac:dyDescent="0.2">
      <c r="A14" t="s">
        <v>243</v>
      </c>
      <c r="B14" t="s">
        <v>702</v>
      </c>
      <c r="D14" s="129" t="str">
        <f>IF([1]RENAME!$H$3=1,B14,A14)</f>
        <v>Despesas gerais e administrativas</v>
      </c>
      <c r="E14" s="118">
        <v>0</v>
      </c>
      <c r="F14" s="118">
        <v>0</v>
      </c>
      <c r="G14" s="118">
        <v>0</v>
      </c>
      <c r="H14" s="118">
        <v>0</v>
      </c>
      <c r="I14" s="118">
        <v>0</v>
      </c>
      <c r="J14" s="118">
        <v>0</v>
      </c>
      <c r="K14" s="118">
        <v>0</v>
      </c>
      <c r="L14" s="118">
        <v>0</v>
      </c>
      <c r="M14" s="118">
        <v>0</v>
      </c>
      <c r="N14" s="118">
        <v>0</v>
      </c>
      <c r="O14" s="118">
        <v>0</v>
      </c>
      <c r="P14" s="118">
        <v>0</v>
      </c>
      <c r="Q14" s="118">
        <v>0</v>
      </c>
      <c r="R14" s="118">
        <v>0</v>
      </c>
      <c r="S14" s="118">
        <v>0</v>
      </c>
      <c r="T14" s="118">
        <v>0</v>
      </c>
      <c r="U14" s="118">
        <v>0</v>
      </c>
      <c r="V14" s="118">
        <v>-1602</v>
      </c>
      <c r="W14" s="118">
        <v>-1787</v>
      </c>
      <c r="X14" s="118">
        <v>-1421</v>
      </c>
      <c r="Y14" s="118">
        <v>-530</v>
      </c>
      <c r="Z14" s="118">
        <v>-1141</v>
      </c>
      <c r="AA14" s="118">
        <v>151</v>
      </c>
      <c r="AB14" s="118">
        <v>-1527.7054500000004</v>
      </c>
      <c r="AC14" s="118">
        <v>-6180.2945499999996</v>
      </c>
      <c r="AD14" s="118">
        <v>-2187</v>
      </c>
      <c r="AE14" s="118">
        <v>-463</v>
      </c>
      <c r="AF14" s="118">
        <v>-543</v>
      </c>
      <c r="AG14" s="118">
        <v>-1446</v>
      </c>
      <c r="AH14" s="118">
        <v>-3296</v>
      </c>
      <c r="AI14" s="118">
        <v>276</v>
      </c>
      <c r="AJ14" s="118">
        <v>-1611</v>
      </c>
      <c r="AK14" s="118">
        <v>-3060</v>
      </c>
      <c r="AL14" s="118">
        <v>-1841</v>
      </c>
      <c r="AM14" s="118">
        <v>-2158</v>
      </c>
      <c r="AN14" s="118">
        <v>-1969</v>
      </c>
      <c r="AO14" s="118">
        <v>-2693</v>
      </c>
      <c r="AP14" s="118">
        <v>-2369</v>
      </c>
      <c r="AQ14" s="118">
        <v>-3598</v>
      </c>
      <c r="AR14" s="118">
        <v>-3041</v>
      </c>
      <c r="AS14" s="118">
        <v>-2874</v>
      </c>
      <c r="AT14" s="118">
        <v>-2503</v>
      </c>
      <c r="AU14" s="118">
        <v>-3130</v>
      </c>
      <c r="AV14" s="118">
        <v>-3597</v>
      </c>
      <c r="AW14" s="118">
        <v>-3952</v>
      </c>
      <c r="AX14" s="118">
        <v>-3407</v>
      </c>
      <c r="AY14" s="118">
        <v>-3484</v>
      </c>
      <c r="AZ14" s="118">
        <v>-3943</v>
      </c>
      <c r="BA14" s="118">
        <v>-4151</v>
      </c>
      <c r="BB14" s="118">
        <v>-4729</v>
      </c>
      <c r="BC14" s="118">
        <f>'[3]9 Invest. NL'!$DU$281-BB14</f>
        <v>-4948</v>
      </c>
    </row>
    <row r="15" spans="1:55" x14ac:dyDescent="0.2">
      <c r="A15" t="s">
        <v>244</v>
      </c>
      <c r="B15" t="s">
        <v>938</v>
      </c>
      <c r="D15" s="129" t="str">
        <f>IF([1]RENAME!$H$3=1,B15,A15)</f>
        <v>Receitas financeiras, líquidas</v>
      </c>
      <c r="E15" s="118">
        <v>0</v>
      </c>
      <c r="F15" s="118">
        <v>0</v>
      </c>
      <c r="G15" s="118">
        <v>0</v>
      </c>
      <c r="H15" s="118">
        <v>0</v>
      </c>
      <c r="I15" s="118">
        <v>0</v>
      </c>
      <c r="J15" s="118">
        <v>0</v>
      </c>
      <c r="K15" s="118">
        <v>0</v>
      </c>
      <c r="L15" s="118">
        <v>0</v>
      </c>
      <c r="M15" s="118">
        <v>0</v>
      </c>
      <c r="N15" s="118">
        <v>0</v>
      </c>
      <c r="O15" s="118">
        <v>0</v>
      </c>
      <c r="P15" s="118">
        <v>0</v>
      </c>
      <c r="Q15" s="118">
        <v>0</v>
      </c>
      <c r="R15" s="118">
        <v>0</v>
      </c>
      <c r="S15" s="118">
        <v>0</v>
      </c>
      <c r="T15" s="118">
        <v>0</v>
      </c>
      <c r="U15" s="118">
        <v>0</v>
      </c>
      <c r="V15" s="118">
        <v>82</v>
      </c>
      <c r="W15" s="118">
        <v>308</v>
      </c>
      <c r="X15" s="118">
        <v>199</v>
      </c>
      <c r="Y15" s="118">
        <v>117</v>
      </c>
      <c r="Z15" s="118">
        <v>69</v>
      </c>
      <c r="AA15" s="118">
        <v>-1343</v>
      </c>
      <c r="AB15" s="118">
        <v>-617.01339479000035</v>
      </c>
      <c r="AC15" s="118">
        <v>199.01339479000035</v>
      </c>
      <c r="AD15" s="118">
        <v>-60</v>
      </c>
      <c r="AE15" s="118">
        <v>-7</v>
      </c>
      <c r="AF15" s="118">
        <v>-41</v>
      </c>
      <c r="AG15" s="118">
        <v>-63</v>
      </c>
      <c r="AH15" s="118">
        <v>-56</v>
      </c>
      <c r="AI15" s="118">
        <v>-100</v>
      </c>
      <c r="AJ15" s="118">
        <v>-50</v>
      </c>
      <c r="AK15" s="118">
        <v>-28</v>
      </c>
      <c r="AL15" s="118">
        <v>-9</v>
      </c>
      <c r="AM15" s="118">
        <v>35</v>
      </c>
      <c r="AN15" s="118">
        <v>-2</v>
      </c>
      <c r="AO15" s="118">
        <v>93</v>
      </c>
      <c r="AP15" s="118">
        <v>33</v>
      </c>
      <c r="AQ15" s="118">
        <v>231</v>
      </c>
      <c r="AR15" s="118">
        <v>269</v>
      </c>
      <c r="AS15" s="118">
        <v>183</v>
      </c>
      <c r="AT15" s="118">
        <v>8</v>
      </c>
      <c r="AU15" s="118">
        <v>148</v>
      </c>
      <c r="AV15" s="118">
        <v>-243</v>
      </c>
      <c r="AW15" s="118">
        <v>-195</v>
      </c>
      <c r="AX15" s="118">
        <v>-325</v>
      </c>
      <c r="AY15" s="118">
        <v>-368</v>
      </c>
      <c r="AZ15" s="118">
        <v>-415</v>
      </c>
      <c r="BA15" s="118">
        <v>-438</v>
      </c>
      <c r="BB15" s="118">
        <v>-374</v>
      </c>
      <c r="BC15" s="118">
        <f>'[3]9 Invest. NL'!$DU$288-BB15</f>
        <v>-294</v>
      </c>
    </row>
    <row r="16" spans="1:55" x14ac:dyDescent="0.2">
      <c r="A16" t="s">
        <v>245</v>
      </c>
      <c r="B16" t="s">
        <v>939</v>
      </c>
      <c r="D16" s="129" t="str">
        <f>IF([1]RENAME!$H$3=1,B16,A16)</f>
        <v>Outras (despesas) receitas, líquidas</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27</v>
      </c>
      <c r="W16" s="118">
        <v>-214</v>
      </c>
      <c r="X16" s="118">
        <v>-225</v>
      </c>
      <c r="Y16" s="118">
        <v>-981</v>
      </c>
      <c r="Z16" s="118">
        <v>-1007</v>
      </c>
      <c r="AA16" s="118">
        <v>1007</v>
      </c>
      <c r="AB16" s="118">
        <v>1426</v>
      </c>
      <c r="AC16" s="118">
        <v>4506</v>
      </c>
      <c r="AD16" s="118">
        <v>2966</v>
      </c>
      <c r="AE16" s="118">
        <v>0</v>
      </c>
      <c r="AF16" s="118">
        <v>0</v>
      </c>
      <c r="AG16" s="118">
        <v>-958</v>
      </c>
      <c r="AH16" s="118">
        <v>2008</v>
      </c>
      <c r="AI16" s="118">
        <v>-1599</v>
      </c>
      <c r="AJ16" s="118">
        <v>355</v>
      </c>
      <c r="AK16" s="118">
        <v>374</v>
      </c>
      <c r="AL16" s="118">
        <v>132</v>
      </c>
      <c r="AM16" s="118">
        <v>176</v>
      </c>
      <c r="AN16" s="118">
        <v>-308</v>
      </c>
      <c r="AO16" s="118">
        <v>0</v>
      </c>
      <c r="AP16" s="118">
        <v>0</v>
      </c>
      <c r="AQ16" s="118">
        <v>0</v>
      </c>
      <c r="AR16" s="118">
        <v>0</v>
      </c>
      <c r="AS16" s="118">
        <v>0</v>
      </c>
      <c r="AT16" s="118">
        <v>0</v>
      </c>
      <c r="AU16" s="118">
        <v>0</v>
      </c>
      <c r="AV16" s="118">
        <v>0</v>
      </c>
      <c r="AW16" s="118">
        <v>0</v>
      </c>
      <c r="AX16" s="118">
        <v>0</v>
      </c>
      <c r="AY16" s="118">
        <v>0</v>
      </c>
      <c r="AZ16" s="118">
        <v>0</v>
      </c>
      <c r="BA16" s="118">
        <v>0</v>
      </c>
      <c r="BB16" s="118">
        <v>0</v>
      </c>
      <c r="BC16" s="118">
        <v>0</v>
      </c>
    </row>
    <row r="17" spans="1:55" x14ac:dyDescent="0.2">
      <c r="A17" t="s">
        <v>15</v>
      </c>
      <c r="B17" t="s">
        <v>940</v>
      </c>
      <c r="D17" s="129" t="str">
        <f>IF([1]RENAME!$H$3=1,B17,A17)</f>
        <v>Imposto de renda e contribuição social</v>
      </c>
      <c r="E17" s="118">
        <v>0</v>
      </c>
      <c r="F17" s="118">
        <v>0</v>
      </c>
      <c r="G17" s="118">
        <v>0</v>
      </c>
      <c r="H17" s="118">
        <v>0</v>
      </c>
      <c r="I17" s="118">
        <v>0</v>
      </c>
      <c r="J17" s="118">
        <v>0</v>
      </c>
      <c r="K17" s="118">
        <v>0</v>
      </c>
      <c r="L17" s="118">
        <v>0</v>
      </c>
      <c r="M17" s="118">
        <v>0</v>
      </c>
      <c r="N17" s="118">
        <v>0</v>
      </c>
      <c r="O17" s="118">
        <v>0</v>
      </c>
      <c r="P17" s="118">
        <v>0</v>
      </c>
      <c r="Q17" s="118">
        <v>0</v>
      </c>
      <c r="R17" s="118">
        <v>0</v>
      </c>
      <c r="S17" s="118">
        <v>0</v>
      </c>
      <c r="T17" s="118">
        <v>0</v>
      </c>
      <c r="U17" s="118">
        <v>0</v>
      </c>
      <c r="V17" s="118">
        <v>47</v>
      </c>
      <c r="W17" s="118">
        <v>285</v>
      </c>
      <c r="X17" s="118">
        <v>-270</v>
      </c>
      <c r="Y17" s="118">
        <v>148</v>
      </c>
      <c r="Z17" s="118">
        <v>343</v>
      </c>
      <c r="AA17" s="118">
        <v>-522</v>
      </c>
      <c r="AB17" s="118">
        <v>-831.94018637140061</v>
      </c>
      <c r="AC17" s="118">
        <v>-2371.0598136285994</v>
      </c>
      <c r="AD17" s="118">
        <v>-1506</v>
      </c>
      <c r="AE17" s="118">
        <v>-2490</v>
      </c>
      <c r="AF17" s="118">
        <v>-1882</v>
      </c>
      <c r="AG17" s="118">
        <v>17</v>
      </c>
      <c r="AH17" s="118">
        <v>-288</v>
      </c>
      <c r="AI17" s="118">
        <v>-1703</v>
      </c>
      <c r="AJ17" s="118">
        <v>-1386</v>
      </c>
      <c r="AK17" s="118">
        <v>-1830</v>
      </c>
      <c r="AL17" s="118">
        <v>-2924</v>
      </c>
      <c r="AM17" s="118">
        <v>-3073</v>
      </c>
      <c r="AN17" s="118">
        <v>-2342</v>
      </c>
      <c r="AO17" s="118">
        <v>-2466</v>
      </c>
      <c r="AP17" s="118">
        <v>-4055</v>
      </c>
      <c r="AQ17" s="118">
        <v>-3542</v>
      </c>
      <c r="AR17" s="118">
        <v>-5260</v>
      </c>
      <c r="AS17" s="118">
        <v>-3387</v>
      </c>
      <c r="AT17" s="118">
        <v>-6698</v>
      </c>
      <c r="AU17" s="118">
        <v>-10011</v>
      </c>
      <c r="AV17" s="118">
        <v>-7933</v>
      </c>
      <c r="AW17" s="118">
        <v>-6062</v>
      </c>
      <c r="AX17" s="118">
        <v>-7638</v>
      </c>
      <c r="AY17" s="118">
        <v>-10182</v>
      </c>
      <c r="AZ17" s="118">
        <v>-8804</v>
      </c>
      <c r="BA17" s="118">
        <v>-2302</v>
      </c>
      <c r="BB17" s="118">
        <v>-1598</v>
      </c>
      <c r="BC17" s="118">
        <f>+'[3]9 Invest. NL'!$DU$292-BB17</f>
        <v>-6023</v>
      </c>
    </row>
    <row r="18" spans="1:55" x14ac:dyDescent="0.2">
      <c r="A18" t="s">
        <v>246</v>
      </c>
      <c r="B18" t="s">
        <v>941</v>
      </c>
      <c r="D18" s="126" t="str">
        <f>IF([1]RENAME!$H$3=1,B18,A18)</f>
        <v>Lucro líquido/(prejuízo) do exercício</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f t="shared" ref="V18:AC18" si="14">+SUM(V12:V17)</f>
        <v>-1064</v>
      </c>
      <c r="W18" s="120">
        <f t="shared" si="14"/>
        <v>-476</v>
      </c>
      <c r="X18" s="120">
        <f t="shared" si="14"/>
        <v>530</v>
      </c>
      <c r="Y18" s="120">
        <f t="shared" si="14"/>
        <v>1412</v>
      </c>
      <c r="Z18" s="120">
        <f t="shared" si="14"/>
        <v>-860</v>
      </c>
      <c r="AA18" s="120">
        <f t="shared" si="14"/>
        <v>1045.5999999999985</v>
      </c>
      <c r="AB18" s="120">
        <f t="shared" si="14"/>
        <v>1692.6915088385981</v>
      </c>
      <c r="AC18" s="120">
        <f t="shared" si="14"/>
        <v>4759.7084911614038</v>
      </c>
      <c r="AD18" s="120">
        <f t="shared" ref="AD18:AM18" si="15">+SUM(AD12:AD17)</f>
        <v>2928</v>
      </c>
      <c r="AE18" s="120">
        <f t="shared" si="15"/>
        <v>4954</v>
      </c>
      <c r="AF18" s="120">
        <f t="shared" si="15"/>
        <v>5122</v>
      </c>
      <c r="AG18" s="120">
        <f t="shared" si="15"/>
        <v>-286</v>
      </c>
      <c r="AH18" s="120">
        <f t="shared" si="15"/>
        <v>1636</v>
      </c>
      <c r="AI18" s="120">
        <f t="shared" si="15"/>
        <v>4790</v>
      </c>
      <c r="AJ18" s="120">
        <f t="shared" si="15"/>
        <v>3714</v>
      </c>
      <c r="AK18" s="120">
        <f t="shared" si="15"/>
        <v>3218</v>
      </c>
      <c r="AL18" s="120">
        <f t="shared" si="15"/>
        <v>5974</v>
      </c>
      <c r="AM18" s="120">
        <f t="shared" si="15"/>
        <v>5954</v>
      </c>
      <c r="AN18" s="120">
        <f t="shared" ref="AN18:AU18" si="16">+SUM(AN12:AN17)</f>
        <v>4688</v>
      </c>
      <c r="AO18" s="120">
        <f t="shared" si="16"/>
        <v>4953</v>
      </c>
      <c r="AP18" s="120">
        <f t="shared" si="16"/>
        <v>8055</v>
      </c>
      <c r="AQ18" s="120">
        <f t="shared" si="16"/>
        <v>6636</v>
      </c>
      <c r="AR18" s="120">
        <f t="shared" si="16"/>
        <v>10379</v>
      </c>
      <c r="AS18" s="120">
        <f t="shared" si="16"/>
        <v>9008</v>
      </c>
      <c r="AT18" s="120">
        <f t="shared" si="16"/>
        <v>13281</v>
      </c>
      <c r="AU18" s="120">
        <f t="shared" si="16"/>
        <v>19196</v>
      </c>
      <c r="AV18" s="120">
        <f>+SUM(AV12:AV17)</f>
        <v>15617</v>
      </c>
      <c r="AW18" s="120">
        <f>+SUM(AW12:AW17)</f>
        <v>12500</v>
      </c>
      <c r="AX18" s="120">
        <f>+SUM(AX12:AX17)</f>
        <v>13418</v>
      </c>
      <c r="AY18" s="120">
        <v>18660</v>
      </c>
      <c r="AZ18" s="120">
        <f>+SUM(AZ12:AZ17)</f>
        <v>15522</v>
      </c>
      <c r="BA18" s="120">
        <f>+SUM(BA12:BA17)</f>
        <v>8790</v>
      </c>
      <c r="BB18" s="120">
        <f>+SUM(BB12:BB17)</f>
        <v>3096</v>
      </c>
      <c r="BC18" s="120">
        <f>+SUM(BC12:BC17)</f>
        <v>11514</v>
      </c>
    </row>
    <row r="19" spans="1:55" x14ac:dyDescent="0.2">
      <c r="AN19" s="770"/>
      <c r="AR19" s="770"/>
      <c r="AT19" s="770"/>
      <c r="AV19" s="770"/>
      <c r="AW19" s="770"/>
      <c r="AY19" s="770"/>
      <c r="AZ19" s="1227"/>
      <c r="BA19" s="1227"/>
      <c r="BB19" s="1227"/>
      <c r="BC19" s="758"/>
    </row>
    <row r="20" spans="1:55" x14ac:dyDescent="0.2">
      <c r="AQ20" s="770"/>
      <c r="AU20" s="770"/>
      <c r="AY20" s="770"/>
      <c r="AZ20" s="770"/>
      <c r="BA20" s="770"/>
      <c r="BB20" s="770"/>
      <c r="BC20" s="770"/>
    </row>
    <row r="21" spans="1:55" x14ac:dyDescent="0.2">
      <c r="D21" s="145" t="s">
        <v>1523</v>
      </c>
      <c r="E21" s="247">
        <f t="shared" ref="E21:AM21" si="17">E5</f>
        <v>2013</v>
      </c>
      <c r="F21" s="247" t="str">
        <f t="shared" si="17"/>
        <v>1T14</v>
      </c>
      <c r="G21" s="247" t="str">
        <f t="shared" si="17"/>
        <v>2T14</v>
      </c>
      <c r="H21" s="247" t="str">
        <f t="shared" si="17"/>
        <v>3T14</v>
      </c>
      <c r="I21" s="247" t="str">
        <f t="shared" si="17"/>
        <v>4T14</v>
      </c>
      <c r="J21" s="247" t="str">
        <f t="shared" si="17"/>
        <v>1T15</v>
      </c>
      <c r="K21" s="247" t="str">
        <f t="shared" si="17"/>
        <v>2T15</v>
      </c>
      <c r="L21" s="247" t="str">
        <f t="shared" si="17"/>
        <v>3T15</v>
      </c>
      <c r="M21" s="247" t="str">
        <f t="shared" si="17"/>
        <v>4T15</v>
      </c>
      <c r="N21" s="247" t="str">
        <f t="shared" si="17"/>
        <v>1T16</v>
      </c>
      <c r="O21" s="247" t="str">
        <f t="shared" si="17"/>
        <v>2T16</v>
      </c>
      <c r="P21" s="247" t="str">
        <f t="shared" si="17"/>
        <v>3T16</v>
      </c>
      <c r="Q21" s="247" t="str">
        <f t="shared" si="17"/>
        <v>4T16</v>
      </c>
      <c r="R21" s="247" t="str">
        <f t="shared" si="17"/>
        <v>1T17</v>
      </c>
      <c r="S21" s="247" t="str">
        <f t="shared" si="17"/>
        <v>2T17</v>
      </c>
      <c r="T21" s="247" t="str">
        <f t="shared" si="17"/>
        <v>3T17</v>
      </c>
      <c r="U21" s="247" t="str">
        <f t="shared" si="17"/>
        <v>4T17</v>
      </c>
      <c r="V21" s="247" t="str">
        <f t="shared" si="17"/>
        <v>1T18</v>
      </c>
      <c r="W21" s="247" t="str">
        <f t="shared" si="17"/>
        <v>2T18</v>
      </c>
      <c r="X21" s="247" t="str">
        <f t="shared" si="17"/>
        <v>3T18</v>
      </c>
      <c r="Y21" s="247" t="str">
        <f t="shared" si="17"/>
        <v>4T18</v>
      </c>
      <c r="Z21" s="247" t="str">
        <f t="shared" si="17"/>
        <v>1T19</v>
      </c>
      <c r="AA21" s="247" t="str">
        <f t="shared" si="17"/>
        <v>2T19</v>
      </c>
      <c r="AB21" s="247" t="str">
        <f t="shared" si="17"/>
        <v>3T19</v>
      </c>
      <c r="AC21" s="247" t="str">
        <f t="shared" si="17"/>
        <v>4T19</v>
      </c>
      <c r="AD21" s="247" t="str">
        <f t="shared" si="17"/>
        <v>1T20</v>
      </c>
      <c r="AE21" s="247" t="str">
        <f t="shared" si="17"/>
        <v>2T20</v>
      </c>
      <c r="AF21" s="247" t="str">
        <f t="shared" si="17"/>
        <v>3T20</v>
      </c>
      <c r="AG21" s="247" t="str">
        <f t="shared" si="17"/>
        <v>4T20</v>
      </c>
      <c r="AH21" s="247" t="str">
        <f t="shared" si="17"/>
        <v>1T21</v>
      </c>
      <c r="AI21" s="247" t="str">
        <f t="shared" si="17"/>
        <v>2T21</v>
      </c>
      <c r="AJ21" s="247" t="str">
        <f t="shared" si="17"/>
        <v>3T21</v>
      </c>
      <c r="AK21" s="247" t="str">
        <f t="shared" si="17"/>
        <v>4T21</v>
      </c>
      <c r="AL21" s="247" t="str">
        <f t="shared" si="17"/>
        <v>1T22</v>
      </c>
      <c r="AM21" s="247" t="str">
        <f t="shared" si="17"/>
        <v>2T22</v>
      </c>
    </row>
    <row r="22" spans="1:55" x14ac:dyDescent="0.2">
      <c r="A22" t="s">
        <v>1502</v>
      </c>
      <c r="B22" t="s">
        <v>933</v>
      </c>
      <c r="D22" s="129" t="str">
        <f>IF([1]RENAME!$H$3=1,B22,A22)</f>
        <v xml:space="preserve"> AtivoCirculante</v>
      </c>
      <c r="E22" s="118" t="s">
        <v>160</v>
      </c>
      <c r="F22" s="118" t="s">
        <v>160</v>
      </c>
      <c r="G22" s="118" t="s">
        <v>160</v>
      </c>
      <c r="H22" s="118" t="s">
        <v>160</v>
      </c>
      <c r="I22" s="118" t="s">
        <v>160</v>
      </c>
      <c r="J22" s="118" t="s">
        <v>160</v>
      </c>
      <c r="K22" s="118" t="s">
        <v>160</v>
      </c>
      <c r="L22" s="118" t="s">
        <v>160</v>
      </c>
      <c r="M22" s="118" t="s">
        <v>160</v>
      </c>
      <c r="N22" s="118" t="s">
        <v>160</v>
      </c>
      <c r="O22" s="118" t="s">
        <v>160</v>
      </c>
      <c r="P22" s="118" t="s">
        <v>160</v>
      </c>
      <c r="Q22" s="118" t="s">
        <v>160</v>
      </c>
      <c r="R22" s="118" t="s">
        <v>160</v>
      </c>
      <c r="S22" s="118" t="s">
        <v>160</v>
      </c>
      <c r="T22" s="118" t="s">
        <v>160</v>
      </c>
      <c r="U22" s="118" t="s">
        <v>160</v>
      </c>
      <c r="V22" s="118" t="s">
        <v>160</v>
      </c>
      <c r="W22" s="118" t="s">
        <v>160</v>
      </c>
      <c r="X22" s="118" t="s">
        <v>160</v>
      </c>
      <c r="Y22" s="118">
        <v>3282</v>
      </c>
      <c r="Z22" s="118">
        <v>2834</v>
      </c>
      <c r="AA22" s="118">
        <v>2168</v>
      </c>
      <c r="AB22" s="118">
        <v>1488</v>
      </c>
      <c r="AC22" s="118">
        <v>1263</v>
      </c>
      <c r="AD22" s="118">
        <v>1411</v>
      </c>
      <c r="AE22" s="118">
        <v>1315</v>
      </c>
      <c r="AF22" s="118">
        <v>1315</v>
      </c>
      <c r="AG22" s="118">
        <v>1278</v>
      </c>
      <c r="AH22" s="118">
        <v>1222</v>
      </c>
      <c r="AI22" s="118">
        <v>1227</v>
      </c>
      <c r="AJ22" s="118">
        <v>1015</v>
      </c>
      <c r="AK22" s="118">
        <v>9035</v>
      </c>
      <c r="AL22" s="118">
        <v>8822</v>
      </c>
      <c r="AM22" s="118">
        <v>8891</v>
      </c>
    </row>
    <row r="23" spans="1:55" x14ac:dyDescent="0.2">
      <c r="A23" t="s">
        <v>1503</v>
      </c>
      <c r="B23" t="s">
        <v>934</v>
      </c>
      <c r="D23" s="129" t="str">
        <f>IF([1]RENAME!$H$3=1,B23,A23)</f>
        <v xml:space="preserve"> AtivoNão circulante</v>
      </c>
      <c r="E23" s="118" t="s">
        <v>160</v>
      </c>
      <c r="F23" s="118" t="s">
        <v>160</v>
      </c>
      <c r="G23" s="118" t="s">
        <v>160</v>
      </c>
      <c r="H23" s="118" t="s">
        <v>160</v>
      </c>
      <c r="I23" s="118" t="s">
        <v>160</v>
      </c>
      <c r="J23" s="118" t="s">
        <v>160</v>
      </c>
      <c r="K23" s="118" t="s">
        <v>160</v>
      </c>
      <c r="L23" s="118" t="s">
        <v>160</v>
      </c>
      <c r="M23" s="118" t="s">
        <v>160</v>
      </c>
      <c r="N23" s="118" t="s">
        <v>160</v>
      </c>
      <c r="O23" s="118" t="s">
        <v>160</v>
      </c>
      <c r="P23" s="118" t="s">
        <v>160</v>
      </c>
      <c r="Q23" s="118" t="s">
        <v>160</v>
      </c>
      <c r="R23" s="118" t="s">
        <v>160</v>
      </c>
      <c r="S23" s="118" t="s">
        <v>160</v>
      </c>
      <c r="T23" s="118" t="s">
        <v>160</v>
      </c>
      <c r="U23" s="118" t="s">
        <v>160</v>
      </c>
      <c r="V23" s="118" t="s">
        <v>160</v>
      </c>
      <c r="W23" s="118" t="s">
        <v>160</v>
      </c>
      <c r="X23" s="118" t="s">
        <v>160</v>
      </c>
      <c r="Y23" s="118">
        <v>615</v>
      </c>
      <c r="Z23" s="118">
        <v>578</v>
      </c>
      <c r="AA23" s="118">
        <v>627</v>
      </c>
      <c r="AB23" s="118">
        <v>574</v>
      </c>
      <c r="AC23" s="118">
        <v>654</v>
      </c>
      <c r="AD23" s="118">
        <v>470</v>
      </c>
      <c r="AE23" s="118">
        <v>343</v>
      </c>
      <c r="AF23" s="118">
        <v>292</v>
      </c>
      <c r="AG23" s="118">
        <v>254</v>
      </c>
      <c r="AH23" s="118">
        <v>307</v>
      </c>
      <c r="AI23" s="118">
        <v>258</v>
      </c>
      <c r="AJ23" s="118">
        <v>124</v>
      </c>
      <c r="AK23" s="118">
        <v>113</v>
      </c>
      <c r="AL23" s="118">
        <v>115</v>
      </c>
      <c r="AM23" s="118">
        <v>116</v>
      </c>
    </row>
    <row r="24" spans="1:55" x14ac:dyDescent="0.2">
      <c r="A24" t="s">
        <v>238</v>
      </c>
      <c r="B24" t="s">
        <v>656</v>
      </c>
      <c r="D24" s="129" t="str">
        <f>IF([1]RENAME!$H$3=1,B24,A24)</f>
        <v xml:space="preserve"> Imobilizado</v>
      </c>
      <c r="E24" s="118" t="s">
        <v>160</v>
      </c>
      <c r="F24" s="118" t="s">
        <v>160</v>
      </c>
      <c r="G24" s="118" t="s">
        <v>160</v>
      </c>
      <c r="H24" s="118" t="s">
        <v>160</v>
      </c>
      <c r="I24" s="118" t="s">
        <v>160</v>
      </c>
      <c r="J24" s="118" t="s">
        <v>160</v>
      </c>
      <c r="K24" s="118" t="s">
        <v>160</v>
      </c>
      <c r="L24" s="118" t="s">
        <v>160</v>
      </c>
      <c r="M24" s="118" t="s">
        <v>160</v>
      </c>
      <c r="N24" s="118" t="s">
        <v>160</v>
      </c>
      <c r="O24" s="118" t="s">
        <v>160</v>
      </c>
      <c r="P24" s="118" t="s">
        <v>160</v>
      </c>
      <c r="Q24" s="118" t="s">
        <v>160</v>
      </c>
      <c r="R24" s="118" t="s">
        <v>160</v>
      </c>
      <c r="S24" s="118" t="s">
        <v>160</v>
      </c>
      <c r="T24" s="118" t="s">
        <v>160</v>
      </c>
      <c r="U24" s="118" t="s">
        <v>160</v>
      </c>
      <c r="V24" s="118" t="s">
        <v>160</v>
      </c>
      <c r="W24" s="118" t="s">
        <v>160</v>
      </c>
      <c r="X24" s="118" t="s">
        <v>160</v>
      </c>
      <c r="Y24" s="118">
        <v>0</v>
      </c>
      <c r="Z24" s="118">
        <v>0</v>
      </c>
      <c r="AA24" s="118">
        <v>0</v>
      </c>
      <c r="AB24" s="118">
        <v>0</v>
      </c>
      <c r="AC24" s="118">
        <v>0</v>
      </c>
      <c r="AD24" s="118">
        <v>0</v>
      </c>
      <c r="AE24" s="118">
        <v>0</v>
      </c>
      <c r="AF24" s="118">
        <v>0</v>
      </c>
      <c r="AG24" s="118">
        <v>0</v>
      </c>
      <c r="AH24" s="118">
        <v>0</v>
      </c>
      <c r="AI24" s="118">
        <v>0</v>
      </c>
      <c r="AJ24" s="118">
        <v>0</v>
      </c>
      <c r="AK24" s="118"/>
      <c r="AL24" s="118">
        <v>0</v>
      </c>
      <c r="AM24" s="118">
        <v>0</v>
      </c>
    </row>
    <row r="25" spans="1:55" x14ac:dyDescent="0.2">
      <c r="A25" t="s">
        <v>1426</v>
      </c>
      <c r="B25" t="s">
        <v>1446</v>
      </c>
      <c r="D25" s="129" t="str">
        <f>IF([1]RENAME!$H$3=1,B25,A25)</f>
        <v>Direito de uso</v>
      </c>
      <c r="E25" s="118">
        <v>0</v>
      </c>
      <c r="F25" s="118">
        <v>0</v>
      </c>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18">
        <v>0</v>
      </c>
      <c r="Y25" s="118">
        <v>0</v>
      </c>
      <c r="Z25" s="118">
        <v>0</v>
      </c>
      <c r="AA25" s="118">
        <v>0</v>
      </c>
      <c r="AB25" s="118">
        <v>0</v>
      </c>
      <c r="AC25" s="118">
        <v>0</v>
      </c>
      <c r="AD25" s="118">
        <v>0</v>
      </c>
      <c r="AE25" s="118">
        <v>0</v>
      </c>
      <c r="AF25" s="118">
        <v>0</v>
      </c>
      <c r="AG25" s="118">
        <v>0</v>
      </c>
      <c r="AH25" s="118">
        <v>0</v>
      </c>
      <c r="AI25" s="118">
        <v>0</v>
      </c>
      <c r="AJ25" s="118">
        <v>0</v>
      </c>
      <c r="AK25" s="118"/>
      <c r="AL25" s="118">
        <v>0</v>
      </c>
      <c r="AM25" s="118">
        <v>0</v>
      </c>
    </row>
    <row r="26" spans="1:55" x14ac:dyDescent="0.2">
      <c r="A26" t="s">
        <v>30</v>
      </c>
      <c r="B26" t="s">
        <v>1122</v>
      </c>
      <c r="D26" s="129" t="str">
        <f>IF([1]RENAME!$H$3=1,B26,A26)</f>
        <v>Intangível</v>
      </c>
      <c r="E26" s="118" t="s">
        <v>160</v>
      </c>
      <c r="F26" s="118" t="s">
        <v>160</v>
      </c>
      <c r="G26" s="118" t="s">
        <v>160</v>
      </c>
      <c r="H26" s="118" t="s">
        <v>160</v>
      </c>
      <c r="I26" s="118" t="s">
        <v>160</v>
      </c>
      <c r="J26" s="118" t="s">
        <v>160</v>
      </c>
      <c r="K26" s="118" t="s">
        <v>160</v>
      </c>
      <c r="L26" s="118" t="s">
        <v>160</v>
      </c>
      <c r="M26" s="118" t="s">
        <v>160</v>
      </c>
      <c r="N26" s="118" t="s">
        <v>160</v>
      </c>
      <c r="O26" s="118" t="s">
        <v>160</v>
      </c>
      <c r="P26" s="118" t="s">
        <v>160</v>
      </c>
      <c r="Q26" s="118" t="s">
        <v>160</v>
      </c>
      <c r="R26" s="118" t="s">
        <v>160</v>
      </c>
      <c r="S26" s="118" t="s">
        <v>160</v>
      </c>
      <c r="T26" s="118" t="s">
        <v>160</v>
      </c>
      <c r="U26" s="118" t="s">
        <v>160</v>
      </c>
      <c r="V26" s="118" t="s">
        <v>160</v>
      </c>
      <c r="W26" s="118" t="s">
        <v>160</v>
      </c>
      <c r="X26" s="118" t="s">
        <v>160</v>
      </c>
      <c r="Y26" s="118">
        <v>0</v>
      </c>
      <c r="Z26" s="118">
        <v>0</v>
      </c>
      <c r="AA26" s="118">
        <v>0</v>
      </c>
      <c r="AB26" s="118">
        <v>0</v>
      </c>
      <c r="AC26" s="118">
        <v>0</v>
      </c>
      <c r="AD26" s="118">
        <v>0</v>
      </c>
      <c r="AE26" s="118">
        <v>0</v>
      </c>
      <c r="AF26" s="118">
        <v>0</v>
      </c>
      <c r="AG26" s="118">
        <v>0</v>
      </c>
      <c r="AH26" s="118">
        <v>0</v>
      </c>
      <c r="AI26" s="118">
        <v>0</v>
      </c>
      <c r="AJ26" s="118">
        <v>0</v>
      </c>
      <c r="AK26" s="118"/>
      <c r="AL26" s="118">
        <v>0</v>
      </c>
      <c r="AM26" s="118">
        <v>0</v>
      </c>
    </row>
    <row r="27" spans="1:55" x14ac:dyDescent="0.2">
      <c r="A27" t="s">
        <v>234</v>
      </c>
      <c r="B27" t="s">
        <v>638</v>
      </c>
      <c r="D27" s="126" t="str">
        <f>IF([1]RENAME!$H$3=1,B27,A27)</f>
        <v>Ativo</v>
      </c>
      <c r="E27" s="207" t="s">
        <v>160</v>
      </c>
      <c r="F27" s="207" t="s">
        <v>160</v>
      </c>
      <c r="G27" s="207" t="s">
        <v>160</v>
      </c>
      <c r="H27" s="207" t="s">
        <v>160</v>
      </c>
      <c r="I27" s="207" t="s">
        <v>160</v>
      </c>
      <c r="J27" s="207" t="s">
        <v>160</v>
      </c>
      <c r="K27" s="207" t="s">
        <v>160</v>
      </c>
      <c r="L27" s="207" t="s">
        <v>160</v>
      </c>
      <c r="M27" s="207" t="s">
        <v>160</v>
      </c>
      <c r="N27" s="207" t="s">
        <v>160</v>
      </c>
      <c r="O27" s="207" t="s">
        <v>160</v>
      </c>
      <c r="P27" s="207" t="s">
        <v>160</v>
      </c>
      <c r="Q27" s="207" t="s">
        <v>160</v>
      </c>
      <c r="R27" s="207" t="s">
        <v>160</v>
      </c>
      <c r="S27" s="207" t="s">
        <v>160</v>
      </c>
      <c r="T27" s="207" t="s">
        <v>160</v>
      </c>
      <c r="U27" s="207" t="s">
        <v>160</v>
      </c>
      <c r="V27" s="120">
        <f t="shared" ref="V27:AC27" si="18">SUM(V22:V26)</f>
        <v>0</v>
      </c>
      <c r="W27" s="120">
        <f t="shared" si="18"/>
        <v>0</v>
      </c>
      <c r="X27" s="120">
        <f t="shared" si="18"/>
        <v>0</v>
      </c>
      <c r="Y27" s="120">
        <f t="shared" si="18"/>
        <v>3897</v>
      </c>
      <c r="Z27" s="120">
        <f t="shared" si="18"/>
        <v>3412</v>
      </c>
      <c r="AA27" s="120">
        <f t="shared" si="18"/>
        <v>2795</v>
      </c>
      <c r="AB27" s="120">
        <f t="shared" si="18"/>
        <v>2062</v>
      </c>
      <c r="AC27" s="120">
        <f t="shared" si="18"/>
        <v>1917</v>
      </c>
      <c r="AD27" s="120">
        <f t="shared" ref="AD27:AL27" si="19">SUM(AD22:AD26)</f>
        <v>1881</v>
      </c>
      <c r="AE27" s="120">
        <f t="shared" si="19"/>
        <v>1658</v>
      </c>
      <c r="AF27" s="120">
        <f t="shared" si="19"/>
        <v>1607</v>
      </c>
      <c r="AG27" s="120">
        <f t="shared" si="19"/>
        <v>1532</v>
      </c>
      <c r="AH27" s="120">
        <f t="shared" si="19"/>
        <v>1529</v>
      </c>
      <c r="AI27" s="120">
        <f t="shared" si="19"/>
        <v>1485</v>
      </c>
      <c r="AJ27" s="120">
        <f t="shared" si="19"/>
        <v>1139</v>
      </c>
      <c r="AK27" s="120">
        <f t="shared" si="19"/>
        <v>9148</v>
      </c>
      <c r="AL27" s="120">
        <f t="shared" si="19"/>
        <v>8937</v>
      </c>
      <c r="AM27" s="120">
        <f>SUM(AM22:AM26)</f>
        <v>9007</v>
      </c>
    </row>
    <row r="28" spans="1:55" x14ac:dyDescent="0.2">
      <c r="A28" t="s">
        <v>1500</v>
      </c>
      <c r="B28" t="s">
        <v>935</v>
      </c>
      <c r="D28" s="129" t="str">
        <f>IF([1]RENAME!$H$3=1,B28,A28)</f>
        <v xml:space="preserve"> Passivo Circulante</v>
      </c>
      <c r="E28" s="118" t="s">
        <v>160</v>
      </c>
      <c r="F28" s="118" t="s">
        <v>160</v>
      </c>
      <c r="G28" s="118" t="s">
        <v>160</v>
      </c>
      <c r="H28" s="118" t="s">
        <v>160</v>
      </c>
      <c r="I28" s="118" t="s">
        <v>160</v>
      </c>
      <c r="J28" s="118" t="s">
        <v>160</v>
      </c>
      <c r="K28" s="118" t="s">
        <v>160</v>
      </c>
      <c r="L28" s="118" t="s">
        <v>160</v>
      </c>
      <c r="M28" s="118" t="s">
        <v>160</v>
      </c>
      <c r="N28" s="118" t="s">
        <v>160</v>
      </c>
      <c r="O28" s="118" t="s">
        <v>160</v>
      </c>
      <c r="P28" s="118" t="s">
        <v>160</v>
      </c>
      <c r="Q28" s="118" t="s">
        <v>160</v>
      </c>
      <c r="R28" s="118" t="s">
        <v>160</v>
      </c>
      <c r="S28" s="118" t="s">
        <v>160</v>
      </c>
      <c r="T28" s="118" t="s">
        <v>160</v>
      </c>
      <c r="U28" s="118" t="s">
        <v>160</v>
      </c>
      <c r="V28" s="118" t="s">
        <v>160</v>
      </c>
      <c r="W28" s="118" t="s">
        <v>160</v>
      </c>
      <c r="X28" s="118" t="s">
        <v>160</v>
      </c>
      <c r="Y28" s="118">
        <v>236</v>
      </c>
      <c r="Z28" s="118">
        <v>211</v>
      </c>
      <c r="AA28" s="118">
        <v>49</v>
      </c>
      <c r="AB28" s="118">
        <v>19</v>
      </c>
      <c r="AC28" s="118">
        <v>18</v>
      </c>
      <c r="AD28" s="118">
        <v>21</v>
      </c>
      <c r="AE28" s="118">
        <v>36</v>
      </c>
      <c r="AF28" s="118">
        <v>27</v>
      </c>
      <c r="AG28" s="118">
        <v>37</v>
      </c>
      <c r="AH28" s="118">
        <v>26</v>
      </c>
      <c r="AI28" s="118">
        <v>22</v>
      </c>
      <c r="AJ28" s="118">
        <v>54</v>
      </c>
      <c r="AK28" s="118">
        <v>833</v>
      </c>
      <c r="AL28" s="118">
        <v>565</v>
      </c>
      <c r="AM28" s="118">
        <v>573</v>
      </c>
    </row>
    <row r="29" spans="1:55" x14ac:dyDescent="0.2">
      <c r="A29" t="s">
        <v>1501</v>
      </c>
      <c r="B29" t="s">
        <v>936</v>
      </c>
      <c r="D29" s="129" t="str">
        <f>IF([1]RENAME!$H$3=1,B29,A29)</f>
        <v xml:space="preserve"> Passivo Não circulante</v>
      </c>
      <c r="E29" s="118" t="s">
        <v>160</v>
      </c>
      <c r="F29" s="118" t="s">
        <v>160</v>
      </c>
      <c r="G29" s="118" t="s">
        <v>160</v>
      </c>
      <c r="H29" s="118" t="s">
        <v>160</v>
      </c>
      <c r="I29" s="118" t="s">
        <v>160</v>
      </c>
      <c r="J29" s="118" t="s">
        <v>160</v>
      </c>
      <c r="K29" s="118" t="s">
        <v>160</v>
      </c>
      <c r="L29" s="118" t="s">
        <v>160</v>
      </c>
      <c r="M29" s="118" t="s">
        <v>160</v>
      </c>
      <c r="N29" s="118" t="s">
        <v>160</v>
      </c>
      <c r="O29" s="118" t="s">
        <v>160</v>
      </c>
      <c r="P29" s="118" t="s">
        <v>160</v>
      </c>
      <c r="Q29" s="118" t="s">
        <v>160</v>
      </c>
      <c r="R29" s="118" t="s">
        <v>160</v>
      </c>
      <c r="S29" s="118" t="s">
        <v>160</v>
      </c>
      <c r="T29" s="118" t="s">
        <v>160</v>
      </c>
      <c r="U29" s="118" t="s">
        <v>160</v>
      </c>
      <c r="V29" s="118" t="s">
        <v>160</v>
      </c>
      <c r="W29" s="118" t="s">
        <v>160</v>
      </c>
      <c r="X29" s="118" t="s">
        <v>160</v>
      </c>
      <c r="Y29" s="118">
        <v>777</v>
      </c>
      <c r="Z29" s="118">
        <v>694</v>
      </c>
      <c r="AA29" s="118">
        <v>1019</v>
      </c>
      <c r="AB29" s="118">
        <v>974</v>
      </c>
      <c r="AC29" s="118">
        <v>893</v>
      </c>
      <c r="AD29" s="118">
        <v>997</v>
      </c>
      <c r="AE29" s="118">
        <v>891</v>
      </c>
      <c r="AF29" s="118">
        <v>704</v>
      </c>
      <c r="AG29" s="118">
        <v>658</v>
      </c>
      <c r="AH29" s="118">
        <v>681</v>
      </c>
      <c r="AI29" s="118">
        <v>651</v>
      </c>
      <c r="AJ29" s="118">
        <v>420</v>
      </c>
      <c r="AK29" s="118">
        <v>1959</v>
      </c>
      <c r="AL29" s="118">
        <v>1961</v>
      </c>
      <c r="AM29" s="118">
        <v>1965</v>
      </c>
    </row>
    <row r="30" spans="1:55" ht="15" customHeight="1" x14ac:dyDescent="0.2">
      <c r="A30" t="s">
        <v>240</v>
      </c>
      <c r="B30" t="s">
        <v>708</v>
      </c>
      <c r="D30" s="129" t="str">
        <f>IF([1]RENAME!$H$3=1,B30,A30)</f>
        <v xml:space="preserve"> Patrimônio líquido</v>
      </c>
      <c r="E30" s="118" t="s">
        <v>160</v>
      </c>
      <c r="F30" s="118" t="s">
        <v>160</v>
      </c>
      <c r="G30" s="118" t="s">
        <v>160</v>
      </c>
      <c r="H30" s="118" t="s">
        <v>160</v>
      </c>
      <c r="I30" s="118" t="s">
        <v>160</v>
      </c>
      <c r="J30" s="118" t="s">
        <v>160</v>
      </c>
      <c r="K30" s="118" t="s">
        <v>160</v>
      </c>
      <c r="L30" s="118" t="s">
        <v>160</v>
      </c>
      <c r="M30" s="118" t="s">
        <v>160</v>
      </c>
      <c r="N30" s="118" t="s">
        <v>160</v>
      </c>
      <c r="O30" s="118" t="s">
        <v>160</v>
      </c>
      <c r="P30" s="118" t="s">
        <v>160</v>
      </c>
      <c r="Q30" s="118" t="s">
        <v>160</v>
      </c>
      <c r="R30" s="118" t="s">
        <v>160</v>
      </c>
      <c r="S30" s="118" t="s">
        <v>160</v>
      </c>
      <c r="T30" s="118" t="s">
        <v>160</v>
      </c>
      <c r="U30" s="118" t="s">
        <v>160</v>
      </c>
      <c r="V30" s="118" t="s">
        <v>160</v>
      </c>
      <c r="W30" s="118" t="s">
        <v>160</v>
      </c>
      <c r="X30" s="118" t="s">
        <v>160</v>
      </c>
      <c r="Y30" s="118">
        <v>2884</v>
      </c>
      <c r="Z30" s="118">
        <v>2507</v>
      </c>
      <c r="AA30" s="118">
        <v>1727</v>
      </c>
      <c r="AB30" s="118">
        <v>1069</v>
      </c>
      <c r="AC30" s="118">
        <v>1006</v>
      </c>
      <c r="AD30" s="118">
        <v>863</v>
      </c>
      <c r="AE30" s="118">
        <v>731</v>
      </c>
      <c r="AF30" s="118">
        <v>876</v>
      </c>
      <c r="AG30" s="118">
        <v>837</v>
      </c>
      <c r="AH30" s="118">
        <v>822</v>
      </c>
      <c r="AI30" s="118">
        <v>812</v>
      </c>
      <c r="AJ30" s="118">
        <v>665</v>
      </c>
      <c r="AK30" s="118">
        <v>6356</v>
      </c>
      <c r="AL30" s="118">
        <v>6411</v>
      </c>
      <c r="AM30" s="118">
        <v>6469</v>
      </c>
    </row>
    <row r="31" spans="1:55" x14ac:dyDescent="0.2">
      <c r="A31" t="s">
        <v>239</v>
      </c>
      <c r="B31" t="s">
        <v>937</v>
      </c>
      <c r="D31" s="126" t="str">
        <f>IF([1]RENAME!$H$3=1,B31,A31)</f>
        <v>Passivo e patrimônio líquido</v>
      </c>
      <c r="E31" s="207" t="s">
        <v>160</v>
      </c>
      <c r="F31" s="207" t="s">
        <v>160</v>
      </c>
      <c r="G31" s="207" t="s">
        <v>160</v>
      </c>
      <c r="H31" s="207" t="s">
        <v>160</v>
      </c>
      <c r="I31" s="207" t="s">
        <v>160</v>
      </c>
      <c r="J31" s="207" t="s">
        <v>160</v>
      </c>
      <c r="K31" s="207" t="s">
        <v>160</v>
      </c>
      <c r="L31" s="207" t="s">
        <v>160</v>
      </c>
      <c r="M31" s="207" t="s">
        <v>160</v>
      </c>
      <c r="N31" s="207" t="s">
        <v>160</v>
      </c>
      <c r="O31" s="207" t="s">
        <v>160</v>
      </c>
      <c r="P31" s="207" t="s">
        <v>160</v>
      </c>
      <c r="Q31" s="207" t="s">
        <v>160</v>
      </c>
      <c r="R31" s="207" t="s">
        <v>160</v>
      </c>
      <c r="S31" s="207" t="s">
        <v>160</v>
      </c>
      <c r="T31" s="207" t="s">
        <v>160</v>
      </c>
      <c r="U31" s="207" t="s">
        <v>160</v>
      </c>
      <c r="V31" s="120">
        <f t="shared" ref="V31:AC31" si="20">SUM(V28:V30)</f>
        <v>0</v>
      </c>
      <c r="W31" s="120">
        <f t="shared" si="20"/>
        <v>0</v>
      </c>
      <c r="X31" s="120">
        <f t="shared" si="20"/>
        <v>0</v>
      </c>
      <c r="Y31" s="120">
        <f t="shared" si="20"/>
        <v>3897</v>
      </c>
      <c r="Z31" s="120">
        <f t="shared" si="20"/>
        <v>3412</v>
      </c>
      <c r="AA31" s="120">
        <f t="shared" si="20"/>
        <v>2795</v>
      </c>
      <c r="AB31" s="120">
        <f t="shared" si="20"/>
        <v>2062</v>
      </c>
      <c r="AC31" s="120">
        <f t="shared" si="20"/>
        <v>1917</v>
      </c>
      <c r="AD31" s="120">
        <f t="shared" ref="AD31:AL31" si="21">SUM(AD28:AD30)</f>
        <v>1881</v>
      </c>
      <c r="AE31" s="120">
        <f t="shared" si="21"/>
        <v>1658</v>
      </c>
      <c r="AF31" s="120">
        <f t="shared" si="21"/>
        <v>1607</v>
      </c>
      <c r="AG31" s="120">
        <f t="shared" si="21"/>
        <v>1532</v>
      </c>
      <c r="AH31" s="120">
        <f t="shared" si="21"/>
        <v>1529</v>
      </c>
      <c r="AI31" s="120">
        <f t="shared" si="21"/>
        <v>1485</v>
      </c>
      <c r="AJ31" s="120">
        <f t="shared" si="21"/>
        <v>1139</v>
      </c>
      <c r="AK31" s="120">
        <f t="shared" si="21"/>
        <v>9148</v>
      </c>
      <c r="AL31" s="120">
        <f t="shared" si="21"/>
        <v>8937</v>
      </c>
      <c r="AM31" s="120">
        <f>SUM(AM28:AM30)</f>
        <v>9007</v>
      </c>
    </row>
    <row r="33" spans="1:55" x14ac:dyDescent="0.2">
      <c r="D33" s="145" t="s">
        <v>1523</v>
      </c>
      <c r="E33" s="115">
        <f t="shared" ref="E33:Z33" si="22">E21</f>
        <v>2013</v>
      </c>
      <c r="F33" s="115" t="str">
        <f t="shared" si="22"/>
        <v>1T14</v>
      </c>
      <c r="G33" s="115" t="str">
        <f t="shared" si="22"/>
        <v>2T14</v>
      </c>
      <c r="H33" s="115" t="str">
        <f t="shared" si="22"/>
        <v>3T14</v>
      </c>
      <c r="I33" s="115" t="str">
        <f t="shared" si="22"/>
        <v>4T14</v>
      </c>
      <c r="J33" s="115" t="str">
        <f t="shared" si="22"/>
        <v>1T15</v>
      </c>
      <c r="K33" s="115" t="str">
        <f t="shared" si="22"/>
        <v>2T15</v>
      </c>
      <c r="L33" s="115" t="str">
        <f t="shared" si="22"/>
        <v>3T15</v>
      </c>
      <c r="M33" s="115" t="str">
        <f t="shared" si="22"/>
        <v>4T15</v>
      </c>
      <c r="N33" s="115" t="str">
        <f t="shared" si="22"/>
        <v>1T16</v>
      </c>
      <c r="O33" s="115" t="str">
        <f t="shared" si="22"/>
        <v>2T16</v>
      </c>
      <c r="P33" s="115" t="str">
        <f t="shared" si="22"/>
        <v>3T16</v>
      </c>
      <c r="Q33" s="115" t="str">
        <f t="shared" si="22"/>
        <v>4T16</v>
      </c>
      <c r="R33" s="115" t="str">
        <f t="shared" si="22"/>
        <v>1T17</v>
      </c>
      <c r="S33" s="115" t="str">
        <f t="shared" si="22"/>
        <v>2T17</v>
      </c>
      <c r="T33" s="115" t="str">
        <f t="shared" si="22"/>
        <v>3T17</v>
      </c>
      <c r="U33" s="115" t="str">
        <f t="shared" si="22"/>
        <v>4T17</v>
      </c>
      <c r="V33" s="115" t="str">
        <f t="shared" si="22"/>
        <v>1T18</v>
      </c>
      <c r="W33" s="115" t="str">
        <f t="shared" si="22"/>
        <v>2T18</v>
      </c>
      <c r="X33" s="115" t="str">
        <f t="shared" si="22"/>
        <v>3T18</v>
      </c>
      <c r="Y33" s="115" t="str">
        <f t="shared" si="22"/>
        <v>4T18</v>
      </c>
      <c r="Z33" s="115" t="str">
        <f t="shared" si="22"/>
        <v>1T19</v>
      </c>
      <c r="AA33" s="115" t="str">
        <f t="shared" ref="AA33:AF33" si="23">AA21</f>
        <v>2T19</v>
      </c>
      <c r="AB33" s="115" t="str">
        <f t="shared" si="23"/>
        <v>3T19</v>
      </c>
      <c r="AC33" s="115" t="str">
        <f t="shared" si="23"/>
        <v>4T19</v>
      </c>
      <c r="AD33" s="115" t="str">
        <f t="shared" si="23"/>
        <v>1T20</v>
      </c>
      <c r="AE33" s="115" t="str">
        <f t="shared" si="23"/>
        <v>2T20</v>
      </c>
      <c r="AF33" s="115" t="str">
        <f t="shared" si="23"/>
        <v>3T20</v>
      </c>
      <c r="AG33" s="115" t="str">
        <f t="shared" ref="AG33:AM33" si="24">AG21</f>
        <v>4T20</v>
      </c>
      <c r="AH33" s="115" t="str">
        <f t="shared" si="24"/>
        <v>1T21</v>
      </c>
      <c r="AI33" s="115" t="str">
        <f t="shared" si="24"/>
        <v>2T21</v>
      </c>
      <c r="AJ33" s="115" t="str">
        <f t="shared" si="24"/>
        <v>3T21</v>
      </c>
      <c r="AK33" s="115" t="str">
        <f t="shared" si="24"/>
        <v>4T21</v>
      </c>
      <c r="AL33" s="115" t="str">
        <f t="shared" si="24"/>
        <v>1T22</v>
      </c>
      <c r="AM33" s="115" t="str">
        <f t="shared" si="24"/>
        <v>2T22</v>
      </c>
    </row>
    <row r="34" spans="1:55" x14ac:dyDescent="0.2">
      <c r="A34" t="s">
        <v>241</v>
      </c>
      <c r="B34" t="s">
        <v>695</v>
      </c>
      <c r="D34" s="126" t="str">
        <f>IF([1]RENAME!$H$3=1,B34,A34)</f>
        <v xml:space="preserve"> Receita líquida</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0</v>
      </c>
      <c r="AA34" s="120">
        <v>0</v>
      </c>
      <c r="AB34" s="120">
        <v>0</v>
      </c>
      <c r="AC34" s="120">
        <v>0</v>
      </c>
      <c r="AD34" s="120">
        <v>0</v>
      </c>
      <c r="AE34" s="120">
        <v>0</v>
      </c>
      <c r="AF34" s="120">
        <v>0</v>
      </c>
      <c r="AG34" s="120">
        <v>0</v>
      </c>
      <c r="AH34" s="120">
        <v>0</v>
      </c>
      <c r="AI34" s="120">
        <v>0</v>
      </c>
      <c r="AJ34" s="120">
        <v>0</v>
      </c>
      <c r="AK34" s="120">
        <v>0</v>
      </c>
      <c r="AL34" s="120">
        <v>0</v>
      </c>
      <c r="AM34" s="120">
        <v>0</v>
      </c>
    </row>
    <row r="35" spans="1:55" x14ac:dyDescent="0.2">
      <c r="A35" t="s">
        <v>242</v>
      </c>
      <c r="B35" t="s">
        <v>802</v>
      </c>
      <c r="D35" s="129" t="str">
        <f>IF([1]RENAME!$H$3=1,B35,A35)</f>
        <v>Custo dos serviços prestados</v>
      </c>
      <c r="E35" s="118">
        <v>0</v>
      </c>
      <c r="F35" s="118">
        <v>0</v>
      </c>
      <c r="G35" s="118">
        <v>0</v>
      </c>
      <c r="H35" s="118">
        <v>0</v>
      </c>
      <c r="I35" s="118">
        <v>0</v>
      </c>
      <c r="J35" s="118">
        <v>0</v>
      </c>
      <c r="K35" s="118">
        <v>0</v>
      </c>
      <c r="L35" s="118">
        <v>0</v>
      </c>
      <c r="M35" s="118">
        <v>0</v>
      </c>
      <c r="N35" s="118">
        <v>0</v>
      </c>
      <c r="O35" s="118">
        <v>0</v>
      </c>
      <c r="P35" s="118">
        <v>0</v>
      </c>
      <c r="Q35" s="118">
        <v>0</v>
      </c>
      <c r="R35" s="118">
        <v>0</v>
      </c>
      <c r="S35" s="118">
        <v>0</v>
      </c>
      <c r="T35" s="118">
        <v>0</v>
      </c>
      <c r="U35" s="118">
        <v>0</v>
      </c>
      <c r="V35" s="118">
        <v>0</v>
      </c>
      <c r="W35" s="118">
        <v>0</v>
      </c>
      <c r="X35" s="118">
        <v>0</v>
      </c>
      <c r="Y35" s="118">
        <v>0</v>
      </c>
      <c r="Z35" s="118">
        <v>0</v>
      </c>
      <c r="AA35" s="118">
        <v>0</v>
      </c>
      <c r="AB35" s="118">
        <v>0</v>
      </c>
      <c r="AC35" s="118">
        <v>0</v>
      </c>
      <c r="AD35" s="118">
        <v>0</v>
      </c>
      <c r="AE35" s="118">
        <v>0</v>
      </c>
      <c r="AF35" s="118">
        <v>0</v>
      </c>
      <c r="AG35" s="118">
        <v>0</v>
      </c>
      <c r="AH35" s="118">
        <v>0</v>
      </c>
      <c r="AI35" s="118">
        <v>0</v>
      </c>
      <c r="AJ35" s="118">
        <v>0</v>
      </c>
      <c r="AK35" s="118">
        <v>-10</v>
      </c>
      <c r="AL35" s="118">
        <v>0</v>
      </c>
      <c r="AM35" s="118">
        <v>0</v>
      </c>
    </row>
    <row r="36" spans="1:55" x14ac:dyDescent="0.2">
      <c r="A36" t="s">
        <v>243</v>
      </c>
      <c r="B36" t="s">
        <v>702</v>
      </c>
      <c r="D36" s="129" t="str">
        <f>IF([1]RENAME!$H$3=1,B36,A36)</f>
        <v>Despesas gerais e administrativas</v>
      </c>
      <c r="E36" s="118">
        <v>0</v>
      </c>
      <c r="F36" s="118">
        <v>0</v>
      </c>
      <c r="G36" s="118">
        <v>0</v>
      </c>
      <c r="H36" s="118">
        <v>0</v>
      </c>
      <c r="I36" s="118">
        <v>0</v>
      </c>
      <c r="J36" s="118">
        <v>0</v>
      </c>
      <c r="K36" s="118">
        <v>0</v>
      </c>
      <c r="L36" s="118">
        <v>0</v>
      </c>
      <c r="M36" s="118">
        <v>0</v>
      </c>
      <c r="N36" s="118">
        <v>0</v>
      </c>
      <c r="O36" s="118">
        <v>0</v>
      </c>
      <c r="P36" s="118">
        <v>0</v>
      </c>
      <c r="Q36" s="118">
        <v>0</v>
      </c>
      <c r="R36" s="118">
        <v>0</v>
      </c>
      <c r="S36" s="118">
        <v>0</v>
      </c>
      <c r="T36" s="118">
        <v>0</v>
      </c>
      <c r="U36" s="118">
        <v>0</v>
      </c>
      <c r="V36" s="118">
        <v>0</v>
      </c>
      <c r="W36" s="118">
        <v>0</v>
      </c>
      <c r="X36" s="118">
        <v>0</v>
      </c>
      <c r="Y36" s="118">
        <v>0</v>
      </c>
      <c r="Z36" s="118">
        <v>-139</v>
      </c>
      <c r="AA36" s="118">
        <v>-66</v>
      </c>
      <c r="AB36" s="118">
        <v>-36</v>
      </c>
      <c r="AC36" s="118">
        <v>-38</v>
      </c>
      <c r="AD36" s="118">
        <v>-41</v>
      </c>
      <c r="AE36" s="118">
        <v>-42</v>
      </c>
      <c r="AF36" s="118">
        <v>-28</v>
      </c>
      <c r="AG36" s="118">
        <v>-28</v>
      </c>
      <c r="AH36" s="118">
        <v>-52</v>
      </c>
      <c r="AI36" s="118">
        <v>-32</v>
      </c>
      <c r="AJ36" s="118">
        <v>-83</v>
      </c>
      <c r="AK36" s="118">
        <v>-649</v>
      </c>
      <c r="AL36" s="118">
        <v>-51</v>
      </c>
      <c r="AM36" s="118">
        <v>-75</v>
      </c>
    </row>
    <row r="37" spans="1:55" x14ac:dyDescent="0.2">
      <c r="A37" t="s">
        <v>244</v>
      </c>
      <c r="B37" t="s">
        <v>938</v>
      </c>
      <c r="D37" s="129" t="str">
        <f>IF([1]RENAME!$H$3=1,B37,A37)</f>
        <v>Receitas financeiras, líquidas</v>
      </c>
      <c r="E37" s="118">
        <v>0</v>
      </c>
      <c r="F37" s="118">
        <v>0</v>
      </c>
      <c r="G37" s="118">
        <v>0</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8">
        <v>0</v>
      </c>
      <c r="Y37" s="118">
        <v>0</v>
      </c>
      <c r="Z37" s="118">
        <v>50</v>
      </c>
      <c r="AA37" s="118">
        <v>34</v>
      </c>
      <c r="AB37" s="118">
        <v>25</v>
      </c>
      <c r="AC37" s="118">
        <v>21</v>
      </c>
      <c r="AD37" s="118">
        <v>12</v>
      </c>
      <c r="AE37" s="118">
        <v>20</v>
      </c>
      <c r="AF37" s="118">
        <v>6</v>
      </c>
      <c r="AG37" s="118">
        <v>5</v>
      </c>
      <c r="AH37" s="118">
        <v>38</v>
      </c>
      <c r="AI37" s="118">
        <v>10</v>
      </c>
      <c r="AJ37" s="118">
        <v>14</v>
      </c>
      <c r="AK37" s="118">
        <v>3500</v>
      </c>
      <c r="AL37" s="118">
        <v>111</v>
      </c>
      <c r="AM37" s="118">
        <v>136</v>
      </c>
    </row>
    <row r="38" spans="1:55" x14ac:dyDescent="0.2">
      <c r="A38" t="s">
        <v>245</v>
      </c>
      <c r="B38" t="s">
        <v>939</v>
      </c>
      <c r="D38" s="129" t="str">
        <f>IF([1]RENAME!$H$3=1,B38,A38)</f>
        <v>Outras (despesas) receitas, líquidas</v>
      </c>
      <c r="E38" s="118">
        <v>0</v>
      </c>
      <c r="F38" s="118">
        <v>0</v>
      </c>
      <c r="G38" s="118">
        <v>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8">
        <v>0</v>
      </c>
      <c r="Y38" s="118">
        <v>0</v>
      </c>
      <c r="Z38" s="118">
        <v>-113</v>
      </c>
      <c r="AA38" s="118">
        <v>-374</v>
      </c>
      <c r="AB38" s="118">
        <v>7</v>
      </c>
      <c r="AC38" s="118">
        <v>-47</v>
      </c>
      <c r="AD38" s="118">
        <v>-114</v>
      </c>
      <c r="AE38" s="118">
        <v>-111</v>
      </c>
      <c r="AF38" s="118">
        <v>167</v>
      </c>
      <c r="AG38" s="118">
        <v>-15</v>
      </c>
      <c r="AH38" s="118">
        <v>2</v>
      </c>
      <c r="AI38" s="118">
        <v>12</v>
      </c>
      <c r="AJ38" s="118">
        <v>-78</v>
      </c>
      <c r="AK38" s="118">
        <v>4344</v>
      </c>
      <c r="AL38" s="118">
        <v>-5</v>
      </c>
      <c r="AM38" s="118">
        <v>-4</v>
      </c>
    </row>
    <row r="39" spans="1:55" x14ac:dyDescent="0.2">
      <c r="A39" t="s">
        <v>15</v>
      </c>
      <c r="B39" t="s">
        <v>940</v>
      </c>
      <c r="D39" s="129" t="str">
        <f>IF([1]RENAME!$H$3=1,B39,A39)</f>
        <v>Imposto de renda e contribuição social</v>
      </c>
      <c r="E39" s="118">
        <v>0</v>
      </c>
      <c r="F39" s="118">
        <v>0</v>
      </c>
      <c r="G39" s="118">
        <v>0</v>
      </c>
      <c r="H39" s="118">
        <v>0</v>
      </c>
      <c r="I39" s="118">
        <v>0</v>
      </c>
      <c r="J39" s="118">
        <v>0</v>
      </c>
      <c r="K39" s="118">
        <v>0</v>
      </c>
      <c r="L39" s="118">
        <v>0</v>
      </c>
      <c r="M39" s="118">
        <v>0</v>
      </c>
      <c r="N39" s="118">
        <v>0</v>
      </c>
      <c r="O39" s="118">
        <v>0</v>
      </c>
      <c r="P39" s="118">
        <v>0</v>
      </c>
      <c r="Q39" s="118">
        <v>0</v>
      </c>
      <c r="R39" s="118">
        <v>0</v>
      </c>
      <c r="S39" s="118">
        <v>0</v>
      </c>
      <c r="T39" s="118">
        <v>0</v>
      </c>
      <c r="U39" s="118">
        <v>0</v>
      </c>
      <c r="V39" s="118">
        <v>0</v>
      </c>
      <c r="W39" s="118">
        <v>0</v>
      </c>
      <c r="X39" s="118">
        <v>0</v>
      </c>
      <c r="Y39" s="118">
        <v>0</v>
      </c>
      <c r="Z39" s="118">
        <v>0</v>
      </c>
      <c r="AA39" s="118">
        <v>-4</v>
      </c>
      <c r="AB39" s="118">
        <v>0</v>
      </c>
      <c r="AC39" s="118">
        <v>0</v>
      </c>
      <c r="AD39" s="118">
        <v>0</v>
      </c>
      <c r="AE39" s="118">
        <v>0</v>
      </c>
      <c r="AF39" s="118">
        <v>0</v>
      </c>
      <c r="AG39" s="118">
        <v>0</v>
      </c>
      <c r="AH39" s="118">
        <v>-2</v>
      </c>
      <c r="AI39" s="118">
        <v>0</v>
      </c>
      <c r="AJ39" s="118">
        <v>0</v>
      </c>
      <c r="AK39" s="118">
        <v>-1495</v>
      </c>
      <c r="AL39" s="118">
        <v>0</v>
      </c>
      <c r="AM39" s="118">
        <v>0</v>
      </c>
    </row>
    <row r="40" spans="1:55" x14ac:dyDescent="0.2">
      <c r="A40" t="s">
        <v>246</v>
      </c>
      <c r="B40" t="s">
        <v>941</v>
      </c>
      <c r="D40" s="126" t="str">
        <f>IF([1]RENAME!$H$3=1,B40,A40)</f>
        <v>Lucro líquido/(prejuízo) do exercício</v>
      </c>
      <c r="E40" s="120">
        <v>0</v>
      </c>
      <c r="F40" s="120">
        <v>0</v>
      </c>
      <c r="G40" s="120">
        <v>0</v>
      </c>
      <c r="H40" s="120">
        <v>0</v>
      </c>
      <c r="I40" s="120">
        <v>0</v>
      </c>
      <c r="J40" s="120">
        <v>0</v>
      </c>
      <c r="K40" s="120">
        <v>0</v>
      </c>
      <c r="L40" s="120">
        <v>0</v>
      </c>
      <c r="M40" s="120">
        <v>0</v>
      </c>
      <c r="N40" s="120">
        <v>0</v>
      </c>
      <c r="O40" s="120">
        <v>0</v>
      </c>
      <c r="P40" s="120">
        <v>0</v>
      </c>
      <c r="Q40" s="120">
        <v>0</v>
      </c>
      <c r="R40" s="120">
        <v>0</v>
      </c>
      <c r="S40" s="120">
        <v>0</v>
      </c>
      <c r="T40" s="120">
        <v>0</v>
      </c>
      <c r="U40" s="120">
        <v>0</v>
      </c>
      <c r="V40" s="120">
        <f t="shared" ref="V40:AC40" si="25">+SUM(V34:V39)</f>
        <v>0</v>
      </c>
      <c r="W40" s="120">
        <f t="shared" si="25"/>
        <v>0</v>
      </c>
      <c r="X40" s="120">
        <f t="shared" si="25"/>
        <v>0</v>
      </c>
      <c r="Y40" s="120">
        <f t="shared" si="25"/>
        <v>0</v>
      </c>
      <c r="Z40" s="120">
        <f t="shared" si="25"/>
        <v>-202</v>
      </c>
      <c r="AA40" s="120">
        <f t="shared" si="25"/>
        <v>-410</v>
      </c>
      <c r="AB40" s="120">
        <f t="shared" si="25"/>
        <v>-4</v>
      </c>
      <c r="AC40" s="120">
        <f t="shared" si="25"/>
        <v>-64</v>
      </c>
      <c r="AD40" s="120">
        <f t="shared" ref="AD40:AM40" si="26">+SUM(AD34:AD39)</f>
        <v>-143</v>
      </c>
      <c r="AE40" s="120">
        <f t="shared" si="26"/>
        <v>-133</v>
      </c>
      <c r="AF40" s="120">
        <f t="shared" si="26"/>
        <v>145</v>
      </c>
      <c r="AG40" s="120">
        <f t="shared" si="26"/>
        <v>-38</v>
      </c>
      <c r="AH40" s="120">
        <f t="shared" si="26"/>
        <v>-14</v>
      </c>
      <c r="AI40" s="120">
        <f t="shared" si="26"/>
        <v>-10</v>
      </c>
      <c r="AJ40" s="120">
        <f t="shared" si="26"/>
        <v>-147</v>
      </c>
      <c r="AK40" s="120">
        <f t="shared" si="26"/>
        <v>5690</v>
      </c>
      <c r="AL40" s="120">
        <f t="shared" si="26"/>
        <v>55</v>
      </c>
      <c r="AM40" s="120">
        <f t="shared" si="26"/>
        <v>57</v>
      </c>
    </row>
    <row r="41" spans="1:55" x14ac:dyDescent="0.2">
      <c r="V41" s="768">
        <v>0</v>
      </c>
      <c r="W41" s="768">
        <v>0</v>
      </c>
    </row>
    <row r="42" spans="1:55" x14ac:dyDescent="0.2">
      <c r="V42" s="769">
        <v>0</v>
      </c>
      <c r="W42" s="769">
        <v>0</v>
      </c>
    </row>
    <row r="43" spans="1:55" x14ac:dyDescent="0.2">
      <c r="D43" s="145" t="s">
        <v>1838</v>
      </c>
      <c r="E43" s="247">
        <f>E21</f>
        <v>2013</v>
      </c>
      <c r="F43" s="247" t="str">
        <f t="shared" ref="F43:AF43" si="27">F21</f>
        <v>1T14</v>
      </c>
      <c r="G43" s="247" t="str">
        <f t="shared" si="27"/>
        <v>2T14</v>
      </c>
      <c r="H43" s="247" t="str">
        <f t="shared" si="27"/>
        <v>3T14</v>
      </c>
      <c r="I43" s="247" t="str">
        <f t="shared" si="27"/>
        <v>4T14</v>
      </c>
      <c r="J43" s="247" t="str">
        <f t="shared" si="27"/>
        <v>1T15</v>
      </c>
      <c r="K43" s="247" t="str">
        <f t="shared" si="27"/>
        <v>2T15</v>
      </c>
      <c r="L43" s="247" t="str">
        <f t="shared" si="27"/>
        <v>3T15</v>
      </c>
      <c r="M43" s="247" t="str">
        <f t="shared" si="27"/>
        <v>4T15</v>
      </c>
      <c r="N43" s="247" t="str">
        <f t="shared" si="27"/>
        <v>1T16</v>
      </c>
      <c r="O43" s="247" t="str">
        <f t="shared" si="27"/>
        <v>2T16</v>
      </c>
      <c r="P43" s="247" t="str">
        <f t="shared" si="27"/>
        <v>3T16</v>
      </c>
      <c r="Q43" s="247" t="str">
        <f t="shared" si="27"/>
        <v>4T16</v>
      </c>
      <c r="R43" s="247" t="str">
        <f t="shared" si="27"/>
        <v>1T17</v>
      </c>
      <c r="S43" s="247" t="str">
        <f t="shared" si="27"/>
        <v>2T17</v>
      </c>
      <c r="T43" s="247" t="str">
        <f t="shared" si="27"/>
        <v>3T17</v>
      </c>
      <c r="U43" s="247" t="str">
        <f t="shared" si="27"/>
        <v>4T17</v>
      </c>
      <c r="V43" s="247" t="str">
        <f t="shared" si="27"/>
        <v>1T18</v>
      </c>
      <c r="W43" s="247" t="str">
        <f t="shared" si="27"/>
        <v>2T18</v>
      </c>
      <c r="X43" s="247" t="str">
        <f t="shared" si="27"/>
        <v>3T18</v>
      </c>
      <c r="Y43" s="247" t="str">
        <f t="shared" si="27"/>
        <v>4T18</v>
      </c>
      <c r="Z43" s="247" t="str">
        <f t="shared" si="27"/>
        <v>1T19</v>
      </c>
      <c r="AA43" s="247" t="str">
        <f t="shared" si="27"/>
        <v>2T19</v>
      </c>
      <c r="AB43" s="247" t="str">
        <f t="shared" si="27"/>
        <v>3T19</v>
      </c>
      <c r="AC43" s="247" t="str">
        <f t="shared" si="27"/>
        <v>4T19</v>
      </c>
      <c r="AD43" s="247" t="str">
        <f t="shared" si="27"/>
        <v>1T20</v>
      </c>
      <c r="AE43" s="247" t="str">
        <f t="shared" si="27"/>
        <v>2T20</v>
      </c>
      <c r="AF43" s="247" t="str">
        <f t="shared" si="27"/>
        <v>3T20</v>
      </c>
      <c r="AG43" s="247" t="str">
        <f>AG21</f>
        <v>4T20</v>
      </c>
      <c r="AH43" s="247" t="str">
        <f>AH21</f>
        <v>1T21</v>
      </c>
      <c r="AI43" s="247" t="str">
        <f>AI21</f>
        <v>2T21</v>
      </c>
      <c r="AJ43" s="247" t="s">
        <v>1786</v>
      </c>
      <c r="AK43" s="247" t="s">
        <v>1826</v>
      </c>
    </row>
    <row r="44" spans="1:55" x14ac:dyDescent="0.2">
      <c r="A44" t="s">
        <v>1502</v>
      </c>
      <c r="B44" t="s">
        <v>933</v>
      </c>
      <c r="D44" s="129" t="str">
        <f>IF([1]RENAME!$H$3=1,B44,A44)</f>
        <v xml:space="preserve"> AtivoCirculante</v>
      </c>
      <c r="E44" s="118" t="s">
        <v>160</v>
      </c>
      <c r="F44" s="118" t="s">
        <v>160</v>
      </c>
      <c r="G44" s="118" t="s">
        <v>160</v>
      </c>
      <c r="H44" s="118" t="s">
        <v>160</v>
      </c>
      <c r="I44" s="118" t="s">
        <v>160</v>
      </c>
      <c r="J44" s="118" t="s">
        <v>160</v>
      </c>
      <c r="K44" s="118" t="s">
        <v>160</v>
      </c>
      <c r="L44" s="118" t="s">
        <v>160</v>
      </c>
      <c r="M44" s="118" t="s">
        <v>160</v>
      </c>
      <c r="N44" s="118" t="s">
        <v>160</v>
      </c>
      <c r="O44" s="118" t="s">
        <v>160</v>
      </c>
      <c r="P44" s="118" t="s">
        <v>160</v>
      </c>
      <c r="Q44" s="118" t="s">
        <v>160</v>
      </c>
      <c r="R44" s="118" t="s">
        <v>160</v>
      </c>
      <c r="S44" s="118" t="s">
        <v>160</v>
      </c>
      <c r="T44" s="118" t="s">
        <v>160</v>
      </c>
      <c r="U44" s="118" t="s">
        <v>160</v>
      </c>
      <c r="V44" s="118" t="s">
        <v>160</v>
      </c>
      <c r="W44" s="118" t="s">
        <v>160</v>
      </c>
      <c r="X44" s="118" t="s">
        <v>160</v>
      </c>
      <c r="Y44" s="118" t="s">
        <v>160</v>
      </c>
      <c r="Z44" s="118" t="s">
        <v>160</v>
      </c>
      <c r="AA44" s="118" t="s">
        <v>160</v>
      </c>
      <c r="AB44" s="118" t="s">
        <v>160</v>
      </c>
      <c r="AC44" s="118" t="s">
        <v>160</v>
      </c>
      <c r="AD44" s="118" t="s">
        <v>160</v>
      </c>
      <c r="AE44" s="118" t="s">
        <v>160</v>
      </c>
      <c r="AF44" s="118" t="s">
        <v>160</v>
      </c>
      <c r="AG44" s="118">
        <v>843</v>
      </c>
      <c r="AH44" s="118">
        <v>917</v>
      </c>
      <c r="AI44" s="118">
        <v>1120</v>
      </c>
      <c r="AJ44" s="118">
        <v>1246</v>
      </c>
      <c r="AK44" s="118">
        <v>1344</v>
      </c>
    </row>
    <row r="45" spans="1:55" x14ac:dyDescent="0.2">
      <c r="A45" t="s">
        <v>1503</v>
      </c>
      <c r="B45" t="s">
        <v>934</v>
      </c>
      <c r="D45" s="129" t="str">
        <f>IF([1]RENAME!$H$3=1,B45,A45)</f>
        <v xml:space="preserve"> AtivoNão circulante</v>
      </c>
      <c r="E45" s="118" t="s">
        <v>160</v>
      </c>
      <c r="F45" s="118" t="s">
        <v>160</v>
      </c>
      <c r="G45" s="118" t="s">
        <v>160</v>
      </c>
      <c r="H45" s="118" t="s">
        <v>160</v>
      </c>
      <c r="I45" s="118" t="s">
        <v>160</v>
      </c>
      <c r="J45" s="118" t="s">
        <v>160</v>
      </c>
      <c r="K45" s="118" t="s">
        <v>160</v>
      </c>
      <c r="L45" s="118" t="s">
        <v>160</v>
      </c>
      <c r="M45" s="118" t="s">
        <v>160</v>
      </c>
      <c r="N45" s="118" t="s">
        <v>160</v>
      </c>
      <c r="O45" s="118" t="s">
        <v>160</v>
      </c>
      <c r="P45" s="118" t="s">
        <v>160</v>
      </c>
      <c r="Q45" s="118" t="s">
        <v>160</v>
      </c>
      <c r="R45" s="118" t="s">
        <v>160</v>
      </c>
      <c r="S45" s="118" t="s">
        <v>160</v>
      </c>
      <c r="T45" s="118" t="s">
        <v>160</v>
      </c>
      <c r="U45" s="118" t="s">
        <v>160</v>
      </c>
      <c r="V45" s="118" t="s">
        <v>160</v>
      </c>
      <c r="W45" s="118" t="s">
        <v>160</v>
      </c>
      <c r="X45" s="118" t="s">
        <v>160</v>
      </c>
      <c r="Y45" s="118" t="s">
        <v>160</v>
      </c>
      <c r="Z45" s="118" t="s">
        <v>160</v>
      </c>
      <c r="AA45" s="118" t="s">
        <v>160</v>
      </c>
      <c r="AB45" s="118" t="s">
        <v>160</v>
      </c>
      <c r="AC45" s="118" t="s">
        <v>160</v>
      </c>
      <c r="AD45" s="118" t="s">
        <v>160</v>
      </c>
      <c r="AE45" s="118" t="s">
        <v>160</v>
      </c>
      <c r="AF45" s="118" t="s">
        <v>160</v>
      </c>
      <c r="AG45" s="118">
        <v>217</v>
      </c>
      <c r="AH45" s="118">
        <v>210</v>
      </c>
      <c r="AI45" s="118">
        <v>192</v>
      </c>
      <c r="AJ45" s="118">
        <v>174</v>
      </c>
      <c r="AK45" s="118">
        <v>170</v>
      </c>
      <c r="AS45" s="327"/>
      <c r="AT45" s="327"/>
      <c r="AU45" s="327"/>
      <c r="AV45" s="327"/>
      <c r="AW45" s="327"/>
      <c r="AX45" s="327"/>
      <c r="AY45" s="327"/>
      <c r="AZ45" s="327"/>
      <c r="BA45" s="327"/>
      <c r="BB45" s="327"/>
      <c r="BC45" s="327"/>
    </row>
    <row r="46" spans="1:55" x14ac:dyDescent="0.2">
      <c r="A46" t="s">
        <v>238</v>
      </c>
      <c r="B46" t="s">
        <v>656</v>
      </c>
      <c r="D46" s="129" t="str">
        <f>IF([1]RENAME!$H$3=1,B46,A46)</f>
        <v xml:space="preserve"> Imobilizado</v>
      </c>
      <c r="E46" s="118" t="s">
        <v>160</v>
      </c>
      <c r="F46" s="118" t="s">
        <v>160</v>
      </c>
      <c r="G46" s="118" t="s">
        <v>160</v>
      </c>
      <c r="H46" s="118" t="s">
        <v>160</v>
      </c>
      <c r="I46" s="118" t="s">
        <v>160</v>
      </c>
      <c r="J46" s="118" t="s">
        <v>160</v>
      </c>
      <c r="K46" s="118" t="s">
        <v>160</v>
      </c>
      <c r="L46" s="118" t="s">
        <v>160</v>
      </c>
      <c r="M46" s="118" t="s">
        <v>160</v>
      </c>
      <c r="N46" s="118" t="s">
        <v>160</v>
      </c>
      <c r="O46" s="118" t="s">
        <v>160</v>
      </c>
      <c r="P46" s="118" t="s">
        <v>160</v>
      </c>
      <c r="Q46" s="118" t="s">
        <v>160</v>
      </c>
      <c r="R46" s="118" t="s">
        <v>160</v>
      </c>
      <c r="S46" s="118" t="s">
        <v>160</v>
      </c>
      <c r="T46" s="118" t="s">
        <v>160</v>
      </c>
      <c r="U46" s="118" t="s">
        <v>160</v>
      </c>
      <c r="V46" s="118" t="s">
        <v>160</v>
      </c>
      <c r="W46" s="118" t="s">
        <v>160</v>
      </c>
      <c r="X46" s="118" t="s">
        <v>160</v>
      </c>
      <c r="Y46" s="118" t="s">
        <v>160</v>
      </c>
      <c r="Z46" s="118" t="s">
        <v>160</v>
      </c>
      <c r="AA46" s="118" t="s">
        <v>160</v>
      </c>
      <c r="AB46" s="118" t="s">
        <v>160</v>
      </c>
      <c r="AC46" s="118" t="s">
        <v>160</v>
      </c>
      <c r="AD46" s="118" t="s">
        <v>160</v>
      </c>
      <c r="AE46" s="118" t="s">
        <v>160</v>
      </c>
      <c r="AF46" s="118" t="s">
        <v>160</v>
      </c>
      <c r="AG46" s="118">
        <v>30</v>
      </c>
      <c r="AH46" s="118">
        <v>32</v>
      </c>
      <c r="AI46" s="118">
        <v>61</v>
      </c>
      <c r="AJ46" s="118">
        <v>111</v>
      </c>
      <c r="AK46" s="118">
        <v>148</v>
      </c>
      <c r="AS46" s="327"/>
      <c r="AT46" s="327"/>
      <c r="AU46" s="327"/>
      <c r="AV46" s="327"/>
      <c r="AW46" s="327"/>
      <c r="AX46" s="327"/>
      <c r="AY46" s="327"/>
      <c r="AZ46" s="327"/>
      <c r="BA46" s="327"/>
      <c r="BB46" s="327"/>
      <c r="BC46" s="327"/>
    </row>
    <row r="47" spans="1:55" x14ac:dyDescent="0.2">
      <c r="A47" t="s">
        <v>1426</v>
      </c>
      <c r="B47" t="s">
        <v>1446</v>
      </c>
      <c r="D47" s="129" t="str">
        <f>IF([1]RENAME!$H$3=1,B47,A47)</f>
        <v>Direito de uso</v>
      </c>
      <c r="E47" s="118">
        <v>0</v>
      </c>
      <c r="F47" s="118">
        <v>0</v>
      </c>
      <c r="G47" s="118">
        <v>0</v>
      </c>
      <c r="H47" s="118">
        <v>0</v>
      </c>
      <c r="I47" s="118">
        <v>0</v>
      </c>
      <c r="J47" s="118">
        <v>0</v>
      </c>
      <c r="K47" s="118">
        <v>0</v>
      </c>
      <c r="L47" s="118">
        <v>0</v>
      </c>
      <c r="M47" s="118">
        <v>0</v>
      </c>
      <c r="N47" s="118">
        <v>0</v>
      </c>
      <c r="O47" s="118">
        <v>0</v>
      </c>
      <c r="P47" s="118">
        <v>0</v>
      </c>
      <c r="Q47" s="118">
        <v>0</v>
      </c>
      <c r="R47" s="118">
        <v>0</v>
      </c>
      <c r="S47" s="118">
        <v>0</v>
      </c>
      <c r="T47" s="118">
        <v>0</v>
      </c>
      <c r="U47" s="118">
        <v>0</v>
      </c>
      <c r="V47" s="118">
        <v>0</v>
      </c>
      <c r="W47" s="118">
        <v>0</v>
      </c>
      <c r="X47" s="118" t="s">
        <v>160</v>
      </c>
      <c r="Y47" s="118" t="s">
        <v>160</v>
      </c>
      <c r="Z47" s="118" t="s">
        <v>160</v>
      </c>
      <c r="AA47" s="118" t="s">
        <v>160</v>
      </c>
      <c r="AB47" s="118" t="s">
        <v>160</v>
      </c>
      <c r="AC47" s="118" t="s">
        <v>160</v>
      </c>
      <c r="AD47" s="118" t="s">
        <v>160</v>
      </c>
      <c r="AE47" s="118" t="s">
        <v>160</v>
      </c>
      <c r="AF47" s="118" t="s">
        <v>160</v>
      </c>
      <c r="AG47" s="118">
        <v>0</v>
      </c>
      <c r="AH47" s="118">
        <v>0</v>
      </c>
      <c r="AI47" s="118">
        <v>0</v>
      </c>
      <c r="AJ47" s="118">
        <v>0</v>
      </c>
      <c r="AK47" s="118"/>
      <c r="AS47" s="327"/>
      <c r="AT47" s="327"/>
      <c r="AU47" s="327"/>
      <c r="AV47" s="327"/>
      <c r="AW47" s="327"/>
      <c r="AX47" s="327"/>
      <c r="AY47" s="327"/>
      <c r="AZ47" s="327"/>
      <c r="BA47" s="327"/>
      <c r="BB47" s="327"/>
      <c r="BC47" s="327"/>
    </row>
    <row r="48" spans="1:55" x14ac:dyDescent="0.2">
      <c r="A48" t="s">
        <v>30</v>
      </c>
      <c r="B48" t="s">
        <v>1122</v>
      </c>
      <c r="D48" s="129" t="str">
        <f>IF([1]RENAME!$H$3=1,B48,A48)</f>
        <v>Intangível</v>
      </c>
      <c r="E48" s="118" t="s">
        <v>160</v>
      </c>
      <c r="F48" s="118" t="s">
        <v>160</v>
      </c>
      <c r="G48" s="118" t="s">
        <v>160</v>
      </c>
      <c r="H48" s="118" t="s">
        <v>160</v>
      </c>
      <c r="I48" s="118" t="s">
        <v>160</v>
      </c>
      <c r="J48" s="118" t="s">
        <v>160</v>
      </c>
      <c r="K48" s="118" t="s">
        <v>160</v>
      </c>
      <c r="L48" s="118" t="s">
        <v>160</v>
      </c>
      <c r="M48" s="118" t="s">
        <v>160</v>
      </c>
      <c r="N48" s="118" t="s">
        <v>160</v>
      </c>
      <c r="O48" s="118" t="s">
        <v>160</v>
      </c>
      <c r="P48" s="118" t="s">
        <v>160</v>
      </c>
      <c r="Q48" s="118" t="s">
        <v>160</v>
      </c>
      <c r="R48" s="118" t="s">
        <v>160</v>
      </c>
      <c r="S48" s="118" t="s">
        <v>160</v>
      </c>
      <c r="T48" s="118" t="s">
        <v>160</v>
      </c>
      <c r="U48" s="118" t="s">
        <v>160</v>
      </c>
      <c r="V48" s="118" t="s">
        <v>160</v>
      </c>
      <c r="W48" s="118" t="s">
        <v>160</v>
      </c>
      <c r="X48" s="118" t="s">
        <v>160</v>
      </c>
      <c r="Y48" s="118" t="s">
        <v>160</v>
      </c>
      <c r="Z48" s="118" t="s">
        <v>160</v>
      </c>
      <c r="AA48" s="118" t="s">
        <v>160</v>
      </c>
      <c r="AB48" s="118" t="s">
        <v>160</v>
      </c>
      <c r="AC48" s="118" t="s">
        <v>160</v>
      </c>
      <c r="AD48" s="118" t="s">
        <v>160</v>
      </c>
      <c r="AE48" s="118" t="s">
        <v>160</v>
      </c>
      <c r="AF48" s="118" t="s">
        <v>160</v>
      </c>
      <c r="AG48" s="118">
        <v>0</v>
      </c>
      <c r="AH48" s="118">
        <v>0</v>
      </c>
      <c r="AI48" s="118">
        <v>0</v>
      </c>
      <c r="AJ48" s="118">
        <v>0</v>
      </c>
      <c r="AK48" s="118"/>
      <c r="AS48" s="327"/>
      <c r="AT48" s="327"/>
      <c r="AU48" s="327"/>
      <c r="AV48" s="327"/>
      <c r="AW48" s="327"/>
      <c r="AX48" s="327"/>
      <c r="AY48" s="327"/>
      <c r="AZ48" s="327"/>
      <c r="BA48" s="327"/>
      <c r="BB48" s="327"/>
      <c r="BC48" s="327"/>
    </row>
    <row r="49" spans="1:55" x14ac:dyDescent="0.2">
      <c r="A49" t="s">
        <v>234</v>
      </c>
      <c r="B49" t="s">
        <v>638</v>
      </c>
      <c r="D49" s="126" t="str">
        <f>IF([1]RENAME!$H$3=1,B49,A49)</f>
        <v>Ativo</v>
      </c>
      <c r="E49" s="207" t="s">
        <v>160</v>
      </c>
      <c r="F49" s="207" t="s">
        <v>160</v>
      </c>
      <c r="G49" s="207" t="s">
        <v>160</v>
      </c>
      <c r="H49" s="207" t="s">
        <v>160</v>
      </c>
      <c r="I49" s="207" t="s">
        <v>160</v>
      </c>
      <c r="J49" s="207" t="s">
        <v>160</v>
      </c>
      <c r="K49" s="207" t="s">
        <v>160</v>
      </c>
      <c r="L49" s="207" t="s">
        <v>160</v>
      </c>
      <c r="M49" s="207" t="s">
        <v>160</v>
      </c>
      <c r="N49" s="207" t="s">
        <v>160</v>
      </c>
      <c r="O49" s="207" t="s">
        <v>160</v>
      </c>
      <c r="P49" s="207" t="s">
        <v>160</v>
      </c>
      <c r="Q49" s="207" t="s">
        <v>160</v>
      </c>
      <c r="R49" s="207" t="s">
        <v>160</v>
      </c>
      <c r="S49" s="207" t="s">
        <v>160</v>
      </c>
      <c r="T49" s="207" t="s">
        <v>160</v>
      </c>
      <c r="U49" s="207" t="s">
        <v>160</v>
      </c>
      <c r="V49" s="120">
        <f>SUM(V44:V48)</f>
        <v>0</v>
      </c>
      <c r="W49" s="120">
        <f>SUM(W44:W48)</f>
        <v>0</v>
      </c>
      <c r="X49" s="120">
        <f>SUM(X44:X48)</f>
        <v>0</v>
      </c>
      <c r="Y49" s="120">
        <f t="shared" ref="Y49:AF49" si="28">SUM(Y44:Y48)</f>
        <v>0</v>
      </c>
      <c r="Z49" s="120">
        <f t="shared" si="28"/>
        <v>0</v>
      </c>
      <c r="AA49" s="120">
        <f t="shared" si="28"/>
        <v>0</v>
      </c>
      <c r="AB49" s="120">
        <f t="shared" si="28"/>
        <v>0</v>
      </c>
      <c r="AC49" s="120">
        <f t="shared" si="28"/>
        <v>0</v>
      </c>
      <c r="AD49" s="120">
        <f t="shared" si="28"/>
        <v>0</v>
      </c>
      <c r="AE49" s="120">
        <f t="shared" si="28"/>
        <v>0</v>
      </c>
      <c r="AF49" s="120">
        <f t="shared" si="28"/>
        <v>0</v>
      </c>
      <c r="AG49" s="120">
        <f>SUM(AG44:AG48)</f>
        <v>1090</v>
      </c>
      <c r="AH49" s="120">
        <f>SUM(AH44:AH48)</f>
        <v>1159</v>
      </c>
      <c r="AI49" s="120">
        <f>SUM(AI44:AI48)</f>
        <v>1373</v>
      </c>
      <c r="AJ49" s="120">
        <v>1531</v>
      </c>
      <c r="AK49" s="120">
        <v>1531</v>
      </c>
      <c r="AS49" s="327"/>
      <c r="AT49" s="327"/>
      <c r="AU49" s="327"/>
      <c r="AV49" s="327"/>
      <c r="AW49" s="327"/>
      <c r="AX49" s="327"/>
      <c r="AY49" s="327"/>
      <c r="AZ49" s="327"/>
      <c r="BA49" s="327"/>
      <c r="BB49" s="327"/>
      <c r="BC49" s="327"/>
    </row>
    <row r="50" spans="1:55" x14ac:dyDescent="0.2">
      <c r="A50" t="s">
        <v>1500</v>
      </c>
      <c r="B50" t="s">
        <v>935</v>
      </c>
      <c r="D50" s="129" t="str">
        <f>IF([1]RENAME!$H$3=1,B50,A50)</f>
        <v xml:space="preserve"> Passivo Circulante</v>
      </c>
      <c r="E50" s="118" t="s">
        <v>160</v>
      </c>
      <c r="F50" s="118" t="s">
        <v>160</v>
      </c>
      <c r="G50" s="118" t="s">
        <v>160</v>
      </c>
      <c r="H50" s="118" t="s">
        <v>160</v>
      </c>
      <c r="I50" s="118" t="s">
        <v>160</v>
      </c>
      <c r="J50" s="118" t="s">
        <v>160</v>
      </c>
      <c r="K50" s="118" t="s">
        <v>160</v>
      </c>
      <c r="L50" s="118" t="s">
        <v>160</v>
      </c>
      <c r="M50" s="118" t="s">
        <v>160</v>
      </c>
      <c r="N50" s="118" t="s">
        <v>160</v>
      </c>
      <c r="O50" s="118" t="s">
        <v>160</v>
      </c>
      <c r="P50" s="118" t="s">
        <v>160</v>
      </c>
      <c r="Q50" s="118" t="s">
        <v>160</v>
      </c>
      <c r="R50" s="118" t="s">
        <v>160</v>
      </c>
      <c r="S50" s="118" t="s">
        <v>160</v>
      </c>
      <c r="T50" s="118" t="s">
        <v>160</v>
      </c>
      <c r="U50" s="118" t="s">
        <v>160</v>
      </c>
      <c r="V50" s="118" t="s">
        <v>160</v>
      </c>
      <c r="W50" s="118" t="s">
        <v>160</v>
      </c>
      <c r="X50" s="118" t="s">
        <v>160</v>
      </c>
      <c r="Y50" s="118" t="s">
        <v>160</v>
      </c>
      <c r="Z50" s="118" t="s">
        <v>160</v>
      </c>
      <c r="AA50" s="118" t="s">
        <v>160</v>
      </c>
      <c r="AB50" s="118" t="s">
        <v>160</v>
      </c>
      <c r="AC50" s="118" t="s">
        <v>160</v>
      </c>
      <c r="AD50" s="118" t="s">
        <v>160</v>
      </c>
      <c r="AE50" s="118" t="s">
        <v>160</v>
      </c>
      <c r="AF50" s="118" t="s">
        <v>160</v>
      </c>
      <c r="AG50" s="118">
        <v>186</v>
      </c>
      <c r="AH50" s="118">
        <v>253</v>
      </c>
      <c r="AI50" s="118">
        <v>330</v>
      </c>
      <c r="AJ50" s="118">
        <v>358</v>
      </c>
      <c r="AK50" s="118">
        <v>459</v>
      </c>
      <c r="AS50" s="327"/>
      <c r="AT50" s="327"/>
      <c r="AU50" s="327"/>
      <c r="AV50" s="327"/>
      <c r="AW50" s="327"/>
      <c r="AX50" s="327"/>
      <c r="AY50" s="327"/>
      <c r="AZ50" s="327"/>
      <c r="BA50" s="327"/>
      <c r="BB50" s="327"/>
      <c r="BC50" s="327"/>
    </row>
    <row r="51" spans="1:55" x14ac:dyDescent="0.2">
      <c r="A51" t="s">
        <v>1501</v>
      </c>
      <c r="B51" t="s">
        <v>936</v>
      </c>
      <c r="D51" s="129" t="str">
        <f>IF([1]RENAME!$H$3=1,B51,A51)</f>
        <v xml:space="preserve"> Passivo Não circulante</v>
      </c>
      <c r="E51" s="118" t="s">
        <v>160</v>
      </c>
      <c r="F51" s="118" t="s">
        <v>160</v>
      </c>
      <c r="G51" s="118" t="s">
        <v>160</v>
      </c>
      <c r="H51" s="118" t="s">
        <v>160</v>
      </c>
      <c r="I51" s="118" t="s">
        <v>160</v>
      </c>
      <c r="J51" s="118" t="s">
        <v>160</v>
      </c>
      <c r="K51" s="118" t="s">
        <v>160</v>
      </c>
      <c r="L51" s="118" t="s">
        <v>160</v>
      </c>
      <c r="M51" s="118" t="s">
        <v>160</v>
      </c>
      <c r="N51" s="118" t="s">
        <v>160</v>
      </c>
      <c r="O51" s="118" t="s">
        <v>160</v>
      </c>
      <c r="P51" s="118" t="s">
        <v>160</v>
      </c>
      <c r="Q51" s="118" t="s">
        <v>160</v>
      </c>
      <c r="R51" s="118" t="s">
        <v>160</v>
      </c>
      <c r="S51" s="118" t="s">
        <v>160</v>
      </c>
      <c r="T51" s="118" t="s">
        <v>160</v>
      </c>
      <c r="U51" s="118" t="s">
        <v>160</v>
      </c>
      <c r="V51" s="118" t="s">
        <v>160</v>
      </c>
      <c r="W51" s="118" t="s">
        <v>160</v>
      </c>
      <c r="X51" s="118" t="s">
        <v>160</v>
      </c>
      <c r="Y51" s="118" t="s">
        <v>160</v>
      </c>
      <c r="Z51" s="118" t="s">
        <v>160</v>
      </c>
      <c r="AA51" s="118" t="s">
        <v>160</v>
      </c>
      <c r="AB51" s="118" t="s">
        <v>160</v>
      </c>
      <c r="AC51" s="118" t="s">
        <v>160</v>
      </c>
      <c r="AD51" s="118" t="s">
        <v>160</v>
      </c>
      <c r="AE51" s="118" t="s">
        <v>160</v>
      </c>
      <c r="AF51" s="118" t="s">
        <v>160</v>
      </c>
      <c r="AG51" s="118">
        <v>756</v>
      </c>
      <c r="AH51" s="118">
        <v>765</v>
      </c>
      <c r="AI51" s="118">
        <v>777</v>
      </c>
      <c r="AJ51" s="118">
        <v>278</v>
      </c>
      <c r="AK51" s="118">
        <v>282</v>
      </c>
      <c r="AS51" s="327"/>
      <c r="AT51" s="327"/>
      <c r="AU51" s="327"/>
      <c r="AV51" s="327"/>
      <c r="AW51" s="327"/>
      <c r="AX51" s="327"/>
      <c r="AY51" s="327"/>
      <c r="AZ51" s="327"/>
      <c r="BA51" s="327"/>
      <c r="BB51" s="327"/>
      <c r="BC51" s="327"/>
    </row>
    <row r="52" spans="1:55" ht="15" customHeight="1" x14ac:dyDescent="0.2">
      <c r="A52" t="s">
        <v>240</v>
      </c>
      <c r="B52" t="s">
        <v>708</v>
      </c>
      <c r="D52" s="129" t="str">
        <f>IF([1]RENAME!$H$3=1,B52,A52)</f>
        <v xml:space="preserve"> Patrimônio líquido</v>
      </c>
      <c r="E52" s="118" t="s">
        <v>160</v>
      </c>
      <c r="F52" s="118" t="s">
        <v>160</v>
      </c>
      <c r="G52" s="118" t="s">
        <v>160</v>
      </c>
      <c r="H52" s="118" t="s">
        <v>160</v>
      </c>
      <c r="I52" s="118" t="s">
        <v>160</v>
      </c>
      <c r="J52" s="118" t="s">
        <v>160</v>
      </c>
      <c r="K52" s="118" t="s">
        <v>160</v>
      </c>
      <c r="L52" s="118" t="s">
        <v>160</v>
      </c>
      <c r="M52" s="118" t="s">
        <v>160</v>
      </c>
      <c r="N52" s="118" t="s">
        <v>160</v>
      </c>
      <c r="O52" s="118" t="s">
        <v>160</v>
      </c>
      <c r="P52" s="118" t="s">
        <v>160</v>
      </c>
      <c r="Q52" s="118" t="s">
        <v>160</v>
      </c>
      <c r="R52" s="118" t="s">
        <v>160</v>
      </c>
      <c r="S52" s="118" t="s">
        <v>160</v>
      </c>
      <c r="T52" s="118" t="s">
        <v>160</v>
      </c>
      <c r="U52" s="118" t="s">
        <v>160</v>
      </c>
      <c r="V52" s="118" t="s">
        <v>160</v>
      </c>
      <c r="W52" s="118" t="s">
        <v>160</v>
      </c>
      <c r="X52" s="118" t="s">
        <v>160</v>
      </c>
      <c r="Y52" s="118" t="s">
        <v>160</v>
      </c>
      <c r="Z52" s="118" t="s">
        <v>160</v>
      </c>
      <c r="AA52" s="118" t="s">
        <v>160</v>
      </c>
      <c r="AB52" s="118" t="s">
        <v>160</v>
      </c>
      <c r="AC52" s="118" t="s">
        <v>160</v>
      </c>
      <c r="AD52" s="118" t="s">
        <v>160</v>
      </c>
      <c r="AE52" s="118" t="s">
        <v>160</v>
      </c>
      <c r="AF52" s="118" t="s">
        <v>160</v>
      </c>
      <c r="AG52" s="118">
        <v>148</v>
      </c>
      <c r="AH52" s="118">
        <v>141</v>
      </c>
      <c r="AI52" s="118">
        <v>266</v>
      </c>
      <c r="AJ52" s="118">
        <v>896</v>
      </c>
      <c r="AK52" s="118">
        <v>922</v>
      </c>
      <c r="AS52" s="327"/>
      <c r="AT52" s="327"/>
      <c r="AU52" s="327"/>
      <c r="AV52" s="327"/>
      <c r="AW52" s="327"/>
      <c r="AX52" s="327"/>
      <c r="AY52" s="327"/>
      <c r="AZ52" s="327"/>
      <c r="BA52" s="327"/>
      <c r="BB52" s="327"/>
      <c r="BC52" s="327"/>
    </row>
    <row r="53" spans="1:55" x14ac:dyDescent="0.2">
      <c r="A53" t="s">
        <v>239</v>
      </c>
      <c r="B53" t="s">
        <v>937</v>
      </c>
      <c r="D53" s="126" t="str">
        <f>IF([1]RENAME!$H$3=1,B53,A53)</f>
        <v>Passivo e patrimônio líquido</v>
      </c>
      <c r="E53" s="207" t="s">
        <v>160</v>
      </c>
      <c r="F53" s="207" t="s">
        <v>160</v>
      </c>
      <c r="G53" s="207" t="s">
        <v>160</v>
      </c>
      <c r="H53" s="207" t="s">
        <v>160</v>
      </c>
      <c r="I53" s="207" t="s">
        <v>160</v>
      </c>
      <c r="J53" s="207" t="s">
        <v>160</v>
      </c>
      <c r="K53" s="207" t="s">
        <v>160</v>
      </c>
      <c r="L53" s="207" t="s">
        <v>160</v>
      </c>
      <c r="M53" s="207" t="s">
        <v>160</v>
      </c>
      <c r="N53" s="207" t="s">
        <v>160</v>
      </c>
      <c r="O53" s="207" t="s">
        <v>160</v>
      </c>
      <c r="P53" s="207" t="s">
        <v>160</v>
      </c>
      <c r="Q53" s="207" t="s">
        <v>160</v>
      </c>
      <c r="R53" s="207" t="s">
        <v>160</v>
      </c>
      <c r="S53" s="207" t="s">
        <v>160</v>
      </c>
      <c r="T53" s="207" t="s">
        <v>160</v>
      </c>
      <c r="U53" s="207" t="s">
        <v>160</v>
      </c>
      <c r="V53" s="120">
        <f>SUM(V50:V52)</f>
        <v>0</v>
      </c>
      <c r="W53" s="120">
        <f>SUM(W50:W52)</f>
        <v>0</v>
      </c>
      <c r="X53" s="120">
        <f>SUM(X50:X52)</f>
        <v>0</v>
      </c>
      <c r="Y53" s="120">
        <f t="shared" ref="Y53:AF53" si="29">SUM(Y50:Y52)</f>
        <v>0</v>
      </c>
      <c r="Z53" s="120">
        <f t="shared" si="29"/>
        <v>0</v>
      </c>
      <c r="AA53" s="120">
        <f t="shared" si="29"/>
        <v>0</v>
      </c>
      <c r="AB53" s="120">
        <f t="shared" si="29"/>
        <v>0</v>
      </c>
      <c r="AC53" s="120">
        <f t="shared" si="29"/>
        <v>0</v>
      </c>
      <c r="AD53" s="120">
        <f t="shared" si="29"/>
        <v>0</v>
      </c>
      <c r="AE53" s="120">
        <f t="shared" si="29"/>
        <v>0</v>
      </c>
      <c r="AF53" s="120">
        <f t="shared" si="29"/>
        <v>0</v>
      </c>
      <c r="AG53" s="120">
        <f>SUM(AG50:AG52)</f>
        <v>1090</v>
      </c>
      <c r="AH53" s="120">
        <f>SUM(AH50:AH52)</f>
        <v>1159</v>
      </c>
      <c r="AI53" s="120">
        <f>SUM(AI50:AI52)</f>
        <v>1373</v>
      </c>
      <c r="AJ53" s="120">
        <v>1532</v>
      </c>
      <c r="AK53" s="120">
        <v>1532</v>
      </c>
      <c r="AS53" s="327"/>
      <c r="AT53" s="327"/>
      <c r="AU53" s="327"/>
      <c r="AV53" s="327"/>
      <c r="AW53" s="327"/>
      <c r="AX53" s="327"/>
      <c r="AY53" s="327"/>
      <c r="AZ53" s="327"/>
      <c r="BA53" s="327"/>
      <c r="BB53" s="327"/>
      <c r="BC53" s="327"/>
    </row>
    <row r="54" spans="1:55" x14ac:dyDescent="0.2">
      <c r="AS54" s="327"/>
      <c r="AT54" s="327"/>
      <c r="AU54" s="327"/>
      <c r="AV54" s="327"/>
      <c r="AW54" s="327"/>
      <c r="AX54" s="327"/>
      <c r="AY54" s="327"/>
      <c r="AZ54" s="327"/>
      <c r="BA54" s="327"/>
      <c r="BB54" s="327"/>
      <c r="BC54" s="327"/>
    </row>
    <row r="55" spans="1:55" x14ac:dyDescent="0.2">
      <c r="D55" s="145" t="s">
        <v>1838</v>
      </c>
      <c r="E55" s="115">
        <f t="shared" ref="E55:AF55" si="30">E43</f>
        <v>2013</v>
      </c>
      <c r="F55" s="115" t="str">
        <f t="shared" si="30"/>
        <v>1T14</v>
      </c>
      <c r="G55" s="115" t="str">
        <f t="shared" si="30"/>
        <v>2T14</v>
      </c>
      <c r="H55" s="115" t="str">
        <f t="shared" si="30"/>
        <v>3T14</v>
      </c>
      <c r="I55" s="115" t="str">
        <f t="shared" si="30"/>
        <v>4T14</v>
      </c>
      <c r="J55" s="115" t="str">
        <f t="shared" si="30"/>
        <v>1T15</v>
      </c>
      <c r="K55" s="115" t="str">
        <f t="shared" si="30"/>
        <v>2T15</v>
      </c>
      <c r="L55" s="115" t="str">
        <f t="shared" si="30"/>
        <v>3T15</v>
      </c>
      <c r="M55" s="115" t="str">
        <f t="shared" si="30"/>
        <v>4T15</v>
      </c>
      <c r="N55" s="115" t="str">
        <f t="shared" si="30"/>
        <v>1T16</v>
      </c>
      <c r="O55" s="115" t="str">
        <f t="shared" si="30"/>
        <v>2T16</v>
      </c>
      <c r="P55" s="115" t="str">
        <f t="shared" si="30"/>
        <v>3T16</v>
      </c>
      <c r="Q55" s="115" t="str">
        <f t="shared" si="30"/>
        <v>4T16</v>
      </c>
      <c r="R55" s="115" t="str">
        <f t="shared" si="30"/>
        <v>1T17</v>
      </c>
      <c r="S55" s="115" t="str">
        <f t="shared" si="30"/>
        <v>2T17</v>
      </c>
      <c r="T55" s="115" t="str">
        <f t="shared" si="30"/>
        <v>3T17</v>
      </c>
      <c r="U55" s="115" t="str">
        <f t="shared" si="30"/>
        <v>4T17</v>
      </c>
      <c r="V55" s="115" t="str">
        <f t="shared" si="30"/>
        <v>1T18</v>
      </c>
      <c r="W55" s="115" t="str">
        <f t="shared" si="30"/>
        <v>2T18</v>
      </c>
      <c r="X55" s="115" t="str">
        <f t="shared" si="30"/>
        <v>3T18</v>
      </c>
      <c r="Y55" s="115" t="str">
        <f t="shared" si="30"/>
        <v>4T18</v>
      </c>
      <c r="Z55" s="115" t="str">
        <f t="shared" si="30"/>
        <v>1T19</v>
      </c>
      <c r="AA55" s="115" t="str">
        <f t="shared" si="30"/>
        <v>2T19</v>
      </c>
      <c r="AB55" s="115" t="str">
        <f t="shared" si="30"/>
        <v>3T19</v>
      </c>
      <c r="AC55" s="115" t="str">
        <f t="shared" si="30"/>
        <v>4T19</v>
      </c>
      <c r="AD55" s="115" t="str">
        <f t="shared" si="30"/>
        <v>1T20</v>
      </c>
      <c r="AE55" s="115" t="str">
        <f t="shared" si="30"/>
        <v>2T20</v>
      </c>
      <c r="AF55" s="115" t="str">
        <f t="shared" si="30"/>
        <v>3T20</v>
      </c>
      <c r="AG55" s="115" t="str">
        <f>AG43</f>
        <v>4T20</v>
      </c>
      <c r="AH55" s="115" t="str">
        <f>AH43</f>
        <v>1T21</v>
      </c>
      <c r="AI55" s="115" t="str">
        <f>AI43</f>
        <v>2T21</v>
      </c>
      <c r="AJ55" s="115" t="s">
        <v>1786</v>
      </c>
      <c r="AK55" s="115" t="s">
        <v>1826</v>
      </c>
      <c r="AS55" s="327"/>
      <c r="AT55" s="327"/>
      <c r="AU55" s="327"/>
      <c r="AV55" s="327"/>
      <c r="AW55" s="327"/>
      <c r="AX55" s="327"/>
      <c r="AY55" s="327"/>
      <c r="AZ55" s="327"/>
      <c r="BA55" s="327"/>
      <c r="BB55" s="327"/>
      <c r="BC55" s="327"/>
    </row>
    <row r="56" spans="1:55" x14ac:dyDescent="0.2">
      <c r="A56" t="s">
        <v>241</v>
      </c>
      <c r="B56" t="s">
        <v>695</v>
      </c>
      <c r="D56" s="126" t="str">
        <f>IF([1]RENAME!$H$3=1,B56,A56)</f>
        <v xml:space="preserve"> Receita líquida</v>
      </c>
      <c r="E56" s="120">
        <v>0</v>
      </c>
      <c r="F56" s="120">
        <v>0</v>
      </c>
      <c r="G56" s="120">
        <v>0</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0">
        <v>0</v>
      </c>
      <c r="Y56" s="120">
        <v>0</v>
      </c>
      <c r="Z56" s="120">
        <v>0</v>
      </c>
      <c r="AA56" s="120">
        <v>0</v>
      </c>
      <c r="AB56" s="120">
        <v>0</v>
      </c>
      <c r="AC56" s="120">
        <v>0</v>
      </c>
      <c r="AD56" s="120">
        <v>0</v>
      </c>
      <c r="AE56" s="120">
        <v>0</v>
      </c>
      <c r="AF56" s="120">
        <v>0</v>
      </c>
      <c r="AG56" s="120">
        <v>0</v>
      </c>
      <c r="AH56" s="120">
        <v>619</v>
      </c>
      <c r="AI56" s="120">
        <v>798</v>
      </c>
      <c r="AJ56" s="120">
        <v>883</v>
      </c>
      <c r="AK56" s="120">
        <v>659</v>
      </c>
      <c r="AS56" s="327"/>
      <c r="AT56" s="327"/>
      <c r="AU56" s="327"/>
      <c r="AV56" s="327"/>
      <c r="AW56" s="327"/>
      <c r="AX56" s="327"/>
      <c r="AY56" s="327"/>
      <c r="AZ56" s="327"/>
      <c r="BA56" s="327"/>
      <c r="BB56" s="327"/>
      <c r="BC56" s="327"/>
    </row>
    <row r="57" spans="1:55" x14ac:dyDescent="0.2">
      <c r="A57" t="s">
        <v>242</v>
      </c>
      <c r="B57" t="s">
        <v>802</v>
      </c>
      <c r="D57" s="129" t="str">
        <f>IF([1]RENAME!$H$3=1,B57,A57)</f>
        <v>Custo dos serviços prestados</v>
      </c>
      <c r="E57" s="118">
        <v>0</v>
      </c>
      <c r="F57" s="118">
        <v>0</v>
      </c>
      <c r="G57" s="118">
        <v>0</v>
      </c>
      <c r="H57" s="118">
        <v>0</v>
      </c>
      <c r="I57" s="118">
        <v>0</v>
      </c>
      <c r="J57" s="118">
        <v>0</v>
      </c>
      <c r="K57" s="118">
        <v>0</v>
      </c>
      <c r="L57" s="118">
        <v>0</v>
      </c>
      <c r="M57" s="118">
        <v>0</v>
      </c>
      <c r="N57" s="118" t="e">
        <f>'[3]11 Intang NL'!$N$19-N55-N56-N54</f>
        <v>#VALUE!</v>
      </c>
      <c r="O57" s="118">
        <v>0</v>
      </c>
      <c r="P57" s="118">
        <v>0</v>
      </c>
      <c r="Q57" s="118">
        <v>0</v>
      </c>
      <c r="R57" s="118">
        <v>0</v>
      </c>
      <c r="S57" s="118">
        <v>0</v>
      </c>
      <c r="T57" s="118">
        <v>0</v>
      </c>
      <c r="U57" s="118">
        <v>0</v>
      </c>
      <c r="V57" s="118">
        <v>0</v>
      </c>
      <c r="W57" s="118">
        <v>0</v>
      </c>
      <c r="X57" s="118">
        <v>0</v>
      </c>
      <c r="Y57" s="118">
        <v>0</v>
      </c>
      <c r="Z57" s="118">
        <v>0</v>
      </c>
      <c r="AA57" s="118">
        <v>0</v>
      </c>
      <c r="AB57" s="118">
        <v>0</v>
      </c>
      <c r="AC57" s="118">
        <v>0</v>
      </c>
      <c r="AD57" s="118">
        <v>0</v>
      </c>
      <c r="AE57" s="118">
        <v>0</v>
      </c>
      <c r="AF57" s="118">
        <v>0</v>
      </c>
      <c r="AG57" s="118">
        <v>0</v>
      </c>
      <c r="AH57" s="118">
        <v>-386</v>
      </c>
      <c r="AI57" s="118">
        <v>-400</v>
      </c>
      <c r="AJ57" s="118">
        <v>-483</v>
      </c>
      <c r="AK57" s="118">
        <v>-378</v>
      </c>
      <c r="AS57" s="327"/>
      <c r="AT57" s="327"/>
      <c r="AU57" s="327"/>
      <c r="AV57" s="327"/>
      <c r="AW57" s="327"/>
      <c r="AX57" s="327"/>
      <c r="AY57" s="327"/>
      <c r="AZ57" s="327"/>
      <c r="BA57" s="327"/>
      <c r="BB57" s="327"/>
      <c r="BC57" s="327"/>
    </row>
    <row r="58" spans="1:55" x14ac:dyDescent="0.2">
      <c r="A58" t="s">
        <v>243</v>
      </c>
      <c r="B58" t="s">
        <v>702</v>
      </c>
      <c r="D58" s="129" t="str">
        <f>IF([1]RENAME!$H$3=1,B58,A58)</f>
        <v>Despesas gerais e administrativas</v>
      </c>
      <c r="E58" s="118">
        <v>0</v>
      </c>
      <c r="F58" s="118">
        <v>0</v>
      </c>
      <c r="G58" s="118">
        <v>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8">
        <v>0</v>
      </c>
      <c r="Y58" s="118">
        <v>0</v>
      </c>
      <c r="Z58" s="118">
        <v>0</v>
      </c>
      <c r="AA58" s="118">
        <v>0</v>
      </c>
      <c r="AB58" s="118">
        <v>0</v>
      </c>
      <c r="AC58" s="118">
        <v>0</v>
      </c>
      <c r="AD58" s="118">
        <v>0</v>
      </c>
      <c r="AE58" s="118">
        <v>0</v>
      </c>
      <c r="AF58" s="118">
        <v>0</v>
      </c>
      <c r="AG58" s="118">
        <v>0</v>
      </c>
      <c r="AH58" s="118">
        <v>-211</v>
      </c>
      <c r="AI58" s="118">
        <v>-212</v>
      </c>
      <c r="AJ58" s="118">
        <v>-205</v>
      </c>
      <c r="AK58" s="118">
        <v>-241</v>
      </c>
      <c r="AS58" s="327"/>
      <c r="AT58" s="327"/>
      <c r="AU58" s="327"/>
      <c r="AV58" s="327"/>
      <c r="AW58" s="327"/>
      <c r="AX58" s="327"/>
      <c r="AY58" s="327"/>
      <c r="AZ58" s="327"/>
      <c r="BA58" s="327"/>
      <c r="BB58" s="327"/>
      <c r="BC58" s="327"/>
    </row>
    <row r="59" spans="1:55" x14ac:dyDescent="0.2">
      <c r="A59" t="s">
        <v>244</v>
      </c>
      <c r="B59" t="s">
        <v>938</v>
      </c>
      <c r="D59" s="129" t="str">
        <f>IF([1]RENAME!$H$3=1,B59,A59)</f>
        <v>Receitas financeiras, líquidas</v>
      </c>
      <c r="E59" s="118">
        <v>0</v>
      </c>
      <c r="F59" s="118">
        <v>0</v>
      </c>
      <c r="G59" s="118">
        <v>0</v>
      </c>
      <c r="H59" s="118">
        <v>0</v>
      </c>
      <c r="I59" s="118">
        <v>0</v>
      </c>
      <c r="J59" s="118">
        <v>0</v>
      </c>
      <c r="K59" s="118">
        <v>0</v>
      </c>
      <c r="L59" s="118">
        <v>0</v>
      </c>
      <c r="M59" s="118">
        <v>0</v>
      </c>
      <c r="N59" s="118">
        <v>0</v>
      </c>
      <c r="O59" s="118">
        <v>0</v>
      </c>
      <c r="P59" s="118">
        <v>0</v>
      </c>
      <c r="Q59" s="118">
        <v>0</v>
      </c>
      <c r="R59" s="118">
        <v>0</v>
      </c>
      <c r="S59" s="118">
        <v>0</v>
      </c>
      <c r="T59" s="118">
        <v>0</v>
      </c>
      <c r="U59" s="118">
        <v>0</v>
      </c>
      <c r="V59" s="118">
        <v>0</v>
      </c>
      <c r="W59" s="118">
        <v>0</v>
      </c>
      <c r="X59" s="118">
        <v>0</v>
      </c>
      <c r="Y59" s="118">
        <v>0</v>
      </c>
      <c r="Z59" s="118">
        <v>0</v>
      </c>
      <c r="AA59" s="118">
        <v>0</v>
      </c>
      <c r="AB59" s="118">
        <v>0</v>
      </c>
      <c r="AC59" s="118">
        <v>0</v>
      </c>
      <c r="AD59" s="118">
        <v>0</v>
      </c>
      <c r="AE59" s="118">
        <v>0</v>
      </c>
      <c r="AF59" s="118">
        <v>0</v>
      </c>
      <c r="AG59" s="118">
        <v>0</v>
      </c>
      <c r="AH59" s="118">
        <v>-9</v>
      </c>
      <c r="AI59" s="118">
        <v>-12</v>
      </c>
      <c r="AJ59" s="118">
        <v>-10</v>
      </c>
      <c r="AK59" s="118">
        <v>-2</v>
      </c>
      <c r="AS59" s="327"/>
      <c r="AT59" s="327"/>
      <c r="AU59" s="327"/>
      <c r="AV59" s="327"/>
      <c r="AW59" s="327"/>
      <c r="AX59" s="327"/>
      <c r="AY59" s="327"/>
      <c r="AZ59" s="327"/>
      <c r="BA59" s="327"/>
      <c r="BB59" s="327"/>
      <c r="BC59" s="327"/>
    </row>
    <row r="60" spans="1:55" x14ac:dyDescent="0.2">
      <c r="A60" t="s">
        <v>245</v>
      </c>
      <c r="B60" t="s">
        <v>939</v>
      </c>
      <c r="D60" s="129" t="str">
        <f>IF([1]RENAME!$H$3=1,B60,A60)</f>
        <v>Outras (despesas) receitas, líquidas</v>
      </c>
      <c r="E60" s="118">
        <v>0</v>
      </c>
      <c r="F60" s="118">
        <v>0</v>
      </c>
      <c r="G60" s="118">
        <v>0</v>
      </c>
      <c r="H60" s="118">
        <v>0</v>
      </c>
      <c r="I60" s="118">
        <v>0</v>
      </c>
      <c r="J60" s="118">
        <v>0</v>
      </c>
      <c r="K60" s="118">
        <v>0</v>
      </c>
      <c r="L60" s="118">
        <v>0</v>
      </c>
      <c r="M60" s="118">
        <v>0</v>
      </c>
      <c r="N60" s="118">
        <v>0</v>
      </c>
      <c r="O60" s="118">
        <v>0</v>
      </c>
      <c r="P60" s="118">
        <v>0</v>
      </c>
      <c r="Q60" s="118">
        <v>0</v>
      </c>
      <c r="R60" s="118">
        <v>0</v>
      </c>
      <c r="S60" s="118">
        <v>0</v>
      </c>
      <c r="T60" s="118">
        <v>0</v>
      </c>
      <c r="U60" s="118">
        <v>0</v>
      </c>
      <c r="V60" s="118">
        <v>0</v>
      </c>
      <c r="W60" s="118">
        <v>0</v>
      </c>
      <c r="X60" s="118">
        <v>0</v>
      </c>
      <c r="Y60" s="118">
        <v>0</v>
      </c>
      <c r="Z60" s="118">
        <v>0</v>
      </c>
      <c r="AA60" s="118">
        <v>0</v>
      </c>
      <c r="AB60" s="118">
        <v>0</v>
      </c>
      <c r="AC60" s="118">
        <v>0</v>
      </c>
      <c r="AD60" s="118">
        <v>0</v>
      </c>
      <c r="AE60" s="118">
        <v>0</v>
      </c>
      <c r="AF60" s="118">
        <v>0</v>
      </c>
      <c r="AG60" s="118">
        <v>0</v>
      </c>
      <c r="AH60" s="118">
        <v>0</v>
      </c>
      <c r="AI60" s="118">
        <v>0</v>
      </c>
      <c r="AJ60" s="118">
        <v>0</v>
      </c>
      <c r="AK60" s="118">
        <v>-10</v>
      </c>
      <c r="AS60" s="327"/>
      <c r="AT60" s="327"/>
      <c r="AU60" s="327"/>
      <c r="AV60" s="327"/>
      <c r="AW60" s="327"/>
      <c r="AX60" s="327"/>
      <c r="AY60" s="327"/>
      <c r="AZ60" s="327"/>
      <c r="BA60" s="327"/>
      <c r="BB60" s="327"/>
      <c r="BC60" s="327"/>
    </row>
    <row r="61" spans="1:55" x14ac:dyDescent="0.2">
      <c r="A61" t="s">
        <v>15</v>
      </c>
      <c r="B61" t="s">
        <v>940</v>
      </c>
      <c r="D61" s="129" t="str">
        <f>IF([1]RENAME!$H$3=1,B61,A61)</f>
        <v>Imposto de renda e contribuição social</v>
      </c>
      <c r="E61" s="118">
        <v>0</v>
      </c>
      <c r="F61" s="118">
        <v>0</v>
      </c>
      <c r="G61" s="118">
        <v>0</v>
      </c>
      <c r="H61" s="118">
        <v>0</v>
      </c>
      <c r="I61" s="118">
        <v>0</v>
      </c>
      <c r="J61" s="118">
        <v>0</v>
      </c>
      <c r="K61" s="118">
        <v>0</v>
      </c>
      <c r="L61" s="118">
        <v>0</v>
      </c>
      <c r="M61" s="118">
        <v>0</v>
      </c>
      <c r="N61" s="118">
        <v>0</v>
      </c>
      <c r="O61" s="118">
        <v>0</v>
      </c>
      <c r="P61" s="118">
        <v>0</v>
      </c>
      <c r="Q61" s="118">
        <v>0</v>
      </c>
      <c r="R61" s="118">
        <v>0</v>
      </c>
      <c r="S61" s="118">
        <v>0</v>
      </c>
      <c r="T61" s="118">
        <v>0</v>
      </c>
      <c r="U61" s="118">
        <v>0</v>
      </c>
      <c r="V61" s="118">
        <v>0</v>
      </c>
      <c r="W61" s="118">
        <v>0</v>
      </c>
      <c r="X61" s="118">
        <v>0</v>
      </c>
      <c r="Y61" s="118">
        <v>0</v>
      </c>
      <c r="Z61" s="118">
        <v>0</v>
      </c>
      <c r="AA61" s="118">
        <v>0</v>
      </c>
      <c r="AB61" s="118">
        <v>0</v>
      </c>
      <c r="AC61" s="118">
        <v>0</v>
      </c>
      <c r="AD61" s="118">
        <v>0</v>
      </c>
      <c r="AE61" s="118">
        <v>0</v>
      </c>
      <c r="AF61" s="118">
        <v>0</v>
      </c>
      <c r="AG61" s="118">
        <v>0</v>
      </c>
      <c r="AH61" s="118">
        <v>-7</v>
      </c>
      <c r="AI61" s="118">
        <v>-66</v>
      </c>
      <c r="AJ61" s="118">
        <v>-52</v>
      </c>
      <c r="AK61" s="118">
        <v>-10</v>
      </c>
      <c r="AS61" s="327"/>
      <c r="AT61" s="327"/>
      <c r="AU61" s="327"/>
      <c r="AV61" s="327"/>
      <c r="AW61" s="327"/>
      <c r="AX61" s="327"/>
      <c r="AY61" s="327"/>
      <c r="AZ61" s="327"/>
      <c r="BA61" s="327"/>
      <c r="BB61" s="327"/>
      <c r="BC61" s="327"/>
    </row>
    <row r="62" spans="1:55" x14ac:dyDescent="0.2">
      <c r="A62" t="s">
        <v>246</v>
      </c>
      <c r="B62" t="s">
        <v>941</v>
      </c>
      <c r="D62" s="126" t="str">
        <f>IF([1]RENAME!$H$3=1,B62,A62)</f>
        <v>Lucro líquido/(prejuízo) do exercício</v>
      </c>
      <c r="E62" s="120">
        <v>0</v>
      </c>
      <c r="F62" s="120">
        <v>0</v>
      </c>
      <c r="G62" s="120">
        <v>0</v>
      </c>
      <c r="H62" s="120">
        <v>0</v>
      </c>
      <c r="I62" s="120">
        <v>0</v>
      </c>
      <c r="J62" s="120">
        <v>0</v>
      </c>
      <c r="K62" s="120">
        <v>0</v>
      </c>
      <c r="L62" s="120">
        <v>0</v>
      </c>
      <c r="M62" s="120">
        <v>0</v>
      </c>
      <c r="N62" s="120">
        <v>0</v>
      </c>
      <c r="O62" s="120">
        <v>0</v>
      </c>
      <c r="P62" s="120">
        <v>0</v>
      </c>
      <c r="Q62" s="120">
        <v>0</v>
      </c>
      <c r="R62" s="120">
        <v>0</v>
      </c>
      <c r="S62" s="120">
        <v>0</v>
      </c>
      <c r="T62" s="120">
        <v>0</v>
      </c>
      <c r="U62" s="120">
        <v>0</v>
      </c>
      <c r="V62" s="120">
        <f>+SUM(V56:V61)</f>
        <v>0</v>
      </c>
      <c r="W62" s="120">
        <f>+SUM(W56:W61)</f>
        <v>0</v>
      </c>
      <c r="X62" s="120">
        <f>+SUM(X56:X61)</f>
        <v>0</v>
      </c>
      <c r="Y62" s="120">
        <f>+SUM(Y56:Y61)</f>
        <v>0</v>
      </c>
      <c r="Z62" s="120">
        <f t="shared" ref="Z62:AF62" si="31">+SUM(Z56:Z61)</f>
        <v>0</v>
      </c>
      <c r="AA62" s="120">
        <f t="shared" si="31"/>
        <v>0</v>
      </c>
      <c r="AB62" s="120">
        <f t="shared" si="31"/>
        <v>0</v>
      </c>
      <c r="AC62" s="120">
        <f t="shared" si="31"/>
        <v>0</v>
      </c>
      <c r="AD62" s="120">
        <f t="shared" si="31"/>
        <v>0</v>
      </c>
      <c r="AE62" s="120">
        <f t="shared" si="31"/>
        <v>0</v>
      </c>
      <c r="AF62" s="120">
        <f t="shared" si="31"/>
        <v>0</v>
      </c>
      <c r="AG62" s="120">
        <f>+SUM(AG56:AG61)</f>
        <v>0</v>
      </c>
      <c r="AH62" s="120">
        <v>6</v>
      </c>
      <c r="AI62" s="120">
        <f>+SUM(AI56:AI61)</f>
        <v>108</v>
      </c>
      <c r="AJ62" s="120">
        <v>133</v>
      </c>
      <c r="AK62" s="120">
        <v>133</v>
      </c>
      <c r="AQ62" s="1218"/>
      <c r="AR62" s="1218"/>
      <c r="AS62" s="1218"/>
      <c r="AT62" s="1218"/>
      <c r="AU62" s="1218"/>
      <c r="AV62" s="1218"/>
      <c r="AW62" s="1218"/>
      <c r="AX62" s="1218"/>
      <c r="AY62" s="1218"/>
      <c r="AZ62" s="1218"/>
      <c r="BA62" s="1218"/>
      <c r="BB62" s="1218"/>
      <c r="BC62" s="1218"/>
    </row>
    <row r="63" spans="1:55" x14ac:dyDescent="0.2">
      <c r="AQ63" s="1218"/>
      <c r="AR63" s="1218"/>
      <c r="AS63" s="1218"/>
      <c r="AT63" s="1218"/>
      <c r="AU63" s="1218"/>
      <c r="AV63" s="1218"/>
      <c r="AW63" s="1218"/>
      <c r="AX63" s="1218"/>
      <c r="AY63" s="1218"/>
      <c r="AZ63" s="1218"/>
      <c r="BA63" s="1218"/>
      <c r="BB63" s="1218"/>
      <c r="BC63" s="1218"/>
    </row>
    <row r="64" spans="1:55" x14ac:dyDescent="0.2">
      <c r="A64" s="547"/>
      <c r="B64" s="547"/>
      <c r="C64" s="547"/>
      <c r="D64" s="547"/>
      <c r="E64" s="547"/>
      <c r="F64" s="547"/>
      <c r="G64" s="547"/>
      <c r="H64" s="547"/>
      <c r="I64" s="547"/>
      <c r="J64" s="547"/>
      <c r="K64" s="547"/>
      <c r="L64" s="547"/>
      <c r="M64" s="547"/>
      <c r="N64" s="547"/>
      <c r="O64" s="547"/>
      <c r="P64" s="547"/>
      <c r="Q64" s="547"/>
      <c r="R64" s="547"/>
      <c r="S64" s="547"/>
      <c r="T64" s="547"/>
      <c r="U64" s="547"/>
      <c r="V64" s="547">
        <v>2018</v>
      </c>
      <c r="W64" s="547">
        <v>2018</v>
      </c>
      <c r="X64" s="547">
        <v>2018</v>
      </c>
      <c r="Y64" s="547">
        <v>2018</v>
      </c>
      <c r="Z64" s="547">
        <v>2019</v>
      </c>
      <c r="AA64" s="547">
        <v>2019</v>
      </c>
      <c r="AB64" s="547">
        <v>2019</v>
      </c>
      <c r="AC64" s="547">
        <v>2019</v>
      </c>
      <c r="AD64" s="547">
        <v>2020</v>
      </c>
      <c r="AE64" s="547">
        <v>2020</v>
      </c>
      <c r="AF64" s="547">
        <v>2020</v>
      </c>
      <c r="AG64" s="547">
        <v>2020</v>
      </c>
      <c r="AH64" s="547">
        <v>2021</v>
      </c>
      <c r="AI64" s="547">
        <v>2021</v>
      </c>
      <c r="AJ64" s="547">
        <v>2021</v>
      </c>
      <c r="AK64" s="547">
        <v>2021</v>
      </c>
      <c r="AL64" s="547">
        <v>2022</v>
      </c>
      <c r="AM64" s="547">
        <v>2022</v>
      </c>
      <c r="AN64" s="547">
        <v>2022</v>
      </c>
      <c r="AO64" s="547">
        <v>2022</v>
      </c>
      <c r="AP64" s="547">
        <v>2022</v>
      </c>
      <c r="AQ64" s="547">
        <v>2022</v>
      </c>
      <c r="AR64" s="547">
        <v>2022</v>
      </c>
      <c r="AS64" s="547"/>
      <c r="AT64" s="547"/>
      <c r="AU64" s="327"/>
      <c r="AV64" s="327"/>
      <c r="AW64" s="327"/>
      <c r="AX64" s="327"/>
      <c r="AY64" s="327"/>
      <c r="AZ64" s="40"/>
      <c r="BA64" s="40"/>
      <c r="BB64" s="40"/>
      <c r="BC64" s="40"/>
    </row>
    <row r="65" spans="34:55" x14ac:dyDescent="0.2">
      <c r="AK65" s="547"/>
      <c r="AL65" s="547"/>
      <c r="AQ65" s="547"/>
      <c r="AR65" s="547"/>
      <c r="AS65" s="547"/>
      <c r="AT65" s="547"/>
      <c r="AU65" s="327"/>
      <c r="AV65" s="327"/>
      <c r="AW65" s="327"/>
      <c r="AX65" s="327"/>
      <c r="AY65" s="327"/>
      <c r="AZ65" s="40"/>
      <c r="BA65" s="40"/>
      <c r="BB65" s="40"/>
      <c r="BC65" s="40"/>
    </row>
    <row r="66" spans="34:55" x14ac:dyDescent="0.2">
      <c r="AK66" s="327"/>
      <c r="AL66" s="327"/>
      <c r="AM66" s="327"/>
      <c r="AN66" s="327"/>
      <c r="AO66" s="327"/>
      <c r="AP66" s="327"/>
      <c r="AQ66" s="547"/>
      <c r="AR66" s="547"/>
      <c r="AS66" s="547"/>
      <c r="AT66" s="40"/>
      <c r="AU66" s="40"/>
      <c r="AV66" s="40"/>
      <c r="AW66" s="40"/>
      <c r="AX66" s="40"/>
      <c r="AY66" s="40"/>
      <c r="AZ66" s="40"/>
      <c r="BA66" s="40"/>
      <c r="BB66" s="40"/>
      <c r="BC66" s="40"/>
    </row>
    <row r="67" spans="34:55" x14ac:dyDescent="0.2">
      <c r="AK67" s="547"/>
      <c r="AL67" s="547" t="s">
        <v>1964</v>
      </c>
      <c r="AM67" s="547" t="s">
        <v>1964</v>
      </c>
      <c r="AN67" s="547"/>
      <c r="AO67" s="547"/>
      <c r="AP67" s="547" t="s">
        <v>2071</v>
      </c>
      <c r="AQ67" s="547" t="s">
        <v>2071</v>
      </c>
      <c r="AR67" s="547"/>
      <c r="AS67" s="547"/>
      <c r="AT67" s="547" t="s">
        <v>2154</v>
      </c>
      <c r="AU67" s="547" t="s">
        <v>2154</v>
      </c>
      <c r="AV67" s="547"/>
      <c r="AW67" s="547"/>
      <c r="AX67" s="547" t="s">
        <v>2255</v>
      </c>
      <c r="AY67" s="547" t="s">
        <v>2255</v>
      </c>
      <c r="AZ67" s="547"/>
      <c r="BA67" s="547"/>
      <c r="BB67" s="547" t="s">
        <v>2326</v>
      </c>
      <c r="BC67" s="547" t="s">
        <v>2326</v>
      </c>
    </row>
    <row r="68" spans="34:55" x14ac:dyDescent="0.2">
      <c r="AK68" s="547"/>
      <c r="AL68" s="547" t="s">
        <v>1950</v>
      </c>
      <c r="AM68" s="547" t="s">
        <v>1950</v>
      </c>
      <c r="AN68" s="547" t="s">
        <v>1950</v>
      </c>
      <c r="AO68" s="547"/>
      <c r="AP68" s="547" t="s">
        <v>2072</v>
      </c>
      <c r="AQ68" s="547" t="s">
        <v>2072</v>
      </c>
      <c r="AR68" s="547" t="s">
        <v>2072</v>
      </c>
      <c r="AS68" s="547"/>
      <c r="AT68" s="547" t="s">
        <v>2155</v>
      </c>
      <c r="AU68" s="547" t="s">
        <v>2155</v>
      </c>
      <c r="AV68" s="547" t="s">
        <v>2155</v>
      </c>
      <c r="AW68" s="547"/>
      <c r="AX68" s="547" t="s">
        <v>2254</v>
      </c>
      <c r="AY68" s="547" t="s">
        <v>2254</v>
      </c>
      <c r="AZ68" s="547" t="s">
        <v>2254</v>
      </c>
      <c r="BA68" s="547" t="s">
        <v>2254</v>
      </c>
      <c r="BB68" s="547" t="s">
        <v>2254</v>
      </c>
      <c r="BC68" s="547" t="s">
        <v>2254</v>
      </c>
    </row>
    <row r="69" spans="34:55" x14ac:dyDescent="0.2">
      <c r="AH69" s="1127">
        <v>2021</v>
      </c>
      <c r="AI69" s="1127">
        <v>2021</v>
      </c>
      <c r="AJ69" s="1127">
        <v>2021</v>
      </c>
      <c r="AK69" s="1127">
        <v>2021</v>
      </c>
      <c r="AL69" s="1127">
        <v>2022</v>
      </c>
      <c r="AM69" s="1127">
        <v>2022</v>
      </c>
      <c r="AN69" s="1127">
        <v>2022</v>
      </c>
      <c r="AO69" s="1127">
        <v>2022</v>
      </c>
      <c r="AP69" s="1127">
        <v>2023</v>
      </c>
      <c r="AQ69" s="1127">
        <v>2023</v>
      </c>
      <c r="AR69" s="1127">
        <v>2023</v>
      </c>
      <c r="AS69" s="1127">
        <v>2023</v>
      </c>
      <c r="AT69" s="1127">
        <v>2024</v>
      </c>
      <c r="AU69" s="1127">
        <v>2024</v>
      </c>
      <c r="AV69" s="1127">
        <v>2024</v>
      </c>
      <c r="AW69" s="1127">
        <v>2024</v>
      </c>
      <c r="AX69" s="1127">
        <v>2025</v>
      </c>
      <c r="AY69" s="1127">
        <v>2025</v>
      </c>
      <c r="AZ69" s="1127">
        <v>2025</v>
      </c>
      <c r="BA69" s="1127">
        <v>2025</v>
      </c>
      <c r="BB69" s="1127">
        <v>2025</v>
      </c>
      <c r="BC69" s="1127">
        <v>2025</v>
      </c>
    </row>
    <row r="70" spans="34:55" x14ac:dyDescent="0.2">
      <c r="AK70" s="327"/>
      <c r="AL70" s="327"/>
      <c r="AM70" s="327"/>
      <c r="AN70" s="327"/>
      <c r="AO70" s="327"/>
      <c r="AP70" s="327"/>
      <c r="AQ70" s="1218"/>
      <c r="AR70" s="1218"/>
      <c r="AS70" s="1218"/>
      <c r="AT70" s="40"/>
      <c r="AU70" s="40"/>
      <c r="AV70" s="40"/>
      <c r="AW70" s="40"/>
      <c r="AX70" s="40"/>
      <c r="AY70" s="40"/>
      <c r="AZ70" s="40"/>
      <c r="BA70" s="40"/>
      <c r="BB70" s="40"/>
      <c r="BC70" s="40"/>
    </row>
    <row r="71" spans="34:55" x14ac:dyDescent="0.2">
      <c r="AK71" s="327"/>
      <c r="AL71" s="327"/>
      <c r="AM71" s="327"/>
      <c r="AN71" s="327"/>
      <c r="AO71" s="327"/>
      <c r="AP71" s="327"/>
      <c r="AQ71" s="1218"/>
      <c r="AR71" s="1218"/>
      <c r="AS71" s="1218"/>
      <c r="AT71" s="40"/>
      <c r="AU71" s="40"/>
      <c r="AV71" s="40"/>
      <c r="AW71" s="40"/>
      <c r="AX71" s="40"/>
      <c r="AY71" s="40"/>
      <c r="AZ71" s="40"/>
      <c r="BA71" s="40"/>
      <c r="BB71" s="40"/>
      <c r="BC71" s="40"/>
    </row>
    <row r="72" spans="34:55" x14ac:dyDescent="0.2">
      <c r="AK72" s="327"/>
      <c r="AL72" s="327"/>
      <c r="AM72" s="327"/>
      <c r="AN72" s="327"/>
      <c r="AO72" s="327"/>
      <c r="AP72" s="327"/>
      <c r="AQ72" s="1218"/>
      <c r="AR72" s="1218"/>
      <c r="AS72" s="1218"/>
      <c r="AT72" s="40"/>
      <c r="AU72" s="40"/>
      <c r="AV72" s="40"/>
      <c r="AW72" s="40"/>
      <c r="AX72" s="40"/>
      <c r="AY72" s="40"/>
      <c r="AZ72" s="40"/>
      <c r="BA72" s="40"/>
      <c r="BB72" s="40"/>
      <c r="BC72" s="40"/>
    </row>
    <row r="73" spans="34:55" x14ac:dyDescent="0.2">
      <c r="AK73" s="327"/>
      <c r="AL73" s="327"/>
      <c r="AM73" s="327"/>
      <c r="AN73" s="327"/>
      <c r="AO73" s="327"/>
      <c r="AP73" s="327"/>
      <c r="AQ73" s="1218"/>
      <c r="AR73" s="1218"/>
      <c r="AS73" s="1218"/>
      <c r="AT73" s="1218"/>
      <c r="AU73" s="1218"/>
      <c r="AV73" s="1218"/>
      <c r="AW73" s="1218"/>
      <c r="AX73" s="1218"/>
      <c r="AY73" s="1218"/>
      <c r="AZ73" s="1218"/>
      <c r="BA73" s="1218"/>
      <c r="BB73" s="1218"/>
      <c r="BC73" s="1218"/>
    </row>
    <row r="74" spans="34:55" x14ac:dyDescent="0.2">
      <c r="AQ74" s="1218"/>
      <c r="AR74" s="1218"/>
      <c r="AS74" s="1218"/>
      <c r="AT74" s="1218"/>
      <c r="AU74" s="1218"/>
      <c r="AV74" s="1218"/>
      <c r="AW74" s="1218"/>
      <c r="AX74" s="1218"/>
      <c r="AY74" s="1218"/>
      <c r="AZ74" s="1218"/>
      <c r="BA74" s="1218"/>
      <c r="BB74" s="1218"/>
      <c r="BC74" s="1218"/>
    </row>
    <row r="75" spans="34:55" x14ac:dyDescent="0.2">
      <c r="AQ75" s="1218"/>
      <c r="AR75" s="1218"/>
      <c r="AS75" s="1218"/>
      <c r="AT75" s="1218"/>
      <c r="AU75" s="1218"/>
      <c r="AV75" s="1218"/>
      <c r="AW75" s="1218"/>
      <c r="AX75" s="1218"/>
      <c r="AY75" s="1218"/>
      <c r="AZ75" s="1218"/>
      <c r="BA75" s="1218"/>
      <c r="BB75" s="1218"/>
      <c r="BC75" s="1218"/>
    </row>
    <row r="76" spans="34:55" x14ac:dyDescent="0.2">
      <c r="AQ76" s="1218"/>
      <c r="AR76" s="1218"/>
      <c r="AS76" s="1218"/>
      <c r="AT76" s="1218"/>
      <c r="AU76" s="1218"/>
      <c r="AV76" s="1218"/>
      <c r="AW76" s="1218"/>
      <c r="AX76" s="1218"/>
      <c r="AY76" s="1218"/>
      <c r="AZ76" s="1218"/>
      <c r="BA76" s="1218"/>
      <c r="BB76" s="1218"/>
      <c r="BC76" s="1218"/>
    </row>
    <row r="77" spans="34:55" x14ac:dyDescent="0.2">
      <c r="AQ77" s="1218"/>
      <c r="AR77" s="1218"/>
      <c r="AS77" s="1218"/>
      <c r="AT77" s="1218"/>
      <c r="AU77" s="1218"/>
      <c r="AV77" s="1218"/>
      <c r="AW77" s="1218"/>
      <c r="AX77" s="1218"/>
      <c r="AY77" s="1218"/>
      <c r="AZ77" s="1218"/>
      <c r="BA77" s="1218"/>
      <c r="BB77" s="1218"/>
      <c r="BC77" s="1218"/>
    </row>
    <row r="78" spans="34:55" x14ac:dyDescent="0.2">
      <c r="AQ78" s="1218"/>
      <c r="AR78" s="1218"/>
      <c r="AS78" s="1218"/>
      <c r="AT78" s="1218"/>
      <c r="AU78" s="1218"/>
      <c r="AV78" s="1218"/>
      <c r="AW78" s="1218"/>
      <c r="AX78" s="1218"/>
      <c r="AY78" s="1218"/>
      <c r="AZ78" s="1218"/>
      <c r="BA78" s="1218"/>
      <c r="BB78" s="1218"/>
      <c r="BC78" s="1218"/>
    </row>
    <row r="79" spans="34:55" x14ac:dyDescent="0.2">
      <c r="AQ79" s="1218"/>
      <c r="AR79" s="1218"/>
      <c r="AS79" s="1218"/>
      <c r="AT79" s="1218"/>
      <c r="AU79" s="1218"/>
      <c r="AV79" s="1218"/>
      <c r="AW79" s="1218"/>
      <c r="AX79" s="1218"/>
      <c r="AY79" s="1218"/>
      <c r="AZ79" s="1218"/>
      <c r="BA79" s="1218"/>
      <c r="BB79" s="1218"/>
      <c r="BC79" s="1218"/>
    </row>
    <row r="80" spans="34:55" x14ac:dyDescent="0.2">
      <c r="AQ80" s="1218"/>
      <c r="AR80" s="1218"/>
      <c r="AS80" s="1218"/>
      <c r="AT80" s="1218"/>
      <c r="AU80" s="1218"/>
      <c r="AV80" s="1218"/>
      <c r="AW80" s="1218"/>
      <c r="AX80" s="1218"/>
      <c r="AY80" s="1218"/>
      <c r="AZ80" s="1218"/>
      <c r="BA80" s="1218"/>
      <c r="BB80" s="1218"/>
      <c r="BC80" s="1218"/>
    </row>
    <row r="81" spans="43:55" x14ac:dyDescent="0.2">
      <c r="AQ81" s="1218"/>
      <c r="AR81" s="1218"/>
      <c r="AS81" s="1218"/>
      <c r="AT81" s="1218"/>
      <c r="AU81" s="1218"/>
      <c r="AV81" s="1218"/>
      <c r="AW81" s="1218"/>
      <c r="AX81" s="1218"/>
      <c r="AY81" s="1218"/>
      <c r="AZ81" s="1218"/>
      <c r="BA81" s="1218"/>
      <c r="BB81" s="1218"/>
      <c r="BC81" s="1218"/>
    </row>
    <row r="82" spans="43:55" x14ac:dyDescent="0.2">
      <c r="AQ82" s="1218"/>
      <c r="AR82" s="1218"/>
      <c r="AS82" s="1218"/>
      <c r="AT82" s="1218"/>
      <c r="AU82" s="1218"/>
      <c r="AV82" s="1218"/>
      <c r="AW82" s="1218"/>
      <c r="AX82" s="1218"/>
      <c r="AY82" s="1218"/>
      <c r="AZ82" s="1218"/>
      <c r="BA82" s="1218"/>
      <c r="BB82" s="1218"/>
      <c r="BC82" s="1218"/>
    </row>
    <row r="83" spans="43:55" x14ac:dyDescent="0.2">
      <c r="AQ83" s="1218"/>
      <c r="AR83" s="1218"/>
      <c r="AS83" s="1218"/>
      <c r="AT83" s="1218"/>
      <c r="AU83" s="1218"/>
      <c r="AV83" s="1218"/>
      <c r="AW83" s="1218"/>
      <c r="AX83" s="1218"/>
      <c r="AY83" s="1218"/>
      <c r="AZ83" s="1218"/>
      <c r="BA83" s="1218"/>
      <c r="BB83" s="1218"/>
      <c r="BC83" s="1218"/>
    </row>
    <row r="84" spans="43:55" x14ac:dyDescent="0.2">
      <c r="AQ84" s="1218"/>
      <c r="AR84" s="1218"/>
      <c r="AS84" s="1218"/>
      <c r="AT84" s="1218"/>
      <c r="AU84" s="1218"/>
      <c r="AV84" s="1218"/>
      <c r="AW84" s="1218"/>
      <c r="AX84" s="1218"/>
      <c r="AY84" s="1218"/>
      <c r="AZ84" s="1218"/>
      <c r="BA84" s="1218"/>
      <c r="BB84" s="1218"/>
      <c r="BC84" s="1218"/>
    </row>
    <row r="85" spans="43:55" x14ac:dyDescent="0.2">
      <c r="AQ85" s="1218"/>
      <c r="AR85" s="1218"/>
      <c r="AS85" s="1218"/>
      <c r="AT85" s="1218"/>
      <c r="AU85" s="1218"/>
      <c r="AV85" s="1218"/>
      <c r="AW85" s="1218"/>
      <c r="AX85" s="1218"/>
      <c r="AY85" s="1218"/>
      <c r="AZ85" s="1218"/>
      <c r="BA85" s="1218"/>
      <c r="BB85" s="1218"/>
      <c r="BC85" s="1218"/>
    </row>
    <row r="86" spans="43:55" x14ac:dyDescent="0.2">
      <c r="AQ86" s="1218"/>
      <c r="AR86" s="1218"/>
      <c r="AS86" s="1218"/>
      <c r="AT86" s="1218"/>
      <c r="AU86" s="1218"/>
      <c r="AV86" s="1218"/>
      <c r="AW86" s="1218"/>
      <c r="AX86" s="1218"/>
      <c r="AY86" s="1218"/>
      <c r="AZ86" s="1218"/>
      <c r="BA86" s="1218"/>
      <c r="BB86" s="1218"/>
      <c r="BC86" s="1218"/>
    </row>
    <row r="87" spans="43:55" x14ac:dyDescent="0.2">
      <c r="AQ87" s="1218"/>
      <c r="AR87" s="1218"/>
      <c r="AS87" s="1218"/>
      <c r="AT87" s="1218"/>
      <c r="AU87" s="1218"/>
      <c r="AV87" s="1218"/>
      <c r="AW87" s="1218"/>
      <c r="AX87" s="1218"/>
      <c r="AY87" s="1218"/>
      <c r="AZ87" s="1218"/>
      <c r="BA87" s="1218"/>
      <c r="BB87" s="1218"/>
      <c r="BC87" s="1218"/>
    </row>
    <row r="88" spans="43:55" x14ac:dyDescent="0.2">
      <c r="AQ88" s="1218"/>
      <c r="AR88" s="1218"/>
      <c r="AS88" s="1218"/>
      <c r="AT88" s="1218"/>
      <c r="AU88" s="1218"/>
      <c r="AV88" s="1218"/>
      <c r="AW88" s="1218"/>
      <c r="AX88" s="1218"/>
      <c r="AY88" s="1218"/>
      <c r="AZ88" s="1218"/>
      <c r="BA88" s="1218"/>
      <c r="BB88" s="1218"/>
      <c r="BC88" s="1218"/>
    </row>
    <row r="89" spans="43:55" x14ac:dyDescent="0.2">
      <c r="AQ89" s="1218"/>
      <c r="AR89" s="1218"/>
      <c r="AS89" s="1218"/>
      <c r="AT89" s="1218"/>
      <c r="AU89" s="1218"/>
      <c r="AV89" s="1218"/>
      <c r="AW89" s="1218"/>
      <c r="AX89" s="1218"/>
      <c r="AY89" s="1218"/>
      <c r="AZ89" s="1218"/>
      <c r="BA89" s="1218"/>
      <c r="BB89" s="1218"/>
      <c r="BC89" s="1218"/>
    </row>
    <row r="90" spans="43:55" x14ac:dyDescent="0.2">
      <c r="AQ90" s="1218"/>
      <c r="AR90" s="1218"/>
      <c r="AS90" s="1218"/>
      <c r="AT90" s="1218"/>
      <c r="AU90" s="1218"/>
      <c r="AV90" s="1218"/>
      <c r="AW90" s="1218"/>
      <c r="AX90" s="1218"/>
      <c r="AY90" s="1218"/>
      <c r="AZ90" s="1218"/>
      <c r="BA90" s="1218"/>
      <c r="BB90" s="1218"/>
      <c r="BC90" s="1218"/>
    </row>
  </sheetData>
  <pageMargins left="0.511811024" right="0.511811024" top="0.78740157499999996" bottom="0.78740157499999996" header="0.31496062000000002" footer="0.31496062000000002"/>
  <pageSetup paperSize="9" orientation="portrait" horizontalDpi="300"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V9:AF9"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6">
    <tabColor theme="4" tint="-0.249977111117893"/>
    <pageSetUpPr autoPageBreaks="0"/>
  </sheetPr>
  <dimension ref="A1:BV15"/>
  <sheetViews>
    <sheetView showGridLines="0" zoomScaleNormal="100" workbookViewId="0">
      <pane xSplit="4" ySplit="5" topLeftCell="BJ6" activePane="bottomRight" state="frozen"/>
      <selection activeCell="X6" sqref="X6"/>
      <selection pane="topRight" activeCell="X6" sqref="X6"/>
      <selection pane="bottomLeft" activeCell="X6" sqref="X6"/>
      <selection pane="bottomRight" activeCell="BV18" sqref="BV18"/>
    </sheetView>
  </sheetViews>
  <sheetFormatPr defaultRowHeight="12.75" outlineLevelRow="1" x14ac:dyDescent="0.2"/>
  <cols>
    <col min="1" max="2" width="9.140625" hidden="1" customWidth="1"/>
    <col min="3" max="3" width="1.42578125" customWidth="1"/>
    <col min="4" max="4" width="58.5703125" customWidth="1"/>
    <col min="5" max="65" width="10.85546875" customWidth="1"/>
    <col min="66" max="71" width="10.85546875" bestFit="1" customWidth="1"/>
    <col min="72" max="73" width="10.85546875" customWidth="1"/>
    <col min="74" max="74" width="10.85546875" bestFit="1" customWidth="1"/>
  </cols>
  <sheetData>
    <row r="1" spans="1:74" s="553" customFormat="1" ht="7.5" customHeight="1" x14ac:dyDescent="0.2">
      <c r="E1" s="553" t="s">
        <v>615</v>
      </c>
      <c r="F1" s="553" t="str">
        <f t="shared" ref="F1:AK1" si="0">IF(LEFT(E1,1)="4","1T"&amp;RIGHT(E1,2)+1,LEFT(E1,1)+1&amp;RIGHT(E1,3))</f>
        <v>2T09</v>
      </c>
      <c r="G1" s="553" t="str">
        <f t="shared" si="0"/>
        <v>3T09</v>
      </c>
      <c r="H1" s="553" t="str">
        <f t="shared" si="0"/>
        <v>4T09</v>
      </c>
      <c r="I1" s="553" t="str">
        <f t="shared" si="0"/>
        <v>1T10</v>
      </c>
      <c r="J1" s="553" t="str">
        <f t="shared" si="0"/>
        <v>2T10</v>
      </c>
      <c r="K1" s="553" t="str">
        <f t="shared" si="0"/>
        <v>3T10</v>
      </c>
      <c r="L1" s="553" t="str">
        <f t="shared" si="0"/>
        <v>4T10</v>
      </c>
      <c r="M1" s="553" t="str">
        <f t="shared" si="0"/>
        <v>1T11</v>
      </c>
      <c r="N1" s="553" t="str">
        <f t="shared" si="0"/>
        <v>2T11</v>
      </c>
      <c r="O1" s="553" t="str">
        <f t="shared" si="0"/>
        <v>3T11</v>
      </c>
      <c r="P1" s="553" t="str">
        <f t="shared" si="0"/>
        <v>4T11</v>
      </c>
      <c r="Q1" s="553" t="str">
        <f t="shared" si="0"/>
        <v>1T12</v>
      </c>
      <c r="R1" s="553" t="str">
        <f t="shared" si="0"/>
        <v>2T12</v>
      </c>
      <c r="S1" s="553" t="str">
        <f t="shared" si="0"/>
        <v>3T12</v>
      </c>
      <c r="T1" s="553" t="str">
        <f t="shared" si="0"/>
        <v>4T12</v>
      </c>
      <c r="U1" s="553" t="str">
        <f t="shared" si="0"/>
        <v>1T13</v>
      </c>
      <c r="V1" s="553" t="str">
        <f t="shared" si="0"/>
        <v>2T13</v>
      </c>
      <c r="W1" s="553" t="str">
        <f t="shared" si="0"/>
        <v>3T13</v>
      </c>
      <c r="X1" s="553" t="str">
        <f t="shared" si="0"/>
        <v>4T13</v>
      </c>
      <c r="Y1" s="553" t="str">
        <f t="shared" si="0"/>
        <v>1T14</v>
      </c>
      <c r="Z1" s="553" t="str">
        <f t="shared" si="0"/>
        <v>2T14</v>
      </c>
      <c r="AA1" s="553" t="str">
        <f t="shared" si="0"/>
        <v>3T14</v>
      </c>
      <c r="AB1" s="553" t="str">
        <f t="shared" si="0"/>
        <v>4T14</v>
      </c>
      <c r="AC1" s="553" t="str">
        <f t="shared" si="0"/>
        <v>1T15</v>
      </c>
      <c r="AD1" s="553" t="str">
        <f t="shared" si="0"/>
        <v>2T15</v>
      </c>
      <c r="AE1" s="553" t="str">
        <f t="shared" si="0"/>
        <v>3T15</v>
      </c>
      <c r="AF1" s="553" t="str">
        <f t="shared" si="0"/>
        <v>4T15</v>
      </c>
      <c r="AG1" s="553" t="str">
        <f t="shared" si="0"/>
        <v>1T16</v>
      </c>
      <c r="AH1" s="553" t="str">
        <f t="shared" si="0"/>
        <v>2T16</v>
      </c>
      <c r="AI1" s="553" t="str">
        <f t="shared" si="0"/>
        <v>3T16</v>
      </c>
      <c r="AJ1" s="553" t="str">
        <f t="shared" si="0"/>
        <v>4T16</v>
      </c>
      <c r="AK1" s="553" t="str">
        <f t="shared" si="0"/>
        <v>1T17</v>
      </c>
      <c r="AL1" s="553" t="str">
        <f t="shared" ref="AL1:BM1" si="1">IF(LEFT(AK1,1)="4","1T"&amp;RIGHT(AK1,2)+1,LEFT(AK1,1)+1&amp;RIGHT(AK1,3))</f>
        <v>2T17</v>
      </c>
      <c r="AM1" s="553" t="str">
        <f t="shared" si="1"/>
        <v>3T17</v>
      </c>
      <c r="AN1" s="553" t="str">
        <f t="shared" si="1"/>
        <v>4T17</v>
      </c>
      <c r="AO1" s="553" t="str">
        <f t="shared" si="1"/>
        <v>1T18</v>
      </c>
      <c r="AP1" s="553" t="str">
        <f t="shared" si="1"/>
        <v>2T18</v>
      </c>
      <c r="AQ1" s="553" t="str">
        <f t="shared" si="1"/>
        <v>3T18</v>
      </c>
      <c r="AR1" s="553" t="str">
        <f t="shared" si="1"/>
        <v>4T18</v>
      </c>
      <c r="AS1" s="553" t="str">
        <f t="shared" si="1"/>
        <v>1T19</v>
      </c>
      <c r="AT1" s="553" t="str">
        <f t="shared" si="1"/>
        <v>2T19</v>
      </c>
      <c r="AU1" s="553" t="str">
        <f t="shared" si="1"/>
        <v>3T19</v>
      </c>
      <c r="AV1" s="553" t="str">
        <f t="shared" si="1"/>
        <v>4T19</v>
      </c>
      <c r="AW1" s="553" t="str">
        <f t="shared" si="1"/>
        <v>1T20</v>
      </c>
      <c r="AX1" s="553" t="str">
        <f t="shared" si="1"/>
        <v>2T20</v>
      </c>
      <c r="AY1" s="553" t="str">
        <f t="shared" si="1"/>
        <v>3T20</v>
      </c>
      <c r="AZ1" s="553" t="str">
        <f t="shared" si="1"/>
        <v>4T20</v>
      </c>
      <c r="BA1" s="553" t="str">
        <f t="shared" si="1"/>
        <v>1T21</v>
      </c>
      <c r="BB1" s="553" t="str">
        <f t="shared" si="1"/>
        <v>2T21</v>
      </c>
      <c r="BC1" s="553" t="str">
        <f t="shared" si="1"/>
        <v>3T21</v>
      </c>
      <c r="BD1" s="553" t="str">
        <f t="shared" si="1"/>
        <v>4T21</v>
      </c>
      <c r="BE1" s="553" t="str">
        <f t="shared" si="1"/>
        <v>1T22</v>
      </c>
      <c r="BF1" s="553" t="str">
        <f t="shared" si="1"/>
        <v>2T22</v>
      </c>
      <c r="BG1" s="553" t="str">
        <f t="shared" si="1"/>
        <v>3T22</v>
      </c>
      <c r="BH1" s="553" t="str">
        <f t="shared" si="1"/>
        <v>4T22</v>
      </c>
      <c r="BI1" s="553" t="str">
        <f t="shared" si="1"/>
        <v>1T23</v>
      </c>
      <c r="BJ1" s="553" t="str">
        <f t="shared" si="1"/>
        <v>2T23</v>
      </c>
      <c r="BK1" s="553" t="str">
        <f t="shared" si="1"/>
        <v>3T23</v>
      </c>
      <c r="BL1" s="553" t="str">
        <f t="shared" si="1"/>
        <v>4T23</v>
      </c>
      <c r="BM1" s="553" t="str">
        <f t="shared" si="1"/>
        <v>1T24</v>
      </c>
      <c r="BN1" s="553" t="str">
        <f t="shared" ref="BN1:BV1" si="2">IF(LEFT(BM1,1)="4","1T"&amp;RIGHT(BM1,2)+1,LEFT(BM1,1)+1&amp;RIGHT(BM1,3))</f>
        <v>2T24</v>
      </c>
      <c r="BO1" s="553" t="str">
        <f t="shared" si="2"/>
        <v>3T24</v>
      </c>
      <c r="BP1" s="553" t="str">
        <f t="shared" si="2"/>
        <v>4T24</v>
      </c>
      <c r="BQ1" s="553" t="str">
        <f t="shared" si="2"/>
        <v>1T25</v>
      </c>
      <c r="BR1" s="553" t="str">
        <f t="shared" si="2"/>
        <v>2T25</v>
      </c>
      <c r="BS1" s="553" t="str">
        <f t="shared" si="2"/>
        <v>3T25</v>
      </c>
      <c r="BT1" s="553" t="str">
        <f t="shared" si="2"/>
        <v>4T25</v>
      </c>
      <c r="BU1" s="553" t="str">
        <f t="shared" si="2"/>
        <v>1T26</v>
      </c>
      <c r="BV1" s="553" t="str">
        <f t="shared" si="2"/>
        <v>2T26</v>
      </c>
    </row>
    <row r="2" spans="1:74" s="553" customFormat="1" ht="12.75" customHeight="1" x14ac:dyDescent="0.2">
      <c r="D2" s="584"/>
      <c r="E2" s="553" t="s">
        <v>1651</v>
      </c>
      <c r="F2" s="553" t="str">
        <f>IF(LEFT(E2,1)="4","1Q"&amp;RIGHT(E2,2)+1,LEFT(E2,1)+1&amp;RIGHT(E2,3))</f>
        <v>2Q09</v>
      </c>
      <c r="G2" s="553" t="str">
        <f t="shared" ref="G2:BM2" si="3">IF(LEFT(F2,1)="4","1Q"&amp;RIGHT(F2,2)+1,LEFT(F2,1)+1&amp;RIGHT(F2,3))</f>
        <v>3Q09</v>
      </c>
      <c r="H2" s="553" t="str">
        <f t="shared" si="3"/>
        <v>4Q09</v>
      </c>
      <c r="I2" s="553" t="str">
        <f t="shared" si="3"/>
        <v>1Q10</v>
      </c>
      <c r="J2" s="553" t="str">
        <f t="shared" si="3"/>
        <v>2Q10</v>
      </c>
      <c r="K2" s="553" t="str">
        <f t="shared" si="3"/>
        <v>3Q10</v>
      </c>
      <c r="L2" s="553" t="str">
        <f t="shared" si="3"/>
        <v>4Q10</v>
      </c>
      <c r="M2" s="553" t="str">
        <f t="shared" si="3"/>
        <v>1Q11</v>
      </c>
      <c r="N2" s="553" t="str">
        <f t="shared" si="3"/>
        <v>2Q11</v>
      </c>
      <c r="O2" s="553" t="str">
        <f t="shared" si="3"/>
        <v>3Q11</v>
      </c>
      <c r="P2" s="553" t="str">
        <f t="shared" si="3"/>
        <v>4Q11</v>
      </c>
      <c r="Q2" s="553" t="str">
        <f t="shared" si="3"/>
        <v>1Q12</v>
      </c>
      <c r="R2" s="553" t="str">
        <f t="shared" si="3"/>
        <v>2Q12</v>
      </c>
      <c r="S2" s="553" t="str">
        <f t="shared" si="3"/>
        <v>3Q12</v>
      </c>
      <c r="T2" s="553" t="str">
        <f t="shared" si="3"/>
        <v>4Q12</v>
      </c>
      <c r="U2" s="553" t="str">
        <f t="shared" si="3"/>
        <v>1Q13</v>
      </c>
      <c r="V2" s="553" t="str">
        <f t="shared" si="3"/>
        <v>2Q13</v>
      </c>
      <c r="W2" s="553" t="str">
        <f t="shared" si="3"/>
        <v>3Q13</v>
      </c>
      <c r="X2" s="553" t="str">
        <f t="shared" si="3"/>
        <v>4Q13</v>
      </c>
      <c r="Y2" s="553" t="str">
        <f t="shared" si="3"/>
        <v>1Q14</v>
      </c>
      <c r="Z2" s="553" t="str">
        <f t="shared" si="3"/>
        <v>2Q14</v>
      </c>
      <c r="AA2" s="553" t="str">
        <f t="shared" si="3"/>
        <v>3Q14</v>
      </c>
      <c r="AB2" s="553" t="str">
        <f t="shared" si="3"/>
        <v>4Q14</v>
      </c>
      <c r="AC2" s="553" t="str">
        <f t="shared" si="3"/>
        <v>1Q15</v>
      </c>
      <c r="AD2" s="553" t="str">
        <f t="shared" si="3"/>
        <v>2Q15</v>
      </c>
      <c r="AE2" s="553" t="str">
        <f t="shared" si="3"/>
        <v>3Q15</v>
      </c>
      <c r="AF2" s="553" t="str">
        <f t="shared" si="3"/>
        <v>4Q15</v>
      </c>
      <c r="AG2" s="553" t="str">
        <f t="shared" si="3"/>
        <v>1Q16</v>
      </c>
      <c r="AH2" s="553" t="str">
        <f t="shared" si="3"/>
        <v>2Q16</v>
      </c>
      <c r="AI2" s="553" t="str">
        <f t="shared" si="3"/>
        <v>3Q16</v>
      </c>
      <c r="AJ2" s="553" t="str">
        <f t="shared" si="3"/>
        <v>4Q16</v>
      </c>
      <c r="AK2" s="553" t="str">
        <f t="shared" si="3"/>
        <v>1Q17</v>
      </c>
      <c r="AL2" s="553" t="str">
        <f t="shared" si="3"/>
        <v>2Q17</v>
      </c>
      <c r="AM2" s="553" t="str">
        <f t="shared" si="3"/>
        <v>3Q17</v>
      </c>
      <c r="AN2" s="553" t="str">
        <f t="shared" si="3"/>
        <v>4Q17</v>
      </c>
      <c r="AO2" s="553" t="str">
        <f t="shared" si="3"/>
        <v>1Q18</v>
      </c>
      <c r="AP2" s="553" t="str">
        <f t="shared" si="3"/>
        <v>2Q18</v>
      </c>
      <c r="AQ2" s="553" t="str">
        <f t="shared" si="3"/>
        <v>3Q18</v>
      </c>
      <c r="AR2" s="553" t="str">
        <f t="shared" si="3"/>
        <v>4Q18</v>
      </c>
      <c r="AS2" s="553" t="str">
        <f t="shared" si="3"/>
        <v>1Q19</v>
      </c>
      <c r="AT2" s="553" t="str">
        <f t="shared" si="3"/>
        <v>2Q19</v>
      </c>
      <c r="AU2" s="553" t="str">
        <f t="shared" si="3"/>
        <v>3Q19</v>
      </c>
      <c r="AV2" s="553" t="str">
        <f t="shared" si="3"/>
        <v>4Q19</v>
      </c>
      <c r="AW2" s="553" t="str">
        <f t="shared" si="3"/>
        <v>1Q20</v>
      </c>
      <c r="AX2" s="553" t="str">
        <f t="shared" si="3"/>
        <v>2Q20</v>
      </c>
      <c r="AY2" s="553" t="str">
        <f t="shared" si="3"/>
        <v>3Q20</v>
      </c>
      <c r="AZ2" s="553" t="str">
        <f t="shared" si="3"/>
        <v>4Q20</v>
      </c>
      <c r="BA2" s="553" t="str">
        <f t="shared" si="3"/>
        <v>1Q21</v>
      </c>
      <c r="BB2" s="553" t="str">
        <f t="shared" si="3"/>
        <v>2Q21</v>
      </c>
      <c r="BC2" s="553" t="str">
        <f t="shared" si="3"/>
        <v>3Q21</v>
      </c>
      <c r="BD2" s="553" t="str">
        <f t="shared" si="3"/>
        <v>4Q21</v>
      </c>
      <c r="BE2" s="553" t="str">
        <f t="shared" si="3"/>
        <v>1Q22</v>
      </c>
      <c r="BF2" s="553" t="str">
        <f t="shared" si="3"/>
        <v>2Q22</v>
      </c>
      <c r="BG2" s="553" t="str">
        <f t="shared" si="3"/>
        <v>3Q22</v>
      </c>
      <c r="BH2" s="553" t="str">
        <f t="shared" si="3"/>
        <v>4Q22</v>
      </c>
      <c r="BI2" s="553" t="str">
        <f t="shared" si="3"/>
        <v>1Q23</v>
      </c>
      <c r="BJ2" s="553" t="str">
        <f t="shared" si="3"/>
        <v>2Q23</v>
      </c>
      <c r="BK2" s="553" t="str">
        <f t="shared" si="3"/>
        <v>3Q23</v>
      </c>
      <c r="BL2" s="553" t="str">
        <f t="shared" si="3"/>
        <v>4Q23</v>
      </c>
      <c r="BM2" s="553" t="str">
        <f t="shared" si="3"/>
        <v>1Q24</v>
      </c>
      <c r="BN2" s="553" t="str">
        <f t="shared" ref="BN2:BV2" si="4">IF(LEFT(BM2,1)="4","1Q"&amp;RIGHT(BM2,2)+1,LEFT(BM2,1)+1&amp;RIGHT(BM2,3))</f>
        <v>2Q24</v>
      </c>
      <c r="BO2" s="553" t="str">
        <f t="shared" si="4"/>
        <v>3Q24</v>
      </c>
      <c r="BP2" s="553" t="str">
        <f t="shared" si="4"/>
        <v>4Q24</v>
      </c>
      <c r="BQ2" s="553" t="str">
        <f t="shared" si="4"/>
        <v>1Q25</v>
      </c>
      <c r="BR2" s="553" t="str">
        <f t="shared" si="4"/>
        <v>2Q25</v>
      </c>
      <c r="BS2" s="553" t="str">
        <f t="shared" si="4"/>
        <v>3Q25</v>
      </c>
      <c r="BT2" s="553" t="str">
        <f t="shared" si="4"/>
        <v>4Q25</v>
      </c>
      <c r="BU2" s="553" t="str">
        <f t="shared" si="4"/>
        <v>1Q26</v>
      </c>
      <c r="BV2" s="553" t="str">
        <f t="shared" si="4"/>
        <v>2Q26</v>
      </c>
    </row>
    <row r="3" spans="1:74" ht="12.75" customHeight="1" x14ac:dyDescent="0.2">
      <c r="D3" s="44"/>
      <c r="AR3" s="547"/>
      <c r="AS3" s="547"/>
      <c r="AT3" s="547"/>
      <c r="AU3" s="547"/>
      <c r="AV3" s="547"/>
      <c r="AW3" s="547"/>
      <c r="AX3" s="547"/>
      <c r="AY3" s="547"/>
      <c r="AZ3" s="547"/>
      <c r="BA3" s="547"/>
      <c r="BB3" s="547"/>
      <c r="BC3" s="547"/>
      <c r="BD3" s="547"/>
      <c r="BE3" s="547"/>
      <c r="BF3" s="547"/>
      <c r="BG3" s="547"/>
      <c r="BH3" s="547"/>
      <c r="BI3" s="547"/>
      <c r="BJ3" s="547"/>
      <c r="BK3" s="547"/>
      <c r="BL3" s="547"/>
      <c r="BM3" s="547"/>
      <c r="BN3" s="547"/>
      <c r="BO3" s="547"/>
      <c r="BP3" s="547"/>
      <c r="BQ3" s="547"/>
      <c r="BR3" s="547"/>
      <c r="BS3" s="547"/>
      <c r="BT3" s="547"/>
      <c r="BU3" s="547"/>
      <c r="BV3" s="547"/>
    </row>
    <row r="4" spans="1:74" ht="12.75" customHeight="1" x14ac:dyDescent="0.2">
      <c r="D4" s="44"/>
      <c r="AR4" s="40"/>
      <c r="AS4" s="40"/>
      <c r="AT4" s="40"/>
      <c r="AU4" s="40"/>
      <c r="AV4" s="40"/>
      <c r="AW4" s="40"/>
    </row>
    <row r="5" spans="1:74" x14ac:dyDescent="0.2">
      <c r="D5" s="140"/>
      <c r="E5" s="247" t="str">
        <f>IF([1]RENAME!$H$3=1,E2,E1)</f>
        <v>1T09</v>
      </c>
      <c r="F5" s="247" t="str">
        <f>IF([1]RENAME!$H$3=1,F2,F1)</f>
        <v>2T09</v>
      </c>
      <c r="G5" s="247" t="str">
        <f>IF([1]RENAME!$H$3=1,G2,G1)</f>
        <v>3T09</v>
      </c>
      <c r="H5" s="247" t="str">
        <f>IF([1]RENAME!$H$3=1,H2,H1)</f>
        <v>4T09</v>
      </c>
      <c r="I5" s="247" t="str">
        <f>IF([1]RENAME!$H$3=1,I2,I1)</f>
        <v>1T10</v>
      </c>
      <c r="J5" s="247" t="str">
        <f>IF([1]RENAME!$H$3=1,J2,J1)</f>
        <v>2T10</v>
      </c>
      <c r="K5" s="247" t="str">
        <f>IF([1]RENAME!$H$3=1,K2,K1)</f>
        <v>3T10</v>
      </c>
      <c r="L5" s="247" t="str">
        <f>IF([1]RENAME!$H$3=1,L2,L1)</f>
        <v>4T10</v>
      </c>
      <c r="M5" s="247" t="str">
        <f>IF([1]RENAME!$H$3=1,M2,M1)</f>
        <v>1T11</v>
      </c>
      <c r="N5" s="247" t="str">
        <f>IF([1]RENAME!$H$3=1,N2,N1)</f>
        <v>2T11</v>
      </c>
      <c r="O5" s="247" t="str">
        <f>IF([1]RENAME!$H$3=1,O2,O1)</f>
        <v>3T11</v>
      </c>
      <c r="P5" s="247" t="str">
        <f>IF([1]RENAME!$H$3=1,P2,P1)</f>
        <v>4T11</v>
      </c>
      <c r="Q5" s="247" t="str">
        <f>IF([1]RENAME!$H$3=1,Q2,Q1)</f>
        <v>1T12</v>
      </c>
      <c r="R5" s="247" t="str">
        <f>IF([1]RENAME!$H$3=1,R2,R1)</f>
        <v>2T12</v>
      </c>
      <c r="S5" s="247" t="str">
        <f>IF([1]RENAME!$H$3=1,S2,S1)</f>
        <v>3T12</v>
      </c>
      <c r="T5" s="247" t="str">
        <f>IF([1]RENAME!$H$3=1,T2,T1)</f>
        <v>4T12</v>
      </c>
      <c r="U5" s="247" t="str">
        <f>IF([1]RENAME!$H$3=1,U2,U1)</f>
        <v>1T13</v>
      </c>
      <c r="V5" s="247" t="str">
        <f>IF([1]RENAME!$H$3=1,V2,V1)</f>
        <v>2T13</v>
      </c>
      <c r="W5" s="247" t="str">
        <f>IF([1]RENAME!$H$3=1,W2,W1)</f>
        <v>3T13</v>
      </c>
      <c r="X5" s="247" t="str">
        <f>IF([1]RENAME!$H$3=1,X2,X1)</f>
        <v>4T13</v>
      </c>
      <c r="Y5" s="247" t="str">
        <f>IF([1]RENAME!$H$3=1,Y2,Y1)</f>
        <v>1T14</v>
      </c>
      <c r="Z5" s="247" t="str">
        <f>IF([1]RENAME!$H$3=1,Z2,Z1)</f>
        <v>2T14</v>
      </c>
      <c r="AA5" s="247" t="str">
        <f>IF([1]RENAME!$H$3=1,AA2,AA1)</f>
        <v>3T14</v>
      </c>
      <c r="AB5" s="247" t="str">
        <f>IF([1]RENAME!$H$3=1,AB2,AB1)</f>
        <v>4T14</v>
      </c>
      <c r="AC5" s="247" t="str">
        <f>IF([1]RENAME!$H$3=1,AC2,AC1)</f>
        <v>1T15</v>
      </c>
      <c r="AD5" s="247" t="str">
        <f>IF([1]RENAME!$H$3=1,AD2,AD1)</f>
        <v>2T15</v>
      </c>
      <c r="AE5" s="247" t="str">
        <f>IF([1]RENAME!$H$3=1,AE2,AE1)</f>
        <v>3T15</v>
      </c>
      <c r="AF5" s="247" t="str">
        <f>IF([1]RENAME!$H$3=1,AF2,AF1)</f>
        <v>4T15</v>
      </c>
      <c r="AG5" s="247" t="str">
        <f>IF([1]RENAME!$H$3=1,AG2,AG1)</f>
        <v>1T16</v>
      </c>
      <c r="AH5" s="247" t="str">
        <f>IF([1]RENAME!$H$3=1,AH2,AH1)</f>
        <v>2T16</v>
      </c>
      <c r="AI5" s="247" t="str">
        <f>IF([1]RENAME!$H$3=1,AI2,AI1)</f>
        <v>3T16</v>
      </c>
      <c r="AJ5" s="247" t="str">
        <f>IF([1]RENAME!$H$3=1,AJ2,AJ1)</f>
        <v>4T16</v>
      </c>
      <c r="AK5" s="247" t="str">
        <f>IF([1]RENAME!$H$3=1,AK2,AK1)</f>
        <v>1T17</v>
      </c>
      <c r="AL5" s="247" t="str">
        <f>IF([1]RENAME!$H$3=1,AL2,AL1)</f>
        <v>2T17</v>
      </c>
      <c r="AM5" s="247" t="str">
        <f>IF([1]RENAME!$H$3=1,AM2,AM1)</f>
        <v>3T17</v>
      </c>
      <c r="AN5" s="247" t="str">
        <f>IF([1]RENAME!$H$3=1,AN2,AN1)</f>
        <v>4T17</v>
      </c>
      <c r="AO5" s="247" t="str">
        <f>IF([1]RENAME!$H$3=1,AO2,AO1)</f>
        <v>1T18</v>
      </c>
      <c r="AP5" s="247" t="str">
        <f>IF([1]RENAME!$H$3=1,AP2,AP1)</f>
        <v>2T18</v>
      </c>
      <c r="AQ5" s="247" t="str">
        <f>IF([1]RENAME!$H$3=1,AQ2,AQ1)</f>
        <v>3T18</v>
      </c>
      <c r="AR5" s="247" t="str">
        <f>IF([1]RENAME!$H$3=1,AR2,AR1)</f>
        <v>4T18</v>
      </c>
      <c r="AS5" s="247" t="str">
        <f>IF([1]RENAME!$H$3=1,AS2,AS1)</f>
        <v>1T19</v>
      </c>
      <c r="AT5" s="247" t="str">
        <f>IF([1]RENAME!$H$3=1,AT2,AT1)</f>
        <v>2T19</v>
      </c>
      <c r="AU5" s="247" t="str">
        <f>IF([1]RENAME!$H$3=1,AU2,AU1)</f>
        <v>3T19</v>
      </c>
      <c r="AV5" s="247" t="str">
        <f>IF([1]RENAME!$H$3=1,AV2,AV1)</f>
        <v>4T19</v>
      </c>
      <c r="AW5" s="247" t="str">
        <f>IF([1]RENAME!$H$3=1,AW2,AW1)</f>
        <v>1T20</v>
      </c>
      <c r="AX5" s="247" t="str">
        <f>IF([1]RENAME!$H$3=1,AX2,AX1)</f>
        <v>2T20</v>
      </c>
      <c r="AY5" s="247" t="str">
        <f>IF([1]RENAME!$H$3=1,AY2,AY1)</f>
        <v>3T20</v>
      </c>
      <c r="AZ5" s="247" t="str">
        <f>IF([1]RENAME!$H$3=1,AZ2,AZ1)</f>
        <v>4T20</v>
      </c>
      <c r="BA5" s="247" t="str">
        <f>IF([1]RENAME!$H$3=1,BA2,BA1)</f>
        <v>1T21</v>
      </c>
      <c r="BB5" s="247" t="str">
        <f>IF([1]RENAME!$H$3=1,BB2,BB1)</f>
        <v>2T21</v>
      </c>
      <c r="BC5" s="247" t="str">
        <f>IF([1]RENAME!$H$3=1,BC2,BC1)</f>
        <v>3T21</v>
      </c>
      <c r="BD5" s="247" t="str">
        <f>IF([1]RENAME!$H$3=1,BD2,BD1)</f>
        <v>4T21</v>
      </c>
      <c r="BE5" s="247" t="str">
        <f>IF([1]RENAME!$H$3=1,BE2,BE1)</f>
        <v>1T22</v>
      </c>
      <c r="BF5" s="247" t="str">
        <f>IF([1]RENAME!$H$3=1,BF2,BF1)</f>
        <v>2T22</v>
      </c>
      <c r="BG5" s="247" t="str">
        <f>IF([1]RENAME!$H$3=1,BG2,BG1)</f>
        <v>3T22</v>
      </c>
      <c r="BH5" s="247" t="str">
        <f>IF([1]RENAME!$H$3=1,BH2,BH1)</f>
        <v>4T22</v>
      </c>
      <c r="BI5" s="247" t="str">
        <f>IF([1]RENAME!$H$3=1,BI2,BI1)</f>
        <v>1T23</v>
      </c>
      <c r="BJ5" s="247" t="str">
        <f>IF([1]RENAME!$H$3=1,BJ2,BJ1)</f>
        <v>2T23</v>
      </c>
      <c r="BK5" s="247" t="str">
        <f>IF([1]RENAME!$H$3=1,BK2,BK1)</f>
        <v>3T23</v>
      </c>
      <c r="BL5" s="247" t="str">
        <f>IF([1]RENAME!$H$3=1,BL2,BL1)</f>
        <v>4T23</v>
      </c>
      <c r="BM5" s="247" t="str">
        <f>IF([1]RENAME!$H$3=1,BM2,BM1)</f>
        <v>1T24</v>
      </c>
      <c r="BN5" s="247" t="str">
        <f>IF([1]RENAME!$H$3=1,BN2,BN1)</f>
        <v>2T24</v>
      </c>
      <c r="BO5" s="247" t="str">
        <f>IF([1]RENAME!$H$3=1,BO2,BO1)</f>
        <v>3T24</v>
      </c>
      <c r="BP5" s="247" t="str">
        <f>IF([1]RENAME!$H$3=1,BP2,BP1)</f>
        <v>4T24</v>
      </c>
      <c r="BQ5" s="247" t="str">
        <f>IF([1]RENAME!$H$3=1,BQ2,BQ1)</f>
        <v>1T25</v>
      </c>
      <c r="BR5" s="247" t="str">
        <f>IF([1]RENAME!$H$3=1,BR2,BR1)</f>
        <v>2T25</v>
      </c>
      <c r="BS5" s="247" t="str">
        <f>IF([1]RENAME!$H$3=1,BS2,BS1)</f>
        <v>3T25</v>
      </c>
      <c r="BT5" s="247" t="str">
        <f>IF([1]RENAME!$H$3=1,BT2,BT1)</f>
        <v>4T25</v>
      </c>
      <c r="BU5" s="247" t="str">
        <f>IF([1]RENAME!$H$3=1,BU2,BU1)</f>
        <v>1T26</v>
      </c>
      <c r="BV5" s="247" t="str">
        <f>IF([1]RENAME!$H$3=1,BV2,BV1)</f>
        <v>2T26</v>
      </c>
    </row>
    <row r="6" spans="1:74" x14ac:dyDescent="0.2">
      <c r="A6" t="s">
        <v>2062</v>
      </c>
      <c r="B6" t="s">
        <v>2063</v>
      </c>
      <c r="D6" s="119" t="str">
        <f>IF([1]RENAME!$H$3=1,B6,A6)</f>
        <v>Veículos Total (a)</v>
      </c>
      <c r="E6" s="120">
        <f t="shared" ref="E6:AJ6" si="5">SUM(E7:E8)</f>
        <v>201416</v>
      </c>
      <c r="F6" s="120">
        <f t="shared" si="5"/>
        <v>245442</v>
      </c>
      <c r="G6" s="120">
        <f t="shared" si="5"/>
        <v>266976</v>
      </c>
      <c r="H6" s="120">
        <f t="shared" si="5"/>
        <v>273822</v>
      </c>
      <c r="I6" s="120">
        <f t="shared" si="5"/>
        <v>240759</v>
      </c>
      <c r="J6" s="120">
        <f t="shared" si="5"/>
        <v>254773.5</v>
      </c>
      <c r="K6" s="120">
        <f t="shared" si="5"/>
        <v>284308</v>
      </c>
      <c r="L6" s="120">
        <f t="shared" si="5"/>
        <v>303399</v>
      </c>
      <c r="M6" s="120">
        <f t="shared" si="5"/>
        <v>253060</v>
      </c>
      <c r="N6" s="120">
        <f t="shared" si="5"/>
        <v>262684</v>
      </c>
      <c r="O6" s="120">
        <f t="shared" si="5"/>
        <v>276805</v>
      </c>
      <c r="P6" s="120">
        <f t="shared" si="5"/>
        <v>295809</v>
      </c>
      <c r="Q6" s="120">
        <f t="shared" si="5"/>
        <v>241294</v>
      </c>
      <c r="R6" s="120">
        <f t="shared" si="5"/>
        <v>271483</v>
      </c>
      <c r="S6" s="120">
        <f t="shared" si="5"/>
        <v>303126</v>
      </c>
      <c r="T6" s="120">
        <f t="shared" si="5"/>
        <v>300972</v>
      </c>
      <c r="U6" s="120">
        <f t="shared" si="5"/>
        <v>261887</v>
      </c>
      <c r="V6" s="120">
        <f t="shared" si="5"/>
        <v>311399</v>
      </c>
      <c r="W6" s="120">
        <f t="shared" si="5"/>
        <v>309974</v>
      </c>
      <c r="X6" s="120">
        <f t="shared" si="5"/>
        <v>302344</v>
      </c>
      <c r="Y6" s="120">
        <f t="shared" si="5"/>
        <v>236119</v>
      </c>
      <c r="Z6" s="120">
        <f t="shared" si="5"/>
        <v>245273</v>
      </c>
      <c r="AA6" s="120">
        <f t="shared" si="5"/>
        <v>254921</v>
      </c>
      <c r="AB6" s="120">
        <f t="shared" si="5"/>
        <v>289576</v>
      </c>
      <c r="AC6" s="120">
        <f t="shared" si="5"/>
        <v>197195</v>
      </c>
      <c r="AD6" s="120">
        <f t="shared" si="5"/>
        <v>188680</v>
      </c>
      <c r="AE6" s="120">
        <f t="shared" si="5"/>
        <v>179085</v>
      </c>
      <c r="AF6" s="120">
        <f t="shared" si="5"/>
        <v>200591</v>
      </c>
      <c r="AG6" s="120">
        <f t="shared" si="5"/>
        <v>135874</v>
      </c>
      <c r="AH6" s="120">
        <f t="shared" si="5"/>
        <v>169184</v>
      </c>
      <c r="AI6" s="120">
        <f t="shared" si="5"/>
        <v>178509</v>
      </c>
      <c r="AJ6" s="120">
        <f t="shared" si="5"/>
        <v>197335</v>
      </c>
      <c r="AK6" s="120">
        <f t="shared" ref="AK6:BI6" si="6">SUM(AK7:AK8)</f>
        <v>164393</v>
      </c>
      <c r="AL6" s="120">
        <f t="shared" si="6"/>
        <v>183183</v>
      </c>
      <c r="AM6" s="120">
        <f t="shared" si="6"/>
        <v>195353</v>
      </c>
      <c r="AN6" s="120">
        <f t="shared" si="6"/>
        <v>211414</v>
      </c>
      <c r="AO6" s="120">
        <f t="shared" si="6"/>
        <v>177211</v>
      </c>
      <c r="AP6" s="120">
        <f t="shared" si="6"/>
        <v>193885</v>
      </c>
      <c r="AQ6" s="120">
        <f t="shared" si="6"/>
        <v>206690</v>
      </c>
      <c r="AR6" s="120">
        <f t="shared" si="6"/>
        <v>203627</v>
      </c>
      <c r="AS6" s="120">
        <f t="shared" si="6"/>
        <v>179325</v>
      </c>
      <c r="AT6" s="120">
        <f t="shared" si="6"/>
        <v>208179</v>
      </c>
      <c r="AU6" s="120">
        <f t="shared" si="6"/>
        <v>204497</v>
      </c>
      <c r="AV6" s="120">
        <f t="shared" si="6"/>
        <v>229266</v>
      </c>
      <c r="AW6" s="120">
        <f t="shared" si="6"/>
        <v>156694</v>
      </c>
      <c r="AX6" s="120">
        <f t="shared" si="6"/>
        <v>56642</v>
      </c>
      <c r="AY6" s="120">
        <f t="shared" si="6"/>
        <v>161762</v>
      </c>
      <c r="AZ6" s="120">
        <f t="shared" si="6"/>
        <v>185760</v>
      </c>
      <c r="BA6" s="120">
        <f t="shared" si="6"/>
        <v>137310</v>
      </c>
      <c r="BB6" s="120">
        <f t="shared" si="6"/>
        <v>127793</v>
      </c>
      <c r="BC6" s="120">
        <f t="shared" si="6"/>
        <v>113879</v>
      </c>
      <c r="BD6" s="120">
        <f t="shared" si="6"/>
        <v>148403</v>
      </c>
      <c r="BE6" s="120">
        <f t="shared" si="6"/>
        <v>116692</v>
      </c>
      <c r="BF6" s="120">
        <f t="shared" si="6"/>
        <v>137691</v>
      </c>
      <c r="BG6" s="120">
        <f t="shared" si="6"/>
        <v>166066</v>
      </c>
      <c r="BH6" s="120">
        <f t="shared" si="6"/>
        <v>164900</v>
      </c>
      <c r="BI6" s="120">
        <f t="shared" si="6"/>
        <v>137811</v>
      </c>
      <c r="BJ6" s="120">
        <f t="shared" ref="BJ6:BO6" si="7">SUM(BJ7:BJ8)</f>
        <v>157020</v>
      </c>
      <c r="BK6" s="120">
        <f t="shared" si="7"/>
        <v>169720</v>
      </c>
      <c r="BL6" s="120">
        <f t="shared" si="7"/>
        <v>175304</v>
      </c>
      <c r="BM6" s="120">
        <f t="shared" si="7"/>
        <v>140292</v>
      </c>
      <c r="BN6" s="120">
        <f t="shared" si="7"/>
        <v>167078</v>
      </c>
      <c r="BO6" s="120">
        <f t="shared" si="7"/>
        <v>202844</v>
      </c>
      <c r="BP6" s="120">
        <f t="shared" ref="BP6:BV6" si="8">SUM(BP7:BP8)</f>
        <v>202207</v>
      </c>
      <c r="BQ6" s="120">
        <f t="shared" si="8"/>
        <v>144750</v>
      </c>
      <c r="BR6" s="120">
        <f t="shared" si="8"/>
        <v>170543</v>
      </c>
      <c r="BS6" s="120">
        <f t="shared" si="8"/>
        <v>197518</v>
      </c>
      <c r="BT6" s="120">
        <f t="shared" si="8"/>
        <v>188962</v>
      </c>
      <c r="BU6" s="120">
        <f t="shared" si="8"/>
        <v>154716</v>
      </c>
      <c r="BV6" s="120">
        <f t="shared" si="8"/>
        <v>207232</v>
      </c>
    </row>
    <row r="7" spans="1:74" x14ac:dyDescent="0.2">
      <c r="A7" t="s">
        <v>2061</v>
      </c>
      <c r="B7" t="s">
        <v>1080</v>
      </c>
      <c r="D7" s="129" t="str">
        <f>IF([1]RENAME!$H$3=1,B7,A7)</f>
        <v>Veículos Doméstico</v>
      </c>
      <c r="E7" s="118">
        <f>VLOOKUP(E$5,[2]Base!$E:$N,3,0)</f>
        <v>187007</v>
      </c>
      <c r="F7" s="118">
        <f>VLOOKUP(F$5,[2]Base!$E:$N,3,0)</f>
        <v>225690</v>
      </c>
      <c r="G7" s="118">
        <f>VLOOKUP(G$5,[2]Base!$E:$N,3,0)</f>
        <v>248737</v>
      </c>
      <c r="H7" s="118">
        <f>VLOOKUP(H$5,[2]Base!$E:$N,3,0)</f>
        <v>248992</v>
      </c>
      <c r="I7" s="118">
        <f>VLOOKUP(I$5,[2]Base!$E:$N,3,0)</f>
        <v>213746</v>
      </c>
      <c r="J7" s="118">
        <f>VLOOKUP(J$5,[2]Base!$E:$N,3,0)</f>
        <v>230866</v>
      </c>
      <c r="K7" s="118">
        <f>VLOOKUP(K$5,[2]Base!$E:$N,3,0)</f>
        <v>258473</v>
      </c>
      <c r="L7" s="118">
        <f>VLOOKUP(L$5,[2]Base!$E:$N,3,0)</f>
        <v>271169</v>
      </c>
      <c r="M7" s="118">
        <f>VLOOKUP(M$5,[2]Base!$E:$N,3,0)</f>
        <v>226914</v>
      </c>
      <c r="N7" s="118">
        <f>VLOOKUP(N$5,[2]Base!$E:$N,3,0)</f>
        <v>237534</v>
      </c>
      <c r="O7" s="118">
        <f>VLOOKUP(O$5,[2]Base!$E:$N,3,0)</f>
        <v>247738</v>
      </c>
      <c r="P7" s="118">
        <f>VLOOKUP(P$5,[2]Base!$E:$N,3,0)</f>
        <v>257787</v>
      </c>
      <c r="Q7" s="118">
        <f>VLOOKUP(Q$5,[2]Base!$E:$N,3,0)</f>
        <v>214616</v>
      </c>
      <c r="R7" s="118">
        <f>VLOOKUP(R$5,[2]Base!$E:$N,3,0)</f>
        <v>243558</v>
      </c>
      <c r="S7" s="118">
        <f>VLOOKUP(S$5,[2]Base!$E:$N,3,0)</f>
        <v>281017</v>
      </c>
      <c r="T7" s="118">
        <f>VLOOKUP(T$5,[2]Base!$E:$N,3,0)</f>
        <v>278926</v>
      </c>
      <c r="U7" s="118">
        <f>VLOOKUP(U$5,[2]Base!$E:$N,3,0)</f>
        <v>238165</v>
      </c>
      <c r="V7" s="118">
        <f>VLOOKUP(V$5,[2]Base!$E:$N,3,0)</f>
        <v>285684</v>
      </c>
      <c r="W7" s="118">
        <f>VLOOKUP(W$5,[2]Base!$E:$N,3,0)</f>
        <v>281482</v>
      </c>
      <c r="X7" s="118">
        <f>VLOOKUP(X$5,[2]Base!$E:$N,3,0)</f>
        <v>281864</v>
      </c>
      <c r="Y7" s="118">
        <f>VLOOKUP(Y$5,[2]Base!$E:$N,3,0)</f>
        <v>220132</v>
      </c>
      <c r="Z7" s="118">
        <f>VLOOKUP(Z$5,[2]Base!$E:$N,3,0)</f>
        <v>232955</v>
      </c>
      <c r="AA7" s="118">
        <f>VLOOKUP(AA$5,[2]Base!$E:$N,3,0)</f>
        <v>238254</v>
      </c>
      <c r="AB7" s="118">
        <f>VLOOKUP(AB$5,[2]Base!$E:$N,3,0)</f>
        <v>274033</v>
      </c>
      <c r="AC7" s="118">
        <f>VLOOKUP(AC$5,[2]Base!$E:$N,3,0)</f>
        <v>180630</v>
      </c>
      <c r="AD7" s="118">
        <f>VLOOKUP(AD$5,[2]Base!$E:$N,3,0)</f>
        <v>165723</v>
      </c>
      <c r="AE7" s="118">
        <f>VLOOKUP(AE$5,[2]Base!$E:$N,3,0)</f>
        <v>161791</v>
      </c>
      <c r="AF7" s="118">
        <f>VLOOKUP(AF$5,[2]Base!$E:$N,3,0)</f>
        <v>177916</v>
      </c>
      <c r="AG7" s="118">
        <f>VLOOKUP(AG$5,[2]Base!$E:$N,3,0)</f>
        <v>118161</v>
      </c>
      <c r="AH7" s="118">
        <f>VLOOKUP(AH$5,[2]Base!$E:$N,3,0)</f>
        <v>141155</v>
      </c>
      <c r="AI7" s="118">
        <f>VLOOKUP(AI$5,[2]Base!$E:$N,3,0)</f>
        <v>151205</v>
      </c>
      <c r="AJ7" s="118">
        <f>VLOOKUP(AJ$5,[2]Base!$E:$N,3,0)</f>
        <v>160228</v>
      </c>
      <c r="AK7" s="118">
        <f>VLOOKUP(AK$5,[2]Base!$E:$N,3,0)</f>
        <v>124821</v>
      </c>
      <c r="AL7" s="118">
        <f>VLOOKUP(AL$5,[2]Base!$E:$N,3,0)</f>
        <v>139792</v>
      </c>
      <c r="AM7" s="118">
        <f>VLOOKUP(AM$5,[2]Base!$E:$N,3,0)</f>
        <v>160254</v>
      </c>
      <c r="AN7" s="118">
        <f>VLOOKUP(AN$5,[2]Base!$E:$N,3,0)</f>
        <v>168868</v>
      </c>
      <c r="AO7" s="118">
        <f>VLOOKUP(AO$5,[2]Base!$E:$N,3,0)</f>
        <v>135287</v>
      </c>
      <c r="AP7" s="118">
        <f>VLOOKUP(AP$5,[2]Base!$E:$N,3,0)</f>
        <v>155381</v>
      </c>
      <c r="AQ7" s="118">
        <f>VLOOKUP(AQ$5,[2]Base!$E:$N,3,0)</f>
        <v>177801</v>
      </c>
      <c r="AR7" s="118">
        <f>VLOOKUP(AR$5,[2]Base!$E:$N,3,0)</f>
        <v>185303</v>
      </c>
      <c r="AS7" s="118">
        <f>VLOOKUP(AS$5,[2]Base!$E:$N,3,0)</f>
        <v>155292</v>
      </c>
      <c r="AT7" s="118">
        <f>VLOOKUP(AT$5,[2]Base!$E:$N,3,0)</f>
        <v>181552</v>
      </c>
      <c r="AU7" s="118">
        <f>VLOOKUP(AU$5,[2]Base!$E:$N,3,0)</f>
        <v>179754</v>
      </c>
      <c r="AV7" s="118">
        <f>VLOOKUP(AV$5,[2]Base!$E:$N,3,0)</f>
        <v>208381</v>
      </c>
      <c r="AW7" s="118">
        <f>VLOOKUP(AW$5,[2]Base!$E:$N,3,0)</f>
        <v>135460</v>
      </c>
      <c r="AX7" s="118">
        <f>VLOOKUP(AX$5,[2]Base!$E:$N,3,0)</f>
        <v>51802</v>
      </c>
      <c r="AY7" s="118">
        <f>VLOOKUP(AY$5,[2]Base!$E:$N,3,0)</f>
        <v>140610</v>
      </c>
      <c r="AZ7" s="118">
        <f>VLOOKUP(AZ$5,[2]Base!$E:$N,3,0)</f>
        <v>155815</v>
      </c>
      <c r="BA7" s="118">
        <f>VLOOKUP(BA$5,[2]Base!$E:$N,3,0)</f>
        <v>114662</v>
      </c>
      <c r="BB7" s="118">
        <f>VLOOKUP(BB$5,[2]Base!$E:$N,3,0)</f>
        <v>104646</v>
      </c>
      <c r="BC7" s="118">
        <f>VLOOKUP(BC$5,[2]Base!$E:$N,3,0)</f>
        <v>96425</v>
      </c>
      <c r="BD7" s="118">
        <f>VLOOKUP(BD$5,[2]Base!$E:$N,3,0)</f>
        <v>126503</v>
      </c>
      <c r="BE7" s="118">
        <f>VLOOKUP(BE$5,[2]Base!$E:$N,3,0)</f>
        <v>91310</v>
      </c>
      <c r="BF7" s="118">
        <f>VLOOKUP(BF$5,[2]Base!$E:$N,3,0)</f>
        <v>107786</v>
      </c>
      <c r="BG7" s="118">
        <f>VLOOKUP(BG$5,[2]Base!$E:$N,3,0)</f>
        <v>135887</v>
      </c>
      <c r="BH7" s="118">
        <f>VLOOKUP(BH$5,[2]Base!$E:$N,3,0)</f>
        <v>139730</v>
      </c>
      <c r="BI7" s="118">
        <f>VLOOKUP(BI$5,[2]Base!$E:$N,3,0)</f>
        <v>114282</v>
      </c>
      <c r="BJ7" s="118">
        <f>VLOOKUP(BJ$5,[2]Base!$E:$N,3,0)</f>
        <v>130493</v>
      </c>
      <c r="BK7" s="118">
        <f>VLOOKUP(BK$5,[2]Base!$E:$N,3,0)</f>
        <v>151401</v>
      </c>
      <c r="BL7" s="118">
        <f>VLOOKUP(BL$5,[2]Base!$E:$N,3,0)</f>
        <v>158461</v>
      </c>
      <c r="BM7" s="118">
        <f>VLOOKUP(BM$5,[2]Base!$E:$N,3,0)</f>
        <v>123998</v>
      </c>
      <c r="BN7" s="118">
        <f>VLOOKUP(BN$5,[2]Base!$E:$N,3,0)</f>
        <v>146715</v>
      </c>
      <c r="BO7" s="118">
        <f>VLOOKUP(BO$5,[2]Base!$E:$N,3,0)</f>
        <v>178415</v>
      </c>
      <c r="BP7" s="118">
        <f>VLOOKUP(BP$5,[2]Base!$E:$N,3,0)</f>
        <v>179387</v>
      </c>
      <c r="BQ7" s="118">
        <f>VLOOKUP(BQ$5,[2]Base!$E:$N,3,0)</f>
        <v>119957</v>
      </c>
      <c r="BR7" s="118">
        <f>VLOOKUP(BR$5,[2]Base!$E:$N,3,0)</f>
        <v>141192</v>
      </c>
      <c r="BS7" s="118">
        <f>VLOOKUP(BS$5,[2]Base!$E:$N,3,0)</f>
        <v>164705</v>
      </c>
      <c r="BT7" s="118">
        <f>VLOOKUP(BT$5,[2]Base!$E:$N,3,0)</f>
        <v>166516</v>
      </c>
      <c r="BU7" s="118">
        <f>VLOOKUP(BU$5,[2]Base!$E:$N,3,0)</f>
        <v>137099</v>
      </c>
      <c r="BV7" s="118">
        <f>VLOOKUP(BV$5,[2]Base!$E:$N,3,0)</f>
        <v>182528</v>
      </c>
    </row>
    <row r="8" spans="1:74" x14ac:dyDescent="0.2">
      <c r="A8" t="s">
        <v>2060</v>
      </c>
      <c r="B8" t="s">
        <v>2064</v>
      </c>
      <c r="D8" s="129" t="str">
        <f>IF([1]RENAME!$H$3=1,B8,A8)</f>
        <v>Veículos Exportação</v>
      </c>
      <c r="E8" s="118">
        <f>VLOOKUP(E$5,[2]Base!$E:$N,4,0)</f>
        <v>14409</v>
      </c>
      <c r="F8" s="118">
        <f>VLOOKUP(F$5,[2]Base!$E:$N,4,0)</f>
        <v>19752</v>
      </c>
      <c r="G8" s="118">
        <f>VLOOKUP(G$5,[2]Base!$E:$N,4,0)</f>
        <v>18239</v>
      </c>
      <c r="H8" s="118">
        <f>VLOOKUP(H$5,[2]Base!$E:$N,4,0)</f>
        <v>24830</v>
      </c>
      <c r="I8" s="118">
        <f>VLOOKUP(I$5,[2]Base!$E:$N,4,0)</f>
        <v>27013</v>
      </c>
      <c r="J8" s="118">
        <f>VLOOKUP(J$5,[2]Base!$E:$N,4,0)</f>
        <v>23907.5</v>
      </c>
      <c r="K8" s="118">
        <f>VLOOKUP(K$5,[2]Base!$E:$N,4,0)</f>
        <v>25835</v>
      </c>
      <c r="L8" s="118">
        <f>VLOOKUP(L$5,[2]Base!$E:$N,4,0)</f>
        <v>32230</v>
      </c>
      <c r="M8" s="118">
        <f>VLOOKUP(M$5,[2]Base!$E:$N,4,0)</f>
        <v>26146</v>
      </c>
      <c r="N8" s="118">
        <f>VLOOKUP(N$5,[2]Base!$E:$N,4,0)</f>
        <v>25150</v>
      </c>
      <c r="O8" s="118">
        <f>VLOOKUP(O$5,[2]Base!$E:$N,4,0)</f>
        <v>29067</v>
      </c>
      <c r="P8" s="118">
        <f>VLOOKUP(P$5,[2]Base!$E:$N,4,0)</f>
        <v>38022</v>
      </c>
      <c r="Q8" s="118">
        <f>VLOOKUP(Q$5,[2]Base!$E:$N,4,0)</f>
        <v>26678</v>
      </c>
      <c r="R8" s="118">
        <f>VLOOKUP(R$5,[2]Base!$E:$N,4,0)</f>
        <v>27925</v>
      </c>
      <c r="S8" s="118">
        <f>VLOOKUP(S$5,[2]Base!$E:$N,4,0)</f>
        <v>22109</v>
      </c>
      <c r="T8" s="118">
        <f>VLOOKUP(T$5,[2]Base!$E:$N,4,0)</f>
        <v>22046</v>
      </c>
      <c r="U8" s="118">
        <f>VLOOKUP(U$5,[2]Base!$E:$N,4,0)</f>
        <v>23722</v>
      </c>
      <c r="V8" s="118">
        <f>VLOOKUP(V$5,[2]Base!$E:$N,4,0)</f>
        <v>25715</v>
      </c>
      <c r="W8" s="118">
        <f>VLOOKUP(W$5,[2]Base!$E:$N,4,0)</f>
        <v>28492</v>
      </c>
      <c r="X8" s="118">
        <f>VLOOKUP(X$5,[2]Base!$E:$N,4,0)</f>
        <v>20480</v>
      </c>
      <c r="Y8" s="118">
        <f>VLOOKUP(Y$5,[2]Base!$E:$N,4,0)</f>
        <v>15987</v>
      </c>
      <c r="Z8" s="118">
        <f>VLOOKUP(Z$5,[2]Base!$E:$N,4,0)</f>
        <v>12318</v>
      </c>
      <c r="AA8" s="118">
        <f>VLOOKUP(AA$5,[2]Base!$E:$N,4,0)</f>
        <v>16667</v>
      </c>
      <c r="AB8" s="118">
        <f>VLOOKUP(AB$5,[2]Base!$E:$N,4,0)</f>
        <v>15543</v>
      </c>
      <c r="AC8" s="118">
        <f>VLOOKUP(AC$5,[2]Base!$E:$N,4,0)</f>
        <v>16565</v>
      </c>
      <c r="AD8" s="118">
        <f>VLOOKUP(AD$5,[2]Base!$E:$N,4,0)</f>
        <v>22957</v>
      </c>
      <c r="AE8" s="118">
        <f>VLOOKUP(AE$5,[2]Base!$E:$N,4,0)</f>
        <v>17294</v>
      </c>
      <c r="AF8" s="118">
        <f>VLOOKUP(AF$5,[2]Base!$E:$N,4,0)</f>
        <v>22675</v>
      </c>
      <c r="AG8" s="118">
        <f>VLOOKUP(AG$5,[2]Base!$E:$N,4,0)</f>
        <v>17713</v>
      </c>
      <c r="AH8" s="118">
        <f>VLOOKUP(AH$5,[2]Base!$E:$N,4,0)</f>
        <v>28029</v>
      </c>
      <c r="AI8" s="118">
        <f>VLOOKUP(AI$5,[2]Base!$E:$N,4,0)</f>
        <v>27304</v>
      </c>
      <c r="AJ8" s="118">
        <f>VLOOKUP(AJ$5,[2]Base!$E:$N,4,0)</f>
        <v>37107</v>
      </c>
      <c r="AK8" s="118">
        <f>VLOOKUP(AK$5,[2]Base!$E:$N,4,0)</f>
        <v>39572</v>
      </c>
      <c r="AL8" s="118">
        <f>VLOOKUP(AL$5,[2]Base!$E:$N,4,0)</f>
        <v>43391</v>
      </c>
      <c r="AM8" s="118">
        <f>VLOOKUP(AM$5,[2]Base!$E:$N,4,0)</f>
        <v>35099</v>
      </c>
      <c r="AN8" s="118">
        <f>VLOOKUP(AN$5,[2]Base!$E:$N,4,0)</f>
        <v>42546</v>
      </c>
      <c r="AO8" s="118">
        <f>VLOOKUP(AO$5,[2]Base!$E:$N,4,0)</f>
        <v>41924</v>
      </c>
      <c r="AP8" s="118">
        <f>VLOOKUP(AP$5,[2]Base!$E:$N,4,0)</f>
        <v>38504</v>
      </c>
      <c r="AQ8" s="118">
        <f>VLOOKUP(AQ$5,[2]Base!$E:$N,4,0)</f>
        <v>28889</v>
      </c>
      <c r="AR8" s="118">
        <f>VLOOKUP(AR$5,[2]Base!$E:$N,4,0)</f>
        <v>18324</v>
      </c>
      <c r="AS8" s="118">
        <f>VLOOKUP(AS$5,[2]Base!$E:$N,4,0)</f>
        <v>24033</v>
      </c>
      <c r="AT8" s="118">
        <f>VLOOKUP(AT$5,[2]Base!$E:$N,4,0)</f>
        <v>26627</v>
      </c>
      <c r="AU8" s="118">
        <f>VLOOKUP(AU$5,[2]Base!$E:$N,4,0)</f>
        <v>24743</v>
      </c>
      <c r="AV8" s="118">
        <f>VLOOKUP(AV$5,[2]Base!$E:$N,4,0)</f>
        <v>20885</v>
      </c>
      <c r="AW8" s="118">
        <f>VLOOKUP(AW$5,[2]Base!$E:$N,4,0)</f>
        <v>21234</v>
      </c>
      <c r="AX8" s="118">
        <f>VLOOKUP(AX$5,[2]Base!$E:$N,4,0)</f>
        <v>4840</v>
      </c>
      <c r="AY8" s="118">
        <f>VLOOKUP(AY$5,[2]Base!$E:$N,4,0)</f>
        <v>21152</v>
      </c>
      <c r="AZ8" s="118">
        <f>VLOOKUP(AZ$5,[2]Base!$E:$N,4,0)</f>
        <v>29945</v>
      </c>
      <c r="BA8" s="118">
        <f>VLOOKUP(BA$5,[2]Base!$E:$N,4,0)</f>
        <v>22648</v>
      </c>
      <c r="BB8" s="118">
        <f>VLOOKUP(BB$5,[2]Base!$E:$N,4,0)</f>
        <v>23147</v>
      </c>
      <c r="BC8" s="118">
        <f>VLOOKUP(BC$5,[2]Base!$E:$N,4,0)</f>
        <v>17454</v>
      </c>
      <c r="BD8" s="118">
        <f>VLOOKUP(BD$5,[2]Base!$E:$N,4,0)</f>
        <v>21900</v>
      </c>
      <c r="BE8" s="118">
        <f>VLOOKUP(BE$5,[2]Base!$E:$N,4,0)</f>
        <v>25382</v>
      </c>
      <c r="BF8" s="118">
        <f>VLOOKUP(BF$5,[2]Base!$E:$N,4,0)</f>
        <v>29905</v>
      </c>
      <c r="BG8" s="118">
        <f>VLOOKUP(BG$5,[2]Base!$E:$N,4,0)</f>
        <v>30179</v>
      </c>
      <c r="BH8" s="118">
        <f>VLOOKUP(BH$5,[2]Base!$E:$N,4,0)</f>
        <v>25170</v>
      </c>
      <c r="BI8" s="118">
        <f>VLOOKUP(BI$5,[2]Base!$E:$N,4,0)</f>
        <v>23529</v>
      </c>
      <c r="BJ8" s="118">
        <f>VLOOKUP(BJ$5,[2]Base!$E:$N,4,0)</f>
        <v>26527</v>
      </c>
      <c r="BK8" s="118">
        <f>VLOOKUP(BK$5,[2]Base!$E:$N,4,0)</f>
        <v>18319</v>
      </c>
      <c r="BL8" s="118">
        <f>VLOOKUP(BL$5,[2]Base!$E:$N,4,0)</f>
        <v>16843</v>
      </c>
      <c r="BM8" s="118">
        <f>VLOOKUP(BM$5,[2]Base!$E:$N,4,0)</f>
        <v>16294</v>
      </c>
      <c r="BN8" s="118">
        <f>VLOOKUP(BN$5,[2]Base!$E:$N,4,0)</f>
        <v>20363</v>
      </c>
      <c r="BO8" s="118">
        <f>VLOOKUP(BO$5,[2]Base!$E:$N,4,0)</f>
        <v>24429</v>
      </c>
      <c r="BP8" s="118">
        <f>VLOOKUP(BP$5,[2]Base!$E:$N,4,0)</f>
        <v>22820</v>
      </c>
      <c r="BQ8" s="118">
        <f>VLOOKUP(BQ$5,[2]Base!$E:$N,4,0)</f>
        <v>24793</v>
      </c>
      <c r="BR8" s="118">
        <f>VLOOKUP(BR$5,[2]Base!$E:$N,4,0)</f>
        <v>29351</v>
      </c>
      <c r="BS8" s="118">
        <f>VLOOKUP(BS$5,[2]Base!$E:$N,4,0)</f>
        <v>32813</v>
      </c>
      <c r="BT8" s="118">
        <f>VLOOKUP(BT$5,[2]Base!$E:$N,4,0)</f>
        <v>22446</v>
      </c>
      <c r="BU8" s="118">
        <f>VLOOKUP(BU$5,[2]Base!$E:$N,4,0)</f>
        <v>17617</v>
      </c>
      <c r="BV8" s="118">
        <f>VLOOKUP(BV$5,[2]Base!$E:$N,4,0)</f>
        <v>24704</v>
      </c>
    </row>
    <row r="9" spans="1:74" x14ac:dyDescent="0.2">
      <c r="A9" t="s">
        <v>2059</v>
      </c>
      <c r="B9" t="s">
        <v>2065</v>
      </c>
      <c r="D9" s="119" t="str">
        <f>IF([1]RENAME!$H$3=1,B9,A9)</f>
        <v>Km Total (b)</v>
      </c>
      <c r="E9" s="120">
        <f t="shared" ref="E9:AJ9" si="9">SUM(E10:E11)</f>
        <v>175701334.18194699</v>
      </c>
      <c r="F9" s="120">
        <f t="shared" si="9"/>
        <v>208656797.61534798</v>
      </c>
      <c r="G9" s="120">
        <f t="shared" si="9"/>
        <v>225957593.707434</v>
      </c>
      <c r="H9" s="120">
        <f t="shared" si="9"/>
        <v>233210850.76886499</v>
      </c>
      <c r="I9" s="120">
        <f t="shared" si="9"/>
        <v>230896643</v>
      </c>
      <c r="J9" s="120">
        <f t="shared" si="9"/>
        <v>261984022</v>
      </c>
      <c r="K9" s="120">
        <f t="shared" si="9"/>
        <v>271104450</v>
      </c>
      <c r="L9" s="120">
        <f t="shared" si="9"/>
        <v>293763884</v>
      </c>
      <c r="M9" s="120">
        <f t="shared" si="9"/>
        <v>259005000</v>
      </c>
      <c r="N9" s="120">
        <f t="shared" si="9"/>
        <v>272443000</v>
      </c>
      <c r="O9" s="120">
        <f t="shared" si="9"/>
        <v>279068000</v>
      </c>
      <c r="P9" s="120">
        <f t="shared" si="9"/>
        <v>284463000.00000006</v>
      </c>
      <c r="Q9" s="120">
        <f t="shared" si="9"/>
        <v>240378722.99999997</v>
      </c>
      <c r="R9" s="120">
        <f t="shared" si="9"/>
        <v>274716564</v>
      </c>
      <c r="S9" s="120">
        <f t="shared" si="9"/>
        <v>315962799</v>
      </c>
      <c r="T9" s="120">
        <f t="shared" si="9"/>
        <v>321407714</v>
      </c>
      <c r="U9" s="120">
        <f t="shared" si="9"/>
        <v>279683537</v>
      </c>
      <c r="V9" s="120">
        <f t="shared" si="9"/>
        <v>323607818</v>
      </c>
      <c r="W9" s="120">
        <f t="shared" si="9"/>
        <v>327608229</v>
      </c>
      <c r="X9" s="120">
        <f t="shared" si="9"/>
        <v>319719344</v>
      </c>
      <c r="Y9" s="120">
        <f t="shared" si="9"/>
        <v>259884542</v>
      </c>
      <c r="Z9" s="120">
        <f t="shared" si="9"/>
        <v>278686994.32499999</v>
      </c>
      <c r="AA9" s="120">
        <f t="shared" si="9"/>
        <v>277098309</v>
      </c>
      <c r="AB9" s="120">
        <f t="shared" si="9"/>
        <v>316095610.99999994</v>
      </c>
      <c r="AC9" s="120">
        <f t="shared" si="9"/>
        <v>218228126</v>
      </c>
      <c r="AD9" s="120">
        <f t="shared" si="9"/>
        <v>202027900</v>
      </c>
      <c r="AE9" s="120">
        <f t="shared" si="9"/>
        <v>196409795</v>
      </c>
      <c r="AF9" s="120">
        <f t="shared" si="9"/>
        <v>211035891.99999994</v>
      </c>
      <c r="AG9" s="120">
        <f t="shared" si="9"/>
        <v>141289564</v>
      </c>
      <c r="AH9" s="120">
        <f t="shared" si="9"/>
        <v>160341923.00000006</v>
      </c>
      <c r="AI9" s="120">
        <f t="shared" si="9"/>
        <v>169233957.00000009</v>
      </c>
      <c r="AJ9" s="120">
        <f t="shared" si="9"/>
        <v>174961505.00000003</v>
      </c>
      <c r="AK9" s="120">
        <f t="shared" ref="AK9:BI9" si="10">SUM(AK10:AK11)</f>
        <v>146476000</v>
      </c>
      <c r="AL9" s="120">
        <f t="shared" si="10"/>
        <v>162583914.03599072</v>
      </c>
      <c r="AM9" s="120">
        <f t="shared" si="10"/>
        <v>191069349</v>
      </c>
      <c r="AN9" s="120">
        <f t="shared" si="10"/>
        <v>204238159</v>
      </c>
      <c r="AO9" s="120">
        <f t="shared" si="10"/>
        <v>171756394</v>
      </c>
      <c r="AP9" s="120">
        <f t="shared" si="10"/>
        <v>190005425</v>
      </c>
      <c r="AQ9" s="120">
        <f t="shared" si="10"/>
        <v>214950232</v>
      </c>
      <c r="AR9" s="120">
        <f t="shared" si="10"/>
        <v>214723650</v>
      </c>
      <c r="AS9" s="120">
        <f t="shared" si="10"/>
        <v>188746210</v>
      </c>
      <c r="AT9" s="120">
        <f t="shared" si="10"/>
        <v>220205950</v>
      </c>
      <c r="AU9" s="120">
        <f t="shared" si="10"/>
        <v>226176014</v>
      </c>
      <c r="AV9" s="120">
        <f t="shared" si="10"/>
        <v>245769125.99999994</v>
      </c>
      <c r="AW9" s="120">
        <f t="shared" si="10"/>
        <v>175905118</v>
      </c>
      <c r="AX9" s="120">
        <f t="shared" si="10"/>
        <v>61170718</v>
      </c>
      <c r="AY9" s="120">
        <f t="shared" si="10"/>
        <v>189941205</v>
      </c>
      <c r="AZ9" s="120">
        <f t="shared" si="10"/>
        <v>208718510</v>
      </c>
      <c r="BA9" s="120">
        <f t="shared" si="10"/>
        <v>143978225</v>
      </c>
      <c r="BB9" s="120">
        <f t="shared" si="10"/>
        <v>126444726</v>
      </c>
      <c r="BC9" s="120">
        <f t="shared" si="10"/>
        <v>118061787</v>
      </c>
      <c r="BD9" s="120">
        <f t="shared" si="10"/>
        <v>164257378</v>
      </c>
      <c r="BE9" s="120">
        <f t="shared" si="10"/>
        <v>114198708</v>
      </c>
      <c r="BF9" s="120">
        <f t="shared" si="10"/>
        <v>132858517</v>
      </c>
      <c r="BG9" s="120">
        <f t="shared" si="10"/>
        <v>171164148</v>
      </c>
      <c r="BH9" s="120">
        <f t="shared" si="10"/>
        <v>169468625</v>
      </c>
      <c r="BI9" s="120">
        <f t="shared" si="10"/>
        <v>136753524</v>
      </c>
      <c r="BJ9" s="120">
        <f t="shared" ref="BJ9:BO9" si="11">SUM(BJ10:BJ11)</f>
        <v>150424709</v>
      </c>
      <c r="BK9" s="120">
        <f t="shared" si="11"/>
        <v>177419495</v>
      </c>
      <c r="BL9" s="120">
        <f t="shared" si="11"/>
        <v>188849851</v>
      </c>
      <c r="BM9" s="120">
        <f t="shared" si="11"/>
        <v>148802245</v>
      </c>
      <c r="BN9" s="120">
        <f t="shared" si="11"/>
        <v>181918482</v>
      </c>
      <c r="BO9" s="120">
        <f t="shared" si="11"/>
        <v>216435628</v>
      </c>
      <c r="BP9" s="120">
        <f t="shared" ref="BP9:BV9" si="12">SUM(BP10:BP11)</f>
        <v>220136647</v>
      </c>
      <c r="BQ9" s="120">
        <f t="shared" si="12"/>
        <v>148441322</v>
      </c>
      <c r="BR9" s="120">
        <f t="shared" si="12"/>
        <v>184598698</v>
      </c>
      <c r="BS9" s="120">
        <f t="shared" si="12"/>
        <v>220453951</v>
      </c>
      <c r="BT9" s="120">
        <f t="shared" si="12"/>
        <v>218079305</v>
      </c>
      <c r="BU9" s="120">
        <v>176140911</v>
      </c>
      <c r="BV9" s="120">
        <f t="shared" si="12"/>
        <v>241699960</v>
      </c>
    </row>
    <row r="10" spans="1:74" x14ac:dyDescent="0.2">
      <c r="A10" t="s">
        <v>2058</v>
      </c>
      <c r="B10" t="s">
        <v>2066</v>
      </c>
      <c r="D10" s="129" t="str">
        <f>IF([1]RENAME!$H$3=1,B10,A10)</f>
        <v>Km Doméstica</v>
      </c>
      <c r="E10" s="118">
        <f>VLOOKUP(E$5,[2]Base!$E:$N,6,0)</f>
        <v>174281582.16692001</v>
      </c>
      <c r="F10" s="118">
        <f>VLOOKUP(F$5,[2]Base!$E:$N,6,0)</f>
        <v>205318975.60545599</v>
      </c>
      <c r="G10" s="118">
        <f>VLOOKUP(G$5,[2]Base!$E:$N,6,0)</f>
        <v>223499917.67485499</v>
      </c>
      <c r="H10" s="118">
        <f>VLOOKUP(H$5,[2]Base!$E:$N,6,0)</f>
        <v>231020482.65370199</v>
      </c>
      <c r="I10" s="118">
        <f>VLOOKUP(I$5,[2]Base!$E:$N,6,0)</f>
        <v>227984064</v>
      </c>
      <c r="J10" s="118">
        <f>VLOOKUP(J$5,[2]Base!$E:$N,6,0)</f>
        <v>258157601</v>
      </c>
      <c r="K10" s="118">
        <f>VLOOKUP(K$5,[2]Base!$E:$N,6,0)</f>
        <v>267291756</v>
      </c>
      <c r="L10" s="118">
        <f>VLOOKUP(L$5,[2]Base!$E:$N,6,0)</f>
        <v>289169097</v>
      </c>
      <c r="M10" s="118">
        <f>VLOOKUP(M$5,[2]Base!$E:$N,6,0)</f>
        <v>252730385</v>
      </c>
      <c r="N10" s="118">
        <f>VLOOKUP(N$5,[2]Base!$E:$N,6,0)</f>
        <v>267618199.99999997</v>
      </c>
      <c r="O10" s="118">
        <f>VLOOKUP(O$5,[2]Base!$E:$N,6,0)</f>
        <v>274704218</v>
      </c>
      <c r="P10" s="118">
        <f>VLOOKUP(P$5,[2]Base!$E:$N,6,0)</f>
        <v>279516638.00000006</v>
      </c>
      <c r="Q10" s="118">
        <f>VLOOKUP(Q$5,[2]Base!$E:$N,6,0)</f>
        <v>236883326.99999997</v>
      </c>
      <c r="R10" s="118">
        <f>VLOOKUP(R$5,[2]Base!$E:$N,6,0)</f>
        <v>270863286</v>
      </c>
      <c r="S10" s="118">
        <f>VLOOKUP(S$5,[2]Base!$E:$N,6,0)</f>
        <v>312318773</v>
      </c>
      <c r="T10" s="118">
        <f>VLOOKUP(T$5,[2]Base!$E:$N,6,0)</f>
        <v>317934409</v>
      </c>
      <c r="U10" s="118">
        <f>VLOOKUP(U$5,[2]Base!$E:$N,6,0)</f>
        <v>275686317</v>
      </c>
      <c r="V10" s="118">
        <f>VLOOKUP(V$5,[2]Base!$E:$N,6,0)</f>
        <v>319544093</v>
      </c>
      <c r="W10" s="118">
        <f>VLOOKUP(W$5,[2]Base!$E:$N,6,0)</f>
        <v>323539614</v>
      </c>
      <c r="X10" s="118">
        <f>VLOOKUP(X$5,[2]Base!$E:$N,6,0)</f>
        <v>316504826</v>
      </c>
      <c r="Y10" s="118">
        <f>VLOOKUP(Y$5,[2]Base!$E:$N,6,0)</f>
        <v>257502156</v>
      </c>
      <c r="Z10" s="118">
        <f>VLOOKUP(Z$5,[2]Base!$E:$N,6,0)</f>
        <v>276994777.32499999</v>
      </c>
      <c r="AA10" s="118">
        <f>VLOOKUP(AA$5,[2]Base!$E:$N,6,0)</f>
        <v>274538876</v>
      </c>
      <c r="AB10" s="118">
        <f>VLOOKUP(AB$5,[2]Base!$E:$N,6,0)</f>
        <v>314388861.99999994</v>
      </c>
      <c r="AC10" s="118">
        <f>VLOOKUP(AC$5,[2]Base!$E:$N,6,0)</f>
        <v>216575370</v>
      </c>
      <c r="AD10" s="118">
        <f>VLOOKUP(AD$5,[2]Base!$E:$N,6,0)</f>
        <v>199009022</v>
      </c>
      <c r="AE10" s="118">
        <f>VLOOKUP(AE$5,[2]Base!$E:$N,6,0)</f>
        <v>193739778</v>
      </c>
      <c r="AF10" s="118">
        <f>VLOOKUP(AF$5,[2]Base!$E:$N,6,0)</f>
        <v>208263365.99999994</v>
      </c>
      <c r="AG10" s="118">
        <f>VLOOKUP(AG$5,[2]Base!$E:$N,6,0)</f>
        <v>139201311</v>
      </c>
      <c r="AH10" s="118">
        <f>VLOOKUP(AH$5,[2]Base!$E:$N,6,0)</f>
        <v>156608965.00000006</v>
      </c>
      <c r="AI10" s="118">
        <f>VLOOKUP(AI$5,[2]Base!$E:$N,6,0)</f>
        <v>165474809.00000009</v>
      </c>
      <c r="AJ10" s="118">
        <f>VLOOKUP(AJ$5,[2]Base!$E:$N,6,0)</f>
        <v>169963251.00000003</v>
      </c>
      <c r="AK10" s="118">
        <f>VLOOKUP(AK$5,[2]Base!$E:$N,6,0)</f>
        <v>140848000</v>
      </c>
      <c r="AL10" s="118">
        <f>VLOOKUP(AL$5,[2]Base!$E:$N,6,0)</f>
        <v>162583914.03599072</v>
      </c>
      <c r="AM10" s="118">
        <f>VLOOKUP(AM$5,[2]Base!$E:$N,6,0)</f>
        <v>183273679</v>
      </c>
      <c r="AN10" s="118">
        <f>VLOOKUP(AN$5,[2]Base!$E:$N,6,0)</f>
        <v>195783342</v>
      </c>
      <c r="AO10" s="118">
        <f>VLOOKUP(AO$5,[2]Base!$E:$N,6,0)</f>
        <v>163476999</v>
      </c>
      <c r="AP10" s="118">
        <f>VLOOKUP(AP$5,[2]Base!$E:$N,6,0)</f>
        <v>182617816</v>
      </c>
      <c r="AQ10" s="118">
        <f>VLOOKUP(AQ$5,[2]Base!$E:$N,6,0)</f>
        <v>209050106</v>
      </c>
      <c r="AR10" s="118">
        <f>VLOOKUP(AR$5,[2]Base!$E:$N,6,0)</f>
        <v>210511051</v>
      </c>
      <c r="AS10" s="118">
        <f>VLOOKUP(AS$5,[2]Base!$E:$N,6,0)</f>
        <v>183672549</v>
      </c>
      <c r="AT10" s="118">
        <f>VLOOKUP(AT$5,[2]Base!$E:$N,6,0)</f>
        <v>215426712</v>
      </c>
      <c r="AU10" s="118">
        <f>VLOOKUP(AU$5,[2]Base!$E:$N,6,0)</f>
        <v>221039091</v>
      </c>
      <c r="AV10" s="118">
        <f>VLOOKUP(AV$5,[2]Base!$E:$N,6,0)</f>
        <v>241840088.99999994</v>
      </c>
      <c r="AW10" s="118">
        <f>VLOOKUP(AW$5,[2]Base!$E:$N,6,0)</f>
        <v>171622198</v>
      </c>
      <c r="AX10" s="118">
        <f>VLOOKUP(AX$5,[2]Base!$E:$N,6,0)</f>
        <v>60373783</v>
      </c>
      <c r="AY10" s="118">
        <f>VLOOKUP(AY$5,[2]Base!$E:$N,6,0)</f>
        <v>185264007</v>
      </c>
      <c r="AZ10" s="118">
        <f>VLOOKUP(AZ$5,[2]Base!$E:$N,6,0)</f>
        <v>203052007</v>
      </c>
      <c r="BA10" s="118">
        <f>VLOOKUP(BA$5,[2]Base!$E:$N,6,0)</f>
        <v>137419233</v>
      </c>
      <c r="BB10" s="118">
        <f>VLOOKUP(BB$5,[2]Base!$E:$N,6,0)</f>
        <v>121411530</v>
      </c>
      <c r="BC10" s="118">
        <f>VLOOKUP(BC$5,[2]Base!$E:$N,6,0)</f>
        <v>113637506</v>
      </c>
      <c r="BD10" s="118">
        <f>VLOOKUP(BD$5,[2]Base!$E:$N,6,0)</f>
        <v>156694085</v>
      </c>
      <c r="BE10" s="118">
        <f>VLOOKUP(BE$5,[2]Base!$E:$N,6,0)</f>
        <v>106370032</v>
      </c>
      <c r="BF10" s="118">
        <f>VLOOKUP(BF$5,[2]Base!$E:$N,6,0)</f>
        <v>125059697</v>
      </c>
      <c r="BG10" s="118">
        <f>VLOOKUP(BG$5,[2]Base!$E:$N,6,0)</f>
        <v>163033678</v>
      </c>
      <c r="BH10" s="118">
        <f>VLOOKUP(BH$5,[2]Base!$E:$N,6,0)</f>
        <v>160421227</v>
      </c>
      <c r="BI10" s="118">
        <f>VLOOKUP(BI$5,[2]Base!$E:$N,6,0)</f>
        <v>128142263</v>
      </c>
      <c r="BJ10" s="118">
        <f>VLOOKUP(BJ$5,[2]Base!$E:$N,6,0)</f>
        <v>141472604</v>
      </c>
      <c r="BK10" s="118">
        <f>VLOOKUP(BK$5,[2]Base!$E:$N,6,0)</f>
        <v>171539618</v>
      </c>
      <c r="BL10" s="118">
        <f>VLOOKUP(BL$5,[2]Base!$E:$N,6,0)</f>
        <v>182304515</v>
      </c>
      <c r="BM10" s="118">
        <f>VLOOKUP(BM$5,[2]Base!$E:$N,6,0)</f>
        <v>143945393</v>
      </c>
      <c r="BN10" s="118">
        <f>VLOOKUP(BN$5,[2]Base!$E:$N,6,0)</f>
        <v>174959814</v>
      </c>
      <c r="BO10" s="118">
        <f>VLOOKUP(BO$5,[2]Base!$E:$N,6,0)</f>
        <v>209792790</v>
      </c>
      <c r="BP10" s="118">
        <f>VLOOKUP(BP$5,[2]Base!$E:$N,6,0)</f>
        <v>212965900</v>
      </c>
      <c r="BQ10" s="118">
        <f>VLOOKUP(BQ$5,[2]Base!$E:$N,6,0)</f>
        <v>138002352</v>
      </c>
      <c r="BR10" s="118">
        <f>VLOOKUP(BR$5,[2]Base!$E:$N,6,0)</f>
        <v>175360451</v>
      </c>
      <c r="BS10" s="118">
        <f>VLOOKUP(BS$5,[2]Base!$E:$N,6,0)</f>
        <v>207112637</v>
      </c>
      <c r="BT10" s="118">
        <f>VLOOKUP(BT$5,[2]Base!$E:$N,6,0)</f>
        <v>209031502</v>
      </c>
      <c r="BU10" s="118">
        <f>VLOOKUP(BU$5,[2]Base!$E:$N,6,0)</f>
        <v>170133431</v>
      </c>
      <c r="BV10" s="118">
        <f>VLOOKUP(BV$5,[2]Base!$E:$N,6,0)</f>
        <v>234547738</v>
      </c>
    </row>
    <row r="11" spans="1:74" x14ac:dyDescent="0.2">
      <c r="A11" t="s">
        <v>2057</v>
      </c>
      <c r="B11" t="s">
        <v>2067</v>
      </c>
      <c r="D11" s="129" t="str">
        <f>IF([1]RENAME!$H$3=1,B11,A11)</f>
        <v>Km Exportação</v>
      </c>
      <c r="E11" s="118">
        <f>VLOOKUP(E$5,[2]Base!$E:$N,7,0)</f>
        <v>1419752.0150270001</v>
      </c>
      <c r="F11" s="118">
        <f>VLOOKUP(F$5,[2]Base!$E:$N,7,0)</f>
        <v>3337822.0098919999</v>
      </c>
      <c r="G11" s="118">
        <f>VLOOKUP(G$5,[2]Base!$E:$N,7,0)</f>
        <v>2457676.0325790001</v>
      </c>
      <c r="H11" s="118">
        <f>VLOOKUP(H$5,[2]Base!$E:$N,7,0)</f>
        <v>2190368.1151629998</v>
      </c>
      <c r="I11" s="118">
        <f>VLOOKUP(I$5,[2]Base!$E:$N,7,0)</f>
        <v>2912579</v>
      </c>
      <c r="J11" s="118">
        <f>VLOOKUP(J$5,[2]Base!$E:$N,7,0)</f>
        <v>3826421</v>
      </c>
      <c r="K11" s="118">
        <f>VLOOKUP(K$5,[2]Base!$E:$N,7,0)</f>
        <v>3812694</v>
      </c>
      <c r="L11" s="118">
        <f>VLOOKUP(L$5,[2]Base!$E:$N,7,0)</f>
        <v>4594787</v>
      </c>
      <c r="M11" s="118">
        <f>VLOOKUP(M$5,[2]Base!$E:$N,7,0)</f>
        <v>6274615</v>
      </c>
      <c r="N11" s="118">
        <f>VLOOKUP(N$5,[2]Base!$E:$N,7,0)</f>
        <v>4824800</v>
      </c>
      <c r="O11" s="118">
        <f>VLOOKUP(O$5,[2]Base!$E:$N,7,0)</f>
        <v>4363781.9999999963</v>
      </c>
      <c r="P11" s="118">
        <f>VLOOKUP(P$5,[2]Base!$E:$N,7,0)</f>
        <v>4946361.9999999776</v>
      </c>
      <c r="Q11" s="118">
        <f>VLOOKUP(Q$5,[2]Base!$E:$N,7,0)</f>
        <v>3495395.9999999925</v>
      </c>
      <c r="R11" s="118">
        <f>VLOOKUP(R$5,[2]Base!$E:$N,7,0)</f>
        <v>3853277.9999999888</v>
      </c>
      <c r="S11" s="118">
        <f>VLOOKUP(S$5,[2]Base!$E:$N,7,0)</f>
        <v>3644025.9999999935</v>
      </c>
      <c r="T11" s="118">
        <f>VLOOKUP(T$5,[2]Base!$E:$N,7,0)</f>
        <v>3473304.9999999888</v>
      </c>
      <c r="U11" s="118">
        <f>VLOOKUP(U$5,[2]Base!$E:$N,7,0)</f>
        <v>3997220</v>
      </c>
      <c r="V11" s="118">
        <f>VLOOKUP(V$5,[2]Base!$E:$N,7,0)</f>
        <v>4063725</v>
      </c>
      <c r="W11" s="118">
        <f>VLOOKUP(W$5,[2]Base!$E:$N,7,0)</f>
        <v>4068615</v>
      </c>
      <c r="X11" s="118">
        <f>VLOOKUP(X$5,[2]Base!$E:$N,7,0)</f>
        <v>3214518</v>
      </c>
      <c r="Y11" s="118">
        <f>VLOOKUP(Y$5,[2]Base!$E:$N,7,0)</f>
        <v>2382386</v>
      </c>
      <c r="Z11" s="118">
        <f>VLOOKUP(Z$5,[2]Base!$E:$N,7,0)</f>
        <v>1692217.0000000005</v>
      </c>
      <c r="AA11" s="118">
        <f>VLOOKUP(AA$5,[2]Base!$E:$N,7,0)</f>
        <v>2559432.9999999949</v>
      </c>
      <c r="AB11" s="118">
        <f>VLOOKUP(AB$5,[2]Base!$E:$N,7,0)</f>
        <v>1706749</v>
      </c>
      <c r="AC11" s="118">
        <f>VLOOKUP(AC$5,[2]Base!$E:$N,7,0)</f>
        <v>1652755.9999999956</v>
      </c>
      <c r="AD11" s="118">
        <f>VLOOKUP(AD$5,[2]Base!$E:$N,7,0)</f>
        <v>3018877.9999999963</v>
      </c>
      <c r="AE11" s="118">
        <f>VLOOKUP(AE$5,[2]Base!$E:$N,7,0)</f>
        <v>2670016.9999999981</v>
      </c>
      <c r="AF11" s="118">
        <f>VLOOKUP(AF$5,[2]Base!$E:$N,7,0)</f>
        <v>2772525.9999999958</v>
      </c>
      <c r="AG11" s="118">
        <f>VLOOKUP(AG$5,[2]Base!$E:$N,7,0)</f>
        <v>2088253</v>
      </c>
      <c r="AH11" s="118">
        <f>VLOOKUP(AH$5,[2]Base!$E:$N,7,0)</f>
        <v>3732957.9999999963</v>
      </c>
      <c r="AI11" s="118">
        <f>VLOOKUP(AI$5,[2]Base!$E:$N,7,0)</f>
        <v>3759148.0000000005</v>
      </c>
      <c r="AJ11" s="118">
        <f>VLOOKUP(AJ$5,[2]Base!$E:$N,7,0)</f>
        <v>4998253.9999999991</v>
      </c>
      <c r="AK11" s="118">
        <f>VLOOKUP(AK$5,[2]Base!$E:$N,7,0)</f>
        <v>5628000</v>
      </c>
      <c r="AL11" s="118">
        <f>VLOOKUP(AL$5,[2]Base!$E:$N,7,0)</f>
        <v>0</v>
      </c>
      <c r="AM11" s="118">
        <f>VLOOKUP(AM$5,[2]Base!$E:$N,7,0)</f>
        <v>7795670</v>
      </c>
      <c r="AN11" s="118">
        <f>VLOOKUP(AN$5,[2]Base!$E:$N,7,0)</f>
        <v>8454817</v>
      </c>
      <c r="AO11" s="118">
        <f>VLOOKUP(AO$5,[2]Base!$E:$N,7,0)</f>
        <v>8279395</v>
      </c>
      <c r="AP11" s="118">
        <f>VLOOKUP(AP$5,[2]Base!$E:$N,7,0)</f>
        <v>7387609</v>
      </c>
      <c r="AQ11" s="118">
        <f>VLOOKUP(AQ$5,[2]Base!$E:$N,7,0)</f>
        <v>5900126</v>
      </c>
      <c r="AR11" s="118">
        <f>VLOOKUP(AR$5,[2]Base!$E:$N,7,0)</f>
        <v>4212599</v>
      </c>
      <c r="AS11" s="118">
        <f>VLOOKUP(AS$5,[2]Base!$E:$N,7,0)</f>
        <v>5073661</v>
      </c>
      <c r="AT11" s="118">
        <f>VLOOKUP(AT$5,[2]Base!$E:$N,7,0)</f>
        <v>4779238</v>
      </c>
      <c r="AU11" s="118">
        <f>VLOOKUP(AU$5,[2]Base!$E:$N,7,0)</f>
        <v>5136923</v>
      </c>
      <c r="AV11" s="118">
        <f>VLOOKUP(AV$5,[2]Base!$E:$N,7,0)</f>
        <v>3929037</v>
      </c>
      <c r="AW11" s="118">
        <f>VLOOKUP(AW$5,[2]Base!$E:$N,7,0)</f>
        <v>4282920</v>
      </c>
      <c r="AX11" s="118">
        <f>VLOOKUP(AX$5,[2]Base!$E:$N,7,0)</f>
        <v>796935</v>
      </c>
      <c r="AY11" s="118">
        <f>VLOOKUP(AY$5,[2]Base!$E:$N,7,0)</f>
        <v>4677198</v>
      </c>
      <c r="AZ11" s="118">
        <f>VLOOKUP(AZ$5,[2]Base!$E:$N,7,0)</f>
        <v>5666503</v>
      </c>
      <c r="BA11" s="118">
        <f>VLOOKUP(BA$5,[2]Base!$E:$N,7,0)</f>
        <v>6558992</v>
      </c>
      <c r="BB11" s="118">
        <f>VLOOKUP(BB$5,[2]Base!$E:$N,7,0)</f>
        <v>5033196</v>
      </c>
      <c r="BC11" s="118">
        <f>VLOOKUP(BC$5,[2]Base!$E:$N,7,0)</f>
        <v>4424281</v>
      </c>
      <c r="BD11" s="118">
        <f>VLOOKUP(BD$5,[2]Base!$E:$N,7,0)</f>
        <v>7563293</v>
      </c>
      <c r="BE11" s="118">
        <f>VLOOKUP(BE$5,[2]Base!$E:$N,7,0)</f>
        <v>7828676</v>
      </c>
      <c r="BF11" s="118">
        <f>VLOOKUP(BF$5,[2]Base!$E:$N,7,0)</f>
        <v>7798820</v>
      </c>
      <c r="BG11" s="118">
        <f>VLOOKUP(BG$5,[2]Base!$E:$N,7,0)</f>
        <v>8130470</v>
      </c>
      <c r="BH11" s="118">
        <f>VLOOKUP(BH$5,[2]Base!$E:$N,7,0)</f>
        <v>9047398</v>
      </c>
      <c r="BI11" s="118">
        <f>VLOOKUP(BI$5,[2]Base!$E:$N,7,0)</f>
        <v>8611261</v>
      </c>
      <c r="BJ11" s="118">
        <f>VLOOKUP(BJ$5,[2]Base!$E:$N,7,0)</f>
        <v>8952105</v>
      </c>
      <c r="BK11" s="118">
        <f>VLOOKUP(BK$5,[2]Base!$E:$N,7,0)</f>
        <v>5879877</v>
      </c>
      <c r="BL11" s="118">
        <f>VLOOKUP(BL$5,[2]Base!$E:$N,7,0)</f>
        <v>6545336</v>
      </c>
      <c r="BM11" s="118">
        <f>VLOOKUP(BM$5,[2]Base!$E:$N,7,0)</f>
        <v>4856852</v>
      </c>
      <c r="BN11" s="118">
        <f>VLOOKUP(BN$5,[2]Base!$E:$N,7,0)</f>
        <v>6958668</v>
      </c>
      <c r="BO11" s="118">
        <f>VLOOKUP(BO$5,[2]Base!$E:$N,7,0)</f>
        <v>6642838</v>
      </c>
      <c r="BP11" s="118">
        <f>VLOOKUP(BP$5,[2]Base!$E:$N,7,0)</f>
        <v>7170747</v>
      </c>
      <c r="BQ11" s="118">
        <f>VLOOKUP(BQ$5,[2]Base!$E:$N,7,0)</f>
        <v>10438970</v>
      </c>
      <c r="BR11" s="118">
        <f>VLOOKUP(BR$5,[2]Base!$E:$N,7,0)</f>
        <v>9238247</v>
      </c>
      <c r="BS11" s="118">
        <f>VLOOKUP(BS$5,[2]Base!$E:$N,7,0)</f>
        <v>13341314</v>
      </c>
      <c r="BT11" s="118">
        <f>VLOOKUP(BT$5,[2]Base!$E:$N,7,0)</f>
        <v>9047803</v>
      </c>
      <c r="BU11" s="118">
        <f>VLOOKUP(BU$5,[2]Base!$E:$N,7,0)</f>
        <v>6007480</v>
      </c>
      <c r="BV11" s="118">
        <f>VLOOKUP(BV$5,[2]Base!$E:$N,7,0)</f>
        <v>7152222</v>
      </c>
    </row>
    <row r="12" spans="1:74" s="310" customFormat="1" outlineLevel="1" x14ac:dyDescent="0.2">
      <c r="A12" s="310" t="s">
        <v>2056</v>
      </c>
      <c r="B12" s="310" t="s">
        <v>1751</v>
      </c>
      <c r="D12" s="119" t="str">
        <f>IF([1]RENAME!$H$3=1,B12,A12)</f>
        <v>Km Média Total (b/a)</v>
      </c>
      <c r="E12" s="120">
        <f t="shared" ref="E12:AJ12" si="13">E9/E6</f>
        <v>872.33057047080172</v>
      </c>
      <c r="F12" s="120">
        <f t="shared" si="13"/>
        <v>850.12670046425626</v>
      </c>
      <c r="G12" s="120">
        <f t="shared" si="13"/>
        <v>846.35919973118928</v>
      </c>
      <c r="H12" s="120">
        <f t="shared" si="13"/>
        <v>851.68777807796664</v>
      </c>
      <c r="I12" s="120">
        <f t="shared" si="13"/>
        <v>959.03639323971277</v>
      </c>
      <c r="J12" s="120">
        <f t="shared" si="13"/>
        <v>1028.3016954275072</v>
      </c>
      <c r="K12" s="120">
        <f t="shared" si="13"/>
        <v>953.55899236039784</v>
      </c>
      <c r="L12" s="120">
        <f t="shared" si="13"/>
        <v>968.24275623848462</v>
      </c>
      <c r="M12" s="120">
        <f t="shared" si="13"/>
        <v>1023.4924523828341</v>
      </c>
      <c r="N12" s="120">
        <f t="shared" si="13"/>
        <v>1037.1511017039484</v>
      </c>
      <c r="O12" s="120">
        <f t="shared" si="13"/>
        <v>1008.1754303571106</v>
      </c>
      <c r="P12" s="120">
        <f t="shared" si="13"/>
        <v>961.64416904151005</v>
      </c>
      <c r="Q12" s="120">
        <f t="shared" si="13"/>
        <v>996.20679751672219</v>
      </c>
      <c r="R12" s="120">
        <f t="shared" si="13"/>
        <v>1011.9107421090823</v>
      </c>
      <c r="S12" s="120">
        <f t="shared" si="13"/>
        <v>1042.3480631816471</v>
      </c>
      <c r="T12" s="120">
        <f t="shared" si="13"/>
        <v>1067.8990537325731</v>
      </c>
      <c r="U12" s="120">
        <f t="shared" si="13"/>
        <v>1067.9550225860771</v>
      </c>
      <c r="V12" s="120">
        <f t="shared" si="13"/>
        <v>1039.2063494102422</v>
      </c>
      <c r="W12" s="120">
        <f t="shared" si="13"/>
        <v>1056.8893810448619</v>
      </c>
      <c r="X12" s="120">
        <f t="shared" si="13"/>
        <v>1057.4687905167623</v>
      </c>
      <c r="Y12" s="120">
        <f t="shared" si="13"/>
        <v>1100.6506973178778</v>
      </c>
      <c r="Z12" s="120">
        <f t="shared" si="13"/>
        <v>1136.2318491028363</v>
      </c>
      <c r="AA12" s="120">
        <f t="shared" si="13"/>
        <v>1086.9967911627523</v>
      </c>
      <c r="AB12" s="120">
        <f t="shared" si="13"/>
        <v>1091.5808319750254</v>
      </c>
      <c r="AC12" s="120">
        <f t="shared" si="13"/>
        <v>1106.6615583559421</v>
      </c>
      <c r="AD12" s="120">
        <f t="shared" si="13"/>
        <v>1070.743587025652</v>
      </c>
      <c r="AE12" s="120">
        <f t="shared" si="13"/>
        <v>1096.7406259597399</v>
      </c>
      <c r="AF12" s="120">
        <f t="shared" si="13"/>
        <v>1052.0705914024056</v>
      </c>
      <c r="AG12" s="120">
        <f t="shared" si="13"/>
        <v>1039.8572500993569</v>
      </c>
      <c r="AH12" s="120">
        <f t="shared" si="13"/>
        <v>947.73691956686241</v>
      </c>
      <c r="AI12" s="120">
        <f t="shared" si="13"/>
        <v>948.04159454145224</v>
      </c>
      <c r="AJ12" s="120">
        <f t="shared" si="13"/>
        <v>886.62175995135192</v>
      </c>
      <c r="AK12" s="120">
        <f t="shared" ref="AK12:BI12" si="14">AK9/AK6</f>
        <v>891.01117444173417</v>
      </c>
      <c r="AL12" s="120">
        <f t="shared" si="14"/>
        <v>887.54913958167901</v>
      </c>
      <c r="AM12" s="120">
        <f t="shared" si="14"/>
        <v>978.07225381744843</v>
      </c>
      <c r="AN12" s="120">
        <f t="shared" si="14"/>
        <v>966.0578722317349</v>
      </c>
      <c r="AO12" s="120">
        <f t="shared" si="14"/>
        <v>969.2197098374254</v>
      </c>
      <c r="AP12" s="120">
        <f t="shared" si="14"/>
        <v>979.99032931892611</v>
      </c>
      <c r="AQ12" s="120">
        <f t="shared" si="14"/>
        <v>1039.9643524118244</v>
      </c>
      <c r="AR12" s="120">
        <f t="shared" si="14"/>
        <v>1054.4949834746865</v>
      </c>
      <c r="AS12" s="120">
        <f t="shared" si="14"/>
        <v>1052.5370695664296</v>
      </c>
      <c r="AT12" s="120">
        <f t="shared" si="14"/>
        <v>1057.7721576143608</v>
      </c>
      <c r="AU12" s="120">
        <f t="shared" si="14"/>
        <v>1106.0114035902727</v>
      </c>
      <c r="AV12" s="120">
        <f t="shared" si="14"/>
        <v>1071.9824396116298</v>
      </c>
      <c r="AW12" s="120">
        <f t="shared" si="14"/>
        <v>1122.6027671767904</v>
      </c>
      <c r="AX12" s="120">
        <f t="shared" si="14"/>
        <v>1079.953356166802</v>
      </c>
      <c r="AY12" s="120">
        <f t="shared" si="14"/>
        <v>1174.2016357364523</v>
      </c>
      <c r="AZ12" s="120">
        <f t="shared" si="14"/>
        <v>1123.5923234280792</v>
      </c>
      <c r="BA12" s="120">
        <f t="shared" si="14"/>
        <v>1048.5632874517514</v>
      </c>
      <c r="BB12" s="120">
        <f t="shared" si="14"/>
        <v>989.44954731479811</v>
      </c>
      <c r="BC12" s="120">
        <f t="shared" si="14"/>
        <v>1036.7300994915656</v>
      </c>
      <c r="BD12" s="120">
        <f t="shared" si="14"/>
        <v>1106.8332715645911</v>
      </c>
      <c r="BE12" s="120">
        <f t="shared" si="14"/>
        <v>978.63356528296708</v>
      </c>
      <c r="BF12" s="120">
        <f t="shared" si="14"/>
        <v>964.9034214291421</v>
      </c>
      <c r="BG12" s="120">
        <f t="shared" si="14"/>
        <v>1030.6995291028868</v>
      </c>
      <c r="BH12" s="120">
        <f t="shared" si="14"/>
        <v>1027.7054275318376</v>
      </c>
      <c r="BI12" s="120">
        <f t="shared" si="14"/>
        <v>992.32662124213596</v>
      </c>
      <c r="BJ12" s="120">
        <f t="shared" ref="BJ12:BO12" si="15">BJ9/BJ6</f>
        <v>957.99712775442617</v>
      </c>
      <c r="BK12" s="120">
        <f t="shared" si="15"/>
        <v>1045.365867310865</v>
      </c>
      <c r="BL12" s="120">
        <f t="shared" si="15"/>
        <v>1077.27063272943</v>
      </c>
      <c r="BM12" s="120">
        <f t="shared" si="15"/>
        <v>1060.6609428905426</v>
      </c>
      <c r="BN12" s="120">
        <f t="shared" si="15"/>
        <v>1088.8236751696813</v>
      </c>
      <c r="BO12" s="120">
        <f t="shared" si="15"/>
        <v>1067.0053242886158</v>
      </c>
      <c r="BP12" s="120">
        <f t="shared" ref="BP12:BV12" si="16">BP9/BP6</f>
        <v>1088.6697641525764</v>
      </c>
      <c r="BQ12" s="120">
        <f t="shared" si="16"/>
        <v>1025.5013609671848</v>
      </c>
      <c r="BR12" s="120">
        <f t="shared" si="16"/>
        <v>1082.417325835713</v>
      </c>
      <c r="BS12" s="120">
        <f t="shared" si="16"/>
        <v>1116.1208143055317</v>
      </c>
      <c r="BT12" s="120">
        <f t="shared" si="16"/>
        <v>1154.0907960330649</v>
      </c>
      <c r="BU12" s="120">
        <v>1138.4789614519507</v>
      </c>
      <c r="BV12" s="120">
        <f t="shared" si="16"/>
        <v>1166.3254709697344</v>
      </c>
    </row>
    <row r="13" spans="1:74" x14ac:dyDescent="0.2">
      <c r="A13" t="s">
        <v>2055</v>
      </c>
      <c r="B13" t="s">
        <v>2068</v>
      </c>
      <c r="D13" s="129" t="str">
        <f>IF([1]RENAME!$H$3=1,B13,A13)</f>
        <v>Km Média Doméstica</v>
      </c>
      <c r="E13" s="118">
        <f>VLOOKUP(E$5,[2]Base!$E:$N,9,0)</f>
        <v>931.95218450068717</v>
      </c>
      <c r="F13" s="118">
        <f>VLOOKUP(F$5,[2]Base!$E:$N,9,0)</f>
        <v>909.73891446433606</v>
      </c>
      <c r="G13" s="118">
        <f>VLOOKUP(G$5,[2]Base!$E:$N,9,0)</f>
        <v>898.53909018302465</v>
      </c>
      <c r="H13" s="118">
        <f>VLOOKUP(H$5,[2]Base!$E:$N,9,0)</f>
        <v>927.82291259840474</v>
      </c>
      <c r="I13" s="118">
        <f>VLOOKUP(I$5,[2]Base!$E:$N,9,0)</f>
        <v>1066.6120722726976</v>
      </c>
      <c r="J13" s="118">
        <f>VLOOKUP(J$5,[2]Base!$E:$N,9,0)</f>
        <v>1118.2140332487243</v>
      </c>
      <c r="K13" s="118">
        <f>VLOOKUP(K$5,[2]Base!$E:$N,9,0)</f>
        <v>1034.118673904044</v>
      </c>
      <c r="L13" s="118">
        <f>VLOOKUP(L$5,[2]Base!$E:$N,9,0)</f>
        <v>1066.3796267272439</v>
      </c>
      <c r="M13" s="118">
        <f>VLOOKUP(M$5,[2]Base!$E:$N,9,0)</f>
        <v>1113.7716712058314</v>
      </c>
      <c r="N13" s="118">
        <f>VLOOKUP(N$5,[2]Base!$E:$N,9,0)</f>
        <v>1126.6521845293726</v>
      </c>
      <c r="O13" s="118">
        <f>VLOOKUP(O$5,[2]Base!$E:$N,9,0)</f>
        <v>1108.8497444881286</v>
      </c>
      <c r="P13" s="118">
        <f>VLOOKUP(P$5,[2]Base!$E:$N,9,0)</f>
        <v>1084.2929938282382</v>
      </c>
      <c r="Q13" s="118">
        <f>VLOOKUP(Q$5,[2]Base!$E:$N,9,0)</f>
        <v>1103.7542727476048</v>
      </c>
      <c r="R13" s="118">
        <f>VLOOKUP(R$5,[2]Base!$E:$N,9,0)</f>
        <v>1112.1099943339984</v>
      </c>
      <c r="S13" s="118">
        <f>VLOOKUP(S$5,[2]Base!$E:$N,9,0)</f>
        <v>1111.3874712206023</v>
      </c>
      <c r="T13" s="118">
        <f>VLOOKUP(T$5,[2]Base!$E:$N,9,0)</f>
        <v>1139.8521794311037</v>
      </c>
      <c r="U13" s="118">
        <f>VLOOKUP(U$5,[2]Base!$E:$N,9,0)</f>
        <v>1157.5433711922408</v>
      </c>
      <c r="V13" s="118">
        <f>VLOOKUP(V$5,[2]Base!$E:$N,9,0)</f>
        <v>1118.5228889262262</v>
      </c>
      <c r="W13" s="118">
        <f>VLOOKUP(W$5,[2]Base!$E:$N,9,0)</f>
        <v>1149.4149323935455</v>
      </c>
      <c r="X13" s="118">
        <f>VLOOKUP(X$5,[2]Base!$E:$N,9,0)</f>
        <v>1122.8990789884483</v>
      </c>
      <c r="Y13" s="118">
        <f>VLOOKUP(Y$5,[2]Base!$E:$N,9,0)</f>
        <v>1169.7624879617683</v>
      </c>
      <c r="Z13" s="118">
        <f>VLOOKUP(Z$5,[2]Base!$E:$N,9,0)</f>
        <v>1189.0484313494021</v>
      </c>
      <c r="AA13" s="118">
        <f>VLOOKUP(AA$5,[2]Base!$E:$N,9,0)</f>
        <v>1152.2949289413818</v>
      </c>
      <c r="AB13" s="118">
        <f>VLOOKUP(AB$5,[2]Base!$E:$N,9,0)</f>
        <v>1147.2664314151943</v>
      </c>
      <c r="AC13" s="118">
        <f>VLOOKUP(AC$5,[2]Base!$E:$N,9,0)</f>
        <v>1199</v>
      </c>
      <c r="AD13" s="118">
        <f>VLOOKUP(AD$5,[2]Base!$E:$N,9,0)</f>
        <v>1200.8533637455271</v>
      </c>
      <c r="AE13" s="118">
        <f>VLOOKUP(AE$5,[2]Base!$E:$N,9,0)</f>
        <v>1197.4694389675569</v>
      </c>
      <c r="AF13" s="118">
        <f>VLOOKUP(AF$5,[2]Base!$E:$N,9,0)</f>
        <v>1170.5713145529348</v>
      </c>
      <c r="AG13" s="118">
        <f>VLOOKUP(AG$5,[2]Base!$E:$N,9,0)</f>
        <v>1178.0647675629014</v>
      </c>
      <c r="AH13" s="118">
        <f>VLOOKUP(AH$5,[2]Base!$E:$N,9,0)</f>
        <v>1109.4822358400345</v>
      </c>
      <c r="AI13" s="118">
        <f>VLOOKUP(AI$5,[2]Base!$E:$N,9,0)</f>
        <v>1094.3739228200131</v>
      </c>
      <c r="AJ13" s="118">
        <f>VLOOKUP(AJ$5,[2]Base!$E:$N,9,0)</f>
        <v>1060.7587375489929</v>
      </c>
      <c r="AK13" s="118">
        <f>VLOOKUP(AK$5,[2]Base!$E:$N,9,0)</f>
        <v>1128.3998686118521</v>
      </c>
      <c r="AL13" s="118">
        <f>VLOOKUP(AL$5,[2]Base!$E:$N,9,0)</f>
        <v>1163.0416192342245</v>
      </c>
      <c r="AM13" s="118">
        <f>VLOOKUP(AM$5,[2]Base!$E:$N,9,0)</f>
        <v>1143.644957380159</v>
      </c>
      <c r="AN13" s="118">
        <f>VLOOKUP(AN$5,[2]Base!$E:$N,9,0)</f>
        <v>1159.3868702181585</v>
      </c>
      <c r="AO13" s="118">
        <f>VLOOKUP(AO$5,[2]Base!$E:$N,9,0)</f>
        <v>1208.3718243438025</v>
      </c>
      <c r="AP13" s="118">
        <f>VLOOKUP(AP$5,[2]Base!$E:$N,9,0)</f>
        <v>1175.2905181457193</v>
      </c>
      <c r="AQ13" s="118">
        <f>VLOOKUP(AQ$5,[2]Base!$E:$N,9,0)</f>
        <v>1175.7532634799579</v>
      </c>
      <c r="AR13" s="118">
        <f>VLOOKUP(AR$5,[2]Base!$E:$N,9,0)</f>
        <v>1136.0369287059573</v>
      </c>
      <c r="AS13" s="118">
        <f>VLOOKUP(AS$5,[2]Base!$E:$N,9,0)</f>
        <v>1182.7560273549184</v>
      </c>
      <c r="AT13" s="118">
        <f>VLOOKUP(AT$5,[2]Base!$E:$N,9,0)</f>
        <v>1186.5840750859259</v>
      </c>
      <c r="AU13" s="118">
        <f>VLOOKUP(AU$5,[2]Base!$E:$N,9,0)</f>
        <v>1229.675506525585</v>
      </c>
      <c r="AV13" s="118">
        <f>VLOOKUP(AV$5,[2]Base!$E:$N,9,0)</f>
        <v>1160.5668894956832</v>
      </c>
      <c r="AW13" s="118">
        <f>VLOOKUP(AW$5,[2]Base!$E:$N,9,0)</f>
        <v>1266.9584969732762</v>
      </c>
      <c r="AX13" s="118">
        <f>VLOOKUP(AX$5,[2]Base!$E:$N,9,0)</f>
        <v>1165.4720474112969</v>
      </c>
      <c r="AY13" s="118">
        <f>VLOOKUP(AY$5,[2]Base!$E:$N,9,0)</f>
        <v>1317.5734798378494</v>
      </c>
      <c r="AZ13" s="118">
        <f>VLOOKUP(AZ$5,[2]Base!$E:$N,9,0)</f>
        <v>1303.1608445913423</v>
      </c>
      <c r="BA13" s="118">
        <f>VLOOKUP(BA$5,[2]Base!$E:$N,9,0)</f>
        <v>1198.4723186408748</v>
      </c>
      <c r="BB13" s="118">
        <f>VLOOKUP(BB$5,[2]Base!$E:$N,9,0)</f>
        <v>1160.2118571182846</v>
      </c>
      <c r="BC13" s="118">
        <f>VLOOKUP(BC$5,[2]Base!$E:$N,9,0)</f>
        <v>1178.506673580503</v>
      </c>
      <c r="BD13" s="118">
        <f>VLOOKUP(BD$5,[2]Base!$E:$N,9,0)</f>
        <v>1238.6590436590436</v>
      </c>
      <c r="BE13" s="118">
        <f>VLOOKUP(BE$5,[2]Base!$E:$N,9,0)</f>
        <v>1164.9329974811083</v>
      </c>
      <c r="BF13" s="118">
        <f>VLOOKUP(BF$5,[2]Base!$E:$N,9,0)</f>
        <v>1160.2591895051305</v>
      </c>
      <c r="BG13" s="118">
        <f>VLOOKUP(BG$5,[2]Base!$E:$N,9,0)</f>
        <v>1199.7739150912155</v>
      </c>
      <c r="BH13" s="118">
        <f>VLOOKUP(BH$5,[2]Base!$E:$N,9,0)</f>
        <v>1148.0800615472697</v>
      </c>
      <c r="BI13" s="118">
        <f>VLOOKUP(BI$5,[2]Base!$E:$N,9,0)</f>
        <v>1121.281242890394</v>
      </c>
      <c r="BJ13" s="118">
        <f>VLOOKUP(BJ$5,[2]Base!$E:$N,9,0)</f>
        <v>1084.1394097767695</v>
      </c>
      <c r="BK13" s="118">
        <f>VLOOKUP(BK$5,[2]Base!$E:$N,9,0)</f>
        <v>1133.0150923705919</v>
      </c>
      <c r="BL13" s="118">
        <f>VLOOKUP(BL$5,[2]Base!$E:$N,9,0)</f>
        <v>1150.469295284013</v>
      </c>
      <c r="BM13" s="118">
        <f>VLOOKUP(BM$5,[2]Base!$E:$N,9,0)</f>
        <v>1160.8686672365684</v>
      </c>
      <c r="BN13" s="118">
        <f>VLOOKUP(BN$5,[2]Base!$E:$N,9,0)</f>
        <v>1192.5148348839587</v>
      </c>
      <c r="BO13" s="118">
        <f>VLOOKUP(BO$5,[2]Base!$E:$N,9,0)</f>
        <v>1175.8696858448</v>
      </c>
      <c r="BP13" s="118">
        <f>VLOOKUP(BP$5,[2]Base!$E:$N,9,0)</f>
        <v>1187.1869198994352</v>
      </c>
      <c r="BQ13" s="118">
        <f>VLOOKUP(BQ$5,[2]Base!$E:$N,9,0)</f>
        <v>1150.4318380753102</v>
      </c>
      <c r="BR13" s="118">
        <f>VLOOKUP(BR$5,[2]Base!$E:$N,9,0)</f>
        <v>1241.9999079267948</v>
      </c>
      <c r="BS13" s="118">
        <f>VLOOKUP(BS$5,[2]Base!$E:$N,9,0)</f>
        <v>1257.4763182659908</v>
      </c>
      <c r="BT13" s="118">
        <f>VLOOKUP(BT$5,[2]Base!$E:$N,9,0)</f>
        <v>1255.3238247375627</v>
      </c>
      <c r="BU13" s="118">
        <f>VLOOKUP(BU$5,[2]Base!$E:$N,9,0)</f>
        <v>1240.9531141729699</v>
      </c>
      <c r="BV13" s="118">
        <f>VLOOKUP(BV$5,[2]Base!$E:$N,9,0)</f>
        <v>1284.9959348702664</v>
      </c>
    </row>
    <row r="14" spans="1:74" x14ac:dyDescent="0.2">
      <c r="A14" t="s">
        <v>2054</v>
      </c>
      <c r="B14" t="s">
        <v>2069</v>
      </c>
      <c r="D14" s="129" t="str">
        <f>IF([1]RENAME!$H$3=1,B14,A14)</f>
        <v>Km Média Exportação</v>
      </c>
      <c r="E14" s="118">
        <f>VLOOKUP(E$5,[2]Base!$E:$N,10,0)</f>
        <v>98.532307240405316</v>
      </c>
      <c r="F14" s="118">
        <f>VLOOKUP(F$5,[2]Base!$E:$N,10,0)</f>
        <v>168.98653351012555</v>
      </c>
      <c r="G14" s="118">
        <f>VLOOKUP(G$5,[2]Base!$E:$N,10,0)</f>
        <v>134.74839807988377</v>
      </c>
      <c r="H14" s="118">
        <f>VLOOKUP(H$5,[2]Base!$E:$N,10,0)</f>
        <v>88.21458377619814</v>
      </c>
      <c r="I14" s="118">
        <f>VLOOKUP(I$5,[2]Base!$E:$N,10,0)</f>
        <v>107.82138229741236</v>
      </c>
      <c r="J14" s="118">
        <f>VLOOKUP(J$5,[2]Base!$E:$N,10,0)</f>
        <v>160.05107183938094</v>
      </c>
      <c r="K14" s="118">
        <f>VLOOKUP(K$5,[2]Base!$E:$N,10,0)</f>
        <v>147.57863363653956</v>
      </c>
      <c r="L14" s="118">
        <f>VLOOKUP(L$5,[2]Base!$E:$N,10,0)</f>
        <v>142.56242631089049</v>
      </c>
      <c r="M14" s="118">
        <f>VLOOKUP(M$5,[2]Base!$E:$N,10,0)</f>
        <v>239.98374512353706</v>
      </c>
      <c r="N14" s="118">
        <f>VLOOKUP(N$5,[2]Base!$E:$N,10,0)</f>
        <v>191.84095427435389</v>
      </c>
      <c r="O14" s="118">
        <f>VLOOKUP(O$5,[2]Base!$E:$N,10,0)</f>
        <v>150.12839302301566</v>
      </c>
      <c r="P14" s="118">
        <f>VLOOKUP(P$5,[2]Base!$E:$N,10,0)</f>
        <v>130.09210457103723</v>
      </c>
      <c r="Q14" s="118">
        <f>VLOOKUP(Q$5,[2]Base!$E:$N,10,0)</f>
        <v>131.02166579203811</v>
      </c>
      <c r="R14" s="118">
        <f>VLOOKUP(R$5,[2]Base!$E:$N,10,0)</f>
        <v>137.98667860340157</v>
      </c>
      <c r="S14" s="118">
        <f>VLOOKUP(S$5,[2]Base!$E:$N,10,0)</f>
        <v>164.82093265186094</v>
      </c>
      <c r="T14" s="118">
        <f>VLOOKUP(T$5,[2]Base!$E:$N,10,0)</f>
        <v>157.54808128458626</v>
      </c>
      <c r="U14" s="118">
        <f>VLOOKUP(U$5,[2]Base!$E:$N,10,0)</f>
        <v>168.50265576258326</v>
      </c>
      <c r="V14" s="118">
        <f>VLOOKUP(V$5,[2]Base!$E:$N,10,0)</f>
        <v>158.02936029554735</v>
      </c>
      <c r="W14" s="118">
        <f>VLOOKUP(W$5,[2]Base!$E:$N,10,0)</f>
        <v>142.79850484346483</v>
      </c>
      <c r="X14" s="118">
        <f>VLOOKUP(X$5,[2]Base!$E:$N,10,0)</f>
        <v>156.95888671874999</v>
      </c>
      <c r="Y14" s="118">
        <f>VLOOKUP(Y$5,[2]Base!$E:$N,10,0)</f>
        <v>149.02020391568149</v>
      </c>
      <c r="Z14" s="118">
        <f>VLOOKUP(Z$5,[2]Base!$E:$N,10,0)</f>
        <v>137.37757752881964</v>
      </c>
      <c r="AA14" s="118">
        <f>VLOOKUP(AA$5,[2]Base!$E:$N,10,0)</f>
        <v>153.56290874182486</v>
      </c>
      <c r="AB14" s="118">
        <f>VLOOKUP(AB$5,[2]Base!$E:$N,10,0)</f>
        <v>109.80820948336871</v>
      </c>
      <c r="AC14" s="118">
        <f>VLOOKUP(AC$5,[2]Base!$E:$N,10,0)</f>
        <v>99.773981285843377</v>
      </c>
      <c r="AD14" s="118">
        <f>VLOOKUP(AD$5,[2]Base!$E:$N,10,0)</f>
        <v>131.50141569020326</v>
      </c>
      <c r="AE14" s="118">
        <f>VLOOKUP(AE$5,[2]Base!$E:$N,10,0)</f>
        <v>154.38978836590715</v>
      </c>
      <c r="AF14" s="118">
        <f>VLOOKUP(AF$5,[2]Base!$E:$N,10,0)</f>
        <v>122.27237045203951</v>
      </c>
      <c r="AG14" s="118">
        <f>VLOOKUP(AG$5,[2]Base!$E:$N,10,0)</f>
        <v>117.89380680855868</v>
      </c>
      <c r="AH14" s="118">
        <f>VLOOKUP(AH$5,[2]Base!$E:$N,10,0)</f>
        <v>133.18199008170097</v>
      </c>
      <c r="AI14" s="118">
        <f>VLOOKUP(AI$5,[2]Base!$E:$N,10,0)</f>
        <v>137.6775564019924</v>
      </c>
      <c r="AJ14" s="118">
        <f>VLOOKUP(AJ$5,[2]Base!$E:$N,10,0)</f>
        <v>134.69841269841268</v>
      </c>
      <c r="AK14" s="118">
        <f>VLOOKUP(AK$5,[2]Base!$E:$N,10,0)</f>
        <v>142.22177297078741</v>
      </c>
      <c r="AL14" s="118">
        <f>VLOOKUP(AL$5,[2]Base!$E:$N,10,0)</f>
        <v>0</v>
      </c>
      <c r="AM14" s="118">
        <f>VLOOKUP(AM$5,[2]Base!$E:$N,10,0)</f>
        <v>222.10518818199949</v>
      </c>
      <c r="AN14" s="118">
        <f>VLOOKUP(AN$5,[2]Base!$E:$N,10,0)</f>
        <v>198.72178348140835</v>
      </c>
      <c r="AO14" s="118">
        <f>VLOOKUP(AO$5,[2]Base!$E:$N,10,0)</f>
        <v>197.4858076519416</v>
      </c>
      <c r="AP14" s="118">
        <f>VLOOKUP(AP$5,[2]Base!$E:$N,10,0)</f>
        <v>191.86601392063162</v>
      </c>
      <c r="AQ14" s="118">
        <f>VLOOKUP(AQ$5,[2]Base!$E:$N,10,0)</f>
        <v>204.23434525251827</v>
      </c>
      <c r="AR14" s="118">
        <f>VLOOKUP(AR$5,[2]Base!$E:$N,10,0)</f>
        <v>229.89516481117658</v>
      </c>
      <c r="AS14" s="118">
        <f>VLOOKUP(AS$5,[2]Base!$E:$N,10,0)</f>
        <v>211.11226230599593</v>
      </c>
      <c r="AT14" s="118">
        <f>VLOOKUP(AT$5,[2]Base!$E:$N,10,0)</f>
        <v>179.48841401584858</v>
      </c>
      <c r="AU14" s="118">
        <f>VLOOKUP(AU$5,[2]Base!$E:$N,10,0)</f>
        <v>207.61116275310189</v>
      </c>
      <c r="AV14" s="118">
        <f>VLOOKUP(AV$5,[2]Base!$E:$N,10,0)</f>
        <v>188.12722049317694</v>
      </c>
      <c r="AW14" s="118">
        <f>VLOOKUP(AW$5,[2]Base!$E:$N,10,0)</f>
        <v>201.70104549307715</v>
      </c>
      <c r="AX14" s="118">
        <f>VLOOKUP(AX$5,[2]Base!$E:$N,10,0)</f>
        <v>164.65599173553719</v>
      </c>
      <c r="AY14" s="118">
        <f>VLOOKUP(AY$5,[2]Base!$E:$N,10,0)</f>
        <v>221.1232034795764</v>
      </c>
      <c r="AZ14" s="118">
        <f>VLOOKUP(AZ$5,[2]Base!$E:$N,10,0)</f>
        <v>189.23035565202872</v>
      </c>
      <c r="BA14" s="118">
        <f>VLOOKUP(BA$5,[2]Base!$E:$N,10,0)</f>
        <v>289.60579300600494</v>
      </c>
      <c r="BB14" s="118">
        <f>VLOOKUP(BB$5,[2]Base!$E:$N,10,0)</f>
        <v>217.44485246468224</v>
      </c>
      <c r="BC14" s="118">
        <f>VLOOKUP(BC$5,[2]Base!$E:$N,10,0)</f>
        <v>253.48235361521714</v>
      </c>
      <c r="BD14" s="118">
        <f>VLOOKUP(BD$5,[2]Base!$E:$N,10,0)</f>
        <v>345.35584474885843</v>
      </c>
      <c r="BE14" s="118">
        <f>VLOOKUP(BE$5,[2]Base!$E:$N,10,0)</f>
        <v>308.43416594437002</v>
      </c>
      <c r="BF14" s="118">
        <f>VLOOKUP(BF$5,[2]Base!$E:$N,10,0)</f>
        <v>260.78649055341918</v>
      </c>
      <c r="BG14" s="118">
        <f>VLOOKUP(BG$5,[2]Base!$E:$N,10,0)</f>
        <v>269.40819775340469</v>
      </c>
      <c r="BH14" s="118">
        <f>VLOOKUP(BH$5,[2]Base!$E:$N,10,0)</f>
        <v>359.45164878823999</v>
      </c>
      <c r="BI14" s="118">
        <f>VLOOKUP(BI$5,[2]Base!$E:$N,10,0)</f>
        <v>365.98499723745164</v>
      </c>
      <c r="BJ14" s="118">
        <f>VLOOKUP(BJ$5,[2]Base!$E:$N,10,0)</f>
        <v>337.47144418893959</v>
      </c>
      <c r="BK14" s="118">
        <f>VLOOKUP(BK$5,[2]Base!$E:$N,10,0)</f>
        <v>320.97150499481415</v>
      </c>
      <c r="BL14" s="118">
        <f>VLOOKUP(BL$5,[2]Base!$E:$N,10,0)</f>
        <v>388.60868016386627</v>
      </c>
      <c r="BM14" s="118">
        <f>VLOOKUP(BM$5,[2]Base!$E:$N,10,0)</f>
        <v>298.07610163250274</v>
      </c>
      <c r="BN14" s="118">
        <f>VLOOKUP(BN$5,[2]Base!$E:$N,10,0)</f>
        <v>341.73098266463683</v>
      </c>
      <c r="BO14" s="118">
        <f>VLOOKUP(BO$5,[2]Base!$E:$N,10,0)</f>
        <v>271.92427033443857</v>
      </c>
      <c r="BP14" s="118">
        <f>VLOOKUP(BP$5,[2]Base!$E:$N,10,0)</f>
        <v>314.23080631025414</v>
      </c>
      <c r="BQ14" s="118">
        <f>VLOOKUP(BQ$5,[2]Base!$E:$N,10,0)</f>
        <v>421.04505303916426</v>
      </c>
      <c r="BR14" s="118">
        <f>VLOOKUP(BR$5,[2]Base!$E:$N,10,0)</f>
        <v>314.75067289019114</v>
      </c>
      <c r="BS14" s="118">
        <f>VLOOKUP(BS$5,[2]Base!$E:$N,10,0)</f>
        <v>406.58623106695518</v>
      </c>
      <c r="BT14" s="118">
        <f>VLOOKUP(BT$5,[2]Base!$E:$N,10,0)</f>
        <v>403.09199857435624</v>
      </c>
      <c r="BU14" s="118">
        <f>VLOOKUP(BU$5,[2]Base!$E:$N,10,0)</f>
        <v>341.00471135834704</v>
      </c>
      <c r="BV14" s="118">
        <f>VLOOKUP(BV$5,[2]Base!$E:$N,10,0)</f>
        <v>289.5167584196891</v>
      </c>
    </row>
    <row r="15" spans="1:74" x14ac:dyDescent="0.2">
      <c r="A15" t="s">
        <v>627</v>
      </c>
      <c r="B15" t="s">
        <v>2070</v>
      </c>
      <c r="D15" s="119" t="str">
        <f>IF([1]RENAME!$H$3=1,B15,A15)</f>
        <v>Mkt Share Tegma</v>
      </c>
      <c r="E15" s="1126">
        <f>E6/VLOOKUP(E5,'Dados Mercado'!$D:$G,2,0)</f>
        <v>0.26092014327445606</v>
      </c>
      <c r="F15" s="1126">
        <f>F6/VLOOKUP(F5,'Dados Mercado'!$D:$G,2,0)</f>
        <v>0.27643040078927983</v>
      </c>
      <c r="G15" s="1126">
        <f>G6/VLOOKUP(G5,'Dados Mercado'!$D:$G,2,0)</f>
        <v>0.27929164434922338</v>
      </c>
      <c r="H15" s="1126">
        <f>H6/VLOOKUP(H5,'Dados Mercado'!$D:$G,2,0)</f>
        <v>0.29855618576596732</v>
      </c>
      <c r="I15" s="1126">
        <f>I6/VLOOKUP(I5,'Dados Mercado'!$D:$G,2,0)</f>
        <v>0.29601674107280079</v>
      </c>
      <c r="J15" s="1126">
        <f>J6/VLOOKUP(J5,'Dados Mercado'!$D:$G,2,0)</f>
        <v>0.30644909084129507</v>
      </c>
      <c r="K15" s="1126">
        <f>K6/VLOOKUP(K5,'Dados Mercado'!$D:$G,2,0)</f>
        <v>0.29582536909497464</v>
      </c>
      <c r="L15" s="1126">
        <f>L6/VLOOKUP(L5,'Dados Mercado'!$D:$G,2,0)</f>
        <v>0.28225683409867297</v>
      </c>
      <c r="M15" s="1126">
        <f>M6/VLOOKUP(M5,'Dados Mercado'!$D:$G,2,0)</f>
        <v>0.28315767919463536</v>
      </c>
      <c r="N15" s="1126">
        <f>N6/VLOOKUP(N5,'Dados Mercado'!$D:$G,2,0)</f>
        <v>0.26970246730672287</v>
      </c>
      <c r="O15" s="1126">
        <f>O6/VLOOKUP(O5,'Dados Mercado'!$D:$G,2,0)</f>
        <v>0.27470379070489825</v>
      </c>
      <c r="P15" s="1126">
        <f>P6/VLOOKUP(P5,'Dados Mercado'!$D:$G,2,0)</f>
        <v>0.28919567334201479</v>
      </c>
      <c r="Q15" s="1126">
        <f>Q6/VLOOKUP(Q5,'Dados Mercado'!$D:$G,2,0)</f>
        <v>0.27515325950117681</v>
      </c>
      <c r="R15" s="1126">
        <f>R6/VLOOKUP(R5,'Dados Mercado'!$D:$G,2,0)</f>
        <v>0.28147333300846961</v>
      </c>
      <c r="S15" s="1126">
        <f>S6/VLOOKUP(S5,'Dados Mercado'!$D:$G,2,0)</f>
        <v>0.26944868647254278</v>
      </c>
      <c r="T15" s="1126">
        <f>T6/VLOOKUP(T5,'Dados Mercado'!$D:$G,2,0)</f>
        <v>0.27860554671011217</v>
      </c>
      <c r="U15" s="1126">
        <f>U6/VLOOKUP(U5,'Dados Mercado'!$D:$G,2,0)</f>
        <v>0.29296174528402141</v>
      </c>
      <c r="V15" s="1126">
        <f>V6/VLOOKUP(V5,'Dados Mercado'!$D:$G,2,0)</f>
        <v>0.29303645652478727</v>
      </c>
      <c r="W15" s="1126">
        <f>W6/VLOOKUP(W5,'Dados Mercado'!$D:$G,2,0)</f>
        <v>0.28553900006908783</v>
      </c>
      <c r="X15" s="1126">
        <f>X6/VLOOKUP(X5,'Dados Mercado'!$D:$G,2,0)</f>
        <v>0.28276321302448076</v>
      </c>
      <c r="Y15" s="1126">
        <f>Y6/VLOOKUP(Y5,'Dados Mercado'!$D:$G,2,0)</f>
        <v>0.27968728715685987</v>
      </c>
      <c r="Z15" s="1126">
        <f>Z6/VLOOKUP(Z5,'Dados Mercado'!$D:$G,2,0)</f>
        <v>0.27331178244973597</v>
      </c>
      <c r="AA15" s="1126">
        <f>AA6/VLOOKUP(AA5,'Dados Mercado'!$D:$G,2,0)</f>
        <v>0.28066036177872705</v>
      </c>
      <c r="AB15" s="1126">
        <f>AB6/VLOOKUP(AB5,'Dados Mercado'!$D:$G,2,0)</f>
        <v>0.29143330444925508</v>
      </c>
      <c r="AC15" s="1126">
        <f>AC6/VLOOKUP(AC5,'Dados Mercado'!$D:$G,2,0)</f>
        <v>0.27245157368261075</v>
      </c>
      <c r="AD15" s="1126">
        <f>AD6/VLOOKUP(AD5,'Dados Mercado'!$D:$G,2,0)</f>
        <v>0.25733138029890157</v>
      </c>
      <c r="AE15" s="1126">
        <f>AE6/VLOOKUP(AE5,'Dados Mercado'!$D:$G,2,0)</f>
        <v>0.2551991746301368</v>
      </c>
      <c r="AF15" s="1126">
        <f>AF6/VLOOKUP(AF5,'Dados Mercado'!$D:$G,2,0)</f>
        <v>0.28220138208911549</v>
      </c>
      <c r="AG15" s="1126">
        <f>AG6/VLOOKUP(AG5,'Dados Mercado'!$D:$G,2,0)</f>
        <v>0.24194476051076316</v>
      </c>
      <c r="AH15" s="1126">
        <f>AH6/VLOOKUP(AH5,'Dados Mercado'!$D:$G,2,0)</f>
        <v>0.2753663760831776</v>
      </c>
      <c r="AI15" s="1126">
        <f>AI6/VLOOKUP(AI5,'Dados Mercado'!$D:$G,2,0)</f>
        <v>0.28512034346883719</v>
      </c>
      <c r="AJ15" s="1126">
        <f>AJ6/VLOOKUP(AJ5,'Dados Mercado'!$D:$G,2,0)</f>
        <v>0.29209759332365276</v>
      </c>
      <c r="AK15" s="1126">
        <f>AK6/VLOOKUP(AK5,'Dados Mercado'!$D:$G,2,0)</f>
        <v>0.26257297331831941</v>
      </c>
      <c r="AL15" s="1126">
        <f>AL6/VLOOKUP(AL5,'Dados Mercado'!$D:$G,2,0)</f>
        <v>0.25331714460745336</v>
      </c>
      <c r="AM15" s="1126">
        <f>AM6/VLOOKUP(AM5,'Dados Mercado'!$D:$G,2,0)</f>
        <v>0.25539912118427022</v>
      </c>
      <c r="AN15" s="1126">
        <f>AN6/VLOOKUP(AN5,'Dados Mercado'!$D:$G,2,0)</f>
        <v>0.26881073747677942</v>
      </c>
      <c r="AO15" s="1126">
        <f>AO6/VLOOKUP(AO5,'Dados Mercado'!$D:$G,2,0)</f>
        <v>0.25364883839764574</v>
      </c>
      <c r="AP15" s="1126">
        <f>AP6/VLOOKUP(AP5,'Dados Mercado'!$D:$G,2,0)</f>
        <v>0.24529022773651338</v>
      </c>
      <c r="AQ15" s="1126">
        <f>AQ6/VLOOKUP(AQ5,'Dados Mercado'!$D:$G,2,0)</f>
        <v>0.26122619213123871</v>
      </c>
      <c r="AR15" s="1126">
        <f>AR6/VLOOKUP(AR5,'Dados Mercado'!$D:$G,2,0)</f>
        <v>0.25760504616287688</v>
      </c>
      <c r="AS15" s="1126">
        <f>AS6/VLOOKUP(AS5,'Dados Mercado'!$D:$G,2,0)</f>
        <v>0.26316407379307005</v>
      </c>
      <c r="AT15" s="1126">
        <f>AT6/VLOOKUP(AT5,'Dados Mercado'!$D:$G,2,0)</f>
        <v>0.26601183501513559</v>
      </c>
      <c r="AU15" s="1126">
        <f>AU6/VLOOKUP(AU5,'Dados Mercado'!$D:$G,2,0)</f>
        <v>0.2560693713999499</v>
      </c>
      <c r="AV15" s="1126">
        <f>AV6/VLOOKUP(AV5,'Dados Mercado'!$D:$G,2,0)</f>
        <v>0.28287646471663125</v>
      </c>
      <c r="AW15" s="1126">
        <f>AW6/VLOOKUP(AW5,'Dados Mercado'!$D:$G,2,0)</f>
        <v>0.25293011468648863</v>
      </c>
      <c r="AX15" s="1126">
        <f>AX6/VLOOKUP(AX5,'Dados Mercado'!$D:$G,2,0)</f>
        <v>0.21894689642909604</v>
      </c>
      <c r="AY15" s="1126">
        <f>AY6/VLOOKUP(AY5,'Dados Mercado'!$D:$G,2,0)</f>
        <v>0.26134441426842725</v>
      </c>
      <c r="AZ15" s="1126">
        <f>AZ6/VLOOKUP(AZ5,'Dados Mercado'!$D:$G,2,0)</f>
        <v>0.24294484304580849</v>
      </c>
      <c r="BA15" s="1126">
        <f>BA6/VLOOKUP(BA5,'Dados Mercado'!$D:$G,2,0)</f>
        <v>0.23345966100657481</v>
      </c>
      <c r="BB15" s="1126">
        <f>BB6/VLOOKUP(BB5,'Dados Mercado'!$D:$G,2,0)</f>
        <v>0.2104423318551063</v>
      </c>
      <c r="BC15" s="1126">
        <f>BC6/VLOOKUP(BC5,'Dados Mercado'!$D:$G,2,0)</f>
        <v>0.21352966434597059</v>
      </c>
      <c r="BD15" s="1126">
        <f>BD6/VLOOKUP(BD5,'Dados Mercado'!$D:$G,2,0)</f>
        <v>0.24824276447189259</v>
      </c>
      <c r="BE15" s="1126">
        <f>BE6/VLOOKUP(BE5,'Dados Mercado'!$D:$G,2,0)</f>
        <v>0.24417967164266552</v>
      </c>
      <c r="BF15" s="1126">
        <f>BF6/VLOOKUP(BF5,'Dados Mercado'!$D:$G,2,0)</f>
        <v>0.22638763977514309</v>
      </c>
      <c r="BG15" s="1126">
        <f>BG6/VLOOKUP(BG5,'Dados Mercado'!$D:$G,2,0)</f>
        <v>0.25430617320249427</v>
      </c>
      <c r="BH15" s="1126">
        <f>BH6/VLOOKUP(BH5,'Dados Mercado'!$D:$G,2,0)</f>
        <v>0.24552501258148185</v>
      </c>
      <c r="BI15" s="1126">
        <f>BI6/VLOOKUP(BI5,'Dados Mercado'!$D:$G,2,0)</f>
        <v>0.25248109749059683</v>
      </c>
      <c r="BJ15" s="1126">
        <f>BJ6/VLOOKUP(BJ5,'Dados Mercado'!$D:$G,2,0)</f>
        <v>0.25787400928228188</v>
      </c>
      <c r="BK15" s="1126">
        <f>BK6/VLOOKUP(BK5,'Dados Mercado'!$D:$G,2,0)</f>
        <v>0.24711454600783045</v>
      </c>
      <c r="BL15" s="1126">
        <f>BL6/VLOOKUP(BL5,'Dados Mercado'!$D:$G,2,0)</f>
        <v>0.24316369134312624</v>
      </c>
      <c r="BM15" s="1126">
        <f>BM6/VLOOKUP(BM5,'Dados Mercado'!$D:$G,2,0)</f>
        <v>0.24961212725072948</v>
      </c>
      <c r="BN15" s="1126">
        <f>BN6/VLOOKUP(BN5,'Dados Mercado'!$D:$G,2,0)</f>
        <v>0.24847157220975488</v>
      </c>
      <c r="BO15" s="1126">
        <f>BO6/VLOOKUP(BO5,'Dados Mercado'!$D:$G,2,0)</f>
        <v>0.2577524994536019</v>
      </c>
      <c r="BP15" s="1126">
        <f>BP6/VLOOKUP(BP5,'Dados Mercado'!$D:$G,2,0)</f>
        <v>0.24018705909323615</v>
      </c>
      <c r="BQ15" s="1126">
        <f>BQ6/VLOOKUP(BQ5,'Dados Mercado'!$D:$G,2,0)</f>
        <v>0.22849394471314735</v>
      </c>
      <c r="BR15" s="1126">
        <f>BR6/VLOOKUP(BR5,'Dados Mercado'!$D:$G,2,0)</f>
        <v>0.22524899918244004</v>
      </c>
      <c r="BS15" s="1126">
        <f>BS6/VLOOKUP(BS5,'Dados Mercado'!$D:$G,2,0)</f>
        <v>0.23936295265771673</v>
      </c>
      <c r="BT15" s="1126">
        <f>BT6/VLOOKUP(BT5,'Dados Mercado'!$D:$G,2,0)</f>
        <v>0.22726501904478982</v>
      </c>
      <c r="BU15" s="1126">
        <v>0.22329633280557909</v>
      </c>
      <c r="BV15" s="1126">
        <f>BV6/VLOOKUP(BV5,'Dados Mercado'!$D:$G,2,0)</f>
        <v>0.23759116095576693</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38">
    <pageSetUpPr autoPageBreaks="0"/>
  </sheetPr>
  <dimension ref="A1:AB112"/>
  <sheetViews>
    <sheetView showGridLines="0" zoomScaleNormal="100" workbookViewId="0">
      <pane xSplit="3" ySplit="5" topLeftCell="D48" activePane="bottomRight" state="frozen"/>
      <selection activeCell="AY7" sqref="AY7"/>
      <selection pane="topRight" activeCell="AY7" sqref="AY7"/>
      <selection pane="bottomLeft" activeCell="AY7" sqref="AY7"/>
      <selection pane="bottomRight" activeCell="D61" sqref="D61"/>
    </sheetView>
  </sheetViews>
  <sheetFormatPr defaultRowHeight="12.75" outlineLevelRow="1" x14ac:dyDescent="0.2"/>
  <cols>
    <col min="1" max="1" width="10.85546875" hidden="1" customWidth="1"/>
    <col min="2" max="2" width="9.140625" hidden="1" customWidth="1"/>
    <col min="3" max="3" width="1.42578125" customWidth="1"/>
    <col min="4" max="4" width="16.85546875" style="272" bestFit="1" customWidth="1"/>
    <col min="5" max="6" width="10.85546875" customWidth="1"/>
    <col min="7" max="7" width="15" customWidth="1"/>
    <col min="8" max="8" width="12.85546875" customWidth="1"/>
    <col min="9" max="9" width="10.85546875" customWidth="1"/>
    <col min="10" max="10" width="11.42578125" customWidth="1"/>
    <col min="11" max="11" width="15.140625" customWidth="1"/>
    <col min="12" max="12" width="12.5703125" customWidth="1"/>
    <col min="13" max="13" width="15" customWidth="1"/>
    <col min="14" max="14" width="10.85546875" customWidth="1"/>
    <col min="15" max="15" width="10.85546875" style="142" customWidth="1"/>
    <col min="16" max="16" width="2.140625" customWidth="1"/>
    <col min="17" max="17" width="16.85546875" style="246" bestFit="1" customWidth="1"/>
    <col min="18" max="19" width="10.85546875" customWidth="1"/>
    <col min="20" max="20" width="12.140625" customWidth="1"/>
    <col min="21" max="22" width="10.85546875" customWidth="1"/>
    <col min="23" max="23" width="11.42578125" customWidth="1"/>
    <col min="24" max="24" width="15.140625" customWidth="1"/>
    <col min="25" max="28" width="10.85546875" customWidth="1"/>
  </cols>
  <sheetData>
    <row r="1" spans="1:28" s="547" customFormat="1" ht="7.5" customHeight="1" x14ac:dyDescent="0.2">
      <c r="D1" s="554"/>
      <c r="E1" s="555" t="s">
        <v>105</v>
      </c>
      <c r="F1" s="555" t="s">
        <v>106</v>
      </c>
      <c r="G1" s="555" t="s">
        <v>107</v>
      </c>
      <c r="H1" s="555" t="s">
        <v>108</v>
      </c>
      <c r="I1" s="555" t="s">
        <v>109</v>
      </c>
      <c r="J1" s="555" t="s">
        <v>403</v>
      </c>
      <c r="K1" s="555" t="s">
        <v>509</v>
      </c>
      <c r="L1" s="555" t="s">
        <v>553</v>
      </c>
      <c r="M1" s="555" t="s">
        <v>110</v>
      </c>
      <c r="N1" s="555" t="s">
        <v>2259</v>
      </c>
      <c r="O1" s="556"/>
      <c r="Q1" s="554"/>
      <c r="R1" s="555"/>
      <c r="S1" s="555"/>
      <c r="T1" s="555"/>
      <c r="U1" s="555"/>
      <c r="V1" s="555"/>
      <c r="W1" s="555"/>
      <c r="X1" s="555"/>
      <c r="Y1" s="555"/>
      <c r="Z1" s="555"/>
      <c r="AA1" s="555"/>
      <c r="AB1" s="555"/>
    </row>
    <row r="2" spans="1:28" s="547" customFormat="1" ht="12.75" customHeight="1" x14ac:dyDescent="0.2">
      <c r="D2" s="554"/>
      <c r="E2" s="555" t="s">
        <v>1114</v>
      </c>
      <c r="F2" s="555" t="s">
        <v>1115</v>
      </c>
      <c r="G2" s="555" t="s">
        <v>1116</v>
      </c>
      <c r="H2" s="555" t="s">
        <v>1117</v>
      </c>
      <c r="I2" s="555" t="s">
        <v>1118</v>
      </c>
      <c r="J2" s="555" t="s">
        <v>1119</v>
      </c>
      <c r="K2" s="555" t="s">
        <v>1120</v>
      </c>
      <c r="L2" s="555" t="s">
        <v>1650</v>
      </c>
      <c r="M2" s="555" t="s">
        <v>1121</v>
      </c>
      <c r="N2" s="555" t="s">
        <v>2197</v>
      </c>
      <c r="O2" s="556"/>
      <c r="Q2" s="554"/>
      <c r="R2" s="555"/>
      <c r="S2" s="555"/>
      <c r="T2" s="555"/>
      <c r="U2" s="555"/>
      <c r="V2" s="555"/>
      <c r="W2" s="555"/>
      <c r="X2" s="555"/>
      <c r="Y2" s="555"/>
      <c r="Z2" s="555"/>
      <c r="AA2" s="555"/>
      <c r="AB2" s="555"/>
    </row>
    <row r="3" spans="1:28" ht="12.75" customHeight="1" x14ac:dyDescent="0.2">
      <c r="D3" s="245"/>
      <c r="E3" s="555"/>
      <c r="F3" s="555"/>
      <c r="G3" s="555"/>
      <c r="H3" s="555"/>
      <c r="I3" s="555"/>
      <c r="J3" s="555"/>
      <c r="K3" s="555"/>
      <c r="L3" s="555"/>
      <c r="M3" s="555"/>
      <c r="N3" s="555"/>
      <c r="O3" s="556"/>
      <c r="Q3" s="245"/>
      <c r="R3" s="46"/>
      <c r="S3" s="46"/>
      <c r="T3" s="46"/>
      <c r="U3" s="46"/>
      <c r="V3" s="46"/>
      <c r="W3" s="46"/>
      <c r="X3" s="46"/>
      <c r="Y3" s="46"/>
      <c r="Z3" s="46"/>
      <c r="AA3" s="46"/>
      <c r="AB3" s="46"/>
    </row>
    <row r="4" spans="1:28" ht="12.75" customHeight="1" x14ac:dyDescent="0.2">
      <c r="D4" s="245"/>
      <c r="E4" s="555"/>
      <c r="F4" s="555"/>
      <c r="G4" s="555"/>
      <c r="H4" s="555"/>
      <c r="I4" s="555"/>
      <c r="J4" s="555"/>
      <c r="K4" s="555"/>
      <c r="L4" s="555"/>
      <c r="M4" s="555"/>
      <c r="N4" s="555"/>
      <c r="O4" s="556"/>
      <c r="Q4" s="245"/>
      <c r="R4" s="46"/>
      <c r="S4" s="46"/>
      <c r="T4" s="46"/>
      <c r="U4" s="46"/>
      <c r="V4" s="46"/>
      <c r="W4" s="46"/>
      <c r="X4" s="46"/>
      <c r="Y4" s="46"/>
      <c r="Z4" s="46"/>
      <c r="AA4" s="46"/>
      <c r="AB4" s="46"/>
    </row>
    <row r="5" spans="1:28" ht="51" x14ac:dyDescent="0.2">
      <c r="A5" t="s">
        <v>104</v>
      </c>
      <c r="B5" t="s">
        <v>866</v>
      </c>
      <c r="D5" s="145" t="str">
        <f>IF([1]RENAME!$H$3=1,B5,A5)</f>
        <v>CONSOLIDADO</v>
      </c>
      <c r="E5" s="542" t="str">
        <f>IF([1]RENAME!$H$3=1,E2,E1)</f>
        <v>Terrenos</v>
      </c>
      <c r="F5" s="145" t="str">
        <f>IF([1]RENAME!$H$3=1,F2,F1)</f>
        <v>Edifícios</v>
      </c>
      <c r="G5" s="145" t="str">
        <f>IF([1]RENAME!$H$3=1,G2,G1)</f>
        <v>Computadores e periféricos</v>
      </c>
      <c r="H5" s="145" t="str">
        <f>IF([1]RENAME!$H$3=1,H2,H1)</f>
        <v>Instalações</v>
      </c>
      <c r="I5" s="145" t="str">
        <f>IF([1]RENAME!$H$3=1,I2,I1)</f>
        <v>Veículos</v>
      </c>
      <c r="J5" s="145" t="str">
        <f>IF([1]RENAME!$H$3=1,J2,J1)</f>
        <v>Máquinas e equipamentos</v>
      </c>
      <c r="K5" s="145" t="str">
        <f>IF([1]RENAME!$H$3=1,K2,K1)</f>
        <v>Benfeitorias  em propriedade de terceiros</v>
      </c>
      <c r="L5" s="273" t="str">
        <f>IF([1]RENAME!$H$3=1,L2,L1)</f>
        <v>Móveis, utensílios e embalagens e outros</v>
      </c>
      <c r="M5" s="145" t="str">
        <f>IF([1]RENAME!$H$3=1,M2,M1)</f>
        <v>Imobilizado andamento</v>
      </c>
      <c r="N5" s="324" t="str">
        <f>IF([1]RENAME!$H$3=1,N2,N1)</f>
        <v>Intangível (Software e em andamento)</v>
      </c>
      <c r="O5" s="145" t="s">
        <v>112</v>
      </c>
      <c r="Q5" s="145" t="s">
        <v>104</v>
      </c>
      <c r="R5" s="542" t="str">
        <f>E5</f>
        <v>Terrenos</v>
      </c>
      <c r="S5" s="145" t="str">
        <f t="shared" ref="S5:Z5" si="0">F5</f>
        <v>Edifícios</v>
      </c>
      <c r="T5" s="145" t="str">
        <f t="shared" si="0"/>
        <v>Computadores e periféricos</v>
      </c>
      <c r="U5" s="145" t="str">
        <f t="shared" si="0"/>
        <v>Instalações</v>
      </c>
      <c r="V5" s="145" t="str">
        <f t="shared" si="0"/>
        <v>Veículos</v>
      </c>
      <c r="W5" s="145" t="str">
        <f t="shared" si="0"/>
        <v>Máquinas e equipamentos</v>
      </c>
      <c r="X5" s="145" t="str">
        <f t="shared" si="0"/>
        <v>Benfeitorias  em propriedade de terceiros</v>
      </c>
      <c r="Y5" s="273" t="str">
        <f t="shared" si="0"/>
        <v>Móveis, utensílios e embalagens e outros</v>
      </c>
      <c r="Z5" s="145" t="str">
        <f t="shared" si="0"/>
        <v>Imobilizado andamento</v>
      </c>
      <c r="AA5" s="145" t="s">
        <v>112</v>
      </c>
      <c r="AB5" s="324" t="str">
        <f>N5</f>
        <v>Intangível (Software e em andamento)</v>
      </c>
    </row>
    <row r="6" spans="1:28" ht="15" customHeight="1" outlineLevel="1" x14ac:dyDescent="0.2">
      <c r="A6" t="s">
        <v>3</v>
      </c>
      <c r="B6" t="s">
        <v>942</v>
      </c>
      <c r="D6" s="271" t="str">
        <f>IF([1]RENAME!$H$3=1,B6,A6)</f>
        <v>1T13</v>
      </c>
      <c r="E6" s="118">
        <v>0</v>
      </c>
      <c r="F6" s="118">
        <v>0</v>
      </c>
      <c r="G6" s="118">
        <v>498</v>
      </c>
      <c r="H6" s="118">
        <v>265</v>
      </c>
      <c r="I6" s="118">
        <v>2265</v>
      </c>
      <c r="J6" s="118">
        <v>646</v>
      </c>
      <c r="K6" s="118">
        <v>306</v>
      </c>
      <c r="L6" s="118">
        <v>186</v>
      </c>
      <c r="M6" s="118">
        <v>7832</v>
      </c>
      <c r="N6" s="325">
        <v>0</v>
      </c>
      <c r="O6" s="121">
        <f t="shared" ref="O6:O21" si="1">+SUM(E6:N6)</f>
        <v>11998</v>
      </c>
      <c r="Q6" s="270" t="str">
        <f>IF([1]RENAME!$H$3=0,A59,TEXT(A59,"[$-en-US]mmm-aa;@"))</f>
        <v>2T26</v>
      </c>
      <c r="R6" s="118">
        <v>0</v>
      </c>
      <c r="S6" s="118">
        <v>0</v>
      </c>
      <c r="T6" s="118">
        <v>0</v>
      </c>
      <c r="U6" s="118">
        <v>0</v>
      </c>
      <c r="V6" s="118">
        <v>0</v>
      </c>
      <c r="W6" s="118">
        <v>0</v>
      </c>
      <c r="X6" s="118">
        <v>0</v>
      </c>
      <c r="Y6" s="118">
        <v>0</v>
      </c>
      <c r="Z6" s="118">
        <v>0</v>
      </c>
      <c r="AA6" s="118">
        <v>0</v>
      </c>
      <c r="AB6" s="325"/>
    </row>
    <row r="7" spans="1:28" ht="15" customHeight="1" outlineLevel="1" x14ac:dyDescent="0.2">
      <c r="A7" t="s">
        <v>2</v>
      </c>
      <c r="B7" t="s">
        <v>943</v>
      </c>
      <c r="D7" s="271" t="str">
        <f>IF([1]RENAME!$H$3=1,B7,A7)</f>
        <v>2T13</v>
      </c>
      <c r="E7" s="118">
        <v>0</v>
      </c>
      <c r="F7" s="118">
        <v>0</v>
      </c>
      <c r="G7" s="118">
        <v>1176</v>
      </c>
      <c r="H7" s="118">
        <v>772</v>
      </c>
      <c r="I7" s="118">
        <v>1462</v>
      </c>
      <c r="J7" s="118">
        <v>443</v>
      </c>
      <c r="K7" s="118">
        <v>131</v>
      </c>
      <c r="L7" s="118">
        <v>66</v>
      </c>
      <c r="M7" s="118">
        <v>3691</v>
      </c>
      <c r="N7" s="325">
        <v>0</v>
      </c>
      <c r="O7" s="121">
        <f t="shared" si="1"/>
        <v>7741</v>
      </c>
      <c r="Q7" s="270">
        <f>IF([1]RENAME!$H$3=0,A60,TEXT(A60,"[$-en-US]mmm-aa;@"))</f>
        <v>41426</v>
      </c>
      <c r="R7" s="118">
        <v>0</v>
      </c>
      <c r="S7" s="118">
        <v>0</v>
      </c>
      <c r="T7" s="118">
        <v>0</v>
      </c>
      <c r="U7" s="118">
        <v>0</v>
      </c>
      <c r="V7" s="118">
        <v>0</v>
      </c>
      <c r="W7" s="118">
        <v>0</v>
      </c>
      <c r="X7" s="118">
        <v>0</v>
      </c>
      <c r="Y7" s="118">
        <v>0</v>
      </c>
      <c r="Z7" s="118">
        <v>0</v>
      </c>
      <c r="AA7" s="118">
        <v>0</v>
      </c>
      <c r="AB7" s="325"/>
    </row>
    <row r="8" spans="1:28" ht="15" customHeight="1" outlineLevel="1" x14ac:dyDescent="0.2">
      <c r="A8" t="s">
        <v>1</v>
      </c>
      <c r="B8" t="s">
        <v>944</v>
      </c>
      <c r="D8" s="271" t="str">
        <f>IF([1]RENAME!$H$3=1,B8,A8)</f>
        <v>3T13</v>
      </c>
      <c r="E8" s="118">
        <v>6742</v>
      </c>
      <c r="F8" s="118">
        <v>34</v>
      </c>
      <c r="G8" s="118">
        <v>994</v>
      </c>
      <c r="H8" s="118">
        <v>632</v>
      </c>
      <c r="I8" s="118">
        <v>185</v>
      </c>
      <c r="J8" s="118">
        <v>351</v>
      </c>
      <c r="K8" s="118">
        <v>1221</v>
      </c>
      <c r="L8" s="118">
        <v>112</v>
      </c>
      <c r="M8" s="118">
        <v>5978</v>
      </c>
      <c r="N8" s="325">
        <v>0</v>
      </c>
      <c r="O8" s="121">
        <f t="shared" si="1"/>
        <v>16249</v>
      </c>
      <c r="Q8" s="270">
        <f>IF([1]RENAME!$H$3=0,A61,TEXT(A61,"[$-en-US]mmm-aa;@"))</f>
        <v>41518</v>
      </c>
      <c r="R8" s="118">
        <v>0</v>
      </c>
      <c r="S8" s="118">
        <v>0</v>
      </c>
      <c r="T8" s="118">
        <v>0</v>
      </c>
      <c r="U8" s="118">
        <v>0</v>
      </c>
      <c r="V8" s="118">
        <v>0</v>
      </c>
      <c r="W8" s="118">
        <v>0</v>
      </c>
      <c r="X8" s="118">
        <v>0</v>
      </c>
      <c r="Y8" s="118">
        <v>0</v>
      </c>
      <c r="Z8" s="118">
        <v>0</v>
      </c>
      <c r="AA8" s="118">
        <v>0</v>
      </c>
      <c r="AB8" s="325"/>
    </row>
    <row r="9" spans="1:28" ht="15" customHeight="1" outlineLevel="1" x14ac:dyDescent="0.2">
      <c r="A9" t="s">
        <v>0</v>
      </c>
      <c r="B9" t="s">
        <v>945</v>
      </c>
      <c r="D9" s="271" t="str">
        <f>IF([1]RENAME!$H$3=1,B9,A9)</f>
        <v>4T13</v>
      </c>
      <c r="E9" s="118">
        <v>1499.7803700000004</v>
      </c>
      <c r="F9" s="118">
        <v>0.2</v>
      </c>
      <c r="G9" s="118">
        <v>505.71554999999989</v>
      </c>
      <c r="H9" s="118">
        <v>26</v>
      </c>
      <c r="I9" s="118">
        <v>48.193629999999999</v>
      </c>
      <c r="J9" s="118">
        <v>40</v>
      </c>
      <c r="K9" s="118">
        <v>451</v>
      </c>
      <c r="L9" s="118">
        <v>195</v>
      </c>
      <c r="M9" s="118">
        <v>1089</v>
      </c>
      <c r="N9" s="325">
        <v>0</v>
      </c>
      <c r="O9" s="121">
        <f t="shared" si="1"/>
        <v>3854.8895500000003</v>
      </c>
      <c r="Q9" s="270">
        <f>IF([1]RENAME!$H$3=0,A62,TEXT(A62,"[$-en-US]mmm-aa;@"))</f>
        <v>41609</v>
      </c>
      <c r="R9" s="118">
        <v>0</v>
      </c>
      <c r="S9" s="118">
        <v>0</v>
      </c>
      <c r="T9" s="118">
        <v>0</v>
      </c>
      <c r="U9" s="118">
        <v>0</v>
      </c>
      <c r="V9" s="118">
        <v>0</v>
      </c>
      <c r="W9" s="118">
        <v>0</v>
      </c>
      <c r="X9" s="118">
        <v>0</v>
      </c>
      <c r="Y9" s="118">
        <v>0</v>
      </c>
      <c r="Z9" s="118">
        <v>0</v>
      </c>
      <c r="AA9" s="118">
        <v>0</v>
      </c>
      <c r="AB9" s="325"/>
    </row>
    <row r="10" spans="1:28" ht="15" customHeight="1" outlineLevel="1" x14ac:dyDescent="0.2">
      <c r="A10" t="s">
        <v>45</v>
      </c>
      <c r="B10" t="s">
        <v>946</v>
      </c>
      <c r="D10" s="271" t="str">
        <f>IF([1]RENAME!$H$3=1,B10,A10)</f>
        <v>1T14</v>
      </c>
      <c r="E10" s="118">
        <v>0</v>
      </c>
      <c r="F10" s="118">
        <v>0</v>
      </c>
      <c r="G10" s="118">
        <v>281</v>
      </c>
      <c r="H10" s="118">
        <v>140</v>
      </c>
      <c r="I10" s="118">
        <v>181</v>
      </c>
      <c r="J10" s="118">
        <v>179</v>
      </c>
      <c r="K10" s="118">
        <v>201</v>
      </c>
      <c r="L10" s="118">
        <v>91</v>
      </c>
      <c r="M10" s="118">
        <v>3880</v>
      </c>
      <c r="N10" s="325">
        <v>0</v>
      </c>
      <c r="O10" s="121">
        <f t="shared" si="1"/>
        <v>4953</v>
      </c>
      <c r="Q10" s="270">
        <f>IF([1]RENAME!$H$3=0,A63,TEXT(A63,"[$-en-US]mmm-aa;@"))</f>
        <v>41699</v>
      </c>
      <c r="R10" s="118">
        <v>0</v>
      </c>
      <c r="S10" s="118">
        <v>0</v>
      </c>
      <c r="T10" s="118">
        <v>0</v>
      </c>
      <c r="U10" s="118">
        <v>0</v>
      </c>
      <c r="V10" s="118">
        <v>0</v>
      </c>
      <c r="W10" s="118">
        <v>0</v>
      </c>
      <c r="X10" s="118">
        <v>0</v>
      </c>
      <c r="Y10" s="118">
        <v>0</v>
      </c>
      <c r="Z10" s="118">
        <v>0</v>
      </c>
      <c r="AA10" s="118">
        <v>0</v>
      </c>
      <c r="AB10" s="325"/>
    </row>
    <row r="11" spans="1:28" ht="15" customHeight="1" outlineLevel="1" x14ac:dyDescent="0.2">
      <c r="A11" t="s">
        <v>55</v>
      </c>
      <c r="B11" t="s">
        <v>947</v>
      </c>
      <c r="D11" s="271" t="str">
        <f>IF([1]RENAME!$H$3=1,B11,A11)</f>
        <v>2T14</v>
      </c>
      <c r="E11" s="118">
        <v>0</v>
      </c>
      <c r="F11" s="118">
        <v>0</v>
      </c>
      <c r="G11" s="118">
        <v>57</v>
      </c>
      <c r="H11" s="118">
        <v>36</v>
      </c>
      <c r="I11" s="118">
        <v>56</v>
      </c>
      <c r="J11" s="118">
        <v>-33</v>
      </c>
      <c r="K11" s="118">
        <v>145</v>
      </c>
      <c r="L11" s="118">
        <v>30</v>
      </c>
      <c r="M11" s="118">
        <v>5933</v>
      </c>
      <c r="N11" s="325">
        <v>0</v>
      </c>
      <c r="O11" s="121">
        <f t="shared" si="1"/>
        <v>6224</v>
      </c>
      <c r="Q11" s="270">
        <f>IF([1]RENAME!$H$3=0,A64,TEXT(A64,"[$-en-US]mmm-aa;@"))</f>
        <v>41791</v>
      </c>
      <c r="R11" s="118">
        <v>0</v>
      </c>
      <c r="S11" s="118">
        <v>0</v>
      </c>
      <c r="T11" s="118">
        <v>0</v>
      </c>
      <c r="U11" s="118">
        <v>0</v>
      </c>
      <c r="V11" s="118">
        <v>0</v>
      </c>
      <c r="W11" s="118">
        <v>0</v>
      </c>
      <c r="X11" s="118">
        <v>0</v>
      </c>
      <c r="Y11" s="118">
        <v>0</v>
      </c>
      <c r="Z11" s="118">
        <v>0</v>
      </c>
      <c r="AA11" s="118">
        <v>0</v>
      </c>
      <c r="AB11" s="325"/>
    </row>
    <row r="12" spans="1:28" ht="15" customHeight="1" outlineLevel="1" x14ac:dyDescent="0.2">
      <c r="A12" t="s">
        <v>71</v>
      </c>
      <c r="B12" t="s">
        <v>948</v>
      </c>
      <c r="D12" s="271" t="str">
        <f>IF([1]RENAME!$H$3=1,B12,A12)</f>
        <v>3T14</v>
      </c>
      <c r="E12" s="118">
        <v>640</v>
      </c>
      <c r="F12" s="118">
        <v>0</v>
      </c>
      <c r="G12" s="118">
        <v>337</v>
      </c>
      <c r="H12" s="118">
        <v>58</v>
      </c>
      <c r="I12" s="118">
        <v>204</v>
      </c>
      <c r="J12" s="118">
        <v>11</v>
      </c>
      <c r="K12" s="118">
        <v>12</v>
      </c>
      <c r="L12" s="118">
        <v>27</v>
      </c>
      <c r="M12" s="118">
        <v>5715</v>
      </c>
      <c r="N12" s="325">
        <v>0</v>
      </c>
      <c r="O12" s="121">
        <f t="shared" si="1"/>
        <v>7004</v>
      </c>
      <c r="Q12" s="270">
        <f>IF([1]RENAME!$H$3=0,A65,TEXT(A65,"[$-en-US]mmm-aa;@"))</f>
        <v>41883</v>
      </c>
      <c r="R12" s="118">
        <v>0</v>
      </c>
      <c r="S12" s="118">
        <v>0</v>
      </c>
      <c r="T12" s="118">
        <v>0</v>
      </c>
      <c r="U12" s="118">
        <v>0</v>
      </c>
      <c r="V12" s="118">
        <v>0</v>
      </c>
      <c r="W12" s="118">
        <v>0</v>
      </c>
      <c r="X12" s="118">
        <v>0</v>
      </c>
      <c r="Y12" s="118">
        <v>0</v>
      </c>
      <c r="Z12" s="118">
        <v>0</v>
      </c>
      <c r="AA12" s="118">
        <v>0</v>
      </c>
      <c r="AB12" s="325"/>
    </row>
    <row r="13" spans="1:28" ht="15" customHeight="1" outlineLevel="1" x14ac:dyDescent="0.2">
      <c r="A13" t="s">
        <v>77</v>
      </c>
      <c r="B13" t="s">
        <v>949</v>
      </c>
      <c r="D13" s="271" t="str">
        <f>IF([1]RENAME!$H$3=1,B13,A13)</f>
        <v>4T14</v>
      </c>
      <c r="E13" s="118">
        <v>0</v>
      </c>
      <c r="F13" s="118">
        <v>0</v>
      </c>
      <c r="G13" s="118">
        <v>109</v>
      </c>
      <c r="H13" s="118">
        <v>12</v>
      </c>
      <c r="I13" s="118">
        <v>545</v>
      </c>
      <c r="J13" s="118">
        <v>9</v>
      </c>
      <c r="K13" s="118">
        <v>70</v>
      </c>
      <c r="L13" s="118">
        <v>74</v>
      </c>
      <c r="M13" s="118">
        <v>20813</v>
      </c>
      <c r="N13" s="325">
        <v>0</v>
      </c>
      <c r="O13" s="121">
        <f t="shared" si="1"/>
        <v>21632</v>
      </c>
      <c r="Q13" s="270">
        <f>IF([1]RENAME!$H$3=0,A66,TEXT(A66,"[$-en-US]mmm-aa;@"))</f>
        <v>41974</v>
      </c>
      <c r="R13" s="118">
        <v>38296</v>
      </c>
      <c r="S13" s="118">
        <v>17683</v>
      </c>
      <c r="T13" s="118">
        <v>4850</v>
      </c>
      <c r="U13" s="118">
        <v>13253</v>
      </c>
      <c r="V13" s="118">
        <v>45947</v>
      </c>
      <c r="W13" s="118">
        <v>9115</v>
      </c>
      <c r="X13" s="118">
        <v>19732</v>
      </c>
      <c r="Y13" s="118">
        <v>3875</v>
      </c>
      <c r="Z13" s="118">
        <v>36572</v>
      </c>
      <c r="AA13" s="121">
        <f t="shared" ref="AA13:AA24" si="2">+SUM(R13:Z13)</f>
        <v>189323</v>
      </c>
      <c r="AB13" s="325"/>
    </row>
    <row r="14" spans="1:28" ht="15" customHeight="1" outlineLevel="1" x14ac:dyDescent="0.2">
      <c r="A14" t="s">
        <v>87</v>
      </c>
      <c r="B14" t="s">
        <v>950</v>
      </c>
      <c r="D14" s="271" t="str">
        <f>IF([1]RENAME!$H$3=1,B14,A14)</f>
        <v>1T15</v>
      </c>
      <c r="E14" s="118">
        <v>0</v>
      </c>
      <c r="F14" s="118">
        <v>14</v>
      </c>
      <c r="G14" s="118">
        <v>98</v>
      </c>
      <c r="H14" s="118">
        <v>49</v>
      </c>
      <c r="I14" s="118">
        <v>2970</v>
      </c>
      <c r="J14" s="118">
        <v>4251</v>
      </c>
      <c r="K14" s="118">
        <v>52</v>
      </c>
      <c r="L14" s="118">
        <v>53</v>
      </c>
      <c r="M14" s="118">
        <v>4075</v>
      </c>
      <c r="N14" s="325">
        <v>0</v>
      </c>
      <c r="O14" s="121">
        <f t="shared" si="1"/>
        <v>11562</v>
      </c>
      <c r="Q14" s="270">
        <f>IF([1]RENAME!$H$3=0,A67,TEXT(A67,"[$-en-US]mmm-aa;@"))</f>
        <v>42064</v>
      </c>
      <c r="R14" s="118">
        <v>38296</v>
      </c>
      <c r="S14" s="118">
        <v>17476</v>
      </c>
      <c r="T14" s="118">
        <v>4936</v>
      </c>
      <c r="U14" s="118">
        <v>12982</v>
      </c>
      <c r="V14" s="118">
        <v>47449</v>
      </c>
      <c r="W14" s="118">
        <v>13289</v>
      </c>
      <c r="X14" s="118">
        <v>17647</v>
      </c>
      <c r="Y14" s="118">
        <v>3960</v>
      </c>
      <c r="Z14" s="118">
        <v>31331</v>
      </c>
      <c r="AA14" s="121">
        <f t="shared" si="2"/>
        <v>187366</v>
      </c>
      <c r="AB14" s="325"/>
    </row>
    <row r="15" spans="1:28" ht="15" customHeight="1" outlineLevel="1" x14ac:dyDescent="0.2">
      <c r="A15" t="s">
        <v>88</v>
      </c>
      <c r="B15" t="s">
        <v>951</v>
      </c>
      <c r="D15" s="271" t="str">
        <f>IF([1]RENAME!$H$3=1,B15,A15)</f>
        <v>2T15</v>
      </c>
      <c r="E15" s="118">
        <v>7400</v>
      </c>
      <c r="F15" s="118">
        <v>0</v>
      </c>
      <c r="G15" s="118">
        <v>511</v>
      </c>
      <c r="H15" s="118">
        <v>12</v>
      </c>
      <c r="I15" s="118">
        <v>473</v>
      </c>
      <c r="J15" s="118">
        <v>-4213</v>
      </c>
      <c r="K15" s="118">
        <v>237</v>
      </c>
      <c r="L15" s="118">
        <v>4898</v>
      </c>
      <c r="M15" s="118">
        <v>8401</v>
      </c>
      <c r="N15" s="325">
        <v>0</v>
      </c>
      <c r="O15" s="121">
        <f t="shared" si="1"/>
        <v>17719</v>
      </c>
      <c r="Q15" s="270">
        <f>IF([1]RENAME!$H$3=0,A68,TEXT(A68,"[$-en-US]mmm-aa;@"))</f>
        <v>42156</v>
      </c>
      <c r="R15" s="118">
        <v>45696</v>
      </c>
      <c r="S15" s="118">
        <v>17255</v>
      </c>
      <c r="T15" s="118">
        <v>5033</v>
      </c>
      <c r="U15" s="118">
        <v>9358</v>
      </c>
      <c r="V15" s="118">
        <v>49467</v>
      </c>
      <c r="W15" s="118">
        <v>7595</v>
      </c>
      <c r="X15" s="118">
        <v>17399</v>
      </c>
      <c r="Y15" s="118">
        <v>7545</v>
      </c>
      <c r="Z15" s="118">
        <v>37757</v>
      </c>
      <c r="AA15" s="121">
        <f t="shared" si="2"/>
        <v>197105</v>
      </c>
      <c r="AB15" s="325"/>
    </row>
    <row r="16" spans="1:28" ht="15" customHeight="1" outlineLevel="1" x14ac:dyDescent="0.2">
      <c r="A16" t="s">
        <v>378</v>
      </c>
      <c r="B16" t="s">
        <v>952</v>
      </c>
      <c r="D16" s="271" t="str">
        <f>IF([1]RENAME!$H$3=1,B16,A16)</f>
        <v>3T15</v>
      </c>
      <c r="E16" s="118">
        <v>10707</v>
      </c>
      <c r="F16" s="118">
        <v>0</v>
      </c>
      <c r="G16" s="118">
        <v>178</v>
      </c>
      <c r="H16" s="118">
        <v>276</v>
      </c>
      <c r="I16" s="118">
        <v>374</v>
      </c>
      <c r="J16" s="118">
        <v>78</v>
      </c>
      <c r="K16" s="118">
        <v>253</v>
      </c>
      <c r="L16" s="118">
        <v>3153</v>
      </c>
      <c r="M16" s="118">
        <v>9248</v>
      </c>
      <c r="N16" s="325">
        <v>0</v>
      </c>
      <c r="O16" s="121">
        <f t="shared" si="1"/>
        <v>24267</v>
      </c>
      <c r="Q16" s="270">
        <f>IF([1]RENAME!$H$3=0,A69,TEXT(A69,"[$-en-US]mmm-aa;@"))</f>
        <v>42248</v>
      </c>
      <c r="R16" s="118">
        <v>56403</v>
      </c>
      <c r="S16" s="118">
        <v>17033</v>
      </c>
      <c r="T16" s="118">
        <v>5538</v>
      </c>
      <c r="U16" s="118">
        <v>9226</v>
      </c>
      <c r="V16" s="118">
        <v>49161</v>
      </c>
      <c r="W16" s="118">
        <v>7214</v>
      </c>
      <c r="X16" s="118">
        <v>15291</v>
      </c>
      <c r="Y16" s="118">
        <v>11042</v>
      </c>
      <c r="Z16" s="118">
        <v>43284</v>
      </c>
      <c r="AA16" s="121">
        <f t="shared" si="2"/>
        <v>214192</v>
      </c>
      <c r="AB16" s="325"/>
    </row>
    <row r="17" spans="1:28" ht="15" customHeight="1" outlineLevel="1" x14ac:dyDescent="0.2">
      <c r="A17" t="s">
        <v>405</v>
      </c>
      <c r="B17" t="s">
        <v>953</v>
      </c>
      <c r="D17" s="271" t="str">
        <f>IF([1]RENAME!$H$3=1,B17,A17)</f>
        <v>4T15</v>
      </c>
      <c r="E17" s="118">
        <v>0</v>
      </c>
      <c r="F17" s="118">
        <v>0</v>
      </c>
      <c r="G17" s="118">
        <v>157</v>
      </c>
      <c r="H17" s="118">
        <v>508</v>
      </c>
      <c r="I17" s="118">
        <v>150</v>
      </c>
      <c r="J17" s="118">
        <v>41</v>
      </c>
      <c r="K17" s="118">
        <v>245</v>
      </c>
      <c r="L17" s="118">
        <v>6329</v>
      </c>
      <c r="M17" s="118">
        <v>7500</v>
      </c>
      <c r="N17" s="325">
        <v>0</v>
      </c>
      <c r="O17" s="121">
        <f t="shared" si="1"/>
        <v>14930</v>
      </c>
      <c r="Q17" s="270">
        <f>IF([1]RENAME!$H$3=0,A70,TEXT(A70,"[$-en-US]mmm-aa;@"))</f>
        <v>42339</v>
      </c>
      <c r="R17" s="118">
        <v>56403</v>
      </c>
      <c r="S17" s="118">
        <v>16812</v>
      </c>
      <c r="T17" s="118">
        <v>6035</v>
      </c>
      <c r="U17" s="118">
        <v>10925</v>
      </c>
      <c r="V17" s="118">
        <v>47504</v>
      </c>
      <c r="W17" s="118">
        <v>6930</v>
      </c>
      <c r="X17" s="118">
        <v>15152</v>
      </c>
      <c r="Y17" s="118">
        <v>16353</v>
      </c>
      <c r="Z17" s="118">
        <v>44998</v>
      </c>
      <c r="AA17" s="121">
        <f t="shared" si="2"/>
        <v>221112</v>
      </c>
      <c r="AB17" s="325"/>
    </row>
    <row r="18" spans="1:28" ht="15" customHeight="1" outlineLevel="1" x14ac:dyDescent="0.2">
      <c r="A18" t="s">
        <v>466</v>
      </c>
      <c r="B18" t="s">
        <v>954</v>
      </c>
      <c r="D18" s="271" t="str">
        <f>IF([1]RENAME!$H$3=1,B18,A18)</f>
        <v>1T16</v>
      </c>
      <c r="E18" s="118">
        <v>0</v>
      </c>
      <c r="F18" s="118">
        <v>0</v>
      </c>
      <c r="G18" s="118">
        <v>343</v>
      </c>
      <c r="H18" s="118">
        <v>111</v>
      </c>
      <c r="I18" s="118">
        <v>104</v>
      </c>
      <c r="J18" s="118">
        <v>111</v>
      </c>
      <c r="K18" s="118">
        <v>532</v>
      </c>
      <c r="L18" s="118">
        <v>2417</v>
      </c>
      <c r="M18" s="118">
        <v>6887</v>
      </c>
      <c r="N18" s="325">
        <v>0</v>
      </c>
      <c r="O18" s="121">
        <f t="shared" si="1"/>
        <v>10505</v>
      </c>
      <c r="Q18" s="270">
        <f>IF([1]RENAME!$H$3=0,A71,TEXT(A71,"[$-en-US]mmm-aa;@"))</f>
        <v>42430</v>
      </c>
      <c r="R18" s="118">
        <v>56403</v>
      </c>
      <c r="S18" s="118">
        <v>19482</v>
      </c>
      <c r="T18" s="118">
        <v>5795</v>
      </c>
      <c r="U18" s="118">
        <v>9441</v>
      </c>
      <c r="V18" s="118">
        <v>45210</v>
      </c>
      <c r="W18" s="118">
        <v>6516</v>
      </c>
      <c r="X18" s="118">
        <v>19601</v>
      </c>
      <c r="Y18" s="118">
        <v>17384</v>
      </c>
      <c r="Z18" s="118">
        <v>45166</v>
      </c>
      <c r="AA18" s="121">
        <f t="shared" si="2"/>
        <v>224998</v>
      </c>
      <c r="AB18" s="325"/>
    </row>
    <row r="19" spans="1:28" ht="15" customHeight="1" outlineLevel="1" x14ac:dyDescent="0.2">
      <c r="A19" t="s">
        <v>500</v>
      </c>
      <c r="B19" t="s">
        <v>951</v>
      </c>
      <c r="D19" s="271" t="str">
        <f>IF([1]RENAME!$H$3=1,B19,A19)</f>
        <v>2T16</v>
      </c>
      <c r="E19" s="118">
        <v>256</v>
      </c>
      <c r="F19" s="118">
        <v>1557</v>
      </c>
      <c r="G19" s="118">
        <v>217</v>
      </c>
      <c r="H19" s="118">
        <v>586</v>
      </c>
      <c r="I19" s="118">
        <v>33</v>
      </c>
      <c r="J19" s="118">
        <v>707</v>
      </c>
      <c r="K19" s="118">
        <v>1153</v>
      </c>
      <c r="L19" s="118">
        <v>1407</v>
      </c>
      <c r="M19" s="118">
        <v>4420</v>
      </c>
      <c r="N19" s="325">
        <v>0</v>
      </c>
      <c r="O19" s="121">
        <f t="shared" si="1"/>
        <v>10336</v>
      </c>
      <c r="Q19" s="270">
        <f>IF([1]RENAME!$H$3=0,A72,TEXT(A72,"[$-en-US]mmm-aa;@"))</f>
        <v>42522</v>
      </c>
      <c r="R19" s="118">
        <v>56659</v>
      </c>
      <c r="S19" s="118">
        <v>35166</v>
      </c>
      <c r="T19" s="118">
        <v>6225</v>
      </c>
      <c r="U19" s="118">
        <v>11025</v>
      </c>
      <c r="V19" s="118">
        <v>42807</v>
      </c>
      <c r="W19" s="118">
        <v>7058</v>
      </c>
      <c r="X19" s="118">
        <v>14906</v>
      </c>
      <c r="Y19" s="118">
        <v>17515</v>
      </c>
      <c r="Z19" s="118">
        <v>32986</v>
      </c>
      <c r="AA19" s="121">
        <f t="shared" si="2"/>
        <v>224347</v>
      </c>
      <c r="AB19" s="325"/>
    </row>
    <row r="20" spans="1:28" ht="15" customHeight="1" outlineLevel="1" x14ac:dyDescent="0.2">
      <c r="A20" t="s">
        <v>510</v>
      </c>
      <c r="B20" t="s">
        <v>847</v>
      </c>
      <c r="D20" s="271" t="str">
        <f>IF([1]RENAME!$H$3=1,B20,A20)</f>
        <v>3T16</v>
      </c>
      <c r="E20" s="118">
        <v>434</v>
      </c>
      <c r="F20" s="118">
        <v>157</v>
      </c>
      <c r="G20" s="118">
        <v>92</v>
      </c>
      <c r="H20" s="118">
        <v>545</v>
      </c>
      <c r="I20" s="118">
        <v>0</v>
      </c>
      <c r="J20" s="118">
        <v>68</v>
      </c>
      <c r="K20" s="118">
        <v>527</v>
      </c>
      <c r="L20" s="118">
        <v>46</v>
      </c>
      <c r="M20" s="118">
        <v>2124</v>
      </c>
      <c r="N20" s="325">
        <v>0</v>
      </c>
      <c r="O20" s="121">
        <f t="shared" si="1"/>
        <v>3993</v>
      </c>
      <c r="Q20" s="270">
        <f>IF([1]RENAME!$H$3=0,A73,TEXT(A73,"[$-en-US]mmm-aa;@"))</f>
        <v>42614</v>
      </c>
      <c r="R20" s="118">
        <v>57093</v>
      </c>
      <c r="S20" s="118">
        <v>35119</v>
      </c>
      <c r="T20" s="118">
        <v>5961</v>
      </c>
      <c r="U20" s="118">
        <v>11648</v>
      </c>
      <c r="V20" s="118">
        <v>40747</v>
      </c>
      <c r="W20" s="118">
        <v>6757</v>
      </c>
      <c r="X20" s="118">
        <v>13961</v>
      </c>
      <c r="Y20" s="118">
        <v>16037</v>
      </c>
      <c r="Z20" s="118">
        <v>34922</v>
      </c>
      <c r="AA20" s="121">
        <f t="shared" si="2"/>
        <v>222245</v>
      </c>
      <c r="AB20" s="325"/>
    </row>
    <row r="21" spans="1:28" ht="15" customHeight="1" outlineLevel="1" x14ac:dyDescent="0.2">
      <c r="A21" t="s">
        <v>538</v>
      </c>
      <c r="B21" t="s">
        <v>848</v>
      </c>
      <c r="D21" s="271" t="str">
        <f>IF([1]RENAME!$H$3=1,B21,A21)</f>
        <v>4T16</v>
      </c>
      <c r="E21" s="118">
        <v>0</v>
      </c>
      <c r="F21" s="118">
        <v>1094</v>
      </c>
      <c r="G21" s="118">
        <v>96</v>
      </c>
      <c r="H21" s="118">
        <v>613</v>
      </c>
      <c r="I21" s="118">
        <v>0</v>
      </c>
      <c r="J21" s="118">
        <v>1526</v>
      </c>
      <c r="K21" s="118">
        <v>1892</v>
      </c>
      <c r="L21" s="118">
        <v>102</v>
      </c>
      <c r="M21" s="118">
        <v>979</v>
      </c>
      <c r="N21" s="325">
        <v>0</v>
      </c>
      <c r="O21" s="121">
        <f t="shared" si="1"/>
        <v>6302</v>
      </c>
      <c r="Q21" s="270">
        <f>IF([1]RENAME!$H$3=0,A74,TEXT(A74,"[$-en-US]mmm-aa;@"))</f>
        <v>42705</v>
      </c>
      <c r="R21" s="118">
        <v>49661</v>
      </c>
      <c r="S21" s="118">
        <v>47649</v>
      </c>
      <c r="T21" s="118">
        <v>5501</v>
      </c>
      <c r="U21" s="118">
        <v>12311</v>
      </c>
      <c r="V21" s="118">
        <v>38921</v>
      </c>
      <c r="W21" s="118">
        <v>7753</v>
      </c>
      <c r="X21" s="118">
        <v>15313</v>
      </c>
      <c r="Y21" s="118">
        <v>14809</v>
      </c>
      <c r="Z21" s="118">
        <v>22222</v>
      </c>
      <c r="AA21" s="121">
        <f t="shared" si="2"/>
        <v>214140</v>
      </c>
      <c r="AB21" s="325">
        <v>12897</v>
      </c>
    </row>
    <row r="22" spans="1:28" ht="15" customHeight="1" x14ac:dyDescent="0.2">
      <c r="A22" t="s">
        <v>567</v>
      </c>
      <c r="B22" t="s">
        <v>849</v>
      </c>
      <c r="D22" s="271" t="str">
        <f>IF([1]RENAME!$H$3=1,B22,A22)</f>
        <v>1T17</v>
      </c>
      <c r="E22" s="118">
        <v>946</v>
      </c>
      <c r="F22" s="118">
        <v>1</v>
      </c>
      <c r="G22" s="118">
        <v>85</v>
      </c>
      <c r="H22" s="118">
        <v>51</v>
      </c>
      <c r="I22" s="118">
        <v>3185</v>
      </c>
      <c r="J22" s="118">
        <v>161</v>
      </c>
      <c r="K22" s="118">
        <v>936</v>
      </c>
      <c r="L22" s="118">
        <v>86</v>
      </c>
      <c r="M22" s="118">
        <v>125</v>
      </c>
      <c r="N22" s="325">
        <v>1244</v>
      </c>
      <c r="O22" s="121">
        <f t="shared" ref="O22:O27" si="3">+SUM(E22:N22)</f>
        <v>6820</v>
      </c>
      <c r="Q22" s="270">
        <f>IF([1]RENAME!$H$3=0,A75,TEXT(A75,"[$-en-US]mmm-aa;@"))</f>
        <v>42795</v>
      </c>
      <c r="R22" s="118">
        <v>50607</v>
      </c>
      <c r="S22" s="118">
        <v>48699</v>
      </c>
      <c r="T22" s="118">
        <v>5070</v>
      </c>
      <c r="U22" s="118">
        <v>11967</v>
      </c>
      <c r="V22" s="118">
        <v>41259</v>
      </c>
      <c r="W22" s="118">
        <v>7490</v>
      </c>
      <c r="X22" s="118">
        <v>14870</v>
      </c>
      <c r="Y22" s="118">
        <v>13450</v>
      </c>
      <c r="Z22" s="118">
        <v>20749</v>
      </c>
      <c r="AA22" s="121">
        <f t="shared" si="2"/>
        <v>214161</v>
      </c>
      <c r="AB22" s="325">
        <v>12969</v>
      </c>
    </row>
    <row r="23" spans="1:28" ht="15" customHeight="1" x14ac:dyDescent="0.2">
      <c r="A23" t="s">
        <v>575</v>
      </c>
      <c r="B23" t="s">
        <v>850</v>
      </c>
      <c r="D23" s="271" t="str">
        <f>IF([1]RENAME!$H$3=1,B23,A23)</f>
        <v>2T17</v>
      </c>
      <c r="E23" s="118">
        <v>0</v>
      </c>
      <c r="F23" s="118">
        <v>27</v>
      </c>
      <c r="G23" s="118">
        <v>100</v>
      </c>
      <c r="H23" s="118">
        <v>185</v>
      </c>
      <c r="I23" s="118">
        <v>3864</v>
      </c>
      <c r="J23" s="118">
        <v>321</v>
      </c>
      <c r="K23" s="118">
        <v>2438</v>
      </c>
      <c r="L23" s="118">
        <v>366</v>
      </c>
      <c r="M23" s="118">
        <v>253</v>
      </c>
      <c r="N23" s="325">
        <v>878</v>
      </c>
      <c r="O23" s="121">
        <f t="shared" si="3"/>
        <v>8432</v>
      </c>
      <c r="Q23" s="270">
        <f>IF([1]RENAME!$H$3=0,A76,TEXT(A76,"[$-en-US]mmm-aa;@"))</f>
        <v>42887</v>
      </c>
      <c r="R23" s="118">
        <v>50607</v>
      </c>
      <c r="S23" s="118">
        <v>48166</v>
      </c>
      <c r="T23" s="118">
        <v>4654</v>
      </c>
      <c r="U23" s="118">
        <v>11686</v>
      </c>
      <c r="V23" s="118">
        <v>44026</v>
      </c>
      <c r="W23" s="118">
        <v>7397</v>
      </c>
      <c r="X23" s="118">
        <v>15852</v>
      </c>
      <c r="Y23" s="118">
        <v>12643</v>
      </c>
      <c r="Z23" s="118">
        <v>21002</v>
      </c>
      <c r="AA23" s="121">
        <f t="shared" si="2"/>
        <v>216033</v>
      </c>
      <c r="AB23" s="325">
        <v>12666</v>
      </c>
    </row>
    <row r="24" spans="1:28" ht="15" customHeight="1" x14ac:dyDescent="0.2">
      <c r="A24" t="s">
        <v>595</v>
      </c>
      <c r="B24" t="s">
        <v>851</v>
      </c>
      <c r="D24" s="271" t="str">
        <f>IF([1]RENAME!$H$3=1,B24,A24)</f>
        <v>3T17</v>
      </c>
      <c r="E24" s="118">
        <v>0</v>
      </c>
      <c r="F24" s="118">
        <v>109</v>
      </c>
      <c r="G24" s="118">
        <v>36</v>
      </c>
      <c r="H24" s="118">
        <v>363</v>
      </c>
      <c r="I24" s="118">
        <v>243</v>
      </c>
      <c r="J24" s="118">
        <v>131</v>
      </c>
      <c r="K24" s="118">
        <v>2119</v>
      </c>
      <c r="L24" s="118">
        <v>1662</v>
      </c>
      <c r="M24" s="118">
        <v>223</v>
      </c>
      <c r="N24" s="325">
        <v>976</v>
      </c>
      <c r="O24" s="121">
        <f t="shared" si="3"/>
        <v>5862</v>
      </c>
      <c r="Q24" s="270">
        <f>IF([1]RENAME!$H$3=0,A77,TEXT(A77,"[$-en-US]mmm-aa;@"))</f>
        <v>42979</v>
      </c>
      <c r="R24" s="118">
        <v>50607</v>
      </c>
      <c r="S24" s="118">
        <v>47716</v>
      </c>
      <c r="T24" s="118">
        <v>4208</v>
      </c>
      <c r="U24" s="118">
        <v>11539</v>
      </c>
      <c r="V24" s="118">
        <v>42426</v>
      </c>
      <c r="W24" s="118">
        <v>7114</v>
      </c>
      <c r="X24" s="118">
        <v>16388</v>
      </c>
      <c r="Y24" s="118">
        <v>13062</v>
      </c>
      <c r="Z24" s="118">
        <v>21225</v>
      </c>
      <c r="AA24" s="121">
        <f t="shared" si="2"/>
        <v>214285</v>
      </c>
      <c r="AB24" s="325">
        <v>12481</v>
      </c>
    </row>
    <row r="25" spans="1:28" ht="15" customHeight="1" x14ac:dyDescent="0.2">
      <c r="A25" t="s">
        <v>596</v>
      </c>
      <c r="B25" t="s">
        <v>1169</v>
      </c>
      <c r="D25" s="271" t="str">
        <f>IF([1]RENAME!$H$3=1,B25,A25)</f>
        <v>4T17</v>
      </c>
      <c r="E25" s="118">
        <v>0</v>
      </c>
      <c r="F25" s="118">
        <v>0</v>
      </c>
      <c r="G25" s="118">
        <v>117</v>
      </c>
      <c r="H25" s="118">
        <v>143</v>
      </c>
      <c r="I25" s="118">
        <v>116</v>
      </c>
      <c r="J25" s="118">
        <v>195</v>
      </c>
      <c r="K25" s="118">
        <v>1062</v>
      </c>
      <c r="L25" s="118">
        <v>1188</v>
      </c>
      <c r="M25" s="118">
        <v>22</v>
      </c>
      <c r="N25" s="325">
        <v>1273</v>
      </c>
      <c r="O25" s="121">
        <f t="shared" si="3"/>
        <v>4116</v>
      </c>
      <c r="Q25" s="270">
        <f>IF([1]RENAME!$H$3=0,A78,TEXT(A78,"[$-en-US]mmm-aa;@"))</f>
        <v>43070</v>
      </c>
      <c r="R25" s="118">
        <v>60073</v>
      </c>
      <c r="S25" s="118">
        <v>62997</v>
      </c>
      <c r="T25" s="118">
        <v>3093</v>
      </c>
      <c r="U25" s="118">
        <v>8768</v>
      </c>
      <c r="V25" s="118">
        <v>36153</v>
      </c>
      <c r="W25" s="118">
        <v>4668</v>
      </c>
      <c r="X25" s="118">
        <v>7665</v>
      </c>
      <c r="Y25" s="118">
        <v>10148</v>
      </c>
      <c r="Z25" s="118">
        <v>8601</v>
      </c>
      <c r="AA25" s="121">
        <f>+SUM(R25:Z25)</f>
        <v>202166</v>
      </c>
      <c r="AB25" s="325">
        <v>12568</v>
      </c>
    </row>
    <row r="26" spans="1:28" ht="15" customHeight="1" x14ac:dyDescent="0.2">
      <c r="A26" t="s">
        <v>623</v>
      </c>
      <c r="B26" t="s">
        <v>1290</v>
      </c>
      <c r="D26" s="271" t="str">
        <f>IF([1]RENAME!$H$3=1,B26,A26)</f>
        <v>1T18</v>
      </c>
      <c r="E26" s="118">
        <v>0</v>
      </c>
      <c r="F26" s="118">
        <v>51</v>
      </c>
      <c r="G26" s="118">
        <v>110</v>
      </c>
      <c r="H26" s="118">
        <v>161</v>
      </c>
      <c r="I26" s="118">
        <v>243</v>
      </c>
      <c r="J26" s="118">
        <v>100</v>
      </c>
      <c r="K26" s="118">
        <v>322</v>
      </c>
      <c r="L26" s="118">
        <v>432</v>
      </c>
      <c r="M26" s="118">
        <v>2</v>
      </c>
      <c r="N26" s="325">
        <v>1039</v>
      </c>
      <c r="O26" s="121">
        <f t="shared" si="3"/>
        <v>2460</v>
      </c>
      <c r="Q26" s="270">
        <f>IF([1]RENAME!$H$3=0,A79,TEXT(A79,"[$-en-US]mmm-aa;@"))</f>
        <v>43160</v>
      </c>
      <c r="R26" s="118">
        <v>50607</v>
      </c>
      <c r="S26" s="118">
        <v>67282</v>
      </c>
      <c r="T26" s="118">
        <v>3110</v>
      </c>
      <c r="U26" s="118">
        <v>8161</v>
      </c>
      <c r="V26" s="118">
        <v>38628</v>
      </c>
      <c r="W26" s="118">
        <v>4731</v>
      </c>
      <c r="X26" s="118">
        <v>8967</v>
      </c>
      <c r="Y26" s="118">
        <v>11666</v>
      </c>
      <c r="Z26" s="118">
        <v>543</v>
      </c>
      <c r="AA26" s="121">
        <f>+SUM(R26:Z26)</f>
        <v>193695</v>
      </c>
      <c r="AB26" s="325">
        <v>11417</v>
      </c>
    </row>
    <row r="27" spans="1:28" ht="15" customHeight="1" x14ac:dyDescent="0.2">
      <c r="A27" t="s">
        <v>624</v>
      </c>
      <c r="B27" t="s">
        <v>1312</v>
      </c>
      <c r="D27" s="271" t="str">
        <f>IF([1]RENAME!$H$3=1,B27,A27)</f>
        <v>2T18</v>
      </c>
      <c r="E27" s="118">
        <v>0</v>
      </c>
      <c r="F27" s="118">
        <v>0</v>
      </c>
      <c r="G27" s="118">
        <v>254</v>
      </c>
      <c r="H27" s="118">
        <v>1084</v>
      </c>
      <c r="I27" s="118">
        <v>552</v>
      </c>
      <c r="J27" s="118">
        <v>66</v>
      </c>
      <c r="K27" s="118">
        <v>636</v>
      </c>
      <c r="L27" s="118">
        <v>1070</v>
      </c>
      <c r="M27" s="118">
        <v>165</v>
      </c>
      <c r="N27" s="325">
        <v>897</v>
      </c>
      <c r="O27" s="121">
        <f t="shared" si="3"/>
        <v>4724</v>
      </c>
      <c r="Q27" s="270">
        <f>IF([1]RENAME!$H$3=0,A80,TEXT(A80,"[$-en-US]mmm-aa;@"))</f>
        <v>43252</v>
      </c>
      <c r="R27" s="118">
        <v>50607</v>
      </c>
      <c r="S27" s="118">
        <v>64352</v>
      </c>
      <c r="T27" s="118">
        <v>2980</v>
      </c>
      <c r="U27" s="118">
        <v>8894</v>
      </c>
      <c r="V27" s="118">
        <v>37556</v>
      </c>
      <c r="W27" s="118">
        <v>4504</v>
      </c>
      <c r="X27" s="118">
        <v>8442</v>
      </c>
      <c r="Y27" s="118">
        <v>11466</v>
      </c>
      <c r="Z27" s="118">
        <v>708</v>
      </c>
      <c r="AA27" s="121">
        <f>+SUM(R27:Z27)</f>
        <v>189509</v>
      </c>
      <c r="AB27" s="325">
        <v>11156</v>
      </c>
    </row>
    <row r="28" spans="1:28" ht="15" customHeight="1" x14ac:dyDescent="0.2">
      <c r="A28" t="s">
        <v>625</v>
      </c>
      <c r="B28" t="s">
        <v>1335</v>
      </c>
      <c r="D28" s="271" t="str">
        <f>IF([1]RENAME!$H$3=1,B28,A28)</f>
        <v>3T18</v>
      </c>
      <c r="E28" s="118">
        <v>9466</v>
      </c>
      <c r="F28" s="118">
        <v>15</v>
      </c>
      <c r="G28" s="118">
        <v>503</v>
      </c>
      <c r="H28" s="118">
        <v>350</v>
      </c>
      <c r="I28" s="118">
        <v>665</v>
      </c>
      <c r="J28" s="118">
        <v>274</v>
      </c>
      <c r="K28" s="118">
        <v>696</v>
      </c>
      <c r="L28" s="118">
        <v>448</v>
      </c>
      <c r="M28" s="118">
        <v>1140</v>
      </c>
      <c r="N28" s="325">
        <v>1443</v>
      </c>
      <c r="O28" s="121">
        <v>15000</v>
      </c>
      <c r="Q28" s="270">
        <f>IF([1]RENAME!$H$3=0,A81,TEXT(A81,"[$-en-US]mmm-aa;@"))</f>
        <v>43344</v>
      </c>
      <c r="R28" s="118">
        <v>60073</v>
      </c>
      <c r="S28" s="118">
        <v>63598</v>
      </c>
      <c r="T28" s="118">
        <v>3105</v>
      </c>
      <c r="U28" s="118">
        <v>8885</v>
      </c>
      <c r="V28" s="118">
        <v>36829</v>
      </c>
      <c r="W28" s="118">
        <v>4485</v>
      </c>
      <c r="X28" s="118">
        <v>7940</v>
      </c>
      <c r="Y28" s="118">
        <v>10629</v>
      </c>
      <c r="Z28" s="118">
        <v>1848</v>
      </c>
      <c r="AA28" s="121">
        <v>197392</v>
      </c>
      <c r="AB28" s="325">
        <v>11406</v>
      </c>
    </row>
    <row r="29" spans="1:28" ht="15" customHeight="1" x14ac:dyDescent="0.2">
      <c r="A29" t="s">
        <v>626</v>
      </c>
      <c r="B29" t="s">
        <v>1394</v>
      </c>
      <c r="D29" s="271" t="str">
        <f>IF([1]RENAME!$H$3=1,B29,A29)</f>
        <v>4T18</v>
      </c>
      <c r="E29" s="118">
        <v>0</v>
      </c>
      <c r="F29" s="118">
        <v>165</v>
      </c>
      <c r="G29" s="118">
        <v>351</v>
      </c>
      <c r="H29" s="118">
        <v>898</v>
      </c>
      <c r="I29" s="118">
        <v>726</v>
      </c>
      <c r="J29" s="118">
        <v>501</v>
      </c>
      <c r="K29" s="118">
        <v>898</v>
      </c>
      <c r="L29" s="118">
        <v>741</v>
      </c>
      <c r="M29" s="118">
        <v>6753</v>
      </c>
      <c r="N29" s="325">
        <v>2222</v>
      </c>
      <c r="O29" s="121">
        <f t="shared" ref="O29:O34" si="4">+SUM(E29:N29)</f>
        <v>13255</v>
      </c>
      <c r="Q29" s="270">
        <f>IF([1]RENAME!$H$3=0,A82,TEXT(A82,"[$-en-US]mmm-aa;@"))</f>
        <v>43435</v>
      </c>
      <c r="R29" s="118">
        <v>60073</v>
      </c>
      <c r="S29" s="118">
        <v>62997</v>
      </c>
      <c r="T29" s="118">
        <v>3093</v>
      </c>
      <c r="U29" s="118">
        <v>8768</v>
      </c>
      <c r="V29" s="118">
        <v>36153</v>
      </c>
      <c r="W29" s="118">
        <v>4668</v>
      </c>
      <c r="X29" s="118">
        <v>7665</v>
      </c>
      <c r="Y29" s="118">
        <v>10148</v>
      </c>
      <c r="Z29" s="118">
        <v>8601</v>
      </c>
      <c r="AA29" s="121">
        <f t="shared" ref="AA29:AA35" si="5">+SUM(R29:Z29)</f>
        <v>202166</v>
      </c>
      <c r="AB29" s="325">
        <v>12422</v>
      </c>
    </row>
    <row r="30" spans="1:28" ht="15" customHeight="1" x14ac:dyDescent="0.2">
      <c r="A30" t="s">
        <v>1408</v>
      </c>
      <c r="B30" t="s">
        <v>1420</v>
      </c>
      <c r="D30" s="271" t="str">
        <f>IF([1]RENAME!$H$3=1,B30,A30)</f>
        <v>1T19</v>
      </c>
      <c r="E30" s="118">
        <v>0</v>
      </c>
      <c r="F30" s="118">
        <v>1619</v>
      </c>
      <c r="G30" s="118">
        <v>522</v>
      </c>
      <c r="H30" s="118">
        <v>679</v>
      </c>
      <c r="I30" s="118">
        <v>376</v>
      </c>
      <c r="J30" s="118">
        <v>31</v>
      </c>
      <c r="K30" s="118">
        <v>400</v>
      </c>
      <c r="L30" s="118">
        <v>160</v>
      </c>
      <c r="M30" s="118">
        <v>1423</v>
      </c>
      <c r="N30" s="325">
        <v>1424</v>
      </c>
      <c r="O30" s="121">
        <f t="shared" si="4"/>
        <v>6634</v>
      </c>
      <c r="Q30" s="270">
        <f>IF([1]RENAME!$H$3=0,A83,TEXT(A83,"[$-en-US]mmm-aa;@"))</f>
        <v>43525</v>
      </c>
      <c r="R30" s="118">
        <v>60073</v>
      </c>
      <c r="S30" s="118">
        <v>71461</v>
      </c>
      <c r="T30" s="118">
        <v>3283</v>
      </c>
      <c r="U30" s="118">
        <v>10385</v>
      </c>
      <c r="V30" s="118">
        <v>34799</v>
      </c>
      <c r="W30" s="118">
        <v>4546</v>
      </c>
      <c r="X30" s="118">
        <v>7530</v>
      </c>
      <c r="Y30" s="118">
        <v>9243</v>
      </c>
      <c r="Z30" s="118">
        <v>387</v>
      </c>
      <c r="AA30" s="121">
        <f t="shared" si="5"/>
        <v>201707</v>
      </c>
      <c r="AB30" s="325">
        <v>12614</v>
      </c>
    </row>
    <row r="31" spans="1:28" ht="15" customHeight="1" x14ac:dyDescent="0.2">
      <c r="A31" t="s">
        <v>1409</v>
      </c>
      <c r="B31" t="s">
        <v>1512</v>
      </c>
      <c r="D31" s="271" t="str">
        <f>IF([1]RENAME!$H$3=1,B31,A31)</f>
        <v>2T19</v>
      </c>
      <c r="E31" s="118">
        <v>0</v>
      </c>
      <c r="F31" s="118">
        <v>1381</v>
      </c>
      <c r="G31" s="118">
        <v>73</v>
      </c>
      <c r="H31" s="118">
        <v>455</v>
      </c>
      <c r="I31" s="118">
        <v>8684</v>
      </c>
      <c r="J31" s="118">
        <v>397</v>
      </c>
      <c r="K31" s="118">
        <v>527</v>
      </c>
      <c r="L31" s="118">
        <v>2062</v>
      </c>
      <c r="M31" s="118">
        <v>303</v>
      </c>
      <c r="N31" s="325">
        <v>672</v>
      </c>
      <c r="O31" s="121">
        <f t="shared" si="4"/>
        <v>14554</v>
      </c>
      <c r="Q31" s="270">
        <f>IF([1]RENAME!$H$3=0,A84,TEXT(A84,"[$-en-US]mmm-aa;@"))</f>
        <v>43617</v>
      </c>
      <c r="R31" s="118">
        <v>60073</v>
      </c>
      <c r="S31" s="118">
        <v>71974</v>
      </c>
      <c r="T31" s="118">
        <v>3000</v>
      </c>
      <c r="U31" s="118">
        <v>10398</v>
      </c>
      <c r="V31" s="118">
        <v>42263</v>
      </c>
      <c r="W31" s="118">
        <v>4663</v>
      </c>
      <c r="X31" s="118">
        <v>7134</v>
      </c>
      <c r="Y31" s="118">
        <v>10205</v>
      </c>
      <c r="Z31" s="118">
        <v>635</v>
      </c>
      <c r="AA31" s="121">
        <f t="shared" si="5"/>
        <v>210345</v>
      </c>
      <c r="AB31" s="325">
        <v>12002</v>
      </c>
    </row>
    <row r="32" spans="1:28" ht="15" customHeight="1" x14ac:dyDescent="0.2">
      <c r="A32" t="s">
        <v>1410</v>
      </c>
      <c r="B32" t="s">
        <v>1513</v>
      </c>
      <c r="D32" s="271" t="str">
        <f>IF([1]RENAME!$H$3=1,B32,A32)</f>
        <v>3T19</v>
      </c>
      <c r="E32" s="118">
        <v>0</v>
      </c>
      <c r="F32" s="118">
        <v>368</v>
      </c>
      <c r="G32" s="118">
        <v>143</v>
      </c>
      <c r="H32" s="118">
        <v>71</v>
      </c>
      <c r="I32" s="118">
        <v>556</v>
      </c>
      <c r="J32" s="118">
        <v>361</v>
      </c>
      <c r="K32" s="118">
        <v>418</v>
      </c>
      <c r="L32" s="118">
        <v>1323</v>
      </c>
      <c r="M32" s="118">
        <v>18</v>
      </c>
      <c r="N32" s="325">
        <v>874</v>
      </c>
      <c r="O32" s="121">
        <f t="shared" si="4"/>
        <v>4132</v>
      </c>
      <c r="Q32" s="270">
        <f>IF([1]RENAME!$H$3=0,A85,TEXT(A84,"[$-en-US]mmm-aa;@"))</f>
        <v>43709</v>
      </c>
      <c r="R32" s="118">
        <v>60073</v>
      </c>
      <c r="S32" s="118">
        <v>71468</v>
      </c>
      <c r="T32" s="118">
        <v>2786</v>
      </c>
      <c r="U32" s="118">
        <v>10022</v>
      </c>
      <c r="V32" s="118">
        <v>41423</v>
      </c>
      <c r="W32" s="118">
        <v>4716</v>
      </c>
      <c r="X32" s="118">
        <v>6607</v>
      </c>
      <c r="Y32" s="118">
        <v>10532</v>
      </c>
      <c r="Z32" s="118">
        <v>609</v>
      </c>
      <c r="AA32" s="121">
        <f t="shared" si="5"/>
        <v>208236</v>
      </c>
      <c r="AB32" s="325">
        <v>11557</v>
      </c>
    </row>
    <row r="33" spans="1:28" ht="15" customHeight="1" x14ac:dyDescent="0.2">
      <c r="A33" t="s">
        <v>1411</v>
      </c>
      <c r="B33" t="s">
        <v>1514</v>
      </c>
      <c r="D33" s="271" t="str">
        <f>IF([1]RENAME!$H$3=1,B33,A33)</f>
        <v>4T19</v>
      </c>
      <c r="E33" s="118">
        <v>4932</v>
      </c>
      <c r="F33" s="118">
        <v>1114</v>
      </c>
      <c r="G33" s="118">
        <v>282</v>
      </c>
      <c r="H33" s="118">
        <v>492</v>
      </c>
      <c r="I33" s="118">
        <v>621</v>
      </c>
      <c r="J33" s="118">
        <v>291</v>
      </c>
      <c r="K33" s="118">
        <v>499</v>
      </c>
      <c r="L33" s="118">
        <v>1198</v>
      </c>
      <c r="M33" s="118">
        <v>29</v>
      </c>
      <c r="N33" s="325">
        <v>1227</v>
      </c>
      <c r="O33" s="121">
        <f t="shared" si="4"/>
        <v>10685</v>
      </c>
      <c r="Q33" s="270">
        <f>IF([1]RENAME!$H$3=0,A86,TEXT(A85,"[$-en-US]mmm-aa;@"))</f>
        <v>43800</v>
      </c>
      <c r="R33" s="118">
        <v>64349</v>
      </c>
      <c r="S33" s="118">
        <v>71751</v>
      </c>
      <c r="T33" s="118">
        <v>2689</v>
      </c>
      <c r="U33" s="118">
        <v>8922</v>
      </c>
      <c r="V33" s="118">
        <v>39228</v>
      </c>
      <c r="W33" s="118">
        <v>4617</v>
      </c>
      <c r="X33" s="118">
        <v>6231</v>
      </c>
      <c r="Y33" s="118">
        <v>10608</v>
      </c>
      <c r="Z33" s="118">
        <v>638</v>
      </c>
      <c r="AA33" s="121">
        <f t="shared" si="5"/>
        <v>209033</v>
      </c>
      <c r="AB33" s="325">
        <v>11414</v>
      </c>
    </row>
    <row r="34" spans="1:28" ht="15" customHeight="1" x14ac:dyDescent="0.2">
      <c r="A34" t="s">
        <v>1626</v>
      </c>
      <c r="B34" t="s">
        <v>1631</v>
      </c>
      <c r="D34" s="271" t="str">
        <f>IF([1]RENAME!$H$3=1,B34,A34)</f>
        <v>1T20</v>
      </c>
      <c r="E34" s="118">
        <v>0</v>
      </c>
      <c r="F34" s="118">
        <v>2163</v>
      </c>
      <c r="G34" s="118">
        <v>52</v>
      </c>
      <c r="H34" s="118">
        <v>462</v>
      </c>
      <c r="I34" s="118">
        <v>77</v>
      </c>
      <c r="J34" s="118">
        <v>85</v>
      </c>
      <c r="K34" s="118">
        <v>613</v>
      </c>
      <c r="L34" s="118">
        <v>437</v>
      </c>
      <c r="M34" s="118">
        <v>41</v>
      </c>
      <c r="N34" s="325">
        <v>1497</v>
      </c>
      <c r="O34" s="121">
        <f t="shared" si="4"/>
        <v>5427</v>
      </c>
      <c r="Q34" s="270">
        <f>IF([1]RENAME!$H$3=0,A87,TEXT(A86,"[$-en-US]mmm-aa;@"))</f>
        <v>43891</v>
      </c>
      <c r="R34" s="118">
        <v>64349</v>
      </c>
      <c r="S34" s="118">
        <v>73074</v>
      </c>
      <c r="T34" s="118">
        <v>2424</v>
      </c>
      <c r="U34" s="118">
        <v>9045</v>
      </c>
      <c r="V34" s="118">
        <v>38059</v>
      </c>
      <c r="W34" s="118">
        <v>4412</v>
      </c>
      <c r="X34" s="118">
        <v>5990</v>
      </c>
      <c r="Y34" s="118">
        <v>9890</v>
      </c>
      <c r="Z34" s="118">
        <v>590</v>
      </c>
      <c r="AA34" s="121">
        <f t="shared" si="5"/>
        <v>207833</v>
      </c>
      <c r="AB34" s="325">
        <v>11740</v>
      </c>
    </row>
    <row r="35" spans="1:28" ht="15" customHeight="1" x14ac:dyDescent="0.2">
      <c r="A35" t="s">
        <v>1627</v>
      </c>
      <c r="B35" t="s">
        <v>1667</v>
      </c>
      <c r="D35" s="271" t="str">
        <f>IF([1]RENAME!$H$3=1,B35,A35)</f>
        <v>2T20</v>
      </c>
      <c r="E35" s="118">
        <v>281</v>
      </c>
      <c r="F35" s="118">
        <v>1330</v>
      </c>
      <c r="G35" s="118">
        <v>11</v>
      </c>
      <c r="H35" s="118">
        <v>361</v>
      </c>
      <c r="I35" s="118">
        <v>130</v>
      </c>
      <c r="J35" s="118">
        <v>23</v>
      </c>
      <c r="K35" s="118">
        <v>750</v>
      </c>
      <c r="L35" s="118">
        <v>419</v>
      </c>
      <c r="M35" s="118">
        <v>1</v>
      </c>
      <c r="N35" s="325">
        <v>961</v>
      </c>
      <c r="O35" s="121">
        <f t="shared" ref="O35:O42" si="6">+SUM(E35:N35)</f>
        <v>4267</v>
      </c>
      <c r="Q35" s="270">
        <f>IF([1]RENAME!$H$3=0,A88,TEXT(A87,"[$-en-US]mmm-aa;@"))</f>
        <v>43983</v>
      </c>
      <c r="R35" s="118">
        <v>63130</v>
      </c>
      <c r="S35" s="118">
        <v>73543</v>
      </c>
      <c r="T35" s="118">
        <v>2120</v>
      </c>
      <c r="U35" s="118">
        <v>9060</v>
      </c>
      <c r="V35" s="118">
        <v>37058</v>
      </c>
      <c r="W35" s="118">
        <v>4147</v>
      </c>
      <c r="X35" s="118">
        <v>5924</v>
      </c>
      <c r="Y35" s="118">
        <v>9152</v>
      </c>
      <c r="Z35" s="118">
        <v>579</v>
      </c>
      <c r="AA35" s="121">
        <f t="shared" si="5"/>
        <v>204713</v>
      </c>
      <c r="AB35" s="325">
        <v>11660</v>
      </c>
    </row>
    <row r="36" spans="1:28" ht="15" customHeight="1" x14ac:dyDescent="0.2">
      <c r="A36" t="s">
        <v>1642</v>
      </c>
      <c r="B36" t="s">
        <v>1668</v>
      </c>
      <c r="D36" s="271" t="str">
        <f>IF([1]RENAME!$H$3=1,B36,A36)</f>
        <v>3T20</v>
      </c>
      <c r="E36" s="118">
        <v>7</v>
      </c>
      <c r="F36" s="118">
        <v>172</v>
      </c>
      <c r="G36" s="118">
        <v>5</v>
      </c>
      <c r="H36" s="118">
        <v>66</v>
      </c>
      <c r="I36" s="118">
        <v>223</v>
      </c>
      <c r="J36" s="118">
        <v>15</v>
      </c>
      <c r="K36" s="118">
        <v>-66</v>
      </c>
      <c r="L36" s="118">
        <v>3300</v>
      </c>
      <c r="M36" s="118">
        <v>51</v>
      </c>
      <c r="N36" s="325">
        <v>633</v>
      </c>
      <c r="O36" s="121">
        <f t="shared" si="6"/>
        <v>4406</v>
      </c>
      <c r="Q36" s="270">
        <f>IF([1]RENAME!$H$3=0,A89,TEXT(A88,"[$-en-US]mmm-aa;@"))</f>
        <v>44075</v>
      </c>
      <c r="R36" s="118">
        <v>63137</v>
      </c>
      <c r="S36" s="118">
        <v>72841</v>
      </c>
      <c r="T36" s="118">
        <v>1838</v>
      </c>
      <c r="U36" s="118">
        <v>8776</v>
      </c>
      <c r="V36" s="118">
        <v>36196</v>
      </c>
      <c r="W36" s="118">
        <v>3885</v>
      </c>
      <c r="X36" s="118">
        <v>5082</v>
      </c>
      <c r="Y36" s="118">
        <v>11230</v>
      </c>
      <c r="Z36" s="118">
        <v>630</v>
      </c>
      <c r="AA36" s="121">
        <f>+SUM(R36:Z36)</f>
        <v>203615</v>
      </c>
      <c r="AB36" s="325">
        <v>11242</v>
      </c>
    </row>
    <row r="37" spans="1:28" ht="15" customHeight="1" x14ac:dyDescent="0.2">
      <c r="A37" t="s">
        <v>1643</v>
      </c>
      <c r="B37" t="s">
        <v>1628</v>
      </c>
      <c r="D37" s="271" t="str">
        <f>IF([1]RENAME!$H$3=1,B37,A37)</f>
        <v>4T20</v>
      </c>
      <c r="E37" s="118">
        <v>0</v>
      </c>
      <c r="F37" s="118">
        <v>0</v>
      </c>
      <c r="G37" s="118">
        <v>1140</v>
      </c>
      <c r="H37" s="118">
        <v>248</v>
      </c>
      <c r="I37" s="118">
        <v>1308</v>
      </c>
      <c r="J37" s="118">
        <v>78</v>
      </c>
      <c r="K37" s="118">
        <v>340</v>
      </c>
      <c r="L37" s="118">
        <v>1748</v>
      </c>
      <c r="M37" s="118">
        <v>53</v>
      </c>
      <c r="N37" s="325">
        <v>766</v>
      </c>
      <c r="O37" s="121">
        <f t="shared" si="6"/>
        <v>5681</v>
      </c>
      <c r="Q37" s="270">
        <f>IF([1]RENAME!$H$3=0,A90,TEXT(A89,"[$-en-US]mmm-aa;@"))</f>
        <v>44166</v>
      </c>
      <c r="R37" s="118">
        <v>63137</v>
      </c>
      <c r="S37" s="118">
        <v>71971</v>
      </c>
      <c r="T37" s="118">
        <v>2730</v>
      </c>
      <c r="U37" s="118">
        <v>6924</v>
      </c>
      <c r="V37" s="118">
        <v>36699</v>
      </c>
      <c r="W37" s="118">
        <v>3709</v>
      </c>
      <c r="X37" s="118">
        <v>4602</v>
      </c>
      <c r="Y37" s="118">
        <v>11699</v>
      </c>
      <c r="Z37" s="118">
        <v>646</v>
      </c>
      <c r="AA37" s="121">
        <f t="shared" ref="AA37:AA43" si="7">+SUM(R37:Z37)</f>
        <v>202117</v>
      </c>
      <c r="AB37" s="325">
        <v>10737</v>
      </c>
    </row>
    <row r="38" spans="1:28" ht="15" customHeight="1" x14ac:dyDescent="0.2">
      <c r="A38" t="s">
        <v>1825</v>
      </c>
      <c r="B38" t="s">
        <v>1827</v>
      </c>
      <c r="D38" s="271" t="str">
        <f>IF([1]RENAME!$H$3=1,B38,A38)</f>
        <v>1T21</v>
      </c>
      <c r="E38" s="118">
        <v>0</v>
      </c>
      <c r="F38" s="118">
        <v>0</v>
      </c>
      <c r="G38" s="118">
        <v>745</v>
      </c>
      <c r="H38" s="118">
        <v>240</v>
      </c>
      <c r="I38" s="118">
        <v>191</v>
      </c>
      <c r="J38" s="118">
        <v>102</v>
      </c>
      <c r="K38" s="118">
        <v>42</v>
      </c>
      <c r="L38" s="118">
        <v>3243</v>
      </c>
      <c r="M38" s="118">
        <v>174</v>
      </c>
      <c r="N38" s="325">
        <v>1791</v>
      </c>
      <c r="O38" s="121">
        <f t="shared" si="6"/>
        <v>6528</v>
      </c>
      <c r="Q38" s="270">
        <f>IF([1]RENAME!$H$3=0,A91,TEXT(A90,"[$-en-US]mmm-aa;@"))</f>
        <v>44256</v>
      </c>
      <c r="R38" s="118">
        <v>63137</v>
      </c>
      <c r="S38" s="118">
        <v>71101</v>
      </c>
      <c r="T38" s="118">
        <v>3212</v>
      </c>
      <c r="U38" s="118">
        <v>6846</v>
      </c>
      <c r="V38" s="118">
        <v>35885</v>
      </c>
      <c r="W38" s="118">
        <v>3587</v>
      </c>
      <c r="X38" s="118">
        <v>4004</v>
      </c>
      <c r="Y38" s="118">
        <v>13589</v>
      </c>
      <c r="Z38" s="118">
        <v>754</v>
      </c>
      <c r="AA38" s="121">
        <f t="shared" si="7"/>
        <v>202115</v>
      </c>
      <c r="AB38" s="325">
        <v>11543</v>
      </c>
    </row>
    <row r="39" spans="1:28" ht="15" customHeight="1" x14ac:dyDescent="0.2">
      <c r="A39" t="s">
        <v>1785</v>
      </c>
      <c r="B39" t="s">
        <v>1828</v>
      </c>
      <c r="D39" s="271" t="str">
        <f>IF([1]RENAME!$H$3=1,B39,A39)</f>
        <v>2T21</v>
      </c>
      <c r="E39" s="118">
        <v>0</v>
      </c>
      <c r="F39" s="118">
        <v>785</v>
      </c>
      <c r="G39" s="118">
        <v>29</v>
      </c>
      <c r="H39" s="118">
        <v>847</v>
      </c>
      <c r="I39" s="118">
        <v>666</v>
      </c>
      <c r="J39" s="118">
        <v>115</v>
      </c>
      <c r="K39" s="118">
        <v>504</v>
      </c>
      <c r="L39" s="118">
        <v>2418</v>
      </c>
      <c r="M39" s="118">
        <v>0</v>
      </c>
      <c r="N39" s="325">
        <v>1091</v>
      </c>
      <c r="O39" s="121">
        <f t="shared" si="6"/>
        <v>6455</v>
      </c>
      <c r="Q39" s="270">
        <f>IF([1]RENAME!$H$3=0,A92,TEXT(A91,"[$-en-US]mmm-aa;@"))</f>
        <v>44348</v>
      </c>
      <c r="R39" s="118">
        <v>63137</v>
      </c>
      <c r="S39" s="118">
        <v>71014</v>
      </c>
      <c r="T39" s="118">
        <v>2962</v>
      </c>
      <c r="U39" s="118">
        <v>7092</v>
      </c>
      <c r="V39" s="118">
        <v>35760</v>
      </c>
      <c r="W39" s="118">
        <v>3452</v>
      </c>
      <c r="X39" s="118">
        <v>3907</v>
      </c>
      <c r="Y39" s="118">
        <v>14135</v>
      </c>
      <c r="Z39" s="118">
        <v>624</v>
      </c>
      <c r="AA39" s="121">
        <f t="shared" si="7"/>
        <v>202083</v>
      </c>
      <c r="AB39" s="325">
        <v>11713</v>
      </c>
    </row>
    <row r="40" spans="1:28" ht="15" customHeight="1" x14ac:dyDescent="0.2">
      <c r="A40" t="s">
        <v>1786</v>
      </c>
      <c r="B40" t="s">
        <v>1829</v>
      </c>
      <c r="D40" s="271" t="s">
        <v>1786</v>
      </c>
      <c r="E40" s="118">
        <v>0</v>
      </c>
      <c r="F40" s="118">
        <v>5</v>
      </c>
      <c r="G40" s="118">
        <v>246</v>
      </c>
      <c r="H40" s="118">
        <v>432</v>
      </c>
      <c r="I40" s="118">
        <v>6902</v>
      </c>
      <c r="J40" s="118">
        <v>195</v>
      </c>
      <c r="K40" s="118">
        <v>647</v>
      </c>
      <c r="L40" s="118">
        <v>610</v>
      </c>
      <c r="M40" s="118">
        <v>28</v>
      </c>
      <c r="N40" s="325">
        <v>1227</v>
      </c>
      <c r="O40" s="121">
        <f t="shared" si="6"/>
        <v>10292</v>
      </c>
      <c r="Q40" s="270">
        <v>44440</v>
      </c>
      <c r="R40" s="118">
        <v>63137</v>
      </c>
      <c r="S40" s="118">
        <v>70141</v>
      </c>
      <c r="T40" s="118">
        <v>2995</v>
      </c>
      <c r="U40" s="118">
        <v>7256</v>
      </c>
      <c r="V40" s="118">
        <v>41918</v>
      </c>
      <c r="W40" s="118">
        <v>3470</v>
      </c>
      <c r="X40" s="118">
        <v>4003</v>
      </c>
      <c r="Y40" s="118">
        <v>13111</v>
      </c>
      <c r="Z40" s="118">
        <v>622</v>
      </c>
      <c r="AA40" s="121">
        <f t="shared" si="7"/>
        <v>206653</v>
      </c>
      <c r="AB40" s="325">
        <v>11866</v>
      </c>
    </row>
    <row r="41" spans="1:28" ht="15" customHeight="1" x14ac:dyDescent="0.2">
      <c r="A41" t="s">
        <v>1826</v>
      </c>
      <c r="B41" t="s">
        <v>1830</v>
      </c>
      <c r="D41" s="271" t="str">
        <f>IF([1]RENAME!$H$3=1,B41,A41)</f>
        <v>4T21</v>
      </c>
      <c r="E41" s="118">
        <v>0</v>
      </c>
      <c r="F41" s="118">
        <v>0</v>
      </c>
      <c r="G41" s="118">
        <v>44</v>
      </c>
      <c r="H41" s="118">
        <v>505</v>
      </c>
      <c r="I41" s="118">
        <v>737</v>
      </c>
      <c r="J41" s="118">
        <v>419</v>
      </c>
      <c r="K41" s="118">
        <v>2007</v>
      </c>
      <c r="L41" s="118">
        <v>829</v>
      </c>
      <c r="M41" s="118">
        <v>0</v>
      </c>
      <c r="N41" s="325">
        <v>1786</v>
      </c>
      <c r="O41" s="121">
        <f t="shared" si="6"/>
        <v>6327</v>
      </c>
      <c r="Q41" s="270">
        <f>IF([1]RENAME!$H$3=0,A94,TEXT(A93,"[$-en-US]mmm-aa;@"))</f>
        <v>44531</v>
      </c>
      <c r="R41" s="118">
        <v>63138</v>
      </c>
      <c r="S41" s="118">
        <v>69413</v>
      </c>
      <c r="T41" s="118">
        <v>2797</v>
      </c>
      <c r="U41" s="118">
        <v>7484</v>
      </c>
      <c r="V41" s="118">
        <v>41813</v>
      </c>
      <c r="W41" s="118">
        <v>3699</v>
      </c>
      <c r="X41" s="118">
        <v>5517</v>
      </c>
      <c r="Y41" s="118">
        <v>12406</v>
      </c>
      <c r="Z41" s="118">
        <v>614</v>
      </c>
      <c r="AA41" s="121">
        <f t="shared" si="7"/>
        <v>206881</v>
      </c>
      <c r="AB41" s="325">
        <v>12521</v>
      </c>
    </row>
    <row r="42" spans="1:28" ht="15" customHeight="1" x14ac:dyDescent="0.2">
      <c r="A42" t="s">
        <v>1932</v>
      </c>
      <c r="B42" t="s">
        <v>1931</v>
      </c>
      <c r="D42" s="271" t="str">
        <f>IF([1]RENAME!$H$3=1,B42,A42)</f>
        <v>1T22</v>
      </c>
      <c r="E42" s="118">
        <v>0</v>
      </c>
      <c r="F42" s="118">
        <v>0</v>
      </c>
      <c r="G42" s="118">
        <v>128</v>
      </c>
      <c r="H42" s="118">
        <v>338</v>
      </c>
      <c r="I42" s="118">
        <v>302</v>
      </c>
      <c r="J42" s="118">
        <v>233</v>
      </c>
      <c r="K42" s="118">
        <v>942</v>
      </c>
      <c r="L42" s="118">
        <v>287</v>
      </c>
      <c r="M42" s="118">
        <v>-4</v>
      </c>
      <c r="N42" s="325">
        <v>2181</v>
      </c>
      <c r="O42" s="121">
        <f t="shared" si="6"/>
        <v>4407</v>
      </c>
      <c r="Q42" s="270">
        <f>IF([1]RENAME!$H$3=0,A95,TEXT(A94,"[$-en-US]mmm-aa;@"))</f>
        <v>44621</v>
      </c>
      <c r="R42" s="118">
        <v>63138</v>
      </c>
      <c r="S42" s="118">
        <v>68535</v>
      </c>
      <c r="T42" s="118">
        <v>2684</v>
      </c>
      <c r="U42" s="118">
        <v>7536</v>
      </c>
      <c r="V42" s="118">
        <v>41280</v>
      </c>
      <c r="W42" s="118">
        <v>3743</v>
      </c>
      <c r="X42" s="118">
        <v>5850</v>
      </c>
      <c r="Y42" s="118">
        <v>11317</v>
      </c>
      <c r="Z42" s="118">
        <v>618</v>
      </c>
      <c r="AA42" s="121">
        <f t="shared" si="7"/>
        <v>204701</v>
      </c>
      <c r="AB42" s="325">
        <v>13500</v>
      </c>
    </row>
    <row r="43" spans="1:28" ht="15" customHeight="1" x14ac:dyDescent="0.2">
      <c r="A43" t="s">
        <v>1942</v>
      </c>
      <c r="B43" t="s">
        <v>1943</v>
      </c>
      <c r="D43" s="271" t="str">
        <f>IF([1]RENAME!$H$3=1,B43,A43)</f>
        <v>2T22</v>
      </c>
      <c r="E43" s="118">
        <v>0</v>
      </c>
      <c r="F43" s="118">
        <v>23</v>
      </c>
      <c r="G43" s="118">
        <v>11</v>
      </c>
      <c r="H43" s="118">
        <v>467</v>
      </c>
      <c r="I43" s="118">
        <v>5667</v>
      </c>
      <c r="J43" s="118">
        <v>98</v>
      </c>
      <c r="K43" s="118">
        <v>835</v>
      </c>
      <c r="L43" s="118">
        <v>4344</v>
      </c>
      <c r="M43" s="118">
        <v>4</v>
      </c>
      <c r="N43" s="325">
        <v>674</v>
      </c>
      <c r="O43" s="121">
        <f t="shared" ref="O43:O48" si="8">+SUM(E43:N43)</f>
        <v>12123</v>
      </c>
      <c r="Q43" s="270">
        <f>IF([1]RENAME!$H$3=0,A96,TEXT(A95,"[$-en-US]mmm-aa;@"))</f>
        <v>44713</v>
      </c>
      <c r="R43" s="118">
        <v>63138</v>
      </c>
      <c r="S43" s="118">
        <v>67680</v>
      </c>
      <c r="T43" s="118">
        <v>2456</v>
      </c>
      <c r="U43" s="118">
        <v>7706</v>
      </c>
      <c r="V43" s="118">
        <v>45423</v>
      </c>
      <c r="W43" s="118">
        <v>3641</v>
      </c>
      <c r="X43" s="118">
        <v>6077</v>
      </c>
      <c r="Y43" s="118">
        <v>14390</v>
      </c>
      <c r="Z43" s="118">
        <v>621</v>
      </c>
      <c r="AA43" s="121">
        <f t="shared" si="7"/>
        <v>211132</v>
      </c>
      <c r="AB43" s="325">
        <v>13166</v>
      </c>
    </row>
    <row r="44" spans="1:28" ht="15" customHeight="1" x14ac:dyDescent="0.2">
      <c r="A44" t="s">
        <v>1944</v>
      </c>
      <c r="B44" t="s">
        <v>1945</v>
      </c>
      <c r="D44" s="271" t="str">
        <f>IF([1]RENAME!$H$3=1,B44,A44)</f>
        <v>3T22</v>
      </c>
      <c r="E44" s="118">
        <v>0</v>
      </c>
      <c r="F44" s="118">
        <v>302</v>
      </c>
      <c r="G44" s="118">
        <v>299</v>
      </c>
      <c r="H44" s="118">
        <v>367</v>
      </c>
      <c r="I44" s="118">
        <v>3624</v>
      </c>
      <c r="J44" s="118">
        <v>299</v>
      </c>
      <c r="K44" s="118">
        <v>609</v>
      </c>
      <c r="L44" s="118">
        <v>127</v>
      </c>
      <c r="M44" s="118">
        <v>19</v>
      </c>
      <c r="N44" s="325">
        <v>2158</v>
      </c>
      <c r="O44" s="121">
        <f t="shared" si="8"/>
        <v>7804</v>
      </c>
      <c r="Q44" s="270">
        <f>IF([1]RENAME!$H$3=0,A97,TEXT(A96,"[$-en-US]mmm-aa;@"))</f>
        <v>44805</v>
      </c>
      <c r="R44" s="118">
        <v>63138</v>
      </c>
      <c r="S44" s="118">
        <v>67104</v>
      </c>
      <c r="T44" s="118">
        <v>2513</v>
      </c>
      <c r="U44" s="118">
        <v>7768</v>
      </c>
      <c r="V44" s="118">
        <v>48247</v>
      </c>
      <c r="W44" s="118">
        <v>3768</v>
      </c>
      <c r="X44" s="118">
        <v>6085</v>
      </c>
      <c r="Y44" s="118">
        <v>13219</v>
      </c>
      <c r="Z44" s="118">
        <v>640</v>
      </c>
      <c r="AA44" s="121">
        <f>+SUM(R44:Z44)</f>
        <v>212482</v>
      </c>
      <c r="AB44" s="325">
        <v>14246</v>
      </c>
    </row>
    <row r="45" spans="1:28" ht="15" customHeight="1" x14ac:dyDescent="0.2">
      <c r="A45" t="s">
        <v>1946</v>
      </c>
      <c r="B45" t="s">
        <v>1947</v>
      </c>
      <c r="D45" s="271" t="str">
        <f>IF([1]RENAME!$H$3=1,B45,A45)</f>
        <v>4T22</v>
      </c>
      <c r="E45" s="118">
        <v>0</v>
      </c>
      <c r="F45" s="118">
        <v>1538</v>
      </c>
      <c r="G45" s="118">
        <v>80</v>
      </c>
      <c r="H45" s="118">
        <v>791</v>
      </c>
      <c r="I45" s="118">
        <v>12520</v>
      </c>
      <c r="J45" s="118">
        <v>493</v>
      </c>
      <c r="K45" s="118">
        <v>1430</v>
      </c>
      <c r="L45" s="118">
        <v>245</v>
      </c>
      <c r="M45" s="118">
        <v>18</v>
      </c>
      <c r="N45" s="325">
        <v>3549</v>
      </c>
      <c r="O45" s="121">
        <f t="shared" si="8"/>
        <v>20664</v>
      </c>
      <c r="Q45" s="270">
        <f>IF([1]RENAME!$H$3=0,A98,TEXT(A97,"[$-en-US]mmm-aa;@"))</f>
        <v>44896</v>
      </c>
      <c r="R45" s="118">
        <v>63138</v>
      </c>
      <c r="S45" s="118">
        <v>67753</v>
      </c>
      <c r="T45" s="118">
        <v>2342</v>
      </c>
      <c r="U45" s="118">
        <v>8241</v>
      </c>
      <c r="V45" s="118">
        <v>60005</v>
      </c>
      <c r="W45" s="118">
        <v>4049</v>
      </c>
      <c r="X45" s="118">
        <v>6862</v>
      </c>
      <c r="Y45" s="118">
        <v>12124</v>
      </c>
      <c r="Z45" s="118">
        <v>640</v>
      </c>
      <c r="AA45" s="121">
        <v>225154</v>
      </c>
      <c r="AB45" s="325">
        <v>16072</v>
      </c>
    </row>
    <row r="46" spans="1:28" ht="15" customHeight="1" x14ac:dyDescent="0.2">
      <c r="A46" t="s">
        <v>2027</v>
      </c>
      <c r="B46" t="s">
        <v>2009</v>
      </c>
      <c r="D46" s="271" t="str">
        <f>IF([1]RENAME!$H$3=1,B46,A46)</f>
        <v>1T23</v>
      </c>
      <c r="E46" s="118">
        <v>0</v>
      </c>
      <c r="F46" s="118">
        <v>15</v>
      </c>
      <c r="G46" s="118">
        <v>119</v>
      </c>
      <c r="H46" s="118">
        <v>82</v>
      </c>
      <c r="I46" s="118">
        <v>599</v>
      </c>
      <c r="J46" s="118">
        <v>79</v>
      </c>
      <c r="K46" s="118">
        <v>1861</v>
      </c>
      <c r="L46" s="118">
        <v>58</v>
      </c>
      <c r="M46" s="118">
        <v>0</v>
      </c>
      <c r="N46" s="325">
        <v>2642</v>
      </c>
      <c r="O46" s="121">
        <f t="shared" si="8"/>
        <v>5455</v>
      </c>
      <c r="Q46" s="270">
        <f>IF([1]RENAME!$H$3=0,A99,TEXT(A98,"[$-en-US]mmm-aa;@"))</f>
        <v>44986</v>
      </c>
      <c r="R46" s="118">
        <v>63138</v>
      </c>
      <c r="S46" s="118">
        <v>66873</v>
      </c>
      <c r="T46" s="118">
        <v>2214</v>
      </c>
      <c r="U46" s="118">
        <v>7991</v>
      </c>
      <c r="V46" s="118">
        <v>59328</v>
      </c>
      <c r="W46" s="118">
        <v>3929</v>
      </c>
      <c r="X46" s="118">
        <v>8153</v>
      </c>
      <c r="Y46" s="118">
        <v>10942</v>
      </c>
      <c r="Z46" s="118">
        <v>640</v>
      </c>
      <c r="AA46" s="121">
        <f>+SUM(R46:Z46)</f>
        <v>223208</v>
      </c>
      <c r="AB46" s="325">
        <v>17282</v>
      </c>
    </row>
    <row r="47" spans="1:28" ht="15" customHeight="1" x14ac:dyDescent="0.2">
      <c r="A47" t="s">
        <v>2028</v>
      </c>
      <c r="B47" t="s">
        <v>2029</v>
      </c>
      <c r="D47" s="271" t="str">
        <f>IF([1]RENAME!$H$3=1,B47,A47)</f>
        <v>2T23</v>
      </c>
      <c r="E47" s="118">
        <v>0</v>
      </c>
      <c r="F47" s="118">
        <v>0</v>
      </c>
      <c r="G47" s="118">
        <v>80</v>
      </c>
      <c r="H47" s="118">
        <v>471</v>
      </c>
      <c r="I47" s="118">
        <v>777</v>
      </c>
      <c r="J47" s="118">
        <v>313</v>
      </c>
      <c r="K47" s="118">
        <v>1640</v>
      </c>
      <c r="L47" s="118">
        <v>347</v>
      </c>
      <c r="M47" s="118">
        <v>0</v>
      </c>
      <c r="N47" s="325">
        <v>1536</v>
      </c>
      <c r="O47" s="121">
        <f t="shared" si="8"/>
        <v>5164</v>
      </c>
      <c r="Q47" s="270">
        <f>IF([1]RENAME!$H$3=0,A100,TEXT(A99,"[$-en-US]mmm-aa;@"))</f>
        <v>45078</v>
      </c>
      <c r="R47" s="118">
        <v>63138</v>
      </c>
      <c r="S47" s="118">
        <v>66049</v>
      </c>
      <c r="T47" s="118">
        <v>2045</v>
      </c>
      <c r="U47" s="118">
        <v>8128</v>
      </c>
      <c r="V47" s="118">
        <v>59150</v>
      </c>
      <c r="W47" s="118">
        <v>4047</v>
      </c>
      <c r="X47" s="118">
        <v>9018</v>
      </c>
      <c r="Y47" s="118">
        <v>10061</v>
      </c>
      <c r="Z47" s="118">
        <v>640</v>
      </c>
      <c r="AA47" s="121">
        <f>+SUM(R47:Z47)</f>
        <v>222276</v>
      </c>
      <c r="AB47" s="325">
        <v>17353</v>
      </c>
    </row>
    <row r="48" spans="1:28" ht="15" customHeight="1" x14ac:dyDescent="0.2">
      <c r="A48" t="s">
        <v>2030</v>
      </c>
      <c r="B48" t="s">
        <v>2031</v>
      </c>
      <c r="D48" s="271" t="str">
        <f>IF([1]RENAME!$H$3=1,B48,A48)</f>
        <v>3T23</v>
      </c>
      <c r="E48" s="118">
        <v>0</v>
      </c>
      <c r="F48" s="118">
        <v>0</v>
      </c>
      <c r="G48" s="118">
        <v>306</v>
      </c>
      <c r="H48" s="118">
        <v>931</v>
      </c>
      <c r="I48" s="118">
        <v>6650</v>
      </c>
      <c r="J48" s="118">
        <v>143</v>
      </c>
      <c r="K48" s="118">
        <v>1578</v>
      </c>
      <c r="L48" s="118">
        <v>771</v>
      </c>
      <c r="M48" s="118">
        <v>184</v>
      </c>
      <c r="N48" s="325">
        <v>1381</v>
      </c>
      <c r="O48" s="121">
        <f t="shared" si="8"/>
        <v>11944</v>
      </c>
      <c r="Q48" s="270">
        <f>IF([1]RENAME!$H$3=0,A101,TEXT(A100,"[$-en-US]mmm-aa;@"))</f>
        <v>45170</v>
      </c>
      <c r="R48" s="118">
        <v>63138</v>
      </c>
      <c r="S48" s="118">
        <v>65224</v>
      </c>
      <c r="T48" s="118">
        <v>2108</v>
      </c>
      <c r="U48" s="118">
        <v>8712</v>
      </c>
      <c r="V48" s="118">
        <v>64580</v>
      </c>
      <c r="W48" s="118">
        <v>3997</v>
      </c>
      <c r="X48" s="118">
        <v>9753</v>
      </c>
      <c r="Y48" s="118">
        <v>9625</v>
      </c>
      <c r="Z48" s="118">
        <v>864</v>
      </c>
      <c r="AA48" s="121">
        <v>228001</v>
      </c>
      <c r="AB48" s="325">
        <v>17187</v>
      </c>
    </row>
    <row r="49" spans="1:28" ht="15" customHeight="1" x14ac:dyDescent="0.2">
      <c r="A49" t="s">
        <v>2032</v>
      </c>
      <c r="B49" t="s">
        <v>2033</v>
      </c>
      <c r="D49" s="271" t="str">
        <f>IF([1]RENAME!$H$3=1,B49,A49)</f>
        <v>4T23</v>
      </c>
      <c r="E49" s="118">
        <v>0</v>
      </c>
      <c r="F49" s="118">
        <v>79</v>
      </c>
      <c r="G49" s="118">
        <v>54</v>
      </c>
      <c r="H49" s="118">
        <v>552</v>
      </c>
      <c r="I49" s="118">
        <v>4502</v>
      </c>
      <c r="J49" s="118">
        <v>197</v>
      </c>
      <c r="K49" s="118">
        <v>2071</v>
      </c>
      <c r="L49" s="118">
        <v>231</v>
      </c>
      <c r="M49" s="118">
        <v>1848</v>
      </c>
      <c r="N49" s="325">
        <v>1057</v>
      </c>
      <c r="O49" s="121">
        <f t="shared" ref="O49:O54" si="9">+SUM(E49:N49)</f>
        <v>10591</v>
      </c>
      <c r="Q49" s="270">
        <f>IF([1]RENAME!$H$3=0,A102,TEXT(A101,"[$-en-US]mmm-aa;@"))</f>
        <v>45261</v>
      </c>
      <c r="R49" s="118">
        <v>63138</v>
      </c>
      <c r="S49" s="118">
        <v>64478</v>
      </c>
      <c r="T49" s="118">
        <v>1935</v>
      </c>
      <c r="U49" s="118">
        <v>8908</v>
      </c>
      <c r="V49" s="118">
        <v>65680</v>
      </c>
      <c r="W49" s="118">
        <v>4005</v>
      </c>
      <c r="X49" s="118">
        <v>10906</v>
      </c>
      <c r="Y49" s="118">
        <v>8756</v>
      </c>
      <c r="Z49" s="118">
        <v>2694</v>
      </c>
      <c r="AA49" s="121">
        <f>+SUM(R49:Z49)</f>
        <v>230500</v>
      </c>
      <c r="AB49" s="325">
        <v>16748</v>
      </c>
    </row>
    <row r="50" spans="1:28" ht="15" customHeight="1" x14ac:dyDescent="0.2">
      <c r="A50" t="s">
        <v>2129</v>
      </c>
      <c r="B50" t="s">
        <v>2128</v>
      </c>
      <c r="D50" s="271" t="str">
        <f>IF([1]RENAME!$H$3=1,B50,A50)</f>
        <v>1T24</v>
      </c>
      <c r="E50" s="118">
        <v>0</v>
      </c>
      <c r="F50" s="118">
        <v>0</v>
      </c>
      <c r="G50" s="118">
        <v>60</v>
      </c>
      <c r="H50" s="118">
        <v>105</v>
      </c>
      <c r="I50" s="118">
        <v>9667</v>
      </c>
      <c r="J50" s="118">
        <v>319</v>
      </c>
      <c r="K50" s="118">
        <v>767</v>
      </c>
      <c r="L50" s="118">
        <v>276</v>
      </c>
      <c r="M50" s="118">
        <v>1658</v>
      </c>
      <c r="N50" s="325">
        <v>3284</v>
      </c>
      <c r="O50" s="121">
        <f t="shared" si="9"/>
        <v>16136</v>
      </c>
      <c r="Q50" s="270">
        <f>IF([1]RENAME!$H$3=0,A103,TEXT(A102,"[$-en-US]mmm-aa;@"))</f>
        <v>45352</v>
      </c>
      <c r="R50" s="118">
        <f>+'[3]10 Imob NL'!$D$88</f>
        <v>108982</v>
      </c>
      <c r="S50" s="118">
        <f>+'[3]10 Imob NL'!$F$88</f>
        <v>56226</v>
      </c>
      <c r="T50" s="118">
        <f>'[3]10 Imob NL'!$H$88</f>
        <v>773</v>
      </c>
      <c r="U50" s="118">
        <f>'[3]10 Imob NL'!$J$88</f>
        <v>6434</v>
      </c>
      <c r="V50" s="118">
        <f>'[3]10 Imob NL'!$L$88</f>
        <v>90346</v>
      </c>
      <c r="W50" s="118">
        <f>'[3]10 Imob NL'!$N$88</f>
        <v>4333</v>
      </c>
      <c r="X50" s="118">
        <f>'[3]10 Imob NL'!$P$88</f>
        <v>21812</v>
      </c>
      <c r="Y50" s="118">
        <f>'[3]10 Imob NL'!$R$88</f>
        <v>4371</v>
      </c>
      <c r="Z50" s="118">
        <f>'[3]10 Imob NL'!$T$88</f>
        <v>36295</v>
      </c>
      <c r="AA50" s="121">
        <f>+SUM(R50:Z50)</f>
        <v>329572</v>
      </c>
      <c r="AB50" s="325">
        <v>17408</v>
      </c>
    </row>
    <row r="51" spans="1:28" ht="15" customHeight="1" x14ac:dyDescent="0.2">
      <c r="A51" t="s">
        <v>2139</v>
      </c>
      <c r="B51" t="s">
        <v>2142</v>
      </c>
      <c r="D51" s="271" t="str">
        <f>IF([1]RENAME!$H$3=1,B51,A51)</f>
        <v>2T24</v>
      </c>
      <c r="E51" s="118">
        <v>0</v>
      </c>
      <c r="F51" s="118">
        <v>0</v>
      </c>
      <c r="G51" s="118">
        <v>133</v>
      </c>
      <c r="H51" s="118">
        <v>242</v>
      </c>
      <c r="I51" s="118">
        <v>5337</v>
      </c>
      <c r="J51" s="118">
        <v>325</v>
      </c>
      <c r="K51" s="118">
        <v>2374</v>
      </c>
      <c r="L51" s="118">
        <v>489</v>
      </c>
      <c r="M51" s="118">
        <v>0</v>
      </c>
      <c r="N51" s="325">
        <v>3160</v>
      </c>
      <c r="O51" s="121">
        <f t="shared" si="9"/>
        <v>12060</v>
      </c>
      <c r="Q51" s="270">
        <f>IF([1]RENAME!$H$3=0,A104,TEXT(A103,"[$-en-US]mmm-aa;@"))</f>
        <v>45444</v>
      </c>
      <c r="R51" s="118">
        <v>63138</v>
      </c>
      <c r="S51" s="118">
        <v>62827</v>
      </c>
      <c r="T51" s="118">
        <v>1663</v>
      </c>
      <c r="U51" s="118">
        <v>8529</v>
      </c>
      <c r="V51" s="118">
        <v>77869</v>
      </c>
      <c r="W51" s="118">
        <v>4269</v>
      </c>
      <c r="X51" s="118">
        <v>12038</v>
      </c>
      <c r="Y51" s="118">
        <v>7176</v>
      </c>
      <c r="Z51" s="118">
        <v>662</v>
      </c>
      <c r="AA51" s="121">
        <f t="shared" ref="AA51:AA57" si="10">+SUM(R51:Z51)</f>
        <v>238171</v>
      </c>
      <c r="AB51" s="325">
        <v>16237</v>
      </c>
    </row>
    <row r="52" spans="1:28" ht="15" customHeight="1" x14ac:dyDescent="0.2">
      <c r="A52" t="s">
        <v>2140</v>
      </c>
      <c r="B52" t="s">
        <v>2143</v>
      </c>
      <c r="D52" s="271" t="str">
        <f>IF([1]RENAME!$H$3=1,B52,A52)</f>
        <v>3T24</v>
      </c>
      <c r="E52" s="118">
        <v>0</v>
      </c>
      <c r="F52" s="118">
        <v>0</v>
      </c>
      <c r="G52" s="118">
        <v>122</v>
      </c>
      <c r="H52" s="118">
        <v>383</v>
      </c>
      <c r="I52" s="118">
        <v>905</v>
      </c>
      <c r="J52" s="118">
        <v>93</v>
      </c>
      <c r="K52" s="118">
        <v>5252</v>
      </c>
      <c r="L52" s="118">
        <v>357</v>
      </c>
      <c r="M52" s="118">
        <v>24</v>
      </c>
      <c r="N52" s="325">
        <v>5437</v>
      </c>
      <c r="O52" s="121">
        <f t="shared" si="9"/>
        <v>12573</v>
      </c>
      <c r="Q52" s="270">
        <f>IF([1]RENAME!$H$3=0,A105,TEXT(A104,"[$-en-US]mmm-aa;@"))</f>
        <v>45536</v>
      </c>
      <c r="R52" s="118">
        <v>63138</v>
      </c>
      <c r="S52" s="118">
        <v>62002</v>
      </c>
      <c r="T52" s="118">
        <v>1591</v>
      </c>
      <c r="U52" s="118">
        <v>8544</v>
      </c>
      <c r="V52" s="118">
        <v>77192</v>
      </c>
      <c r="W52" s="118">
        <v>4191</v>
      </c>
      <c r="X52" s="118">
        <v>16079</v>
      </c>
      <c r="Y52" s="118">
        <v>6287</v>
      </c>
      <c r="Z52" s="118">
        <v>686</v>
      </c>
      <c r="AA52" s="121">
        <f t="shared" si="10"/>
        <v>239710</v>
      </c>
      <c r="AB52" s="325">
        <v>16237</v>
      </c>
    </row>
    <row r="53" spans="1:28" ht="15" customHeight="1" x14ac:dyDescent="0.2">
      <c r="A53" t="s">
        <v>2141</v>
      </c>
      <c r="B53" t="s">
        <v>2144</v>
      </c>
      <c r="D53" s="271" t="str">
        <f>IF([1]RENAME!$H$3=1,B53,A53)</f>
        <v>4T24</v>
      </c>
      <c r="E53" s="118">
        <v>0</v>
      </c>
      <c r="F53" s="118">
        <v>0</v>
      </c>
      <c r="G53" s="118">
        <v>34</v>
      </c>
      <c r="H53" s="118">
        <v>107</v>
      </c>
      <c r="I53" s="118">
        <v>3942</v>
      </c>
      <c r="J53" s="118">
        <v>36</v>
      </c>
      <c r="K53" s="118">
        <v>1781</v>
      </c>
      <c r="L53" s="118">
        <v>906</v>
      </c>
      <c r="M53" s="118">
        <v>5155</v>
      </c>
      <c r="N53" s="325">
        <v>4841</v>
      </c>
      <c r="O53" s="121">
        <f t="shared" si="9"/>
        <v>16802</v>
      </c>
      <c r="Q53" s="270">
        <f>IF([1]RENAME!$H$3=0,A106,TEXT(A105,"[$-en-US]mmm-aa;@"))</f>
        <v>45627</v>
      </c>
      <c r="R53" s="118">
        <v>63138</v>
      </c>
      <c r="S53" s="118">
        <v>61177</v>
      </c>
      <c r="T53" s="118">
        <v>1439</v>
      </c>
      <c r="U53" s="118">
        <v>8274</v>
      </c>
      <c r="V53" s="118">
        <v>79034</v>
      </c>
      <c r="W53" s="118">
        <v>4013</v>
      </c>
      <c r="X53" s="118">
        <v>16351</v>
      </c>
      <c r="Y53" s="118">
        <v>6345</v>
      </c>
      <c r="Z53" s="118">
        <v>5842</v>
      </c>
      <c r="AA53" s="121">
        <f t="shared" si="10"/>
        <v>245613</v>
      </c>
      <c r="AB53" s="325">
        <v>29385</v>
      </c>
    </row>
    <row r="54" spans="1:28" ht="15" customHeight="1" x14ac:dyDescent="0.2">
      <c r="A54" t="s">
        <v>2238</v>
      </c>
      <c r="B54" t="s">
        <v>2239</v>
      </c>
      <c r="D54" s="271" t="str">
        <f>IF([1]RENAME!$H$3=1,B54,A54)</f>
        <v>1T25</v>
      </c>
      <c r="E54" s="118">
        <v>0</v>
      </c>
      <c r="F54" s="118">
        <v>0</v>
      </c>
      <c r="G54" s="118">
        <v>10</v>
      </c>
      <c r="H54" s="118">
        <v>17</v>
      </c>
      <c r="I54" s="118">
        <v>211</v>
      </c>
      <c r="J54" s="118">
        <v>29</v>
      </c>
      <c r="K54" s="118">
        <v>1438</v>
      </c>
      <c r="L54" s="118">
        <v>446</v>
      </c>
      <c r="M54" s="118">
        <v>2121</v>
      </c>
      <c r="N54" s="325">
        <v>5672</v>
      </c>
      <c r="O54" s="121">
        <f t="shared" si="9"/>
        <v>9944</v>
      </c>
      <c r="Q54" s="270">
        <f>IF([1]RENAME!$H$3=0,A107,TEXT(A106,"[$-en-US]mmm-aa;@"))</f>
        <v>45717</v>
      </c>
      <c r="R54" s="118">
        <v>63138</v>
      </c>
      <c r="S54" s="118">
        <v>60352</v>
      </c>
      <c r="T54" s="118">
        <v>1265</v>
      </c>
      <c r="U54" s="118">
        <v>7913</v>
      </c>
      <c r="V54" s="118">
        <v>77182</v>
      </c>
      <c r="W54" s="118">
        <v>3863</v>
      </c>
      <c r="X54" s="118">
        <v>16266</v>
      </c>
      <c r="Y54" s="118">
        <v>6057</v>
      </c>
      <c r="Z54" s="118">
        <v>7959</v>
      </c>
      <c r="AA54" s="121">
        <f t="shared" si="10"/>
        <v>243995</v>
      </c>
      <c r="AB54" s="325">
        <v>29646</v>
      </c>
    </row>
    <row r="55" spans="1:28" ht="15" customHeight="1" x14ac:dyDescent="0.2">
      <c r="A55" t="s">
        <v>2240</v>
      </c>
      <c r="B55" t="s">
        <v>2241</v>
      </c>
      <c r="D55" s="271" t="str">
        <f>IF([1]RENAME!$H$3=1,B55,A55)</f>
        <v>2T25</v>
      </c>
      <c r="E55" s="118">
        <v>0</v>
      </c>
      <c r="F55" s="118">
        <v>0</v>
      </c>
      <c r="G55" s="118">
        <v>2</v>
      </c>
      <c r="H55" s="118">
        <v>151</v>
      </c>
      <c r="I55" s="118">
        <v>-1</v>
      </c>
      <c r="J55" s="118">
        <v>100</v>
      </c>
      <c r="K55" s="118">
        <v>1248</v>
      </c>
      <c r="L55" s="118">
        <v>267</v>
      </c>
      <c r="M55" s="118">
        <v>6810</v>
      </c>
      <c r="N55" s="325">
        <v>2589</v>
      </c>
      <c r="O55" s="121">
        <v>11166</v>
      </c>
      <c r="Q55" s="270">
        <f>IF([1]RENAME!$H$3=0,A108,TEXT(A107,"[$-en-US]mmm-aa;@"))</f>
        <v>45809</v>
      </c>
      <c r="R55" s="118">
        <v>63138</v>
      </c>
      <c r="S55" s="118">
        <v>59527</v>
      </c>
      <c r="T55" s="118">
        <v>1084</v>
      </c>
      <c r="U55" s="118">
        <v>7686</v>
      </c>
      <c r="V55" s="118">
        <v>75851</v>
      </c>
      <c r="W55" s="118">
        <v>3785</v>
      </c>
      <c r="X55" s="118">
        <v>15883</v>
      </c>
      <c r="Y55" s="118">
        <v>5603</v>
      </c>
      <c r="Z55" s="118">
        <v>14768</v>
      </c>
      <c r="AA55" s="121">
        <f t="shared" si="10"/>
        <v>247325</v>
      </c>
      <c r="AB55" s="325">
        <v>27604</v>
      </c>
    </row>
    <row r="56" spans="1:28" ht="15" customHeight="1" x14ac:dyDescent="0.2">
      <c r="A56" t="s">
        <v>2242</v>
      </c>
      <c r="B56" t="s">
        <v>2243</v>
      </c>
      <c r="D56" s="271" t="str">
        <f>IF([1]RENAME!$H$3=1,B56,A56)</f>
        <v>3T25</v>
      </c>
      <c r="E56" s="118">
        <v>0</v>
      </c>
      <c r="F56" s="118">
        <v>0</v>
      </c>
      <c r="G56" s="118">
        <v>42</v>
      </c>
      <c r="H56" s="118">
        <v>0</v>
      </c>
      <c r="I56" s="118">
        <v>11743</v>
      </c>
      <c r="J56" s="118">
        <v>24</v>
      </c>
      <c r="K56" s="118">
        <v>11</v>
      </c>
      <c r="L56" s="118">
        <v>565</v>
      </c>
      <c r="M56" s="118">
        <v>4425</v>
      </c>
      <c r="N56" s="325">
        <v>1987</v>
      </c>
      <c r="O56" s="121">
        <v>18797</v>
      </c>
      <c r="Q56" s="270">
        <f>IF([1]RENAME!$H$3=0,A109,TEXT(A108,"[$-en-US]mmm-aa;@"))</f>
        <v>45901</v>
      </c>
      <c r="R56" s="118">
        <v>63138</v>
      </c>
      <c r="S56" s="118">
        <v>58701</v>
      </c>
      <c r="T56" s="118">
        <v>965</v>
      </c>
      <c r="U56" s="118">
        <v>7305</v>
      </c>
      <c r="V56" s="118">
        <v>85990</v>
      </c>
      <c r="W56" s="118">
        <v>3650</v>
      </c>
      <c r="X56" s="118">
        <v>14243</v>
      </c>
      <c r="Y56" s="118">
        <v>5379</v>
      </c>
      <c r="Z56" s="118">
        <v>19201</v>
      </c>
      <c r="AA56" s="121">
        <f t="shared" si="10"/>
        <v>258572</v>
      </c>
      <c r="AB56" s="325">
        <v>32100</v>
      </c>
    </row>
    <row r="57" spans="1:28" ht="15" customHeight="1" x14ac:dyDescent="0.2">
      <c r="A57" t="s">
        <v>2244</v>
      </c>
      <c r="B57" t="s">
        <v>2245</v>
      </c>
      <c r="D57" s="271" t="str">
        <f>IF([1]RENAME!$H$3=1,B57,A57)</f>
        <v>4T25</v>
      </c>
      <c r="E57" s="118">
        <v>40205</v>
      </c>
      <c r="F57" s="118">
        <v>27</v>
      </c>
      <c r="G57" s="118">
        <v>51</v>
      </c>
      <c r="H57" s="118">
        <v>155</v>
      </c>
      <c r="I57" s="118">
        <v>6866</v>
      </c>
      <c r="J57" s="118">
        <v>590</v>
      </c>
      <c r="K57" s="118">
        <v>12369</v>
      </c>
      <c r="L57" s="118">
        <v>454</v>
      </c>
      <c r="M57" s="118">
        <v>7465</v>
      </c>
      <c r="N57" s="325">
        <v>4249</v>
      </c>
      <c r="O57" s="121">
        <f>+SUM(E57:N57)</f>
        <v>72431</v>
      </c>
      <c r="Q57" s="270">
        <f>IF([1]RENAME!$H$3=0,A110,TEXT(A109,"[$-en-US]mmm-aa;@"))</f>
        <v>45992</v>
      </c>
      <c r="R57" s="118">
        <v>103343</v>
      </c>
      <c r="S57" s="118">
        <v>57876</v>
      </c>
      <c r="T57" s="118">
        <v>828</v>
      </c>
      <c r="U57" s="118">
        <v>7095</v>
      </c>
      <c r="V57" s="118">
        <v>91081</v>
      </c>
      <c r="W57" s="118">
        <v>4065</v>
      </c>
      <c r="X57" s="118">
        <v>25049</v>
      </c>
      <c r="Y57" s="118">
        <v>5041</v>
      </c>
      <c r="Z57" s="118">
        <v>26663</v>
      </c>
      <c r="AA57" s="121">
        <f t="shared" si="10"/>
        <v>321041</v>
      </c>
      <c r="AB57" s="325">
        <v>31158</v>
      </c>
    </row>
    <row r="58" spans="1:28" ht="15" customHeight="1" x14ac:dyDescent="0.2">
      <c r="A58" t="s">
        <v>2284</v>
      </c>
      <c r="B58" t="s">
        <v>2267</v>
      </c>
      <c r="D58" s="271" t="str">
        <f>IF([1]RENAME!$H$3=1,B58,A58)</f>
        <v>1T26</v>
      </c>
      <c r="E58" s="118">
        <v>1500</v>
      </c>
      <c r="F58" s="118">
        <v>0</v>
      </c>
      <c r="G58" s="118">
        <v>102</v>
      </c>
      <c r="H58" s="118">
        <v>0</v>
      </c>
      <c r="I58" s="118">
        <v>517</v>
      </c>
      <c r="J58" s="118">
        <v>242</v>
      </c>
      <c r="K58" s="118">
        <v>27</v>
      </c>
      <c r="L58" s="118">
        <v>79</v>
      </c>
      <c r="M58" s="118">
        <v>5703</v>
      </c>
      <c r="N58" s="325">
        <v>4059</v>
      </c>
      <c r="O58" s="121">
        <f>+SUM(E58:N58)</f>
        <v>12229</v>
      </c>
      <c r="Q58" s="270">
        <f>IF([1]RENAME!$H$3=0,A111,TEXT(A110,"[$-en-US]mmm-aa;@"))</f>
        <v>46082</v>
      </c>
      <c r="R58" s="118">
        <v>104843</v>
      </c>
      <c r="S58" s="118">
        <v>57051</v>
      </c>
      <c r="T58" s="118">
        <v>818</v>
      </c>
      <c r="U58" s="118">
        <v>6735</v>
      </c>
      <c r="V58" s="118">
        <v>89991</v>
      </c>
      <c r="W58" s="118">
        <v>4094</v>
      </c>
      <c r="X58" s="118">
        <v>22825</v>
      </c>
      <c r="Y58" s="118">
        <v>4397</v>
      </c>
      <c r="Z58" s="118">
        <v>32367</v>
      </c>
      <c r="AA58" s="121">
        <v>323121</v>
      </c>
      <c r="AB58" s="325">
        <v>29715</v>
      </c>
    </row>
    <row r="59" spans="1:28" ht="15" customHeight="1" x14ac:dyDescent="0.2">
      <c r="A59" t="s">
        <v>2285</v>
      </c>
      <c r="B59" t="s">
        <v>2312</v>
      </c>
      <c r="D59" s="271" t="str">
        <f>IF([1]RENAME!$H$3=1,B59,A59)</f>
        <v>2T26</v>
      </c>
      <c r="E59" s="118">
        <f>'[3]10 Imob NL'!$D$82-E58</f>
        <v>4139</v>
      </c>
      <c r="F59" s="118">
        <f>'[3]10 Imob NL'!$F$82-F58</f>
        <v>0</v>
      </c>
      <c r="G59" s="118">
        <f>+SUM('[3]10 Imob NL'!$H$82,'[3]10 Imob NL'!$H$86)-G58</f>
        <v>48</v>
      </c>
      <c r="H59" s="118">
        <f>+SUM('[3]10 Imob NL'!$J$82)-H58</f>
        <v>53</v>
      </c>
      <c r="I59" s="118">
        <f>+SUM('[3]10 Imob NL'!$L$82,'[3]10 Imob NL'!$L$86)-I58</f>
        <v>2000</v>
      </c>
      <c r="J59" s="118">
        <f>+SUM('[3]10 Imob NL'!$N$82)-J58</f>
        <v>435</v>
      </c>
      <c r="K59" s="118">
        <f>+SUM('[3]10 Imob NL'!$P$82)-K58</f>
        <v>1199</v>
      </c>
      <c r="L59" s="118">
        <f>+SUM('[3]10 Imob NL'!$R$82,'[3]10 Imob NL'!$R$86)-L58</f>
        <v>684</v>
      </c>
      <c r="M59" s="118">
        <f>+SUM('[3]10 Imob NL'!$T$82)-M58</f>
        <v>4039</v>
      </c>
      <c r="N59" s="325">
        <f>'[3]11 Intang NL'!$AT$53-N58</f>
        <v>2209</v>
      </c>
      <c r="O59" s="121">
        <f>+SUM(E59:N59)</f>
        <v>14806</v>
      </c>
      <c r="Q59" s="270">
        <f>IF([1]RENAME!$H$3=0,A112,TEXT(A111,"[$-en-US]mmm-aa;@"))</f>
        <v>46174</v>
      </c>
      <c r="R59" s="118">
        <f>+'[3]10 Imob NL'!$D$88</f>
        <v>108982</v>
      </c>
      <c r="S59" s="118">
        <f>+'[3]10 Imob NL'!$F$88</f>
        <v>56226</v>
      </c>
      <c r="T59" s="118">
        <f>'[3]10 Imob NL'!$H$88</f>
        <v>773</v>
      </c>
      <c r="U59" s="118">
        <f>'[3]10 Imob NL'!$J$88</f>
        <v>6434</v>
      </c>
      <c r="V59" s="118">
        <f>'[3]10 Imob NL'!$L$88</f>
        <v>90346</v>
      </c>
      <c r="W59" s="118">
        <f>'[3]10 Imob NL'!$N$88</f>
        <v>4333</v>
      </c>
      <c r="X59" s="118">
        <f>'[3]10 Imob NL'!$P$88</f>
        <v>21812</v>
      </c>
      <c r="Y59" s="118">
        <f>'[3]10 Imob NL'!$R$88</f>
        <v>4371</v>
      </c>
      <c r="Z59" s="118">
        <f>'[3]10 Imob NL'!$T$88</f>
        <v>36295</v>
      </c>
      <c r="AA59" s="121">
        <f>+SUM(R59:Z59)</f>
        <v>329572</v>
      </c>
      <c r="AB59" s="325">
        <f>+Intangível!HN7</f>
        <v>28240</v>
      </c>
    </row>
    <row r="60" spans="1:28" x14ac:dyDescent="0.2">
      <c r="A60" s="678">
        <v>41426</v>
      </c>
    </row>
    <row r="61" spans="1:28" x14ac:dyDescent="0.2">
      <c r="A61" s="678">
        <v>41518</v>
      </c>
    </row>
    <row r="62" spans="1:28" x14ac:dyDescent="0.2">
      <c r="A62" s="678">
        <v>41609</v>
      </c>
      <c r="D62"/>
      <c r="O62"/>
    </row>
    <row r="63" spans="1:28" x14ac:dyDescent="0.2">
      <c r="A63" s="678">
        <v>41699</v>
      </c>
      <c r="D63"/>
      <c r="O63"/>
    </row>
    <row r="64" spans="1:28" x14ac:dyDescent="0.2">
      <c r="A64" s="678">
        <v>41791</v>
      </c>
      <c r="D64"/>
      <c r="O64"/>
    </row>
    <row r="65" spans="1:17" hidden="1" x14ac:dyDescent="0.2">
      <c r="A65" s="678">
        <v>41883</v>
      </c>
      <c r="D65"/>
      <c r="O65"/>
    </row>
    <row r="66" spans="1:17" hidden="1" x14ac:dyDescent="0.2">
      <c r="A66" s="678">
        <v>41974</v>
      </c>
      <c r="D66"/>
      <c r="O66"/>
    </row>
    <row r="67" spans="1:17" x14ac:dyDescent="0.2">
      <c r="A67" s="678">
        <v>42064</v>
      </c>
      <c r="D67"/>
      <c r="O67"/>
    </row>
    <row r="68" spans="1:17" x14ac:dyDescent="0.2">
      <c r="A68" s="678">
        <v>42156</v>
      </c>
      <c r="D68"/>
      <c r="O68"/>
    </row>
    <row r="69" spans="1:17" x14ac:dyDescent="0.2">
      <c r="A69" s="678">
        <v>42248</v>
      </c>
      <c r="D69"/>
      <c r="O69"/>
    </row>
    <row r="70" spans="1:17" x14ac:dyDescent="0.2">
      <c r="A70" s="678">
        <v>42339</v>
      </c>
      <c r="D70"/>
      <c r="O70"/>
    </row>
    <row r="71" spans="1:17" x14ac:dyDescent="0.2">
      <c r="A71" s="678">
        <v>42430</v>
      </c>
      <c r="D71"/>
      <c r="O71"/>
    </row>
    <row r="72" spans="1:17" x14ac:dyDescent="0.2">
      <c r="A72" s="678">
        <v>42522</v>
      </c>
      <c r="D72"/>
      <c r="O72"/>
    </row>
    <row r="73" spans="1:17" x14ac:dyDescent="0.2">
      <c r="A73" s="678">
        <v>42614</v>
      </c>
      <c r="D73"/>
      <c r="O73"/>
    </row>
    <row r="74" spans="1:17" x14ac:dyDescent="0.2">
      <c r="A74" s="678">
        <v>42705</v>
      </c>
    </row>
    <row r="75" spans="1:17" x14ac:dyDescent="0.2">
      <c r="A75" s="678">
        <v>42795</v>
      </c>
      <c r="D75"/>
      <c r="O75"/>
      <c r="Q75"/>
    </row>
    <row r="76" spans="1:17" x14ac:dyDescent="0.2">
      <c r="A76" s="678">
        <v>42887</v>
      </c>
      <c r="D76"/>
      <c r="O76"/>
      <c r="Q76"/>
    </row>
    <row r="77" spans="1:17" x14ac:dyDescent="0.2">
      <c r="A77" s="678">
        <v>42979</v>
      </c>
      <c r="D77"/>
      <c r="O77"/>
      <c r="Q77"/>
    </row>
    <row r="78" spans="1:17" x14ac:dyDescent="0.2">
      <c r="A78" s="678">
        <v>43070</v>
      </c>
      <c r="D78"/>
      <c r="O78"/>
      <c r="Q78"/>
    </row>
    <row r="79" spans="1:17" x14ac:dyDescent="0.2">
      <c r="A79" s="678">
        <v>43160</v>
      </c>
      <c r="D79"/>
      <c r="O79"/>
      <c r="Q79"/>
    </row>
    <row r="80" spans="1:17" x14ac:dyDescent="0.2">
      <c r="A80" s="678">
        <v>43252</v>
      </c>
      <c r="D80"/>
      <c r="O80"/>
      <c r="Q80"/>
    </row>
    <row r="81" spans="1:17" x14ac:dyDescent="0.2">
      <c r="A81" s="678">
        <v>43344</v>
      </c>
      <c r="D81"/>
      <c r="O81"/>
      <c r="Q81"/>
    </row>
    <row r="82" spans="1:17" x14ac:dyDescent="0.2">
      <c r="A82" s="678">
        <v>43435</v>
      </c>
    </row>
    <row r="83" spans="1:17" x14ac:dyDescent="0.2">
      <c r="A83" s="678">
        <v>43525</v>
      </c>
    </row>
    <row r="84" spans="1:17" x14ac:dyDescent="0.2">
      <c r="A84" s="678">
        <v>43617</v>
      </c>
    </row>
    <row r="85" spans="1:17" x14ac:dyDescent="0.2">
      <c r="A85" s="678">
        <v>43709</v>
      </c>
    </row>
    <row r="86" spans="1:17" x14ac:dyDescent="0.2">
      <c r="A86" s="678">
        <v>43800</v>
      </c>
    </row>
    <row r="87" spans="1:17" x14ac:dyDescent="0.2">
      <c r="A87" s="678">
        <v>43891</v>
      </c>
    </row>
    <row r="88" spans="1:17" x14ac:dyDescent="0.2">
      <c r="A88" s="678">
        <v>43983</v>
      </c>
    </row>
    <row r="89" spans="1:17" x14ac:dyDescent="0.2">
      <c r="A89" s="678">
        <v>44075</v>
      </c>
    </row>
    <row r="90" spans="1:17" x14ac:dyDescent="0.2">
      <c r="A90" s="678">
        <v>44166</v>
      </c>
    </row>
    <row r="91" spans="1:17" x14ac:dyDescent="0.2">
      <c r="A91" s="678">
        <v>44256</v>
      </c>
    </row>
    <row r="92" spans="1:17" x14ac:dyDescent="0.2">
      <c r="A92" s="678">
        <v>44348</v>
      </c>
    </row>
    <row r="93" spans="1:17" x14ac:dyDescent="0.2">
      <c r="A93" s="678">
        <v>44440</v>
      </c>
    </row>
    <row r="94" spans="1:17" x14ac:dyDescent="0.2">
      <c r="A94" s="678">
        <v>44531</v>
      </c>
    </row>
    <row r="95" spans="1:17" x14ac:dyDescent="0.2">
      <c r="A95" s="678">
        <v>44621</v>
      </c>
    </row>
    <row r="96" spans="1:17" x14ac:dyDescent="0.2">
      <c r="A96" s="678">
        <v>44713</v>
      </c>
    </row>
    <row r="97" spans="1:1" x14ac:dyDescent="0.2">
      <c r="A97" s="678">
        <v>44805</v>
      </c>
    </row>
    <row r="98" spans="1:1" x14ac:dyDescent="0.2">
      <c r="A98" s="678">
        <v>44896</v>
      </c>
    </row>
    <row r="99" spans="1:1" x14ac:dyDescent="0.2">
      <c r="A99" s="678">
        <v>44986</v>
      </c>
    </row>
    <row r="100" spans="1:1" x14ac:dyDescent="0.2">
      <c r="A100" s="678">
        <v>45078</v>
      </c>
    </row>
    <row r="101" spans="1:1" x14ac:dyDescent="0.2">
      <c r="A101" s="678">
        <v>45170</v>
      </c>
    </row>
    <row r="102" spans="1:1" x14ac:dyDescent="0.2">
      <c r="A102" s="678">
        <v>45261</v>
      </c>
    </row>
    <row r="103" spans="1:1" x14ac:dyDescent="0.2">
      <c r="A103" s="678">
        <v>45352</v>
      </c>
    </row>
    <row r="104" spans="1:1" x14ac:dyDescent="0.2">
      <c r="A104" s="678">
        <v>45444</v>
      </c>
    </row>
    <row r="105" spans="1:1" x14ac:dyDescent="0.2">
      <c r="A105" s="678">
        <v>45536</v>
      </c>
    </row>
    <row r="106" spans="1:1" x14ac:dyDescent="0.2">
      <c r="A106" s="678">
        <v>45627</v>
      </c>
    </row>
    <row r="107" spans="1:1" x14ac:dyDescent="0.2">
      <c r="A107" s="678">
        <v>45717</v>
      </c>
    </row>
    <row r="108" spans="1:1" x14ac:dyDescent="0.2">
      <c r="A108" s="678">
        <v>45809</v>
      </c>
    </row>
    <row r="109" spans="1:1" x14ac:dyDescent="0.2">
      <c r="A109" s="678">
        <v>45901</v>
      </c>
    </row>
    <row r="110" spans="1:1" x14ac:dyDescent="0.2">
      <c r="A110" s="678">
        <v>45992</v>
      </c>
    </row>
    <row r="111" spans="1:1" x14ac:dyDescent="0.2">
      <c r="A111" s="678">
        <v>46082</v>
      </c>
    </row>
    <row r="112" spans="1:1" x14ac:dyDescent="0.2">
      <c r="A112" s="678">
        <v>46174</v>
      </c>
    </row>
  </sheetData>
  <phoneticPr fontId="186" type="noConversion"/>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40">
    <pageSetUpPr autoPageBreaks="0"/>
  </sheetPr>
  <dimension ref="A1:BC55"/>
  <sheetViews>
    <sheetView showGridLines="0" workbookViewId="0">
      <pane xSplit="4" ySplit="5" topLeftCell="AL12" activePane="bottomRight" state="frozen"/>
      <selection activeCell="AY7" sqref="AY7"/>
      <selection pane="topRight" activeCell="AY7" sqref="AY7"/>
      <selection pane="bottomLeft" activeCell="AY7" sqref="AY7"/>
      <selection pane="bottomRight" activeCell="BC26" sqref="BC26"/>
    </sheetView>
  </sheetViews>
  <sheetFormatPr defaultRowHeight="12.75" x14ac:dyDescent="0.2"/>
  <cols>
    <col min="1" max="2" width="9.140625" hidden="1" customWidth="1"/>
    <col min="3" max="3" width="1.42578125" customWidth="1"/>
    <col min="4" max="4" width="45.5703125" customWidth="1"/>
    <col min="5" max="54" width="10.85546875" customWidth="1"/>
  </cols>
  <sheetData>
    <row r="1" spans="1:55" s="547" customFormat="1" ht="7.5" customHeight="1" x14ac:dyDescent="0.2">
      <c r="E1" s="547">
        <v>2013</v>
      </c>
      <c r="F1" s="547" t="s">
        <v>45</v>
      </c>
      <c r="G1" s="547" t="str">
        <f>IF(LEFT(F1,1)="4","1T"&amp;RIGHT(F1,2)+1,LEFT(F1,1)+1&amp;RIGHT(F1,3))</f>
        <v>2T14</v>
      </c>
      <c r="H1" s="547" t="str">
        <f t="shared" ref="H1:W1" si="0">IF(LEFT(G1,1)="4","1T"&amp;RIGHT(G1,2)+1,LEFT(G1,1)+1&amp;RIGHT(G1,3))</f>
        <v>3T14</v>
      </c>
      <c r="I1" s="547" t="str">
        <f t="shared" si="0"/>
        <v>4T14</v>
      </c>
      <c r="J1" s="547" t="str">
        <f t="shared" si="0"/>
        <v>1T15</v>
      </c>
      <c r="K1" s="547" t="str">
        <f t="shared" si="0"/>
        <v>2T15</v>
      </c>
      <c r="L1" s="547" t="str">
        <f t="shared" si="0"/>
        <v>3T15</v>
      </c>
      <c r="M1" s="547" t="str">
        <f t="shared" si="0"/>
        <v>4T15</v>
      </c>
      <c r="N1" s="547" t="str">
        <f t="shared" si="0"/>
        <v>1T16</v>
      </c>
      <c r="O1" s="547" t="str">
        <f t="shared" si="0"/>
        <v>2T16</v>
      </c>
      <c r="P1" s="547" t="str">
        <f t="shared" si="0"/>
        <v>3T16</v>
      </c>
      <c r="Q1" s="547" t="str">
        <f t="shared" si="0"/>
        <v>4T16</v>
      </c>
      <c r="R1" s="547" t="str">
        <f t="shared" si="0"/>
        <v>1T17</v>
      </c>
      <c r="S1" s="547" t="str">
        <f t="shared" si="0"/>
        <v>2T17</v>
      </c>
      <c r="T1" s="547" t="str">
        <f t="shared" si="0"/>
        <v>3T17</v>
      </c>
      <c r="U1" s="547" t="str">
        <f t="shared" si="0"/>
        <v>4T17</v>
      </c>
      <c r="V1" s="547" t="str">
        <f t="shared" si="0"/>
        <v>1T18</v>
      </c>
      <c r="W1" s="547" t="str">
        <f t="shared" si="0"/>
        <v>2T18</v>
      </c>
      <c r="X1" s="547" t="str">
        <f>IF(LEFT(W1,1)="4","1T"&amp;RIGHT(W1,2)+1,LEFT(W1,1)+1&amp;RIGHT(W1,3))</f>
        <v>3T18</v>
      </c>
      <c r="Y1" s="547" t="str">
        <f>IF(LEFT(X1,1)="4","1T"&amp;RIGHT(X1,2)+1,LEFT(X1,1)+1&amp;RIGHT(X1,3))</f>
        <v>4T18</v>
      </c>
      <c r="Z1" s="547" t="str">
        <f>IF(LEFT(Y1,1)="4","1T"&amp;RIGHT(Y1,2)+1,LEFT(Y1,1)+1&amp;RIGHT(Y1,3))</f>
        <v>1T19</v>
      </c>
      <c r="AA1" s="547" t="str">
        <f>IF(LEFT(Z1,1)="4","1T"&amp;RIGHT(Z1,2)+1,LEFT(Z1,1)+1&amp;RIGHT(Z1,3))</f>
        <v>2T19</v>
      </c>
      <c r="AB1" s="547" t="str">
        <f>IF(LEFT(AA1,1)="4","1T"&amp;RIGHT(AA1,2)+1,LEFT(AA1,1)+1&amp;RIGHT(AA1,3))</f>
        <v>3T19</v>
      </c>
      <c r="AC1" s="547" t="s">
        <v>1411</v>
      </c>
      <c r="AD1" s="547" t="str">
        <f t="shared" ref="AD1:AK1" si="1">IF(LEFT(AC1,1)="4","1T"&amp;RIGHT(AC1,2)+1,LEFT(AC1,1)+1&amp;RIGHT(AC1,3))</f>
        <v>1T20</v>
      </c>
      <c r="AE1" s="547" t="str">
        <f t="shared" si="1"/>
        <v>2T20</v>
      </c>
      <c r="AF1" s="547" t="str">
        <f t="shared" si="1"/>
        <v>3T20</v>
      </c>
      <c r="AG1" s="547" t="str">
        <f t="shared" si="1"/>
        <v>4T20</v>
      </c>
      <c r="AH1" s="547" t="str">
        <f t="shared" si="1"/>
        <v>1T21</v>
      </c>
      <c r="AI1" s="547" t="str">
        <f t="shared" si="1"/>
        <v>2T21</v>
      </c>
      <c r="AJ1" s="547" t="str">
        <f t="shared" si="1"/>
        <v>3T21</v>
      </c>
      <c r="AK1" s="547" t="str">
        <f t="shared" si="1"/>
        <v>4T21</v>
      </c>
      <c r="AL1" s="547" t="str">
        <f t="shared" ref="AL1:AT1" si="2">IF(LEFT(AK1,1)="4","1T"&amp;RIGHT(AK1,2)+1,LEFT(AK1,1)+1&amp;RIGHT(AK1,3))</f>
        <v>1T22</v>
      </c>
      <c r="AM1" s="547" t="str">
        <f t="shared" si="2"/>
        <v>2T22</v>
      </c>
      <c r="AN1" s="547" t="str">
        <f t="shared" si="2"/>
        <v>3T22</v>
      </c>
      <c r="AO1" s="547" t="str">
        <f t="shared" si="2"/>
        <v>4T22</v>
      </c>
      <c r="AP1" s="547" t="str">
        <f t="shared" si="2"/>
        <v>1T23</v>
      </c>
      <c r="AQ1" s="547" t="str">
        <f t="shared" si="2"/>
        <v>2T23</v>
      </c>
      <c r="AR1" s="547" t="str">
        <f t="shared" si="2"/>
        <v>3T23</v>
      </c>
      <c r="AS1" s="547" t="str">
        <f t="shared" si="2"/>
        <v>4T23</v>
      </c>
      <c r="AT1" s="547" t="str">
        <f t="shared" si="2"/>
        <v>1T24</v>
      </c>
      <c r="AU1" s="547" t="str">
        <f t="shared" ref="AU1:BC1" si="3">IF(LEFT(AT1,1)="4","1T"&amp;RIGHT(AT1,2)+1,LEFT(AT1,1)+1&amp;RIGHT(AT1,3))</f>
        <v>2T24</v>
      </c>
      <c r="AV1" s="547" t="str">
        <f t="shared" si="3"/>
        <v>3T24</v>
      </c>
      <c r="AW1" s="547" t="str">
        <f t="shared" si="3"/>
        <v>4T24</v>
      </c>
      <c r="AX1" s="547" t="str">
        <f t="shared" si="3"/>
        <v>1T25</v>
      </c>
      <c r="AY1" s="547" t="str">
        <f t="shared" si="3"/>
        <v>2T25</v>
      </c>
      <c r="AZ1" s="547" t="str">
        <f t="shared" si="3"/>
        <v>3T25</v>
      </c>
      <c r="BA1" s="547" t="str">
        <f t="shared" si="3"/>
        <v>4T25</v>
      </c>
      <c r="BB1" s="547" t="str">
        <f t="shared" si="3"/>
        <v>1T26</v>
      </c>
      <c r="BC1" s="547" t="str">
        <f t="shared" si="3"/>
        <v>2T26</v>
      </c>
    </row>
    <row r="2" spans="1:55" s="547" customFormat="1" ht="12.75" customHeight="1" x14ac:dyDescent="0.2">
      <c r="E2" s="547" t="str">
        <f>SUBSTITUTE(E1,"T","Q")</f>
        <v>2013</v>
      </c>
      <c r="F2" s="547" t="str">
        <f>SUBSTITUTE(F1,"T","Q")</f>
        <v>1Q14</v>
      </c>
      <c r="G2" s="547" t="str">
        <f>SUBSTITUTE(G1,"T","Q")</f>
        <v>2Q14</v>
      </c>
      <c r="H2" s="547" t="str">
        <f t="shared" ref="H2:T2" si="4">SUBSTITUTE(H1,"T","Q")</f>
        <v>3Q14</v>
      </c>
      <c r="I2" s="547" t="str">
        <f t="shared" si="4"/>
        <v>4Q14</v>
      </c>
      <c r="J2" s="547" t="str">
        <f t="shared" si="4"/>
        <v>1Q15</v>
      </c>
      <c r="K2" s="547" t="str">
        <f t="shared" si="4"/>
        <v>2Q15</v>
      </c>
      <c r="L2" s="547" t="str">
        <f t="shared" si="4"/>
        <v>3Q15</v>
      </c>
      <c r="M2" s="547" t="str">
        <f t="shared" si="4"/>
        <v>4Q15</v>
      </c>
      <c r="N2" s="547" t="str">
        <f t="shared" si="4"/>
        <v>1Q16</v>
      </c>
      <c r="O2" s="547" t="str">
        <f t="shared" si="4"/>
        <v>2Q16</v>
      </c>
      <c r="P2" s="547" t="str">
        <f t="shared" si="4"/>
        <v>3Q16</v>
      </c>
      <c r="Q2" s="547" t="str">
        <f t="shared" si="4"/>
        <v>4Q16</v>
      </c>
      <c r="R2" s="547" t="str">
        <f t="shared" si="4"/>
        <v>1Q17</v>
      </c>
      <c r="S2" s="547" t="str">
        <f t="shared" si="4"/>
        <v>2Q17</v>
      </c>
      <c r="T2" s="547" t="str">
        <f t="shared" si="4"/>
        <v>3Q17</v>
      </c>
      <c r="U2" s="547" t="str">
        <f t="shared" ref="U2:Z2" si="5">SUBSTITUTE(U1,"T","Q")</f>
        <v>4Q17</v>
      </c>
      <c r="V2" s="547" t="str">
        <f t="shared" si="5"/>
        <v>1Q18</v>
      </c>
      <c r="W2" s="547" t="str">
        <f t="shared" si="5"/>
        <v>2Q18</v>
      </c>
      <c r="X2" s="547" t="str">
        <f t="shared" si="5"/>
        <v>3Q18</v>
      </c>
      <c r="Y2" s="547" t="str">
        <f t="shared" si="5"/>
        <v>4Q18</v>
      </c>
      <c r="Z2" s="547" t="str">
        <f t="shared" si="5"/>
        <v>1Q19</v>
      </c>
      <c r="AA2" s="547" t="str">
        <f>SUBSTITUTE(AA1,"T","Q")</f>
        <v>2Q19</v>
      </c>
      <c r="AB2" s="547" t="str">
        <f>SUBSTITUTE(AB1,"T","Q")</f>
        <v>3Q19</v>
      </c>
      <c r="AC2" s="547" t="s">
        <v>1514</v>
      </c>
      <c r="AD2" s="547" t="str">
        <f>SUBSTITUTE(AD1,"T","Q")</f>
        <v>1Q20</v>
      </c>
      <c r="AE2" s="547" t="str">
        <f>SUBSTITUTE(AE1,"T","Q")</f>
        <v>2Q20</v>
      </c>
      <c r="AF2" s="547" t="str">
        <f>SUBSTITUTE(AF1,"T","Q")</f>
        <v>3Q20</v>
      </c>
      <c r="AG2" s="547" t="str">
        <f t="shared" ref="AG2:AM2" si="6">SUBSTITUTE(AG1,"T","Q")</f>
        <v>4Q20</v>
      </c>
      <c r="AH2" s="547" t="str">
        <f t="shared" si="6"/>
        <v>1Q21</v>
      </c>
      <c r="AI2" s="547" t="str">
        <f t="shared" si="6"/>
        <v>2Q21</v>
      </c>
      <c r="AJ2" s="547" t="str">
        <f t="shared" si="6"/>
        <v>3Q21</v>
      </c>
      <c r="AK2" s="547" t="str">
        <f t="shared" si="6"/>
        <v>4Q21</v>
      </c>
      <c r="AL2" s="547" t="str">
        <f t="shared" si="6"/>
        <v>1Q22</v>
      </c>
      <c r="AM2" s="547" t="str">
        <f t="shared" si="6"/>
        <v>2Q22</v>
      </c>
      <c r="AN2" s="547" t="str">
        <f t="shared" ref="AN2:AT2" si="7">SUBSTITUTE(AN1,"T","Q")</f>
        <v>3Q22</v>
      </c>
      <c r="AO2" s="547" t="str">
        <f t="shared" si="7"/>
        <v>4Q22</v>
      </c>
      <c r="AP2" s="547" t="str">
        <f t="shared" si="7"/>
        <v>1Q23</v>
      </c>
      <c r="AQ2" s="547" t="str">
        <f t="shared" si="7"/>
        <v>2Q23</v>
      </c>
      <c r="AR2" s="547" t="str">
        <f t="shared" si="7"/>
        <v>3Q23</v>
      </c>
      <c r="AS2" s="547" t="str">
        <f t="shared" si="7"/>
        <v>4Q23</v>
      </c>
      <c r="AT2" s="547" t="str">
        <f t="shared" si="7"/>
        <v>1Q24</v>
      </c>
      <c r="AU2" s="547" t="str">
        <f t="shared" ref="AU2:BC2" si="8">SUBSTITUTE(AU1,"T","Q")</f>
        <v>2Q24</v>
      </c>
      <c r="AV2" s="547" t="str">
        <f t="shared" si="8"/>
        <v>3Q24</v>
      </c>
      <c r="AW2" s="547" t="str">
        <f t="shared" si="8"/>
        <v>4Q24</v>
      </c>
      <c r="AX2" s="547" t="str">
        <f t="shared" si="8"/>
        <v>1Q25</v>
      </c>
      <c r="AY2" s="547" t="str">
        <f t="shared" si="8"/>
        <v>2Q25</v>
      </c>
      <c r="AZ2" s="547" t="str">
        <f t="shared" si="8"/>
        <v>3Q25</v>
      </c>
      <c r="BA2" s="547" t="str">
        <f t="shared" si="8"/>
        <v>4Q25</v>
      </c>
      <c r="BB2" s="547" t="str">
        <f>SUBSTITUTE(BB1,"T","Q")</f>
        <v>1Q26</v>
      </c>
      <c r="BC2" s="547" t="str">
        <f t="shared" si="8"/>
        <v>2Q26</v>
      </c>
    </row>
    <row r="3" spans="1:55" s="547" customFormat="1" ht="12.75" customHeight="1" x14ac:dyDescent="0.2">
      <c r="Y3" s="809"/>
      <c r="Z3" s="809"/>
      <c r="AA3" s="809"/>
      <c r="AB3" s="809"/>
      <c r="AC3" s="809"/>
      <c r="AD3" s="809"/>
      <c r="AE3" s="809"/>
      <c r="AF3" s="809"/>
      <c r="AG3" s="809"/>
      <c r="AH3" s="809"/>
      <c r="AI3" s="809"/>
      <c r="AJ3" s="809"/>
      <c r="AK3" s="809"/>
      <c r="AL3" s="809"/>
      <c r="AM3" s="809"/>
      <c r="AN3" s="809"/>
      <c r="AO3" s="809"/>
      <c r="AP3" s="809"/>
      <c r="AQ3" s="809"/>
      <c r="AR3" s="809"/>
      <c r="AS3" s="809"/>
      <c r="AT3" s="809"/>
      <c r="AU3" s="809"/>
      <c r="AV3" s="809"/>
      <c r="AW3" s="809"/>
      <c r="AX3" s="809"/>
      <c r="AY3" s="809"/>
      <c r="AZ3" s="809"/>
      <c r="BA3" s="809"/>
      <c r="BB3" s="809"/>
      <c r="BC3" s="809"/>
    </row>
    <row r="4" spans="1:55" ht="12.75" customHeight="1" x14ac:dyDescent="0.2">
      <c r="E4" s="1253" t="str">
        <f>IF([1]RENAME!$H$3=1,"&lt;== with Direct Express","&lt;== Com Direct Express")</f>
        <v>&lt;== Com Direct Express</v>
      </c>
      <c r="F4" s="1254"/>
      <c r="G4" s="224" t="str">
        <f>IF([1]RENAME!$H$3=1,"without Direct Express ==&gt;","Sem Direct Express ==&gt;")</f>
        <v>Sem Direct Express ==&gt;</v>
      </c>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809"/>
      <c r="BA4" s="809"/>
      <c r="BB4" s="809"/>
      <c r="BC4" s="809"/>
    </row>
    <row r="5" spans="1:55" x14ac:dyDescent="0.2">
      <c r="A5" t="s">
        <v>96</v>
      </c>
      <c r="B5" t="s">
        <v>866</v>
      </c>
      <c r="D5" s="145" t="str">
        <f>IF([1]RENAME!$H$3=1,B5,A5)</f>
        <v>Consolidado</v>
      </c>
      <c r="E5" s="247">
        <f>IF([1]RENAME!$H$3=1,E2,E1)</f>
        <v>2013</v>
      </c>
      <c r="F5" s="115" t="str">
        <f>IF([1]RENAME!$H$3=1,F2,F1)</f>
        <v>1T14</v>
      </c>
      <c r="G5" s="222" t="str">
        <f>IF([1]RENAME!$H$3=1,G2,G1)</f>
        <v>2T14</v>
      </c>
      <c r="H5" s="115" t="str">
        <f>IF([1]RENAME!$H$3=1,H2,H1)</f>
        <v>3T14</v>
      </c>
      <c r="I5" s="115" t="str">
        <f>IF([1]RENAME!$H$3=1,I2,I1)</f>
        <v>4T14</v>
      </c>
      <c r="J5" s="115" t="str">
        <f>IF([1]RENAME!$H$3=1,J2,J1)</f>
        <v>1T15</v>
      </c>
      <c r="K5" s="115" t="str">
        <f>IF([1]RENAME!$H$3=1,K2,K1)</f>
        <v>2T15</v>
      </c>
      <c r="L5" s="115" t="str">
        <f>IF([1]RENAME!$H$3=1,L2,L1)</f>
        <v>3T15</v>
      </c>
      <c r="M5" s="115" t="str">
        <f>IF([1]RENAME!$H$3=1,M2,M1)</f>
        <v>4T15</v>
      </c>
      <c r="N5" s="115" t="str">
        <f>IF([1]RENAME!$H$3=1,N2,N1)</f>
        <v>1T16</v>
      </c>
      <c r="O5" s="115" t="str">
        <f>IF([1]RENAME!$H$3=1,O2,O1)</f>
        <v>2T16</v>
      </c>
      <c r="P5" s="115" t="str">
        <f>IF([1]RENAME!$H$3=1,P2,P1)</f>
        <v>3T16</v>
      </c>
      <c r="Q5" s="115" t="str">
        <f>IF([1]RENAME!$H$3=1,Q2,Q1)</f>
        <v>4T16</v>
      </c>
      <c r="R5" s="115" t="str">
        <f>IF([1]RENAME!$H$3=1,R2,R1)</f>
        <v>1T17</v>
      </c>
      <c r="S5" s="115" t="str">
        <f>IF([1]RENAME!$H$3=1,S2,S1)</f>
        <v>2T17</v>
      </c>
      <c r="T5" s="115" t="str">
        <f>IF([1]RENAME!$H$3=1,T2,T1)</f>
        <v>3T17</v>
      </c>
      <c r="U5" s="115" t="str">
        <f>IF([1]RENAME!$H$3=1,U2,U1)</f>
        <v>4T17</v>
      </c>
      <c r="V5" s="115" t="str">
        <f>IF([1]RENAME!$H$3=1,V2,V1)</f>
        <v>1T18</v>
      </c>
      <c r="W5" s="115" t="str">
        <f>IF([1]RENAME!$H$3=1,W2,W1)</f>
        <v>2T18</v>
      </c>
      <c r="X5" s="115" t="str">
        <f>IF([1]RENAME!$H$3=1,X2,X1)</f>
        <v>3T18</v>
      </c>
      <c r="Y5" s="115" t="str">
        <f>IF([1]RENAME!$H$3=1,Y2,Y1)</f>
        <v>4T18</v>
      </c>
      <c r="Z5" s="115" t="str">
        <f>IF([1]RENAME!$H$3=1,Z2,Z1)</f>
        <v>1T19</v>
      </c>
      <c r="AA5" s="115" t="str">
        <f>IF([1]RENAME!$H$3=1,AA2,AA1)</f>
        <v>2T19</v>
      </c>
      <c r="AB5" s="115" t="str">
        <f>IF([1]RENAME!$H$3=1,AB2,AB1)</f>
        <v>3T19</v>
      </c>
      <c r="AC5" s="115" t="str">
        <f>IF([1]RENAME!$H$3=1,AC2,AC1)</f>
        <v>4T19</v>
      </c>
      <c r="AD5" s="115" t="str">
        <f>IF([1]RENAME!$H$3=1,AD2,AD1)</f>
        <v>1T20</v>
      </c>
      <c r="AE5" s="115" t="str">
        <f>IF([1]RENAME!$H$3=1,AE2,AE1)</f>
        <v>2T20</v>
      </c>
      <c r="AF5" s="115" t="str">
        <f>IF([1]RENAME!$H$3=1,AF2,AF1)</f>
        <v>3T20</v>
      </c>
      <c r="AG5" s="115" t="str">
        <f>IF([1]RENAME!$H$3=1,AG2,AG1)</f>
        <v>4T20</v>
      </c>
      <c r="AH5" s="115" t="str">
        <f>IF([1]RENAME!$H$3=1,AH2,AH1)</f>
        <v>1T21</v>
      </c>
      <c r="AI5" s="115" t="str">
        <f>IF([1]RENAME!$H$3=1,AI2,AI1)</f>
        <v>2T21</v>
      </c>
      <c r="AJ5" s="115" t="str">
        <f>IF([1]RENAME!$H$3=1,AJ2,AJ1)</f>
        <v>3T21</v>
      </c>
      <c r="AK5" s="115" t="str">
        <f>IF([1]RENAME!$H$3=1,AK2,AK1)</f>
        <v>4T21</v>
      </c>
      <c r="AL5" s="115" t="str">
        <f>IF([1]RENAME!$H$3=1,AL2,AL1)</f>
        <v>1T22</v>
      </c>
      <c r="AM5" s="115" t="str">
        <f>IF([1]RENAME!$H$3=1,AM2,AM1)</f>
        <v>2T22</v>
      </c>
      <c r="AN5" s="115" t="str">
        <f>IF([1]RENAME!$H$3=1,AN2,AN1)</f>
        <v>3T22</v>
      </c>
      <c r="AO5" s="115" t="str">
        <f>IF([1]RENAME!$H$3=1,AO2,AO1)</f>
        <v>4T22</v>
      </c>
      <c r="AP5" s="115" t="str">
        <f>IF([1]RENAME!$H$3=1,AP2,AP1)</f>
        <v>1T23</v>
      </c>
      <c r="AQ5" s="115" t="str">
        <f>IF([1]RENAME!$H$3=1,AQ2,AQ1)</f>
        <v>2T23</v>
      </c>
      <c r="AR5" s="115" t="str">
        <f>IF([1]RENAME!$H$3=1,AR2,AR1)</f>
        <v>3T23</v>
      </c>
      <c r="AS5" s="115" t="str">
        <f>IF([1]RENAME!$H$3=1,AS2,AS1)</f>
        <v>4T23</v>
      </c>
      <c r="AT5" s="115" t="str">
        <f>IF([1]RENAME!$H$3=1,AT2,AT1)</f>
        <v>1T24</v>
      </c>
      <c r="AU5" s="115" t="str">
        <f>IF([1]RENAME!$H$3=1,AU2,AU1)</f>
        <v>2T24</v>
      </c>
      <c r="AV5" s="115" t="str">
        <f>IF([1]RENAME!$H$3=1,AV2,AV1)</f>
        <v>3T24</v>
      </c>
      <c r="AW5" s="115" t="str">
        <f>IF([1]RENAME!$H$3=1,AW2,AW1)</f>
        <v>4T24</v>
      </c>
      <c r="AX5" s="115" t="str">
        <f>IF([1]RENAME!$H$3=1,AX2,AX1)</f>
        <v>1T25</v>
      </c>
      <c r="AY5" s="115" t="str">
        <f>IF([1]RENAME!$H$3=1,AY2,AY1)</f>
        <v>2T25</v>
      </c>
      <c r="AZ5" s="115" t="str">
        <f>IF([1]RENAME!$H$3=1,AZ2,AZ1)</f>
        <v>3T25</v>
      </c>
      <c r="BA5" s="115" t="str">
        <f>IF([1]RENAME!$H$3=1,BA2,BA1)</f>
        <v>4T25</v>
      </c>
      <c r="BB5" s="247" t="str">
        <f>IF([1]RENAME!$H$3=1,BB2,BB1)</f>
        <v>1T26</v>
      </c>
      <c r="BC5" s="115" t="str">
        <f>IF([1]RENAME!$H$3=1,BC2,BC1)</f>
        <v>2T26</v>
      </c>
    </row>
    <row r="6" spans="1:55" x14ac:dyDescent="0.2">
      <c r="A6" t="s">
        <v>1402</v>
      </c>
      <c r="B6" t="s">
        <v>1403</v>
      </c>
      <c r="D6" s="129" t="str">
        <f>IF([1]RENAME!$H$3=1,B6,A6)</f>
        <v>NCE - Nota de crédito de exportação</v>
      </c>
      <c r="E6" s="118" t="s">
        <v>160</v>
      </c>
      <c r="F6" s="118" t="s">
        <v>160</v>
      </c>
      <c r="G6" s="160" t="s">
        <v>160</v>
      </c>
      <c r="H6" s="118" t="s">
        <v>160</v>
      </c>
      <c r="I6" s="118" t="s">
        <v>160</v>
      </c>
      <c r="J6" s="118" t="s">
        <v>160</v>
      </c>
      <c r="K6" s="118" t="s">
        <v>160</v>
      </c>
      <c r="L6" s="118" t="s">
        <v>160</v>
      </c>
      <c r="M6" s="118" t="s">
        <v>160</v>
      </c>
      <c r="N6" s="118" t="s">
        <v>160</v>
      </c>
      <c r="O6" s="118" t="s">
        <v>160</v>
      </c>
      <c r="P6" s="118" t="s">
        <v>160</v>
      </c>
      <c r="Q6" s="118" t="s">
        <v>160</v>
      </c>
      <c r="R6" s="118" t="s">
        <v>160</v>
      </c>
      <c r="S6" s="260">
        <v>50000</v>
      </c>
      <c r="T6" s="118">
        <v>50309</v>
      </c>
      <c r="U6" s="118">
        <v>50017</v>
      </c>
      <c r="V6" s="118">
        <v>50243</v>
      </c>
      <c r="W6" s="118">
        <v>50020</v>
      </c>
      <c r="X6" s="118">
        <v>10232</v>
      </c>
      <c r="Y6" s="118">
        <v>10015</v>
      </c>
      <c r="Z6" s="118">
        <v>40232</v>
      </c>
      <c r="AA6" s="118">
        <v>37227</v>
      </c>
      <c r="AB6" s="118">
        <v>36828</v>
      </c>
      <c r="AC6" s="118">
        <v>33802</v>
      </c>
      <c r="AD6" s="118">
        <v>33402</v>
      </c>
      <c r="AE6" s="118">
        <v>81112</v>
      </c>
      <c r="AF6" s="118">
        <v>81575</v>
      </c>
      <c r="AG6" s="118">
        <v>80940</v>
      </c>
      <c r="AH6" s="118">
        <v>81438</v>
      </c>
      <c r="AI6" s="118">
        <v>81188</v>
      </c>
      <c r="AJ6" s="118">
        <v>81981</v>
      </c>
      <c r="AK6" s="118">
        <v>82038</v>
      </c>
      <c r="AL6" s="118">
        <v>73150</v>
      </c>
      <c r="AM6" s="118">
        <v>20661</v>
      </c>
      <c r="AN6" s="118">
        <v>20011</v>
      </c>
      <c r="AO6" s="118">
        <v>20710</v>
      </c>
      <c r="AP6" s="118">
        <v>10010</v>
      </c>
      <c r="AQ6" s="118">
        <v>10356</v>
      </c>
      <c r="AR6" s="118">
        <v>40255</v>
      </c>
      <c r="AS6" s="118">
        <v>57352</v>
      </c>
      <c r="AT6" s="118">
        <v>56054</v>
      </c>
      <c r="AU6" s="118">
        <v>46782</v>
      </c>
      <c r="AV6" s="118">
        <v>45479</v>
      </c>
      <c r="AW6" s="118">
        <v>46867</v>
      </c>
      <c r="AX6" s="118">
        <v>45496</v>
      </c>
      <c r="AY6" s="118">
        <v>47204</v>
      </c>
      <c r="AZ6" s="118">
        <v>22821</v>
      </c>
      <c r="BA6" s="118">
        <v>63857</v>
      </c>
      <c r="BB6" s="118">
        <v>64357</v>
      </c>
      <c r="BC6" s="118">
        <f>'[3]12 Emp NL'!$H$8</f>
        <v>66678</v>
      </c>
    </row>
    <row r="7" spans="1:55" x14ac:dyDescent="0.2">
      <c r="A7" t="s">
        <v>273</v>
      </c>
      <c r="B7" t="s">
        <v>273</v>
      </c>
      <c r="D7" s="129" t="str">
        <f>IF([1]RENAME!$H$3=1,B7,A7)</f>
        <v xml:space="preserve">Finame </v>
      </c>
      <c r="E7" s="118">
        <v>16058</v>
      </c>
      <c r="F7" s="118">
        <v>14651</v>
      </c>
      <c r="G7" s="160">
        <v>7673</v>
      </c>
      <c r="H7" s="118">
        <v>6695</v>
      </c>
      <c r="I7" s="118">
        <v>5724</v>
      </c>
      <c r="J7" s="118">
        <v>4844</v>
      </c>
      <c r="K7" s="118">
        <v>3987</v>
      </c>
      <c r="L7" s="118">
        <v>3216</v>
      </c>
      <c r="M7" s="118">
        <v>2476</v>
      </c>
      <c r="N7" s="118">
        <v>2051</v>
      </c>
      <c r="O7" s="118">
        <v>1744</v>
      </c>
      <c r="P7" s="118">
        <v>1445</v>
      </c>
      <c r="Q7" s="118">
        <v>1182</v>
      </c>
      <c r="R7" s="118">
        <v>2263</v>
      </c>
      <c r="S7" s="118">
        <v>5148</v>
      </c>
      <c r="T7" s="118">
        <v>4954</v>
      </c>
      <c r="U7" s="118">
        <v>4730</v>
      </c>
      <c r="V7" s="118">
        <v>4620</v>
      </c>
      <c r="W7" s="118">
        <v>0</v>
      </c>
      <c r="X7" s="118">
        <v>0</v>
      </c>
      <c r="Y7" s="118">
        <v>0</v>
      </c>
      <c r="Z7" s="118">
        <v>0</v>
      </c>
      <c r="AA7" s="118">
        <v>0</v>
      </c>
      <c r="AB7" s="118">
        <v>0</v>
      </c>
      <c r="AC7" s="118">
        <v>0</v>
      </c>
      <c r="AD7" s="118">
        <v>0</v>
      </c>
      <c r="AE7" s="118">
        <v>0</v>
      </c>
      <c r="AF7" s="118">
        <v>0</v>
      </c>
      <c r="AG7" s="118">
        <v>0</v>
      </c>
      <c r="AH7" s="118">
        <v>0</v>
      </c>
      <c r="AI7" s="118">
        <v>0</v>
      </c>
      <c r="AJ7" s="118">
        <v>0</v>
      </c>
      <c r="AK7" s="118">
        <v>0</v>
      </c>
      <c r="AL7" s="118">
        <v>0</v>
      </c>
      <c r="AM7" s="118">
        <v>0</v>
      </c>
      <c r="AN7" s="118">
        <v>0</v>
      </c>
      <c r="AO7" s="118">
        <v>32810</v>
      </c>
      <c r="AP7" s="118">
        <v>33984</v>
      </c>
      <c r="AQ7" s="118">
        <v>32771</v>
      </c>
      <c r="AR7" s="118">
        <v>0</v>
      </c>
      <c r="AS7" s="118">
        <v>44247</v>
      </c>
      <c r="AT7" s="118">
        <v>51163</v>
      </c>
      <c r="AU7" s="118">
        <v>59184</v>
      </c>
      <c r="AV7" s="118">
        <v>60200</v>
      </c>
      <c r="AW7" s="118">
        <v>59129</v>
      </c>
      <c r="AX7" s="118">
        <v>64789</v>
      </c>
      <c r="AY7" s="118">
        <v>64001</v>
      </c>
      <c r="AZ7" s="118">
        <v>62922</v>
      </c>
      <c r="BA7" s="118">
        <v>62093</v>
      </c>
      <c r="BB7" s="118">
        <v>60847</v>
      </c>
      <c r="BC7" s="118">
        <f>'[3]12 Emp NL'!$H$9+'[3]12 Emp NL'!$H$10</f>
        <v>74336</v>
      </c>
    </row>
    <row r="8" spans="1:55" x14ac:dyDescent="0.2">
      <c r="A8" t="s">
        <v>1773</v>
      </c>
      <c r="B8" t="s">
        <v>1774</v>
      </c>
      <c r="D8" s="129" t="str">
        <f>IF([1]RENAME!$H$3=1,B8,A8)</f>
        <v>Resolução 4131 - moeda local</v>
      </c>
      <c r="E8" s="118">
        <v>0</v>
      </c>
      <c r="F8" s="118">
        <v>0</v>
      </c>
      <c r="G8" s="160">
        <v>0</v>
      </c>
      <c r="H8" s="118">
        <v>0</v>
      </c>
      <c r="I8" s="118">
        <v>0</v>
      </c>
      <c r="J8" s="118">
        <v>0</v>
      </c>
      <c r="K8" s="118">
        <v>0</v>
      </c>
      <c r="L8" s="118">
        <v>0</v>
      </c>
      <c r="M8" s="118">
        <v>0</v>
      </c>
      <c r="N8" s="118">
        <v>0</v>
      </c>
      <c r="O8" s="118">
        <v>0</v>
      </c>
      <c r="P8" s="118">
        <v>0</v>
      </c>
      <c r="Q8" s="118">
        <v>0</v>
      </c>
      <c r="R8" s="118">
        <v>0</v>
      </c>
      <c r="S8" s="260">
        <v>0</v>
      </c>
      <c r="T8" s="118">
        <v>0</v>
      </c>
      <c r="U8" s="118">
        <v>0</v>
      </c>
      <c r="V8" s="118">
        <v>0</v>
      </c>
      <c r="W8" s="118">
        <v>0</v>
      </c>
      <c r="X8" s="118">
        <v>0</v>
      </c>
      <c r="Y8" s="118">
        <v>0</v>
      </c>
      <c r="Z8" s="118">
        <v>0</v>
      </c>
      <c r="AA8" s="118">
        <v>0</v>
      </c>
      <c r="AB8" s="118">
        <v>0</v>
      </c>
      <c r="AC8" s="118">
        <v>0</v>
      </c>
      <c r="AD8" s="118">
        <v>0</v>
      </c>
      <c r="AE8" s="118">
        <v>40632</v>
      </c>
      <c r="AF8" s="118">
        <v>81646</v>
      </c>
      <c r="AG8" s="118">
        <v>82708</v>
      </c>
      <c r="AH8" s="118">
        <v>82829</v>
      </c>
      <c r="AI8" s="118">
        <v>40946</v>
      </c>
      <c r="AJ8" s="118">
        <v>40638</v>
      </c>
      <c r="AK8" s="118">
        <v>41656</v>
      </c>
      <c r="AL8" s="118">
        <v>41012</v>
      </c>
      <c r="AM8" s="118">
        <v>42476</v>
      </c>
      <c r="AN8" s="118">
        <v>41308</v>
      </c>
      <c r="AO8" s="118">
        <v>42905</v>
      </c>
      <c r="AP8" s="118">
        <v>41268</v>
      </c>
      <c r="AQ8" s="118">
        <v>42837</v>
      </c>
      <c r="AR8" s="118">
        <v>55551</v>
      </c>
      <c r="AS8" s="118">
        <v>0</v>
      </c>
      <c r="AT8" s="118">
        <v>0</v>
      </c>
      <c r="AU8" s="118">
        <v>0</v>
      </c>
      <c r="AV8" s="118">
        <v>0</v>
      </c>
      <c r="AW8" s="118">
        <v>0</v>
      </c>
      <c r="AX8" s="118">
        <v>0</v>
      </c>
      <c r="AY8" s="118">
        <v>0</v>
      </c>
      <c r="AZ8" s="118">
        <v>0</v>
      </c>
      <c r="BA8" s="118">
        <v>0</v>
      </c>
      <c r="BB8" s="118">
        <v>0</v>
      </c>
      <c r="BC8" s="118">
        <v>0</v>
      </c>
    </row>
    <row r="9" spans="1:55" x14ac:dyDescent="0.2">
      <c r="D9" s="129" t="s">
        <v>2288</v>
      </c>
      <c r="E9" s="118">
        <v>0</v>
      </c>
      <c r="F9" s="118">
        <v>0</v>
      </c>
      <c r="G9" s="118">
        <v>0</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18">
        <v>0</v>
      </c>
      <c r="Y9" s="118">
        <v>0</v>
      </c>
      <c r="Z9" s="118">
        <v>0</v>
      </c>
      <c r="AA9" s="118">
        <v>0</v>
      </c>
      <c r="AB9" s="118">
        <v>0</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v>0</v>
      </c>
      <c r="AY9" s="118">
        <v>0</v>
      </c>
      <c r="AZ9" s="118">
        <v>76</v>
      </c>
      <c r="BA9" s="118">
        <v>0</v>
      </c>
      <c r="BB9" s="118">
        <v>0</v>
      </c>
      <c r="BC9" s="118">
        <v>0</v>
      </c>
    </row>
    <row r="10" spans="1:55" x14ac:dyDescent="0.2">
      <c r="A10" t="s">
        <v>1823</v>
      </c>
      <c r="B10" t="s">
        <v>1823</v>
      </c>
      <c r="D10" s="129" t="str">
        <f>IF([1]RENAME!$H$3=1,B10,A10)</f>
        <v>CCB</v>
      </c>
      <c r="E10" s="118">
        <v>0</v>
      </c>
      <c r="F10" s="118">
        <v>0</v>
      </c>
      <c r="G10" s="160">
        <v>0</v>
      </c>
      <c r="H10" s="118">
        <v>0</v>
      </c>
      <c r="I10" s="118">
        <v>0</v>
      </c>
      <c r="J10" s="118">
        <v>0</v>
      </c>
      <c r="K10" s="118">
        <v>0</v>
      </c>
      <c r="L10" s="118">
        <v>0</v>
      </c>
      <c r="M10" s="118">
        <v>0</v>
      </c>
      <c r="N10" s="118">
        <v>0</v>
      </c>
      <c r="O10" s="118">
        <v>0</v>
      </c>
      <c r="P10" s="118">
        <v>0</v>
      </c>
      <c r="Q10" s="118">
        <v>0</v>
      </c>
      <c r="R10" s="118">
        <v>0</v>
      </c>
      <c r="S10" s="260">
        <v>0</v>
      </c>
      <c r="T10" s="118">
        <v>0</v>
      </c>
      <c r="U10" s="118">
        <v>0</v>
      </c>
      <c r="V10" s="118">
        <v>0</v>
      </c>
      <c r="W10" s="118">
        <v>0</v>
      </c>
      <c r="X10" s="118">
        <v>0</v>
      </c>
      <c r="Y10" s="118">
        <v>0</v>
      </c>
      <c r="Z10" s="118">
        <v>0</v>
      </c>
      <c r="AA10" s="118">
        <v>0</v>
      </c>
      <c r="AB10" s="118">
        <v>0</v>
      </c>
      <c r="AC10" s="118">
        <v>0</v>
      </c>
      <c r="AD10" s="118">
        <v>0</v>
      </c>
      <c r="AE10" s="118">
        <v>0</v>
      </c>
      <c r="AF10" s="118">
        <v>5055</v>
      </c>
      <c r="AG10" s="118">
        <v>5116</v>
      </c>
      <c r="AH10" s="118">
        <v>5033</v>
      </c>
      <c r="AI10" s="118">
        <v>5109</v>
      </c>
      <c r="AJ10" s="118">
        <v>5057</v>
      </c>
      <c r="AK10" s="118">
        <v>5192</v>
      </c>
      <c r="AL10" s="118">
        <v>5088</v>
      </c>
      <c r="AM10" s="118">
        <v>5274</v>
      </c>
      <c r="AN10" s="118">
        <v>5113</v>
      </c>
      <c r="AO10" s="118">
        <v>5315</v>
      </c>
      <c r="AP10" s="118">
        <v>5104</v>
      </c>
      <c r="AQ10" s="118">
        <v>5303</v>
      </c>
      <c r="AR10" s="118">
        <v>0</v>
      </c>
      <c r="AS10" s="118">
        <v>0</v>
      </c>
      <c r="AT10" s="118">
        <v>0</v>
      </c>
      <c r="AU10" s="118">
        <v>0</v>
      </c>
      <c r="AV10" s="118">
        <v>0</v>
      </c>
      <c r="AW10" s="118">
        <v>0</v>
      </c>
      <c r="AX10" s="118">
        <v>0</v>
      </c>
      <c r="AY10" s="118">
        <v>0</v>
      </c>
      <c r="AZ10" s="118">
        <v>0</v>
      </c>
      <c r="BA10" s="118">
        <v>0</v>
      </c>
      <c r="BB10" s="118">
        <v>0</v>
      </c>
      <c r="BC10" s="118">
        <v>0</v>
      </c>
    </row>
    <row r="11" spans="1:55" x14ac:dyDescent="0.2">
      <c r="A11" t="s">
        <v>1767</v>
      </c>
      <c r="B11" t="s">
        <v>1768</v>
      </c>
      <c r="D11" s="317" t="str">
        <f>IF([1]RENAME!$H$3=1,B11,A11)</f>
        <v>Resolução 4131 - moeda estrangeira</v>
      </c>
      <c r="E11" s="311">
        <v>224137</v>
      </c>
      <c r="F11" s="311">
        <v>216263</v>
      </c>
      <c r="G11" s="318">
        <v>48143</v>
      </c>
      <c r="H11" s="311">
        <v>132397</v>
      </c>
      <c r="I11" s="311">
        <v>143833</v>
      </c>
      <c r="J11" s="311">
        <v>175920</v>
      </c>
      <c r="K11" s="311">
        <v>0</v>
      </c>
      <c r="L11" s="311">
        <v>0</v>
      </c>
      <c r="M11" s="311">
        <v>0</v>
      </c>
      <c r="N11" s="311">
        <v>0</v>
      </c>
      <c r="O11" s="311">
        <v>0</v>
      </c>
      <c r="P11" s="311">
        <v>0</v>
      </c>
      <c r="Q11" s="311">
        <v>0</v>
      </c>
      <c r="R11" s="311">
        <v>0</v>
      </c>
      <c r="S11" s="311">
        <v>0</v>
      </c>
      <c r="T11" s="311">
        <v>0</v>
      </c>
      <c r="U11" s="311">
        <v>0</v>
      </c>
      <c r="V11" s="311">
        <v>0</v>
      </c>
      <c r="W11" s="311">
        <v>0</v>
      </c>
      <c r="X11" s="311">
        <v>54312</v>
      </c>
      <c r="Y11" s="311">
        <v>52102</v>
      </c>
      <c r="Z11" s="311">
        <v>53995</v>
      </c>
      <c r="AA11" s="311">
        <v>53222</v>
      </c>
      <c r="AB11" s="311">
        <v>57992</v>
      </c>
      <c r="AC11" s="311">
        <v>57220</v>
      </c>
      <c r="AD11" s="311">
        <v>69884</v>
      </c>
      <c r="AE11" s="311">
        <v>74610</v>
      </c>
      <c r="AF11" s="311">
        <v>0</v>
      </c>
      <c r="AG11" s="311">
        <v>0</v>
      </c>
      <c r="AH11" s="311">
        <v>0</v>
      </c>
      <c r="AI11" s="311">
        <v>0</v>
      </c>
      <c r="AJ11" s="311">
        <v>0</v>
      </c>
      <c r="AK11" s="311">
        <v>0</v>
      </c>
      <c r="AL11" s="311">
        <v>0</v>
      </c>
      <c r="AM11" s="311">
        <v>0</v>
      </c>
      <c r="AN11" s="311">
        <v>0</v>
      </c>
      <c r="AO11" s="311">
        <v>0</v>
      </c>
      <c r="AP11" s="311">
        <v>0</v>
      </c>
      <c r="AQ11" s="311">
        <v>0</v>
      </c>
      <c r="AR11" s="311">
        <v>0</v>
      </c>
      <c r="AS11" s="311">
        <v>0</v>
      </c>
      <c r="AT11" s="311">
        <v>0</v>
      </c>
      <c r="AU11" s="311">
        <v>0</v>
      </c>
      <c r="AV11" s="311">
        <v>0</v>
      </c>
      <c r="AW11" s="311">
        <v>0</v>
      </c>
      <c r="AX11" s="311">
        <v>0</v>
      </c>
      <c r="AY11" s="311">
        <v>0</v>
      </c>
      <c r="AZ11" s="311">
        <v>0</v>
      </c>
      <c r="BA11" s="311">
        <v>0</v>
      </c>
      <c r="BB11" s="311">
        <v>0</v>
      </c>
      <c r="BC11" s="311">
        <v>0</v>
      </c>
    </row>
    <row r="12" spans="1:55" x14ac:dyDescent="0.2">
      <c r="A12" t="s">
        <v>274</v>
      </c>
      <c r="B12" t="s">
        <v>966</v>
      </c>
      <c r="D12" s="126" t="str">
        <f>IF([1]RENAME!$H$3=1,B12,A12)</f>
        <v>Total dos empréstimos e financiamentos</v>
      </c>
      <c r="E12" s="120">
        <f t="shared" ref="E12:AS12" si="9">SUM(E6:E11)</f>
        <v>240195</v>
      </c>
      <c r="F12" s="120">
        <f t="shared" si="9"/>
        <v>230914</v>
      </c>
      <c r="G12" s="162">
        <f t="shared" si="9"/>
        <v>55816</v>
      </c>
      <c r="H12" s="120">
        <f t="shared" si="9"/>
        <v>139092</v>
      </c>
      <c r="I12" s="120">
        <f t="shared" si="9"/>
        <v>149557</v>
      </c>
      <c r="J12" s="120">
        <f t="shared" si="9"/>
        <v>180764</v>
      </c>
      <c r="K12" s="120">
        <f t="shared" si="9"/>
        <v>3987</v>
      </c>
      <c r="L12" s="120">
        <f t="shared" si="9"/>
        <v>3216</v>
      </c>
      <c r="M12" s="120">
        <f t="shared" si="9"/>
        <v>2476</v>
      </c>
      <c r="N12" s="120">
        <f t="shared" si="9"/>
        <v>2051</v>
      </c>
      <c r="O12" s="120">
        <f t="shared" si="9"/>
        <v>1744</v>
      </c>
      <c r="P12" s="120">
        <f t="shared" si="9"/>
        <v>1445</v>
      </c>
      <c r="Q12" s="120">
        <f t="shared" si="9"/>
        <v>1182</v>
      </c>
      <c r="R12" s="120">
        <f t="shared" si="9"/>
        <v>2263</v>
      </c>
      <c r="S12" s="120">
        <f t="shared" si="9"/>
        <v>55148</v>
      </c>
      <c r="T12" s="120">
        <f t="shared" si="9"/>
        <v>55263</v>
      </c>
      <c r="U12" s="120">
        <f t="shared" si="9"/>
        <v>54747</v>
      </c>
      <c r="V12" s="120">
        <f t="shared" si="9"/>
        <v>54863</v>
      </c>
      <c r="W12" s="120">
        <f t="shared" si="9"/>
        <v>50020</v>
      </c>
      <c r="X12" s="120">
        <f t="shared" si="9"/>
        <v>64544</v>
      </c>
      <c r="Y12" s="120">
        <f t="shared" si="9"/>
        <v>62117</v>
      </c>
      <c r="Z12" s="120">
        <f t="shared" si="9"/>
        <v>94227</v>
      </c>
      <c r="AA12" s="120">
        <f t="shared" si="9"/>
        <v>90449</v>
      </c>
      <c r="AB12" s="120">
        <f t="shared" si="9"/>
        <v>94820</v>
      </c>
      <c r="AC12" s="120">
        <f t="shared" si="9"/>
        <v>91022</v>
      </c>
      <c r="AD12" s="120">
        <f t="shared" si="9"/>
        <v>103286</v>
      </c>
      <c r="AE12" s="120">
        <f t="shared" si="9"/>
        <v>196354</v>
      </c>
      <c r="AF12" s="120">
        <f t="shared" si="9"/>
        <v>168276</v>
      </c>
      <c r="AG12" s="120">
        <f t="shared" si="9"/>
        <v>168764</v>
      </c>
      <c r="AH12" s="120">
        <f t="shared" si="9"/>
        <v>169300</v>
      </c>
      <c r="AI12" s="120">
        <f t="shared" si="9"/>
        <v>127243</v>
      </c>
      <c r="AJ12" s="120">
        <f t="shared" si="9"/>
        <v>127676</v>
      </c>
      <c r="AK12" s="120">
        <f t="shared" si="9"/>
        <v>128886</v>
      </c>
      <c r="AL12" s="120">
        <f t="shared" si="9"/>
        <v>119250</v>
      </c>
      <c r="AM12" s="120">
        <f t="shared" si="9"/>
        <v>68411</v>
      </c>
      <c r="AN12" s="120">
        <f t="shared" si="9"/>
        <v>66432</v>
      </c>
      <c r="AO12" s="120">
        <f t="shared" si="9"/>
        <v>101740</v>
      </c>
      <c r="AP12" s="120">
        <f t="shared" si="9"/>
        <v>90366</v>
      </c>
      <c r="AQ12" s="120">
        <f t="shared" si="9"/>
        <v>91267</v>
      </c>
      <c r="AR12" s="120">
        <f t="shared" si="9"/>
        <v>95806</v>
      </c>
      <c r="AS12" s="120">
        <f t="shared" si="9"/>
        <v>101599</v>
      </c>
      <c r="AT12" s="120">
        <v>107217</v>
      </c>
      <c r="AU12" s="120">
        <v>105966</v>
      </c>
      <c r="AV12" s="120">
        <v>105679</v>
      </c>
      <c r="AW12" s="120">
        <v>105996</v>
      </c>
      <c r="AX12" s="120">
        <f t="shared" ref="AX12:BC12" si="10">SUM(AX6:AX11)</f>
        <v>110285</v>
      </c>
      <c r="AY12" s="120">
        <f t="shared" si="10"/>
        <v>111205</v>
      </c>
      <c r="AZ12" s="120">
        <f t="shared" si="10"/>
        <v>85819</v>
      </c>
      <c r="BA12" s="120">
        <f t="shared" si="10"/>
        <v>125950</v>
      </c>
      <c r="BB12" s="120">
        <f t="shared" si="10"/>
        <v>125204</v>
      </c>
      <c r="BC12" s="120">
        <f t="shared" si="10"/>
        <v>141014</v>
      </c>
    </row>
    <row r="13" spans="1:55" x14ac:dyDescent="0.2">
      <c r="A13" t="s">
        <v>186</v>
      </c>
      <c r="B13" t="s">
        <v>907</v>
      </c>
      <c r="D13" s="129" t="str">
        <f>IF([1]RENAME!$H$3=1,B13,A13)</f>
        <v xml:space="preserve"> Circulante</v>
      </c>
      <c r="E13" s="118">
        <v>-7931</v>
      </c>
      <c r="F13" s="118">
        <v>-3815</v>
      </c>
      <c r="G13" s="160">
        <v>0</v>
      </c>
      <c r="H13" s="118">
        <v>-154</v>
      </c>
      <c r="I13" s="118">
        <v>-928</v>
      </c>
      <c r="J13" s="118">
        <v>-26757</v>
      </c>
      <c r="K13" s="118">
        <v>0</v>
      </c>
      <c r="L13" s="118">
        <v>0</v>
      </c>
      <c r="M13" s="118">
        <v>0</v>
      </c>
      <c r="N13" s="118">
        <v>0</v>
      </c>
      <c r="O13" s="118">
        <v>0</v>
      </c>
      <c r="P13" s="118">
        <v>0</v>
      </c>
      <c r="Q13" s="118">
        <v>0</v>
      </c>
      <c r="R13" s="118">
        <v>0</v>
      </c>
      <c r="S13" s="118">
        <v>0</v>
      </c>
      <c r="T13" s="118">
        <v>0</v>
      </c>
      <c r="U13" s="118">
        <v>0</v>
      </c>
      <c r="V13" s="118">
        <v>0</v>
      </c>
      <c r="W13" s="118">
        <v>0</v>
      </c>
      <c r="X13" s="118">
        <v>0</v>
      </c>
      <c r="Y13" s="118">
        <v>0</v>
      </c>
      <c r="Z13" s="118">
        <v>7558</v>
      </c>
      <c r="AA13" s="118">
        <v>8511</v>
      </c>
      <c r="AB13" s="118">
        <v>64820</v>
      </c>
      <c r="AC13" s="118">
        <v>61022</v>
      </c>
      <c r="AD13" s="118">
        <v>73286</v>
      </c>
      <c r="AE13" s="118">
        <v>116354</v>
      </c>
      <c r="AF13" s="118">
        <v>43276</v>
      </c>
      <c r="AG13" s="118">
        <v>43764</v>
      </c>
      <c r="AH13" s="118">
        <v>54300</v>
      </c>
      <c r="AI13" s="118">
        <v>62243</v>
      </c>
      <c r="AJ13" s="118">
        <v>62676</v>
      </c>
      <c r="AK13" s="118">
        <v>63886</v>
      </c>
      <c r="AL13" s="118">
        <v>64250</v>
      </c>
      <c r="AM13" s="118">
        <v>13411</v>
      </c>
      <c r="AN13" s="118">
        <v>56432</v>
      </c>
      <c r="AO13" s="118">
        <v>59172</v>
      </c>
      <c r="AP13" s="118">
        <v>47798</v>
      </c>
      <c r="AQ13" s="118">
        <v>58699</v>
      </c>
      <c r="AR13" s="118">
        <v>11972</v>
      </c>
      <c r="AS13" s="118">
        <v>12759</v>
      </c>
      <c r="AT13" s="118">
        <v>13485</v>
      </c>
      <c r="AU13" s="118">
        <v>4523</v>
      </c>
      <c r="AV13" s="118">
        <v>27754</v>
      </c>
      <c r="AW13" s="118">
        <v>29089</v>
      </c>
      <c r="AX13" s="118">
        <v>27874</v>
      </c>
      <c r="AY13" s="118">
        <v>29996</v>
      </c>
      <c r="AZ13" s="118">
        <v>28280</v>
      </c>
      <c r="BA13" s="118">
        <v>29767</v>
      </c>
      <c r="BB13" s="118">
        <v>30440</v>
      </c>
      <c r="BC13" s="118">
        <f>'[3]12 Emp NL'!$H$14</f>
        <v>34909</v>
      </c>
    </row>
    <row r="14" spans="1:55" x14ac:dyDescent="0.2">
      <c r="A14" t="s">
        <v>187</v>
      </c>
      <c r="B14" t="s">
        <v>908</v>
      </c>
      <c r="D14" s="129" t="str">
        <f>IF([1]RENAME!$H$3=1,B14,A14)</f>
        <v>Não circulante</v>
      </c>
      <c r="E14" s="118">
        <v>-35462</v>
      </c>
      <c r="F14" s="118">
        <v>-16761</v>
      </c>
      <c r="G14" s="160">
        <v>1995</v>
      </c>
      <c r="H14" s="118">
        <v>-8205</v>
      </c>
      <c r="I14" s="118">
        <v>-15095</v>
      </c>
      <c r="J14" s="118">
        <v>-22003</v>
      </c>
      <c r="K14" s="118">
        <v>0</v>
      </c>
      <c r="L14" s="118">
        <v>0</v>
      </c>
      <c r="M14" s="118">
        <v>0</v>
      </c>
      <c r="N14" s="118">
        <v>0</v>
      </c>
      <c r="O14" s="118">
        <v>0</v>
      </c>
      <c r="P14" s="118">
        <v>0</v>
      </c>
      <c r="Q14" s="118">
        <v>0</v>
      </c>
      <c r="R14" s="118">
        <v>0</v>
      </c>
      <c r="S14" s="118">
        <v>0</v>
      </c>
      <c r="T14" s="118">
        <v>0</v>
      </c>
      <c r="U14" s="118">
        <v>0</v>
      </c>
      <c r="V14" s="118">
        <v>0</v>
      </c>
      <c r="W14" s="118">
        <v>0</v>
      </c>
      <c r="X14" s="118">
        <v>-3945</v>
      </c>
      <c r="Y14" s="118">
        <v>-1614</v>
      </c>
      <c r="Z14" s="118">
        <v>86669</v>
      </c>
      <c r="AA14" s="118">
        <v>81938</v>
      </c>
      <c r="AB14" s="118">
        <v>30000</v>
      </c>
      <c r="AC14" s="118">
        <v>30000</v>
      </c>
      <c r="AD14" s="118">
        <v>30000</v>
      </c>
      <c r="AE14" s="118">
        <v>80000</v>
      </c>
      <c r="AF14" s="118">
        <v>125000</v>
      </c>
      <c r="AG14" s="118">
        <v>125000</v>
      </c>
      <c r="AH14" s="118">
        <v>115000</v>
      </c>
      <c r="AI14" s="118">
        <v>65000</v>
      </c>
      <c r="AJ14" s="118">
        <v>65000</v>
      </c>
      <c r="AK14" s="118">
        <v>65000</v>
      </c>
      <c r="AL14" s="118">
        <v>55000</v>
      </c>
      <c r="AM14" s="118">
        <v>55000</v>
      </c>
      <c r="AN14" s="118">
        <v>10000</v>
      </c>
      <c r="AO14" s="118">
        <v>42568</v>
      </c>
      <c r="AP14" s="118">
        <v>42568</v>
      </c>
      <c r="AQ14" s="118">
        <v>32568</v>
      </c>
      <c r="AR14" s="118">
        <v>83834</v>
      </c>
      <c r="AS14" s="118">
        <v>88840</v>
      </c>
      <c r="AT14" s="118">
        <v>93732</v>
      </c>
      <c r="AU14" s="118">
        <v>101443</v>
      </c>
      <c r="AV14" s="118">
        <v>77925</v>
      </c>
      <c r="AW14" s="118">
        <v>76907</v>
      </c>
      <c r="AX14" s="118">
        <v>82411</v>
      </c>
      <c r="AY14" s="118">
        <v>81209</v>
      </c>
      <c r="AZ14" s="118">
        <v>57539</v>
      </c>
      <c r="BA14" s="118">
        <v>96183</v>
      </c>
      <c r="BB14" s="118">
        <v>94764</v>
      </c>
      <c r="BC14" s="118">
        <f>'[3]12 Emp NL'!$H$15</f>
        <v>106105</v>
      </c>
    </row>
    <row r="15" spans="1:55" x14ac:dyDescent="0.2">
      <c r="A15" t="s">
        <v>278</v>
      </c>
      <c r="B15" t="s">
        <v>969</v>
      </c>
      <c r="D15" s="126" t="str">
        <f>IF([1]RENAME!$H$3=1,B15,A15)</f>
        <v>Total de debêntures</v>
      </c>
      <c r="E15" s="120">
        <f>SUM(E13:E14)</f>
        <v>-43393</v>
      </c>
      <c r="F15" s="120">
        <f t="shared" ref="F15:L15" si="11">SUM(F13:F14)</f>
        <v>-20576</v>
      </c>
      <c r="G15" s="162">
        <f t="shared" si="11"/>
        <v>1995</v>
      </c>
      <c r="H15" s="120">
        <f t="shared" si="11"/>
        <v>-8359</v>
      </c>
      <c r="I15" s="120">
        <f t="shared" si="11"/>
        <v>-16023</v>
      </c>
      <c r="J15" s="120">
        <f>SUM(J13:J14)</f>
        <v>-48760</v>
      </c>
      <c r="K15" s="120">
        <f t="shared" si="11"/>
        <v>0</v>
      </c>
      <c r="L15" s="120">
        <f t="shared" si="11"/>
        <v>0</v>
      </c>
      <c r="M15" s="120">
        <f t="shared" ref="M15:T15" si="12">SUM(M13:M14)</f>
        <v>0</v>
      </c>
      <c r="N15" s="120">
        <f t="shared" si="12"/>
        <v>0</v>
      </c>
      <c r="O15" s="120">
        <f t="shared" si="12"/>
        <v>0</v>
      </c>
      <c r="P15" s="120">
        <f t="shared" si="12"/>
        <v>0</v>
      </c>
      <c r="Q15" s="120">
        <f t="shared" si="12"/>
        <v>0</v>
      </c>
      <c r="R15" s="120">
        <f t="shared" si="12"/>
        <v>0</v>
      </c>
      <c r="S15" s="120">
        <f t="shared" si="12"/>
        <v>0</v>
      </c>
      <c r="T15" s="120">
        <f t="shared" si="12"/>
        <v>0</v>
      </c>
      <c r="U15" s="120">
        <f>SUM(U13:U14)</f>
        <v>0</v>
      </c>
      <c r="V15" s="120">
        <f>SUM(V13:V14)</f>
        <v>0</v>
      </c>
      <c r="W15" s="120">
        <f>SUM(W13:W14)</f>
        <v>0</v>
      </c>
      <c r="X15" s="120">
        <f>SUM(X13:X14)</f>
        <v>-3945</v>
      </c>
      <c r="Y15" s="120">
        <f>SUM(Y13:Y14)</f>
        <v>-1614</v>
      </c>
      <c r="Z15" s="120">
        <f t="shared" ref="Z15:AE15" si="13">Z16+Z17</f>
        <v>51160</v>
      </c>
      <c r="AA15" s="120">
        <f t="shared" si="13"/>
        <v>50140</v>
      </c>
      <c r="AB15" s="120">
        <f t="shared" si="13"/>
        <v>51179</v>
      </c>
      <c r="AC15" s="120">
        <f t="shared" si="13"/>
        <v>50135</v>
      </c>
      <c r="AD15" s="120">
        <f t="shared" si="13"/>
        <v>50891</v>
      </c>
      <c r="AE15" s="120">
        <f t="shared" si="13"/>
        <v>51514</v>
      </c>
      <c r="AF15" s="120">
        <f t="shared" ref="AF15:AM15" si="14">AF16+AF17</f>
        <v>25167</v>
      </c>
      <c r="AG15" s="120">
        <f t="shared" si="14"/>
        <v>25047</v>
      </c>
      <c r="AH15" s="120">
        <f t="shared" si="14"/>
        <v>25289</v>
      </c>
      <c r="AI15" s="120">
        <f t="shared" si="14"/>
        <v>25070</v>
      </c>
      <c r="AJ15" s="120">
        <f t="shared" si="14"/>
        <v>0</v>
      </c>
      <c r="AK15" s="120"/>
      <c r="AL15" s="120">
        <v>0</v>
      </c>
      <c r="AM15" s="120">
        <f t="shared" si="14"/>
        <v>0</v>
      </c>
      <c r="AN15" s="120">
        <f t="shared" ref="AN15:AS15" si="15">AN16+AN17</f>
        <v>0</v>
      </c>
      <c r="AO15" s="120">
        <f t="shared" si="15"/>
        <v>0</v>
      </c>
      <c r="AP15" s="120">
        <f t="shared" si="15"/>
        <v>0</v>
      </c>
      <c r="AQ15" s="120">
        <f t="shared" si="15"/>
        <v>0</v>
      </c>
      <c r="AR15" s="120">
        <f t="shared" si="15"/>
        <v>0</v>
      </c>
      <c r="AS15" s="120">
        <f t="shared" si="15"/>
        <v>0</v>
      </c>
      <c r="AT15" s="120">
        <v>0</v>
      </c>
      <c r="AU15" s="120">
        <v>0</v>
      </c>
      <c r="AV15" s="120">
        <v>0</v>
      </c>
      <c r="AW15" s="120">
        <v>0</v>
      </c>
      <c r="AX15" s="120">
        <f t="shared" ref="AX15:BC15" si="16">AX16+AX17</f>
        <v>0</v>
      </c>
      <c r="AY15" s="120">
        <f t="shared" si="16"/>
        <v>0</v>
      </c>
      <c r="AZ15" s="120">
        <f t="shared" si="16"/>
        <v>0</v>
      </c>
      <c r="BA15" s="120">
        <f t="shared" si="16"/>
        <v>0</v>
      </c>
      <c r="BB15" s="120">
        <f t="shared" si="16"/>
        <v>0</v>
      </c>
      <c r="BC15" s="120">
        <f t="shared" si="16"/>
        <v>0</v>
      </c>
    </row>
    <row r="16" spans="1:55" x14ac:dyDescent="0.2">
      <c r="A16" t="s">
        <v>275</v>
      </c>
      <c r="B16" t="s">
        <v>967</v>
      </c>
      <c r="D16" s="129" t="str">
        <f>IF([1]RENAME!$H$3=1,B16,A16)</f>
        <v>(-) Circulante</v>
      </c>
      <c r="E16" s="118">
        <v>0</v>
      </c>
      <c r="F16" s="118">
        <v>0</v>
      </c>
      <c r="G16" s="160">
        <v>8630</v>
      </c>
      <c r="H16" s="118">
        <v>8318</v>
      </c>
      <c r="I16" s="118">
        <v>9798</v>
      </c>
      <c r="J16" s="118">
        <v>28643</v>
      </c>
      <c r="K16" s="118">
        <v>30485</v>
      </c>
      <c r="L16" s="118">
        <v>30338</v>
      </c>
      <c r="M16" s="118">
        <v>81814</v>
      </c>
      <c r="N16" s="118">
        <v>126467</v>
      </c>
      <c r="O16" s="118">
        <v>127502</v>
      </c>
      <c r="P16" s="118">
        <v>126941</v>
      </c>
      <c r="Q16" s="118">
        <v>127043</v>
      </c>
      <c r="R16" s="118">
        <v>122503</v>
      </c>
      <c r="S16" s="118">
        <v>122017</v>
      </c>
      <c r="T16" s="118">
        <v>68026</v>
      </c>
      <c r="U16" s="118">
        <v>71441</v>
      </c>
      <c r="V16" s="118">
        <v>49296</v>
      </c>
      <c r="W16" s="118">
        <v>48083</v>
      </c>
      <c r="X16" s="118">
        <v>48304</v>
      </c>
      <c r="Y16" s="118">
        <v>48073</v>
      </c>
      <c r="Z16" s="118">
        <v>1150</v>
      </c>
      <c r="AA16" s="118">
        <v>130</v>
      </c>
      <c r="AB16" s="118">
        <v>26174</v>
      </c>
      <c r="AC16" s="118">
        <v>25130</v>
      </c>
      <c r="AD16" s="118">
        <v>25886</v>
      </c>
      <c r="AE16" s="118">
        <v>26509</v>
      </c>
      <c r="AF16" s="118">
        <v>25167</v>
      </c>
      <c r="AG16" s="118">
        <v>25047</v>
      </c>
      <c r="AH16" s="118">
        <v>25289</v>
      </c>
      <c r="AI16" s="118">
        <v>25070</v>
      </c>
      <c r="AJ16" s="118">
        <v>0</v>
      </c>
      <c r="AK16" s="118">
        <v>0</v>
      </c>
      <c r="AL16" s="118">
        <v>0</v>
      </c>
      <c r="AM16" s="118">
        <v>0</v>
      </c>
      <c r="AN16" s="118">
        <v>0</v>
      </c>
      <c r="AO16" s="118">
        <v>0</v>
      </c>
      <c r="AP16" s="118">
        <f>'[3]12 Empréstimos e Financiamentos'!$B$19</f>
        <v>0</v>
      </c>
      <c r="AQ16" s="118">
        <v>0</v>
      </c>
      <c r="AR16" s="118">
        <v>0</v>
      </c>
      <c r="AS16" s="118">
        <f>'[3]12 Empréstimos e Financiamentos'!$B$19</f>
        <v>0</v>
      </c>
      <c r="AT16" s="118">
        <v>0</v>
      </c>
      <c r="AU16" s="118">
        <v>0</v>
      </c>
      <c r="AV16" s="118">
        <v>0</v>
      </c>
      <c r="AW16" s="118">
        <v>0</v>
      </c>
      <c r="AX16" s="118">
        <v>0</v>
      </c>
      <c r="AY16" s="118">
        <v>0</v>
      </c>
      <c r="AZ16" s="118">
        <f>'[3]12 Empréstimos e Financiamentos'!$B$19</f>
        <v>0</v>
      </c>
      <c r="BA16" s="118">
        <v>0</v>
      </c>
      <c r="BB16" s="118">
        <v>0</v>
      </c>
      <c r="BC16" s="118">
        <f>'[3]12 Empréstimos e Financiamentos'!$B$19</f>
        <v>0</v>
      </c>
    </row>
    <row r="17" spans="1:55" x14ac:dyDescent="0.2">
      <c r="A17" t="s">
        <v>187</v>
      </c>
      <c r="B17" t="s">
        <v>908</v>
      </c>
      <c r="D17" s="129" t="str">
        <f>IF([1]RENAME!$H$3=1,B17,A17)</f>
        <v>Não circulante</v>
      </c>
      <c r="E17" s="118">
        <v>287845</v>
      </c>
      <c r="F17" s="118">
        <v>285063</v>
      </c>
      <c r="G17" s="160">
        <v>350000</v>
      </c>
      <c r="H17" s="118">
        <v>350000</v>
      </c>
      <c r="I17" s="118">
        <v>350000</v>
      </c>
      <c r="J17" s="118">
        <v>330002</v>
      </c>
      <c r="K17" s="118">
        <v>330002</v>
      </c>
      <c r="L17" s="118">
        <v>330002</v>
      </c>
      <c r="M17" s="118">
        <v>280007</v>
      </c>
      <c r="N17" s="118">
        <v>213347</v>
      </c>
      <c r="O17" s="118">
        <v>213347</v>
      </c>
      <c r="P17" s="118">
        <v>213347</v>
      </c>
      <c r="Q17" s="118">
        <v>163352</v>
      </c>
      <c r="R17" s="118">
        <v>96686</v>
      </c>
      <c r="S17" s="118">
        <v>96686</v>
      </c>
      <c r="T17" s="118">
        <v>96686</v>
      </c>
      <c r="U17" s="118">
        <v>96686</v>
      </c>
      <c r="V17" s="118">
        <v>50010</v>
      </c>
      <c r="W17" s="118">
        <v>50010</v>
      </c>
      <c r="X17" s="118">
        <v>50010</v>
      </c>
      <c r="Y17" s="118">
        <v>50010</v>
      </c>
      <c r="Z17" s="118">
        <v>50010</v>
      </c>
      <c r="AA17" s="118">
        <v>50010</v>
      </c>
      <c r="AB17" s="118">
        <v>25005</v>
      </c>
      <c r="AC17" s="118">
        <v>25005</v>
      </c>
      <c r="AD17" s="118">
        <v>25005</v>
      </c>
      <c r="AE17" s="118">
        <v>25005</v>
      </c>
      <c r="AF17" s="118">
        <v>0</v>
      </c>
      <c r="AG17" s="118">
        <v>0</v>
      </c>
      <c r="AH17" s="118">
        <v>0</v>
      </c>
      <c r="AI17" s="118">
        <v>0</v>
      </c>
      <c r="AJ17" s="118">
        <v>0</v>
      </c>
      <c r="AK17" s="118">
        <v>0</v>
      </c>
      <c r="AL17" s="118">
        <v>0</v>
      </c>
      <c r="AM17" s="118">
        <v>0</v>
      </c>
      <c r="AN17" s="118">
        <v>0</v>
      </c>
      <c r="AO17" s="118">
        <v>0</v>
      </c>
      <c r="AP17" s="118">
        <f>'[3]12 Empréstimos e Financiamentos'!$B$20</f>
        <v>0</v>
      </c>
      <c r="AQ17" s="118">
        <v>0</v>
      </c>
      <c r="AR17" s="118">
        <v>0</v>
      </c>
      <c r="AS17" s="118">
        <f>'[3]12 Empréstimos e Financiamentos'!$B$20</f>
        <v>0</v>
      </c>
      <c r="AT17" s="118">
        <v>0</v>
      </c>
      <c r="AU17" s="118">
        <v>0</v>
      </c>
      <c r="AV17" s="118">
        <v>0</v>
      </c>
      <c r="AW17" s="118">
        <v>0</v>
      </c>
      <c r="AX17" s="118">
        <v>0</v>
      </c>
      <c r="AY17" s="118">
        <v>0</v>
      </c>
      <c r="AZ17" s="118">
        <f>'[3]12 Empréstimos e Financiamentos'!$B$20</f>
        <v>0</v>
      </c>
      <c r="BA17" s="118">
        <v>0</v>
      </c>
      <c r="BB17" s="118">
        <v>0</v>
      </c>
      <c r="BC17" s="118">
        <f>'[3]12 Empréstimos e Financiamentos'!$B$20</f>
        <v>0</v>
      </c>
    </row>
    <row r="18" spans="1:55" x14ac:dyDescent="0.2">
      <c r="A18" t="s">
        <v>16</v>
      </c>
      <c r="B18" t="s">
        <v>661</v>
      </c>
      <c r="D18" s="126" t="str">
        <f>IF([1]RENAME!$H$3=1,B18,A18)</f>
        <v>Empréstimos e financiamentos</v>
      </c>
      <c r="E18" s="120">
        <f t="shared" ref="E18:Y18" si="17">E15+E12</f>
        <v>196802</v>
      </c>
      <c r="F18" s="120">
        <f t="shared" si="17"/>
        <v>210338</v>
      </c>
      <c r="G18" s="120">
        <f t="shared" si="17"/>
        <v>57811</v>
      </c>
      <c r="H18" s="120">
        <f t="shared" si="17"/>
        <v>130733</v>
      </c>
      <c r="I18" s="120">
        <f t="shared" si="17"/>
        <v>133534</v>
      </c>
      <c r="J18" s="120">
        <f t="shared" si="17"/>
        <v>132004</v>
      </c>
      <c r="K18" s="120">
        <f t="shared" si="17"/>
        <v>3987</v>
      </c>
      <c r="L18" s="120">
        <f t="shared" si="17"/>
        <v>3216</v>
      </c>
      <c r="M18" s="120">
        <f t="shared" si="17"/>
        <v>2476</v>
      </c>
      <c r="N18" s="120">
        <f t="shared" si="17"/>
        <v>2051</v>
      </c>
      <c r="O18" s="120">
        <f t="shared" si="17"/>
        <v>1744</v>
      </c>
      <c r="P18" s="120">
        <f t="shared" si="17"/>
        <v>1445</v>
      </c>
      <c r="Q18" s="120">
        <f t="shared" si="17"/>
        <v>1182</v>
      </c>
      <c r="R18" s="120">
        <f t="shared" si="17"/>
        <v>2263</v>
      </c>
      <c r="S18" s="120">
        <f t="shared" si="17"/>
        <v>55148</v>
      </c>
      <c r="T18" s="120">
        <f t="shared" si="17"/>
        <v>55263</v>
      </c>
      <c r="U18" s="120">
        <f t="shared" si="17"/>
        <v>54747</v>
      </c>
      <c r="V18" s="120">
        <f t="shared" si="17"/>
        <v>54863</v>
      </c>
      <c r="W18" s="120">
        <f t="shared" si="17"/>
        <v>50020</v>
      </c>
      <c r="X18" s="120">
        <f t="shared" si="17"/>
        <v>60599</v>
      </c>
      <c r="Y18" s="120">
        <f t="shared" si="17"/>
        <v>60503</v>
      </c>
      <c r="Z18" s="120">
        <f t="shared" ref="Z18:AE18" si="18">Z15+Z12</f>
        <v>145387</v>
      </c>
      <c r="AA18" s="120">
        <f t="shared" si="18"/>
        <v>140589</v>
      </c>
      <c r="AB18" s="120">
        <f t="shared" si="18"/>
        <v>145999</v>
      </c>
      <c r="AC18" s="120">
        <f t="shared" si="18"/>
        <v>141157</v>
      </c>
      <c r="AD18" s="120">
        <f t="shared" si="18"/>
        <v>154177</v>
      </c>
      <c r="AE18" s="120">
        <f t="shared" si="18"/>
        <v>247868</v>
      </c>
      <c r="AF18" s="120">
        <f t="shared" ref="AF18:AM18" si="19">AF15+AF12</f>
        <v>193443</v>
      </c>
      <c r="AG18" s="120">
        <f t="shared" si="19"/>
        <v>193811</v>
      </c>
      <c r="AH18" s="120">
        <f t="shared" si="19"/>
        <v>194589</v>
      </c>
      <c r="AI18" s="120">
        <f t="shared" si="19"/>
        <v>152313</v>
      </c>
      <c r="AJ18" s="120">
        <f t="shared" si="19"/>
        <v>127676</v>
      </c>
      <c r="AK18" s="120">
        <f t="shared" si="19"/>
        <v>128886</v>
      </c>
      <c r="AL18" s="120">
        <f t="shared" si="19"/>
        <v>119250</v>
      </c>
      <c r="AM18" s="120">
        <f t="shared" si="19"/>
        <v>68411</v>
      </c>
      <c r="AN18" s="120">
        <f t="shared" ref="AN18:AS18" si="20">AN15+AN12</f>
        <v>66432</v>
      </c>
      <c r="AO18" s="120">
        <f t="shared" si="20"/>
        <v>101740</v>
      </c>
      <c r="AP18" s="120">
        <f t="shared" si="20"/>
        <v>90366</v>
      </c>
      <c r="AQ18" s="120">
        <f t="shared" si="20"/>
        <v>91267</v>
      </c>
      <c r="AR18" s="120">
        <f t="shared" si="20"/>
        <v>95806</v>
      </c>
      <c r="AS18" s="120">
        <f t="shared" si="20"/>
        <v>101599</v>
      </c>
      <c r="AT18" s="120">
        <v>107217</v>
      </c>
      <c r="AU18" s="120">
        <v>105966</v>
      </c>
      <c r="AV18" s="120">
        <v>105679</v>
      </c>
      <c r="AW18" s="120">
        <v>105996</v>
      </c>
      <c r="AX18" s="120">
        <f t="shared" ref="AX18:BC18" si="21">AX15+AX12</f>
        <v>110285</v>
      </c>
      <c r="AY18" s="120">
        <f t="shared" si="21"/>
        <v>111205</v>
      </c>
      <c r="AZ18" s="120">
        <f t="shared" si="21"/>
        <v>85819</v>
      </c>
      <c r="BA18" s="120">
        <f t="shared" si="21"/>
        <v>125950</v>
      </c>
      <c r="BB18" s="120">
        <f t="shared" si="21"/>
        <v>125204</v>
      </c>
      <c r="BC18" s="120">
        <f t="shared" si="21"/>
        <v>141014</v>
      </c>
    </row>
    <row r="19" spans="1:55" x14ac:dyDescent="0.2">
      <c r="A19" t="s">
        <v>277</v>
      </c>
      <c r="B19" t="s">
        <v>968</v>
      </c>
      <c r="D19" s="126" t="str">
        <f>IF([1]RENAME!$H$3=1,B19,A19)</f>
        <v>Total contratos de swap</v>
      </c>
      <c r="E19" s="120">
        <f t="shared" ref="E19:V19" si="22">+E17+E16</f>
        <v>287845</v>
      </c>
      <c r="F19" s="120">
        <f t="shared" si="22"/>
        <v>285063</v>
      </c>
      <c r="G19" s="162">
        <f t="shared" si="22"/>
        <v>358630</v>
      </c>
      <c r="H19" s="120">
        <f t="shared" si="22"/>
        <v>358318</v>
      </c>
      <c r="I19" s="120">
        <f t="shared" si="22"/>
        <v>359798</v>
      </c>
      <c r="J19" s="120">
        <f t="shared" si="22"/>
        <v>358645</v>
      </c>
      <c r="K19" s="120">
        <f t="shared" si="22"/>
        <v>360487</v>
      </c>
      <c r="L19" s="120">
        <f t="shared" si="22"/>
        <v>360340</v>
      </c>
      <c r="M19" s="120">
        <f t="shared" si="22"/>
        <v>361821</v>
      </c>
      <c r="N19" s="120">
        <f t="shared" si="22"/>
        <v>339814</v>
      </c>
      <c r="O19" s="120">
        <f t="shared" si="22"/>
        <v>340849</v>
      </c>
      <c r="P19" s="120">
        <f t="shared" si="22"/>
        <v>340288</v>
      </c>
      <c r="Q19" s="120">
        <f t="shared" si="22"/>
        <v>290395</v>
      </c>
      <c r="R19" s="120">
        <f t="shared" si="22"/>
        <v>219189</v>
      </c>
      <c r="S19" s="120">
        <f t="shared" si="22"/>
        <v>218703</v>
      </c>
      <c r="T19" s="120">
        <f t="shared" si="22"/>
        <v>164712</v>
      </c>
      <c r="U19" s="120">
        <f t="shared" si="22"/>
        <v>168127</v>
      </c>
      <c r="V19" s="120">
        <f t="shared" si="22"/>
        <v>99306</v>
      </c>
      <c r="W19" s="120">
        <f>+W17+W16</f>
        <v>98093</v>
      </c>
      <c r="X19" s="120">
        <f>+X17+X16</f>
        <v>98314</v>
      </c>
      <c r="Y19" s="120">
        <f>+Y17+Y16</f>
        <v>98083</v>
      </c>
      <c r="Z19" s="120">
        <f t="shared" ref="Z19:AE19" si="23">Z20+Z21</f>
        <v>-2661</v>
      </c>
      <c r="AA19" s="120">
        <f t="shared" si="23"/>
        <v>-1942</v>
      </c>
      <c r="AB19" s="120">
        <f t="shared" si="23"/>
        <v>-5899</v>
      </c>
      <c r="AC19" s="120">
        <f t="shared" si="23"/>
        <v>-3739</v>
      </c>
      <c r="AD19" s="120">
        <f t="shared" si="23"/>
        <v>-20658</v>
      </c>
      <c r="AE19" s="120">
        <f t="shared" si="23"/>
        <v>-23871</v>
      </c>
      <c r="AF19" s="120">
        <f>AF20+AF21</f>
        <v>0</v>
      </c>
      <c r="AG19" s="120">
        <f>AG20+AG21</f>
        <v>0</v>
      </c>
      <c r="AH19" s="120">
        <f>AH20+AH21</f>
        <v>0</v>
      </c>
      <c r="AI19" s="120">
        <f>AI20+AI21</f>
        <v>0</v>
      </c>
      <c r="AJ19" s="120">
        <v>0</v>
      </c>
      <c r="AK19" s="120"/>
      <c r="AL19" s="120">
        <v>0</v>
      </c>
      <c r="AM19" s="120">
        <f t="shared" ref="AM19:AR19" si="24">AM20+AM21</f>
        <v>0</v>
      </c>
      <c r="AN19" s="120">
        <f t="shared" si="24"/>
        <v>0</v>
      </c>
      <c r="AO19" s="120">
        <f t="shared" si="24"/>
        <v>0</v>
      </c>
      <c r="AP19" s="120">
        <f t="shared" si="24"/>
        <v>308</v>
      </c>
      <c r="AQ19" s="120">
        <f t="shared" si="24"/>
        <v>0</v>
      </c>
      <c r="AR19" s="120">
        <f t="shared" si="24"/>
        <v>0</v>
      </c>
      <c r="AS19" s="120">
        <f>AS20+AS21</f>
        <v>308</v>
      </c>
      <c r="AT19" s="120">
        <v>0</v>
      </c>
      <c r="AU19" s="120">
        <v>0</v>
      </c>
      <c r="AV19" s="120">
        <v>0</v>
      </c>
      <c r="AW19" s="120">
        <v>0</v>
      </c>
      <c r="AX19" s="120">
        <f t="shared" ref="AX19:BC19" si="25">AX20+AX21</f>
        <v>0</v>
      </c>
      <c r="AY19" s="120">
        <f t="shared" si="25"/>
        <v>0</v>
      </c>
      <c r="AZ19" s="120">
        <f t="shared" si="25"/>
        <v>308</v>
      </c>
      <c r="BA19" s="120">
        <f t="shared" si="25"/>
        <v>0</v>
      </c>
      <c r="BB19" s="120">
        <f t="shared" si="25"/>
        <v>0</v>
      </c>
      <c r="BC19" s="120">
        <f t="shared" si="25"/>
        <v>308</v>
      </c>
    </row>
    <row r="20" spans="1:55" x14ac:dyDescent="0.2">
      <c r="A20" t="s">
        <v>275</v>
      </c>
      <c r="B20" t="s">
        <v>967</v>
      </c>
      <c r="D20" s="129" t="str">
        <f>IF([1]RENAME!$H$3=1,B20,A20)</f>
        <v>(-) Circulante</v>
      </c>
      <c r="E20" s="118">
        <v>0</v>
      </c>
      <c r="F20" s="118">
        <v>0</v>
      </c>
      <c r="G20" s="160">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0</v>
      </c>
      <c r="AA20" s="118">
        <v>0</v>
      </c>
      <c r="AB20" s="118">
        <v>-5899</v>
      </c>
      <c r="AC20" s="118">
        <v>-3739</v>
      </c>
      <c r="AD20" s="118">
        <v>-20658</v>
      </c>
      <c r="AE20" s="118">
        <v>-23871</v>
      </c>
      <c r="AF20" s="118">
        <v>0</v>
      </c>
      <c r="AG20" s="118">
        <v>0</v>
      </c>
      <c r="AH20" s="118">
        <v>0</v>
      </c>
      <c r="AI20" s="118">
        <v>0</v>
      </c>
      <c r="AJ20" s="118">
        <v>0</v>
      </c>
      <c r="AK20" s="118">
        <v>0</v>
      </c>
      <c r="AL20" s="118">
        <v>0</v>
      </c>
      <c r="AM20" s="118">
        <v>0</v>
      </c>
      <c r="AN20" s="118">
        <v>0</v>
      </c>
      <c r="AO20" s="118">
        <v>0</v>
      </c>
      <c r="AP20" s="118">
        <f>'[3]12 Empréstimos e Financiamentos'!$F$24</f>
        <v>0</v>
      </c>
      <c r="AQ20" s="118">
        <v>0</v>
      </c>
      <c r="AR20" s="118">
        <v>0</v>
      </c>
      <c r="AS20" s="118">
        <f>'[3]12 Empréstimos e Financiamentos'!$F$24</f>
        <v>0</v>
      </c>
      <c r="AT20" s="118">
        <v>0</v>
      </c>
      <c r="AU20" s="118">
        <v>0</v>
      </c>
      <c r="AV20" s="118">
        <v>0</v>
      </c>
      <c r="AW20" s="118">
        <v>0</v>
      </c>
      <c r="AX20" s="118">
        <v>0</v>
      </c>
      <c r="AY20" s="118">
        <v>0</v>
      </c>
      <c r="AZ20" s="118">
        <f>'[3]12 Empréstimos e Financiamentos'!$F$24</f>
        <v>0</v>
      </c>
      <c r="BA20" s="118">
        <v>0</v>
      </c>
      <c r="BB20" s="118">
        <v>0</v>
      </c>
      <c r="BC20" s="118">
        <f>'[3]12 Empréstimos e Financiamentos'!$F$24</f>
        <v>0</v>
      </c>
    </row>
    <row r="21" spans="1:55" x14ac:dyDescent="0.2">
      <c r="A21" t="s">
        <v>187</v>
      </c>
      <c r="B21" t="s">
        <v>908</v>
      </c>
      <c r="D21" s="129" t="str">
        <f>IF([1]RENAME!$H$3=1,B21,A21)</f>
        <v>Não circulante</v>
      </c>
      <c r="E21" s="118">
        <v>0</v>
      </c>
      <c r="F21" s="118">
        <v>0</v>
      </c>
      <c r="G21" s="160">
        <v>0</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18">
        <v>0</v>
      </c>
      <c r="Y21" s="118">
        <v>0</v>
      </c>
      <c r="Z21" s="118">
        <v>-2661</v>
      </c>
      <c r="AA21" s="118">
        <v>-1942</v>
      </c>
      <c r="AB21" s="118">
        <v>0</v>
      </c>
      <c r="AC21" s="118">
        <v>0</v>
      </c>
      <c r="AD21" s="118">
        <v>0</v>
      </c>
      <c r="AE21" s="118">
        <v>0</v>
      </c>
      <c r="AF21" s="118">
        <v>0</v>
      </c>
      <c r="AG21" s="118">
        <v>0</v>
      </c>
      <c r="AH21" s="118">
        <v>0</v>
      </c>
      <c r="AI21" s="118">
        <v>0</v>
      </c>
      <c r="AJ21" s="118">
        <v>0</v>
      </c>
      <c r="AK21" s="118">
        <v>0</v>
      </c>
      <c r="AL21" s="118">
        <v>0</v>
      </c>
      <c r="AM21" s="118">
        <v>0</v>
      </c>
      <c r="AN21" s="118">
        <v>0</v>
      </c>
      <c r="AO21" s="118">
        <v>0</v>
      </c>
      <c r="AP21" s="118">
        <f>'[3]12 Empréstimos e Financiamentos'!$F$25</f>
        <v>308</v>
      </c>
      <c r="AQ21" s="118">
        <v>0</v>
      </c>
      <c r="AR21" s="118">
        <v>0</v>
      </c>
      <c r="AS21" s="118">
        <f>'[3]12 Empréstimos e Financiamentos'!$F$25</f>
        <v>308</v>
      </c>
      <c r="AT21" s="118">
        <v>0</v>
      </c>
      <c r="AU21" s="118">
        <v>0</v>
      </c>
      <c r="AV21" s="118">
        <v>0</v>
      </c>
      <c r="AW21" s="118">
        <v>0</v>
      </c>
      <c r="AX21" s="118">
        <v>0</v>
      </c>
      <c r="AY21" s="118">
        <v>0</v>
      </c>
      <c r="AZ21" s="118">
        <f>'[3]12 Empréstimos e Financiamentos'!$F$25</f>
        <v>308</v>
      </c>
      <c r="BA21" s="118">
        <v>0</v>
      </c>
      <c r="BB21" s="118">
        <v>0</v>
      </c>
      <c r="BC21" s="118">
        <f>'[3]12 Empréstimos e Financiamentos'!$F$25</f>
        <v>308</v>
      </c>
    </row>
    <row r="22" spans="1:55" ht="15.75" customHeight="1" x14ac:dyDescent="0.2">
      <c r="A22" t="s">
        <v>279</v>
      </c>
      <c r="B22" t="s">
        <v>970</v>
      </c>
      <c r="D22" s="126" t="str">
        <f>IF([1]RENAME!$H$3=1,B22,A22)</f>
        <v>Empréstimo e financiamento líquido de swap e debêntures</v>
      </c>
      <c r="E22" s="120">
        <f t="shared" ref="E22:X22" si="26">SUM(E19,E15,E12)</f>
        <v>484647</v>
      </c>
      <c r="F22" s="120">
        <f t="shared" si="26"/>
        <v>495401</v>
      </c>
      <c r="G22" s="162">
        <f t="shared" si="26"/>
        <v>416441</v>
      </c>
      <c r="H22" s="120">
        <f t="shared" si="26"/>
        <v>489051</v>
      </c>
      <c r="I22" s="120">
        <f t="shared" si="26"/>
        <v>493332</v>
      </c>
      <c r="J22" s="120">
        <f t="shared" si="26"/>
        <v>490649</v>
      </c>
      <c r="K22" s="120">
        <f t="shared" si="26"/>
        <v>364474</v>
      </c>
      <c r="L22" s="120">
        <f t="shared" si="26"/>
        <v>363556</v>
      </c>
      <c r="M22" s="120">
        <f t="shared" si="26"/>
        <v>364297</v>
      </c>
      <c r="N22" s="120">
        <f t="shared" si="26"/>
        <v>341865</v>
      </c>
      <c r="O22" s="120">
        <f t="shared" si="26"/>
        <v>342593</v>
      </c>
      <c r="P22" s="120">
        <f t="shared" si="26"/>
        <v>341733</v>
      </c>
      <c r="Q22" s="120">
        <f t="shared" si="26"/>
        <v>291577</v>
      </c>
      <c r="R22" s="120">
        <f t="shared" si="26"/>
        <v>221452</v>
      </c>
      <c r="S22" s="120">
        <f t="shared" si="26"/>
        <v>273851</v>
      </c>
      <c r="T22" s="120">
        <f t="shared" si="26"/>
        <v>219975</v>
      </c>
      <c r="U22" s="120">
        <f t="shared" si="26"/>
        <v>222874</v>
      </c>
      <c r="V22" s="120">
        <f t="shared" si="26"/>
        <v>154169</v>
      </c>
      <c r="W22" s="120">
        <f t="shared" si="26"/>
        <v>148113</v>
      </c>
      <c r="X22" s="120">
        <f t="shared" si="26"/>
        <v>158913</v>
      </c>
      <c r="Y22" s="120">
        <f t="shared" ref="Y22:AD22" si="27">SUM(Y19,Y15,Y12)</f>
        <v>158586</v>
      </c>
      <c r="Z22" s="120">
        <f t="shared" si="27"/>
        <v>142726</v>
      </c>
      <c r="AA22" s="120">
        <f t="shared" si="27"/>
        <v>138647</v>
      </c>
      <c r="AB22" s="120">
        <f t="shared" si="27"/>
        <v>140100</v>
      </c>
      <c r="AC22" s="120">
        <f t="shared" si="27"/>
        <v>137418</v>
      </c>
      <c r="AD22" s="120">
        <f t="shared" si="27"/>
        <v>133519</v>
      </c>
      <c r="AE22" s="120">
        <f t="shared" ref="AE22:AJ22" si="28">SUM(AE19,AE15,AE12)</f>
        <v>223997</v>
      </c>
      <c r="AF22" s="120">
        <f t="shared" si="28"/>
        <v>193443</v>
      </c>
      <c r="AG22" s="120">
        <f t="shared" si="28"/>
        <v>193811</v>
      </c>
      <c r="AH22" s="120">
        <f t="shared" si="28"/>
        <v>194589</v>
      </c>
      <c r="AI22" s="120">
        <f t="shared" si="28"/>
        <v>152313</v>
      </c>
      <c r="AJ22" s="120">
        <f t="shared" si="28"/>
        <v>127676</v>
      </c>
      <c r="AK22" s="120">
        <f t="shared" ref="AK22:AP22" si="29">SUM(AK19,AK15,AK12)</f>
        <v>128886</v>
      </c>
      <c r="AL22" s="120">
        <f t="shared" si="29"/>
        <v>119250</v>
      </c>
      <c r="AM22" s="120">
        <f t="shared" si="29"/>
        <v>68411</v>
      </c>
      <c r="AN22" s="120">
        <f t="shared" si="29"/>
        <v>66432</v>
      </c>
      <c r="AO22" s="120">
        <f t="shared" si="29"/>
        <v>101740</v>
      </c>
      <c r="AP22" s="120">
        <f t="shared" si="29"/>
        <v>90674</v>
      </c>
      <c r="AQ22" s="120">
        <f t="shared" ref="AQ22:AY22" si="30">SUM(AQ19,AQ15,AQ12)</f>
        <v>91267</v>
      </c>
      <c r="AR22" s="120">
        <f t="shared" si="30"/>
        <v>95806</v>
      </c>
      <c r="AS22" s="120">
        <f t="shared" si="30"/>
        <v>101907</v>
      </c>
      <c r="AT22" s="120">
        <v>107217</v>
      </c>
      <c r="AU22" s="120">
        <v>105966</v>
      </c>
      <c r="AV22" s="120">
        <v>105679</v>
      </c>
      <c r="AW22" s="120">
        <v>105996</v>
      </c>
      <c r="AX22" s="120">
        <f t="shared" si="30"/>
        <v>110285</v>
      </c>
      <c r="AY22" s="120">
        <f t="shared" si="30"/>
        <v>111205</v>
      </c>
      <c r="AZ22" s="120">
        <f>SUM(AZ19,AZ15,AZ12)</f>
        <v>86127</v>
      </c>
      <c r="BA22" s="120">
        <f>SUM(BA19,BA15,BA12)</f>
        <v>125950</v>
      </c>
      <c r="BB22" s="120">
        <f>SUM(BB19,BB15,BB12)</f>
        <v>125204</v>
      </c>
      <c r="BC22" s="120">
        <f>SUM(BC19,BC15,BC12)</f>
        <v>141322</v>
      </c>
    </row>
    <row r="23" spans="1:55" x14ac:dyDescent="0.2">
      <c r="H23" s="329">
        <f>BP!W40-H22</f>
        <v>0</v>
      </c>
      <c r="I23" s="329">
        <f>BP!X40-I22</f>
        <v>0</v>
      </c>
      <c r="J23" s="329">
        <f>BP!Y40-J22</f>
        <v>0</v>
      </c>
      <c r="K23" s="329">
        <f>BP!Z40-K22</f>
        <v>0</v>
      </c>
      <c r="L23" s="329">
        <f>BP!AA40-L22</f>
        <v>0</v>
      </c>
      <c r="M23" s="329">
        <f>BP!AB40-M22</f>
        <v>0</v>
      </c>
      <c r="N23" s="329">
        <f>BP!AC40-N22</f>
        <v>0</v>
      </c>
      <c r="O23" s="329">
        <f>BP!AD40-O22</f>
        <v>0</v>
      </c>
      <c r="P23" s="329">
        <f>BP!AE40-P22</f>
        <v>0</v>
      </c>
      <c r="Q23" s="329">
        <f>BP!AF40-Q22</f>
        <v>0</v>
      </c>
      <c r="R23" s="329">
        <f>BP!AG40-R22</f>
        <v>0</v>
      </c>
      <c r="S23" s="329">
        <v>0</v>
      </c>
      <c r="T23" s="329">
        <f>BP!AI40-T22</f>
        <v>0</v>
      </c>
      <c r="U23" s="329">
        <f>BP!AJ40-U22</f>
        <v>0</v>
      </c>
      <c r="V23" s="329">
        <f>BP!AK40-V22</f>
        <v>0</v>
      </c>
      <c r="W23" s="329">
        <f>BP!AL40-W22</f>
        <v>0</v>
      </c>
      <c r="X23" s="329">
        <f>BP!AM40-X22</f>
        <v>0</v>
      </c>
      <c r="Y23" s="329">
        <f>BP!AN40-Y22</f>
        <v>0</v>
      </c>
      <c r="Z23" s="329">
        <v>0</v>
      </c>
      <c r="AA23" s="329"/>
      <c r="AB23" s="329"/>
      <c r="AC23" s="329">
        <v>0</v>
      </c>
      <c r="AD23" s="329">
        <f>BP!AS40-AD22</f>
        <v>0</v>
      </c>
      <c r="AE23" s="329">
        <f>BP!AT40-AE22</f>
        <v>0</v>
      </c>
      <c r="AF23" s="329">
        <f>BP!AU40-AF22</f>
        <v>0</v>
      </c>
      <c r="AG23" s="329">
        <f>BP!AV40-AG22</f>
        <v>0</v>
      </c>
      <c r="AH23" s="329">
        <f>BP!AX40-AH22</f>
        <v>-42276</v>
      </c>
      <c r="AI23" s="329">
        <f>BP!AY40-AI22</f>
        <v>-24637</v>
      </c>
      <c r="AJ23" s="329">
        <v>0</v>
      </c>
      <c r="AK23" s="329"/>
      <c r="AL23" s="329">
        <v>-119250</v>
      </c>
      <c r="AM23" s="329">
        <f>BP!BC40-AM22</f>
        <v>-1979</v>
      </c>
      <c r="AN23" s="329">
        <f>BP!BD40-AN22</f>
        <v>35308</v>
      </c>
      <c r="AO23" s="329">
        <f>BP!BE40-AO22</f>
        <v>-11374</v>
      </c>
      <c r="AP23" s="329">
        <f>BP!BF40-AP22</f>
        <v>593</v>
      </c>
      <c r="AQ23" s="329">
        <f>BP!BG40-AQ22</f>
        <v>4539</v>
      </c>
      <c r="AR23" s="329">
        <f>BP!BH40-AR22</f>
        <v>5793</v>
      </c>
      <c r="AS23" s="329">
        <f>BP!BO40-AS22</f>
        <v>-16088</v>
      </c>
      <c r="AT23" s="329">
        <v>-107217</v>
      </c>
      <c r="AU23" s="329"/>
      <c r="AV23" s="329"/>
      <c r="AW23" s="329"/>
      <c r="AX23" s="329"/>
      <c r="AY23" s="329">
        <f>BP!BT40-AY22</f>
        <v>-111205</v>
      </c>
      <c r="AZ23" s="329">
        <f>BP!BU40-AZ22</f>
        <v>-86127</v>
      </c>
      <c r="BA23" s="329">
        <f>BP!BV40-BA22</f>
        <v>-125950</v>
      </c>
      <c r="BB23" s="329">
        <f>BP!BW40-BB22</f>
        <v>-125204</v>
      </c>
      <c r="BC23" s="329">
        <f>BP!BW40-BC22</f>
        <v>-141322</v>
      </c>
    </row>
    <row r="24" spans="1:55" x14ac:dyDescent="0.2">
      <c r="A24" t="s">
        <v>1618</v>
      </c>
      <c r="B24" t="s">
        <v>866</v>
      </c>
      <c r="D24" s="145" t="str">
        <f>IF([1]RENAME!$H$3=1,B24,A24)</f>
        <v>Movimentação consolidado</v>
      </c>
      <c r="E24" s="115">
        <f t="shared" ref="E24:AY24" si="31">E5</f>
        <v>2013</v>
      </c>
      <c r="F24" s="115" t="str">
        <f t="shared" si="31"/>
        <v>1T14</v>
      </c>
      <c r="G24" s="115" t="str">
        <f t="shared" si="31"/>
        <v>2T14</v>
      </c>
      <c r="H24" s="115" t="str">
        <f t="shared" si="31"/>
        <v>3T14</v>
      </c>
      <c r="I24" s="115" t="str">
        <f t="shared" si="31"/>
        <v>4T14</v>
      </c>
      <c r="J24" s="115" t="str">
        <f t="shared" si="31"/>
        <v>1T15</v>
      </c>
      <c r="K24" s="115" t="str">
        <f t="shared" si="31"/>
        <v>2T15</v>
      </c>
      <c r="L24" s="115" t="str">
        <f t="shared" si="31"/>
        <v>3T15</v>
      </c>
      <c r="M24" s="115" t="str">
        <f t="shared" si="31"/>
        <v>4T15</v>
      </c>
      <c r="N24" s="115" t="str">
        <f t="shared" si="31"/>
        <v>1T16</v>
      </c>
      <c r="O24" s="115" t="str">
        <f t="shared" si="31"/>
        <v>2T16</v>
      </c>
      <c r="P24" s="115" t="str">
        <f t="shared" si="31"/>
        <v>3T16</v>
      </c>
      <c r="Q24" s="115" t="str">
        <f t="shared" si="31"/>
        <v>4T16</v>
      </c>
      <c r="R24" s="115" t="str">
        <f t="shared" si="31"/>
        <v>1T17</v>
      </c>
      <c r="S24" s="115" t="str">
        <f t="shared" si="31"/>
        <v>2T17</v>
      </c>
      <c r="T24" s="115" t="str">
        <f t="shared" si="31"/>
        <v>3T17</v>
      </c>
      <c r="U24" s="115" t="str">
        <f t="shared" si="31"/>
        <v>4T17</v>
      </c>
      <c r="V24" s="115" t="str">
        <f t="shared" si="31"/>
        <v>1T18</v>
      </c>
      <c r="W24" s="115" t="str">
        <f t="shared" si="31"/>
        <v>2T18</v>
      </c>
      <c r="X24" s="115" t="str">
        <f t="shared" si="31"/>
        <v>3T18</v>
      </c>
      <c r="Y24" s="115" t="str">
        <f t="shared" si="31"/>
        <v>4T18</v>
      </c>
      <c r="Z24" s="115" t="str">
        <f t="shared" si="31"/>
        <v>1T19</v>
      </c>
      <c r="AA24" s="115" t="str">
        <f t="shared" si="31"/>
        <v>2T19</v>
      </c>
      <c r="AB24" s="115" t="str">
        <f t="shared" si="31"/>
        <v>3T19</v>
      </c>
      <c r="AC24" s="115" t="str">
        <f t="shared" si="31"/>
        <v>4T19</v>
      </c>
      <c r="AD24" s="115" t="str">
        <f t="shared" si="31"/>
        <v>1T20</v>
      </c>
      <c r="AE24" s="115" t="str">
        <f t="shared" si="31"/>
        <v>2T20</v>
      </c>
      <c r="AF24" s="115" t="str">
        <f t="shared" si="31"/>
        <v>3T20</v>
      </c>
      <c r="AG24" s="115" t="str">
        <f t="shared" si="31"/>
        <v>4T20</v>
      </c>
      <c r="AH24" s="115" t="str">
        <f t="shared" si="31"/>
        <v>1T21</v>
      </c>
      <c r="AI24" s="115" t="str">
        <f t="shared" si="31"/>
        <v>2T21</v>
      </c>
      <c r="AJ24" s="115" t="str">
        <f t="shared" si="31"/>
        <v>3T21</v>
      </c>
      <c r="AK24" s="115" t="str">
        <f t="shared" si="31"/>
        <v>4T21</v>
      </c>
      <c r="AL24" s="115" t="str">
        <f t="shared" si="31"/>
        <v>1T22</v>
      </c>
      <c r="AM24" s="115" t="str">
        <f t="shared" si="31"/>
        <v>2T22</v>
      </c>
      <c r="AN24" s="115" t="str">
        <f t="shared" si="31"/>
        <v>3T22</v>
      </c>
      <c r="AO24" s="115" t="str">
        <f t="shared" si="31"/>
        <v>4T22</v>
      </c>
      <c r="AP24" s="115" t="str">
        <f t="shared" si="31"/>
        <v>1T23</v>
      </c>
      <c r="AQ24" s="115" t="str">
        <f t="shared" si="31"/>
        <v>2T23</v>
      </c>
      <c r="AR24" s="115" t="str">
        <f t="shared" si="31"/>
        <v>3T23</v>
      </c>
      <c r="AS24" s="115" t="str">
        <f t="shared" si="31"/>
        <v>4T23</v>
      </c>
      <c r="AT24" s="115" t="s">
        <v>2129</v>
      </c>
      <c r="AU24" s="115" t="s">
        <v>2139</v>
      </c>
      <c r="AV24" s="115" t="s">
        <v>2140</v>
      </c>
      <c r="AW24" s="115" t="s">
        <v>2141</v>
      </c>
      <c r="AX24" s="115" t="str">
        <f t="shared" si="31"/>
        <v>1T25</v>
      </c>
      <c r="AY24" s="115" t="str">
        <f t="shared" si="31"/>
        <v>2T25</v>
      </c>
      <c r="AZ24" s="115" t="str">
        <f>AZ5</f>
        <v>3T25</v>
      </c>
      <c r="BA24" s="115" t="str">
        <f>BA5</f>
        <v>4T25</v>
      </c>
      <c r="BB24" s="247" t="str">
        <f>BB5</f>
        <v>1T26</v>
      </c>
      <c r="BC24" s="115" t="str">
        <f>BC5</f>
        <v>2T26</v>
      </c>
    </row>
    <row r="25" spans="1:55" x14ac:dyDescent="0.2">
      <c r="A25" t="s">
        <v>1612</v>
      </c>
      <c r="B25" t="s">
        <v>1186</v>
      </c>
      <c r="D25" s="126" t="str">
        <f>IF([1]RENAME!$H$3=1,B25,A25)</f>
        <v>Saldo Inicial - Emprestimos e Financiamentos</v>
      </c>
      <c r="E25" s="120" t="s">
        <v>160</v>
      </c>
      <c r="F25" s="120" t="s">
        <v>160</v>
      </c>
      <c r="G25" s="162" t="s">
        <v>160</v>
      </c>
      <c r="H25" s="120" t="s">
        <v>160</v>
      </c>
      <c r="I25" s="120" t="s">
        <v>160</v>
      </c>
      <c r="J25" s="120" t="s">
        <v>160</v>
      </c>
      <c r="K25" s="120" t="s">
        <v>160</v>
      </c>
      <c r="L25" s="120" t="s">
        <v>160</v>
      </c>
      <c r="M25" s="120" t="s">
        <v>160</v>
      </c>
      <c r="N25" s="120" t="s">
        <v>160</v>
      </c>
      <c r="O25" s="120" t="s">
        <v>160</v>
      </c>
      <c r="P25" s="120" t="s">
        <v>160</v>
      </c>
      <c r="Q25" s="120" t="s">
        <v>160</v>
      </c>
      <c r="R25" s="120" t="s">
        <v>160</v>
      </c>
      <c r="S25" s="120" t="s">
        <v>160</v>
      </c>
      <c r="T25" s="120" t="s">
        <v>160</v>
      </c>
      <c r="U25" s="120" t="s">
        <v>160</v>
      </c>
      <c r="V25" s="120">
        <v>54747</v>
      </c>
      <c r="W25" s="120">
        <v>54863</v>
      </c>
      <c r="X25" s="120">
        <v>50020</v>
      </c>
      <c r="Y25" s="120">
        <v>64544</v>
      </c>
      <c r="Z25" s="120">
        <v>62117</v>
      </c>
      <c r="AA25" s="120">
        <v>94227</v>
      </c>
      <c r="AB25" s="120">
        <v>90449</v>
      </c>
      <c r="AC25" s="120">
        <v>94820</v>
      </c>
      <c r="AD25" s="120">
        <f t="shared" ref="AD25:AI25" si="32">AC32</f>
        <v>91022</v>
      </c>
      <c r="AE25" s="120">
        <f t="shared" si="32"/>
        <v>103286</v>
      </c>
      <c r="AF25" s="120">
        <f t="shared" si="32"/>
        <v>196354</v>
      </c>
      <c r="AG25" s="120">
        <f t="shared" si="32"/>
        <v>168276</v>
      </c>
      <c r="AH25" s="120">
        <f t="shared" si="32"/>
        <v>168764</v>
      </c>
      <c r="AI25" s="120">
        <f t="shared" si="32"/>
        <v>169300</v>
      </c>
      <c r="AJ25" s="120">
        <f t="shared" ref="AJ25:AS25" si="33">AI32</f>
        <v>127243</v>
      </c>
      <c r="AK25" s="120">
        <f t="shared" si="33"/>
        <v>127676</v>
      </c>
      <c r="AL25" s="120">
        <f t="shared" si="33"/>
        <v>128886</v>
      </c>
      <c r="AM25" s="120">
        <f t="shared" si="33"/>
        <v>119250</v>
      </c>
      <c r="AN25" s="120">
        <f t="shared" si="33"/>
        <v>68411</v>
      </c>
      <c r="AO25" s="120">
        <f t="shared" si="33"/>
        <v>66432</v>
      </c>
      <c r="AP25" s="120">
        <f t="shared" si="33"/>
        <v>101740</v>
      </c>
      <c r="AQ25" s="120">
        <f t="shared" si="33"/>
        <v>90366</v>
      </c>
      <c r="AR25" s="120">
        <f t="shared" si="33"/>
        <v>91267</v>
      </c>
      <c r="AS25" s="120">
        <f t="shared" si="33"/>
        <v>95806</v>
      </c>
      <c r="AT25" s="120">
        <v>101599</v>
      </c>
      <c r="AU25" s="120">
        <v>107217</v>
      </c>
      <c r="AV25" s="120">
        <v>105966</v>
      </c>
      <c r="AW25" s="120">
        <v>105679</v>
      </c>
      <c r="AX25" s="120">
        <f t="shared" ref="AX25:BC25" si="34">AW32</f>
        <v>105996</v>
      </c>
      <c r="AY25" s="120">
        <f t="shared" si="34"/>
        <v>110285</v>
      </c>
      <c r="AZ25" s="120">
        <f t="shared" si="34"/>
        <v>111205</v>
      </c>
      <c r="BA25" s="120">
        <f t="shared" si="34"/>
        <v>85819</v>
      </c>
      <c r="BB25" s="120">
        <f t="shared" si="34"/>
        <v>125950</v>
      </c>
      <c r="BC25" s="120">
        <f t="shared" si="34"/>
        <v>125203</v>
      </c>
    </row>
    <row r="26" spans="1:55" x14ac:dyDescent="0.2">
      <c r="A26" t="s">
        <v>1606</v>
      </c>
      <c r="B26" t="s">
        <v>1609</v>
      </c>
      <c r="D26" s="129" t="str">
        <f>IF([1]RENAME!$H$3=1,B26,A26)</f>
        <v>Captação</v>
      </c>
      <c r="E26" s="118" t="s">
        <v>160</v>
      </c>
      <c r="F26" s="118" t="s">
        <v>160</v>
      </c>
      <c r="G26" s="160" t="s">
        <v>160</v>
      </c>
      <c r="H26" s="118" t="s">
        <v>160</v>
      </c>
      <c r="I26" s="118" t="s">
        <v>160</v>
      </c>
      <c r="J26" s="118" t="s">
        <v>160</v>
      </c>
      <c r="K26" s="118" t="s">
        <v>160</v>
      </c>
      <c r="L26" s="118" t="s">
        <v>160</v>
      </c>
      <c r="M26" s="118" t="s">
        <v>160</v>
      </c>
      <c r="N26" s="118" t="s">
        <v>160</v>
      </c>
      <c r="O26" s="118" t="s">
        <v>160</v>
      </c>
      <c r="P26" s="118" t="s">
        <v>160</v>
      </c>
      <c r="Q26" s="118" t="s">
        <v>160</v>
      </c>
      <c r="R26" s="118" t="s">
        <v>160</v>
      </c>
      <c r="S26" s="118" t="s">
        <v>160</v>
      </c>
      <c r="T26" s="118" t="s">
        <v>160</v>
      </c>
      <c r="U26" s="118" t="s">
        <v>160</v>
      </c>
      <c r="V26" s="118">
        <v>0</v>
      </c>
      <c r="W26" s="118">
        <v>0</v>
      </c>
      <c r="X26" s="118">
        <v>50000</v>
      </c>
      <c r="Y26" s="118">
        <v>0</v>
      </c>
      <c r="Z26" s="118">
        <v>30000</v>
      </c>
      <c r="AA26" s="118">
        <v>0</v>
      </c>
      <c r="AB26" s="118">
        <v>0</v>
      </c>
      <c r="AC26" s="118">
        <v>0</v>
      </c>
      <c r="AD26" s="118">
        <v>0</v>
      </c>
      <c r="AE26" s="118">
        <v>90000</v>
      </c>
      <c r="AF26" s="118">
        <v>45000</v>
      </c>
      <c r="AG26" s="118">
        <v>0</v>
      </c>
      <c r="AH26" s="118">
        <v>0</v>
      </c>
      <c r="AI26" s="118">
        <v>0</v>
      </c>
      <c r="AJ26" s="118">
        <v>0</v>
      </c>
      <c r="AK26" s="118">
        <v>0</v>
      </c>
      <c r="AL26" s="118">
        <v>0</v>
      </c>
      <c r="AM26" s="118">
        <v>0</v>
      </c>
      <c r="AN26" s="118">
        <v>0</v>
      </c>
      <c r="AO26" s="118">
        <v>32568</v>
      </c>
      <c r="AP26" s="118">
        <v>0</v>
      </c>
      <c r="AQ26" s="118">
        <v>0</v>
      </c>
      <c r="AR26" s="118">
        <v>51266</v>
      </c>
      <c r="AS26" s="118">
        <v>5005</v>
      </c>
      <c r="AT26" s="118">
        <v>5910</v>
      </c>
      <c r="AU26" s="118">
        <v>8729</v>
      </c>
      <c r="AV26" s="118">
        <v>0</v>
      </c>
      <c r="AW26" s="118">
        <v>0</v>
      </c>
      <c r="AX26" s="118">
        <v>6522</v>
      </c>
      <c r="AY26" s="118">
        <v>0</v>
      </c>
      <c r="AZ26" s="118">
        <v>0</v>
      </c>
      <c r="BA26" s="118">
        <v>40000</v>
      </c>
      <c r="BB26" s="118">
        <v>0</v>
      </c>
      <c r="BC26" s="118">
        <f>'[3]12 Emp NL'!AF78-BB26</f>
        <v>14922</v>
      </c>
    </row>
    <row r="27" spans="1:55" x14ac:dyDescent="0.2">
      <c r="A27" t="s">
        <v>1441</v>
      </c>
      <c r="B27" t="s">
        <v>1610</v>
      </c>
      <c r="D27" s="129" t="str">
        <f>IF([1]RENAME!$H$3=1,B27,A27)</f>
        <v>Juros apropriados</v>
      </c>
      <c r="E27" s="118" t="s">
        <v>160</v>
      </c>
      <c r="F27" s="118" t="s">
        <v>160</v>
      </c>
      <c r="G27" s="160" t="s">
        <v>160</v>
      </c>
      <c r="H27" s="118" t="s">
        <v>160</v>
      </c>
      <c r="I27" s="118" t="s">
        <v>160</v>
      </c>
      <c r="J27" s="118" t="s">
        <v>160</v>
      </c>
      <c r="K27" s="118" t="s">
        <v>160</v>
      </c>
      <c r="L27" s="118" t="s">
        <v>160</v>
      </c>
      <c r="M27" s="118" t="s">
        <v>160</v>
      </c>
      <c r="N27" s="118" t="s">
        <v>160</v>
      </c>
      <c r="O27" s="118" t="s">
        <v>160</v>
      </c>
      <c r="P27" s="118" t="s">
        <v>160</v>
      </c>
      <c r="Q27" s="118" t="s">
        <v>160</v>
      </c>
      <c r="R27" s="118" t="s">
        <v>160</v>
      </c>
      <c r="S27" s="118" t="s">
        <v>160</v>
      </c>
      <c r="T27" s="118" t="s">
        <v>160</v>
      </c>
      <c r="U27" s="118" t="s">
        <v>160</v>
      </c>
      <c r="V27" s="118">
        <v>1164</v>
      </c>
      <c r="W27" s="118">
        <v>1108</v>
      </c>
      <c r="X27" s="118">
        <v>920</v>
      </c>
      <c r="Y27" s="118">
        <v>866</v>
      </c>
      <c r="Z27" s="118">
        <v>814</v>
      </c>
      <c r="AA27" s="118">
        <v>1387</v>
      </c>
      <c r="AB27" s="118">
        <v>1352</v>
      </c>
      <c r="AC27" s="118">
        <v>1209</v>
      </c>
      <c r="AD27" s="118">
        <v>1072</v>
      </c>
      <c r="AE27" s="118">
        <v>2397</v>
      </c>
      <c r="AF27" s="118">
        <v>2318</v>
      </c>
      <c r="AG27" s="118">
        <v>2068</v>
      </c>
      <c r="AH27" s="118">
        <v>2070</v>
      </c>
      <c r="AI27" s="118">
        <v>1856</v>
      </c>
      <c r="AJ27" s="118">
        <v>2438</v>
      </c>
      <c r="AK27" s="118">
        <v>3201</v>
      </c>
      <c r="AL27" s="118">
        <v>3957</v>
      </c>
      <c r="AM27" s="118">
        <v>2320</v>
      </c>
      <c r="AN27" s="118">
        <v>2564</v>
      </c>
      <c r="AO27" s="118">
        <v>2739</v>
      </c>
      <c r="AP27" s="118">
        <v>3682</v>
      </c>
      <c r="AQ27" s="118">
        <v>3293</v>
      </c>
      <c r="AR27" s="118">
        <v>2518</v>
      </c>
      <c r="AS27" s="118">
        <v>3127</v>
      </c>
      <c r="AT27" s="118">
        <v>3111</v>
      </c>
      <c r="AU27" s="118">
        <v>2960</v>
      </c>
      <c r="AV27" s="118">
        <v>3222</v>
      </c>
      <c r="AW27" s="118">
        <v>3186</v>
      </c>
      <c r="AX27" s="118">
        <v>3523</v>
      </c>
      <c r="AY27" s="118">
        <v>4047</v>
      </c>
      <c r="AZ27" s="118">
        <v>4167</v>
      </c>
      <c r="BA27" s="118">
        <v>3502</v>
      </c>
      <c r="BB27" s="118">
        <v>4651</v>
      </c>
      <c r="BC27" s="118">
        <f>'[3]12 Emp NL'!AF79-BB27</f>
        <v>4673</v>
      </c>
    </row>
    <row r="28" spans="1:55" x14ac:dyDescent="0.2">
      <c r="A28" t="s">
        <v>1607</v>
      </c>
      <c r="B28" t="s">
        <v>1611</v>
      </c>
      <c r="D28" s="129" t="str">
        <f>IF([1]RENAME!$H$3=1,B28,A28)</f>
        <v>Pagamento de principal</v>
      </c>
      <c r="E28" s="118" t="s">
        <v>160</v>
      </c>
      <c r="F28" s="118" t="s">
        <v>160</v>
      </c>
      <c r="G28" s="160" t="s">
        <v>160</v>
      </c>
      <c r="H28" s="118" t="s">
        <v>160</v>
      </c>
      <c r="I28" s="118" t="s">
        <v>160</v>
      </c>
      <c r="J28" s="118" t="s">
        <v>160</v>
      </c>
      <c r="K28" s="118" t="s">
        <v>160</v>
      </c>
      <c r="L28" s="118" t="s">
        <v>160</v>
      </c>
      <c r="M28" s="118" t="s">
        <v>160</v>
      </c>
      <c r="N28" s="118" t="s">
        <v>160</v>
      </c>
      <c r="O28" s="118" t="s">
        <v>160</v>
      </c>
      <c r="P28" s="118" t="s">
        <v>160</v>
      </c>
      <c r="Q28" s="118" t="s">
        <v>160</v>
      </c>
      <c r="R28" s="118" t="s">
        <v>160</v>
      </c>
      <c r="S28" s="118" t="s">
        <v>160</v>
      </c>
      <c r="T28" s="118" t="s">
        <v>160</v>
      </c>
      <c r="U28" s="118" t="s">
        <v>160</v>
      </c>
      <c r="V28" s="118">
        <v>-134</v>
      </c>
      <c r="W28" s="118">
        <v>-4620</v>
      </c>
      <c r="X28" s="118">
        <v>-40000</v>
      </c>
      <c r="Y28" s="118">
        <v>0</v>
      </c>
      <c r="Z28" s="118">
        <v>0</v>
      </c>
      <c r="AA28" s="118">
        <v>-3333</v>
      </c>
      <c r="AB28" s="118">
        <v>0</v>
      </c>
      <c r="AC28" s="118">
        <v>-3334</v>
      </c>
      <c r="AD28" s="118">
        <v>0</v>
      </c>
      <c r="AE28" s="118">
        <v>-3333</v>
      </c>
      <c r="AF28" s="118">
        <v>-71368</v>
      </c>
      <c r="AG28" s="118">
        <v>2</v>
      </c>
      <c r="AH28" s="118">
        <v>0</v>
      </c>
      <c r="AI28" s="118">
        <v>-40000</v>
      </c>
      <c r="AJ28" s="118">
        <v>0</v>
      </c>
      <c r="AK28" s="118">
        <v>0</v>
      </c>
      <c r="AL28" s="118">
        <v>-10000</v>
      </c>
      <c r="AM28" s="118">
        <v>-50000</v>
      </c>
      <c r="AN28" s="118">
        <v>0</v>
      </c>
      <c r="AO28" s="118">
        <v>0</v>
      </c>
      <c r="AP28" s="118">
        <v>-10000</v>
      </c>
      <c r="AQ28" s="118">
        <v>0</v>
      </c>
      <c r="AR28" s="118">
        <v>-45000</v>
      </c>
      <c r="AS28" s="118">
        <v>0</v>
      </c>
      <c r="AT28" s="118">
        <v>0</v>
      </c>
      <c r="AU28" s="118">
        <v>-10000</v>
      </c>
      <c r="AV28" s="118">
        <v>0</v>
      </c>
      <c r="AW28" s="118">
        <v>0</v>
      </c>
      <c r="AX28" s="118">
        <v>-1018</v>
      </c>
      <c r="AY28" s="118">
        <v>-1087</v>
      </c>
      <c r="AZ28" s="118">
        <v>-23448</v>
      </c>
      <c r="BA28" s="118">
        <v>-1062</v>
      </c>
      <c r="BB28" s="118">
        <v>-1018</v>
      </c>
      <c r="BC28" s="118">
        <f>'[3]12 Emp NL'!AF80-BB28</f>
        <v>-1202</v>
      </c>
    </row>
    <row r="29" spans="1:55" x14ac:dyDescent="0.2">
      <c r="A29" t="s">
        <v>1608</v>
      </c>
      <c r="B29" t="s">
        <v>1458</v>
      </c>
      <c r="D29" s="129" t="str">
        <f>IF([1]RENAME!$H$3=1,B29,A29)</f>
        <v>Juros pagos</v>
      </c>
      <c r="E29" s="118" t="s">
        <v>160</v>
      </c>
      <c r="F29" s="118" t="s">
        <v>160</v>
      </c>
      <c r="G29" s="160" t="s">
        <v>160</v>
      </c>
      <c r="H29" s="118" t="s">
        <v>160</v>
      </c>
      <c r="I29" s="118" t="s">
        <v>160</v>
      </c>
      <c r="J29" s="118" t="s">
        <v>160</v>
      </c>
      <c r="K29" s="118" t="s">
        <v>160</v>
      </c>
      <c r="L29" s="118" t="s">
        <v>160</v>
      </c>
      <c r="M29" s="118" t="s">
        <v>160</v>
      </c>
      <c r="N29" s="118" t="s">
        <v>160</v>
      </c>
      <c r="O29" s="118" t="s">
        <v>160</v>
      </c>
      <c r="P29" s="118" t="s">
        <v>160</v>
      </c>
      <c r="Q29" s="118" t="s">
        <v>160</v>
      </c>
      <c r="R29" s="118" t="s">
        <v>160</v>
      </c>
      <c r="S29" s="118" t="s">
        <v>160</v>
      </c>
      <c r="T29" s="118" t="s">
        <v>160</v>
      </c>
      <c r="U29" s="118" t="s">
        <v>160</v>
      </c>
      <c r="V29" s="118">
        <v>-914</v>
      </c>
      <c r="W29" s="118">
        <v>-1331</v>
      </c>
      <c r="X29" s="118">
        <v>-314</v>
      </c>
      <c r="Y29" s="118">
        <v>-1514</v>
      </c>
      <c r="Z29" s="118">
        <v>0</v>
      </c>
      <c r="AA29" s="118">
        <v>-441</v>
      </c>
      <c r="AB29" s="118">
        <v>-1112</v>
      </c>
      <c r="AC29" s="118">
        <v>-276</v>
      </c>
      <c r="AD29" s="118">
        <v>-3987</v>
      </c>
      <c r="AE29" s="118">
        <v>-105</v>
      </c>
      <c r="AF29" s="118">
        <v>-853</v>
      </c>
      <c r="AG29" s="118">
        <v>-1581</v>
      </c>
      <c r="AH29" s="118">
        <v>-1534</v>
      </c>
      <c r="AI29" s="118">
        <v>-3913</v>
      </c>
      <c r="AJ29" s="118">
        <v>-2005</v>
      </c>
      <c r="AK29" s="118">
        <v>-1991</v>
      </c>
      <c r="AL29" s="118">
        <v>-3593</v>
      </c>
      <c r="AM29" s="118">
        <v>-3159</v>
      </c>
      <c r="AN29" s="118">
        <v>-4543</v>
      </c>
      <c r="AO29" s="118">
        <v>1</v>
      </c>
      <c r="AP29" s="118">
        <v>-5056</v>
      </c>
      <c r="AQ29" s="118">
        <v>-2392</v>
      </c>
      <c r="AR29" s="118">
        <v>-4245</v>
      </c>
      <c r="AS29" s="118">
        <v>-2339</v>
      </c>
      <c r="AT29" s="118">
        <v>-3403</v>
      </c>
      <c r="AU29" s="118">
        <v>-2940</v>
      </c>
      <c r="AV29" s="118">
        <v>-3509</v>
      </c>
      <c r="AW29" s="118">
        <v>-2869</v>
      </c>
      <c r="AX29" s="118">
        <v>-4738</v>
      </c>
      <c r="AY29" s="118">
        <v>-2040</v>
      </c>
      <c r="AZ29" s="118">
        <v>-6181</v>
      </c>
      <c r="BA29" s="118">
        <v>-2309</v>
      </c>
      <c r="BB29" s="118">
        <v>-4380</v>
      </c>
      <c r="BC29" s="118">
        <f>'[3]12 Emp NL'!AF81-BB29</f>
        <v>-2282</v>
      </c>
    </row>
    <row r="30" spans="1:55" x14ac:dyDescent="0.2">
      <c r="A30" t="s">
        <v>1616</v>
      </c>
      <c r="B30" t="s">
        <v>1617</v>
      </c>
      <c r="D30" s="129" t="str">
        <f>IF([1]RENAME!$H$3=1,B30,A30)</f>
        <v>Variação cambial</v>
      </c>
      <c r="E30" s="118" t="s">
        <v>160</v>
      </c>
      <c r="F30" s="118" t="s">
        <v>160</v>
      </c>
      <c r="G30" s="818" t="s">
        <v>160</v>
      </c>
      <c r="H30" s="118" t="s">
        <v>160</v>
      </c>
      <c r="I30" s="118" t="s">
        <v>160</v>
      </c>
      <c r="J30" s="118" t="s">
        <v>160</v>
      </c>
      <c r="K30" s="118" t="s">
        <v>160</v>
      </c>
      <c r="L30" s="118" t="s">
        <v>160</v>
      </c>
      <c r="M30" s="118" t="s">
        <v>160</v>
      </c>
      <c r="N30" s="118" t="s">
        <v>160</v>
      </c>
      <c r="O30" s="118" t="s">
        <v>160</v>
      </c>
      <c r="P30" s="118" t="s">
        <v>160</v>
      </c>
      <c r="Q30" s="118" t="s">
        <v>160</v>
      </c>
      <c r="R30" s="118" t="s">
        <v>160</v>
      </c>
      <c r="S30" s="118" t="s">
        <v>160</v>
      </c>
      <c r="T30" s="118" t="s">
        <v>160</v>
      </c>
      <c r="U30" s="118" t="s">
        <v>160</v>
      </c>
      <c r="V30" s="118">
        <v>0</v>
      </c>
      <c r="W30" s="118">
        <v>0</v>
      </c>
      <c r="X30" s="118">
        <v>3918</v>
      </c>
      <c r="Y30" s="118">
        <v>-1779</v>
      </c>
      <c r="Z30" s="118">
        <v>1296</v>
      </c>
      <c r="AA30" s="118">
        <v>-1391</v>
      </c>
      <c r="AB30" s="118">
        <v>4131</v>
      </c>
      <c r="AC30" s="118">
        <v>-1397</v>
      </c>
      <c r="AD30" s="118">
        <v>15179</v>
      </c>
      <c r="AE30" s="118">
        <v>4109</v>
      </c>
      <c r="AF30" s="118">
        <v>-3175</v>
      </c>
      <c r="AG30" s="118">
        <v>-1</v>
      </c>
      <c r="AH30" s="118">
        <v>0</v>
      </c>
      <c r="AI30" s="118">
        <v>0</v>
      </c>
      <c r="AJ30" s="118">
        <v>0</v>
      </c>
      <c r="AK30" s="118">
        <v>0</v>
      </c>
      <c r="AL30" s="118">
        <v>0</v>
      </c>
      <c r="AM30" s="118">
        <v>0</v>
      </c>
      <c r="AN30" s="118">
        <v>0</v>
      </c>
      <c r="AO30" s="118">
        <v>0</v>
      </c>
      <c r="AP30" s="118">
        <v>0</v>
      </c>
      <c r="AQ30" s="118">
        <v>0</v>
      </c>
      <c r="AR30" s="118">
        <v>0</v>
      </c>
      <c r="AS30" s="118">
        <v>0</v>
      </c>
      <c r="AT30" s="118">
        <v>0</v>
      </c>
      <c r="AU30" s="118">
        <v>0</v>
      </c>
      <c r="AV30" s="118">
        <v>0</v>
      </c>
      <c r="AW30" s="118">
        <v>0</v>
      </c>
      <c r="AX30" s="118" t="s">
        <v>160</v>
      </c>
      <c r="AY30" s="118">
        <v>0</v>
      </c>
      <c r="AZ30" s="118">
        <v>0</v>
      </c>
      <c r="BA30" s="118">
        <v>0</v>
      </c>
      <c r="BB30" s="118">
        <v>0</v>
      </c>
      <c r="BC30" s="118">
        <v>0</v>
      </c>
    </row>
    <row r="31" spans="1:55" x14ac:dyDescent="0.2">
      <c r="D31" s="129" t="s">
        <v>2293</v>
      </c>
      <c r="E31" s="118" t="s">
        <v>160</v>
      </c>
      <c r="F31" s="118" t="s">
        <v>160</v>
      </c>
      <c r="G31" s="818" t="s">
        <v>160</v>
      </c>
      <c r="H31" s="118" t="s">
        <v>160</v>
      </c>
      <c r="I31" s="118" t="s">
        <v>160</v>
      </c>
      <c r="J31" s="118" t="s">
        <v>160</v>
      </c>
      <c r="K31" s="118" t="s">
        <v>160</v>
      </c>
      <c r="L31" s="118" t="s">
        <v>160</v>
      </c>
      <c r="M31" s="118" t="s">
        <v>160</v>
      </c>
      <c r="N31" s="118" t="s">
        <v>160</v>
      </c>
      <c r="O31" s="118" t="s">
        <v>160</v>
      </c>
      <c r="P31" s="118" t="s">
        <v>160</v>
      </c>
      <c r="Q31" s="118" t="s">
        <v>160</v>
      </c>
      <c r="R31" s="118" t="s">
        <v>160</v>
      </c>
      <c r="S31" s="118" t="s">
        <v>160</v>
      </c>
      <c r="T31" s="118" t="s">
        <v>160</v>
      </c>
      <c r="U31" s="118" t="s">
        <v>160</v>
      </c>
      <c r="V31" s="118">
        <v>0</v>
      </c>
      <c r="W31" s="118">
        <v>0</v>
      </c>
      <c r="X31" s="118">
        <v>3918</v>
      </c>
      <c r="Y31" s="118">
        <v>-1779</v>
      </c>
      <c r="Z31" s="118">
        <v>1296</v>
      </c>
      <c r="AA31" s="118">
        <v>-1391</v>
      </c>
      <c r="AB31" s="118">
        <v>4131</v>
      </c>
      <c r="AC31" s="118">
        <v>-1397</v>
      </c>
      <c r="AD31" s="118">
        <v>15179</v>
      </c>
      <c r="AE31" s="118">
        <v>4109</v>
      </c>
      <c r="AF31" s="118">
        <v>-3175</v>
      </c>
      <c r="AG31" s="118">
        <v>-1</v>
      </c>
      <c r="AH31" s="118">
        <v>0</v>
      </c>
      <c r="AI31" s="118">
        <v>0</v>
      </c>
      <c r="AJ31" s="118">
        <v>0</v>
      </c>
      <c r="AK31" s="118">
        <v>0</v>
      </c>
      <c r="AL31" s="118">
        <v>0</v>
      </c>
      <c r="AM31" s="118">
        <v>0</v>
      </c>
      <c r="AN31" s="118">
        <v>0</v>
      </c>
      <c r="AO31" s="118">
        <v>0</v>
      </c>
      <c r="AP31" s="118">
        <v>0</v>
      </c>
      <c r="AQ31" s="118">
        <v>0</v>
      </c>
      <c r="AR31" s="118">
        <v>0</v>
      </c>
      <c r="AS31" s="118">
        <v>0</v>
      </c>
      <c r="AT31" s="118">
        <v>0</v>
      </c>
      <c r="AU31" s="118">
        <v>0</v>
      </c>
      <c r="AV31" s="118">
        <v>0</v>
      </c>
      <c r="AW31" s="118">
        <v>0</v>
      </c>
      <c r="AX31" s="118" t="s">
        <v>160</v>
      </c>
      <c r="AY31" s="118">
        <v>0</v>
      </c>
      <c r="AZ31" s="118">
        <v>76</v>
      </c>
      <c r="BA31" s="118"/>
      <c r="BB31" s="118">
        <v>0</v>
      </c>
      <c r="BC31" s="118">
        <f>'[3]12 Emp NL'!AF82-BB31</f>
        <v>-300</v>
      </c>
    </row>
    <row r="32" spans="1:55" x14ac:dyDescent="0.2">
      <c r="A32" t="s">
        <v>1613</v>
      </c>
      <c r="B32" t="s">
        <v>1191</v>
      </c>
      <c r="D32" s="126" t="str">
        <f>IF([1]RENAME!$H$3=1,B32,A32)</f>
        <v>Saldo Final - Emprestimos e Financiamentos</v>
      </c>
      <c r="E32" s="120" t="s">
        <v>160</v>
      </c>
      <c r="F32" s="120" t="s">
        <v>160</v>
      </c>
      <c r="G32" s="162" t="s">
        <v>160</v>
      </c>
      <c r="H32" s="120" t="s">
        <v>160</v>
      </c>
      <c r="I32" s="120" t="s">
        <v>160</v>
      </c>
      <c r="J32" s="120" t="s">
        <v>160</v>
      </c>
      <c r="K32" s="120" t="s">
        <v>160</v>
      </c>
      <c r="L32" s="120" t="s">
        <v>160</v>
      </c>
      <c r="M32" s="120" t="s">
        <v>160</v>
      </c>
      <c r="N32" s="120" t="s">
        <v>160</v>
      </c>
      <c r="O32" s="120" t="s">
        <v>160</v>
      </c>
      <c r="P32" s="120" t="s">
        <v>160</v>
      </c>
      <c r="Q32" s="120" t="s">
        <v>160</v>
      </c>
      <c r="R32" s="120" t="s">
        <v>160</v>
      </c>
      <c r="S32" s="120" t="s">
        <v>160</v>
      </c>
      <c r="T32" s="120" t="s">
        <v>160</v>
      </c>
      <c r="U32" s="120" t="s">
        <v>160</v>
      </c>
      <c r="V32" s="120">
        <v>54863</v>
      </c>
      <c r="W32" s="120">
        <v>50020</v>
      </c>
      <c r="X32" s="120">
        <v>64544</v>
      </c>
      <c r="Y32" s="120">
        <v>62117</v>
      </c>
      <c r="Z32" s="120">
        <v>94227</v>
      </c>
      <c r="AA32" s="120">
        <v>90449</v>
      </c>
      <c r="AB32" s="120">
        <v>94820</v>
      </c>
      <c r="AC32" s="120">
        <v>91022</v>
      </c>
      <c r="AD32" s="120">
        <f t="shared" ref="AD32:AS32" si="35">SUM(AD25:AD30)</f>
        <v>103286</v>
      </c>
      <c r="AE32" s="120">
        <f t="shared" si="35"/>
        <v>196354</v>
      </c>
      <c r="AF32" s="120">
        <f t="shared" si="35"/>
        <v>168276</v>
      </c>
      <c r="AG32" s="120">
        <f t="shared" si="35"/>
        <v>168764</v>
      </c>
      <c r="AH32" s="120">
        <f t="shared" si="35"/>
        <v>169300</v>
      </c>
      <c r="AI32" s="120">
        <f t="shared" si="35"/>
        <v>127243</v>
      </c>
      <c r="AJ32" s="120">
        <f t="shared" si="35"/>
        <v>127676</v>
      </c>
      <c r="AK32" s="120">
        <f t="shared" si="35"/>
        <v>128886</v>
      </c>
      <c r="AL32" s="120">
        <f t="shared" si="35"/>
        <v>119250</v>
      </c>
      <c r="AM32" s="120">
        <f t="shared" si="35"/>
        <v>68411</v>
      </c>
      <c r="AN32" s="120">
        <f t="shared" si="35"/>
        <v>66432</v>
      </c>
      <c r="AO32" s="120">
        <f t="shared" si="35"/>
        <v>101740</v>
      </c>
      <c r="AP32" s="120">
        <f t="shared" si="35"/>
        <v>90366</v>
      </c>
      <c r="AQ32" s="120">
        <f t="shared" si="35"/>
        <v>91267</v>
      </c>
      <c r="AR32" s="120">
        <f t="shared" si="35"/>
        <v>95806</v>
      </c>
      <c r="AS32" s="120">
        <f t="shared" si="35"/>
        <v>101599</v>
      </c>
      <c r="AT32" s="120">
        <v>107217</v>
      </c>
      <c r="AU32" s="120">
        <v>105966</v>
      </c>
      <c r="AV32" s="120">
        <v>105679</v>
      </c>
      <c r="AW32" s="120">
        <v>105996</v>
      </c>
      <c r="AX32" s="120">
        <f>SUM(AX25:AX30)</f>
        <v>110285</v>
      </c>
      <c r="AY32" s="120">
        <f>SUM(AY25:AY30)</f>
        <v>111205</v>
      </c>
      <c r="AZ32" s="120">
        <f>SUM(AZ25:AZ31)</f>
        <v>85819</v>
      </c>
      <c r="BA32" s="120">
        <f>SUM(BA25:BA31)</f>
        <v>125950</v>
      </c>
      <c r="BB32" s="120">
        <f>SUM(BB25:BB31)</f>
        <v>125203</v>
      </c>
      <c r="BC32" s="120">
        <f>SUM(BC25:BC31)</f>
        <v>141014</v>
      </c>
    </row>
    <row r="33" spans="1:55" x14ac:dyDescent="0.2">
      <c r="A33" t="s">
        <v>1614</v>
      </c>
      <c r="B33" t="s">
        <v>1186</v>
      </c>
      <c r="D33" s="126" t="str">
        <f>IF([1]RENAME!$H$3=1,B33,A33)</f>
        <v>Saldo Inicial - Debêntures</v>
      </c>
      <c r="E33" s="120" t="s">
        <v>160</v>
      </c>
      <c r="F33" s="120" t="s">
        <v>160</v>
      </c>
      <c r="G33" s="162" t="s">
        <v>160</v>
      </c>
      <c r="H33" s="120" t="s">
        <v>160</v>
      </c>
      <c r="I33" s="120" t="s">
        <v>160</v>
      </c>
      <c r="J33" s="120" t="s">
        <v>160</v>
      </c>
      <c r="K33" s="120" t="s">
        <v>160</v>
      </c>
      <c r="L33" s="120" t="s">
        <v>160</v>
      </c>
      <c r="M33" s="120" t="s">
        <v>160</v>
      </c>
      <c r="N33" s="120" t="s">
        <v>160</v>
      </c>
      <c r="O33" s="120" t="s">
        <v>160</v>
      </c>
      <c r="P33" s="120" t="s">
        <v>160</v>
      </c>
      <c r="Q33" s="120" t="s">
        <v>160</v>
      </c>
      <c r="R33" s="120" t="s">
        <v>160</v>
      </c>
      <c r="S33" s="120" t="s">
        <v>160</v>
      </c>
      <c r="T33" s="120" t="s">
        <v>160</v>
      </c>
      <c r="U33" s="120" t="s">
        <v>160</v>
      </c>
      <c r="V33" s="120">
        <v>168127</v>
      </c>
      <c r="W33" s="120">
        <v>99306</v>
      </c>
      <c r="X33" s="120">
        <v>98093</v>
      </c>
      <c r="Y33" s="120">
        <v>98314</v>
      </c>
      <c r="Z33" s="120">
        <v>98083</v>
      </c>
      <c r="AA33" s="120">
        <v>51160</v>
      </c>
      <c r="AB33" s="120">
        <v>50140</v>
      </c>
      <c r="AC33" s="120">
        <v>51179</v>
      </c>
      <c r="AD33" s="120">
        <f t="shared" ref="AD33:AI33" si="36">AC37</f>
        <v>50135</v>
      </c>
      <c r="AE33" s="120">
        <f t="shared" si="36"/>
        <v>50891</v>
      </c>
      <c r="AF33" s="120">
        <f t="shared" si="36"/>
        <v>51514</v>
      </c>
      <c r="AG33" s="120">
        <f t="shared" si="36"/>
        <v>25167</v>
      </c>
      <c r="AH33" s="120">
        <f t="shared" si="36"/>
        <v>25047</v>
      </c>
      <c r="AI33" s="120">
        <f t="shared" si="36"/>
        <v>25289</v>
      </c>
      <c r="AJ33" s="120">
        <f>AI37</f>
        <v>25070</v>
      </c>
      <c r="AK33" s="120">
        <f>AJ37</f>
        <v>0</v>
      </c>
      <c r="AL33" s="120">
        <f>AK37</f>
        <v>0</v>
      </c>
      <c r="AM33" s="120">
        <f t="shared" ref="AM33:AS33" si="37">AK37</f>
        <v>0</v>
      </c>
      <c r="AN33" s="120">
        <f t="shared" si="37"/>
        <v>0</v>
      </c>
      <c r="AO33" s="120">
        <f t="shared" si="37"/>
        <v>0</v>
      </c>
      <c r="AP33" s="120">
        <f t="shared" si="37"/>
        <v>0</v>
      </c>
      <c r="AQ33" s="120">
        <f t="shared" si="37"/>
        <v>0</v>
      </c>
      <c r="AR33" s="120">
        <f t="shared" si="37"/>
        <v>0</v>
      </c>
      <c r="AS33" s="120">
        <f t="shared" si="37"/>
        <v>0</v>
      </c>
      <c r="AT33" s="120">
        <v>0</v>
      </c>
      <c r="AU33" s="120">
        <v>0</v>
      </c>
      <c r="AV33" s="120">
        <v>0</v>
      </c>
      <c r="AW33" s="120">
        <v>0</v>
      </c>
      <c r="AX33" s="120">
        <v>0</v>
      </c>
      <c r="AY33" s="120">
        <f>AS37</f>
        <v>0</v>
      </c>
      <c r="AZ33" s="120">
        <f>AT37</f>
        <v>0</v>
      </c>
      <c r="BA33" s="120">
        <f>AU37</f>
        <v>0</v>
      </c>
      <c r="BB33" s="120">
        <f>AV37</f>
        <v>0</v>
      </c>
      <c r="BC33" s="120">
        <f>AV37</f>
        <v>0</v>
      </c>
    </row>
    <row r="34" spans="1:55" x14ac:dyDescent="0.2">
      <c r="A34" t="s">
        <v>1441</v>
      </c>
      <c r="B34" t="s">
        <v>1610</v>
      </c>
      <c r="D34" s="129" t="str">
        <f>IF([1]RENAME!$H$3=1,B34,A34)</f>
        <v>Juros apropriados</v>
      </c>
      <c r="E34" s="118" t="s">
        <v>160</v>
      </c>
      <c r="F34" s="118" t="s">
        <v>160</v>
      </c>
      <c r="G34" s="160" t="s">
        <v>160</v>
      </c>
      <c r="H34" s="118" t="s">
        <v>160</v>
      </c>
      <c r="I34" s="118" t="s">
        <v>160</v>
      </c>
      <c r="J34" s="118" t="s">
        <v>160</v>
      </c>
      <c r="K34" s="118" t="s">
        <v>160</v>
      </c>
      <c r="L34" s="118" t="s">
        <v>160</v>
      </c>
      <c r="M34" s="118" t="s">
        <v>160</v>
      </c>
      <c r="N34" s="118" t="s">
        <v>160</v>
      </c>
      <c r="O34" s="118" t="s">
        <v>160</v>
      </c>
      <c r="P34" s="118" t="s">
        <v>160</v>
      </c>
      <c r="Q34" s="118" t="s">
        <v>160</v>
      </c>
      <c r="R34" s="118" t="s">
        <v>160</v>
      </c>
      <c r="S34" s="118" t="s">
        <v>160</v>
      </c>
      <c r="T34" s="118" t="s">
        <v>160</v>
      </c>
      <c r="U34" s="118" t="s">
        <v>160</v>
      </c>
      <c r="V34" s="118">
        <v>2570</v>
      </c>
      <c r="W34" s="118">
        <v>1902</v>
      </c>
      <c r="X34" s="118">
        <v>1933</v>
      </c>
      <c r="Y34" s="118">
        <v>1874</v>
      </c>
      <c r="Z34" s="118">
        <v>1456</v>
      </c>
      <c r="AA34" s="118">
        <v>1035</v>
      </c>
      <c r="AB34" s="118">
        <v>1039</v>
      </c>
      <c r="AC34" s="118">
        <v>893</v>
      </c>
      <c r="AD34" s="118">
        <v>756</v>
      </c>
      <c r="AE34" s="118">
        <v>623</v>
      </c>
      <c r="AF34" s="118">
        <v>356</v>
      </c>
      <c r="AG34" s="118">
        <v>244</v>
      </c>
      <c r="AH34" s="118">
        <v>242</v>
      </c>
      <c r="AI34" s="118">
        <v>321</v>
      </c>
      <c r="AJ34" s="118">
        <v>139</v>
      </c>
      <c r="AK34" s="118">
        <v>0</v>
      </c>
      <c r="AL34" s="118" t="s">
        <v>160</v>
      </c>
      <c r="AM34" s="118" t="s">
        <v>160</v>
      </c>
      <c r="AN34" s="118" t="s">
        <v>160</v>
      </c>
      <c r="AO34" s="118" t="s">
        <v>160</v>
      </c>
      <c r="AP34" s="118" t="s">
        <v>160</v>
      </c>
      <c r="AQ34" s="118" t="s">
        <v>160</v>
      </c>
      <c r="AR34" s="118" t="s">
        <v>160</v>
      </c>
      <c r="AS34" s="118" t="s">
        <v>160</v>
      </c>
      <c r="AT34" s="118" t="s">
        <v>160</v>
      </c>
      <c r="AU34" s="118" t="s">
        <v>160</v>
      </c>
      <c r="AV34" s="118" t="s">
        <v>160</v>
      </c>
      <c r="AW34" s="118" t="s">
        <v>160</v>
      </c>
      <c r="AX34" s="118" t="s">
        <v>160</v>
      </c>
      <c r="AY34" s="118" t="s">
        <v>160</v>
      </c>
      <c r="AZ34" s="118" t="s">
        <v>160</v>
      </c>
      <c r="BA34" s="118" t="s">
        <v>160</v>
      </c>
      <c r="BB34" s="118" t="s">
        <v>160</v>
      </c>
      <c r="BC34" s="118" t="s">
        <v>160</v>
      </c>
    </row>
    <row r="35" spans="1:55" x14ac:dyDescent="0.2">
      <c r="A35" t="s">
        <v>1607</v>
      </c>
      <c r="B35" t="s">
        <v>1611</v>
      </c>
      <c r="D35" s="129" t="str">
        <f>IF([1]RENAME!$H$3=1,B35,A35)</f>
        <v>Pagamento de principal</v>
      </c>
      <c r="E35" s="118" t="s">
        <v>160</v>
      </c>
      <c r="F35" s="118" t="s">
        <v>160</v>
      </c>
      <c r="G35" s="160" t="s">
        <v>160</v>
      </c>
      <c r="H35" s="118" t="s">
        <v>160</v>
      </c>
      <c r="I35" s="118" t="s">
        <v>160</v>
      </c>
      <c r="J35" s="118" t="s">
        <v>160</v>
      </c>
      <c r="K35" s="118" t="s">
        <v>160</v>
      </c>
      <c r="L35" s="118" t="s">
        <v>160</v>
      </c>
      <c r="M35" s="118" t="s">
        <v>160</v>
      </c>
      <c r="N35" s="118" t="s">
        <v>160</v>
      </c>
      <c r="O35" s="118" t="s">
        <v>160</v>
      </c>
      <c r="P35" s="118" t="s">
        <v>160</v>
      </c>
      <c r="Q35" s="118" t="s">
        <v>160</v>
      </c>
      <c r="R35" s="118" t="s">
        <v>160</v>
      </c>
      <c r="S35" s="118" t="s">
        <v>160</v>
      </c>
      <c r="T35" s="118" t="s">
        <v>160</v>
      </c>
      <c r="U35" s="118" t="s">
        <v>160</v>
      </c>
      <c r="V35" s="118">
        <v>-66666</v>
      </c>
      <c r="W35" s="118">
        <v>0</v>
      </c>
      <c r="X35" s="118">
        <v>0</v>
      </c>
      <c r="Y35" s="118">
        <v>0</v>
      </c>
      <c r="Z35" s="118">
        <v>-46676</v>
      </c>
      <c r="AA35" s="118">
        <v>0</v>
      </c>
      <c r="AB35" s="118">
        <v>0</v>
      </c>
      <c r="AC35" s="118">
        <v>0</v>
      </c>
      <c r="AD35" s="118">
        <v>0</v>
      </c>
      <c r="AE35" s="118">
        <v>0</v>
      </c>
      <c r="AF35" s="118">
        <v>-25005</v>
      </c>
      <c r="AG35" s="118">
        <v>0</v>
      </c>
      <c r="AH35" s="118">
        <v>0</v>
      </c>
      <c r="AI35" s="118">
        <v>0</v>
      </c>
      <c r="AJ35" s="118">
        <v>-25005</v>
      </c>
      <c r="AK35" s="118">
        <v>0</v>
      </c>
      <c r="AL35" s="118" t="s">
        <v>160</v>
      </c>
      <c r="AM35" s="118" t="s">
        <v>160</v>
      </c>
      <c r="AN35" s="118" t="s">
        <v>160</v>
      </c>
      <c r="AO35" s="118" t="s">
        <v>160</v>
      </c>
      <c r="AP35" s="118" t="s">
        <v>160</v>
      </c>
      <c r="AQ35" s="118" t="s">
        <v>160</v>
      </c>
      <c r="AR35" s="118" t="s">
        <v>160</v>
      </c>
      <c r="AS35" s="118" t="s">
        <v>160</v>
      </c>
      <c r="AT35" s="118" t="s">
        <v>160</v>
      </c>
      <c r="AU35" s="118" t="s">
        <v>160</v>
      </c>
      <c r="AV35" s="118" t="s">
        <v>160</v>
      </c>
      <c r="AW35" s="118" t="s">
        <v>160</v>
      </c>
      <c r="AX35" s="118" t="s">
        <v>160</v>
      </c>
      <c r="AY35" s="118" t="s">
        <v>160</v>
      </c>
      <c r="AZ35" s="118" t="s">
        <v>160</v>
      </c>
      <c r="BA35" s="118" t="s">
        <v>160</v>
      </c>
      <c r="BB35" s="118" t="s">
        <v>160</v>
      </c>
      <c r="BC35" s="118" t="s">
        <v>160</v>
      </c>
    </row>
    <row r="36" spans="1:55" x14ac:dyDescent="0.2">
      <c r="A36" t="s">
        <v>1608</v>
      </c>
      <c r="B36" t="s">
        <v>1458</v>
      </c>
      <c r="D36" s="129" t="str">
        <f>IF([1]RENAME!$H$3=1,B36,A36)</f>
        <v>Juros pagos</v>
      </c>
      <c r="E36" s="118" t="s">
        <v>160</v>
      </c>
      <c r="F36" s="118" t="s">
        <v>160</v>
      </c>
      <c r="G36" s="160" t="s">
        <v>160</v>
      </c>
      <c r="H36" s="118" t="s">
        <v>160</v>
      </c>
      <c r="I36" s="118" t="s">
        <v>160</v>
      </c>
      <c r="J36" s="118" t="s">
        <v>160</v>
      </c>
      <c r="K36" s="118" t="s">
        <v>160</v>
      </c>
      <c r="L36" s="118" t="s">
        <v>160</v>
      </c>
      <c r="M36" s="118" t="s">
        <v>160</v>
      </c>
      <c r="N36" s="118" t="s">
        <v>160</v>
      </c>
      <c r="O36" s="118" t="s">
        <v>160</v>
      </c>
      <c r="P36" s="118" t="s">
        <v>160</v>
      </c>
      <c r="Q36" s="118" t="s">
        <v>160</v>
      </c>
      <c r="R36" s="118" t="s">
        <v>160</v>
      </c>
      <c r="S36" s="118" t="s">
        <v>160</v>
      </c>
      <c r="T36" s="118" t="s">
        <v>160</v>
      </c>
      <c r="U36" s="118" t="s">
        <v>160</v>
      </c>
      <c r="V36" s="118">
        <v>-4725</v>
      </c>
      <c r="W36" s="118">
        <v>-3115</v>
      </c>
      <c r="X36" s="118">
        <v>-1712</v>
      </c>
      <c r="Y36" s="118">
        <v>-2105</v>
      </c>
      <c r="Z36" s="118">
        <v>-1703</v>
      </c>
      <c r="AA36" s="118">
        <v>-2055</v>
      </c>
      <c r="AB36" s="118">
        <v>0</v>
      </c>
      <c r="AC36" s="118">
        <v>-1937</v>
      </c>
      <c r="AD36" s="118">
        <v>0</v>
      </c>
      <c r="AE36" s="118">
        <v>0</v>
      </c>
      <c r="AF36" s="118">
        <v>-1698</v>
      </c>
      <c r="AG36" s="118">
        <v>-364</v>
      </c>
      <c r="AH36" s="118">
        <v>0</v>
      </c>
      <c r="AI36" s="118">
        <v>-540</v>
      </c>
      <c r="AJ36" s="118">
        <v>-204</v>
      </c>
      <c r="AK36" s="118">
        <v>0</v>
      </c>
      <c r="AL36" s="118" t="s">
        <v>160</v>
      </c>
      <c r="AM36" s="118" t="s">
        <v>160</v>
      </c>
      <c r="AN36" s="118" t="s">
        <v>160</v>
      </c>
      <c r="AO36" s="118" t="s">
        <v>160</v>
      </c>
      <c r="AP36" s="118" t="s">
        <v>160</v>
      </c>
      <c r="AQ36" s="118" t="s">
        <v>160</v>
      </c>
      <c r="AR36" s="118" t="s">
        <v>160</v>
      </c>
      <c r="AS36" s="118" t="s">
        <v>160</v>
      </c>
      <c r="AT36" s="118" t="s">
        <v>160</v>
      </c>
      <c r="AU36" s="118" t="s">
        <v>160</v>
      </c>
      <c r="AV36" s="118" t="s">
        <v>160</v>
      </c>
      <c r="AW36" s="118" t="s">
        <v>160</v>
      </c>
      <c r="AX36" s="118" t="s">
        <v>160</v>
      </c>
      <c r="AY36" s="118" t="s">
        <v>160</v>
      </c>
      <c r="AZ36" s="118" t="s">
        <v>160</v>
      </c>
      <c r="BA36" s="118" t="s">
        <v>160</v>
      </c>
      <c r="BB36" s="118" t="s">
        <v>160</v>
      </c>
      <c r="BC36" s="118" t="s">
        <v>160</v>
      </c>
    </row>
    <row r="37" spans="1:55" x14ac:dyDescent="0.2">
      <c r="A37" t="s">
        <v>1615</v>
      </c>
      <c r="B37" t="s">
        <v>1191</v>
      </c>
      <c r="D37" s="126" t="str">
        <f>IF([1]RENAME!$H$3=1,B37,A37)</f>
        <v>Saldo Final - Debêntures</v>
      </c>
      <c r="E37" s="120" t="s">
        <v>160</v>
      </c>
      <c r="F37" s="120" t="s">
        <v>160</v>
      </c>
      <c r="G37" s="162" t="s">
        <v>160</v>
      </c>
      <c r="H37" s="120" t="s">
        <v>160</v>
      </c>
      <c r="I37" s="120" t="s">
        <v>160</v>
      </c>
      <c r="J37" s="120" t="s">
        <v>160</v>
      </c>
      <c r="K37" s="120" t="s">
        <v>160</v>
      </c>
      <c r="L37" s="120" t="s">
        <v>160</v>
      </c>
      <c r="M37" s="120" t="s">
        <v>160</v>
      </c>
      <c r="N37" s="120" t="s">
        <v>160</v>
      </c>
      <c r="O37" s="120" t="s">
        <v>160</v>
      </c>
      <c r="P37" s="120" t="s">
        <v>160</v>
      </c>
      <c r="Q37" s="120" t="s">
        <v>160</v>
      </c>
      <c r="R37" s="120" t="s">
        <v>160</v>
      </c>
      <c r="S37" s="120" t="s">
        <v>160</v>
      </c>
      <c r="T37" s="120" t="s">
        <v>160</v>
      </c>
      <c r="U37" s="120" t="s">
        <v>160</v>
      </c>
      <c r="V37" s="120">
        <v>99306</v>
      </c>
      <c r="W37" s="120">
        <v>98093</v>
      </c>
      <c r="X37" s="120">
        <v>98314</v>
      </c>
      <c r="Y37" s="120">
        <v>98083</v>
      </c>
      <c r="Z37" s="120">
        <v>51160</v>
      </c>
      <c r="AA37" s="120">
        <v>50140</v>
      </c>
      <c r="AB37" s="120">
        <v>51179</v>
      </c>
      <c r="AC37" s="120">
        <v>50135</v>
      </c>
      <c r="AD37" s="120">
        <f t="shared" ref="AD37:AM37" si="38">SUM(AD33:AD36)</f>
        <v>50891</v>
      </c>
      <c r="AE37" s="120">
        <f t="shared" si="38"/>
        <v>51514</v>
      </c>
      <c r="AF37" s="120">
        <f t="shared" si="38"/>
        <v>25167</v>
      </c>
      <c r="AG37" s="120">
        <f t="shared" si="38"/>
        <v>25047</v>
      </c>
      <c r="AH37" s="120">
        <f t="shared" si="38"/>
        <v>25289</v>
      </c>
      <c r="AI37" s="120">
        <f t="shared" si="38"/>
        <v>25070</v>
      </c>
      <c r="AJ37" s="120">
        <f t="shared" si="38"/>
        <v>0</v>
      </c>
      <c r="AK37" s="120">
        <f t="shared" si="38"/>
        <v>0</v>
      </c>
      <c r="AL37" s="120">
        <f t="shared" si="38"/>
        <v>0</v>
      </c>
      <c r="AM37" s="120">
        <f t="shared" si="38"/>
        <v>0</v>
      </c>
      <c r="AN37" s="120">
        <f t="shared" ref="AN37:AS37" si="39">SUM(AN33:AN36)</f>
        <v>0</v>
      </c>
      <c r="AO37" s="120">
        <f t="shared" si="39"/>
        <v>0</v>
      </c>
      <c r="AP37" s="120">
        <f t="shared" si="39"/>
        <v>0</v>
      </c>
      <c r="AQ37" s="120">
        <f t="shared" si="39"/>
        <v>0</v>
      </c>
      <c r="AR37" s="120">
        <f t="shared" si="39"/>
        <v>0</v>
      </c>
      <c r="AS37" s="120">
        <f t="shared" si="39"/>
        <v>0</v>
      </c>
      <c r="AT37" s="120">
        <v>0</v>
      </c>
      <c r="AU37" s="120">
        <v>0</v>
      </c>
      <c r="AV37" s="120">
        <v>0</v>
      </c>
      <c r="AW37" s="120"/>
      <c r="AX37" s="120">
        <v>0</v>
      </c>
      <c r="AY37" s="120">
        <f>SUM(AY33:AY36)</f>
        <v>0</v>
      </c>
      <c r="AZ37" s="120">
        <f>SUM(AZ33:AZ36)</f>
        <v>0</v>
      </c>
      <c r="BA37" s="120">
        <f>SUM(BA33:BA36)</f>
        <v>0</v>
      </c>
      <c r="BB37" s="120">
        <f>SUM(BB33:BB36)</f>
        <v>0</v>
      </c>
      <c r="BC37" s="120">
        <f>SUM(BC33:BC36)</f>
        <v>0</v>
      </c>
    </row>
    <row r="38" spans="1:55" x14ac:dyDescent="0.2">
      <c r="A38" t="s">
        <v>112</v>
      </c>
      <c r="B38" t="s">
        <v>112</v>
      </c>
      <c r="D38" s="126" t="str">
        <f>IF([1]RENAME!$H$3=1,B38,A38)</f>
        <v>Total</v>
      </c>
      <c r="E38" s="120" t="s">
        <v>160</v>
      </c>
      <c r="F38" s="120" t="s">
        <v>160</v>
      </c>
      <c r="G38" s="162" t="s">
        <v>160</v>
      </c>
      <c r="H38" s="120" t="s">
        <v>160</v>
      </c>
      <c r="I38" s="120" t="s">
        <v>160</v>
      </c>
      <c r="J38" s="120" t="s">
        <v>160</v>
      </c>
      <c r="K38" s="120" t="s">
        <v>160</v>
      </c>
      <c r="L38" s="120" t="s">
        <v>160</v>
      </c>
      <c r="M38" s="120" t="s">
        <v>160</v>
      </c>
      <c r="N38" s="120" t="s">
        <v>160</v>
      </c>
      <c r="O38" s="120" t="s">
        <v>160</v>
      </c>
      <c r="P38" s="120" t="s">
        <v>160</v>
      </c>
      <c r="Q38" s="120" t="s">
        <v>160</v>
      </c>
      <c r="R38" s="120" t="s">
        <v>160</v>
      </c>
      <c r="S38" s="120" t="s">
        <v>160</v>
      </c>
      <c r="T38" s="120" t="s">
        <v>160</v>
      </c>
      <c r="U38" s="120" t="s">
        <v>160</v>
      </c>
      <c r="V38" s="120">
        <v>154169</v>
      </c>
      <c r="W38" s="120">
        <v>148113</v>
      </c>
      <c r="X38" s="120">
        <v>162858</v>
      </c>
      <c r="Y38" s="120">
        <v>160200</v>
      </c>
      <c r="Z38" s="120">
        <v>145387</v>
      </c>
      <c r="AA38" s="120">
        <v>140589</v>
      </c>
      <c r="AB38" s="120">
        <v>145999</v>
      </c>
      <c r="AC38" s="120">
        <v>141157</v>
      </c>
      <c r="AD38" s="120">
        <f t="shared" ref="AD38:AI38" si="40">AD32+AD37</f>
        <v>154177</v>
      </c>
      <c r="AE38" s="120">
        <f t="shared" si="40"/>
        <v>247868</v>
      </c>
      <c r="AF38" s="120">
        <f t="shared" si="40"/>
        <v>193443</v>
      </c>
      <c r="AG38" s="120">
        <f t="shared" si="40"/>
        <v>193811</v>
      </c>
      <c r="AH38" s="120">
        <f t="shared" si="40"/>
        <v>194589</v>
      </c>
      <c r="AI38" s="120">
        <f t="shared" si="40"/>
        <v>152313</v>
      </c>
      <c r="AJ38" s="120">
        <f t="shared" ref="AJ38:AS38" si="41">AJ32+AJ37</f>
        <v>127676</v>
      </c>
      <c r="AK38" s="120">
        <f t="shared" si="41"/>
        <v>128886</v>
      </c>
      <c r="AL38" s="120">
        <f t="shared" si="41"/>
        <v>119250</v>
      </c>
      <c r="AM38" s="120">
        <f t="shared" si="41"/>
        <v>68411</v>
      </c>
      <c r="AN38" s="120">
        <f t="shared" si="41"/>
        <v>66432</v>
      </c>
      <c r="AO38" s="120">
        <f t="shared" si="41"/>
        <v>101740</v>
      </c>
      <c r="AP38" s="120">
        <f t="shared" si="41"/>
        <v>90366</v>
      </c>
      <c r="AQ38" s="120">
        <f t="shared" si="41"/>
        <v>91267</v>
      </c>
      <c r="AR38" s="120">
        <f t="shared" si="41"/>
        <v>95806</v>
      </c>
      <c r="AS38" s="120">
        <f t="shared" si="41"/>
        <v>101599</v>
      </c>
      <c r="AT38" s="120">
        <v>107217</v>
      </c>
      <c r="AU38" s="120">
        <v>105966</v>
      </c>
      <c r="AV38" s="120">
        <v>105679</v>
      </c>
      <c r="AW38" s="120">
        <v>105996</v>
      </c>
      <c r="AX38" s="120">
        <f t="shared" ref="AX38:BC38" si="42">AX32+AX37</f>
        <v>110285</v>
      </c>
      <c r="AY38" s="120">
        <f t="shared" si="42"/>
        <v>111205</v>
      </c>
      <c r="AZ38" s="120">
        <f t="shared" si="42"/>
        <v>85819</v>
      </c>
      <c r="BA38" s="120">
        <f t="shared" si="42"/>
        <v>125950</v>
      </c>
      <c r="BB38" s="120">
        <f t="shared" si="42"/>
        <v>125203</v>
      </c>
      <c r="BC38" s="120">
        <f t="shared" si="42"/>
        <v>141014</v>
      </c>
    </row>
    <row r="40" spans="1:55" x14ac:dyDescent="0.2">
      <c r="D40" s="100"/>
      <c r="E40" s="101"/>
      <c r="F40" s="101"/>
      <c r="G40" s="101"/>
      <c r="H40" s="101"/>
      <c r="I40" s="101"/>
      <c r="J40" s="102"/>
      <c r="K40" s="101"/>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row>
    <row r="41" spans="1:55" x14ac:dyDescent="0.2">
      <c r="D41" s="99"/>
      <c r="E41" s="48"/>
      <c r="F41" s="48"/>
      <c r="G41" s="48"/>
      <c r="H41" s="48"/>
      <c r="I41" s="48"/>
      <c r="J41" s="48"/>
      <c r="K41" s="48"/>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row>
    <row r="42" spans="1:55" x14ac:dyDescent="0.2">
      <c r="D42" s="99"/>
      <c r="E42" s="48"/>
      <c r="F42" s="48"/>
      <c r="G42" s="48"/>
      <c r="H42" s="48"/>
      <c r="I42" s="48"/>
      <c r="J42" s="48"/>
      <c r="K42" s="48"/>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row>
    <row r="43" spans="1:55" x14ac:dyDescent="0.2">
      <c r="D43" s="99"/>
      <c r="E43" s="103"/>
      <c r="F43" s="103"/>
      <c r="G43" s="103"/>
      <c r="H43" s="103"/>
      <c r="I43" s="103"/>
      <c r="J43" s="103"/>
      <c r="K43" s="103"/>
    </row>
    <row r="44" spans="1:55" x14ac:dyDescent="0.2">
      <c r="D44" s="100"/>
      <c r="E44" s="101"/>
      <c r="F44" s="101"/>
      <c r="G44" s="101"/>
      <c r="H44" s="101"/>
      <c r="I44" s="101"/>
      <c r="J44" s="101"/>
      <c r="K44" s="101"/>
    </row>
    <row r="45" spans="1:55" x14ac:dyDescent="0.2">
      <c r="D45" s="99"/>
    </row>
    <row r="46" spans="1:55" x14ac:dyDescent="0.2">
      <c r="D46" s="99"/>
      <c r="E46" s="105"/>
      <c r="F46" s="105"/>
    </row>
    <row r="47" spans="1:55" x14ac:dyDescent="0.2">
      <c r="D47" s="99"/>
      <c r="E47" s="97"/>
      <c r="F47" s="97"/>
      <c r="G47" s="97"/>
      <c r="H47" s="97"/>
      <c r="I47" s="97"/>
      <c r="J47" s="97"/>
      <c r="K47" s="97"/>
    </row>
    <row r="48" spans="1:55" x14ac:dyDescent="0.2">
      <c r="D48" s="99"/>
      <c r="E48" s="98"/>
      <c r="F48" s="98"/>
      <c r="G48" s="98"/>
      <c r="H48" s="98"/>
      <c r="I48" s="98"/>
      <c r="J48" s="98"/>
      <c r="K48" s="98"/>
    </row>
    <row r="49" spans="4:11" x14ac:dyDescent="0.2">
      <c r="D49" s="99"/>
      <c r="E49" s="48"/>
      <c r="F49" s="48"/>
      <c r="G49" s="48"/>
      <c r="H49" s="48"/>
      <c r="I49" s="48"/>
      <c r="J49" s="103"/>
      <c r="K49" s="48"/>
    </row>
    <row r="50" spans="4:11" x14ac:dyDescent="0.2">
      <c r="D50" s="99"/>
      <c r="E50" s="48"/>
      <c r="F50" s="48"/>
      <c r="G50" s="48"/>
      <c r="H50" s="48"/>
      <c r="I50" s="48"/>
      <c r="J50" s="103"/>
      <c r="K50" s="48"/>
    </row>
    <row r="51" spans="4:11" x14ac:dyDescent="0.2">
      <c r="D51" s="100"/>
      <c r="E51" s="101"/>
      <c r="F51" s="101"/>
      <c r="G51" s="101"/>
      <c r="H51" s="101"/>
      <c r="I51" s="101"/>
      <c r="J51" s="102"/>
      <c r="K51" s="101"/>
    </row>
    <row r="52" spans="4:11" x14ac:dyDescent="0.2">
      <c r="D52" s="99"/>
      <c r="E52" s="48"/>
      <c r="F52" s="48"/>
      <c r="G52" s="48"/>
      <c r="H52" s="48"/>
      <c r="I52" s="48"/>
      <c r="J52" s="48"/>
      <c r="K52" s="48"/>
    </row>
    <row r="53" spans="4:11" x14ac:dyDescent="0.2">
      <c r="D53" s="99"/>
      <c r="E53" s="48"/>
      <c r="F53" s="48"/>
      <c r="G53" s="48"/>
      <c r="H53" s="48"/>
      <c r="I53" s="48"/>
      <c r="J53" s="48"/>
      <c r="K53" s="48"/>
    </row>
    <row r="54" spans="4:11" x14ac:dyDescent="0.2">
      <c r="D54" s="99"/>
      <c r="E54" s="104"/>
      <c r="F54" s="103"/>
      <c r="G54" s="103"/>
      <c r="H54" s="103"/>
      <c r="I54" s="103"/>
      <c r="J54" s="48"/>
      <c r="K54" s="104"/>
    </row>
    <row r="55" spans="4:11" x14ac:dyDescent="0.2">
      <c r="D55" s="100"/>
      <c r="E55" s="101"/>
      <c r="F55" s="101"/>
      <c r="G55" s="101"/>
      <c r="H55" s="101"/>
      <c r="I55" s="101"/>
      <c r="J55" s="101"/>
      <c r="K55" s="101"/>
    </row>
  </sheetData>
  <mergeCells count="1">
    <mergeCell ref="E4:F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BC32 BC38" evalError="1"/>
  </ignoredErrors>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Planilha10">
    <pageSetUpPr autoPageBreaks="0"/>
  </sheetPr>
  <dimension ref="A1:HQ52"/>
  <sheetViews>
    <sheetView showGridLines="0" zoomScaleNormal="100" workbookViewId="0">
      <pane xSplit="8" ySplit="6" topLeftCell="GV7" activePane="bottomRight" state="frozen"/>
      <selection activeCell="AY7" sqref="AY7"/>
      <selection pane="topRight" activeCell="AY7" sqref="AY7"/>
      <selection pane="bottomLeft" activeCell="AY7" sqref="AY7"/>
      <selection pane="bottomRight" activeCell="HI15" sqref="HI15"/>
    </sheetView>
  </sheetViews>
  <sheetFormatPr defaultRowHeight="12.75" outlineLevelRow="1" outlineLevelCol="1" x14ac:dyDescent="0.2"/>
  <cols>
    <col min="1" max="4" width="8.5703125" hidden="1" customWidth="1"/>
    <col min="5" max="5" width="47.42578125" hidden="1" customWidth="1"/>
    <col min="6" max="6" width="46.140625" hidden="1" customWidth="1"/>
    <col min="7" max="7" width="1.42578125" customWidth="1"/>
    <col min="8" max="8" width="36.85546875" bestFit="1" customWidth="1"/>
    <col min="9" max="9" width="7.5703125" customWidth="1" outlineLevel="1"/>
    <col min="10" max="11" width="10.140625" customWidth="1" outlineLevel="1"/>
    <col min="12" max="12" width="7.5703125" customWidth="1" outlineLevel="1"/>
    <col min="13" max="13" width="10.140625" customWidth="1" outlineLevel="1"/>
    <col min="14" max="14" width="8" customWidth="1" outlineLevel="1"/>
    <col min="15" max="15" width="8.140625" customWidth="1" outlineLevel="1"/>
    <col min="16" max="16" width="10.140625" customWidth="1" outlineLevel="1"/>
    <col min="17" max="17" width="7.5703125" customWidth="1" outlineLevel="1"/>
    <col min="18" max="18" width="10.140625" customWidth="1" outlineLevel="1"/>
    <col min="19" max="19" width="8" customWidth="1" outlineLevel="1"/>
    <col min="20" max="20" width="6.5703125" customWidth="1" outlineLevel="1"/>
    <col min="21" max="21" width="8.140625" customWidth="1" outlineLevel="1"/>
    <col min="22" max="22" width="10.140625" customWidth="1" outlineLevel="1"/>
    <col min="23" max="23" width="7.5703125" customWidth="1" outlineLevel="1"/>
    <col min="24" max="24" width="10.140625" customWidth="1" outlineLevel="1"/>
    <col min="25" max="25" width="8" customWidth="1" outlineLevel="1"/>
    <col min="26" max="26" width="6.5703125" customWidth="1" outlineLevel="1"/>
    <col min="27" max="27" width="8.140625" customWidth="1" outlineLevel="1"/>
    <col min="28" max="28" width="10.140625" customWidth="1" outlineLevel="1"/>
    <col min="29" max="29" width="7.5703125" customWidth="1" outlineLevel="1"/>
    <col min="30" max="30" width="8" customWidth="1" outlineLevel="1"/>
    <col min="31" max="32" width="10.140625" customWidth="1" outlineLevel="1"/>
    <col min="33" max="33" width="7.5703125" customWidth="1" outlineLevel="1"/>
    <col min="34" max="34" width="8" customWidth="1" outlineLevel="1"/>
    <col min="35" max="36" width="10.140625" customWidth="1" outlineLevel="1"/>
    <col min="37" max="37" width="7.5703125" customWidth="1" outlineLevel="1"/>
    <col min="38" max="38" width="8" customWidth="1" outlineLevel="1"/>
    <col min="39" max="40" width="10.140625" customWidth="1" outlineLevel="1"/>
    <col min="41" max="41" width="7.5703125" customWidth="1" outlineLevel="1"/>
    <col min="42" max="42" width="8" customWidth="1" outlineLevel="1"/>
    <col min="43" max="44" width="10.140625" customWidth="1" outlineLevel="1"/>
    <col min="45" max="45" width="5.85546875" customWidth="1"/>
    <col min="46" max="46" width="8" customWidth="1"/>
    <col min="47" max="47" width="11.140625" customWidth="1"/>
    <col min="48" max="48" width="10.140625" customWidth="1"/>
    <col min="49" max="49" width="5.85546875" customWidth="1"/>
    <col min="50" max="50" width="8" customWidth="1"/>
    <col min="51" max="52" width="10.140625" customWidth="1"/>
    <col min="53" max="53" width="5.85546875" customWidth="1"/>
    <col min="54" max="54" width="8" customWidth="1"/>
    <col min="55" max="56" width="10.140625" customWidth="1"/>
    <col min="57" max="57" width="7.5703125" customWidth="1"/>
    <col min="58" max="58" width="8" customWidth="1"/>
    <col min="59" max="59" width="9.42578125" customWidth="1"/>
    <col min="60" max="60" width="10.140625" customWidth="1"/>
    <col min="61" max="61" width="7.5703125" customWidth="1"/>
    <col min="62" max="62" width="9.42578125" customWidth="1"/>
    <col min="63" max="63" width="10.140625" customWidth="1"/>
    <col min="64" max="64" width="7.5703125" customWidth="1"/>
    <col min="65" max="65" width="9.42578125" customWidth="1"/>
    <col min="66" max="66" width="6.5703125" customWidth="1"/>
    <col min="67" max="71" width="10.140625" customWidth="1"/>
    <col min="72" max="72" width="6" customWidth="1"/>
    <col min="73" max="73" width="12.5703125" bestFit="1" customWidth="1"/>
    <col min="74" max="74" width="6.5703125" customWidth="1"/>
    <col min="75" max="75" width="10.140625" customWidth="1"/>
    <col min="76" max="76" width="8.85546875" bestFit="1" customWidth="1"/>
    <col min="77" max="77" width="11.140625" customWidth="1"/>
    <col min="78" max="78" width="6.5703125" customWidth="1"/>
    <col min="79" max="79" width="10.140625" customWidth="1"/>
    <col min="80" max="80" width="8.85546875" bestFit="1" customWidth="1"/>
    <col min="81" max="81" width="11.140625" customWidth="1"/>
    <col min="82" max="82" width="6.5703125" customWidth="1"/>
    <col min="83" max="84" width="10.140625" customWidth="1"/>
    <col min="85" max="85" width="12.5703125" bestFit="1" customWidth="1"/>
    <col min="86" max="87" width="10.140625" customWidth="1"/>
    <col min="88" max="88" width="8.85546875" bestFit="1" customWidth="1"/>
    <col min="89" max="89" width="10.85546875" customWidth="1"/>
    <col min="90" max="90" width="7.85546875" bestFit="1" customWidth="1"/>
    <col min="91" max="92" width="10.140625" customWidth="1"/>
    <col min="93" max="93" width="12.5703125" bestFit="1" customWidth="1"/>
    <col min="94" max="94" width="10.140625" customWidth="1"/>
    <col min="95" max="95" width="8.85546875" bestFit="1" customWidth="1"/>
    <col min="96" max="96" width="12.5703125" bestFit="1" customWidth="1"/>
    <col min="97" max="98" width="10.42578125" customWidth="1"/>
    <col min="99" max="99" width="12.5703125" bestFit="1" customWidth="1"/>
    <col min="100" max="100" width="10.85546875" bestFit="1" customWidth="1"/>
    <col min="101" max="101" width="8.85546875" bestFit="1" customWidth="1"/>
    <col min="102" max="103" width="11.140625" customWidth="1"/>
    <col min="104" max="104" width="10.140625" customWidth="1"/>
    <col min="105" max="105" width="12.140625" bestFit="1" customWidth="1"/>
    <col min="106" max="107" width="11.140625" customWidth="1"/>
    <col min="108" max="108" width="13.42578125" bestFit="1" customWidth="1"/>
    <col min="109" max="109" width="12.140625" bestFit="1" customWidth="1"/>
    <col min="110" max="111" width="11.140625" customWidth="1"/>
    <col min="112" max="112" width="10.140625" customWidth="1"/>
    <col min="113" max="113" width="12.140625" bestFit="1" customWidth="1"/>
    <col min="114" max="115" width="11.140625" customWidth="1"/>
    <col min="116" max="116" width="10.140625" customWidth="1"/>
    <col min="117" max="117" width="12.140625" bestFit="1" customWidth="1"/>
    <col min="118" max="119" width="11.140625" customWidth="1"/>
    <col min="120" max="121" width="12.140625" bestFit="1" customWidth="1"/>
    <col min="122" max="123" width="11.140625" customWidth="1"/>
    <col min="124" max="125" width="12.140625" bestFit="1" customWidth="1"/>
    <col min="126" max="127" width="11.140625" customWidth="1"/>
    <col min="128" max="129" width="12.140625" bestFit="1" customWidth="1"/>
    <col min="130" max="131" width="11.140625" customWidth="1"/>
    <col min="132" max="133" width="12.140625" bestFit="1" customWidth="1"/>
    <col min="134" max="135" width="11.140625" customWidth="1"/>
    <col min="136" max="137" width="12.140625" bestFit="1" customWidth="1"/>
    <col min="138" max="138" width="11.140625" customWidth="1"/>
    <col min="139" max="139" width="14.140625" customWidth="1"/>
    <col min="140" max="141" width="12.140625" bestFit="1" customWidth="1"/>
    <col min="142" max="142" width="11.140625" customWidth="1"/>
    <col min="143" max="143" width="14.140625" customWidth="1"/>
    <col min="144" max="144" width="13.85546875" customWidth="1"/>
    <col min="145" max="145" width="12.140625" bestFit="1" customWidth="1"/>
    <col min="146" max="146" width="11.140625" customWidth="1"/>
    <col min="147" max="147" width="14.140625" customWidth="1"/>
    <col min="148" max="148" width="13.85546875" customWidth="1"/>
    <col min="149" max="149" width="12.140625" bestFit="1" customWidth="1"/>
    <col min="150" max="150" width="11.140625" customWidth="1"/>
    <col min="151" max="151" width="14.140625" customWidth="1"/>
    <col min="152" max="152" width="13.85546875" customWidth="1"/>
    <col min="153" max="153" width="12.140625" bestFit="1" customWidth="1"/>
    <col min="154" max="154" width="11.140625" customWidth="1"/>
    <col min="155" max="155" width="14.140625" customWidth="1"/>
    <col min="156" max="156" width="13.85546875" customWidth="1"/>
    <col min="157" max="157" width="12.140625" bestFit="1" customWidth="1"/>
    <col min="158" max="158" width="11.140625" customWidth="1"/>
    <col min="159" max="159" width="14.140625" customWidth="1"/>
    <col min="160" max="160" width="13.85546875" customWidth="1"/>
    <col min="161" max="161" width="12.140625" bestFit="1" customWidth="1"/>
    <col min="162" max="162" width="11.140625" customWidth="1"/>
    <col min="163" max="163" width="14.140625" customWidth="1"/>
    <col min="164" max="164" width="13.85546875" customWidth="1"/>
    <col min="165" max="165" width="12.140625" bestFit="1" customWidth="1"/>
    <col min="166" max="166" width="11.140625" customWidth="1"/>
    <col min="167" max="167" width="14.140625" customWidth="1"/>
    <col min="168" max="168" width="13.85546875" customWidth="1"/>
    <col min="169" max="169" width="12.140625" bestFit="1" customWidth="1"/>
    <col min="170" max="170" width="11.140625" customWidth="1"/>
    <col min="171" max="171" width="14.140625" customWidth="1"/>
    <col min="172" max="180" width="13.85546875" customWidth="1"/>
    <col min="181" max="181" width="8.85546875" bestFit="1" customWidth="1"/>
    <col min="182" max="182" width="10.140625" bestFit="1" customWidth="1"/>
    <col min="183" max="183" width="12.5703125" bestFit="1" customWidth="1"/>
    <col min="184" max="184" width="14.140625" customWidth="1"/>
    <col min="185" max="185" width="7.85546875" bestFit="1" customWidth="1"/>
    <col min="186" max="186" width="13.85546875" customWidth="1"/>
    <col min="187" max="187" width="8.85546875" bestFit="1" customWidth="1"/>
    <col min="188" max="188" width="10.140625" bestFit="1" customWidth="1"/>
    <col min="189" max="189" width="12.5703125" bestFit="1" customWidth="1"/>
    <col min="190" max="190" width="14.140625" customWidth="1"/>
    <col min="191" max="191" width="7.85546875" bestFit="1" customWidth="1"/>
    <col min="192" max="198" width="13.85546875" customWidth="1"/>
    <col min="199" max="199" width="8.85546875" bestFit="1" customWidth="1"/>
    <col min="200" max="200" width="10.140625" bestFit="1" customWidth="1"/>
    <col min="201" max="201" width="12.5703125" bestFit="1" customWidth="1"/>
    <col min="202" max="202" width="14.140625" customWidth="1"/>
    <col min="203" max="203" width="8.140625" bestFit="1" customWidth="1"/>
    <col min="204" max="204" width="13.85546875" customWidth="1"/>
    <col min="205" max="205" width="8.85546875" bestFit="1" customWidth="1"/>
    <col min="206" max="206" width="10.140625" bestFit="1" customWidth="1"/>
    <col min="207" max="207" width="12.5703125" bestFit="1" customWidth="1"/>
    <col min="208" max="208" width="14.28515625" bestFit="1" customWidth="1"/>
    <col min="209" max="209" width="7.7109375" bestFit="1" customWidth="1"/>
    <col min="210" max="210" width="10.140625" bestFit="1" customWidth="1"/>
    <col min="211" max="211" width="8.85546875" bestFit="1" customWidth="1"/>
    <col min="212" max="212" width="10.140625" bestFit="1" customWidth="1"/>
    <col min="213" max="213" width="12.5703125" bestFit="1" customWidth="1"/>
    <col min="214" max="214" width="13.140625" bestFit="1" customWidth="1"/>
    <col min="215" max="215" width="7.7109375" bestFit="1" customWidth="1"/>
    <col min="216" max="216" width="10.140625" bestFit="1" customWidth="1"/>
    <col min="217" max="217" width="8.85546875" bestFit="1" customWidth="1"/>
    <col min="218" max="218" width="10.140625" bestFit="1" customWidth="1"/>
    <col min="219" max="219" width="12.5703125" bestFit="1" customWidth="1"/>
    <col min="220" max="220" width="14.28515625" bestFit="1" customWidth="1"/>
    <col min="221" max="221" width="7.7109375" bestFit="1" customWidth="1"/>
    <col min="222" max="222" width="11.28515625" bestFit="1" customWidth="1"/>
  </cols>
  <sheetData>
    <row r="1" spans="5:225" s="547" customFormat="1" ht="7.5" customHeight="1" x14ac:dyDescent="0.2">
      <c r="I1" s="547" t="s">
        <v>45</v>
      </c>
      <c r="J1" s="553"/>
      <c r="K1" s="553"/>
      <c r="L1" s="553" t="s">
        <v>55</v>
      </c>
      <c r="M1" s="553"/>
      <c r="N1" s="553"/>
      <c r="O1" s="553"/>
      <c r="P1" s="553"/>
      <c r="Q1" s="553" t="s">
        <v>71</v>
      </c>
      <c r="R1" s="553"/>
      <c r="S1" s="553"/>
      <c r="T1" s="553"/>
      <c r="U1" s="553"/>
      <c r="V1" s="553"/>
      <c r="W1" s="553" t="s">
        <v>77</v>
      </c>
      <c r="X1" s="553"/>
      <c r="Y1" s="553"/>
      <c r="Z1" s="553"/>
      <c r="AA1" s="553"/>
      <c r="AB1" s="553"/>
      <c r="AC1" s="553" t="s">
        <v>87</v>
      </c>
      <c r="AD1" s="553"/>
      <c r="AE1" s="553"/>
      <c r="AF1" s="553"/>
      <c r="AG1" s="553" t="s">
        <v>88</v>
      </c>
      <c r="AH1" s="553"/>
      <c r="AI1" s="553"/>
      <c r="AJ1" s="553"/>
      <c r="AK1" s="553" t="s">
        <v>378</v>
      </c>
      <c r="AL1" s="553"/>
      <c r="AM1" s="553"/>
      <c r="AN1" s="553"/>
      <c r="AO1" s="553" t="s">
        <v>405</v>
      </c>
      <c r="AP1" s="553"/>
      <c r="AQ1" s="553"/>
      <c r="AR1" s="553"/>
      <c r="AS1" s="553" t="s">
        <v>466</v>
      </c>
      <c r="AT1" s="553"/>
      <c r="AU1" s="553"/>
      <c r="AV1" s="553"/>
      <c r="AW1" s="553" t="s">
        <v>500</v>
      </c>
      <c r="AX1" s="553"/>
      <c r="AY1" s="553"/>
      <c r="AZ1" s="553"/>
      <c r="BA1" s="553" t="s">
        <v>510</v>
      </c>
      <c r="BB1" s="553"/>
      <c r="BC1" s="553"/>
      <c r="BD1" s="553"/>
      <c r="BE1" s="553" t="s">
        <v>538</v>
      </c>
      <c r="BF1" s="553"/>
      <c r="BG1" s="553"/>
      <c r="BH1" s="553"/>
      <c r="BI1" s="553" t="s">
        <v>567</v>
      </c>
      <c r="BJ1" s="553"/>
      <c r="BK1" s="553"/>
      <c r="BL1" s="553" t="s">
        <v>575</v>
      </c>
      <c r="BM1" s="553"/>
      <c r="BN1" s="553"/>
      <c r="BO1" s="553"/>
      <c r="BP1" s="553" t="s">
        <v>595</v>
      </c>
      <c r="BQ1" s="553"/>
      <c r="BR1" s="553"/>
      <c r="BS1" s="553"/>
      <c r="BT1" s="553" t="s">
        <v>596</v>
      </c>
      <c r="BU1" s="553"/>
      <c r="BV1" s="553"/>
      <c r="BW1" s="553"/>
      <c r="BX1" s="553" t="s">
        <v>623</v>
      </c>
      <c r="BY1" s="553"/>
      <c r="BZ1" s="553"/>
      <c r="CA1" s="553"/>
      <c r="CB1" s="553" t="s">
        <v>624</v>
      </c>
      <c r="CC1" s="553"/>
      <c r="CD1" s="553"/>
      <c r="CE1" s="553"/>
      <c r="CF1" s="553" t="s">
        <v>625</v>
      </c>
      <c r="CG1" s="553"/>
      <c r="CH1" s="553"/>
      <c r="CI1" s="553"/>
      <c r="CJ1" s="553" t="s">
        <v>626</v>
      </c>
      <c r="CK1" s="553"/>
      <c r="CL1" s="553"/>
      <c r="CM1" s="553"/>
      <c r="CN1" s="553" t="s">
        <v>1408</v>
      </c>
      <c r="CO1" s="553"/>
      <c r="CP1" s="553"/>
      <c r="CQ1" s="553" t="s">
        <v>1409</v>
      </c>
      <c r="CR1" s="553"/>
      <c r="CS1" s="553"/>
      <c r="CT1" s="553" t="s">
        <v>1410</v>
      </c>
      <c r="CU1" s="553"/>
      <c r="CV1" s="553"/>
      <c r="CW1" s="553" t="s">
        <v>1411</v>
      </c>
      <c r="CX1" s="553"/>
      <c r="CY1" s="553"/>
      <c r="CZ1" s="553"/>
      <c r="DA1" s="553" t="s">
        <v>1626</v>
      </c>
      <c r="DB1" s="553"/>
      <c r="DC1" s="553"/>
      <c r="DD1" s="553"/>
      <c r="DE1" s="553" t="s">
        <v>1627</v>
      </c>
      <c r="DF1" s="553"/>
      <c r="DG1" s="553"/>
      <c r="DH1" s="553"/>
      <c r="DI1" s="553" t="s">
        <v>1642</v>
      </c>
      <c r="DJ1" s="553"/>
      <c r="DK1" s="553"/>
      <c r="DL1" s="553"/>
      <c r="DM1" s="553" t="s">
        <v>1643</v>
      </c>
      <c r="DN1" s="553"/>
      <c r="DO1" s="553"/>
      <c r="DP1" s="553"/>
      <c r="DQ1" s="553" t="s">
        <v>1825</v>
      </c>
      <c r="DR1" s="553"/>
      <c r="DS1" s="553"/>
      <c r="DT1" s="553"/>
      <c r="DU1" s="553" t="s">
        <v>1785</v>
      </c>
      <c r="DV1" s="553"/>
      <c r="DW1" s="553"/>
      <c r="DX1" s="553"/>
      <c r="DY1" s="553" t="s">
        <v>1786</v>
      </c>
      <c r="DZ1" s="553"/>
      <c r="EA1" s="553"/>
      <c r="EB1" s="553"/>
      <c r="EC1" s="553" t="s">
        <v>1826</v>
      </c>
      <c r="ED1" s="553"/>
      <c r="EE1" s="553"/>
      <c r="EF1" s="553"/>
      <c r="EG1" s="553" t="s">
        <v>1932</v>
      </c>
      <c r="EH1" s="553"/>
      <c r="EI1" s="553"/>
      <c r="EJ1" s="553"/>
      <c r="EK1" s="553" t="s">
        <v>1942</v>
      </c>
      <c r="EL1" s="553"/>
      <c r="EM1" s="553"/>
      <c r="EN1" s="553"/>
      <c r="EO1" s="553" t="s">
        <v>1944</v>
      </c>
      <c r="EP1" s="553"/>
      <c r="EQ1" s="553"/>
      <c r="ER1" s="553"/>
      <c r="ES1" s="553" t="s">
        <v>1946</v>
      </c>
      <c r="ET1" s="553"/>
      <c r="EU1" s="553"/>
      <c r="EV1" s="553"/>
      <c r="EW1" s="553" t="s">
        <v>2027</v>
      </c>
      <c r="EX1" s="553"/>
      <c r="EY1" s="553"/>
      <c r="EZ1" s="553"/>
      <c r="FA1" s="553" t="s">
        <v>2028</v>
      </c>
      <c r="FB1" s="553"/>
      <c r="FC1" s="553"/>
      <c r="FD1" s="553"/>
      <c r="FE1" s="553" t="s">
        <v>2030</v>
      </c>
      <c r="FF1" s="553"/>
      <c r="FG1" s="553"/>
      <c r="FH1" s="553"/>
      <c r="FI1" s="553" t="s">
        <v>2032</v>
      </c>
      <c r="FJ1" s="553"/>
      <c r="FK1" s="553"/>
      <c r="FL1" s="553"/>
      <c r="FM1" s="553" t="s">
        <v>2129</v>
      </c>
      <c r="FN1" s="553"/>
      <c r="FO1" s="553"/>
      <c r="FP1" s="553"/>
      <c r="FQ1" s="553" t="s">
        <v>2139</v>
      </c>
      <c r="FR1" s="553"/>
      <c r="FS1" s="553"/>
      <c r="FT1" s="553"/>
      <c r="FU1" s="553" t="s">
        <v>2140</v>
      </c>
      <c r="FV1" s="553"/>
      <c r="FW1" s="553"/>
      <c r="FX1" s="553"/>
      <c r="FY1" s="553" t="s">
        <v>2141</v>
      </c>
      <c r="FZ1" s="553"/>
      <c r="GA1" s="553"/>
      <c r="GB1" s="553"/>
      <c r="GC1" s="553"/>
      <c r="GD1" s="553"/>
      <c r="GE1" s="553" t="s">
        <v>2238</v>
      </c>
      <c r="GF1" s="553"/>
      <c r="GG1" s="553"/>
      <c r="GH1" s="553"/>
      <c r="GI1" s="553"/>
      <c r="GJ1" s="553"/>
      <c r="GK1" s="553" t="s">
        <v>2240</v>
      </c>
      <c r="GL1" s="553"/>
      <c r="GM1" s="553"/>
      <c r="GN1" s="553"/>
      <c r="GO1" s="553"/>
      <c r="GP1" s="553"/>
      <c r="GQ1" s="553" t="s">
        <v>2242</v>
      </c>
      <c r="GR1" s="553"/>
      <c r="GS1" s="553"/>
      <c r="GT1" s="553"/>
      <c r="GU1" s="553"/>
      <c r="GV1" s="553"/>
      <c r="GW1" s="553" t="s">
        <v>2244</v>
      </c>
      <c r="GX1" s="553"/>
      <c r="GY1" s="553"/>
      <c r="GZ1" s="553"/>
      <c r="HA1" s="553"/>
      <c r="HB1" s="553"/>
      <c r="HC1" s="553" t="s">
        <v>2284</v>
      </c>
      <c r="HD1" s="553"/>
      <c r="HE1" s="553"/>
      <c r="HF1" s="553"/>
      <c r="HG1" s="553"/>
      <c r="HH1" s="553"/>
      <c r="HI1" s="553" t="s">
        <v>2285</v>
      </c>
      <c r="HJ1" s="553"/>
      <c r="HK1" s="553"/>
      <c r="HL1" s="553"/>
      <c r="HM1" s="553"/>
      <c r="HN1" s="553"/>
    </row>
    <row r="2" spans="5:225" s="547" customFormat="1" ht="12.75" customHeight="1" x14ac:dyDescent="0.2">
      <c r="H2" s="586"/>
      <c r="I2" s="587" t="s">
        <v>248</v>
      </c>
      <c r="J2" s="826" t="s">
        <v>247</v>
      </c>
      <c r="K2" s="826">
        <v>41729</v>
      </c>
      <c r="L2" s="827" t="s">
        <v>248</v>
      </c>
      <c r="M2" s="827" t="s">
        <v>247</v>
      </c>
      <c r="N2" s="827" t="s">
        <v>255</v>
      </c>
      <c r="O2" s="827" t="s">
        <v>256</v>
      </c>
      <c r="P2" s="827">
        <v>41820</v>
      </c>
      <c r="Q2" s="827" t="s">
        <v>248</v>
      </c>
      <c r="R2" s="827" t="s">
        <v>247</v>
      </c>
      <c r="S2" s="827" t="s">
        <v>255</v>
      </c>
      <c r="T2" s="827" t="s">
        <v>49</v>
      </c>
      <c r="U2" s="827" t="s">
        <v>257</v>
      </c>
      <c r="V2" s="827">
        <v>41912</v>
      </c>
      <c r="W2" s="827" t="s">
        <v>248</v>
      </c>
      <c r="X2" s="827" t="s">
        <v>247</v>
      </c>
      <c r="Y2" s="827" t="s">
        <v>255</v>
      </c>
      <c r="Z2" s="827" t="s">
        <v>49</v>
      </c>
      <c r="AA2" s="827" t="s">
        <v>257</v>
      </c>
      <c r="AB2" s="827">
        <v>42004</v>
      </c>
      <c r="AC2" s="827" t="s">
        <v>248</v>
      </c>
      <c r="AD2" s="827" t="s">
        <v>258</v>
      </c>
      <c r="AE2" s="827" t="s">
        <v>247</v>
      </c>
      <c r="AF2" s="827">
        <v>42094</v>
      </c>
      <c r="AG2" s="827" t="s">
        <v>248</v>
      </c>
      <c r="AH2" s="827" t="s">
        <v>258</v>
      </c>
      <c r="AI2" s="827" t="s">
        <v>247</v>
      </c>
      <c r="AJ2" s="827">
        <v>42185</v>
      </c>
      <c r="AK2" s="553" t="s">
        <v>248</v>
      </c>
      <c r="AL2" s="553" t="s">
        <v>258</v>
      </c>
      <c r="AM2" s="553" t="s">
        <v>247</v>
      </c>
      <c r="AN2" s="553">
        <v>42277</v>
      </c>
      <c r="AO2" s="553" t="s">
        <v>248</v>
      </c>
      <c r="AP2" s="553" t="s">
        <v>258</v>
      </c>
      <c r="AQ2" s="553" t="s">
        <v>247</v>
      </c>
      <c r="AR2" s="553">
        <v>42368</v>
      </c>
      <c r="AS2" s="553" t="s">
        <v>248</v>
      </c>
      <c r="AT2" s="553" t="s">
        <v>491</v>
      </c>
      <c r="AU2" s="553" t="s">
        <v>247</v>
      </c>
      <c r="AV2" s="553">
        <v>42460</v>
      </c>
      <c r="AW2" s="553" t="s">
        <v>248</v>
      </c>
      <c r="AX2" s="553" t="s">
        <v>491</v>
      </c>
      <c r="AY2" s="553" t="s">
        <v>247</v>
      </c>
      <c r="AZ2" s="553">
        <v>42551</v>
      </c>
      <c r="BA2" s="553" t="s">
        <v>248</v>
      </c>
      <c r="BB2" s="553" t="s">
        <v>491</v>
      </c>
      <c r="BC2" s="553" t="s">
        <v>247</v>
      </c>
      <c r="BD2" s="553">
        <v>42643</v>
      </c>
      <c r="BE2" s="553" t="s">
        <v>248</v>
      </c>
      <c r="BF2" s="553" t="s">
        <v>491</v>
      </c>
      <c r="BG2" s="553" t="s">
        <v>247</v>
      </c>
      <c r="BH2" s="553">
        <v>42735</v>
      </c>
      <c r="BI2" s="553" t="s">
        <v>248</v>
      </c>
      <c r="BJ2" s="553" t="s">
        <v>247</v>
      </c>
      <c r="BK2" s="553">
        <v>42825</v>
      </c>
      <c r="BL2" s="553" t="s">
        <v>248</v>
      </c>
      <c r="BM2" s="553" t="s">
        <v>247</v>
      </c>
      <c r="BN2" s="553" t="s">
        <v>49</v>
      </c>
      <c r="BO2" s="553">
        <v>42916</v>
      </c>
      <c r="BP2" s="553" t="s">
        <v>248</v>
      </c>
      <c r="BQ2" s="553" t="s">
        <v>247</v>
      </c>
      <c r="BR2" s="553" t="s">
        <v>49</v>
      </c>
      <c r="BS2" s="553">
        <v>43008</v>
      </c>
      <c r="BT2" s="553" t="s">
        <v>248</v>
      </c>
      <c r="BU2" s="553" t="s">
        <v>247</v>
      </c>
      <c r="BV2" s="553" t="s">
        <v>49</v>
      </c>
      <c r="BW2" s="553">
        <v>43100</v>
      </c>
      <c r="BX2" s="553" t="s">
        <v>248</v>
      </c>
      <c r="BY2" s="553" t="s">
        <v>247</v>
      </c>
      <c r="BZ2" s="553" t="s">
        <v>49</v>
      </c>
      <c r="CA2" s="828">
        <v>43189</v>
      </c>
      <c r="CB2" s="553" t="s">
        <v>248</v>
      </c>
      <c r="CC2" s="553" t="s">
        <v>247</v>
      </c>
      <c r="CD2" s="553" t="s">
        <v>49</v>
      </c>
      <c r="CE2" s="828">
        <v>43281</v>
      </c>
      <c r="CF2" s="553" t="s">
        <v>248</v>
      </c>
      <c r="CG2" s="553" t="s">
        <v>247</v>
      </c>
      <c r="CH2" s="553" t="s">
        <v>49</v>
      </c>
      <c r="CI2" s="828">
        <v>43373</v>
      </c>
      <c r="CJ2" s="553" t="s">
        <v>248</v>
      </c>
      <c r="CK2" s="553" t="s">
        <v>247</v>
      </c>
      <c r="CL2" s="553" t="s">
        <v>49</v>
      </c>
      <c r="CM2" s="828">
        <v>43464</v>
      </c>
      <c r="CN2" s="828" t="s">
        <v>248</v>
      </c>
      <c r="CO2" s="828" t="s">
        <v>247</v>
      </c>
      <c r="CP2" s="828">
        <v>43554</v>
      </c>
      <c r="CQ2" s="828" t="s">
        <v>248</v>
      </c>
      <c r="CR2" s="553" t="s">
        <v>247</v>
      </c>
      <c r="CS2" s="828">
        <v>43646</v>
      </c>
      <c r="CT2" s="828" t="s">
        <v>248</v>
      </c>
      <c r="CU2" s="553" t="s">
        <v>247</v>
      </c>
      <c r="CV2" s="828">
        <v>43738</v>
      </c>
      <c r="CW2" s="828" t="s">
        <v>248</v>
      </c>
      <c r="CX2" s="553" t="s">
        <v>247</v>
      </c>
      <c r="CY2" s="553" t="s">
        <v>49</v>
      </c>
      <c r="CZ2" s="828">
        <v>43829</v>
      </c>
      <c r="DA2" s="828" t="s">
        <v>248</v>
      </c>
      <c r="DB2" s="553" t="s">
        <v>247</v>
      </c>
      <c r="DC2" s="553" t="s">
        <v>49</v>
      </c>
      <c r="DD2" s="828">
        <v>43921</v>
      </c>
      <c r="DE2" s="828" t="s">
        <v>248</v>
      </c>
      <c r="DF2" s="553" t="s">
        <v>247</v>
      </c>
      <c r="DG2" s="553" t="s">
        <v>49</v>
      </c>
      <c r="DH2" s="828" t="s">
        <v>1676</v>
      </c>
      <c r="DI2" s="828" t="s">
        <v>248</v>
      </c>
      <c r="DJ2" s="553" t="s">
        <v>247</v>
      </c>
      <c r="DK2" s="553" t="s">
        <v>49</v>
      </c>
      <c r="DL2" s="828" t="s">
        <v>1784</v>
      </c>
      <c r="DM2" s="828" t="s">
        <v>248</v>
      </c>
      <c r="DN2" s="553" t="s">
        <v>247</v>
      </c>
      <c r="DO2" s="553" t="s">
        <v>49</v>
      </c>
      <c r="DP2" s="828">
        <v>44195</v>
      </c>
      <c r="DQ2" s="828" t="s">
        <v>248</v>
      </c>
      <c r="DR2" s="553" t="s">
        <v>247</v>
      </c>
      <c r="DS2" s="553" t="s">
        <v>49</v>
      </c>
      <c r="DT2" s="828">
        <v>44286</v>
      </c>
      <c r="DU2" s="828" t="s">
        <v>248</v>
      </c>
      <c r="DV2" s="553" t="s">
        <v>247</v>
      </c>
      <c r="DW2" s="553" t="s">
        <v>49</v>
      </c>
      <c r="DX2" s="828">
        <v>44377</v>
      </c>
      <c r="DY2" s="828" t="s">
        <v>248</v>
      </c>
      <c r="DZ2" s="553" t="s">
        <v>247</v>
      </c>
      <c r="EA2" s="553" t="s">
        <v>49</v>
      </c>
      <c r="EB2" s="828">
        <v>44469</v>
      </c>
      <c r="EC2" s="828" t="s">
        <v>248</v>
      </c>
      <c r="ED2" s="553" t="s">
        <v>247</v>
      </c>
      <c r="EE2" s="553" t="s">
        <v>49</v>
      </c>
      <c r="EF2" s="828">
        <v>44561</v>
      </c>
      <c r="EG2" s="828" t="s">
        <v>248</v>
      </c>
      <c r="EH2" s="553" t="s">
        <v>247</v>
      </c>
      <c r="EI2" s="553" t="s">
        <v>2110</v>
      </c>
      <c r="EJ2" s="828">
        <v>44651</v>
      </c>
      <c r="EK2" s="828" t="s">
        <v>248</v>
      </c>
      <c r="EL2" s="553" t="s">
        <v>247</v>
      </c>
      <c r="EM2" s="553" t="s">
        <v>2110</v>
      </c>
      <c r="EN2" s="828">
        <v>44742</v>
      </c>
      <c r="EO2" s="828" t="s">
        <v>248</v>
      </c>
      <c r="EP2" s="553" t="s">
        <v>247</v>
      </c>
      <c r="EQ2" s="553" t="s">
        <v>2110</v>
      </c>
      <c r="ER2" s="828">
        <v>44834</v>
      </c>
      <c r="ES2" s="828" t="s">
        <v>248</v>
      </c>
      <c r="ET2" s="553" t="s">
        <v>247</v>
      </c>
      <c r="EU2" s="553" t="s">
        <v>2110</v>
      </c>
      <c r="EV2" s="828">
        <v>44926</v>
      </c>
      <c r="EW2" s="828" t="s">
        <v>248</v>
      </c>
      <c r="EX2" s="553" t="s">
        <v>247</v>
      </c>
      <c r="EY2" s="553" t="s">
        <v>2110</v>
      </c>
      <c r="EZ2" s="828">
        <v>45016</v>
      </c>
      <c r="FA2" s="828" t="s">
        <v>248</v>
      </c>
      <c r="FB2" s="553" t="s">
        <v>247</v>
      </c>
      <c r="FC2" s="553" t="s">
        <v>2110</v>
      </c>
      <c r="FD2" s="828">
        <v>45107</v>
      </c>
      <c r="FE2" s="828" t="s">
        <v>248</v>
      </c>
      <c r="FF2" s="553" t="s">
        <v>247</v>
      </c>
      <c r="FG2" s="553" t="s">
        <v>2110</v>
      </c>
      <c r="FH2" s="828">
        <v>45199</v>
      </c>
      <c r="FI2" s="828" t="s">
        <v>248</v>
      </c>
      <c r="FJ2" s="553" t="s">
        <v>247</v>
      </c>
      <c r="FK2" s="553" t="s">
        <v>2110</v>
      </c>
      <c r="FL2" s="828">
        <v>45291</v>
      </c>
      <c r="FM2" s="828" t="s">
        <v>248</v>
      </c>
      <c r="FN2" s="553" t="s">
        <v>247</v>
      </c>
      <c r="FO2" s="553" t="s">
        <v>2110</v>
      </c>
      <c r="FP2" s="828">
        <v>45382</v>
      </c>
      <c r="FQ2" s="828" t="s">
        <v>248</v>
      </c>
      <c r="FR2" s="553" t="s">
        <v>247</v>
      </c>
      <c r="FS2" s="553" t="s">
        <v>2110</v>
      </c>
      <c r="FT2" s="828" t="s">
        <v>2208</v>
      </c>
      <c r="FU2" s="828" t="s">
        <v>248</v>
      </c>
      <c r="FV2" s="553" t="s">
        <v>247</v>
      </c>
      <c r="FW2" s="553" t="s">
        <v>2110</v>
      </c>
      <c r="FX2" s="828">
        <v>45565</v>
      </c>
      <c r="FY2" s="828" t="s">
        <v>248</v>
      </c>
      <c r="FZ2" s="828" t="s">
        <v>2251</v>
      </c>
      <c r="GA2" s="553" t="s">
        <v>247</v>
      </c>
      <c r="GB2" s="553" t="s">
        <v>2110</v>
      </c>
      <c r="GC2" s="553" t="s">
        <v>49</v>
      </c>
      <c r="GD2" s="828">
        <v>45657</v>
      </c>
      <c r="GE2" s="828" t="s">
        <v>248</v>
      </c>
      <c r="GF2" s="828" t="s">
        <v>2251</v>
      </c>
      <c r="GG2" s="553" t="s">
        <v>247</v>
      </c>
      <c r="GH2" s="553" t="s">
        <v>2110</v>
      </c>
      <c r="GI2" s="553" t="s">
        <v>49</v>
      </c>
      <c r="GJ2" s="828">
        <v>45747</v>
      </c>
      <c r="GK2" s="828" t="s">
        <v>248</v>
      </c>
      <c r="GL2" s="828" t="s">
        <v>2251</v>
      </c>
      <c r="GM2" s="553" t="s">
        <v>247</v>
      </c>
      <c r="GN2" s="553" t="s">
        <v>2110</v>
      </c>
      <c r="GO2" s="553" t="s">
        <v>49</v>
      </c>
      <c r="GP2" s="828">
        <v>45838</v>
      </c>
      <c r="GQ2" s="828" t="s">
        <v>248</v>
      </c>
      <c r="GR2" s="828" t="s">
        <v>2251</v>
      </c>
      <c r="GS2" s="553" t="s">
        <v>247</v>
      </c>
      <c r="GT2" s="553" t="s">
        <v>2110</v>
      </c>
      <c r="GU2" s="553" t="s">
        <v>49</v>
      </c>
      <c r="GV2" s="828">
        <v>45930</v>
      </c>
      <c r="GW2" s="828" t="s">
        <v>248</v>
      </c>
      <c r="GX2" s="828" t="s">
        <v>2251</v>
      </c>
      <c r="GY2" s="553" t="s">
        <v>247</v>
      </c>
      <c r="GZ2" s="553" t="s">
        <v>2110</v>
      </c>
      <c r="HA2" s="553" t="s">
        <v>49</v>
      </c>
      <c r="HB2" s="828">
        <v>46022</v>
      </c>
      <c r="HC2" s="828" t="s">
        <v>248</v>
      </c>
      <c r="HD2" s="828" t="s">
        <v>2251</v>
      </c>
      <c r="HE2" s="828" t="s">
        <v>247</v>
      </c>
      <c r="HF2" s="828" t="s">
        <v>2110</v>
      </c>
      <c r="HG2" s="828" t="s">
        <v>49</v>
      </c>
      <c r="HH2" s="828">
        <v>46112</v>
      </c>
      <c r="HI2" s="828" t="s">
        <v>248</v>
      </c>
      <c r="HJ2" s="828" t="s">
        <v>2251</v>
      </c>
      <c r="HK2" s="553" t="s">
        <v>247</v>
      </c>
      <c r="HL2" s="553" t="s">
        <v>2110</v>
      </c>
      <c r="HM2" s="553" t="s">
        <v>49</v>
      </c>
      <c r="HN2" s="828" t="s">
        <v>2398</v>
      </c>
    </row>
    <row r="3" spans="5:225" s="547" customFormat="1" ht="12.75" customHeight="1" x14ac:dyDescent="0.2">
      <c r="H3" s="586"/>
      <c r="I3" s="587" t="s">
        <v>946</v>
      </c>
      <c r="J3" s="826"/>
      <c r="K3" s="826"/>
      <c r="L3" s="827" t="s">
        <v>947</v>
      </c>
      <c r="M3" s="827"/>
      <c r="N3" s="827"/>
      <c r="O3" s="827"/>
      <c r="P3" s="827"/>
      <c r="Q3" s="827" t="s">
        <v>948</v>
      </c>
      <c r="R3" s="827"/>
      <c r="S3" s="827"/>
      <c r="T3" s="827"/>
      <c r="U3" s="827"/>
      <c r="V3" s="827"/>
      <c r="W3" s="827" t="s">
        <v>949</v>
      </c>
      <c r="X3" s="827"/>
      <c r="Y3" s="827"/>
      <c r="Z3" s="827"/>
      <c r="AA3" s="827"/>
      <c r="AB3" s="827"/>
      <c r="AC3" s="827" t="s">
        <v>950</v>
      </c>
      <c r="AD3" s="827"/>
      <c r="AE3" s="827"/>
      <c r="AF3" s="553"/>
      <c r="AG3" s="827" t="s">
        <v>951</v>
      </c>
      <c r="AH3" s="827"/>
      <c r="AI3" s="827"/>
      <c r="AJ3" s="553"/>
      <c r="AK3" s="553" t="s">
        <v>952</v>
      </c>
      <c r="AL3" s="553"/>
      <c r="AM3" s="553"/>
      <c r="AN3" s="553"/>
      <c r="AO3" s="553" t="s">
        <v>953</v>
      </c>
      <c r="AP3" s="553"/>
      <c r="AQ3" s="553"/>
      <c r="AR3" s="553"/>
      <c r="AS3" s="553" t="s">
        <v>954</v>
      </c>
      <c r="AT3" s="553"/>
      <c r="AU3" s="553"/>
      <c r="AV3" s="553"/>
      <c r="AW3" s="553" t="s">
        <v>846</v>
      </c>
      <c r="AX3" s="553"/>
      <c r="AY3" s="553"/>
      <c r="AZ3" s="553"/>
      <c r="BA3" s="553" t="s">
        <v>847</v>
      </c>
      <c r="BB3" s="553"/>
      <c r="BC3" s="553"/>
      <c r="BD3" s="553"/>
      <c r="BE3" s="553" t="s">
        <v>848</v>
      </c>
      <c r="BF3" s="553"/>
      <c r="BG3" s="553"/>
      <c r="BH3" s="553"/>
      <c r="BI3" s="553" t="s">
        <v>849</v>
      </c>
      <c r="BJ3" s="553"/>
      <c r="BK3" s="553"/>
      <c r="BL3" s="553" t="s">
        <v>850</v>
      </c>
      <c r="BM3" s="553"/>
      <c r="BN3" s="553"/>
      <c r="BO3" s="553"/>
      <c r="BP3" s="553" t="s">
        <v>851</v>
      </c>
      <c r="BQ3" s="553"/>
      <c r="BR3" s="553"/>
      <c r="BS3" s="553"/>
      <c r="BT3" s="553" t="s">
        <v>1169</v>
      </c>
      <c r="BU3" s="553"/>
      <c r="BV3" s="553"/>
      <c r="BW3" s="553"/>
      <c r="BX3" s="553" t="s">
        <v>1290</v>
      </c>
      <c r="BY3" s="553"/>
      <c r="BZ3" s="553"/>
      <c r="CA3" s="553"/>
      <c r="CB3" s="553" t="s">
        <v>1312</v>
      </c>
      <c r="CC3" s="553"/>
      <c r="CD3" s="553"/>
      <c r="CE3" s="553"/>
      <c r="CF3" s="553" t="s">
        <v>1335</v>
      </c>
      <c r="CG3" s="553"/>
      <c r="CH3" s="553"/>
      <c r="CI3" s="553"/>
      <c r="CJ3" s="553" t="s">
        <v>1394</v>
      </c>
      <c r="CK3" s="553"/>
      <c r="CL3" s="553"/>
      <c r="CM3" s="553"/>
      <c r="CN3" s="553" t="s">
        <v>1420</v>
      </c>
      <c r="CO3" s="553"/>
      <c r="CP3" s="553"/>
      <c r="CQ3" s="553" t="s">
        <v>1512</v>
      </c>
      <c r="CR3" s="553"/>
      <c r="CS3" s="553"/>
      <c r="CT3" s="553" t="s">
        <v>1513</v>
      </c>
      <c r="CU3" s="553"/>
      <c r="CV3" s="553"/>
      <c r="CW3" s="553" t="s">
        <v>1514</v>
      </c>
      <c r="CX3" s="553"/>
      <c r="CY3" s="553"/>
      <c r="CZ3" s="553"/>
      <c r="DA3" s="553" t="s">
        <v>1631</v>
      </c>
      <c r="DB3" s="553"/>
      <c r="DC3" s="553"/>
      <c r="DD3" s="553"/>
      <c r="DE3" s="553" t="s">
        <v>1667</v>
      </c>
      <c r="DF3" s="553"/>
      <c r="DG3" s="553"/>
      <c r="DH3" s="553"/>
      <c r="DI3" s="553" t="s">
        <v>1668</v>
      </c>
      <c r="DJ3" s="553"/>
      <c r="DK3" s="553"/>
      <c r="DL3" s="553"/>
      <c r="DM3" s="553" t="s">
        <v>1628</v>
      </c>
      <c r="DN3" s="553"/>
      <c r="DO3" s="553"/>
      <c r="DP3" s="553"/>
      <c r="DQ3" s="553" t="s">
        <v>1827</v>
      </c>
      <c r="DR3" s="553"/>
      <c r="DS3" s="553"/>
      <c r="DT3" s="553"/>
      <c r="DU3" s="553" t="s">
        <v>1828</v>
      </c>
      <c r="DV3" s="553"/>
      <c r="DW3" s="553"/>
      <c r="DX3" s="553"/>
      <c r="DY3" s="553" t="s">
        <v>1829</v>
      </c>
      <c r="DZ3" s="553"/>
      <c r="EA3" s="553"/>
      <c r="EB3" s="553"/>
      <c r="EC3" s="553" t="s">
        <v>1830</v>
      </c>
      <c r="ED3" s="553"/>
      <c r="EE3" s="553"/>
      <c r="EF3" s="553"/>
      <c r="EG3" s="553" t="str">
        <f>SUBSTITUTE(EG1,"T","Q")</f>
        <v>1Q22</v>
      </c>
      <c r="EH3" s="553"/>
      <c r="EI3" s="553" t="s">
        <v>2110</v>
      </c>
      <c r="EJ3" s="553"/>
      <c r="EK3" s="553" t="str">
        <f>SUBSTITUTE(EK1,"T","Q")</f>
        <v>2Q22</v>
      </c>
      <c r="EL3" s="553"/>
      <c r="EM3" s="553" t="s">
        <v>2110</v>
      </c>
      <c r="EN3" s="553"/>
      <c r="EO3" s="553" t="str">
        <f>SUBSTITUTE(EO1,"T","Q")</f>
        <v>3Q22</v>
      </c>
      <c r="EP3" s="553"/>
      <c r="EQ3" s="553" t="s">
        <v>2110</v>
      </c>
      <c r="ER3" s="553"/>
      <c r="ES3" s="553" t="str">
        <f>SUBSTITUTE(ES1,"T","Q")</f>
        <v>4Q22</v>
      </c>
      <c r="ET3" s="553"/>
      <c r="EU3" s="553" t="s">
        <v>2110</v>
      </c>
      <c r="EV3" s="553"/>
      <c r="EW3" s="553" t="str">
        <f>SUBSTITUTE(EW1,"T","Q")</f>
        <v>1Q23</v>
      </c>
      <c r="EX3" s="553"/>
      <c r="EY3" s="553" t="s">
        <v>2110</v>
      </c>
      <c r="EZ3" s="553"/>
      <c r="FA3" s="553" t="str">
        <f>SUBSTITUTE(FA1,"T","Q")</f>
        <v>2Q23</v>
      </c>
      <c r="FB3" s="553"/>
      <c r="FC3" s="553" t="s">
        <v>2110</v>
      </c>
      <c r="FD3" s="553"/>
      <c r="FE3" s="553" t="str">
        <f>SUBSTITUTE(FE1,"T","Q")</f>
        <v>3Q23</v>
      </c>
      <c r="FF3" s="553"/>
      <c r="FG3" s="553" t="s">
        <v>2110</v>
      </c>
      <c r="FH3" s="553"/>
      <c r="FI3" s="553" t="str">
        <f>SUBSTITUTE(FI1,"T","Q")</f>
        <v>4Q23</v>
      </c>
      <c r="FJ3" s="553"/>
      <c r="FK3" s="553" t="s">
        <v>2110</v>
      </c>
      <c r="FL3" s="553"/>
      <c r="FM3" s="553" t="str">
        <f>SUBSTITUTE(FM1,"T","Q")</f>
        <v>1Q24</v>
      </c>
      <c r="FN3" s="553"/>
      <c r="FO3" s="553" t="s">
        <v>2110</v>
      </c>
      <c r="FP3" s="553"/>
      <c r="FQ3" s="553" t="str">
        <f>SUBSTITUTE(FQ1,"T","Q")</f>
        <v>2Q24</v>
      </c>
      <c r="FR3" s="553"/>
      <c r="FS3" s="553" t="s">
        <v>2110</v>
      </c>
      <c r="FT3" s="553"/>
      <c r="FU3" s="553" t="str">
        <f>SUBSTITUTE(FU1,"T","Q")</f>
        <v>3Q24</v>
      </c>
      <c r="FV3" s="553"/>
      <c r="FW3" s="553" t="s">
        <v>2110</v>
      </c>
      <c r="FX3" s="553"/>
      <c r="FY3" s="553" t="str">
        <f>SUBSTITUTE(FY1,"T","Q")</f>
        <v>4Q24</v>
      </c>
      <c r="FZ3" s="553"/>
      <c r="GA3" s="553"/>
      <c r="GB3" s="553"/>
      <c r="GC3" s="553"/>
      <c r="GD3" s="553"/>
      <c r="GE3" s="553" t="str">
        <f>SUBSTITUTE(GE1,"T","Q")</f>
        <v>1Q25</v>
      </c>
      <c r="GF3" s="553"/>
      <c r="GG3" s="553"/>
      <c r="GH3" s="553"/>
      <c r="GI3" s="553"/>
      <c r="GJ3" s="553"/>
      <c r="GK3" s="553" t="str">
        <f>SUBSTITUTE(GK1,"T","Q")</f>
        <v>2Q25</v>
      </c>
      <c r="GL3" s="553"/>
      <c r="GM3" s="553"/>
      <c r="GN3" s="553"/>
      <c r="GO3" s="553"/>
      <c r="GP3" s="553"/>
      <c r="GQ3" s="553" t="str">
        <f>SUBSTITUTE(GQ1,"T","Q")</f>
        <v>3Q25</v>
      </c>
      <c r="GR3" s="553"/>
      <c r="GS3" s="553"/>
      <c r="GT3" s="553"/>
      <c r="GU3" s="553"/>
      <c r="GV3" s="553"/>
      <c r="GW3" s="553" t="str">
        <f>SUBSTITUTE(GW1,"T","Q")</f>
        <v>4Q25</v>
      </c>
      <c r="GX3" s="553"/>
      <c r="GY3" s="553"/>
      <c r="GZ3" s="553"/>
      <c r="HA3" s="553"/>
      <c r="HB3" s="553"/>
      <c r="HC3" s="553" t="s">
        <v>2267</v>
      </c>
      <c r="HD3" s="553"/>
      <c r="HE3" s="553"/>
      <c r="HF3" s="553"/>
      <c r="HG3" s="553"/>
      <c r="HH3" s="553"/>
      <c r="HI3" s="553" t="str">
        <f>SUBSTITUTE(HI1,"T","Q")</f>
        <v>2Q26</v>
      </c>
      <c r="HJ3" s="553"/>
      <c r="HK3" s="553"/>
      <c r="HL3" s="553"/>
      <c r="HM3" s="553"/>
      <c r="HN3" s="553"/>
    </row>
    <row r="4" spans="5:225" s="547" customFormat="1" ht="12.75" customHeight="1" x14ac:dyDescent="0.2">
      <c r="H4" s="586"/>
      <c r="I4" s="587" t="s">
        <v>1123</v>
      </c>
      <c r="J4" s="826" t="s">
        <v>1124</v>
      </c>
      <c r="K4" s="826" t="str">
        <f>TEXT(K2,"m/d/aa;@")</f>
        <v>3/31/14</v>
      </c>
      <c r="L4" s="827" t="s">
        <v>1123</v>
      </c>
      <c r="M4" s="827" t="s">
        <v>1124</v>
      </c>
      <c r="N4" s="827" t="s">
        <v>1125</v>
      </c>
      <c r="O4" s="827" t="s">
        <v>1126</v>
      </c>
      <c r="P4" s="827" t="str">
        <f>TEXT(P2,"m/d/aa;@")</f>
        <v>6/30/14</v>
      </c>
      <c r="Q4" s="827" t="s">
        <v>1123</v>
      </c>
      <c r="R4" s="827" t="s">
        <v>1124</v>
      </c>
      <c r="S4" s="827" t="s">
        <v>1125</v>
      </c>
      <c r="T4" s="827" t="s">
        <v>699</v>
      </c>
      <c r="U4" s="827" t="s">
        <v>1126</v>
      </c>
      <c r="V4" s="827" t="str">
        <f>TEXT(V2,"m/d/aa;@")</f>
        <v>9/30/14</v>
      </c>
      <c r="W4" s="827" t="s">
        <v>1123</v>
      </c>
      <c r="X4" s="827" t="s">
        <v>1124</v>
      </c>
      <c r="Y4" s="827" t="s">
        <v>1125</v>
      </c>
      <c r="Z4" s="827" t="s">
        <v>699</v>
      </c>
      <c r="AA4" s="827" t="s">
        <v>1126</v>
      </c>
      <c r="AB4" s="827" t="str">
        <f>TEXT(AB2,"m/d/aa;@")</f>
        <v>12/31/14</v>
      </c>
      <c r="AC4" s="827" t="s">
        <v>1123</v>
      </c>
      <c r="AD4" s="827" t="s">
        <v>1125</v>
      </c>
      <c r="AE4" s="827" t="s">
        <v>1124</v>
      </c>
      <c r="AF4" s="827" t="str">
        <f>TEXT(AF2,"m/d/aa;@")</f>
        <v>3/31/15</v>
      </c>
      <c r="AG4" s="827" t="s">
        <v>1123</v>
      </c>
      <c r="AH4" s="827" t="s">
        <v>1125</v>
      </c>
      <c r="AI4" s="827" t="s">
        <v>1124</v>
      </c>
      <c r="AJ4" s="827" t="str">
        <f>TEXT(AJ2,"m/d/aa;@")</f>
        <v>6/30/15</v>
      </c>
      <c r="AK4" s="553" t="s">
        <v>1123</v>
      </c>
      <c r="AL4" s="553" t="s">
        <v>1125</v>
      </c>
      <c r="AM4" s="553" t="s">
        <v>1124</v>
      </c>
      <c r="AN4" s="553" t="str">
        <f>TEXT(AN2,"m/d/aa;@")</f>
        <v>9/30/15</v>
      </c>
      <c r="AO4" s="553" t="s">
        <v>1123</v>
      </c>
      <c r="AP4" s="553" t="s">
        <v>1125</v>
      </c>
      <c r="AQ4" s="553" t="s">
        <v>1124</v>
      </c>
      <c r="AR4" s="553" t="str">
        <f>TEXT(AR2,"m/d/aa;@")</f>
        <v>12/30/15</v>
      </c>
      <c r="AS4" s="553" t="s">
        <v>1123</v>
      </c>
      <c r="AT4" s="553" t="s">
        <v>1125</v>
      </c>
      <c r="AU4" s="553" t="s">
        <v>1124</v>
      </c>
      <c r="AV4" s="553" t="str">
        <f>TEXT(AV2,"m/d/aa;@")</f>
        <v>3/31/16</v>
      </c>
      <c r="AW4" s="553" t="s">
        <v>1123</v>
      </c>
      <c r="AX4" s="553" t="s">
        <v>1125</v>
      </c>
      <c r="AY4" s="553" t="s">
        <v>1124</v>
      </c>
      <c r="AZ4" s="553" t="str">
        <f>TEXT(AZ2,"m/d/aa;@")</f>
        <v>6/30/16</v>
      </c>
      <c r="BA4" s="553" t="s">
        <v>1123</v>
      </c>
      <c r="BB4" s="553" t="s">
        <v>1125</v>
      </c>
      <c r="BC4" s="553" t="s">
        <v>1124</v>
      </c>
      <c r="BD4" s="553" t="str">
        <f>TEXT(BD2,"m/d/aa;@")</f>
        <v>9/30/16</v>
      </c>
      <c r="BE4" s="553" t="s">
        <v>1123</v>
      </c>
      <c r="BF4" s="553" t="s">
        <v>1125</v>
      </c>
      <c r="BG4" s="553" t="s">
        <v>1124</v>
      </c>
      <c r="BH4" s="553" t="str">
        <f>TEXT(BH2,"m/d/aa;@")</f>
        <v>12/31/16</v>
      </c>
      <c r="BI4" s="553" t="s">
        <v>1123</v>
      </c>
      <c r="BJ4" s="553" t="s">
        <v>1124</v>
      </c>
      <c r="BK4" s="553" t="str">
        <f>TEXT(BK2,"m/d/aa;@")</f>
        <v>3/31/17</v>
      </c>
      <c r="BL4" s="553" t="s">
        <v>1123</v>
      </c>
      <c r="BM4" s="553" t="s">
        <v>1124</v>
      </c>
      <c r="BN4" s="553" t="s">
        <v>699</v>
      </c>
      <c r="BO4" s="553" t="str">
        <f>TEXT(BO2,"m/d/aa;@")</f>
        <v>6/30/17</v>
      </c>
      <c r="BP4" s="553" t="s">
        <v>1123</v>
      </c>
      <c r="BQ4" s="553" t="s">
        <v>1124</v>
      </c>
      <c r="BR4" s="553" t="s">
        <v>699</v>
      </c>
      <c r="BS4" s="553" t="str">
        <f>TEXT(BS2,"m/d/aa;@")</f>
        <v>9/30/17</v>
      </c>
      <c r="BT4" s="553" t="s">
        <v>1123</v>
      </c>
      <c r="BU4" s="553" t="s">
        <v>1124</v>
      </c>
      <c r="BV4" s="553" t="s">
        <v>699</v>
      </c>
      <c r="BW4" s="553" t="str">
        <f>TEXT(BW2,"m/d/aa;@")</f>
        <v>12/31/17</v>
      </c>
      <c r="BX4" s="553" t="s">
        <v>1123</v>
      </c>
      <c r="BY4" s="553" t="s">
        <v>1124</v>
      </c>
      <c r="BZ4" s="553" t="s">
        <v>699</v>
      </c>
      <c r="CA4" s="553" t="str">
        <f>TEXT(CA2,"m/d/aa;@")</f>
        <v>3/30/18</v>
      </c>
      <c r="CB4" s="553" t="s">
        <v>1123</v>
      </c>
      <c r="CC4" s="553" t="s">
        <v>1124</v>
      </c>
      <c r="CD4" s="553" t="s">
        <v>699</v>
      </c>
      <c r="CE4" s="553" t="str">
        <f>TEXT(CE2,"m/d/aa;@")</f>
        <v>6/30/18</v>
      </c>
      <c r="CF4" s="553" t="s">
        <v>1123</v>
      </c>
      <c r="CG4" s="553" t="s">
        <v>1124</v>
      </c>
      <c r="CH4" s="553" t="s">
        <v>699</v>
      </c>
      <c r="CI4" s="553" t="str">
        <f>TEXT(CI2,"m/d/aa;@")</f>
        <v>9/30/18</v>
      </c>
      <c r="CJ4" s="553" t="s">
        <v>1123</v>
      </c>
      <c r="CK4" s="553" t="s">
        <v>1124</v>
      </c>
      <c r="CL4" s="553" t="s">
        <v>699</v>
      </c>
      <c r="CM4" s="553" t="str">
        <f>TEXT(CM2,"m/d/aa;@")</f>
        <v>12/30/18</v>
      </c>
      <c r="CN4" s="553" t="s">
        <v>1123</v>
      </c>
      <c r="CO4" s="553" t="s">
        <v>1124</v>
      </c>
      <c r="CP4" s="553" t="s">
        <v>1520</v>
      </c>
      <c r="CQ4" s="553" t="s">
        <v>1123</v>
      </c>
      <c r="CR4" s="553" t="s">
        <v>1124</v>
      </c>
      <c r="CS4" s="553" t="str">
        <f>TEXT(CS2,"m/d/aa;@")</f>
        <v>6/30/19</v>
      </c>
      <c r="CT4" s="553" t="s">
        <v>1123</v>
      </c>
      <c r="CU4" s="553" t="s">
        <v>1124</v>
      </c>
      <c r="CV4" s="553" t="str">
        <f>TEXT(CV2,"m/d/aa;@")</f>
        <v>9/30/19</v>
      </c>
      <c r="CW4" s="553" t="s">
        <v>1123</v>
      </c>
      <c r="CX4" s="553" t="s">
        <v>1124</v>
      </c>
      <c r="CY4" s="553" t="s">
        <v>699</v>
      </c>
      <c r="CZ4" s="553" t="str">
        <f>TEXT(CZ2,"m/d/aa;@")</f>
        <v>12/30/19</v>
      </c>
      <c r="DA4" s="553" t="s">
        <v>1123</v>
      </c>
      <c r="DB4" s="553" t="s">
        <v>1124</v>
      </c>
      <c r="DC4" s="553" t="s">
        <v>699</v>
      </c>
      <c r="DD4" s="553" t="str">
        <f>TEXT(DD2,"m/d/aa;@")</f>
        <v>3/31/20</v>
      </c>
      <c r="DE4" s="553" t="s">
        <v>1123</v>
      </c>
      <c r="DF4" s="553" t="s">
        <v>1124</v>
      </c>
      <c r="DG4" s="553" t="s">
        <v>699</v>
      </c>
      <c r="DH4" s="553" t="str">
        <f>TEXT(DH2,"m/d/aa;@")</f>
        <v>31/06/2020</v>
      </c>
      <c r="DI4" s="553" t="s">
        <v>1123</v>
      </c>
      <c r="DJ4" s="553" t="s">
        <v>1124</v>
      </c>
      <c r="DK4" s="553" t="s">
        <v>699</v>
      </c>
      <c r="DL4" s="553" t="str">
        <f>TEXT(DL2,"m/d/aa;@")</f>
        <v>31/09/2020</v>
      </c>
      <c r="DM4" s="553" t="s">
        <v>1123</v>
      </c>
      <c r="DN4" s="553" t="s">
        <v>1124</v>
      </c>
      <c r="DO4" s="553" t="s">
        <v>699</v>
      </c>
      <c r="DP4" s="553" t="str">
        <f>TEXT(DP2,"m/d/aa;@")</f>
        <v>12/30/20</v>
      </c>
      <c r="DQ4" s="553" t="s">
        <v>1123</v>
      </c>
      <c r="DR4" s="553" t="s">
        <v>1124</v>
      </c>
      <c r="DS4" s="553" t="s">
        <v>699</v>
      </c>
      <c r="DT4" s="553" t="str">
        <f>TEXT(DT2,"m/d/aa;@")</f>
        <v>3/31/21</v>
      </c>
      <c r="DU4" s="553" t="s">
        <v>1123</v>
      </c>
      <c r="DV4" s="553" t="s">
        <v>1124</v>
      </c>
      <c r="DW4" s="553" t="s">
        <v>699</v>
      </c>
      <c r="DX4" s="553" t="str">
        <f>TEXT(DX2,"m/d/aa;@")</f>
        <v>6/30/21</v>
      </c>
      <c r="DY4" s="553" t="s">
        <v>1123</v>
      </c>
      <c r="DZ4" s="553" t="s">
        <v>1124</v>
      </c>
      <c r="EA4" s="553" t="s">
        <v>699</v>
      </c>
      <c r="EB4" s="553" t="s">
        <v>1926</v>
      </c>
      <c r="EC4" s="553" t="s">
        <v>1123</v>
      </c>
      <c r="ED4" s="553" t="s">
        <v>1124</v>
      </c>
      <c r="EE4" s="553"/>
      <c r="EF4" s="553" t="str">
        <f>TEXT(EF2,"m/d/aa;@")</f>
        <v>12/31/21</v>
      </c>
      <c r="EG4" s="553" t="s">
        <v>1123</v>
      </c>
      <c r="EH4" s="553" t="s">
        <v>1124</v>
      </c>
      <c r="EI4" s="553" t="s">
        <v>699</v>
      </c>
      <c r="EJ4" s="553" t="str">
        <f>TEXT(EJ2,"m/d/aa;@")</f>
        <v>3/31/22</v>
      </c>
      <c r="EK4" s="553" t="s">
        <v>1123</v>
      </c>
      <c r="EL4" s="553" t="s">
        <v>1124</v>
      </c>
      <c r="EM4" s="553" t="s">
        <v>699</v>
      </c>
      <c r="EN4" s="553" t="str">
        <f>TEXT(EN2,"m/d/aa;@")</f>
        <v>6/30/22</v>
      </c>
      <c r="EO4" s="553" t="s">
        <v>1123</v>
      </c>
      <c r="EP4" s="553" t="s">
        <v>1124</v>
      </c>
      <c r="EQ4" s="553" t="s">
        <v>699</v>
      </c>
      <c r="ER4" s="553" t="str">
        <f>TEXT(ER2,"m/d/aa;@")</f>
        <v>9/30/22</v>
      </c>
      <c r="ES4" s="553" t="s">
        <v>1123</v>
      </c>
      <c r="ET4" s="553" t="s">
        <v>1124</v>
      </c>
      <c r="EU4" s="553" t="s">
        <v>699</v>
      </c>
      <c r="EV4" s="553" t="str">
        <f>TEXT(EV2,"m/d/aa;@")</f>
        <v>12/31/22</v>
      </c>
      <c r="EW4" s="553" t="s">
        <v>1123</v>
      </c>
      <c r="EX4" s="553" t="s">
        <v>1124</v>
      </c>
      <c r="EY4" s="553" t="s">
        <v>699</v>
      </c>
      <c r="EZ4" s="553" t="str">
        <f>TEXT(EZ2,"m/d/aa;@")</f>
        <v>3/31/23</v>
      </c>
      <c r="FA4" s="553" t="s">
        <v>1123</v>
      </c>
      <c r="FB4" s="553" t="s">
        <v>1124</v>
      </c>
      <c r="FC4" s="553" t="s">
        <v>699</v>
      </c>
      <c r="FD4" s="553" t="str">
        <f>TEXT(FD2,"m/d/aa;@")</f>
        <v>6/30/23</v>
      </c>
      <c r="FE4" s="553" t="s">
        <v>1123</v>
      </c>
      <c r="FF4" s="553" t="s">
        <v>1124</v>
      </c>
      <c r="FG4" s="553" t="s">
        <v>2250</v>
      </c>
      <c r="FH4" s="553" t="str">
        <f>TEXT(FH2,"m/d/aa;@")</f>
        <v>9/30/23</v>
      </c>
      <c r="FI4" s="553" t="s">
        <v>1123</v>
      </c>
      <c r="FJ4" s="553" t="s">
        <v>1124</v>
      </c>
      <c r="FK4" s="553" t="s">
        <v>2250</v>
      </c>
      <c r="FL4" s="553" t="str">
        <f>TEXT(FL2,"m/d/aa;@")</f>
        <v>12/31/23</v>
      </c>
      <c r="FM4" s="553" t="s">
        <v>1123</v>
      </c>
      <c r="FN4" s="553" t="s">
        <v>1124</v>
      </c>
      <c r="FO4" s="553" t="s">
        <v>2250</v>
      </c>
      <c r="FP4" s="553" t="str">
        <f>TEXT(FP2,"m/d/aa;@")</f>
        <v>3/31/24</v>
      </c>
      <c r="FQ4" s="553" t="s">
        <v>1123</v>
      </c>
      <c r="FR4" s="553" t="s">
        <v>1124</v>
      </c>
      <c r="FS4" s="553" t="s">
        <v>2250</v>
      </c>
      <c r="FT4" s="553" t="str">
        <f>TEXT(FT2,"m/d/aa;@")</f>
        <v>31/06/2024</v>
      </c>
      <c r="FU4" s="553" t="s">
        <v>1123</v>
      </c>
      <c r="FV4" s="553" t="s">
        <v>1124</v>
      </c>
      <c r="FW4" s="553" t="s">
        <v>2250</v>
      </c>
      <c r="FX4" s="553" t="str">
        <f>TEXT(FX2,"m/d/aa;@")</f>
        <v>9/30/24</v>
      </c>
      <c r="FY4" s="553" t="s">
        <v>1123</v>
      </c>
      <c r="FZ4" s="553" t="s">
        <v>2252</v>
      </c>
      <c r="GA4" s="553" t="s">
        <v>1124</v>
      </c>
      <c r="GB4" s="553" t="s">
        <v>2250</v>
      </c>
      <c r="GC4" s="553" t="s">
        <v>699</v>
      </c>
      <c r="GD4" s="553" t="str">
        <f>TEXT(GD2,"m/d/aa;@")</f>
        <v>12/31/24</v>
      </c>
      <c r="GE4" s="553" t="s">
        <v>1123</v>
      </c>
      <c r="GF4" s="553" t="s">
        <v>2252</v>
      </c>
      <c r="GG4" s="553" t="s">
        <v>1124</v>
      </c>
      <c r="GH4" s="553" t="s">
        <v>2250</v>
      </c>
      <c r="GI4" s="553" t="s">
        <v>699</v>
      </c>
      <c r="GJ4" s="553" t="str">
        <f>TEXT(GJ2,"m/d/aa;@")</f>
        <v>3/31/25</v>
      </c>
      <c r="GK4" s="553" t="s">
        <v>1123</v>
      </c>
      <c r="GL4" s="553" t="s">
        <v>2252</v>
      </c>
      <c r="GM4" s="553" t="s">
        <v>1124</v>
      </c>
      <c r="GN4" s="553" t="s">
        <v>2250</v>
      </c>
      <c r="GO4" s="553" t="s">
        <v>699</v>
      </c>
      <c r="GP4" s="553" t="str">
        <f>TEXT(GP2,"m/d/aa;@")</f>
        <v>6/30/25</v>
      </c>
      <c r="GQ4" s="553" t="s">
        <v>1123</v>
      </c>
      <c r="GR4" s="553" t="s">
        <v>2252</v>
      </c>
      <c r="GS4" s="553" t="s">
        <v>1124</v>
      </c>
      <c r="GT4" s="553" t="s">
        <v>2250</v>
      </c>
      <c r="GU4" s="553" t="s">
        <v>699</v>
      </c>
      <c r="GV4" s="553" t="str">
        <f>TEXT(GV2,"m/d/aa;@")</f>
        <v>9/30/25</v>
      </c>
      <c r="GW4" s="553" t="s">
        <v>1123</v>
      </c>
      <c r="GX4" s="553" t="s">
        <v>2252</v>
      </c>
      <c r="GY4" s="553" t="s">
        <v>1124</v>
      </c>
      <c r="GZ4" s="553" t="s">
        <v>2250</v>
      </c>
      <c r="HA4" s="553" t="s">
        <v>699</v>
      </c>
      <c r="HB4" s="553" t="str">
        <f>TEXT(HB2,"m/d/aa;@")</f>
        <v>12/31/25</v>
      </c>
      <c r="HC4" s="553" t="s">
        <v>1123</v>
      </c>
      <c r="HD4" s="553" t="s">
        <v>2252</v>
      </c>
      <c r="HE4" s="553" t="s">
        <v>1124</v>
      </c>
      <c r="HF4" s="553" t="s">
        <v>2250</v>
      </c>
      <c r="HG4" s="553" t="s">
        <v>699</v>
      </c>
      <c r="HH4" s="553" t="s">
        <v>2397</v>
      </c>
      <c r="HI4" s="553" t="s">
        <v>1123</v>
      </c>
      <c r="HJ4" s="553" t="s">
        <v>2252</v>
      </c>
      <c r="HK4" s="553" t="s">
        <v>1124</v>
      </c>
      <c r="HL4" s="553" t="s">
        <v>2250</v>
      </c>
      <c r="HM4" s="553" t="s">
        <v>699</v>
      </c>
      <c r="HN4" s="553" t="str">
        <f>TEXT(HN2,"m/d/aa;@")</f>
        <v>31/06/2026</v>
      </c>
      <c r="HP4" s="40"/>
      <c r="HQ4" s="40"/>
    </row>
    <row r="5" spans="5:225" ht="22.5" customHeight="1" x14ac:dyDescent="0.2">
      <c r="E5" t="s">
        <v>97</v>
      </c>
      <c r="F5" t="s">
        <v>872</v>
      </c>
      <c r="H5" s="145" t="str">
        <f>IF([1]RENAME!$H$3=1,F5,E5)</f>
        <v>Controladora</v>
      </c>
      <c r="I5" s="543" t="str">
        <f>IF([1]RENAME!$H$3=1,I3,I1)</f>
        <v>1T14</v>
      </c>
      <c r="J5" s="174"/>
      <c r="K5" s="172"/>
      <c r="L5" s="171" t="str">
        <f>IF([1]RENAME!$H$3=1,L3,L1)</f>
        <v>2T14</v>
      </c>
      <c r="M5" s="174"/>
      <c r="N5" s="174"/>
      <c r="O5" s="174"/>
      <c r="P5" s="172"/>
      <c r="Q5" s="171" t="str">
        <f>IF([1]RENAME!$H$3=1,Q3,Q1)</f>
        <v>3T14</v>
      </c>
      <c r="R5" s="174"/>
      <c r="S5" s="174"/>
      <c r="T5" s="174"/>
      <c r="U5" s="174"/>
      <c r="V5" s="172"/>
      <c r="W5" s="171" t="str">
        <f>IF([1]RENAME!$H$3=1,W3,W1)</f>
        <v>4T14</v>
      </c>
      <c r="X5" s="174"/>
      <c r="Y5" s="174"/>
      <c r="Z5" s="174"/>
      <c r="AA5" s="174"/>
      <c r="AB5" s="172"/>
      <c r="AC5" s="171" t="str">
        <f>IF([1]RENAME!$H$3=1,AC3,AC1)</f>
        <v>1T15</v>
      </c>
      <c r="AD5" s="174"/>
      <c r="AE5" s="174"/>
      <c r="AF5" s="172"/>
      <c r="AG5" s="171" t="str">
        <f>IF([1]RENAME!$H$3=1,AG3,AG1)</f>
        <v>2T15</v>
      </c>
      <c r="AH5" s="174"/>
      <c r="AI5" s="174"/>
      <c r="AJ5" s="172"/>
      <c r="AK5" s="171" t="str">
        <f>IF([1]RENAME!$H$3=1,AK3,AK1)</f>
        <v>3T15</v>
      </c>
      <c r="AL5" s="174"/>
      <c r="AM5" s="174"/>
      <c r="AN5" s="172"/>
      <c r="AO5" s="171" t="str">
        <f>IF([1]RENAME!$H$3=1,AO3,AO1)</f>
        <v>4T15</v>
      </c>
      <c r="AP5" s="174"/>
      <c r="AQ5" s="174"/>
      <c r="AR5" s="172"/>
      <c r="AS5" s="171" t="str">
        <f>IF([1]RENAME!$H$3=1,AS3,AS1)</f>
        <v>1T16</v>
      </c>
      <c r="AT5" s="174"/>
      <c r="AU5" s="174"/>
      <c r="AV5" s="172"/>
      <c r="AW5" s="171" t="str">
        <f>IF([1]RENAME!$H$3=1,AW3,AW1)</f>
        <v>2T16</v>
      </c>
      <c r="AX5" s="174"/>
      <c r="AY5" s="174"/>
      <c r="AZ5" s="172"/>
      <c r="BA5" s="171" t="str">
        <f>IF([1]RENAME!$H$3=1,BA3,BA1)</f>
        <v>3T16</v>
      </c>
      <c r="BB5" s="174"/>
      <c r="BC5" s="174"/>
      <c r="BD5" s="172"/>
      <c r="BE5" s="174" t="str">
        <f>IF([1]RENAME!$H$3=1,BE3,BE1)</f>
        <v>4T16</v>
      </c>
      <c r="BF5" s="174"/>
      <c r="BG5" s="174"/>
      <c r="BH5" s="174"/>
      <c r="BI5" s="1274" t="str">
        <f>IF([1]RENAME!$H$3=1,BI3,BI1)</f>
        <v>1T17</v>
      </c>
      <c r="BJ5" s="1275"/>
      <c r="BK5" s="1276"/>
      <c r="BL5" s="174" t="str">
        <f>IF([1]RENAME!$H$3=1,BL3,BL1)</f>
        <v>2T17</v>
      </c>
      <c r="BM5" s="174"/>
      <c r="BN5" s="174"/>
      <c r="BO5" s="174"/>
      <c r="BP5" s="171" t="str">
        <f>IF([1]RENAME!$H$3=1,BP3,BP1)</f>
        <v>3T17</v>
      </c>
      <c r="BQ5" s="174"/>
      <c r="BR5" s="174"/>
      <c r="BS5" s="174"/>
      <c r="BT5" s="1224" t="str">
        <f>IF([1]RENAME!$H$3=1,BT3,BT1)</f>
        <v>4T17</v>
      </c>
      <c r="BU5" s="174"/>
      <c r="BV5" s="174"/>
      <c r="BW5" s="172"/>
      <c r="BX5" s="171" t="str">
        <f>IF([1]RENAME!$H$3=1,BX3,BX1)</f>
        <v>1T18</v>
      </c>
      <c r="BY5" s="174"/>
      <c r="BZ5" s="174"/>
      <c r="CA5" s="172"/>
      <c r="CB5" s="171" t="str">
        <f>IF([1]RENAME!$H$3=1,CB3,CB1)</f>
        <v>2T18</v>
      </c>
      <c r="CC5" s="174"/>
      <c r="CD5" s="174"/>
      <c r="CE5" s="172"/>
      <c r="CF5" s="171" t="str">
        <f>IF([1]RENAME!$H$3=1,CF3,CF1)</f>
        <v>3T18</v>
      </c>
      <c r="CG5" s="709"/>
      <c r="CH5" s="709"/>
      <c r="CI5" s="710"/>
      <c r="CJ5" s="543" t="str">
        <f>IF([1]RENAME!$H$3=1,CJ3,CJ1)</f>
        <v>4T18</v>
      </c>
      <c r="CK5" s="709"/>
      <c r="CL5" s="709"/>
      <c r="CM5" s="710"/>
      <c r="CN5" s="543" t="str">
        <f>IF([1]RENAME!$H$3=1,CN3,CN1)</f>
        <v>1T19</v>
      </c>
      <c r="CO5" s="709"/>
      <c r="CP5" s="709"/>
      <c r="CQ5" s="543" t="str">
        <f>IF([1]RENAME!$H$3=1,CQ3,CQ1)</f>
        <v>2T19</v>
      </c>
      <c r="CR5" s="709"/>
      <c r="CS5" s="709"/>
      <c r="CT5" s="543" t="str">
        <f>IF([1]RENAME!$H$3=1,CT3,CT1)</f>
        <v>3T19</v>
      </c>
      <c r="CU5" s="709"/>
      <c r="CV5" s="709"/>
      <c r="CW5" s="543" t="str">
        <f>IF([1]RENAME!$H$3=1,CW3,CW1)</f>
        <v>4T19</v>
      </c>
      <c r="CX5" s="709"/>
      <c r="CY5" s="709"/>
      <c r="CZ5" s="709"/>
      <c r="DA5" s="543" t="str">
        <f>IF([1]RENAME!$H$3=1,DA3,DA1)</f>
        <v>1T20</v>
      </c>
      <c r="DB5" s="709"/>
      <c r="DC5" s="709"/>
      <c r="DD5" s="710"/>
      <c r="DE5" s="543" t="str">
        <f>IF([1]RENAME!$H$3=1,DE3,DE1)</f>
        <v>2T20</v>
      </c>
      <c r="DF5" s="709"/>
      <c r="DG5" s="709"/>
      <c r="DH5" s="710"/>
      <c r="DI5" s="543" t="str">
        <f>IF([1]RENAME!$H$3=1,DI3,DI1)</f>
        <v>3T20</v>
      </c>
      <c r="DJ5" s="709"/>
      <c r="DK5" s="709"/>
      <c r="DL5" s="710"/>
      <c r="DM5" s="543" t="str">
        <f>IF([1]RENAME!$H$3=1,DM3,DM1)</f>
        <v>4T20</v>
      </c>
      <c r="DN5" s="709"/>
      <c r="DO5" s="709"/>
      <c r="DP5" s="710"/>
      <c r="DQ5" s="543" t="str">
        <f>IF([1]RENAME!$H$3=1,DQ3,DQ1)</f>
        <v>1T21</v>
      </c>
      <c r="DR5" s="709"/>
      <c r="DS5" s="709"/>
      <c r="DT5" s="710"/>
      <c r="DU5" s="543" t="str">
        <f>IF([1]RENAME!$H$3=1,DU3,DU1)</f>
        <v>2T21</v>
      </c>
      <c r="DV5" s="709"/>
      <c r="DW5" s="709"/>
      <c r="DX5" s="710"/>
      <c r="DY5" s="543" t="str">
        <f>IF([1]RENAME!$H$3=1,DY3,DY1)</f>
        <v>3T21</v>
      </c>
      <c r="DZ5" s="709"/>
      <c r="EA5" s="709"/>
      <c r="EB5" s="710"/>
      <c r="EC5" s="543" t="str">
        <f>IF([1]RENAME!$H$3=1,EC3,EC1)</f>
        <v>4T21</v>
      </c>
      <c r="ED5" s="709"/>
      <c r="EE5" s="709"/>
      <c r="EF5" s="1051"/>
      <c r="EG5" s="543" t="str">
        <f>IF([1]RENAME!$H$3=1,EG3,EG1)</f>
        <v>1T22</v>
      </c>
      <c r="EH5" s="709"/>
      <c r="EI5" s="709"/>
      <c r="EJ5" s="710"/>
      <c r="EK5" s="543" t="str">
        <f>IF([1]RENAME!$H$3=1,EK3,EK1)</f>
        <v>2T22</v>
      </c>
      <c r="EL5" s="709"/>
      <c r="EM5" s="709"/>
      <c r="EN5" s="710"/>
      <c r="EO5" s="543" t="str">
        <f>IF([1]RENAME!$H$3=1,EO3,EO1)</f>
        <v>3T22</v>
      </c>
      <c r="EP5" s="709"/>
      <c r="EQ5" s="709"/>
      <c r="ER5" s="710"/>
      <c r="ES5" s="543" t="str">
        <f>IF([1]RENAME!$H$3=1,ES3,ES1)</f>
        <v>4T22</v>
      </c>
      <c r="ET5" s="709"/>
      <c r="EU5" s="709"/>
      <c r="EV5" s="710"/>
      <c r="EW5" s="543" t="str">
        <f>IF([1]RENAME!$H$3=1,EW3,EW1)</f>
        <v>1T23</v>
      </c>
      <c r="EX5" s="709"/>
      <c r="EY5" s="709"/>
      <c r="EZ5" s="710"/>
      <c r="FA5" s="543" t="str">
        <f>IF([1]RENAME!$H$3=1,FA3,FA1)</f>
        <v>2T23</v>
      </c>
      <c r="FB5" s="709"/>
      <c r="FC5" s="709"/>
      <c r="FD5" s="710"/>
      <c r="FE5" s="543" t="str">
        <f>IF([1]RENAME!$H$3=1,FE3,FE1)</f>
        <v>3T23</v>
      </c>
      <c r="FF5" s="709"/>
      <c r="FG5" s="709"/>
      <c r="FH5" s="710"/>
      <c r="FI5" s="543" t="str">
        <f>IF([1]RENAME!$H$3=1,FI3,FI1)</f>
        <v>4T23</v>
      </c>
      <c r="FJ5" s="709"/>
      <c r="FK5" s="709"/>
      <c r="FL5" s="710"/>
      <c r="FM5" s="543" t="str">
        <f>IF([1]RENAME!$H$3=1,FM3,FM1)</f>
        <v>1T24</v>
      </c>
      <c r="FN5" s="709"/>
      <c r="FO5" s="709"/>
      <c r="FP5" s="710"/>
      <c r="FQ5" s="543" t="str">
        <f>IF([1]RENAME!$H$3=1,FQ3,FQ1)</f>
        <v>2T24</v>
      </c>
      <c r="FR5" s="709"/>
      <c r="FS5" s="709"/>
      <c r="FT5" s="710"/>
      <c r="FU5" s="543" t="str">
        <f>IF([1]RENAME!$H$3=1,FU3,FU1)</f>
        <v>3T24</v>
      </c>
      <c r="FV5" s="709"/>
      <c r="FW5" s="709"/>
      <c r="FX5" s="710"/>
      <c r="FY5" s="543" t="str">
        <f>IF([1]RENAME!$H$3=1,FY3,FY1)</f>
        <v>4T24</v>
      </c>
      <c r="FZ5" s="709"/>
      <c r="GA5" s="709"/>
      <c r="GB5" s="709"/>
      <c r="GC5" s="709"/>
      <c r="GD5" s="710"/>
      <c r="GE5" s="543" t="str">
        <f>IF([1]RENAME!$H$3=1,GE3,GE1)</f>
        <v>1T25</v>
      </c>
      <c r="GF5" s="709"/>
      <c r="GG5" s="709"/>
      <c r="GH5" s="709"/>
      <c r="GI5" s="709"/>
      <c r="GJ5" s="710"/>
      <c r="GK5" s="543" t="str">
        <f>IF([1]RENAME!$H$3=1,GK3,GK1)</f>
        <v>2T25</v>
      </c>
      <c r="GL5" s="709"/>
      <c r="GM5" s="709"/>
      <c r="GN5" s="709"/>
      <c r="GO5" s="709"/>
      <c r="GP5" s="709"/>
      <c r="GQ5" s="543" t="str">
        <f>IF([1]RENAME!$H$3=1,GQ3,GQ1)</f>
        <v>3T25</v>
      </c>
      <c r="GR5" s="709"/>
      <c r="GS5" s="709"/>
      <c r="GT5" s="709"/>
      <c r="GU5" s="709"/>
      <c r="GV5" s="710"/>
      <c r="GW5" s="543" t="str">
        <f>IF([1]RENAME!$H$3=1,GW3,GW1)</f>
        <v>4T25</v>
      </c>
      <c r="GX5" s="709"/>
      <c r="GY5" s="709"/>
      <c r="GZ5" s="709"/>
      <c r="HA5" s="709"/>
      <c r="HB5" s="710"/>
      <c r="HC5" s="709" t="s">
        <v>2284</v>
      </c>
      <c r="HD5" s="709"/>
      <c r="HE5" s="709"/>
      <c r="HF5" s="709"/>
      <c r="HG5" s="709"/>
      <c r="HH5" s="709"/>
      <c r="HI5" s="543" t="str">
        <f>IF([1]RENAME!$H$3=1,HI3,HI1)</f>
        <v>2T26</v>
      </c>
      <c r="HJ5" s="709"/>
      <c r="HK5" s="709"/>
      <c r="HL5" s="709"/>
      <c r="HM5" s="709"/>
      <c r="HN5" s="710"/>
    </row>
    <row r="6" spans="5:225" ht="38.25" x14ac:dyDescent="0.2">
      <c r="H6" s="170"/>
      <c r="I6" s="173" t="str">
        <f>IF([1]RENAME!$H$3=1,I4,I2)</f>
        <v>Adição</v>
      </c>
      <c r="J6" s="170" t="str">
        <f>IF([1]RENAME!$H$3=1,J4,J2)</f>
        <v>Amortização</v>
      </c>
      <c r="K6" s="175">
        <f>IF([1]RENAME!$H$3=1,K4,K2)</f>
        <v>41729</v>
      </c>
      <c r="L6" s="173" t="str">
        <f>IF([1]RENAME!$H$3=1,L4,L2)</f>
        <v>Adição</v>
      </c>
      <c r="M6" s="170" t="str">
        <f>IF([1]RENAME!$H$3=1,M4,M2)</f>
        <v>Amortização</v>
      </c>
      <c r="N6" s="170" t="str">
        <f>IF([1]RENAME!$H$3=1,N4,N2)</f>
        <v>Transferência (i)</v>
      </c>
      <c r="O6" s="170" t="str">
        <f>IF([1]RENAME!$H$3=1,O4,O2)</f>
        <v>Baixa</v>
      </c>
      <c r="P6" s="175">
        <f>IF([1]RENAME!$H$3=1,P4,P2)</f>
        <v>41820</v>
      </c>
      <c r="Q6" s="173" t="str">
        <f>IF([1]RENAME!$H$3=1,Q4,Q2)</f>
        <v>Adição</v>
      </c>
      <c r="R6" s="170" t="str">
        <f>IF([1]RENAME!$H$3=1,R4,R2)</f>
        <v>Amortização</v>
      </c>
      <c r="S6" s="170" t="str">
        <f>IF([1]RENAME!$H$3=1,S4,S2)</f>
        <v>Transferência (i)</v>
      </c>
      <c r="T6" s="170" t="str">
        <f>IF([1]RENAME!$H$3=1,T4,T2)</f>
        <v>Outros</v>
      </c>
      <c r="U6" s="170" t="str">
        <f>IF([1]RENAME!$H$3=1,U4,U2)</f>
        <v>Baixa (i)</v>
      </c>
      <c r="V6" s="175">
        <f>IF([1]RENAME!$H$3=1,V4,V2)</f>
        <v>41912</v>
      </c>
      <c r="W6" s="173" t="str">
        <f>IF([1]RENAME!$H$3=1,W4,W2)</f>
        <v>Adição</v>
      </c>
      <c r="X6" s="170" t="str">
        <f>IF([1]RENAME!$H$3=1,X4,X2)</f>
        <v>Amortização</v>
      </c>
      <c r="Y6" s="170" t="str">
        <f>IF([1]RENAME!$H$3=1,Y4,Y2)</f>
        <v>Transferência (i)</v>
      </c>
      <c r="Z6" s="170" t="str">
        <f>IF([1]RENAME!$H$3=1,Z4,Z2)</f>
        <v>Outros</v>
      </c>
      <c r="AA6" s="170" t="str">
        <f>IF([1]RENAME!$H$3=1,AA4,AA2)</f>
        <v>Baixa (i)</v>
      </c>
      <c r="AB6" s="175">
        <f>IF([1]RENAME!$H$3=1,AB4,AB2)</f>
        <v>42004</v>
      </c>
      <c r="AC6" s="173" t="str">
        <f>IF([1]RENAME!$H$3=1,AC4,AC2)</f>
        <v>Adição</v>
      </c>
      <c r="AD6" s="170" t="str">
        <f>IF([1]RENAME!$H$3=1,AD4,AD2)</f>
        <v>Transferência (ii)</v>
      </c>
      <c r="AE6" s="170" t="str">
        <f>IF([1]RENAME!$H$3=1,AE4,AE2)</f>
        <v>Amortização</v>
      </c>
      <c r="AF6" s="175">
        <f>IF([1]RENAME!$H$3=1,AF4,AF2)</f>
        <v>42094</v>
      </c>
      <c r="AG6" s="173" t="str">
        <f>IF([1]RENAME!$H$3=1,AG4,AG2)</f>
        <v>Adição</v>
      </c>
      <c r="AH6" s="170" t="str">
        <f>IF([1]RENAME!$H$3=1,AH4,AH2)</f>
        <v>Transferência (ii)</v>
      </c>
      <c r="AI6" s="170" t="str">
        <f>IF([1]RENAME!$H$3=1,AI4,AI2)</f>
        <v>Amortização</v>
      </c>
      <c r="AJ6" s="175">
        <f>IF([1]RENAME!$H$3=1,AJ4,AJ2)</f>
        <v>42185</v>
      </c>
      <c r="AK6" s="173" t="str">
        <f>IF([1]RENAME!$H$3=1,AK4,AK2)</f>
        <v>Adição</v>
      </c>
      <c r="AL6" s="170" t="str">
        <f>IF([1]RENAME!$H$3=1,AL4,AL2)</f>
        <v>Transferência (ii)</v>
      </c>
      <c r="AM6" s="170" t="str">
        <f>IF([1]RENAME!$H$3=1,AM4,AM2)</f>
        <v>Amortização</v>
      </c>
      <c r="AN6" s="175">
        <f>IF([1]RENAME!$H$3=1,AN4,AN2)</f>
        <v>42277</v>
      </c>
      <c r="AO6" s="173" t="str">
        <f>IF([1]RENAME!$H$3=1,AO4,AO2)</f>
        <v>Adição</v>
      </c>
      <c r="AP6" s="170" t="str">
        <f>IF([1]RENAME!$H$3=1,AP4,AP2)</f>
        <v>Transferência (ii)</v>
      </c>
      <c r="AQ6" s="170" t="str">
        <f>IF([1]RENAME!$H$3=1,AQ4,AQ2)</f>
        <v>Amortização</v>
      </c>
      <c r="AR6" s="175">
        <f>IF([1]RENAME!$H$3=1,AR4,AR2)</f>
        <v>42368</v>
      </c>
      <c r="AS6" s="173" t="str">
        <f>IF([1]RENAME!$H$3=1,AS4,AS2)</f>
        <v>Adição</v>
      </c>
      <c r="AT6" s="170" t="str">
        <f>IF([1]RENAME!$H$3=1,AT4,AT2)</f>
        <v>Transferência / Outros</v>
      </c>
      <c r="AU6" s="170" t="str">
        <f>IF([1]RENAME!$H$3=1,AU4,AU2)</f>
        <v>Amortização</v>
      </c>
      <c r="AV6" s="175">
        <f>IF([1]RENAME!$H$3=1,AV4,AV2)</f>
        <v>42460</v>
      </c>
      <c r="AW6" s="173" t="str">
        <f>IF([1]RENAME!$H$3=1,AW4,AW2)</f>
        <v>Adição</v>
      </c>
      <c r="AX6" s="170" t="str">
        <f>IF([1]RENAME!$H$3=1,AX4,AX2)</f>
        <v>Transferência / Outros</v>
      </c>
      <c r="AY6" s="170" t="str">
        <f>IF([1]RENAME!$H$3=1,AY4,AY2)</f>
        <v>Amortização</v>
      </c>
      <c r="AZ6" s="175">
        <f>IF([1]RENAME!$H$3=1,AZ4,AZ2)</f>
        <v>42551</v>
      </c>
      <c r="BA6" s="173" t="str">
        <f>IF([1]RENAME!$H$3=1,BA4,BA2)</f>
        <v>Adição</v>
      </c>
      <c r="BB6" s="170" t="str">
        <f>IF([1]RENAME!$H$3=1,BB4,BB2)</f>
        <v>Transferência / Outros</v>
      </c>
      <c r="BC6" s="170" t="str">
        <f>IF([1]RENAME!$H$3=1,BC4,BC2)</f>
        <v>Amortização</v>
      </c>
      <c r="BD6" s="175">
        <f>IF([1]RENAME!$H$3=1,BD4,BD2)</f>
        <v>42643</v>
      </c>
      <c r="BE6" s="323" t="str">
        <f>IF([1]RENAME!$H$3=1,BE4,BE2)</f>
        <v>Adição</v>
      </c>
      <c r="BF6" s="323" t="str">
        <f>IF([1]RENAME!$H$3=1,BF4,BF2)</f>
        <v>Transferência / Outros</v>
      </c>
      <c r="BG6" s="323" t="str">
        <f>IF([1]RENAME!$H$3=1,BG4,BG2)</f>
        <v>Amortização</v>
      </c>
      <c r="BH6" s="323">
        <f>IF([1]RENAME!$H$3=1,BH4,BH2)</f>
        <v>42735</v>
      </c>
      <c r="BI6" s="330" t="str">
        <f>IF([1]RENAME!$H$3=1,BI4,BI2)</f>
        <v>Adição</v>
      </c>
      <c r="BJ6" s="323" t="str">
        <f>IF([1]RENAME!$H$3=1,BJ4,BJ2)</f>
        <v>Amortização</v>
      </c>
      <c r="BK6" s="175">
        <f>IF([1]RENAME!$H$3=1,BK4,BK2)</f>
        <v>42825</v>
      </c>
      <c r="BL6" s="323" t="str">
        <f>IF([1]RENAME!$H$3=1,BL4,BL2)</f>
        <v>Adição</v>
      </c>
      <c r="BM6" s="323" t="str">
        <f>IF([1]RENAME!$H$3=1,BM4,BM2)</f>
        <v>Amortização</v>
      </c>
      <c r="BN6" s="323" t="str">
        <f>IF([1]RENAME!$H$3=1,BN4,BN2)</f>
        <v>Outros</v>
      </c>
      <c r="BO6" s="323">
        <f>IF([1]RENAME!$H$3=1,BO4,BO2)</f>
        <v>42916</v>
      </c>
      <c r="BP6" s="330" t="str">
        <f>IF([1]RENAME!$H$3=1,BP4,BP2)</f>
        <v>Adição</v>
      </c>
      <c r="BQ6" s="323" t="str">
        <f>IF([1]RENAME!$H$3=1,BQ4,BQ2)</f>
        <v>Amortização</v>
      </c>
      <c r="BR6" s="323" t="str">
        <f>IF([1]RENAME!$H$3=1,BR4,BR2)</f>
        <v>Outros</v>
      </c>
      <c r="BS6" s="323">
        <f>IF([1]RENAME!$H$3=1,BS4,BS2)</f>
        <v>43008</v>
      </c>
      <c r="BT6" s="173" t="str">
        <f>IF([1]RENAME!$H$3=1,BT4,BT2)</f>
        <v>Adição</v>
      </c>
      <c r="BU6" s="170" t="str">
        <f>IF([1]RENAME!$H$3=1,BU4,BU2)</f>
        <v>Amortização</v>
      </c>
      <c r="BV6" s="170" t="str">
        <f>IF([1]RENAME!$H$3=1,BV4,BV2)</f>
        <v>Outros</v>
      </c>
      <c r="BW6" s="175">
        <f>IF([1]RENAME!$H$3=1,BW4,BW2)</f>
        <v>43100</v>
      </c>
      <c r="BX6" s="173" t="str">
        <f>IF([1]RENAME!$H$3=1,BX4,BX2)</f>
        <v>Adição</v>
      </c>
      <c r="BY6" s="170" t="str">
        <f>IF([1]RENAME!$H$3=1,BY4,BY2)</f>
        <v>Amortização</v>
      </c>
      <c r="BZ6" s="170" t="str">
        <f>IF([1]RENAME!$H$3=1,BZ4,BZ2)</f>
        <v>Outros</v>
      </c>
      <c r="CA6" s="175">
        <f>IF([1]RENAME!$H$3=1,CA4,CA2)</f>
        <v>43189</v>
      </c>
      <c r="CB6" s="173" t="str">
        <f>IF([1]RENAME!$H$3=1,CB4,CB2)</f>
        <v>Adição</v>
      </c>
      <c r="CC6" s="170" t="str">
        <f>IF([1]RENAME!$H$3=1,CC4,CC2)</f>
        <v>Amortização</v>
      </c>
      <c r="CD6" s="170" t="str">
        <f>IF([1]RENAME!$H$3=1,CD4,CD2)</f>
        <v>Outros</v>
      </c>
      <c r="CE6" s="175">
        <f>IF([1]RENAME!$H$3=1,CE4,CE2)</f>
        <v>43281</v>
      </c>
      <c r="CF6" s="173" t="str">
        <f>IF([1]RENAME!$H$3=1,CF4,CF2)</f>
        <v>Adição</v>
      </c>
      <c r="CG6" s="170" t="str">
        <f>IF([1]RENAME!$H$3=1,CG4,CG2)</f>
        <v>Amortização</v>
      </c>
      <c r="CH6" s="170" t="str">
        <f>IF([1]RENAME!$H$3=1,CH4,CH2)</f>
        <v>Outros</v>
      </c>
      <c r="CI6" s="175">
        <f>IF([1]RENAME!$H$3=1,CI4,CI2)</f>
        <v>43373</v>
      </c>
      <c r="CJ6" s="173" t="str">
        <f>IF([1]RENAME!$H$3=1,CJ4,CJ2)</f>
        <v>Adição</v>
      </c>
      <c r="CK6" s="170" t="str">
        <f>IF([1]RENAME!$H$3=1,CK4,CK2)</f>
        <v>Amortização</v>
      </c>
      <c r="CL6" s="170" t="str">
        <f>IF([1]RENAME!$H$3=1,CL4,CL2)</f>
        <v>Outros</v>
      </c>
      <c r="CM6" s="175">
        <f>IF([1]RENAME!$H$3=1,CM4,CM2)</f>
        <v>43464</v>
      </c>
      <c r="CN6" s="323" t="s">
        <v>248</v>
      </c>
      <c r="CO6" s="323" t="s">
        <v>247</v>
      </c>
      <c r="CP6" s="323">
        <v>43554</v>
      </c>
      <c r="CQ6" s="173" t="str">
        <f>IF([1]RENAME!$H$3=1,CQ4,CQ2)</f>
        <v>Adição</v>
      </c>
      <c r="CR6" s="170" t="str">
        <f>IF([1]RENAME!$H$3=1,CR4,CR2)</f>
        <v>Amortização</v>
      </c>
      <c r="CS6" s="175">
        <f>IF([1]RENAME!$H$3=1,CS4,CS2)</f>
        <v>43646</v>
      </c>
      <c r="CT6" s="173" t="str">
        <f>IF([1]RENAME!$H$3=1,CT4,CT2)</f>
        <v>Adição</v>
      </c>
      <c r="CU6" s="170" t="str">
        <f>IF([1]RENAME!$H$3=1,CU4,CU2)</f>
        <v>Amortização</v>
      </c>
      <c r="CV6" s="175">
        <f>IF([1]RENAME!$H$3=1,CV4,CV2)</f>
        <v>43738</v>
      </c>
      <c r="CW6" s="173" t="str">
        <f>IF([1]RENAME!$H$3=1,CW4,CW2)</f>
        <v>Adição</v>
      </c>
      <c r="CX6" s="170" t="str">
        <f>IF([1]RENAME!$H$3=1,CX4,CX2)</f>
        <v>Amortização</v>
      </c>
      <c r="CY6" s="170" t="str">
        <f>IF([1]RENAME!$H$3=1,CY4,CY2)</f>
        <v>Outros</v>
      </c>
      <c r="CZ6" s="175">
        <f>IF([1]RENAME!$H$3=1,CZ4,CZ2)</f>
        <v>43829</v>
      </c>
      <c r="DA6" s="173" t="str">
        <f>IF([1]RENAME!$H$3=1,DA4,DA2)</f>
        <v>Adição</v>
      </c>
      <c r="DB6" s="170" t="str">
        <f>IF([1]RENAME!$H$3=1,DB4,DB2)</f>
        <v>Amortização</v>
      </c>
      <c r="DC6" s="170" t="str">
        <f>IF([1]RENAME!$H$3=1,DC4,DC2)</f>
        <v>Outros</v>
      </c>
      <c r="DD6" s="175">
        <f>IF([1]RENAME!$H$3=1,DD4,DD2)</f>
        <v>43921</v>
      </c>
      <c r="DE6" s="173" t="str">
        <f>IF([1]RENAME!$H$3=1,DE4,DE2)</f>
        <v>Adição</v>
      </c>
      <c r="DF6" s="170" t="str">
        <f>IF([1]RENAME!$H$3=1,DF4,DF2)</f>
        <v>Amortização</v>
      </c>
      <c r="DG6" s="170" t="str">
        <f>IF([1]RENAME!$H$3=1,DG4,DG2)</f>
        <v>Outros</v>
      </c>
      <c r="DH6" s="175" t="str">
        <f>IF([1]RENAME!$H$3=1,DH4,DH2)</f>
        <v>31/06/2020</v>
      </c>
      <c r="DI6" s="173" t="str">
        <f>IF([1]RENAME!$H$3=1,DI4,DI2)</f>
        <v>Adição</v>
      </c>
      <c r="DJ6" s="170" t="str">
        <f>IF([1]RENAME!$H$3=1,DJ4,DJ2)</f>
        <v>Amortização</v>
      </c>
      <c r="DK6" s="170" t="str">
        <f>IF([1]RENAME!$H$3=1,DK4,DK2)</f>
        <v>Outros</v>
      </c>
      <c r="DL6" s="175" t="str">
        <f>IF([1]RENAME!$H$3=1,DL4,DL2)</f>
        <v>31/09/2020</v>
      </c>
      <c r="DM6" s="173" t="str">
        <f>IF([1]RENAME!$H$3=1,DM4,DM2)</f>
        <v>Adição</v>
      </c>
      <c r="DN6" s="170" t="str">
        <f>IF([1]RENAME!$H$3=1,DN4,DN2)</f>
        <v>Amortização</v>
      </c>
      <c r="DO6" s="170" t="str">
        <f>IF([1]RENAME!$H$3=1,DO4,DO2)</f>
        <v>Outros</v>
      </c>
      <c r="DP6" s="175">
        <f>IF([1]RENAME!$H$3=1,DP4,DP2)</f>
        <v>44195</v>
      </c>
      <c r="DQ6" s="173" t="str">
        <f>IF([1]RENAME!$H$3=1,DQ4,DQ2)</f>
        <v>Adição</v>
      </c>
      <c r="DR6" s="170" t="str">
        <f>IF([1]RENAME!$H$3=1,DR4,DR2)</f>
        <v>Amortização</v>
      </c>
      <c r="DS6" s="170" t="str">
        <f>IF([1]RENAME!$H$3=1,DS4,DS2)</f>
        <v>Outros</v>
      </c>
      <c r="DT6" s="175">
        <f>IF([1]RENAME!$H$3=1,DT4,DT2)</f>
        <v>44286</v>
      </c>
      <c r="DU6" s="173" t="str">
        <f>IF([1]RENAME!$H$3=1,DU4,DU2)</f>
        <v>Adição</v>
      </c>
      <c r="DV6" s="170" t="str">
        <f>IF([1]RENAME!$H$3=1,DV4,DV2)</f>
        <v>Amortização</v>
      </c>
      <c r="DW6" s="170" t="str">
        <f>IF([1]RENAME!$H$3=1,DW4,DW2)</f>
        <v>Outros</v>
      </c>
      <c r="DX6" s="175">
        <f>IF([1]RENAME!$H$3=1,DX4,DX2)</f>
        <v>44377</v>
      </c>
      <c r="DY6" s="173" t="str">
        <f>IF([1]RENAME!$H$3=1,DY4,DY2)</f>
        <v>Adição</v>
      </c>
      <c r="DZ6" s="170" t="str">
        <f>IF([1]RENAME!$H$3=1,DZ4,DZ2)</f>
        <v>Amortização</v>
      </c>
      <c r="EA6" s="170" t="str">
        <f>IF([1]RENAME!$H$3=1,EA4,EA2)</f>
        <v>Outros</v>
      </c>
      <c r="EB6" s="175">
        <f>IF([1]RENAME!$H$3=1,EB4,EB2)</f>
        <v>44469</v>
      </c>
      <c r="EC6" s="173" t="str">
        <f>IF([1]RENAME!$H$3=1,EC4,EC2)</f>
        <v>Adição</v>
      </c>
      <c r="ED6" s="170" t="str">
        <f>IF([1]RENAME!$H$3=1,ED4,ED2)</f>
        <v>Amortização</v>
      </c>
      <c r="EE6" s="170" t="str">
        <f>IF([1]RENAME!$H$3=1,EE4,EE2)</f>
        <v>Outros</v>
      </c>
      <c r="EF6" s="175">
        <f>IF([1]RENAME!$H$3=1,EF4,EF2)</f>
        <v>44561</v>
      </c>
      <c r="EG6" s="173" t="str">
        <f>IF([1]RENAME!$H$3=1,EG4,EG2)</f>
        <v>Adição</v>
      </c>
      <c r="EH6" s="170" t="str">
        <f>IF([1]RENAME!$H$3=1,EH4,EH2)</f>
        <v>Amortização</v>
      </c>
      <c r="EI6" s="170" t="str">
        <f>IF([1]RENAME!$H$3=1,EI4,EI2)</f>
        <v>Transferências</v>
      </c>
      <c r="EJ6" s="175">
        <f>IF([1]RENAME!$H$3=1,EJ4,EJ2)</f>
        <v>44651</v>
      </c>
      <c r="EK6" s="173" t="str">
        <f>IF([1]RENAME!$H$3=1,EK4,EK2)</f>
        <v>Adição</v>
      </c>
      <c r="EL6" s="170" t="str">
        <f>IF([1]RENAME!$H$3=1,EL4,EL2)</f>
        <v>Amortização</v>
      </c>
      <c r="EM6" s="170" t="str">
        <f>IF([1]RENAME!$H$3=1,EM4,EM2)</f>
        <v>Transferências</v>
      </c>
      <c r="EN6" s="175">
        <f>IF([1]RENAME!$H$3=1,EN4,EN2)</f>
        <v>44742</v>
      </c>
      <c r="EO6" s="173" t="str">
        <f>IF([1]RENAME!$H$3=1,EO4,EO2)</f>
        <v>Adição</v>
      </c>
      <c r="EP6" s="170" t="str">
        <f>IF([1]RENAME!$H$3=1,EP4,EP2)</f>
        <v>Amortização</v>
      </c>
      <c r="EQ6" s="170" t="str">
        <f>IF([1]RENAME!$H$3=1,EQ4,EQ2)</f>
        <v>Transferências</v>
      </c>
      <c r="ER6" s="175">
        <f>IF([1]RENAME!$H$3=1,ER4,ER2)</f>
        <v>44834</v>
      </c>
      <c r="ES6" s="173" t="str">
        <f>IF([1]RENAME!$H$3=1,ES4,ES2)</f>
        <v>Adição</v>
      </c>
      <c r="ET6" s="170" t="str">
        <f>IF([1]RENAME!$H$3=1,ET4,ET2)</f>
        <v>Amortização</v>
      </c>
      <c r="EU6" s="170" t="str">
        <f>IF([1]RENAME!$H$3=1,EU4,EU2)</f>
        <v>Transferências</v>
      </c>
      <c r="EV6" s="175">
        <f>IF([1]RENAME!$H$3=1,EV4,EV2)</f>
        <v>44926</v>
      </c>
      <c r="EW6" s="173" t="str">
        <f>IF([1]RENAME!$H$3=1,EW4,EW2)</f>
        <v>Adição</v>
      </c>
      <c r="EX6" s="170" t="str">
        <f>IF([1]RENAME!$H$3=1,EX4,EX2)</f>
        <v>Amortização</v>
      </c>
      <c r="EY6" s="170" t="str">
        <f>IF([1]RENAME!$H$3=1,EY4,EY2)</f>
        <v>Transferências</v>
      </c>
      <c r="EZ6" s="175">
        <f>IF([1]RENAME!$H$3=1,EZ4,EZ2)</f>
        <v>45016</v>
      </c>
      <c r="FA6" s="173" t="str">
        <f>IF([1]RENAME!$H$3=1,FA4,FA2)</f>
        <v>Adição</v>
      </c>
      <c r="FB6" s="170" t="str">
        <f>IF([1]RENAME!$H$3=1,FB4,FB2)</f>
        <v>Amortização</v>
      </c>
      <c r="FC6" s="170" t="str">
        <f>IF([1]RENAME!$H$3=1,FC4,FC2)</f>
        <v>Transferências</v>
      </c>
      <c r="FD6" s="175">
        <f>IF([1]RENAME!$H$3=1,FD4,FD2)</f>
        <v>45107</v>
      </c>
      <c r="FE6" s="173" t="str">
        <f>IF([1]RENAME!$H$3=1,FE4,FE2)</f>
        <v>Adição</v>
      </c>
      <c r="FF6" s="170" t="str">
        <f>IF([1]RENAME!$H$3=1,FF4,FF2)</f>
        <v>Amortização</v>
      </c>
      <c r="FG6" s="170" t="str">
        <f>IF([1]RENAME!$H$3=1,FG4,FG2)</f>
        <v>Transferências</v>
      </c>
      <c r="FH6" s="175">
        <f>IF([1]RENAME!$H$3=1,FH4,FH2)</f>
        <v>45199</v>
      </c>
      <c r="FI6" s="173" t="str">
        <f>IF([1]RENAME!$H$3=1,FI4,FI2)</f>
        <v>Adição</v>
      </c>
      <c r="FJ6" s="170" t="str">
        <f>IF([1]RENAME!$H$3=1,FJ4,FJ2)</f>
        <v>Amortização</v>
      </c>
      <c r="FK6" s="170" t="str">
        <f>IF([1]RENAME!$H$3=1,FK4,FK2)</f>
        <v>Transferências</v>
      </c>
      <c r="FL6" s="175">
        <f>IF([1]RENAME!$H$3=1,FL4,FL2)</f>
        <v>45291</v>
      </c>
      <c r="FM6" s="173" t="str">
        <f>IF([1]RENAME!$H$3=1,FM4,FM2)</f>
        <v>Adição</v>
      </c>
      <c r="FN6" s="170" t="str">
        <f>IF([1]RENAME!$H$3=1,FN4,FN2)</f>
        <v>Amortização</v>
      </c>
      <c r="FO6" s="170" t="str">
        <f>IF([1]RENAME!$H$3=1,FO4,FO2)</f>
        <v>Transferências</v>
      </c>
      <c r="FP6" s="175">
        <f>IF([1]RENAME!$H$3=1,FP4,FP2)</f>
        <v>45382</v>
      </c>
      <c r="FQ6" s="173" t="str">
        <f>IF([1]RENAME!$H$3=1,FQ4,FQ2)</f>
        <v>Adição</v>
      </c>
      <c r="FR6" s="170" t="str">
        <f>IF([1]RENAME!$H$3=1,FR4,FR2)</f>
        <v>Amortização</v>
      </c>
      <c r="FS6" s="170" t="str">
        <f>IF([1]RENAME!$H$3=1,FS4,FS2)</f>
        <v>Transferências</v>
      </c>
      <c r="FT6" s="175" t="str">
        <f>IF([1]RENAME!$H$3=1,FT4,FT2)</f>
        <v>31/06/2024</v>
      </c>
      <c r="FU6" s="173" t="str">
        <f>IF([1]RENAME!$H$3=1,FU4,FU2)</f>
        <v>Adição</v>
      </c>
      <c r="FV6" s="170" t="str">
        <f>IF([1]RENAME!$H$3=1,FV4,FV2)</f>
        <v>Amortização</v>
      </c>
      <c r="FW6" s="170" t="str">
        <f>IF([1]RENAME!$H$3=1,FW4,FW2)</f>
        <v>Transferências</v>
      </c>
      <c r="FX6" s="175">
        <f>IF([1]RENAME!$H$3=1,FX4,FX2)</f>
        <v>45565</v>
      </c>
      <c r="FY6" s="173" t="str">
        <f>IF([1]RENAME!$H$3=1,FY4,FY2)</f>
        <v>Adição</v>
      </c>
      <c r="FZ6" s="170" t="str">
        <f>IF([1]RENAME!$H$3=1,FZ4,FZ2)</f>
        <v>Ativação</v>
      </c>
      <c r="GA6" s="170" t="str">
        <f>IF([1]RENAME!$H$3=1,GA4,GA2)</f>
        <v>Amortização</v>
      </c>
      <c r="GB6" s="170" t="str">
        <f>IF([1]RENAME!$H$3=1,GB4,GB2)</f>
        <v>Transferências</v>
      </c>
      <c r="GC6" s="170" t="str">
        <f>IF([1]RENAME!$H$3=1,GC4,GC2)</f>
        <v>Outros</v>
      </c>
      <c r="GD6" s="175">
        <f>IF([1]RENAME!$H$3=1,GD4,GD2)</f>
        <v>45657</v>
      </c>
      <c r="GE6" s="173" t="str">
        <f>IF([1]RENAME!$H$3=1,GE4,GE2)</f>
        <v>Adição</v>
      </c>
      <c r="GF6" s="170" t="str">
        <f>IF([1]RENAME!$H$3=1,GF4,GF2)</f>
        <v>Ativação</v>
      </c>
      <c r="GG6" s="170" t="str">
        <f>IF([1]RENAME!$H$3=1,GG4,GG2)</f>
        <v>Amortização</v>
      </c>
      <c r="GH6" s="170" t="str">
        <f>IF([1]RENAME!$H$3=1,GH4,GH2)</f>
        <v>Transferências</v>
      </c>
      <c r="GI6" s="170" t="str">
        <f>IF([1]RENAME!$H$3=1,GI4,GI2)</f>
        <v>Outros</v>
      </c>
      <c r="GJ6" s="175">
        <f>IF([1]RENAME!$H$3=1,GJ4,GJ2)</f>
        <v>45747</v>
      </c>
      <c r="GK6" s="173" t="str">
        <f>IF([1]RENAME!$H$3=1,GK4,GK2)</f>
        <v>Adição</v>
      </c>
      <c r="GL6" s="170" t="str">
        <f>IF([1]RENAME!$H$3=1,GL4,GL2)</f>
        <v>Ativação</v>
      </c>
      <c r="GM6" s="170" t="str">
        <f>IF([1]RENAME!$H$3=1,GM4,GM2)</f>
        <v>Amortização</v>
      </c>
      <c r="GN6" s="170" t="str">
        <f>IF([1]RENAME!$H$3=1,GN4,GN2)</f>
        <v>Transferências</v>
      </c>
      <c r="GO6" s="170" t="str">
        <f>IF([1]RENAME!$H$3=1,GO4,GO2)</f>
        <v>Outros</v>
      </c>
      <c r="GP6" s="175">
        <f>IF([1]RENAME!$H$3=1,GP4,GP2)</f>
        <v>45838</v>
      </c>
      <c r="GQ6" s="173" t="str">
        <f>IF([1]RENAME!$H$3=1,GQ4,GQ2)</f>
        <v>Adição</v>
      </c>
      <c r="GR6" s="170" t="str">
        <f>IF([1]RENAME!$H$3=1,GR4,GR2)</f>
        <v>Ativação</v>
      </c>
      <c r="GS6" s="170" t="str">
        <f>IF([1]RENAME!$H$3=1,GS4,GS2)</f>
        <v>Amortização</v>
      </c>
      <c r="GT6" s="170" t="str">
        <f>IF([1]RENAME!$H$3=1,GT4,GT2)</f>
        <v>Transferências</v>
      </c>
      <c r="GU6" s="170" t="str">
        <f>IF([1]RENAME!$H$3=1,GU4,GU2)</f>
        <v>Outros</v>
      </c>
      <c r="GV6" s="175">
        <f>IF([1]RENAME!$H$3=1,GV4,GV2)</f>
        <v>45930</v>
      </c>
      <c r="GW6" s="173" t="str">
        <f>IF([1]RENAME!$H$3=1,GW4,GW2)</f>
        <v>Adição</v>
      </c>
      <c r="GX6" s="170" t="str">
        <f>IF([1]RENAME!$H$3=1,GX4,GX2)</f>
        <v>Ativação</v>
      </c>
      <c r="GY6" s="170" t="str">
        <f>IF([1]RENAME!$H$3=1,GY4,GY2)</f>
        <v>Amortização</v>
      </c>
      <c r="GZ6" s="170" t="str">
        <f>IF([1]RENAME!$H$3=1,GZ4,GZ2)</f>
        <v>Transferências</v>
      </c>
      <c r="HA6" s="170" t="str">
        <f>IF([1]RENAME!$H$3=1,HA4,HA2)</f>
        <v>Outros</v>
      </c>
      <c r="HB6" s="175">
        <f>IF([1]RENAME!$H$3=1,HB4,HB2)</f>
        <v>46022</v>
      </c>
      <c r="HC6" s="323" t="s">
        <v>248</v>
      </c>
      <c r="HD6" s="323" t="s">
        <v>2251</v>
      </c>
      <c r="HE6" s="323" t="s">
        <v>247</v>
      </c>
      <c r="HF6" s="323" t="s">
        <v>2110</v>
      </c>
      <c r="HG6" s="323" t="s">
        <v>49</v>
      </c>
      <c r="HH6" s="323">
        <v>46112</v>
      </c>
      <c r="HI6" s="173" t="str">
        <f>IF([1]RENAME!$H$3=1,HI4,HI2)</f>
        <v>Adição</v>
      </c>
      <c r="HJ6" s="170" t="str">
        <f>IF([1]RENAME!$H$3=1,HJ4,HJ2)</f>
        <v>Ativação</v>
      </c>
      <c r="HK6" s="170" t="str">
        <f>IF([1]RENAME!$H$3=1,HK4,HK2)</f>
        <v>Amortização</v>
      </c>
      <c r="HL6" s="170" t="str">
        <f>IF([1]RENAME!$H$3=1,HL4,HL2)</f>
        <v>Transferências</v>
      </c>
      <c r="HM6" s="170" t="str">
        <f>IF([1]RENAME!$H$3=1,HM4,HM2)</f>
        <v>Outros</v>
      </c>
      <c r="HN6" s="175" t="str">
        <f>IF([1]RENAME!$H$3=1,HN4,HN2)</f>
        <v>31/06/2026</v>
      </c>
    </row>
    <row r="7" spans="5:225" x14ac:dyDescent="0.2">
      <c r="E7" t="s">
        <v>111</v>
      </c>
      <c r="F7" t="s">
        <v>111</v>
      </c>
      <c r="H7" s="129" t="str">
        <f>IF([1]RENAME!$H$3=1,F7,E7)</f>
        <v>Software</v>
      </c>
      <c r="I7" s="160">
        <v>10</v>
      </c>
      <c r="J7" s="118">
        <v>-440</v>
      </c>
      <c r="K7" s="161">
        <v>5184</v>
      </c>
      <c r="L7" s="160">
        <v>153</v>
      </c>
      <c r="M7" s="118">
        <v>-439</v>
      </c>
      <c r="N7" s="118">
        <v>0</v>
      </c>
      <c r="O7" s="118">
        <v>0</v>
      </c>
      <c r="P7" s="161">
        <v>4898</v>
      </c>
      <c r="Q7" s="160">
        <v>38</v>
      </c>
      <c r="R7" s="118">
        <v>-428</v>
      </c>
      <c r="S7" s="118">
        <v>0</v>
      </c>
      <c r="T7" s="118">
        <v>0</v>
      </c>
      <c r="U7" s="118">
        <v>0</v>
      </c>
      <c r="V7" s="161">
        <v>4508</v>
      </c>
      <c r="W7" s="160">
        <v>1493</v>
      </c>
      <c r="X7" s="118">
        <v>-1011</v>
      </c>
      <c r="Y7" s="118"/>
      <c r="Z7" s="118"/>
      <c r="AA7" s="118"/>
      <c r="AB7" s="161">
        <v>4990</v>
      </c>
      <c r="AC7" s="160">
        <v>84</v>
      </c>
      <c r="AD7" s="118">
        <v>7125</v>
      </c>
      <c r="AE7" s="118">
        <v>-608</v>
      </c>
      <c r="AF7" s="161">
        <v>11591</v>
      </c>
      <c r="AG7" s="160">
        <v>354</v>
      </c>
      <c r="AH7" s="118">
        <v>1279</v>
      </c>
      <c r="AI7" s="118">
        <v>-840</v>
      </c>
      <c r="AJ7" s="161">
        <v>12384</v>
      </c>
      <c r="AK7" s="160">
        <v>75</v>
      </c>
      <c r="AL7" s="118">
        <v>135</v>
      </c>
      <c r="AM7" s="118">
        <v>-920</v>
      </c>
      <c r="AN7" s="161">
        <f>SUM(AJ7:AM7)</f>
        <v>11674</v>
      </c>
      <c r="AO7" s="160">
        <v>109</v>
      </c>
      <c r="AP7" s="118">
        <v>286</v>
      </c>
      <c r="AQ7" s="118">
        <v>-979</v>
      </c>
      <c r="AR7" s="161">
        <f>SUM(AN7:AQ7)</f>
        <v>11090</v>
      </c>
      <c r="AS7" s="160">
        <v>210</v>
      </c>
      <c r="AT7" s="118">
        <v>44</v>
      </c>
      <c r="AU7" s="118">
        <v>-1132</v>
      </c>
      <c r="AV7" s="161">
        <f>SUM(AR7:AU7)</f>
        <v>10212</v>
      </c>
      <c r="AW7" s="160">
        <v>886</v>
      </c>
      <c r="AX7" s="118">
        <v>950</v>
      </c>
      <c r="AY7" s="118">
        <v>-895</v>
      </c>
      <c r="AZ7" s="161">
        <f>SUM(AV7:AY7)</f>
        <v>11153</v>
      </c>
      <c r="BA7" s="160">
        <v>268</v>
      </c>
      <c r="BB7" s="118">
        <v>-2</v>
      </c>
      <c r="BC7" s="118">
        <v>-889</v>
      </c>
      <c r="BD7" s="161">
        <f>SUM(AZ7:BC7)</f>
        <v>10530</v>
      </c>
      <c r="BE7" s="118">
        <v>290</v>
      </c>
      <c r="BF7" s="118">
        <v>0</v>
      </c>
      <c r="BG7" s="118">
        <v>-885</v>
      </c>
      <c r="BH7" s="118">
        <v>9935</v>
      </c>
      <c r="BI7" s="160">
        <v>1244</v>
      </c>
      <c r="BJ7" s="118">
        <v>-901</v>
      </c>
      <c r="BK7" s="161">
        <f>SUM(BH7:BJ7)</f>
        <v>10278</v>
      </c>
      <c r="BL7" s="118">
        <v>878</v>
      </c>
      <c r="BM7" s="118">
        <v>-918</v>
      </c>
      <c r="BN7" s="118">
        <v>0</v>
      </c>
      <c r="BO7" s="118">
        <v>10238</v>
      </c>
      <c r="BP7" s="160">
        <v>846</v>
      </c>
      <c r="BQ7" s="118">
        <v>-916</v>
      </c>
      <c r="BR7" s="118">
        <v>0</v>
      </c>
      <c r="BS7" s="118">
        <v>10168</v>
      </c>
      <c r="BT7" s="160">
        <v>1137</v>
      </c>
      <c r="BU7" s="118">
        <v>-946</v>
      </c>
      <c r="BV7" s="118">
        <v>0</v>
      </c>
      <c r="BW7" s="161">
        <f>SUM(BS7:BV7)</f>
        <v>10359</v>
      </c>
      <c r="BX7" s="160">
        <v>1039</v>
      </c>
      <c r="BY7" s="118">
        <v>-976</v>
      </c>
      <c r="BZ7" s="118">
        <v>0</v>
      </c>
      <c r="CA7" s="161">
        <f>SUM(BW7:BZ7)</f>
        <v>10422</v>
      </c>
      <c r="CB7" s="160">
        <f>1868-BX7</f>
        <v>829</v>
      </c>
      <c r="CC7" s="118">
        <f>-2008-BY7</f>
        <v>-1032</v>
      </c>
      <c r="CD7" s="118">
        <v>0</v>
      </c>
      <c r="CE7" s="161">
        <f>SUM(CA7:CD7)</f>
        <v>10219</v>
      </c>
      <c r="CF7" s="160">
        <f>3115-CB7-BX7</f>
        <v>1247</v>
      </c>
      <c r="CG7" s="118">
        <f>-3068-CC7-BY7</f>
        <v>-1060</v>
      </c>
      <c r="CH7" s="118">
        <v>0</v>
      </c>
      <c r="CI7" s="161">
        <f>SUM(CE7:CH7)</f>
        <v>10406</v>
      </c>
      <c r="CJ7" s="160">
        <f>5143-CF7-CB7-BX7</f>
        <v>2028</v>
      </c>
      <c r="CK7" s="118">
        <f>-4148-CG7-CC7-BY7</f>
        <v>-1080</v>
      </c>
      <c r="CL7" s="118">
        <v>0</v>
      </c>
      <c r="CM7" s="161">
        <f>SUM(CI7:CL7)</f>
        <v>11354</v>
      </c>
      <c r="CN7" s="118">
        <v>1424</v>
      </c>
      <c r="CO7" s="118">
        <v>-1133</v>
      </c>
      <c r="CP7" s="161">
        <f>SUM(CM7:CO7)</f>
        <v>11645</v>
      </c>
      <c r="CQ7" s="160">
        <v>672</v>
      </c>
      <c r="CR7" s="118">
        <v>-1187</v>
      </c>
      <c r="CS7" s="161">
        <f>SUM(CP7:CR7)</f>
        <v>11130</v>
      </c>
      <c r="CT7" s="160">
        <v>874</v>
      </c>
      <c r="CU7" s="118">
        <v>-1223</v>
      </c>
      <c r="CV7" s="161">
        <v>10781</v>
      </c>
      <c r="CW7" s="160">
        <v>1208</v>
      </c>
      <c r="CX7" s="118">
        <v>-1255</v>
      </c>
      <c r="CY7" s="118">
        <v>0</v>
      </c>
      <c r="CZ7" s="161">
        <v>10734</v>
      </c>
      <c r="DA7" s="160">
        <v>1490</v>
      </c>
      <c r="DB7" s="118">
        <v>-1111</v>
      </c>
      <c r="DC7" s="118">
        <v>0</v>
      </c>
      <c r="DD7" s="161">
        <v>11113</v>
      </c>
      <c r="DE7" s="160">
        <v>938</v>
      </c>
      <c r="DF7" s="118">
        <v>-952</v>
      </c>
      <c r="DG7" s="118">
        <v>0</v>
      </c>
      <c r="DH7" s="161">
        <f>SUM(DD7:DF7)</f>
        <v>11099</v>
      </c>
      <c r="DI7" s="160">
        <v>607</v>
      </c>
      <c r="DJ7" s="118">
        <v>-962</v>
      </c>
      <c r="DK7" s="118">
        <v>0</v>
      </c>
      <c r="DL7" s="161">
        <f>SUM(DH7:DJ7)</f>
        <v>10744</v>
      </c>
      <c r="DM7" s="160">
        <v>717</v>
      </c>
      <c r="DN7" s="118">
        <v>-978</v>
      </c>
      <c r="DO7" s="118">
        <v>67</v>
      </c>
      <c r="DP7" s="161">
        <f>SUM(DL7:DO7)</f>
        <v>10550</v>
      </c>
      <c r="DQ7" s="160">
        <v>1721</v>
      </c>
      <c r="DR7" s="118">
        <v>-1015</v>
      </c>
      <c r="DS7" s="118">
        <v>43</v>
      </c>
      <c r="DT7" s="161">
        <f>SUM(DP7:DS7)</f>
        <v>11299</v>
      </c>
      <c r="DU7" s="160">
        <v>1083</v>
      </c>
      <c r="DV7" s="118">
        <v>-1028</v>
      </c>
      <c r="DW7" s="118">
        <v>125</v>
      </c>
      <c r="DX7" s="161">
        <f>SUM(DT7:DW7)</f>
        <v>11479</v>
      </c>
      <c r="DY7" s="160">
        <v>1226</v>
      </c>
      <c r="DZ7" s="118">
        <v>-1055</v>
      </c>
      <c r="EA7" s="118">
        <v>0</v>
      </c>
      <c r="EB7" s="161">
        <f>SUM(DX7:EA7)</f>
        <v>11650</v>
      </c>
      <c r="EC7" s="160">
        <v>1762</v>
      </c>
      <c r="ED7" s="118">
        <v>-1110</v>
      </c>
      <c r="EE7" s="118">
        <v>-4</v>
      </c>
      <c r="EF7" s="161">
        <f>SUM(EB7:EE7)</f>
        <v>12298</v>
      </c>
      <c r="EG7" s="160">
        <v>2181</v>
      </c>
      <c r="EH7" s="118">
        <v>-1185</v>
      </c>
      <c r="EI7" s="118">
        <v>0</v>
      </c>
      <c r="EJ7" s="161">
        <f>SUM(EF7:EI7)</f>
        <v>13294</v>
      </c>
      <c r="EK7" s="160">
        <v>674</v>
      </c>
      <c r="EL7" s="118">
        <v>-1204</v>
      </c>
      <c r="EM7" s="118">
        <v>0</v>
      </c>
      <c r="EN7" s="161">
        <f>SUM(EJ7:EM7)</f>
        <v>12764</v>
      </c>
      <c r="EO7" s="160">
        <v>2158</v>
      </c>
      <c r="EP7" s="118">
        <v>-1209</v>
      </c>
      <c r="EQ7" s="118">
        <v>0</v>
      </c>
      <c r="ER7" s="161">
        <f>SUM(EN7:EQ7)</f>
        <v>13713</v>
      </c>
      <c r="ES7" s="160">
        <v>2919</v>
      </c>
      <c r="ET7" s="118">
        <v>-1290</v>
      </c>
      <c r="EU7" s="118">
        <v>-15</v>
      </c>
      <c r="EV7" s="161">
        <f>SUM(ER7:EU7)</f>
        <v>15327</v>
      </c>
      <c r="EW7" s="160">
        <v>2632</v>
      </c>
      <c r="EX7" s="118">
        <v>-1357</v>
      </c>
      <c r="EY7" s="118">
        <v>-25</v>
      </c>
      <c r="EZ7" s="161">
        <f>SUM(EV7:EY7)</f>
        <v>16577</v>
      </c>
      <c r="FA7" s="160">
        <v>1500</v>
      </c>
      <c r="FB7" s="118">
        <v>-1439</v>
      </c>
      <c r="FC7" s="118">
        <v>25</v>
      </c>
      <c r="FD7" s="161">
        <f>SUM(EZ7:FC7)</f>
        <v>16663</v>
      </c>
      <c r="FE7" s="160">
        <v>1298</v>
      </c>
      <c r="FF7" s="118">
        <v>-1473</v>
      </c>
      <c r="FG7" s="118">
        <v>-24</v>
      </c>
      <c r="FH7" s="161">
        <f>SUM(FD7:FG7)</f>
        <v>16464</v>
      </c>
      <c r="FI7" s="160">
        <v>821</v>
      </c>
      <c r="FJ7" s="118">
        <v>-1443</v>
      </c>
      <c r="FK7" s="118">
        <v>0</v>
      </c>
      <c r="FL7" s="161">
        <f>SUM(FH7:FK7)</f>
        <v>15842</v>
      </c>
      <c r="FM7" s="160">
        <v>1869</v>
      </c>
      <c r="FN7" s="118">
        <v>-1411</v>
      </c>
      <c r="FO7" s="118">
        <v>0</v>
      </c>
      <c r="FP7" s="161">
        <f>SUM(FL7:FO7)</f>
        <v>16300</v>
      </c>
      <c r="FQ7" s="118">
        <v>309</v>
      </c>
      <c r="FR7" s="118">
        <v>-1417</v>
      </c>
      <c r="FS7" s="118">
        <v>-18</v>
      </c>
      <c r="FT7" s="161">
        <f>SUM(FP7:FS7)</f>
        <v>15174</v>
      </c>
      <c r="FU7" s="118">
        <v>500</v>
      </c>
      <c r="FV7" s="118">
        <v>-1403</v>
      </c>
      <c r="FW7" s="118">
        <v>0</v>
      </c>
      <c r="FX7" s="161">
        <f>SUM(FT7:FW7)</f>
        <v>14271</v>
      </c>
      <c r="FY7" s="160">
        <v>207</v>
      </c>
      <c r="FZ7" s="118" t="s">
        <v>160</v>
      </c>
      <c r="GA7" s="118">
        <v>-1656</v>
      </c>
      <c r="GB7" s="118">
        <v>16585</v>
      </c>
      <c r="GC7" s="118">
        <v>-22</v>
      </c>
      <c r="GD7" s="161">
        <v>29387</v>
      </c>
      <c r="GE7" s="160">
        <v>0</v>
      </c>
      <c r="GF7" s="118">
        <v>2562</v>
      </c>
      <c r="GG7" s="118">
        <v>-2301</v>
      </c>
      <c r="GH7" s="118">
        <v>0</v>
      </c>
      <c r="GI7" s="118">
        <v>0</v>
      </c>
      <c r="GJ7" s="161">
        <f>SUM(GD7:GI7)</f>
        <v>29648</v>
      </c>
      <c r="GK7" s="118">
        <v>1</v>
      </c>
      <c r="GL7" s="118">
        <v>180</v>
      </c>
      <c r="GM7" s="118">
        <v>-2223</v>
      </c>
      <c r="GN7" s="118">
        <v>0</v>
      </c>
      <c r="GO7" s="118">
        <v>0</v>
      </c>
      <c r="GP7" s="161">
        <f>SUM(GJ7:GO7)</f>
        <v>27606</v>
      </c>
      <c r="GQ7" s="160">
        <v>13</v>
      </c>
      <c r="GR7" s="118">
        <v>6885</v>
      </c>
      <c r="GS7" s="118">
        <v>-2402</v>
      </c>
      <c r="GT7" s="118">
        <v>0</v>
      </c>
      <c r="GU7" s="118">
        <v>0</v>
      </c>
      <c r="GV7" s="161">
        <f>SUM(GP7:GU7)</f>
        <v>32102</v>
      </c>
      <c r="GW7" s="160">
        <v>-14</v>
      </c>
      <c r="GX7" s="118">
        <v>1467</v>
      </c>
      <c r="GY7" s="118">
        <v>-2627</v>
      </c>
      <c r="GZ7" s="118">
        <v>0</v>
      </c>
      <c r="HA7" s="118">
        <v>230</v>
      </c>
      <c r="HB7" s="161">
        <f>SUM(GV7:HA7)</f>
        <v>31158</v>
      </c>
      <c r="HC7" s="118">
        <v>1107</v>
      </c>
      <c r="HD7" s="118">
        <v>0</v>
      </c>
      <c r="HE7" s="118">
        <v>-2550</v>
      </c>
      <c r="HF7" s="118">
        <v>0</v>
      </c>
      <c r="HG7" s="118">
        <v>0</v>
      </c>
      <c r="HH7" s="161">
        <f>SUM(HB7:HG7)</f>
        <v>29715</v>
      </c>
      <c r="HI7" s="160">
        <f>'[3]11 Intang NL'!$J$19-HC7</f>
        <v>1055</v>
      </c>
      <c r="HJ7" s="118">
        <f>+'[3]11 Intang NL'!$J$20</f>
        <v>0</v>
      </c>
      <c r="HK7" s="118">
        <f>'[3]11 Intang NL'!$J$22-HE7</f>
        <v>-2530</v>
      </c>
      <c r="HL7" s="118">
        <v>0</v>
      </c>
      <c r="HM7" s="118">
        <f>+'[3]11 Intang NL'!$J$24</f>
        <v>0</v>
      </c>
      <c r="HN7" s="161">
        <f>SUM(HH7:HM7)</f>
        <v>28240</v>
      </c>
    </row>
    <row r="8" spans="5:225" x14ac:dyDescent="0.2">
      <c r="E8" t="s">
        <v>2161</v>
      </c>
      <c r="F8" t="s">
        <v>2162</v>
      </c>
      <c r="H8" s="129" t="str">
        <f>IF([1]RENAME!$H$3=1,F8,E8)</f>
        <v>Intangível em andamento</v>
      </c>
      <c r="I8" s="160">
        <v>0</v>
      </c>
      <c r="J8" s="118"/>
      <c r="K8" s="161"/>
      <c r="L8" s="160"/>
      <c r="M8" s="118"/>
      <c r="N8" s="118">
        <v>0</v>
      </c>
      <c r="O8" s="118">
        <v>0</v>
      </c>
      <c r="P8" s="161"/>
      <c r="Q8" s="160">
        <v>0</v>
      </c>
      <c r="R8" s="118">
        <v>0</v>
      </c>
      <c r="S8" s="118">
        <v>0</v>
      </c>
      <c r="T8" s="118">
        <v>0</v>
      </c>
      <c r="U8" s="118">
        <v>0</v>
      </c>
      <c r="V8" s="161"/>
      <c r="W8" s="160">
        <v>0</v>
      </c>
      <c r="X8" s="118">
        <v>0</v>
      </c>
      <c r="Y8" s="118"/>
      <c r="Z8" s="118"/>
      <c r="AA8" s="118"/>
      <c r="AB8" s="161"/>
      <c r="AC8" s="160"/>
      <c r="AD8" s="118"/>
      <c r="AE8" s="118"/>
      <c r="AF8" s="161"/>
      <c r="AG8" s="160"/>
      <c r="AH8" s="118">
        <v>0</v>
      </c>
      <c r="AI8" s="118">
        <v>0</v>
      </c>
      <c r="AJ8" s="161">
        <v>0</v>
      </c>
      <c r="AK8" s="160">
        <v>0</v>
      </c>
      <c r="AL8" s="118">
        <v>0</v>
      </c>
      <c r="AM8" s="118">
        <v>0</v>
      </c>
      <c r="AN8" s="161">
        <v>0</v>
      </c>
      <c r="AO8" s="160">
        <v>0</v>
      </c>
      <c r="AP8" s="118">
        <v>0</v>
      </c>
      <c r="AQ8" s="118">
        <v>0</v>
      </c>
      <c r="AR8" s="161">
        <v>0</v>
      </c>
      <c r="AS8" s="160">
        <v>0</v>
      </c>
      <c r="AT8" s="118">
        <v>0</v>
      </c>
      <c r="AU8" s="118">
        <v>0</v>
      </c>
      <c r="AV8" s="161">
        <v>0</v>
      </c>
      <c r="AW8" s="160">
        <v>0</v>
      </c>
      <c r="AX8" s="118">
        <v>0</v>
      </c>
      <c r="AY8" s="118">
        <v>0</v>
      </c>
      <c r="AZ8" s="161">
        <v>0</v>
      </c>
      <c r="BA8" s="160">
        <v>0</v>
      </c>
      <c r="BB8" s="118">
        <v>0</v>
      </c>
      <c r="BC8" s="118">
        <v>0</v>
      </c>
      <c r="BD8" s="161">
        <v>0</v>
      </c>
      <c r="BE8" s="118">
        <v>0</v>
      </c>
      <c r="BF8" s="118">
        <v>0</v>
      </c>
      <c r="BG8" s="118">
        <v>0</v>
      </c>
      <c r="BH8" s="118">
        <v>0</v>
      </c>
      <c r="BI8" s="160">
        <v>0</v>
      </c>
      <c r="BJ8" s="118">
        <v>0</v>
      </c>
      <c r="BK8" s="161">
        <v>0</v>
      </c>
      <c r="BL8" s="118">
        <v>0</v>
      </c>
      <c r="BM8" s="118">
        <v>0</v>
      </c>
      <c r="BN8" s="118">
        <v>0</v>
      </c>
      <c r="BO8" s="118">
        <v>0</v>
      </c>
      <c r="BP8" s="160">
        <v>0</v>
      </c>
      <c r="BQ8" s="118">
        <v>0</v>
      </c>
      <c r="BR8" s="118">
        <v>0</v>
      </c>
      <c r="BS8" s="118">
        <v>0</v>
      </c>
      <c r="BT8" s="160">
        <v>0</v>
      </c>
      <c r="BU8" s="118">
        <v>0</v>
      </c>
      <c r="BV8" s="118">
        <v>0</v>
      </c>
      <c r="BW8" s="161">
        <v>0</v>
      </c>
      <c r="BX8" s="160">
        <v>0</v>
      </c>
      <c r="BY8" s="118">
        <v>0</v>
      </c>
      <c r="BZ8" s="118">
        <v>0</v>
      </c>
      <c r="CA8" s="161">
        <v>0</v>
      </c>
      <c r="CB8" s="160">
        <v>0</v>
      </c>
      <c r="CC8" s="118">
        <v>0</v>
      </c>
      <c r="CD8" s="118">
        <v>0</v>
      </c>
      <c r="CE8" s="161">
        <v>0</v>
      </c>
      <c r="CF8" s="160">
        <v>0</v>
      </c>
      <c r="CG8" s="118">
        <v>0</v>
      </c>
      <c r="CH8" s="118">
        <v>0</v>
      </c>
      <c r="CI8" s="161">
        <v>0</v>
      </c>
      <c r="CJ8" s="160">
        <v>0</v>
      </c>
      <c r="CK8" s="118">
        <v>0</v>
      </c>
      <c r="CL8" s="118">
        <v>0</v>
      </c>
      <c r="CM8" s="161">
        <v>0</v>
      </c>
      <c r="CN8" s="118">
        <v>0</v>
      </c>
      <c r="CO8" s="118">
        <v>0</v>
      </c>
      <c r="CP8" s="161">
        <v>0</v>
      </c>
      <c r="CQ8" s="160">
        <v>0</v>
      </c>
      <c r="CR8" s="118">
        <v>0</v>
      </c>
      <c r="CS8" s="161">
        <v>0</v>
      </c>
      <c r="CT8" s="160">
        <v>0</v>
      </c>
      <c r="CU8" s="118">
        <v>0</v>
      </c>
      <c r="CV8" s="161">
        <v>0</v>
      </c>
      <c r="CW8" s="160">
        <v>0</v>
      </c>
      <c r="CX8" s="118">
        <v>0</v>
      </c>
      <c r="CY8" s="118">
        <v>0</v>
      </c>
      <c r="CZ8" s="161">
        <v>0</v>
      </c>
      <c r="DA8" s="160">
        <v>0</v>
      </c>
      <c r="DB8" s="118">
        <v>0</v>
      </c>
      <c r="DC8" s="118">
        <v>0</v>
      </c>
      <c r="DD8" s="161">
        <v>0</v>
      </c>
      <c r="DE8" s="160">
        <v>0</v>
      </c>
      <c r="DF8" s="118">
        <v>0</v>
      </c>
      <c r="DG8" s="118">
        <v>0</v>
      </c>
      <c r="DH8" s="161">
        <v>0</v>
      </c>
      <c r="DI8" s="160">
        <v>0</v>
      </c>
      <c r="DJ8" s="118">
        <v>0</v>
      </c>
      <c r="DK8" s="118">
        <v>0</v>
      </c>
      <c r="DL8" s="161">
        <v>0</v>
      </c>
      <c r="DM8" s="160">
        <v>0</v>
      </c>
      <c r="DN8" s="118">
        <v>0</v>
      </c>
      <c r="DO8" s="118">
        <v>0</v>
      </c>
      <c r="DP8" s="161">
        <v>0</v>
      </c>
      <c r="DQ8" s="160">
        <v>0</v>
      </c>
      <c r="DR8" s="118">
        <v>0</v>
      </c>
      <c r="DS8" s="118">
        <v>0</v>
      </c>
      <c r="DT8" s="161">
        <v>0</v>
      </c>
      <c r="DU8" s="160">
        <v>0</v>
      </c>
      <c r="DV8" s="118">
        <v>0</v>
      </c>
      <c r="DW8" s="118">
        <v>0</v>
      </c>
      <c r="DX8" s="161">
        <v>0</v>
      </c>
      <c r="DY8" s="160">
        <v>0</v>
      </c>
      <c r="DZ8" s="118">
        <v>0</v>
      </c>
      <c r="EA8" s="118">
        <v>0</v>
      </c>
      <c r="EB8" s="161">
        <v>0</v>
      </c>
      <c r="EC8" s="160">
        <v>0</v>
      </c>
      <c r="ED8" s="118">
        <v>0</v>
      </c>
      <c r="EE8" s="118">
        <v>0</v>
      </c>
      <c r="EF8" s="161">
        <v>0</v>
      </c>
      <c r="EG8" s="160">
        <v>0</v>
      </c>
      <c r="EH8" s="118">
        <v>0</v>
      </c>
      <c r="EI8" s="118">
        <v>0</v>
      </c>
      <c r="EJ8" s="161">
        <v>0</v>
      </c>
      <c r="EK8" s="160">
        <v>0</v>
      </c>
      <c r="EL8" s="118">
        <v>0</v>
      </c>
      <c r="EM8" s="118">
        <v>0</v>
      </c>
      <c r="EN8" s="161">
        <v>0</v>
      </c>
      <c r="EO8" s="160">
        <v>0</v>
      </c>
      <c r="EP8" s="118">
        <v>0</v>
      </c>
      <c r="EQ8" s="118">
        <v>0</v>
      </c>
      <c r="ER8" s="161">
        <v>0</v>
      </c>
      <c r="ES8" s="160">
        <v>0</v>
      </c>
      <c r="ET8" s="118">
        <v>0</v>
      </c>
      <c r="EU8" s="118">
        <v>0</v>
      </c>
      <c r="EV8" s="161">
        <v>0</v>
      </c>
      <c r="EW8" s="160">
        <v>0</v>
      </c>
      <c r="EX8" s="118">
        <v>0</v>
      </c>
      <c r="EY8" s="118">
        <v>0</v>
      </c>
      <c r="EZ8" s="161">
        <v>0</v>
      </c>
      <c r="FA8" s="160">
        <v>0</v>
      </c>
      <c r="FB8" s="118">
        <v>0</v>
      </c>
      <c r="FC8" s="118">
        <v>0</v>
      </c>
      <c r="FD8" s="161">
        <v>0</v>
      </c>
      <c r="FE8" s="160">
        <v>0</v>
      </c>
      <c r="FF8" s="118">
        <v>0</v>
      </c>
      <c r="FG8" s="118">
        <v>0</v>
      </c>
      <c r="FH8" s="161">
        <v>0</v>
      </c>
      <c r="FI8" s="160">
        <v>0</v>
      </c>
      <c r="FJ8" s="118">
        <v>0</v>
      </c>
      <c r="FK8" s="118">
        <v>0</v>
      </c>
      <c r="FL8" s="161">
        <v>0</v>
      </c>
      <c r="FM8" s="160">
        <v>1222</v>
      </c>
      <c r="FN8" s="118">
        <v>0</v>
      </c>
      <c r="FO8" s="118">
        <v>3638</v>
      </c>
      <c r="FP8" s="161">
        <f>SUM(FL8:FO8)</f>
        <v>4860</v>
      </c>
      <c r="FQ8" s="118">
        <v>2747</v>
      </c>
      <c r="FR8" s="118">
        <v>0</v>
      </c>
      <c r="FS8" s="118">
        <v>18</v>
      </c>
      <c r="FT8" s="161">
        <f>SUM(FP8:FS8)</f>
        <v>7625</v>
      </c>
      <c r="FU8" s="118">
        <v>4921</v>
      </c>
      <c r="FV8" s="118">
        <v>0</v>
      </c>
      <c r="FW8" s="118">
        <v>0</v>
      </c>
      <c r="FX8" s="161">
        <f>SUM(FT8:FW8)</f>
        <v>12546</v>
      </c>
      <c r="FY8" s="160">
        <v>4634</v>
      </c>
      <c r="FZ8" s="118">
        <v>-16567</v>
      </c>
      <c r="GA8" s="118">
        <v>0</v>
      </c>
      <c r="GB8" s="118">
        <v>-18</v>
      </c>
      <c r="GC8" s="118" t="s">
        <v>160</v>
      </c>
      <c r="GD8" s="161">
        <f>SUM(FX8:GC8)</f>
        <v>595</v>
      </c>
      <c r="GE8" s="160">
        <v>5672</v>
      </c>
      <c r="GF8" s="118">
        <v>-2562</v>
      </c>
      <c r="GG8" s="118">
        <v>0</v>
      </c>
      <c r="GH8" s="118">
        <v>0</v>
      </c>
      <c r="GI8" s="118" t="s">
        <v>160</v>
      </c>
      <c r="GJ8" s="161">
        <v>3705</v>
      </c>
      <c r="GK8" s="118">
        <v>2588</v>
      </c>
      <c r="GL8" s="118">
        <v>-180</v>
      </c>
      <c r="GM8" s="118">
        <v>0</v>
      </c>
      <c r="GN8" s="118">
        <v>0</v>
      </c>
      <c r="GO8" s="118" t="s">
        <v>160</v>
      </c>
      <c r="GP8" s="118">
        <v>6113</v>
      </c>
      <c r="GQ8" s="160">
        <v>1974</v>
      </c>
      <c r="GR8" s="118">
        <v>-6885</v>
      </c>
      <c r="GS8" s="118">
        <v>0</v>
      </c>
      <c r="GT8" s="118">
        <v>0</v>
      </c>
      <c r="GU8" s="118" t="s">
        <v>160</v>
      </c>
      <c r="GV8" s="161">
        <v>1202</v>
      </c>
      <c r="GW8" s="160">
        <v>2939</v>
      </c>
      <c r="GX8" s="118">
        <v>-1467</v>
      </c>
      <c r="GY8" s="118">
        <v>0</v>
      </c>
      <c r="GZ8" s="118">
        <v>0</v>
      </c>
      <c r="HA8" s="118">
        <v>-236</v>
      </c>
      <c r="HB8" s="161">
        <f>SUM(GV8:HA8)</f>
        <v>2438</v>
      </c>
      <c r="HC8" s="118">
        <v>2509</v>
      </c>
      <c r="HD8" s="118">
        <v>0</v>
      </c>
      <c r="HE8" s="118">
        <v>0</v>
      </c>
      <c r="HF8" s="118">
        <v>0</v>
      </c>
      <c r="HG8" s="118">
        <v>0</v>
      </c>
      <c r="HH8" s="161">
        <f>SUM(HB8:HG8)</f>
        <v>4947</v>
      </c>
      <c r="HI8" s="160">
        <f>+'[3]11 Intang NL'!$L$19-HC8</f>
        <v>1086</v>
      </c>
      <c r="HJ8" s="118">
        <f>+'[3]11 Intang NL'!$L$20</f>
        <v>0</v>
      </c>
      <c r="HK8" s="118">
        <v>0</v>
      </c>
      <c r="HL8" s="118">
        <v>0</v>
      </c>
      <c r="HM8" s="118">
        <f>'[3]11 Intang NL'!$L$24</f>
        <v>0</v>
      </c>
      <c r="HN8" s="161">
        <f>SUM(HH8:HM8)</f>
        <v>6033</v>
      </c>
    </row>
    <row r="9" spans="5:225" ht="25.5" x14ac:dyDescent="0.2">
      <c r="E9" t="s">
        <v>2198</v>
      </c>
      <c r="F9" t="s">
        <v>2200</v>
      </c>
      <c r="H9" s="129" t="str">
        <f>IF([1]RENAME!$H$3=1,F9,E9)</f>
        <v>Ágio pago na aquisição de investimentos -Nortev</v>
      </c>
      <c r="I9" s="160">
        <v>0</v>
      </c>
      <c r="J9" s="118">
        <v>0</v>
      </c>
      <c r="K9" s="161">
        <v>120877</v>
      </c>
      <c r="L9" s="160">
        <v>0</v>
      </c>
      <c r="M9" s="118">
        <v>0</v>
      </c>
      <c r="N9" s="118">
        <v>0</v>
      </c>
      <c r="O9" s="118">
        <v>0</v>
      </c>
      <c r="P9" s="161">
        <v>120877</v>
      </c>
      <c r="Q9" s="160">
        <v>0</v>
      </c>
      <c r="R9" s="118">
        <v>0</v>
      </c>
      <c r="S9" s="118">
        <v>0</v>
      </c>
      <c r="T9" s="118">
        <v>0</v>
      </c>
      <c r="U9" s="118">
        <v>0</v>
      </c>
      <c r="V9" s="161">
        <v>120877</v>
      </c>
      <c r="W9" s="160">
        <v>0</v>
      </c>
      <c r="X9" s="118">
        <v>0</v>
      </c>
      <c r="Y9" s="118"/>
      <c r="Z9" s="118"/>
      <c r="AA9" s="118"/>
      <c r="AB9" s="161">
        <v>120877</v>
      </c>
      <c r="AC9" s="160">
        <v>0</v>
      </c>
      <c r="AD9" s="118">
        <v>0</v>
      </c>
      <c r="AE9" s="118">
        <v>0</v>
      </c>
      <c r="AF9" s="161">
        <v>120877</v>
      </c>
      <c r="AG9" s="160">
        <v>0</v>
      </c>
      <c r="AH9" s="118">
        <v>0</v>
      </c>
      <c r="AI9" s="118">
        <v>0</v>
      </c>
      <c r="AJ9" s="161">
        <v>120877</v>
      </c>
      <c r="AK9" s="160">
        <v>0</v>
      </c>
      <c r="AL9" s="118">
        <v>0</v>
      </c>
      <c r="AM9" s="118">
        <v>0</v>
      </c>
      <c r="AN9" s="161">
        <f>SUM(AJ9:AM9)</f>
        <v>120877</v>
      </c>
      <c r="AO9" s="160">
        <v>0</v>
      </c>
      <c r="AP9" s="118">
        <v>0</v>
      </c>
      <c r="AQ9" s="118">
        <v>0</v>
      </c>
      <c r="AR9" s="161">
        <f>SUM(AN9:AQ9)</f>
        <v>120877</v>
      </c>
      <c r="AS9" s="160">
        <v>0</v>
      </c>
      <c r="AT9" s="118">
        <v>0</v>
      </c>
      <c r="AU9" s="118">
        <v>0</v>
      </c>
      <c r="AV9" s="161">
        <f>SUM(AR9:AU9)</f>
        <v>120877</v>
      </c>
      <c r="AW9" s="160">
        <v>0</v>
      </c>
      <c r="AX9" s="118">
        <v>0</v>
      </c>
      <c r="AY9" s="118">
        <v>0</v>
      </c>
      <c r="AZ9" s="161">
        <f>SUM(AV9:AY9)</f>
        <v>120877</v>
      </c>
      <c r="BA9" s="160">
        <v>0</v>
      </c>
      <c r="BB9" s="118">
        <v>0</v>
      </c>
      <c r="BC9" s="118">
        <v>0</v>
      </c>
      <c r="BD9" s="161">
        <f>SUM(AZ9:BC9)</f>
        <v>120877</v>
      </c>
      <c r="BE9" s="118">
        <v>0</v>
      </c>
      <c r="BF9" s="118">
        <v>0</v>
      </c>
      <c r="BG9" s="118">
        <v>0</v>
      </c>
      <c r="BH9" s="118">
        <v>120877</v>
      </c>
      <c r="BI9" s="160">
        <v>0</v>
      </c>
      <c r="BJ9" s="118">
        <v>0</v>
      </c>
      <c r="BK9" s="161">
        <f>SUM(BH9:BJ9)</f>
        <v>120877</v>
      </c>
      <c r="BL9" s="118">
        <v>0</v>
      </c>
      <c r="BM9" s="118">
        <v>0</v>
      </c>
      <c r="BN9" s="118">
        <v>0</v>
      </c>
      <c r="BO9" s="118">
        <v>120877</v>
      </c>
      <c r="BP9" s="160">
        <v>0</v>
      </c>
      <c r="BQ9" s="118">
        <v>0</v>
      </c>
      <c r="BR9" s="118">
        <v>0</v>
      </c>
      <c r="BS9" s="118">
        <v>120877</v>
      </c>
      <c r="BT9" s="160">
        <v>0</v>
      </c>
      <c r="BU9" s="118">
        <v>0</v>
      </c>
      <c r="BV9" s="118">
        <v>0</v>
      </c>
      <c r="BW9" s="161">
        <f>SUM(BS9:BV9)</f>
        <v>120877</v>
      </c>
      <c r="BX9" s="160" t="s">
        <v>160</v>
      </c>
      <c r="BY9" s="118">
        <v>0</v>
      </c>
      <c r="BZ9" s="118">
        <v>0</v>
      </c>
      <c r="CA9" s="161">
        <f>SUM(BW9:BZ9)</f>
        <v>120877</v>
      </c>
      <c r="CB9" s="160" t="s">
        <v>160</v>
      </c>
      <c r="CC9" s="118">
        <v>0</v>
      </c>
      <c r="CD9" s="118">
        <v>0</v>
      </c>
      <c r="CE9" s="161">
        <f>SUM(CA9:CD9)</f>
        <v>120877</v>
      </c>
      <c r="CF9" s="160" t="s">
        <v>160</v>
      </c>
      <c r="CG9" s="118">
        <v>0</v>
      </c>
      <c r="CH9" s="118">
        <v>0</v>
      </c>
      <c r="CI9" s="161">
        <f>SUM(CE9:CH9)</f>
        <v>120877</v>
      </c>
      <c r="CJ9" s="160" t="s">
        <v>160</v>
      </c>
      <c r="CK9" s="118">
        <v>0</v>
      </c>
      <c r="CL9" s="118">
        <v>0</v>
      </c>
      <c r="CM9" s="161">
        <f>SUM(CI9:CL9)</f>
        <v>120877</v>
      </c>
      <c r="CN9" s="118" t="s">
        <v>160</v>
      </c>
      <c r="CO9" s="118">
        <v>0</v>
      </c>
      <c r="CP9" s="161">
        <f>SUM(CM9:CO9)</f>
        <v>120877</v>
      </c>
      <c r="CQ9" s="160" t="s">
        <v>160</v>
      </c>
      <c r="CR9" s="118">
        <v>0</v>
      </c>
      <c r="CS9" s="161">
        <f>SUM(CP9:CR9)</f>
        <v>120877</v>
      </c>
      <c r="CT9" s="160" t="s">
        <v>160</v>
      </c>
      <c r="CU9" s="118">
        <v>0</v>
      </c>
      <c r="CV9" s="161">
        <v>120877</v>
      </c>
      <c r="CW9" s="160">
        <v>0</v>
      </c>
      <c r="CX9" s="118">
        <v>0</v>
      </c>
      <c r="CY9" s="118">
        <v>0</v>
      </c>
      <c r="CZ9" s="161">
        <v>120877</v>
      </c>
      <c r="DA9" s="160">
        <v>0</v>
      </c>
      <c r="DB9" s="118">
        <v>0</v>
      </c>
      <c r="DC9" s="118">
        <v>0</v>
      </c>
      <c r="DD9" s="161">
        <v>120877</v>
      </c>
      <c r="DE9" s="160">
        <v>0</v>
      </c>
      <c r="DF9" s="118">
        <v>0</v>
      </c>
      <c r="DG9" s="118">
        <v>0</v>
      </c>
      <c r="DH9" s="161">
        <f>SUM(DD9:DF9)</f>
        <v>120877</v>
      </c>
      <c r="DI9" s="160">
        <v>0</v>
      </c>
      <c r="DJ9" s="118">
        <v>0</v>
      </c>
      <c r="DK9" s="118">
        <v>0</v>
      </c>
      <c r="DL9" s="161">
        <f>SUM(DH9:DJ9)</f>
        <v>120877</v>
      </c>
      <c r="DM9" s="160">
        <v>0</v>
      </c>
      <c r="DN9" s="118">
        <v>0</v>
      </c>
      <c r="DO9" s="118">
        <v>0</v>
      </c>
      <c r="DP9" s="161">
        <f>SUM(DL9:DN9)</f>
        <v>120877</v>
      </c>
      <c r="DQ9" s="160">
        <v>0</v>
      </c>
      <c r="DR9" s="118">
        <v>0</v>
      </c>
      <c r="DS9" s="118">
        <v>0</v>
      </c>
      <c r="DT9" s="161">
        <f>SUM(DP9:DR9)</f>
        <v>120877</v>
      </c>
      <c r="DU9" s="160">
        <v>0</v>
      </c>
      <c r="DV9" s="118">
        <v>0</v>
      </c>
      <c r="DW9" s="118">
        <v>0</v>
      </c>
      <c r="DX9" s="161">
        <f>SUM(DT9:DV9)</f>
        <v>120877</v>
      </c>
      <c r="DY9" s="160">
        <v>0</v>
      </c>
      <c r="DZ9" s="118">
        <v>0</v>
      </c>
      <c r="EA9" s="118">
        <v>0</v>
      </c>
      <c r="EB9" s="161">
        <f>SUM(DX9:DZ9)</f>
        <v>120877</v>
      </c>
      <c r="EC9" s="160">
        <f>'[3]11 Intangível'!$N$6</f>
        <v>0</v>
      </c>
      <c r="ED9" s="118">
        <f>'[3]11 Intangível'!$R$6</f>
        <v>0</v>
      </c>
      <c r="EE9" s="118">
        <v>0</v>
      </c>
      <c r="EF9" s="161">
        <f>SUM(EB9:ED9)</f>
        <v>120877</v>
      </c>
      <c r="EG9" s="160">
        <f>'[3]11 Intangível'!$N$6</f>
        <v>0</v>
      </c>
      <c r="EH9" s="118">
        <f>'[3]11 Intangível'!$R$6</f>
        <v>0</v>
      </c>
      <c r="EI9" s="118">
        <v>0</v>
      </c>
      <c r="EJ9" s="161">
        <f>SUM(EF9:EI9)</f>
        <v>120877</v>
      </c>
      <c r="EK9" s="160">
        <v>0</v>
      </c>
      <c r="EL9" s="118">
        <v>0</v>
      </c>
      <c r="EM9" s="118">
        <v>0</v>
      </c>
      <c r="EN9" s="161">
        <f>SUM(EJ9:EM9)</f>
        <v>120877</v>
      </c>
      <c r="EO9" s="160">
        <v>0</v>
      </c>
      <c r="EP9" s="118">
        <v>0</v>
      </c>
      <c r="EQ9" s="118">
        <v>0</v>
      </c>
      <c r="ER9" s="161">
        <f>SUM(EN9:EQ9)</f>
        <v>120877</v>
      </c>
      <c r="ES9" s="160">
        <v>0</v>
      </c>
      <c r="ET9" s="118">
        <v>0</v>
      </c>
      <c r="EU9" s="118">
        <v>0</v>
      </c>
      <c r="EV9" s="161">
        <f>SUM(ER9:EU9)</f>
        <v>120877</v>
      </c>
      <c r="EW9" s="160">
        <v>0</v>
      </c>
      <c r="EX9" s="118">
        <v>0</v>
      </c>
      <c r="EY9" s="118">
        <v>0</v>
      </c>
      <c r="EZ9" s="161">
        <f>SUM(EV9:EY9)</f>
        <v>120877</v>
      </c>
      <c r="FA9" s="160">
        <f>'[3]11 Intangível'!$N$6</f>
        <v>0</v>
      </c>
      <c r="FB9" s="118">
        <f>'[3]11 Intangível'!$R$6</f>
        <v>0</v>
      </c>
      <c r="FC9" s="118">
        <v>0</v>
      </c>
      <c r="FD9" s="161">
        <f>SUM(EZ9:FC9)</f>
        <v>120877</v>
      </c>
      <c r="FE9" s="160">
        <v>0</v>
      </c>
      <c r="FF9" s="118">
        <v>0</v>
      </c>
      <c r="FG9" s="118">
        <v>0</v>
      </c>
      <c r="FH9" s="161">
        <f>SUM(FD9:FG9)</f>
        <v>120877</v>
      </c>
      <c r="FI9" s="160">
        <v>0</v>
      </c>
      <c r="FJ9" s="118">
        <v>0</v>
      </c>
      <c r="FK9" s="118">
        <v>0</v>
      </c>
      <c r="FL9" s="161">
        <f>SUM(FH9:FK9)</f>
        <v>120877</v>
      </c>
      <c r="FM9" s="160">
        <v>0</v>
      </c>
      <c r="FN9" s="118">
        <v>0</v>
      </c>
      <c r="FO9" s="118">
        <v>0</v>
      </c>
      <c r="FP9" s="161">
        <f>SUM(FL9:FO9)</f>
        <v>120877</v>
      </c>
      <c r="FQ9" s="118">
        <v>0</v>
      </c>
      <c r="FR9" s="118">
        <v>0</v>
      </c>
      <c r="FS9" s="118">
        <v>0</v>
      </c>
      <c r="FT9" s="161">
        <f>SUM(FP9:FS9)</f>
        <v>120877</v>
      </c>
      <c r="FU9" s="118">
        <v>0</v>
      </c>
      <c r="FV9" s="118">
        <v>0</v>
      </c>
      <c r="FW9" s="118">
        <v>0</v>
      </c>
      <c r="FX9" s="161">
        <f>SUM(FT9:FW9)</f>
        <v>120877</v>
      </c>
      <c r="FY9" s="160">
        <v>0</v>
      </c>
      <c r="FZ9" s="118" t="s">
        <v>160</v>
      </c>
      <c r="GA9" s="118">
        <v>0</v>
      </c>
      <c r="GB9" s="118">
        <v>0</v>
      </c>
      <c r="GC9" s="118" t="s">
        <v>160</v>
      </c>
      <c r="GD9" s="161">
        <f>SUM(FX9:GC9)</f>
        <v>120877</v>
      </c>
      <c r="GE9" s="160">
        <v>0</v>
      </c>
      <c r="GF9" s="118" t="s">
        <v>160</v>
      </c>
      <c r="GG9" s="118">
        <v>0</v>
      </c>
      <c r="GH9" s="118">
        <v>0</v>
      </c>
      <c r="GI9" s="118" t="s">
        <v>160</v>
      </c>
      <c r="GJ9" s="161">
        <v>120877</v>
      </c>
      <c r="GK9" s="118">
        <v>0</v>
      </c>
      <c r="GL9" s="118" t="s">
        <v>160</v>
      </c>
      <c r="GM9" s="118">
        <v>0</v>
      </c>
      <c r="GN9" s="118">
        <v>0</v>
      </c>
      <c r="GO9" s="118" t="s">
        <v>160</v>
      </c>
      <c r="GP9" s="118">
        <v>120877</v>
      </c>
      <c r="GQ9" s="160">
        <v>0</v>
      </c>
      <c r="GR9" s="118" t="s">
        <v>160</v>
      </c>
      <c r="GS9" s="118">
        <v>0</v>
      </c>
      <c r="GT9" s="118">
        <v>0</v>
      </c>
      <c r="GU9" s="118" t="s">
        <v>160</v>
      </c>
      <c r="GV9" s="161">
        <v>120877</v>
      </c>
      <c r="GW9" s="160">
        <v>0</v>
      </c>
      <c r="GX9" s="118">
        <v>0</v>
      </c>
      <c r="GY9" s="118">
        <v>0</v>
      </c>
      <c r="GZ9" s="118">
        <v>0</v>
      </c>
      <c r="HA9" s="118" t="s">
        <v>160</v>
      </c>
      <c r="HB9" s="161">
        <f>SUM(GV9:HA9)</f>
        <v>120877</v>
      </c>
      <c r="HC9" s="118">
        <v>0</v>
      </c>
      <c r="HD9" s="118">
        <v>0</v>
      </c>
      <c r="HE9" s="118">
        <v>0</v>
      </c>
      <c r="HF9" s="118">
        <v>0</v>
      </c>
      <c r="HG9" s="118" t="s">
        <v>160</v>
      </c>
      <c r="HH9" s="161">
        <f>SUM(HB9:HG9)</f>
        <v>120877</v>
      </c>
      <c r="HI9" s="160">
        <f>'[3]11 Intangível'!$N$6</f>
        <v>0</v>
      </c>
      <c r="HJ9" s="118">
        <v>0</v>
      </c>
      <c r="HK9" s="118">
        <f>'[3]11 Intangível'!$R$6</f>
        <v>0</v>
      </c>
      <c r="HL9" s="118">
        <v>0</v>
      </c>
      <c r="HM9" s="118" t="s">
        <v>160</v>
      </c>
      <c r="HN9" s="161">
        <f>SUM(HH9:HM9)</f>
        <v>120877</v>
      </c>
    </row>
    <row r="10" spans="5:225" ht="25.5" x14ac:dyDescent="0.2">
      <c r="E10" t="s">
        <v>2199</v>
      </c>
      <c r="F10" t="s">
        <v>2201</v>
      </c>
      <c r="H10" s="129" t="str">
        <f>IF([1]RENAME!$H$3=1,F10,E10)</f>
        <v>Ágio pago na aquisição de investimentos - Boni Amazon</v>
      </c>
      <c r="I10" s="160">
        <v>0</v>
      </c>
      <c r="J10" s="118">
        <v>0</v>
      </c>
      <c r="K10" s="161">
        <v>32791</v>
      </c>
      <c r="L10" s="160">
        <v>0</v>
      </c>
      <c r="M10" s="118">
        <v>0</v>
      </c>
      <c r="N10" s="118">
        <v>0</v>
      </c>
      <c r="O10" s="118">
        <v>0</v>
      </c>
      <c r="P10" s="161">
        <v>32791</v>
      </c>
      <c r="Q10" s="160">
        <v>0</v>
      </c>
      <c r="R10" s="118">
        <v>0</v>
      </c>
      <c r="S10" s="118">
        <v>0</v>
      </c>
      <c r="T10" s="118">
        <v>0</v>
      </c>
      <c r="U10" s="118">
        <v>0</v>
      </c>
      <c r="V10" s="161">
        <v>32791</v>
      </c>
      <c r="W10" s="160">
        <v>0</v>
      </c>
      <c r="X10" s="118">
        <v>0</v>
      </c>
      <c r="Y10" s="118"/>
      <c r="Z10" s="118"/>
      <c r="AA10" s="118"/>
      <c r="AB10" s="161">
        <v>32791</v>
      </c>
      <c r="AC10" s="160">
        <v>0</v>
      </c>
      <c r="AD10" s="118">
        <v>0</v>
      </c>
      <c r="AE10" s="118">
        <v>0</v>
      </c>
      <c r="AF10" s="161">
        <v>32791</v>
      </c>
      <c r="AG10" s="160">
        <v>0</v>
      </c>
      <c r="AH10" s="118">
        <v>0</v>
      </c>
      <c r="AI10" s="118">
        <v>0</v>
      </c>
      <c r="AJ10" s="161">
        <v>32791</v>
      </c>
      <c r="AK10" s="160">
        <v>0</v>
      </c>
      <c r="AL10" s="118">
        <v>0</v>
      </c>
      <c r="AM10" s="118">
        <v>0</v>
      </c>
      <c r="AN10" s="161">
        <f>SUM(AJ10:AM10)</f>
        <v>32791</v>
      </c>
      <c r="AO10" s="160">
        <v>0</v>
      </c>
      <c r="AP10" s="118">
        <v>0</v>
      </c>
      <c r="AQ10" s="118">
        <v>0</v>
      </c>
      <c r="AR10" s="161">
        <f>SUM(AN10:AQ10)</f>
        <v>32791</v>
      </c>
      <c r="AS10" s="160">
        <v>0</v>
      </c>
      <c r="AT10" s="118">
        <v>0</v>
      </c>
      <c r="AU10" s="118">
        <v>0</v>
      </c>
      <c r="AV10" s="161">
        <f>SUM(AR10:AU10)</f>
        <v>32791</v>
      </c>
      <c r="AW10" s="160">
        <v>0</v>
      </c>
      <c r="AX10" s="118">
        <v>0</v>
      </c>
      <c r="AY10" s="118">
        <v>0</v>
      </c>
      <c r="AZ10" s="161">
        <f>SUM(AV10:AY10)</f>
        <v>32791</v>
      </c>
      <c r="BA10" s="160">
        <v>0</v>
      </c>
      <c r="BB10" s="118">
        <v>0</v>
      </c>
      <c r="BC10" s="118">
        <v>0</v>
      </c>
      <c r="BD10" s="161">
        <f>SUM(AZ10:BC10)</f>
        <v>32791</v>
      </c>
      <c r="BE10" s="118">
        <v>0</v>
      </c>
      <c r="BF10" s="118">
        <v>0</v>
      </c>
      <c r="BG10" s="118">
        <v>0</v>
      </c>
      <c r="BH10" s="118">
        <v>32791</v>
      </c>
      <c r="BI10" s="160">
        <v>0</v>
      </c>
      <c r="BJ10" s="118">
        <v>0</v>
      </c>
      <c r="BK10" s="161">
        <f>SUM(BH10:BJ10)</f>
        <v>32791</v>
      </c>
      <c r="BL10" s="118">
        <v>0</v>
      </c>
      <c r="BM10" s="118">
        <v>0</v>
      </c>
      <c r="BN10" s="118">
        <v>0</v>
      </c>
      <c r="BO10" s="118">
        <v>32791</v>
      </c>
      <c r="BP10" s="160">
        <v>0</v>
      </c>
      <c r="BQ10" s="118">
        <v>0</v>
      </c>
      <c r="BR10" s="118">
        <v>0</v>
      </c>
      <c r="BS10" s="118">
        <v>32791</v>
      </c>
      <c r="BT10" s="160">
        <v>0</v>
      </c>
      <c r="BU10" s="118">
        <v>0</v>
      </c>
      <c r="BV10" s="118">
        <v>0</v>
      </c>
      <c r="BW10" s="161">
        <f>SUM(BS10:BV10)</f>
        <v>32791</v>
      </c>
      <c r="BX10" s="160" t="s">
        <v>160</v>
      </c>
      <c r="BY10" s="118">
        <v>0</v>
      </c>
      <c r="BZ10" s="118">
        <v>0</v>
      </c>
      <c r="CA10" s="161">
        <f>SUM(BW10:BZ10)</f>
        <v>32791</v>
      </c>
      <c r="CB10" s="160" t="s">
        <v>160</v>
      </c>
      <c r="CC10" s="118">
        <v>0</v>
      </c>
      <c r="CD10" s="118">
        <v>0</v>
      </c>
      <c r="CE10" s="161">
        <f>SUM(CA10:CD10)</f>
        <v>32791</v>
      </c>
      <c r="CF10" s="160" t="s">
        <v>160</v>
      </c>
      <c r="CG10" s="118">
        <v>0</v>
      </c>
      <c r="CH10" s="118">
        <v>0</v>
      </c>
      <c r="CI10" s="161">
        <f>SUM(CE10:CH10)</f>
        <v>32791</v>
      </c>
      <c r="CJ10" s="160" t="s">
        <v>160</v>
      </c>
      <c r="CK10" s="118">
        <v>0</v>
      </c>
      <c r="CL10" s="118">
        <v>0</v>
      </c>
      <c r="CM10" s="161">
        <f>SUM(CI10:CL10)</f>
        <v>32791</v>
      </c>
      <c r="CN10" s="118" t="s">
        <v>160</v>
      </c>
      <c r="CO10" s="118">
        <v>0</v>
      </c>
      <c r="CP10" s="161">
        <f>SUM(CM10:CO10)</f>
        <v>32791</v>
      </c>
      <c r="CQ10" s="160" t="s">
        <v>160</v>
      </c>
      <c r="CR10" s="118">
        <v>0</v>
      </c>
      <c r="CS10" s="161">
        <f>SUM(CP10:CR10)</f>
        <v>32791</v>
      </c>
      <c r="CT10" s="160" t="s">
        <v>160</v>
      </c>
      <c r="CU10" s="118">
        <v>0</v>
      </c>
      <c r="CV10" s="161">
        <v>32791</v>
      </c>
      <c r="CW10" s="160">
        <v>0</v>
      </c>
      <c r="CX10" s="118">
        <v>0</v>
      </c>
      <c r="CY10" s="118">
        <v>0</v>
      </c>
      <c r="CZ10" s="161">
        <v>32791</v>
      </c>
      <c r="DA10" s="160">
        <v>0</v>
      </c>
      <c r="DB10" s="118">
        <v>0</v>
      </c>
      <c r="DC10" s="118">
        <v>0</v>
      </c>
      <c r="DD10" s="161">
        <v>32791</v>
      </c>
      <c r="DE10" s="160">
        <v>0</v>
      </c>
      <c r="DF10" s="118">
        <v>0</v>
      </c>
      <c r="DG10" s="118">
        <v>0</v>
      </c>
      <c r="DH10" s="161">
        <f>SUM(DD10:DF10)</f>
        <v>32791</v>
      </c>
      <c r="DI10" s="160">
        <v>0</v>
      </c>
      <c r="DJ10" s="118">
        <v>0</v>
      </c>
      <c r="DK10" s="118">
        <v>0</v>
      </c>
      <c r="DL10" s="161">
        <f>SUM(DH10:DJ10)</f>
        <v>32791</v>
      </c>
      <c r="DM10" s="160">
        <v>0</v>
      </c>
      <c r="DN10" s="118">
        <v>0</v>
      </c>
      <c r="DO10" s="118">
        <v>0</v>
      </c>
      <c r="DP10" s="161">
        <f>SUM(DL10:DN10)</f>
        <v>32791</v>
      </c>
      <c r="DQ10" s="160">
        <v>0</v>
      </c>
      <c r="DR10" s="118">
        <v>0</v>
      </c>
      <c r="DS10" s="118">
        <v>0</v>
      </c>
      <c r="DT10" s="161">
        <f>SUM(DP10:DR10)</f>
        <v>32791</v>
      </c>
      <c r="DU10" s="160">
        <v>0</v>
      </c>
      <c r="DV10" s="118">
        <v>0</v>
      </c>
      <c r="DW10" s="118">
        <v>0</v>
      </c>
      <c r="DX10" s="161">
        <f>SUM(DT10:DV10)</f>
        <v>32791</v>
      </c>
      <c r="DY10" s="160">
        <v>0</v>
      </c>
      <c r="DZ10" s="118">
        <v>0</v>
      </c>
      <c r="EA10" s="118">
        <v>0</v>
      </c>
      <c r="EB10" s="161">
        <f>SUM(DX10:DZ10)</f>
        <v>32791</v>
      </c>
      <c r="EC10" s="160">
        <f>'[3]11 Intangível'!$N$7</f>
        <v>0</v>
      </c>
      <c r="ED10" s="118">
        <f>'[3]11 Intangível'!$R$7</f>
        <v>0</v>
      </c>
      <c r="EE10" s="118">
        <v>0</v>
      </c>
      <c r="EF10" s="161">
        <f>SUM(EB10:ED10)</f>
        <v>32791</v>
      </c>
      <c r="EG10" s="160">
        <f>'[3]11 Intangível'!$N$7</f>
        <v>0</v>
      </c>
      <c r="EH10" s="118">
        <f>'[3]11 Intangível'!$R$7</f>
        <v>0</v>
      </c>
      <c r="EI10" s="118">
        <v>0</v>
      </c>
      <c r="EJ10" s="161">
        <f>SUM(EF10:EI10)</f>
        <v>32791</v>
      </c>
      <c r="EK10" s="160">
        <v>0</v>
      </c>
      <c r="EL10" s="118">
        <v>0</v>
      </c>
      <c r="EM10" s="118">
        <v>0</v>
      </c>
      <c r="EN10" s="161">
        <f>SUM(EJ10:EM10)</f>
        <v>32791</v>
      </c>
      <c r="EO10" s="160">
        <v>0</v>
      </c>
      <c r="EP10" s="118">
        <v>0</v>
      </c>
      <c r="EQ10" s="118">
        <v>0</v>
      </c>
      <c r="ER10" s="161">
        <f>SUM(EN10:EQ10)</f>
        <v>32791</v>
      </c>
      <c r="ES10" s="160">
        <v>0</v>
      </c>
      <c r="ET10" s="118">
        <v>0</v>
      </c>
      <c r="EU10" s="118">
        <v>0</v>
      </c>
      <c r="EV10" s="161">
        <f>SUM(ER10:EU10)</f>
        <v>32791</v>
      </c>
      <c r="EW10" s="160">
        <v>0</v>
      </c>
      <c r="EX10" s="118">
        <v>0</v>
      </c>
      <c r="EY10" s="118">
        <v>0</v>
      </c>
      <c r="EZ10" s="161">
        <f>SUM(EV10:EY10)</f>
        <v>32791</v>
      </c>
      <c r="FA10" s="160">
        <f>'[3]11 Intangível'!$N$7</f>
        <v>0</v>
      </c>
      <c r="FB10" s="118">
        <f>'[3]11 Intangível'!$R$7</f>
        <v>0</v>
      </c>
      <c r="FC10" s="118">
        <v>0</v>
      </c>
      <c r="FD10" s="161">
        <f>SUM(EZ10:FC10)</f>
        <v>32791</v>
      </c>
      <c r="FE10" s="160">
        <v>0</v>
      </c>
      <c r="FF10" s="118">
        <v>0</v>
      </c>
      <c r="FG10" s="118">
        <v>0</v>
      </c>
      <c r="FH10" s="161">
        <f>SUM(FD10:FG10)</f>
        <v>32791</v>
      </c>
      <c r="FI10" s="160">
        <v>0</v>
      </c>
      <c r="FJ10" s="118">
        <v>0</v>
      </c>
      <c r="FK10" s="118">
        <v>0</v>
      </c>
      <c r="FL10" s="161">
        <f>SUM(FH10:FK10)</f>
        <v>32791</v>
      </c>
      <c r="FM10" s="160">
        <v>0</v>
      </c>
      <c r="FN10" s="118">
        <v>0</v>
      </c>
      <c r="FO10" s="118">
        <v>0</v>
      </c>
      <c r="FP10" s="161">
        <f>SUM(FL10:FO10)</f>
        <v>32791</v>
      </c>
      <c r="FQ10" s="118">
        <v>0</v>
      </c>
      <c r="FR10" s="118">
        <v>0</v>
      </c>
      <c r="FS10" s="118">
        <v>0</v>
      </c>
      <c r="FT10" s="161">
        <f>SUM(FP10:FS10)</f>
        <v>32791</v>
      </c>
      <c r="FU10" s="118">
        <v>0</v>
      </c>
      <c r="FV10" s="118">
        <v>0</v>
      </c>
      <c r="FW10" s="118">
        <v>0</v>
      </c>
      <c r="FX10" s="161">
        <f>SUM(FT10:FW10)</f>
        <v>32791</v>
      </c>
      <c r="FY10" s="160">
        <v>0</v>
      </c>
      <c r="FZ10" s="118" t="s">
        <v>160</v>
      </c>
      <c r="GA10" s="118">
        <v>0</v>
      </c>
      <c r="GB10" s="118">
        <v>0</v>
      </c>
      <c r="GC10" s="118" t="s">
        <v>160</v>
      </c>
      <c r="GD10" s="161">
        <f>SUM(FX10:GC10)</f>
        <v>32791</v>
      </c>
      <c r="GE10" s="160">
        <v>0</v>
      </c>
      <c r="GF10" s="118" t="s">
        <v>160</v>
      </c>
      <c r="GG10" s="118">
        <v>0</v>
      </c>
      <c r="GH10" s="118">
        <v>0</v>
      </c>
      <c r="GI10" s="118" t="s">
        <v>160</v>
      </c>
      <c r="GJ10" s="161">
        <v>32791</v>
      </c>
      <c r="GK10" s="118">
        <v>0</v>
      </c>
      <c r="GL10" s="118" t="s">
        <v>160</v>
      </c>
      <c r="GM10" s="118">
        <v>0</v>
      </c>
      <c r="GN10" s="118">
        <v>0</v>
      </c>
      <c r="GO10" s="118" t="s">
        <v>160</v>
      </c>
      <c r="GP10" s="118">
        <v>32791</v>
      </c>
      <c r="GQ10" s="160">
        <v>0</v>
      </c>
      <c r="GR10" s="118" t="s">
        <v>160</v>
      </c>
      <c r="GS10" s="118">
        <v>0</v>
      </c>
      <c r="GT10" s="118">
        <v>0</v>
      </c>
      <c r="GU10" s="118" t="s">
        <v>160</v>
      </c>
      <c r="GV10" s="161">
        <v>32791</v>
      </c>
      <c r="GW10" s="160">
        <v>0</v>
      </c>
      <c r="GX10" s="118" t="s">
        <v>160</v>
      </c>
      <c r="GY10" s="118">
        <v>0</v>
      </c>
      <c r="GZ10" s="118">
        <v>0</v>
      </c>
      <c r="HA10" s="118" t="s">
        <v>160</v>
      </c>
      <c r="HB10" s="161">
        <f>SUM(GV10:HA10)</f>
        <v>32791</v>
      </c>
      <c r="HC10" s="118">
        <v>0</v>
      </c>
      <c r="HD10" s="118" t="s">
        <v>160</v>
      </c>
      <c r="HE10" s="118">
        <v>0</v>
      </c>
      <c r="HF10" s="118">
        <v>0</v>
      </c>
      <c r="HG10" s="118" t="s">
        <v>160</v>
      </c>
      <c r="HH10" s="161">
        <f>SUM(HB10:HG10)</f>
        <v>32791</v>
      </c>
      <c r="HI10" s="160">
        <f>'[3]11 Intangível'!$N$7</f>
        <v>0</v>
      </c>
      <c r="HJ10" s="118" t="s">
        <v>160</v>
      </c>
      <c r="HK10" s="118">
        <f>'[3]11 Intangível'!$R$7</f>
        <v>0</v>
      </c>
      <c r="HL10" s="118">
        <v>0</v>
      </c>
      <c r="HM10" s="118" t="s">
        <v>160</v>
      </c>
      <c r="HN10" s="161">
        <f>SUM(HH10:HM10)</f>
        <v>32791</v>
      </c>
    </row>
    <row r="11" spans="5:225" x14ac:dyDescent="0.2">
      <c r="E11" t="s">
        <v>112</v>
      </c>
      <c r="F11" t="s">
        <v>112</v>
      </c>
      <c r="H11" s="120" t="str">
        <f>IF([1]RENAME!$H$3=1,F11,E11)</f>
        <v>Total</v>
      </c>
      <c r="I11" s="164">
        <f t="shared" ref="I11:AM11" si="0">SUM(I7:I10)</f>
        <v>10</v>
      </c>
      <c r="J11" s="125">
        <f t="shared" si="0"/>
        <v>-440</v>
      </c>
      <c r="K11" s="165">
        <f t="shared" si="0"/>
        <v>158852</v>
      </c>
      <c r="L11" s="164">
        <f t="shared" si="0"/>
        <v>153</v>
      </c>
      <c r="M11" s="125">
        <f t="shared" si="0"/>
        <v>-439</v>
      </c>
      <c r="N11" s="125">
        <f t="shared" si="0"/>
        <v>0</v>
      </c>
      <c r="O11" s="125">
        <f t="shared" si="0"/>
        <v>0</v>
      </c>
      <c r="P11" s="165">
        <f t="shared" si="0"/>
        <v>158566</v>
      </c>
      <c r="Q11" s="164">
        <f t="shared" si="0"/>
        <v>38</v>
      </c>
      <c r="R11" s="125">
        <f t="shared" si="0"/>
        <v>-428</v>
      </c>
      <c r="S11" s="125">
        <f t="shared" si="0"/>
        <v>0</v>
      </c>
      <c r="T11" s="125">
        <f t="shared" si="0"/>
        <v>0</v>
      </c>
      <c r="U11" s="125">
        <f t="shared" si="0"/>
        <v>0</v>
      </c>
      <c r="V11" s="165">
        <f t="shared" si="0"/>
        <v>158176</v>
      </c>
      <c r="W11" s="164">
        <f t="shared" si="0"/>
        <v>1493</v>
      </c>
      <c r="X11" s="125">
        <f t="shared" si="0"/>
        <v>-1011</v>
      </c>
      <c r="Y11" s="125">
        <f t="shared" si="0"/>
        <v>0</v>
      </c>
      <c r="Z11" s="125">
        <f t="shared" si="0"/>
        <v>0</v>
      </c>
      <c r="AA11" s="125">
        <f t="shared" si="0"/>
        <v>0</v>
      </c>
      <c r="AB11" s="165">
        <f t="shared" si="0"/>
        <v>158658</v>
      </c>
      <c r="AC11" s="164">
        <f t="shared" si="0"/>
        <v>84</v>
      </c>
      <c r="AD11" s="125">
        <f t="shared" si="0"/>
        <v>7125</v>
      </c>
      <c r="AE11" s="125">
        <f t="shared" si="0"/>
        <v>-608</v>
      </c>
      <c r="AF11" s="165">
        <f t="shared" si="0"/>
        <v>165259</v>
      </c>
      <c r="AG11" s="164">
        <f t="shared" si="0"/>
        <v>354</v>
      </c>
      <c r="AH11" s="125">
        <f t="shared" si="0"/>
        <v>1279</v>
      </c>
      <c r="AI11" s="125">
        <f t="shared" si="0"/>
        <v>-840</v>
      </c>
      <c r="AJ11" s="165">
        <f t="shared" si="0"/>
        <v>166052</v>
      </c>
      <c r="AK11" s="164">
        <f t="shared" si="0"/>
        <v>75</v>
      </c>
      <c r="AL11" s="125">
        <f t="shared" si="0"/>
        <v>135</v>
      </c>
      <c r="AM11" s="125">
        <f t="shared" si="0"/>
        <v>-920</v>
      </c>
      <c r="AN11" s="165">
        <f>SUM(AJ11:AM11)</f>
        <v>165342</v>
      </c>
      <c r="AO11" s="164">
        <f>SUM(AO7:AO10)</f>
        <v>109</v>
      </c>
      <c r="AP11" s="125">
        <f>SUM(AP7:AP10)</f>
        <v>286</v>
      </c>
      <c r="AQ11" s="125">
        <f>SUM(AQ7:AQ10)</f>
        <v>-979</v>
      </c>
      <c r="AR11" s="165">
        <f>SUM(AN11:AQ11)</f>
        <v>164758</v>
      </c>
      <c r="AS11" s="164">
        <f>SUM(AS7:AS10)</f>
        <v>210</v>
      </c>
      <c r="AT11" s="125">
        <f>SUM(AT7:AT10)</f>
        <v>44</v>
      </c>
      <c r="AU11" s="125">
        <f>SUM(AU7:AU10)</f>
        <v>-1132</v>
      </c>
      <c r="AV11" s="165">
        <f>SUM(AR11:AU11)</f>
        <v>163880</v>
      </c>
      <c r="AW11" s="164">
        <f>SUM(AW7:AW10)</f>
        <v>886</v>
      </c>
      <c r="AX11" s="125">
        <f>SUM(AX7:AX10)</f>
        <v>950</v>
      </c>
      <c r="AY11" s="125">
        <f>SUM(AY7:AY10)</f>
        <v>-895</v>
      </c>
      <c r="AZ11" s="165">
        <f>SUM(AV11:AY11)</f>
        <v>164821</v>
      </c>
      <c r="BA11" s="164">
        <f>SUM(BA7:BA10)</f>
        <v>268</v>
      </c>
      <c r="BB11" s="125">
        <f>SUM(BB7:BB10)</f>
        <v>-2</v>
      </c>
      <c r="BC11" s="125">
        <f>SUM(BC7:BC10)</f>
        <v>-889</v>
      </c>
      <c r="BD11" s="165">
        <f>SUM(AZ11:BC11)</f>
        <v>164198</v>
      </c>
      <c r="BE11" s="125">
        <v>290</v>
      </c>
      <c r="BF11" s="125">
        <v>0</v>
      </c>
      <c r="BG11" s="125">
        <v>-885</v>
      </c>
      <c r="BH11" s="125">
        <v>163603</v>
      </c>
      <c r="BI11" s="125">
        <f>SUM(BI7:BI10)</f>
        <v>1244</v>
      </c>
      <c r="BJ11" s="125">
        <f>SUM(BJ7:BJ10)</f>
        <v>-901</v>
      </c>
      <c r="BK11" s="165">
        <f>SUM(BH11:BJ11)</f>
        <v>163946</v>
      </c>
      <c r="BL11" s="125">
        <v>878</v>
      </c>
      <c r="BM11" s="125">
        <v>-918</v>
      </c>
      <c r="BN11" s="125">
        <v>0</v>
      </c>
      <c r="BO11" s="125">
        <v>163906</v>
      </c>
      <c r="BP11" s="164">
        <f>SUM(BP7:BP10)</f>
        <v>846</v>
      </c>
      <c r="BQ11" s="125">
        <f>SUM(BQ7:BQ10)</f>
        <v>-916</v>
      </c>
      <c r="BR11" s="125">
        <v>0</v>
      </c>
      <c r="BS11" s="125">
        <f>SUM(BO11:BR11)</f>
        <v>163836</v>
      </c>
      <c r="BT11" s="164">
        <f>SUM(BT7:BT10)</f>
        <v>1137</v>
      </c>
      <c r="BU11" s="125">
        <f>SUM(BU7:BU10)</f>
        <v>-946</v>
      </c>
      <c r="BV11" s="125">
        <v>0</v>
      </c>
      <c r="BW11" s="165">
        <f>SUM(BS11:BV11)</f>
        <v>164027</v>
      </c>
      <c r="BX11" s="164">
        <f>SUM(BX7:BX10)</f>
        <v>1039</v>
      </c>
      <c r="BY11" s="125">
        <f>SUM(BY7:BY10)</f>
        <v>-976</v>
      </c>
      <c r="BZ11" s="125">
        <v>0</v>
      </c>
      <c r="CA11" s="165">
        <f>SUM(BW11:BZ11)</f>
        <v>164090</v>
      </c>
      <c r="CB11" s="164">
        <f>SUM(CB7:CB10)</f>
        <v>829</v>
      </c>
      <c r="CC11" s="125">
        <f>SUM(CC7:CC10)</f>
        <v>-1032</v>
      </c>
      <c r="CD11" s="125">
        <v>0</v>
      </c>
      <c r="CE11" s="165">
        <f>SUM(CA11:CD11)</f>
        <v>163887</v>
      </c>
      <c r="CF11" s="164">
        <f>SUM(CF7:CF10)</f>
        <v>1247</v>
      </c>
      <c r="CG11" s="125">
        <f>SUM(CG7:CG10)</f>
        <v>-1060</v>
      </c>
      <c r="CH11" s="125">
        <v>0</v>
      </c>
      <c r="CI11" s="165">
        <f>SUM(CE11:CH11)</f>
        <v>164074</v>
      </c>
      <c r="CJ11" s="164">
        <f>SUM(CJ7:CJ10)</f>
        <v>2028</v>
      </c>
      <c r="CK11" s="125">
        <f>SUM(CK7:CK10)</f>
        <v>-1080</v>
      </c>
      <c r="CL11" s="125">
        <v>0</v>
      </c>
      <c r="CM11" s="165">
        <f>SUM(CI11:CL11)</f>
        <v>165022</v>
      </c>
      <c r="CN11" s="164">
        <f>SUM(CN7:CN10)</f>
        <v>1424</v>
      </c>
      <c r="CO11" s="125">
        <f>SUM(CO7:CO10)</f>
        <v>-1133</v>
      </c>
      <c r="CP11" s="165">
        <f>SUM(CM11:CO11)</f>
        <v>165313</v>
      </c>
      <c r="CQ11" s="164">
        <f>SUM(CQ7:CQ10)</f>
        <v>672</v>
      </c>
      <c r="CR11" s="125">
        <f>SUM(CR7:CR10)</f>
        <v>-1187</v>
      </c>
      <c r="CS11" s="165">
        <f>SUM(CP11:CR11)</f>
        <v>164798</v>
      </c>
      <c r="CT11" s="164">
        <v>874</v>
      </c>
      <c r="CU11" s="125">
        <v>-1223</v>
      </c>
      <c r="CV11" s="165">
        <v>164449</v>
      </c>
      <c r="CW11" s="164">
        <f>SUM(CW7:CW10)</f>
        <v>1208</v>
      </c>
      <c r="CX11" s="125">
        <f>SUM(CX7:CX10)</f>
        <v>-1255</v>
      </c>
      <c r="CY11" s="125">
        <v>0</v>
      </c>
      <c r="CZ11" s="165">
        <f>SUM(CV11:CX11)</f>
        <v>164402</v>
      </c>
      <c r="DA11" s="164">
        <f>SUM(DA7:DA10)</f>
        <v>1490</v>
      </c>
      <c r="DB11" s="125">
        <f>SUM(DB7:DB10)</f>
        <v>-1111</v>
      </c>
      <c r="DC11" s="125">
        <v>0</v>
      </c>
      <c r="DD11" s="165">
        <f>SUM(CZ11:DB11)</f>
        <v>164781</v>
      </c>
      <c r="DE11" s="164">
        <f>SUM(DE7:DE10)</f>
        <v>938</v>
      </c>
      <c r="DF11" s="125">
        <f>SUM(DF7:DF10)</f>
        <v>-952</v>
      </c>
      <c r="DG11" s="125">
        <v>0</v>
      </c>
      <c r="DH11" s="165">
        <f>SUM(DD11:DF11)</f>
        <v>164767</v>
      </c>
      <c r="DI11" s="164">
        <f>SUM(DI7:DI10)</f>
        <v>607</v>
      </c>
      <c r="DJ11" s="125">
        <f>SUM(DJ7:DJ10)</f>
        <v>-962</v>
      </c>
      <c r="DK11" s="125">
        <v>0</v>
      </c>
      <c r="DL11" s="165">
        <f>SUM(DH11:DJ11)</f>
        <v>164412</v>
      </c>
      <c r="DM11" s="164">
        <f>SUM(DM7:DM10)</f>
        <v>717</v>
      </c>
      <c r="DN11" s="125">
        <f>SUM(DN7:DN10)</f>
        <v>-978</v>
      </c>
      <c r="DO11" s="125">
        <f>DO7</f>
        <v>67</v>
      </c>
      <c r="DP11" s="165">
        <f>SUM(DL11:DO11)</f>
        <v>164218</v>
      </c>
      <c r="DQ11" s="164">
        <f>SUM(DQ7:DQ10)</f>
        <v>1721</v>
      </c>
      <c r="DR11" s="125">
        <f>SUM(DR7:DR10)</f>
        <v>-1015</v>
      </c>
      <c r="DS11" s="125">
        <f>DS7</f>
        <v>43</v>
      </c>
      <c r="DT11" s="165">
        <f>SUM(DP11:DS11)</f>
        <v>164967</v>
      </c>
      <c r="DU11" s="164">
        <f>SUM(DU7:DU10)</f>
        <v>1083</v>
      </c>
      <c r="DV11" s="125">
        <f>SUM(DV7:DV10)</f>
        <v>-1028</v>
      </c>
      <c r="DW11" s="125">
        <f>DW7</f>
        <v>125</v>
      </c>
      <c r="DX11" s="165">
        <f>SUM(DT11:DW11)</f>
        <v>165147</v>
      </c>
      <c r="DY11" s="164">
        <f>SUM(DY7:DY10)</f>
        <v>1226</v>
      </c>
      <c r="DZ11" s="125">
        <f>SUM(DZ7:DZ10)</f>
        <v>-1055</v>
      </c>
      <c r="EA11" s="125">
        <f>EA7</f>
        <v>0</v>
      </c>
      <c r="EB11" s="165">
        <f>SUM(DX11:EA11)</f>
        <v>165318</v>
      </c>
      <c r="EC11" s="164">
        <f>SUM(EC7:EC10)</f>
        <v>1762</v>
      </c>
      <c r="ED11" s="125">
        <f>SUM(ED7:ED10)</f>
        <v>-1110</v>
      </c>
      <c r="EE11" s="125">
        <f>EE7</f>
        <v>-4</v>
      </c>
      <c r="EF11" s="165">
        <f>SUM(EB11:EE11)</f>
        <v>165966</v>
      </c>
      <c r="EG11" s="164">
        <f>SUM(EG7:EG10)</f>
        <v>2181</v>
      </c>
      <c r="EH11" s="125">
        <f>SUM(EH7:EH10)</f>
        <v>-1185</v>
      </c>
      <c r="EI11" s="125">
        <f>EI7</f>
        <v>0</v>
      </c>
      <c r="EJ11" s="165">
        <f>SUM(EF11:EI11)</f>
        <v>166962</v>
      </c>
      <c r="EK11" s="164">
        <f>SUM(EK7:EK10)</f>
        <v>674</v>
      </c>
      <c r="EL11" s="125">
        <f>SUM(EL7:EL10)</f>
        <v>-1204</v>
      </c>
      <c r="EM11" s="125">
        <f>EM7</f>
        <v>0</v>
      </c>
      <c r="EN11" s="165">
        <f>SUM(EJ11:EM11)</f>
        <v>166432</v>
      </c>
      <c r="EO11" s="164">
        <f>SUM(EO7:EO10)</f>
        <v>2158</v>
      </c>
      <c r="EP11" s="125">
        <f>SUM(EP7:EP10)</f>
        <v>-1209</v>
      </c>
      <c r="EQ11" s="125">
        <f>EQ7</f>
        <v>0</v>
      </c>
      <c r="ER11" s="165">
        <f>SUM(EN11:EQ11)</f>
        <v>167381</v>
      </c>
      <c r="ES11" s="164">
        <f>SUM(ES7:ES10)</f>
        <v>2919</v>
      </c>
      <c r="ET11" s="125">
        <f>SUM(ET7:ET10)</f>
        <v>-1290</v>
      </c>
      <c r="EU11" s="125">
        <f>EU7</f>
        <v>-15</v>
      </c>
      <c r="EV11" s="165">
        <f>SUM(ER11:EU11)</f>
        <v>168995</v>
      </c>
      <c r="EW11" s="164">
        <f>SUM(EW7:EW10)</f>
        <v>2632</v>
      </c>
      <c r="EX11" s="125">
        <f>SUM(EX7:EX10)</f>
        <v>-1357</v>
      </c>
      <c r="EY11" s="125">
        <f>EY7</f>
        <v>-25</v>
      </c>
      <c r="EZ11" s="165">
        <f>SUM(EV11:EY11)</f>
        <v>170245</v>
      </c>
      <c r="FA11" s="164">
        <f>SUM(FA7:FA10)</f>
        <v>1500</v>
      </c>
      <c r="FB11" s="125">
        <f>SUM(FB7:FB10)</f>
        <v>-1439</v>
      </c>
      <c r="FC11" s="125">
        <f>FC7</f>
        <v>25</v>
      </c>
      <c r="FD11" s="165">
        <f>SUM(EZ11:FC11)</f>
        <v>170331</v>
      </c>
      <c r="FE11" s="164">
        <f>SUM(FE7:FE10)</f>
        <v>1298</v>
      </c>
      <c r="FF11" s="125">
        <f>SUM(FF7:FF10)</f>
        <v>-1473</v>
      </c>
      <c r="FG11" s="125">
        <f>FG7</f>
        <v>-24</v>
      </c>
      <c r="FH11" s="165">
        <f>SUM(FD11:FG11)</f>
        <v>170132</v>
      </c>
      <c r="FI11" s="164">
        <f>SUM(FI7:FI10)</f>
        <v>821</v>
      </c>
      <c r="FJ11" s="125">
        <f>SUM(FJ7:FJ10)</f>
        <v>-1443</v>
      </c>
      <c r="FK11" s="125">
        <f>FK7</f>
        <v>0</v>
      </c>
      <c r="FL11" s="165">
        <f>SUM(FH11:FK11)</f>
        <v>169510</v>
      </c>
      <c r="FM11" s="164">
        <f>SUM(FM7:FM10)</f>
        <v>3091</v>
      </c>
      <c r="FN11" s="125">
        <f>SUM(FN7:FN10)</f>
        <v>-1411</v>
      </c>
      <c r="FO11" s="125">
        <f>SUM(FO7:FO10)</f>
        <v>3638</v>
      </c>
      <c r="FP11" s="165">
        <f>SUM(FL11:FO11)</f>
        <v>174828</v>
      </c>
      <c r="FQ11" s="164">
        <f>SUM(FQ7:FQ10)</f>
        <v>3056</v>
      </c>
      <c r="FR11" s="125">
        <f>SUM(FR7:FR10)</f>
        <v>-1417</v>
      </c>
      <c r="FS11" s="125">
        <f>SUM(FS7:FS10)</f>
        <v>0</v>
      </c>
      <c r="FT11" s="165">
        <f>SUM(FP11:FS11)</f>
        <v>176467</v>
      </c>
      <c r="FU11" s="164">
        <f>SUM(FU7:FU10)</f>
        <v>5421</v>
      </c>
      <c r="FV11" s="125">
        <f>SUM(FV7:FV10)</f>
        <v>-1403</v>
      </c>
      <c r="FW11" s="125">
        <f>SUM(FW7:FW10)</f>
        <v>0</v>
      </c>
      <c r="FX11" s="165">
        <f>SUM(FT11:FW11)</f>
        <v>180485</v>
      </c>
      <c r="FY11" s="164">
        <f>SUM(FY7:FY10)</f>
        <v>4841</v>
      </c>
      <c r="FZ11" s="125">
        <f>SUM(FZ7:FZ10)</f>
        <v>-16567</v>
      </c>
      <c r="GA11" s="125">
        <f>SUM(GA7:GA10)</f>
        <v>-1656</v>
      </c>
      <c r="GB11" s="125">
        <f>SUM(GB7:GB10)</f>
        <v>16567</v>
      </c>
      <c r="GC11" s="125">
        <f>SUM(GC7:GC10)</f>
        <v>-22</v>
      </c>
      <c r="GD11" s="165">
        <f>SUM(FX11:GC11)</f>
        <v>183648</v>
      </c>
      <c r="GE11" s="164">
        <f>SUM(GE7:GE10)</f>
        <v>5672</v>
      </c>
      <c r="GF11" s="125">
        <f>SUM(GF7:GF10)</f>
        <v>0</v>
      </c>
      <c r="GG11" s="125">
        <f>SUM(GG7:GG10)</f>
        <v>-2301</v>
      </c>
      <c r="GH11" s="125">
        <f>SUM(GH7:GH10)</f>
        <v>0</v>
      </c>
      <c r="GI11" s="125">
        <f>SUM(GI7:GI10)</f>
        <v>0</v>
      </c>
      <c r="GJ11" s="165">
        <f>SUM(GD11:GI11)</f>
        <v>187019</v>
      </c>
      <c r="GK11" s="164">
        <f>SUM(GK7:GK10)</f>
        <v>2589</v>
      </c>
      <c r="GL11" s="125">
        <f>SUM(GL7:GL10)</f>
        <v>0</v>
      </c>
      <c r="GM11" s="125">
        <f>SUM(GM7:GM10)</f>
        <v>-2223</v>
      </c>
      <c r="GN11" s="125">
        <f>SUM(GN7:GN10)</f>
        <v>0</v>
      </c>
      <c r="GO11" s="125">
        <f>SUM(GO7:GO10)</f>
        <v>0</v>
      </c>
      <c r="GP11" s="165">
        <f>SUM(GJ11:GO11)</f>
        <v>187385</v>
      </c>
      <c r="GQ11" s="164">
        <f>SUM(GQ7:GQ10)</f>
        <v>1987</v>
      </c>
      <c r="GR11" s="125">
        <f>SUM(GR7:GR10)</f>
        <v>0</v>
      </c>
      <c r="GS11" s="125">
        <f>SUM(GS7:GS10)</f>
        <v>-2402</v>
      </c>
      <c r="GT11" s="125">
        <f>SUM(GT7:GT10)</f>
        <v>0</v>
      </c>
      <c r="GU11" s="125">
        <f>SUM(GU7:GU10)</f>
        <v>0</v>
      </c>
      <c r="GV11" s="165">
        <f>SUM(GP11:GU11)</f>
        <v>186970</v>
      </c>
      <c r="GW11" s="164">
        <f>SUM(GW7:GW10)</f>
        <v>2925</v>
      </c>
      <c r="GX11" s="125">
        <f>SUM(GX7:GX10)</f>
        <v>0</v>
      </c>
      <c r="GY11" s="125">
        <f>SUM(GY7:GY10)</f>
        <v>-2627</v>
      </c>
      <c r="GZ11" s="125">
        <f>SUM(GZ7:GZ10)</f>
        <v>0</v>
      </c>
      <c r="HA11" s="125">
        <f>SUM(HA7:HA10)</f>
        <v>-6</v>
      </c>
      <c r="HB11" s="165">
        <f>SUM(GV11:HA11)</f>
        <v>187262</v>
      </c>
      <c r="HC11" s="164">
        <f>SUM(HC7:HC10)</f>
        <v>3616</v>
      </c>
      <c r="HD11" s="125">
        <f>SUM(HD7:HD10)</f>
        <v>0</v>
      </c>
      <c r="HE11" s="125">
        <f>SUM(HE7:HE10)</f>
        <v>-2550</v>
      </c>
      <c r="HF11" s="125">
        <f>SUM(HF7:HF10)</f>
        <v>0</v>
      </c>
      <c r="HG11" s="125">
        <f>SUM(HG7:HG10)</f>
        <v>0</v>
      </c>
      <c r="HH11" s="165">
        <f>SUM(HB11:HG11)</f>
        <v>188328</v>
      </c>
      <c r="HI11" s="164">
        <f>SUM(HI7:HI10)</f>
        <v>2141</v>
      </c>
      <c r="HJ11" s="125">
        <f>SUM(HJ7:HJ10)</f>
        <v>0</v>
      </c>
      <c r="HK11" s="125">
        <f>SUM(HK7:HK10)</f>
        <v>-2530</v>
      </c>
      <c r="HL11" s="125">
        <f>SUM(HL7:HL10)</f>
        <v>0</v>
      </c>
      <c r="HM11" s="125">
        <f>SUM(HM7:HM10)</f>
        <v>0</v>
      </c>
      <c r="HN11" s="165">
        <f>SUM(HH11:HM11)</f>
        <v>187939</v>
      </c>
    </row>
    <row r="12" spans="5:225" s="28" customFormat="1" x14ac:dyDescent="0.2">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154"/>
      <c r="AV12" s="154"/>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c r="BY12" s="154"/>
      <c r="BZ12" s="154"/>
      <c r="CA12" s="154"/>
      <c r="CB12" s="154"/>
      <c r="CC12" s="154"/>
      <c r="CD12" s="154"/>
      <c r="CE12" s="154"/>
      <c r="CF12" s="154"/>
      <c r="CG12" s="154"/>
      <c r="CH12" s="154"/>
      <c r="CI12" s="154"/>
      <c r="CJ12" s="154"/>
      <c r="CK12" s="154"/>
      <c r="CL12" s="154"/>
      <c r="CM12" s="154"/>
      <c r="CN12" s="154"/>
      <c r="CO12" s="154"/>
      <c r="CP12" s="154"/>
      <c r="CQ12" s="154"/>
      <c r="CR12" s="154"/>
      <c r="CS12" s="154"/>
      <c r="CT12" s="154"/>
      <c r="CU12" s="154"/>
      <c r="CV12" s="154"/>
      <c r="CW12" s="154"/>
      <c r="CX12" s="154"/>
      <c r="CY12" s="154"/>
      <c r="CZ12" s="154"/>
      <c r="DA12" s="154"/>
      <c r="DB12" s="154"/>
      <c r="DC12" s="154"/>
      <c r="DD12" s="154"/>
      <c r="DE12" s="154"/>
      <c r="DF12" s="154"/>
      <c r="DG12" s="154"/>
      <c r="DH12" s="154"/>
      <c r="DI12" s="154"/>
      <c r="DJ12" s="154"/>
      <c r="DK12" s="154"/>
      <c r="DL12" s="154"/>
      <c r="DM12" s="154"/>
      <c r="DN12" s="154"/>
      <c r="DO12" s="154"/>
      <c r="DP12" s="154"/>
      <c r="DQ12" s="154"/>
      <c r="DR12" s="154"/>
      <c r="DS12" s="154"/>
      <c r="DT12" s="154"/>
      <c r="DU12" s="154"/>
      <c r="DV12" s="154"/>
      <c r="DW12" s="154"/>
      <c r="DX12" s="154"/>
      <c r="DY12" s="154"/>
      <c r="DZ12" s="154"/>
      <c r="EA12" s="154"/>
      <c r="EB12" s="154"/>
      <c r="EC12" s="154"/>
      <c r="ED12" s="154"/>
      <c r="EE12" s="154"/>
      <c r="EF12" s="154"/>
      <c r="EG12" s="154"/>
      <c r="EH12" s="154"/>
      <c r="EI12" s="154"/>
      <c r="EJ12" s="154"/>
      <c r="EK12" s="154"/>
      <c r="EL12" s="154"/>
      <c r="EM12" s="154"/>
      <c r="EN12" s="154"/>
      <c r="EO12" s="154"/>
      <c r="EP12" s="154"/>
      <c r="EQ12" s="154"/>
      <c r="ER12" s="154"/>
      <c r="ES12" s="154"/>
      <c r="ET12" s="154"/>
      <c r="EU12" s="154"/>
      <c r="EV12" s="154"/>
      <c r="EW12" s="154"/>
      <c r="EX12" s="154"/>
      <c r="EY12" s="154"/>
      <c r="EZ12" s="154"/>
      <c r="FA12" s="154"/>
      <c r="FB12" s="154"/>
      <c r="FC12" s="154"/>
      <c r="FD12" s="154"/>
      <c r="FE12" s="154"/>
      <c r="FF12" s="154"/>
      <c r="FG12" s="154"/>
      <c r="FH12" s="154"/>
      <c r="FI12" s="154"/>
      <c r="FJ12" s="154"/>
      <c r="FK12" s="154"/>
      <c r="FL12" s="154"/>
      <c r="FM12" s="154"/>
      <c r="FN12" s="154"/>
      <c r="FO12" s="154"/>
      <c r="FP12" s="154"/>
      <c r="FQ12" s="154"/>
      <c r="FR12" s="154"/>
      <c r="FS12" s="154"/>
      <c r="FT12" s="154"/>
      <c r="FU12" s="154"/>
      <c r="FV12" s="154"/>
      <c r="FW12" s="154"/>
      <c r="FX12" s="154"/>
      <c r="FY12" s="154"/>
      <c r="FZ12" s="154"/>
      <c r="GA12" s="154"/>
      <c r="GB12" s="154"/>
      <c r="GC12" s="154"/>
      <c r="GD12" s="154"/>
      <c r="GE12" s="154"/>
      <c r="GF12" s="154"/>
      <c r="GG12" s="154"/>
      <c r="GH12" s="154"/>
      <c r="GI12" s="154"/>
      <c r="GJ12" s="154"/>
      <c r="GK12" s="154"/>
      <c r="GL12" s="154"/>
      <c r="GM12" s="154"/>
      <c r="GN12" s="154"/>
      <c r="GO12" s="154"/>
      <c r="GP12" s="154"/>
      <c r="GQ12" s="154"/>
      <c r="GR12" s="154"/>
      <c r="GS12" s="154"/>
      <c r="GT12" s="154"/>
      <c r="GU12" s="154"/>
      <c r="GV12" s="154"/>
      <c r="GW12" s="154"/>
      <c r="GX12" s="154"/>
      <c r="GY12" s="154"/>
      <c r="GZ12" s="154"/>
      <c r="HA12" s="154"/>
      <c r="HB12" s="154"/>
      <c r="HC12" s="154"/>
      <c r="HD12" s="154"/>
      <c r="HE12" s="154"/>
      <c r="HF12" s="154"/>
      <c r="HG12" s="154"/>
      <c r="HH12" s="154"/>
      <c r="HI12" s="154"/>
      <c r="HJ12" s="154"/>
      <c r="HK12" s="154"/>
      <c r="HL12" s="154"/>
      <c r="HM12" s="154"/>
      <c r="HN12" s="154"/>
    </row>
    <row r="13" spans="5:225" ht="22.5" customHeight="1" x14ac:dyDescent="0.2">
      <c r="E13" t="s">
        <v>96</v>
      </c>
      <c r="F13" t="s">
        <v>866</v>
      </c>
      <c r="H13" s="145" t="str">
        <f>IF([1]RENAME!$H$3=1,F13,E13)</f>
        <v>Consolidado</v>
      </c>
      <c r="I13" s="543" t="str">
        <f>I5</f>
        <v>1T14</v>
      </c>
      <c r="J13" s="174"/>
      <c r="K13" s="172"/>
      <c r="L13" s="543" t="str">
        <f>L5</f>
        <v>2T14</v>
      </c>
      <c r="M13" s="174"/>
      <c r="N13" s="174"/>
      <c r="O13" s="174"/>
      <c r="P13" s="172"/>
      <c r="Q13" s="543" t="str">
        <f>Q5</f>
        <v>3T14</v>
      </c>
      <c r="R13" s="174"/>
      <c r="S13" s="174"/>
      <c r="T13" s="174"/>
      <c r="U13" s="174"/>
      <c r="V13" s="172"/>
      <c r="W13" s="543" t="str">
        <f>W5</f>
        <v>4T14</v>
      </c>
      <c r="X13" s="174"/>
      <c r="Y13" s="174"/>
      <c r="Z13" s="174"/>
      <c r="AA13" s="174"/>
      <c r="AB13" s="172"/>
      <c r="AC13" s="543" t="str">
        <f>AC5</f>
        <v>1T15</v>
      </c>
      <c r="AD13" s="174"/>
      <c r="AE13" s="174"/>
      <c r="AF13" s="172"/>
      <c r="AG13" s="543" t="str">
        <f>AG5</f>
        <v>2T15</v>
      </c>
      <c r="AH13" s="174"/>
      <c r="AI13" s="174"/>
      <c r="AJ13" s="172"/>
      <c r="AK13" s="543" t="str">
        <f>AK5</f>
        <v>3T15</v>
      </c>
      <c r="AL13" s="174"/>
      <c r="AM13" s="174"/>
      <c r="AN13" s="172"/>
      <c r="AO13" s="543" t="str">
        <f>AO5</f>
        <v>4T15</v>
      </c>
      <c r="AP13" s="174"/>
      <c r="AQ13" s="174"/>
      <c r="AR13" s="172"/>
      <c r="AS13" s="543" t="str">
        <f>AS5</f>
        <v>1T16</v>
      </c>
      <c r="AT13" s="174"/>
      <c r="AU13" s="174"/>
      <c r="AV13" s="172"/>
      <c r="AW13" s="543" t="str">
        <f>AW5</f>
        <v>2T16</v>
      </c>
      <c r="AX13" s="174"/>
      <c r="AY13" s="174"/>
      <c r="AZ13" s="172"/>
      <c r="BA13" s="543" t="str">
        <f>BA5</f>
        <v>3T16</v>
      </c>
      <c r="BB13" s="174"/>
      <c r="BC13" s="174"/>
      <c r="BD13" s="172"/>
      <c r="BE13" s="543" t="str">
        <f>BE5</f>
        <v>4T16</v>
      </c>
      <c r="BF13" s="174"/>
      <c r="BG13" s="174"/>
      <c r="BH13" s="174"/>
      <c r="BI13" s="543" t="str">
        <f>BI5</f>
        <v>1T17</v>
      </c>
      <c r="BJ13" s="174"/>
      <c r="BK13" s="172"/>
      <c r="BL13" s="543" t="str">
        <f>BL5</f>
        <v>2T17</v>
      </c>
      <c r="BM13" s="174"/>
      <c r="BN13" s="174"/>
      <c r="BO13" s="174"/>
      <c r="BP13" s="174" t="str">
        <f>BP5</f>
        <v>3T17</v>
      </c>
      <c r="BQ13" s="174"/>
      <c r="BR13" s="174"/>
      <c r="BS13" s="174"/>
      <c r="BT13" s="543" t="str">
        <f>BT5</f>
        <v>4T17</v>
      </c>
      <c r="BU13" s="174"/>
      <c r="BV13" s="174"/>
      <c r="BW13" s="172"/>
      <c r="BX13" s="543" t="str">
        <f>BX5</f>
        <v>1T18</v>
      </c>
      <c r="BY13" s="174"/>
      <c r="BZ13" s="174"/>
      <c r="CA13" s="172"/>
      <c r="CB13" s="543" t="str">
        <f>CB5</f>
        <v>2T18</v>
      </c>
      <c r="CC13" s="174"/>
      <c r="CD13" s="174"/>
      <c r="CE13" s="172"/>
      <c r="CF13" s="543" t="str">
        <f>CF5</f>
        <v>3T18</v>
      </c>
      <c r="CG13" s="709"/>
      <c r="CH13" s="709"/>
      <c r="CI13" s="710"/>
      <c r="CJ13" s="543" t="str">
        <f>CJ5</f>
        <v>4T18</v>
      </c>
      <c r="CK13" s="709"/>
      <c r="CL13" s="709"/>
      <c r="CM13" s="710"/>
      <c r="CN13" s="709" t="s">
        <v>1408</v>
      </c>
      <c r="CO13" s="709"/>
      <c r="CP13" s="709"/>
      <c r="CQ13" s="543" t="str">
        <f>CQ5</f>
        <v>2T19</v>
      </c>
      <c r="CR13" s="709"/>
      <c r="CS13" s="709"/>
      <c r="CT13" s="543" t="str">
        <f>CT5</f>
        <v>3T19</v>
      </c>
      <c r="CU13" s="709"/>
      <c r="CV13" s="709"/>
      <c r="CW13" s="543" t="str">
        <f>CW5</f>
        <v>4T19</v>
      </c>
      <c r="CX13" s="709"/>
      <c r="CY13" s="709"/>
      <c r="CZ13" s="709"/>
      <c r="DA13" s="543" t="str">
        <f>DA5</f>
        <v>1T20</v>
      </c>
      <c r="DB13" s="709"/>
      <c r="DC13" s="709"/>
      <c r="DD13" s="710"/>
      <c r="DE13" s="543" t="str">
        <f>DE5</f>
        <v>2T20</v>
      </c>
      <c r="DF13" s="709"/>
      <c r="DG13" s="709"/>
      <c r="DH13" s="710"/>
      <c r="DI13" s="543" t="str">
        <f>DI5</f>
        <v>3T20</v>
      </c>
      <c r="DJ13" s="709"/>
      <c r="DK13" s="709"/>
      <c r="DL13" s="710"/>
      <c r="DM13" s="543" t="str">
        <f>DM5</f>
        <v>4T20</v>
      </c>
      <c r="DN13" s="709"/>
      <c r="DO13" s="709"/>
      <c r="DP13" s="710"/>
      <c r="DQ13" s="543" t="str">
        <f>DQ5</f>
        <v>1T21</v>
      </c>
      <c r="DR13" s="709"/>
      <c r="DS13" s="709"/>
      <c r="DT13" s="710"/>
      <c r="DU13" s="543" t="str">
        <f>DU5</f>
        <v>2T21</v>
      </c>
      <c r="DV13" s="709"/>
      <c r="DW13" s="709"/>
      <c r="DX13" s="710"/>
      <c r="DY13" s="543" t="str">
        <f>DY5</f>
        <v>3T21</v>
      </c>
      <c r="DZ13" s="709"/>
      <c r="EA13" s="709"/>
      <c r="EB13" s="710"/>
      <c r="EC13" s="543" t="str">
        <f>EC5</f>
        <v>4T21</v>
      </c>
      <c r="ED13" s="709"/>
      <c r="EE13" s="709"/>
      <c r="EF13" s="710"/>
      <c r="EG13" s="543" t="str">
        <f>EG5</f>
        <v>1T22</v>
      </c>
      <c r="EH13" s="709"/>
      <c r="EI13" s="709"/>
      <c r="EJ13" s="710"/>
      <c r="EK13" s="543" t="str">
        <f>EK5</f>
        <v>2T22</v>
      </c>
      <c r="EL13" s="709"/>
      <c r="EM13" s="709"/>
      <c r="EN13" s="710"/>
      <c r="EO13" s="543" t="str">
        <f>EO5</f>
        <v>3T22</v>
      </c>
      <c r="EP13" s="709"/>
      <c r="EQ13" s="709"/>
      <c r="ER13" s="710"/>
      <c r="ES13" s="543" t="str">
        <f>ES5</f>
        <v>4T22</v>
      </c>
      <c r="ET13" s="709"/>
      <c r="EU13" s="709"/>
      <c r="EV13" s="710"/>
      <c r="EW13" s="543" t="str">
        <f>EW5</f>
        <v>1T23</v>
      </c>
      <c r="EX13" s="709"/>
      <c r="EY13" s="709"/>
      <c r="EZ13" s="710"/>
      <c r="FA13" s="543" t="str">
        <f>FA5</f>
        <v>2T23</v>
      </c>
      <c r="FB13" s="709"/>
      <c r="FC13" s="709"/>
      <c r="FD13" s="710"/>
      <c r="FE13" s="543" t="str">
        <f>FE5</f>
        <v>3T23</v>
      </c>
      <c r="FF13" s="709"/>
      <c r="FG13" s="709"/>
      <c r="FH13" s="710"/>
      <c r="FI13" s="543" t="str">
        <f>FI5</f>
        <v>4T23</v>
      </c>
      <c r="FJ13" s="709"/>
      <c r="FK13" s="709"/>
      <c r="FL13" s="710"/>
      <c r="FM13" s="543" t="str">
        <f>FM5</f>
        <v>1T24</v>
      </c>
      <c r="FN13" s="709"/>
      <c r="FO13" s="709"/>
      <c r="FP13" s="710"/>
      <c r="FQ13" s="543" t="str">
        <f>FQ5</f>
        <v>2T24</v>
      </c>
      <c r="FR13" s="709"/>
      <c r="FS13" s="709"/>
      <c r="FT13" s="710"/>
      <c r="FU13" s="543" t="str">
        <f>IF([1]RENAME!$H$3=1,FU3,FU1)</f>
        <v>3T24</v>
      </c>
      <c r="FV13" s="709"/>
      <c r="FW13" s="709"/>
      <c r="FX13" s="710"/>
      <c r="FY13" s="543" t="str">
        <f>FY5</f>
        <v>4T24</v>
      </c>
      <c r="FZ13" s="709"/>
      <c r="GA13" s="709"/>
      <c r="GB13" s="709"/>
      <c r="GC13" s="709"/>
      <c r="GD13" s="710"/>
      <c r="GE13" s="543" t="str">
        <f>GE5</f>
        <v>1T25</v>
      </c>
      <c r="GF13" s="709"/>
      <c r="GG13" s="709"/>
      <c r="GH13" s="709"/>
      <c r="GI13" s="709"/>
      <c r="GJ13" s="710"/>
      <c r="GK13" s="543" t="str">
        <f>GK5</f>
        <v>2T25</v>
      </c>
      <c r="GL13" s="709"/>
      <c r="GM13" s="709"/>
      <c r="GN13" s="709"/>
      <c r="GO13" s="709"/>
      <c r="GP13" s="709"/>
      <c r="GQ13" s="543" t="str">
        <f>GQ5</f>
        <v>3T25</v>
      </c>
      <c r="GR13" s="709"/>
      <c r="GS13" s="709"/>
      <c r="GT13" s="709"/>
      <c r="GU13" s="709"/>
      <c r="GV13" s="710"/>
      <c r="GW13" s="543" t="str">
        <f>GW5</f>
        <v>4T25</v>
      </c>
      <c r="GX13" s="709"/>
      <c r="GY13" s="709"/>
      <c r="GZ13" s="709"/>
      <c r="HA13" s="709"/>
      <c r="HB13" s="710"/>
      <c r="HC13" s="709" t="s">
        <v>2284</v>
      </c>
      <c r="HD13" s="709"/>
      <c r="HE13" s="709"/>
      <c r="HF13" s="709"/>
      <c r="HG13" s="709"/>
      <c r="HH13" s="709"/>
      <c r="HI13" s="543" t="str">
        <f>HI5</f>
        <v>2T26</v>
      </c>
      <c r="HJ13" s="709"/>
      <c r="HK13" s="709"/>
      <c r="HL13" s="709"/>
      <c r="HM13" s="709"/>
      <c r="HN13" s="710"/>
    </row>
    <row r="14" spans="5:225" ht="25.5" customHeight="1" x14ac:dyDescent="0.2">
      <c r="H14" s="170"/>
      <c r="I14" s="173" t="str">
        <f>I6</f>
        <v>Adição</v>
      </c>
      <c r="J14" s="170" t="str">
        <f>J6</f>
        <v>Amortização</v>
      </c>
      <c r="K14" s="175">
        <f>K6</f>
        <v>41729</v>
      </c>
      <c r="L14" s="173" t="str">
        <f>L6</f>
        <v>Adição</v>
      </c>
      <c r="M14" s="170" t="str">
        <f>M6</f>
        <v>Amortização</v>
      </c>
      <c r="N14" s="170" t="str">
        <f>N6</f>
        <v>Transferência (i)</v>
      </c>
      <c r="O14" s="170" t="str">
        <f>O6</f>
        <v>Baixa</v>
      </c>
      <c r="P14" s="175">
        <f>P6</f>
        <v>41820</v>
      </c>
      <c r="Q14" s="173" t="str">
        <f>Q6</f>
        <v>Adição</v>
      </c>
      <c r="R14" s="170" t="str">
        <f>R6</f>
        <v>Amortização</v>
      </c>
      <c r="S14" s="170" t="str">
        <f>S6</f>
        <v>Transferência (i)</v>
      </c>
      <c r="T14" s="170" t="str">
        <f>T6</f>
        <v>Outros</v>
      </c>
      <c r="U14" s="170" t="str">
        <f>U6</f>
        <v>Baixa (i)</v>
      </c>
      <c r="V14" s="175">
        <f>V6</f>
        <v>41912</v>
      </c>
      <c r="W14" s="173" t="str">
        <f>W6</f>
        <v>Adição</v>
      </c>
      <c r="X14" s="170" t="str">
        <f>X6</f>
        <v>Amortização</v>
      </c>
      <c r="Y14" s="170" t="str">
        <f>Y6</f>
        <v>Transferência (i)</v>
      </c>
      <c r="Z14" s="170" t="str">
        <f>Z6</f>
        <v>Outros</v>
      </c>
      <c r="AA14" s="170" t="str">
        <f>AA6</f>
        <v>Baixa (i)</v>
      </c>
      <c r="AB14" s="175">
        <f>AB6</f>
        <v>42004</v>
      </c>
      <c r="AC14" s="173" t="str">
        <f>AC6</f>
        <v>Adição</v>
      </c>
      <c r="AD14" s="170" t="str">
        <f>AD6</f>
        <v>Transferência (ii)</v>
      </c>
      <c r="AE14" s="170" t="str">
        <f>AE6</f>
        <v>Amortização</v>
      </c>
      <c r="AF14" s="175">
        <f>AF6</f>
        <v>42094</v>
      </c>
      <c r="AG14" s="173" t="str">
        <f>AG6</f>
        <v>Adição</v>
      </c>
      <c r="AH14" s="170" t="str">
        <f>AH6</f>
        <v>Transferência (ii)</v>
      </c>
      <c r="AI14" s="170" t="str">
        <f>AI6</f>
        <v>Amortização</v>
      </c>
      <c r="AJ14" s="175">
        <f>AJ6</f>
        <v>42185</v>
      </c>
      <c r="AK14" s="173" t="str">
        <f>AK6</f>
        <v>Adição</v>
      </c>
      <c r="AL14" s="170" t="str">
        <f>AL6</f>
        <v>Transferência (ii)</v>
      </c>
      <c r="AM14" s="170" t="str">
        <f>AM6</f>
        <v>Amortização</v>
      </c>
      <c r="AN14" s="175">
        <f>AN6</f>
        <v>42277</v>
      </c>
      <c r="AO14" s="173" t="str">
        <f>AO6</f>
        <v>Adição</v>
      </c>
      <c r="AP14" s="170" t="str">
        <f>AP6</f>
        <v>Transferência (ii)</v>
      </c>
      <c r="AQ14" s="170" t="str">
        <f>AQ6</f>
        <v>Amortização</v>
      </c>
      <c r="AR14" s="175">
        <f>AR6</f>
        <v>42368</v>
      </c>
      <c r="AS14" s="173" t="str">
        <f>AS6</f>
        <v>Adição</v>
      </c>
      <c r="AT14" s="170" t="str">
        <f>AT6</f>
        <v>Transferência / Outros</v>
      </c>
      <c r="AU14" s="170" t="str">
        <f>AU6</f>
        <v>Amortização</v>
      </c>
      <c r="AV14" s="175">
        <f>AV6</f>
        <v>42460</v>
      </c>
      <c r="AW14" s="173" t="str">
        <f>AW6</f>
        <v>Adição</v>
      </c>
      <c r="AX14" s="170" t="str">
        <f>AX6</f>
        <v>Transferência / Outros</v>
      </c>
      <c r="AY14" s="170" t="str">
        <f>AY6</f>
        <v>Amortização</v>
      </c>
      <c r="AZ14" s="175">
        <f>AZ6</f>
        <v>42551</v>
      </c>
      <c r="BA14" s="173" t="str">
        <f>BA6</f>
        <v>Adição</v>
      </c>
      <c r="BB14" s="170" t="str">
        <f>BB6</f>
        <v>Transferência / Outros</v>
      </c>
      <c r="BC14" s="170" t="str">
        <f>BC6</f>
        <v>Amortização</v>
      </c>
      <c r="BD14" s="175">
        <f>BD6</f>
        <v>42643</v>
      </c>
      <c r="BE14" s="323" t="str">
        <f>BE6</f>
        <v>Adição</v>
      </c>
      <c r="BF14" s="323" t="str">
        <f>BF6</f>
        <v>Transferência / Outros</v>
      </c>
      <c r="BG14" s="323" t="str">
        <f>BG6</f>
        <v>Amortização</v>
      </c>
      <c r="BH14" s="323">
        <f>BH6</f>
        <v>42735</v>
      </c>
      <c r="BI14" s="330" t="str">
        <f>BI6</f>
        <v>Adição</v>
      </c>
      <c r="BJ14" s="323" t="str">
        <f>BJ6</f>
        <v>Amortização</v>
      </c>
      <c r="BK14" s="175">
        <f>BK6</f>
        <v>42825</v>
      </c>
      <c r="BL14" s="323" t="str">
        <f>BL6</f>
        <v>Adição</v>
      </c>
      <c r="BM14" s="323" t="str">
        <f>BM6</f>
        <v>Amortização</v>
      </c>
      <c r="BN14" s="323" t="str">
        <f>BN6</f>
        <v>Outros</v>
      </c>
      <c r="BO14" s="323">
        <f>BO6</f>
        <v>42916</v>
      </c>
      <c r="BP14" s="173" t="str">
        <f>BP6</f>
        <v>Adição</v>
      </c>
      <c r="BQ14" s="170" t="str">
        <f>BQ6</f>
        <v>Amortização</v>
      </c>
      <c r="BR14" s="170" t="str">
        <f>BR6</f>
        <v>Outros</v>
      </c>
      <c r="BS14" s="175">
        <f>BS6</f>
        <v>43008</v>
      </c>
      <c r="BT14" s="173" t="str">
        <f>BT6</f>
        <v>Adição</v>
      </c>
      <c r="BU14" s="170" t="str">
        <f>BU6</f>
        <v>Amortização</v>
      </c>
      <c r="BV14" s="170" t="str">
        <f>BV6</f>
        <v>Outros</v>
      </c>
      <c r="BW14" s="175">
        <f>BW6</f>
        <v>43100</v>
      </c>
      <c r="BX14" s="173" t="str">
        <f>BX6</f>
        <v>Adição</v>
      </c>
      <c r="BY14" s="170" t="str">
        <f>BY6</f>
        <v>Amortização</v>
      </c>
      <c r="BZ14" s="170" t="str">
        <f>BZ6</f>
        <v>Outros</v>
      </c>
      <c r="CA14" s="175">
        <f>CA6</f>
        <v>43189</v>
      </c>
      <c r="CB14" s="173" t="str">
        <f>CB6</f>
        <v>Adição</v>
      </c>
      <c r="CC14" s="170" t="str">
        <f>CC6</f>
        <v>Amortização</v>
      </c>
      <c r="CD14" s="170" t="str">
        <f>CD6</f>
        <v>Outros</v>
      </c>
      <c r="CE14" s="175">
        <f>CE6</f>
        <v>43281</v>
      </c>
      <c r="CF14" s="173" t="str">
        <f>CF6</f>
        <v>Adição</v>
      </c>
      <c r="CG14" s="170" t="str">
        <f>CG6</f>
        <v>Amortização</v>
      </c>
      <c r="CH14" s="170" t="str">
        <f>CH6</f>
        <v>Outros</v>
      </c>
      <c r="CI14" s="175">
        <f>CI6</f>
        <v>43373</v>
      </c>
      <c r="CJ14" s="173" t="str">
        <f>CJ6</f>
        <v>Adição</v>
      </c>
      <c r="CK14" s="170" t="str">
        <f>CK6</f>
        <v>Amortização</v>
      </c>
      <c r="CL14" s="170" t="str">
        <f>CL6</f>
        <v>Outros</v>
      </c>
      <c r="CM14" s="175">
        <f>CM6</f>
        <v>43464</v>
      </c>
      <c r="CN14" s="323" t="s">
        <v>248</v>
      </c>
      <c r="CO14" s="323" t="s">
        <v>247</v>
      </c>
      <c r="CP14" s="323">
        <v>43554</v>
      </c>
      <c r="CQ14" s="173" t="str">
        <f>CQ6</f>
        <v>Adição</v>
      </c>
      <c r="CR14" s="170" t="str">
        <f>CR6</f>
        <v>Amortização</v>
      </c>
      <c r="CS14" s="175">
        <f>CS6</f>
        <v>43646</v>
      </c>
      <c r="CT14" s="173" t="str">
        <f>CT6</f>
        <v>Adição</v>
      </c>
      <c r="CU14" s="170" t="str">
        <f>CU6</f>
        <v>Amortização</v>
      </c>
      <c r="CV14" s="175">
        <f>CV6</f>
        <v>43738</v>
      </c>
      <c r="CW14" s="173" t="str">
        <f>CW6</f>
        <v>Adição</v>
      </c>
      <c r="CX14" s="170" t="str">
        <f>CX6</f>
        <v>Amortização</v>
      </c>
      <c r="CY14" s="170" t="str">
        <f>CY6</f>
        <v>Outros</v>
      </c>
      <c r="CZ14" s="175">
        <f>CZ6</f>
        <v>43829</v>
      </c>
      <c r="DA14" s="173" t="str">
        <f>DA6</f>
        <v>Adição</v>
      </c>
      <c r="DB14" s="170" t="str">
        <f>DB6</f>
        <v>Amortização</v>
      </c>
      <c r="DC14" s="170" t="str">
        <f>DC6</f>
        <v>Outros</v>
      </c>
      <c r="DD14" s="175">
        <f>DD6</f>
        <v>43921</v>
      </c>
      <c r="DE14" s="173" t="str">
        <f>DE6</f>
        <v>Adição</v>
      </c>
      <c r="DF14" s="170" t="str">
        <f>DF6</f>
        <v>Amortização</v>
      </c>
      <c r="DG14" s="170" t="str">
        <f>DG6</f>
        <v>Outros</v>
      </c>
      <c r="DH14" s="175" t="str">
        <f>DH6</f>
        <v>31/06/2020</v>
      </c>
      <c r="DI14" s="173" t="str">
        <f>DI6</f>
        <v>Adição</v>
      </c>
      <c r="DJ14" s="170" t="str">
        <f>DJ6</f>
        <v>Amortização</v>
      </c>
      <c r="DK14" s="170" t="str">
        <f>DK6</f>
        <v>Outros</v>
      </c>
      <c r="DL14" s="175" t="str">
        <f>DL6</f>
        <v>31/09/2020</v>
      </c>
      <c r="DM14" s="173" t="str">
        <f>DM6</f>
        <v>Adição</v>
      </c>
      <c r="DN14" s="170" t="str">
        <f>DN6</f>
        <v>Amortização</v>
      </c>
      <c r="DO14" s="170" t="str">
        <f>DO6</f>
        <v>Outros</v>
      </c>
      <c r="DP14" s="175">
        <f>DP6</f>
        <v>44195</v>
      </c>
      <c r="DQ14" s="173" t="str">
        <f>DQ6</f>
        <v>Adição</v>
      </c>
      <c r="DR14" s="170" t="str">
        <f>DR6</f>
        <v>Amortização</v>
      </c>
      <c r="DS14" s="170" t="str">
        <f>DS6</f>
        <v>Outros</v>
      </c>
      <c r="DT14" s="175">
        <f>DT6</f>
        <v>44286</v>
      </c>
      <c r="DU14" s="173" t="str">
        <f>DU6</f>
        <v>Adição</v>
      </c>
      <c r="DV14" s="170" t="str">
        <f>DV6</f>
        <v>Amortização</v>
      </c>
      <c r="DW14" s="170" t="str">
        <f>DW6</f>
        <v>Outros</v>
      </c>
      <c r="DX14" s="175">
        <f>DX6</f>
        <v>44377</v>
      </c>
      <c r="DY14" s="173" t="str">
        <f>DY6</f>
        <v>Adição</v>
      </c>
      <c r="DZ14" s="170" t="str">
        <f>DZ6</f>
        <v>Amortização</v>
      </c>
      <c r="EA14" s="170" t="str">
        <f>EA6</f>
        <v>Outros</v>
      </c>
      <c r="EB14" s="175">
        <f>EB6</f>
        <v>44469</v>
      </c>
      <c r="EC14" s="173" t="str">
        <f>EC6</f>
        <v>Adição</v>
      </c>
      <c r="ED14" s="170" t="str">
        <f>ED6</f>
        <v>Amortização</v>
      </c>
      <c r="EE14" s="170" t="str">
        <f>EE6</f>
        <v>Outros</v>
      </c>
      <c r="EF14" s="175">
        <f>EF6</f>
        <v>44561</v>
      </c>
      <c r="EG14" s="173" t="str">
        <f>EG6</f>
        <v>Adição</v>
      </c>
      <c r="EH14" s="170" t="str">
        <f>EH6</f>
        <v>Amortização</v>
      </c>
      <c r="EI14" s="170" t="str">
        <f>EI6</f>
        <v>Transferências</v>
      </c>
      <c r="EJ14" s="175">
        <f>EJ6</f>
        <v>44651</v>
      </c>
      <c r="EK14" s="173" t="str">
        <f>EK6</f>
        <v>Adição</v>
      </c>
      <c r="EL14" s="170" t="str">
        <f>EL6</f>
        <v>Amortização</v>
      </c>
      <c r="EM14" s="170" t="str">
        <f>EM6</f>
        <v>Transferências</v>
      </c>
      <c r="EN14" s="175">
        <f>EN6</f>
        <v>44742</v>
      </c>
      <c r="EO14" s="173" t="str">
        <f>EO6</f>
        <v>Adição</v>
      </c>
      <c r="EP14" s="170" t="str">
        <f>EP6</f>
        <v>Amortização</v>
      </c>
      <c r="EQ14" s="170" t="str">
        <f>EQ6</f>
        <v>Transferências</v>
      </c>
      <c r="ER14" s="175">
        <f>ER6</f>
        <v>44834</v>
      </c>
      <c r="ES14" s="173" t="str">
        <f>ES6</f>
        <v>Adição</v>
      </c>
      <c r="ET14" s="170" t="str">
        <f>ET6</f>
        <v>Amortização</v>
      </c>
      <c r="EU14" s="170" t="str">
        <f>EU6</f>
        <v>Transferências</v>
      </c>
      <c r="EV14" s="175">
        <f>EV6</f>
        <v>44926</v>
      </c>
      <c r="EW14" s="173" t="str">
        <f>EW6</f>
        <v>Adição</v>
      </c>
      <c r="EX14" s="170" t="str">
        <f>EX6</f>
        <v>Amortização</v>
      </c>
      <c r="EY14" s="170" t="str">
        <f>EY6</f>
        <v>Transferências</v>
      </c>
      <c r="EZ14" s="175">
        <f>EZ6</f>
        <v>45016</v>
      </c>
      <c r="FA14" s="173" t="str">
        <f>FA6</f>
        <v>Adição</v>
      </c>
      <c r="FB14" s="170" t="str">
        <f>FB6</f>
        <v>Amortização</v>
      </c>
      <c r="FC14" s="170" t="str">
        <f>FC6</f>
        <v>Transferências</v>
      </c>
      <c r="FD14" s="175">
        <f>FD6</f>
        <v>45107</v>
      </c>
      <c r="FE14" s="173" t="str">
        <f>FE6</f>
        <v>Adição</v>
      </c>
      <c r="FF14" s="170" t="str">
        <f>FF6</f>
        <v>Amortização</v>
      </c>
      <c r="FG14" s="170" t="str">
        <f>FG6</f>
        <v>Transferências</v>
      </c>
      <c r="FH14" s="175">
        <f>FH6</f>
        <v>45199</v>
      </c>
      <c r="FI14" s="173" t="str">
        <f>FI6</f>
        <v>Adição</v>
      </c>
      <c r="FJ14" s="170" t="str">
        <f>FJ6</f>
        <v>Amortização</v>
      </c>
      <c r="FK14" s="170" t="str">
        <f>FK6</f>
        <v>Transferências</v>
      </c>
      <c r="FL14" s="175">
        <f>FL6</f>
        <v>45291</v>
      </c>
      <c r="FM14" s="173" t="str">
        <f>FM6</f>
        <v>Adição</v>
      </c>
      <c r="FN14" s="170" t="str">
        <f>FN6</f>
        <v>Amortização</v>
      </c>
      <c r="FO14" s="170" t="str">
        <f>FO6</f>
        <v>Transferências</v>
      </c>
      <c r="FP14" s="175">
        <f>FP6</f>
        <v>45382</v>
      </c>
      <c r="FQ14" s="173" t="str">
        <f>FQ6</f>
        <v>Adição</v>
      </c>
      <c r="FR14" s="170" t="str">
        <f>FR6</f>
        <v>Amortização</v>
      </c>
      <c r="FS14" s="170" t="str">
        <f>FS6</f>
        <v>Transferências</v>
      </c>
      <c r="FT14" s="175" t="str">
        <f>FT6</f>
        <v>31/06/2024</v>
      </c>
      <c r="FU14" s="173" t="str">
        <f>IF([1]RENAME!$H$3=1,FU3,FU1)</f>
        <v>3T24</v>
      </c>
      <c r="FV14" s="170" t="str">
        <f>IF([1]RENAME!$H$3=1,FV4,FV2)</f>
        <v>Amortização</v>
      </c>
      <c r="FW14" s="170" t="str">
        <f>IF([1]RENAME!$H$3=1,FW4,FW2)</f>
        <v>Transferências</v>
      </c>
      <c r="FX14" s="175">
        <f>IF([1]RENAME!$H$3=1,FX4,FX2)</f>
        <v>45565</v>
      </c>
      <c r="FY14" s="173" t="str">
        <f>FY6</f>
        <v>Adição</v>
      </c>
      <c r="FZ14" s="170" t="str">
        <f>FZ6</f>
        <v>Ativação</v>
      </c>
      <c r="GA14" s="170" t="str">
        <f>GA6</f>
        <v>Amortização</v>
      </c>
      <c r="GB14" s="170" t="str">
        <f>GB6</f>
        <v>Transferências</v>
      </c>
      <c r="GC14" s="170" t="str">
        <f>GC6</f>
        <v>Outros</v>
      </c>
      <c r="GD14" s="175">
        <f>GD6</f>
        <v>45657</v>
      </c>
      <c r="GE14" s="173" t="str">
        <f>GE6</f>
        <v>Adição</v>
      </c>
      <c r="GF14" s="170" t="str">
        <f>GF6</f>
        <v>Ativação</v>
      </c>
      <c r="GG14" s="170" t="str">
        <f>GG6</f>
        <v>Amortização</v>
      </c>
      <c r="GH14" s="170" t="str">
        <f>GH6</f>
        <v>Transferências</v>
      </c>
      <c r="GI14" s="170" t="str">
        <f>GI6</f>
        <v>Outros</v>
      </c>
      <c r="GJ14" s="175">
        <f>GJ6</f>
        <v>45747</v>
      </c>
      <c r="GK14" s="173" t="str">
        <f>GK6</f>
        <v>Adição</v>
      </c>
      <c r="GL14" s="170" t="str">
        <f>GL6</f>
        <v>Ativação</v>
      </c>
      <c r="GM14" s="170" t="str">
        <f>GM6</f>
        <v>Amortização</v>
      </c>
      <c r="GN14" s="170" t="str">
        <f>GN6</f>
        <v>Transferências</v>
      </c>
      <c r="GO14" s="170" t="str">
        <f>GO6</f>
        <v>Outros</v>
      </c>
      <c r="GP14" s="175">
        <f>GP6</f>
        <v>45838</v>
      </c>
      <c r="GQ14" s="173" t="str">
        <f>GQ6</f>
        <v>Adição</v>
      </c>
      <c r="GR14" s="170" t="str">
        <f>GR6</f>
        <v>Ativação</v>
      </c>
      <c r="GS14" s="170" t="str">
        <f>GS6</f>
        <v>Amortização</v>
      </c>
      <c r="GT14" s="170" t="str">
        <f>GT6</f>
        <v>Transferências</v>
      </c>
      <c r="GU14" s="170" t="str">
        <f>GU6</f>
        <v>Outros</v>
      </c>
      <c r="GV14" s="175">
        <f>GV6</f>
        <v>45930</v>
      </c>
      <c r="GW14" s="173" t="str">
        <f>GW6</f>
        <v>Adição</v>
      </c>
      <c r="GX14" s="170" t="str">
        <f>GX6</f>
        <v>Ativação</v>
      </c>
      <c r="GY14" s="170" t="str">
        <f>GY6</f>
        <v>Amortização</v>
      </c>
      <c r="GZ14" s="170" t="str">
        <f>GZ6</f>
        <v>Transferências</v>
      </c>
      <c r="HA14" s="170" t="str">
        <f>HA6</f>
        <v>Outros</v>
      </c>
      <c r="HB14" s="175">
        <f>HB6</f>
        <v>46022</v>
      </c>
      <c r="HC14" s="323" t="s">
        <v>248</v>
      </c>
      <c r="HD14" s="323" t="s">
        <v>2251</v>
      </c>
      <c r="HE14" s="323" t="s">
        <v>247</v>
      </c>
      <c r="HF14" s="323" t="s">
        <v>2110</v>
      </c>
      <c r="HG14" s="323" t="s">
        <v>49</v>
      </c>
      <c r="HH14" s="323">
        <v>46112</v>
      </c>
      <c r="HI14" s="173" t="str">
        <f>HI6</f>
        <v>Adição</v>
      </c>
      <c r="HJ14" s="170" t="str">
        <f>HJ6</f>
        <v>Ativação</v>
      </c>
      <c r="HK14" s="170" t="str">
        <f>HK6</f>
        <v>Amortização</v>
      </c>
      <c r="HL14" s="170" t="str">
        <f>HL6</f>
        <v>Transferências</v>
      </c>
      <c r="HM14" s="170" t="str">
        <f>HM6</f>
        <v>Outros</v>
      </c>
      <c r="HN14" s="175" t="str">
        <f>HN6</f>
        <v>31/06/2026</v>
      </c>
    </row>
    <row r="15" spans="5:225" x14ac:dyDescent="0.2">
      <c r="E15" t="s">
        <v>111</v>
      </c>
      <c r="F15" t="s">
        <v>111</v>
      </c>
      <c r="H15" s="129" t="str">
        <f>IF([1]RENAME!$H$3=1,F15,E15)</f>
        <v>Software</v>
      </c>
      <c r="I15" s="160">
        <v>851</v>
      </c>
      <c r="J15" s="118">
        <v>-703</v>
      </c>
      <c r="K15" s="161">
        <v>9847</v>
      </c>
      <c r="L15" s="160">
        <v>-608</v>
      </c>
      <c r="M15" s="118">
        <v>-524</v>
      </c>
      <c r="N15" s="118">
        <v>-1107</v>
      </c>
      <c r="O15" s="118">
        <v>0</v>
      </c>
      <c r="P15" s="161">
        <v>7608</v>
      </c>
      <c r="Q15" s="160">
        <v>35</v>
      </c>
      <c r="R15" s="118">
        <v>-603</v>
      </c>
      <c r="S15" s="118">
        <v>0</v>
      </c>
      <c r="T15" s="118">
        <v>0</v>
      </c>
      <c r="U15" s="118">
        <v>0</v>
      </c>
      <c r="V15" s="161">
        <v>7040</v>
      </c>
      <c r="W15" s="160">
        <v>1497</v>
      </c>
      <c r="X15" s="118">
        <v>-1184</v>
      </c>
      <c r="Y15" s="118">
        <v>0</v>
      </c>
      <c r="Z15" s="118">
        <v>0</v>
      </c>
      <c r="AA15" s="118">
        <v>-39</v>
      </c>
      <c r="AB15" s="161">
        <v>7314</v>
      </c>
      <c r="AC15" s="160">
        <v>93</v>
      </c>
      <c r="AD15" s="118">
        <v>7206</v>
      </c>
      <c r="AE15" s="118">
        <v>-783</v>
      </c>
      <c r="AF15" s="161">
        <v>13830</v>
      </c>
      <c r="AG15" s="160">
        <v>357</v>
      </c>
      <c r="AH15" s="118">
        <v>1395</v>
      </c>
      <c r="AI15" s="118">
        <v>-1018</v>
      </c>
      <c r="AJ15" s="161">
        <v>14564</v>
      </c>
      <c r="AK15" s="160">
        <v>245</v>
      </c>
      <c r="AL15" s="118">
        <v>1326</v>
      </c>
      <c r="AM15" s="118">
        <v>-1215</v>
      </c>
      <c r="AN15" s="161">
        <f>SUM(AJ15:AM15)</f>
        <v>14920</v>
      </c>
      <c r="AO15" s="160">
        <v>160</v>
      </c>
      <c r="AP15" s="118">
        <v>1024</v>
      </c>
      <c r="AQ15" s="118">
        <v>-1401</v>
      </c>
      <c r="AR15" s="161">
        <f>SUM(AN15:AQ15)</f>
        <v>14703</v>
      </c>
      <c r="AS15" s="212">
        <v>323</v>
      </c>
      <c r="AT15" s="211">
        <v>44</v>
      </c>
      <c r="AU15" s="211">
        <v>-1408</v>
      </c>
      <c r="AV15" s="213">
        <f>SUM(AR15:AU15)</f>
        <v>13662</v>
      </c>
      <c r="AW15" s="212">
        <v>908</v>
      </c>
      <c r="AX15" s="211">
        <v>1981</v>
      </c>
      <c r="AY15" s="211">
        <v>-1192</v>
      </c>
      <c r="AZ15" s="213">
        <f>SUM(AV15:AY15)</f>
        <v>15359</v>
      </c>
      <c r="BA15" s="212">
        <v>311</v>
      </c>
      <c r="BB15" s="211">
        <v>-708</v>
      </c>
      <c r="BC15" s="211">
        <v>-1200</v>
      </c>
      <c r="BD15" s="213">
        <f>SUM(AZ15:BC15)</f>
        <v>13762</v>
      </c>
      <c r="BE15" s="211">
        <v>318</v>
      </c>
      <c r="BF15" s="211">
        <v>1</v>
      </c>
      <c r="BG15" s="211">
        <v>-1184</v>
      </c>
      <c r="BH15" s="211">
        <v>12897</v>
      </c>
      <c r="BI15" s="212">
        <v>1244</v>
      </c>
      <c r="BJ15" s="211">
        <v>-1172</v>
      </c>
      <c r="BK15" s="213">
        <f>SUM(BH15:BJ15)</f>
        <v>12969</v>
      </c>
      <c r="BL15" s="211">
        <v>878</v>
      </c>
      <c r="BM15" s="211">
        <v>-1181</v>
      </c>
      <c r="BN15" s="211">
        <v>0</v>
      </c>
      <c r="BO15" s="213">
        <f>SUM(BK15:BN15)</f>
        <v>12666</v>
      </c>
      <c r="BP15" s="211">
        <v>976</v>
      </c>
      <c r="BQ15" s="211">
        <v>-1161</v>
      </c>
      <c r="BR15" s="211">
        <v>0</v>
      </c>
      <c r="BS15" s="211">
        <v>12481</v>
      </c>
      <c r="BT15" s="212">
        <v>1273</v>
      </c>
      <c r="BU15" s="211">
        <v>-1186</v>
      </c>
      <c r="BV15" s="211">
        <v>0</v>
      </c>
      <c r="BW15" s="213">
        <f>SUM(BS15:BV15)</f>
        <v>12568</v>
      </c>
      <c r="BX15" s="212">
        <v>1039</v>
      </c>
      <c r="BY15" s="211">
        <v>-1154</v>
      </c>
      <c r="BZ15" s="211">
        <v>-1036</v>
      </c>
      <c r="CA15" s="213">
        <f>SUM(BW15:BZ15)</f>
        <v>11417</v>
      </c>
      <c r="CB15" s="212">
        <v>897</v>
      </c>
      <c r="CC15" s="211">
        <v>-1158</v>
      </c>
      <c r="CD15" s="211">
        <v>0</v>
      </c>
      <c r="CE15" s="213">
        <f>SUM(CA15:CD15)</f>
        <v>11156</v>
      </c>
      <c r="CF15" s="212">
        <v>1443</v>
      </c>
      <c r="CG15" s="211">
        <v>-1193</v>
      </c>
      <c r="CH15" s="211" t="s">
        <v>160</v>
      </c>
      <c r="CI15" s="213">
        <f>SUM(CE15:CH15)</f>
        <v>11406</v>
      </c>
      <c r="CJ15" s="212">
        <v>2222</v>
      </c>
      <c r="CK15" s="211">
        <v>-1185</v>
      </c>
      <c r="CL15" s="211">
        <v>-21</v>
      </c>
      <c r="CM15" s="213">
        <f>SUM(CI15:CL15)</f>
        <v>12422</v>
      </c>
      <c r="CN15" s="211">
        <v>1424</v>
      </c>
      <c r="CO15" s="211">
        <v>-1232</v>
      </c>
      <c r="CP15" s="213">
        <f>SUM(CM15:CO15)</f>
        <v>12614</v>
      </c>
      <c r="CQ15" s="212">
        <v>672</v>
      </c>
      <c r="CR15" s="211">
        <v>-1284</v>
      </c>
      <c r="CS15" s="213">
        <f>SUM(CP15:CR15)</f>
        <v>12002</v>
      </c>
      <c r="CT15" s="212">
        <v>874</v>
      </c>
      <c r="CU15" s="211">
        <v>-1319</v>
      </c>
      <c r="CV15" s="213">
        <v>11557</v>
      </c>
      <c r="CW15" s="212">
        <v>1227</v>
      </c>
      <c r="CX15" s="211">
        <v>-1349</v>
      </c>
      <c r="CY15" s="211">
        <v>-21</v>
      </c>
      <c r="CZ15" s="213">
        <v>11414</v>
      </c>
      <c r="DA15" s="212">
        <v>1497</v>
      </c>
      <c r="DB15" s="211">
        <v>-1200</v>
      </c>
      <c r="DC15" s="211">
        <v>-21</v>
      </c>
      <c r="DD15" s="213">
        <v>11690</v>
      </c>
      <c r="DE15" s="212">
        <v>961</v>
      </c>
      <c r="DF15" s="211">
        <v>-1042</v>
      </c>
      <c r="DG15" s="211">
        <v>51</v>
      </c>
      <c r="DH15" s="213">
        <f>SUM(DD15:DG15)</f>
        <v>11660</v>
      </c>
      <c r="DI15" s="212">
        <v>633</v>
      </c>
      <c r="DJ15" s="211">
        <v>-1051</v>
      </c>
      <c r="DK15" s="211">
        <v>-50</v>
      </c>
      <c r="DL15" s="213">
        <f>SUM(DH15:DK15)</f>
        <v>11192</v>
      </c>
      <c r="DM15" s="212">
        <v>766</v>
      </c>
      <c r="DN15" s="211">
        <v>-1026</v>
      </c>
      <c r="DO15" s="211">
        <v>-195</v>
      </c>
      <c r="DP15" s="213">
        <f>SUM(DL15:DO15)</f>
        <v>10737</v>
      </c>
      <c r="DQ15" s="212">
        <v>1791</v>
      </c>
      <c r="DR15" s="211">
        <v>-1028</v>
      </c>
      <c r="DS15" s="211">
        <v>43</v>
      </c>
      <c r="DT15" s="213">
        <f>SUM(DP15:DS15)</f>
        <v>11543</v>
      </c>
      <c r="DU15" s="212">
        <v>1091</v>
      </c>
      <c r="DV15" s="211">
        <v>-1046</v>
      </c>
      <c r="DW15" s="211">
        <v>125</v>
      </c>
      <c r="DX15" s="213">
        <v>11713</v>
      </c>
      <c r="DY15" s="212">
        <v>1227</v>
      </c>
      <c r="DZ15" s="211">
        <v>-1074</v>
      </c>
      <c r="EA15" s="211">
        <v>0</v>
      </c>
      <c r="EB15" s="213">
        <v>11866</v>
      </c>
      <c r="EC15" s="212">
        <v>1786</v>
      </c>
      <c r="ED15" s="211">
        <v>-1125</v>
      </c>
      <c r="EE15" s="211">
        <v>-6</v>
      </c>
      <c r="EF15" s="213">
        <f>SUM(EB15:EE15)</f>
        <v>12521</v>
      </c>
      <c r="EG15" s="212">
        <v>2182</v>
      </c>
      <c r="EH15" s="211">
        <v>-1203</v>
      </c>
      <c r="EI15" s="211">
        <v>0</v>
      </c>
      <c r="EJ15" s="213">
        <f>SUM(EF15:EI15)</f>
        <v>13500</v>
      </c>
      <c r="EK15" s="212">
        <v>886</v>
      </c>
      <c r="EL15" s="211">
        <v>-1223</v>
      </c>
      <c r="EM15" s="211">
        <v>3</v>
      </c>
      <c r="EN15" s="213">
        <f>SUM(EJ15:EM15)</f>
        <v>13166</v>
      </c>
      <c r="EO15" s="212">
        <v>2323</v>
      </c>
      <c r="EP15" s="211">
        <v>-1240</v>
      </c>
      <c r="EQ15" s="211">
        <v>-3</v>
      </c>
      <c r="ER15" s="213">
        <f>SUM(EN15:EQ15)</f>
        <v>14246</v>
      </c>
      <c r="ES15" s="212">
        <v>3171</v>
      </c>
      <c r="ET15" s="211">
        <v>-1330</v>
      </c>
      <c r="EU15" s="211">
        <v>-15</v>
      </c>
      <c r="EV15" s="213">
        <f>SUM(ER15:EU15)</f>
        <v>16072</v>
      </c>
      <c r="EW15" s="212">
        <v>2642</v>
      </c>
      <c r="EX15" s="211">
        <v>-1407</v>
      </c>
      <c r="EY15" s="211">
        <v>-25</v>
      </c>
      <c r="EZ15" s="213">
        <f>SUM(EV15:EY15)</f>
        <v>17282</v>
      </c>
      <c r="FA15" s="212">
        <v>1536</v>
      </c>
      <c r="FB15" s="211">
        <v>-1490</v>
      </c>
      <c r="FC15" s="211">
        <v>25</v>
      </c>
      <c r="FD15" s="213">
        <f>SUM(EZ15:FC15)</f>
        <v>17353</v>
      </c>
      <c r="FE15" s="212">
        <v>1381</v>
      </c>
      <c r="FF15" s="211">
        <v>-1523</v>
      </c>
      <c r="FG15" s="211">
        <v>-24</v>
      </c>
      <c r="FH15" s="213">
        <f>SUM(FD15:FG15)</f>
        <v>17187</v>
      </c>
      <c r="FI15" s="212">
        <v>1057</v>
      </c>
      <c r="FJ15" s="211">
        <v>-1496</v>
      </c>
      <c r="FK15" s="211">
        <v>0</v>
      </c>
      <c r="FL15" s="213">
        <f>SUM(FH15:FK15)</f>
        <v>16748</v>
      </c>
      <c r="FM15" s="212">
        <v>2137</v>
      </c>
      <c r="FN15" s="211">
        <v>-1477</v>
      </c>
      <c r="FO15" s="211">
        <v>0</v>
      </c>
      <c r="FP15" s="213">
        <f>SUM(FL15:FO15)</f>
        <v>17408</v>
      </c>
      <c r="FQ15" s="211">
        <v>338</v>
      </c>
      <c r="FR15" s="211">
        <v>-1492</v>
      </c>
      <c r="FS15" s="211">
        <v>-18</v>
      </c>
      <c r="FT15" s="213">
        <f>SUM(FP15:FS15)</f>
        <v>16236</v>
      </c>
      <c r="FU15" s="211">
        <v>338</v>
      </c>
      <c r="FV15" s="211">
        <v>-1492</v>
      </c>
      <c r="FW15" s="211">
        <v>-18</v>
      </c>
      <c r="FX15" s="213">
        <f>SUM(FT15:FW15)</f>
        <v>15064</v>
      </c>
      <c r="FY15" s="212">
        <v>389</v>
      </c>
      <c r="FZ15" s="211">
        <v>16603</v>
      </c>
      <c r="GA15" s="211">
        <v>-1718</v>
      </c>
      <c r="GB15" s="211">
        <v>0</v>
      </c>
      <c r="GC15" s="211">
        <v>-22</v>
      </c>
      <c r="GD15" s="213">
        <f>SUM(FX15:GC15)</f>
        <v>30316</v>
      </c>
      <c r="GE15" s="212">
        <v>0</v>
      </c>
      <c r="GF15" s="211">
        <v>2562</v>
      </c>
      <c r="GG15" s="211">
        <v>-2377</v>
      </c>
      <c r="GH15" s="211">
        <v>0</v>
      </c>
      <c r="GI15" s="211">
        <v>0</v>
      </c>
      <c r="GJ15" s="213">
        <v>30501</v>
      </c>
      <c r="GK15" s="212">
        <v>1</v>
      </c>
      <c r="GL15" s="211">
        <v>180</v>
      </c>
      <c r="GM15" s="211">
        <v>-2295</v>
      </c>
      <c r="GN15" s="211">
        <v>0</v>
      </c>
      <c r="GO15" s="211">
        <v>-9</v>
      </c>
      <c r="GP15" s="213">
        <v>28378</v>
      </c>
      <c r="GQ15" s="212">
        <v>3718</v>
      </c>
      <c r="GR15" s="211">
        <v>6891</v>
      </c>
      <c r="GS15" s="211">
        <v>-2473</v>
      </c>
      <c r="GT15" s="211">
        <v>0</v>
      </c>
      <c r="GU15" s="211">
        <v>152</v>
      </c>
      <c r="GV15" s="213">
        <f>SUM(GP15:GU15)</f>
        <v>36666</v>
      </c>
      <c r="GW15" s="212">
        <v>-14</v>
      </c>
      <c r="GX15" s="211">
        <v>1468</v>
      </c>
      <c r="GY15" s="211">
        <v>-2821</v>
      </c>
      <c r="GZ15" s="211">
        <v>0</v>
      </c>
      <c r="HA15" s="211">
        <v>229</v>
      </c>
      <c r="HB15" s="213">
        <f>SUM(GV15:HA15)</f>
        <v>35528</v>
      </c>
      <c r="HC15" s="211">
        <v>1508</v>
      </c>
      <c r="HD15" s="211">
        <v>0</v>
      </c>
      <c r="HE15" s="211">
        <v>-2812</v>
      </c>
      <c r="HF15" s="211">
        <v>0</v>
      </c>
      <c r="HG15" s="211">
        <v>0</v>
      </c>
      <c r="HH15" s="213">
        <f>SUM(HB15:HG15)</f>
        <v>34224</v>
      </c>
      <c r="HI15" s="212">
        <f>'[3]11 Intang NL'!$AP$53-HC15</f>
        <v>1099</v>
      </c>
      <c r="HJ15" s="211">
        <f>+'[3]11 Intang NL'!$AP$54</f>
        <v>0</v>
      </c>
      <c r="HK15" s="211">
        <f>+'[3]11 Intang NL'!$AP$56-HE15</f>
        <v>-2803</v>
      </c>
      <c r="HL15" s="211">
        <v>0</v>
      </c>
      <c r="HM15" s="211">
        <f>'[3]11 Intang NL'!$AP$57</f>
        <v>0</v>
      </c>
      <c r="HN15" s="213">
        <f>SUM(HH15:HM15)</f>
        <v>32520</v>
      </c>
    </row>
    <row r="16" spans="5:225" x14ac:dyDescent="0.2">
      <c r="E16" t="s">
        <v>260</v>
      </c>
      <c r="F16" t="s">
        <v>956</v>
      </c>
      <c r="H16" s="129" t="str">
        <f>IF([1]RENAME!$H$3=1,F16,E16)</f>
        <v>Projeto Implantação TLI</v>
      </c>
      <c r="I16" s="160">
        <v>0</v>
      </c>
      <c r="J16" s="118">
        <v>0</v>
      </c>
      <c r="K16" s="161">
        <v>0</v>
      </c>
      <c r="L16" s="160">
        <v>0</v>
      </c>
      <c r="M16" s="118">
        <v>0</v>
      </c>
      <c r="N16" s="118">
        <v>0</v>
      </c>
      <c r="O16" s="118">
        <v>0</v>
      </c>
      <c r="P16" s="161">
        <v>0</v>
      </c>
      <c r="Q16" s="160">
        <v>0</v>
      </c>
      <c r="R16" s="118">
        <v>0</v>
      </c>
      <c r="S16" s="118">
        <v>0</v>
      </c>
      <c r="T16" s="118">
        <v>0</v>
      </c>
      <c r="U16" s="118">
        <v>0</v>
      </c>
      <c r="V16" s="161">
        <v>0</v>
      </c>
      <c r="W16" s="160">
        <v>0</v>
      </c>
      <c r="X16" s="118">
        <v>0</v>
      </c>
      <c r="Y16" s="118">
        <v>0</v>
      </c>
      <c r="Z16" s="118">
        <v>0</v>
      </c>
      <c r="AA16" s="118">
        <v>0</v>
      </c>
      <c r="AB16" s="161">
        <v>0</v>
      </c>
      <c r="AC16" s="160"/>
      <c r="AD16" s="118"/>
      <c r="AE16" s="118"/>
      <c r="AF16" s="161"/>
      <c r="AG16" s="160">
        <v>0</v>
      </c>
      <c r="AH16" s="118">
        <v>0</v>
      </c>
      <c r="AI16" s="118">
        <v>0</v>
      </c>
      <c r="AJ16" s="161"/>
      <c r="AK16" s="160">
        <v>0</v>
      </c>
      <c r="AL16" s="118">
        <v>0</v>
      </c>
      <c r="AM16" s="118">
        <v>0</v>
      </c>
      <c r="AN16" s="161"/>
      <c r="AO16" s="160">
        <v>0</v>
      </c>
      <c r="AP16" s="118">
        <v>0</v>
      </c>
      <c r="AQ16" s="118">
        <v>0</v>
      </c>
      <c r="AR16" s="161"/>
      <c r="AS16" s="212">
        <v>0</v>
      </c>
      <c r="AT16" s="211">
        <v>0</v>
      </c>
      <c r="AU16" s="211">
        <v>0</v>
      </c>
      <c r="AV16" s="213">
        <v>0</v>
      </c>
      <c r="AW16" s="212">
        <v>0</v>
      </c>
      <c r="AX16" s="211">
        <v>0</v>
      </c>
      <c r="AY16" s="211">
        <v>0</v>
      </c>
      <c r="AZ16" s="213">
        <v>0</v>
      </c>
      <c r="BA16" s="212">
        <v>0</v>
      </c>
      <c r="BB16" s="211">
        <v>0</v>
      </c>
      <c r="BC16" s="211">
        <v>0</v>
      </c>
      <c r="BD16" s="213">
        <v>0</v>
      </c>
      <c r="BE16" s="211">
        <v>0</v>
      </c>
      <c r="BF16" s="211">
        <v>0</v>
      </c>
      <c r="BG16" s="211">
        <v>0</v>
      </c>
      <c r="BH16" s="211">
        <v>0</v>
      </c>
      <c r="BI16" s="212">
        <v>0</v>
      </c>
      <c r="BJ16" s="211">
        <v>0</v>
      </c>
      <c r="BK16" s="213">
        <v>0</v>
      </c>
      <c r="BL16" s="211">
        <v>0</v>
      </c>
      <c r="BM16" s="211">
        <v>0</v>
      </c>
      <c r="BN16" s="211">
        <v>0</v>
      </c>
      <c r="BO16" s="211">
        <v>0</v>
      </c>
      <c r="BP16" s="212">
        <v>0</v>
      </c>
      <c r="BQ16" s="211">
        <v>0</v>
      </c>
      <c r="BR16" s="211">
        <v>0</v>
      </c>
      <c r="BS16" s="211">
        <v>0</v>
      </c>
      <c r="BT16" s="212">
        <v>0</v>
      </c>
      <c r="BU16" s="211">
        <v>0</v>
      </c>
      <c r="BV16" s="211">
        <v>0</v>
      </c>
      <c r="BW16" s="213">
        <f>SUM(BO16:BV16)</f>
        <v>0</v>
      </c>
      <c r="BX16" s="212">
        <v>0</v>
      </c>
      <c r="BY16" s="211">
        <v>0</v>
      </c>
      <c r="BZ16" s="211">
        <v>0</v>
      </c>
      <c r="CA16" s="213">
        <f>SUM(BS16:BZ16)</f>
        <v>0</v>
      </c>
      <c r="CB16" s="212">
        <v>0</v>
      </c>
      <c r="CC16" s="211">
        <v>0</v>
      </c>
      <c r="CD16" s="211">
        <v>0</v>
      </c>
      <c r="CE16" s="213">
        <f>SUM(BW16:CD16)</f>
        <v>0</v>
      </c>
      <c r="CF16" s="212">
        <v>0</v>
      </c>
      <c r="CG16" s="211">
        <v>0</v>
      </c>
      <c r="CH16" s="211">
        <v>0</v>
      </c>
      <c r="CI16" s="213">
        <f>SUM(BW16:CH16)</f>
        <v>0</v>
      </c>
      <c r="CJ16" s="212">
        <v>0</v>
      </c>
      <c r="CK16" s="211">
        <v>0</v>
      </c>
      <c r="CL16" s="211">
        <v>0</v>
      </c>
      <c r="CM16" s="213">
        <f>SUM(CA16:CL16)</f>
        <v>0</v>
      </c>
      <c r="CN16" s="211">
        <v>0</v>
      </c>
      <c r="CO16" s="211">
        <v>0</v>
      </c>
      <c r="CP16" s="213">
        <f>SUM(CE16:CO16)</f>
        <v>0</v>
      </c>
      <c r="CQ16" s="212">
        <v>0</v>
      </c>
      <c r="CR16" s="211">
        <v>0</v>
      </c>
      <c r="CS16" s="213">
        <f>SUM(CI16:CR16)</f>
        <v>0</v>
      </c>
      <c r="CT16" s="212">
        <v>0</v>
      </c>
      <c r="CU16" s="211">
        <v>0</v>
      </c>
      <c r="CV16" s="213">
        <v>0</v>
      </c>
      <c r="CW16" s="212">
        <v>0</v>
      </c>
      <c r="CX16" s="211">
        <v>0</v>
      </c>
      <c r="CY16" s="211">
        <v>0</v>
      </c>
      <c r="CZ16" s="213">
        <v>0</v>
      </c>
      <c r="DA16" s="212">
        <v>0</v>
      </c>
      <c r="DB16" s="211">
        <v>0</v>
      </c>
      <c r="DC16" s="211">
        <v>0</v>
      </c>
      <c r="DD16" s="213">
        <v>0</v>
      </c>
      <c r="DE16" s="212">
        <v>0</v>
      </c>
      <c r="DF16" s="211">
        <v>0</v>
      </c>
      <c r="DG16" s="211">
        <v>0</v>
      </c>
      <c r="DH16" s="213">
        <f>SUM(CX16:DF16)</f>
        <v>0</v>
      </c>
      <c r="DI16" s="212">
        <v>0</v>
      </c>
      <c r="DJ16" s="211">
        <v>0</v>
      </c>
      <c r="DK16" s="211">
        <v>0</v>
      </c>
      <c r="DL16" s="213">
        <f>SUM(DB16:DJ16)</f>
        <v>0</v>
      </c>
      <c r="DM16" s="212">
        <v>0</v>
      </c>
      <c r="DN16" s="211">
        <v>0</v>
      </c>
      <c r="DO16" s="211">
        <v>0</v>
      </c>
      <c r="DP16" s="213">
        <f>SUM(DF16:DN16)</f>
        <v>0</v>
      </c>
      <c r="DQ16" s="212">
        <v>0</v>
      </c>
      <c r="DR16" s="211">
        <v>0</v>
      </c>
      <c r="DS16" s="211">
        <v>0</v>
      </c>
      <c r="DT16" s="213">
        <f>SUM(DJ16:DR16)</f>
        <v>0</v>
      </c>
      <c r="DU16" s="212">
        <v>0</v>
      </c>
      <c r="DV16" s="211">
        <v>0</v>
      </c>
      <c r="DW16" s="211">
        <v>0</v>
      </c>
      <c r="DX16" s="213">
        <f>SUM(DN16:DV16)</f>
        <v>0</v>
      </c>
      <c r="DY16" s="212">
        <v>0</v>
      </c>
      <c r="DZ16" s="211">
        <v>0</v>
      </c>
      <c r="EA16" s="211">
        <v>0</v>
      </c>
      <c r="EB16" s="213">
        <v>0</v>
      </c>
      <c r="EC16" s="212">
        <v>0</v>
      </c>
      <c r="ED16" s="211">
        <v>0</v>
      </c>
      <c r="EE16" s="211">
        <v>0</v>
      </c>
      <c r="EF16" s="213">
        <f>SUM(DV16:ED16)</f>
        <v>0</v>
      </c>
      <c r="EG16" s="212">
        <v>0</v>
      </c>
      <c r="EH16" s="211">
        <v>0</v>
      </c>
      <c r="EI16" s="211">
        <v>0</v>
      </c>
      <c r="EJ16" s="213">
        <f>SUM(DV16:EH16)</f>
        <v>0</v>
      </c>
      <c r="EK16" s="212">
        <v>0</v>
      </c>
      <c r="EL16" s="211">
        <v>0</v>
      </c>
      <c r="EM16" s="211">
        <v>0</v>
      </c>
      <c r="EN16" s="213">
        <f>SUM(DZ16:EL16)</f>
        <v>0</v>
      </c>
      <c r="EO16" s="212">
        <v>0</v>
      </c>
      <c r="EP16" s="211">
        <v>0</v>
      </c>
      <c r="EQ16" s="211">
        <v>0</v>
      </c>
      <c r="ER16" s="213">
        <f>SUM(ED16:EP16)</f>
        <v>0</v>
      </c>
      <c r="ES16" s="212">
        <v>0</v>
      </c>
      <c r="ET16" s="211">
        <v>0</v>
      </c>
      <c r="EU16" s="211">
        <v>0</v>
      </c>
      <c r="EV16" s="213">
        <f>SUM(EH16:ET16)</f>
        <v>0</v>
      </c>
      <c r="EW16" s="212">
        <v>0</v>
      </c>
      <c r="EX16" s="211">
        <v>0</v>
      </c>
      <c r="EY16" s="211">
        <v>0</v>
      </c>
      <c r="EZ16" s="213">
        <f>SUM(EL16:EX16)</f>
        <v>0</v>
      </c>
      <c r="FA16" s="212">
        <v>0</v>
      </c>
      <c r="FB16" s="211">
        <v>0</v>
      </c>
      <c r="FC16" s="211">
        <v>0</v>
      </c>
      <c r="FD16" s="213">
        <f>SUM(EP16:FB16)</f>
        <v>0</v>
      </c>
      <c r="FE16" s="212">
        <v>0</v>
      </c>
      <c r="FF16" s="211">
        <v>0</v>
      </c>
      <c r="FG16" s="211">
        <v>0</v>
      </c>
      <c r="FH16" s="213">
        <f>SUM(ET16:FF16)</f>
        <v>0</v>
      </c>
      <c r="FI16" s="212">
        <v>0</v>
      </c>
      <c r="FJ16" s="211">
        <v>0</v>
      </c>
      <c r="FK16" s="211">
        <v>0</v>
      </c>
      <c r="FL16" s="213">
        <f>SUM(EX16:FJ16)</f>
        <v>0</v>
      </c>
      <c r="FM16" s="212">
        <v>0</v>
      </c>
      <c r="FN16" s="211">
        <v>0</v>
      </c>
      <c r="FO16" s="211">
        <v>0</v>
      </c>
      <c r="FP16" s="213">
        <f>SUM(FL16:FO16)</f>
        <v>0</v>
      </c>
      <c r="FQ16" s="211">
        <v>0</v>
      </c>
      <c r="FR16" s="211">
        <v>0</v>
      </c>
      <c r="FS16" s="211">
        <v>0</v>
      </c>
      <c r="FT16" s="213">
        <f>SUM(FP16:FS16)</f>
        <v>0</v>
      </c>
      <c r="FU16" s="211">
        <v>0</v>
      </c>
      <c r="FV16" s="211">
        <v>0</v>
      </c>
      <c r="FW16" s="211">
        <v>0</v>
      </c>
      <c r="FX16" s="213">
        <f>SUM(FT16:FW16)</f>
        <v>0</v>
      </c>
      <c r="FY16" s="212">
        <v>0</v>
      </c>
      <c r="FZ16" s="211" t="s">
        <v>160</v>
      </c>
      <c r="GA16" s="211">
        <v>0</v>
      </c>
      <c r="GB16" s="211">
        <v>0</v>
      </c>
      <c r="GC16" s="211">
        <v>0</v>
      </c>
      <c r="GD16" s="213">
        <f>SUM(FN16:GB16)</f>
        <v>0</v>
      </c>
      <c r="GE16" s="212">
        <v>0</v>
      </c>
      <c r="GF16" s="211">
        <v>0</v>
      </c>
      <c r="GG16" s="211">
        <v>0</v>
      </c>
      <c r="GH16" s="211">
        <v>0</v>
      </c>
      <c r="GI16" s="211" t="s">
        <v>160</v>
      </c>
      <c r="GJ16" s="213">
        <v>0</v>
      </c>
      <c r="GK16" s="212">
        <v>0</v>
      </c>
      <c r="GL16" s="211">
        <v>0</v>
      </c>
      <c r="GM16" s="211">
        <v>0</v>
      </c>
      <c r="GN16" s="211">
        <v>0</v>
      </c>
      <c r="GO16" s="211" t="s">
        <v>160</v>
      </c>
      <c r="GP16" s="213">
        <v>0</v>
      </c>
      <c r="GQ16" s="212">
        <v>0</v>
      </c>
      <c r="GR16" s="211">
        <v>0</v>
      </c>
      <c r="GS16" s="211">
        <v>0</v>
      </c>
      <c r="GT16" s="211">
        <v>0</v>
      </c>
      <c r="GU16" s="211" t="s">
        <v>160</v>
      </c>
      <c r="GV16" s="213">
        <f>SUM(GP16:GU16)</f>
        <v>0</v>
      </c>
      <c r="GW16" s="212">
        <v>0</v>
      </c>
      <c r="GX16" s="211">
        <v>0</v>
      </c>
      <c r="GY16" s="211">
        <v>0</v>
      </c>
      <c r="GZ16" s="211">
        <v>0</v>
      </c>
      <c r="HA16" s="211" t="s">
        <v>160</v>
      </c>
      <c r="HB16" s="213">
        <f>SUM(GV16:HA16)</f>
        <v>0</v>
      </c>
      <c r="HC16" s="211">
        <v>0</v>
      </c>
      <c r="HD16" s="211">
        <v>0</v>
      </c>
      <c r="HE16" s="211">
        <v>0</v>
      </c>
      <c r="HF16" s="211">
        <v>0</v>
      </c>
      <c r="HG16" s="211" t="s">
        <v>160</v>
      </c>
      <c r="HH16" s="213">
        <f>SUM(HB16:HG16)</f>
        <v>0</v>
      </c>
      <c r="HI16" s="212">
        <v>0</v>
      </c>
      <c r="HJ16" s="211">
        <v>0</v>
      </c>
      <c r="HK16" s="211">
        <v>0</v>
      </c>
      <c r="HL16" s="211">
        <v>0</v>
      </c>
      <c r="HM16" s="211" t="s">
        <v>160</v>
      </c>
      <c r="HN16" s="213">
        <f>SUM(HH16:HM16)</f>
        <v>0</v>
      </c>
    </row>
    <row r="17" spans="5:222" x14ac:dyDescent="0.2">
      <c r="E17" t="s">
        <v>2161</v>
      </c>
      <c r="F17" t="s">
        <v>2162</v>
      </c>
      <c r="H17" s="129" t="str">
        <f>IF([1]RENAME!$H$3=1,F17,E17)</f>
        <v>Intangível em andamento</v>
      </c>
      <c r="I17" s="160">
        <v>0</v>
      </c>
      <c r="J17" s="118">
        <v>0</v>
      </c>
      <c r="K17" s="161">
        <v>0</v>
      </c>
      <c r="L17" s="160">
        <v>0</v>
      </c>
      <c r="M17" s="118">
        <v>0</v>
      </c>
      <c r="N17" s="118">
        <v>0</v>
      </c>
      <c r="O17" s="118">
        <v>0</v>
      </c>
      <c r="P17" s="161">
        <v>0</v>
      </c>
      <c r="Q17" s="160">
        <v>0</v>
      </c>
      <c r="R17" s="118">
        <v>0</v>
      </c>
      <c r="S17" s="118">
        <v>0</v>
      </c>
      <c r="T17" s="118">
        <v>0</v>
      </c>
      <c r="U17" s="118">
        <v>0</v>
      </c>
      <c r="V17" s="161">
        <v>0</v>
      </c>
      <c r="W17" s="160">
        <v>0</v>
      </c>
      <c r="X17" s="118">
        <v>0</v>
      </c>
      <c r="Y17" s="118">
        <v>0</v>
      </c>
      <c r="Z17" s="118">
        <v>0</v>
      </c>
      <c r="AA17" s="118">
        <v>0</v>
      </c>
      <c r="AB17" s="161">
        <v>0</v>
      </c>
      <c r="AC17" s="160"/>
      <c r="AD17" s="118"/>
      <c r="AE17" s="118"/>
      <c r="AF17" s="161"/>
      <c r="AG17" s="160">
        <v>0</v>
      </c>
      <c r="AH17" s="118">
        <v>0</v>
      </c>
      <c r="AI17" s="118">
        <v>0</v>
      </c>
      <c r="AJ17" s="161"/>
      <c r="AK17" s="160">
        <v>0</v>
      </c>
      <c r="AL17" s="118">
        <v>0</v>
      </c>
      <c r="AM17" s="118">
        <v>0</v>
      </c>
      <c r="AN17" s="161"/>
      <c r="AO17" s="160">
        <v>0</v>
      </c>
      <c r="AP17" s="118">
        <v>0</v>
      </c>
      <c r="AQ17" s="118">
        <v>0</v>
      </c>
      <c r="AR17" s="161"/>
      <c r="AS17" s="212">
        <v>0</v>
      </c>
      <c r="AT17" s="211">
        <v>0</v>
      </c>
      <c r="AU17" s="211">
        <v>0</v>
      </c>
      <c r="AV17" s="213">
        <v>0</v>
      </c>
      <c r="AW17" s="212">
        <v>0</v>
      </c>
      <c r="AX17" s="211">
        <v>0</v>
      </c>
      <c r="AY17" s="211">
        <v>0</v>
      </c>
      <c r="AZ17" s="213">
        <v>0</v>
      </c>
      <c r="BA17" s="212">
        <v>0</v>
      </c>
      <c r="BB17" s="211">
        <v>0</v>
      </c>
      <c r="BC17" s="211">
        <v>0</v>
      </c>
      <c r="BD17" s="213">
        <v>0</v>
      </c>
      <c r="BE17" s="211">
        <v>0</v>
      </c>
      <c r="BF17" s="211">
        <v>0</v>
      </c>
      <c r="BG17" s="211">
        <v>0</v>
      </c>
      <c r="BH17" s="211">
        <v>0</v>
      </c>
      <c r="BI17" s="212">
        <v>0</v>
      </c>
      <c r="BJ17" s="211">
        <v>0</v>
      </c>
      <c r="BK17" s="213">
        <v>0</v>
      </c>
      <c r="BL17" s="211">
        <v>0</v>
      </c>
      <c r="BM17" s="211">
        <v>0</v>
      </c>
      <c r="BN17" s="211">
        <v>0</v>
      </c>
      <c r="BO17" s="211">
        <v>0</v>
      </c>
      <c r="BP17" s="212">
        <v>0</v>
      </c>
      <c r="BQ17" s="211">
        <v>0</v>
      </c>
      <c r="BR17" s="211">
        <v>0</v>
      </c>
      <c r="BS17" s="211">
        <v>0</v>
      </c>
      <c r="BT17" s="212">
        <v>0</v>
      </c>
      <c r="BU17" s="211">
        <v>0</v>
      </c>
      <c r="BV17" s="211">
        <v>0</v>
      </c>
      <c r="BW17" s="213">
        <f>SUM(BO17:BV17)</f>
        <v>0</v>
      </c>
      <c r="BX17" s="212">
        <v>0</v>
      </c>
      <c r="BY17" s="211">
        <v>0</v>
      </c>
      <c r="BZ17" s="211">
        <v>0</v>
      </c>
      <c r="CA17" s="213">
        <f>SUM(BS17:BZ17)</f>
        <v>0</v>
      </c>
      <c r="CB17" s="212">
        <v>0</v>
      </c>
      <c r="CC17" s="211">
        <v>0</v>
      </c>
      <c r="CD17" s="211">
        <v>0</v>
      </c>
      <c r="CE17" s="213">
        <f>SUM(BW17:CD17)</f>
        <v>0</v>
      </c>
      <c r="CF17" s="212">
        <v>0</v>
      </c>
      <c r="CG17" s="211">
        <v>0</v>
      </c>
      <c r="CH17" s="211">
        <v>0</v>
      </c>
      <c r="CI17" s="213">
        <f>SUM(BW17:CH17)</f>
        <v>0</v>
      </c>
      <c r="CJ17" s="212">
        <v>0</v>
      </c>
      <c r="CK17" s="211">
        <v>0</v>
      </c>
      <c r="CL17" s="211">
        <v>0</v>
      </c>
      <c r="CM17" s="213">
        <f>SUM(CA17:CL17)</f>
        <v>0</v>
      </c>
      <c r="CN17" s="211">
        <v>0</v>
      </c>
      <c r="CO17" s="211">
        <v>0</v>
      </c>
      <c r="CP17" s="213">
        <f>SUM(CE17:CO17)</f>
        <v>0</v>
      </c>
      <c r="CQ17" s="212">
        <v>0</v>
      </c>
      <c r="CR17" s="211">
        <v>0</v>
      </c>
      <c r="CS17" s="213">
        <f>SUM(CI17:CR17)</f>
        <v>0</v>
      </c>
      <c r="CT17" s="212">
        <v>0</v>
      </c>
      <c r="CU17" s="211">
        <v>0</v>
      </c>
      <c r="CV17" s="213">
        <v>0</v>
      </c>
      <c r="CW17" s="212">
        <v>0</v>
      </c>
      <c r="CX17" s="211">
        <v>0</v>
      </c>
      <c r="CY17" s="211">
        <v>0</v>
      </c>
      <c r="CZ17" s="213">
        <v>0</v>
      </c>
      <c r="DA17" s="212">
        <v>0</v>
      </c>
      <c r="DB17" s="211">
        <v>0</v>
      </c>
      <c r="DC17" s="211">
        <v>0</v>
      </c>
      <c r="DD17" s="213">
        <v>0</v>
      </c>
      <c r="DE17" s="212">
        <v>0</v>
      </c>
      <c r="DF17" s="211">
        <v>0</v>
      </c>
      <c r="DG17" s="211">
        <v>0</v>
      </c>
      <c r="DH17" s="213">
        <f>SUM(CX17:DF17)</f>
        <v>0</v>
      </c>
      <c r="DI17" s="212">
        <v>0</v>
      </c>
      <c r="DJ17" s="211">
        <v>0</v>
      </c>
      <c r="DK17" s="211">
        <v>0</v>
      </c>
      <c r="DL17" s="213">
        <f>SUM(DB17:DJ17)</f>
        <v>0</v>
      </c>
      <c r="DM17" s="212">
        <v>0</v>
      </c>
      <c r="DN17" s="211">
        <v>0</v>
      </c>
      <c r="DO17" s="211">
        <v>0</v>
      </c>
      <c r="DP17" s="213">
        <f>SUM(DF17:DN17)</f>
        <v>0</v>
      </c>
      <c r="DQ17" s="212">
        <v>0</v>
      </c>
      <c r="DR17" s="211">
        <v>0</v>
      </c>
      <c r="DS17" s="211">
        <v>0</v>
      </c>
      <c r="DT17" s="213">
        <f>SUM(DJ17:DR17)</f>
        <v>0</v>
      </c>
      <c r="DU17" s="212">
        <v>0</v>
      </c>
      <c r="DV17" s="211">
        <v>0</v>
      </c>
      <c r="DW17" s="211">
        <v>0</v>
      </c>
      <c r="DX17" s="213">
        <f>SUM(DN17:DV17)</f>
        <v>0</v>
      </c>
      <c r="DY17" s="212">
        <v>0</v>
      </c>
      <c r="DZ17" s="211">
        <v>0</v>
      </c>
      <c r="EA17" s="211">
        <v>0</v>
      </c>
      <c r="EB17" s="213">
        <v>0</v>
      </c>
      <c r="EC17" s="212">
        <v>0</v>
      </c>
      <c r="ED17" s="211">
        <v>0</v>
      </c>
      <c r="EE17" s="211">
        <v>0</v>
      </c>
      <c r="EF17" s="213">
        <f>SUM(DV17:ED17)</f>
        <v>0</v>
      </c>
      <c r="EG17" s="212">
        <v>0</v>
      </c>
      <c r="EH17" s="211">
        <v>0</v>
      </c>
      <c r="EI17" s="211">
        <v>0</v>
      </c>
      <c r="EJ17" s="213">
        <f>SUM(DV17:EH17)</f>
        <v>0</v>
      </c>
      <c r="EK17" s="212">
        <v>0</v>
      </c>
      <c r="EL17" s="211">
        <v>0</v>
      </c>
      <c r="EM17" s="211">
        <v>0</v>
      </c>
      <c r="EN17" s="213">
        <f>SUM(DZ17:EL17)</f>
        <v>0</v>
      </c>
      <c r="EO17" s="212">
        <v>0</v>
      </c>
      <c r="EP17" s="211">
        <v>0</v>
      </c>
      <c r="EQ17" s="211">
        <v>0</v>
      </c>
      <c r="ER17" s="213">
        <f>SUM(ED17:EP17)</f>
        <v>0</v>
      </c>
      <c r="ES17" s="212">
        <v>0</v>
      </c>
      <c r="ET17" s="211">
        <v>0</v>
      </c>
      <c r="EU17" s="211">
        <v>0</v>
      </c>
      <c r="EV17" s="213">
        <f>SUM(EH17:ET17)</f>
        <v>0</v>
      </c>
      <c r="EW17" s="212">
        <v>0</v>
      </c>
      <c r="EX17" s="211">
        <v>0</v>
      </c>
      <c r="EY17" s="211">
        <v>0</v>
      </c>
      <c r="EZ17" s="213">
        <f>SUM(EL17:EX17)</f>
        <v>0</v>
      </c>
      <c r="FA17" s="212">
        <v>0</v>
      </c>
      <c r="FB17" s="211">
        <v>0</v>
      </c>
      <c r="FC17" s="211">
        <v>0</v>
      </c>
      <c r="FD17" s="213">
        <f>SUM(EP17:FB17)</f>
        <v>0</v>
      </c>
      <c r="FE17" s="212">
        <v>0</v>
      </c>
      <c r="FF17" s="211">
        <v>0</v>
      </c>
      <c r="FG17" s="211">
        <v>0</v>
      </c>
      <c r="FH17" s="213">
        <f>SUM(ET17:FF17)</f>
        <v>0</v>
      </c>
      <c r="FI17" s="212">
        <v>0</v>
      </c>
      <c r="FJ17" s="211">
        <v>0</v>
      </c>
      <c r="FK17" s="211">
        <v>0</v>
      </c>
      <c r="FL17" s="213">
        <f>SUM(EX17:FJ17)</f>
        <v>0</v>
      </c>
      <c r="FM17" s="212">
        <v>1222</v>
      </c>
      <c r="FN17" s="211">
        <v>0</v>
      </c>
      <c r="FO17" s="211">
        <v>3638</v>
      </c>
      <c r="FP17" s="213">
        <f>SUM(FL17:FO17)</f>
        <v>4860</v>
      </c>
      <c r="FQ17" s="211">
        <v>2747</v>
      </c>
      <c r="FR17" s="211">
        <v>0</v>
      </c>
      <c r="FS17" s="211">
        <v>18</v>
      </c>
      <c r="FT17" s="213">
        <f>SUM(FP17:FS17)</f>
        <v>7625</v>
      </c>
      <c r="FU17" s="211">
        <v>2747</v>
      </c>
      <c r="FV17" s="211">
        <v>0</v>
      </c>
      <c r="FW17" s="211">
        <v>18</v>
      </c>
      <c r="FX17" s="213">
        <f>SUM(FT17:FW17)</f>
        <v>10390</v>
      </c>
      <c r="FY17" s="212">
        <v>6808</v>
      </c>
      <c r="FZ17" s="211">
        <v>-16567</v>
      </c>
      <c r="GA17" s="211">
        <v>0</v>
      </c>
      <c r="GB17" s="211">
        <v>0</v>
      </c>
      <c r="GC17" s="211">
        <v>-36</v>
      </c>
      <c r="GD17" s="213">
        <f>SUM(FX17:GC17)</f>
        <v>595</v>
      </c>
      <c r="GE17" s="212">
        <v>5763</v>
      </c>
      <c r="GF17" s="211">
        <v>-2562</v>
      </c>
      <c r="GG17" s="211">
        <v>0</v>
      </c>
      <c r="GH17" s="211">
        <v>0</v>
      </c>
      <c r="GI17" s="211" t="s">
        <v>160</v>
      </c>
      <c r="GJ17" s="213">
        <v>3796</v>
      </c>
      <c r="GK17" s="212">
        <v>2641</v>
      </c>
      <c r="GL17" s="211">
        <v>-180</v>
      </c>
      <c r="GM17" s="211">
        <v>0</v>
      </c>
      <c r="GN17" s="211">
        <v>0</v>
      </c>
      <c r="GO17" s="211" t="s">
        <v>160</v>
      </c>
      <c r="GP17" s="213">
        <v>6257</v>
      </c>
      <c r="GQ17" s="212">
        <v>2300</v>
      </c>
      <c r="GR17" s="211">
        <v>-6891</v>
      </c>
      <c r="GS17" s="211">
        <v>0</v>
      </c>
      <c r="GT17" s="211">
        <v>0</v>
      </c>
      <c r="GU17" s="211" t="s">
        <v>160</v>
      </c>
      <c r="GV17" s="213">
        <f>SUM(GP17:GU17)</f>
        <v>1666</v>
      </c>
      <c r="GW17" s="212">
        <v>3792</v>
      </c>
      <c r="GX17" s="211">
        <v>-1468</v>
      </c>
      <c r="GY17" s="211">
        <v>0</v>
      </c>
      <c r="GZ17" s="211">
        <v>0</v>
      </c>
      <c r="HA17" s="211">
        <v>-236</v>
      </c>
      <c r="HB17" s="213">
        <f>SUM(GV17:HA17)</f>
        <v>3754</v>
      </c>
      <c r="HC17" s="211">
        <v>2551</v>
      </c>
      <c r="HD17" s="211">
        <v>0</v>
      </c>
      <c r="HE17" s="211">
        <v>0</v>
      </c>
      <c r="HF17" s="211">
        <v>0</v>
      </c>
      <c r="HG17" s="211">
        <v>0</v>
      </c>
      <c r="HH17" s="213">
        <f>SUM(HB17:HG17)</f>
        <v>6305</v>
      </c>
      <c r="HI17" s="212">
        <f>+'[3]11 Intang NL'!$AR$53-HC17</f>
        <v>1110</v>
      </c>
      <c r="HJ17" s="211">
        <f>+'[3]11 Intang NL'!$AR$54</f>
        <v>0</v>
      </c>
      <c r="HK17" s="211">
        <v>0</v>
      </c>
      <c r="HL17" s="211">
        <f>'[3]11 Intang NL'!$AR$56-GZ17-GT17</f>
        <v>0</v>
      </c>
      <c r="HM17" s="211">
        <f>'[3]11 Intang NL'!$AR$57</f>
        <v>0</v>
      </c>
      <c r="HN17" s="213">
        <f>SUM(HH17:HM17)</f>
        <v>7415</v>
      </c>
    </row>
    <row r="18" spans="5:222" x14ac:dyDescent="0.2">
      <c r="E18" t="s">
        <v>112</v>
      </c>
      <c r="F18" t="s">
        <v>112</v>
      </c>
      <c r="H18" s="120" t="str">
        <f>IF([1]RENAME!$H$3=1,F18,E18)</f>
        <v>Total</v>
      </c>
      <c r="I18" s="162">
        <f t="shared" ref="I18:AJ18" si="1">SUM(I15:I16)</f>
        <v>851</v>
      </c>
      <c r="J18" s="120">
        <f t="shared" si="1"/>
        <v>-703</v>
      </c>
      <c r="K18" s="163">
        <f t="shared" si="1"/>
        <v>9847</v>
      </c>
      <c r="L18" s="162">
        <f t="shared" si="1"/>
        <v>-608</v>
      </c>
      <c r="M18" s="120">
        <f t="shared" si="1"/>
        <v>-524</v>
      </c>
      <c r="N18" s="120">
        <f t="shared" si="1"/>
        <v>-1107</v>
      </c>
      <c r="O18" s="120">
        <f t="shared" si="1"/>
        <v>0</v>
      </c>
      <c r="P18" s="163">
        <f t="shared" si="1"/>
        <v>7608</v>
      </c>
      <c r="Q18" s="162">
        <f t="shared" si="1"/>
        <v>35</v>
      </c>
      <c r="R18" s="120">
        <f t="shared" si="1"/>
        <v>-603</v>
      </c>
      <c r="S18" s="120">
        <f t="shared" si="1"/>
        <v>0</v>
      </c>
      <c r="T18" s="120">
        <f t="shared" si="1"/>
        <v>0</v>
      </c>
      <c r="U18" s="120">
        <f t="shared" si="1"/>
        <v>0</v>
      </c>
      <c r="V18" s="163">
        <f t="shared" si="1"/>
        <v>7040</v>
      </c>
      <c r="W18" s="162">
        <f t="shared" si="1"/>
        <v>1497</v>
      </c>
      <c r="X18" s="120">
        <f t="shared" si="1"/>
        <v>-1184</v>
      </c>
      <c r="Y18" s="120">
        <f t="shared" si="1"/>
        <v>0</v>
      </c>
      <c r="Z18" s="120">
        <f t="shared" si="1"/>
        <v>0</v>
      </c>
      <c r="AA18" s="120">
        <f t="shared" si="1"/>
        <v>-39</v>
      </c>
      <c r="AB18" s="163">
        <f t="shared" si="1"/>
        <v>7314</v>
      </c>
      <c r="AC18" s="162">
        <f t="shared" si="1"/>
        <v>93</v>
      </c>
      <c r="AD18" s="120">
        <f t="shared" si="1"/>
        <v>7206</v>
      </c>
      <c r="AE18" s="120">
        <f t="shared" si="1"/>
        <v>-783</v>
      </c>
      <c r="AF18" s="163">
        <f t="shared" si="1"/>
        <v>13830</v>
      </c>
      <c r="AG18" s="162">
        <f t="shared" si="1"/>
        <v>357</v>
      </c>
      <c r="AH18" s="120">
        <f t="shared" si="1"/>
        <v>1395</v>
      </c>
      <c r="AI18" s="120">
        <f t="shared" si="1"/>
        <v>-1018</v>
      </c>
      <c r="AJ18" s="163">
        <f t="shared" si="1"/>
        <v>14564</v>
      </c>
      <c r="AK18" s="162">
        <f t="shared" ref="AK18:BD18" si="2">SUM(AK15:AK16)</f>
        <v>245</v>
      </c>
      <c r="AL18" s="120">
        <f t="shared" si="2"/>
        <v>1326</v>
      </c>
      <c r="AM18" s="120">
        <f t="shared" si="2"/>
        <v>-1215</v>
      </c>
      <c r="AN18" s="163">
        <f t="shared" si="2"/>
        <v>14920</v>
      </c>
      <c r="AO18" s="162">
        <f t="shared" si="2"/>
        <v>160</v>
      </c>
      <c r="AP18" s="120">
        <f t="shared" si="2"/>
        <v>1024</v>
      </c>
      <c r="AQ18" s="120">
        <f t="shared" si="2"/>
        <v>-1401</v>
      </c>
      <c r="AR18" s="163">
        <f t="shared" si="2"/>
        <v>14703</v>
      </c>
      <c r="AS18" s="162">
        <f t="shared" si="2"/>
        <v>323</v>
      </c>
      <c r="AT18" s="120">
        <f t="shared" si="2"/>
        <v>44</v>
      </c>
      <c r="AU18" s="120">
        <f t="shared" si="2"/>
        <v>-1408</v>
      </c>
      <c r="AV18" s="163">
        <f t="shared" si="2"/>
        <v>13662</v>
      </c>
      <c r="AW18" s="162">
        <f t="shared" si="2"/>
        <v>908</v>
      </c>
      <c r="AX18" s="120">
        <f t="shared" si="2"/>
        <v>1981</v>
      </c>
      <c r="AY18" s="120">
        <f t="shared" si="2"/>
        <v>-1192</v>
      </c>
      <c r="AZ18" s="163">
        <f t="shared" si="2"/>
        <v>15359</v>
      </c>
      <c r="BA18" s="162">
        <f t="shared" si="2"/>
        <v>311</v>
      </c>
      <c r="BB18" s="120">
        <f t="shared" si="2"/>
        <v>-708</v>
      </c>
      <c r="BC18" s="120">
        <f t="shared" si="2"/>
        <v>-1200</v>
      </c>
      <c r="BD18" s="163">
        <f t="shared" si="2"/>
        <v>13762</v>
      </c>
      <c r="BE18" s="120">
        <v>318</v>
      </c>
      <c r="BF18" s="120">
        <v>1</v>
      </c>
      <c r="BG18" s="120">
        <v>-1184</v>
      </c>
      <c r="BH18" s="120">
        <v>12897</v>
      </c>
      <c r="BI18" s="162">
        <v>1244</v>
      </c>
      <c r="BJ18" s="120">
        <v>-1172</v>
      </c>
      <c r="BK18" s="163">
        <f>SUM(BH18:BJ18)</f>
        <v>12969</v>
      </c>
      <c r="BL18" s="120">
        <v>878</v>
      </c>
      <c r="BM18" s="120">
        <v>-1181</v>
      </c>
      <c r="BN18" s="120">
        <v>0</v>
      </c>
      <c r="BO18" s="163">
        <f>SUM(BK18:BN18)</f>
        <v>12666</v>
      </c>
      <c r="BP18" s="162">
        <f t="shared" ref="BP18:CO18" si="3">SUM(BP15:BP16)</f>
        <v>976</v>
      </c>
      <c r="BQ18" s="120">
        <f t="shared" si="3"/>
        <v>-1161</v>
      </c>
      <c r="BR18" s="120">
        <f t="shared" si="3"/>
        <v>0</v>
      </c>
      <c r="BS18" s="163">
        <f t="shared" si="3"/>
        <v>12481</v>
      </c>
      <c r="BT18" s="162">
        <f t="shared" si="3"/>
        <v>1273</v>
      </c>
      <c r="BU18" s="120">
        <f t="shared" si="3"/>
        <v>-1186</v>
      </c>
      <c r="BV18" s="120">
        <f t="shared" si="3"/>
        <v>0</v>
      </c>
      <c r="BW18" s="163">
        <f t="shared" si="3"/>
        <v>12568</v>
      </c>
      <c r="BX18" s="162">
        <f t="shared" si="3"/>
        <v>1039</v>
      </c>
      <c r="BY18" s="120">
        <f t="shared" si="3"/>
        <v>-1154</v>
      </c>
      <c r="BZ18" s="120">
        <f t="shared" si="3"/>
        <v>-1036</v>
      </c>
      <c r="CA18" s="163">
        <f t="shared" si="3"/>
        <v>11417</v>
      </c>
      <c r="CB18" s="162">
        <f t="shared" si="3"/>
        <v>897</v>
      </c>
      <c r="CC18" s="120">
        <f t="shared" si="3"/>
        <v>-1158</v>
      </c>
      <c r="CD18" s="120">
        <f t="shared" si="3"/>
        <v>0</v>
      </c>
      <c r="CE18" s="163">
        <f t="shared" si="3"/>
        <v>11156</v>
      </c>
      <c r="CF18" s="162">
        <f>SUM(CF15:CF16)</f>
        <v>1443</v>
      </c>
      <c r="CG18" s="120">
        <f>SUM(CG15:CG16)</f>
        <v>-1193</v>
      </c>
      <c r="CH18" s="120">
        <f>SUM(CH15:CH16)</f>
        <v>0</v>
      </c>
      <c r="CI18" s="163">
        <f>SUM(CI15:CI16)</f>
        <v>11406</v>
      </c>
      <c r="CJ18" s="162">
        <f t="shared" si="3"/>
        <v>2222</v>
      </c>
      <c r="CK18" s="120">
        <f t="shared" si="3"/>
        <v>-1185</v>
      </c>
      <c r="CL18" s="120">
        <f t="shared" si="3"/>
        <v>-21</v>
      </c>
      <c r="CM18" s="163">
        <f t="shared" si="3"/>
        <v>12422</v>
      </c>
      <c r="CN18" s="162">
        <f t="shared" si="3"/>
        <v>1424</v>
      </c>
      <c r="CO18" s="120">
        <f t="shared" si="3"/>
        <v>-1232</v>
      </c>
      <c r="CP18" s="163">
        <f>SUM(CP15:CP16)</f>
        <v>12614</v>
      </c>
      <c r="CQ18" s="162">
        <f>SUM(CQ15:CQ16)</f>
        <v>672</v>
      </c>
      <c r="CR18" s="120">
        <f>SUM(CR15:CR16)</f>
        <v>-1284</v>
      </c>
      <c r="CS18" s="163">
        <f>SUM(CS15:CS16)</f>
        <v>12002</v>
      </c>
      <c r="CT18" s="162">
        <v>874</v>
      </c>
      <c r="CU18" s="120">
        <v>-1319</v>
      </c>
      <c r="CV18" s="163">
        <v>11557</v>
      </c>
      <c r="CW18" s="162">
        <f t="shared" ref="CW18:EM18" si="4">SUM(CW15:CW16)</f>
        <v>1227</v>
      </c>
      <c r="CX18" s="120">
        <f t="shared" si="4"/>
        <v>-1349</v>
      </c>
      <c r="CY18" s="120">
        <f t="shared" si="4"/>
        <v>-21</v>
      </c>
      <c r="CZ18" s="163">
        <f t="shared" si="4"/>
        <v>11414</v>
      </c>
      <c r="DA18" s="162">
        <f t="shared" si="4"/>
        <v>1497</v>
      </c>
      <c r="DB18" s="120">
        <f t="shared" si="4"/>
        <v>-1200</v>
      </c>
      <c r="DC18" s="120">
        <f t="shared" si="4"/>
        <v>-21</v>
      </c>
      <c r="DD18" s="163">
        <f t="shared" si="4"/>
        <v>11690</v>
      </c>
      <c r="DE18" s="162">
        <f t="shared" si="4"/>
        <v>961</v>
      </c>
      <c r="DF18" s="120">
        <f t="shared" si="4"/>
        <v>-1042</v>
      </c>
      <c r="DG18" s="120">
        <f t="shared" si="4"/>
        <v>51</v>
      </c>
      <c r="DH18" s="163">
        <f t="shared" si="4"/>
        <v>11660</v>
      </c>
      <c r="DI18" s="162">
        <f t="shared" si="4"/>
        <v>633</v>
      </c>
      <c r="DJ18" s="120">
        <f t="shared" si="4"/>
        <v>-1051</v>
      </c>
      <c r="DK18" s="120">
        <f t="shared" si="4"/>
        <v>-50</v>
      </c>
      <c r="DL18" s="163">
        <f t="shared" si="4"/>
        <v>11192</v>
      </c>
      <c r="DM18" s="162">
        <f t="shared" si="4"/>
        <v>766</v>
      </c>
      <c r="DN18" s="120">
        <f t="shared" si="4"/>
        <v>-1026</v>
      </c>
      <c r="DO18" s="120">
        <f t="shared" si="4"/>
        <v>-195</v>
      </c>
      <c r="DP18" s="163">
        <f t="shared" si="4"/>
        <v>10737</v>
      </c>
      <c r="DQ18" s="162">
        <f t="shared" si="4"/>
        <v>1791</v>
      </c>
      <c r="DR18" s="120">
        <f t="shared" si="4"/>
        <v>-1028</v>
      </c>
      <c r="DS18" s="120">
        <f t="shared" si="4"/>
        <v>43</v>
      </c>
      <c r="DT18" s="163">
        <f t="shared" si="4"/>
        <v>11543</v>
      </c>
      <c r="DU18" s="162">
        <f t="shared" si="4"/>
        <v>1091</v>
      </c>
      <c r="DV18" s="120">
        <f t="shared" si="4"/>
        <v>-1046</v>
      </c>
      <c r="DW18" s="120">
        <f t="shared" si="4"/>
        <v>125</v>
      </c>
      <c r="DX18" s="163">
        <f t="shared" si="4"/>
        <v>11713</v>
      </c>
      <c r="DY18" s="162">
        <f t="shared" si="4"/>
        <v>1227</v>
      </c>
      <c r="DZ18" s="120">
        <f t="shared" si="4"/>
        <v>-1074</v>
      </c>
      <c r="EA18" s="120">
        <f t="shared" si="4"/>
        <v>0</v>
      </c>
      <c r="EB18" s="163">
        <f t="shared" si="4"/>
        <v>11866</v>
      </c>
      <c r="EC18" s="162">
        <f t="shared" si="4"/>
        <v>1786</v>
      </c>
      <c r="ED18" s="120">
        <f t="shared" si="4"/>
        <v>-1125</v>
      </c>
      <c r="EE18" s="120">
        <f t="shared" si="4"/>
        <v>-6</v>
      </c>
      <c r="EF18" s="163">
        <f t="shared" si="4"/>
        <v>12521</v>
      </c>
      <c r="EG18" s="162">
        <f>SUM(EG15:EG16)</f>
        <v>2182</v>
      </c>
      <c r="EH18" s="120">
        <f>SUM(EH15:EH16)</f>
        <v>-1203</v>
      </c>
      <c r="EI18" s="120">
        <f>SUM(EI15:EI16)</f>
        <v>0</v>
      </c>
      <c r="EJ18" s="163">
        <f>SUM(EJ15:EJ16)</f>
        <v>13500</v>
      </c>
      <c r="EK18" s="162">
        <f t="shared" si="4"/>
        <v>886</v>
      </c>
      <c r="EL18" s="120">
        <f t="shared" si="4"/>
        <v>-1223</v>
      </c>
      <c r="EM18" s="120">
        <f t="shared" si="4"/>
        <v>3</v>
      </c>
      <c r="EN18" s="163">
        <f>SUM(EJ18:EM18)</f>
        <v>13166</v>
      </c>
      <c r="EO18" s="162">
        <f>SUM(EO15:EO16)</f>
        <v>2323</v>
      </c>
      <c r="EP18" s="120">
        <f>SUM(EP15:EP16)</f>
        <v>-1240</v>
      </c>
      <c r="EQ18" s="120">
        <f>SUM(EQ15:EQ16)</f>
        <v>-3</v>
      </c>
      <c r="ER18" s="163">
        <f>SUM(EN18:EQ18)</f>
        <v>14246</v>
      </c>
      <c r="ES18" s="162">
        <f>SUM(ES15:ES16)</f>
        <v>3171</v>
      </c>
      <c r="ET18" s="120">
        <f>SUM(ET15:ET16)</f>
        <v>-1330</v>
      </c>
      <c r="EU18" s="120">
        <f>SUM(EU15:EU16)</f>
        <v>-15</v>
      </c>
      <c r="EV18" s="163">
        <f>SUM(ER18:EU18)</f>
        <v>16072</v>
      </c>
      <c r="EW18" s="162">
        <f>SUM(EW15:EW16)</f>
        <v>2642</v>
      </c>
      <c r="EX18" s="120">
        <f>SUM(EX15:EX16)</f>
        <v>-1407</v>
      </c>
      <c r="EY18" s="120">
        <f>SUM(EY15:EY16)</f>
        <v>-25</v>
      </c>
      <c r="EZ18" s="163">
        <f>SUM(EV18:EY18)</f>
        <v>17282</v>
      </c>
      <c r="FA18" s="162">
        <f>SUM(FA15:FA16)</f>
        <v>1536</v>
      </c>
      <c r="FB18" s="120">
        <f>SUM(FB15:FB16)</f>
        <v>-1490</v>
      </c>
      <c r="FC18" s="120">
        <f>SUM(FC15:FC16)</f>
        <v>25</v>
      </c>
      <c r="FD18" s="163">
        <f>SUM(EZ18:FC18)</f>
        <v>17353</v>
      </c>
      <c r="FE18" s="162">
        <f>SUM(FE15:FE16)</f>
        <v>1381</v>
      </c>
      <c r="FF18" s="120">
        <f>SUM(FF15:FF16)</f>
        <v>-1523</v>
      </c>
      <c r="FG18" s="120">
        <f>SUM(FG15:FG16)</f>
        <v>-24</v>
      </c>
      <c r="FH18" s="163">
        <f>SUM(FD18:FG18)</f>
        <v>17187</v>
      </c>
      <c r="FI18" s="162">
        <f>SUM(FI15:FI16)</f>
        <v>1057</v>
      </c>
      <c r="FJ18" s="120">
        <f>SUM(FJ15:FJ16)</f>
        <v>-1496</v>
      </c>
      <c r="FK18" s="120">
        <f>SUM(FK15:FK16)</f>
        <v>0</v>
      </c>
      <c r="FL18" s="163">
        <f>SUM(FH18:FK18)</f>
        <v>16748</v>
      </c>
      <c r="FM18" s="162">
        <f t="shared" ref="FM18:GU18" si="5">SUM(FM15:FM17)</f>
        <v>3359</v>
      </c>
      <c r="FN18" s="120">
        <f t="shared" si="5"/>
        <v>-1477</v>
      </c>
      <c r="FO18" s="120">
        <f t="shared" si="5"/>
        <v>3638</v>
      </c>
      <c r="FP18" s="163">
        <f t="shared" si="5"/>
        <v>22268</v>
      </c>
      <c r="FQ18" s="162">
        <f t="shared" si="5"/>
        <v>3085</v>
      </c>
      <c r="FR18" s="120">
        <f t="shared" si="5"/>
        <v>-1492</v>
      </c>
      <c r="FS18" s="120">
        <f t="shared" si="5"/>
        <v>0</v>
      </c>
      <c r="FT18" s="163">
        <f t="shared" si="5"/>
        <v>23861</v>
      </c>
      <c r="FU18" s="162">
        <f t="shared" si="5"/>
        <v>3085</v>
      </c>
      <c r="FV18" s="120">
        <f t="shared" si="5"/>
        <v>-1492</v>
      </c>
      <c r="FW18" s="120">
        <f t="shared" si="5"/>
        <v>0</v>
      </c>
      <c r="FX18" s="163">
        <f t="shared" si="5"/>
        <v>25454</v>
      </c>
      <c r="FY18" s="162">
        <f t="shared" si="5"/>
        <v>7197</v>
      </c>
      <c r="FZ18" s="162">
        <f t="shared" si="5"/>
        <v>36</v>
      </c>
      <c r="GA18" s="120">
        <f t="shared" si="5"/>
        <v>-1718</v>
      </c>
      <c r="GB18" s="120">
        <f t="shared" si="5"/>
        <v>0</v>
      </c>
      <c r="GC18" s="120">
        <f t="shared" si="5"/>
        <v>-58</v>
      </c>
      <c r="GD18" s="163">
        <f t="shared" si="5"/>
        <v>30911</v>
      </c>
      <c r="GE18" s="162">
        <f t="shared" si="5"/>
        <v>5763</v>
      </c>
      <c r="GF18" s="207" t="s">
        <v>160</v>
      </c>
      <c r="GG18" s="120">
        <f t="shared" ref="GG18:GO18" si="6">SUM(GG15:GG17)</f>
        <v>-2377</v>
      </c>
      <c r="GH18" s="120">
        <f t="shared" si="6"/>
        <v>0</v>
      </c>
      <c r="GI18" s="120">
        <f t="shared" si="6"/>
        <v>0</v>
      </c>
      <c r="GJ18" s="163">
        <f t="shared" si="6"/>
        <v>34297</v>
      </c>
      <c r="GK18" s="162">
        <f t="shared" si="6"/>
        <v>2642</v>
      </c>
      <c r="GL18" s="120">
        <f t="shared" si="6"/>
        <v>0</v>
      </c>
      <c r="GM18" s="120">
        <f t="shared" si="6"/>
        <v>-2295</v>
      </c>
      <c r="GN18" s="120">
        <f t="shared" si="6"/>
        <v>0</v>
      </c>
      <c r="GO18" s="120">
        <f t="shared" si="6"/>
        <v>-9</v>
      </c>
      <c r="GP18" s="120">
        <v>34634</v>
      </c>
      <c r="GQ18" s="162">
        <f t="shared" si="5"/>
        <v>6018</v>
      </c>
      <c r="GR18" s="120">
        <f t="shared" si="5"/>
        <v>0</v>
      </c>
      <c r="GS18" s="120">
        <f t="shared" si="5"/>
        <v>-2473</v>
      </c>
      <c r="GT18" s="120">
        <f t="shared" si="5"/>
        <v>0</v>
      </c>
      <c r="GU18" s="120">
        <f t="shared" si="5"/>
        <v>152</v>
      </c>
      <c r="GV18" s="163">
        <f t="shared" ref="GV18:HN18" si="7">SUM(GV15:GV17)</f>
        <v>38332</v>
      </c>
      <c r="GW18" s="162">
        <f t="shared" si="7"/>
        <v>3778</v>
      </c>
      <c r="GX18" s="120">
        <f t="shared" si="7"/>
        <v>0</v>
      </c>
      <c r="GY18" s="120">
        <f t="shared" si="7"/>
        <v>-2821</v>
      </c>
      <c r="GZ18" s="120">
        <f t="shared" si="7"/>
        <v>0</v>
      </c>
      <c r="HA18" s="120">
        <f t="shared" si="7"/>
        <v>-7</v>
      </c>
      <c r="HB18" s="163">
        <f t="shared" si="7"/>
        <v>39282</v>
      </c>
      <c r="HC18" s="162">
        <f t="shared" si="7"/>
        <v>4059</v>
      </c>
      <c r="HD18" s="120">
        <f t="shared" si="7"/>
        <v>0</v>
      </c>
      <c r="HE18" s="120">
        <f t="shared" si="7"/>
        <v>-2812</v>
      </c>
      <c r="HF18" s="120">
        <f t="shared" si="7"/>
        <v>0</v>
      </c>
      <c r="HG18" s="120">
        <f t="shared" si="7"/>
        <v>0</v>
      </c>
      <c r="HH18" s="163">
        <f>SUM(HH15:HH17)</f>
        <v>40529</v>
      </c>
      <c r="HI18" s="162">
        <f t="shared" si="7"/>
        <v>2209</v>
      </c>
      <c r="HJ18" s="120">
        <f t="shared" si="7"/>
        <v>0</v>
      </c>
      <c r="HK18" s="120">
        <f t="shared" si="7"/>
        <v>-2803</v>
      </c>
      <c r="HL18" s="120">
        <f t="shared" si="7"/>
        <v>0</v>
      </c>
      <c r="HM18" s="120">
        <f t="shared" si="7"/>
        <v>0</v>
      </c>
      <c r="HN18" s="163">
        <f t="shared" si="7"/>
        <v>39935</v>
      </c>
    </row>
    <row r="19" spans="5:222" s="233" customFormat="1" hidden="1" outlineLevel="1" x14ac:dyDescent="0.2">
      <c r="E19" s="233" t="s">
        <v>262</v>
      </c>
      <c r="F19" s="233" t="s">
        <v>957</v>
      </c>
      <c r="H19" s="250" t="str">
        <f>IF([1]RENAME!$H$3=1,F19,E19)</f>
        <v xml:space="preserve"> Aquisição Trans Commerce</v>
      </c>
      <c r="I19" s="219"/>
      <c r="J19" s="218"/>
      <c r="K19" s="761"/>
      <c r="L19" s="219">
        <v>0</v>
      </c>
      <c r="M19" s="218">
        <v>0</v>
      </c>
      <c r="N19" s="218"/>
      <c r="O19" s="218"/>
      <c r="P19" s="761">
        <v>0</v>
      </c>
      <c r="Q19" s="219">
        <v>0</v>
      </c>
      <c r="R19" s="218">
        <v>0</v>
      </c>
      <c r="S19" s="218">
        <v>0</v>
      </c>
      <c r="T19" s="218"/>
      <c r="U19" s="218">
        <v>0</v>
      </c>
      <c r="V19" s="761"/>
      <c r="W19" s="219">
        <v>0</v>
      </c>
      <c r="X19" s="218">
        <v>0</v>
      </c>
      <c r="Y19" s="218">
        <v>0</v>
      </c>
      <c r="Z19" s="218">
        <v>0</v>
      </c>
      <c r="AA19" s="218">
        <v>0</v>
      </c>
      <c r="AB19" s="761"/>
      <c r="AC19" s="762"/>
      <c r="AD19" s="218"/>
      <c r="AE19" s="218"/>
      <c r="AF19" s="761"/>
      <c r="AG19" s="219">
        <v>0</v>
      </c>
      <c r="AH19" s="218">
        <v>0</v>
      </c>
      <c r="AI19" s="218">
        <v>0</v>
      </c>
      <c r="AJ19" s="761"/>
      <c r="AK19" s="219">
        <v>0</v>
      </c>
      <c r="AL19" s="218">
        <v>0</v>
      </c>
      <c r="AM19" s="218">
        <v>0</v>
      </c>
      <c r="AN19" s="761"/>
      <c r="AO19" s="219">
        <v>0</v>
      </c>
      <c r="AP19" s="218">
        <v>0</v>
      </c>
      <c r="AQ19" s="218">
        <v>0</v>
      </c>
      <c r="AR19" s="761"/>
      <c r="AS19" s="219">
        <v>0</v>
      </c>
      <c r="AT19" s="218">
        <v>0</v>
      </c>
      <c r="AU19" s="218">
        <v>0</v>
      </c>
      <c r="AV19" s="761">
        <f t="shared" ref="AV19:AV25" si="8">SUM(AR19:AU19)</f>
        <v>0</v>
      </c>
      <c r="AW19" s="219">
        <v>0</v>
      </c>
      <c r="AX19" s="218">
        <v>0</v>
      </c>
      <c r="AY19" s="218">
        <v>0</v>
      </c>
      <c r="AZ19" s="761">
        <f t="shared" ref="AZ19:AZ25" si="9">SUM(AV19:AY19)</f>
        <v>0</v>
      </c>
      <c r="BA19" s="219">
        <v>0</v>
      </c>
      <c r="BB19" s="218">
        <v>0</v>
      </c>
      <c r="BC19" s="218">
        <v>0</v>
      </c>
      <c r="BD19" s="761">
        <f t="shared" ref="BD19:BD25" si="10">SUM(AZ19:BC19)</f>
        <v>0</v>
      </c>
      <c r="BE19" s="218">
        <v>0</v>
      </c>
      <c r="BF19" s="218">
        <v>0</v>
      </c>
      <c r="BG19" s="218">
        <v>0</v>
      </c>
      <c r="BH19" s="218">
        <v>0</v>
      </c>
      <c r="BI19" s="219">
        <v>0</v>
      </c>
      <c r="BJ19" s="218">
        <v>0</v>
      </c>
      <c r="BK19" s="761">
        <v>0</v>
      </c>
      <c r="BL19" s="218">
        <v>0</v>
      </c>
      <c r="BM19" s="218">
        <v>0</v>
      </c>
      <c r="BN19" s="218">
        <v>0</v>
      </c>
      <c r="BO19" s="218">
        <v>0</v>
      </c>
      <c r="BP19" s="219">
        <v>0</v>
      </c>
      <c r="BQ19" s="218">
        <v>0</v>
      </c>
      <c r="BR19" s="218">
        <v>0</v>
      </c>
      <c r="BS19" s="763">
        <f t="shared" ref="BS19:BS25" si="11">SUM(BK19:BR19)</f>
        <v>0</v>
      </c>
      <c r="BT19" s="219">
        <v>0</v>
      </c>
      <c r="BU19" s="218">
        <v>0</v>
      </c>
      <c r="BV19" s="218">
        <v>0</v>
      </c>
      <c r="BW19" s="763">
        <f t="shared" ref="BW19:BW25" si="12">SUM(BO19:BV19)</f>
        <v>0</v>
      </c>
      <c r="BX19" s="219">
        <v>0</v>
      </c>
      <c r="BY19" s="218">
        <v>0</v>
      </c>
      <c r="BZ19" s="218">
        <v>0</v>
      </c>
      <c r="CA19" s="763">
        <f t="shared" ref="CA19:CA25" si="13">SUM(BS19:BZ19)</f>
        <v>0</v>
      </c>
      <c r="CB19" s="219">
        <v>0</v>
      </c>
      <c r="CC19" s="218">
        <v>0</v>
      </c>
      <c r="CD19" s="218">
        <v>0</v>
      </c>
      <c r="CE19" s="763">
        <f t="shared" ref="CE19:CE25" si="14">SUM(BW19:CD19)</f>
        <v>0</v>
      </c>
      <c r="CF19" s="219">
        <v>0</v>
      </c>
      <c r="CG19" s="218">
        <v>0</v>
      </c>
      <c r="CH19" s="218">
        <v>0</v>
      </c>
      <c r="CI19" s="763">
        <f t="shared" ref="CI19:CI25" si="15">SUM(BW19:CH19)</f>
        <v>0</v>
      </c>
      <c r="CJ19" s="219">
        <v>0</v>
      </c>
      <c r="CK19" s="218">
        <v>0</v>
      </c>
      <c r="CL19" s="218">
        <v>0</v>
      </c>
      <c r="CM19" s="763">
        <f t="shared" ref="CM19:CM25" si="16">SUM(CA19:CL19)</f>
        <v>0</v>
      </c>
      <c r="CN19" s="764">
        <v>0</v>
      </c>
      <c r="CO19" s="764">
        <v>0</v>
      </c>
      <c r="CP19" s="763">
        <f t="shared" ref="CP19:CP25" si="17">SUM(CE19:CO19)</f>
        <v>0</v>
      </c>
      <c r="CQ19" s="219">
        <v>0</v>
      </c>
      <c r="CR19" s="218">
        <v>0</v>
      </c>
      <c r="CS19" s="763">
        <f t="shared" ref="CS19:CS25" si="18">SUM(CI19:CR19)</f>
        <v>0</v>
      </c>
      <c r="CT19" s="219">
        <v>0</v>
      </c>
      <c r="CU19" s="218">
        <v>0</v>
      </c>
      <c r="CV19" s="763">
        <v>0</v>
      </c>
      <c r="CW19" s="219">
        <v>0</v>
      </c>
      <c r="CX19" s="218">
        <v>0</v>
      </c>
      <c r="CY19" s="218">
        <v>0</v>
      </c>
      <c r="CZ19" s="763">
        <f t="shared" ref="CZ19:CZ25" si="19">SUM(CP19:CX19)</f>
        <v>0</v>
      </c>
      <c r="DA19" s="219">
        <v>0</v>
      </c>
      <c r="DB19" s="218">
        <v>0</v>
      </c>
      <c r="DC19" s="218">
        <v>0</v>
      </c>
      <c r="DD19" s="763">
        <f t="shared" ref="DD19:DD25" si="20">SUM(CT19:DB19)</f>
        <v>0</v>
      </c>
      <c r="DE19" s="219">
        <v>0</v>
      </c>
      <c r="DF19" s="218">
        <v>0</v>
      </c>
      <c r="DG19" s="218">
        <v>0</v>
      </c>
      <c r="DH19" s="763">
        <f t="shared" ref="DH19:DH25" si="21">SUM(CX19:DF19)</f>
        <v>0</v>
      </c>
      <c r="DI19" s="219">
        <v>0</v>
      </c>
      <c r="DJ19" s="218">
        <v>0</v>
      </c>
      <c r="DK19" s="218">
        <v>0</v>
      </c>
      <c r="DL19" s="763">
        <f t="shared" ref="DL19:DL25" si="22">SUM(DB19:DJ19)</f>
        <v>0</v>
      </c>
      <c r="DM19" s="219">
        <v>0</v>
      </c>
      <c r="DN19" s="218">
        <v>0</v>
      </c>
      <c r="DO19" s="218">
        <v>0</v>
      </c>
      <c r="DP19" s="763">
        <f t="shared" ref="DP19:DP25" si="23">SUM(DF19:DN19)</f>
        <v>0</v>
      </c>
      <c r="DQ19" s="219">
        <v>0</v>
      </c>
      <c r="DR19" s="218">
        <v>0</v>
      </c>
      <c r="DS19" s="218">
        <v>0</v>
      </c>
      <c r="DT19" s="763">
        <f t="shared" ref="DT19:DT25" si="24">SUM(DJ19:DR19)</f>
        <v>0</v>
      </c>
      <c r="DU19" s="219">
        <v>0</v>
      </c>
      <c r="DV19" s="218">
        <v>0</v>
      </c>
      <c r="DW19" s="218">
        <v>0</v>
      </c>
      <c r="DX19" s="763">
        <f t="shared" ref="DX19:DX25" si="25">SUM(DN19:DV19)</f>
        <v>0</v>
      </c>
      <c r="DY19" s="219">
        <v>0</v>
      </c>
      <c r="DZ19" s="218">
        <v>0</v>
      </c>
      <c r="EA19" s="218">
        <v>0</v>
      </c>
      <c r="EB19" s="763">
        <f t="shared" ref="EB19:EB25" si="26">SUM(DR19:DZ19)</f>
        <v>0</v>
      </c>
      <c r="EC19" s="219">
        <v>0</v>
      </c>
      <c r="ED19" s="218">
        <v>0</v>
      </c>
      <c r="EE19" s="218">
        <v>0</v>
      </c>
      <c r="EF19" s="763">
        <f t="shared" ref="EF19:EF25" si="27">SUM(DV19:ED19)</f>
        <v>0</v>
      </c>
      <c r="EG19" s="219">
        <v>0</v>
      </c>
      <c r="EH19" s="218">
        <v>0</v>
      </c>
      <c r="EI19" s="218">
        <v>0</v>
      </c>
      <c r="EJ19" s="763">
        <f t="shared" ref="EJ19:EJ25" si="28">SUM(DV19:EH19)</f>
        <v>0</v>
      </c>
      <c r="EK19" s="219">
        <v>0</v>
      </c>
      <c r="EL19" s="218">
        <v>0</v>
      </c>
      <c r="EM19" s="218">
        <v>0</v>
      </c>
      <c r="EN19" s="763">
        <f t="shared" ref="EN19:EN25" si="29">SUM(DZ19:EL19)</f>
        <v>0</v>
      </c>
      <c r="EO19" s="219">
        <v>0</v>
      </c>
      <c r="EP19" s="218">
        <v>0</v>
      </c>
      <c r="EQ19" s="218">
        <v>0</v>
      </c>
      <c r="ER19" s="763">
        <f t="shared" ref="ER19:ER25" si="30">SUM(ED19:EP19)</f>
        <v>0</v>
      </c>
      <c r="ES19" s="219">
        <v>0</v>
      </c>
      <c r="ET19" s="218">
        <v>0</v>
      </c>
      <c r="EU19" s="218">
        <v>0</v>
      </c>
      <c r="EV19" s="763">
        <f t="shared" ref="EV19:EV25" si="31">SUM(EH19:ET19)</f>
        <v>0</v>
      </c>
      <c r="EW19" s="219">
        <v>0</v>
      </c>
      <c r="EX19" s="218">
        <v>0</v>
      </c>
      <c r="EY19" s="218">
        <v>0</v>
      </c>
      <c r="EZ19" s="763">
        <f t="shared" ref="EZ19:EZ25" si="32">SUM(EL19:EX19)</f>
        <v>0</v>
      </c>
      <c r="FA19" s="219">
        <v>0</v>
      </c>
      <c r="FB19" s="218">
        <v>0</v>
      </c>
      <c r="FC19" s="218">
        <v>0</v>
      </c>
      <c r="FD19" s="763">
        <f t="shared" ref="FD19:FD25" si="33">SUM(EP19:FB19)</f>
        <v>0</v>
      </c>
      <c r="FE19" s="219">
        <v>0</v>
      </c>
      <c r="FF19" s="218">
        <v>0</v>
      </c>
      <c r="FG19" s="218">
        <v>0</v>
      </c>
      <c r="FH19" s="763">
        <f t="shared" ref="FH19:FH25" si="34">SUM(ET19:FF19)</f>
        <v>0</v>
      </c>
      <c r="FI19" s="219">
        <v>0</v>
      </c>
      <c r="FJ19" s="218">
        <v>0</v>
      </c>
      <c r="FK19" s="218">
        <v>0</v>
      </c>
      <c r="FL19" s="763">
        <f t="shared" ref="FL19:FL25" si="35">SUM(EX19:FJ19)</f>
        <v>0</v>
      </c>
      <c r="FM19" s="219">
        <v>0</v>
      </c>
      <c r="FN19" s="218">
        <v>0</v>
      </c>
      <c r="FO19" s="218">
        <v>0</v>
      </c>
      <c r="FP19" s="763">
        <f t="shared" ref="FP19:FP25" si="36">SUM(FB19:FN19)</f>
        <v>0</v>
      </c>
      <c r="FQ19" s="764" t="s">
        <v>160</v>
      </c>
      <c r="FR19" s="764" t="s">
        <v>160</v>
      </c>
      <c r="FS19" s="764" t="s">
        <v>160</v>
      </c>
      <c r="FT19" s="763">
        <f t="shared" ref="FT19:FT25" si="37">SUM(FF19:FR19)</f>
        <v>0</v>
      </c>
      <c r="FU19" s="764" t="s">
        <v>160</v>
      </c>
      <c r="FV19" s="764" t="s">
        <v>160</v>
      </c>
      <c r="FW19" s="764" t="s">
        <v>160</v>
      </c>
      <c r="FX19" s="763">
        <f t="shared" ref="FX19:FX25" si="38">SUM(FJ19:FV19)</f>
        <v>0</v>
      </c>
      <c r="FY19" s="219">
        <v>0</v>
      </c>
      <c r="FZ19" s="118" t="s">
        <v>160</v>
      </c>
      <c r="GA19" s="218">
        <v>0</v>
      </c>
      <c r="GB19" s="218">
        <v>0</v>
      </c>
      <c r="GC19" s="118" t="s">
        <v>160</v>
      </c>
      <c r="GD19" s="763">
        <f t="shared" ref="GD19:GD25" si="39">SUM(EZ19:GA19)</f>
        <v>0</v>
      </c>
      <c r="GE19" s="219">
        <v>0</v>
      </c>
      <c r="GF19" s="118" t="s">
        <v>160</v>
      </c>
      <c r="GG19" s="218">
        <v>0</v>
      </c>
      <c r="GH19" s="218">
        <v>0</v>
      </c>
      <c r="GI19" s="118" t="s">
        <v>160</v>
      </c>
      <c r="GJ19" s="763">
        <f t="shared" ref="GJ19:GJ25" si="40">SUM(EZ19:GG19)</f>
        <v>0</v>
      </c>
      <c r="GK19" s="219">
        <v>0</v>
      </c>
      <c r="GL19" s="118" t="s">
        <v>160</v>
      </c>
      <c r="GM19" s="218">
        <v>0</v>
      </c>
      <c r="GN19" s="218">
        <v>0</v>
      </c>
      <c r="GO19" s="118" t="s">
        <v>160</v>
      </c>
      <c r="GP19" s="764">
        <v>0</v>
      </c>
      <c r="GQ19" s="219">
        <v>0</v>
      </c>
      <c r="GR19" s="118" t="s">
        <v>160</v>
      </c>
      <c r="GS19" s="218">
        <v>0</v>
      </c>
      <c r="GT19" s="218">
        <v>0</v>
      </c>
      <c r="GU19" s="118" t="s">
        <v>160</v>
      </c>
      <c r="GV19" s="763">
        <f t="shared" ref="GV19:GV25" si="41">SUM(FF19:GS19)</f>
        <v>0</v>
      </c>
      <c r="GW19" s="219">
        <v>0</v>
      </c>
      <c r="GX19" s="118" t="s">
        <v>160</v>
      </c>
      <c r="GY19" s="218">
        <v>0</v>
      </c>
      <c r="GZ19" s="218">
        <v>0</v>
      </c>
      <c r="HA19" s="118" t="s">
        <v>160</v>
      </c>
      <c r="HB19" s="763">
        <f t="shared" ref="HB19:HB25" si="42">SUM(FL19:GY19)</f>
        <v>0</v>
      </c>
      <c r="HC19" s="764">
        <v>0</v>
      </c>
      <c r="HD19" s="764" t="s">
        <v>160</v>
      </c>
      <c r="HE19" s="764">
        <v>0</v>
      </c>
      <c r="HF19" s="764">
        <v>0</v>
      </c>
      <c r="HG19" s="764" t="s">
        <v>160</v>
      </c>
      <c r="HH19" s="763">
        <f t="shared" ref="HH19:HH25" si="43">SUM(FR19:HE19)</f>
        <v>0</v>
      </c>
      <c r="HI19" s="219">
        <v>0</v>
      </c>
      <c r="HJ19" s="118" t="s">
        <v>160</v>
      </c>
      <c r="HK19" s="218">
        <v>0</v>
      </c>
      <c r="HL19" s="218">
        <v>0</v>
      </c>
      <c r="HM19" s="118" t="s">
        <v>160</v>
      </c>
      <c r="HN19" s="763">
        <f t="shared" ref="HN19:HN25" si="44">SUM(FX19:HK19)</f>
        <v>0</v>
      </c>
    </row>
    <row r="20" spans="5:222" s="233" customFormat="1" hidden="1" outlineLevel="1" x14ac:dyDescent="0.2">
      <c r="E20" s="233" t="s">
        <v>263</v>
      </c>
      <c r="F20" s="233" t="s">
        <v>958</v>
      </c>
      <c r="H20" s="250" t="str">
        <f>IF([1]RENAME!$H$3=1,F20,E20)</f>
        <v xml:space="preserve">    Carteira de agregrados </v>
      </c>
      <c r="I20" s="219">
        <v>0</v>
      </c>
      <c r="J20" s="218">
        <v>-175</v>
      </c>
      <c r="K20" s="761">
        <v>5494</v>
      </c>
      <c r="L20" s="219">
        <v>0</v>
      </c>
      <c r="M20" s="218">
        <v>175</v>
      </c>
      <c r="N20" s="218">
        <v>-5669</v>
      </c>
      <c r="O20" s="218">
        <v>0</v>
      </c>
      <c r="P20" s="761">
        <v>0</v>
      </c>
      <c r="Q20" s="219">
        <v>0</v>
      </c>
      <c r="R20" s="218">
        <v>0</v>
      </c>
      <c r="S20" s="218">
        <v>0</v>
      </c>
      <c r="T20" s="218">
        <v>0</v>
      </c>
      <c r="U20" s="218">
        <v>0</v>
      </c>
      <c r="V20" s="761">
        <v>0</v>
      </c>
      <c r="W20" s="219">
        <v>0</v>
      </c>
      <c r="X20" s="218">
        <v>0</v>
      </c>
      <c r="Y20" s="218">
        <v>0</v>
      </c>
      <c r="Z20" s="218">
        <v>0</v>
      </c>
      <c r="AA20" s="218">
        <v>0</v>
      </c>
      <c r="AB20" s="761">
        <v>0</v>
      </c>
      <c r="AC20" s="762">
        <v>0</v>
      </c>
      <c r="AD20" s="218">
        <v>0</v>
      </c>
      <c r="AE20" s="218">
        <v>0</v>
      </c>
      <c r="AF20" s="761">
        <v>0</v>
      </c>
      <c r="AG20" s="219">
        <v>0</v>
      </c>
      <c r="AH20" s="218">
        <v>0</v>
      </c>
      <c r="AI20" s="218">
        <v>0</v>
      </c>
      <c r="AJ20" s="761">
        <v>0</v>
      </c>
      <c r="AK20" s="219">
        <v>0</v>
      </c>
      <c r="AL20" s="218">
        <v>0</v>
      </c>
      <c r="AM20" s="218">
        <v>0</v>
      </c>
      <c r="AN20" s="761">
        <v>0</v>
      </c>
      <c r="AO20" s="219">
        <v>0</v>
      </c>
      <c r="AP20" s="218">
        <v>0</v>
      </c>
      <c r="AQ20" s="218">
        <v>0</v>
      </c>
      <c r="AR20" s="761">
        <v>0</v>
      </c>
      <c r="AS20" s="219">
        <v>0</v>
      </c>
      <c r="AT20" s="218">
        <v>0</v>
      </c>
      <c r="AU20" s="218">
        <v>0</v>
      </c>
      <c r="AV20" s="761">
        <f t="shared" si="8"/>
        <v>0</v>
      </c>
      <c r="AW20" s="219">
        <v>0</v>
      </c>
      <c r="AX20" s="218">
        <v>0</v>
      </c>
      <c r="AY20" s="218">
        <v>0</v>
      </c>
      <c r="AZ20" s="761">
        <f t="shared" si="9"/>
        <v>0</v>
      </c>
      <c r="BA20" s="219">
        <v>0</v>
      </c>
      <c r="BB20" s="218">
        <v>0</v>
      </c>
      <c r="BC20" s="218">
        <v>0</v>
      </c>
      <c r="BD20" s="761">
        <f t="shared" si="10"/>
        <v>0</v>
      </c>
      <c r="BE20" s="218">
        <v>0</v>
      </c>
      <c r="BF20" s="218">
        <v>0</v>
      </c>
      <c r="BG20" s="218">
        <v>0</v>
      </c>
      <c r="BH20" s="218">
        <v>0</v>
      </c>
      <c r="BI20" s="219">
        <v>0</v>
      </c>
      <c r="BJ20" s="218">
        <v>0</v>
      </c>
      <c r="BK20" s="761">
        <v>0</v>
      </c>
      <c r="BL20" s="218">
        <v>0</v>
      </c>
      <c r="BM20" s="218">
        <v>0</v>
      </c>
      <c r="BN20" s="218">
        <v>0</v>
      </c>
      <c r="BO20" s="218">
        <v>0</v>
      </c>
      <c r="BP20" s="219">
        <v>0</v>
      </c>
      <c r="BQ20" s="218">
        <v>0</v>
      </c>
      <c r="BR20" s="218">
        <v>0</v>
      </c>
      <c r="BS20" s="763">
        <f t="shared" si="11"/>
        <v>0</v>
      </c>
      <c r="BT20" s="219">
        <v>0</v>
      </c>
      <c r="BU20" s="218">
        <v>0</v>
      </c>
      <c r="BV20" s="218">
        <v>0</v>
      </c>
      <c r="BW20" s="763">
        <f t="shared" si="12"/>
        <v>0</v>
      </c>
      <c r="BX20" s="219">
        <v>0</v>
      </c>
      <c r="BY20" s="218">
        <v>0</v>
      </c>
      <c r="BZ20" s="218">
        <v>0</v>
      </c>
      <c r="CA20" s="763">
        <f t="shared" si="13"/>
        <v>0</v>
      </c>
      <c r="CB20" s="219">
        <v>0</v>
      </c>
      <c r="CC20" s="218">
        <v>0</v>
      </c>
      <c r="CD20" s="218">
        <v>0</v>
      </c>
      <c r="CE20" s="763">
        <f t="shared" si="14"/>
        <v>0</v>
      </c>
      <c r="CF20" s="219">
        <v>0</v>
      </c>
      <c r="CG20" s="218">
        <v>0</v>
      </c>
      <c r="CH20" s="218">
        <v>0</v>
      </c>
      <c r="CI20" s="763">
        <f t="shared" si="15"/>
        <v>0</v>
      </c>
      <c r="CJ20" s="219">
        <v>0</v>
      </c>
      <c r="CK20" s="218">
        <v>0</v>
      </c>
      <c r="CL20" s="218">
        <v>0</v>
      </c>
      <c r="CM20" s="763">
        <f t="shared" si="16"/>
        <v>0</v>
      </c>
      <c r="CN20" s="764">
        <v>0</v>
      </c>
      <c r="CO20" s="764">
        <v>0</v>
      </c>
      <c r="CP20" s="763">
        <f t="shared" si="17"/>
        <v>0</v>
      </c>
      <c r="CQ20" s="219">
        <v>0</v>
      </c>
      <c r="CR20" s="218">
        <v>0</v>
      </c>
      <c r="CS20" s="763">
        <f t="shared" si="18"/>
        <v>0</v>
      </c>
      <c r="CT20" s="219">
        <v>0</v>
      </c>
      <c r="CU20" s="218">
        <v>0</v>
      </c>
      <c r="CV20" s="763">
        <v>0</v>
      </c>
      <c r="CW20" s="219">
        <v>0</v>
      </c>
      <c r="CX20" s="218">
        <v>0</v>
      </c>
      <c r="CY20" s="218">
        <v>0</v>
      </c>
      <c r="CZ20" s="763">
        <f t="shared" si="19"/>
        <v>0</v>
      </c>
      <c r="DA20" s="219">
        <v>0</v>
      </c>
      <c r="DB20" s="218">
        <v>0</v>
      </c>
      <c r="DC20" s="218">
        <v>0</v>
      </c>
      <c r="DD20" s="763">
        <f t="shared" si="20"/>
        <v>0</v>
      </c>
      <c r="DE20" s="219">
        <v>0</v>
      </c>
      <c r="DF20" s="218">
        <v>0</v>
      </c>
      <c r="DG20" s="218">
        <v>0</v>
      </c>
      <c r="DH20" s="763">
        <f t="shared" si="21"/>
        <v>0</v>
      </c>
      <c r="DI20" s="219">
        <v>0</v>
      </c>
      <c r="DJ20" s="218">
        <v>0</v>
      </c>
      <c r="DK20" s="218">
        <v>0</v>
      </c>
      <c r="DL20" s="763">
        <f t="shared" si="22"/>
        <v>0</v>
      </c>
      <c r="DM20" s="219">
        <v>0</v>
      </c>
      <c r="DN20" s="218">
        <v>0</v>
      </c>
      <c r="DO20" s="218">
        <v>0</v>
      </c>
      <c r="DP20" s="763">
        <f t="shared" si="23"/>
        <v>0</v>
      </c>
      <c r="DQ20" s="219">
        <v>0</v>
      </c>
      <c r="DR20" s="218">
        <v>0</v>
      </c>
      <c r="DS20" s="218">
        <v>0</v>
      </c>
      <c r="DT20" s="763">
        <f t="shared" si="24"/>
        <v>0</v>
      </c>
      <c r="DU20" s="219">
        <v>0</v>
      </c>
      <c r="DV20" s="218">
        <v>0</v>
      </c>
      <c r="DW20" s="218">
        <v>0</v>
      </c>
      <c r="DX20" s="763">
        <f t="shared" si="25"/>
        <v>0</v>
      </c>
      <c r="DY20" s="219">
        <v>0</v>
      </c>
      <c r="DZ20" s="218">
        <v>0</v>
      </c>
      <c r="EA20" s="218">
        <v>0</v>
      </c>
      <c r="EB20" s="763">
        <f t="shared" si="26"/>
        <v>0</v>
      </c>
      <c r="EC20" s="219">
        <v>0</v>
      </c>
      <c r="ED20" s="218">
        <v>0</v>
      </c>
      <c r="EE20" s="218">
        <v>0</v>
      </c>
      <c r="EF20" s="763">
        <f t="shared" si="27"/>
        <v>0</v>
      </c>
      <c r="EG20" s="219">
        <v>0</v>
      </c>
      <c r="EH20" s="218">
        <v>0</v>
      </c>
      <c r="EI20" s="218">
        <v>0</v>
      </c>
      <c r="EJ20" s="763">
        <f t="shared" si="28"/>
        <v>0</v>
      </c>
      <c r="EK20" s="219">
        <v>0</v>
      </c>
      <c r="EL20" s="218">
        <v>0</v>
      </c>
      <c r="EM20" s="218">
        <v>0</v>
      </c>
      <c r="EN20" s="763">
        <f t="shared" si="29"/>
        <v>0</v>
      </c>
      <c r="EO20" s="219">
        <v>0</v>
      </c>
      <c r="EP20" s="218">
        <v>0</v>
      </c>
      <c r="EQ20" s="218">
        <v>0</v>
      </c>
      <c r="ER20" s="763">
        <f t="shared" si="30"/>
        <v>0</v>
      </c>
      <c r="ES20" s="219">
        <v>0</v>
      </c>
      <c r="ET20" s="218">
        <v>0</v>
      </c>
      <c r="EU20" s="218">
        <v>0</v>
      </c>
      <c r="EV20" s="763">
        <f t="shared" si="31"/>
        <v>0</v>
      </c>
      <c r="EW20" s="219">
        <v>0</v>
      </c>
      <c r="EX20" s="218">
        <v>0</v>
      </c>
      <c r="EY20" s="218">
        <v>0</v>
      </c>
      <c r="EZ20" s="763">
        <f t="shared" si="32"/>
        <v>0</v>
      </c>
      <c r="FA20" s="219">
        <v>0</v>
      </c>
      <c r="FB20" s="218">
        <v>0</v>
      </c>
      <c r="FC20" s="218">
        <v>0</v>
      </c>
      <c r="FD20" s="763">
        <f t="shared" si="33"/>
        <v>0</v>
      </c>
      <c r="FE20" s="219">
        <v>0</v>
      </c>
      <c r="FF20" s="218">
        <v>0</v>
      </c>
      <c r="FG20" s="218">
        <v>0</v>
      </c>
      <c r="FH20" s="763">
        <f t="shared" si="34"/>
        <v>0</v>
      </c>
      <c r="FI20" s="219">
        <v>0</v>
      </c>
      <c r="FJ20" s="218">
        <v>0</v>
      </c>
      <c r="FK20" s="218">
        <v>0</v>
      </c>
      <c r="FL20" s="763">
        <f t="shared" si="35"/>
        <v>0</v>
      </c>
      <c r="FM20" s="219">
        <v>0</v>
      </c>
      <c r="FN20" s="218">
        <v>0</v>
      </c>
      <c r="FO20" s="218">
        <v>0</v>
      </c>
      <c r="FP20" s="763">
        <f t="shared" si="36"/>
        <v>0</v>
      </c>
      <c r="FQ20" s="764" t="s">
        <v>160</v>
      </c>
      <c r="FR20" s="764" t="s">
        <v>160</v>
      </c>
      <c r="FS20" s="764" t="s">
        <v>160</v>
      </c>
      <c r="FT20" s="763">
        <f t="shared" si="37"/>
        <v>0</v>
      </c>
      <c r="FU20" s="764" t="s">
        <v>160</v>
      </c>
      <c r="FV20" s="764" t="s">
        <v>160</v>
      </c>
      <c r="FW20" s="764" t="s">
        <v>160</v>
      </c>
      <c r="FX20" s="763">
        <f t="shared" si="38"/>
        <v>0</v>
      </c>
      <c r="FY20" s="219">
        <v>0</v>
      </c>
      <c r="FZ20" s="118" t="s">
        <v>160</v>
      </c>
      <c r="GA20" s="218">
        <v>0</v>
      </c>
      <c r="GB20" s="218">
        <v>0</v>
      </c>
      <c r="GC20" s="118" t="s">
        <v>160</v>
      </c>
      <c r="GD20" s="763">
        <f t="shared" si="39"/>
        <v>0</v>
      </c>
      <c r="GE20" s="219">
        <v>0</v>
      </c>
      <c r="GF20" s="118" t="s">
        <v>160</v>
      </c>
      <c r="GG20" s="218">
        <v>0</v>
      </c>
      <c r="GH20" s="218">
        <v>0</v>
      </c>
      <c r="GI20" s="118" t="s">
        <v>160</v>
      </c>
      <c r="GJ20" s="763">
        <f t="shared" si="40"/>
        <v>0</v>
      </c>
      <c r="GK20" s="219">
        <v>0</v>
      </c>
      <c r="GL20" s="118" t="s">
        <v>160</v>
      </c>
      <c r="GM20" s="218">
        <v>0</v>
      </c>
      <c r="GN20" s="218">
        <v>0</v>
      </c>
      <c r="GO20" s="118" t="s">
        <v>160</v>
      </c>
      <c r="GP20" s="764">
        <v>0</v>
      </c>
      <c r="GQ20" s="219">
        <v>0</v>
      </c>
      <c r="GR20" s="118" t="s">
        <v>160</v>
      </c>
      <c r="GS20" s="218">
        <v>0</v>
      </c>
      <c r="GT20" s="218">
        <v>0</v>
      </c>
      <c r="GU20" s="118" t="s">
        <v>160</v>
      </c>
      <c r="GV20" s="763">
        <f t="shared" si="41"/>
        <v>0</v>
      </c>
      <c r="GW20" s="219">
        <v>0</v>
      </c>
      <c r="GX20" s="118" t="s">
        <v>160</v>
      </c>
      <c r="GY20" s="218">
        <v>0</v>
      </c>
      <c r="GZ20" s="218">
        <v>0</v>
      </c>
      <c r="HA20" s="118" t="s">
        <v>160</v>
      </c>
      <c r="HB20" s="763">
        <f t="shared" si="42"/>
        <v>0</v>
      </c>
      <c r="HC20" s="764">
        <v>0</v>
      </c>
      <c r="HD20" s="764" t="s">
        <v>160</v>
      </c>
      <c r="HE20" s="764">
        <v>0</v>
      </c>
      <c r="HF20" s="764">
        <v>0</v>
      </c>
      <c r="HG20" s="764" t="s">
        <v>160</v>
      </c>
      <c r="HH20" s="763">
        <f t="shared" si="43"/>
        <v>0</v>
      </c>
      <c r="HI20" s="219">
        <v>0</v>
      </c>
      <c r="HJ20" s="118" t="s">
        <v>160</v>
      </c>
      <c r="HK20" s="218">
        <v>0</v>
      </c>
      <c r="HL20" s="218">
        <v>0</v>
      </c>
      <c r="HM20" s="118" t="s">
        <v>160</v>
      </c>
      <c r="HN20" s="763">
        <f t="shared" si="44"/>
        <v>0</v>
      </c>
    </row>
    <row r="21" spans="5:222" s="233" customFormat="1" hidden="1" outlineLevel="1" x14ac:dyDescent="0.2">
      <c r="E21" s="233" t="s">
        <v>264</v>
      </c>
      <c r="F21" s="233" t="s">
        <v>959</v>
      </c>
      <c r="H21" s="250" t="str">
        <f>IF([1]RENAME!$H$3=1,F21,E21)</f>
        <v xml:space="preserve">    Relacionamento com clientes</v>
      </c>
      <c r="I21" s="219">
        <v>0</v>
      </c>
      <c r="J21" s="218">
        <v>-173</v>
      </c>
      <c r="K21" s="761">
        <v>5407</v>
      </c>
      <c r="L21" s="219">
        <v>0</v>
      </c>
      <c r="M21" s="218">
        <v>173</v>
      </c>
      <c r="N21" s="218">
        <v>-5580</v>
      </c>
      <c r="O21" s="218">
        <v>0</v>
      </c>
      <c r="P21" s="761">
        <v>0</v>
      </c>
      <c r="Q21" s="219">
        <v>0</v>
      </c>
      <c r="R21" s="218">
        <v>0</v>
      </c>
      <c r="S21" s="218">
        <v>0</v>
      </c>
      <c r="T21" s="218">
        <v>0</v>
      </c>
      <c r="U21" s="218">
        <v>0</v>
      </c>
      <c r="V21" s="761">
        <v>0</v>
      </c>
      <c r="W21" s="219">
        <v>0</v>
      </c>
      <c r="X21" s="218">
        <v>0</v>
      </c>
      <c r="Y21" s="218">
        <v>0</v>
      </c>
      <c r="Z21" s="218">
        <v>0</v>
      </c>
      <c r="AA21" s="218">
        <v>0</v>
      </c>
      <c r="AB21" s="761">
        <v>0</v>
      </c>
      <c r="AC21" s="762">
        <v>0</v>
      </c>
      <c r="AD21" s="218">
        <v>0</v>
      </c>
      <c r="AE21" s="218">
        <v>0</v>
      </c>
      <c r="AF21" s="761">
        <v>0</v>
      </c>
      <c r="AG21" s="219">
        <v>0</v>
      </c>
      <c r="AH21" s="218">
        <v>0</v>
      </c>
      <c r="AI21" s="218">
        <v>0</v>
      </c>
      <c r="AJ21" s="761">
        <v>0</v>
      </c>
      <c r="AK21" s="219">
        <v>0</v>
      </c>
      <c r="AL21" s="218">
        <v>0</v>
      </c>
      <c r="AM21" s="218">
        <v>0</v>
      </c>
      <c r="AN21" s="761">
        <v>0</v>
      </c>
      <c r="AO21" s="219">
        <v>0</v>
      </c>
      <c r="AP21" s="218">
        <v>0</v>
      </c>
      <c r="AQ21" s="218">
        <v>0</v>
      </c>
      <c r="AR21" s="761">
        <v>0</v>
      </c>
      <c r="AS21" s="219">
        <v>0</v>
      </c>
      <c r="AT21" s="218">
        <v>0</v>
      </c>
      <c r="AU21" s="218">
        <v>0</v>
      </c>
      <c r="AV21" s="761">
        <f t="shared" si="8"/>
        <v>0</v>
      </c>
      <c r="AW21" s="219">
        <v>0</v>
      </c>
      <c r="AX21" s="218">
        <v>0</v>
      </c>
      <c r="AY21" s="218">
        <v>0</v>
      </c>
      <c r="AZ21" s="761">
        <f t="shared" si="9"/>
        <v>0</v>
      </c>
      <c r="BA21" s="219">
        <v>0</v>
      </c>
      <c r="BB21" s="218">
        <v>0</v>
      </c>
      <c r="BC21" s="218">
        <v>0</v>
      </c>
      <c r="BD21" s="761">
        <f t="shared" si="10"/>
        <v>0</v>
      </c>
      <c r="BE21" s="218">
        <v>0</v>
      </c>
      <c r="BF21" s="218">
        <v>0</v>
      </c>
      <c r="BG21" s="218">
        <v>0</v>
      </c>
      <c r="BH21" s="218">
        <v>0</v>
      </c>
      <c r="BI21" s="219">
        <v>0</v>
      </c>
      <c r="BJ21" s="218">
        <v>0</v>
      </c>
      <c r="BK21" s="761">
        <v>0</v>
      </c>
      <c r="BL21" s="218">
        <v>0</v>
      </c>
      <c r="BM21" s="218">
        <v>0</v>
      </c>
      <c r="BN21" s="218">
        <v>0</v>
      </c>
      <c r="BO21" s="218">
        <v>0</v>
      </c>
      <c r="BP21" s="219">
        <v>0</v>
      </c>
      <c r="BQ21" s="218">
        <v>0</v>
      </c>
      <c r="BR21" s="218">
        <v>0</v>
      </c>
      <c r="BS21" s="763">
        <f t="shared" si="11"/>
        <v>0</v>
      </c>
      <c r="BT21" s="219">
        <v>0</v>
      </c>
      <c r="BU21" s="218">
        <v>0</v>
      </c>
      <c r="BV21" s="218">
        <v>0</v>
      </c>
      <c r="BW21" s="763">
        <f>SUM(BO21:BV21)</f>
        <v>0</v>
      </c>
      <c r="BX21" s="219">
        <v>0</v>
      </c>
      <c r="BY21" s="218">
        <v>0</v>
      </c>
      <c r="BZ21" s="218">
        <v>0</v>
      </c>
      <c r="CA21" s="763">
        <f t="shared" si="13"/>
        <v>0</v>
      </c>
      <c r="CB21" s="219">
        <v>0</v>
      </c>
      <c r="CC21" s="218">
        <v>0</v>
      </c>
      <c r="CD21" s="218">
        <v>0</v>
      </c>
      <c r="CE21" s="763">
        <f t="shared" si="14"/>
        <v>0</v>
      </c>
      <c r="CF21" s="219">
        <v>0</v>
      </c>
      <c r="CG21" s="218">
        <v>0</v>
      </c>
      <c r="CH21" s="218">
        <v>0</v>
      </c>
      <c r="CI21" s="763">
        <f t="shared" si="15"/>
        <v>0</v>
      </c>
      <c r="CJ21" s="219">
        <v>0</v>
      </c>
      <c r="CK21" s="218">
        <v>0</v>
      </c>
      <c r="CL21" s="218">
        <v>0</v>
      </c>
      <c r="CM21" s="763">
        <f t="shared" si="16"/>
        <v>0</v>
      </c>
      <c r="CN21" s="764">
        <v>0</v>
      </c>
      <c r="CO21" s="764">
        <v>0</v>
      </c>
      <c r="CP21" s="763">
        <f t="shared" si="17"/>
        <v>0</v>
      </c>
      <c r="CQ21" s="219">
        <v>0</v>
      </c>
      <c r="CR21" s="218">
        <v>0</v>
      </c>
      <c r="CS21" s="763">
        <f t="shared" si="18"/>
        <v>0</v>
      </c>
      <c r="CT21" s="219">
        <v>0</v>
      </c>
      <c r="CU21" s="218">
        <v>0</v>
      </c>
      <c r="CV21" s="763">
        <v>0</v>
      </c>
      <c r="CW21" s="219">
        <v>0</v>
      </c>
      <c r="CX21" s="218">
        <v>0</v>
      </c>
      <c r="CY21" s="218">
        <v>0</v>
      </c>
      <c r="CZ21" s="763">
        <f t="shared" si="19"/>
        <v>0</v>
      </c>
      <c r="DA21" s="219">
        <v>0</v>
      </c>
      <c r="DB21" s="218">
        <v>0</v>
      </c>
      <c r="DC21" s="218">
        <v>0</v>
      </c>
      <c r="DD21" s="763">
        <f t="shared" si="20"/>
        <v>0</v>
      </c>
      <c r="DE21" s="219">
        <v>0</v>
      </c>
      <c r="DF21" s="218">
        <v>0</v>
      </c>
      <c r="DG21" s="218">
        <v>0</v>
      </c>
      <c r="DH21" s="763">
        <f t="shared" si="21"/>
        <v>0</v>
      </c>
      <c r="DI21" s="219">
        <v>0</v>
      </c>
      <c r="DJ21" s="218">
        <v>0</v>
      </c>
      <c r="DK21" s="218">
        <v>0</v>
      </c>
      <c r="DL21" s="763">
        <f t="shared" si="22"/>
        <v>0</v>
      </c>
      <c r="DM21" s="219">
        <v>0</v>
      </c>
      <c r="DN21" s="218">
        <v>0</v>
      </c>
      <c r="DO21" s="218">
        <v>0</v>
      </c>
      <c r="DP21" s="763">
        <f t="shared" si="23"/>
        <v>0</v>
      </c>
      <c r="DQ21" s="219">
        <v>0</v>
      </c>
      <c r="DR21" s="218">
        <v>0</v>
      </c>
      <c r="DS21" s="218">
        <v>0</v>
      </c>
      <c r="DT21" s="763">
        <f t="shared" si="24"/>
        <v>0</v>
      </c>
      <c r="DU21" s="219">
        <v>0</v>
      </c>
      <c r="DV21" s="218">
        <v>0</v>
      </c>
      <c r="DW21" s="218">
        <v>0</v>
      </c>
      <c r="DX21" s="763">
        <f t="shared" si="25"/>
        <v>0</v>
      </c>
      <c r="DY21" s="219">
        <v>0</v>
      </c>
      <c r="DZ21" s="218">
        <v>0</v>
      </c>
      <c r="EA21" s="218">
        <v>0</v>
      </c>
      <c r="EB21" s="763">
        <f t="shared" si="26"/>
        <v>0</v>
      </c>
      <c r="EC21" s="219">
        <v>0</v>
      </c>
      <c r="ED21" s="218">
        <v>0</v>
      </c>
      <c r="EE21" s="218">
        <v>0</v>
      </c>
      <c r="EF21" s="763">
        <f t="shared" si="27"/>
        <v>0</v>
      </c>
      <c r="EG21" s="219">
        <v>0</v>
      </c>
      <c r="EH21" s="218">
        <v>0</v>
      </c>
      <c r="EI21" s="218">
        <v>0</v>
      </c>
      <c r="EJ21" s="763">
        <f t="shared" si="28"/>
        <v>0</v>
      </c>
      <c r="EK21" s="219">
        <v>0</v>
      </c>
      <c r="EL21" s="218">
        <v>0</v>
      </c>
      <c r="EM21" s="218">
        <v>0</v>
      </c>
      <c r="EN21" s="763">
        <f t="shared" si="29"/>
        <v>0</v>
      </c>
      <c r="EO21" s="219">
        <v>0</v>
      </c>
      <c r="EP21" s="218">
        <v>0</v>
      </c>
      <c r="EQ21" s="218">
        <v>0</v>
      </c>
      <c r="ER21" s="763">
        <f t="shared" si="30"/>
        <v>0</v>
      </c>
      <c r="ES21" s="219">
        <v>0</v>
      </c>
      <c r="ET21" s="218">
        <v>0</v>
      </c>
      <c r="EU21" s="218">
        <v>0</v>
      </c>
      <c r="EV21" s="763">
        <f t="shared" si="31"/>
        <v>0</v>
      </c>
      <c r="EW21" s="219">
        <v>0</v>
      </c>
      <c r="EX21" s="218">
        <v>0</v>
      </c>
      <c r="EY21" s="218">
        <v>0</v>
      </c>
      <c r="EZ21" s="763">
        <f t="shared" si="32"/>
        <v>0</v>
      </c>
      <c r="FA21" s="219">
        <v>0</v>
      </c>
      <c r="FB21" s="218">
        <v>0</v>
      </c>
      <c r="FC21" s="218">
        <v>0</v>
      </c>
      <c r="FD21" s="763">
        <f t="shared" si="33"/>
        <v>0</v>
      </c>
      <c r="FE21" s="219">
        <v>0</v>
      </c>
      <c r="FF21" s="218">
        <v>0</v>
      </c>
      <c r="FG21" s="218">
        <v>0</v>
      </c>
      <c r="FH21" s="763">
        <f t="shared" si="34"/>
        <v>0</v>
      </c>
      <c r="FI21" s="219">
        <v>0</v>
      </c>
      <c r="FJ21" s="218">
        <v>0</v>
      </c>
      <c r="FK21" s="218">
        <v>0</v>
      </c>
      <c r="FL21" s="763">
        <f t="shared" si="35"/>
        <v>0</v>
      </c>
      <c r="FM21" s="219">
        <v>0</v>
      </c>
      <c r="FN21" s="218">
        <v>0</v>
      </c>
      <c r="FO21" s="218">
        <v>0</v>
      </c>
      <c r="FP21" s="763">
        <f t="shared" si="36"/>
        <v>0</v>
      </c>
      <c r="FQ21" s="764" t="s">
        <v>160</v>
      </c>
      <c r="FR21" s="764" t="s">
        <v>160</v>
      </c>
      <c r="FS21" s="764" t="s">
        <v>160</v>
      </c>
      <c r="FT21" s="763">
        <f t="shared" si="37"/>
        <v>0</v>
      </c>
      <c r="FU21" s="764" t="s">
        <v>160</v>
      </c>
      <c r="FV21" s="764" t="s">
        <v>160</v>
      </c>
      <c r="FW21" s="764" t="s">
        <v>160</v>
      </c>
      <c r="FX21" s="763">
        <f t="shared" si="38"/>
        <v>0</v>
      </c>
      <c r="FY21" s="219">
        <v>0</v>
      </c>
      <c r="FZ21" s="118" t="s">
        <v>160</v>
      </c>
      <c r="GA21" s="218">
        <v>0</v>
      </c>
      <c r="GB21" s="218">
        <v>0</v>
      </c>
      <c r="GC21" s="118" t="s">
        <v>160</v>
      </c>
      <c r="GD21" s="763">
        <f t="shared" si="39"/>
        <v>0</v>
      </c>
      <c r="GE21" s="219">
        <v>0</v>
      </c>
      <c r="GF21" s="118" t="s">
        <v>160</v>
      </c>
      <c r="GG21" s="218">
        <v>0</v>
      </c>
      <c r="GH21" s="218">
        <v>0</v>
      </c>
      <c r="GI21" s="118" t="s">
        <v>160</v>
      </c>
      <c r="GJ21" s="763">
        <f t="shared" si="40"/>
        <v>0</v>
      </c>
      <c r="GK21" s="219">
        <v>0</v>
      </c>
      <c r="GL21" s="118" t="s">
        <v>160</v>
      </c>
      <c r="GM21" s="218">
        <v>0</v>
      </c>
      <c r="GN21" s="218">
        <v>0</v>
      </c>
      <c r="GO21" s="118" t="s">
        <v>160</v>
      </c>
      <c r="GP21" s="764">
        <v>0</v>
      </c>
      <c r="GQ21" s="219">
        <v>0</v>
      </c>
      <c r="GR21" s="118" t="s">
        <v>160</v>
      </c>
      <c r="GS21" s="218">
        <v>0</v>
      </c>
      <c r="GT21" s="218">
        <v>0</v>
      </c>
      <c r="GU21" s="118" t="s">
        <v>160</v>
      </c>
      <c r="GV21" s="763">
        <f t="shared" si="41"/>
        <v>0</v>
      </c>
      <c r="GW21" s="219">
        <v>0</v>
      </c>
      <c r="GX21" s="118" t="s">
        <v>160</v>
      </c>
      <c r="GY21" s="218">
        <v>0</v>
      </c>
      <c r="GZ21" s="218">
        <v>0</v>
      </c>
      <c r="HA21" s="118" t="s">
        <v>160</v>
      </c>
      <c r="HB21" s="763">
        <f t="shared" si="42"/>
        <v>0</v>
      </c>
      <c r="HC21" s="764">
        <v>0</v>
      </c>
      <c r="HD21" s="764" t="s">
        <v>160</v>
      </c>
      <c r="HE21" s="764">
        <v>0</v>
      </c>
      <c r="HF21" s="764">
        <v>0</v>
      </c>
      <c r="HG21" s="764" t="s">
        <v>160</v>
      </c>
      <c r="HH21" s="763">
        <f t="shared" si="43"/>
        <v>0</v>
      </c>
      <c r="HI21" s="219">
        <v>0</v>
      </c>
      <c r="HJ21" s="118" t="s">
        <v>160</v>
      </c>
      <c r="HK21" s="218">
        <v>0</v>
      </c>
      <c r="HL21" s="218">
        <v>0</v>
      </c>
      <c r="HM21" s="118" t="s">
        <v>160</v>
      </c>
      <c r="HN21" s="763">
        <f t="shared" si="44"/>
        <v>0</v>
      </c>
    </row>
    <row r="22" spans="5:222" s="233" customFormat="1" hidden="1" outlineLevel="1" x14ac:dyDescent="0.2">
      <c r="E22" s="233" t="s">
        <v>265</v>
      </c>
      <c r="F22" s="233" t="s">
        <v>960</v>
      </c>
      <c r="H22" s="250" t="str">
        <f>IF([1]RENAME!$H$3=1,F22,E22)</f>
        <v xml:space="preserve"> Aquisição Direct</v>
      </c>
      <c r="I22" s="219"/>
      <c r="J22" s="218"/>
      <c r="K22" s="761"/>
      <c r="L22" s="219">
        <v>0</v>
      </c>
      <c r="M22" s="218">
        <v>0</v>
      </c>
      <c r="N22" s="218"/>
      <c r="O22" s="218"/>
      <c r="P22" s="761">
        <v>0</v>
      </c>
      <c r="Q22" s="219">
        <v>0</v>
      </c>
      <c r="R22" s="218">
        <v>0</v>
      </c>
      <c r="S22" s="218">
        <v>0</v>
      </c>
      <c r="T22" s="218"/>
      <c r="U22" s="218">
        <v>0</v>
      </c>
      <c r="V22" s="761"/>
      <c r="W22" s="219">
        <v>0</v>
      </c>
      <c r="X22" s="218">
        <v>0</v>
      </c>
      <c r="Y22" s="218">
        <v>0</v>
      </c>
      <c r="Z22" s="218">
        <v>0</v>
      </c>
      <c r="AA22" s="218">
        <v>0</v>
      </c>
      <c r="AB22" s="761"/>
      <c r="AC22" s="762"/>
      <c r="AD22" s="218"/>
      <c r="AE22" s="218"/>
      <c r="AF22" s="761"/>
      <c r="AG22" s="219">
        <v>0</v>
      </c>
      <c r="AH22" s="218">
        <v>0</v>
      </c>
      <c r="AI22" s="218">
        <v>0</v>
      </c>
      <c r="AJ22" s="761"/>
      <c r="AK22" s="219">
        <v>0</v>
      </c>
      <c r="AL22" s="218">
        <v>0</v>
      </c>
      <c r="AM22" s="218">
        <v>0</v>
      </c>
      <c r="AN22" s="761"/>
      <c r="AO22" s="219">
        <v>0</v>
      </c>
      <c r="AP22" s="218">
        <v>0</v>
      </c>
      <c r="AQ22" s="218">
        <v>0</v>
      </c>
      <c r="AR22" s="761"/>
      <c r="AS22" s="219">
        <v>0</v>
      </c>
      <c r="AT22" s="218">
        <v>0</v>
      </c>
      <c r="AU22" s="218">
        <v>0</v>
      </c>
      <c r="AV22" s="761">
        <f t="shared" si="8"/>
        <v>0</v>
      </c>
      <c r="AW22" s="219">
        <v>0</v>
      </c>
      <c r="AX22" s="218">
        <v>0</v>
      </c>
      <c r="AY22" s="218">
        <v>0</v>
      </c>
      <c r="AZ22" s="761">
        <f t="shared" si="9"/>
        <v>0</v>
      </c>
      <c r="BA22" s="219">
        <v>0</v>
      </c>
      <c r="BB22" s="218">
        <v>0</v>
      </c>
      <c r="BC22" s="218">
        <v>0</v>
      </c>
      <c r="BD22" s="761">
        <f t="shared" si="10"/>
        <v>0</v>
      </c>
      <c r="BE22" s="218">
        <v>0</v>
      </c>
      <c r="BF22" s="218">
        <v>0</v>
      </c>
      <c r="BG22" s="218">
        <v>0</v>
      </c>
      <c r="BH22" s="218">
        <v>0</v>
      </c>
      <c r="BI22" s="219">
        <v>0</v>
      </c>
      <c r="BJ22" s="218">
        <v>0</v>
      </c>
      <c r="BK22" s="761">
        <v>0</v>
      </c>
      <c r="BL22" s="218">
        <v>0</v>
      </c>
      <c r="BM22" s="218">
        <v>0</v>
      </c>
      <c r="BN22" s="218">
        <v>0</v>
      </c>
      <c r="BO22" s="218">
        <v>0</v>
      </c>
      <c r="BP22" s="219">
        <v>0</v>
      </c>
      <c r="BQ22" s="218">
        <v>0</v>
      </c>
      <c r="BR22" s="218">
        <v>0</v>
      </c>
      <c r="BS22" s="763">
        <f t="shared" si="11"/>
        <v>0</v>
      </c>
      <c r="BT22" s="219">
        <v>0</v>
      </c>
      <c r="BU22" s="218">
        <v>0</v>
      </c>
      <c r="BV22" s="218">
        <v>0</v>
      </c>
      <c r="BW22" s="763">
        <f t="shared" si="12"/>
        <v>0</v>
      </c>
      <c r="BX22" s="219">
        <v>0</v>
      </c>
      <c r="BY22" s="218">
        <v>0</v>
      </c>
      <c r="BZ22" s="218">
        <v>0</v>
      </c>
      <c r="CA22" s="763">
        <f t="shared" si="13"/>
        <v>0</v>
      </c>
      <c r="CB22" s="219">
        <v>0</v>
      </c>
      <c r="CC22" s="218">
        <v>0</v>
      </c>
      <c r="CD22" s="218">
        <v>0</v>
      </c>
      <c r="CE22" s="763">
        <f t="shared" si="14"/>
        <v>0</v>
      </c>
      <c r="CF22" s="219">
        <v>0</v>
      </c>
      <c r="CG22" s="218">
        <v>0</v>
      </c>
      <c r="CH22" s="218">
        <v>0</v>
      </c>
      <c r="CI22" s="763">
        <f t="shared" si="15"/>
        <v>0</v>
      </c>
      <c r="CJ22" s="219">
        <v>0</v>
      </c>
      <c r="CK22" s="218">
        <v>0</v>
      </c>
      <c r="CL22" s="218">
        <v>0</v>
      </c>
      <c r="CM22" s="763">
        <f t="shared" si="16"/>
        <v>0</v>
      </c>
      <c r="CN22" s="764">
        <v>0</v>
      </c>
      <c r="CO22" s="764">
        <v>0</v>
      </c>
      <c r="CP22" s="763">
        <f t="shared" si="17"/>
        <v>0</v>
      </c>
      <c r="CQ22" s="219">
        <v>0</v>
      </c>
      <c r="CR22" s="218">
        <v>0</v>
      </c>
      <c r="CS22" s="763">
        <f t="shared" si="18"/>
        <v>0</v>
      </c>
      <c r="CT22" s="219">
        <v>0</v>
      </c>
      <c r="CU22" s="218">
        <v>0</v>
      </c>
      <c r="CV22" s="763">
        <v>0</v>
      </c>
      <c r="CW22" s="219">
        <v>0</v>
      </c>
      <c r="CX22" s="218">
        <v>0</v>
      </c>
      <c r="CY22" s="218">
        <v>0</v>
      </c>
      <c r="CZ22" s="763">
        <f t="shared" si="19"/>
        <v>0</v>
      </c>
      <c r="DA22" s="219">
        <v>0</v>
      </c>
      <c r="DB22" s="218">
        <v>0</v>
      </c>
      <c r="DC22" s="218">
        <v>0</v>
      </c>
      <c r="DD22" s="763">
        <f t="shared" si="20"/>
        <v>0</v>
      </c>
      <c r="DE22" s="219">
        <v>0</v>
      </c>
      <c r="DF22" s="218">
        <v>0</v>
      </c>
      <c r="DG22" s="218">
        <v>0</v>
      </c>
      <c r="DH22" s="763">
        <f t="shared" si="21"/>
        <v>0</v>
      </c>
      <c r="DI22" s="219">
        <v>0</v>
      </c>
      <c r="DJ22" s="218">
        <v>0</v>
      </c>
      <c r="DK22" s="218">
        <v>0</v>
      </c>
      <c r="DL22" s="763">
        <f t="shared" si="22"/>
        <v>0</v>
      </c>
      <c r="DM22" s="219">
        <v>0</v>
      </c>
      <c r="DN22" s="218">
        <v>0</v>
      </c>
      <c r="DO22" s="218">
        <v>0</v>
      </c>
      <c r="DP22" s="763">
        <f t="shared" si="23"/>
        <v>0</v>
      </c>
      <c r="DQ22" s="219">
        <v>0</v>
      </c>
      <c r="DR22" s="218">
        <v>0</v>
      </c>
      <c r="DS22" s="218">
        <v>0</v>
      </c>
      <c r="DT22" s="763">
        <f t="shared" si="24"/>
        <v>0</v>
      </c>
      <c r="DU22" s="219">
        <v>0</v>
      </c>
      <c r="DV22" s="218">
        <v>0</v>
      </c>
      <c r="DW22" s="218">
        <v>0</v>
      </c>
      <c r="DX22" s="763">
        <f t="shared" si="25"/>
        <v>0</v>
      </c>
      <c r="DY22" s="219">
        <v>0</v>
      </c>
      <c r="DZ22" s="218">
        <v>0</v>
      </c>
      <c r="EA22" s="218">
        <v>0</v>
      </c>
      <c r="EB22" s="763">
        <f t="shared" si="26"/>
        <v>0</v>
      </c>
      <c r="EC22" s="219">
        <v>0</v>
      </c>
      <c r="ED22" s="218">
        <v>0</v>
      </c>
      <c r="EE22" s="218">
        <v>0</v>
      </c>
      <c r="EF22" s="763">
        <f t="shared" si="27"/>
        <v>0</v>
      </c>
      <c r="EG22" s="219">
        <v>0</v>
      </c>
      <c r="EH22" s="218">
        <v>0</v>
      </c>
      <c r="EI22" s="218">
        <v>0</v>
      </c>
      <c r="EJ22" s="763">
        <f t="shared" si="28"/>
        <v>0</v>
      </c>
      <c r="EK22" s="219">
        <v>0</v>
      </c>
      <c r="EL22" s="218">
        <v>0</v>
      </c>
      <c r="EM22" s="218">
        <v>0</v>
      </c>
      <c r="EN22" s="763">
        <f t="shared" si="29"/>
        <v>0</v>
      </c>
      <c r="EO22" s="219">
        <v>0</v>
      </c>
      <c r="EP22" s="218">
        <v>0</v>
      </c>
      <c r="EQ22" s="218">
        <v>0</v>
      </c>
      <c r="ER22" s="763">
        <f t="shared" si="30"/>
        <v>0</v>
      </c>
      <c r="ES22" s="219">
        <v>0</v>
      </c>
      <c r="ET22" s="218">
        <v>0</v>
      </c>
      <c r="EU22" s="218">
        <v>0</v>
      </c>
      <c r="EV22" s="763">
        <f t="shared" si="31"/>
        <v>0</v>
      </c>
      <c r="EW22" s="219">
        <v>0</v>
      </c>
      <c r="EX22" s="218">
        <v>0</v>
      </c>
      <c r="EY22" s="218">
        <v>0</v>
      </c>
      <c r="EZ22" s="763">
        <f t="shared" si="32"/>
        <v>0</v>
      </c>
      <c r="FA22" s="219">
        <v>0</v>
      </c>
      <c r="FB22" s="218">
        <v>0</v>
      </c>
      <c r="FC22" s="218">
        <v>0</v>
      </c>
      <c r="FD22" s="763">
        <f t="shared" si="33"/>
        <v>0</v>
      </c>
      <c r="FE22" s="219">
        <v>0</v>
      </c>
      <c r="FF22" s="218">
        <v>0</v>
      </c>
      <c r="FG22" s="218">
        <v>0</v>
      </c>
      <c r="FH22" s="763">
        <f t="shared" si="34"/>
        <v>0</v>
      </c>
      <c r="FI22" s="219">
        <v>0</v>
      </c>
      <c r="FJ22" s="218">
        <v>0</v>
      </c>
      <c r="FK22" s="218">
        <v>0</v>
      </c>
      <c r="FL22" s="763">
        <f t="shared" si="35"/>
        <v>0</v>
      </c>
      <c r="FM22" s="219">
        <v>0</v>
      </c>
      <c r="FN22" s="218">
        <v>0</v>
      </c>
      <c r="FO22" s="218">
        <v>0</v>
      </c>
      <c r="FP22" s="763">
        <f t="shared" si="36"/>
        <v>0</v>
      </c>
      <c r="FQ22" s="764" t="s">
        <v>160</v>
      </c>
      <c r="FR22" s="764" t="s">
        <v>160</v>
      </c>
      <c r="FS22" s="764" t="s">
        <v>160</v>
      </c>
      <c r="FT22" s="763">
        <f t="shared" si="37"/>
        <v>0</v>
      </c>
      <c r="FU22" s="764" t="s">
        <v>160</v>
      </c>
      <c r="FV22" s="764" t="s">
        <v>160</v>
      </c>
      <c r="FW22" s="764" t="s">
        <v>160</v>
      </c>
      <c r="FX22" s="763">
        <f t="shared" si="38"/>
        <v>0</v>
      </c>
      <c r="FY22" s="219">
        <v>0</v>
      </c>
      <c r="FZ22" s="118" t="s">
        <v>160</v>
      </c>
      <c r="GA22" s="218">
        <v>0</v>
      </c>
      <c r="GB22" s="218">
        <v>0</v>
      </c>
      <c r="GC22" s="118" t="s">
        <v>160</v>
      </c>
      <c r="GD22" s="763">
        <f t="shared" si="39"/>
        <v>0</v>
      </c>
      <c r="GE22" s="219">
        <v>0</v>
      </c>
      <c r="GF22" s="118" t="s">
        <v>160</v>
      </c>
      <c r="GG22" s="218">
        <v>0</v>
      </c>
      <c r="GH22" s="218">
        <v>0</v>
      </c>
      <c r="GI22" s="118" t="s">
        <v>160</v>
      </c>
      <c r="GJ22" s="763">
        <f t="shared" si="40"/>
        <v>0</v>
      </c>
      <c r="GK22" s="219">
        <v>0</v>
      </c>
      <c r="GL22" s="118" t="s">
        <v>160</v>
      </c>
      <c r="GM22" s="218">
        <v>0</v>
      </c>
      <c r="GN22" s="218">
        <v>0</v>
      </c>
      <c r="GO22" s="118" t="s">
        <v>160</v>
      </c>
      <c r="GP22" s="764">
        <v>0</v>
      </c>
      <c r="GQ22" s="219">
        <v>0</v>
      </c>
      <c r="GR22" s="118" t="s">
        <v>160</v>
      </c>
      <c r="GS22" s="218">
        <v>0</v>
      </c>
      <c r="GT22" s="218">
        <v>0</v>
      </c>
      <c r="GU22" s="118" t="s">
        <v>160</v>
      </c>
      <c r="GV22" s="763">
        <f t="shared" si="41"/>
        <v>0</v>
      </c>
      <c r="GW22" s="219">
        <v>0</v>
      </c>
      <c r="GX22" s="118" t="s">
        <v>160</v>
      </c>
      <c r="GY22" s="218">
        <v>0</v>
      </c>
      <c r="GZ22" s="218">
        <v>0</v>
      </c>
      <c r="HA22" s="118" t="s">
        <v>160</v>
      </c>
      <c r="HB22" s="763">
        <f t="shared" si="42"/>
        <v>0</v>
      </c>
      <c r="HC22" s="764">
        <v>0</v>
      </c>
      <c r="HD22" s="764" t="s">
        <v>160</v>
      </c>
      <c r="HE22" s="764">
        <v>0</v>
      </c>
      <c r="HF22" s="764">
        <v>0</v>
      </c>
      <c r="HG22" s="764" t="s">
        <v>160</v>
      </c>
      <c r="HH22" s="763">
        <f t="shared" si="43"/>
        <v>0</v>
      </c>
      <c r="HI22" s="219">
        <v>0</v>
      </c>
      <c r="HJ22" s="118" t="s">
        <v>160</v>
      </c>
      <c r="HK22" s="218">
        <v>0</v>
      </c>
      <c r="HL22" s="218">
        <v>0</v>
      </c>
      <c r="HM22" s="118" t="s">
        <v>160</v>
      </c>
      <c r="HN22" s="763">
        <f t="shared" si="44"/>
        <v>0</v>
      </c>
    </row>
    <row r="23" spans="5:222" s="233" customFormat="1" hidden="1" outlineLevel="1" x14ac:dyDescent="0.2">
      <c r="E23" s="233" t="s">
        <v>266</v>
      </c>
      <c r="F23" s="233" t="s">
        <v>961</v>
      </c>
      <c r="H23" s="250" t="str">
        <f>IF([1]RENAME!$H$3=1,F23,E23)</f>
        <v xml:space="preserve">   Marcas registradas e licenças </v>
      </c>
      <c r="I23" s="219">
        <v>0</v>
      </c>
      <c r="J23" s="218">
        <v>0</v>
      </c>
      <c r="K23" s="761">
        <v>12581</v>
      </c>
      <c r="L23" s="219">
        <v>0</v>
      </c>
      <c r="M23" s="218">
        <v>0</v>
      </c>
      <c r="N23" s="218">
        <v>0</v>
      </c>
      <c r="O23" s="218">
        <v>-12581</v>
      </c>
      <c r="P23" s="761">
        <v>0</v>
      </c>
      <c r="Q23" s="219">
        <v>0</v>
      </c>
      <c r="R23" s="218">
        <v>0</v>
      </c>
      <c r="S23" s="218">
        <v>0</v>
      </c>
      <c r="T23" s="218">
        <v>0</v>
      </c>
      <c r="U23" s="218">
        <v>0</v>
      </c>
      <c r="V23" s="761">
        <v>0</v>
      </c>
      <c r="W23" s="219">
        <v>0</v>
      </c>
      <c r="X23" s="218">
        <v>0</v>
      </c>
      <c r="Y23" s="218">
        <v>0</v>
      </c>
      <c r="Z23" s="218">
        <v>0</v>
      </c>
      <c r="AA23" s="218">
        <v>0</v>
      </c>
      <c r="AB23" s="761">
        <v>0</v>
      </c>
      <c r="AC23" s="762">
        <v>0</v>
      </c>
      <c r="AD23" s="218">
        <v>0</v>
      </c>
      <c r="AE23" s="218">
        <v>0</v>
      </c>
      <c r="AF23" s="761">
        <v>0</v>
      </c>
      <c r="AG23" s="219">
        <v>0</v>
      </c>
      <c r="AH23" s="218">
        <v>0</v>
      </c>
      <c r="AI23" s="218">
        <v>0</v>
      </c>
      <c r="AJ23" s="761">
        <v>0</v>
      </c>
      <c r="AK23" s="219">
        <v>0</v>
      </c>
      <c r="AL23" s="218">
        <v>0</v>
      </c>
      <c r="AM23" s="218">
        <v>0</v>
      </c>
      <c r="AN23" s="761">
        <v>0</v>
      </c>
      <c r="AO23" s="219">
        <v>0</v>
      </c>
      <c r="AP23" s="218">
        <v>0</v>
      </c>
      <c r="AQ23" s="218">
        <v>0</v>
      </c>
      <c r="AR23" s="761">
        <v>0</v>
      </c>
      <c r="AS23" s="219">
        <v>0</v>
      </c>
      <c r="AT23" s="218">
        <v>0</v>
      </c>
      <c r="AU23" s="218">
        <v>0</v>
      </c>
      <c r="AV23" s="761">
        <f t="shared" si="8"/>
        <v>0</v>
      </c>
      <c r="AW23" s="219">
        <v>0</v>
      </c>
      <c r="AX23" s="218">
        <v>0</v>
      </c>
      <c r="AY23" s="218">
        <v>0</v>
      </c>
      <c r="AZ23" s="761">
        <f t="shared" si="9"/>
        <v>0</v>
      </c>
      <c r="BA23" s="219">
        <v>0</v>
      </c>
      <c r="BB23" s="218">
        <v>0</v>
      </c>
      <c r="BC23" s="218">
        <v>0</v>
      </c>
      <c r="BD23" s="761">
        <f t="shared" si="10"/>
        <v>0</v>
      </c>
      <c r="BE23" s="218">
        <v>0</v>
      </c>
      <c r="BF23" s="218">
        <v>0</v>
      </c>
      <c r="BG23" s="218">
        <v>0</v>
      </c>
      <c r="BH23" s="218">
        <v>0</v>
      </c>
      <c r="BI23" s="219">
        <v>0</v>
      </c>
      <c r="BJ23" s="218">
        <v>0</v>
      </c>
      <c r="BK23" s="761">
        <v>0</v>
      </c>
      <c r="BL23" s="218">
        <v>0</v>
      </c>
      <c r="BM23" s="218">
        <v>0</v>
      </c>
      <c r="BN23" s="218">
        <v>0</v>
      </c>
      <c r="BO23" s="218">
        <v>0</v>
      </c>
      <c r="BP23" s="219">
        <v>0</v>
      </c>
      <c r="BQ23" s="218">
        <v>0</v>
      </c>
      <c r="BR23" s="218">
        <v>0</v>
      </c>
      <c r="BS23" s="763">
        <f t="shared" si="11"/>
        <v>0</v>
      </c>
      <c r="BT23" s="219">
        <v>0</v>
      </c>
      <c r="BU23" s="218">
        <v>0</v>
      </c>
      <c r="BV23" s="218">
        <v>0</v>
      </c>
      <c r="BW23" s="763">
        <f>SUM(BO23:BV23)</f>
        <v>0</v>
      </c>
      <c r="BX23" s="219">
        <v>0</v>
      </c>
      <c r="BY23" s="218">
        <v>0</v>
      </c>
      <c r="BZ23" s="218">
        <v>0</v>
      </c>
      <c r="CA23" s="763">
        <f t="shared" si="13"/>
        <v>0</v>
      </c>
      <c r="CB23" s="219">
        <v>0</v>
      </c>
      <c r="CC23" s="218">
        <v>0</v>
      </c>
      <c r="CD23" s="218">
        <v>0</v>
      </c>
      <c r="CE23" s="763">
        <f t="shared" si="14"/>
        <v>0</v>
      </c>
      <c r="CF23" s="219">
        <v>0</v>
      </c>
      <c r="CG23" s="218">
        <v>0</v>
      </c>
      <c r="CH23" s="218">
        <v>0</v>
      </c>
      <c r="CI23" s="763">
        <f t="shared" si="15"/>
        <v>0</v>
      </c>
      <c r="CJ23" s="219">
        <v>0</v>
      </c>
      <c r="CK23" s="218">
        <v>0</v>
      </c>
      <c r="CL23" s="218">
        <v>0</v>
      </c>
      <c r="CM23" s="763">
        <f t="shared" si="16"/>
        <v>0</v>
      </c>
      <c r="CN23" s="764">
        <v>0</v>
      </c>
      <c r="CO23" s="764">
        <v>0</v>
      </c>
      <c r="CP23" s="763">
        <f t="shared" si="17"/>
        <v>0</v>
      </c>
      <c r="CQ23" s="219">
        <v>0</v>
      </c>
      <c r="CR23" s="218">
        <v>0</v>
      </c>
      <c r="CS23" s="763">
        <f t="shared" si="18"/>
        <v>0</v>
      </c>
      <c r="CT23" s="219">
        <v>0</v>
      </c>
      <c r="CU23" s="218">
        <v>0</v>
      </c>
      <c r="CV23" s="763">
        <v>0</v>
      </c>
      <c r="CW23" s="219">
        <v>0</v>
      </c>
      <c r="CX23" s="218">
        <v>0</v>
      </c>
      <c r="CY23" s="218">
        <v>0</v>
      </c>
      <c r="CZ23" s="763">
        <f t="shared" si="19"/>
        <v>0</v>
      </c>
      <c r="DA23" s="219">
        <v>0</v>
      </c>
      <c r="DB23" s="218">
        <v>0</v>
      </c>
      <c r="DC23" s="218">
        <v>0</v>
      </c>
      <c r="DD23" s="763">
        <f t="shared" si="20"/>
        <v>0</v>
      </c>
      <c r="DE23" s="219">
        <v>0</v>
      </c>
      <c r="DF23" s="218">
        <v>0</v>
      </c>
      <c r="DG23" s="218">
        <v>0</v>
      </c>
      <c r="DH23" s="763">
        <f t="shared" si="21"/>
        <v>0</v>
      </c>
      <c r="DI23" s="219">
        <v>0</v>
      </c>
      <c r="DJ23" s="218">
        <v>0</v>
      </c>
      <c r="DK23" s="218">
        <v>0</v>
      </c>
      <c r="DL23" s="763">
        <f t="shared" si="22"/>
        <v>0</v>
      </c>
      <c r="DM23" s="219">
        <v>0</v>
      </c>
      <c r="DN23" s="218">
        <v>0</v>
      </c>
      <c r="DO23" s="218">
        <v>0</v>
      </c>
      <c r="DP23" s="763">
        <f t="shared" si="23"/>
        <v>0</v>
      </c>
      <c r="DQ23" s="219">
        <v>0</v>
      </c>
      <c r="DR23" s="218">
        <v>0</v>
      </c>
      <c r="DS23" s="218">
        <v>0</v>
      </c>
      <c r="DT23" s="763">
        <f t="shared" si="24"/>
        <v>0</v>
      </c>
      <c r="DU23" s="219">
        <v>0</v>
      </c>
      <c r="DV23" s="218">
        <v>0</v>
      </c>
      <c r="DW23" s="218">
        <v>0</v>
      </c>
      <c r="DX23" s="763">
        <f t="shared" si="25"/>
        <v>0</v>
      </c>
      <c r="DY23" s="219">
        <v>0</v>
      </c>
      <c r="DZ23" s="218">
        <v>0</v>
      </c>
      <c r="EA23" s="218">
        <v>0</v>
      </c>
      <c r="EB23" s="763">
        <f t="shared" si="26"/>
        <v>0</v>
      </c>
      <c r="EC23" s="219">
        <v>0</v>
      </c>
      <c r="ED23" s="218">
        <v>0</v>
      </c>
      <c r="EE23" s="218">
        <v>0</v>
      </c>
      <c r="EF23" s="763">
        <f t="shared" si="27"/>
        <v>0</v>
      </c>
      <c r="EG23" s="219">
        <v>0</v>
      </c>
      <c r="EH23" s="218">
        <v>0</v>
      </c>
      <c r="EI23" s="218">
        <v>0</v>
      </c>
      <c r="EJ23" s="763">
        <f t="shared" si="28"/>
        <v>0</v>
      </c>
      <c r="EK23" s="219">
        <v>0</v>
      </c>
      <c r="EL23" s="218">
        <v>0</v>
      </c>
      <c r="EM23" s="218">
        <v>0</v>
      </c>
      <c r="EN23" s="763">
        <f t="shared" si="29"/>
        <v>0</v>
      </c>
      <c r="EO23" s="219">
        <v>0</v>
      </c>
      <c r="EP23" s="218">
        <v>0</v>
      </c>
      <c r="EQ23" s="218">
        <v>0</v>
      </c>
      <c r="ER23" s="763">
        <f t="shared" si="30"/>
        <v>0</v>
      </c>
      <c r="ES23" s="219">
        <v>0</v>
      </c>
      <c r="ET23" s="218">
        <v>0</v>
      </c>
      <c r="EU23" s="218">
        <v>0</v>
      </c>
      <c r="EV23" s="763">
        <f t="shared" si="31"/>
        <v>0</v>
      </c>
      <c r="EW23" s="219">
        <v>0</v>
      </c>
      <c r="EX23" s="218">
        <v>0</v>
      </c>
      <c r="EY23" s="218">
        <v>0</v>
      </c>
      <c r="EZ23" s="763">
        <f t="shared" si="32"/>
        <v>0</v>
      </c>
      <c r="FA23" s="219">
        <v>0</v>
      </c>
      <c r="FB23" s="218">
        <v>0</v>
      </c>
      <c r="FC23" s="218">
        <v>0</v>
      </c>
      <c r="FD23" s="763">
        <f t="shared" si="33"/>
        <v>0</v>
      </c>
      <c r="FE23" s="219">
        <v>0</v>
      </c>
      <c r="FF23" s="218">
        <v>0</v>
      </c>
      <c r="FG23" s="218">
        <v>0</v>
      </c>
      <c r="FH23" s="763">
        <f t="shared" si="34"/>
        <v>0</v>
      </c>
      <c r="FI23" s="219">
        <v>0</v>
      </c>
      <c r="FJ23" s="218">
        <v>0</v>
      </c>
      <c r="FK23" s="218">
        <v>0</v>
      </c>
      <c r="FL23" s="763">
        <f t="shared" si="35"/>
        <v>0</v>
      </c>
      <c r="FM23" s="219">
        <v>0</v>
      </c>
      <c r="FN23" s="218">
        <v>0</v>
      </c>
      <c r="FO23" s="218">
        <v>0</v>
      </c>
      <c r="FP23" s="763">
        <f t="shared" si="36"/>
        <v>0</v>
      </c>
      <c r="FQ23" s="764" t="s">
        <v>160</v>
      </c>
      <c r="FR23" s="764" t="s">
        <v>160</v>
      </c>
      <c r="FS23" s="764" t="s">
        <v>160</v>
      </c>
      <c r="FT23" s="763">
        <f t="shared" si="37"/>
        <v>0</v>
      </c>
      <c r="FU23" s="764" t="s">
        <v>160</v>
      </c>
      <c r="FV23" s="764" t="s">
        <v>160</v>
      </c>
      <c r="FW23" s="764" t="s">
        <v>160</v>
      </c>
      <c r="FX23" s="763">
        <f t="shared" si="38"/>
        <v>0</v>
      </c>
      <c r="FY23" s="219">
        <v>0</v>
      </c>
      <c r="FZ23" s="118" t="s">
        <v>160</v>
      </c>
      <c r="GA23" s="218">
        <v>0</v>
      </c>
      <c r="GB23" s="218">
        <v>0</v>
      </c>
      <c r="GC23" s="118" t="s">
        <v>160</v>
      </c>
      <c r="GD23" s="763">
        <f t="shared" si="39"/>
        <v>0</v>
      </c>
      <c r="GE23" s="219">
        <v>0</v>
      </c>
      <c r="GF23" s="118" t="s">
        <v>160</v>
      </c>
      <c r="GG23" s="218">
        <v>0</v>
      </c>
      <c r="GH23" s="218">
        <v>0</v>
      </c>
      <c r="GI23" s="118" t="s">
        <v>160</v>
      </c>
      <c r="GJ23" s="763">
        <f t="shared" si="40"/>
        <v>0</v>
      </c>
      <c r="GK23" s="219">
        <v>0</v>
      </c>
      <c r="GL23" s="118" t="s">
        <v>160</v>
      </c>
      <c r="GM23" s="218">
        <v>0</v>
      </c>
      <c r="GN23" s="218">
        <v>0</v>
      </c>
      <c r="GO23" s="118" t="s">
        <v>160</v>
      </c>
      <c r="GP23" s="764">
        <v>0</v>
      </c>
      <c r="GQ23" s="219">
        <v>0</v>
      </c>
      <c r="GR23" s="118" t="s">
        <v>160</v>
      </c>
      <c r="GS23" s="218">
        <v>0</v>
      </c>
      <c r="GT23" s="218">
        <v>0</v>
      </c>
      <c r="GU23" s="118" t="s">
        <v>160</v>
      </c>
      <c r="GV23" s="763">
        <f t="shared" si="41"/>
        <v>0</v>
      </c>
      <c r="GW23" s="219">
        <v>0</v>
      </c>
      <c r="GX23" s="118" t="s">
        <v>160</v>
      </c>
      <c r="GY23" s="218">
        <v>0</v>
      </c>
      <c r="GZ23" s="218">
        <v>0</v>
      </c>
      <c r="HA23" s="118" t="s">
        <v>160</v>
      </c>
      <c r="HB23" s="763">
        <f t="shared" si="42"/>
        <v>0</v>
      </c>
      <c r="HC23" s="764">
        <v>0</v>
      </c>
      <c r="HD23" s="764" t="s">
        <v>160</v>
      </c>
      <c r="HE23" s="764">
        <v>0</v>
      </c>
      <c r="HF23" s="764">
        <v>0</v>
      </c>
      <c r="HG23" s="764" t="s">
        <v>160</v>
      </c>
      <c r="HH23" s="763">
        <f t="shared" si="43"/>
        <v>0</v>
      </c>
      <c r="HI23" s="219">
        <v>0</v>
      </c>
      <c r="HJ23" s="118" t="s">
        <v>160</v>
      </c>
      <c r="HK23" s="218">
        <v>0</v>
      </c>
      <c r="HL23" s="218">
        <v>0</v>
      </c>
      <c r="HM23" s="118" t="s">
        <v>160</v>
      </c>
      <c r="HN23" s="763">
        <f t="shared" si="44"/>
        <v>0</v>
      </c>
    </row>
    <row r="24" spans="5:222" s="233" customFormat="1" hidden="1" outlineLevel="1" x14ac:dyDescent="0.2">
      <c r="E24" s="233" t="s">
        <v>267</v>
      </c>
      <c r="F24" s="233" t="s">
        <v>962</v>
      </c>
      <c r="H24" s="250" t="str">
        <f>IF([1]RENAME!$H$3=1,F24,E24)</f>
        <v xml:space="preserve">   Relações contratuais com clientes </v>
      </c>
      <c r="I24" s="219">
        <v>0</v>
      </c>
      <c r="J24" s="218">
        <v>-493</v>
      </c>
      <c r="K24" s="761">
        <v>7341</v>
      </c>
      <c r="L24" s="219">
        <v>0</v>
      </c>
      <c r="M24" s="218">
        <v>-493</v>
      </c>
      <c r="N24" s="218">
        <v>0</v>
      </c>
      <c r="O24" s="218">
        <v>-6848</v>
      </c>
      <c r="P24" s="761">
        <v>0</v>
      </c>
      <c r="Q24" s="219">
        <v>0</v>
      </c>
      <c r="R24" s="218">
        <v>0</v>
      </c>
      <c r="S24" s="218">
        <v>0</v>
      </c>
      <c r="T24" s="218">
        <v>0</v>
      </c>
      <c r="U24" s="218">
        <v>0</v>
      </c>
      <c r="V24" s="761">
        <v>0</v>
      </c>
      <c r="W24" s="219">
        <v>0</v>
      </c>
      <c r="X24" s="218">
        <v>0</v>
      </c>
      <c r="Y24" s="218">
        <v>0</v>
      </c>
      <c r="Z24" s="218">
        <v>0</v>
      </c>
      <c r="AA24" s="218">
        <v>0</v>
      </c>
      <c r="AB24" s="761">
        <v>0</v>
      </c>
      <c r="AC24" s="762">
        <v>0</v>
      </c>
      <c r="AD24" s="218">
        <v>0</v>
      </c>
      <c r="AE24" s="218">
        <v>0</v>
      </c>
      <c r="AF24" s="761">
        <v>0</v>
      </c>
      <c r="AG24" s="219">
        <v>0</v>
      </c>
      <c r="AH24" s="218">
        <v>0</v>
      </c>
      <c r="AI24" s="218">
        <v>0</v>
      </c>
      <c r="AJ24" s="761">
        <v>0</v>
      </c>
      <c r="AK24" s="219">
        <v>0</v>
      </c>
      <c r="AL24" s="218">
        <v>0</v>
      </c>
      <c r="AM24" s="218">
        <v>0</v>
      </c>
      <c r="AN24" s="761">
        <v>0</v>
      </c>
      <c r="AO24" s="219">
        <v>0</v>
      </c>
      <c r="AP24" s="218">
        <v>0</v>
      </c>
      <c r="AQ24" s="218">
        <v>0</v>
      </c>
      <c r="AR24" s="761">
        <v>0</v>
      </c>
      <c r="AS24" s="219">
        <v>0</v>
      </c>
      <c r="AT24" s="218">
        <v>0</v>
      </c>
      <c r="AU24" s="218">
        <v>0</v>
      </c>
      <c r="AV24" s="761">
        <f t="shared" si="8"/>
        <v>0</v>
      </c>
      <c r="AW24" s="219">
        <v>0</v>
      </c>
      <c r="AX24" s="218">
        <v>0</v>
      </c>
      <c r="AY24" s="218">
        <v>0</v>
      </c>
      <c r="AZ24" s="761">
        <f t="shared" si="9"/>
        <v>0</v>
      </c>
      <c r="BA24" s="219">
        <v>0</v>
      </c>
      <c r="BB24" s="218">
        <v>0</v>
      </c>
      <c r="BC24" s="218">
        <v>0</v>
      </c>
      <c r="BD24" s="761">
        <f t="shared" si="10"/>
        <v>0</v>
      </c>
      <c r="BE24" s="218">
        <v>0</v>
      </c>
      <c r="BF24" s="218">
        <v>0</v>
      </c>
      <c r="BG24" s="218">
        <v>0</v>
      </c>
      <c r="BH24" s="218">
        <v>0</v>
      </c>
      <c r="BI24" s="219">
        <v>0</v>
      </c>
      <c r="BJ24" s="218">
        <v>0</v>
      </c>
      <c r="BK24" s="761">
        <v>0</v>
      </c>
      <c r="BL24" s="218">
        <v>0</v>
      </c>
      <c r="BM24" s="218">
        <v>0</v>
      </c>
      <c r="BN24" s="218">
        <v>0</v>
      </c>
      <c r="BO24" s="218">
        <v>0</v>
      </c>
      <c r="BP24" s="219">
        <v>0</v>
      </c>
      <c r="BQ24" s="218">
        <v>0</v>
      </c>
      <c r="BR24" s="218">
        <v>0</v>
      </c>
      <c r="BS24" s="763">
        <f t="shared" si="11"/>
        <v>0</v>
      </c>
      <c r="BT24" s="219">
        <v>0</v>
      </c>
      <c r="BU24" s="218">
        <v>0</v>
      </c>
      <c r="BV24" s="218">
        <v>0</v>
      </c>
      <c r="BW24" s="763">
        <f t="shared" si="12"/>
        <v>0</v>
      </c>
      <c r="BX24" s="219">
        <v>0</v>
      </c>
      <c r="BY24" s="218">
        <v>0</v>
      </c>
      <c r="BZ24" s="218">
        <v>0</v>
      </c>
      <c r="CA24" s="763">
        <f t="shared" si="13"/>
        <v>0</v>
      </c>
      <c r="CB24" s="219">
        <v>0</v>
      </c>
      <c r="CC24" s="218">
        <v>0</v>
      </c>
      <c r="CD24" s="218">
        <v>0</v>
      </c>
      <c r="CE24" s="763">
        <f t="shared" si="14"/>
        <v>0</v>
      </c>
      <c r="CF24" s="219">
        <v>0</v>
      </c>
      <c r="CG24" s="218">
        <v>0</v>
      </c>
      <c r="CH24" s="218">
        <v>0</v>
      </c>
      <c r="CI24" s="763">
        <f t="shared" si="15"/>
        <v>0</v>
      </c>
      <c r="CJ24" s="219">
        <v>0</v>
      </c>
      <c r="CK24" s="218">
        <v>0</v>
      </c>
      <c r="CL24" s="218">
        <v>0</v>
      </c>
      <c r="CM24" s="763">
        <f t="shared" si="16"/>
        <v>0</v>
      </c>
      <c r="CN24" s="764">
        <v>0</v>
      </c>
      <c r="CO24" s="764">
        <v>0</v>
      </c>
      <c r="CP24" s="763">
        <f t="shared" si="17"/>
        <v>0</v>
      </c>
      <c r="CQ24" s="219">
        <v>0</v>
      </c>
      <c r="CR24" s="218">
        <v>0</v>
      </c>
      <c r="CS24" s="763">
        <f t="shared" si="18"/>
        <v>0</v>
      </c>
      <c r="CT24" s="219">
        <v>0</v>
      </c>
      <c r="CU24" s="218">
        <v>0</v>
      </c>
      <c r="CV24" s="763">
        <v>0</v>
      </c>
      <c r="CW24" s="219">
        <v>0</v>
      </c>
      <c r="CX24" s="218">
        <v>0</v>
      </c>
      <c r="CY24" s="218">
        <v>0</v>
      </c>
      <c r="CZ24" s="763">
        <f t="shared" si="19"/>
        <v>0</v>
      </c>
      <c r="DA24" s="219">
        <v>0</v>
      </c>
      <c r="DB24" s="218">
        <v>0</v>
      </c>
      <c r="DC24" s="218">
        <v>0</v>
      </c>
      <c r="DD24" s="763">
        <f t="shared" si="20"/>
        <v>0</v>
      </c>
      <c r="DE24" s="219">
        <v>0</v>
      </c>
      <c r="DF24" s="218">
        <v>0</v>
      </c>
      <c r="DG24" s="218">
        <v>0</v>
      </c>
      <c r="DH24" s="763">
        <f t="shared" si="21"/>
        <v>0</v>
      </c>
      <c r="DI24" s="219">
        <v>0</v>
      </c>
      <c r="DJ24" s="218">
        <v>0</v>
      </c>
      <c r="DK24" s="218">
        <v>0</v>
      </c>
      <c r="DL24" s="763">
        <f t="shared" si="22"/>
        <v>0</v>
      </c>
      <c r="DM24" s="219">
        <v>0</v>
      </c>
      <c r="DN24" s="218">
        <v>0</v>
      </c>
      <c r="DO24" s="218">
        <v>0</v>
      </c>
      <c r="DP24" s="763">
        <f t="shared" si="23"/>
        <v>0</v>
      </c>
      <c r="DQ24" s="219">
        <v>0</v>
      </c>
      <c r="DR24" s="218">
        <v>0</v>
      </c>
      <c r="DS24" s="218">
        <v>0</v>
      </c>
      <c r="DT24" s="763">
        <f t="shared" si="24"/>
        <v>0</v>
      </c>
      <c r="DU24" s="219">
        <v>0</v>
      </c>
      <c r="DV24" s="218">
        <v>0</v>
      </c>
      <c r="DW24" s="218">
        <v>0</v>
      </c>
      <c r="DX24" s="763">
        <f t="shared" si="25"/>
        <v>0</v>
      </c>
      <c r="DY24" s="219">
        <v>0</v>
      </c>
      <c r="DZ24" s="218">
        <v>0</v>
      </c>
      <c r="EA24" s="218">
        <v>0</v>
      </c>
      <c r="EB24" s="763">
        <f t="shared" si="26"/>
        <v>0</v>
      </c>
      <c r="EC24" s="219">
        <v>0</v>
      </c>
      <c r="ED24" s="218">
        <v>0</v>
      </c>
      <c r="EE24" s="218">
        <v>0</v>
      </c>
      <c r="EF24" s="763">
        <f t="shared" si="27"/>
        <v>0</v>
      </c>
      <c r="EG24" s="219">
        <v>0</v>
      </c>
      <c r="EH24" s="218">
        <v>0</v>
      </c>
      <c r="EI24" s="218">
        <v>0</v>
      </c>
      <c r="EJ24" s="763">
        <f t="shared" si="28"/>
        <v>0</v>
      </c>
      <c r="EK24" s="219">
        <v>0</v>
      </c>
      <c r="EL24" s="218">
        <v>0</v>
      </c>
      <c r="EM24" s="218">
        <v>0</v>
      </c>
      <c r="EN24" s="763">
        <f t="shared" si="29"/>
        <v>0</v>
      </c>
      <c r="EO24" s="219">
        <v>0</v>
      </c>
      <c r="EP24" s="218">
        <v>0</v>
      </c>
      <c r="EQ24" s="218">
        <v>0</v>
      </c>
      <c r="ER24" s="763">
        <f t="shared" si="30"/>
        <v>0</v>
      </c>
      <c r="ES24" s="219">
        <v>0</v>
      </c>
      <c r="ET24" s="218">
        <v>0</v>
      </c>
      <c r="EU24" s="218">
        <v>0</v>
      </c>
      <c r="EV24" s="763">
        <f t="shared" si="31"/>
        <v>0</v>
      </c>
      <c r="EW24" s="219">
        <v>0</v>
      </c>
      <c r="EX24" s="218">
        <v>0</v>
      </c>
      <c r="EY24" s="218">
        <v>0</v>
      </c>
      <c r="EZ24" s="763">
        <f t="shared" si="32"/>
        <v>0</v>
      </c>
      <c r="FA24" s="219">
        <v>0</v>
      </c>
      <c r="FB24" s="218">
        <v>0</v>
      </c>
      <c r="FC24" s="218">
        <v>0</v>
      </c>
      <c r="FD24" s="763">
        <f t="shared" si="33"/>
        <v>0</v>
      </c>
      <c r="FE24" s="219">
        <v>0</v>
      </c>
      <c r="FF24" s="218">
        <v>0</v>
      </c>
      <c r="FG24" s="218">
        <v>0</v>
      </c>
      <c r="FH24" s="763">
        <f t="shared" si="34"/>
        <v>0</v>
      </c>
      <c r="FI24" s="219">
        <v>0</v>
      </c>
      <c r="FJ24" s="218">
        <v>0</v>
      </c>
      <c r="FK24" s="218">
        <v>0</v>
      </c>
      <c r="FL24" s="763">
        <f t="shared" si="35"/>
        <v>0</v>
      </c>
      <c r="FM24" s="219">
        <v>0</v>
      </c>
      <c r="FN24" s="218">
        <v>0</v>
      </c>
      <c r="FO24" s="218">
        <v>0</v>
      </c>
      <c r="FP24" s="763">
        <f t="shared" si="36"/>
        <v>0</v>
      </c>
      <c r="FQ24" s="764" t="s">
        <v>160</v>
      </c>
      <c r="FR24" s="764" t="s">
        <v>160</v>
      </c>
      <c r="FS24" s="764" t="s">
        <v>160</v>
      </c>
      <c r="FT24" s="763">
        <f t="shared" si="37"/>
        <v>0</v>
      </c>
      <c r="FU24" s="764" t="s">
        <v>160</v>
      </c>
      <c r="FV24" s="764" t="s">
        <v>160</v>
      </c>
      <c r="FW24" s="764" t="s">
        <v>160</v>
      </c>
      <c r="FX24" s="763">
        <f t="shared" si="38"/>
        <v>0</v>
      </c>
      <c r="FY24" s="219">
        <v>0</v>
      </c>
      <c r="FZ24" s="118" t="s">
        <v>160</v>
      </c>
      <c r="GA24" s="218">
        <v>0</v>
      </c>
      <c r="GB24" s="218">
        <v>0</v>
      </c>
      <c r="GC24" s="118" t="s">
        <v>160</v>
      </c>
      <c r="GD24" s="763">
        <f t="shared" si="39"/>
        <v>0</v>
      </c>
      <c r="GE24" s="219">
        <v>0</v>
      </c>
      <c r="GF24" s="118" t="s">
        <v>160</v>
      </c>
      <c r="GG24" s="218">
        <v>0</v>
      </c>
      <c r="GH24" s="218">
        <v>0</v>
      </c>
      <c r="GI24" s="118" t="s">
        <v>160</v>
      </c>
      <c r="GJ24" s="763">
        <f t="shared" si="40"/>
        <v>0</v>
      </c>
      <c r="GK24" s="219">
        <v>0</v>
      </c>
      <c r="GL24" s="118" t="s">
        <v>160</v>
      </c>
      <c r="GM24" s="218">
        <v>0</v>
      </c>
      <c r="GN24" s="218">
        <v>0</v>
      </c>
      <c r="GO24" s="118" t="s">
        <v>160</v>
      </c>
      <c r="GP24" s="764">
        <v>0</v>
      </c>
      <c r="GQ24" s="219">
        <v>0</v>
      </c>
      <c r="GR24" s="118" t="s">
        <v>160</v>
      </c>
      <c r="GS24" s="218">
        <v>0</v>
      </c>
      <c r="GT24" s="218">
        <v>0</v>
      </c>
      <c r="GU24" s="118" t="s">
        <v>160</v>
      </c>
      <c r="GV24" s="763">
        <f t="shared" si="41"/>
        <v>0</v>
      </c>
      <c r="GW24" s="219">
        <v>0</v>
      </c>
      <c r="GX24" s="118" t="s">
        <v>160</v>
      </c>
      <c r="GY24" s="218">
        <v>0</v>
      </c>
      <c r="GZ24" s="218">
        <v>0</v>
      </c>
      <c r="HA24" s="118" t="s">
        <v>160</v>
      </c>
      <c r="HB24" s="763">
        <f t="shared" si="42"/>
        <v>0</v>
      </c>
      <c r="HC24" s="764">
        <v>0</v>
      </c>
      <c r="HD24" s="764" t="s">
        <v>160</v>
      </c>
      <c r="HE24" s="764">
        <v>0</v>
      </c>
      <c r="HF24" s="764">
        <v>0</v>
      </c>
      <c r="HG24" s="764" t="s">
        <v>160</v>
      </c>
      <c r="HH24" s="763">
        <f t="shared" si="43"/>
        <v>0</v>
      </c>
      <c r="HI24" s="219">
        <v>0</v>
      </c>
      <c r="HJ24" s="118" t="s">
        <v>160</v>
      </c>
      <c r="HK24" s="218">
        <v>0</v>
      </c>
      <c r="HL24" s="218">
        <v>0</v>
      </c>
      <c r="HM24" s="118" t="s">
        <v>160</v>
      </c>
      <c r="HN24" s="763">
        <f t="shared" si="44"/>
        <v>0</v>
      </c>
    </row>
    <row r="25" spans="5:222" s="233" customFormat="1" hidden="1" outlineLevel="1" x14ac:dyDescent="0.2">
      <c r="E25" s="233" t="s">
        <v>268</v>
      </c>
      <c r="F25" s="233" t="s">
        <v>963</v>
      </c>
      <c r="H25" s="250" t="str">
        <f>IF([1]RENAME!$H$3=1,F25,E25)</f>
        <v xml:space="preserve">   Custos de desenvolvimento de softwares </v>
      </c>
      <c r="I25" s="219">
        <v>0</v>
      </c>
      <c r="J25" s="218">
        <v>-125</v>
      </c>
      <c r="K25" s="761">
        <v>1416</v>
      </c>
      <c r="L25" s="219">
        <v>0</v>
      </c>
      <c r="M25" s="218">
        <v>-125</v>
      </c>
      <c r="N25" s="218">
        <v>0</v>
      </c>
      <c r="O25" s="218">
        <v>-1291</v>
      </c>
      <c r="P25" s="761">
        <v>0</v>
      </c>
      <c r="Q25" s="219">
        <v>0</v>
      </c>
      <c r="R25" s="218">
        <v>0</v>
      </c>
      <c r="S25" s="218">
        <v>0</v>
      </c>
      <c r="T25" s="218">
        <v>0</v>
      </c>
      <c r="U25" s="218">
        <v>0</v>
      </c>
      <c r="V25" s="761">
        <v>0</v>
      </c>
      <c r="W25" s="219">
        <v>0</v>
      </c>
      <c r="X25" s="218">
        <v>0</v>
      </c>
      <c r="Y25" s="218">
        <v>0</v>
      </c>
      <c r="Z25" s="218">
        <v>0</v>
      </c>
      <c r="AA25" s="218">
        <v>0</v>
      </c>
      <c r="AB25" s="761">
        <v>0</v>
      </c>
      <c r="AC25" s="762">
        <v>0</v>
      </c>
      <c r="AD25" s="218">
        <v>0</v>
      </c>
      <c r="AE25" s="218">
        <v>0</v>
      </c>
      <c r="AF25" s="761">
        <v>0</v>
      </c>
      <c r="AG25" s="219">
        <v>0</v>
      </c>
      <c r="AH25" s="218">
        <v>0</v>
      </c>
      <c r="AI25" s="218">
        <v>0</v>
      </c>
      <c r="AJ25" s="761">
        <v>0</v>
      </c>
      <c r="AK25" s="219">
        <v>0</v>
      </c>
      <c r="AL25" s="218">
        <v>0</v>
      </c>
      <c r="AM25" s="218">
        <v>0</v>
      </c>
      <c r="AN25" s="761">
        <v>0</v>
      </c>
      <c r="AO25" s="219">
        <v>0</v>
      </c>
      <c r="AP25" s="218">
        <v>0</v>
      </c>
      <c r="AQ25" s="218">
        <v>0</v>
      </c>
      <c r="AR25" s="761">
        <v>0</v>
      </c>
      <c r="AS25" s="219">
        <v>0</v>
      </c>
      <c r="AT25" s="218">
        <v>0</v>
      </c>
      <c r="AU25" s="218">
        <v>0</v>
      </c>
      <c r="AV25" s="761">
        <f t="shared" si="8"/>
        <v>0</v>
      </c>
      <c r="AW25" s="219">
        <v>0</v>
      </c>
      <c r="AX25" s="218">
        <v>0</v>
      </c>
      <c r="AY25" s="218">
        <v>0</v>
      </c>
      <c r="AZ25" s="761">
        <f t="shared" si="9"/>
        <v>0</v>
      </c>
      <c r="BA25" s="219">
        <v>0</v>
      </c>
      <c r="BB25" s="218">
        <v>0</v>
      </c>
      <c r="BC25" s="218">
        <v>0</v>
      </c>
      <c r="BD25" s="761">
        <f t="shared" si="10"/>
        <v>0</v>
      </c>
      <c r="BE25" s="218">
        <v>0</v>
      </c>
      <c r="BF25" s="218">
        <v>0</v>
      </c>
      <c r="BG25" s="218">
        <v>0</v>
      </c>
      <c r="BH25" s="218">
        <v>0</v>
      </c>
      <c r="BI25" s="219">
        <v>0</v>
      </c>
      <c r="BJ25" s="218">
        <v>0</v>
      </c>
      <c r="BK25" s="761">
        <v>0</v>
      </c>
      <c r="BL25" s="218">
        <v>0</v>
      </c>
      <c r="BM25" s="218">
        <v>0</v>
      </c>
      <c r="BN25" s="218">
        <v>0</v>
      </c>
      <c r="BO25" s="218">
        <v>0</v>
      </c>
      <c r="BP25" s="219">
        <v>0</v>
      </c>
      <c r="BQ25" s="218">
        <v>0</v>
      </c>
      <c r="BR25" s="218">
        <v>0</v>
      </c>
      <c r="BS25" s="763">
        <f t="shared" si="11"/>
        <v>0</v>
      </c>
      <c r="BT25" s="219">
        <v>0</v>
      </c>
      <c r="BU25" s="218">
        <v>0</v>
      </c>
      <c r="BV25" s="218">
        <v>0</v>
      </c>
      <c r="BW25" s="763">
        <f t="shared" si="12"/>
        <v>0</v>
      </c>
      <c r="BX25" s="219">
        <v>0</v>
      </c>
      <c r="BY25" s="218">
        <v>0</v>
      </c>
      <c r="BZ25" s="218">
        <v>0</v>
      </c>
      <c r="CA25" s="763">
        <f t="shared" si="13"/>
        <v>0</v>
      </c>
      <c r="CB25" s="219">
        <v>0</v>
      </c>
      <c r="CC25" s="218">
        <v>0</v>
      </c>
      <c r="CD25" s="218">
        <v>0</v>
      </c>
      <c r="CE25" s="763">
        <f t="shared" si="14"/>
        <v>0</v>
      </c>
      <c r="CF25" s="219">
        <v>0</v>
      </c>
      <c r="CG25" s="218">
        <v>0</v>
      </c>
      <c r="CH25" s="218">
        <v>0</v>
      </c>
      <c r="CI25" s="763">
        <f t="shared" si="15"/>
        <v>0</v>
      </c>
      <c r="CJ25" s="219">
        <v>0</v>
      </c>
      <c r="CK25" s="218">
        <v>0</v>
      </c>
      <c r="CL25" s="218">
        <v>0</v>
      </c>
      <c r="CM25" s="763">
        <f t="shared" si="16"/>
        <v>0</v>
      </c>
      <c r="CN25" s="764">
        <v>0</v>
      </c>
      <c r="CO25" s="764">
        <v>0</v>
      </c>
      <c r="CP25" s="763">
        <f t="shared" si="17"/>
        <v>0</v>
      </c>
      <c r="CQ25" s="219">
        <v>0</v>
      </c>
      <c r="CR25" s="218">
        <v>0</v>
      </c>
      <c r="CS25" s="763">
        <f t="shared" si="18"/>
        <v>0</v>
      </c>
      <c r="CT25" s="219">
        <v>0</v>
      </c>
      <c r="CU25" s="218">
        <v>0</v>
      </c>
      <c r="CV25" s="763">
        <v>0</v>
      </c>
      <c r="CW25" s="219">
        <v>0</v>
      </c>
      <c r="CX25" s="218">
        <v>0</v>
      </c>
      <c r="CY25" s="218">
        <v>0</v>
      </c>
      <c r="CZ25" s="763">
        <f t="shared" si="19"/>
        <v>0</v>
      </c>
      <c r="DA25" s="219">
        <v>0</v>
      </c>
      <c r="DB25" s="218">
        <v>0</v>
      </c>
      <c r="DC25" s="218">
        <v>0</v>
      </c>
      <c r="DD25" s="763">
        <f t="shared" si="20"/>
        <v>0</v>
      </c>
      <c r="DE25" s="219">
        <v>0</v>
      </c>
      <c r="DF25" s="218">
        <v>0</v>
      </c>
      <c r="DG25" s="218">
        <v>0</v>
      </c>
      <c r="DH25" s="763">
        <f t="shared" si="21"/>
        <v>0</v>
      </c>
      <c r="DI25" s="219">
        <v>0</v>
      </c>
      <c r="DJ25" s="218">
        <v>0</v>
      </c>
      <c r="DK25" s="218">
        <v>0</v>
      </c>
      <c r="DL25" s="763">
        <f t="shared" si="22"/>
        <v>0</v>
      </c>
      <c r="DM25" s="219">
        <v>0</v>
      </c>
      <c r="DN25" s="218">
        <v>0</v>
      </c>
      <c r="DO25" s="218">
        <v>0</v>
      </c>
      <c r="DP25" s="763">
        <f t="shared" si="23"/>
        <v>0</v>
      </c>
      <c r="DQ25" s="219">
        <v>0</v>
      </c>
      <c r="DR25" s="218">
        <v>0</v>
      </c>
      <c r="DS25" s="218">
        <v>0</v>
      </c>
      <c r="DT25" s="763">
        <f t="shared" si="24"/>
        <v>0</v>
      </c>
      <c r="DU25" s="219">
        <v>0</v>
      </c>
      <c r="DV25" s="218">
        <v>0</v>
      </c>
      <c r="DW25" s="218">
        <v>0</v>
      </c>
      <c r="DX25" s="763">
        <f t="shared" si="25"/>
        <v>0</v>
      </c>
      <c r="DY25" s="219">
        <v>0</v>
      </c>
      <c r="DZ25" s="218">
        <v>0</v>
      </c>
      <c r="EA25" s="218">
        <v>0</v>
      </c>
      <c r="EB25" s="763">
        <f t="shared" si="26"/>
        <v>0</v>
      </c>
      <c r="EC25" s="219">
        <v>0</v>
      </c>
      <c r="ED25" s="218">
        <v>0</v>
      </c>
      <c r="EE25" s="218">
        <v>0</v>
      </c>
      <c r="EF25" s="763">
        <f t="shared" si="27"/>
        <v>0</v>
      </c>
      <c r="EG25" s="219">
        <v>0</v>
      </c>
      <c r="EH25" s="218">
        <v>0</v>
      </c>
      <c r="EI25" s="218">
        <v>0</v>
      </c>
      <c r="EJ25" s="763">
        <f t="shared" si="28"/>
        <v>0</v>
      </c>
      <c r="EK25" s="219">
        <v>0</v>
      </c>
      <c r="EL25" s="218">
        <v>0</v>
      </c>
      <c r="EM25" s="218">
        <v>0</v>
      </c>
      <c r="EN25" s="763">
        <f t="shared" si="29"/>
        <v>0</v>
      </c>
      <c r="EO25" s="219">
        <v>0</v>
      </c>
      <c r="EP25" s="218">
        <v>0</v>
      </c>
      <c r="EQ25" s="218">
        <v>0</v>
      </c>
      <c r="ER25" s="763">
        <f t="shared" si="30"/>
        <v>0</v>
      </c>
      <c r="ES25" s="219">
        <v>0</v>
      </c>
      <c r="ET25" s="218">
        <v>0</v>
      </c>
      <c r="EU25" s="218">
        <v>0</v>
      </c>
      <c r="EV25" s="763">
        <f t="shared" si="31"/>
        <v>0</v>
      </c>
      <c r="EW25" s="219">
        <v>0</v>
      </c>
      <c r="EX25" s="218">
        <v>0</v>
      </c>
      <c r="EY25" s="218">
        <v>0</v>
      </c>
      <c r="EZ25" s="763">
        <f t="shared" si="32"/>
        <v>0</v>
      </c>
      <c r="FA25" s="219">
        <v>0</v>
      </c>
      <c r="FB25" s="218">
        <v>0</v>
      </c>
      <c r="FC25" s="218">
        <v>0</v>
      </c>
      <c r="FD25" s="763">
        <f t="shared" si="33"/>
        <v>0</v>
      </c>
      <c r="FE25" s="219">
        <v>0</v>
      </c>
      <c r="FF25" s="218">
        <v>0</v>
      </c>
      <c r="FG25" s="218">
        <v>0</v>
      </c>
      <c r="FH25" s="763">
        <f t="shared" si="34"/>
        <v>0</v>
      </c>
      <c r="FI25" s="219">
        <v>0</v>
      </c>
      <c r="FJ25" s="218">
        <v>0</v>
      </c>
      <c r="FK25" s="218">
        <v>0</v>
      </c>
      <c r="FL25" s="763">
        <f t="shared" si="35"/>
        <v>0</v>
      </c>
      <c r="FM25" s="219">
        <v>0</v>
      </c>
      <c r="FN25" s="218">
        <v>0</v>
      </c>
      <c r="FO25" s="218">
        <v>0</v>
      </c>
      <c r="FP25" s="763">
        <f t="shared" si="36"/>
        <v>0</v>
      </c>
      <c r="FQ25" s="764" t="s">
        <v>160</v>
      </c>
      <c r="FR25" s="764" t="s">
        <v>160</v>
      </c>
      <c r="FS25" s="764" t="s">
        <v>160</v>
      </c>
      <c r="FT25" s="763">
        <f t="shared" si="37"/>
        <v>0</v>
      </c>
      <c r="FU25" s="764" t="s">
        <v>160</v>
      </c>
      <c r="FV25" s="764" t="s">
        <v>160</v>
      </c>
      <c r="FW25" s="764" t="s">
        <v>160</v>
      </c>
      <c r="FX25" s="763">
        <f t="shared" si="38"/>
        <v>0</v>
      </c>
      <c r="FY25" s="219">
        <v>0</v>
      </c>
      <c r="FZ25" s="118" t="s">
        <v>160</v>
      </c>
      <c r="GA25" s="218">
        <v>0</v>
      </c>
      <c r="GB25" s="218">
        <v>0</v>
      </c>
      <c r="GC25" s="118" t="s">
        <v>160</v>
      </c>
      <c r="GD25" s="763">
        <f t="shared" si="39"/>
        <v>0</v>
      </c>
      <c r="GE25" s="219">
        <v>0</v>
      </c>
      <c r="GF25" s="118" t="s">
        <v>160</v>
      </c>
      <c r="GG25" s="218">
        <v>0</v>
      </c>
      <c r="GH25" s="218">
        <v>0</v>
      </c>
      <c r="GI25" s="118" t="s">
        <v>160</v>
      </c>
      <c r="GJ25" s="763">
        <f t="shared" si="40"/>
        <v>0</v>
      </c>
      <c r="GK25" s="219">
        <v>0</v>
      </c>
      <c r="GL25" s="118" t="s">
        <v>160</v>
      </c>
      <c r="GM25" s="218">
        <v>0</v>
      </c>
      <c r="GN25" s="218">
        <v>0</v>
      </c>
      <c r="GO25" s="118" t="s">
        <v>160</v>
      </c>
      <c r="GP25" s="764">
        <v>0</v>
      </c>
      <c r="GQ25" s="219">
        <v>0</v>
      </c>
      <c r="GR25" s="118" t="s">
        <v>160</v>
      </c>
      <c r="GS25" s="218">
        <v>0</v>
      </c>
      <c r="GT25" s="218">
        <v>0</v>
      </c>
      <c r="GU25" s="118" t="s">
        <v>160</v>
      </c>
      <c r="GV25" s="763">
        <f t="shared" si="41"/>
        <v>0</v>
      </c>
      <c r="GW25" s="219">
        <v>0</v>
      </c>
      <c r="GX25" s="118" t="s">
        <v>160</v>
      </c>
      <c r="GY25" s="218">
        <v>0</v>
      </c>
      <c r="GZ25" s="218">
        <v>0</v>
      </c>
      <c r="HA25" s="118" t="s">
        <v>160</v>
      </c>
      <c r="HB25" s="763">
        <f t="shared" si="42"/>
        <v>0</v>
      </c>
      <c r="HC25" s="764">
        <v>0</v>
      </c>
      <c r="HD25" s="764" t="s">
        <v>160</v>
      </c>
      <c r="HE25" s="764">
        <v>0</v>
      </c>
      <c r="HF25" s="764">
        <v>0</v>
      </c>
      <c r="HG25" s="764" t="s">
        <v>160</v>
      </c>
      <c r="HH25" s="763">
        <f t="shared" si="43"/>
        <v>0</v>
      </c>
      <c r="HI25" s="219">
        <v>0</v>
      </c>
      <c r="HJ25" s="118" t="s">
        <v>160</v>
      </c>
      <c r="HK25" s="218">
        <v>0</v>
      </c>
      <c r="HL25" s="218">
        <v>0</v>
      </c>
      <c r="HM25" s="118" t="s">
        <v>160</v>
      </c>
      <c r="HN25" s="763">
        <f t="shared" si="44"/>
        <v>0</v>
      </c>
    </row>
    <row r="26" spans="5:222" collapsed="1" x14ac:dyDescent="0.2">
      <c r="E26" t="s">
        <v>261</v>
      </c>
      <c r="F26" t="s">
        <v>964</v>
      </c>
      <c r="H26" s="120" t="str">
        <f>IF([1]RENAME!$H$3=1,F26,E26)</f>
        <v>Intangível pago na aquisição de investimentos</v>
      </c>
      <c r="I26" s="162">
        <f t="shared" ref="I26:AJ26" si="45">SUM(I19:I25)</f>
        <v>0</v>
      </c>
      <c r="J26" s="120">
        <f t="shared" si="45"/>
        <v>-966</v>
      </c>
      <c r="K26" s="163">
        <f t="shared" si="45"/>
        <v>32239</v>
      </c>
      <c r="L26" s="162">
        <f t="shared" si="45"/>
        <v>0</v>
      </c>
      <c r="M26" s="120">
        <f t="shared" si="45"/>
        <v>-270</v>
      </c>
      <c r="N26" s="120">
        <f t="shared" si="45"/>
        <v>-11249</v>
      </c>
      <c r="O26" s="120">
        <f t="shared" si="45"/>
        <v>-20720</v>
      </c>
      <c r="P26" s="163">
        <f t="shared" si="45"/>
        <v>0</v>
      </c>
      <c r="Q26" s="162">
        <f t="shared" si="45"/>
        <v>0</v>
      </c>
      <c r="R26" s="120">
        <f t="shared" si="45"/>
        <v>0</v>
      </c>
      <c r="S26" s="120">
        <f t="shared" si="45"/>
        <v>0</v>
      </c>
      <c r="T26" s="120">
        <f t="shared" si="45"/>
        <v>0</v>
      </c>
      <c r="U26" s="120">
        <f t="shared" si="45"/>
        <v>0</v>
      </c>
      <c r="V26" s="163">
        <f t="shared" si="45"/>
        <v>0</v>
      </c>
      <c r="W26" s="162">
        <f t="shared" si="45"/>
        <v>0</v>
      </c>
      <c r="X26" s="120">
        <f t="shared" si="45"/>
        <v>0</v>
      </c>
      <c r="Y26" s="120">
        <f t="shared" si="45"/>
        <v>0</v>
      </c>
      <c r="Z26" s="120">
        <f t="shared" si="45"/>
        <v>0</v>
      </c>
      <c r="AA26" s="120">
        <f t="shared" si="45"/>
        <v>0</v>
      </c>
      <c r="AB26" s="163">
        <f t="shared" si="45"/>
        <v>0</v>
      </c>
      <c r="AC26" s="162">
        <f t="shared" si="45"/>
        <v>0</v>
      </c>
      <c r="AD26" s="120">
        <f t="shared" si="45"/>
        <v>0</v>
      </c>
      <c r="AE26" s="120">
        <f t="shared" si="45"/>
        <v>0</v>
      </c>
      <c r="AF26" s="163">
        <f t="shared" si="45"/>
        <v>0</v>
      </c>
      <c r="AG26" s="162">
        <f t="shared" si="45"/>
        <v>0</v>
      </c>
      <c r="AH26" s="120">
        <f t="shared" si="45"/>
        <v>0</v>
      </c>
      <c r="AI26" s="120">
        <f t="shared" si="45"/>
        <v>0</v>
      </c>
      <c r="AJ26" s="163">
        <f t="shared" si="45"/>
        <v>0</v>
      </c>
      <c r="AK26" s="162">
        <f t="shared" ref="AK26:BD26" si="46">SUM(AK19:AK25)</f>
        <v>0</v>
      </c>
      <c r="AL26" s="120">
        <f t="shared" si="46"/>
        <v>0</v>
      </c>
      <c r="AM26" s="120">
        <f t="shared" si="46"/>
        <v>0</v>
      </c>
      <c r="AN26" s="163">
        <f t="shared" si="46"/>
        <v>0</v>
      </c>
      <c r="AO26" s="162">
        <f t="shared" si="46"/>
        <v>0</v>
      </c>
      <c r="AP26" s="120">
        <f t="shared" si="46"/>
        <v>0</v>
      </c>
      <c r="AQ26" s="120">
        <f t="shared" si="46"/>
        <v>0</v>
      </c>
      <c r="AR26" s="163">
        <f t="shared" si="46"/>
        <v>0</v>
      </c>
      <c r="AS26" s="162">
        <f t="shared" si="46"/>
        <v>0</v>
      </c>
      <c r="AT26" s="120">
        <f t="shared" si="46"/>
        <v>0</v>
      </c>
      <c r="AU26" s="120">
        <f t="shared" si="46"/>
        <v>0</v>
      </c>
      <c r="AV26" s="163">
        <f t="shared" si="46"/>
        <v>0</v>
      </c>
      <c r="AW26" s="162">
        <f t="shared" si="46"/>
        <v>0</v>
      </c>
      <c r="AX26" s="120">
        <f t="shared" si="46"/>
        <v>0</v>
      </c>
      <c r="AY26" s="120">
        <f t="shared" si="46"/>
        <v>0</v>
      </c>
      <c r="AZ26" s="163">
        <f t="shared" si="46"/>
        <v>0</v>
      </c>
      <c r="BA26" s="162">
        <f t="shared" si="46"/>
        <v>0</v>
      </c>
      <c r="BB26" s="120">
        <f t="shared" si="46"/>
        <v>0</v>
      </c>
      <c r="BC26" s="120">
        <f t="shared" si="46"/>
        <v>0</v>
      </c>
      <c r="BD26" s="163">
        <f t="shared" si="46"/>
        <v>0</v>
      </c>
      <c r="BE26" s="120">
        <v>0</v>
      </c>
      <c r="BF26" s="120">
        <v>0</v>
      </c>
      <c r="BG26" s="120">
        <v>0</v>
      </c>
      <c r="BH26" s="120">
        <v>0</v>
      </c>
      <c r="BI26" s="162">
        <v>0</v>
      </c>
      <c r="BJ26" s="120">
        <v>0</v>
      </c>
      <c r="BK26" s="163">
        <v>0</v>
      </c>
      <c r="BL26" s="120">
        <v>0</v>
      </c>
      <c r="BM26" s="120">
        <v>0</v>
      </c>
      <c r="BN26" s="120">
        <v>0</v>
      </c>
      <c r="BO26" s="120">
        <v>0</v>
      </c>
      <c r="BP26" s="162">
        <f>SUM(BP19:BP25)</f>
        <v>0</v>
      </c>
      <c r="BQ26" s="120">
        <f>SUM(BQ19:BQ25)</f>
        <v>0</v>
      </c>
      <c r="BR26" s="120">
        <f>SUM(BR19:BR25)</f>
        <v>0</v>
      </c>
      <c r="BS26" s="163">
        <f>SUM(BS19:BS25)</f>
        <v>0</v>
      </c>
      <c r="BT26" s="162">
        <v>0</v>
      </c>
      <c r="BU26" s="120">
        <v>0</v>
      </c>
      <c r="BV26" s="120">
        <v>0</v>
      </c>
      <c r="BW26" s="163">
        <f t="shared" ref="BW26:CO26" si="47">SUM(BW19:BW25)</f>
        <v>0</v>
      </c>
      <c r="BX26" s="162">
        <f t="shared" si="47"/>
        <v>0</v>
      </c>
      <c r="BY26" s="120">
        <f t="shared" si="47"/>
        <v>0</v>
      </c>
      <c r="BZ26" s="120">
        <f t="shared" si="47"/>
        <v>0</v>
      </c>
      <c r="CA26" s="163">
        <f t="shared" si="47"/>
        <v>0</v>
      </c>
      <c r="CB26" s="162">
        <f t="shared" si="47"/>
        <v>0</v>
      </c>
      <c r="CC26" s="120">
        <f t="shared" si="47"/>
        <v>0</v>
      </c>
      <c r="CD26" s="120">
        <f t="shared" si="47"/>
        <v>0</v>
      </c>
      <c r="CE26" s="163">
        <f t="shared" si="47"/>
        <v>0</v>
      </c>
      <c r="CF26" s="162">
        <f>SUM(CF19:CF25)</f>
        <v>0</v>
      </c>
      <c r="CG26" s="120">
        <f>SUM(CG19:CG25)</f>
        <v>0</v>
      </c>
      <c r="CH26" s="120">
        <f>SUM(CH19:CH25)</f>
        <v>0</v>
      </c>
      <c r="CI26" s="163">
        <f>SUM(CI19:CI25)</f>
        <v>0</v>
      </c>
      <c r="CJ26" s="162">
        <f t="shared" si="47"/>
        <v>0</v>
      </c>
      <c r="CK26" s="120">
        <f t="shared" si="47"/>
        <v>0</v>
      </c>
      <c r="CL26" s="120">
        <f t="shared" si="47"/>
        <v>0</v>
      </c>
      <c r="CM26" s="163">
        <f t="shared" si="47"/>
        <v>0</v>
      </c>
      <c r="CN26" s="162">
        <f t="shared" si="47"/>
        <v>0</v>
      </c>
      <c r="CO26" s="120">
        <f t="shared" si="47"/>
        <v>0</v>
      </c>
      <c r="CP26" s="163">
        <f>SUM(CP19:CP25)</f>
        <v>0</v>
      </c>
      <c r="CQ26" s="162">
        <f>SUM(CQ19:CQ25)</f>
        <v>0</v>
      </c>
      <c r="CR26" s="120">
        <f>SUM(CR19:CR25)</f>
        <v>0</v>
      </c>
      <c r="CS26" s="163">
        <f>SUM(CS19:CS25)</f>
        <v>0</v>
      </c>
      <c r="CT26" s="162">
        <v>0</v>
      </c>
      <c r="CU26" s="120">
        <v>0</v>
      </c>
      <c r="CV26" s="163">
        <v>0</v>
      </c>
      <c r="CW26" s="162">
        <f t="shared" ref="CW26:FH26" si="48">SUM(CW19:CW25)</f>
        <v>0</v>
      </c>
      <c r="CX26" s="120">
        <f t="shared" si="48"/>
        <v>0</v>
      </c>
      <c r="CY26" s="120">
        <f t="shared" si="48"/>
        <v>0</v>
      </c>
      <c r="CZ26" s="163">
        <f t="shared" si="48"/>
        <v>0</v>
      </c>
      <c r="DA26" s="162">
        <f t="shared" si="48"/>
        <v>0</v>
      </c>
      <c r="DB26" s="120">
        <f t="shared" si="48"/>
        <v>0</v>
      </c>
      <c r="DC26" s="120">
        <f t="shared" si="48"/>
        <v>0</v>
      </c>
      <c r="DD26" s="163">
        <f t="shared" si="48"/>
        <v>0</v>
      </c>
      <c r="DE26" s="162">
        <f t="shared" si="48"/>
        <v>0</v>
      </c>
      <c r="DF26" s="120">
        <f t="shared" si="48"/>
        <v>0</v>
      </c>
      <c r="DG26" s="120">
        <f t="shared" si="48"/>
        <v>0</v>
      </c>
      <c r="DH26" s="163">
        <f t="shared" si="48"/>
        <v>0</v>
      </c>
      <c r="DI26" s="162">
        <f t="shared" si="48"/>
        <v>0</v>
      </c>
      <c r="DJ26" s="120">
        <f t="shared" si="48"/>
        <v>0</v>
      </c>
      <c r="DK26" s="120">
        <f t="shared" si="48"/>
        <v>0</v>
      </c>
      <c r="DL26" s="163">
        <f t="shared" si="48"/>
        <v>0</v>
      </c>
      <c r="DM26" s="162">
        <f t="shared" si="48"/>
        <v>0</v>
      </c>
      <c r="DN26" s="120">
        <f t="shared" si="48"/>
        <v>0</v>
      </c>
      <c r="DO26" s="120">
        <f t="shared" si="48"/>
        <v>0</v>
      </c>
      <c r="DP26" s="163">
        <f t="shared" si="48"/>
        <v>0</v>
      </c>
      <c r="DQ26" s="162">
        <f t="shared" si="48"/>
        <v>0</v>
      </c>
      <c r="DR26" s="120">
        <f t="shared" si="48"/>
        <v>0</v>
      </c>
      <c r="DS26" s="120">
        <f t="shared" si="48"/>
        <v>0</v>
      </c>
      <c r="DT26" s="163">
        <f t="shared" si="48"/>
        <v>0</v>
      </c>
      <c r="DU26" s="162">
        <f t="shared" si="48"/>
        <v>0</v>
      </c>
      <c r="DV26" s="120">
        <f t="shared" si="48"/>
        <v>0</v>
      </c>
      <c r="DW26" s="120">
        <f t="shared" si="48"/>
        <v>0</v>
      </c>
      <c r="DX26" s="163">
        <f t="shared" si="48"/>
        <v>0</v>
      </c>
      <c r="DY26" s="162">
        <f t="shared" si="48"/>
        <v>0</v>
      </c>
      <c r="DZ26" s="120">
        <f t="shared" si="48"/>
        <v>0</v>
      </c>
      <c r="EA26" s="120">
        <f t="shared" si="48"/>
        <v>0</v>
      </c>
      <c r="EB26" s="163">
        <f t="shared" si="48"/>
        <v>0</v>
      </c>
      <c r="EC26" s="162">
        <f t="shared" si="48"/>
        <v>0</v>
      </c>
      <c r="ED26" s="120">
        <f t="shared" si="48"/>
        <v>0</v>
      </c>
      <c r="EE26" s="120">
        <f t="shared" si="48"/>
        <v>0</v>
      </c>
      <c r="EF26" s="163">
        <f t="shared" si="48"/>
        <v>0</v>
      </c>
      <c r="EG26" s="162">
        <f>SUM(EG19:EG25)</f>
        <v>0</v>
      </c>
      <c r="EH26" s="120">
        <f>SUM(EH19:EH25)</f>
        <v>0</v>
      </c>
      <c r="EI26" s="120">
        <f>SUM(EI19:EI25)</f>
        <v>0</v>
      </c>
      <c r="EJ26" s="163">
        <f>SUM(EJ19:EJ25)</f>
        <v>0</v>
      </c>
      <c r="EK26" s="162">
        <f t="shared" si="48"/>
        <v>0</v>
      </c>
      <c r="EL26" s="120">
        <f t="shared" si="48"/>
        <v>0</v>
      </c>
      <c r="EM26" s="120">
        <f t="shared" si="48"/>
        <v>0</v>
      </c>
      <c r="EN26" s="163">
        <f t="shared" si="48"/>
        <v>0</v>
      </c>
      <c r="EO26" s="162">
        <f t="shared" si="48"/>
        <v>0</v>
      </c>
      <c r="EP26" s="120">
        <f t="shared" si="48"/>
        <v>0</v>
      </c>
      <c r="EQ26" s="120">
        <f t="shared" si="48"/>
        <v>0</v>
      </c>
      <c r="ER26" s="163">
        <f t="shared" si="48"/>
        <v>0</v>
      </c>
      <c r="ES26" s="162">
        <f t="shared" si="48"/>
        <v>0</v>
      </c>
      <c r="ET26" s="120">
        <f t="shared" si="48"/>
        <v>0</v>
      </c>
      <c r="EU26" s="120">
        <f t="shared" si="48"/>
        <v>0</v>
      </c>
      <c r="EV26" s="163">
        <f t="shared" si="48"/>
        <v>0</v>
      </c>
      <c r="EW26" s="162">
        <f t="shared" si="48"/>
        <v>0</v>
      </c>
      <c r="EX26" s="120">
        <f t="shared" si="48"/>
        <v>0</v>
      </c>
      <c r="EY26" s="120">
        <f t="shared" si="48"/>
        <v>0</v>
      </c>
      <c r="EZ26" s="163">
        <f t="shared" si="48"/>
        <v>0</v>
      </c>
      <c r="FA26" s="162">
        <f t="shared" si="48"/>
        <v>0</v>
      </c>
      <c r="FB26" s="120">
        <f t="shared" si="48"/>
        <v>0</v>
      </c>
      <c r="FC26" s="120">
        <f t="shared" si="48"/>
        <v>0</v>
      </c>
      <c r="FD26" s="163">
        <f t="shared" si="48"/>
        <v>0</v>
      </c>
      <c r="FE26" s="162">
        <f t="shared" si="48"/>
        <v>0</v>
      </c>
      <c r="FF26" s="120">
        <f t="shared" si="48"/>
        <v>0</v>
      </c>
      <c r="FG26" s="120">
        <f t="shared" si="48"/>
        <v>0</v>
      </c>
      <c r="FH26" s="163">
        <f t="shared" si="48"/>
        <v>0</v>
      </c>
      <c r="FI26" s="162">
        <f t="shared" ref="FI26:FP26" si="49">SUM(FI19:FI25)</f>
        <v>0</v>
      </c>
      <c r="FJ26" s="120">
        <f t="shared" si="49"/>
        <v>0</v>
      </c>
      <c r="FK26" s="120">
        <f t="shared" si="49"/>
        <v>0</v>
      </c>
      <c r="FL26" s="163">
        <f t="shared" si="49"/>
        <v>0</v>
      </c>
      <c r="FM26" s="162">
        <f t="shared" si="49"/>
        <v>0</v>
      </c>
      <c r="FN26" s="120">
        <f t="shared" si="49"/>
        <v>0</v>
      </c>
      <c r="FO26" s="120">
        <f t="shared" si="49"/>
        <v>0</v>
      </c>
      <c r="FP26" s="163">
        <f t="shared" si="49"/>
        <v>0</v>
      </c>
      <c r="FQ26" s="120" t="s">
        <v>160</v>
      </c>
      <c r="FR26" s="120" t="s">
        <v>160</v>
      </c>
      <c r="FS26" s="120" t="s">
        <v>160</v>
      </c>
      <c r="FT26" s="163">
        <f>SUM(FT19:FT25)</f>
        <v>0</v>
      </c>
      <c r="FU26" s="120" t="s">
        <v>160</v>
      </c>
      <c r="FV26" s="120" t="s">
        <v>160</v>
      </c>
      <c r="FW26" s="120" t="s">
        <v>160</v>
      </c>
      <c r="FX26" s="163">
        <f>SUM(FX19:FX25)</f>
        <v>0</v>
      </c>
      <c r="FY26" s="162">
        <f>SUM(FY19:FY25)</f>
        <v>0</v>
      </c>
      <c r="FZ26" s="207" t="s">
        <v>160</v>
      </c>
      <c r="GA26" s="120">
        <f>SUM(GA19:GA25)</f>
        <v>0</v>
      </c>
      <c r="GB26" s="120">
        <f>SUM(GB19:GB25)</f>
        <v>0</v>
      </c>
      <c r="GC26" s="207" t="s">
        <v>160</v>
      </c>
      <c r="GD26" s="163">
        <f>SUM(GD19:GD25)</f>
        <v>0</v>
      </c>
      <c r="GE26" s="162">
        <f>SUM(GE19:GE25)</f>
        <v>0</v>
      </c>
      <c r="GF26" s="207" t="s">
        <v>160</v>
      </c>
      <c r="GG26" s="120">
        <f>SUM(GG19:GG25)</f>
        <v>0</v>
      </c>
      <c r="GH26" s="120">
        <f>SUM(GH19:GH25)</f>
        <v>0</v>
      </c>
      <c r="GI26" s="207" t="s">
        <v>160</v>
      </c>
      <c r="GJ26" s="163">
        <f>SUM(GJ19:GJ25)</f>
        <v>0</v>
      </c>
      <c r="GK26" s="162">
        <f>SUM(GK19:GK25)</f>
        <v>0</v>
      </c>
      <c r="GL26" s="207" t="s">
        <v>160</v>
      </c>
      <c r="GM26" s="120">
        <f>SUM(GM19:GM25)</f>
        <v>0</v>
      </c>
      <c r="GN26" s="120">
        <f>SUM(GN19:GN25)</f>
        <v>0</v>
      </c>
      <c r="GO26" s="207" t="s">
        <v>160</v>
      </c>
      <c r="GP26" s="120">
        <v>0</v>
      </c>
      <c r="GQ26" s="162">
        <f>SUM(GQ19:GQ25)</f>
        <v>0</v>
      </c>
      <c r="GR26" s="207" t="s">
        <v>160</v>
      </c>
      <c r="GS26" s="120">
        <f>SUM(GS19:GS25)</f>
        <v>0</v>
      </c>
      <c r="GT26" s="120">
        <f>SUM(GT19:GT25)</f>
        <v>0</v>
      </c>
      <c r="GU26" s="207" t="s">
        <v>160</v>
      </c>
      <c r="GV26" s="163">
        <f>SUM(GV19:GV25)</f>
        <v>0</v>
      </c>
      <c r="GW26" s="162">
        <f>SUM(GW19:GW25)</f>
        <v>0</v>
      </c>
      <c r="GX26" s="207" t="s">
        <v>160</v>
      </c>
      <c r="GY26" s="120">
        <f>SUM(GY19:GY25)</f>
        <v>0</v>
      </c>
      <c r="GZ26" s="120">
        <f>SUM(GZ19:GZ25)</f>
        <v>0</v>
      </c>
      <c r="HA26" s="207" t="s">
        <v>160</v>
      </c>
      <c r="HB26" s="163">
        <f>SUM(HB19:HB25)</f>
        <v>0</v>
      </c>
      <c r="HC26" s="120">
        <v>0</v>
      </c>
      <c r="HD26" s="120" t="s">
        <v>160</v>
      </c>
      <c r="HE26" s="120">
        <v>0</v>
      </c>
      <c r="HF26" s="120">
        <v>0</v>
      </c>
      <c r="HG26" s="120" t="s">
        <v>160</v>
      </c>
      <c r="HH26" s="163">
        <f>SUM(HH19:HH25)</f>
        <v>0</v>
      </c>
      <c r="HI26" s="162">
        <f>SUM(HI19:HI25)</f>
        <v>0</v>
      </c>
      <c r="HJ26" s="207" t="s">
        <v>160</v>
      </c>
      <c r="HK26" s="120">
        <f>SUM(HK19:HK25)</f>
        <v>0</v>
      </c>
      <c r="HL26" s="120">
        <f>SUM(HL19:HL25)</f>
        <v>0</v>
      </c>
      <c r="HM26" s="207" t="s">
        <v>160</v>
      </c>
      <c r="HN26" s="163">
        <f>SUM(HN19:HN25)</f>
        <v>0</v>
      </c>
    </row>
    <row r="27" spans="5:222" x14ac:dyDescent="0.2">
      <c r="E27" t="s">
        <v>269</v>
      </c>
      <c r="F27" t="s">
        <v>269</v>
      </c>
      <c r="H27" s="129" t="str">
        <f>IF([1]RENAME!$H$3=1,F27,E27)</f>
        <v xml:space="preserve">      Nortev</v>
      </c>
      <c r="I27" s="160">
        <v>0</v>
      </c>
      <c r="J27" s="118">
        <v>0</v>
      </c>
      <c r="K27" s="161">
        <v>120877</v>
      </c>
      <c r="L27" s="160">
        <v>0</v>
      </c>
      <c r="M27" s="118">
        <v>0</v>
      </c>
      <c r="N27" s="118">
        <v>0</v>
      </c>
      <c r="O27" s="118">
        <v>0</v>
      </c>
      <c r="P27" s="161">
        <v>120877</v>
      </c>
      <c r="Q27" s="160">
        <v>0</v>
      </c>
      <c r="R27" s="118">
        <v>0</v>
      </c>
      <c r="S27" s="118">
        <v>0</v>
      </c>
      <c r="T27" s="118">
        <v>0</v>
      </c>
      <c r="U27" s="118">
        <v>0</v>
      </c>
      <c r="V27" s="161">
        <v>120877</v>
      </c>
      <c r="W27" s="160">
        <v>0</v>
      </c>
      <c r="X27" s="118">
        <v>0</v>
      </c>
      <c r="Y27" s="118">
        <v>0</v>
      </c>
      <c r="Z27" s="118">
        <v>0</v>
      </c>
      <c r="AA27" s="118">
        <v>0</v>
      </c>
      <c r="AB27" s="161">
        <v>120877</v>
      </c>
      <c r="AC27" s="176">
        <v>0</v>
      </c>
      <c r="AD27" s="118">
        <v>0</v>
      </c>
      <c r="AE27" s="118">
        <v>0</v>
      </c>
      <c r="AF27" s="161">
        <v>120877</v>
      </c>
      <c r="AG27" s="160">
        <v>0</v>
      </c>
      <c r="AH27" s="118">
        <v>0</v>
      </c>
      <c r="AI27" s="118">
        <v>0</v>
      </c>
      <c r="AJ27" s="161">
        <v>120877</v>
      </c>
      <c r="AK27" s="160">
        <v>0</v>
      </c>
      <c r="AL27" s="118">
        <v>0</v>
      </c>
      <c r="AM27" s="118">
        <v>0</v>
      </c>
      <c r="AN27" s="161">
        <v>120877</v>
      </c>
      <c r="AO27" s="160">
        <v>0</v>
      </c>
      <c r="AP27" s="118">
        <v>0</v>
      </c>
      <c r="AQ27" s="118">
        <v>0</v>
      </c>
      <c r="AR27" s="161">
        <v>120877</v>
      </c>
      <c r="AS27" s="160">
        <v>0</v>
      </c>
      <c r="AT27" s="118">
        <v>0</v>
      </c>
      <c r="AU27" s="118">
        <v>0</v>
      </c>
      <c r="AV27" s="161">
        <f t="shared" ref="AV27:AV35" si="50">SUM(AR27:AU27)</f>
        <v>120877</v>
      </c>
      <c r="AW27" s="160">
        <v>0</v>
      </c>
      <c r="AX27" s="118">
        <v>0</v>
      </c>
      <c r="AY27" s="118">
        <v>0</v>
      </c>
      <c r="AZ27" s="161">
        <f t="shared" ref="AZ27:AZ35" si="51">SUM(AV27:AY27)</f>
        <v>120877</v>
      </c>
      <c r="BA27" s="160">
        <v>0</v>
      </c>
      <c r="BB27" s="118">
        <v>0</v>
      </c>
      <c r="BC27" s="118">
        <v>0</v>
      </c>
      <c r="BD27" s="161">
        <f t="shared" ref="BD27:BD35" si="52">SUM(AZ27:BC27)</f>
        <v>120877</v>
      </c>
      <c r="BE27" s="118">
        <v>0</v>
      </c>
      <c r="BF27" s="118">
        <v>0</v>
      </c>
      <c r="BG27" s="118">
        <v>0</v>
      </c>
      <c r="BH27" s="118">
        <v>120877</v>
      </c>
      <c r="BI27" s="160">
        <v>0</v>
      </c>
      <c r="BJ27" s="118">
        <v>0</v>
      </c>
      <c r="BK27" s="161">
        <v>120877</v>
      </c>
      <c r="BL27" s="118">
        <v>0</v>
      </c>
      <c r="BM27" s="118">
        <v>0</v>
      </c>
      <c r="BN27" s="118">
        <v>0</v>
      </c>
      <c r="BO27" s="118">
        <v>120877</v>
      </c>
      <c r="BP27" s="160">
        <v>0</v>
      </c>
      <c r="BQ27" s="118">
        <v>0</v>
      </c>
      <c r="BR27" s="118">
        <v>0</v>
      </c>
      <c r="BS27" s="213">
        <f>SUM(BO27:BR27)</f>
        <v>120877</v>
      </c>
      <c r="BT27" s="160">
        <v>0</v>
      </c>
      <c r="BU27" s="118">
        <v>0</v>
      </c>
      <c r="BV27" s="118">
        <v>0</v>
      </c>
      <c r="BW27" s="213">
        <f>SUM(BP27:BV27)</f>
        <v>120877</v>
      </c>
      <c r="BX27" s="160">
        <v>0</v>
      </c>
      <c r="BY27" s="118">
        <v>0</v>
      </c>
      <c r="BZ27" s="118">
        <v>0</v>
      </c>
      <c r="CA27" s="213">
        <f>SUM(BW27:BZ27)</f>
        <v>120877</v>
      </c>
      <c r="CB27" s="160">
        <v>0</v>
      </c>
      <c r="CC27" s="118">
        <v>0</v>
      </c>
      <c r="CD27" s="118">
        <v>0</v>
      </c>
      <c r="CE27" s="213">
        <f>SUM(CA27:CD27)</f>
        <v>120877</v>
      </c>
      <c r="CF27" s="160">
        <v>0</v>
      </c>
      <c r="CG27" s="118">
        <v>0</v>
      </c>
      <c r="CH27" s="118">
        <v>0</v>
      </c>
      <c r="CI27" s="213">
        <f>SUM(CE27:CH27)</f>
        <v>120877</v>
      </c>
      <c r="CJ27" s="160">
        <v>0</v>
      </c>
      <c r="CK27" s="118">
        <v>0</v>
      </c>
      <c r="CL27" s="118">
        <v>0</v>
      </c>
      <c r="CM27" s="213">
        <f>SUM(CI27:CL27)</f>
        <v>120877</v>
      </c>
      <c r="CN27" s="211">
        <v>0</v>
      </c>
      <c r="CO27" s="211">
        <v>0</v>
      </c>
      <c r="CP27" s="213">
        <f>SUM(CM27:CO27)</f>
        <v>120877</v>
      </c>
      <c r="CQ27" s="160">
        <v>0</v>
      </c>
      <c r="CR27" s="118">
        <v>0</v>
      </c>
      <c r="CS27" s="213">
        <f>SUM(CP27:CR27)</f>
        <v>120877</v>
      </c>
      <c r="CT27" s="160">
        <v>0</v>
      </c>
      <c r="CU27" s="118">
        <v>0</v>
      </c>
      <c r="CV27" s="213">
        <v>120877</v>
      </c>
      <c r="CW27" s="160">
        <v>0</v>
      </c>
      <c r="CX27" s="118">
        <v>0</v>
      </c>
      <c r="CY27" s="118">
        <v>0</v>
      </c>
      <c r="CZ27" s="213">
        <v>120877</v>
      </c>
      <c r="DA27" s="160">
        <v>0</v>
      </c>
      <c r="DB27" s="118">
        <v>0</v>
      </c>
      <c r="DC27" s="118">
        <v>0</v>
      </c>
      <c r="DD27" s="213">
        <v>120877</v>
      </c>
      <c r="DE27" s="160">
        <v>0</v>
      </c>
      <c r="DF27" s="118">
        <v>0</v>
      </c>
      <c r="DG27" s="118">
        <v>0</v>
      </c>
      <c r="DH27" s="213">
        <f>SUM(DD27:DF27)</f>
        <v>120877</v>
      </c>
      <c r="DI27" s="160">
        <v>0</v>
      </c>
      <c r="DJ27" s="118">
        <v>0</v>
      </c>
      <c r="DK27" s="118">
        <v>0</v>
      </c>
      <c r="DL27" s="213">
        <f>SUM(DH27:DJ27)</f>
        <v>120877</v>
      </c>
      <c r="DM27" s="160">
        <v>0</v>
      </c>
      <c r="DN27" s="118">
        <v>0</v>
      </c>
      <c r="DO27" s="118">
        <v>0</v>
      </c>
      <c r="DP27" s="213">
        <f>SUM(DL27:DN27)</f>
        <v>120877</v>
      </c>
      <c r="DQ27" s="160">
        <v>0</v>
      </c>
      <c r="DR27" s="118">
        <v>0</v>
      </c>
      <c r="DS27" s="118">
        <v>0</v>
      </c>
      <c r="DT27" s="213">
        <f>SUM(DP27:DR27)</f>
        <v>120877</v>
      </c>
      <c r="DU27" s="160">
        <v>0</v>
      </c>
      <c r="DV27" s="118">
        <v>0</v>
      </c>
      <c r="DW27" s="118">
        <v>0</v>
      </c>
      <c r="DX27" s="213">
        <f>SUM(DT27:DV27)</f>
        <v>120877</v>
      </c>
      <c r="DY27" s="160">
        <v>0</v>
      </c>
      <c r="DZ27" s="118">
        <v>0</v>
      </c>
      <c r="EA27" s="118">
        <v>0</v>
      </c>
      <c r="EB27" s="213">
        <v>120877</v>
      </c>
      <c r="EC27" s="160">
        <v>0</v>
      </c>
      <c r="ED27" s="118">
        <v>0</v>
      </c>
      <c r="EE27" s="118">
        <v>0</v>
      </c>
      <c r="EF27" s="213">
        <f>SUM(EB27:ED27)</f>
        <v>120877</v>
      </c>
      <c r="EG27" s="160">
        <v>0</v>
      </c>
      <c r="EH27" s="118">
        <v>0</v>
      </c>
      <c r="EI27" s="118">
        <v>0</v>
      </c>
      <c r="EJ27" s="213">
        <f>SUM(EF27:EI27)</f>
        <v>120877</v>
      </c>
      <c r="EK27" s="160">
        <v>0</v>
      </c>
      <c r="EL27" s="118">
        <v>0</v>
      </c>
      <c r="EM27" s="118">
        <v>-1</v>
      </c>
      <c r="EN27" s="213">
        <f>SUM(EJ27:EM27)</f>
        <v>120876</v>
      </c>
      <c r="EO27" s="160">
        <v>0</v>
      </c>
      <c r="EP27" s="118">
        <v>0</v>
      </c>
      <c r="EQ27" s="118">
        <v>1</v>
      </c>
      <c r="ER27" s="213">
        <f>SUM(EN27:EQ27)</f>
        <v>120877</v>
      </c>
      <c r="ES27" s="160">
        <v>0</v>
      </c>
      <c r="ET27" s="118">
        <v>0</v>
      </c>
      <c r="EU27" s="118">
        <v>0</v>
      </c>
      <c r="EV27" s="213">
        <f>SUM(ER27:EU27)</f>
        <v>120877</v>
      </c>
      <c r="EW27" s="160">
        <v>0</v>
      </c>
      <c r="EX27" s="118">
        <v>0</v>
      </c>
      <c r="EY27" s="118">
        <v>0</v>
      </c>
      <c r="EZ27" s="213">
        <f>SUM(EV27:EY27)</f>
        <v>120877</v>
      </c>
      <c r="FA27" s="160">
        <v>0</v>
      </c>
      <c r="FB27" s="118">
        <v>0</v>
      </c>
      <c r="FC27" s="118">
        <v>0</v>
      </c>
      <c r="FD27" s="213">
        <f>SUM(EZ27:FC27)</f>
        <v>120877</v>
      </c>
      <c r="FE27" s="160">
        <v>0</v>
      </c>
      <c r="FF27" s="118">
        <v>0</v>
      </c>
      <c r="FG27" s="118">
        <v>0</v>
      </c>
      <c r="FH27" s="213">
        <f>SUM(FD27:FG27)</f>
        <v>120877</v>
      </c>
      <c r="FI27" s="160">
        <v>0</v>
      </c>
      <c r="FJ27" s="118">
        <v>0</v>
      </c>
      <c r="FK27" s="118">
        <v>0</v>
      </c>
      <c r="FL27" s="213">
        <f>SUM(FH27:FK27)</f>
        <v>120877</v>
      </c>
      <c r="FM27" s="160">
        <v>0</v>
      </c>
      <c r="FN27" s="118">
        <v>0</v>
      </c>
      <c r="FO27" s="118">
        <v>0</v>
      </c>
      <c r="FP27" s="213">
        <f>SUM(FL27:FO27)</f>
        <v>120877</v>
      </c>
      <c r="FQ27" s="211" t="s">
        <v>160</v>
      </c>
      <c r="FR27" s="211" t="s">
        <v>160</v>
      </c>
      <c r="FS27" s="211" t="s">
        <v>160</v>
      </c>
      <c r="FT27" s="213">
        <f>SUM(FP27:FS27)</f>
        <v>120877</v>
      </c>
      <c r="FU27" s="211" t="s">
        <v>160</v>
      </c>
      <c r="FV27" s="211" t="s">
        <v>160</v>
      </c>
      <c r="FW27" s="211" t="s">
        <v>160</v>
      </c>
      <c r="FX27" s="213">
        <f>SUM(FT27:FW27)</f>
        <v>120877</v>
      </c>
      <c r="FY27" s="160">
        <v>0</v>
      </c>
      <c r="FZ27" s="118" t="s">
        <v>160</v>
      </c>
      <c r="GA27" s="118">
        <v>0</v>
      </c>
      <c r="GB27" s="118">
        <v>0</v>
      </c>
      <c r="GC27" s="118" t="s">
        <v>160</v>
      </c>
      <c r="GD27" s="213">
        <f>SUM(FX27:GC27)</f>
        <v>120877</v>
      </c>
      <c r="GE27" s="160">
        <v>0</v>
      </c>
      <c r="GF27" s="118" t="s">
        <v>160</v>
      </c>
      <c r="GG27" s="118">
        <v>0</v>
      </c>
      <c r="GH27" s="118">
        <v>0</v>
      </c>
      <c r="GI27" s="118" t="s">
        <v>160</v>
      </c>
      <c r="GJ27" s="213">
        <f>SUM(GD27:GI27)</f>
        <v>120877</v>
      </c>
      <c r="GK27" s="211">
        <v>0</v>
      </c>
      <c r="GL27" s="211" t="s">
        <v>160</v>
      </c>
      <c r="GM27" s="211">
        <v>0</v>
      </c>
      <c r="GN27" s="211">
        <v>0</v>
      </c>
      <c r="GO27" s="211" t="s">
        <v>160</v>
      </c>
      <c r="GP27" s="211">
        <v>120877</v>
      </c>
      <c r="GQ27" s="160">
        <v>0</v>
      </c>
      <c r="GR27" s="118" t="s">
        <v>160</v>
      </c>
      <c r="GS27" s="118">
        <v>0</v>
      </c>
      <c r="GT27" s="118">
        <v>0</v>
      </c>
      <c r="GU27" s="118" t="s">
        <v>160</v>
      </c>
      <c r="GV27" s="213">
        <f>SUM(GP27:GU27)</f>
        <v>120877</v>
      </c>
      <c r="GW27" s="160">
        <v>0</v>
      </c>
      <c r="GX27" s="118" t="s">
        <v>160</v>
      </c>
      <c r="GY27" s="118">
        <v>0</v>
      </c>
      <c r="GZ27" s="118">
        <v>0</v>
      </c>
      <c r="HA27" s="118" t="s">
        <v>160</v>
      </c>
      <c r="HB27" s="213">
        <f>SUM(GV27:HA27)</f>
        <v>120877</v>
      </c>
      <c r="HC27" s="211">
        <v>0</v>
      </c>
      <c r="HD27" s="211" t="s">
        <v>160</v>
      </c>
      <c r="HE27" s="211">
        <v>0</v>
      </c>
      <c r="HF27" s="211">
        <v>0</v>
      </c>
      <c r="HG27" s="211" t="s">
        <v>160</v>
      </c>
      <c r="HH27" s="213">
        <f>SUM(HB27:HG27)</f>
        <v>120877</v>
      </c>
      <c r="HI27" s="160">
        <v>0</v>
      </c>
      <c r="HJ27" s="118" t="s">
        <v>160</v>
      </c>
      <c r="HK27" s="118">
        <v>0</v>
      </c>
      <c r="HL27" s="118">
        <v>0</v>
      </c>
      <c r="HM27" s="118" t="s">
        <v>160</v>
      </c>
      <c r="HN27" s="213">
        <f>SUM(HH27:HM27)</f>
        <v>120877</v>
      </c>
    </row>
    <row r="28" spans="5:222" x14ac:dyDescent="0.2">
      <c r="E28" t="s">
        <v>270</v>
      </c>
      <c r="F28" t="s">
        <v>270</v>
      </c>
      <c r="H28" s="129" t="str">
        <f>IF([1]RENAME!$H$3=1,F28,E28)</f>
        <v xml:space="preserve">      Boni Amazon</v>
      </c>
      <c r="I28" s="160">
        <v>0</v>
      </c>
      <c r="J28" s="118">
        <v>0</v>
      </c>
      <c r="K28" s="161">
        <v>32791</v>
      </c>
      <c r="L28" s="160">
        <v>0</v>
      </c>
      <c r="M28" s="118">
        <v>0</v>
      </c>
      <c r="N28" s="118">
        <v>0</v>
      </c>
      <c r="O28" s="118">
        <v>0</v>
      </c>
      <c r="P28" s="161">
        <v>32791</v>
      </c>
      <c r="Q28" s="160">
        <v>0</v>
      </c>
      <c r="R28" s="118">
        <v>0</v>
      </c>
      <c r="S28" s="118">
        <v>0</v>
      </c>
      <c r="T28" s="118">
        <v>0</v>
      </c>
      <c r="U28" s="118">
        <v>0</v>
      </c>
      <c r="V28" s="161">
        <v>32791</v>
      </c>
      <c r="W28" s="160">
        <v>0</v>
      </c>
      <c r="X28" s="118">
        <v>0</v>
      </c>
      <c r="Y28" s="118">
        <v>0</v>
      </c>
      <c r="Z28" s="118">
        <v>0</v>
      </c>
      <c r="AA28" s="118">
        <v>0</v>
      </c>
      <c r="AB28" s="161">
        <v>32791</v>
      </c>
      <c r="AC28" s="176">
        <v>0</v>
      </c>
      <c r="AD28" s="118">
        <v>0</v>
      </c>
      <c r="AE28" s="118">
        <v>0</v>
      </c>
      <c r="AF28" s="161">
        <v>32791</v>
      </c>
      <c r="AG28" s="160">
        <v>0</v>
      </c>
      <c r="AH28" s="118">
        <v>0</v>
      </c>
      <c r="AI28" s="118">
        <v>0</v>
      </c>
      <c r="AJ28" s="161">
        <v>32791</v>
      </c>
      <c r="AK28" s="160">
        <v>0</v>
      </c>
      <c r="AL28" s="118">
        <v>0</v>
      </c>
      <c r="AM28" s="118">
        <v>0</v>
      </c>
      <c r="AN28" s="161">
        <v>32791</v>
      </c>
      <c r="AO28" s="160">
        <v>0</v>
      </c>
      <c r="AP28" s="118">
        <v>0</v>
      </c>
      <c r="AQ28" s="118">
        <v>0</v>
      </c>
      <c r="AR28" s="161">
        <v>32791</v>
      </c>
      <c r="AS28" s="160">
        <v>0</v>
      </c>
      <c r="AT28" s="118">
        <v>0</v>
      </c>
      <c r="AU28" s="118">
        <v>0</v>
      </c>
      <c r="AV28" s="161">
        <f t="shared" si="50"/>
        <v>32791</v>
      </c>
      <c r="AW28" s="160">
        <v>0</v>
      </c>
      <c r="AX28" s="118">
        <v>0</v>
      </c>
      <c r="AY28" s="118">
        <v>0</v>
      </c>
      <c r="AZ28" s="161">
        <f t="shared" si="51"/>
        <v>32791</v>
      </c>
      <c r="BA28" s="160">
        <v>0</v>
      </c>
      <c r="BB28" s="118">
        <v>0</v>
      </c>
      <c r="BC28" s="118">
        <v>0</v>
      </c>
      <c r="BD28" s="161">
        <f t="shared" si="52"/>
        <v>32791</v>
      </c>
      <c r="BE28" s="118">
        <v>0</v>
      </c>
      <c r="BF28" s="118">
        <v>0</v>
      </c>
      <c r="BG28" s="118">
        <v>0</v>
      </c>
      <c r="BH28" s="118">
        <v>32791</v>
      </c>
      <c r="BI28" s="160">
        <v>0</v>
      </c>
      <c r="BJ28" s="118">
        <v>0</v>
      </c>
      <c r="BK28" s="161">
        <v>32791</v>
      </c>
      <c r="BL28" s="118">
        <v>0</v>
      </c>
      <c r="BM28" s="118">
        <v>0</v>
      </c>
      <c r="BN28" s="118">
        <v>0</v>
      </c>
      <c r="BO28" s="118">
        <v>32791</v>
      </c>
      <c r="BP28" s="160">
        <v>0</v>
      </c>
      <c r="BQ28" s="118">
        <v>0</v>
      </c>
      <c r="BR28" s="118">
        <v>0</v>
      </c>
      <c r="BS28" s="213">
        <f t="shared" ref="BS28:BS35" si="53">SUM(BO28:BR28)</f>
        <v>32791</v>
      </c>
      <c r="BT28" s="160">
        <v>0</v>
      </c>
      <c r="BU28" s="118">
        <v>0</v>
      </c>
      <c r="BV28" s="118">
        <v>0</v>
      </c>
      <c r="BW28" s="213">
        <f t="shared" ref="BW28:BW35" si="54">SUM(BP28:BV28)</f>
        <v>32791</v>
      </c>
      <c r="BX28" s="160">
        <v>0</v>
      </c>
      <c r="BY28" s="118">
        <v>0</v>
      </c>
      <c r="BZ28" s="118">
        <v>0</v>
      </c>
      <c r="CA28" s="213">
        <f t="shared" ref="CA28:CA36" si="55">SUM(BW28:BZ28)</f>
        <v>32791</v>
      </c>
      <c r="CB28" s="160">
        <v>0</v>
      </c>
      <c r="CC28" s="118">
        <v>0</v>
      </c>
      <c r="CD28" s="118">
        <v>0</v>
      </c>
      <c r="CE28" s="213">
        <f t="shared" ref="CE28:CE36" si="56">SUM(CA28:CD28)</f>
        <v>32791</v>
      </c>
      <c r="CF28" s="160">
        <v>0</v>
      </c>
      <c r="CG28" s="118">
        <v>0</v>
      </c>
      <c r="CH28" s="118">
        <v>0</v>
      </c>
      <c r="CI28" s="213">
        <f>SUM(CE28:CH28)</f>
        <v>32791</v>
      </c>
      <c r="CJ28" s="160">
        <v>0</v>
      </c>
      <c r="CK28" s="118">
        <v>0</v>
      </c>
      <c r="CL28" s="118">
        <v>0</v>
      </c>
      <c r="CM28" s="213">
        <f>SUM(CI28:CL28)</f>
        <v>32791</v>
      </c>
      <c r="CN28" s="211">
        <v>0</v>
      </c>
      <c r="CO28" s="211">
        <v>0</v>
      </c>
      <c r="CP28" s="213">
        <f>SUM(CM28:CO28)</f>
        <v>32791</v>
      </c>
      <c r="CQ28" s="160">
        <v>0</v>
      </c>
      <c r="CR28" s="118">
        <v>0</v>
      </c>
      <c r="CS28" s="213">
        <f>SUM(CP28:CR28)</f>
        <v>32791</v>
      </c>
      <c r="CT28" s="160">
        <v>0</v>
      </c>
      <c r="CU28" s="118">
        <v>0</v>
      </c>
      <c r="CV28" s="213">
        <v>32791</v>
      </c>
      <c r="CW28" s="160">
        <v>0</v>
      </c>
      <c r="CX28" s="118">
        <v>0</v>
      </c>
      <c r="CY28" s="118">
        <v>0</v>
      </c>
      <c r="CZ28" s="213">
        <v>32791</v>
      </c>
      <c r="DA28" s="160">
        <v>0</v>
      </c>
      <c r="DB28" s="118">
        <v>0</v>
      </c>
      <c r="DC28" s="118">
        <v>0</v>
      </c>
      <c r="DD28" s="213">
        <v>32791</v>
      </c>
      <c r="DE28" s="160">
        <v>0</v>
      </c>
      <c r="DF28" s="118">
        <v>0</v>
      </c>
      <c r="DG28" s="118">
        <v>0</v>
      </c>
      <c r="DH28" s="213">
        <f>SUM(DD28:DF28)</f>
        <v>32791</v>
      </c>
      <c r="DI28" s="160">
        <v>0</v>
      </c>
      <c r="DJ28" s="118">
        <v>0</v>
      </c>
      <c r="DK28" s="118">
        <v>0</v>
      </c>
      <c r="DL28" s="213">
        <f>SUM(DH28:DJ28)</f>
        <v>32791</v>
      </c>
      <c r="DM28" s="160">
        <v>0</v>
      </c>
      <c r="DN28" s="118">
        <v>0</v>
      </c>
      <c r="DO28" s="118">
        <v>0</v>
      </c>
      <c r="DP28" s="213">
        <f>SUM(DL28:DN28)</f>
        <v>32791</v>
      </c>
      <c r="DQ28" s="160">
        <v>0</v>
      </c>
      <c r="DR28" s="118">
        <v>0</v>
      </c>
      <c r="DS28" s="118">
        <v>0</v>
      </c>
      <c r="DT28" s="213">
        <f>SUM(DP28:DR28)</f>
        <v>32791</v>
      </c>
      <c r="DU28" s="160">
        <v>0</v>
      </c>
      <c r="DV28" s="118">
        <v>0</v>
      </c>
      <c r="DW28" s="118">
        <v>0</v>
      </c>
      <c r="DX28" s="213">
        <f>SUM(DT28:DV28)</f>
        <v>32791</v>
      </c>
      <c r="DY28" s="160">
        <v>0</v>
      </c>
      <c r="DZ28" s="118">
        <v>0</v>
      </c>
      <c r="EA28" s="118">
        <v>0</v>
      </c>
      <c r="EB28" s="213">
        <v>32791</v>
      </c>
      <c r="EC28" s="160">
        <v>0</v>
      </c>
      <c r="ED28" s="118">
        <v>0</v>
      </c>
      <c r="EE28" s="118">
        <v>0</v>
      </c>
      <c r="EF28" s="213">
        <f>SUM(EB28:ED28)</f>
        <v>32791</v>
      </c>
      <c r="EG28" s="160">
        <v>0</v>
      </c>
      <c r="EH28" s="118">
        <v>0</v>
      </c>
      <c r="EI28" s="118">
        <v>0</v>
      </c>
      <c r="EJ28" s="213">
        <f>SUM(EF28:EI28)</f>
        <v>32791</v>
      </c>
      <c r="EK28" s="160">
        <v>0</v>
      </c>
      <c r="EL28" s="118">
        <v>0</v>
      </c>
      <c r="EM28" s="118">
        <v>0</v>
      </c>
      <c r="EN28" s="213">
        <f>SUM(EJ28:EM28)</f>
        <v>32791</v>
      </c>
      <c r="EO28" s="160">
        <v>0</v>
      </c>
      <c r="EP28" s="118">
        <v>0</v>
      </c>
      <c r="EQ28" s="118">
        <v>0</v>
      </c>
      <c r="ER28" s="213">
        <f>SUM(EN28:EQ28)</f>
        <v>32791</v>
      </c>
      <c r="ES28" s="160">
        <v>0</v>
      </c>
      <c r="ET28" s="118">
        <v>0</v>
      </c>
      <c r="EU28" s="118">
        <v>0</v>
      </c>
      <c r="EV28" s="213">
        <f>SUM(ER28:EU28)</f>
        <v>32791</v>
      </c>
      <c r="EW28" s="160">
        <v>0</v>
      </c>
      <c r="EX28" s="118">
        <v>0</v>
      </c>
      <c r="EY28" s="118">
        <v>0</v>
      </c>
      <c r="EZ28" s="213">
        <f>SUM(EV28:EY28)</f>
        <v>32791</v>
      </c>
      <c r="FA28" s="160">
        <v>0</v>
      </c>
      <c r="FB28" s="118">
        <v>0</v>
      </c>
      <c r="FC28" s="118">
        <v>0</v>
      </c>
      <c r="FD28" s="213">
        <f>SUM(EZ28:FC28)</f>
        <v>32791</v>
      </c>
      <c r="FE28" s="160">
        <v>0</v>
      </c>
      <c r="FF28" s="118">
        <v>0</v>
      </c>
      <c r="FG28" s="118">
        <v>0</v>
      </c>
      <c r="FH28" s="213">
        <f>SUM(FD28:FG28)</f>
        <v>32791</v>
      </c>
      <c r="FI28" s="160">
        <v>0</v>
      </c>
      <c r="FJ28" s="118">
        <v>0</v>
      </c>
      <c r="FK28" s="118">
        <v>0</v>
      </c>
      <c r="FL28" s="213">
        <f>SUM(FH28:FK28)</f>
        <v>32791</v>
      </c>
      <c r="FM28" s="160">
        <v>0</v>
      </c>
      <c r="FN28" s="118">
        <v>0</v>
      </c>
      <c r="FO28" s="118">
        <v>0</v>
      </c>
      <c r="FP28" s="213">
        <f>SUM(FL28:FO28)</f>
        <v>32791</v>
      </c>
      <c r="FQ28" s="211" t="s">
        <v>160</v>
      </c>
      <c r="FR28" s="211" t="s">
        <v>160</v>
      </c>
      <c r="FS28" s="211" t="s">
        <v>160</v>
      </c>
      <c r="FT28" s="213">
        <f>SUM(FP28:FS28)</f>
        <v>32791</v>
      </c>
      <c r="FU28" s="211" t="s">
        <v>160</v>
      </c>
      <c r="FV28" s="211" t="s">
        <v>160</v>
      </c>
      <c r="FW28" s="211" t="s">
        <v>160</v>
      </c>
      <c r="FX28" s="213">
        <f>SUM(FT28:FW28)</f>
        <v>32791</v>
      </c>
      <c r="FY28" s="160">
        <v>0</v>
      </c>
      <c r="FZ28" s="118" t="s">
        <v>160</v>
      </c>
      <c r="GA28" s="118">
        <v>0</v>
      </c>
      <c r="GB28" s="118">
        <v>0</v>
      </c>
      <c r="GC28" s="118" t="s">
        <v>160</v>
      </c>
      <c r="GD28" s="213">
        <f>SUM(FX28:GC28)</f>
        <v>32791</v>
      </c>
      <c r="GE28" s="160">
        <v>0</v>
      </c>
      <c r="GF28" s="118" t="s">
        <v>160</v>
      </c>
      <c r="GG28" s="118">
        <v>0</v>
      </c>
      <c r="GH28" s="118">
        <v>0</v>
      </c>
      <c r="GI28" s="118" t="s">
        <v>160</v>
      </c>
      <c r="GJ28" s="213">
        <f>SUM(GD28:GI28)</f>
        <v>32791</v>
      </c>
      <c r="GK28" s="211">
        <v>0</v>
      </c>
      <c r="GL28" s="211" t="s">
        <v>160</v>
      </c>
      <c r="GM28" s="211">
        <v>0</v>
      </c>
      <c r="GN28" s="211">
        <v>0</v>
      </c>
      <c r="GO28" s="211" t="s">
        <v>160</v>
      </c>
      <c r="GP28" s="211">
        <v>32791</v>
      </c>
      <c r="GQ28" s="160">
        <v>0</v>
      </c>
      <c r="GR28" s="118" t="s">
        <v>160</v>
      </c>
      <c r="GS28" s="118">
        <v>0</v>
      </c>
      <c r="GT28" s="118">
        <v>0</v>
      </c>
      <c r="GU28" s="118" t="s">
        <v>160</v>
      </c>
      <c r="GV28" s="213">
        <f t="shared" ref="GV28:GV36" si="57">SUM(GP28:GU28)</f>
        <v>32791</v>
      </c>
      <c r="GW28" s="160">
        <v>0</v>
      </c>
      <c r="GX28" s="118" t="s">
        <v>160</v>
      </c>
      <c r="GY28" s="118">
        <v>0</v>
      </c>
      <c r="GZ28" s="118">
        <v>0</v>
      </c>
      <c r="HA28" s="118" t="s">
        <v>160</v>
      </c>
      <c r="HB28" s="213">
        <f t="shared" ref="HB28:HB36" si="58">SUM(GV28:HA28)</f>
        <v>32791</v>
      </c>
      <c r="HC28" s="211">
        <v>0</v>
      </c>
      <c r="HD28" s="211" t="s">
        <v>160</v>
      </c>
      <c r="HE28" s="211">
        <v>0</v>
      </c>
      <c r="HF28" s="211">
        <v>0</v>
      </c>
      <c r="HG28" s="211" t="s">
        <v>160</v>
      </c>
      <c r="HH28" s="213">
        <f t="shared" ref="HH28:HH36" si="59">SUM(HB28:HG28)</f>
        <v>32791</v>
      </c>
      <c r="HI28" s="160">
        <v>0</v>
      </c>
      <c r="HJ28" s="118" t="s">
        <v>160</v>
      </c>
      <c r="HK28" s="118">
        <v>0</v>
      </c>
      <c r="HL28" s="118">
        <v>0</v>
      </c>
      <c r="HM28" s="118" t="s">
        <v>160</v>
      </c>
      <c r="HN28" s="213">
        <f t="shared" ref="HN28:HN36" si="60">SUM(HH28:HM28)</f>
        <v>32791</v>
      </c>
    </row>
    <row r="29" spans="5:222" s="233" customFormat="1" hidden="1" outlineLevel="1" x14ac:dyDescent="0.2">
      <c r="E29" s="233" t="s">
        <v>249</v>
      </c>
      <c r="F29" s="233" t="s">
        <v>249</v>
      </c>
      <c r="H29" s="250" t="str">
        <f>IF([1]RENAME!$H$3=1,F29,E29)</f>
        <v xml:space="preserve">    Direct Logística Integrada S.A.</v>
      </c>
      <c r="I29" s="219">
        <v>0</v>
      </c>
      <c r="J29" s="218">
        <v>0</v>
      </c>
      <c r="K29" s="761">
        <v>59536</v>
      </c>
      <c r="L29" s="219">
        <v>0</v>
      </c>
      <c r="M29" s="218">
        <v>0</v>
      </c>
      <c r="N29" s="218">
        <v>0</v>
      </c>
      <c r="O29" s="218">
        <v>-59536</v>
      </c>
      <c r="P29" s="761">
        <v>0</v>
      </c>
      <c r="Q29" s="219">
        <v>0</v>
      </c>
      <c r="R29" s="218">
        <v>0</v>
      </c>
      <c r="S29" s="218">
        <v>0</v>
      </c>
      <c r="T29" s="218">
        <v>655</v>
      </c>
      <c r="U29" s="218">
        <v>-655</v>
      </c>
      <c r="V29" s="761">
        <v>0</v>
      </c>
      <c r="W29" s="219">
        <v>0</v>
      </c>
      <c r="X29" s="218">
        <v>0</v>
      </c>
      <c r="Y29" s="218">
        <v>0</v>
      </c>
      <c r="Z29" s="218">
        <v>0</v>
      </c>
      <c r="AA29" s="218">
        <v>0</v>
      </c>
      <c r="AB29" s="761">
        <v>0</v>
      </c>
      <c r="AC29" s="762">
        <v>0</v>
      </c>
      <c r="AD29" s="218">
        <v>0</v>
      </c>
      <c r="AE29" s="218">
        <v>0</v>
      </c>
      <c r="AF29" s="761">
        <v>0</v>
      </c>
      <c r="AG29" s="219">
        <v>0</v>
      </c>
      <c r="AH29" s="218">
        <v>0</v>
      </c>
      <c r="AI29" s="218">
        <v>0</v>
      </c>
      <c r="AJ29" s="761">
        <v>0</v>
      </c>
      <c r="AK29" s="219">
        <v>0</v>
      </c>
      <c r="AL29" s="218">
        <v>0</v>
      </c>
      <c r="AM29" s="218">
        <v>0</v>
      </c>
      <c r="AN29" s="761">
        <v>0</v>
      </c>
      <c r="AO29" s="219">
        <v>0</v>
      </c>
      <c r="AP29" s="218">
        <v>0</v>
      </c>
      <c r="AQ29" s="218">
        <v>0</v>
      </c>
      <c r="AR29" s="761">
        <v>0</v>
      </c>
      <c r="AS29" s="219">
        <v>0</v>
      </c>
      <c r="AT29" s="218">
        <v>0</v>
      </c>
      <c r="AU29" s="218">
        <v>0</v>
      </c>
      <c r="AV29" s="761">
        <f t="shared" si="50"/>
        <v>0</v>
      </c>
      <c r="AW29" s="219">
        <v>0</v>
      </c>
      <c r="AX29" s="218">
        <v>0</v>
      </c>
      <c r="AY29" s="218">
        <v>0</v>
      </c>
      <c r="AZ29" s="761">
        <f t="shared" si="51"/>
        <v>0</v>
      </c>
      <c r="BA29" s="219">
        <v>0</v>
      </c>
      <c r="BB29" s="218">
        <v>0</v>
      </c>
      <c r="BC29" s="218">
        <v>0</v>
      </c>
      <c r="BD29" s="761">
        <f t="shared" si="52"/>
        <v>0</v>
      </c>
      <c r="BE29" s="218">
        <v>0</v>
      </c>
      <c r="BF29" s="218">
        <v>0</v>
      </c>
      <c r="BG29" s="218">
        <v>0</v>
      </c>
      <c r="BH29" s="218">
        <v>0</v>
      </c>
      <c r="BI29" s="219">
        <v>0</v>
      </c>
      <c r="BJ29" s="218">
        <v>0</v>
      </c>
      <c r="BK29" s="761">
        <v>0</v>
      </c>
      <c r="BL29" s="218">
        <v>0</v>
      </c>
      <c r="BM29" s="218">
        <v>0</v>
      </c>
      <c r="BN29" s="218">
        <v>0</v>
      </c>
      <c r="BO29" s="218">
        <v>0</v>
      </c>
      <c r="BP29" s="219">
        <v>0</v>
      </c>
      <c r="BQ29" s="218">
        <v>0</v>
      </c>
      <c r="BR29" s="218">
        <v>0</v>
      </c>
      <c r="BS29" s="763">
        <f t="shared" si="53"/>
        <v>0</v>
      </c>
      <c r="BT29" s="219">
        <v>0</v>
      </c>
      <c r="BU29" s="218">
        <v>0</v>
      </c>
      <c r="BV29" s="218">
        <v>0</v>
      </c>
      <c r="BW29" s="763">
        <f t="shared" si="54"/>
        <v>0</v>
      </c>
      <c r="BX29" s="219">
        <v>0</v>
      </c>
      <c r="BY29" s="218">
        <v>0</v>
      </c>
      <c r="BZ29" s="218">
        <v>0</v>
      </c>
      <c r="CA29" s="763">
        <f t="shared" si="55"/>
        <v>0</v>
      </c>
      <c r="CB29" s="219">
        <v>0</v>
      </c>
      <c r="CC29" s="218">
        <v>0</v>
      </c>
      <c r="CD29" s="218">
        <v>0</v>
      </c>
      <c r="CE29" s="763">
        <f t="shared" si="56"/>
        <v>0</v>
      </c>
      <c r="CF29" s="219">
        <v>0</v>
      </c>
      <c r="CG29" s="218">
        <v>0</v>
      </c>
      <c r="CH29" s="218">
        <v>0</v>
      </c>
      <c r="CI29" s="763">
        <f t="shared" ref="CI29:CI36" si="61">SUM(CE29:CH29)</f>
        <v>0</v>
      </c>
      <c r="CJ29" s="219">
        <v>0</v>
      </c>
      <c r="CK29" s="218">
        <v>0</v>
      </c>
      <c r="CL29" s="218">
        <v>0</v>
      </c>
      <c r="CM29" s="763">
        <f>SUM(CI29:CL29)</f>
        <v>0</v>
      </c>
      <c r="CN29" s="764">
        <v>0</v>
      </c>
      <c r="CO29" s="764">
        <v>0</v>
      </c>
      <c r="CP29" s="763">
        <f>SUM(CM29:CO29)</f>
        <v>0</v>
      </c>
      <c r="CQ29" s="219">
        <v>0</v>
      </c>
      <c r="CR29" s="218">
        <v>0</v>
      </c>
      <c r="CS29" s="763">
        <f>SUM(CP29:CR29)</f>
        <v>0</v>
      </c>
      <c r="CT29" s="219">
        <v>0</v>
      </c>
      <c r="CU29" s="218">
        <v>0</v>
      </c>
      <c r="CV29" s="763">
        <v>0</v>
      </c>
      <c r="CW29" s="219">
        <v>0</v>
      </c>
      <c r="CX29" s="218">
        <v>0</v>
      </c>
      <c r="CY29" s="218">
        <v>0</v>
      </c>
      <c r="CZ29" s="763">
        <v>0</v>
      </c>
      <c r="DA29" s="219">
        <v>0</v>
      </c>
      <c r="DB29" s="218">
        <v>0</v>
      </c>
      <c r="DC29" s="218">
        <v>0</v>
      </c>
      <c r="DD29" s="763">
        <v>0</v>
      </c>
      <c r="DE29" s="219">
        <v>0</v>
      </c>
      <c r="DF29" s="218">
        <v>0</v>
      </c>
      <c r="DG29" s="218">
        <v>0</v>
      </c>
      <c r="DH29" s="763">
        <f>SUM(DD29:DF29)</f>
        <v>0</v>
      </c>
      <c r="DI29" s="219">
        <v>0</v>
      </c>
      <c r="DJ29" s="218">
        <v>0</v>
      </c>
      <c r="DK29" s="218">
        <v>0</v>
      </c>
      <c r="DL29" s="763">
        <f>SUM(DH29:DJ29)</f>
        <v>0</v>
      </c>
      <c r="DM29" s="219">
        <v>0</v>
      </c>
      <c r="DN29" s="218">
        <v>0</v>
      </c>
      <c r="DO29" s="218">
        <v>0</v>
      </c>
      <c r="DP29" s="763">
        <f>SUM(DL29:DN29)</f>
        <v>0</v>
      </c>
      <c r="DQ29" s="219">
        <v>0</v>
      </c>
      <c r="DR29" s="218">
        <v>0</v>
      </c>
      <c r="DS29" s="218">
        <v>0</v>
      </c>
      <c r="DT29" s="763">
        <f>SUM(DP29:DR29)</f>
        <v>0</v>
      </c>
      <c r="DU29" s="219">
        <v>0</v>
      </c>
      <c r="DV29" s="218">
        <v>0</v>
      </c>
      <c r="DW29" s="218">
        <v>0</v>
      </c>
      <c r="DX29" s="763">
        <f>SUM(DT29:DV29)</f>
        <v>0</v>
      </c>
      <c r="DY29" s="219">
        <v>0</v>
      </c>
      <c r="DZ29" s="218">
        <v>0</v>
      </c>
      <c r="EA29" s="218">
        <v>0</v>
      </c>
      <c r="EB29" s="763">
        <v>0</v>
      </c>
      <c r="EC29" s="219">
        <v>0</v>
      </c>
      <c r="ED29" s="218">
        <v>0</v>
      </c>
      <c r="EE29" s="218">
        <v>0</v>
      </c>
      <c r="EF29" s="763">
        <f>SUM(EB29:ED29)</f>
        <v>0</v>
      </c>
      <c r="EG29" s="219">
        <v>0</v>
      </c>
      <c r="EH29" s="218">
        <v>0</v>
      </c>
      <c r="EI29" s="218">
        <v>0</v>
      </c>
      <c r="EJ29" s="763">
        <f>SUM(EB29:EH29)</f>
        <v>0</v>
      </c>
      <c r="EK29" s="219">
        <v>0</v>
      </c>
      <c r="EL29" s="218">
        <v>0</v>
      </c>
      <c r="EM29" s="218">
        <v>0</v>
      </c>
      <c r="EN29" s="763">
        <f>SUM(EF29:EL29)</f>
        <v>0</v>
      </c>
      <c r="EO29" s="219">
        <v>0</v>
      </c>
      <c r="EP29" s="218">
        <v>0</v>
      </c>
      <c r="EQ29" s="218">
        <v>0</v>
      </c>
      <c r="ER29" s="763">
        <f>SUM(EJ29:EP29)</f>
        <v>0</v>
      </c>
      <c r="ES29" s="219">
        <v>0</v>
      </c>
      <c r="ET29" s="218">
        <v>0</v>
      </c>
      <c r="EU29" s="218">
        <v>0</v>
      </c>
      <c r="EV29" s="763">
        <f>SUM(EN29:ET29)</f>
        <v>0</v>
      </c>
      <c r="EW29" s="219">
        <v>0</v>
      </c>
      <c r="EX29" s="218">
        <v>0</v>
      </c>
      <c r="EY29" s="218">
        <v>0</v>
      </c>
      <c r="EZ29" s="763">
        <f>SUM(ER29:EX29)</f>
        <v>0</v>
      </c>
      <c r="FA29" s="219">
        <v>0</v>
      </c>
      <c r="FB29" s="218">
        <v>0</v>
      </c>
      <c r="FC29" s="218">
        <v>0</v>
      </c>
      <c r="FD29" s="763">
        <f>SUM(EV29:FB29)</f>
        <v>0</v>
      </c>
      <c r="FE29" s="219">
        <v>0</v>
      </c>
      <c r="FF29" s="218">
        <v>0</v>
      </c>
      <c r="FG29" s="218">
        <v>0</v>
      </c>
      <c r="FH29" s="763">
        <f>SUM(EZ29:FF29)</f>
        <v>0</v>
      </c>
      <c r="FI29" s="219">
        <v>0</v>
      </c>
      <c r="FJ29" s="218">
        <v>0</v>
      </c>
      <c r="FK29" s="218">
        <v>0</v>
      </c>
      <c r="FL29" s="763">
        <f>SUM(FD29:FJ29)</f>
        <v>0</v>
      </c>
      <c r="FM29" s="219">
        <v>0</v>
      </c>
      <c r="FN29" s="218">
        <v>0</v>
      </c>
      <c r="FO29" s="218">
        <v>0</v>
      </c>
      <c r="FP29" s="763">
        <f>SUM(FH29:FN29)</f>
        <v>0</v>
      </c>
      <c r="FQ29" s="764" t="s">
        <v>160</v>
      </c>
      <c r="FR29" s="764" t="s">
        <v>160</v>
      </c>
      <c r="FS29" s="764" t="s">
        <v>160</v>
      </c>
      <c r="FT29" s="763">
        <f>SUM(FL29:FR29)</f>
        <v>0</v>
      </c>
      <c r="FU29" s="764" t="s">
        <v>160</v>
      </c>
      <c r="FV29" s="764" t="s">
        <v>160</v>
      </c>
      <c r="FW29" s="764" t="s">
        <v>160</v>
      </c>
      <c r="FX29" s="763">
        <f>SUM(FP29:FV29)</f>
        <v>0</v>
      </c>
      <c r="FY29" s="219">
        <v>0</v>
      </c>
      <c r="FZ29" s="118" t="s">
        <v>160</v>
      </c>
      <c r="GA29" s="218">
        <v>0</v>
      </c>
      <c r="GB29" s="218">
        <v>0</v>
      </c>
      <c r="GC29" s="118" t="s">
        <v>160</v>
      </c>
      <c r="GD29" s="763">
        <f t="shared" ref="GD29:GD36" si="62">SUM(FR29:GB29)</f>
        <v>0</v>
      </c>
      <c r="GE29" s="219">
        <v>0</v>
      </c>
      <c r="GF29" s="118" t="s">
        <v>160</v>
      </c>
      <c r="GG29" s="218">
        <v>0</v>
      </c>
      <c r="GH29" s="218">
        <v>0</v>
      </c>
      <c r="GI29" s="118" t="s">
        <v>160</v>
      </c>
      <c r="GJ29" s="763">
        <f>SUM(FX29:GH29)</f>
        <v>0</v>
      </c>
      <c r="GK29" s="764">
        <v>0</v>
      </c>
      <c r="GL29" s="764" t="s">
        <v>160</v>
      </c>
      <c r="GM29" s="764">
        <v>0</v>
      </c>
      <c r="GN29" s="764">
        <v>0</v>
      </c>
      <c r="GO29" s="764" t="s">
        <v>160</v>
      </c>
      <c r="GP29" s="764">
        <v>0</v>
      </c>
      <c r="GQ29" s="219">
        <v>0</v>
      </c>
      <c r="GR29" s="118" t="s">
        <v>160</v>
      </c>
      <c r="GS29" s="218">
        <v>0</v>
      </c>
      <c r="GT29" s="218">
        <v>0</v>
      </c>
      <c r="GU29" s="118" t="s">
        <v>160</v>
      </c>
      <c r="GV29" s="213">
        <f t="shared" si="57"/>
        <v>0</v>
      </c>
      <c r="GW29" s="219">
        <v>0</v>
      </c>
      <c r="GX29" s="118" t="s">
        <v>160</v>
      </c>
      <c r="GY29" s="218">
        <v>0</v>
      </c>
      <c r="GZ29" s="218">
        <v>0</v>
      </c>
      <c r="HA29" s="118" t="s">
        <v>160</v>
      </c>
      <c r="HB29" s="213">
        <f t="shared" si="58"/>
        <v>0</v>
      </c>
      <c r="HC29" s="211">
        <v>0</v>
      </c>
      <c r="HD29" s="211" t="s">
        <v>160</v>
      </c>
      <c r="HE29" s="211">
        <v>0</v>
      </c>
      <c r="HF29" s="211">
        <v>0</v>
      </c>
      <c r="HG29" s="211" t="s">
        <v>160</v>
      </c>
      <c r="HH29" s="213">
        <f t="shared" si="59"/>
        <v>0</v>
      </c>
      <c r="HI29" s="219">
        <v>0</v>
      </c>
      <c r="HJ29" s="118" t="s">
        <v>160</v>
      </c>
      <c r="HK29" s="218">
        <v>0</v>
      </c>
      <c r="HL29" s="218">
        <v>0</v>
      </c>
      <c r="HM29" s="118" t="s">
        <v>160</v>
      </c>
      <c r="HN29" s="213">
        <f t="shared" si="60"/>
        <v>0</v>
      </c>
    </row>
    <row r="30" spans="5:222" s="233" customFormat="1" ht="25.5" hidden="1" outlineLevel="1" x14ac:dyDescent="0.2">
      <c r="E30" s="233" t="s">
        <v>250</v>
      </c>
      <c r="F30" s="233" t="s">
        <v>250</v>
      </c>
      <c r="H30" s="250" t="str">
        <f>IF([1]RENAME!$H$3=1,F30,E30)</f>
        <v xml:space="preserve">   Trans Commerce Transportes de Cargas Ltda.</v>
      </c>
      <c r="I30" s="219">
        <v>0</v>
      </c>
      <c r="J30" s="218">
        <v>0</v>
      </c>
      <c r="K30" s="761">
        <v>11015</v>
      </c>
      <c r="L30" s="219">
        <v>0</v>
      </c>
      <c r="M30" s="218">
        <v>0</v>
      </c>
      <c r="N30" s="218">
        <v>-11015</v>
      </c>
      <c r="O30" s="218">
        <v>0</v>
      </c>
      <c r="P30" s="761">
        <v>0</v>
      </c>
      <c r="Q30" s="219">
        <v>0</v>
      </c>
      <c r="R30" s="218">
        <v>0</v>
      </c>
      <c r="S30" s="218">
        <v>0</v>
      </c>
      <c r="T30" s="218">
        <v>0</v>
      </c>
      <c r="U30" s="218">
        <v>0</v>
      </c>
      <c r="V30" s="761">
        <v>0</v>
      </c>
      <c r="W30" s="219">
        <v>0</v>
      </c>
      <c r="X30" s="218">
        <v>0</v>
      </c>
      <c r="Y30" s="218">
        <v>0</v>
      </c>
      <c r="Z30" s="218">
        <v>0</v>
      </c>
      <c r="AA30" s="218">
        <v>0</v>
      </c>
      <c r="AB30" s="761">
        <v>0</v>
      </c>
      <c r="AC30" s="762">
        <v>0</v>
      </c>
      <c r="AD30" s="218">
        <v>0</v>
      </c>
      <c r="AE30" s="218">
        <v>0</v>
      </c>
      <c r="AF30" s="761">
        <v>0</v>
      </c>
      <c r="AG30" s="219">
        <v>0</v>
      </c>
      <c r="AH30" s="218">
        <v>0</v>
      </c>
      <c r="AI30" s="218">
        <v>0</v>
      </c>
      <c r="AJ30" s="761">
        <v>0</v>
      </c>
      <c r="AK30" s="219">
        <v>0</v>
      </c>
      <c r="AL30" s="218">
        <v>0</v>
      </c>
      <c r="AM30" s="218">
        <v>0</v>
      </c>
      <c r="AN30" s="761">
        <v>0</v>
      </c>
      <c r="AO30" s="219">
        <v>0</v>
      </c>
      <c r="AP30" s="218">
        <v>0</v>
      </c>
      <c r="AQ30" s="218">
        <v>0</v>
      </c>
      <c r="AR30" s="761">
        <v>0</v>
      </c>
      <c r="AS30" s="219">
        <v>0</v>
      </c>
      <c r="AT30" s="218">
        <v>0</v>
      </c>
      <c r="AU30" s="218">
        <v>0</v>
      </c>
      <c r="AV30" s="761">
        <f t="shared" si="50"/>
        <v>0</v>
      </c>
      <c r="AW30" s="219">
        <v>0</v>
      </c>
      <c r="AX30" s="218">
        <v>0</v>
      </c>
      <c r="AY30" s="218">
        <v>0</v>
      </c>
      <c r="AZ30" s="761">
        <f t="shared" si="51"/>
        <v>0</v>
      </c>
      <c r="BA30" s="219">
        <v>0</v>
      </c>
      <c r="BB30" s="218">
        <v>0</v>
      </c>
      <c r="BC30" s="218">
        <v>0</v>
      </c>
      <c r="BD30" s="761">
        <f t="shared" si="52"/>
        <v>0</v>
      </c>
      <c r="BE30" s="218">
        <v>0</v>
      </c>
      <c r="BF30" s="218">
        <v>0</v>
      </c>
      <c r="BG30" s="218">
        <v>0</v>
      </c>
      <c r="BH30" s="218">
        <v>0</v>
      </c>
      <c r="BI30" s="219">
        <v>0</v>
      </c>
      <c r="BJ30" s="218">
        <v>0</v>
      </c>
      <c r="BK30" s="761">
        <v>0</v>
      </c>
      <c r="BL30" s="218">
        <v>0</v>
      </c>
      <c r="BM30" s="218">
        <v>0</v>
      </c>
      <c r="BN30" s="218">
        <v>0</v>
      </c>
      <c r="BO30" s="218">
        <v>0</v>
      </c>
      <c r="BP30" s="219">
        <v>0</v>
      </c>
      <c r="BQ30" s="218">
        <v>0</v>
      </c>
      <c r="BR30" s="218">
        <v>0</v>
      </c>
      <c r="BS30" s="763">
        <f t="shared" si="53"/>
        <v>0</v>
      </c>
      <c r="BT30" s="219">
        <v>0</v>
      </c>
      <c r="BU30" s="218">
        <v>0</v>
      </c>
      <c r="BV30" s="218">
        <v>0</v>
      </c>
      <c r="BW30" s="763">
        <f t="shared" si="54"/>
        <v>0</v>
      </c>
      <c r="BX30" s="219">
        <v>0</v>
      </c>
      <c r="BY30" s="218">
        <v>0</v>
      </c>
      <c r="BZ30" s="218">
        <v>0</v>
      </c>
      <c r="CA30" s="763">
        <f t="shared" si="55"/>
        <v>0</v>
      </c>
      <c r="CB30" s="219">
        <v>0</v>
      </c>
      <c r="CC30" s="218">
        <v>0</v>
      </c>
      <c r="CD30" s="218">
        <v>0</v>
      </c>
      <c r="CE30" s="763">
        <f t="shared" si="56"/>
        <v>0</v>
      </c>
      <c r="CF30" s="219">
        <v>0</v>
      </c>
      <c r="CG30" s="218">
        <v>0</v>
      </c>
      <c r="CH30" s="218">
        <v>0</v>
      </c>
      <c r="CI30" s="763">
        <f t="shared" si="61"/>
        <v>0</v>
      </c>
      <c r="CJ30" s="219">
        <v>0</v>
      </c>
      <c r="CK30" s="218">
        <v>0</v>
      </c>
      <c r="CL30" s="218">
        <v>0</v>
      </c>
      <c r="CM30" s="763">
        <f>SUM(CI30:CL30)</f>
        <v>0</v>
      </c>
      <c r="CN30" s="764">
        <v>0</v>
      </c>
      <c r="CO30" s="764">
        <v>0</v>
      </c>
      <c r="CP30" s="763">
        <f>SUM(CM30:CO30)</f>
        <v>0</v>
      </c>
      <c r="CQ30" s="219">
        <v>0</v>
      </c>
      <c r="CR30" s="218">
        <v>0</v>
      </c>
      <c r="CS30" s="763">
        <f>SUM(CP30:CR30)</f>
        <v>0</v>
      </c>
      <c r="CT30" s="219">
        <v>0</v>
      </c>
      <c r="CU30" s="218">
        <v>0</v>
      </c>
      <c r="CV30" s="763">
        <v>0</v>
      </c>
      <c r="CW30" s="219">
        <v>0</v>
      </c>
      <c r="CX30" s="218">
        <v>0</v>
      </c>
      <c r="CY30" s="218">
        <v>0</v>
      </c>
      <c r="CZ30" s="763">
        <v>0</v>
      </c>
      <c r="DA30" s="219">
        <v>0</v>
      </c>
      <c r="DB30" s="218">
        <v>0</v>
      </c>
      <c r="DC30" s="218">
        <v>0</v>
      </c>
      <c r="DD30" s="763">
        <v>0</v>
      </c>
      <c r="DE30" s="219">
        <v>0</v>
      </c>
      <c r="DF30" s="218">
        <v>0</v>
      </c>
      <c r="DG30" s="218">
        <v>0</v>
      </c>
      <c r="DH30" s="763">
        <f>SUM(DD30:DF30)</f>
        <v>0</v>
      </c>
      <c r="DI30" s="219">
        <v>0</v>
      </c>
      <c r="DJ30" s="218">
        <v>0</v>
      </c>
      <c r="DK30" s="218">
        <v>0</v>
      </c>
      <c r="DL30" s="763">
        <f>SUM(DH30:DJ30)</f>
        <v>0</v>
      </c>
      <c r="DM30" s="219">
        <v>0</v>
      </c>
      <c r="DN30" s="218">
        <v>0</v>
      </c>
      <c r="DO30" s="218">
        <v>0</v>
      </c>
      <c r="DP30" s="763">
        <f>SUM(DL30:DN30)</f>
        <v>0</v>
      </c>
      <c r="DQ30" s="219">
        <v>0</v>
      </c>
      <c r="DR30" s="218">
        <v>0</v>
      </c>
      <c r="DS30" s="218">
        <v>0</v>
      </c>
      <c r="DT30" s="763">
        <f>SUM(DP30:DR30)</f>
        <v>0</v>
      </c>
      <c r="DU30" s="219">
        <v>0</v>
      </c>
      <c r="DV30" s="218">
        <v>0</v>
      </c>
      <c r="DW30" s="218">
        <v>0</v>
      </c>
      <c r="DX30" s="763">
        <f>SUM(DT30:DV30)</f>
        <v>0</v>
      </c>
      <c r="DY30" s="219">
        <v>0</v>
      </c>
      <c r="DZ30" s="218">
        <v>0</v>
      </c>
      <c r="EA30" s="218">
        <v>0</v>
      </c>
      <c r="EB30" s="763">
        <v>0</v>
      </c>
      <c r="EC30" s="219">
        <v>0</v>
      </c>
      <c r="ED30" s="218">
        <v>0</v>
      </c>
      <c r="EE30" s="218">
        <v>0</v>
      </c>
      <c r="EF30" s="763">
        <f>SUM(EB30:ED30)</f>
        <v>0</v>
      </c>
      <c r="EG30" s="219">
        <v>0</v>
      </c>
      <c r="EH30" s="218">
        <v>0</v>
      </c>
      <c r="EI30" s="218">
        <v>0</v>
      </c>
      <c r="EJ30" s="763">
        <f>SUM(EB30:EH30)</f>
        <v>0</v>
      </c>
      <c r="EK30" s="219">
        <v>0</v>
      </c>
      <c r="EL30" s="218">
        <v>0</v>
      </c>
      <c r="EM30" s="218">
        <v>0</v>
      </c>
      <c r="EN30" s="763">
        <f>SUM(EF30:EL30)</f>
        <v>0</v>
      </c>
      <c r="EO30" s="219">
        <v>0</v>
      </c>
      <c r="EP30" s="218">
        <v>0</v>
      </c>
      <c r="EQ30" s="218">
        <v>0</v>
      </c>
      <c r="ER30" s="763">
        <f>SUM(EJ30:EP30)</f>
        <v>0</v>
      </c>
      <c r="ES30" s="219">
        <v>0</v>
      </c>
      <c r="ET30" s="218">
        <v>0</v>
      </c>
      <c r="EU30" s="218">
        <v>0</v>
      </c>
      <c r="EV30" s="763">
        <f>SUM(EN30:ET30)</f>
        <v>0</v>
      </c>
      <c r="EW30" s="219">
        <v>0</v>
      </c>
      <c r="EX30" s="218">
        <v>0</v>
      </c>
      <c r="EY30" s="218">
        <v>0</v>
      </c>
      <c r="EZ30" s="763">
        <f>SUM(ER30:EX30)</f>
        <v>0</v>
      </c>
      <c r="FA30" s="219">
        <v>0</v>
      </c>
      <c r="FB30" s="218">
        <v>0</v>
      </c>
      <c r="FC30" s="218">
        <v>0</v>
      </c>
      <c r="FD30" s="763">
        <f>SUM(EV30:FB30)</f>
        <v>0</v>
      </c>
      <c r="FE30" s="219">
        <v>0</v>
      </c>
      <c r="FF30" s="218">
        <v>0</v>
      </c>
      <c r="FG30" s="218">
        <v>0</v>
      </c>
      <c r="FH30" s="763">
        <f>SUM(EZ30:FF30)</f>
        <v>0</v>
      </c>
      <c r="FI30" s="219">
        <v>0</v>
      </c>
      <c r="FJ30" s="218">
        <v>0</v>
      </c>
      <c r="FK30" s="218">
        <v>0</v>
      </c>
      <c r="FL30" s="763">
        <f>SUM(FD30:FJ30)</f>
        <v>0</v>
      </c>
      <c r="FM30" s="219">
        <v>0</v>
      </c>
      <c r="FN30" s="218">
        <v>0</v>
      </c>
      <c r="FO30" s="218">
        <v>0</v>
      </c>
      <c r="FP30" s="763">
        <f>SUM(FH30:FN30)</f>
        <v>0</v>
      </c>
      <c r="FQ30" s="764" t="s">
        <v>160</v>
      </c>
      <c r="FR30" s="764" t="s">
        <v>160</v>
      </c>
      <c r="FS30" s="764" t="s">
        <v>160</v>
      </c>
      <c r="FT30" s="763">
        <f>SUM(FL30:FR30)</f>
        <v>0</v>
      </c>
      <c r="FU30" s="764" t="s">
        <v>160</v>
      </c>
      <c r="FV30" s="764" t="s">
        <v>160</v>
      </c>
      <c r="FW30" s="764" t="s">
        <v>160</v>
      </c>
      <c r="FX30" s="763">
        <f>SUM(FP30:FV30)</f>
        <v>0</v>
      </c>
      <c r="FY30" s="219">
        <v>0</v>
      </c>
      <c r="FZ30" s="118" t="s">
        <v>160</v>
      </c>
      <c r="GA30" s="218">
        <v>0</v>
      </c>
      <c r="GB30" s="218">
        <v>0</v>
      </c>
      <c r="GC30" s="118" t="s">
        <v>160</v>
      </c>
      <c r="GD30" s="763">
        <f t="shared" si="62"/>
        <v>0</v>
      </c>
      <c r="GE30" s="219">
        <v>0</v>
      </c>
      <c r="GF30" s="118" t="s">
        <v>160</v>
      </c>
      <c r="GG30" s="218">
        <v>0</v>
      </c>
      <c r="GH30" s="218">
        <v>0</v>
      </c>
      <c r="GI30" s="118" t="s">
        <v>160</v>
      </c>
      <c r="GJ30" s="763">
        <f>SUM(FX30:GH30)</f>
        <v>0</v>
      </c>
      <c r="GK30" s="764">
        <v>0</v>
      </c>
      <c r="GL30" s="764" t="s">
        <v>160</v>
      </c>
      <c r="GM30" s="764">
        <v>0</v>
      </c>
      <c r="GN30" s="764">
        <v>0</v>
      </c>
      <c r="GO30" s="764" t="s">
        <v>160</v>
      </c>
      <c r="GP30" s="764">
        <v>0</v>
      </c>
      <c r="GQ30" s="219">
        <v>0</v>
      </c>
      <c r="GR30" s="118" t="s">
        <v>160</v>
      </c>
      <c r="GS30" s="218">
        <v>0</v>
      </c>
      <c r="GT30" s="218">
        <v>0</v>
      </c>
      <c r="GU30" s="118" t="s">
        <v>160</v>
      </c>
      <c r="GV30" s="213">
        <f t="shared" si="57"/>
        <v>0</v>
      </c>
      <c r="GW30" s="219">
        <v>0</v>
      </c>
      <c r="GX30" s="118" t="s">
        <v>160</v>
      </c>
      <c r="GY30" s="218">
        <v>0</v>
      </c>
      <c r="GZ30" s="218">
        <v>0</v>
      </c>
      <c r="HA30" s="118" t="s">
        <v>160</v>
      </c>
      <c r="HB30" s="213">
        <f t="shared" si="58"/>
        <v>0</v>
      </c>
      <c r="HC30" s="211">
        <v>0</v>
      </c>
      <c r="HD30" s="211" t="s">
        <v>160</v>
      </c>
      <c r="HE30" s="211">
        <v>0</v>
      </c>
      <c r="HF30" s="211">
        <v>0</v>
      </c>
      <c r="HG30" s="211" t="s">
        <v>160</v>
      </c>
      <c r="HH30" s="213">
        <f t="shared" si="59"/>
        <v>0</v>
      </c>
      <c r="HI30" s="219">
        <v>0</v>
      </c>
      <c r="HJ30" s="118" t="s">
        <v>160</v>
      </c>
      <c r="HK30" s="218">
        <v>0</v>
      </c>
      <c r="HL30" s="218">
        <v>0</v>
      </c>
      <c r="HM30" s="118" t="s">
        <v>160</v>
      </c>
      <c r="HN30" s="213">
        <f t="shared" si="60"/>
        <v>0</v>
      </c>
    </row>
    <row r="31" spans="5:222" s="233" customFormat="1" hidden="1" outlineLevel="1" x14ac:dyDescent="0.2">
      <c r="E31" s="233" t="s">
        <v>253</v>
      </c>
      <c r="F31" s="233" t="s">
        <v>253</v>
      </c>
      <c r="H31" s="250" t="str">
        <f>IF([1]RENAME!$H$3=1,F31,E31)</f>
        <v xml:space="preserve">   Catlog Logística de Transportes S.A.</v>
      </c>
      <c r="I31" s="219">
        <v>0</v>
      </c>
      <c r="J31" s="218">
        <v>0</v>
      </c>
      <c r="K31" s="761">
        <v>1365</v>
      </c>
      <c r="L31" s="219">
        <v>0</v>
      </c>
      <c r="M31" s="218">
        <v>0</v>
      </c>
      <c r="N31" s="218">
        <v>0</v>
      </c>
      <c r="O31" s="218">
        <v>0</v>
      </c>
      <c r="P31" s="761">
        <v>1365</v>
      </c>
      <c r="Q31" s="219">
        <v>0</v>
      </c>
      <c r="R31" s="218">
        <v>0</v>
      </c>
      <c r="S31" s="218">
        <v>0</v>
      </c>
      <c r="T31" s="218">
        <v>0</v>
      </c>
      <c r="U31" s="218">
        <v>0</v>
      </c>
      <c r="V31" s="761">
        <v>1365</v>
      </c>
      <c r="W31" s="219">
        <v>0</v>
      </c>
      <c r="X31" s="218">
        <v>0</v>
      </c>
      <c r="Y31" s="218">
        <v>0</v>
      </c>
      <c r="Z31" s="218">
        <v>0</v>
      </c>
      <c r="AA31" s="218">
        <v>0</v>
      </c>
      <c r="AB31" s="761">
        <v>1365</v>
      </c>
      <c r="AC31" s="762">
        <v>0</v>
      </c>
      <c r="AD31" s="218">
        <v>0</v>
      </c>
      <c r="AE31" s="218">
        <v>0</v>
      </c>
      <c r="AF31" s="761">
        <v>1365</v>
      </c>
      <c r="AG31" s="219">
        <v>0</v>
      </c>
      <c r="AH31" s="218">
        <v>0</v>
      </c>
      <c r="AI31" s="218">
        <v>0</v>
      </c>
      <c r="AJ31" s="761">
        <v>1365</v>
      </c>
      <c r="AK31" s="219">
        <v>0</v>
      </c>
      <c r="AL31" s="218">
        <v>0</v>
      </c>
      <c r="AM31" s="218">
        <v>0</v>
      </c>
      <c r="AN31" s="761">
        <v>1365</v>
      </c>
      <c r="AO31" s="219">
        <v>0</v>
      </c>
      <c r="AP31" s="218">
        <v>0</v>
      </c>
      <c r="AQ31" s="218">
        <v>0</v>
      </c>
      <c r="AR31" s="761">
        <v>1365</v>
      </c>
      <c r="AS31" s="219">
        <v>0</v>
      </c>
      <c r="AT31" s="218">
        <v>0</v>
      </c>
      <c r="AU31" s="218">
        <v>0</v>
      </c>
      <c r="AV31" s="761">
        <f>SUM(AR31:AU31)</f>
        <v>1365</v>
      </c>
      <c r="AW31" s="219">
        <v>0</v>
      </c>
      <c r="AX31" s="218">
        <v>0</v>
      </c>
      <c r="AY31" s="218">
        <v>0</v>
      </c>
      <c r="AZ31" s="761">
        <f>SUM(AV31:AY31)</f>
        <v>1365</v>
      </c>
      <c r="BA31" s="219">
        <v>0</v>
      </c>
      <c r="BB31" s="218">
        <v>0</v>
      </c>
      <c r="BC31" s="218">
        <v>0</v>
      </c>
      <c r="BD31" s="761">
        <f>SUM(AZ31:BC31)</f>
        <v>1365</v>
      </c>
      <c r="BE31" s="218">
        <v>0</v>
      </c>
      <c r="BF31" s="218">
        <v>0</v>
      </c>
      <c r="BG31" s="218">
        <v>0</v>
      </c>
      <c r="BH31" s="218">
        <v>1365</v>
      </c>
      <c r="BI31" s="219">
        <v>0</v>
      </c>
      <c r="BJ31" s="218">
        <v>0</v>
      </c>
      <c r="BK31" s="761">
        <v>1365</v>
      </c>
      <c r="BL31" s="218">
        <v>0</v>
      </c>
      <c r="BM31" s="218">
        <v>0</v>
      </c>
      <c r="BN31" s="218">
        <v>-1364.59871</v>
      </c>
      <c r="BO31" s="218">
        <v>0.40129000000001724</v>
      </c>
      <c r="BP31" s="219">
        <v>0</v>
      </c>
      <c r="BQ31" s="218">
        <v>0</v>
      </c>
      <c r="BR31" s="218">
        <v>0</v>
      </c>
      <c r="BS31" s="763">
        <f>SUM(BO31:BR31)</f>
        <v>0.40129000000001724</v>
      </c>
      <c r="BT31" s="219">
        <v>0</v>
      </c>
      <c r="BU31" s="218">
        <v>0</v>
      </c>
      <c r="BV31" s="218">
        <v>-0.40129000000001724</v>
      </c>
      <c r="BW31" s="763">
        <f>SUM(BP31:BV31)</f>
        <v>0</v>
      </c>
      <c r="BX31" s="219">
        <v>0</v>
      </c>
      <c r="BY31" s="218">
        <v>0</v>
      </c>
      <c r="BZ31" s="218"/>
      <c r="CA31" s="763">
        <f>SUM(BW31:BZ31)</f>
        <v>0</v>
      </c>
      <c r="CB31" s="219">
        <v>0</v>
      </c>
      <c r="CC31" s="218">
        <v>0</v>
      </c>
      <c r="CD31" s="218"/>
      <c r="CE31" s="763">
        <f>SUM(CA31:CD31)</f>
        <v>0</v>
      </c>
      <c r="CF31" s="219">
        <v>0</v>
      </c>
      <c r="CG31" s="218">
        <v>0</v>
      </c>
      <c r="CH31" s="218">
        <v>0</v>
      </c>
      <c r="CI31" s="763">
        <f>SUM(CE31:CH31)</f>
        <v>0</v>
      </c>
      <c r="CJ31" s="219">
        <v>0</v>
      </c>
      <c r="CK31" s="218">
        <v>0</v>
      </c>
      <c r="CL31" s="218">
        <v>0</v>
      </c>
      <c r="CM31" s="763">
        <f>SUM(CI31:CL31)</f>
        <v>0</v>
      </c>
      <c r="CN31" s="764">
        <v>0</v>
      </c>
      <c r="CO31" s="764">
        <v>0</v>
      </c>
      <c r="CP31" s="763">
        <f>SUM(CM31:CO31)</f>
        <v>0</v>
      </c>
      <c r="CQ31" s="219">
        <v>0</v>
      </c>
      <c r="CR31" s="218">
        <v>0</v>
      </c>
      <c r="CS31" s="763">
        <f>SUM(CP31:CR31)</f>
        <v>0</v>
      </c>
      <c r="CT31" s="219">
        <v>0</v>
      </c>
      <c r="CU31" s="218">
        <v>0</v>
      </c>
      <c r="CV31" s="763">
        <v>0</v>
      </c>
      <c r="CW31" s="219">
        <v>0</v>
      </c>
      <c r="CX31" s="218">
        <v>0</v>
      </c>
      <c r="CY31" s="218">
        <v>0</v>
      </c>
      <c r="CZ31" s="763">
        <v>0</v>
      </c>
      <c r="DA31" s="219">
        <v>0</v>
      </c>
      <c r="DB31" s="218">
        <v>0</v>
      </c>
      <c r="DC31" s="218">
        <v>0</v>
      </c>
      <c r="DD31" s="763">
        <v>0</v>
      </c>
      <c r="DE31" s="219">
        <v>0</v>
      </c>
      <c r="DF31" s="218">
        <v>0</v>
      </c>
      <c r="DG31" s="218">
        <v>0</v>
      </c>
      <c r="DH31" s="763">
        <f>SUM(DD31:DF31)</f>
        <v>0</v>
      </c>
      <c r="DI31" s="219">
        <v>0</v>
      </c>
      <c r="DJ31" s="218">
        <v>0</v>
      </c>
      <c r="DK31" s="218">
        <v>0</v>
      </c>
      <c r="DL31" s="763">
        <f>SUM(DH31:DJ31)</f>
        <v>0</v>
      </c>
      <c r="DM31" s="219">
        <v>0</v>
      </c>
      <c r="DN31" s="218">
        <v>0</v>
      </c>
      <c r="DO31" s="218">
        <v>0</v>
      </c>
      <c r="DP31" s="763">
        <f>SUM(DL31:DN31)</f>
        <v>0</v>
      </c>
      <c r="DQ31" s="219">
        <v>0</v>
      </c>
      <c r="DR31" s="218">
        <v>0</v>
      </c>
      <c r="DS31" s="218">
        <v>0</v>
      </c>
      <c r="DT31" s="763">
        <f>SUM(DP31:DR31)</f>
        <v>0</v>
      </c>
      <c r="DU31" s="219">
        <v>0</v>
      </c>
      <c r="DV31" s="218">
        <v>0</v>
      </c>
      <c r="DW31" s="218">
        <v>0</v>
      </c>
      <c r="DX31" s="763">
        <f>SUM(DT31:DV31)</f>
        <v>0</v>
      </c>
      <c r="DY31" s="219">
        <v>0</v>
      </c>
      <c r="DZ31" s="218">
        <v>0</v>
      </c>
      <c r="EA31" s="218">
        <v>0</v>
      </c>
      <c r="EB31" s="763">
        <v>0</v>
      </c>
      <c r="EC31" s="219">
        <v>0</v>
      </c>
      <c r="ED31" s="218">
        <v>0</v>
      </c>
      <c r="EE31" s="218">
        <v>0</v>
      </c>
      <c r="EF31" s="763">
        <f>SUM(EB31:ED31)</f>
        <v>0</v>
      </c>
      <c r="EG31" s="219">
        <v>0</v>
      </c>
      <c r="EH31" s="218">
        <v>0</v>
      </c>
      <c r="EI31" s="218">
        <v>0</v>
      </c>
      <c r="EJ31" s="763">
        <f>SUM(EB31:EH31)</f>
        <v>0</v>
      </c>
      <c r="EK31" s="219">
        <v>0</v>
      </c>
      <c r="EL31" s="218">
        <v>0</v>
      </c>
      <c r="EM31" s="218">
        <v>0</v>
      </c>
      <c r="EN31" s="763">
        <f>SUM(EF31:EL31)</f>
        <v>0</v>
      </c>
      <c r="EO31" s="219">
        <v>0</v>
      </c>
      <c r="EP31" s="218">
        <v>0</v>
      </c>
      <c r="EQ31" s="218">
        <v>0</v>
      </c>
      <c r="ER31" s="763">
        <f>SUM(EJ31:EP31)</f>
        <v>0</v>
      </c>
      <c r="ES31" s="219">
        <v>0</v>
      </c>
      <c r="ET31" s="218">
        <v>0</v>
      </c>
      <c r="EU31" s="218">
        <v>0</v>
      </c>
      <c r="EV31" s="763">
        <f>SUM(EN31:ET31)</f>
        <v>0</v>
      </c>
      <c r="EW31" s="219">
        <v>0</v>
      </c>
      <c r="EX31" s="218">
        <v>0</v>
      </c>
      <c r="EY31" s="218">
        <v>0</v>
      </c>
      <c r="EZ31" s="763">
        <f>SUM(ER31:EX31)</f>
        <v>0</v>
      </c>
      <c r="FA31" s="219">
        <v>0</v>
      </c>
      <c r="FB31" s="218">
        <v>0</v>
      </c>
      <c r="FC31" s="218">
        <v>0</v>
      </c>
      <c r="FD31" s="763">
        <f>SUM(EV31:FB31)</f>
        <v>0</v>
      </c>
      <c r="FE31" s="219">
        <v>0</v>
      </c>
      <c r="FF31" s="218">
        <v>0</v>
      </c>
      <c r="FG31" s="218">
        <v>0</v>
      </c>
      <c r="FH31" s="763">
        <f>SUM(EZ31:FF31)</f>
        <v>0</v>
      </c>
      <c r="FI31" s="219">
        <v>0</v>
      </c>
      <c r="FJ31" s="218">
        <v>0</v>
      </c>
      <c r="FK31" s="218">
        <v>0</v>
      </c>
      <c r="FL31" s="763">
        <f>SUM(FD31:FJ31)</f>
        <v>0</v>
      </c>
      <c r="FM31" s="219">
        <v>0</v>
      </c>
      <c r="FN31" s="218">
        <v>0</v>
      </c>
      <c r="FO31" s="218">
        <v>0</v>
      </c>
      <c r="FP31" s="763">
        <f>SUM(FH31:FN31)</f>
        <v>0</v>
      </c>
      <c r="FQ31" s="764" t="s">
        <v>160</v>
      </c>
      <c r="FR31" s="764" t="s">
        <v>160</v>
      </c>
      <c r="FS31" s="764" t="s">
        <v>160</v>
      </c>
      <c r="FT31" s="763">
        <f>SUM(FL31:FR31)</f>
        <v>0</v>
      </c>
      <c r="FU31" s="764" t="s">
        <v>160</v>
      </c>
      <c r="FV31" s="764" t="s">
        <v>160</v>
      </c>
      <c r="FW31" s="764" t="s">
        <v>160</v>
      </c>
      <c r="FX31" s="763">
        <f>SUM(FP31:FV31)</f>
        <v>0</v>
      </c>
      <c r="FY31" s="219">
        <v>0</v>
      </c>
      <c r="FZ31" s="118" t="s">
        <v>160</v>
      </c>
      <c r="GA31" s="218">
        <v>0</v>
      </c>
      <c r="GB31" s="218">
        <v>0</v>
      </c>
      <c r="GC31" s="118" t="s">
        <v>160</v>
      </c>
      <c r="GD31" s="763">
        <f t="shared" si="62"/>
        <v>0</v>
      </c>
      <c r="GE31" s="219">
        <v>0</v>
      </c>
      <c r="GF31" s="118" t="s">
        <v>160</v>
      </c>
      <c r="GG31" s="218">
        <v>0</v>
      </c>
      <c r="GH31" s="218">
        <v>0</v>
      </c>
      <c r="GI31" s="118" t="s">
        <v>160</v>
      </c>
      <c r="GJ31" s="763">
        <f>SUM(FX31:GH31)</f>
        <v>0</v>
      </c>
      <c r="GK31" s="764">
        <v>0</v>
      </c>
      <c r="GL31" s="764" t="s">
        <v>160</v>
      </c>
      <c r="GM31" s="764">
        <v>0</v>
      </c>
      <c r="GN31" s="764">
        <v>0</v>
      </c>
      <c r="GO31" s="764" t="s">
        <v>160</v>
      </c>
      <c r="GP31" s="764">
        <v>0</v>
      </c>
      <c r="GQ31" s="219">
        <v>0</v>
      </c>
      <c r="GR31" s="118" t="s">
        <v>160</v>
      </c>
      <c r="GS31" s="218">
        <v>0</v>
      </c>
      <c r="GT31" s="218">
        <v>0</v>
      </c>
      <c r="GU31" s="118" t="s">
        <v>160</v>
      </c>
      <c r="GV31" s="213">
        <f t="shared" si="57"/>
        <v>0</v>
      </c>
      <c r="GW31" s="219">
        <v>0</v>
      </c>
      <c r="GX31" s="118" t="s">
        <v>160</v>
      </c>
      <c r="GY31" s="218">
        <v>0</v>
      </c>
      <c r="GZ31" s="218">
        <v>0</v>
      </c>
      <c r="HA31" s="118" t="s">
        <v>160</v>
      </c>
      <c r="HB31" s="213">
        <f t="shared" si="58"/>
        <v>0</v>
      </c>
      <c r="HC31" s="211">
        <v>0</v>
      </c>
      <c r="HD31" s="211" t="s">
        <v>160</v>
      </c>
      <c r="HE31" s="211">
        <v>0</v>
      </c>
      <c r="HF31" s="211">
        <v>0</v>
      </c>
      <c r="HG31" s="211" t="s">
        <v>160</v>
      </c>
      <c r="HH31" s="213">
        <f t="shared" si="59"/>
        <v>0</v>
      </c>
      <c r="HI31" s="219">
        <v>0</v>
      </c>
      <c r="HJ31" s="118" t="s">
        <v>160</v>
      </c>
      <c r="HK31" s="218">
        <v>0</v>
      </c>
      <c r="HL31" s="218">
        <v>0</v>
      </c>
      <c r="HM31" s="118" t="s">
        <v>160</v>
      </c>
      <c r="HN31" s="213">
        <f t="shared" si="60"/>
        <v>0</v>
      </c>
    </row>
    <row r="32" spans="5:222" collapsed="1" x14ac:dyDescent="0.2">
      <c r="E32" t="s">
        <v>251</v>
      </c>
      <c r="F32" t="s">
        <v>251</v>
      </c>
      <c r="H32" s="129" t="str">
        <f>IF([1]RENAME!$H$3=1,F32,E32)</f>
        <v xml:space="preserve">   Tegma Logística Integrada S.A.</v>
      </c>
      <c r="I32" s="160">
        <v>0</v>
      </c>
      <c r="J32" s="118">
        <v>0</v>
      </c>
      <c r="K32" s="161">
        <v>2491</v>
      </c>
      <c r="L32" s="160">
        <v>0</v>
      </c>
      <c r="M32" s="118">
        <v>0</v>
      </c>
      <c r="N32" s="118">
        <v>0</v>
      </c>
      <c r="O32" s="118">
        <v>0</v>
      </c>
      <c r="P32" s="161">
        <v>2491</v>
      </c>
      <c r="Q32" s="160">
        <v>0</v>
      </c>
      <c r="R32" s="118">
        <v>0</v>
      </c>
      <c r="S32" s="118">
        <v>0</v>
      </c>
      <c r="T32" s="118">
        <v>0</v>
      </c>
      <c r="U32" s="118">
        <v>0</v>
      </c>
      <c r="V32" s="161">
        <v>2491</v>
      </c>
      <c r="W32" s="160">
        <v>0</v>
      </c>
      <c r="X32" s="118">
        <v>0</v>
      </c>
      <c r="Y32" s="118">
        <v>0</v>
      </c>
      <c r="Z32" s="118">
        <v>0</v>
      </c>
      <c r="AA32" s="118">
        <v>0</v>
      </c>
      <c r="AB32" s="161">
        <v>2491</v>
      </c>
      <c r="AC32" s="176">
        <v>0</v>
      </c>
      <c r="AD32" s="118">
        <v>0</v>
      </c>
      <c r="AE32" s="118">
        <v>0</v>
      </c>
      <c r="AF32" s="161">
        <v>2491</v>
      </c>
      <c r="AG32" s="160">
        <v>0</v>
      </c>
      <c r="AH32" s="118">
        <v>0</v>
      </c>
      <c r="AI32" s="118">
        <v>0</v>
      </c>
      <c r="AJ32" s="161">
        <v>2491</v>
      </c>
      <c r="AK32" s="160">
        <v>0</v>
      </c>
      <c r="AL32" s="118">
        <v>0</v>
      </c>
      <c r="AM32" s="118">
        <v>0</v>
      </c>
      <c r="AN32" s="161">
        <v>2491</v>
      </c>
      <c r="AO32" s="160">
        <v>0</v>
      </c>
      <c r="AP32" s="118">
        <v>0</v>
      </c>
      <c r="AQ32" s="118">
        <v>0</v>
      </c>
      <c r="AR32" s="161">
        <v>2491</v>
      </c>
      <c r="AS32" s="160">
        <v>0</v>
      </c>
      <c r="AT32" s="118">
        <v>0</v>
      </c>
      <c r="AU32" s="118">
        <v>0</v>
      </c>
      <c r="AV32" s="161">
        <f t="shared" si="50"/>
        <v>2491</v>
      </c>
      <c r="AW32" s="160">
        <v>0</v>
      </c>
      <c r="AX32" s="118">
        <v>0</v>
      </c>
      <c r="AY32" s="118">
        <v>0</v>
      </c>
      <c r="AZ32" s="161">
        <f t="shared" si="51"/>
        <v>2491</v>
      </c>
      <c r="BA32" s="160">
        <v>0</v>
      </c>
      <c r="BB32" s="118">
        <v>0</v>
      </c>
      <c r="BC32" s="118">
        <v>0</v>
      </c>
      <c r="BD32" s="161">
        <f t="shared" si="52"/>
        <v>2491</v>
      </c>
      <c r="BE32" s="118">
        <v>0</v>
      </c>
      <c r="BF32" s="118">
        <v>0</v>
      </c>
      <c r="BG32" s="118">
        <v>0</v>
      </c>
      <c r="BH32" s="118">
        <v>2491</v>
      </c>
      <c r="BI32" s="160">
        <v>0</v>
      </c>
      <c r="BJ32" s="118">
        <v>0</v>
      </c>
      <c r="BK32" s="161">
        <v>2491</v>
      </c>
      <c r="BL32" s="118">
        <v>0</v>
      </c>
      <c r="BM32" s="118">
        <v>0</v>
      </c>
      <c r="BN32" s="118">
        <v>0</v>
      </c>
      <c r="BO32" s="118">
        <v>2491</v>
      </c>
      <c r="BP32" s="160">
        <v>0</v>
      </c>
      <c r="BQ32" s="118">
        <v>0</v>
      </c>
      <c r="BR32" s="118">
        <v>0</v>
      </c>
      <c r="BS32" s="213">
        <f t="shared" si="53"/>
        <v>2491</v>
      </c>
      <c r="BT32" s="160">
        <v>0</v>
      </c>
      <c r="BU32" s="118">
        <v>0</v>
      </c>
      <c r="BV32" s="118">
        <v>0</v>
      </c>
      <c r="BW32" s="213">
        <f t="shared" si="54"/>
        <v>2491</v>
      </c>
      <c r="BX32" s="160">
        <v>0</v>
      </c>
      <c r="BY32" s="118">
        <v>0</v>
      </c>
      <c r="BZ32" s="118">
        <v>-2491</v>
      </c>
      <c r="CA32" s="213">
        <f t="shared" si="55"/>
        <v>0</v>
      </c>
      <c r="CB32" s="160">
        <v>0</v>
      </c>
      <c r="CC32" s="118">
        <v>0</v>
      </c>
      <c r="CD32" s="118">
        <v>0</v>
      </c>
      <c r="CE32" s="213">
        <f t="shared" si="56"/>
        <v>0</v>
      </c>
      <c r="CF32" s="160">
        <v>0</v>
      </c>
      <c r="CG32" s="118">
        <v>0</v>
      </c>
      <c r="CH32" s="118">
        <v>0</v>
      </c>
      <c r="CI32" s="213">
        <f t="shared" si="61"/>
        <v>0</v>
      </c>
      <c r="CJ32" s="160">
        <v>0</v>
      </c>
      <c r="CK32" s="118">
        <v>0</v>
      </c>
      <c r="CL32" s="118">
        <v>0</v>
      </c>
      <c r="CM32" s="213"/>
      <c r="CN32" s="211">
        <v>0</v>
      </c>
      <c r="CO32" s="211">
        <v>0</v>
      </c>
      <c r="CP32" s="213" t="s">
        <v>160</v>
      </c>
      <c r="CQ32" s="160">
        <v>0</v>
      </c>
      <c r="CR32" s="118">
        <v>0</v>
      </c>
      <c r="CS32" s="213" t="s">
        <v>160</v>
      </c>
      <c r="CT32" s="160">
        <v>0</v>
      </c>
      <c r="CU32" s="118">
        <v>0</v>
      </c>
      <c r="CV32" s="213" t="s">
        <v>160</v>
      </c>
      <c r="CW32" s="160">
        <v>0</v>
      </c>
      <c r="CX32" s="118">
        <v>0</v>
      </c>
      <c r="CY32" s="118">
        <v>0</v>
      </c>
      <c r="CZ32" s="213" t="s">
        <v>160</v>
      </c>
      <c r="DA32" s="160">
        <v>0</v>
      </c>
      <c r="DB32" s="118">
        <v>0</v>
      </c>
      <c r="DC32" s="118">
        <v>0</v>
      </c>
      <c r="DD32" s="213" t="s">
        <v>160</v>
      </c>
      <c r="DE32" s="160">
        <v>0</v>
      </c>
      <c r="DF32" s="118">
        <v>0</v>
      </c>
      <c r="DG32" s="118">
        <v>0</v>
      </c>
      <c r="DH32" s="213" t="s">
        <v>160</v>
      </c>
      <c r="DI32" s="160">
        <v>0</v>
      </c>
      <c r="DJ32" s="118">
        <v>0</v>
      </c>
      <c r="DK32" s="118">
        <v>0</v>
      </c>
      <c r="DL32" s="213" t="s">
        <v>160</v>
      </c>
      <c r="DM32" s="160">
        <v>0</v>
      </c>
      <c r="DN32" s="118">
        <v>0</v>
      </c>
      <c r="DO32" s="118">
        <v>0</v>
      </c>
      <c r="DP32" s="213" t="s">
        <v>160</v>
      </c>
      <c r="DQ32" s="160">
        <v>0</v>
      </c>
      <c r="DR32" s="118">
        <v>0</v>
      </c>
      <c r="DS32" s="118">
        <v>0</v>
      </c>
      <c r="DT32" s="213" t="s">
        <v>160</v>
      </c>
      <c r="DU32" s="160">
        <v>0</v>
      </c>
      <c r="DV32" s="118">
        <v>0</v>
      </c>
      <c r="DW32" s="118">
        <v>0</v>
      </c>
      <c r="DX32" s="213" t="s">
        <v>160</v>
      </c>
      <c r="DY32" s="160">
        <v>0</v>
      </c>
      <c r="DZ32" s="118">
        <v>0</v>
      </c>
      <c r="EA32" s="118">
        <v>0</v>
      </c>
      <c r="EB32" s="213" t="s">
        <v>160</v>
      </c>
      <c r="EC32" s="160">
        <v>0</v>
      </c>
      <c r="ED32" s="118">
        <v>0</v>
      </c>
      <c r="EE32" s="118">
        <v>0</v>
      </c>
      <c r="EF32" s="213" t="s">
        <v>160</v>
      </c>
      <c r="EG32" s="160">
        <v>0</v>
      </c>
      <c r="EH32" s="118">
        <v>0</v>
      </c>
      <c r="EI32" s="118">
        <v>0</v>
      </c>
      <c r="EJ32" s="213" t="s">
        <v>160</v>
      </c>
      <c r="EK32" s="160">
        <v>0</v>
      </c>
      <c r="EL32" s="118">
        <v>0</v>
      </c>
      <c r="EM32" s="118">
        <v>0</v>
      </c>
      <c r="EN32" s="213" t="s">
        <v>160</v>
      </c>
      <c r="EO32" s="160">
        <v>0</v>
      </c>
      <c r="EP32" s="118">
        <v>0</v>
      </c>
      <c r="EQ32" s="118">
        <v>0</v>
      </c>
      <c r="ER32" s="213" t="s">
        <v>160</v>
      </c>
      <c r="ES32" s="160">
        <v>0</v>
      </c>
      <c r="ET32" s="118">
        <v>0</v>
      </c>
      <c r="EU32" s="118">
        <v>0</v>
      </c>
      <c r="EV32" s="213" t="s">
        <v>160</v>
      </c>
      <c r="EW32" s="160">
        <v>0</v>
      </c>
      <c r="EX32" s="118">
        <v>0</v>
      </c>
      <c r="EY32" s="118">
        <v>0</v>
      </c>
      <c r="EZ32" s="213" t="s">
        <v>160</v>
      </c>
      <c r="FA32" s="160">
        <v>0</v>
      </c>
      <c r="FB32" s="118">
        <v>0</v>
      </c>
      <c r="FC32" s="118">
        <v>0</v>
      </c>
      <c r="FD32" s="213" t="s">
        <v>160</v>
      </c>
      <c r="FE32" s="160">
        <v>0</v>
      </c>
      <c r="FF32" s="118">
        <v>0</v>
      </c>
      <c r="FG32" s="118">
        <v>0</v>
      </c>
      <c r="FH32" s="213" t="s">
        <v>160</v>
      </c>
      <c r="FI32" s="160">
        <v>0</v>
      </c>
      <c r="FJ32" s="118">
        <v>0</v>
      </c>
      <c r="FK32" s="118">
        <v>0</v>
      </c>
      <c r="FL32" s="213" t="s">
        <v>160</v>
      </c>
      <c r="FM32" s="160">
        <v>0</v>
      </c>
      <c r="FN32" s="118">
        <v>0</v>
      </c>
      <c r="FO32" s="118">
        <v>0</v>
      </c>
      <c r="FP32" s="213" t="s">
        <v>160</v>
      </c>
      <c r="FQ32" s="211" t="s">
        <v>160</v>
      </c>
      <c r="FR32" s="211" t="s">
        <v>160</v>
      </c>
      <c r="FS32" s="211" t="s">
        <v>160</v>
      </c>
      <c r="FT32" s="213" t="s">
        <v>160</v>
      </c>
      <c r="FU32" s="211" t="s">
        <v>160</v>
      </c>
      <c r="FV32" s="211" t="s">
        <v>160</v>
      </c>
      <c r="FW32" s="211" t="s">
        <v>160</v>
      </c>
      <c r="FX32" s="213" t="s">
        <v>160</v>
      </c>
      <c r="FY32" s="160">
        <v>0</v>
      </c>
      <c r="FZ32" s="118" t="s">
        <v>160</v>
      </c>
      <c r="GA32" s="118">
        <v>0</v>
      </c>
      <c r="GB32" s="118">
        <v>0</v>
      </c>
      <c r="GC32" s="118" t="s">
        <v>160</v>
      </c>
      <c r="GD32" s="213">
        <f t="shared" si="62"/>
        <v>0</v>
      </c>
      <c r="GE32" s="160">
        <v>0</v>
      </c>
      <c r="GF32" s="118" t="s">
        <v>160</v>
      </c>
      <c r="GG32" s="118">
        <v>0</v>
      </c>
      <c r="GH32" s="118">
        <v>0</v>
      </c>
      <c r="GI32" s="118" t="s">
        <v>160</v>
      </c>
      <c r="GJ32" s="213">
        <f>SUM(GD32:GI32)</f>
        <v>0</v>
      </c>
      <c r="GK32" s="211">
        <v>0</v>
      </c>
      <c r="GL32" s="211" t="s">
        <v>160</v>
      </c>
      <c r="GM32" s="211">
        <v>0</v>
      </c>
      <c r="GN32" s="211">
        <v>0</v>
      </c>
      <c r="GO32" s="211" t="s">
        <v>160</v>
      </c>
      <c r="GP32" s="211">
        <v>0</v>
      </c>
      <c r="GQ32" s="160">
        <v>0</v>
      </c>
      <c r="GR32" s="118" t="s">
        <v>160</v>
      </c>
      <c r="GS32" s="118">
        <v>0</v>
      </c>
      <c r="GT32" s="118">
        <v>0</v>
      </c>
      <c r="GU32" s="118" t="s">
        <v>160</v>
      </c>
      <c r="GV32" s="213">
        <f t="shared" si="57"/>
        <v>0</v>
      </c>
      <c r="GW32" s="160">
        <v>0</v>
      </c>
      <c r="GX32" s="118" t="s">
        <v>160</v>
      </c>
      <c r="GY32" s="118">
        <v>0</v>
      </c>
      <c r="GZ32" s="118">
        <v>0</v>
      </c>
      <c r="HA32" s="118" t="s">
        <v>160</v>
      </c>
      <c r="HB32" s="213">
        <f t="shared" si="58"/>
        <v>0</v>
      </c>
      <c r="HC32" s="211">
        <v>0</v>
      </c>
      <c r="HD32" s="211" t="s">
        <v>160</v>
      </c>
      <c r="HE32" s="211">
        <v>0</v>
      </c>
      <c r="HF32" s="211">
        <v>0</v>
      </c>
      <c r="HG32" s="211" t="s">
        <v>160</v>
      </c>
      <c r="HH32" s="213">
        <f t="shared" si="59"/>
        <v>0</v>
      </c>
      <c r="HI32" s="160">
        <v>0</v>
      </c>
      <c r="HJ32" s="118" t="s">
        <v>160</v>
      </c>
      <c r="HK32" s="118">
        <v>0</v>
      </c>
      <c r="HL32" s="118">
        <v>0</v>
      </c>
      <c r="HM32" s="118" t="s">
        <v>160</v>
      </c>
      <c r="HN32" s="213">
        <f t="shared" si="60"/>
        <v>0</v>
      </c>
    </row>
    <row r="33" spans="5:222" x14ac:dyDescent="0.2">
      <c r="E33" t="s">
        <v>252</v>
      </c>
      <c r="F33" t="s">
        <v>252</v>
      </c>
      <c r="H33" s="129" t="str">
        <f>IF([1]RENAME!$H$3=1,F33,E33)</f>
        <v xml:space="preserve">   Tegma Cargas Expecias Ltda.</v>
      </c>
      <c r="I33" s="160">
        <v>0</v>
      </c>
      <c r="J33" s="118">
        <v>0</v>
      </c>
      <c r="K33" s="161">
        <v>6364</v>
      </c>
      <c r="L33" s="160">
        <v>0</v>
      </c>
      <c r="M33" s="118">
        <v>0</v>
      </c>
      <c r="N33" s="118">
        <v>0</v>
      </c>
      <c r="O33" s="118">
        <v>0</v>
      </c>
      <c r="P33" s="161">
        <v>6364</v>
      </c>
      <c r="Q33" s="160">
        <v>0</v>
      </c>
      <c r="R33" s="118">
        <v>0</v>
      </c>
      <c r="S33" s="118">
        <v>0</v>
      </c>
      <c r="T33" s="118">
        <v>0</v>
      </c>
      <c r="U33" s="118">
        <v>0</v>
      </c>
      <c r="V33" s="161">
        <v>6364</v>
      </c>
      <c r="W33" s="160">
        <v>0</v>
      </c>
      <c r="X33" s="118">
        <v>0</v>
      </c>
      <c r="Y33" s="118">
        <v>0</v>
      </c>
      <c r="Z33" s="118">
        <v>0</v>
      </c>
      <c r="AA33" s="118">
        <v>0</v>
      </c>
      <c r="AB33" s="161">
        <v>6364</v>
      </c>
      <c r="AC33" s="176">
        <v>0</v>
      </c>
      <c r="AD33" s="118">
        <v>0</v>
      </c>
      <c r="AE33" s="118">
        <v>0</v>
      </c>
      <c r="AF33" s="161">
        <v>6364</v>
      </c>
      <c r="AG33" s="160">
        <v>0</v>
      </c>
      <c r="AH33" s="118">
        <v>0</v>
      </c>
      <c r="AI33" s="118">
        <v>0</v>
      </c>
      <c r="AJ33" s="161">
        <v>6364</v>
      </c>
      <c r="AK33" s="160">
        <v>0</v>
      </c>
      <c r="AL33" s="118">
        <v>0</v>
      </c>
      <c r="AM33" s="118">
        <v>0</v>
      </c>
      <c r="AN33" s="161">
        <v>6364</v>
      </c>
      <c r="AO33" s="160">
        <v>0</v>
      </c>
      <c r="AP33" s="118">
        <v>0</v>
      </c>
      <c r="AQ33" s="118">
        <v>0</v>
      </c>
      <c r="AR33" s="161">
        <v>6364</v>
      </c>
      <c r="AS33" s="160">
        <v>0</v>
      </c>
      <c r="AT33" s="118">
        <v>0</v>
      </c>
      <c r="AU33" s="118">
        <v>0</v>
      </c>
      <c r="AV33" s="161">
        <f t="shared" si="50"/>
        <v>6364</v>
      </c>
      <c r="AW33" s="160">
        <v>0</v>
      </c>
      <c r="AX33" s="118">
        <v>0</v>
      </c>
      <c r="AY33" s="118">
        <v>0</v>
      </c>
      <c r="AZ33" s="161">
        <f t="shared" si="51"/>
        <v>6364</v>
      </c>
      <c r="BA33" s="160">
        <v>0</v>
      </c>
      <c r="BB33" s="118">
        <v>0</v>
      </c>
      <c r="BC33" s="118">
        <v>0</v>
      </c>
      <c r="BD33" s="161">
        <f t="shared" si="52"/>
        <v>6364</v>
      </c>
      <c r="BE33" s="118">
        <v>0</v>
      </c>
      <c r="BF33" s="118">
        <v>0</v>
      </c>
      <c r="BG33" s="118">
        <v>0</v>
      </c>
      <c r="BH33" s="118">
        <v>6364</v>
      </c>
      <c r="BI33" s="160">
        <v>0</v>
      </c>
      <c r="BJ33" s="118">
        <v>0</v>
      </c>
      <c r="BK33" s="161">
        <v>6364</v>
      </c>
      <c r="BL33" s="118">
        <v>0</v>
      </c>
      <c r="BM33" s="118">
        <v>0</v>
      </c>
      <c r="BN33" s="118">
        <v>0</v>
      </c>
      <c r="BO33" s="118">
        <v>6364</v>
      </c>
      <c r="BP33" s="160">
        <v>0</v>
      </c>
      <c r="BQ33" s="118">
        <v>0</v>
      </c>
      <c r="BR33" s="118">
        <v>0</v>
      </c>
      <c r="BS33" s="213">
        <f t="shared" si="53"/>
        <v>6364</v>
      </c>
      <c r="BT33" s="160">
        <v>0</v>
      </c>
      <c r="BU33" s="118">
        <v>0</v>
      </c>
      <c r="BV33" s="118">
        <v>0</v>
      </c>
      <c r="BW33" s="213">
        <f t="shared" si="54"/>
        <v>6364</v>
      </c>
      <c r="BX33" s="160">
        <v>0</v>
      </c>
      <c r="BY33" s="118">
        <v>0</v>
      </c>
      <c r="BZ33" s="118">
        <v>0</v>
      </c>
      <c r="CA33" s="213">
        <f t="shared" si="55"/>
        <v>6364</v>
      </c>
      <c r="CB33" s="160">
        <v>0</v>
      </c>
      <c r="CC33" s="118">
        <v>0</v>
      </c>
      <c r="CD33" s="118">
        <v>0</v>
      </c>
      <c r="CE33" s="213">
        <f t="shared" si="56"/>
        <v>6364</v>
      </c>
      <c r="CF33" s="160">
        <v>0</v>
      </c>
      <c r="CG33" s="118">
        <v>0</v>
      </c>
      <c r="CH33" s="118">
        <v>0</v>
      </c>
      <c r="CI33" s="213">
        <f t="shared" si="61"/>
        <v>6364</v>
      </c>
      <c r="CJ33" s="160">
        <v>0</v>
      </c>
      <c r="CK33" s="118">
        <v>0</v>
      </c>
      <c r="CL33" s="118">
        <v>0</v>
      </c>
      <c r="CM33" s="213">
        <f>SUM(CI33:CL33)</f>
        <v>6364</v>
      </c>
      <c r="CN33" s="211">
        <v>0</v>
      </c>
      <c r="CO33" s="211">
        <v>0</v>
      </c>
      <c r="CP33" s="213">
        <f>SUM(CM33:CO33)</f>
        <v>6364</v>
      </c>
      <c r="CQ33" s="160">
        <v>0</v>
      </c>
      <c r="CR33" s="118">
        <v>0</v>
      </c>
      <c r="CS33" s="213">
        <f>SUM(CP33:CR33)</f>
        <v>6364</v>
      </c>
      <c r="CT33" s="160">
        <v>0</v>
      </c>
      <c r="CU33" s="118">
        <v>0</v>
      </c>
      <c r="CV33" s="213">
        <v>6364</v>
      </c>
      <c r="CW33" s="160">
        <v>0</v>
      </c>
      <c r="CX33" s="118">
        <v>0</v>
      </c>
      <c r="CY33" s="118">
        <v>0</v>
      </c>
      <c r="CZ33" s="213">
        <v>6364</v>
      </c>
      <c r="DA33" s="160">
        <v>0</v>
      </c>
      <c r="DB33" s="118">
        <v>0</v>
      </c>
      <c r="DC33" s="118">
        <v>0</v>
      </c>
      <c r="DD33" s="213">
        <v>6364</v>
      </c>
      <c r="DE33" s="160">
        <v>0</v>
      </c>
      <c r="DF33" s="118">
        <v>0</v>
      </c>
      <c r="DG33" s="118">
        <v>0</v>
      </c>
      <c r="DH33" s="213">
        <f>SUM(DD33:DF33)</f>
        <v>6364</v>
      </c>
      <c r="DI33" s="160">
        <v>0</v>
      </c>
      <c r="DJ33" s="118">
        <v>0</v>
      </c>
      <c r="DK33" s="118">
        <v>0</v>
      </c>
      <c r="DL33" s="213">
        <f>SUM(DH33:DJ33)</f>
        <v>6364</v>
      </c>
      <c r="DM33" s="160">
        <v>0</v>
      </c>
      <c r="DN33" s="118">
        <v>0</v>
      </c>
      <c r="DO33" s="118">
        <v>0</v>
      </c>
      <c r="DP33" s="213">
        <f>SUM(DL33:DN33)</f>
        <v>6364</v>
      </c>
      <c r="DQ33" s="160">
        <v>0</v>
      </c>
      <c r="DR33" s="118">
        <v>0</v>
      </c>
      <c r="DS33" s="118">
        <v>0</v>
      </c>
      <c r="DT33" s="213">
        <f>SUM(DP33:DR33)</f>
        <v>6364</v>
      </c>
      <c r="DU33" s="160">
        <v>0</v>
      </c>
      <c r="DV33" s="118">
        <v>0</v>
      </c>
      <c r="DW33" s="118">
        <v>0</v>
      </c>
      <c r="DX33" s="213">
        <f>SUM(DT33:DV33)</f>
        <v>6364</v>
      </c>
      <c r="DY33" s="160">
        <v>0</v>
      </c>
      <c r="DZ33" s="118">
        <v>0</v>
      </c>
      <c r="EA33" s="118">
        <v>0</v>
      </c>
      <c r="EB33" s="213">
        <v>6364</v>
      </c>
      <c r="EC33" s="160">
        <v>0</v>
      </c>
      <c r="ED33" s="118">
        <v>0</v>
      </c>
      <c r="EE33" s="118">
        <v>0</v>
      </c>
      <c r="EF33" s="213">
        <f>SUM(EB33:ED33)</f>
        <v>6364</v>
      </c>
      <c r="EG33" s="160">
        <v>0</v>
      </c>
      <c r="EH33" s="118">
        <v>0</v>
      </c>
      <c r="EI33" s="118">
        <v>0</v>
      </c>
      <c r="EJ33" s="213">
        <f>SUM(EF33:EI33)</f>
        <v>6364</v>
      </c>
      <c r="EK33" s="160">
        <v>0</v>
      </c>
      <c r="EL33" s="118">
        <v>0</v>
      </c>
      <c r="EM33" s="118">
        <v>-1</v>
      </c>
      <c r="EN33" s="213">
        <f>SUM(EJ33:EM33)</f>
        <v>6363</v>
      </c>
      <c r="EO33" s="160">
        <v>0</v>
      </c>
      <c r="EP33" s="118">
        <v>0</v>
      </c>
      <c r="EQ33" s="118">
        <v>1</v>
      </c>
      <c r="ER33" s="213">
        <f>SUM(EN33:EQ33)</f>
        <v>6364</v>
      </c>
      <c r="ES33" s="160">
        <v>0</v>
      </c>
      <c r="ET33" s="118">
        <v>0</v>
      </c>
      <c r="EU33" s="118">
        <v>0</v>
      </c>
      <c r="EV33" s="213">
        <f>SUM(ER33:EU33)</f>
        <v>6364</v>
      </c>
      <c r="EW33" s="160">
        <v>0</v>
      </c>
      <c r="EX33" s="118">
        <v>0</v>
      </c>
      <c r="EY33" s="118">
        <v>0</v>
      </c>
      <c r="EZ33" s="213">
        <f>SUM(EV33:EY33)</f>
        <v>6364</v>
      </c>
      <c r="FA33" s="160">
        <v>0</v>
      </c>
      <c r="FB33" s="118">
        <v>0</v>
      </c>
      <c r="FC33" s="118">
        <f>+'[3]11 Intangível'!$U$19</f>
        <v>0</v>
      </c>
      <c r="FD33" s="213">
        <f>SUM(EZ33:FC33)</f>
        <v>6364</v>
      </c>
      <c r="FE33" s="160">
        <v>0</v>
      </c>
      <c r="FF33" s="118">
        <v>0</v>
      </c>
      <c r="FG33" s="118">
        <v>0</v>
      </c>
      <c r="FH33" s="213">
        <f>SUM(FD33:FG33)</f>
        <v>6364</v>
      </c>
      <c r="FI33" s="160">
        <v>0</v>
      </c>
      <c r="FJ33" s="118">
        <v>0</v>
      </c>
      <c r="FK33" s="118">
        <f>+'[3]11 Intangível'!$U$19</f>
        <v>0</v>
      </c>
      <c r="FL33" s="213">
        <f>SUM(FH33:FK33)</f>
        <v>6364</v>
      </c>
      <c r="FM33" s="160">
        <v>0</v>
      </c>
      <c r="FN33" s="118">
        <v>0</v>
      </c>
      <c r="FO33" s="118">
        <f>+'[3]11 Intangível'!$U$19</f>
        <v>0</v>
      </c>
      <c r="FP33" s="213">
        <f>SUM(FL33:FO33)</f>
        <v>6364</v>
      </c>
      <c r="FQ33" s="211" t="s">
        <v>160</v>
      </c>
      <c r="FR33" s="211" t="s">
        <v>160</v>
      </c>
      <c r="FS33" s="211" t="s">
        <v>160</v>
      </c>
      <c r="FT33" s="213">
        <f>SUM(FP33:FS33)</f>
        <v>6364</v>
      </c>
      <c r="FU33" s="211" t="s">
        <v>160</v>
      </c>
      <c r="FV33" s="211" t="s">
        <v>160</v>
      </c>
      <c r="FW33" s="211" t="s">
        <v>160</v>
      </c>
      <c r="FX33" s="213">
        <f>SUM(FT33:FW33)</f>
        <v>6364</v>
      </c>
      <c r="FY33" s="160">
        <v>0</v>
      </c>
      <c r="FZ33" s="118" t="s">
        <v>160</v>
      </c>
      <c r="GA33" s="118">
        <v>0</v>
      </c>
      <c r="GB33" s="118">
        <f>+'[3]11 Intangível'!$U$19</f>
        <v>0</v>
      </c>
      <c r="GC33" s="118" t="s">
        <v>160</v>
      </c>
      <c r="GD33" s="213">
        <f>SUM(FX33:GC33)</f>
        <v>6364</v>
      </c>
      <c r="GE33" s="160">
        <v>0</v>
      </c>
      <c r="GF33" s="118" t="s">
        <v>160</v>
      </c>
      <c r="GG33" s="118">
        <v>0</v>
      </c>
      <c r="GH33" s="118">
        <f>+'[3]11 Intangível'!$U$19</f>
        <v>0</v>
      </c>
      <c r="GI33" s="118" t="s">
        <v>160</v>
      </c>
      <c r="GJ33" s="213">
        <f>SUM(GD33:GI33)</f>
        <v>6364</v>
      </c>
      <c r="GK33" s="211">
        <v>0</v>
      </c>
      <c r="GL33" s="211" t="s">
        <v>160</v>
      </c>
      <c r="GM33" s="211">
        <v>0</v>
      </c>
      <c r="GN33" s="211">
        <v>0</v>
      </c>
      <c r="GO33" s="211" t="s">
        <v>160</v>
      </c>
      <c r="GP33" s="211">
        <v>6364</v>
      </c>
      <c r="GQ33" s="160">
        <v>0</v>
      </c>
      <c r="GR33" s="118" t="s">
        <v>160</v>
      </c>
      <c r="GS33" s="118">
        <v>0</v>
      </c>
      <c r="GT33" s="118">
        <v>0</v>
      </c>
      <c r="GU33" s="118" t="s">
        <v>160</v>
      </c>
      <c r="GV33" s="213">
        <f t="shared" si="57"/>
        <v>6364</v>
      </c>
      <c r="GW33" s="160">
        <v>0</v>
      </c>
      <c r="GX33" s="118" t="s">
        <v>160</v>
      </c>
      <c r="GY33" s="118">
        <v>0</v>
      </c>
      <c r="GZ33" s="118">
        <f>+'[3]11 Intangível'!$U$19</f>
        <v>0</v>
      </c>
      <c r="HA33" s="118" t="s">
        <v>160</v>
      </c>
      <c r="HB33" s="213">
        <f t="shared" si="58"/>
        <v>6364</v>
      </c>
      <c r="HC33" s="211">
        <v>0</v>
      </c>
      <c r="HD33" s="211" t="s">
        <v>160</v>
      </c>
      <c r="HE33" s="211">
        <v>0</v>
      </c>
      <c r="HF33" s="211">
        <v>0</v>
      </c>
      <c r="HG33" s="211" t="s">
        <v>160</v>
      </c>
      <c r="HH33" s="213">
        <f t="shared" si="59"/>
        <v>6364</v>
      </c>
      <c r="HI33" s="160">
        <v>0</v>
      </c>
      <c r="HJ33" s="118" t="s">
        <v>160</v>
      </c>
      <c r="HK33" s="118">
        <v>0</v>
      </c>
      <c r="HL33" s="118">
        <f>+'[3]11 Intangível'!$U$19</f>
        <v>0</v>
      </c>
      <c r="HM33" s="118" t="s">
        <v>160</v>
      </c>
      <c r="HN33" s="213">
        <f t="shared" si="60"/>
        <v>6364</v>
      </c>
    </row>
    <row r="34" spans="5:222" x14ac:dyDescent="0.2">
      <c r="E34" s="233" t="s">
        <v>2294</v>
      </c>
      <c r="F34" s="233" t="s">
        <v>2294</v>
      </c>
      <c r="H34" s="129" t="str">
        <f>IF([1]RENAME!$H$3=1,F34,E34)</f>
        <v xml:space="preserve">    Buskar-Me</v>
      </c>
      <c r="I34" s="160">
        <v>0</v>
      </c>
      <c r="J34" s="118">
        <v>0</v>
      </c>
      <c r="K34" s="161">
        <v>0</v>
      </c>
      <c r="L34" s="160">
        <v>0</v>
      </c>
      <c r="M34" s="118">
        <v>0</v>
      </c>
      <c r="N34" s="118">
        <v>0</v>
      </c>
      <c r="O34" s="118">
        <v>0</v>
      </c>
      <c r="P34" s="161">
        <v>0</v>
      </c>
      <c r="Q34" s="160">
        <v>0</v>
      </c>
      <c r="R34" s="118">
        <v>0</v>
      </c>
      <c r="S34" s="118">
        <v>0</v>
      </c>
      <c r="T34" s="118">
        <v>0</v>
      </c>
      <c r="U34" s="118">
        <v>0</v>
      </c>
      <c r="V34" s="161">
        <v>0</v>
      </c>
      <c r="W34" s="160">
        <v>0</v>
      </c>
      <c r="X34" s="118">
        <v>0</v>
      </c>
      <c r="Y34" s="118">
        <v>0</v>
      </c>
      <c r="Z34" s="118">
        <v>0</v>
      </c>
      <c r="AA34" s="118">
        <v>0</v>
      </c>
      <c r="AB34" s="161">
        <v>0</v>
      </c>
      <c r="AC34" s="176">
        <v>0</v>
      </c>
      <c r="AD34" s="118">
        <v>0</v>
      </c>
      <c r="AE34" s="118">
        <v>0</v>
      </c>
      <c r="AF34" s="161">
        <v>0</v>
      </c>
      <c r="AG34" s="160">
        <v>0</v>
      </c>
      <c r="AH34" s="118">
        <v>0</v>
      </c>
      <c r="AI34" s="118">
        <v>0</v>
      </c>
      <c r="AJ34" s="161">
        <v>0</v>
      </c>
      <c r="AK34" s="160">
        <v>0</v>
      </c>
      <c r="AL34" s="118">
        <v>0</v>
      </c>
      <c r="AM34" s="118">
        <v>0</v>
      </c>
      <c r="AN34" s="161">
        <v>0</v>
      </c>
      <c r="AO34" s="160">
        <v>0</v>
      </c>
      <c r="AP34" s="118">
        <v>0</v>
      </c>
      <c r="AQ34" s="118">
        <v>0</v>
      </c>
      <c r="AR34" s="161">
        <v>0</v>
      </c>
      <c r="AS34" s="160">
        <v>0</v>
      </c>
      <c r="AT34" s="118">
        <v>0</v>
      </c>
      <c r="AU34" s="118">
        <v>0</v>
      </c>
      <c r="AV34" s="161">
        <v>0</v>
      </c>
      <c r="AW34" s="160">
        <v>0</v>
      </c>
      <c r="AX34" s="118">
        <v>0</v>
      </c>
      <c r="AY34" s="118">
        <v>0</v>
      </c>
      <c r="AZ34" s="161">
        <v>0</v>
      </c>
      <c r="BA34" s="160">
        <v>0</v>
      </c>
      <c r="BB34" s="118">
        <v>0</v>
      </c>
      <c r="BC34" s="118">
        <v>0</v>
      </c>
      <c r="BD34" s="161">
        <v>0</v>
      </c>
      <c r="BE34" s="118">
        <v>0</v>
      </c>
      <c r="BF34" s="118">
        <v>0</v>
      </c>
      <c r="BG34" s="118">
        <v>0</v>
      </c>
      <c r="BH34" s="118">
        <v>0</v>
      </c>
      <c r="BI34" s="160">
        <v>0</v>
      </c>
      <c r="BJ34" s="118">
        <v>0</v>
      </c>
      <c r="BK34" s="161">
        <v>0</v>
      </c>
      <c r="BL34" s="118">
        <v>0</v>
      </c>
      <c r="BM34" s="118">
        <v>0</v>
      </c>
      <c r="BN34" s="118">
        <v>0</v>
      </c>
      <c r="BO34" s="118">
        <v>0</v>
      </c>
      <c r="BP34" s="160">
        <v>0</v>
      </c>
      <c r="BQ34" s="118">
        <v>0</v>
      </c>
      <c r="BR34" s="118">
        <v>0</v>
      </c>
      <c r="BS34" s="213">
        <v>0</v>
      </c>
      <c r="BT34" s="160">
        <v>0</v>
      </c>
      <c r="BU34" s="118">
        <v>0</v>
      </c>
      <c r="BV34" s="118">
        <v>0</v>
      </c>
      <c r="BW34" s="213">
        <v>0</v>
      </c>
      <c r="BX34" s="160">
        <v>0</v>
      </c>
      <c r="BY34" s="118">
        <v>0</v>
      </c>
      <c r="BZ34" s="118">
        <v>0</v>
      </c>
      <c r="CA34" s="213">
        <v>0</v>
      </c>
      <c r="CB34" s="160">
        <v>0</v>
      </c>
      <c r="CC34" s="118">
        <v>0</v>
      </c>
      <c r="CD34" s="118">
        <v>0</v>
      </c>
      <c r="CE34" s="213">
        <v>0</v>
      </c>
      <c r="CF34" s="160">
        <v>0</v>
      </c>
      <c r="CG34" s="118">
        <v>0</v>
      </c>
      <c r="CH34" s="118">
        <v>0</v>
      </c>
      <c r="CI34" s="213">
        <v>0</v>
      </c>
      <c r="CJ34" s="160">
        <v>0</v>
      </c>
      <c r="CK34" s="118">
        <v>0</v>
      </c>
      <c r="CL34" s="118">
        <v>0</v>
      </c>
      <c r="CM34" s="213">
        <v>0</v>
      </c>
      <c r="CN34" s="211">
        <v>0</v>
      </c>
      <c r="CO34" s="211">
        <v>0</v>
      </c>
      <c r="CP34" s="213">
        <v>0</v>
      </c>
      <c r="CQ34" s="160">
        <v>0</v>
      </c>
      <c r="CR34" s="118">
        <v>0</v>
      </c>
      <c r="CS34" s="213">
        <v>0</v>
      </c>
      <c r="CT34" s="160">
        <v>0</v>
      </c>
      <c r="CU34" s="118">
        <v>0</v>
      </c>
      <c r="CV34" s="213">
        <v>0</v>
      </c>
      <c r="CW34" s="160">
        <v>0</v>
      </c>
      <c r="CX34" s="118">
        <v>0</v>
      </c>
      <c r="CY34" s="118">
        <v>0</v>
      </c>
      <c r="CZ34" s="213">
        <v>0</v>
      </c>
      <c r="DA34" s="160">
        <v>0</v>
      </c>
      <c r="DB34" s="118">
        <v>0</v>
      </c>
      <c r="DC34" s="118">
        <v>0</v>
      </c>
      <c r="DD34" s="213">
        <v>0</v>
      </c>
      <c r="DE34" s="160">
        <v>0</v>
      </c>
      <c r="DF34" s="118">
        <v>0</v>
      </c>
      <c r="DG34" s="118">
        <v>0</v>
      </c>
      <c r="DH34" s="213">
        <v>0</v>
      </c>
      <c r="DI34" s="160">
        <v>0</v>
      </c>
      <c r="DJ34" s="118">
        <v>0</v>
      </c>
      <c r="DK34" s="118">
        <v>0</v>
      </c>
      <c r="DL34" s="213">
        <v>0</v>
      </c>
      <c r="DM34" s="160">
        <v>0</v>
      </c>
      <c r="DN34" s="118">
        <v>0</v>
      </c>
      <c r="DO34" s="118">
        <v>0</v>
      </c>
      <c r="DP34" s="213">
        <v>0</v>
      </c>
      <c r="DQ34" s="160">
        <v>0</v>
      </c>
      <c r="DR34" s="118">
        <v>0</v>
      </c>
      <c r="DS34" s="118">
        <v>0</v>
      </c>
      <c r="DT34" s="213">
        <v>0</v>
      </c>
      <c r="DU34" s="160">
        <v>0</v>
      </c>
      <c r="DV34" s="118">
        <v>0</v>
      </c>
      <c r="DW34" s="118">
        <v>0</v>
      </c>
      <c r="DX34" s="213">
        <v>0</v>
      </c>
      <c r="DY34" s="160">
        <v>0</v>
      </c>
      <c r="DZ34" s="118">
        <v>0</v>
      </c>
      <c r="EA34" s="118">
        <v>0</v>
      </c>
      <c r="EB34" s="213">
        <v>0</v>
      </c>
      <c r="EC34" s="160">
        <v>0</v>
      </c>
      <c r="ED34" s="118">
        <v>0</v>
      </c>
      <c r="EE34" s="118">
        <v>0</v>
      </c>
      <c r="EF34" s="213">
        <v>0</v>
      </c>
      <c r="EG34" s="160">
        <v>0</v>
      </c>
      <c r="EH34" s="118">
        <v>0</v>
      </c>
      <c r="EI34" s="118">
        <v>0</v>
      </c>
      <c r="EJ34" s="213">
        <v>0</v>
      </c>
      <c r="EK34" s="160">
        <v>0</v>
      </c>
      <c r="EL34" s="118">
        <v>0</v>
      </c>
      <c r="EM34" s="118">
        <v>0</v>
      </c>
      <c r="EN34" s="213">
        <v>0</v>
      </c>
      <c r="EO34" s="160">
        <v>0</v>
      </c>
      <c r="EP34" s="118">
        <v>0</v>
      </c>
      <c r="EQ34" s="118">
        <v>0</v>
      </c>
      <c r="ER34" s="213">
        <v>0</v>
      </c>
      <c r="ES34" s="160">
        <v>0</v>
      </c>
      <c r="ET34" s="118">
        <v>0</v>
      </c>
      <c r="EU34" s="118">
        <v>0</v>
      </c>
      <c r="EV34" s="213">
        <v>0</v>
      </c>
      <c r="EW34" s="160">
        <v>0</v>
      </c>
      <c r="EX34" s="118">
        <v>0</v>
      </c>
      <c r="EY34" s="118">
        <v>0</v>
      </c>
      <c r="EZ34" s="213">
        <v>0</v>
      </c>
      <c r="FA34" s="160">
        <v>0</v>
      </c>
      <c r="FB34" s="118">
        <v>0</v>
      </c>
      <c r="FC34" s="118">
        <v>0</v>
      </c>
      <c r="FD34" s="213">
        <v>0</v>
      </c>
      <c r="FE34" s="160">
        <v>0</v>
      </c>
      <c r="FF34" s="118">
        <v>0</v>
      </c>
      <c r="FG34" s="118">
        <v>0</v>
      </c>
      <c r="FH34" s="213">
        <v>0</v>
      </c>
      <c r="FI34" s="160">
        <v>0</v>
      </c>
      <c r="FJ34" s="118">
        <v>0</v>
      </c>
      <c r="FK34" s="118">
        <v>0</v>
      </c>
      <c r="FL34" s="213">
        <v>0</v>
      </c>
      <c r="FM34" s="160">
        <v>0</v>
      </c>
      <c r="FN34" s="118">
        <v>0</v>
      </c>
      <c r="FO34" s="118">
        <v>0</v>
      </c>
      <c r="FP34" s="213">
        <v>0</v>
      </c>
      <c r="FQ34" s="211">
        <v>0</v>
      </c>
      <c r="FR34" s="211">
        <v>0</v>
      </c>
      <c r="FS34" s="211">
        <v>0</v>
      </c>
      <c r="FT34" s="213">
        <v>0</v>
      </c>
      <c r="FU34" s="211">
        <v>0</v>
      </c>
      <c r="FV34" s="211">
        <v>0</v>
      </c>
      <c r="FW34" s="211">
        <v>0</v>
      </c>
      <c r="FX34" s="213">
        <v>0</v>
      </c>
      <c r="FY34" s="160">
        <v>0</v>
      </c>
      <c r="FZ34" s="118">
        <v>0</v>
      </c>
      <c r="GA34" s="118">
        <v>0</v>
      </c>
      <c r="GB34" s="118">
        <v>0</v>
      </c>
      <c r="GC34" s="118">
        <v>0</v>
      </c>
      <c r="GD34" s="213">
        <v>0</v>
      </c>
      <c r="GE34" s="160">
        <v>0</v>
      </c>
      <c r="GF34" s="118">
        <v>0</v>
      </c>
      <c r="GG34" s="118">
        <v>0</v>
      </c>
      <c r="GH34" s="118">
        <v>0</v>
      </c>
      <c r="GI34" s="118">
        <v>0</v>
      </c>
      <c r="GJ34" s="213">
        <v>0</v>
      </c>
      <c r="GK34" s="211">
        <v>0</v>
      </c>
      <c r="GL34" s="211">
        <v>0</v>
      </c>
      <c r="GM34" s="211">
        <v>0</v>
      </c>
      <c r="GN34" s="211">
        <v>0</v>
      </c>
      <c r="GO34" s="211">
        <v>0</v>
      </c>
      <c r="GP34" s="211">
        <v>0</v>
      </c>
      <c r="GQ34" s="160">
        <v>12983</v>
      </c>
      <c r="GR34" s="118" t="s">
        <v>160</v>
      </c>
      <c r="GS34" s="118">
        <v>0</v>
      </c>
      <c r="GT34" s="118">
        <v>0</v>
      </c>
      <c r="GU34" s="118" t="s">
        <v>160</v>
      </c>
      <c r="GV34" s="213">
        <f t="shared" si="57"/>
        <v>12983</v>
      </c>
      <c r="GW34" s="160">
        <v>0</v>
      </c>
      <c r="GX34" s="118" t="s">
        <v>160</v>
      </c>
      <c r="GY34" s="118">
        <v>0</v>
      </c>
      <c r="GZ34" s="118">
        <v>0</v>
      </c>
      <c r="HA34" s="118" t="s">
        <v>160</v>
      </c>
      <c r="HB34" s="213">
        <f t="shared" si="58"/>
        <v>12983</v>
      </c>
      <c r="HC34" s="211">
        <v>0</v>
      </c>
      <c r="HD34" s="211" t="s">
        <v>160</v>
      </c>
      <c r="HE34" s="211">
        <v>0</v>
      </c>
      <c r="HF34" s="211">
        <v>0</v>
      </c>
      <c r="HG34" s="211" t="s">
        <v>160</v>
      </c>
      <c r="HH34" s="213">
        <f t="shared" si="59"/>
        <v>12983</v>
      </c>
      <c r="HI34" s="160">
        <f>'[3]11 Intang NL'!$AL$53-GW34</f>
        <v>0</v>
      </c>
      <c r="HJ34" s="118" t="s">
        <v>160</v>
      </c>
      <c r="HK34" s="118">
        <v>0</v>
      </c>
      <c r="HL34" s="118">
        <f>+'[3]11 Intangível'!$U$19</f>
        <v>0</v>
      </c>
      <c r="HM34" s="118" t="s">
        <v>160</v>
      </c>
      <c r="HN34" s="213">
        <f t="shared" si="60"/>
        <v>12983</v>
      </c>
    </row>
    <row r="35" spans="5:222" x14ac:dyDescent="0.2">
      <c r="E35" t="s">
        <v>254</v>
      </c>
      <c r="F35" t="s">
        <v>254</v>
      </c>
      <c r="H35" s="129" t="str">
        <f>IF([1]RENAME!$H$3=1,F35,E35)</f>
        <v xml:space="preserve">   PDI comércio, Indústria e Serviços Ltda.</v>
      </c>
      <c r="I35" s="160">
        <v>0</v>
      </c>
      <c r="J35" s="118">
        <v>0</v>
      </c>
      <c r="K35" s="161">
        <v>36</v>
      </c>
      <c r="L35" s="160">
        <v>0</v>
      </c>
      <c r="M35" s="118">
        <v>0</v>
      </c>
      <c r="N35" s="118">
        <v>0</v>
      </c>
      <c r="O35" s="118">
        <v>0</v>
      </c>
      <c r="P35" s="161">
        <v>36</v>
      </c>
      <c r="Q35" s="160">
        <v>0</v>
      </c>
      <c r="R35" s="118">
        <v>0</v>
      </c>
      <c r="S35" s="118">
        <v>0</v>
      </c>
      <c r="T35" s="118">
        <v>0</v>
      </c>
      <c r="U35" s="118">
        <v>0</v>
      </c>
      <c r="V35" s="161">
        <v>36</v>
      </c>
      <c r="W35" s="160">
        <v>0</v>
      </c>
      <c r="X35" s="118">
        <v>0</v>
      </c>
      <c r="Y35" s="118">
        <v>0</v>
      </c>
      <c r="Z35" s="118">
        <v>0</v>
      </c>
      <c r="AA35" s="118">
        <v>0</v>
      </c>
      <c r="AB35" s="161">
        <v>36</v>
      </c>
      <c r="AC35" s="176">
        <v>0</v>
      </c>
      <c r="AD35" s="118">
        <v>0</v>
      </c>
      <c r="AE35" s="118">
        <v>0</v>
      </c>
      <c r="AF35" s="161">
        <v>36</v>
      </c>
      <c r="AG35" s="160">
        <v>0</v>
      </c>
      <c r="AH35" s="118">
        <v>0</v>
      </c>
      <c r="AI35" s="118">
        <v>0</v>
      </c>
      <c r="AJ35" s="161">
        <v>36</v>
      </c>
      <c r="AK35" s="160">
        <v>0</v>
      </c>
      <c r="AL35" s="118">
        <v>0</v>
      </c>
      <c r="AM35" s="118">
        <v>0</v>
      </c>
      <c r="AN35" s="161">
        <v>36</v>
      </c>
      <c r="AO35" s="160">
        <v>0</v>
      </c>
      <c r="AP35" s="118">
        <v>0</v>
      </c>
      <c r="AQ35" s="118">
        <v>0</v>
      </c>
      <c r="AR35" s="161">
        <v>36</v>
      </c>
      <c r="AS35" s="160">
        <v>0</v>
      </c>
      <c r="AT35" s="118">
        <v>0</v>
      </c>
      <c r="AU35" s="118">
        <v>0</v>
      </c>
      <c r="AV35" s="161">
        <f t="shared" si="50"/>
        <v>36</v>
      </c>
      <c r="AW35" s="160">
        <v>0</v>
      </c>
      <c r="AX35" s="118">
        <v>0</v>
      </c>
      <c r="AY35" s="118">
        <v>0</v>
      </c>
      <c r="AZ35" s="161">
        <f t="shared" si="51"/>
        <v>36</v>
      </c>
      <c r="BA35" s="160">
        <v>0</v>
      </c>
      <c r="BB35" s="118">
        <v>0</v>
      </c>
      <c r="BC35" s="118">
        <v>0</v>
      </c>
      <c r="BD35" s="161">
        <f t="shared" si="52"/>
        <v>36</v>
      </c>
      <c r="BE35" s="118">
        <v>0</v>
      </c>
      <c r="BF35" s="118">
        <v>0</v>
      </c>
      <c r="BG35" s="118">
        <v>0</v>
      </c>
      <c r="BH35" s="118">
        <v>36</v>
      </c>
      <c r="BI35" s="160">
        <v>0</v>
      </c>
      <c r="BJ35" s="118">
        <v>0</v>
      </c>
      <c r="BK35" s="161">
        <v>36</v>
      </c>
      <c r="BL35" s="118">
        <v>0</v>
      </c>
      <c r="BM35" s="118">
        <v>0</v>
      </c>
      <c r="BN35" s="118">
        <v>0</v>
      </c>
      <c r="BO35" s="118">
        <v>36</v>
      </c>
      <c r="BP35" s="160">
        <v>0</v>
      </c>
      <c r="BQ35" s="118">
        <v>0</v>
      </c>
      <c r="BR35" s="118">
        <v>0</v>
      </c>
      <c r="BS35" s="213">
        <f t="shared" si="53"/>
        <v>36</v>
      </c>
      <c r="BT35" s="160">
        <v>0</v>
      </c>
      <c r="BU35" s="118">
        <v>0</v>
      </c>
      <c r="BV35" s="118">
        <v>0</v>
      </c>
      <c r="BW35" s="213">
        <f t="shared" si="54"/>
        <v>36</v>
      </c>
      <c r="BX35" s="160">
        <v>0</v>
      </c>
      <c r="BY35" s="118">
        <v>0</v>
      </c>
      <c r="BZ35" s="118">
        <v>-36</v>
      </c>
      <c r="CA35" s="213">
        <f t="shared" si="55"/>
        <v>0</v>
      </c>
      <c r="CB35" s="160">
        <v>0</v>
      </c>
      <c r="CC35" s="118">
        <v>0</v>
      </c>
      <c r="CD35" s="118">
        <v>0</v>
      </c>
      <c r="CE35" s="213">
        <f t="shared" si="56"/>
        <v>0</v>
      </c>
      <c r="CF35" s="160">
        <v>0</v>
      </c>
      <c r="CG35" s="118">
        <v>0</v>
      </c>
      <c r="CH35" s="118">
        <v>0</v>
      </c>
      <c r="CI35" s="213">
        <f t="shared" si="61"/>
        <v>0</v>
      </c>
      <c r="CJ35" s="160">
        <v>0</v>
      </c>
      <c r="CK35" s="118">
        <v>0</v>
      </c>
      <c r="CL35" s="118">
        <v>0</v>
      </c>
      <c r="CM35" s="213"/>
      <c r="CN35" s="211">
        <v>0</v>
      </c>
      <c r="CO35" s="211">
        <v>0</v>
      </c>
      <c r="CP35" s="213" t="s">
        <v>160</v>
      </c>
      <c r="CQ35" s="160">
        <v>0</v>
      </c>
      <c r="CR35" s="118">
        <v>0</v>
      </c>
      <c r="CS35" s="213" t="s">
        <v>160</v>
      </c>
      <c r="CT35" s="160">
        <v>0</v>
      </c>
      <c r="CU35" s="118">
        <v>0</v>
      </c>
      <c r="CV35" s="213" t="s">
        <v>160</v>
      </c>
      <c r="CW35" s="160">
        <v>0</v>
      </c>
      <c r="CX35" s="118">
        <v>0</v>
      </c>
      <c r="CY35" s="118">
        <v>0</v>
      </c>
      <c r="CZ35" s="213" t="s">
        <v>160</v>
      </c>
      <c r="DA35" s="160">
        <v>0</v>
      </c>
      <c r="DB35" s="118">
        <v>0</v>
      </c>
      <c r="DC35" s="118">
        <v>0</v>
      </c>
      <c r="DD35" s="213" t="s">
        <v>160</v>
      </c>
      <c r="DE35" s="160">
        <v>0</v>
      </c>
      <c r="DF35" s="118">
        <v>0</v>
      </c>
      <c r="DG35" s="118">
        <v>0</v>
      </c>
      <c r="DH35" s="213" t="s">
        <v>160</v>
      </c>
      <c r="DI35" s="160">
        <v>0</v>
      </c>
      <c r="DJ35" s="118">
        <v>0</v>
      </c>
      <c r="DK35" s="118">
        <v>0</v>
      </c>
      <c r="DL35" s="213" t="s">
        <v>160</v>
      </c>
      <c r="DM35" s="160">
        <v>0</v>
      </c>
      <c r="DN35" s="118">
        <v>0</v>
      </c>
      <c r="DO35" s="118">
        <v>0</v>
      </c>
      <c r="DP35" s="213" t="s">
        <v>160</v>
      </c>
      <c r="DQ35" s="160">
        <v>0</v>
      </c>
      <c r="DR35" s="118">
        <v>0</v>
      </c>
      <c r="DS35" s="118">
        <v>0</v>
      </c>
      <c r="DT35" s="213" t="s">
        <v>160</v>
      </c>
      <c r="DU35" s="160">
        <v>0</v>
      </c>
      <c r="DV35" s="118">
        <v>0</v>
      </c>
      <c r="DW35" s="118">
        <v>0</v>
      </c>
      <c r="DX35" s="213" t="s">
        <v>160</v>
      </c>
      <c r="DY35" s="160">
        <v>0</v>
      </c>
      <c r="DZ35" s="118">
        <v>0</v>
      </c>
      <c r="EA35" s="118">
        <v>0</v>
      </c>
      <c r="EB35" s="213" t="s">
        <v>160</v>
      </c>
      <c r="EC35" s="160">
        <v>0</v>
      </c>
      <c r="ED35" s="118">
        <v>0</v>
      </c>
      <c r="EE35" s="118">
        <v>0</v>
      </c>
      <c r="EF35" s="213" t="s">
        <v>160</v>
      </c>
      <c r="EG35" s="160">
        <v>0</v>
      </c>
      <c r="EH35" s="118">
        <v>0</v>
      </c>
      <c r="EI35" s="118">
        <v>0</v>
      </c>
      <c r="EJ35" s="213" t="s">
        <v>160</v>
      </c>
      <c r="EK35" s="160">
        <v>0</v>
      </c>
      <c r="EL35" s="118">
        <v>0</v>
      </c>
      <c r="EM35" s="118">
        <v>0</v>
      </c>
      <c r="EN35" s="213" t="s">
        <v>160</v>
      </c>
      <c r="EO35" s="160">
        <v>0</v>
      </c>
      <c r="EP35" s="118">
        <v>0</v>
      </c>
      <c r="EQ35" s="118">
        <v>0</v>
      </c>
      <c r="ER35" s="213" t="s">
        <v>160</v>
      </c>
      <c r="ES35" s="160">
        <v>0</v>
      </c>
      <c r="ET35" s="118">
        <v>0</v>
      </c>
      <c r="EU35" s="118">
        <v>0</v>
      </c>
      <c r="EV35" s="213" t="s">
        <v>160</v>
      </c>
      <c r="EW35" s="160">
        <v>0</v>
      </c>
      <c r="EX35" s="118">
        <v>0</v>
      </c>
      <c r="EY35" s="118">
        <v>0</v>
      </c>
      <c r="EZ35" s="213" t="s">
        <v>160</v>
      </c>
      <c r="FA35" s="160">
        <v>0</v>
      </c>
      <c r="FB35" s="118">
        <v>0</v>
      </c>
      <c r="FC35" s="118">
        <v>0</v>
      </c>
      <c r="FD35" s="213" t="s">
        <v>160</v>
      </c>
      <c r="FE35" s="160">
        <v>0</v>
      </c>
      <c r="FF35" s="118">
        <v>0</v>
      </c>
      <c r="FG35" s="118">
        <v>0</v>
      </c>
      <c r="FH35" s="213" t="s">
        <v>160</v>
      </c>
      <c r="FI35" s="160">
        <v>0</v>
      </c>
      <c r="FJ35" s="118">
        <v>0</v>
      </c>
      <c r="FK35" s="118">
        <v>0</v>
      </c>
      <c r="FL35" s="213" t="s">
        <v>160</v>
      </c>
      <c r="FM35" s="160">
        <v>0</v>
      </c>
      <c r="FN35" s="118">
        <v>0</v>
      </c>
      <c r="FO35" s="118">
        <v>0</v>
      </c>
      <c r="FP35" s="213" t="s">
        <v>160</v>
      </c>
      <c r="FQ35" s="211" t="s">
        <v>160</v>
      </c>
      <c r="FR35" s="211" t="s">
        <v>160</v>
      </c>
      <c r="FS35" s="211" t="s">
        <v>160</v>
      </c>
      <c r="FT35" s="213" t="s">
        <v>160</v>
      </c>
      <c r="FU35" s="211" t="s">
        <v>160</v>
      </c>
      <c r="FV35" s="211" t="s">
        <v>160</v>
      </c>
      <c r="FW35" s="211" t="s">
        <v>160</v>
      </c>
      <c r="FX35" s="213" t="s">
        <v>160</v>
      </c>
      <c r="FY35" s="160">
        <v>0</v>
      </c>
      <c r="FZ35" s="118" t="s">
        <v>160</v>
      </c>
      <c r="GA35" s="118">
        <v>0</v>
      </c>
      <c r="GB35" s="118">
        <v>0</v>
      </c>
      <c r="GC35" s="118" t="s">
        <v>160</v>
      </c>
      <c r="GD35" s="213">
        <f t="shared" si="62"/>
        <v>0</v>
      </c>
      <c r="GE35" s="160">
        <v>0</v>
      </c>
      <c r="GF35" s="118" t="s">
        <v>160</v>
      </c>
      <c r="GG35" s="118">
        <v>0</v>
      </c>
      <c r="GH35" s="118">
        <v>0</v>
      </c>
      <c r="GI35" s="118" t="s">
        <v>160</v>
      </c>
      <c r="GJ35" s="213">
        <f>SUM(FR35:GH35)</f>
        <v>0</v>
      </c>
      <c r="GK35" s="211">
        <v>0</v>
      </c>
      <c r="GL35" s="211" t="s">
        <v>160</v>
      </c>
      <c r="GM35" s="211">
        <v>0</v>
      </c>
      <c r="GN35" s="211">
        <v>0</v>
      </c>
      <c r="GO35" s="211" t="s">
        <v>160</v>
      </c>
      <c r="GP35" s="211">
        <v>0</v>
      </c>
      <c r="GQ35" s="160">
        <v>0</v>
      </c>
      <c r="GR35" s="118" t="s">
        <v>160</v>
      </c>
      <c r="GS35" s="118">
        <v>0</v>
      </c>
      <c r="GT35" s="118">
        <v>0</v>
      </c>
      <c r="GU35" s="118" t="s">
        <v>160</v>
      </c>
      <c r="GV35" s="213">
        <f t="shared" si="57"/>
        <v>0</v>
      </c>
      <c r="GW35" s="160">
        <v>0</v>
      </c>
      <c r="GX35" s="118" t="s">
        <v>160</v>
      </c>
      <c r="GY35" s="118">
        <v>0</v>
      </c>
      <c r="GZ35" s="118">
        <v>0</v>
      </c>
      <c r="HA35" s="118" t="s">
        <v>160</v>
      </c>
      <c r="HB35" s="213">
        <f t="shared" si="58"/>
        <v>0</v>
      </c>
      <c r="HC35" s="211">
        <v>0</v>
      </c>
      <c r="HD35" s="211" t="s">
        <v>160</v>
      </c>
      <c r="HE35" s="211">
        <v>0</v>
      </c>
      <c r="HF35" s="211">
        <v>0</v>
      </c>
      <c r="HG35" s="211" t="s">
        <v>160</v>
      </c>
      <c r="HH35" s="213">
        <f t="shared" si="59"/>
        <v>0</v>
      </c>
      <c r="HI35" s="160">
        <v>0</v>
      </c>
      <c r="HJ35" s="118" t="s">
        <v>160</v>
      </c>
      <c r="HK35" s="118">
        <v>0</v>
      </c>
      <c r="HL35" s="118">
        <v>0</v>
      </c>
      <c r="HM35" s="118" t="s">
        <v>160</v>
      </c>
      <c r="HN35" s="213">
        <f t="shared" si="60"/>
        <v>0</v>
      </c>
    </row>
    <row r="36" spans="5:222" ht="25.5" x14ac:dyDescent="0.2">
      <c r="H36" s="129" t="s">
        <v>1298</v>
      </c>
      <c r="I36" s="160"/>
      <c r="J36" s="118"/>
      <c r="K36" s="161"/>
      <c r="L36" s="160"/>
      <c r="M36" s="118"/>
      <c r="N36" s="118"/>
      <c r="O36" s="118"/>
      <c r="P36" s="161"/>
      <c r="Q36" s="160"/>
      <c r="R36" s="118"/>
      <c r="S36" s="118"/>
      <c r="T36" s="118"/>
      <c r="U36" s="118"/>
      <c r="V36" s="161"/>
      <c r="W36" s="160"/>
      <c r="X36" s="118"/>
      <c r="Y36" s="118"/>
      <c r="Z36" s="118"/>
      <c r="AA36" s="118"/>
      <c r="AB36" s="161"/>
      <c r="AC36" s="176"/>
      <c r="AD36" s="118"/>
      <c r="AE36" s="118"/>
      <c r="AF36" s="161"/>
      <c r="AG36" s="160"/>
      <c r="AH36" s="118"/>
      <c r="AI36" s="118"/>
      <c r="AJ36" s="161"/>
      <c r="AK36" s="160"/>
      <c r="AL36" s="118"/>
      <c r="AM36" s="118"/>
      <c r="AN36" s="161"/>
      <c r="AO36" s="160"/>
      <c r="AP36" s="118"/>
      <c r="AQ36" s="118"/>
      <c r="AR36" s="161"/>
      <c r="AS36" s="160" t="s">
        <v>160</v>
      </c>
      <c r="AT36" s="118" t="s">
        <v>160</v>
      </c>
      <c r="AU36" s="118" t="s">
        <v>160</v>
      </c>
      <c r="AV36" s="161" t="s">
        <v>160</v>
      </c>
      <c r="AW36" s="160" t="s">
        <v>160</v>
      </c>
      <c r="AX36" s="118" t="s">
        <v>160</v>
      </c>
      <c r="AY36" s="118" t="s">
        <v>160</v>
      </c>
      <c r="AZ36" s="161" t="s">
        <v>160</v>
      </c>
      <c r="BA36" s="160" t="s">
        <v>160</v>
      </c>
      <c r="BB36" s="118" t="s">
        <v>160</v>
      </c>
      <c r="BC36" s="118" t="s">
        <v>160</v>
      </c>
      <c r="BD36" s="161" t="s">
        <v>160</v>
      </c>
      <c r="BE36" s="118" t="s">
        <v>160</v>
      </c>
      <c r="BF36" s="118" t="s">
        <v>160</v>
      </c>
      <c r="BG36" s="118" t="s">
        <v>160</v>
      </c>
      <c r="BH36" s="118" t="s">
        <v>160</v>
      </c>
      <c r="BI36" s="160" t="s">
        <v>160</v>
      </c>
      <c r="BJ36" s="118" t="s">
        <v>160</v>
      </c>
      <c r="BK36" s="161" t="s">
        <v>160</v>
      </c>
      <c r="BL36" s="118" t="s">
        <v>160</v>
      </c>
      <c r="BM36" s="118" t="s">
        <v>160</v>
      </c>
      <c r="BN36" s="118" t="s">
        <v>160</v>
      </c>
      <c r="BO36" s="118" t="s">
        <v>160</v>
      </c>
      <c r="BP36" s="160" t="s">
        <v>160</v>
      </c>
      <c r="BQ36" s="118" t="s">
        <v>160</v>
      </c>
      <c r="BR36" s="118" t="s">
        <v>160</v>
      </c>
      <c r="BS36" s="213" t="s">
        <v>160</v>
      </c>
      <c r="BT36" s="160" t="s">
        <v>160</v>
      </c>
      <c r="BU36" s="118" t="s">
        <v>160</v>
      </c>
      <c r="BV36" s="118" t="s">
        <v>160</v>
      </c>
      <c r="BW36" s="213" t="s">
        <v>160</v>
      </c>
      <c r="BX36" s="160">
        <v>16693</v>
      </c>
      <c r="BY36" s="118" t="s">
        <v>160</v>
      </c>
      <c r="BZ36" s="118" t="s">
        <v>160</v>
      </c>
      <c r="CA36" s="213">
        <f t="shared" si="55"/>
        <v>16693</v>
      </c>
      <c r="CB36" s="160">
        <v>0</v>
      </c>
      <c r="CC36" s="118" t="s">
        <v>160</v>
      </c>
      <c r="CD36" s="118" t="s">
        <v>160</v>
      </c>
      <c r="CE36" s="213">
        <f t="shared" si="56"/>
        <v>16693</v>
      </c>
      <c r="CF36" s="160">
        <v>0</v>
      </c>
      <c r="CG36" s="118" t="s">
        <v>160</v>
      </c>
      <c r="CH36" s="118" t="s">
        <v>160</v>
      </c>
      <c r="CI36" s="213">
        <f t="shared" si="61"/>
        <v>16693</v>
      </c>
      <c r="CJ36" s="160">
        <v>0</v>
      </c>
      <c r="CK36" s="118">
        <v>0</v>
      </c>
      <c r="CL36" s="118">
        <v>0</v>
      </c>
      <c r="CM36" s="213">
        <v>0</v>
      </c>
      <c r="CN36" s="211">
        <v>0</v>
      </c>
      <c r="CO36" s="211">
        <v>0</v>
      </c>
      <c r="CP36" s="213">
        <f>SUM(CL36:CO36)</f>
        <v>0</v>
      </c>
      <c r="CQ36" s="160">
        <v>0</v>
      </c>
      <c r="CR36" s="118">
        <v>0</v>
      </c>
      <c r="CS36" s="213">
        <f>SUM(CO36:CR36)</f>
        <v>0</v>
      </c>
      <c r="CT36" s="160">
        <v>0</v>
      </c>
      <c r="CU36" s="118">
        <v>0</v>
      </c>
      <c r="CV36" s="213">
        <f>SUM(CR36:CU36)</f>
        <v>0</v>
      </c>
      <c r="CW36" s="160">
        <v>0</v>
      </c>
      <c r="CX36" s="118">
        <v>0</v>
      </c>
      <c r="CY36" s="118">
        <v>0</v>
      </c>
      <c r="CZ36" s="213">
        <f>SUM(CV36:CY36)</f>
        <v>0</v>
      </c>
      <c r="DA36" s="160">
        <v>0</v>
      </c>
      <c r="DB36" s="118">
        <v>0</v>
      </c>
      <c r="DC36" s="118">
        <v>0</v>
      </c>
      <c r="DD36" s="213">
        <v>0</v>
      </c>
      <c r="DE36" s="160">
        <v>0</v>
      </c>
      <c r="DF36" s="118">
        <v>0</v>
      </c>
      <c r="DG36" s="118">
        <v>0</v>
      </c>
      <c r="DH36" s="213">
        <v>0</v>
      </c>
      <c r="DI36" s="160">
        <v>0</v>
      </c>
      <c r="DJ36" s="118">
        <v>0</v>
      </c>
      <c r="DK36" s="118">
        <v>0</v>
      </c>
      <c r="DL36" s="213">
        <v>0</v>
      </c>
      <c r="DM36" s="160">
        <v>0</v>
      </c>
      <c r="DN36" s="118">
        <v>0</v>
      </c>
      <c r="DO36" s="118">
        <v>0</v>
      </c>
      <c r="DP36" s="213">
        <v>0</v>
      </c>
      <c r="DQ36" s="160">
        <v>0</v>
      </c>
      <c r="DR36" s="118">
        <v>0</v>
      </c>
      <c r="DS36" s="118">
        <v>0</v>
      </c>
      <c r="DT36" s="213">
        <v>0</v>
      </c>
      <c r="DU36" s="160">
        <v>0</v>
      </c>
      <c r="DV36" s="118">
        <v>0</v>
      </c>
      <c r="DW36" s="118">
        <v>0</v>
      </c>
      <c r="DX36" s="213">
        <v>0</v>
      </c>
      <c r="DY36" s="160">
        <v>0</v>
      </c>
      <c r="DZ36" s="118">
        <v>0</v>
      </c>
      <c r="EA36" s="118">
        <v>0</v>
      </c>
      <c r="EB36" s="213">
        <v>0</v>
      </c>
      <c r="EC36" s="160">
        <v>0</v>
      </c>
      <c r="ED36" s="118">
        <v>0</v>
      </c>
      <c r="EE36" s="118">
        <v>0</v>
      </c>
      <c r="EF36" s="213">
        <v>0</v>
      </c>
      <c r="EG36" s="160">
        <v>0</v>
      </c>
      <c r="EH36" s="118">
        <v>0</v>
      </c>
      <c r="EI36" s="118">
        <v>0</v>
      </c>
      <c r="EJ36" s="213">
        <v>0</v>
      </c>
      <c r="EK36" s="160">
        <v>0</v>
      </c>
      <c r="EL36" s="118">
        <v>0</v>
      </c>
      <c r="EM36" s="118">
        <v>0</v>
      </c>
      <c r="EN36" s="213">
        <v>0</v>
      </c>
      <c r="EO36" s="160">
        <v>0</v>
      </c>
      <c r="EP36" s="118">
        <v>0</v>
      </c>
      <c r="EQ36" s="118">
        <v>0</v>
      </c>
      <c r="ER36" s="213">
        <v>0</v>
      </c>
      <c r="ES36" s="160">
        <v>0</v>
      </c>
      <c r="ET36" s="118">
        <v>0</v>
      </c>
      <c r="EU36" s="118">
        <v>0</v>
      </c>
      <c r="EV36" s="213">
        <v>0</v>
      </c>
      <c r="EW36" s="160">
        <v>0</v>
      </c>
      <c r="EX36" s="118">
        <v>0</v>
      </c>
      <c r="EY36" s="118">
        <v>0</v>
      </c>
      <c r="EZ36" s="213">
        <v>0</v>
      </c>
      <c r="FA36" s="160">
        <v>0</v>
      </c>
      <c r="FB36" s="118">
        <v>0</v>
      </c>
      <c r="FC36" s="118">
        <v>0</v>
      </c>
      <c r="FD36" s="213">
        <v>0</v>
      </c>
      <c r="FE36" s="160">
        <v>0</v>
      </c>
      <c r="FF36" s="118">
        <v>0</v>
      </c>
      <c r="FG36" s="118">
        <v>0</v>
      </c>
      <c r="FH36" s="213">
        <v>0</v>
      </c>
      <c r="FI36" s="160">
        <v>0</v>
      </c>
      <c r="FJ36" s="118">
        <v>0</v>
      </c>
      <c r="FK36" s="118">
        <v>0</v>
      </c>
      <c r="FL36" s="213">
        <v>0</v>
      </c>
      <c r="FM36" s="160">
        <v>0</v>
      </c>
      <c r="FN36" s="118">
        <v>0</v>
      </c>
      <c r="FO36" s="118">
        <v>0</v>
      </c>
      <c r="FP36" s="213">
        <v>0</v>
      </c>
      <c r="FQ36" s="211" t="s">
        <v>160</v>
      </c>
      <c r="FR36" s="211" t="s">
        <v>160</v>
      </c>
      <c r="FS36" s="211" t="s">
        <v>160</v>
      </c>
      <c r="FT36" s="213">
        <v>0</v>
      </c>
      <c r="FU36" s="211" t="s">
        <v>160</v>
      </c>
      <c r="FV36" s="211" t="s">
        <v>160</v>
      </c>
      <c r="FW36" s="211" t="s">
        <v>160</v>
      </c>
      <c r="FX36" s="213">
        <v>0</v>
      </c>
      <c r="FY36" s="160">
        <v>0</v>
      </c>
      <c r="FZ36" s="118" t="s">
        <v>160</v>
      </c>
      <c r="GA36" s="118">
        <v>0</v>
      </c>
      <c r="GB36" s="118">
        <v>0</v>
      </c>
      <c r="GC36" s="118" t="s">
        <v>160</v>
      </c>
      <c r="GD36" s="213">
        <f t="shared" si="62"/>
        <v>0</v>
      </c>
      <c r="GE36" s="160">
        <v>0</v>
      </c>
      <c r="GF36" s="118" t="s">
        <v>160</v>
      </c>
      <c r="GG36" s="118">
        <v>0</v>
      </c>
      <c r="GH36" s="118">
        <v>0</v>
      </c>
      <c r="GI36" s="118" t="s">
        <v>160</v>
      </c>
      <c r="GJ36" s="213">
        <f>SUM(FR36:GH36)</f>
        <v>0</v>
      </c>
      <c r="GK36" s="211">
        <v>0</v>
      </c>
      <c r="GL36" s="211" t="s">
        <v>160</v>
      </c>
      <c r="GM36" s="211">
        <v>0</v>
      </c>
      <c r="GN36" s="211">
        <v>0</v>
      </c>
      <c r="GO36" s="211" t="s">
        <v>160</v>
      </c>
      <c r="GP36" s="211">
        <v>0</v>
      </c>
      <c r="GQ36" s="160">
        <v>0</v>
      </c>
      <c r="GR36" s="118" t="s">
        <v>160</v>
      </c>
      <c r="GS36" s="118">
        <v>0</v>
      </c>
      <c r="GT36" s="118">
        <v>0</v>
      </c>
      <c r="GU36" s="118" t="s">
        <v>160</v>
      </c>
      <c r="GV36" s="213">
        <f t="shared" si="57"/>
        <v>0</v>
      </c>
      <c r="GW36" s="160">
        <v>0</v>
      </c>
      <c r="GX36" s="118" t="s">
        <v>160</v>
      </c>
      <c r="GY36" s="118">
        <v>0</v>
      </c>
      <c r="GZ36" s="118">
        <v>0</v>
      </c>
      <c r="HA36" s="118" t="s">
        <v>160</v>
      </c>
      <c r="HB36" s="213">
        <f t="shared" si="58"/>
        <v>0</v>
      </c>
      <c r="HC36" s="211">
        <v>0</v>
      </c>
      <c r="HD36" s="211" t="s">
        <v>160</v>
      </c>
      <c r="HE36" s="211">
        <v>0</v>
      </c>
      <c r="HF36" s="211">
        <v>0</v>
      </c>
      <c r="HG36" s="211" t="s">
        <v>160</v>
      </c>
      <c r="HH36" s="213">
        <f t="shared" si="59"/>
        <v>0</v>
      </c>
      <c r="HI36" s="160">
        <v>0</v>
      </c>
      <c r="HJ36" s="118" t="s">
        <v>160</v>
      </c>
      <c r="HK36" s="118">
        <v>0</v>
      </c>
      <c r="HL36" s="118">
        <v>0</v>
      </c>
      <c r="HM36" s="118" t="s">
        <v>160</v>
      </c>
      <c r="HN36" s="213">
        <f t="shared" si="60"/>
        <v>0</v>
      </c>
    </row>
    <row r="37" spans="5:222" x14ac:dyDescent="0.2">
      <c r="E37" t="s">
        <v>259</v>
      </c>
      <c r="F37" t="s">
        <v>955</v>
      </c>
      <c r="H37" s="120" t="str">
        <f>IF([1]RENAME!$H$3=1,F37,E37)</f>
        <v>Ágio pago na aquisição de investimentos</v>
      </c>
      <c r="I37" s="162">
        <f t="shared" ref="I37:BD37" si="63">SUM(I27:I35)</f>
        <v>0</v>
      </c>
      <c r="J37" s="120">
        <f t="shared" si="63"/>
        <v>0</v>
      </c>
      <c r="K37" s="163">
        <f t="shared" si="63"/>
        <v>234475</v>
      </c>
      <c r="L37" s="162">
        <f t="shared" si="63"/>
        <v>0</v>
      </c>
      <c r="M37" s="120">
        <f t="shared" si="63"/>
        <v>0</v>
      </c>
      <c r="N37" s="120">
        <f t="shared" si="63"/>
        <v>-11015</v>
      </c>
      <c r="O37" s="120">
        <f t="shared" si="63"/>
        <v>-59536</v>
      </c>
      <c r="P37" s="163">
        <f t="shared" si="63"/>
        <v>163924</v>
      </c>
      <c r="Q37" s="162">
        <f t="shared" si="63"/>
        <v>0</v>
      </c>
      <c r="R37" s="120">
        <f t="shared" si="63"/>
        <v>0</v>
      </c>
      <c r="S37" s="120">
        <f t="shared" si="63"/>
        <v>0</v>
      </c>
      <c r="T37" s="120">
        <f t="shared" si="63"/>
        <v>655</v>
      </c>
      <c r="U37" s="120">
        <f t="shared" si="63"/>
        <v>-655</v>
      </c>
      <c r="V37" s="163">
        <f t="shared" si="63"/>
        <v>163924</v>
      </c>
      <c r="W37" s="162">
        <f t="shared" si="63"/>
        <v>0</v>
      </c>
      <c r="X37" s="120">
        <f t="shared" si="63"/>
        <v>0</v>
      </c>
      <c r="Y37" s="120">
        <f t="shared" si="63"/>
        <v>0</v>
      </c>
      <c r="Z37" s="120">
        <f t="shared" si="63"/>
        <v>0</v>
      </c>
      <c r="AA37" s="120">
        <f t="shared" si="63"/>
        <v>0</v>
      </c>
      <c r="AB37" s="163">
        <f t="shared" si="63"/>
        <v>163924</v>
      </c>
      <c r="AC37" s="162">
        <f t="shared" si="63"/>
        <v>0</v>
      </c>
      <c r="AD37" s="120">
        <f t="shared" si="63"/>
        <v>0</v>
      </c>
      <c r="AE37" s="120">
        <f t="shared" si="63"/>
        <v>0</v>
      </c>
      <c r="AF37" s="163">
        <f t="shared" si="63"/>
        <v>163924</v>
      </c>
      <c r="AG37" s="162">
        <f t="shared" si="63"/>
        <v>0</v>
      </c>
      <c r="AH37" s="120">
        <f t="shared" si="63"/>
        <v>0</v>
      </c>
      <c r="AI37" s="120">
        <f t="shared" si="63"/>
        <v>0</v>
      </c>
      <c r="AJ37" s="163">
        <f t="shared" si="63"/>
        <v>163924</v>
      </c>
      <c r="AK37" s="162">
        <f t="shared" si="63"/>
        <v>0</v>
      </c>
      <c r="AL37" s="120">
        <f t="shared" si="63"/>
        <v>0</v>
      </c>
      <c r="AM37" s="120">
        <f t="shared" si="63"/>
        <v>0</v>
      </c>
      <c r="AN37" s="163">
        <f t="shared" si="63"/>
        <v>163924</v>
      </c>
      <c r="AO37" s="162">
        <f t="shared" si="63"/>
        <v>0</v>
      </c>
      <c r="AP37" s="120">
        <f t="shared" si="63"/>
        <v>0</v>
      </c>
      <c r="AQ37" s="120">
        <f t="shared" si="63"/>
        <v>0</v>
      </c>
      <c r="AR37" s="163">
        <f t="shared" si="63"/>
        <v>163924</v>
      </c>
      <c r="AS37" s="162">
        <f t="shared" si="63"/>
        <v>0</v>
      </c>
      <c r="AT37" s="120">
        <f t="shared" si="63"/>
        <v>0</v>
      </c>
      <c r="AU37" s="120">
        <f t="shared" si="63"/>
        <v>0</v>
      </c>
      <c r="AV37" s="163">
        <f t="shared" si="63"/>
        <v>163924</v>
      </c>
      <c r="AW37" s="162">
        <f t="shared" si="63"/>
        <v>0</v>
      </c>
      <c r="AX37" s="120">
        <f t="shared" si="63"/>
        <v>0</v>
      </c>
      <c r="AY37" s="120">
        <f t="shared" si="63"/>
        <v>0</v>
      </c>
      <c r="AZ37" s="163">
        <f t="shared" si="63"/>
        <v>163924</v>
      </c>
      <c r="BA37" s="162">
        <f t="shared" si="63"/>
        <v>0</v>
      </c>
      <c r="BB37" s="120">
        <f t="shared" si="63"/>
        <v>0</v>
      </c>
      <c r="BC37" s="120">
        <f t="shared" si="63"/>
        <v>0</v>
      </c>
      <c r="BD37" s="163">
        <f t="shared" si="63"/>
        <v>163924</v>
      </c>
      <c r="BE37" s="120">
        <v>0</v>
      </c>
      <c r="BF37" s="120">
        <v>0</v>
      </c>
      <c r="BG37" s="120">
        <v>0</v>
      </c>
      <c r="BH37" s="120">
        <v>163924</v>
      </c>
      <c r="BI37" s="162">
        <v>0</v>
      </c>
      <c r="BJ37" s="120">
        <v>0</v>
      </c>
      <c r="BK37" s="163">
        <v>163924</v>
      </c>
      <c r="BL37" s="120">
        <v>0</v>
      </c>
      <c r="BM37" s="120">
        <v>0</v>
      </c>
      <c r="BN37" s="120">
        <v>-1364.59871</v>
      </c>
      <c r="BO37" s="120">
        <v>162559.40129000001</v>
      </c>
      <c r="BP37" s="162">
        <f t="shared" ref="BP37:BW37" si="64">SUM(BP27:BP35)</f>
        <v>0</v>
      </c>
      <c r="BQ37" s="120">
        <f t="shared" si="64"/>
        <v>0</v>
      </c>
      <c r="BR37" s="120">
        <f t="shared" si="64"/>
        <v>0</v>
      </c>
      <c r="BS37" s="163">
        <f t="shared" si="64"/>
        <v>162559.40129000001</v>
      </c>
      <c r="BT37" s="162">
        <f t="shared" si="64"/>
        <v>0</v>
      </c>
      <c r="BU37" s="120">
        <f t="shared" si="64"/>
        <v>0</v>
      </c>
      <c r="BV37" s="120">
        <f t="shared" si="64"/>
        <v>-0.40129000000001724</v>
      </c>
      <c r="BW37" s="163">
        <f t="shared" si="64"/>
        <v>162559</v>
      </c>
      <c r="BX37" s="162">
        <f t="shared" ref="BX37:CO37" si="65">SUM(BX27:BX36)</f>
        <v>16693</v>
      </c>
      <c r="BY37" s="120">
        <f t="shared" si="65"/>
        <v>0</v>
      </c>
      <c r="BZ37" s="120">
        <f t="shared" si="65"/>
        <v>-2527</v>
      </c>
      <c r="CA37" s="163">
        <f t="shared" si="65"/>
        <v>176725</v>
      </c>
      <c r="CB37" s="162">
        <f t="shared" si="65"/>
        <v>0</v>
      </c>
      <c r="CC37" s="120">
        <f t="shared" si="65"/>
        <v>0</v>
      </c>
      <c r="CD37" s="120">
        <f t="shared" si="65"/>
        <v>0</v>
      </c>
      <c r="CE37" s="163">
        <f t="shared" si="65"/>
        <v>176725</v>
      </c>
      <c r="CF37" s="162">
        <f t="shared" si="65"/>
        <v>0</v>
      </c>
      <c r="CG37" s="120">
        <f t="shared" si="65"/>
        <v>0</v>
      </c>
      <c r="CH37" s="120">
        <f t="shared" si="65"/>
        <v>0</v>
      </c>
      <c r="CI37" s="163">
        <f t="shared" si="65"/>
        <v>176725</v>
      </c>
      <c r="CJ37" s="162">
        <f t="shared" si="65"/>
        <v>0</v>
      </c>
      <c r="CK37" s="120">
        <f t="shared" si="65"/>
        <v>0</v>
      </c>
      <c r="CL37" s="120">
        <f t="shared" si="65"/>
        <v>0</v>
      </c>
      <c r="CM37" s="163">
        <f t="shared" si="65"/>
        <v>160032</v>
      </c>
      <c r="CN37" s="162">
        <f t="shared" si="65"/>
        <v>0</v>
      </c>
      <c r="CO37" s="120">
        <f t="shared" si="65"/>
        <v>0</v>
      </c>
      <c r="CP37" s="163">
        <f>SUM(CP27:CP36)</f>
        <v>160032</v>
      </c>
      <c r="CQ37" s="162"/>
      <c r="CR37" s="120"/>
      <c r="CS37" s="163">
        <f>SUM(CS27:CS36)</f>
        <v>160032</v>
      </c>
      <c r="CT37" s="162">
        <v>0</v>
      </c>
      <c r="CU37" s="120">
        <v>0</v>
      </c>
      <c r="CV37" s="163">
        <f>SUM(CV27:CV36)</f>
        <v>160032</v>
      </c>
      <c r="CW37" s="162">
        <f t="shared" ref="CW37:EM37" si="66">SUM(CW27:CW36)</f>
        <v>0</v>
      </c>
      <c r="CX37" s="120">
        <f t="shared" si="66"/>
        <v>0</v>
      </c>
      <c r="CY37" s="120">
        <f t="shared" si="66"/>
        <v>0</v>
      </c>
      <c r="CZ37" s="163">
        <f t="shared" si="66"/>
        <v>160032</v>
      </c>
      <c r="DA37" s="162">
        <f t="shared" si="66"/>
        <v>0</v>
      </c>
      <c r="DB37" s="120">
        <f t="shared" si="66"/>
        <v>0</v>
      </c>
      <c r="DC37" s="120">
        <f t="shared" si="66"/>
        <v>0</v>
      </c>
      <c r="DD37" s="163">
        <f t="shared" si="66"/>
        <v>160032</v>
      </c>
      <c r="DE37" s="162">
        <f t="shared" si="66"/>
        <v>0</v>
      </c>
      <c r="DF37" s="120">
        <f t="shared" si="66"/>
        <v>0</v>
      </c>
      <c r="DG37" s="120">
        <f t="shared" si="66"/>
        <v>0</v>
      </c>
      <c r="DH37" s="163">
        <f t="shared" si="66"/>
        <v>160032</v>
      </c>
      <c r="DI37" s="162">
        <f t="shared" si="66"/>
        <v>0</v>
      </c>
      <c r="DJ37" s="120">
        <f t="shared" si="66"/>
        <v>0</v>
      </c>
      <c r="DK37" s="120">
        <f t="shared" si="66"/>
        <v>0</v>
      </c>
      <c r="DL37" s="163">
        <f t="shared" si="66"/>
        <v>160032</v>
      </c>
      <c r="DM37" s="162">
        <f t="shared" si="66"/>
        <v>0</v>
      </c>
      <c r="DN37" s="120">
        <f t="shared" si="66"/>
        <v>0</v>
      </c>
      <c r="DO37" s="120">
        <f t="shared" si="66"/>
        <v>0</v>
      </c>
      <c r="DP37" s="163">
        <f t="shared" si="66"/>
        <v>160032</v>
      </c>
      <c r="DQ37" s="162">
        <f t="shared" si="66"/>
        <v>0</v>
      </c>
      <c r="DR37" s="120">
        <f t="shared" si="66"/>
        <v>0</v>
      </c>
      <c r="DS37" s="120">
        <f t="shared" si="66"/>
        <v>0</v>
      </c>
      <c r="DT37" s="163">
        <f t="shared" si="66"/>
        <v>160032</v>
      </c>
      <c r="DU37" s="162">
        <f t="shared" si="66"/>
        <v>0</v>
      </c>
      <c r="DV37" s="120">
        <f t="shared" si="66"/>
        <v>0</v>
      </c>
      <c r="DW37" s="120">
        <f t="shared" si="66"/>
        <v>0</v>
      </c>
      <c r="DX37" s="163">
        <f t="shared" si="66"/>
        <v>160032</v>
      </c>
      <c r="DY37" s="162">
        <f t="shared" si="66"/>
        <v>0</v>
      </c>
      <c r="DZ37" s="120">
        <f t="shared" si="66"/>
        <v>0</v>
      </c>
      <c r="EA37" s="120">
        <f t="shared" si="66"/>
        <v>0</v>
      </c>
      <c r="EB37" s="163">
        <f t="shared" si="66"/>
        <v>160032</v>
      </c>
      <c r="EC37" s="162">
        <f t="shared" si="66"/>
        <v>0</v>
      </c>
      <c r="ED37" s="120">
        <f t="shared" si="66"/>
        <v>0</v>
      </c>
      <c r="EE37" s="120">
        <f t="shared" si="66"/>
        <v>0</v>
      </c>
      <c r="EF37" s="163">
        <f t="shared" si="66"/>
        <v>160032</v>
      </c>
      <c r="EG37" s="162">
        <f>SUM(EG27:EG36)</f>
        <v>0</v>
      </c>
      <c r="EH37" s="120">
        <f>SUM(EH27:EH36)</f>
        <v>0</v>
      </c>
      <c r="EI37" s="120">
        <f>SUM(EI27:EI36)</f>
        <v>0</v>
      </c>
      <c r="EJ37" s="163">
        <f>SUM(EF37:EI37)</f>
        <v>160032</v>
      </c>
      <c r="EK37" s="162">
        <f t="shared" si="66"/>
        <v>0</v>
      </c>
      <c r="EL37" s="120">
        <f t="shared" si="66"/>
        <v>0</v>
      </c>
      <c r="EM37" s="120">
        <f t="shared" si="66"/>
        <v>-2</v>
      </c>
      <c r="EN37" s="163">
        <f>SUM(EJ37:EM37)</f>
        <v>160030</v>
      </c>
      <c r="EO37" s="162">
        <f>SUM(EO27:EO36)</f>
        <v>0</v>
      </c>
      <c r="EP37" s="120">
        <f>SUM(EP27:EP36)</f>
        <v>0</v>
      </c>
      <c r="EQ37" s="120">
        <f>SUM(EQ27:EQ36)</f>
        <v>2</v>
      </c>
      <c r="ER37" s="163">
        <f>SUM(EN37:EQ37)</f>
        <v>160032</v>
      </c>
      <c r="ES37" s="162">
        <f>SUM(ES27:ES36)</f>
        <v>0</v>
      </c>
      <c r="ET37" s="120">
        <f>SUM(ET27:ET36)</f>
        <v>0</v>
      </c>
      <c r="EU37" s="120">
        <f>SUM(EU27:EU36)</f>
        <v>0</v>
      </c>
      <c r="EV37" s="163">
        <f>SUM(ER37:EU37)</f>
        <v>160032</v>
      </c>
      <c r="EW37" s="162">
        <f>SUM(EW27:EW36)</f>
        <v>0</v>
      </c>
      <c r="EX37" s="120">
        <f>SUM(EX27:EX36)</f>
        <v>0</v>
      </c>
      <c r="EY37" s="120">
        <f>SUM(EY27:EY36)</f>
        <v>0</v>
      </c>
      <c r="EZ37" s="163">
        <f>SUM(EV37:EY37)</f>
        <v>160032</v>
      </c>
      <c r="FA37" s="162">
        <f>SUM(FA27:FA36)</f>
        <v>0</v>
      </c>
      <c r="FB37" s="120">
        <f>SUM(FB27:FB36)</f>
        <v>0</v>
      </c>
      <c r="FC37" s="120">
        <f>SUM(FC27:FC36)</f>
        <v>0</v>
      </c>
      <c r="FD37" s="163">
        <f>SUM(EZ37:FC37)</f>
        <v>160032</v>
      </c>
      <c r="FE37" s="162">
        <f>SUM(FE27:FE36)</f>
        <v>0</v>
      </c>
      <c r="FF37" s="120">
        <f>SUM(FF27:FF36)</f>
        <v>0</v>
      </c>
      <c r="FG37" s="120">
        <f>SUM(FG27:FG36)</f>
        <v>0</v>
      </c>
      <c r="FH37" s="163">
        <f>SUM(FD37:FG37)</f>
        <v>160032</v>
      </c>
      <c r="FI37" s="162">
        <f>SUM(FI27:FI36)</f>
        <v>0</v>
      </c>
      <c r="FJ37" s="120">
        <f>SUM(FJ27:FJ36)</f>
        <v>0</v>
      </c>
      <c r="FK37" s="120">
        <f>SUM(FK27:FK36)</f>
        <v>0</v>
      </c>
      <c r="FL37" s="163">
        <f>SUM(FH37:FK37)</f>
        <v>160032</v>
      </c>
      <c r="FM37" s="162">
        <f>SUM(FM27:FM36)</f>
        <v>0</v>
      </c>
      <c r="FN37" s="120">
        <f>SUM(FN27:FN36)</f>
        <v>0</v>
      </c>
      <c r="FO37" s="120">
        <f>SUM(FO27:FO36)</f>
        <v>0</v>
      </c>
      <c r="FP37" s="163">
        <f>SUM(FL37:FO37)</f>
        <v>160032</v>
      </c>
      <c r="FQ37" s="162">
        <f>SUM(FQ27:FQ36)</f>
        <v>0</v>
      </c>
      <c r="FR37" s="120">
        <f>SUM(FR27:FR36)</f>
        <v>0</v>
      </c>
      <c r="FS37" s="120">
        <f>SUM(FS27:FS36)</f>
        <v>0</v>
      </c>
      <c r="FT37" s="163">
        <f>SUM(FP37:FS37)</f>
        <v>160032</v>
      </c>
      <c r="FU37" s="162">
        <f>SUM(FU27:FU36)</f>
        <v>0</v>
      </c>
      <c r="FV37" s="120">
        <f>SUM(FV27:FV36)</f>
        <v>0</v>
      </c>
      <c r="FW37" s="120">
        <f>SUM(FW27:FW36)</f>
        <v>0</v>
      </c>
      <c r="FX37" s="163">
        <f>SUM(FT37:FW37)</f>
        <v>160032</v>
      </c>
      <c r="FY37" s="162">
        <f>SUM(FY27:FY36)</f>
        <v>0</v>
      </c>
      <c r="FZ37" s="207" t="s">
        <v>160</v>
      </c>
      <c r="GA37" s="120">
        <f>SUM(GA27:GA36)</f>
        <v>0</v>
      </c>
      <c r="GB37" s="120">
        <f>SUM(GB27:GB36)</f>
        <v>0</v>
      </c>
      <c r="GC37" s="207" t="s">
        <v>160</v>
      </c>
      <c r="GD37" s="163">
        <f>SUM(FX37:GC37)</f>
        <v>160032</v>
      </c>
      <c r="GE37" s="162">
        <f>SUM(GE27:GE36)</f>
        <v>0</v>
      </c>
      <c r="GF37" s="207" t="s">
        <v>160</v>
      </c>
      <c r="GG37" s="120">
        <f>SUM(GG27:GG36)</f>
        <v>0</v>
      </c>
      <c r="GH37" s="120">
        <f>SUM(GH27:GH36)</f>
        <v>0</v>
      </c>
      <c r="GI37" s="207" t="s">
        <v>160</v>
      </c>
      <c r="GJ37" s="163">
        <f>SUM(GD37:GI37)</f>
        <v>160032</v>
      </c>
      <c r="GK37" s="162">
        <f>SUM(GK27:GK36)</f>
        <v>0</v>
      </c>
      <c r="GL37" s="207" t="s">
        <v>160</v>
      </c>
      <c r="GM37" s="120">
        <f>SUM(GM27:GM36)</f>
        <v>0</v>
      </c>
      <c r="GN37" s="120">
        <f>SUM(GN27:GN36)</f>
        <v>0</v>
      </c>
      <c r="GO37" s="207" t="s">
        <v>160</v>
      </c>
      <c r="GP37" s="163">
        <f>SUM(GJ37:GO37)</f>
        <v>160032</v>
      </c>
      <c r="GQ37" s="162">
        <f>SUM(GQ27:GQ36)</f>
        <v>12983</v>
      </c>
      <c r="GR37" s="207" t="s">
        <v>160</v>
      </c>
      <c r="GS37" s="120">
        <f>SUM(GS27:GS36)</f>
        <v>0</v>
      </c>
      <c r="GT37" s="120">
        <f>SUM(GT27:GT36)</f>
        <v>0</v>
      </c>
      <c r="GU37" s="207" t="s">
        <v>160</v>
      </c>
      <c r="GV37" s="163">
        <f>SUM(GP37:GU37)</f>
        <v>173015</v>
      </c>
      <c r="GW37" s="162">
        <f>SUM(GW27:GW36)</f>
        <v>0</v>
      </c>
      <c r="GX37" s="207" t="s">
        <v>160</v>
      </c>
      <c r="GY37" s="120">
        <f>SUM(GY27:GY36)</f>
        <v>0</v>
      </c>
      <c r="GZ37" s="120">
        <f>SUM(GZ27:GZ36)</f>
        <v>0</v>
      </c>
      <c r="HA37" s="207" t="s">
        <v>160</v>
      </c>
      <c r="HB37" s="163">
        <f>SUM(GV37:HA37)</f>
        <v>173015</v>
      </c>
      <c r="HC37" s="120">
        <v>0</v>
      </c>
      <c r="HD37" s="120" t="s">
        <v>160</v>
      </c>
      <c r="HE37" s="120">
        <v>0</v>
      </c>
      <c r="HF37" s="120">
        <v>0</v>
      </c>
      <c r="HG37" s="120" t="s">
        <v>160</v>
      </c>
      <c r="HH37" s="163">
        <f>SUM(HB37:HG37)</f>
        <v>173015</v>
      </c>
      <c r="HI37" s="162">
        <f>SUM(HI27:HI36)</f>
        <v>0</v>
      </c>
      <c r="HJ37" s="207" t="s">
        <v>160</v>
      </c>
      <c r="HK37" s="120">
        <f>SUM(HK27:HK36)</f>
        <v>0</v>
      </c>
      <c r="HL37" s="120">
        <f>SUM(HL27:HL36)</f>
        <v>0</v>
      </c>
      <c r="HM37" s="207" t="s">
        <v>160</v>
      </c>
      <c r="HN37" s="163">
        <f>SUM(HH37:HM37)</f>
        <v>173015</v>
      </c>
    </row>
    <row r="38" spans="5:222" x14ac:dyDescent="0.2">
      <c r="E38" t="s">
        <v>271</v>
      </c>
      <c r="F38" t="s">
        <v>965</v>
      </c>
      <c r="H38" s="120" t="str">
        <f>IF([1]RENAME!$H$3=1,F38,E38)</f>
        <v>Líquido</v>
      </c>
      <c r="I38" s="164">
        <f t="shared" ref="I38:BD38" si="67">SUM(I37,I26,I18)</f>
        <v>851</v>
      </c>
      <c r="J38" s="125">
        <f t="shared" si="67"/>
        <v>-1669</v>
      </c>
      <c r="K38" s="165">
        <f t="shared" si="67"/>
        <v>276561</v>
      </c>
      <c r="L38" s="164">
        <f t="shared" si="67"/>
        <v>-608</v>
      </c>
      <c r="M38" s="125">
        <f t="shared" si="67"/>
        <v>-794</v>
      </c>
      <c r="N38" s="125">
        <f t="shared" si="67"/>
        <v>-23371</v>
      </c>
      <c r="O38" s="125">
        <f t="shared" si="67"/>
        <v>-80256</v>
      </c>
      <c r="P38" s="165">
        <f t="shared" si="67"/>
        <v>171532</v>
      </c>
      <c r="Q38" s="164">
        <f t="shared" si="67"/>
        <v>35</v>
      </c>
      <c r="R38" s="125">
        <f t="shared" si="67"/>
        <v>-603</v>
      </c>
      <c r="S38" s="125">
        <f t="shared" si="67"/>
        <v>0</v>
      </c>
      <c r="T38" s="125">
        <f t="shared" si="67"/>
        <v>655</v>
      </c>
      <c r="U38" s="125">
        <f t="shared" si="67"/>
        <v>-655</v>
      </c>
      <c r="V38" s="165">
        <f t="shared" si="67"/>
        <v>170964</v>
      </c>
      <c r="W38" s="164">
        <f t="shared" si="67"/>
        <v>1497</v>
      </c>
      <c r="X38" s="125">
        <f t="shared" si="67"/>
        <v>-1184</v>
      </c>
      <c r="Y38" s="125">
        <f t="shared" si="67"/>
        <v>0</v>
      </c>
      <c r="Z38" s="125">
        <f t="shared" si="67"/>
        <v>0</v>
      </c>
      <c r="AA38" s="125">
        <f t="shared" si="67"/>
        <v>-39</v>
      </c>
      <c r="AB38" s="165">
        <f t="shared" si="67"/>
        <v>171238</v>
      </c>
      <c r="AC38" s="164">
        <f t="shared" si="67"/>
        <v>93</v>
      </c>
      <c r="AD38" s="125">
        <f t="shared" si="67"/>
        <v>7206</v>
      </c>
      <c r="AE38" s="125">
        <f t="shared" si="67"/>
        <v>-783</v>
      </c>
      <c r="AF38" s="165">
        <f t="shared" si="67"/>
        <v>177754</v>
      </c>
      <c r="AG38" s="164">
        <f t="shared" si="67"/>
        <v>357</v>
      </c>
      <c r="AH38" s="125">
        <f t="shared" si="67"/>
        <v>1395</v>
      </c>
      <c r="AI38" s="125">
        <f t="shared" si="67"/>
        <v>-1018</v>
      </c>
      <c r="AJ38" s="165">
        <f t="shared" si="67"/>
        <v>178488</v>
      </c>
      <c r="AK38" s="164">
        <f t="shared" si="67"/>
        <v>245</v>
      </c>
      <c r="AL38" s="125">
        <f t="shared" si="67"/>
        <v>1326</v>
      </c>
      <c r="AM38" s="125">
        <f t="shared" si="67"/>
        <v>-1215</v>
      </c>
      <c r="AN38" s="165">
        <f t="shared" si="67"/>
        <v>178844</v>
      </c>
      <c r="AO38" s="164">
        <f t="shared" si="67"/>
        <v>160</v>
      </c>
      <c r="AP38" s="125">
        <f t="shared" si="67"/>
        <v>1024</v>
      </c>
      <c r="AQ38" s="125">
        <f t="shared" si="67"/>
        <v>-1401</v>
      </c>
      <c r="AR38" s="165">
        <f t="shared" si="67"/>
        <v>178627</v>
      </c>
      <c r="AS38" s="164">
        <f t="shared" si="67"/>
        <v>323</v>
      </c>
      <c r="AT38" s="125">
        <f t="shared" si="67"/>
        <v>44</v>
      </c>
      <c r="AU38" s="125">
        <f t="shared" si="67"/>
        <v>-1408</v>
      </c>
      <c r="AV38" s="165">
        <f t="shared" si="67"/>
        <v>177586</v>
      </c>
      <c r="AW38" s="164">
        <f t="shared" si="67"/>
        <v>908</v>
      </c>
      <c r="AX38" s="125">
        <f t="shared" si="67"/>
        <v>1981</v>
      </c>
      <c r="AY38" s="125">
        <f t="shared" si="67"/>
        <v>-1192</v>
      </c>
      <c r="AZ38" s="165">
        <f t="shared" si="67"/>
        <v>179283</v>
      </c>
      <c r="BA38" s="164">
        <f t="shared" si="67"/>
        <v>311</v>
      </c>
      <c r="BB38" s="125">
        <f t="shared" si="67"/>
        <v>-708</v>
      </c>
      <c r="BC38" s="125">
        <f t="shared" si="67"/>
        <v>-1200</v>
      </c>
      <c r="BD38" s="165">
        <f t="shared" si="67"/>
        <v>177686</v>
      </c>
      <c r="BE38" s="125">
        <v>318</v>
      </c>
      <c r="BF38" s="125">
        <v>1</v>
      </c>
      <c r="BG38" s="125">
        <v>-1184</v>
      </c>
      <c r="BH38" s="125">
        <v>176821</v>
      </c>
      <c r="BI38" s="164">
        <v>1244</v>
      </c>
      <c r="BJ38" s="125">
        <v>-1172</v>
      </c>
      <c r="BK38" s="165">
        <v>176893</v>
      </c>
      <c r="BL38" s="125">
        <v>878</v>
      </c>
      <c r="BM38" s="125">
        <v>-1181</v>
      </c>
      <c r="BN38" s="125">
        <v>-1364.59871</v>
      </c>
      <c r="BO38" s="125">
        <v>175225.40129000001</v>
      </c>
      <c r="BP38" s="164">
        <f>SUM(BP37,BP26,BP18)</f>
        <v>976</v>
      </c>
      <c r="BQ38" s="125">
        <f>SUM(BQ37,BQ26,BQ18)</f>
        <v>-1161</v>
      </c>
      <c r="BR38" s="125">
        <f>SUM(BR37,BR26,BR18)</f>
        <v>0</v>
      </c>
      <c r="BS38" s="165">
        <f>+SUM(BO38:BR38)</f>
        <v>175040.40129000001</v>
      </c>
      <c r="BT38" s="164">
        <f>SUM(BT37,BT26,BT18)</f>
        <v>1273</v>
      </c>
      <c r="BU38" s="125">
        <f>SUM(BU37,BU26,BU18)</f>
        <v>-1186</v>
      </c>
      <c r="BV38" s="125">
        <f>SUM(BV37,BV26,BV18)</f>
        <v>-0.40129000000001724</v>
      </c>
      <c r="BW38" s="165">
        <f>+SUM(BS38:BV38)</f>
        <v>175127</v>
      </c>
      <c r="BX38" s="164">
        <f>SUM(BX37,BX26,BX18)</f>
        <v>17732</v>
      </c>
      <c r="BY38" s="125">
        <f>SUM(BY37,BY26,BY18)</f>
        <v>-1154</v>
      </c>
      <c r="BZ38" s="125">
        <f>SUM(BZ37,BZ26,BZ18)</f>
        <v>-3563</v>
      </c>
      <c r="CA38" s="165">
        <f>+SUM(BW38:BZ38)</f>
        <v>188142</v>
      </c>
      <c r="CB38" s="164">
        <f>SUM(CB37,CB26,CB18)</f>
        <v>897</v>
      </c>
      <c r="CC38" s="125">
        <f>SUM(CC37,CC26,CC18)</f>
        <v>-1158</v>
      </c>
      <c r="CD38" s="125">
        <f>SUM(CD37,CD26,CD18)</f>
        <v>0</v>
      </c>
      <c r="CE38" s="165">
        <f>+SUM(CA38:CD38)</f>
        <v>187881</v>
      </c>
      <c r="CF38" s="164">
        <f>SUM(CF37,CF26,CF18)</f>
        <v>1443</v>
      </c>
      <c r="CG38" s="125">
        <f>SUM(CG37,CG26,CG18)</f>
        <v>-1193</v>
      </c>
      <c r="CH38" s="125">
        <f>SUM(CH37,CH26,CH18)</f>
        <v>0</v>
      </c>
      <c r="CI38" s="165">
        <f>+SUM(CE38:CH38)</f>
        <v>188131</v>
      </c>
      <c r="CJ38" s="164">
        <f>SUM(CJ37,CJ26,CJ18)</f>
        <v>2222</v>
      </c>
      <c r="CK38" s="125">
        <f>SUM(CK37,CK26,CK18)</f>
        <v>-1185</v>
      </c>
      <c r="CL38" s="125">
        <f>SUM(CL37,CL26,CL18)-CI36</f>
        <v>-16714</v>
      </c>
      <c r="CM38" s="165">
        <f>+SUM(CI38:CL38)</f>
        <v>172454</v>
      </c>
      <c r="CN38" s="164">
        <f>SUM(CN37,CN26,CN18)</f>
        <v>1424</v>
      </c>
      <c r="CO38" s="125">
        <f>SUM(CO37,CO26,CO18)</f>
        <v>-1232</v>
      </c>
      <c r="CP38" s="165">
        <f>+SUM(CM38:CO38)</f>
        <v>172646</v>
      </c>
      <c r="CQ38" s="164">
        <f>SUM(CQ37,CQ26,CQ18)</f>
        <v>672</v>
      </c>
      <c r="CR38" s="125">
        <f>SUM(CR37,CR26,CR18)</f>
        <v>-1284</v>
      </c>
      <c r="CS38" s="165">
        <f>+SUM(CP38:CR38)</f>
        <v>172034</v>
      </c>
      <c r="CT38" s="164">
        <v>874</v>
      </c>
      <c r="CU38" s="125">
        <v>-1319</v>
      </c>
      <c r="CV38" s="165">
        <f>+SUM(CS38:CU38)</f>
        <v>171589</v>
      </c>
      <c r="CW38" s="164">
        <f>SUM(CW37,CW26,CW18)</f>
        <v>1227</v>
      </c>
      <c r="CX38" s="125">
        <f>SUM(CX37,CX26,CX18)</f>
        <v>-1349</v>
      </c>
      <c r="CY38" s="125">
        <f>SUM(CY37,CY26,CY18)</f>
        <v>-21</v>
      </c>
      <c r="CZ38" s="165">
        <f>+SUM(CV38:CY38)</f>
        <v>171446</v>
      </c>
      <c r="DA38" s="164">
        <f>SUM(DA37,DA26,DA18)</f>
        <v>1497</v>
      </c>
      <c r="DB38" s="125">
        <f>SUM(DB37,DB26,DB18)</f>
        <v>-1200</v>
      </c>
      <c r="DC38" s="125">
        <f>SUM(DC37,DC26,DC18)</f>
        <v>-21</v>
      </c>
      <c r="DD38" s="165">
        <f>+SUM(CZ38:DC38)</f>
        <v>171722</v>
      </c>
      <c r="DE38" s="164">
        <f>SUM(DE37,DE26,DE18)</f>
        <v>961</v>
      </c>
      <c r="DF38" s="125">
        <f>SUM(DF37,DF26,DF18)</f>
        <v>-1042</v>
      </c>
      <c r="DG38" s="125">
        <f>SUM(DG37,DG26,DG18)</f>
        <v>51</v>
      </c>
      <c r="DH38" s="165">
        <f>+SUM(DD38:DG38)-DD36</f>
        <v>171692</v>
      </c>
      <c r="DI38" s="164">
        <f>SUM(DI37,DI26,DI18)</f>
        <v>633</v>
      </c>
      <c r="DJ38" s="125">
        <f>SUM(DJ37,DJ26,DJ18)</f>
        <v>-1051</v>
      </c>
      <c r="DK38" s="125">
        <f>SUM(DK37,DK26,DK18)</f>
        <v>-50</v>
      </c>
      <c r="DL38" s="165">
        <f>+SUM(DH38:DK38)-DH36</f>
        <v>171224</v>
      </c>
      <c r="DM38" s="164">
        <f>SUM(DM37,DM26,DM18)</f>
        <v>766</v>
      </c>
      <c r="DN38" s="125">
        <f>SUM(DN37,DN26,DN18)</f>
        <v>-1026</v>
      </c>
      <c r="DO38" s="125">
        <f>SUM(DO37,DO26,DO18)</f>
        <v>-195</v>
      </c>
      <c r="DP38" s="165">
        <f>+SUM(DL38:DO38)-DL36</f>
        <v>170769</v>
      </c>
      <c r="DQ38" s="164">
        <f>SUM(DQ37,DQ26,DQ18)</f>
        <v>1791</v>
      </c>
      <c r="DR38" s="125">
        <f>SUM(DR37,DR26,DR18)</f>
        <v>-1028</v>
      </c>
      <c r="DS38" s="125">
        <f>SUM(DS37,DS26,DS18)</f>
        <v>43</v>
      </c>
      <c r="DT38" s="165">
        <f>+SUM(DP38:DS38)</f>
        <v>171575</v>
      </c>
      <c r="DU38" s="164">
        <f>SUM(DU37,DU26,DU18)</f>
        <v>1091</v>
      </c>
      <c r="DV38" s="125">
        <f>SUM(DV37,DV26,DV18)</f>
        <v>-1046</v>
      </c>
      <c r="DW38" s="125">
        <f>SUM(DW37,DW26,DW18)</f>
        <v>125</v>
      </c>
      <c r="DX38" s="165">
        <f>+SUM(DT38:DW38)-DT36</f>
        <v>171745</v>
      </c>
      <c r="DY38" s="164">
        <f>SUM(DY37,DY26,DY18)</f>
        <v>1227</v>
      </c>
      <c r="DZ38" s="125">
        <f>SUM(DZ37,DZ26,DZ18)</f>
        <v>-1074</v>
      </c>
      <c r="EA38" s="125">
        <f>SUM(EA37,EA26,EA18)</f>
        <v>0</v>
      </c>
      <c r="EB38" s="165">
        <f>+SUM(DX38:EA38)-DX36</f>
        <v>171898</v>
      </c>
      <c r="EC38" s="164">
        <f>SUM(EC37,EC26,EC18)</f>
        <v>1786</v>
      </c>
      <c r="ED38" s="125">
        <f>SUM(ED37,ED26,ED18)</f>
        <v>-1125</v>
      </c>
      <c r="EE38" s="125">
        <f>SUM(EE37,EE26,EE18)</f>
        <v>-6</v>
      </c>
      <c r="EF38" s="165">
        <f>+SUM(EB38:EE38)-EB36</f>
        <v>172553</v>
      </c>
      <c r="EG38" s="164">
        <f>SUM(EG37,EG26,EG18)</f>
        <v>2182</v>
      </c>
      <c r="EH38" s="125">
        <f>SUM(EH37,EH26,EH18)</f>
        <v>-1203</v>
      </c>
      <c r="EI38" s="125">
        <f>SUM(EI37,EI26,EI18)</f>
        <v>0</v>
      </c>
      <c r="EJ38" s="165">
        <f>SUM(EF38:EI38)</f>
        <v>173532</v>
      </c>
      <c r="EK38" s="164">
        <f>SUM(EK37,EK26,EK18)</f>
        <v>886</v>
      </c>
      <c r="EL38" s="125">
        <f>SUM(EL37,EL26,EL18)</f>
        <v>-1223</v>
      </c>
      <c r="EM38" s="125">
        <f>SUM(EM37,EM26,EM18)</f>
        <v>1</v>
      </c>
      <c r="EN38" s="165">
        <f>SUM(EJ38:EM38)</f>
        <v>173196</v>
      </c>
      <c r="EO38" s="164">
        <f>SUM(EO37,EO26,EO18)</f>
        <v>2323</v>
      </c>
      <c r="EP38" s="125">
        <f>SUM(EP37,EP26,EP18)</f>
        <v>-1240</v>
      </c>
      <c r="EQ38" s="125">
        <f>SUM(EQ37,EQ26,EQ18)</f>
        <v>-1</v>
      </c>
      <c r="ER38" s="165">
        <f>SUM(EN38:EQ38)</f>
        <v>174278</v>
      </c>
      <c r="ES38" s="164">
        <f>SUM(ES37,ES26,ES18)</f>
        <v>3171</v>
      </c>
      <c r="ET38" s="125">
        <f>SUM(ET37,ET26,ET18)</f>
        <v>-1330</v>
      </c>
      <c r="EU38" s="125">
        <f>SUM(EU37,EU26,EU18)</f>
        <v>-15</v>
      </c>
      <c r="EV38" s="165">
        <f>SUM(ER38:EU38)</f>
        <v>176104</v>
      </c>
      <c r="EW38" s="164">
        <f>SUM(EW37,EW26,EW18)</f>
        <v>2642</v>
      </c>
      <c r="EX38" s="125">
        <f>SUM(EX37,EX26,EX18)</f>
        <v>-1407</v>
      </c>
      <c r="EY38" s="125">
        <f>SUM(EY37,EY26,EY18)</f>
        <v>-25</v>
      </c>
      <c r="EZ38" s="165">
        <f>SUM(EV38:EY38)</f>
        <v>177314</v>
      </c>
      <c r="FA38" s="164">
        <f>SUM(FA37,FA26,FA18)</f>
        <v>1536</v>
      </c>
      <c r="FB38" s="125">
        <f>SUM(FB37,FB26,FB18)</f>
        <v>-1490</v>
      </c>
      <c r="FC38" s="125">
        <f>SUM(FC37,FC26,FC18)</f>
        <v>25</v>
      </c>
      <c r="FD38" s="165">
        <f>SUM(EZ38:FC38)</f>
        <v>177385</v>
      </c>
      <c r="FE38" s="164">
        <f>SUM(FE37,FE26,FE18)</f>
        <v>1381</v>
      </c>
      <c r="FF38" s="125">
        <f>SUM(FF37,FF26,FF18)</f>
        <v>-1523</v>
      </c>
      <c r="FG38" s="125">
        <f>SUM(FG37,FG26,FG18)</f>
        <v>-24</v>
      </c>
      <c r="FH38" s="165">
        <f>SUM(FD38:FG38)</f>
        <v>177219</v>
      </c>
      <c r="FI38" s="164">
        <f>SUM(FI37,FI26,FI18)</f>
        <v>1057</v>
      </c>
      <c r="FJ38" s="125">
        <f>SUM(FJ37,FJ26,FJ18)</f>
        <v>-1496</v>
      </c>
      <c r="FK38" s="125">
        <f>SUM(FK37,FK26,FK18)</f>
        <v>0</v>
      </c>
      <c r="FL38" s="165">
        <f>SUM(FH38:FK38)</f>
        <v>176780</v>
      </c>
      <c r="FM38" s="164">
        <f>SUM(FM37,FM26,FM18)</f>
        <v>3359</v>
      </c>
      <c r="FN38" s="125">
        <f>SUM(FN37,FN26,FN18)</f>
        <v>-1477</v>
      </c>
      <c r="FO38" s="125">
        <f>SUM(FO37,FO26,FO18)</f>
        <v>3638</v>
      </c>
      <c r="FP38" s="165">
        <f>SUM(FL38:FO38)</f>
        <v>182300</v>
      </c>
      <c r="FQ38" s="164">
        <f>SUM(FQ37,FQ26,FQ18)</f>
        <v>3085</v>
      </c>
      <c r="FR38" s="125">
        <f>SUM(FR37,FR26,FR18)</f>
        <v>-1492</v>
      </c>
      <c r="FS38" s="125">
        <f>SUM(FS37,FS26,FS18)</f>
        <v>0</v>
      </c>
      <c r="FT38" s="165">
        <f>SUM(FP38:FS38)</f>
        <v>183893</v>
      </c>
      <c r="FU38" s="164">
        <f>SUM(FU37,FU26,FU18)</f>
        <v>3085</v>
      </c>
      <c r="FV38" s="125">
        <f>SUM(FV37,FV26,FV18)</f>
        <v>-1492</v>
      </c>
      <c r="FW38" s="125">
        <f>SUM(FW37,FW26,FW18)</f>
        <v>0</v>
      </c>
      <c r="FX38" s="165">
        <f>SUM(FT38:FW38)</f>
        <v>185486</v>
      </c>
      <c r="FY38" s="164">
        <f>SUM(FY37,FY26,FY18)</f>
        <v>7197</v>
      </c>
      <c r="FZ38" s="1201" t="s">
        <v>160</v>
      </c>
      <c r="GA38" s="125">
        <f>SUM(GA37,GA26,GA18)</f>
        <v>-1718</v>
      </c>
      <c r="GB38" s="125">
        <f>SUM(GB37,GB26,GB18)</f>
        <v>0</v>
      </c>
      <c r="GC38" s="125">
        <f>SUM(GC37,GC26,GC18)</f>
        <v>-58</v>
      </c>
      <c r="GD38" s="165">
        <v>190943</v>
      </c>
      <c r="GE38" s="164">
        <f>SUM(GE37,GE26,GE18)</f>
        <v>5763</v>
      </c>
      <c r="GF38" s="1201" t="s">
        <v>160</v>
      </c>
      <c r="GG38" s="125">
        <f>SUM(GG37,GG26,GG18)</f>
        <v>-2377</v>
      </c>
      <c r="GH38" s="125">
        <f>SUM(GH37,GH26,GH18)</f>
        <v>0</v>
      </c>
      <c r="GI38" s="125">
        <f>SUM(GI37,GI26,GI18)</f>
        <v>0</v>
      </c>
      <c r="GJ38" s="165">
        <f>SUM(GD38:GI38)</f>
        <v>194329</v>
      </c>
      <c r="GK38" s="164">
        <f>SUM(GK37,GK26,GK18)</f>
        <v>2642</v>
      </c>
      <c r="GL38" s="125">
        <f>SUM(GL37,GL26,GL18)</f>
        <v>0</v>
      </c>
      <c r="GM38" s="125">
        <f>SUM(GM37,GM26,GM18)</f>
        <v>-2295</v>
      </c>
      <c r="GN38" s="125">
        <f>SUM(GN37,GN26,GN18)</f>
        <v>0</v>
      </c>
      <c r="GO38" s="125">
        <f>SUM(GO37,GO26,GO18)</f>
        <v>-9</v>
      </c>
      <c r="GP38" s="165">
        <f>SUM(GJ38:GO38)</f>
        <v>194667</v>
      </c>
      <c r="GQ38" s="164">
        <f>SUM(GQ37,GQ26,GQ18)</f>
        <v>19001</v>
      </c>
      <c r="GR38" s="125">
        <f>SUM(GR37,GR26,GR18)</f>
        <v>0</v>
      </c>
      <c r="GS38" s="125">
        <f>SUM(GS37,GS26,GS18)</f>
        <v>-2473</v>
      </c>
      <c r="GT38" s="125">
        <f>SUM(GT37,GT26,GT18)</f>
        <v>0</v>
      </c>
      <c r="GU38" s="125">
        <f>SUM(GU37,GU26,GU18)</f>
        <v>152</v>
      </c>
      <c r="GV38" s="165">
        <f>SUM(GP38:GU38)</f>
        <v>211347</v>
      </c>
      <c r="GW38" s="164">
        <f>SUM(GW37,GW26,GW18)</f>
        <v>3778</v>
      </c>
      <c r="GX38" s="125">
        <f>SUM(GX37,GX26,GX18)</f>
        <v>0</v>
      </c>
      <c r="GY38" s="125">
        <f>SUM(GY37,GY26,GY18)</f>
        <v>-2821</v>
      </c>
      <c r="GZ38" s="125">
        <f>SUM(GZ37,GZ26,GZ18)</f>
        <v>0</v>
      </c>
      <c r="HA38" s="125">
        <f>SUM(HA37,HA26,HA18)</f>
        <v>-7</v>
      </c>
      <c r="HB38" s="165">
        <f>SUM(GV38:HA38)</f>
        <v>212297</v>
      </c>
      <c r="HC38" s="164">
        <f>SUM(HC37,HC26,HC18)</f>
        <v>4059</v>
      </c>
      <c r="HD38" s="125">
        <f>SUM(HD37,HD26,HD18)</f>
        <v>0</v>
      </c>
      <c r="HE38" s="125">
        <f>SUM(HE37,HE26,HE18)</f>
        <v>-2812</v>
      </c>
      <c r="HF38" s="125">
        <f>SUM(HF37,HF26,HF18)</f>
        <v>0</v>
      </c>
      <c r="HG38" s="125">
        <f>SUM(HG37,HG26,HG18)</f>
        <v>0</v>
      </c>
      <c r="HH38" s="165">
        <f>SUM(HB38:HG38)</f>
        <v>213544</v>
      </c>
      <c r="HI38" s="164">
        <f>SUM(HI37,HI26,HI18)</f>
        <v>2209</v>
      </c>
      <c r="HJ38" s="125">
        <f>SUM(HJ37,HJ26,HJ18)</f>
        <v>0</v>
      </c>
      <c r="HK38" s="125">
        <f>SUM(HK37,HK26,HK18)</f>
        <v>-2803</v>
      </c>
      <c r="HL38" s="125">
        <f>SUM(HL37,HL26,HL18)</f>
        <v>0</v>
      </c>
      <c r="HM38" s="125">
        <f>SUM(HM37,HM26,HM18)</f>
        <v>0</v>
      </c>
      <c r="HN38" s="165">
        <f>SUM(HH38:HM38)</f>
        <v>212950</v>
      </c>
    </row>
    <row r="39" spans="5:222" s="189" customFormat="1" x14ac:dyDescent="0.2">
      <c r="K39" s="189">
        <f>+K38-BP!U36</f>
        <v>0</v>
      </c>
      <c r="P39" s="189">
        <f>+P38-BP!V36</f>
        <v>0</v>
      </c>
      <c r="V39" s="189">
        <f>+V38-BP!W36</f>
        <v>0</v>
      </c>
      <c r="AB39" s="189">
        <f>+AB38-BP!X36</f>
        <v>0</v>
      </c>
      <c r="AF39" s="189">
        <f>+AF38-BP!Y36</f>
        <v>0</v>
      </c>
      <c r="AJ39" s="189">
        <f>+AJ38-BP!Z36</f>
        <v>0</v>
      </c>
      <c r="AN39" s="189">
        <f>+AN38-BP!AA36</f>
        <v>0</v>
      </c>
      <c r="AR39" s="189">
        <f>+AR38-BP!AB36</f>
        <v>0</v>
      </c>
      <c r="AV39" s="189">
        <f>+AV38-BP!AC36</f>
        <v>0</v>
      </c>
      <c r="AZ39" s="189">
        <f>+AZ38-BP!AD36</f>
        <v>0</v>
      </c>
      <c r="BD39" s="189">
        <f>+BD38-BP!AE36</f>
        <v>0</v>
      </c>
      <c r="BH39" s="189">
        <v>0</v>
      </c>
      <c r="BK39" s="189">
        <v>0</v>
      </c>
      <c r="BO39" s="189">
        <v>-0.40129000000888482</v>
      </c>
      <c r="BS39" s="189">
        <f>BP!AI36-BS38</f>
        <v>-0.40129000000888482</v>
      </c>
      <c r="BW39" s="189">
        <f>BP!AJ36-BW38</f>
        <v>0</v>
      </c>
      <c r="CA39" s="189">
        <f>BP!AK36-CA38</f>
        <v>0</v>
      </c>
      <c r="CE39" s="189">
        <f>BP!AL36-CE38</f>
        <v>0</v>
      </c>
      <c r="CM39" s="189">
        <f>BP!AN36-CM38</f>
        <v>0</v>
      </c>
      <c r="CP39" s="189">
        <v>0</v>
      </c>
      <c r="CW39" s="979"/>
      <c r="CX39" s="979"/>
      <c r="CY39" s="979"/>
      <c r="CZ39" s="979"/>
      <c r="DA39" s="979"/>
      <c r="DB39" s="979"/>
      <c r="DC39" s="979"/>
      <c r="DD39" s="979">
        <f>BP!AS36-DD38</f>
        <v>50</v>
      </c>
      <c r="DE39" s="979"/>
      <c r="DF39" s="979"/>
      <c r="DG39" s="979"/>
      <c r="DH39" s="979"/>
      <c r="DI39" s="979"/>
      <c r="DJ39" s="979"/>
      <c r="DK39" s="979"/>
      <c r="DL39" s="979"/>
      <c r="DM39" s="979"/>
      <c r="DN39" s="979"/>
      <c r="DO39" s="979"/>
      <c r="DP39" s="979"/>
      <c r="DQ39" s="979"/>
      <c r="DR39" s="979"/>
      <c r="DS39" s="979"/>
      <c r="DT39" s="979"/>
      <c r="DU39" s="979"/>
      <c r="DV39" s="979"/>
      <c r="DW39" s="979"/>
      <c r="DX39" s="979"/>
      <c r="DY39" s="979"/>
      <c r="DZ39" s="979"/>
      <c r="EA39" s="979"/>
      <c r="EB39" s="979"/>
      <c r="EC39" s="979"/>
      <c r="ED39" s="979"/>
      <c r="EE39" s="979"/>
      <c r="EF39" s="979"/>
      <c r="EG39" s="979"/>
      <c r="EH39" s="979"/>
      <c r="EI39" s="979"/>
      <c r="EJ39" s="1160"/>
      <c r="EK39" s="979"/>
      <c r="EL39" s="979"/>
      <c r="EM39" s="979"/>
      <c r="EN39" s="979"/>
      <c r="EO39" s="979"/>
      <c r="EP39" s="979"/>
      <c r="EQ39" s="979"/>
      <c r="ER39" s="979"/>
      <c r="ES39" s="979"/>
      <c r="ET39" s="979"/>
      <c r="EU39" s="979"/>
      <c r="EV39" s="979"/>
      <c r="EW39" s="979"/>
      <c r="EX39" s="979"/>
      <c r="EY39" s="979"/>
      <c r="EZ39" s="979"/>
      <c r="FA39" s="979"/>
      <c r="FB39" s="1160"/>
      <c r="FC39" s="1160"/>
      <c r="FD39" s="1160"/>
      <c r="FE39" s="1160"/>
      <c r="FF39" s="1160"/>
      <c r="FG39" s="1160"/>
      <c r="FH39" s="1160"/>
      <c r="FI39" s="1160"/>
      <c r="FJ39" s="1160"/>
      <c r="FK39" s="1160"/>
      <c r="FL39" s="1160"/>
      <c r="FM39" s="1160"/>
      <c r="FN39" s="1160"/>
      <c r="FO39" s="1160"/>
      <c r="FP39" s="1160"/>
      <c r="FQ39" s="1160"/>
      <c r="FR39" s="1160"/>
      <c r="FS39" s="1160"/>
      <c r="FT39" s="1160"/>
      <c r="FU39" s="1160"/>
      <c r="FV39" s="1160"/>
      <c r="FW39" s="1160"/>
      <c r="FX39" s="1160"/>
      <c r="FY39" s="1160"/>
      <c r="FZ39" s="1160"/>
      <c r="GA39" s="1160"/>
      <c r="GB39" s="1160"/>
      <c r="GC39" s="1160"/>
      <c r="GD39" s="1160">
        <f>+GD38-GD40</f>
        <v>0</v>
      </c>
      <c r="GE39" s="1160"/>
      <c r="GF39" s="1160"/>
      <c r="GG39" s="1160"/>
      <c r="GH39" s="1160"/>
      <c r="GI39" s="1160"/>
      <c r="GJ39" s="1160"/>
      <c r="GK39" s="1160"/>
      <c r="GL39" s="1160"/>
      <c r="GM39" s="1160"/>
      <c r="GN39" s="1160"/>
      <c r="GO39" s="1160"/>
      <c r="GP39" s="1160"/>
      <c r="GQ39" s="1160"/>
      <c r="GR39" s="1160"/>
      <c r="GS39" s="1160"/>
      <c r="GT39" s="1160"/>
      <c r="GU39" s="1160"/>
      <c r="GV39" s="1160"/>
      <c r="GW39" s="1160"/>
      <c r="GX39" s="1160"/>
      <c r="GY39" s="1160"/>
      <c r="GZ39" s="1160"/>
      <c r="HA39" s="1160"/>
      <c r="HI39" s="1160"/>
      <c r="HJ39" s="1160"/>
      <c r="HK39" s="1160"/>
      <c r="HL39" s="1160"/>
      <c r="HM39" s="1160"/>
    </row>
    <row r="40" spans="5:222" s="327" customFormat="1" x14ac:dyDescent="0.2">
      <c r="CW40" s="547"/>
      <c r="CX40" s="547"/>
      <c r="CY40" s="547" t="s">
        <v>510</v>
      </c>
      <c r="CZ40" s="547" t="s">
        <v>538</v>
      </c>
      <c r="DA40" s="547" t="s">
        <v>567</v>
      </c>
      <c r="DB40" s="547" t="s">
        <v>575</v>
      </c>
      <c r="DC40" s="547" t="s">
        <v>595</v>
      </c>
      <c r="DD40" s="547" t="s">
        <v>596</v>
      </c>
      <c r="DE40" s="547" t="s">
        <v>623</v>
      </c>
      <c r="DF40" s="547" t="s">
        <v>624</v>
      </c>
      <c r="DG40" s="547" t="s">
        <v>625</v>
      </c>
      <c r="DH40" s="547" t="s">
        <v>626</v>
      </c>
      <c r="DI40" s="547" t="s">
        <v>1408</v>
      </c>
      <c r="DJ40" s="547" t="s">
        <v>1409</v>
      </c>
      <c r="DK40" s="547" t="s">
        <v>1410</v>
      </c>
      <c r="DL40" s="547" t="s">
        <v>1411</v>
      </c>
      <c r="DM40" s="547" t="s">
        <v>1626</v>
      </c>
      <c r="DN40" s="547" t="s">
        <v>1627</v>
      </c>
      <c r="DO40" s="547" t="s">
        <v>1642</v>
      </c>
      <c r="DP40" s="547" t="s">
        <v>1643</v>
      </c>
      <c r="DQ40" s="547" t="s">
        <v>1626</v>
      </c>
      <c r="DR40" s="547" t="s">
        <v>1627</v>
      </c>
      <c r="DS40" s="547" t="s">
        <v>1642</v>
      </c>
      <c r="DT40" s="547" t="s">
        <v>1643</v>
      </c>
      <c r="DU40" s="547" t="s">
        <v>1626</v>
      </c>
      <c r="DV40" s="547" t="s">
        <v>1627</v>
      </c>
      <c r="DW40" s="547" t="s">
        <v>1642</v>
      </c>
      <c r="DX40" s="547" t="s">
        <v>1643</v>
      </c>
      <c r="DY40" s="547" t="s">
        <v>1626</v>
      </c>
      <c r="DZ40" s="547" t="s">
        <v>1627</v>
      </c>
      <c r="EA40" s="547" t="s">
        <v>1642</v>
      </c>
      <c r="EB40" s="547" t="s">
        <v>1643</v>
      </c>
      <c r="EC40" s="547" t="s">
        <v>1626</v>
      </c>
      <c r="ED40" s="547" t="s">
        <v>1627</v>
      </c>
      <c r="EE40" s="547" t="s">
        <v>1642</v>
      </c>
      <c r="EF40" s="547" t="s">
        <v>1643</v>
      </c>
      <c r="EG40" s="547" t="s">
        <v>1626</v>
      </c>
      <c r="EH40" s="547" t="s">
        <v>1627</v>
      </c>
      <c r="EI40" s="547" t="s">
        <v>1642</v>
      </c>
      <c r="EJ40" s="547" t="s">
        <v>1643</v>
      </c>
      <c r="EK40" s="547" t="s">
        <v>1626</v>
      </c>
      <c r="EL40" s="547" t="s">
        <v>1627</v>
      </c>
      <c r="EM40" s="547" t="s">
        <v>1642</v>
      </c>
      <c r="EN40" s="547" t="s">
        <v>1643</v>
      </c>
      <c r="EO40" s="547" t="s">
        <v>1626</v>
      </c>
      <c r="EP40" s="547" t="s">
        <v>1627</v>
      </c>
      <c r="EQ40" s="547" t="s">
        <v>1642</v>
      </c>
      <c r="ER40" s="547" t="s">
        <v>1643</v>
      </c>
      <c r="ES40" s="547" t="s">
        <v>1626</v>
      </c>
      <c r="ET40" s="547" t="s">
        <v>1627</v>
      </c>
      <c r="EU40" s="547" t="s">
        <v>1642</v>
      </c>
      <c r="EV40" s="547" t="s">
        <v>1643</v>
      </c>
      <c r="EW40" s="547" t="s">
        <v>1626</v>
      </c>
      <c r="EX40" s="547" t="s">
        <v>1627</v>
      </c>
      <c r="EY40" s="547" t="s">
        <v>1642</v>
      </c>
      <c r="EZ40" s="547" t="s">
        <v>1643</v>
      </c>
      <c r="FA40" s="547" t="s">
        <v>1626</v>
      </c>
      <c r="FB40" s="547" t="s">
        <v>1627</v>
      </c>
      <c r="FC40" s="547" t="s">
        <v>1642</v>
      </c>
      <c r="FD40" s="547" t="s">
        <v>1643</v>
      </c>
      <c r="FE40" s="547" t="s">
        <v>1626</v>
      </c>
      <c r="FF40" s="547" t="s">
        <v>1627</v>
      </c>
      <c r="FG40" s="547" t="s">
        <v>1642</v>
      </c>
      <c r="FH40" s="547" t="s">
        <v>1643</v>
      </c>
      <c r="FI40" s="547" t="s">
        <v>1626</v>
      </c>
      <c r="FJ40" s="547" t="s">
        <v>1627</v>
      </c>
      <c r="FK40" s="547" t="s">
        <v>1642</v>
      </c>
      <c r="FL40" s="547" t="s">
        <v>1643</v>
      </c>
      <c r="FM40" s="547" t="s">
        <v>1626</v>
      </c>
      <c r="FN40" s="547" t="s">
        <v>1627</v>
      </c>
      <c r="FO40" s="547" t="s">
        <v>1642</v>
      </c>
      <c r="FP40" s="547" t="s">
        <v>1643</v>
      </c>
      <c r="FQ40" s="547"/>
      <c r="FR40" s="547"/>
      <c r="FS40" s="547"/>
      <c r="FT40" s="547"/>
      <c r="FU40" s="547"/>
      <c r="FV40" s="547"/>
      <c r="FW40" s="547"/>
      <c r="FX40" s="547"/>
      <c r="FY40" s="547" t="s">
        <v>1626</v>
      </c>
      <c r="FZ40" s="547"/>
      <c r="GA40" s="547" t="s">
        <v>1627</v>
      </c>
      <c r="GB40" s="547" t="s">
        <v>1642</v>
      </c>
      <c r="GC40" s="547"/>
      <c r="GD40" s="547">
        <v>190943</v>
      </c>
      <c r="GE40" s="547" t="s">
        <v>1626</v>
      </c>
      <c r="GF40" s="547"/>
      <c r="GG40" s="547" t="s">
        <v>1627</v>
      </c>
      <c r="GH40" s="547" t="s">
        <v>1642</v>
      </c>
      <c r="GI40" s="547"/>
      <c r="GJ40" s="547" t="s">
        <v>1643</v>
      </c>
      <c r="GQ40" s="547" t="s">
        <v>1626</v>
      </c>
      <c r="GR40" s="547"/>
      <c r="GS40" s="547" t="s">
        <v>1627</v>
      </c>
      <c r="GT40" s="547" t="s">
        <v>1642</v>
      </c>
      <c r="GU40" s="547"/>
      <c r="GV40" s="547" t="s">
        <v>1643</v>
      </c>
      <c r="GW40" s="547" t="s">
        <v>1626</v>
      </c>
      <c r="GX40" s="547"/>
      <c r="GY40" s="547" t="s">
        <v>1627</v>
      </c>
      <c r="GZ40" s="547" t="s">
        <v>1642</v>
      </c>
      <c r="HB40" s="547" t="s">
        <v>1643</v>
      </c>
      <c r="HC40" s="547" t="s">
        <v>1626</v>
      </c>
      <c r="HD40" s="547"/>
      <c r="HE40" s="547" t="s">
        <v>1627</v>
      </c>
      <c r="HF40" s="547" t="s">
        <v>1642</v>
      </c>
      <c r="HG40" s="547"/>
      <c r="HH40" s="547" t="s">
        <v>1643</v>
      </c>
      <c r="HI40" s="547" t="s">
        <v>1626</v>
      </c>
      <c r="HJ40" s="547"/>
      <c r="HK40" s="547" t="s">
        <v>1627</v>
      </c>
      <c r="HL40" s="547" t="s">
        <v>1642</v>
      </c>
      <c r="HN40" s="547" t="s">
        <v>1643</v>
      </c>
    </row>
    <row r="41" spans="5:222" s="329" customFormat="1" x14ac:dyDescent="0.2">
      <c r="CY41" s="329">
        <f>BD37</f>
        <v>163924</v>
      </c>
      <c r="CZ41" s="329">
        <f>BH37</f>
        <v>163924</v>
      </c>
      <c r="DA41" s="329">
        <f>BK37</f>
        <v>163924</v>
      </c>
      <c r="DB41" s="329">
        <f>BO37</f>
        <v>162559.40129000001</v>
      </c>
      <c r="DC41" s="329">
        <f>BS37</f>
        <v>162559.40129000001</v>
      </c>
      <c r="DD41" s="329">
        <f>BW37</f>
        <v>162559</v>
      </c>
      <c r="DE41" s="329">
        <f>CA37</f>
        <v>176725</v>
      </c>
      <c r="DF41" s="329">
        <f>CE37</f>
        <v>176725</v>
      </c>
      <c r="DG41" s="329">
        <f>CI37</f>
        <v>176725</v>
      </c>
      <c r="DH41" s="329">
        <f>CM37</f>
        <v>160032</v>
      </c>
      <c r="DI41" s="329">
        <f>CP37</f>
        <v>160032</v>
      </c>
      <c r="DJ41" s="329">
        <f>CS37</f>
        <v>160032</v>
      </c>
      <c r="DK41" s="329">
        <f>CV37</f>
        <v>160032</v>
      </c>
      <c r="DL41" s="329">
        <f>CZ37</f>
        <v>160032</v>
      </c>
      <c r="DM41" s="329">
        <f>DD37</f>
        <v>160032</v>
      </c>
      <c r="DN41" s="329">
        <f>DH37</f>
        <v>160032</v>
      </c>
      <c r="DO41" s="329">
        <f>DL37</f>
        <v>160032</v>
      </c>
      <c r="DP41" s="329">
        <f>DP37</f>
        <v>160032</v>
      </c>
      <c r="DQ41" s="329">
        <f>DH37</f>
        <v>160032</v>
      </c>
      <c r="DR41" s="329">
        <f>DL37</f>
        <v>160032</v>
      </c>
      <c r="DS41" s="329">
        <f>DP37</f>
        <v>160032</v>
      </c>
      <c r="DT41" s="329">
        <f>DH37</f>
        <v>160032</v>
      </c>
      <c r="DU41" s="329">
        <f>DL37</f>
        <v>160032</v>
      </c>
      <c r="DV41" s="329">
        <f>DP37</f>
        <v>160032</v>
      </c>
      <c r="DW41" s="329">
        <f>DT37</f>
        <v>160032</v>
      </c>
      <c r="DX41" s="329">
        <f>DX37</f>
        <v>160032</v>
      </c>
      <c r="DY41" s="329">
        <f>EB37</f>
        <v>160032</v>
      </c>
      <c r="DZ41" s="329">
        <f>EF37</f>
        <v>160032</v>
      </c>
      <c r="ED41" s="329">
        <f>EJ37</f>
        <v>160032</v>
      </c>
      <c r="EE41" s="1180"/>
      <c r="EF41" s="1180"/>
      <c r="EG41" s="1180"/>
      <c r="EH41" s="1180"/>
      <c r="EI41" s="1180"/>
      <c r="EJ41" s="1180"/>
      <c r="EK41" s="1180"/>
      <c r="EL41" s="1180"/>
      <c r="EM41" s="1180"/>
      <c r="EN41" s="1180"/>
      <c r="EO41" s="1180"/>
      <c r="EP41" s="1180"/>
      <c r="EQ41" s="1180"/>
      <c r="ER41" s="1180"/>
      <c r="ES41" s="1180"/>
      <c r="ET41" s="1180"/>
      <c r="EU41" s="1180"/>
      <c r="EV41" s="1180"/>
      <c r="EW41" s="1180"/>
      <c r="EX41" s="1180"/>
      <c r="EY41" s="1180"/>
      <c r="EZ41" s="1180"/>
      <c r="FA41" s="1180"/>
      <c r="FB41" s="1180"/>
      <c r="FC41" s="1180"/>
      <c r="FD41" s="1180"/>
      <c r="FE41" s="1180"/>
      <c r="FF41" s="1180"/>
      <c r="FG41" s="1180"/>
      <c r="FH41" s="1180"/>
      <c r="FI41" s="1180"/>
      <c r="FJ41" s="1180"/>
      <c r="FK41" s="1180"/>
      <c r="FL41" s="1180"/>
      <c r="FM41" s="1180"/>
      <c r="FN41" s="1180"/>
      <c r="FO41" s="1180"/>
      <c r="FP41" s="1180"/>
      <c r="FQ41" s="1180"/>
      <c r="FR41" s="1180"/>
      <c r="FS41" s="1180"/>
      <c r="FT41" s="1180"/>
      <c r="FU41" s="1180"/>
      <c r="FV41" s="1180"/>
      <c r="FW41" s="1180"/>
      <c r="FX41" s="1180"/>
      <c r="FY41" s="1180"/>
      <c r="FZ41" s="1180"/>
      <c r="GA41" s="1180"/>
      <c r="GB41" s="1180"/>
      <c r="GC41" s="1180"/>
      <c r="GD41" s="1180"/>
      <c r="GE41" s="1180"/>
      <c r="GF41" s="1180"/>
      <c r="GG41" s="1180"/>
      <c r="GH41" s="1180"/>
      <c r="GI41" s="1180"/>
      <c r="GJ41" s="1180"/>
      <c r="GK41" s="1180"/>
      <c r="GL41" s="1180"/>
      <c r="GM41" s="1180"/>
      <c r="GN41" s="1180"/>
      <c r="GO41" s="1180"/>
      <c r="GP41" s="1180"/>
      <c r="GQ41" s="1180"/>
      <c r="GR41" s="1180"/>
      <c r="GS41" s="1180"/>
      <c r="GT41" s="1180"/>
      <c r="GU41" s="1180"/>
      <c r="GV41" s="1180"/>
      <c r="GW41" s="1180"/>
      <c r="GX41" s="1180"/>
      <c r="GY41" s="1180"/>
      <c r="GZ41" s="1180"/>
      <c r="HA41" s="1180"/>
      <c r="HB41" s="1180"/>
      <c r="HC41" s="1180"/>
      <c r="HD41" s="1180"/>
      <c r="HE41" s="1180"/>
      <c r="HF41" s="1180"/>
      <c r="HG41" s="1180"/>
      <c r="HH41" s="1180"/>
      <c r="HI41" s="1180"/>
      <c r="HJ41" s="1180"/>
      <c r="HK41" s="1180"/>
      <c r="HL41" s="1180"/>
      <c r="HM41" s="1180"/>
      <c r="HN41" s="1180"/>
    </row>
    <row r="42" spans="5:222" s="327" customFormat="1" x14ac:dyDescent="0.2">
      <c r="CW42" s="547"/>
      <c r="CX42" s="547"/>
      <c r="CY42" s="547"/>
      <c r="CZ42" s="547"/>
      <c r="DA42" s="547"/>
      <c r="DB42" s="547"/>
      <c r="DC42" s="547"/>
      <c r="DD42" s="547"/>
      <c r="DE42" s="547"/>
      <c r="DF42" s="547"/>
      <c r="DG42" s="547"/>
      <c r="DH42" s="547"/>
      <c r="DI42" s="547"/>
      <c r="DJ42" s="547"/>
      <c r="DK42" s="547"/>
      <c r="DL42" s="547"/>
      <c r="DM42" s="547"/>
      <c r="DN42" s="547"/>
      <c r="DO42" s="547"/>
      <c r="DP42" s="547"/>
      <c r="DQ42" s="547"/>
      <c r="DR42" s="547"/>
      <c r="DS42" s="547"/>
      <c r="DT42" s="547"/>
      <c r="DU42" s="547"/>
      <c r="DV42" s="547"/>
      <c r="DW42" s="547"/>
      <c r="DX42" s="547"/>
      <c r="DY42" s="547"/>
      <c r="DZ42" s="547"/>
      <c r="EA42" s="547"/>
      <c r="EB42" s="547"/>
      <c r="EC42" s="547"/>
      <c r="ED42" s="547"/>
      <c r="EE42" s="547"/>
      <c r="EF42" s="547"/>
      <c r="EG42" s="547"/>
      <c r="EH42" s="547"/>
      <c r="EI42" s="547"/>
      <c r="EJ42" s="547"/>
      <c r="EK42" s="547"/>
      <c r="EL42" s="547"/>
      <c r="EM42" s="547"/>
      <c r="EN42" s="547"/>
      <c r="EO42" s="547"/>
      <c r="EP42" s="547"/>
      <c r="EQ42" s="547"/>
      <c r="ER42" s="547"/>
      <c r="ES42" s="547"/>
      <c r="ET42" s="547"/>
      <c r="EU42" s="547"/>
      <c r="EV42" s="547"/>
      <c r="EW42" s="547"/>
      <c r="EX42" s="547"/>
      <c r="EY42" s="547"/>
      <c r="EZ42" s="547"/>
      <c r="FA42" s="547"/>
      <c r="HB42" s="547"/>
      <c r="HC42" s="547"/>
      <c r="HD42" s="547"/>
      <c r="HE42" s="547"/>
      <c r="HF42" s="547"/>
      <c r="HG42" s="547"/>
      <c r="HH42" s="547"/>
      <c r="HN42" s="547"/>
    </row>
    <row r="43" spans="5:222" s="327" customFormat="1" x14ac:dyDescent="0.2">
      <c r="CW43" s="547"/>
      <c r="CX43" s="547"/>
      <c r="CY43" s="547"/>
      <c r="CZ43" s="547"/>
      <c r="DA43" s="547"/>
      <c r="DB43" s="547"/>
      <c r="DC43" s="547"/>
      <c r="DD43" s="547"/>
      <c r="DE43" s="547"/>
      <c r="DF43" s="547"/>
      <c r="DG43" s="547"/>
      <c r="DH43" s="547"/>
      <c r="DI43" s="547"/>
      <c r="DJ43" s="547"/>
      <c r="DK43" s="547"/>
      <c r="DL43" s="547"/>
      <c r="DM43" s="547"/>
      <c r="DN43" s="547"/>
      <c r="DO43" s="547"/>
      <c r="DP43" s="547"/>
      <c r="DQ43" s="547"/>
      <c r="DR43" s="547"/>
      <c r="DS43" s="547"/>
      <c r="DT43" s="547"/>
      <c r="DU43" s="547"/>
      <c r="DV43" s="547"/>
      <c r="DW43" s="547"/>
      <c r="DX43" s="547"/>
      <c r="DY43" s="547"/>
      <c r="DZ43" s="547"/>
      <c r="EA43" s="547"/>
      <c r="EB43" s="547"/>
      <c r="EC43" s="547"/>
      <c r="ED43" s="547"/>
      <c r="EE43" s="547"/>
      <c r="EF43" s="547"/>
      <c r="EG43" s="547"/>
      <c r="EH43" s="547"/>
      <c r="EI43" s="547"/>
      <c r="EJ43" s="547"/>
      <c r="EK43" s="547"/>
      <c r="EL43" s="547"/>
      <c r="EM43" s="547"/>
      <c r="EN43" s="547"/>
      <c r="EO43" s="547"/>
      <c r="EP43" s="547"/>
      <c r="EQ43" s="547"/>
      <c r="ER43" s="547"/>
      <c r="ES43" s="547"/>
      <c r="ET43" s="547"/>
      <c r="EU43" s="547"/>
      <c r="EV43" s="547"/>
      <c r="EW43" s="547"/>
      <c r="EX43" s="547"/>
      <c r="EY43" s="547"/>
      <c r="EZ43" s="547"/>
      <c r="FA43" s="547"/>
      <c r="GR43" s="547"/>
      <c r="GS43" s="547"/>
      <c r="GT43" s="547"/>
      <c r="GU43" s="547"/>
      <c r="GV43" s="547"/>
      <c r="GW43" s="547"/>
      <c r="GX43" s="547"/>
      <c r="GY43" s="547"/>
      <c r="GZ43" s="547"/>
      <c r="HA43" s="547"/>
      <c r="HB43" s="547"/>
      <c r="HC43" s="547"/>
      <c r="HD43" s="547"/>
      <c r="HE43" s="547"/>
      <c r="HF43" s="547"/>
      <c r="HG43" s="547"/>
      <c r="HH43" s="547"/>
      <c r="HI43" s="547"/>
      <c r="HJ43" s="547"/>
      <c r="HK43" s="547"/>
      <c r="HL43" s="547"/>
      <c r="HM43" s="547"/>
      <c r="HN43" s="547"/>
    </row>
    <row r="44" spans="5:222" s="327" customFormat="1" x14ac:dyDescent="0.2"/>
    <row r="45" spans="5:222" s="327" customFormat="1" x14ac:dyDescent="0.2"/>
    <row r="46" spans="5:222" s="327" customFormat="1" x14ac:dyDescent="0.2"/>
    <row r="47" spans="5:222" s="327" customFormat="1" x14ac:dyDescent="0.2"/>
    <row r="48" spans="5:222" s="327" customFormat="1" x14ac:dyDescent="0.2"/>
    <row r="49" s="327" customFormat="1" x14ac:dyDescent="0.2"/>
    <row r="50" s="327" customFormat="1" x14ac:dyDescent="0.2"/>
    <row r="51" s="327" customFormat="1" x14ac:dyDescent="0.2"/>
    <row r="52" s="327" customFormat="1" x14ac:dyDescent="0.2"/>
  </sheetData>
  <mergeCells count="1">
    <mergeCell ref="BI5:BK5"/>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41">
    <pageSetUpPr autoPageBreaks="0"/>
  </sheetPr>
  <dimension ref="A1:BC33"/>
  <sheetViews>
    <sheetView showGridLines="0" workbookViewId="0">
      <pane xSplit="4" ySplit="5" topLeftCell="AG6" activePane="bottomRight" state="frozen"/>
      <selection activeCell="AY7" sqref="AY7"/>
      <selection pane="topRight" activeCell="AY7" sqref="AY7"/>
      <selection pane="bottomLeft" activeCell="AY7" sqref="AY7"/>
      <selection pane="bottomRight" activeCell="BC6" sqref="BC6"/>
    </sheetView>
  </sheetViews>
  <sheetFormatPr defaultRowHeight="12.75" outlineLevelRow="1" x14ac:dyDescent="0.2"/>
  <cols>
    <col min="1" max="2" width="9.140625" hidden="1" customWidth="1"/>
    <col min="3" max="3" width="1.85546875" customWidth="1"/>
    <col min="4" max="4" width="42.140625" bestFit="1" customWidth="1"/>
    <col min="5" max="22" width="10.85546875" customWidth="1"/>
  </cols>
  <sheetData>
    <row r="1" spans="1:55" s="547" customFormat="1" ht="7.5" customHeight="1" x14ac:dyDescent="0.2">
      <c r="E1" s="547">
        <v>2013</v>
      </c>
      <c r="F1" s="547" t="s">
        <v>45</v>
      </c>
      <c r="G1" s="547" t="str">
        <f>IF(LEFT(F1,1)="4","1T"&amp;RIGHT(F1,2)+1,LEFT(F1,1)+1&amp;RIGHT(F1,3))</f>
        <v>2T14</v>
      </c>
      <c r="H1" s="547" t="str">
        <f t="shared" ref="H1:W1" si="0">IF(LEFT(G1,1)="4","1T"&amp;RIGHT(G1,2)+1,LEFT(G1,1)+1&amp;RIGHT(G1,3))</f>
        <v>3T14</v>
      </c>
      <c r="I1" s="547" t="str">
        <f t="shared" si="0"/>
        <v>4T14</v>
      </c>
      <c r="J1" s="547" t="str">
        <f t="shared" si="0"/>
        <v>1T15</v>
      </c>
      <c r="K1" s="547" t="str">
        <f t="shared" si="0"/>
        <v>2T15</v>
      </c>
      <c r="L1" s="547" t="str">
        <f t="shared" si="0"/>
        <v>3T15</v>
      </c>
      <c r="M1" s="547" t="str">
        <f t="shared" si="0"/>
        <v>4T15</v>
      </c>
      <c r="N1" s="547" t="str">
        <f t="shared" si="0"/>
        <v>1T16</v>
      </c>
      <c r="O1" s="547" t="str">
        <f t="shared" si="0"/>
        <v>2T16</v>
      </c>
      <c r="P1" s="547" t="str">
        <f t="shared" si="0"/>
        <v>3T16</v>
      </c>
      <c r="Q1" s="547" t="str">
        <f t="shared" si="0"/>
        <v>4T16</v>
      </c>
      <c r="R1" s="547" t="str">
        <f t="shared" si="0"/>
        <v>1T17</v>
      </c>
      <c r="S1" s="547" t="str">
        <f t="shared" si="0"/>
        <v>2T17</v>
      </c>
      <c r="T1" s="547" t="str">
        <f t="shared" si="0"/>
        <v>3T17</v>
      </c>
      <c r="U1" s="547" t="str">
        <f t="shared" si="0"/>
        <v>4T17</v>
      </c>
      <c r="V1" s="547" t="str">
        <f t="shared" si="0"/>
        <v>1T18</v>
      </c>
      <c r="W1" s="547" t="str">
        <f t="shared" si="0"/>
        <v>2T18</v>
      </c>
      <c r="X1" s="547" t="str">
        <f t="shared" ref="X1:AC1" si="1">IF(LEFT(W1,1)="4","1T"&amp;RIGHT(W1,2)+1,LEFT(W1,1)+1&amp;RIGHT(W1,3))</f>
        <v>3T18</v>
      </c>
      <c r="Y1" s="547" t="str">
        <f t="shared" si="1"/>
        <v>4T18</v>
      </c>
      <c r="Z1" s="547" t="str">
        <f t="shared" si="1"/>
        <v>1T19</v>
      </c>
      <c r="AA1" s="547" t="str">
        <f t="shared" si="1"/>
        <v>2T19</v>
      </c>
      <c r="AB1" s="547" t="str">
        <f t="shared" si="1"/>
        <v>3T19</v>
      </c>
      <c r="AC1" s="547" t="str">
        <f t="shared" si="1"/>
        <v>4T19</v>
      </c>
      <c r="AD1" s="547" t="str">
        <f t="shared" ref="AD1:AK1" si="2">IF(LEFT(AC1,1)="4","1T"&amp;RIGHT(AC1,2)+1,LEFT(AC1,1)+1&amp;RIGHT(AC1,3))</f>
        <v>1T20</v>
      </c>
      <c r="AE1" s="547" t="str">
        <f t="shared" si="2"/>
        <v>2T20</v>
      </c>
      <c r="AF1" s="547" t="str">
        <f t="shared" si="2"/>
        <v>3T20</v>
      </c>
      <c r="AG1" s="547" t="str">
        <f t="shared" si="2"/>
        <v>4T20</v>
      </c>
      <c r="AH1" s="547" t="str">
        <f t="shared" si="2"/>
        <v>1T21</v>
      </c>
      <c r="AI1" s="547" t="str">
        <f t="shared" si="2"/>
        <v>2T21</v>
      </c>
      <c r="AJ1" s="547" t="str">
        <f t="shared" si="2"/>
        <v>3T21</v>
      </c>
      <c r="AK1" s="547" t="str">
        <f t="shared" si="2"/>
        <v>4T21</v>
      </c>
      <c r="AL1" s="547" t="str">
        <f t="shared" ref="AL1:AS1" si="3">IF(LEFT(AK1,1)="4","1T"&amp;RIGHT(AK1,2)+1,LEFT(AK1,1)+1&amp;RIGHT(AK1,3))</f>
        <v>1T22</v>
      </c>
      <c r="AM1" s="547" t="str">
        <f t="shared" si="3"/>
        <v>2T22</v>
      </c>
      <c r="AN1" s="547" t="str">
        <f t="shared" si="3"/>
        <v>3T22</v>
      </c>
      <c r="AO1" s="547" t="str">
        <f t="shared" si="3"/>
        <v>4T22</v>
      </c>
      <c r="AP1" s="547" t="str">
        <f t="shared" si="3"/>
        <v>1T23</v>
      </c>
      <c r="AQ1" s="547" t="str">
        <f t="shared" si="3"/>
        <v>2T23</v>
      </c>
      <c r="AR1" s="547" t="str">
        <f t="shared" si="3"/>
        <v>3T23</v>
      </c>
      <c r="AS1" s="547" t="str">
        <f t="shared" si="3"/>
        <v>4T23</v>
      </c>
      <c r="AT1" s="547" t="str">
        <f t="shared" ref="AT1:BC1" si="4">IF(LEFT(AS1,1)="4","1T"&amp;RIGHT(AS1,2)+1,LEFT(AS1,1)+1&amp;RIGHT(AS1,3))</f>
        <v>1T24</v>
      </c>
      <c r="AU1" s="547" t="str">
        <f t="shared" si="4"/>
        <v>2T24</v>
      </c>
      <c r="AV1" s="547" t="str">
        <f t="shared" si="4"/>
        <v>3T24</v>
      </c>
      <c r="AW1" s="547" t="str">
        <f t="shared" si="4"/>
        <v>4T24</v>
      </c>
      <c r="AX1" s="547" t="str">
        <f t="shared" si="4"/>
        <v>1T25</v>
      </c>
      <c r="AY1" s="547" t="str">
        <f t="shared" si="4"/>
        <v>2T25</v>
      </c>
      <c r="AZ1" s="547" t="str">
        <f t="shared" si="4"/>
        <v>3T25</v>
      </c>
      <c r="BA1" s="547" t="str">
        <f t="shared" si="4"/>
        <v>4T25</v>
      </c>
      <c r="BB1" s="547" t="str">
        <f t="shared" si="4"/>
        <v>1T26</v>
      </c>
      <c r="BC1" s="547" t="str">
        <f t="shared" si="4"/>
        <v>2T26</v>
      </c>
    </row>
    <row r="2" spans="1:55" s="547" customFormat="1" ht="12.75" customHeight="1" x14ac:dyDescent="0.2">
      <c r="E2" s="547" t="str">
        <f>SUBSTITUTE(E1,"T","Q")</f>
        <v>2013</v>
      </c>
      <c r="F2" s="547" t="str">
        <f>SUBSTITUTE(F1,"T","Q")</f>
        <v>1Q14</v>
      </c>
      <c r="G2" s="547" t="str">
        <f>SUBSTITUTE(G1,"T","Q")</f>
        <v>2Q14</v>
      </c>
      <c r="H2" s="547" t="str">
        <f t="shared" ref="H2:T2" si="5">SUBSTITUTE(H1,"T","Q")</f>
        <v>3Q14</v>
      </c>
      <c r="I2" s="547" t="str">
        <f t="shared" si="5"/>
        <v>4Q14</v>
      </c>
      <c r="J2" s="547" t="str">
        <f t="shared" si="5"/>
        <v>1Q15</v>
      </c>
      <c r="K2" s="547" t="str">
        <f t="shared" si="5"/>
        <v>2Q15</v>
      </c>
      <c r="L2" s="547" t="str">
        <f t="shared" si="5"/>
        <v>3Q15</v>
      </c>
      <c r="M2" s="547" t="str">
        <f t="shared" si="5"/>
        <v>4Q15</v>
      </c>
      <c r="N2" s="547" t="str">
        <f t="shared" si="5"/>
        <v>1Q16</v>
      </c>
      <c r="O2" s="547" t="str">
        <f t="shared" si="5"/>
        <v>2Q16</v>
      </c>
      <c r="P2" s="547" t="str">
        <f t="shared" si="5"/>
        <v>3Q16</v>
      </c>
      <c r="Q2" s="547" t="str">
        <f t="shared" si="5"/>
        <v>4Q16</v>
      </c>
      <c r="R2" s="547" t="str">
        <f t="shared" si="5"/>
        <v>1Q17</v>
      </c>
      <c r="S2" s="547" t="str">
        <f t="shared" si="5"/>
        <v>2Q17</v>
      </c>
      <c r="T2" s="547" t="str">
        <f t="shared" si="5"/>
        <v>3Q17</v>
      </c>
      <c r="U2" s="547" t="str">
        <f t="shared" ref="U2:Z2" si="6">SUBSTITUTE(U1,"T","Q")</f>
        <v>4Q17</v>
      </c>
      <c r="V2" s="547" t="str">
        <f t="shared" si="6"/>
        <v>1Q18</v>
      </c>
      <c r="W2" s="547" t="str">
        <f t="shared" si="6"/>
        <v>2Q18</v>
      </c>
      <c r="X2" s="547" t="str">
        <f t="shared" si="6"/>
        <v>3Q18</v>
      </c>
      <c r="Y2" s="547" t="str">
        <f t="shared" si="6"/>
        <v>4Q18</v>
      </c>
      <c r="Z2" s="547" t="str">
        <f t="shared" si="6"/>
        <v>1Q19</v>
      </c>
      <c r="AA2" s="547" t="str">
        <f t="shared" ref="AA2:AF2" si="7">SUBSTITUTE(AA1,"T","Q")</f>
        <v>2Q19</v>
      </c>
      <c r="AB2" s="547" t="str">
        <f t="shared" si="7"/>
        <v>3Q19</v>
      </c>
      <c r="AC2" s="547" t="str">
        <f t="shared" si="7"/>
        <v>4Q19</v>
      </c>
      <c r="AD2" s="547" t="str">
        <f t="shared" si="7"/>
        <v>1Q20</v>
      </c>
      <c r="AE2" s="547" t="str">
        <f t="shared" si="7"/>
        <v>2Q20</v>
      </c>
      <c r="AF2" s="547" t="str">
        <f t="shared" si="7"/>
        <v>3Q20</v>
      </c>
      <c r="AG2" s="547" t="str">
        <f t="shared" ref="AG2:AM2" si="8">SUBSTITUTE(AG1,"T","Q")</f>
        <v>4Q20</v>
      </c>
      <c r="AH2" s="547" t="str">
        <f t="shared" si="8"/>
        <v>1Q21</v>
      </c>
      <c r="AI2" s="547" t="str">
        <f t="shared" si="8"/>
        <v>2Q21</v>
      </c>
      <c r="AJ2" s="547" t="str">
        <f t="shared" si="8"/>
        <v>3Q21</v>
      </c>
      <c r="AK2" s="547" t="str">
        <f t="shared" si="8"/>
        <v>4Q21</v>
      </c>
      <c r="AL2" s="547" t="str">
        <f t="shared" si="8"/>
        <v>1Q22</v>
      </c>
      <c r="AM2" s="547" t="str">
        <f t="shared" si="8"/>
        <v>2Q22</v>
      </c>
      <c r="AN2" s="547" t="str">
        <f t="shared" ref="AN2:AS2" si="9">SUBSTITUTE(AN1,"T","Q")</f>
        <v>3Q22</v>
      </c>
      <c r="AO2" s="547" t="str">
        <f t="shared" si="9"/>
        <v>4Q22</v>
      </c>
      <c r="AP2" s="547" t="str">
        <f t="shared" si="9"/>
        <v>1Q23</v>
      </c>
      <c r="AQ2" s="547" t="str">
        <f t="shared" si="9"/>
        <v>2Q23</v>
      </c>
      <c r="AR2" s="547" t="str">
        <f t="shared" si="9"/>
        <v>3Q23</v>
      </c>
      <c r="AS2" s="547" t="str">
        <f t="shared" si="9"/>
        <v>4Q23</v>
      </c>
      <c r="AT2" s="547" t="str">
        <f t="shared" ref="AT2:BC2" si="10">SUBSTITUTE(AT1,"T","Q")</f>
        <v>1Q24</v>
      </c>
      <c r="AU2" s="547" t="str">
        <f t="shared" si="10"/>
        <v>2Q24</v>
      </c>
      <c r="AV2" s="547" t="str">
        <f t="shared" si="10"/>
        <v>3Q24</v>
      </c>
      <c r="AW2" s="547" t="str">
        <f t="shared" si="10"/>
        <v>4Q24</v>
      </c>
      <c r="AX2" s="547" t="str">
        <f t="shared" si="10"/>
        <v>1Q25</v>
      </c>
      <c r="AY2" s="547" t="str">
        <f t="shared" si="10"/>
        <v>2Q25</v>
      </c>
      <c r="AZ2" s="547" t="str">
        <f t="shared" si="10"/>
        <v>3Q25</v>
      </c>
      <c r="BA2" s="547" t="str">
        <f t="shared" si="10"/>
        <v>4Q25</v>
      </c>
      <c r="BB2" s="547" t="str">
        <f>SUBSTITUTE(BB1,"T","Q")</f>
        <v>1Q26</v>
      </c>
      <c r="BC2" s="547" t="str">
        <f t="shared" si="10"/>
        <v>2Q26</v>
      </c>
    </row>
    <row r="3" spans="1:55" ht="12.75" customHeight="1" x14ac:dyDescent="0.2">
      <c r="X3" s="547"/>
      <c r="Y3" s="547"/>
      <c r="Z3" s="547"/>
      <c r="AA3" s="547"/>
      <c r="AB3" s="547"/>
      <c r="AC3" s="547"/>
      <c r="AD3" s="547"/>
      <c r="AE3" s="547"/>
      <c r="AF3" s="547"/>
      <c r="AG3" s="547"/>
      <c r="AH3" s="547"/>
      <c r="AI3" s="547"/>
      <c r="AJ3" s="547"/>
      <c r="AK3" s="547"/>
      <c r="AL3" s="547"/>
      <c r="AM3" s="547"/>
      <c r="AN3" s="547"/>
      <c r="AO3" s="547"/>
      <c r="AP3" s="547"/>
      <c r="AQ3" s="547"/>
      <c r="AR3" s="547"/>
      <c r="AS3" s="547"/>
      <c r="AT3" s="327"/>
      <c r="AU3" s="327"/>
      <c r="AV3" s="327"/>
      <c r="AW3" s="327"/>
      <c r="AX3" s="327"/>
      <c r="AY3" s="327"/>
      <c r="AZ3" s="327"/>
      <c r="BA3" s="327"/>
      <c r="BB3" s="327"/>
      <c r="BC3" s="327"/>
    </row>
    <row r="4" spans="1:55" ht="12.75" customHeight="1" x14ac:dyDescent="0.2">
      <c r="E4" s="1253" t="str">
        <f>IF([1]RENAME!$H$3=1,"&lt;== with Direct Express","&lt;== Com Direct Express")</f>
        <v>&lt;== Com Direct Express</v>
      </c>
      <c r="F4" s="1254"/>
      <c r="G4" s="224" t="str">
        <f>IF([1]RENAME!$H$3=1,"without Direct Express ==&gt;","Sem Direct Express ==&gt;")</f>
        <v>Sem Direct Express ==&gt;</v>
      </c>
    </row>
    <row r="5" spans="1:55" x14ac:dyDescent="0.2">
      <c r="A5" t="s">
        <v>96</v>
      </c>
      <c r="B5" t="s">
        <v>866</v>
      </c>
      <c r="D5" s="145" t="str">
        <f>IF([1]RENAME!$H$3=1,B5,A5)</f>
        <v>Consolidado</v>
      </c>
      <c r="E5" s="115">
        <f>IF([1]RENAME!$H$3=1,E2,E1)</f>
        <v>2013</v>
      </c>
      <c r="F5" s="115" t="str">
        <f>IF([1]RENAME!$H$3=1,F2,F1)</f>
        <v>1T14</v>
      </c>
      <c r="G5" s="222" t="str">
        <f>IF([1]RENAME!$H$3=1,G2,G1)</f>
        <v>2T14</v>
      </c>
      <c r="H5" s="115" t="str">
        <f>IF([1]RENAME!$H$3=1,H2,H1)</f>
        <v>3T14</v>
      </c>
      <c r="I5" s="115" t="str">
        <f>IF([1]RENAME!$H$3=1,I2,I1)</f>
        <v>4T14</v>
      </c>
      <c r="J5" s="115" t="str">
        <f>IF([1]RENAME!$H$3=1,J2,J1)</f>
        <v>1T15</v>
      </c>
      <c r="K5" s="115" t="str">
        <f>IF([1]RENAME!$H$3=1,K2,K1)</f>
        <v>2T15</v>
      </c>
      <c r="L5" s="115" t="str">
        <f>IF([1]RENAME!$H$3=1,L2,L1)</f>
        <v>3T15</v>
      </c>
      <c r="M5" s="115" t="str">
        <f>IF([1]RENAME!$H$3=1,M2,M1)</f>
        <v>4T15</v>
      </c>
      <c r="N5" s="115" t="str">
        <f>IF([1]RENAME!$H$3=1,N2,N1)</f>
        <v>1T16</v>
      </c>
      <c r="O5" s="115" t="str">
        <f>IF([1]RENAME!$H$3=1,O2,O1)</f>
        <v>2T16</v>
      </c>
      <c r="P5" s="115" t="str">
        <f>IF([1]RENAME!$H$3=1,P2,P1)</f>
        <v>3T16</v>
      </c>
      <c r="Q5" s="115" t="str">
        <f>IF([1]RENAME!$H$3=1,Q2,Q1)</f>
        <v>4T16</v>
      </c>
      <c r="R5" s="115" t="str">
        <f>IF([1]RENAME!$H$3=1,R2,R1)</f>
        <v>1T17</v>
      </c>
      <c r="S5" s="115" t="str">
        <f>IF([1]RENAME!$H$3=1,S2,S1)</f>
        <v>2T17</v>
      </c>
      <c r="T5" s="115" t="str">
        <f>IF([1]RENAME!$H$3=1,T2,T1)</f>
        <v>3T17</v>
      </c>
      <c r="U5" s="115" t="str">
        <f>IF([1]RENAME!$H$3=1,U2,U1)</f>
        <v>4T17</v>
      </c>
      <c r="V5" s="115" t="str">
        <f>IF([1]RENAME!$H$3=1,V2,V1)</f>
        <v>1T18</v>
      </c>
      <c r="W5" s="115" t="str">
        <f>IF([1]RENAME!$H$3=1,W2,W1)</f>
        <v>2T18</v>
      </c>
      <c r="X5" s="115" t="str">
        <f>IF([1]RENAME!$H$3=1,X2,X1)</f>
        <v>3T18</v>
      </c>
      <c r="Y5" s="115" t="str">
        <f>IF([1]RENAME!$H$3=1,Y2,Y1)</f>
        <v>4T18</v>
      </c>
      <c r="Z5" s="115" t="str">
        <f>IF([1]RENAME!$H$3=1,Z2,Z1)</f>
        <v>1T19</v>
      </c>
      <c r="AA5" s="115" t="str">
        <f>IF([1]RENAME!$H$3=1,AA2,AA1)</f>
        <v>2T19</v>
      </c>
      <c r="AB5" s="115" t="str">
        <f>IF([1]RENAME!$H$3=1,AB2,AB1)</f>
        <v>3T19</v>
      </c>
      <c r="AC5" s="115" t="str">
        <f>IF([1]RENAME!$H$3=1,AC2,AC1)</f>
        <v>4T19</v>
      </c>
      <c r="AD5" s="115" t="str">
        <f>IF([1]RENAME!$H$3=1,AD2,AD1)</f>
        <v>1T20</v>
      </c>
      <c r="AE5" s="115" t="str">
        <f>IF([1]RENAME!$H$3=1,AE2,AE1)</f>
        <v>2T20</v>
      </c>
      <c r="AF5" s="115" t="str">
        <f>IF([1]RENAME!$H$3=1,AF2,AF1)</f>
        <v>3T20</v>
      </c>
      <c r="AG5" s="115" t="str">
        <f>IF([1]RENAME!$H$3=1,AG2,AG1)</f>
        <v>4T20</v>
      </c>
      <c r="AH5" s="115" t="str">
        <f>IF([1]RENAME!$H$3=1,AH2,AH1)</f>
        <v>1T21</v>
      </c>
      <c r="AI5" s="115" t="str">
        <f>IF([1]RENAME!$H$3=1,AI2,AI1)</f>
        <v>2T21</v>
      </c>
      <c r="AJ5" s="115" t="str">
        <f>IF([1]RENAME!$H$3=1,AJ2,AJ1)</f>
        <v>3T21</v>
      </c>
      <c r="AK5" s="115" t="str">
        <f>IF([1]RENAME!$H$3=1,AK2,AK1)</f>
        <v>4T21</v>
      </c>
      <c r="AL5" s="115" t="str">
        <f>IF([1]RENAME!$H$3=1,AL2,AL1)</f>
        <v>1T22</v>
      </c>
      <c r="AM5" s="115" t="str">
        <f>IF([1]RENAME!$H$3=1,AM2,AM1)</f>
        <v>2T22</v>
      </c>
      <c r="AN5" s="115" t="str">
        <f>IF([1]RENAME!$H$3=1,AN2,AN1)</f>
        <v>3T22</v>
      </c>
      <c r="AO5" s="115" t="str">
        <f>IF([1]RENAME!$H$3=1,AO2,AO1)</f>
        <v>4T22</v>
      </c>
      <c r="AP5" s="115" t="str">
        <f>IF([1]RENAME!$H$3=1,AP2,AP1)</f>
        <v>1T23</v>
      </c>
      <c r="AQ5" s="115" t="str">
        <f>IF([1]RENAME!$H$3=1,AQ2,AQ1)</f>
        <v>2T23</v>
      </c>
      <c r="AR5" s="115" t="str">
        <f>IF([1]RENAME!$H$3=1,AR2,AR1)</f>
        <v>3T23</v>
      </c>
      <c r="AS5" s="115" t="str">
        <f>IF([1]RENAME!$H$3=1,AS2,AS1)</f>
        <v>4T23</v>
      </c>
      <c r="AT5" s="115" t="str">
        <f>IF([1]RENAME!$H$3=1,AT2,AT1)</f>
        <v>1T24</v>
      </c>
      <c r="AU5" s="115" t="str">
        <f>IF([1]RENAME!$H$3=1,AU2,AU1)</f>
        <v>2T24</v>
      </c>
      <c r="AV5" s="115" t="str">
        <f>IF([1]RENAME!$H$3=1,AV2,AV1)</f>
        <v>3T24</v>
      </c>
      <c r="AW5" s="115" t="str">
        <f>IF([1]RENAME!$H$3=1,AW2,AW1)</f>
        <v>4T24</v>
      </c>
      <c r="AX5" s="115" t="str">
        <f>IF([1]RENAME!$H$3=1,AX2,AX1)</f>
        <v>1T25</v>
      </c>
      <c r="AY5" s="115" t="str">
        <f>IF([1]RENAME!$H$3=1,AY2,AY1)</f>
        <v>2T25</v>
      </c>
      <c r="AZ5" s="115" t="str">
        <f>IF([1]RENAME!$H$3=1,AZ2,AZ1)</f>
        <v>3T25</v>
      </c>
      <c r="BA5" s="115" t="str">
        <f>IF([1]RENAME!$H$3=1,BA2,BA1)</f>
        <v>4T25</v>
      </c>
      <c r="BB5" s="247" t="str">
        <f>IF([1]RENAME!$H$3=1,BB2,BB1)</f>
        <v>1T26</v>
      </c>
      <c r="BC5" s="115" t="str">
        <f>IF([1]RENAME!$H$3=1,BC2,BC1)</f>
        <v>2T26</v>
      </c>
    </row>
    <row r="6" spans="1:55" x14ac:dyDescent="0.2">
      <c r="A6" t="s">
        <v>492</v>
      </c>
      <c r="B6" t="s">
        <v>971</v>
      </c>
      <c r="D6" s="129" t="str">
        <f>IF([1]RENAME!$H$3=1,B6,A6)</f>
        <v>Férias a pagar</v>
      </c>
      <c r="E6" s="118">
        <v>19538</v>
      </c>
      <c r="F6" s="118">
        <v>14039</v>
      </c>
      <c r="G6" s="160">
        <v>10797</v>
      </c>
      <c r="H6" s="118">
        <v>10855</v>
      </c>
      <c r="I6" s="118">
        <v>11891</v>
      </c>
      <c r="J6" s="118">
        <v>10899</v>
      </c>
      <c r="K6" s="118">
        <v>10834</v>
      </c>
      <c r="L6" s="118">
        <v>10437</v>
      </c>
      <c r="M6" s="118">
        <v>11941</v>
      </c>
      <c r="N6" s="118">
        <v>9603</v>
      </c>
      <c r="O6" s="118">
        <v>10297</v>
      </c>
      <c r="P6" s="118">
        <v>10366</v>
      </c>
      <c r="Q6" s="118">
        <v>11227</v>
      </c>
      <c r="R6" s="118">
        <v>9863</v>
      </c>
      <c r="S6" s="118">
        <v>10716</v>
      </c>
      <c r="T6" s="118">
        <v>11311</v>
      </c>
      <c r="U6" s="118">
        <v>12220</v>
      </c>
      <c r="V6" s="118">
        <v>9960</v>
      </c>
      <c r="W6" s="118">
        <v>10711</v>
      </c>
      <c r="X6" s="118">
        <v>11171</v>
      </c>
      <c r="Y6" s="118">
        <v>12004</v>
      </c>
      <c r="Z6" s="118">
        <v>10692</v>
      </c>
      <c r="AA6" s="118">
        <v>11321</v>
      </c>
      <c r="AB6" s="118">
        <v>11730</v>
      </c>
      <c r="AC6" s="118">
        <v>12672</v>
      </c>
      <c r="AD6" s="118">
        <v>10583</v>
      </c>
      <c r="AE6" s="118">
        <v>9530</v>
      </c>
      <c r="AF6" s="118">
        <v>10008</v>
      </c>
      <c r="AG6" s="118">
        <v>10597</v>
      </c>
      <c r="AH6" s="118">
        <v>9500</v>
      </c>
      <c r="AI6" s="118">
        <v>9895</v>
      </c>
      <c r="AJ6" s="118">
        <v>10724</v>
      </c>
      <c r="AK6" s="118">
        <v>11232</v>
      </c>
      <c r="AL6" s="118">
        <v>9928</v>
      </c>
      <c r="AM6" s="118">
        <v>10628</v>
      </c>
      <c r="AN6" s="118">
        <v>11168</v>
      </c>
      <c r="AO6" s="118">
        <v>12561</v>
      </c>
      <c r="AP6" s="118">
        <v>11388</v>
      </c>
      <c r="AQ6" s="118">
        <v>12516</v>
      </c>
      <c r="AR6" s="118">
        <v>12664</v>
      </c>
      <c r="AS6" s="118">
        <v>13860</v>
      </c>
      <c r="AT6" s="118">
        <v>12571</v>
      </c>
      <c r="AU6" s="118">
        <v>13862</v>
      </c>
      <c r="AV6" s="118">
        <v>14603</v>
      </c>
      <c r="AW6" s="118">
        <v>16085</v>
      </c>
      <c r="AX6" s="118">
        <v>14751</v>
      </c>
      <c r="AY6" s="118">
        <v>16563</v>
      </c>
      <c r="AZ6" s="118">
        <v>17157</v>
      </c>
      <c r="BA6" s="118">
        <v>18434</v>
      </c>
      <c r="BB6" s="118">
        <v>17758</v>
      </c>
      <c r="BC6" s="118">
        <f>'[3]15 Salários NL'!$H$7</f>
        <v>19045</v>
      </c>
    </row>
    <row r="7" spans="1:55" x14ac:dyDescent="0.2">
      <c r="A7" t="s">
        <v>493</v>
      </c>
      <c r="B7" t="s">
        <v>972</v>
      </c>
      <c r="D7" s="129" t="str">
        <f>IF([1]RENAME!$H$3=1,B7,A7)</f>
        <v>Gratificações e participação nos lucros a pagar</v>
      </c>
      <c r="E7" s="118">
        <v>11792</v>
      </c>
      <c r="F7" s="118">
        <v>8994</v>
      </c>
      <c r="G7" s="160">
        <v>6647</v>
      </c>
      <c r="H7" s="118">
        <v>8806</v>
      </c>
      <c r="I7" s="118">
        <v>10966</v>
      </c>
      <c r="J7" s="118">
        <v>8835</v>
      </c>
      <c r="K7" s="118">
        <v>4518</v>
      </c>
      <c r="L7" s="118">
        <v>7077</v>
      </c>
      <c r="M7" s="118">
        <v>8084</v>
      </c>
      <c r="N7" s="118">
        <v>6781</v>
      </c>
      <c r="O7" s="118">
        <v>5011</v>
      </c>
      <c r="P7" s="118">
        <v>6689</v>
      </c>
      <c r="Q7" s="118">
        <v>6627</v>
      </c>
      <c r="R7" s="118">
        <v>7021</v>
      </c>
      <c r="S7" s="118">
        <v>4449</v>
      </c>
      <c r="T7" s="118">
        <v>5791</v>
      </c>
      <c r="U7" s="118">
        <v>7783</v>
      </c>
      <c r="V7" s="118">
        <v>3624</v>
      </c>
      <c r="W7" s="118">
        <v>4062</v>
      </c>
      <c r="X7" s="118">
        <v>5538</v>
      </c>
      <c r="Y7" s="118">
        <v>7888</v>
      </c>
      <c r="Z7" s="118">
        <v>2852</v>
      </c>
      <c r="AA7" s="118">
        <v>4828</v>
      </c>
      <c r="AB7" s="118">
        <v>6409</v>
      </c>
      <c r="AC7" s="118">
        <v>8814</v>
      </c>
      <c r="AD7" s="118">
        <v>3893</v>
      </c>
      <c r="AE7" s="118">
        <v>4573</v>
      </c>
      <c r="AF7" s="118">
        <v>5017</v>
      </c>
      <c r="AG7" s="118">
        <v>6150</v>
      </c>
      <c r="AH7" s="118">
        <v>2520</v>
      </c>
      <c r="AI7" s="118">
        <v>4533</v>
      </c>
      <c r="AJ7" s="118">
        <v>5505</v>
      </c>
      <c r="AK7" s="118">
        <v>8425</v>
      </c>
      <c r="AL7" s="118">
        <v>3145</v>
      </c>
      <c r="AM7" s="118">
        <v>4384</v>
      </c>
      <c r="AN7" s="118">
        <v>5995</v>
      </c>
      <c r="AO7" s="118">
        <v>8444</v>
      </c>
      <c r="AP7" s="118">
        <v>2961</v>
      </c>
      <c r="AQ7" s="118">
        <v>5514</v>
      </c>
      <c r="AR7" s="118">
        <v>7381</v>
      </c>
      <c r="AS7" s="118">
        <v>9898</v>
      </c>
      <c r="AT7" s="118">
        <v>3240</v>
      </c>
      <c r="AU7" s="118">
        <v>5674</v>
      </c>
      <c r="AV7" s="118">
        <v>7666</v>
      </c>
      <c r="AW7" s="118">
        <v>10581</v>
      </c>
      <c r="AX7" s="118">
        <v>3414</v>
      </c>
      <c r="AY7" s="118">
        <v>7029</v>
      </c>
      <c r="AZ7" s="118">
        <v>9325</v>
      </c>
      <c r="BA7" s="118">
        <v>12547</v>
      </c>
      <c r="BB7" s="118">
        <v>3841</v>
      </c>
      <c r="BC7" s="118">
        <f>'[3]15 Salários NL'!$H$9</f>
        <v>7367</v>
      </c>
    </row>
    <row r="8" spans="1:55" x14ac:dyDescent="0.2">
      <c r="A8" t="s">
        <v>280</v>
      </c>
      <c r="B8" t="s">
        <v>280</v>
      </c>
      <c r="D8" s="129" t="str">
        <f>IF([1]RENAME!$H$3=1,B8,A8)</f>
        <v>INSS</v>
      </c>
      <c r="E8" s="118">
        <v>6484</v>
      </c>
      <c r="F8" s="118">
        <v>2541</v>
      </c>
      <c r="G8" s="160">
        <v>2790</v>
      </c>
      <c r="H8" s="118">
        <v>5211</v>
      </c>
      <c r="I8" s="118">
        <v>6822</v>
      </c>
      <c r="J8" s="118">
        <v>6633</v>
      </c>
      <c r="K8" s="118">
        <v>6883</v>
      </c>
      <c r="L8" s="118">
        <v>6923</v>
      </c>
      <c r="M8" s="118">
        <v>8199</v>
      </c>
      <c r="N8" s="118">
        <v>7807</v>
      </c>
      <c r="O8" s="118">
        <v>8124</v>
      </c>
      <c r="P8" s="118">
        <v>7922</v>
      </c>
      <c r="Q8" s="118">
        <v>8070</v>
      </c>
      <c r="R8" s="118">
        <v>7719</v>
      </c>
      <c r="S8" s="260">
        <v>2455</v>
      </c>
      <c r="T8" s="118">
        <v>2432</v>
      </c>
      <c r="U8" s="118">
        <v>2645</v>
      </c>
      <c r="V8" s="118">
        <v>2683</v>
      </c>
      <c r="W8" s="118">
        <v>2437</v>
      </c>
      <c r="X8" s="118">
        <v>2558</v>
      </c>
      <c r="Y8" s="118">
        <v>2695</v>
      </c>
      <c r="Z8" s="118">
        <v>2488</v>
      </c>
      <c r="AA8" s="118">
        <v>2678</v>
      </c>
      <c r="AB8" s="118">
        <v>2737</v>
      </c>
      <c r="AC8" s="118">
        <v>2925</v>
      </c>
      <c r="AD8" s="118">
        <v>2695</v>
      </c>
      <c r="AE8" s="118">
        <v>5430</v>
      </c>
      <c r="AF8" s="118">
        <v>4610</v>
      </c>
      <c r="AG8" s="118">
        <v>2333</v>
      </c>
      <c r="AH8" s="118">
        <v>2206</v>
      </c>
      <c r="AI8" s="118">
        <v>2051</v>
      </c>
      <c r="AJ8" s="118">
        <v>2135</v>
      </c>
      <c r="AK8" s="118">
        <v>2609</v>
      </c>
      <c r="AL8" s="118">
        <v>2622</v>
      </c>
      <c r="AM8" s="118">
        <v>2679</v>
      </c>
      <c r="AN8" s="118">
        <v>2694</v>
      </c>
      <c r="AO8" s="118">
        <v>3002</v>
      </c>
      <c r="AP8" s="118">
        <v>2897</v>
      </c>
      <c r="AQ8" s="118">
        <v>3365</v>
      </c>
      <c r="AR8" s="118">
        <v>3422</v>
      </c>
      <c r="AS8" s="118">
        <v>3465</v>
      </c>
      <c r="AT8" s="118">
        <v>3394</v>
      </c>
      <c r="AU8" s="118">
        <v>3604</v>
      </c>
      <c r="AV8" s="118">
        <v>3869</v>
      </c>
      <c r="AW8" s="118">
        <v>3907</v>
      </c>
      <c r="AX8" s="118">
        <v>4528</v>
      </c>
      <c r="AY8" s="118">
        <v>5634</v>
      </c>
      <c r="AZ8" s="118">
        <v>6483</v>
      </c>
      <c r="BA8" s="118">
        <v>7913</v>
      </c>
      <c r="BB8" s="118">
        <v>7968</v>
      </c>
      <c r="BC8" s="118">
        <f>'[3]15 Salários NL'!$H$8</f>
        <v>9204</v>
      </c>
    </row>
    <row r="9" spans="1:55" x14ac:dyDescent="0.2">
      <c r="A9" t="s">
        <v>283</v>
      </c>
      <c r="B9" t="s">
        <v>973</v>
      </c>
      <c r="D9" s="129" t="str">
        <f>IF([1]RENAME!$H$3=1,B9,A9)</f>
        <v>Provisão para 13° salário</v>
      </c>
      <c r="E9" s="118">
        <v>0</v>
      </c>
      <c r="F9" s="118">
        <v>2698</v>
      </c>
      <c r="G9" s="160">
        <v>3896</v>
      </c>
      <c r="H9" s="118">
        <v>5784</v>
      </c>
      <c r="I9" s="118">
        <v>0</v>
      </c>
      <c r="J9" s="118">
        <v>2062</v>
      </c>
      <c r="K9" s="118">
        <v>3804</v>
      </c>
      <c r="L9" s="118">
        <v>5517</v>
      </c>
      <c r="M9" s="118">
        <v>0</v>
      </c>
      <c r="N9" s="118">
        <v>1833</v>
      </c>
      <c r="O9" s="118">
        <v>3640</v>
      </c>
      <c r="P9" s="118">
        <v>5388</v>
      </c>
      <c r="Q9" s="118">
        <v>0</v>
      </c>
      <c r="R9" s="118">
        <v>1899</v>
      </c>
      <c r="S9" s="118">
        <v>3850</v>
      </c>
      <c r="T9" s="118">
        <v>5826</v>
      </c>
      <c r="U9" s="118">
        <v>0</v>
      </c>
      <c r="V9" s="118">
        <v>1885</v>
      </c>
      <c r="W9" s="118">
        <v>3831</v>
      </c>
      <c r="X9" s="118">
        <v>5720</v>
      </c>
      <c r="Y9" s="118">
        <v>0</v>
      </c>
      <c r="Z9" s="118">
        <v>2002</v>
      </c>
      <c r="AA9" s="118">
        <v>4084</v>
      </c>
      <c r="AB9" s="118">
        <v>6157</v>
      </c>
      <c r="AC9" s="118">
        <v>0</v>
      </c>
      <c r="AD9" s="118">
        <v>2089</v>
      </c>
      <c r="AE9" s="118">
        <v>3289</v>
      </c>
      <c r="AF9" s="118">
        <v>4964</v>
      </c>
      <c r="AG9" s="118">
        <v>0</v>
      </c>
      <c r="AH9" s="118">
        <v>1756</v>
      </c>
      <c r="AI9" s="118">
        <v>3374</v>
      </c>
      <c r="AJ9" s="118">
        <v>4952</v>
      </c>
      <c r="AK9" s="118">
        <v>0</v>
      </c>
      <c r="AL9" s="118">
        <v>1845</v>
      </c>
      <c r="AM9" s="118">
        <v>3812</v>
      </c>
      <c r="AN9" s="118">
        <v>5717</v>
      </c>
      <c r="AO9" s="118">
        <v>0</v>
      </c>
      <c r="AP9" s="118">
        <v>2196</v>
      </c>
      <c r="AQ9" s="118">
        <v>4556</v>
      </c>
      <c r="AR9" s="118">
        <v>6729</v>
      </c>
      <c r="AS9" s="118">
        <v>0</v>
      </c>
      <c r="AT9" s="118">
        <v>2431</v>
      </c>
      <c r="AU9" s="118">
        <v>5092</v>
      </c>
      <c r="AV9" s="118">
        <v>7809</v>
      </c>
      <c r="AW9" s="118">
        <v>0</v>
      </c>
      <c r="AX9" s="118">
        <v>2857</v>
      </c>
      <c r="AY9" s="118">
        <v>6069</v>
      </c>
      <c r="AZ9" s="118">
        <v>9194</v>
      </c>
      <c r="BA9" s="118">
        <v>0</v>
      </c>
      <c r="BB9" s="118">
        <v>3312</v>
      </c>
      <c r="BC9" s="118">
        <f>'[3]15 Salários NL'!$H$10</f>
        <v>7049</v>
      </c>
    </row>
    <row r="10" spans="1:55" x14ac:dyDescent="0.2">
      <c r="A10" t="s">
        <v>281</v>
      </c>
      <c r="B10" t="s">
        <v>281</v>
      </c>
      <c r="D10" s="129" t="str">
        <f>IF([1]RENAME!$H$3=1,B10,A10)</f>
        <v>FGTS</v>
      </c>
      <c r="E10" s="118">
        <v>2028</v>
      </c>
      <c r="F10" s="118">
        <v>682</v>
      </c>
      <c r="G10" s="160">
        <v>371</v>
      </c>
      <c r="H10" s="118">
        <v>540</v>
      </c>
      <c r="I10" s="118">
        <v>738</v>
      </c>
      <c r="J10" s="118">
        <v>405</v>
      </c>
      <c r="K10" s="118">
        <v>457</v>
      </c>
      <c r="L10" s="118">
        <v>488</v>
      </c>
      <c r="M10" s="118">
        <v>779</v>
      </c>
      <c r="N10" s="118">
        <v>454</v>
      </c>
      <c r="O10" s="118">
        <v>548</v>
      </c>
      <c r="P10" s="118">
        <v>768</v>
      </c>
      <c r="Q10" s="118">
        <v>702</v>
      </c>
      <c r="R10" s="118">
        <v>477</v>
      </c>
      <c r="S10" s="118">
        <v>501</v>
      </c>
      <c r="T10" s="118">
        <v>508</v>
      </c>
      <c r="U10" s="118">
        <v>780</v>
      </c>
      <c r="V10" s="118">
        <v>567</v>
      </c>
      <c r="W10" s="118">
        <v>491</v>
      </c>
      <c r="X10" s="118">
        <v>519</v>
      </c>
      <c r="Y10" s="118">
        <v>765</v>
      </c>
      <c r="Z10" s="118">
        <v>508</v>
      </c>
      <c r="AA10" s="118">
        <v>544</v>
      </c>
      <c r="AB10" s="118">
        <v>541</v>
      </c>
      <c r="AC10" s="118">
        <v>766</v>
      </c>
      <c r="AD10" s="118">
        <v>587</v>
      </c>
      <c r="AE10" s="118">
        <v>1442</v>
      </c>
      <c r="AF10" s="118">
        <v>963</v>
      </c>
      <c r="AG10" s="118">
        <v>684</v>
      </c>
      <c r="AH10" s="118">
        <v>451</v>
      </c>
      <c r="AI10" s="118">
        <v>1249</v>
      </c>
      <c r="AJ10" s="118">
        <v>1610</v>
      </c>
      <c r="AK10" s="118">
        <v>726</v>
      </c>
      <c r="AL10" s="118">
        <v>525</v>
      </c>
      <c r="AM10" s="118">
        <v>437</v>
      </c>
      <c r="AN10" s="118">
        <v>525</v>
      </c>
      <c r="AO10" s="118">
        <v>820</v>
      </c>
      <c r="AP10" s="118">
        <v>570</v>
      </c>
      <c r="AQ10" s="118">
        <v>661</v>
      </c>
      <c r="AR10" s="118">
        <v>674</v>
      </c>
      <c r="AS10" s="118">
        <v>984</v>
      </c>
      <c r="AT10" s="118">
        <v>702</v>
      </c>
      <c r="AU10" s="118">
        <v>726</v>
      </c>
      <c r="AV10" s="118">
        <v>746</v>
      </c>
      <c r="AW10" s="118">
        <v>1123</v>
      </c>
      <c r="AX10" s="118">
        <v>779</v>
      </c>
      <c r="AY10" s="118">
        <v>909</v>
      </c>
      <c r="AZ10" s="118">
        <v>968</v>
      </c>
      <c r="BA10" s="118">
        <v>1814</v>
      </c>
      <c r="BB10" s="118">
        <v>1518</v>
      </c>
      <c r="BC10" s="118">
        <f>'[3]15 Salários NL'!$H$11</f>
        <v>1737</v>
      </c>
    </row>
    <row r="11" spans="1:55" x14ac:dyDescent="0.2">
      <c r="A11" t="s">
        <v>128</v>
      </c>
      <c r="B11" t="s">
        <v>728</v>
      </c>
      <c r="D11" s="129" t="str">
        <f>IF([1]RENAME!$H$3=1,B11,A11)</f>
        <v>Outras</v>
      </c>
      <c r="E11" s="118">
        <v>2609</v>
      </c>
      <c r="F11" s="118">
        <v>1259</v>
      </c>
      <c r="G11" s="160">
        <v>1481</v>
      </c>
      <c r="H11" s="118">
        <v>1189</v>
      </c>
      <c r="I11" s="118">
        <v>1311</v>
      </c>
      <c r="J11" s="118">
        <v>1459</v>
      </c>
      <c r="K11" s="118">
        <v>1271</v>
      </c>
      <c r="L11" s="118">
        <v>600</v>
      </c>
      <c r="M11" s="118">
        <v>905</v>
      </c>
      <c r="N11" s="118">
        <v>805</v>
      </c>
      <c r="O11" s="118">
        <v>908</v>
      </c>
      <c r="P11" s="118">
        <v>690</v>
      </c>
      <c r="Q11" s="118">
        <v>863</v>
      </c>
      <c r="R11" s="118">
        <v>683</v>
      </c>
      <c r="S11" s="118">
        <v>562</v>
      </c>
      <c r="T11" s="118">
        <v>719</v>
      </c>
      <c r="U11" s="118">
        <v>1216</v>
      </c>
      <c r="V11" s="118">
        <v>1943</v>
      </c>
      <c r="W11" s="118">
        <v>758</v>
      </c>
      <c r="X11" s="118">
        <v>834</v>
      </c>
      <c r="Y11" s="118">
        <v>909</v>
      </c>
      <c r="Z11" s="118">
        <v>2056</v>
      </c>
      <c r="AA11" s="118">
        <v>813</v>
      </c>
      <c r="AB11" s="118">
        <v>588</v>
      </c>
      <c r="AC11" s="118">
        <v>1086</v>
      </c>
      <c r="AD11" s="118">
        <v>2153</v>
      </c>
      <c r="AE11" s="118">
        <v>603</v>
      </c>
      <c r="AF11" s="118">
        <v>567</v>
      </c>
      <c r="AG11" s="118">
        <v>977</v>
      </c>
      <c r="AH11" s="118">
        <v>1582</v>
      </c>
      <c r="AI11" s="118">
        <v>640</v>
      </c>
      <c r="AJ11" s="118">
        <v>673</v>
      </c>
      <c r="AK11" s="118">
        <v>1464</v>
      </c>
      <c r="AL11" s="118">
        <v>2194</v>
      </c>
      <c r="AM11" s="118">
        <v>908</v>
      </c>
      <c r="AN11" s="118">
        <v>894</v>
      </c>
      <c r="AO11" s="118">
        <v>1534</v>
      </c>
      <c r="AP11" s="118">
        <v>2571</v>
      </c>
      <c r="AQ11" s="118">
        <v>1025</v>
      </c>
      <c r="AR11" s="118">
        <v>1511</v>
      </c>
      <c r="AS11" s="118">
        <v>2022</v>
      </c>
      <c r="AT11" s="118">
        <v>2887</v>
      </c>
      <c r="AU11" s="118">
        <v>1172</v>
      </c>
      <c r="AV11" s="118">
        <v>1166</v>
      </c>
      <c r="AW11" s="118">
        <v>1734</v>
      </c>
      <c r="AX11" s="118">
        <v>3154</v>
      </c>
      <c r="AY11" s="118">
        <v>1354</v>
      </c>
      <c r="AZ11" s="118">
        <v>1215</v>
      </c>
      <c r="BA11" s="118">
        <v>1974</v>
      </c>
      <c r="BB11" s="118">
        <v>3130</v>
      </c>
      <c r="BC11" s="118">
        <f>'[3]15 Salários NL'!$H$12</f>
        <v>1121</v>
      </c>
    </row>
    <row r="12" spans="1:55" s="310" customFormat="1" hidden="1" outlineLevel="1" x14ac:dyDescent="0.2">
      <c r="A12" s="310" t="s">
        <v>282</v>
      </c>
      <c r="B12" s="310" t="s">
        <v>974</v>
      </c>
      <c r="D12" s="317" t="str">
        <f>IF([1]RENAME!$H$3=1,B12,A12)</f>
        <v>Salários a pagar</v>
      </c>
      <c r="E12" s="311">
        <v>185</v>
      </c>
      <c r="F12" s="311">
        <v>4</v>
      </c>
      <c r="G12" s="318">
        <v>23</v>
      </c>
      <c r="H12" s="311">
        <v>0</v>
      </c>
      <c r="I12" s="311">
        <v>0</v>
      </c>
      <c r="J12" s="311">
        <v>0</v>
      </c>
      <c r="K12" s="311">
        <v>0</v>
      </c>
      <c r="L12" s="311">
        <v>0</v>
      </c>
      <c r="M12" s="311">
        <v>0</v>
      </c>
      <c r="N12" s="311">
        <v>0</v>
      </c>
      <c r="O12" s="311">
        <v>0</v>
      </c>
      <c r="P12" s="311">
        <v>0</v>
      </c>
      <c r="Q12" s="311">
        <v>0</v>
      </c>
      <c r="R12" s="311">
        <v>0</v>
      </c>
      <c r="S12" s="311">
        <v>0</v>
      </c>
      <c r="T12" s="118">
        <v>0</v>
      </c>
      <c r="U12" s="118">
        <v>0</v>
      </c>
      <c r="V12" s="118">
        <v>0</v>
      </c>
      <c r="W12" s="118">
        <v>0</v>
      </c>
      <c r="X12" s="118">
        <v>0</v>
      </c>
      <c r="Y12" s="118">
        <v>0</v>
      </c>
      <c r="Z12" s="118">
        <v>0</v>
      </c>
      <c r="AA12" s="118"/>
      <c r="AB12" s="118">
        <v>0</v>
      </c>
      <c r="AC12" s="118">
        <v>0</v>
      </c>
      <c r="AD12" s="118">
        <v>0</v>
      </c>
      <c r="AE12" s="118">
        <v>0</v>
      </c>
      <c r="AF12" s="118">
        <v>0</v>
      </c>
      <c r="AG12" s="118">
        <v>0</v>
      </c>
      <c r="AH12" s="118">
        <v>0</v>
      </c>
      <c r="AI12" s="118">
        <v>0</v>
      </c>
      <c r="AJ12" s="118">
        <v>0</v>
      </c>
      <c r="AK12" s="118">
        <v>0</v>
      </c>
      <c r="AL12" s="118">
        <v>0</v>
      </c>
      <c r="AM12" s="118">
        <v>0</v>
      </c>
      <c r="AN12" s="118">
        <v>0</v>
      </c>
      <c r="AO12" s="118">
        <v>0</v>
      </c>
      <c r="AP12" s="118">
        <v>0</v>
      </c>
      <c r="AQ12" s="118">
        <v>0</v>
      </c>
      <c r="AR12" s="118">
        <v>0</v>
      </c>
      <c r="AS12" s="118">
        <v>0</v>
      </c>
      <c r="AT12" s="118">
        <v>0</v>
      </c>
      <c r="AU12" s="118"/>
      <c r="AV12" s="118"/>
      <c r="AW12" s="118"/>
      <c r="AX12" s="118"/>
      <c r="AY12" s="118">
        <v>0</v>
      </c>
      <c r="AZ12" s="118">
        <v>0</v>
      </c>
      <c r="BA12" s="118">
        <v>0</v>
      </c>
      <c r="BB12" s="118">
        <v>0</v>
      </c>
      <c r="BC12" s="118">
        <v>0</v>
      </c>
    </row>
    <row r="13" spans="1:55" collapsed="1" x14ac:dyDescent="0.2">
      <c r="A13" t="s">
        <v>112</v>
      </c>
      <c r="B13" t="s">
        <v>112</v>
      </c>
      <c r="D13" s="126" t="str">
        <f>IF([1]RENAME!$H$3=1,B13,A13)</f>
        <v>Total</v>
      </c>
      <c r="E13" s="120">
        <f t="shared" ref="E13:S13" si="11">SUM(E6:E12)</f>
        <v>42636</v>
      </c>
      <c r="F13" s="120">
        <f t="shared" si="11"/>
        <v>30217</v>
      </c>
      <c r="G13" s="162">
        <f t="shared" si="11"/>
        <v>26005</v>
      </c>
      <c r="H13" s="120">
        <f t="shared" si="11"/>
        <v>32385</v>
      </c>
      <c r="I13" s="120">
        <f t="shared" si="11"/>
        <v>31728</v>
      </c>
      <c r="J13" s="120">
        <f t="shared" si="11"/>
        <v>30293</v>
      </c>
      <c r="K13" s="120">
        <f t="shared" si="11"/>
        <v>27767</v>
      </c>
      <c r="L13" s="120">
        <f t="shared" si="11"/>
        <v>31042</v>
      </c>
      <c r="M13" s="120">
        <f t="shared" si="11"/>
        <v>29908</v>
      </c>
      <c r="N13" s="120">
        <f t="shared" si="11"/>
        <v>27283</v>
      </c>
      <c r="O13" s="120">
        <f t="shared" si="11"/>
        <v>28528</v>
      </c>
      <c r="P13" s="120">
        <f t="shared" si="11"/>
        <v>31823</v>
      </c>
      <c r="Q13" s="120">
        <f t="shared" si="11"/>
        <v>27489</v>
      </c>
      <c r="R13" s="120">
        <f t="shared" si="11"/>
        <v>27662</v>
      </c>
      <c r="S13" s="120">
        <f t="shared" si="11"/>
        <v>22533</v>
      </c>
      <c r="T13" s="120">
        <f t="shared" ref="T13:AC13" si="12">SUM(T6:T12)</f>
        <v>26587</v>
      </c>
      <c r="U13" s="120">
        <f t="shared" si="12"/>
        <v>24644</v>
      </c>
      <c r="V13" s="120">
        <f t="shared" si="12"/>
        <v>20662</v>
      </c>
      <c r="W13" s="120">
        <f t="shared" si="12"/>
        <v>22290</v>
      </c>
      <c r="X13" s="120">
        <f t="shared" si="12"/>
        <v>26340</v>
      </c>
      <c r="Y13" s="120">
        <f t="shared" si="12"/>
        <v>24261</v>
      </c>
      <c r="Z13" s="120">
        <f t="shared" si="12"/>
        <v>20598</v>
      </c>
      <c r="AA13" s="120">
        <f t="shared" si="12"/>
        <v>24268</v>
      </c>
      <c r="AB13" s="120">
        <f t="shared" si="12"/>
        <v>28162</v>
      </c>
      <c r="AC13" s="120">
        <f t="shared" si="12"/>
        <v>26263</v>
      </c>
      <c r="AD13" s="120">
        <f t="shared" ref="AD13:AL13" si="13">SUM(AD6:AD12)</f>
        <v>22000</v>
      </c>
      <c r="AE13" s="120">
        <f t="shared" si="13"/>
        <v>24867</v>
      </c>
      <c r="AF13" s="120">
        <f t="shared" si="13"/>
        <v>26129</v>
      </c>
      <c r="AG13" s="120">
        <f t="shared" si="13"/>
        <v>20741</v>
      </c>
      <c r="AH13" s="120">
        <f t="shared" si="13"/>
        <v>18015</v>
      </c>
      <c r="AI13" s="120">
        <f t="shared" si="13"/>
        <v>21742</v>
      </c>
      <c r="AJ13" s="120">
        <f t="shared" si="13"/>
        <v>25599</v>
      </c>
      <c r="AK13" s="120">
        <f t="shared" si="13"/>
        <v>24456</v>
      </c>
      <c r="AL13" s="120">
        <f t="shared" si="13"/>
        <v>20259</v>
      </c>
      <c r="AM13" s="120">
        <f>SUM(AM6:AM12)</f>
        <v>22848</v>
      </c>
      <c r="AN13" s="120">
        <f>SUM(AN6:AN12)</f>
        <v>26993</v>
      </c>
      <c r="AO13" s="120">
        <f t="shared" ref="AO13:AU13" si="14">SUM(AO6:AO11)</f>
        <v>26361</v>
      </c>
      <c r="AP13" s="120">
        <f t="shared" si="14"/>
        <v>22583</v>
      </c>
      <c r="AQ13" s="120">
        <f t="shared" si="14"/>
        <v>27637</v>
      </c>
      <c r="AR13" s="120">
        <f t="shared" si="14"/>
        <v>32381</v>
      </c>
      <c r="AS13" s="120">
        <f t="shared" si="14"/>
        <v>30229</v>
      </c>
      <c r="AT13" s="120">
        <f t="shared" si="14"/>
        <v>25225</v>
      </c>
      <c r="AU13" s="120">
        <f t="shared" si="14"/>
        <v>30130</v>
      </c>
      <c r="AV13" s="120">
        <f t="shared" ref="AV13:BA13" si="15">SUM(AV6:AV11)</f>
        <v>35859</v>
      </c>
      <c r="AW13" s="120">
        <f t="shared" si="15"/>
        <v>33430</v>
      </c>
      <c r="AX13" s="120">
        <f t="shared" si="15"/>
        <v>29483</v>
      </c>
      <c r="AY13" s="120">
        <f t="shared" si="15"/>
        <v>37558</v>
      </c>
      <c r="AZ13" s="120">
        <f t="shared" si="15"/>
        <v>44342</v>
      </c>
      <c r="BA13" s="120">
        <f t="shared" si="15"/>
        <v>42682</v>
      </c>
      <c r="BB13" s="120">
        <f>SUM(BB6:BB11)</f>
        <v>37527</v>
      </c>
      <c r="BC13" s="120">
        <f>SUM(BC6:BC11)</f>
        <v>45523</v>
      </c>
    </row>
    <row r="14" spans="1:55" s="553" customFormat="1" x14ac:dyDescent="0.2">
      <c r="D14" s="601"/>
      <c r="E14" s="602">
        <f>+E13-BP!T49</f>
        <v>0</v>
      </c>
      <c r="F14" s="602">
        <f>+F13-BP!U49</f>
        <v>0</v>
      </c>
      <c r="G14" s="602">
        <f>+G13-BP!V49</f>
        <v>0</v>
      </c>
      <c r="H14" s="602">
        <f>+H13-BP!W49</f>
        <v>0</v>
      </c>
      <c r="I14" s="602">
        <f>+I13-BP!X49</f>
        <v>0</v>
      </c>
      <c r="J14" s="602">
        <f>+J13-BP!Y49</f>
        <v>0</v>
      </c>
      <c r="K14" s="602">
        <f>+K13-BP!Z49</f>
        <v>0</v>
      </c>
      <c r="L14" s="602">
        <f>+L13-BP!AA49</f>
        <v>0</v>
      </c>
      <c r="M14" s="602">
        <f>+M13-BP!AB49</f>
        <v>0</v>
      </c>
      <c r="N14" s="602">
        <f>+N13-BP!AC49</f>
        <v>0</v>
      </c>
      <c r="O14" s="602">
        <f>+O13-BP!AD49</f>
        <v>0</v>
      </c>
      <c r="P14" s="602">
        <f>+P13-BP!AE49</f>
        <v>0</v>
      </c>
      <c r="Q14" s="602">
        <f>+Q13-BP!AF49</f>
        <v>0</v>
      </c>
      <c r="R14" s="602">
        <f>+R13-BP!AG49</f>
        <v>0</v>
      </c>
      <c r="S14" s="602">
        <f>+S13-BP!AH49</f>
        <v>0</v>
      </c>
      <c r="T14" s="602">
        <f>+T13-BP!AI49</f>
        <v>0</v>
      </c>
      <c r="U14" s="602">
        <f>+U13-BP!AK49</f>
        <v>3982</v>
      </c>
      <c r="V14" s="602">
        <f>+V13-BP!AL49</f>
        <v>-1628</v>
      </c>
      <c r="W14" s="602">
        <f>+W13-BP!AM49</f>
        <v>-4050</v>
      </c>
      <c r="X14" s="602">
        <f>+X13-BP!AN49</f>
        <v>2079</v>
      </c>
      <c r="Y14" s="602">
        <f>+Y13-BP!AO49</f>
        <v>3663</v>
      </c>
      <c r="Z14" s="602">
        <f>+Z13-BP!AR49</f>
        <v>-5665</v>
      </c>
      <c r="AA14" s="602"/>
      <c r="AB14" s="602">
        <v>28162</v>
      </c>
      <c r="AC14" s="602">
        <f>+AC13-BP!AS49</f>
        <v>4263</v>
      </c>
      <c r="AD14" s="602">
        <f>+AD13-BP!AT49</f>
        <v>-2867</v>
      </c>
      <c r="AE14" s="602">
        <f>+AE13-BP!AU49</f>
        <v>-1262</v>
      </c>
      <c r="AF14" s="602">
        <f>+AF13-BP!AV49</f>
        <v>5388</v>
      </c>
      <c r="AG14" s="602">
        <f>+AG13-BP!AX49</f>
        <v>-1001</v>
      </c>
      <c r="AH14" s="602">
        <f>+AH13-BP!AY49</f>
        <v>-7584</v>
      </c>
      <c r="AI14" s="602">
        <f>+AI13-BP!BB49</f>
        <v>-1106</v>
      </c>
      <c r="AJ14" s="602">
        <v>25599</v>
      </c>
      <c r="AK14" s="602"/>
      <c r="AL14" s="602">
        <v>20259</v>
      </c>
      <c r="AM14" s="602">
        <f>+AM13-BP!BD49</f>
        <v>-3513</v>
      </c>
      <c r="AN14" s="602">
        <f>+AN13-BP!BE49</f>
        <v>4410</v>
      </c>
      <c r="AO14" s="602">
        <f>+AO13-BP!BF49</f>
        <v>-1276</v>
      </c>
      <c r="AP14" s="602">
        <f>+AP13-BP!BG49</f>
        <v>-9798</v>
      </c>
      <c r="AQ14" s="602">
        <f>+AQ13-BP!BH49</f>
        <v>-2592</v>
      </c>
      <c r="AR14" s="602">
        <f>+AR13-BP!BO49</f>
        <v>-11961</v>
      </c>
      <c r="AS14" s="602">
        <f>+AS13-BP!BS49</f>
        <v>30229</v>
      </c>
      <c r="AT14" s="602">
        <f>+AT13-BP!BT49</f>
        <v>25225</v>
      </c>
      <c r="AU14" s="602"/>
      <c r="AV14" s="602"/>
      <c r="AW14" s="602"/>
      <c r="AX14" s="602">
        <f>+AX13-BP!BT49</f>
        <v>29483</v>
      </c>
      <c r="AY14" s="602">
        <f>+AY13-BP!BU49</f>
        <v>37558</v>
      </c>
      <c r="AZ14" s="602">
        <f>+AZ13-BP!BV49</f>
        <v>44342</v>
      </c>
      <c r="BA14" s="602">
        <f>+BA13-BP!BW49</f>
        <v>42682</v>
      </c>
      <c r="BB14" s="602">
        <f>+BB13-BP!BX49</f>
        <v>37527</v>
      </c>
      <c r="BC14" s="602">
        <f>+BC13-BP!BX49</f>
        <v>45523</v>
      </c>
    </row>
    <row r="15" spans="1:55" x14ac:dyDescent="0.2">
      <c r="A15" t="s">
        <v>97</v>
      </c>
      <c r="B15" t="s">
        <v>872</v>
      </c>
      <c r="D15" s="145" t="str">
        <f>IF([1]RENAME!$H$3=1,B15,A15)</f>
        <v>Controladora</v>
      </c>
      <c r="E15" s="115">
        <f>E5</f>
        <v>2013</v>
      </c>
      <c r="F15" s="115" t="str">
        <f t="shared" ref="F15:T15" si="16">F5</f>
        <v>1T14</v>
      </c>
      <c r="G15" s="115" t="str">
        <f t="shared" si="16"/>
        <v>2T14</v>
      </c>
      <c r="H15" s="115" t="str">
        <f t="shared" si="16"/>
        <v>3T14</v>
      </c>
      <c r="I15" s="115" t="str">
        <f t="shared" si="16"/>
        <v>4T14</v>
      </c>
      <c r="J15" s="115" t="str">
        <f t="shared" si="16"/>
        <v>1T15</v>
      </c>
      <c r="K15" s="115" t="str">
        <f t="shared" si="16"/>
        <v>2T15</v>
      </c>
      <c r="L15" s="115" t="str">
        <f t="shared" si="16"/>
        <v>3T15</v>
      </c>
      <c r="M15" s="115" t="str">
        <f t="shared" si="16"/>
        <v>4T15</v>
      </c>
      <c r="N15" s="115" t="str">
        <f t="shared" si="16"/>
        <v>1T16</v>
      </c>
      <c r="O15" s="115" t="str">
        <f t="shared" si="16"/>
        <v>2T16</v>
      </c>
      <c r="P15" s="115" t="str">
        <f t="shared" si="16"/>
        <v>3T16</v>
      </c>
      <c r="Q15" s="115" t="str">
        <f t="shared" si="16"/>
        <v>4T16</v>
      </c>
      <c r="R15" s="115" t="str">
        <f t="shared" si="16"/>
        <v>1T17</v>
      </c>
      <c r="S15" s="115" t="str">
        <f t="shared" si="16"/>
        <v>2T17</v>
      </c>
      <c r="T15" s="115" t="str">
        <f t="shared" si="16"/>
        <v>3T17</v>
      </c>
      <c r="U15" s="115" t="str">
        <f t="shared" ref="U15:AC15" si="17">U5</f>
        <v>4T17</v>
      </c>
      <c r="V15" s="115" t="str">
        <f t="shared" si="17"/>
        <v>1T18</v>
      </c>
      <c r="W15" s="115" t="str">
        <f t="shared" si="17"/>
        <v>2T18</v>
      </c>
      <c r="X15" s="115" t="str">
        <f t="shared" si="17"/>
        <v>3T18</v>
      </c>
      <c r="Y15" s="115" t="str">
        <f t="shared" si="17"/>
        <v>4T18</v>
      </c>
      <c r="Z15" s="115" t="str">
        <f t="shared" si="17"/>
        <v>1T19</v>
      </c>
      <c r="AA15" s="115" t="str">
        <f t="shared" si="17"/>
        <v>2T19</v>
      </c>
      <c r="AB15" s="115" t="str">
        <f t="shared" si="17"/>
        <v>3T19</v>
      </c>
      <c r="AC15" s="115" t="str">
        <f t="shared" si="17"/>
        <v>4T19</v>
      </c>
      <c r="AD15" s="115" t="str">
        <f t="shared" ref="AD15:AL15" si="18">AD5</f>
        <v>1T20</v>
      </c>
      <c r="AE15" s="115" t="str">
        <f t="shared" si="18"/>
        <v>2T20</v>
      </c>
      <c r="AF15" s="115" t="str">
        <f t="shared" si="18"/>
        <v>3T20</v>
      </c>
      <c r="AG15" s="115" t="str">
        <f t="shared" si="18"/>
        <v>4T20</v>
      </c>
      <c r="AH15" s="115" t="str">
        <f t="shared" si="18"/>
        <v>1T21</v>
      </c>
      <c r="AI15" s="115" t="str">
        <f t="shared" si="18"/>
        <v>2T21</v>
      </c>
      <c r="AJ15" s="115" t="str">
        <f t="shared" si="18"/>
        <v>3T21</v>
      </c>
      <c r="AK15" s="115" t="str">
        <f t="shared" si="18"/>
        <v>4T21</v>
      </c>
      <c r="AL15" s="115" t="str">
        <f t="shared" si="18"/>
        <v>1T22</v>
      </c>
      <c r="AM15" s="115" t="str">
        <f t="shared" ref="AM15:AR15" si="19">AM5</f>
        <v>2T22</v>
      </c>
      <c r="AN15" s="115" t="str">
        <f t="shared" si="19"/>
        <v>3T22</v>
      </c>
      <c r="AO15" s="115" t="str">
        <f t="shared" si="19"/>
        <v>4T22</v>
      </c>
      <c r="AP15" s="115" t="str">
        <f t="shared" si="19"/>
        <v>1T23</v>
      </c>
      <c r="AQ15" s="115" t="str">
        <f t="shared" si="19"/>
        <v>2T23</v>
      </c>
      <c r="AR15" s="115" t="str">
        <f t="shared" si="19"/>
        <v>3T23</v>
      </c>
      <c r="AS15" s="115" t="str">
        <f t="shared" ref="AS15:AY15" si="20">AS5</f>
        <v>4T23</v>
      </c>
      <c r="AT15" s="115" t="str">
        <f t="shared" si="20"/>
        <v>1T24</v>
      </c>
      <c r="AU15" s="115" t="str">
        <f t="shared" si="20"/>
        <v>2T24</v>
      </c>
      <c r="AV15" s="115" t="str">
        <f t="shared" si="20"/>
        <v>3T24</v>
      </c>
      <c r="AW15" s="115" t="str">
        <f t="shared" si="20"/>
        <v>4T24</v>
      </c>
      <c r="AX15" s="115" t="str">
        <f t="shared" si="20"/>
        <v>1T25</v>
      </c>
      <c r="AY15" s="115" t="str">
        <f t="shared" si="20"/>
        <v>2T25</v>
      </c>
      <c r="AZ15" s="115" t="str">
        <f>AZ5</f>
        <v>3T25</v>
      </c>
      <c r="BA15" s="115" t="str">
        <f>BA5</f>
        <v>4T25</v>
      </c>
      <c r="BB15" s="247" t="str">
        <f>BB5</f>
        <v>1T26</v>
      </c>
      <c r="BC15" s="115" t="str">
        <f>BC5</f>
        <v>2T26</v>
      </c>
    </row>
    <row r="16" spans="1:55" x14ac:dyDescent="0.2">
      <c r="A16" t="s">
        <v>492</v>
      </c>
      <c r="B16" t="s">
        <v>971</v>
      </c>
      <c r="D16" s="129" t="str">
        <f>IF([1]RENAME!$H$3=1,B16,A16)</f>
        <v>Férias a pagar</v>
      </c>
      <c r="E16" s="118">
        <v>11862</v>
      </c>
      <c r="F16" s="118">
        <v>7996</v>
      </c>
      <c r="G16" s="160">
        <v>8269</v>
      </c>
      <c r="H16" s="118">
        <v>8384</v>
      </c>
      <c r="I16" s="118">
        <v>9184</v>
      </c>
      <c r="J16" s="118">
        <v>8498</v>
      </c>
      <c r="K16" s="118">
        <v>8486</v>
      </c>
      <c r="L16" s="118">
        <v>7987</v>
      </c>
      <c r="M16" s="118">
        <v>9324</v>
      </c>
      <c r="N16" s="118">
        <v>7309</v>
      </c>
      <c r="O16" s="118">
        <v>8087</v>
      </c>
      <c r="P16" s="118">
        <v>8065</v>
      </c>
      <c r="Q16" s="118">
        <v>8912</v>
      </c>
      <c r="R16" s="118">
        <v>7759</v>
      </c>
      <c r="S16" s="118">
        <v>8437</v>
      </c>
      <c r="T16" s="118">
        <v>8930</v>
      </c>
      <c r="U16" s="118">
        <v>9632</v>
      </c>
      <c r="V16" s="118">
        <v>8328</v>
      </c>
      <c r="W16" s="118">
        <v>9028</v>
      </c>
      <c r="X16" s="118">
        <v>9397</v>
      </c>
      <c r="Y16" s="118">
        <v>10138</v>
      </c>
      <c r="Z16" s="118">
        <v>9076</v>
      </c>
      <c r="AA16" s="118">
        <v>9543</v>
      </c>
      <c r="AB16" s="118">
        <v>9876</v>
      </c>
      <c r="AC16" s="118">
        <v>10778</v>
      </c>
      <c r="AD16" s="118">
        <v>8854</v>
      </c>
      <c r="AE16" s="118">
        <v>7586</v>
      </c>
      <c r="AF16" s="118">
        <v>8059</v>
      </c>
      <c r="AG16" s="118">
        <v>8819</v>
      </c>
      <c r="AH16" s="118">
        <v>7810</v>
      </c>
      <c r="AI16" s="118">
        <v>8158</v>
      </c>
      <c r="AJ16" s="118">
        <v>8781</v>
      </c>
      <c r="AK16" s="118">
        <v>9252</v>
      </c>
      <c r="AL16" s="118">
        <v>8275</v>
      </c>
      <c r="AM16" s="118">
        <v>8728</v>
      </c>
      <c r="AN16" s="118">
        <v>9087</v>
      </c>
      <c r="AO16" s="118">
        <v>10933</v>
      </c>
      <c r="AP16" s="118">
        <v>9788</v>
      </c>
      <c r="AQ16" s="118">
        <v>10773</v>
      </c>
      <c r="AR16" s="118">
        <v>10796</v>
      </c>
      <c r="AS16" s="118">
        <v>12011</v>
      </c>
      <c r="AT16" s="118">
        <v>10397</v>
      </c>
      <c r="AU16" s="118">
        <v>11429</v>
      </c>
      <c r="AV16" s="118">
        <v>12171</v>
      </c>
      <c r="AW16" s="118">
        <v>13667</v>
      </c>
      <c r="AX16" s="118">
        <v>12345</v>
      </c>
      <c r="AY16" s="118">
        <v>13842</v>
      </c>
      <c r="AZ16" s="118">
        <v>14360</v>
      </c>
      <c r="BA16" s="118">
        <v>15883</v>
      </c>
      <c r="BB16" s="118">
        <v>14983</v>
      </c>
      <c r="BC16" s="118">
        <f>'[3]15 Salários NL'!$D$7</f>
        <v>15941</v>
      </c>
    </row>
    <row r="17" spans="1:55" x14ac:dyDescent="0.2">
      <c r="A17" t="s">
        <v>493</v>
      </c>
      <c r="B17" t="s">
        <v>972</v>
      </c>
      <c r="D17" s="129" t="str">
        <f>IF([1]RENAME!$H$3=1,B17,A17)</f>
        <v>Gratificações e participação nos lucros a pagar</v>
      </c>
      <c r="E17" s="118">
        <v>9374</v>
      </c>
      <c r="F17" s="118">
        <v>6878</v>
      </c>
      <c r="G17" s="160">
        <v>5737</v>
      </c>
      <c r="H17" s="118">
        <v>7609</v>
      </c>
      <c r="I17" s="118">
        <v>9480</v>
      </c>
      <c r="J17" s="118">
        <v>8230</v>
      </c>
      <c r="K17" s="118">
        <v>3863</v>
      </c>
      <c r="L17" s="118">
        <v>6096</v>
      </c>
      <c r="M17" s="118">
        <v>6938</v>
      </c>
      <c r="N17" s="118">
        <v>6037</v>
      </c>
      <c r="O17" s="118">
        <v>4224</v>
      </c>
      <c r="P17" s="118">
        <v>5725</v>
      </c>
      <c r="Q17" s="118">
        <v>6014</v>
      </c>
      <c r="R17" s="118">
        <v>6470</v>
      </c>
      <c r="S17" s="118">
        <v>3913</v>
      </c>
      <c r="T17" s="118">
        <v>5228</v>
      </c>
      <c r="U17" s="118">
        <v>7014</v>
      </c>
      <c r="V17" s="118">
        <v>3177</v>
      </c>
      <c r="W17" s="118">
        <v>3726</v>
      </c>
      <c r="X17" s="118">
        <v>5203</v>
      </c>
      <c r="Y17" s="118">
        <v>7402</v>
      </c>
      <c r="Z17" s="118">
        <v>2728</v>
      </c>
      <c r="AA17" s="118">
        <v>4549</v>
      </c>
      <c r="AB17" s="118">
        <v>6126</v>
      </c>
      <c r="AC17" s="118">
        <v>8386</v>
      </c>
      <c r="AD17" s="118">
        <v>3580</v>
      </c>
      <c r="AE17" s="118">
        <v>4051</v>
      </c>
      <c r="AF17" s="118">
        <v>4471</v>
      </c>
      <c r="AG17" s="118">
        <v>5718</v>
      </c>
      <c r="AH17" s="118">
        <v>2310</v>
      </c>
      <c r="AI17" s="118">
        <v>4163</v>
      </c>
      <c r="AJ17" s="118">
        <v>5195</v>
      </c>
      <c r="AK17" s="118">
        <v>7967</v>
      </c>
      <c r="AL17" s="118">
        <v>2926</v>
      </c>
      <c r="AM17" s="118">
        <v>4000</v>
      </c>
      <c r="AN17" s="118">
        <v>5604</v>
      </c>
      <c r="AO17" s="118">
        <v>7970</v>
      </c>
      <c r="AP17" s="118">
        <v>2750</v>
      </c>
      <c r="AQ17" s="118">
        <v>5154</v>
      </c>
      <c r="AR17" s="118">
        <v>6984</v>
      </c>
      <c r="AS17" s="118">
        <v>9386</v>
      </c>
      <c r="AT17" s="118">
        <v>3070</v>
      </c>
      <c r="AU17" s="118">
        <v>5337</v>
      </c>
      <c r="AV17" s="118">
        <v>7255</v>
      </c>
      <c r="AW17" s="118">
        <v>9810</v>
      </c>
      <c r="AX17" s="118">
        <v>3137</v>
      </c>
      <c r="AY17" s="118">
        <v>6437</v>
      </c>
      <c r="AZ17" s="118">
        <v>8688</v>
      </c>
      <c r="BA17" s="118">
        <v>11676</v>
      </c>
      <c r="BB17" s="118">
        <v>3408</v>
      </c>
      <c r="BC17" s="118">
        <f>'[3]15 Salários NL'!$D$9</f>
        <v>6540</v>
      </c>
    </row>
    <row r="18" spans="1:55" x14ac:dyDescent="0.2">
      <c r="A18" t="s">
        <v>280</v>
      </c>
      <c r="B18" t="s">
        <v>280</v>
      </c>
      <c r="D18" s="129" t="str">
        <f>IF([1]RENAME!$H$3=1,B18,A18)</f>
        <v>INSS</v>
      </c>
      <c r="E18" s="118">
        <v>4164</v>
      </c>
      <c r="F18" s="118">
        <v>1566</v>
      </c>
      <c r="G18" s="160">
        <v>1744</v>
      </c>
      <c r="H18" s="118">
        <v>3868</v>
      </c>
      <c r="I18" s="118">
        <v>5401</v>
      </c>
      <c r="J18" s="118">
        <v>5328</v>
      </c>
      <c r="K18" s="118">
        <v>5547</v>
      </c>
      <c r="L18" s="118">
        <v>5520</v>
      </c>
      <c r="M18" s="118">
        <v>6617</v>
      </c>
      <c r="N18" s="118">
        <v>6339</v>
      </c>
      <c r="O18" s="118">
        <v>6707</v>
      </c>
      <c r="P18" s="118">
        <v>6488</v>
      </c>
      <c r="Q18" s="118">
        <v>6612</v>
      </c>
      <c r="R18" s="118">
        <v>6333</v>
      </c>
      <c r="S18" s="260">
        <v>1898</v>
      </c>
      <c r="T18" s="118">
        <v>1886</v>
      </c>
      <c r="U18" s="118">
        <v>2020</v>
      </c>
      <c r="V18" s="118">
        <v>2316</v>
      </c>
      <c r="W18" s="118">
        <v>2065</v>
      </c>
      <c r="X18" s="118">
        <v>2149</v>
      </c>
      <c r="Y18" s="118">
        <v>2224</v>
      </c>
      <c r="Z18" s="118">
        <v>2132</v>
      </c>
      <c r="AA18" s="118">
        <v>2302</v>
      </c>
      <c r="AB18" s="118">
        <v>2343</v>
      </c>
      <c r="AC18" s="118">
        <v>2457</v>
      </c>
      <c r="AD18" s="118">
        <v>2280</v>
      </c>
      <c r="AE18" s="118">
        <v>4415</v>
      </c>
      <c r="AF18" s="118">
        <v>3585</v>
      </c>
      <c r="AG18" s="118">
        <v>1912</v>
      </c>
      <c r="AH18" s="118">
        <v>1757</v>
      </c>
      <c r="AI18" s="118">
        <v>1721</v>
      </c>
      <c r="AJ18" s="118">
        <v>1756</v>
      </c>
      <c r="AK18" s="118">
        <v>2134</v>
      </c>
      <c r="AL18" s="118">
        <v>2175</v>
      </c>
      <c r="AM18" s="118">
        <v>2168</v>
      </c>
      <c r="AN18" s="118">
        <v>2191</v>
      </c>
      <c r="AO18" s="118">
        <v>2631</v>
      </c>
      <c r="AP18" s="118">
        <v>2543</v>
      </c>
      <c r="AQ18" s="118">
        <v>2980</v>
      </c>
      <c r="AR18" s="118">
        <v>3007</v>
      </c>
      <c r="AS18" s="118">
        <v>3043</v>
      </c>
      <c r="AT18" s="118">
        <v>2914</v>
      </c>
      <c r="AU18" s="118">
        <v>3072</v>
      </c>
      <c r="AV18" s="118">
        <v>3339</v>
      </c>
      <c r="AW18" s="118">
        <v>3281</v>
      </c>
      <c r="AX18" s="118">
        <v>3895</v>
      </c>
      <c r="AY18" s="118">
        <v>4942</v>
      </c>
      <c r="AZ18" s="118">
        <v>5697</v>
      </c>
      <c r="BA18" s="118">
        <v>7060</v>
      </c>
      <c r="BB18" s="118">
        <v>7087</v>
      </c>
      <c r="BC18" s="118">
        <f>'[3]15 Salários NL'!$D$8</f>
        <v>8259</v>
      </c>
    </row>
    <row r="19" spans="1:55" x14ac:dyDescent="0.2">
      <c r="A19" t="s">
        <v>283</v>
      </c>
      <c r="B19" t="s">
        <v>973</v>
      </c>
      <c r="D19" s="129" t="str">
        <f>IF([1]RENAME!$H$3=1,B19,A19)</f>
        <v>Provisão para 13° salário</v>
      </c>
      <c r="E19" s="118">
        <v>0</v>
      </c>
      <c r="F19" s="118">
        <v>1538</v>
      </c>
      <c r="G19" s="160">
        <v>2971</v>
      </c>
      <c r="H19" s="118">
        <v>4440</v>
      </c>
      <c r="I19" s="118">
        <v>0</v>
      </c>
      <c r="J19" s="118">
        <v>1620</v>
      </c>
      <c r="K19" s="118">
        <v>2974</v>
      </c>
      <c r="L19" s="118">
        <v>4238</v>
      </c>
      <c r="M19" s="118"/>
      <c r="N19" s="118">
        <v>1415</v>
      </c>
      <c r="O19" s="118">
        <v>2852</v>
      </c>
      <c r="P19" s="118">
        <v>4208</v>
      </c>
      <c r="Q19" s="118">
        <v>0</v>
      </c>
      <c r="R19" s="118">
        <v>1486</v>
      </c>
      <c r="S19" s="118">
        <v>2980</v>
      </c>
      <c r="T19" s="118">
        <v>4540</v>
      </c>
      <c r="U19" s="118">
        <v>0</v>
      </c>
      <c r="V19" s="118">
        <v>1568</v>
      </c>
      <c r="W19" s="118">
        <v>3221</v>
      </c>
      <c r="X19" s="118">
        <v>4823</v>
      </c>
      <c r="Y19" s="118">
        <v>0</v>
      </c>
      <c r="Z19" s="118">
        <v>1720</v>
      </c>
      <c r="AA19" s="118">
        <v>3496</v>
      </c>
      <c r="AB19" s="118">
        <v>5240</v>
      </c>
      <c r="AC19" s="118">
        <v>0</v>
      </c>
      <c r="AD19" s="118">
        <v>1765</v>
      </c>
      <c r="AE19" s="118">
        <v>2618</v>
      </c>
      <c r="AF19" s="118">
        <v>4049</v>
      </c>
      <c r="AG19" s="118">
        <v>0</v>
      </c>
      <c r="AH19" s="118">
        <v>1410</v>
      </c>
      <c r="AI19" s="118">
        <v>2807</v>
      </c>
      <c r="AJ19" s="118">
        <v>4113</v>
      </c>
      <c r="AK19" s="118">
        <v>0</v>
      </c>
      <c r="AL19" s="118">
        <v>1497</v>
      </c>
      <c r="AM19" s="118">
        <v>3076</v>
      </c>
      <c r="AN19" s="118">
        <v>4607</v>
      </c>
      <c r="AO19" s="118">
        <v>0</v>
      </c>
      <c r="AP19" s="118">
        <v>1920</v>
      </c>
      <c r="AQ19" s="118">
        <v>3978</v>
      </c>
      <c r="AR19" s="118">
        <v>5854</v>
      </c>
      <c r="AS19" s="118">
        <v>0</v>
      </c>
      <c r="AT19" s="118">
        <v>2039</v>
      </c>
      <c r="AU19" s="118">
        <v>4259</v>
      </c>
      <c r="AV19" s="118">
        <v>6590</v>
      </c>
      <c r="AW19" s="118">
        <v>0</v>
      </c>
      <c r="AX19" s="118">
        <v>2376</v>
      </c>
      <c r="AY19" s="118">
        <v>5100</v>
      </c>
      <c r="AZ19" s="118">
        <v>7789</v>
      </c>
      <c r="BA19" s="118">
        <v>0</v>
      </c>
      <c r="BB19" s="118">
        <v>2769</v>
      </c>
      <c r="BC19" s="118">
        <f>'[3]15 Salários NL'!$D$10</f>
        <v>5904</v>
      </c>
    </row>
    <row r="20" spans="1:55" ht="12" customHeight="1" x14ac:dyDescent="0.2">
      <c r="A20" t="s">
        <v>281</v>
      </c>
      <c r="B20" t="s">
        <v>281</v>
      </c>
      <c r="D20" s="129" t="str">
        <f>IF([1]RENAME!$H$3=1,B20,A20)</f>
        <v>FGTS</v>
      </c>
      <c r="E20" s="118">
        <v>1489</v>
      </c>
      <c r="F20" s="118">
        <v>343</v>
      </c>
      <c r="G20" s="160">
        <v>255</v>
      </c>
      <c r="H20" s="118">
        <v>425</v>
      </c>
      <c r="I20" s="118">
        <v>551</v>
      </c>
      <c r="J20" s="118">
        <v>307</v>
      </c>
      <c r="K20" s="118">
        <v>365</v>
      </c>
      <c r="L20" s="118">
        <v>366</v>
      </c>
      <c r="M20" s="118">
        <v>609</v>
      </c>
      <c r="N20" s="118">
        <v>352</v>
      </c>
      <c r="O20" s="118">
        <v>450</v>
      </c>
      <c r="P20" s="118">
        <v>666</v>
      </c>
      <c r="Q20" s="118">
        <v>553</v>
      </c>
      <c r="R20" s="118">
        <v>373</v>
      </c>
      <c r="S20" s="118">
        <v>387</v>
      </c>
      <c r="T20" s="118">
        <v>394</v>
      </c>
      <c r="U20" s="118">
        <v>598</v>
      </c>
      <c r="V20" s="118">
        <v>489</v>
      </c>
      <c r="W20" s="118">
        <v>414</v>
      </c>
      <c r="X20" s="118">
        <v>440</v>
      </c>
      <c r="Y20" s="118">
        <v>645</v>
      </c>
      <c r="Z20" s="118">
        <v>437</v>
      </c>
      <c r="AA20" s="118">
        <v>468</v>
      </c>
      <c r="AB20" s="118">
        <v>461</v>
      </c>
      <c r="AC20" s="118">
        <v>696</v>
      </c>
      <c r="AD20" s="118">
        <v>504</v>
      </c>
      <c r="AE20" s="118">
        <v>1120</v>
      </c>
      <c r="AF20" s="118">
        <v>781</v>
      </c>
      <c r="AG20" s="118">
        <v>551</v>
      </c>
      <c r="AH20" s="118">
        <v>357</v>
      </c>
      <c r="AI20" s="118">
        <v>1052</v>
      </c>
      <c r="AJ20" s="118">
        <v>1347</v>
      </c>
      <c r="AK20" s="118">
        <v>598</v>
      </c>
      <c r="AL20" s="118">
        <v>433</v>
      </c>
      <c r="AM20" s="118">
        <v>335</v>
      </c>
      <c r="AN20" s="118">
        <v>424</v>
      </c>
      <c r="AO20" s="118">
        <v>713</v>
      </c>
      <c r="AP20" s="118">
        <v>500</v>
      </c>
      <c r="AQ20" s="118">
        <v>584</v>
      </c>
      <c r="AR20" s="118">
        <v>592</v>
      </c>
      <c r="AS20" s="118">
        <v>861</v>
      </c>
      <c r="AT20" s="118">
        <v>604</v>
      </c>
      <c r="AU20" s="118">
        <v>616</v>
      </c>
      <c r="AV20" s="118">
        <v>629</v>
      </c>
      <c r="AW20" s="118">
        <v>935</v>
      </c>
      <c r="AX20" s="118">
        <v>656</v>
      </c>
      <c r="AY20" s="118">
        <v>778</v>
      </c>
      <c r="AZ20" s="118">
        <v>814</v>
      </c>
      <c r="BA20" s="118">
        <v>1527</v>
      </c>
      <c r="BB20" s="118">
        <v>1271</v>
      </c>
      <c r="BC20" s="118">
        <f>'[3]15 Salários NL'!$D$11</f>
        <v>1472</v>
      </c>
    </row>
    <row r="21" spans="1:55" x14ac:dyDescent="0.2">
      <c r="A21" t="s">
        <v>128</v>
      </c>
      <c r="B21" t="s">
        <v>728</v>
      </c>
      <c r="D21" s="129" t="str">
        <f>IF([1]RENAME!$H$3=1,B21,A21)</f>
        <v>Outras</v>
      </c>
      <c r="E21" s="118">
        <v>1846</v>
      </c>
      <c r="F21" s="118">
        <v>803</v>
      </c>
      <c r="G21" s="160">
        <v>1251</v>
      </c>
      <c r="H21" s="118">
        <v>1070</v>
      </c>
      <c r="I21" s="118">
        <v>1124</v>
      </c>
      <c r="J21" s="118">
        <v>1152</v>
      </c>
      <c r="K21" s="118">
        <v>1132</v>
      </c>
      <c r="L21" s="118">
        <v>495</v>
      </c>
      <c r="M21" s="118">
        <v>756</v>
      </c>
      <c r="N21" s="118">
        <v>652</v>
      </c>
      <c r="O21" s="118">
        <v>844</v>
      </c>
      <c r="P21" s="118">
        <v>623</v>
      </c>
      <c r="Q21" s="118">
        <v>743</v>
      </c>
      <c r="R21" s="118">
        <v>595</v>
      </c>
      <c r="S21" s="118">
        <v>492</v>
      </c>
      <c r="T21" s="118">
        <v>622</v>
      </c>
      <c r="U21" s="118">
        <v>1013</v>
      </c>
      <c r="V21" s="118">
        <v>1836</v>
      </c>
      <c r="W21" s="118">
        <v>687</v>
      </c>
      <c r="X21" s="118">
        <v>747</v>
      </c>
      <c r="Y21" s="118">
        <v>831</v>
      </c>
      <c r="Z21" s="118">
        <v>1964</v>
      </c>
      <c r="AA21" s="118">
        <v>721</v>
      </c>
      <c r="AB21" s="118">
        <v>535</v>
      </c>
      <c r="AC21" s="118">
        <v>939</v>
      </c>
      <c r="AD21" s="118">
        <v>2073</v>
      </c>
      <c r="AE21" s="118">
        <v>532</v>
      </c>
      <c r="AF21" s="118">
        <v>504</v>
      </c>
      <c r="AG21" s="118">
        <v>876</v>
      </c>
      <c r="AH21" s="118">
        <v>1432</v>
      </c>
      <c r="AI21" s="118">
        <v>538</v>
      </c>
      <c r="AJ21" s="118">
        <v>497</v>
      </c>
      <c r="AK21" s="118">
        <v>1222</v>
      </c>
      <c r="AL21" s="118">
        <v>1943</v>
      </c>
      <c r="AM21" s="118">
        <v>667</v>
      </c>
      <c r="AN21" s="118">
        <v>655</v>
      </c>
      <c r="AO21" s="118">
        <v>1297</v>
      </c>
      <c r="AP21" s="118">
        <v>2369</v>
      </c>
      <c r="AQ21" s="118">
        <v>867</v>
      </c>
      <c r="AR21" s="118">
        <v>1285</v>
      </c>
      <c r="AS21" s="118">
        <v>1741</v>
      </c>
      <c r="AT21" s="118">
        <v>2607</v>
      </c>
      <c r="AU21" s="118">
        <v>983</v>
      </c>
      <c r="AV21" s="118">
        <v>968</v>
      </c>
      <c r="AW21" s="118">
        <v>1483</v>
      </c>
      <c r="AX21" s="118">
        <v>2980</v>
      </c>
      <c r="AY21" s="118">
        <v>1157</v>
      </c>
      <c r="AZ21" s="118">
        <v>1021</v>
      </c>
      <c r="BA21" s="118">
        <v>1739</v>
      </c>
      <c r="BB21" s="118">
        <v>2816</v>
      </c>
      <c r="BC21" s="118">
        <f>'[3]15 Salários NL'!$D$12</f>
        <v>994</v>
      </c>
    </row>
    <row r="22" spans="1:55" s="310" customFormat="1" hidden="1" outlineLevel="1" x14ac:dyDescent="0.2">
      <c r="A22" s="310" t="s">
        <v>282</v>
      </c>
      <c r="B22" s="310" t="s">
        <v>974</v>
      </c>
      <c r="D22" s="317" t="str">
        <f>IF([1]RENAME!$H$3=1,B22,A22)</f>
        <v>Salários a pagar</v>
      </c>
      <c r="E22" s="311">
        <v>0</v>
      </c>
      <c r="F22" s="311">
        <v>0</v>
      </c>
      <c r="G22" s="318">
        <v>0</v>
      </c>
      <c r="H22" s="311">
        <v>0</v>
      </c>
      <c r="I22" s="311">
        <v>0</v>
      </c>
      <c r="J22" s="311">
        <v>0</v>
      </c>
      <c r="K22" s="311">
        <v>0</v>
      </c>
      <c r="L22" s="311">
        <v>0</v>
      </c>
      <c r="M22" s="311">
        <v>0</v>
      </c>
      <c r="N22" s="311">
        <v>0</v>
      </c>
      <c r="O22" s="311">
        <v>0</v>
      </c>
      <c r="P22" s="311">
        <v>0</v>
      </c>
      <c r="Q22" s="311">
        <v>0</v>
      </c>
      <c r="R22" s="311">
        <v>0</v>
      </c>
      <c r="S22" s="311">
        <v>0</v>
      </c>
      <c r="T22" s="118">
        <v>0</v>
      </c>
      <c r="U22" s="118">
        <v>0</v>
      </c>
      <c r="V22" s="118">
        <v>0</v>
      </c>
      <c r="W22" s="118">
        <v>0</v>
      </c>
      <c r="X22" s="118">
        <v>0</v>
      </c>
      <c r="Y22" s="118">
        <v>0</v>
      </c>
      <c r="Z22" s="118">
        <v>0</v>
      </c>
      <c r="AA22" s="118">
        <v>0</v>
      </c>
      <c r="AB22" s="118">
        <v>0</v>
      </c>
      <c r="AC22" s="118">
        <v>0</v>
      </c>
      <c r="AD22" s="118">
        <v>0</v>
      </c>
      <c r="AE22" s="118">
        <v>0</v>
      </c>
      <c r="AF22" s="118">
        <v>0</v>
      </c>
      <c r="AG22" s="118">
        <v>0</v>
      </c>
      <c r="AH22" s="118">
        <v>0</v>
      </c>
      <c r="AI22" s="118">
        <v>0</v>
      </c>
      <c r="AJ22" s="118">
        <v>0</v>
      </c>
      <c r="AK22" s="118">
        <v>0</v>
      </c>
      <c r="AL22" s="118">
        <v>0</v>
      </c>
      <c r="AM22" s="118" t="s">
        <v>160</v>
      </c>
      <c r="AN22" s="118" t="s">
        <v>160</v>
      </c>
      <c r="AO22" s="118" t="s">
        <v>160</v>
      </c>
      <c r="AP22" s="118" t="s">
        <v>160</v>
      </c>
      <c r="AQ22" s="118" t="s">
        <v>160</v>
      </c>
      <c r="AR22" s="118" t="s">
        <v>160</v>
      </c>
      <c r="AS22" s="118" t="s">
        <v>160</v>
      </c>
      <c r="AT22" s="118" t="s">
        <v>160</v>
      </c>
      <c r="AU22" s="118" t="s">
        <v>160</v>
      </c>
      <c r="AV22" s="118" t="s">
        <v>160</v>
      </c>
      <c r="AW22" s="118" t="s">
        <v>160</v>
      </c>
      <c r="AX22" s="118" t="s">
        <v>160</v>
      </c>
      <c r="AY22" s="118" t="s">
        <v>160</v>
      </c>
      <c r="AZ22" s="118" t="s">
        <v>160</v>
      </c>
      <c r="BA22" s="118" t="s">
        <v>160</v>
      </c>
      <c r="BB22" s="118" t="s">
        <v>160</v>
      </c>
      <c r="BC22" s="118" t="s">
        <v>160</v>
      </c>
    </row>
    <row r="23" spans="1:55" collapsed="1" x14ac:dyDescent="0.2">
      <c r="A23" t="s">
        <v>112</v>
      </c>
      <c r="B23" t="s">
        <v>112</v>
      </c>
      <c r="D23" s="126" t="str">
        <f>IF([1]RENAME!$H$3=1,B23,A23)</f>
        <v>Total</v>
      </c>
      <c r="E23" s="120">
        <f t="shared" ref="E23:S23" si="21">SUM(E16:E22)</f>
        <v>28735</v>
      </c>
      <c r="F23" s="120">
        <f t="shared" si="21"/>
        <v>19124</v>
      </c>
      <c r="G23" s="162">
        <f t="shared" si="21"/>
        <v>20227</v>
      </c>
      <c r="H23" s="120">
        <f t="shared" si="21"/>
        <v>25796</v>
      </c>
      <c r="I23" s="120">
        <f t="shared" si="21"/>
        <v>25740</v>
      </c>
      <c r="J23" s="120">
        <f t="shared" si="21"/>
        <v>25135</v>
      </c>
      <c r="K23" s="120">
        <f t="shared" si="21"/>
        <v>22367</v>
      </c>
      <c r="L23" s="120">
        <f t="shared" si="21"/>
        <v>24702</v>
      </c>
      <c r="M23" s="120">
        <f t="shared" si="21"/>
        <v>24244</v>
      </c>
      <c r="N23" s="120">
        <f t="shared" si="21"/>
        <v>22104</v>
      </c>
      <c r="O23" s="120">
        <f t="shared" si="21"/>
        <v>23164</v>
      </c>
      <c r="P23" s="120">
        <f t="shared" si="21"/>
        <v>25775</v>
      </c>
      <c r="Q23" s="120">
        <f t="shared" si="21"/>
        <v>22834</v>
      </c>
      <c r="R23" s="120">
        <f t="shared" si="21"/>
        <v>23016</v>
      </c>
      <c r="S23" s="120">
        <f t="shared" si="21"/>
        <v>18107</v>
      </c>
      <c r="T23" s="120">
        <f t="shared" ref="T23:AC23" si="22">SUM(T16:T22)</f>
        <v>21600</v>
      </c>
      <c r="U23" s="120">
        <f t="shared" si="22"/>
        <v>20277</v>
      </c>
      <c r="V23" s="120">
        <f t="shared" si="22"/>
        <v>17714</v>
      </c>
      <c r="W23" s="120">
        <f t="shared" si="22"/>
        <v>19141</v>
      </c>
      <c r="X23" s="120">
        <f t="shared" si="22"/>
        <v>22759</v>
      </c>
      <c r="Y23" s="120">
        <f t="shared" si="22"/>
        <v>21240</v>
      </c>
      <c r="Z23" s="120">
        <f t="shared" si="22"/>
        <v>18057</v>
      </c>
      <c r="AA23" s="120">
        <f t="shared" si="22"/>
        <v>21079</v>
      </c>
      <c r="AB23" s="120">
        <f t="shared" si="22"/>
        <v>24581</v>
      </c>
      <c r="AC23" s="120">
        <f t="shared" si="22"/>
        <v>23256</v>
      </c>
      <c r="AD23" s="120">
        <f t="shared" ref="AD23:AL23" si="23">SUM(AD16:AD22)</f>
        <v>19056</v>
      </c>
      <c r="AE23" s="120">
        <f t="shared" si="23"/>
        <v>20322</v>
      </c>
      <c r="AF23" s="120">
        <f t="shared" si="23"/>
        <v>21449</v>
      </c>
      <c r="AG23" s="120">
        <f t="shared" si="23"/>
        <v>17876</v>
      </c>
      <c r="AH23" s="120">
        <f t="shared" si="23"/>
        <v>15076</v>
      </c>
      <c r="AI23" s="120">
        <f t="shared" si="23"/>
        <v>18439</v>
      </c>
      <c r="AJ23" s="120">
        <f t="shared" si="23"/>
        <v>21689</v>
      </c>
      <c r="AK23" s="120">
        <f t="shared" si="23"/>
        <v>21173</v>
      </c>
      <c r="AL23" s="120">
        <f t="shared" si="23"/>
        <v>17249</v>
      </c>
      <c r="AM23" s="120">
        <f>SUM(AM16:AM21)</f>
        <v>18974</v>
      </c>
      <c r="AN23" s="120">
        <f t="shared" ref="AN23:AS23" si="24">SUM(AN16:AN21)</f>
        <v>22568</v>
      </c>
      <c r="AO23" s="120">
        <f t="shared" si="24"/>
        <v>23544</v>
      </c>
      <c r="AP23" s="120">
        <f t="shared" si="24"/>
        <v>19870</v>
      </c>
      <c r="AQ23" s="120">
        <f t="shared" si="24"/>
        <v>24336</v>
      </c>
      <c r="AR23" s="120">
        <f t="shared" si="24"/>
        <v>28518</v>
      </c>
      <c r="AS23" s="120">
        <f t="shared" si="24"/>
        <v>27042</v>
      </c>
      <c r="AT23" s="120">
        <f t="shared" ref="AT23:AY23" si="25">SUM(AT16:AT21)</f>
        <v>21631</v>
      </c>
      <c r="AU23" s="120">
        <f t="shared" si="25"/>
        <v>25696</v>
      </c>
      <c r="AV23" s="120">
        <f t="shared" si="25"/>
        <v>30952</v>
      </c>
      <c r="AW23" s="120">
        <f t="shared" si="25"/>
        <v>29176</v>
      </c>
      <c r="AX23" s="120">
        <f t="shared" si="25"/>
        <v>25389</v>
      </c>
      <c r="AY23" s="120">
        <f t="shared" si="25"/>
        <v>32256</v>
      </c>
      <c r="AZ23" s="120">
        <f>SUM(AZ16:AZ21)</f>
        <v>38369</v>
      </c>
      <c r="BA23" s="120">
        <f>SUM(BA16:BA21)</f>
        <v>37885</v>
      </c>
      <c r="BB23" s="120">
        <f>SUM(BB16:BB21)</f>
        <v>32334</v>
      </c>
      <c r="BC23" s="120">
        <f>SUM(BC16:BC21)</f>
        <v>39110</v>
      </c>
    </row>
    <row r="25" spans="1:55" x14ac:dyDescent="0.2">
      <c r="A25" t="s">
        <v>98</v>
      </c>
      <c r="B25" t="s">
        <v>876</v>
      </c>
      <c r="D25" s="145" t="str">
        <f>IF([1]RENAME!$H$3=1,B25,A25)</f>
        <v>Controladas</v>
      </c>
      <c r="E25" s="115">
        <f>E5</f>
        <v>2013</v>
      </c>
      <c r="F25" s="115" t="str">
        <f t="shared" ref="F25:T25" si="26">F5</f>
        <v>1T14</v>
      </c>
      <c r="G25" s="115" t="str">
        <f t="shared" si="26"/>
        <v>2T14</v>
      </c>
      <c r="H25" s="115" t="str">
        <f t="shared" si="26"/>
        <v>3T14</v>
      </c>
      <c r="I25" s="115" t="str">
        <f t="shared" si="26"/>
        <v>4T14</v>
      </c>
      <c r="J25" s="115" t="str">
        <f t="shared" si="26"/>
        <v>1T15</v>
      </c>
      <c r="K25" s="115" t="str">
        <f t="shared" si="26"/>
        <v>2T15</v>
      </c>
      <c r="L25" s="115" t="str">
        <f t="shared" si="26"/>
        <v>3T15</v>
      </c>
      <c r="M25" s="115" t="str">
        <f t="shared" si="26"/>
        <v>4T15</v>
      </c>
      <c r="N25" s="115" t="str">
        <f t="shared" si="26"/>
        <v>1T16</v>
      </c>
      <c r="O25" s="115" t="str">
        <f t="shared" si="26"/>
        <v>2T16</v>
      </c>
      <c r="P25" s="115" t="str">
        <f t="shared" si="26"/>
        <v>3T16</v>
      </c>
      <c r="Q25" s="115" t="str">
        <f t="shared" si="26"/>
        <v>4T16</v>
      </c>
      <c r="R25" s="115" t="str">
        <f t="shared" si="26"/>
        <v>1T17</v>
      </c>
      <c r="S25" s="115" t="str">
        <f t="shared" si="26"/>
        <v>2T17</v>
      </c>
      <c r="T25" s="115" t="str">
        <f t="shared" si="26"/>
        <v>3T17</v>
      </c>
      <c r="U25" s="115" t="str">
        <f t="shared" ref="U25:AC25" si="27">U5</f>
        <v>4T17</v>
      </c>
      <c r="V25" s="115" t="str">
        <f t="shared" si="27"/>
        <v>1T18</v>
      </c>
      <c r="W25" s="115" t="str">
        <f t="shared" si="27"/>
        <v>2T18</v>
      </c>
      <c r="X25" s="115" t="str">
        <f t="shared" si="27"/>
        <v>3T18</v>
      </c>
      <c r="Y25" s="115" t="str">
        <f t="shared" si="27"/>
        <v>4T18</v>
      </c>
      <c r="Z25" s="115" t="str">
        <f t="shared" si="27"/>
        <v>1T19</v>
      </c>
      <c r="AA25" s="115" t="str">
        <f t="shared" si="27"/>
        <v>2T19</v>
      </c>
      <c r="AB25" s="115" t="str">
        <f t="shared" si="27"/>
        <v>3T19</v>
      </c>
      <c r="AC25" s="115" t="str">
        <f t="shared" si="27"/>
        <v>4T19</v>
      </c>
      <c r="AD25" s="115" t="str">
        <f t="shared" ref="AD25:AL25" si="28">AD5</f>
        <v>1T20</v>
      </c>
      <c r="AE25" s="115" t="str">
        <f t="shared" si="28"/>
        <v>2T20</v>
      </c>
      <c r="AF25" s="115" t="str">
        <f t="shared" si="28"/>
        <v>3T20</v>
      </c>
      <c r="AG25" s="115" t="str">
        <f t="shared" si="28"/>
        <v>4T20</v>
      </c>
      <c r="AH25" s="115" t="str">
        <f t="shared" si="28"/>
        <v>1T21</v>
      </c>
      <c r="AI25" s="115" t="str">
        <f t="shared" si="28"/>
        <v>2T21</v>
      </c>
      <c r="AJ25" s="115" t="str">
        <f t="shared" si="28"/>
        <v>3T21</v>
      </c>
      <c r="AK25" s="115" t="str">
        <f t="shared" si="28"/>
        <v>4T21</v>
      </c>
      <c r="AL25" s="115" t="str">
        <f t="shared" si="28"/>
        <v>1T22</v>
      </c>
      <c r="AM25" s="115" t="str">
        <f t="shared" ref="AM25:AR25" si="29">AM5</f>
        <v>2T22</v>
      </c>
      <c r="AN25" s="115" t="str">
        <f t="shared" si="29"/>
        <v>3T22</v>
      </c>
      <c r="AO25" s="115" t="str">
        <f t="shared" si="29"/>
        <v>4T22</v>
      </c>
      <c r="AP25" s="115" t="str">
        <f t="shared" si="29"/>
        <v>1T23</v>
      </c>
      <c r="AQ25" s="115" t="str">
        <f t="shared" si="29"/>
        <v>2T23</v>
      </c>
      <c r="AR25" s="115" t="str">
        <f t="shared" si="29"/>
        <v>3T23</v>
      </c>
      <c r="AS25" s="115" t="str">
        <f t="shared" ref="AS25:AY25" si="30">AS5</f>
        <v>4T23</v>
      </c>
      <c r="AT25" s="115" t="str">
        <f t="shared" si="30"/>
        <v>1T24</v>
      </c>
      <c r="AU25" s="115" t="str">
        <f t="shared" si="30"/>
        <v>2T24</v>
      </c>
      <c r="AV25" s="115" t="str">
        <f t="shared" si="30"/>
        <v>3T24</v>
      </c>
      <c r="AW25" s="115" t="str">
        <f t="shared" si="30"/>
        <v>4T24</v>
      </c>
      <c r="AX25" s="115" t="str">
        <f t="shared" si="30"/>
        <v>1T25</v>
      </c>
      <c r="AY25" s="115" t="str">
        <f t="shared" si="30"/>
        <v>2T25</v>
      </c>
      <c r="AZ25" s="115" t="str">
        <f>AZ5</f>
        <v>3T25</v>
      </c>
      <c r="BA25" s="115" t="str">
        <f>BA5</f>
        <v>4T25</v>
      </c>
      <c r="BB25" s="247" t="str">
        <f>BB5</f>
        <v>1T26</v>
      </c>
      <c r="BC25" s="115" t="str">
        <f>BC5</f>
        <v>2T26</v>
      </c>
    </row>
    <row r="26" spans="1:55" x14ac:dyDescent="0.2">
      <c r="A26" t="s">
        <v>492</v>
      </c>
      <c r="B26" t="s">
        <v>971</v>
      </c>
      <c r="D26" s="129" t="str">
        <f>IF([1]RENAME!$H$3=1,B26,A26)</f>
        <v>Férias a pagar</v>
      </c>
      <c r="E26" s="118">
        <f t="shared" ref="E26:S26" si="31">+E6-E16</f>
        <v>7676</v>
      </c>
      <c r="F26" s="118">
        <f t="shared" si="31"/>
        <v>6043</v>
      </c>
      <c r="G26" s="160">
        <f t="shared" si="31"/>
        <v>2528</v>
      </c>
      <c r="H26" s="118">
        <f t="shared" si="31"/>
        <v>2471</v>
      </c>
      <c r="I26" s="118">
        <f t="shared" si="31"/>
        <v>2707</v>
      </c>
      <c r="J26" s="118">
        <f t="shared" si="31"/>
        <v>2401</v>
      </c>
      <c r="K26" s="118">
        <f t="shared" si="31"/>
        <v>2348</v>
      </c>
      <c r="L26" s="118">
        <f t="shared" si="31"/>
        <v>2450</v>
      </c>
      <c r="M26" s="118">
        <f t="shared" si="31"/>
        <v>2617</v>
      </c>
      <c r="N26" s="118">
        <f t="shared" si="31"/>
        <v>2294</v>
      </c>
      <c r="O26" s="118">
        <f t="shared" si="31"/>
        <v>2210</v>
      </c>
      <c r="P26" s="118">
        <f t="shared" si="31"/>
        <v>2301</v>
      </c>
      <c r="Q26" s="118">
        <f t="shared" si="31"/>
        <v>2315</v>
      </c>
      <c r="R26" s="118">
        <f t="shared" si="31"/>
        <v>2104</v>
      </c>
      <c r="S26" s="118">
        <f t="shared" si="31"/>
        <v>2279</v>
      </c>
      <c r="T26" s="118">
        <v>2381</v>
      </c>
      <c r="U26" s="118">
        <f t="shared" ref="U26:V32" si="32">+U6-U16</f>
        <v>2588</v>
      </c>
      <c r="V26" s="118">
        <f t="shared" si="32"/>
        <v>1632</v>
      </c>
      <c r="W26" s="118">
        <f t="shared" ref="W26:X32" si="33">+W6-W16</f>
        <v>1683</v>
      </c>
      <c r="X26" s="118">
        <f t="shared" si="33"/>
        <v>1774</v>
      </c>
      <c r="Y26" s="118">
        <v>1866</v>
      </c>
      <c r="Z26" s="118">
        <v>1616</v>
      </c>
      <c r="AA26" s="118">
        <v>1778</v>
      </c>
      <c r="AB26" s="118">
        <v>1854</v>
      </c>
      <c r="AC26" s="118">
        <v>1894</v>
      </c>
      <c r="AD26" s="118">
        <v>1729</v>
      </c>
      <c r="AE26" s="118">
        <f t="shared" ref="AE26:AF31" si="34">+AE6-AE16</f>
        <v>1944</v>
      </c>
      <c r="AF26" s="118">
        <f t="shared" si="34"/>
        <v>1949</v>
      </c>
      <c r="AG26" s="118">
        <f t="shared" ref="AG26:AH32" si="35">+AG6-AG16</f>
        <v>1778</v>
      </c>
      <c r="AH26" s="118">
        <f t="shared" si="35"/>
        <v>1690</v>
      </c>
      <c r="AI26" s="118">
        <f t="shared" ref="AI26:AM32" si="36">+AI6-AI16</f>
        <v>1737</v>
      </c>
      <c r="AJ26" s="118">
        <f t="shared" si="36"/>
        <v>1943</v>
      </c>
      <c r="AK26" s="118">
        <f t="shared" si="36"/>
        <v>1980</v>
      </c>
      <c r="AL26" s="118">
        <f t="shared" ref="AL26:AL31" si="37">+AL6-AL16</f>
        <v>1653</v>
      </c>
      <c r="AM26" s="118">
        <f t="shared" si="36"/>
        <v>1900</v>
      </c>
      <c r="AN26" s="118">
        <f t="shared" ref="AN26:AO31" si="38">+AN6-AN16</f>
        <v>2081</v>
      </c>
      <c r="AO26" s="118">
        <f t="shared" si="38"/>
        <v>1628</v>
      </c>
      <c r="AP26" s="118">
        <v>1600</v>
      </c>
      <c r="AQ26" s="118">
        <f t="shared" ref="AQ26:AT31" si="39">+AQ6-AQ16</f>
        <v>1743</v>
      </c>
      <c r="AR26" s="118">
        <f t="shared" si="39"/>
        <v>1868</v>
      </c>
      <c r="AS26" s="118">
        <f t="shared" si="39"/>
        <v>1849</v>
      </c>
      <c r="AT26" s="118">
        <f t="shared" si="39"/>
        <v>2174</v>
      </c>
      <c r="AU26" s="118">
        <f t="shared" ref="AU26:BC31" si="40">+AU6-AU16</f>
        <v>2433</v>
      </c>
      <c r="AV26" s="118">
        <f t="shared" si="40"/>
        <v>2432</v>
      </c>
      <c r="AW26" s="118">
        <f t="shared" si="40"/>
        <v>2418</v>
      </c>
      <c r="AX26" s="118">
        <f t="shared" si="40"/>
        <v>2406</v>
      </c>
      <c r="AY26" s="118">
        <f t="shared" si="40"/>
        <v>2721</v>
      </c>
      <c r="AZ26" s="118">
        <f t="shared" si="40"/>
        <v>2797</v>
      </c>
      <c r="BA26" s="118">
        <f t="shared" si="40"/>
        <v>2551</v>
      </c>
      <c r="BB26" s="118">
        <f t="shared" ref="BB26:BB31" si="41">+BB6-BB16</f>
        <v>2775</v>
      </c>
      <c r="BC26" s="118">
        <f t="shared" si="40"/>
        <v>3104</v>
      </c>
    </row>
    <row r="27" spans="1:55" x14ac:dyDescent="0.2">
      <c r="A27" t="s">
        <v>493</v>
      </c>
      <c r="B27" t="s">
        <v>972</v>
      </c>
      <c r="D27" s="129" t="str">
        <f>IF([1]RENAME!$H$3=1,B27,A27)</f>
        <v>Gratificações e participação nos lucros a pagar</v>
      </c>
      <c r="E27" s="118">
        <f t="shared" ref="E27:P27" si="42">+E7-E17</f>
        <v>2418</v>
      </c>
      <c r="F27" s="118">
        <f t="shared" si="42"/>
        <v>2116</v>
      </c>
      <c r="G27" s="160">
        <f t="shared" si="42"/>
        <v>910</v>
      </c>
      <c r="H27" s="118">
        <f t="shared" si="42"/>
        <v>1197</v>
      </c>
      <c r="I27" s="118">
        <f t="shared" si="42"/>
        <v>1486</v>
      </c>
      <c r="J27" s="118">
        <f t="shared" si="42"/>
        <v>605</v>
      </c>
      <c r="K27" s="118">
        <f t="shared" si="42"/>
        <v>655</v>
      </c>
      <c r="L27" s="118">
        <f t="shared" si="42"/>
        <v>981</v>
      </c>
      <c r="M27" s="118">
        <f t="shared" si="42"/>
        <v>1146</v>
      </c>
      <c r="N27" s="118">
        <f t="shared" si="42"/>
        <v>744</v>
      </c>
      <c r="O27" s="118">
        <f t="shared" si="42"/>
        <v>787</v>
      </c>
      <c r="P27" s="118">
        <f t="shared" si="42"/>
        <v>964</v>
      </c>
      <c r="Q27" s="118">
        <f t="shared" ref="Q27:S32" si="43">+Q7-Q17</f>
        <v>613</v>
      </c>
      <c r="R27" s="118">
        <f t="shared" si="43"/>
        <v>551</v>
      </c>
      <c r="S27" s="118">
        <f t="shared" si="43"/>
        <v>536</v>
      </c>
      <c r="T27" s="118">
        <v>563</v>
      </c>
      <c r="U27" s="118">
        <f t="shared" si="32"/>
        <v>769</v>
      </c>
      <c r="V27" s="118">
        <f t="shared" si="32"/>
        <v>447</v>
      </c>
      <c r="W27" s="118">
        <f t="shared" si="33"/>
        <v>336</v>
      </c>
      <c r="X27" s="118">
        <f t="shared" si="33"/>
        <v>335</v>
      </c>
      <c r="Y27" s="118">
        <v>486</v>
      </c>
      <c r="Z27" s="118">
        <v>124</v>
      </c>
      <c r="AA27" s="118">
        <v>279</v>
      </c>
      <c r="AB27" s="118">
        <v>283</v>
      </c>
      <c r="AC27" s="118">
        <v>428</v>
      </c>
      <c r="AD27" s="118">
        <v>313</v>
      </c>
      <c r="AE27" s="118">
        <f t="shared" si="34"/>
        <v>522</v>
      </c>
      <c r="AF27" s="118">
        <f t="shared" si="34"/>
        <v>546</v>
      </c>
      <c r="AG27" s="118">
        <f t="shared" si="35"/>
        <v>432</v>
      </c>
      <c r="AH27" s="118">
        <f t="shared" si="35"/>
        <v>210</v>
      </c>
      <c r="AI27" s="118">
        <f t="shared" si="36"/>
        <v>370</v>
      </c>
      <c r="AJ27" s="118">
        <f t="shared" si="36"/>
        <v>310</v>
      </c>
      <c r="AK27" s="118">
        <f t="shared" si="36"/>
        <v>458</v>
      </c>
      <c r="AL27" s="118">
        <f t="shared" si="37"/>
        <v>219</v>
      </c>
      <c r="AM27" s="118">
        <f t="shared" si="36"/>
        <v>384</v>
      </c>
      <c r="AN27" s="118">
        <f t="shared" si="38"/>
        <v>391</v>
      </c>
      <c r="AO27" s="118">
        <f t="shared" si="38"/>
        <v>474</v>
      </c>
      <c r="AP27" s="118">
        <v>211</v>
      </c>
      <c r="AQ27" s="118">
        <f t="shared" si="39"/>
        <v>360</v>
      </c>
      <c r="AR27" s="118">
        <f t="shared" si="39"/>
        <v>397</v>
      </c>
      <c r="AS27" s="118">
        <f t="shared" si="39"/>
        <v>512</v>
      </c>
      <c r="AT27" s="118">
        <f t="shared" si="39"/>
        <v>170</v>
      </c>
      <c r="AU27" s="118">
        <f t="shared" si="40"/>
        <v>337</v>
      </c>
      <c r="AV27" s="118">
        <f t="shared" si="40"/>
        <v>411</v>
      </c>
      <c r="AW27" s="118">
        <f t="shared" si="40"/>
        <v>771</v>
      </c>
      <c r="AX27" s="118">
        <f t="shared" si="40"/>
        <v>277</v>
      </c>
      <c r="AY27" s="118">
        <f t="shared" si="40"/>
        <v>592</v>
      </c>
      <c r="AZ27" s="118">
        <f t="shared" si="40"/>
        <v>637</v>
      </c>
      <c r="BA27" s="118">
        <f t="shared" si="40"/>
        <v>871</v>
      </c>
      <c r="BB27" s="118">
        <f t="shared" si="41"/>
        <v>433</v>
      </c>
      <c r="BC27" s="118">
        <f t="shared" si="40"/>
        <v>827</v>
      </c>
    </row>
    <row r="28" spans="1:55" x14ac:dyDescent="0.2">
      <c r="A28" t="s">
        <v>280</v>
      </c>
      <c r="B28" t="s">
        <v>280</v>
      </c>
      <c r="D28" s="129" t="str">
        <f>IF([1]RENAME!$H$3=1,B28,A28)</f>
        <v>INSS</v>
      </c>
      <c r="E28" s="118">
        <f t="shared" ref="E28:P28" si="44">+E8-E18</f>
        <v>2320</v>
      </c>
      <c r="F28" s="118">
        <f t="shared" si="44"/>
        <v>975</v>
      </c>
      <c r="G28" s="160">
        <f t="shared" si="44"/>
        <v>1046</v>
      </c>
      <c r="H28" s="118">
        <f t="shared" si="44"/>
        <v>1343</v>
      </c>
      <c r="I28" s="118">
        <f t="shared" si="44"/>
        <v>1421</v>
      </c>
      <c r="J28" s="118">
        <f t="shared" si="44"/>
        <v>1305</v>
      </c>
      <c r="K28" s="118">
        <f t="shared" si="44"/>
        <v>1336</v>
      </c>
      <c r="L28" s="118">
        <f t="shared" si="44"/>
        <v>1403</v>
      </c>
      <c r="M28" s="118">
        <f t="shared" si="44"/>
        <v>1582</v>
      </c>
      <c r="N28" s="118">
        <f t="shared" si="44"/>
        <v>1468</v>
      </c>
      <c r="O28" s="118">
        <f t="shared" si="44"/>
        <v>1417</v>
      </c>
      <c r="P28" s="118">
        <f t="shared" si="44"/>
        <v>1434</v>
      </c>
      <c r="Q28" s="118">
        <f t="shared" si="43"/>
        <v>1458</v>
      </c>
      <c r="R28" s="118">
        <f t="shared" si="43"/>
        <v>1386</v>
      </c>
      <c r="S28" s="260">
        <f t="shared" si="43"/>
        <v>557</v>
      </c>
      <c r="T28" s="118">
        <v>546</v>
      </c>
      <c r="U28" s="118">
        <f t="shared" si="32"/>
        <v>625</v>
      </c>
      <c r="V28" s="118">
        <f t="shared" si="32"/>
        <v>367</v>
      </c>
      <c r="W28" s="118">
        <f t="shared" si="33"/>
        <v>372</v>
      </c>
      <c r="X28" s="118">
        <f t="shared" si="33"/>
        <v>409</v>
      </c>
      <c r="Y28" s="118">
        <v>471</v>
      </c>
      <c r="Z28" s="118">
        <v>356</v>
      </c>
      <c r="AA28" s="118">
        <v>376</v>
      </c>
      <c r="AB28" s="118">
        <v>394</v>
      </c>
      <c r="AC28" s="118">
        <v>468</v>
      </c>
      <c r="AD28" s="118">
        <v>415</v>
      </c>
      <c r="AE28" s="118">
        <f t="shared" si="34"/>
        <v>1015</v>
      </c>
      <c r="AF28" s="118">
        <f t="shared" si="34"/>
        <v>1025</v>
      </c>
      <c r="AG28" s="118">
        <f t="shared" si="35"/>
        <v>421</v>
      </c>
      <c r="AH28" s="118">
        <f t="shared" si="35"/>
        <v>449</v>
      </c>
      <c r="AI28" s="118">
        <f t="shared" si="36"/>
        <v>330</v>
      </c>
      <c r="AJ28" s="118">
        <f t="shared" si="36"/>
        <v>379</v>
      </c>
      <c r="AK28" s="118">
        <f t="shared" si="36"/>
        <v>475</v>
      </c>
      <c r="AL28" s="118">
        <f t="shared" si="37"/>
        <v>447</v>
      </c>
      <c r="AM28" s="118">
        <f t="shared" si="36"/>
        <v>511</v>
      </c>
      <c r="AN28" s="118">
        <f t="shared" si="38"/>
        <v>503</v>
      </c>
      <c r="AO28" s="118">
        <f t="shared" si="38"/>
        <v>371</v>
      </c>
      <c r="AP28" s="118">
        <v>354</v>
      </c>
      <c r="AQ28" s="118">
        <f t="shared" si="39"/>
        <v>385</v>
      </c>
      <c r="AR28" s="118">
        <f t="shared" si="39"/>
        <v>415</v>
      </c>
      <c r="AS28" s="118">
        <f t="shared" si="39"/>
        <v>422</v>
      </c>
      <c r="AT28" s="118">
        <f t="shared" si="39"/>
        <v>480</v>
      </c>
      <c r="AU28" s="118">
        <f t="shared" si="40"/>
        <v>532</v>
      </c>
      <c r="AV28" s="118">
        <f t="shared" si="40"/>
        <v>530</v>
      </c>
      <c r="AW28" s="118">
        <f t="shared" si="40"/>
        <v>626</v>
      </c>
      <c r="AX28" s="118">
        <f t="shared" si="40"/>
        <v>633</v>
      </c>
      <c r="AY28" s="118">
        <f t="shared" si="40"/>
        <v>692</v>
      </c>
      <c r="AZ28" s="118">
        <f t="shared" si="40"/>
        <v>786</v>
      </c>
      <c r="BA28" s="118">
        <f t="shared" si="40"/>
        <v>853</v>
      </c>
      <c r="BB28" s="118">
        <f t="shared" si="41"/>
        <v>881</v>
      </c>
      <c r="BC28" s="118">
        <f t="shared" si="40"/>
        <v>945</v>
      </c>
    </row>
    <row r="29" spans="1:55" x14ac:dyDescent="0.2">
      <c r="A29" t="s">
        <v>283</v>
      </c>
      <c r="B29" t="s">
        <v>973</v>
      </c>
      <c r="D29" s="129" t="str">
        <f>IF([1]RENAME!$H$3=1,B29,A29)</f>
        <v>Provisão para 13° salário</v>
      </c>
      <c r="E29" s="118">
        <f t="shared" ref="E29:P29" si="45">+E9-E19</f>
        <v>0</v>
      </c>
      <c r="F29" s="118">
        <f t="shared" si="45"/>
        <v>1160</v>
      </c>
      <c r="G29" s="160">
        <f t="shared" si="45"/>
        <v>925</v>
      </c>
      <c r="H29" s="118">
        <f t="shared" si="45"/>
        <v>1344</v>
      </c>
      <c r="I29" s="118">
        <f t="shared" si="45"/>
        <v>0</v>
      </c>
      <c r="J29" s="118">
        <f t="shared" si="45"/>
        <v>442</v>
      </c>
      <c r="K29" s="118">
        <f t="shared" si="45"/>
        <v>830</v>
      </c>
      <c r="L29" s="118">
        <f t="shared" si="45"/>
        <v>1279</v>
      </c>
      <c r="M29" s="118">
        <f t="shared" si="45"/>
        <v>0</v>
      </c>
      <c r="N29" s="118">
        <f t="shared" si="45"/>
        <v>418</v>
      </c>
      <c r="O29" s="118">
        <f t="shared" si="45"/>
        <v>788</v>
      </c>
      <c r="P29" s="118">
        <f t="shared" si="45"/>
        <v>1180</v>
      </c>
      <c r="Q29" s="118">
        <f t="shared" si="43"/>
        <v>0</v>
      </c>
      <c r="R29" s="118">
        <f t="shared" si="43"/>
        <v>413</v>
      </c>
      <c r="S29" s="118">
        <f t="shared" si="43"/>
        <v>870</v>
      </c>
      <c r="T29" s="118">
        <v>1286</v>
      </c>
      <c r="U29" s="118">
        <f t="shared" si="32"/>
        <v>0</v>
      </c>
      <c r="V29" s="118">
        <f t="shared" si="32"/>
        <v>317</v>
      </c>
      <c r="W29" s="118">
        <f t="shared" si="33"/>
        <v>610</v>
      </c>
      <c r="X29" s="118">
        <f t="shared" si="33"/>
        <v>897</v>
      </c>
      <c r="Y29" s="118">
        <v>0</v>
      </c>
      <c r="Z29" s="118">
        <v>282</v>
      </c>
      <c r="AA29" s="118">
        <v>588</v>
      </c>
      <c r="AB29" s="118">
        <v>917</v>
      </c>
      <c r="AC29" s="118">
        <v>0</v>
      </c>
      <c r="AD29" s="118">
        <v>324</v>
      </c>
      <c r="AE29" s="118">
        <f t="shared" si="34"/>
        <v>671</v>
      </c>
      <c r="AF29" s="118">
        <f t="shared" si="34"/>
        <v>915</v>
      </c>
      <c r="AG29" s="118">
        <f t="shared" si="35"/>
        <v>0</v>
      </c>
      <c r="AH29" s="118">
        <f t="shared" si="35"/>
        <v>346</v>
      </c>
      <c r="AI29" s="118">
        <f t="shared" si="36"/>
        <v>567</v>
      </c>
      <c r="AJ29" s="118">
        <f t="shared" si="36"/>
        <v>839</v>
      </c>
      <c r="AK29" s="118">
        <f t="shared" si="36"/>
        <v>0</v>
      </c>
      <c r="AL29" s="118">
        <f t="shared" si="37"/>
        <v>348</v>
      </c>
      <c r="AM29" s="118">
        <f t="shared" si="36"/>
        <v>736</v>
      </c>
      <c r="AN29" s="118">
        <f t="shared" si="38"/>
        <v>1110</v>
      </c>
      <c r="AO29" s="118">
        <f t="shared" si="38"/>
        <v>0</v>
      </c>
      <c r="AP29" s="118">
        <v>276</v>
      </c>
      <c r="AQ29" s="118">
        <f t="shared" si="39"/>
        <v>578</v>
      </c>
      <c r="AR29" s="118">
        <f t="shared" si="39"/>
        <v>875</v>
      </c>
      <c r="AS29" s="118">
        <f t="shared" si="39"/>
        <v>0</v>
      </c>
      <c r="AT29" s="118">
        <f t="shared" si="39"/>
        <v>392</v>
      </c>
      <c r="AU29" s="118">
        <f t="shared" si="40"/>
        <v>833</v>
      </c>
      <c r="AV29" s="118">
        <f t="shared" si="40"/>
        <v>1219</v>
      </c>
      <c r="AW29" s="118">
        <f t="shared" si="40"/>
        <v>0</v>
      </c>
      <c r="AX29" s="118">
        <f t="shared" si="40"/>
        <v>481</v>
      </c>
      <c r="AY29" s="118">
        <f t="shared" si="40"/>
        <v>969</v>
      </c>
      <c r="AZ29" s="118">
        <f t="shared" si="40"/>
        <v>1405</v>
      </c>
      <c r="BA29" s="118">
        <f t="shared" si="40"/>
        <v>0</v>
      </c>
      <c r="BB29" s="118">
        <f t="shared" si="41"/>
        <v>543</v>
      </c>
      <c r="BC29" s="118">
        <f t="shared" si="40"/>
        <v>1145</v>
      </c>
    </row>
    <row r="30" spans="1:55" x14ac:dyDescent="0.2">
      <c r="A30" t="s">
        <v>281</v>
      </c>
      <c r="B30" t="s">
        <v>281</v>
      </c>
      <c r="D30" s="129" t="str">
        <f>IF([1]RENAME!$H$3=1,B30,A30)</f>
        <v>FGTS</v>
      </c>
      <c r="E30" s="118">
        <f t="shared" ref="E30:P30" si="46">+E10-E20</f>
        <v>539</v>
      </c>
      <c r="F30" s="118">
        <f t="shared" si="46"/>
        <v>339</v>
      </c>
      <c r="G30" s="160">
        <f t="shared" si="46"/>
        <v>116</v>
      </c>
      <c r="H30" s="118">
        <f t="shared" si="46"/>
        <v>115</v>
      </c>
      <c r="I30" s="118">
        <f t="shared" si="46"/>
        <v>187</v>
      </c>
      <c r="J30" s="118">
        <f t="shared" si="46"/>
        <v>98</v>
      </c>
      <c r="K30" s="118">
        <f t="shared" si="46"/>
        <v>92</v>
      </c>
      <c r="L30" s="118">
        <f t="shared" si="46"/>
        <v>122</v>
      </c>
      <c r="M30" s="118">
        <f t="shared" si="46"/>
        <v>170</v>
      </c>
      <c r="N30" s="118">
        <f t="shared" si="46"/>
        <v>102</v>
      </c>
      <c r="O30" s="118">
        <f t="shared" si="46"/>
        <v>98</v>
      </c>
      <c r="P30" s="118">
        <f t="shared" si="46"/>
        <v>102</v>
      </c>
      <c r="Q30" s="118">
        <f t="shared" si="43"/>
        <v>149</v>
      </c>
      <c r="R30" s="118">
        <f t="shared" si="43"/>
        <v>104</v>
      </c>
      <c r="S30" s="118">
        <f t="shared" si="43"/>
        <v>114</v>
      </c>
      <c r="T30" s="118">
        <v>114</v>
      </c>
      <c r="U30" s="118">
        <f t="shared" si="32"/>
        <v>182</v>
      </c>
      <c r="V30" s="118">
        <f t="shared" si="32"/>
        <v>78</v>
      </c>
      <c r="W30" s="118">
        <f t="shared" si="33"/>
        <v>77</v>
      </c>
      <c r="X30" s="118">
        <f t="shared" si="33"/>
        <v>79</v>
      </c>
      <c r="Y30" s="118">
        <v>120</v>
      </c>
      <c r="Z30" s="118">
        <v>71</v>
      </c>
      <c r="AA30" s="118">
        <v>76</v>
      </c>
      <c r="AB30" s="118">
        <v>80</v>
      </c>
      <c r="AC30" s="118">
        <v>70</v>
      </c>
      <c r="AD30" s="118">
        <v>83</v>
      </c>
      <c r="AE30" s="118">
        <f t="shared" si="34"/>
        <v>322</v>
      </c>
      <c r="AF30" s="118">
        <f t="shared" si="34"/>
        <v>182</v>
      </c>
      <c r="AG30" s="118">
        <f t="shared" si="35"/>
        <v>133</v>
      </c>
      <c r="AH30" s="118">
        <f t="shared" si="35"/>
        <v>94</v>
      </c>
      <c r="AI30" s="118">
        <f t="shared" si="36"/>
        <v>197</v>
      </c>
      <c r="AJ30" s="118">
        <f t="shared" si="36"/>
        <v>263</v>
      </c>
      <c r="AK30" s="118">
        <f t="shared" si="36"/>
        <v>128</v>
      </c>
      <c r="AL30" s="118">
        <f t="shared" si="37"/>
        <v>92</v>
      </c>
      <c r="AM30" s="118">
        <f t="shared" si="36"/>
        <v>102</v>
      </c>
      <c r="AN30" s="118">
        <f t="shared" si="38"/>
        <v>101</v>
      </c>
      <c r="AO30" s="118">
        <f t="shared" si="38"/>
        <v>107</v>
      </c>
      <c r="AP30" s="118">
        <v>70</v>
      </c>
      <c r="AQ30" s="118">
        <f t="shared" si="39"/>
        <v>77</v>
      </c>
      <c r="AR30" s="118">
        <f t="shared" si="39"/>
        <v>82</v>
      </c>
      <c r="AS30" s="118">
        <f t="shared" si="39"/>
        <v>123</v>
      </c>
      <c r="AT30" s="118">
        <f t="shared" si="39"/>
        <v>98</v>
      </c>
      <c r="AU30" s="118">
        <f t="shared" si="40"/>
        <v>110</v>
      </c>
      <c r="AV30" s="118">
        <f t="shared" si="40"/>
        <v>117</v>
      </c>
      <c r="AW30" s="646">
        <f t="shared" si="40"/>
        <v>188</v>
      </c>
      <c r="AX30" s="646">
        <f t="shared" si="40"/>
        <v>123</v>
      </c>
      <c r="AY30" s="646">
        <f t="shared" si="40"/>
        <v>131</v>
      </c>
      <c r="AZ30" s="646">
        <f t="shared" si="40"/>
        <v>154</v>
      </c>
      <c r="BA30" s="646">
        <f t="shared" si="40"/>
        <v>287</v>
      </c>
      <c r="BB30" s="646">
        <f t="shared" si="41"/>
        <v>247</v>
      </c>
      <c r="BC30" s="646">
        <f t="shared" si="40"/>
        <v>265</v>
      </c>
    </row>
    <row r="31" spans="1:55" x14ac:dyDescent="0.2">
      <c r="A31" t="s">
        <v>128</v>
      </c>
      <c r="B31" t="s">
        <v>728</v>
      </c>
      <c r="D31" s="129" t="str">
        <f>IF([1]RENAME!$H$3=1,B31,A31)</f>
        <v>Outras</v>
      </c>
      <c r="E31" s="118">
        <f t="shared" ref="E31:P31" si="47">+E11-E21</f>
        <v>763</v>
      </c>
      <c r="F31" s="118">
        <f t="shared" si="47"/>
        <v>456</v>
      </c>
      <c r="G31" s="160">
        <f t="shared" si="47"/>
        <v>230</v>
      </c>
      <c r="H31" s="118">
        <f t="shared" si="47"/>
        <v>119</v>
      </c>
      <c r="I31" s="118">
        <f t="shared" si="47"/>
        <v>187</v>
      </c>
      <c r="J31" s="118">
        <f t="shared" si="47"/>
        <v>307</v>
      </c>
      <c r="K31" s="118">
        <f t="shared" si="47"/>
        <v>139</v>
      </c>
      <c r="L31" s="118">
        <f t="shared" si="47"/>
        <v>105</v>
      </c>
      <c r="M31" s="118">
        <f t="shared" si="47"/>
        <v>149</v>
      </c>
      <c r="N31" s="118">
        <f t="shared" si="47"/>
        <v>153</v>
      </c>
      <c r="O31" s="118">
        <f t="shared" si="47"/>
        <v>64</v>
      </c>
      <c r="P31" s="118">
        <f t="shared" si="47"/>
        <v>67</v>
      </c>
      <c r="Q31" s="118">
        <f t="shared" si="43"/>
        <v>120</v>
      </c>
      <c r="R31" s="118">
        <f t="shared" si="43"/>
        <v>88</v>
      </c>
      <c r="S31" s="118">
        <f t="shared" si="43"/>
        <v>70</v>
      </c>
      <c r="T31" s="118">
        <v>97</v>
      </c>
      <c r="U31" s="118">
        <f t="shared" si="32"/>
        <v>203</v>
      </c>
      <c r="V31" s="118">
        <f t="shared" si="32"/>
        <v>107</v>
      </c>
      <c r="W31" s="118">
        <f t="shared" si="33"/>
        <v>71</v>
      </c>
      <c r="X31" s="118">
        <f t="shared" si="33"/>
        <v>87</v>
      </c>
      <c r="Y31" s="118">
        <v>78</v>
      </c>
      <c r="Z31" s="118">
        <v>92</v>
      </c>
      <c r="AA31" s="118">
        <v>92</v>
      </c>
      <c r="AB31" s="118">
        <v>53</v>
      </c>
      <c r="AC31" s="118">
        <v>147</v>
      </c>
      <c r="AD31" s="118">
        <v>80</v>
      </c>
      <c r="AE31" s="118">
        <f t="shared" si="34"/>
        <v>71</v>
      </c>
      <c r="AF31" s="118">
        <f t="shared" si="34"/>
        <v>63</v>
      </c>
      <c r="AG31" s="118">
        <f t="shared" si="35"/>
        <v>101</v>
      </c>
      <c r="AH31" s="118">
        <f t="shared" si="35"/>
        <v>150</v>
      </c>
      <c r="AI31" s="118">
        <f t="shared" si="36"/>
        <v>102</v>
      </c>
      <c r="AJ31" s="118">
        <f t="shared" si="36"/>
        <v>176</v>
      </c>
      <c r="AK31" s="118">
        <f t="shared" si="36"/>
        <v>242</v>
      </c>
      <c r="AL31" s="118">
        <f t="shared" si="37"/>
        <v>251</v>
      </c>
      <c r="AM31" s="118">
        <f t="shared" si="36"/>
        <v>241</v>
      </c>
      <c r="AN31" s="118">
        <f t="shared" si="38"/>
        <v>239</v>
      </c>
      <c r="AO31" s="118">
        <f t="shared" si="38"/>
        <v>237</v>
      </c>
      <c r="AP31" s="118">
        <v>202</v>
      </c>
      <c r="AQ31" s="118">
        <f t="shared" si="39"/>
        <v>158</v>
      </c>
      <c r="AR31" s="118">
        <f t="shared" si="39"/>
        <v>226</v>
      </c>
      <c r="AS31" s="118">
        <f t="shared" si="39"/>
        <v>281</v>
      </c>
      <c r="AT31" s="118">
        <f t="shared" si="39"/>
        <v>280</v>
      </c>
      <c r="AU31" s="118">
        <f t="shared" si="40"/>
        <v>189</v>
      </c>
      <c r="AV31" s="118">
        <f t="shared" si="40"/>
        <v>198</v>
      </c>
      <c r="AW31" s="118">
        <f t="shared" si="40"/>
        <v>251</v>
      </c>
      <c r="AX31" s="118">
        <f t="shared" si="40"/>
        <v>174</v>
      </c>
      <c r="AY31" s="118">
        <f t="shared" si="40"/>
        <v>197</v>
      </c>
      <c r="AZ31" s="118">
        <f t="shared" si="40"/>
        <v>194</v>
      </c>
      <c r="BA31" s="118">
        <f t="shared" si="40"/>
        <v>235</v>
      </c>
      <c r="BB31" s="118">
        <f t="shared" si="41"/>
        <v>314</v>
      </c>
      <c r="BC31" s="118">
        <f t="shared" si="40"/>
        <v>127</v>
      </c>
    </row>
    <row r="32" spans="1:55" s="310" customFormat="1" hidden="1" outlineLevel="1" x14ac:dyDescent="0.2">
      <c r="A32" s="310" t="s">
        <v>282</v>
      </c>
      <c r="B32" s="310" t="s">
        <v>974</v>
      </c>
      <c r="D32" s="317" t="str">
        <f>IF([1]RENAME!$H$3=1,B32,A32)</f>
        <v>Salários a pagar</v>
      </c>
      <c r="E32" s="311">
        <f t="shared" ref="E32:P32" si="48">+E12-E22</f>
        <v>185</v>
      </c>
      <c r="F32" s="311">
        <f t="shared" si="48"/>
        <v>4</v>
      </c>
      <c r="G32" s="318">
        <f t="shared" si="48"/>
        <v>23</v>
      </c>
      <c r="H32" s="311">
        <f t="shared" si="48"/>
        <v>0</v>
      </c>
      <c r="I32" s="311">
        <f t="shared" si="48"/>
        <v>0</v>
      </c>
      <c r="J32" s="311">
        <f t="shared" si="48"/>
        <v>0</v>
      </c>
      <c r="K32" s="311">
        <f t="shared" si="48"/>
        <v>0</v>
      </c>
      <c r="L32" s="311">
        <f t="shared" si="48"/>
        <v>0</v>
      </c>
      <c r="M32" s="311">
        <f t="shared" si="48"/>
        <v>0</v>
      </c>
      <c r="N32" s="311">
        <f t="shared" si="48"/>
        <v>0</v>
      </c>
      <c r="O32" s="311">
        <f t="shared" si="48"/>
        <v>0</v>
      </c>
      <c r="P32" s="311">
        <f t="shared" si="48"/>
        <v>0</v>
      </c>
      <c r="Q32" s="311">
        <f t="shared" si="43"/>
        <v>0</v>
      </c>
      <c r="R32" s="311">
        <f t="shared" si="43"/>
        <v>0</v>
      </c>
      <c r="S32" s="311">
        <f t="shared" si="43"/>
        <v>0</v>
      </c>
      <c r="T32" s="311">
        <v>0</v>
      </c>
      <c r="U32" s="311">
        <f t="shared" si="32"/>
        <v>0</v>
      </c>
      <c r="V32" s="311">
        <f t="shared" si="32"/>
        <v>0</v>
      </c>
      <c r="W32" s="311">
        <f t="shared" si="33"/>
        <v>0</v>
      </c>
      <c r="X32" s="311">
        <v>0</v>
      </c>
      <c r="Y32" s="311">
        <v>0</v>
      </c>
      <c r="Z32" s="311">
        <v>0</v>
      </c>
      <c r="AA32" s="311"/>
      <c r="AB32" s="311">
        <v>0</v>
      </c>
      <c r="AC32" s="311">
        <v>0</v>
      </c>
      <c r="AD32" s="311">
        <v>0</v>
      </c>
      <c r="AE32" s="311">
        <f>+AE12-AE22</f>
        <v>0</v>
      </c>
      <c r="AF32" s="311">
        <f>+AF12-AF22</f>
        <v>0</v>
      </c>
      <c r="AG32" s="311">
        <f t="shared" si="35"/>
        <v>0</v>
      </c>
      <c r="AH32" s="311">
        <f t="shared" si="35"/>
        <v>0</v>
      </c>
      <c r="AI32" s="311">
        <f t="shared" si="36"/>
        <v>0</v>
      </c>
      <c r="AJ32" s="311">
        <f t="shared" si="36"/>
        <v>0</v>
      </c>
      <c r="AK32" s="311">
        <f t="shared" si="36"/>
        <v>0</v>
      </c>
      <c r="AL32" s="311">
        <v>0</v>
      </c>
      <c r="AM32" s="311" t="s">
        <v>160</v>
      </c>
      <c r="AN32" s="311" t="s">
        <v>160</v>
      </c>
      <c r="AO32" s="311" t="s">
        <v>160</v>
      </c>
      <c r="AP32" s="311" t="s">
        <v>160</v>
      </c>
      <c r="AQ32" s="311" t="s">
        <v>160</v>
      </c>
      <c r="AR32" s="311" t="s">
        <v>160</v>
      </c>
      <c r="AS32" s="311" t="s">
        <v>160</v>
      </c>
      <c r="AT32" s="311" t="s">
        <v>160</v>
      </c>
      <c r="AU32" s="311" t="s">
        <v>160</v>
      </c>
      <c r="AV32" s="311" t="s">
        <v>160</v>
      </c>
      <c r="AW32" s="311" t="s">
        <v>160</v>
      </c>
      <c r="AX32" s="311" t="s">
        <v>160</v>
      </c>
      <c r="AY32" s="311" t="s">
        <v>160</v>
      </c>
      <c r="AZ32" s="311" t="s">
        <v>160</v>
      </c>
      <c r="BA32" s="311" t="s">
        <v>160</v>
      </c>
      <c r="BB32" s="311" t="s">
        <v>160</v>
      </c>
      <c r="BC32" s="311" t="s">
        <v>160</v>
      </c>
    </row>
    <row r="33" spans="1:55" collapsed="1" x14ac:dyDescent="0.2">
      <c r="A33" t="s">
        <v>112</v>
      </c>
      <c r="B33" t="s">
        <v>112</v>
      </c>
      <c r="D33" s="126" t="str">
        <f>IF([1]RENAME!$H$3=1,B33,A33)</f>
        <v>Total</v>
      </c>
      <c r="E33" s="120">
        <f t="shared" ref="E33:S33" si="49">SUM(E26:E32)</f>
        <v>13901</v>
      </c>
      <c r="F33" s="120">
        <f t="shared" si="49"/>
        <v>11093</v>
      </c>
      <c r="G33" s="162">
        <f t="shared" si="49"/>
        <v>5778</v>
      </c>
      <c r="H33" s="120">
        <f t="shared" si="49"/>
        <v>6589</v>
      </c>
      <c r="I33" s="120">
        <f t="shared" si="49"/>
        <v>5988</v>
      </c>
      <c r="J33" s="120">
        <f t="shared" si="49"/>
        <v>5158</v>
      </c>
      <c r="K33" s="120">
        <f t="shared" si="49"/>
        <v>5400</v>
      </c>
      <c r="L33" s="120">
        <f t="shared" si="49"/>
        <v>6340</v>
      </c>
      <c r="M33" s="120">
        <f t="shared" si="49"/>
        <v>5664</v>
      </c>
      <c r="N33" s="120">
        <f t="shared" si="49"/>
        <v>5179</v>
      </c>
      <c r="O33" s="120">
        <f t="shared" si="49"/>
        <v>5364</v>
      </c>
      <c r="P33" s="120">
        <f t="shared" si="49"/>
        <v>6048</v>
      </c>
      <c r="Q33" s="120">
        <f t="shared" si="49"/>
        <v>4655</v>
      </c>
      <c r="R33" s="120">
        <f t="shared" si="49"/>
        <v>4646</v>
      </c>
      <c r="S33" s="120">
        <f t="shared" si="49"/>
        <v>4426</v>
      </c>
      <c r="T33" s="120">
        <f t="shared" ref="T33:AC33" si="50">SUM(T26:T32)</f>
        <v>4987</v>
      </c>
      <c r="U33" s="120">
        <f t="shared" si="50"/>
        <v>4367</v>
      </c>
      <c r="V33" s="120">
        <f t="shared" si="50"/>
        <v>2948</v>
      </c>
      <c r="W33" s="120">
        <f t="shared" si="50"/>
        <v>3149</v>
      </c>
      <c r="X33" s="120">
        <f t="shared" si="50"/>
        <v>3581</v>
      </c>
      <c r="Y33" s="120">
        <f t="shared" si="50"/>
        <v>3021</v>
      </c>
      <c r="Z33" s="120">
        <f t="shared" si="50"/>
        <v>2541</v>
      </c>
      <c r="AA33" s="120">
        <f t="shared" si="50"/>
        <v>3189</v>
      </c>
      <c r="AB33" s="120">
        <f t="shared" si="50"/>
        <v>3581</v>
      </c>
      <c r="AC33" s="120">
        <f t="shared" si="50"/>
        <v>3007</v>
      </c>
      <c r="AD33" s="120">
        <f t="shared" ref="AD33:AI33" si="51">SUM(AD26:AD32)</f>
        <v>2944</v>
      </c>
      <c r="AE33" s="120">
        <f t="shared" si="51"/>
        <v>4545</v>
      </c>
      <c r="AF33" s="120">
        <f t="shared" si="51"/>
        <v>4680</v>
      </c>
      <c r="AG33" s="120">
        <f t="shared" si="51"/>
        <v>2865</v>
      </c>
      <c r="AH33" s="120">
        <f t="shared" si="51"/>
        <v>2939</v>
      </c>
      <c r="AI33" s="120">
        <f t="shared" si="51"/>
        <v>3303</v>
      </c>
      <c r="AJ33" s="120">
        <f>SUM(AJ26:AJ32)</f>
        <v>3910</v>
      </c>
      <c r="AK33" s="120">
        <f>SUM(AK26:AK32)</f>
        <v>3283</v>
      </c>
      <c r="AL33" s="120">
        <f>SUM(AL26:AL32)</f>
        <v>3010</v>
      </c>
      <c r="AM33" s="120">
        <f>SUM(AM26:AM31)</f>
        <v>3874</v>
      </c>
      <c r="AN33" s="120">
        <f t="shared" ref="AN33:AS33" si="52">SUM(AN26:AN31)</f>
        <v>4425</v>
      </c>
      <c r="AO33" s="120">
        <f t="shared" si="52"/>
        <v>2817</v>
      </c>
      <c r="AP33" s="120">
        <f t="shared" si="52"/>
        <v>2713</v>
      </c>
      <c r="AQ33" s="120">
        <f t="shared" si="52"/>
        <v>3301</v>
      </c>
      <c r="AR33" s="120">
        <f t="shared" si="52"/>
        <v>3863</v>
      </c>
      <c r="AS33" s="120">
        <f t="shared" si="52"/>
        <v>3187</v>
      </c>
      <c r="AT33" s="120">
        <f t="shared" ref="AT33:BC33" si="53">SUM(AT26:AT31)</f>
        <v>3594</v>
      </c>
      <c r="AU33" s="120">
        <f t="shared" si="53"/>
        <v>4434</v>
      </c>
      <c r="AV33" s="120">
        <f t="shared" si="53"/>
        <v>4907</v>
      </c>
      <c r="AW33" s="120">
        <f t="shared" si="53"/>
        <v>4254</v>
      </c>
      <c r="AX33" s="120">
        <f t="shared" si="53"/>
        <v>4094</v>
      </c>
      <c r="AY33" s="120">
        <f t="shared" si="53"/>
        <v>5302</v>
      </c>
      <c r="AZ33" s="120">
        <f t="shared" si="53"/>
        <v>5973</v>
      </c>
      <c r="BA33" s="120">
        <f t="shared" si="53"/>
        <v>4797</v>
      </c>
      <c r="BB33" s="120">
        <f>SUM(BB26:BB31)</f>
        <v>5193</v>
      </c>
      <c r="BC33" s="120">
        <f t="shared" si="53"/>
        <v>6413</v>
      </c>
    </row>
  </sheetData>
  <mergeCells count="1">
    <mergeCell ref="E4:F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42">
    <pageSetUpPr autoPageBreaks="0"/>
  </sheetPr>
  <dimension ref="A1:BF113"/>
  <sheetViews>
    <sheetView showGridLines="0" zoomScale="90" zoomScaleNormal="90" workbookViewId="0">
      <pane xSplit="4" ySplit="4" topLeftCell="AV88" activePane="bottomRight" state="frozen"/>
      <selection activeCell="AY7" sqref="AY7"/>
      <selection pane="topRight" activeCell="AY7" sqref="AY7"/>
      <selection pane="bottomLeft" activeCell="AY7" sqref="AY7"/>
      <selection pane="bottomRight" activeCell="BN101" sqref="BN101"/>
    </sheetView>
  </sheetViews>
  <sheetFormatPr defaultColWidth="9.140625" defaultRowHeight="18" x14ac:dyDescent="0.25"/>
  <cols>
    <col min="1" max="2" width="9.140625" style="70" hidden="1" customWidth="1"/>
    <col min="3" max="3" width="1.42578125" style="70" customWidth="1"/>
    <col min="4" max="4" width="24.140625" style="70" customWidth="1"/>
    <col min="5" max="57" width="10.85546875" style="70" customWidth="1"/>
    <col min="58" max="16384" width="9.140625" style="70"/>
  </cols>
  <sheetData>
    <row r="1" spans="1:58" s="557" customFormat="1" ht="7.5" customHeight="1" x14ac:dyDescent="0.25">
      <c r="E1" s="557" t="s">
        <v>3</v>
      </c>
      <c r="F1" s="558" t="str">
        <f>IF(LEFT(E1,1)="4","1T"&amp;RIGHT(E1,2)+1,LEFT(E1,1)+1&amp;RIGHT(E1,3))</f>
        <v>2T13</v>
      </c>
      <c r="G1" s="558" t="str">
        <f t="shared" ref="G1:Z1" si="0">IF(LEFT(F1,1)="4","1T"&amp;RIGHT(F1,2)+1,LEFT(F1,1)+1&amp;RIGHT(F1,3))</f>
        <v>3T13</v>
      </c>
      <c r="H1" s="558" t="str">
        <f t="shared" si="0"/>
        <v>4T13</v>
      </c>
      <c r="I1" s="558" t="str">
        <f t="shared" si="0"/>
        <v>1T14</v>
      </c>
      <c r="J1" s="558" t="str">
        <f t="shared" si="0"/>
        <v>2T14</v>
      </c>
      <c r="K1" s="558" t="str">
        <f t="shared" si="0"/>
        <v>3T14</v>
      </c>
      <c r="L1" s="558" t="str">
        <f t="shared" si="0"/>
        <v>4T14</v>
      </c>
      <c r="M1" s="558" t="str">
        <f t="shared" si="0"/>
        <v>1T15</v>
      </c>
      <c r="N1" s="558" t="str">
        <f t="shared" si="0"/>
        <v>2T15</v>
      </c>
      <c r="O1" s="557" t="str">
        <f t="shared" si="0"/>
        <v>3T15</v>
      </c>
      <c r="P1" s="557" t="str">
        <f t="shared" si="0"/>
        <v>4T15</v>
      </c>
      <c r="Q1" s="557" t="str">
        <f t="shared" si="0"/>
        <v>1T16</v>
      </c>
      <c r="R1" s="557" t="str">
        <f t="shared" si="0"/>
        <v>2T16</v>
      </c>
      <c r="S1" s="557" t="str">
        <f t="shared" si="0"/>
        <v>3T16</v>
      </c>
      <c r="T1" s="557" t="str">
        <f t="shared" si="0"/>
        <v>4T16</v>
      </c>
      <c r="U1" s="557" t="str">
        <f t="shared" si="0"/>
        <v>1T17</v>
      </c>
      <c r="V1" s="557" t="str">
        <f t="shared" si="0"/>
        <v>2T17</v>
      </c>
      <c r="W1" s="557" t="str">
        <f t="shared" si="0"/>
        <v>3T17</v>
      </c>
      <c r="X1" s="557" t="str">
        <f t="shared" si="0"/>
        <v>4T17</v>
      </c>
      <c r="Y1" s="557" t="str">
        <f t="shared" si="0"/>
        <v>1T18</v>
      </c>
      <c r="Z1" s="557" t="str">
        <f t="shared" si="0"/>
        <v>2T18</v>
      </c>
      <c r="AA1" s="557" t="str">
        <f t="shared" ref="AA1:AI1" si="1">IF(LEFT(Z1,1)="4","1T"&amp;RIGHT(Z1,2)+1,LEFT(Z1,1)+1&amp;RIGHT(Z1,3))</f>
        <v>3T18</v>
      </c>
      <c r="AB1" s="557" t="str">
        <f t="shared" si="1"/>
        <v>4T18</v>
      </c>
      <c r="AC1" s="557" t="str">
        <f t="shared" si="1"/>
        <v>1T19</v>
      </c>
      <c r="AD1" s="557" t="str">
        <f t="shared" si="1"/>
        <v>2T19</v>
      </c>
      <c r="AE1" s="557" t="str">
        <f t="shared" si="1"/>
        <v>3T19</v>
      </c>
      <c r="AF1" s="557" t="str">
        <f t="shared" si="1"/>
        <v>4T19</v>
      </c>
      <c r="AG1" s="557" t="str">
        <f t="shared" si="1"/>
        <v>1T20</v>
      </c>
      <c r="AH1" s="557" t="str">
        <f t="shared" si="1"/>
        <v>2T20</v>
      </c>
      <c r="AI1" s="557" t="str">
        <f t="shared" si="1"/>
        <v>3T20</v>
      </c>
      <c r="AJ1" s="557" t="str">
        <f t="shared" ref="AJ1:AW1" si="2">IF(LEFT(AI1,1)="4","1T"&amp;RIGHT(AI1,2)+1,LEFT(AI1,1)+1&amp;RIGHT(AI1,3))</f>
        <v>4T20</v>
      </c>
      <c r="AK1" s="557" t="str">
        <f t="shared" si="2"/>
        <v>1T21</v>
      </c>
      <c r="AL1" s="557" t="str">
        <f t="shared" si="2"/>
        <v>2T21</v>
      </c>
      <c r="AM1" s="557" t="str">
        <f t="shared" si="2"/>
        <v>3T21</v>
      </c>
      <c r="AN1" s="557" t="str">
        <f t="shared" si="2"/>
        <v>4T21</v>
      </c>
      <c r="AO1" s="557" t="str">
        <f t="shared" si="2"/>
        <v>1T22</v>
      </c>
      <c r="AP1" s="557" t="str">
        <f t="shared" si="2"/>
        <v>2T22</v>
      </c>
      <c r="AQ1" s="557" t="str">
        <f t="shared" si="2"/>
        <v>3T22</v>
      </c>
      <c r="AR1" s="557" t="str">
        <f t="shared" si="2"/>
        <v>4T22</v>
      </c>
      <c r="AS1" s="557" t="str">
        <f t="shared" si="2"/>
        <v>1T23</v>
      </c>
      <c r="AT1" s="557" t="str">
        <f t="shared" si="2"/>
        <v>2T23</v>
      </c>
      <c r="AU1" s="557" t="str">
        <f t="shared" si="2"/>
        <v>3T23</v>
      </c>
      <c r="AV1" s="557" t="str">
        <f t="shared" si="2"/>
        <v>4T23</v>
      </c>
      <c r="AW1" s="557" t="str">
        <f t="shared" si="2"/>
        <v>1T24</v>
      </c>
      <c r="AX1" s="557" t="str">
        <f t="shared" ref="AX1:BF1" si="3">IF(LEFT(AW1,1)="4","1T"&amp;RIGHT(AW1,2)+1,LEFT(AW1,1)+1&amp;RIGHT(AW1,3))</f>
        <v>2T24</v>
      </c>
      <c r="AY1" s="557" t="str">
        <f t="shared" si="3"/>
        <v>3T24</v>
      </c>
      <c r="AZ1" s="557" t="str">
        <f t="shared" si="3"/>
        <v>4T24</v>
      </c>
      <c r="BA1" s="557" t="str">
        <f t="shared" si="3"/>
        <v>1T25</v>
      </c>
      <c r="BB1" s="557" t="str">
        <f t="shared" si="3"/>
        <v>2T25</v>
      </c>
      <c r="BC1" s="557" t="str">
        <f t="shared" si="3"/>
        <v>3T25</v>
      </c>
      <c r="BD1" s="557" t="str">
        <f t="shared" si="3"/>
        <v>4T25</v>
      </c>
      <c r="BE1" s="557" t="str">
        <f t="shared" si="3"/>
        <v>1T26</v>
      </c>
      <c r="BF1" s="557" t="str">
        <f t="shared" si="3"/>
        <v>2T26</v>
      </c>
    </row>
    <row r="2" spans="1:58" s="557" customFormat="1" ht="12.75" customHeight="1" x14ac:dyDescent="0.25">
      <c r="E2" s="557" t="str">
        <f>SUBSTITUTE(E1,"T","Q")</f>
        <v>1Q13</v>
      </c>
      <c r="F2" s="557" t="str">
        <f>SUBSTITUTE(F1,"T","Q")</f>
        <v>2Q13</v>
      </c>
      <c r="G2" s="557" t="str">
        <f t="shared" ref="G2:W2" si="4">SUBSTITUTE(G1,"T","Q")</f>
        <v>3Q13</v>
      </c>
      <c r="H2" s="557" t="str">
        <f t="shared" si="4"/>
        <v>4Q13</v>
      </c>
      <c r="I2" s="557" t="str">
        <f t="shared" si="4"/>
        <v>1Q14</v>
      </c>
      <c r="J2" s="557" t="str">
        <f t="shared" si="4"/>
        <v>2Q14</v>
      </c>
      <c r="K2" s="557" t="str">
        <f t="shared" si="4"/>
        <v>3Q14</v>
      </c>
      <c r="L2" s="557" t="str">
        <f t="shared" si="4"/>
        <v>4Q14</v>
      </c>
      <c r="M2" s="557" t="str">
        <f t="shared" si="4"/>
        <v>1Q15</v>
      </c>
      <c r="N2" s="557" t="str">
        <f t="shared" si="4"/>
        <v>2Q15</v>
      </c>
      <c r="O2" s="557" t="str">
        <f t="shared" si="4"/>
        <v>3Q15</v>
      </c>
      <c r="P2" s="557" t="str">
        <f t="shared" si="4"/>
        <v>4Q15</v>
      </c>
      <c r="Q2" s="557" t="str">
        <f t="shared" si="4"/>
        <v>1Q16</v>
      </c>
      <c r="R2" s="557" t="str">
        <f t="shared" si="4"/>
        <v>2Q16</v>
      </c>
      <c r="S2" s="557" t="str">
        <f t="shared" si="4"/>
        <v>3Q16</v>
      </c>
      <c r="T2" s="557" t="str">
        <f t="shared" si="4"/>
        <v>4Q16</v>
      </c>
      <c r="U2" s="557" t="str">
        <f t="shared" si="4"/>
        <v>1Q17</v>
      </c>
      <c r="V2" s="557" t="str">
        <f t="shared" si="4"/>
        <v>2Q17</v>
      </c>
      <c r="W2" s="557" t="str">
        <f t="shared" si="4"/>
        <v>3Q17</v>
      </c>
      <c r="X2" s="557" t="str">
        <f t="shared" ref="X2:AC2" si="5">SUBSTITUTE(X1,"T","Q")</f>
        <v>4Q17</v>
      </c>
      <c r="Y2" s="557" t="str">
        <f t="shared" si="5"/>
        <v>1Q18</v>
      </c>
      <c r="Z2" s="557" t="str">
        <f t="shared" si="5"/>
        <v>2Q18</v>
      </c>
      <c r="AA2" s="557" t="str">
        <f t="shared" si="5"/>
        <v>3Q18</v>
      </c>
      <c r="AB2" s="557" t="str">
        <f t="shared" si="5"/>
        <v>4Q18</v>
      </c>
      <c r="AC2" s="557" t="str">
        <f t="shared" si="5"/>
        <v>1Q19</v>
      </c>
      <c r="AD2" s="557" t="str">
        <f t="shared" ref="AD2:AI2" si="6">SUBSTITUTE(AD1,"T","Q")</f>
        <v>2Q19</v>
      </c>
      <c r="AE2" s="557" t="str">
        <f t="shared" si="6"/>
        <v>3Q19</v>
      </c>
      <c r="AF2" s="557" t="str">
        <f t="shared" si="6"/>
        <v>4Q19</v>
      </c>
      <c r="AG2" s="557" t="str">
        <f t="shared" si="6"/>
        <v>1Q20</v>
      </c>
      <c r="AH2" s="557" t="str">
        <f t="shared" si="6"/>
        <v>2Q20</v>
      </c>
      <c r="AI2" s="557" t="str">
        <f t="shared" si="6"/>
        <v>3Q20</v>
      </c>
      <c r="AJ2" s="557" t="str">
        <f t="shared" ref="AJ2:AP2" si="7">SUBSTITUTE(AJ1,"T","Q")</f>
        <v>4Q20</v>
      </c>
      <c r="AK2" s="557" t="str">
        <f t="shared" si="7"/>
        <v>1Q21</v>
      </c>
      <c r="AL2" s="557" t="str">
        <f t="shared" si="7"/>
        <v>2Q21</v>
      </c>
      <c r="AM2" s="557" t="str">
        <f t="shared" si="7"/>
        <v>3Q21</v>
      </c>
      <c r="AN2" s="557" t="str">
        <f t="shared" si="7"/>
        <v>4Q21</v>
      </c>
      <c r="AO2" s="557" t="str">
        <f t="shared" si="7"/>
        <v>1Q22</v>
      </c>
      <c r="AP2" s="557" t="str">
        <f t="shared" si="7"/>
        <v>2Q22</v>
      </c>
      <c r="AQ2" s="557" t="str">
        <f t="shared" ref="AQ2:AW2" si="8">SUBSTITUTE(AQ1,"T","Q")</f>
        <v>3Q22</v>
      </c>
      <c r="AR2" s="557" t="str">
        <f t="shared" si="8"/>
        <v>4Q22</v>
      </c>
      <c r="AS2" s="557" t="str">
        <f t="shared" si="8"/>
        <v>1Q23</v>
      </c>
      <c r="AT2" s="557" t="str">
        <f t="shared" si="8"/>
        <v>2Q23</v>
      </c>
      <c r="AU2" s="557" t="str">
        <f t="shared" si="8"/>
        <v>3Q23</v>
      </c>
      <c r="AV2" s="557" t="str">
        <f t="shared" si="8"/>
        <v>4Q23</v>
      </c>
      <c r="AW2" s="557" t="str">
        <f t="shared" si="8"/>
        <v>1Q24</v>
      </c>
      <c r="AX2" s="557" t="str">
        <f t="shared" ref="AX2:BF2" si="9">SUBSTITUTE(AX1,"T","Q")</f>
        <v>2Q24</v>
      </c>
      <c r="AY2" s="557" t="str">
        <f t="shared" si="9"/>
        <v>3Q24</v>
      </c>
      <c r="AZ2" s="557" t="str">
        <f t="shared" si="9"/>
        <v>4Q24</v>
      </c>
      <c r="BA2" s="557" t="str">
        <f t="shared" si="9"/>
        <v>1Q25</v>
      </c>
      <c r="BB2" s="557" t="str">
        <f t="shared" si="9"/>
        <v>2Q25</v>
      </c>
      <c r="BC2" s="557" t="str">
        <f t="shared" si="9"/>
        <v>3Q25</v>
      </c>
      <c r="BD2" s="557" t="str">
        <f t="shared" si="9"/>
        <v>4Q25</v>
      </c>
      <c r="BE2" s="557" t="str">
        <f>SUBSTITUTE(BE1,"T","Q")</f>
        <v>1Q26</v>
      </c>
      <c r="BF2" s="557" t="str">
        <f t="shared" si="9"/>
        <v>2Q26</v>
      </c>
    </row>
    <row r="3" spans="1:58" s="557" customFormat="1" ht="12.75" customHeight="1" x14ac:dyDescent="0.25">
      <c r="F3" s="558"/>
      <c r="G3" s="558"/>
      <c r="H3" s="558"/>
      <c r="I3" s="558"/>
      <c r="J3" s="558"/>
      <c r="K3" s="558"/>
      <c r="L3" s="558"/>
      <c r="M3" s="558"/>
      <c r="N3" s="558"/>
      <c r="AC3" s="810"/>
      <c r="AD3" s="810"/>
      <c r="AE3" s="810"/>
      <c r="AF3" s="810"/>
      <c r="AG3" s="810"/>
      <c r="AH3" s="810"/>
      <c r="AI3" s="810"/>
      <c r="AJ3" s="810"/>
      <c r="AK3" s="810"/>
      <c r="AL3" s="810"/>
      <c r="AM3" s="810"/>
      <c r="AN3" s="810"/>
      <c r="AO3" s="810"/>
      <c r="AP3" s="810"/>
      <c r="AQ3" s="810"/>
      <c r="AR3" s="810"/>
      <c r="AS3" s="810"/>
      <c r="AT3" s="810"/>
      <c r="AU3" s="810"/>
    </row>
    <row r="4" spans="1:58" ht="12.75" customHeight="1" x14ac:dyDescent="0.25">
      <c r="F4" s="71"/>
      <c r="G4" s="71"/>
      <c r="H4" s="1253" t="str">
        <f>IF([1]RENAME!$H$3=1,"&lt;== with Direct Express","&lt;== Com Direct Express")</f>
        <v>&lt;== Com Direct Express</v>
      </c>
      <c r="I4" s="1254"/>
      <c r="J4" s="224" t="str">
        <f>IF([1]RENAME!$H$3=1,"without Direct Express ==&gt;","Sem Direct Express ==&gt;")</f>
        <v>Sem Direct Express ==&gt;</v>
      </c>
      <c r="K4" s="71"/>
      <c r="L4" s="71"/>
      <c r="M4" s="71"/>
      <c r="N4" s="71"/>
      <c r="AC4" s="810"/>
      <c r="AD4" s="810"/>
      <c r="AE4" s="810"/>
      <c r="AF4" s="810"/>
      <c r="AG4" s="810"/>
      <c r="AH4" s="810"/>
      <c r="AI4" s="810"/>
      <c r="AJ4" s="810"/>
      <c r="AK4" s="810"/>
      <c r="AL4" s="810"/>
      <c r="AM4" s="810"/>
      <c r="AN4" s="810"/>
      <c r="AO4" s="810"/>
      <c r="AP4" s="810"/>
      <c r="AQ4" s="810"/>
      <c r="AR4" s="810"/>
      <c r="AS4" s="810"/>
      <c r="AT4" s="810"/>
      <c r="AU4" s="810"/>
      <c r="AV4" s="810"/>
      <c r="AW4" s="810"/>
      <c r="AX4" s="810"/>
      <c r="AY4" s="810"/>
      <c r="AZ4" s="810"/>
      <c r="BA4" s="810"/>
      <c r="BB4" s="810"/>
      <c r="BC4" s="810"/>
      <c r="BD4" s="810"/>
      <c r="BE4" s="810"/>
      <c r="BF4" s="810"/>
    </row>
    <row r="5" spans="1:58" x14ac:dyDescent="0.25">
      <c r="A5" s="70" t="s">
        <v>96</v>
      </c>
      <c r="B5" s="70" t="s">
        <v>866</v>
      </c>
      <c r="D5" s="145" t="str">
        <f>IF([1]RENAME!$H$3=1,B5,A5)</f>
        <v>Consolidado</v>
      </c>
      <c r="E5" s="115" t="str">
        <f>IF([1]RENAME!$H$3=1,E2,E1)</f>
        <v>1T13</v>
      </c>
      <c r="F5" s="115" t="str">
        <f>IF([1]RENAME!$H$3=1,F2,F1)</f>
        <v>2T13</v>
      </c>
      <c r="G5" s="115" t="str">
        <f>IF([1]RENAME!$H$3=1,G2,G1)</f>
        <v>3T13</v>
      </c>
      <c r="H5" s="115" t="str">
        <f>IF([1]RENAME!$H$3=1,H2,H1)</f>
        <v>4T13</v>
      </c>
      <c r="I5" s="115" t="str">
        <f>IF([1]RENAME!$H$3=1,I2,I1)</f>
        <v>1T14</v>
      </c>
      <c r="J5" s="115" t="str">
        <f>IF([1]RENAME!$H$3=1,J2,J1)</f>
        <v>2T14</v>
      </c>
      <c r="K5" s="115" t="str">
        <f>IF([1]RENAME!$H$3=1,K2,K1)</f>
        <v>3T14</v>
      </c>
      <c r="L5" s="115" t="str">
        <f>IF([1]RENAME!$H$3=1,L2,L1)</f>
        <v>4T14</v>
      </c>
      <c r="M5" s="115" t="str">
        <f>IF([1]RENAME!$H$3=1,M2,M1)</f>
        <v>1T15</v>
      </c>
      <c r="N5" s="115" t="str">
        <f>IF([1]RENAME!$H$3=1,N2,N1)</f>
        <v>2T15</v>
      </c>
      <c r="O5" s="115" t="str">
        <f>IF([1]RENAME!$H$3=1,O2,O1)</f>
        <v>3T15</v>
      </c>
      <c r="P5" s="115" t="str">
        <f>IF([1]RENAME!$H$3=1,P2,P1)</f>
        <v>4T15</v>
      </c>
      <c r="Q5" s="115" t="str">
        <f>IF([1]RENAME!$H$3=1,Q2,Q1)</f>
        <v>1T16</v>
      </c>
      <c r="R5" s="115" t="str">
        <f>IF([1]RENAME!$H$3=1,R2,R1)</f>
        <v>2T16</v>
      </c>
      <c r="S5" s="115" t="str">
        <f>IF([1]RENAME!$H$3=1,S2,S1)</f>
        <v>3T16</v>
      </c>
      <c r="T5" s="115" t="str">
        <f>IF([1]RENAME!$H$3=1,T2,T1)</f>
        <v>4T16</v>
      </c>
      <c r="U5" s="115" t="str">
        <f>IF([1]RENAME!$H$3=1,U2,U1)</f>
        <v>1T17</v>
      </c>
      <c r="V5" s="115" t="str">
        <f>IF([1]RENAME!$H$3=1,V2,V1)</f>
        <v>2T17</v>
      </c>
      <c r="W5" s="115" t="str">
        <f>IF([1]RENAME!$H$3=1,W2,W1)</f>
        <v>3T17</v>
      </c>
      <c r="X5" s="115" t="str">
        <f>IF([1]RENAME!$H$3=1,X2,X1)</f>
        <v>4T17</v>
      </c>
      <c r="Y5" s="115" t="str">
        <f>IF([1]RENAME!$H$3=1,Y2,Y1)</f>
        <v>1T18</v>
      </c>
      <c r="Z5" s="115" t="str">
        <f>IF([1]RENAME!$H$3=1,Z2,Z1)</f>
        <v>2T18</v>
      </c>
      <c r="AA5" s="115" t="str">
        <f>IF([1]RENAME!$H$3=1,AA2,AA1)</f>
        <v>3T18</v>
      </c>
      <c r="AB5" s="115" t="str">
        <f>IF([1]RENAME!$H$3=1,AB2,AB1)</f>
        <v>4T18</v>
      </c>
      <c r="AC5" s="115" t="str">
        <f>IF([1]RENAME!$H$3=1,AC2,AC1)</f>
        <v>1T19</v>
      </c>
      <c r="AD5" s="115" t="str">
        <f>IF([1]RENAME!$H$3=1,AD2,AD1)</f>
        <v>2T19</v>
      </c>
      <c r="AE5" s="115" t="str">
        <f>IF([1]RENAME!$H$3=1,AE2,AE1)</f>
        <v>3T19</v>
      </c>
      <c r="AF5" s="115" t="str">
        <f>IF([1]RENAME!$H$3=1,AF2,AF1)</f>
        <v>4T19</v>
      </c>
      <c r="AG5" s="115" t="str">
        <f>IF([1]RENAME!$H$3=1,AG2,AG1)</f>
        <v>1T20</v>
      </c>
      <c r="AH5" s="115" t="str">
        <f>IF([1]RENAME!$H$3=1,AH2,AH1)</f>
        <v>2T20</v>
      </c>
      <c r="AI5" s="115" t="str">
        <f>IF([1]RENAME!$H$3=1,AI2,AI1)</f>
        <v>3T20</v>
      </c>
      <c r="AJ5" s="115" t="str">
        <f>IF([1]RENAME!$H$3=1,AJ2,AJ1)</f>
        <v>4T20</v>
      </c>
      <c r="AK5" s="115" t="str">
        <f>IF([1]RENAME!$H$3=1,AK2,AK1)</f>
        <v>1T21</v>
      </c>
      <c r="AL5" s="115" t="str">
        <f>IF([1]RENAME!$H$3=1,AL2,AL1)</f>
        <v>2T21</v>
      </c>
      <c r="AM5" s="115" t="str">
        <f>IF([1]RENAME!$H$3=1,AM2,AM1)</f>
        <v>3T21</v>
      </c>
      <c r="AN5" s="115" t="str">
        <f>IF([1]RENAME!$H$3=1,AN2,AN1)</f>
        <v>4T21</v>
      </c>
      <c r="AO5" s="115" t="str">
        <f>IF([1]RENAME!$H$3=1,AO2,AO1)</f>
        <v>1T22</v>
      </c>
      <c r="AP5" s="115" t="str">
        <f>IF([1]RENAME!$H$3=1,AP2,AP1)</f>
        <v>2T22</v>
      </c>
      <c r="AQ5" s="115" t="str">
        <f>IF([1]RENAME!$H$3=1,AQ2,AQ1)</f>
        <v>3T22</v>
      </c>
      <c r="AR5" s="115" t="str">
        <f>IF([1]RENAME!$H$3=1,AR2,AR1)</f>
        <v>4T22</v>
      </c>
      <c r="AS5" s="115" t="str">
        <f>IF([1]RENAME!$H$3=1,AS2,AS1)</f>
        <v>1T23</v>
      </c>
      <c r="AT5" s="115" t="str">
        <f>IF([1]RENAME!$H$3=1,AT2,AT1)</f>
        <v>2T23</v>
      </c>
      <c r="AU5" s="115" t="str">
        <f>IF([1]RENAME!$H$3=1,AU2,AU1)</f>
        <v>3T23</v>
      </c>
      <c r="AV5" s="115" t="str">
        <f>IF([1]RENAME!$H$3=1,AV2,AV1)</f>
        <v>4T23</v>
      </c>
      <c r="AW5" s="115" t="str">
        <f>IF([1]RENAME!$H$3=1,AW2,AW1)</f>
        <v>1T24</v>
      </c>
      <c r="AX5" s="115" t="str">
        <f>IF([1]RENAME!$H$3=1,AX2,AX1)</f>
        <v>2T24</v>
      </c>
      <c r="AY5" s="115" t="str">
        <f>IF([1]RENAME!$H$3=1,AY2,AY1)</f>
        <v>3T24</v>
      </c>
      <c r="AZ5" s="115" t="str">
        <f>IF([1]RENAME!$H$3=1,AZ2,AZ1)</f>
        <v>4T24</v>
      </c>
      <c r="BA5" s="115" t="str">
        <f>IF([1]RENAME!$H$3=1,BA2,BA1)</f>
        <v>1T25</v>
      </c>
      <c r="BB5" s="115" t="str">
        <f>IF([1]RENAME!$H$3=1,BB2,BB1)</f>
        <v>2T25</v>
      </c>
      <c r="BC5" s="115" t="str">
        <f>IF([1]RENAME!$H$3=1,BC2,BC1)</f>
        <v>3T25</v>
      </c>
      <c r="BD5" s="115" t="str">
        <f>IF([1]RENAME!$H$3=1,BD2,BD1)</f>
        <v>4T25</v>
      </c>
      <c r="BE5" s="247" t="str">
        <f>IF([1]RENAME!$H$3=1,BE2,BE1)</f>
        <v>1T26</v>
      </c>
      <c r="BF5" s="115" t="str">
        <f>IF([1]RENAME!$H$3=1,BF2,BF1)</f>
        <v>2T26</v>
      </c>
    </row>
    <row r="6" spans="1:58" x14ac:dyDescent="0.25">
      <c r="A6" s="70" t="s">
        <v>115</v>
      </c>
      <c r="B6" s="70" t="s">
        <v>975</v>
      </c>
      <c r="D6" s="129" t="str">
        <f>IF([1]RENAME!$H$3=1,B6,A6)</f>
        <v>Perda provável</v>
      </c>
      <c r="E6" s="118">
        <v>26518</v>
      </c>
      <c r="F6" s="118">
        <v>26518</v>
      </c>
      <c r="G6" s="118">
        <v>39871</v>
      </c>
      <c r="H6" s="118">
        <v>36991</v>
      </c>
      <c r="I6" s="118">
        <v>32167</v>
      </c>
      <c r="J6" s="160">
        <v>11047</v>
      </c>
      <c r="K6" s="118">
        <v>9656</v>
      </c>
      <c r="L6" s="118">
        <v>11754</v>
      </c>
      <c r="M6" s="118">
        <v>9645</v>
      </c>
      <c r="N6" s="118">
        <v>9861.4446800000005</v>
      </c>
      <c r="O6" s="118">
        <v>10007</v>
      </c>
      <c r="P6" s="118">
        <v>22751</v>
      </c>
      <c r="Q6" s="118">
        <v>21795</v>
      </c>
      <c r="R6" s="118">
        <v>17017</v>
      </c>
      <c r="S6" s="118">
        <v>15630</v>
      </c>
      <c r="T6" s="118">
        <v>14938</v>
      </c>
      <c r="U6" s="118">
        <v>14709</v>
      </c>
      <c r="V6" s="118">
        <v>36603</v>
      </c>
      <c r="W6" s="118">
        <v>34954</v>
      </c>
      <c r="X6" s="118">
        <v>38983</v>
      </c>
      <c r="Y6" s="118">
        <v>43770</v>
      </c>
      <c r="Z6" s="118">
        <v>41092</v>
      </c>
      <c r="AA6" s="118">
        <v>36834</v>
      </c>
      <c r="AB6" s="118">
        <v>44444</v>
      </c>
      <c r="AC6" s="118">
        <v>43202</v>
      </c>
      <c r="AD6" s="118">
        <v>42750</v>
      </c>
      <c r="AE6" s="118">
        <v>36611</v>
      </c>
      <c r="AF6" s="118">
        <v>35266</v>
      </c>
      <c r="AG6" s="118">
        <v>36832</v>
      </c>
      <c r="AH6" s="118">
        <v>34213</v>
      </c>
      <c r="AI6" s="118">
        <v>35552</v>
      </c>
      <c r="AJ6" s="118">
        <v>33878</v>
      </c>
      <c r="AK6" s="118">
        <v>33106</v>
      </c>
      <c r="AL6" s="118">
        <v>31961</v>
      </c>
      <c r="AM6" s="118">
        <v>26648</v>
      </c>
      <c r="AN6" s="118">
        <v>30830</v>
      </c>
      <c r="AO6" s="118">
        <v>29638</v>
      </c>
      <c r="AP6" s="118">
        <v>26394</v>
      </c>
      <c r="AQ6" s="118">
        <v>32330</v>
      </c>
      <c r="AR6" s="118">
        <v>28382</v>
      </c>
      <c r="AS6" s="118">
        <v>28655</v>
      </c>
      <c r="AT6" s="118">
        <v>26478</v>
      </c>
      <c r="AU6" s="118">
        <v>26648</v>
      </c>
      <c r="AV6" s="118">
        <v>28015</v>
      </c>
      <c r="AW6" s="118">
        <v>28737</v>
      </c>
      <c r="AX6" s="118">
        <v>29329</v>
      </c>
      <c r="AY6" s="118">
        <v>28133</v>
      </c>
      <c r="AZ6" s="118">
        <v>21692</v>
      </c>
      <c r="BA6" s="118">
        <v>22091</v>
      </c>
      <c r="BB6" s="118">
        <v>22253</v>
      </c>
      <c r="BC6" s="118">
        <v>21408</v>
      </c>
      <c r="BD6" s="118">
        <v>20664</v>
      </c>
      <c r="BE6" s="118">
        <v>20125</v>
      </c>
      <c r="BF6" s="118">
        <f>'[3]16 Conting. NL'!$H$7</f>
        <v>20811</v>
      </c>
    </row>
    <row r="7" spans="1:58" x14ac:dyDescent="0.25">
      <c r="A7" s="70" t="s">
        <v>116</v>
      </c>
      <c r="B7" s="70" t="s">
        <v>976</v>
      </c>
      <c r="D7" s="129" t="str">
        <f>IF([1]RENAME!$H$3=1,B7,A7)</f>
        <v xml:space="preserve">Perda possível </v>
      </c>
      <c r="E7" s="118">
        <v>139860</v>
      </c>
      <c r="F7" s="118">
        <v>139860</v>
      </c>
      <c r="G7" s="118">
        <v>139860</v>
      </c>
      <c r="H7" s="118">
        <v>123033</v>
      </c>
      <c r="I7" s="118">
        <v>66323</v>
      </c>
      <c r="J7" s="160">
        <v>63957</v>
      </c>
      <c r="K7" s="118">
        <v>99539</v>
      </c>
      <c r="L7" s="118">
        <v>106694</v>
      </c>
      <c r="M7" s="118">
        <v>147340</v>
      </c>
      <c r="N7" s="118">
        <v>154158.6134291621</v>
      </c>
      <c r="O7" s="118">
        <v>136961</v>
      </c>
      <c r="P7" s="118">
        <v>120717</v>
      </c>
      <c r="Q7" s="118">
        <v>113192</v>
      </c>
      <c r="R7" s="118">
        <v>117448</v>
      </c>
      <c r="S7" s="118">
        <v>126715</v>
      </c>
      <c r="T7" s="118">
        <v>129202</v>
      </c>
      <c r="U7" s="118">
        <v>144155</v>
      </c>
      <c r="V7" s="260">
        <v>106726</v>
      </c>
      <c r="W7" s="118">
        <v>111793</v>
      </c>
      <c r="X7" s="118">
        <v>132824</v>
      </c>
      <c r="Y7" s="118">
        <v>129567</v>
      </c>
      <c r="Z7" s="118">
        <v>125754</v>
      </c>
      <c r="AA7" s="118">
        <v>106200</v>
      </c>
      <c r="AB7" s="118">
        <v>99759</v>
      </c>
      <c r="AC7" s="118">
        <v>98467</v>
      </c>
      <c r="AD7" s="118">
        <v>100335</v>
      </c>
      <c r="AE7" s="118">
        <v>97388</v>
      </c>
      <c r="AF7" s="118">
        <v>97237</v>
      </c>
      <c r="AG7" s="118">
        <v>88555</v>
      </c>
      <c r="AH7" s="118">
        <v>82562</v>
      </c>
      <c r="AI7" s="118">
        <v>87763</v>
      </c>
      <c r="AJ7" s="118">
        <v>87818</v>
      </c>
      <c r="AK7" s="118">
        <v>87266</v>
      </c>
      <c r="AL7" s="118">
        <v>78234</v>
      </c>
      <c r="AM7" s="118">
        <v>71995</v>
      </c>
      <c r="AN7" s="118">
        <v>71761</v>
      </c>
      <c r="AO7" s="118">
        <v>73154</v>
      </c>
      <c r="AP7" s="118">
        <v>76960</v>
      </c>
      <c r="AQ7" s="118">
        <v>71089</v>
      </c>
      <c r="AR7" s="118">
        <v>70850</v>
      </c>
      <c r="AS7" s="260">
        <v>89634</v>
      </c>
      <c r="AT7" s="260">
        <v>144590</v>
      </c>
      <c r="AU7" s="118">
        <v>133077</v>
      </c>
      <c r="AV7" s="118">
        <v>142625</v>
      </c>
      <c r="AW7" s="118">
        <v>139192</v>
      </c>
      <c r="AX7" s="118">
        <v>154082</v>
      </c>
      <c r="AY7" s="118">
        <v>153680</v>
      </c>
      <c r="AZ7" s="118">
        <v>163409</v>
      </c>
      <c r="BA7" s="118">
        <v>166958</v>
      </c>
      <c r="BB7" s="118">
        <v>169264</v>
      </c>
      <c r="BC7" s="118">
        <v>175901</v>
      </c>
      <c r="BD7" s="118">
        <v>174008</v>
      </c>
      <c r="BE7" s="118">
        <v>183102</v>
      </c>
      <c r="BF7" s="118">
        <f>'[3]16 Conting. NL'!$H$8</f>
        <v>184169</v>
      </c>
    </row>
    <row r="8" spans="1:58" x14ac:dyDescent="0.25">
      <c r="A8" s="70" t="s">
        <v>117</v>
      </c>
      <c r="B8" s="70" t="s">
        <v>977</v>
      </c>
      <c r="D8" s="129" t="str">
        <f>IF([1]RENAME!$H$3=1,B8,A8)</f>
        <v xml:space="preserve">Perda remota </v>
      </c>
      <c r="E8" s="118">
        <v>77302</v>
      </c>
      <c r="F8" s="118">
        <v>77302</v>
      </c>
      <c r="G8" s="118">
        <v>77302</v>
      </c>
      <c r="H8" s="118">
        <v>85930</v>
      </c>
      <c r="I8" s="118">
        <v>160817</v>
      </c>
      <c r="J8" s="160">
        <v>77505</v>
      </c>
      <c r="K8" s="118">
        <v>64165</v>
      </c>
      <c r="L8" s="118">
        <v>20307</v>
      </c>
      <c r="M8" s="118">
        <v>8039</v>
      </c>
      <c r="N8" s="118">
        <v>8572.7878981035428</v>
      </c>
      <c r="O8" s="118">
        <v>7904</v>
      </c>
      <c r="P8" s="118">
        <v>6820</v>
      </c>
      <c r="Q8" s="118">
        <v>20575</v>
      </c>
      <c r="R8" s="118">
        <v>32358</v>
      </c>
      <c r="S8" s="118">
        <v>37967</v>
      </c>
      <c r="T8" s="118">
        <v>43110</v>
      </c>
      <c r="U8" s="118">
        <v>45196</v>
      </c>
      <c r="V8" s="260">
        <v>82688</v>
      </c>
      <c r="W8" s="118">
        <v>49400</v>
      </c>
      <c r="X8" s="118">
        <v>72441</v>
      </c>
      <c r="Y8" s="118">
        <v>429459</v>
      </c>
      <c r="Z8" s="118">
        <v>436349</v>
      </c>
      <c r="AA8" s="118">
        <v>447240</v>
      </c>
      <c r="AB8" s="118">
        <v>454666</v>
      </c>
      <c r="AC8" s="118">
        <v>501151</v>
      </c>
      <c r="AD8" s="118">
        <v>515842</v>
      </c>
      <c r="AE8" s="118">
        <v>521215</v>
      </c>
      <c r="AF8" s="118">
        <v>526930</v>
      </c>
      <c r="AG8" s="118">
        <v>542724</v>
      </c>
      <c r="AH8" s="118">
        <v>553626</v>
      </c>
      <c r="AI8" s="118">
        <v>553747</v>
      </c>
      <c r="AJ8" s="118">
        <v>534204</v>
      </c>
      <c r="AK8" s="118">
        <v>570848</v>
      </c>
      <c r="AL8" s="118">
        <v>590062</v>
      </c>
      <c r="AM8" s="118">
        <v>601208</v>
      </c>
      <c r="AN8" s="118">
        <v>605941</v>
      </c>
      <c r="AO8" s="118">
        <v>635213</v>
      </c>
      <c r="AP8" s="118">
        <v>640151</v>
      </c>
      <c r="AQ8" s="118">
        <v>617317</v>
      </c>
      <c r="AR8" s="118">
        <v>634690</v>
      </c>
      <c r="AS8" s="118">
        <v>652927</v>
      </c>
      <c r="AT8" s="118">
        <v>630211</v>
      </c>
      <c r="AU8" s="118">
        <v>648468</v>
      </c>
      <c r="AV8" s="118">
        <v>655988</v>
      </c>
      <c r="AW8" s="118">
        <v>674345</v>
      </c>
      <c r="AX8" s="118">
        <v>679177</v>
      </c>
      <c r="AY8" s="118">
        <v>694883</v>
      </c>
      <c r="AZ8" s="118">
        <v>702375</v>
      </c>
      <c r="BA8" s="118">
        <v>723905</v>
      </c>
      <c r="BB8" s="118">
        <v>740093</v>
      </c>
      <c r="BC8" s="118">
        <v>554783</v>
      </c>
      <c r="BD8" s="260">
        <v>41096</v>
      </c>
      <c r="BE8" s="118">
        <v>41188</v>
      </c>
      <c r="BF8" s="118">
        <f>'[3]16 Conting. NL'!$H$9</f>
        <v>40422</v>
      </c>
    </row>
    <row r="9" spans="1:58" x14ac:dyDescent="0.25">
      <c r="A9" s="70" t="s">
        <v>73</v>
      </c>
      <c r="B9" s="70" t="s">
        <v>73</v>
      </c>
      <c r="D9" s="126" t="str">
        <f>IF([1]RENAME!$H$3=1,B9,A9)</f>
        <v>TOTAL</v>
      </c>
      <c r="E9" s="120">
        <f t="shared" ref="E9:O9" si="10">SUM(E6:E8)</f>
        <v>243680</v>
      </c>
      <c r="F9" s="120">
        <f t="shared" si="10"/>
        <v>243680</v>
      </c>
      <c r="G9" s="120">
        <f t="shared" si="10"/>
        <v>257033</v>
      </c>
      <c r="H9" s="120">
        <f t="shared" si="10"/>
        <v>245954</v>
      </c>
      <c r="I9" s="120">
        <f t="shared" si="10"/>
        <v>259307</v>
      </c>
      <c r="J9" s="162">
        <f t="shared" si="10"/>
        <v>152509</v>
      </c>
      <c r="K9" s="120">
        <f t="shared" si="10"/>
        <v>173360</v>
      </c>
      <c r="L9" s="120">
        <f t="shared" si="10"/>
        <v>138755</v>
      </c>
      <c r="M9" s="120">
        <f t="shared" si="10"/>
        <v>165024</v>
      </c>
      <c r="N9" s="120">
        <f t="shared" si="10"/>
        <v>172592.84600726562</v>
      </c>
      <c r="O9" s="120">
        <f t="shared" si="10"/>
        <v>154872</v>
      </c>
      <c r="P9" s="120">
        <f t="shared" ref="P9:AF9" si="11">SUM(P6:P8)</f>
        <v>150288</v>
      </c>
      <c r="Q9" s="120">
        <f t="shared" si="11"/>
        <v>155562</v>
      </c>
      <c r="R9" s="120">
        <f t="shared" si="11"/>
        <v>166823</v>
      </c>
      <c r="S9" s="120">
        <f t="shared" si="11"/>
        <v>180312</v>
      </c>
      <c r="T9" s="120">
        <f t="shared" si="11"/>
        <v>187250</v>
      </c>
      <c r="U9" s="120">
        <f t="shared" si="11"/>
        <v>204060</v>
      </c>
      <c r="V9" s="120">
        <f t="shared" si="11"/>
        <v>226017</v>
      </c>
      <c r="W9" s="120">
        <f t="shared" si="11"/>
        <v>196147</v>
      </c>
      <c r="X9" s="120">
        <f t="shared" si="11"/>
        <v>244248</v>
      </c>
      <c r="Y9" s="120">
        <f t="shared" si="11"/>
        <v>602796</v>
      </c>
      <c r="Z9" s="120">
        <f t="shared" si="11"/>
        <v>603195</v>
      </c>
      <c r="AA9" s="120">
        <f t="shared" si="11"/>
        <v>590274</v>
      </c>
      <c r="AB9" s="120">
        <f t="shared" si="11"/>
        <v>598869</v>
      </c>
      <c r="AC9" s="120">
        <f t="shared" si="11"/>
        <v>642820</v>
      </c>
      <c r="AD9" s="120">
        <f t="shared" si="11"/>
        <v>658927</v>
      </c>
      <c r="AE9" s="120">
        <f t="shared" si="11"/>
        <v>655214</v>
      </c>
      <c r="AF9" s="120">
        <f t="shared" si="11"/>
        <v>659433</v>
      </c>
      <c r="AG9" s="120">
        <f t="shared" ref="AG9:AP9" si="12">SUM(AG6:AG8)</f>
        <v>668111</v>
      </c>
      <c r="AH9" s="120">
        <f t="shared" si="12"/>
        <v>670401</v>
      </c>
      <c r="AI9" s="120">
        <f t="shared" si="12"/>
        <v>677062</v>
      </c>
      <c r="AJ9" s="120">
        <f t="shared" si="12"/>
        <v>655900</v>
      </c>
      <c r="AK9" s="120">
        <f t="shared" si="12"/>
        <v>691220</v>
      </c>
      <c r="AL9" s="120">
        <f t="shared" si="12"/>
        <v>700257</v>
      </c>
      <c r="AM9" s="120">
        <f t="shared" si="12"/>
        <v>699851</v>
      </c>
      <c r="AN9" s="120">
        <f t="shared" si="12"/>
        <v>708532</v>
      </c>
      <c r="AO9" s="120">
        <f t="shared" si="12"/>
        <v>738005</v>
      </c>
      <c r="AP9" s="120">
        <f t="shared" si="12"/>
        <v>743505</v>
      </c>
      <c r="AQ9" s="120">
        <f t="shared" ref="AQ9:AX9" si="13">SUM(AQ6:AQ8)</f>
        <v>720736</v>
      </c>
      <c r="AR9" s="120">
        <f t="shared" si="13"/>
        <v>733922</v>
      </c>
      <c r="AS9" s="120">
        <f t="shared" si="13"/>
        <v>771216</v>
      </c>
      <c r="AT9" s="120">
        <f t="shared" si="13"/>
        <v>801279</v>
      </c>
      <c r="AU9" s="120">
        <f t="shared" si="13"/>
        <v>808193</v>
      </c>
      <c r="AV9" s="120">
        <f t="shared" si="13"/>
        <v>826628</v>
      </c>
      <c r="AW9" s="120">
        <f t="shared" si="13"/>
        <v>842274</v>
      </c>
      <c r="AX9" s="120">
        <f t="shared" si="13"/>
        <v>862588</v>
      </c>
      <c r="AY9" s="120">
        <f t="shared" ref="AY9:BD9" si="14">SUM(AY6:AY8)</f>
        <v>876696</v>
      </c>
      <c r="AZ9" s="120">
        <f t="shared" si="14"/>
        <v>887476</v>
      </c>
      <c r="BA9" s="120">
        <f t="shared" si="14"/>
        <v>912954</v>
      </c>
      <c r="BB9" s="120">
        <f t="shared" si="14"/>
        <v>931610</v>
      </c>
      <c r="BC9" s="120">
        <f t="shared" si="14"/>
        <v>752092</v>
      </c>
      <c r="BD9" s="120">
        <f t="shared" si="14"/>
        <v>235768</v>
      </c>
      <c r="BE9" s="120">
        <f>SUM(BE6:BE8)</f>
        <v>244415</v>
      </c>
      <c r="BF9" s="120">
        <f>SUM(BF6:BF8)</f>
        <v>245402</v>
      </c>
    </row>
    <row r="10" spans="1:58" x14ac:dyDescent="0.25">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191"/>
      <c r="AZ10" s="191"/>
      <c r="BA10" s="191"/>
      <c r="BB10" s="191"/>
      <c r="BC10" s="191"/>
      <c r="BD10" s="191"/>
      <c r="BE10" s="191"/>
      <c r="BF10" s="191"/>
    </row>
    <row r="11" spans="1:58" x14ac:dyDescent="0.25">
      <c r="A11" s="70" t="s">
        <v>97</v>
      </c>
      <c r="B11" s="70" t="s">
        <v>872</v>
      </c>
      <c r="D11" s="145" t="str">
        <f>IF([1]RENAME!$H$3=1,B11,A11)</f>
        <v>Controladora</v>
      </c>
      <c r="E11" s="115" t="str">
        <f>E5</f>
        <v>1T13</v>
      </c>
      <c r="F11" s="115" t="str">
        <f t="shared" ref="F11:W11" si="15">F5</f>
        <v>2T13</v>
      </c>
      <c r="G11" s="115" t="str">
        <f t="shared" si="15"/>
        <v>3T13</v>
      </c>
      <c r="H11" s="115" t="str">
        <f t="shared" si="15"/>
        <v>4T13</v>
      </c>
      <c r="I11" s="115" t="str">
        <f t="shared" si="15"/>
        <v>1T14</v>
      </c>
      <c r="J11" s="115" t="str">
        <f t="shared" si="15"/>
        <v>2T14</v>
      </c>
      <c r="K11" s="115" t="str">
        <f t="shared" si="15"/>
        <v>3T14</v>
      </c>
      <c r="L11" s="115" t="str">
        <f t="shared" si="15"/>
        <v>4T14</v>
      </c>
      <c r="M11" s="115" t="str">
        <f t="shared" si="15"/>
        <v>1T15</v>
      </c>
      <c r="N11" s="115" t="str">
        <f t="shared" si="15"/>
        <v>2T15</v>
      </c>
      <c r="O11" s="115" t="str">
        <f t="shared" si="15"/>
        <v>3T15</v>
      </c>
      <c r="P11" s="115" t="str">
        <f t="shared" si="15"/>
        <v>4T15</v>
      </c>
      <c r="Q11" s="115" t="str">
        <f t="shared" si="15"/>
        <v>1T16</v>
      </c>
      <c r="R11" s="115" t="str">
        <f t="shared" si="15"/>
        <v>2T16</v>
      </c>
      <c r="S11" s="115" t="str">
        <f t="shared" si="15"/>
        <v>3T16</v>
      </c>
      <c r="T11" s="115" t="str">
        <f t="shared" si="15"/>
        <v>4T16</v>
      </c>
      <c r="U11" s="115" t="str">
        <f t="shared" si="15"/>
        <v>1T17</v>
      </c>
      <c r="V11" s="115" t="str">
        <f t="shared" si="15"/>
        <v>2T17</v>
      </c>
      <c r="W11" s="115" t="str">
        <f t="shared" si="15"/>
        <v>3T17</v>
      </c>
      <c r="X11" s="115" t="str">
        <f t="shared" ref="X11:AF11" si="16">X5</f>
        <v>4T17</v>
      </c>
      <c r="Y11" s="115" t="str">
        <f t="shared" si="16"/>
        <v>1T18</v>
      </c>
      <c r="Z11" s="115" t="str">
        <f t="shared" si="16"/>
        <v>2T18</v>
      </c>
      <c r="AA11" s="115" t="str">
        <f t="shared" si="16"/>
        <v>3T18</v>
      </c>
      <c r="AB11" s="115" t="str">
        <f t="shared" si="16"/>
        <v>4T18</v>
      </c>
      <c r="AC11" s="115" t="str">
        <f t="shared" si="16"/>
        <v>1T19</v>
      </c>
      <c r="AD11" s="115" t="str">
        <f t="shared" si="16"/>
        <v>2T19</v>
      </c>
      <c r="AE11" s="115" t="str">
        <f t="shared" si="16"/>
        <v>3T19</v>
      </c>
      <c r="AF11" s="115" t="str">
        <f t="shared" si="16"/>
        <v>4T19</v>
      </c>
      <c r="AG11" s="115" t="str">
        <f t="shared" ref="AG11:AP11" si="17">AG5</f>
        <v>1T20</v>
      </c>
      <c r="AH11" s="115" t="str">
        <f t="shared" si="17"/>
        <v>2T20</v>
      </c>
      <c r="AI11" s="115" t="str">
        <f t="shared" si="17"/>
        <v>3T20</v>
      </c>
      <c r="AJ11" s="115" t="str">
        <f t="shared" si="17"/>
        <v>4T20</v>
      </c>
      <c r="AK11" s="115" t="str">
        <f t="shared" si="17"/>
        <v>1T21</v>
      </c>
      <c r="AL11" s="115" t="str">
        <f t="shared" si="17"/>
        <v>2T21</v>
      </c>
      <c r="AM11" s="115" t="str">
        <f t="shared" si="17"/>
        <v>3T21</v>
      </c>
      <c r="AN11" s="115" t="str">
        <f t="shared" si="17"/>
        <v>4T21</v>
      </c>
      <c r="AO11" s="115" t="str">
        <f t="shared" si="17"/>
        <v>1T22</v>
      </c>
      <c r="AP11" s="115" t="str">
        <f t="shared" si="17"/>
        <v>2T22</v>
      </c>
      <c r="AQ11" s="115" t="str">
        <f t="shared" ref="AQ11:AX11" si="18">AQ5</f>
        <v>3T22</v>
      </c>
      <c r="AR11" s="115" t="str">
        <f t="shared" si="18"/>
        <v>4T22</v>
      </c>
      <c r="AS11" s="115" t="str">
        <f t="shared" si="18"/>
        <v>1T23</v>
      </c>
      <c r="AT11" s="115" t="str">
        <f t="shared" si="18"/>
        <v>2T23</v>
      </c>
      <c r="AU11" s="115" t="str">
        <f t="shared" si="18"/>
        <v>3T23</v>
      </c>
      <c r="AV11" s="115" t="str">
        <f t="shared" si="18"/>
        <v>4T23</v>
      </c>
      <c r="AW11" s="115" t="str">
        <f t="shared" si="18"/>
        <v>1T24</v>
      </c>
      <c r="AX11" s="115" t="str">
        <f t="shared" si="18"/>
        <v>2T24</v>
      </c>
      <c r="AY11" s="115" t="str">
        <f t="shared" ref="AY11:BD11" si="19">AY5</f>
        <v>3T24</v>
      </c>
      <c r="AZ11" s="115" t="str">
        <f t="shared" si="19"/>
        <v>4T24</v>
      </c>
      <c r="BA11" s="115" t="str">
        <f t="shared" si="19"/>
        <v>1T25</v>
      </c>
      <c r="BB11" s="115" t="str">
        <f t="shared" si="19"/>
        <v>2T25</v>
      </c>
      <c r="BC11" s="115" t="str">
        <f t="shared" si="19"/>
        <v>3T25</v>
      </c>
      <c r="BD11" s="115" t="str">
        <f t="shared" si="19"/>
        <v>4T25</v>
      </c>
      <c r="BE11" s="247" t="str">
        <f>BE5</f>
        <v>1T26</v>
      </c>
      <c r="BF11" s="115" t="str">
        <f>BF5</f>
        <v>2T26</v>
      </c>
    </row>
    <row r="12" spans="1:58" x14ac:dyDescent="0.25">
      <c r="A12" s="70" t="s">
        <v>115</v>
      </c>
      <c r="B12" s="70" t="s">
        <v>975</v>
      </c>
      <c r="D12" s="129" t="str">
        <f>IF([1]RENAME!$H$3=1,B12,A12)</f>
        <v>Perda provável</v>
      </c>
      <c r="E12" s="118">
        <v>2855</v>
      </c>
      <c r="F12" s="118">
        <v>2855</v>
      </c>
      <c r="G12" s="118">
        <v>3071</v>
      </c>
      <c r="H12" s="118">
        <v>3071</v>
      </c>
      <c r="I12" s="118">
        <v>3071</v>
      </c>
      <c r="J12" s="160">
        <v>3071</v>
      </c>
      <c r="K12" s="118">
        <v>3071</v>
      </c>
      <c r="L12" s="118">
        <v>3194</v>
      </c>
      <c r="M12" s="118">
        <v>3194</v>
      </c>
      <c r="N12" s="118">
        <v>2537.8557599999999</v>
      </c>
      <c r="O12" s="118">
        <v>2514</v>
      </c>
      <c r="P12" s="118">
        <v>4990</v>
      </c>
      <c r="Q12" s="118">
        <v>5207</v>
      </c>
      <c r="R12" s="118">
        <v>5300</v>
      </c>
      <c r="S12" s="118">
        <v>4999</v>
      </c>
      <c r="T12" s="118">
        <v>4946</v>
      </c>
      <c r="U12" s="118">
        <v>6104</v>
      </c>
      <c r="V12" s="118">
        <v>27314</v>
      </c>
      <c r="W12" s="118">
        <v>27221</v>
      </c>
      <c r="X12" s="118">
        <v>30926</v>
      </c>
      <c r="Y12" s="118">
        <v>32903</v>
      </c>
      <c r="Z12" s="118">
        <v>30032</v>
      </c>
      <c r="AA12" s="118">
        <v>26056</v>
      </c>
      <c r="AB12" s="118">
        <v>34419</v>
      </c>
      <c r="AC12" s="118">
        <v>33700</v>
      </c>
      <c r="AD12" s="118">
        <v>32422</v>
      </c>
      <c r="AE12" s="118">
        <v>32048</v>
      </c>
      <c r="AF12" s="118">
        <v>30606</v>
      </c>
      <c r="AG12" s="118">
        <v>32570</v>
      </c>
      <c r="AH12" s="118">
        <v>30269</v>
      </c>
      <c r="AI12" s="118">
        <v>31629</v>
      </c>
      <c r="AJ12" s="118">
        <v>30151</v>
      </c>
      <c r="AK12" s="118">
        <v>29631</v>
      </c>
      <c r="AL12" s="118">
        <v>28660</v>
      </c>
      <c r="AM12" s="118">
        <v>23482</v>
      </c>
      <c r="AN12" s="118">
        <v>27802</v>
      </c>
      <c r="AO12" s="118">
        <v>25994</v>
      </c>
      <c r="AP12" s="118">
        <v>22639</v>
      </c>
      <c r="AQ12" s="118">
        <v>28573</v>
      </c>
      <c r="AR12" s="118">
        <v>24627</v>
      </c>
      <c r="AS12" s="118">
        <v>24853</v>
      </c>
      <c r="AT12" s="118">
        <v>23987</v>
      </c>
      <c r="AU12" s="118">
        <v>24185</v>
      </c>
      <c r="AV12" s="118">
        <v>24904</v>
      </c>
      <c r="AW12" s="118">
        <v>25407</v>
      </c>
      <c r="AX12" s="118">
        <v>26457</v>
      </c>
      <c r="AY12" s="118">
        <v>25243</v>
      </c>
      <c r="AZ12" s="118">
        <v>18674</v>
      </c>
      <c r="BA12" s="118">
        <v>19045</v>
      </c>
      <c r="BB12" s="118">
        <v>19200</v>
      </c>
      <c r="BC12" s="118">
        <v>18495</v>
      </c>
      <c r="BD12" s="118">
        <v>17680</v>
      </c>
      <c r="BE12" s="118">
        <v>17120</v>
      </c>
      <c r="BF12" s="118">
        <f>'[3]16 Conting. NL'!$D$7</f>
        <v>17823</v>
      </c>
    </row>
    <row r="13" spans="1:58" x14ac:dyDescent="0.25">
      <c r="A13" s="70" t="s">
        <v>116</v>
      </c>
      <c r="B13" s="70" t="s">
        <v>976</v>
      </c>
      <c r="D13" s="129" t="str">
        <f>IF([1]RENAME!$H$3=1,B13,A13)</f>
        <v xml:space="preserve">Perda possível </v>
      </c>
      <c r="E13" s="118">
        <v>36416</v>
      </c>
      <c r="F13" s="118">
        <v>36416</v>
      </c>
      <c r="G13" s="118">
        <v>36416</v>
      </c>
      <c r="H13" s="118">
        <v>31828</v>
      </c>
      <c r="I13" s="118">
        <v>22998</v>
      </c>
      <c r="J13" s="160">
        <v>36155</v>
      </c>
      <c r="K13" s="118">
        <v>39380</v>
      </c>
      <c r="L13" s="118">
        <v>36368</v>
      </c>
      <c r="M13" s="118">
        <v>85213</v>
      </c>
      <c r="N13" s="118">
        <v>90432.815976276004</v>
      </c>
      <c r="O13" s="118">
        <v>91393</v>
      </c>
      <c r="P13" s="118">
        <v>69815</v>
      </c>
      <c r="Q13" s="118">
        <v>61820</v>
      </c>
      <c r="R13" s="118">
        <v>66385</v>
      </c>
      <c r="S13" s="118">
        <v>73049</v>
      </c>
      <c r="T13" s="118">
        <v>72314</v>
      </c>
      <c r="U13" s="118">
        <v>84817</v>
      </c>
      <c r="V13" s="118">
        <v>86784</v>
      </c>
      <c r="W13" s="118">
        <v>91704</v>
      </c>
      <c r="X13" s="118">
        <v>109126</v>
      </c>
      <c r="Y13" s="118">
        <v>117779</v>
      </c>
      <c r="Z13" s="118">
        <v>113007</v>
      </c>
      <c r="AA13" s="118">
        <v>98069</v>
      </c>
      <c r="AB13" s="118">
        <v>92363</v>
      </c>
      <c r="AC13" s="118">
        <v>89057</v>
      </c>
      <c r="AD13" s="118">
        <v>91255</v>
      </c>
      <c r="AE13" s="118">
        <v>87765</v>
      </c>
      <c r="AF13" s="118">
        <v>88672</v>
      </c>
      <c r="AG13" s="118">
        <v>82200</v>
      </c>
      <c r="AH13" s="118">
        <v>76525</v>
      </c>
      <c r="AI13" s="118">
        <v>80944</v>
      </c>
      <c r="AJ13" s="118">
        <v>81376</v>
      </c>
      <c r="AK13" s="118">
        <v>80878</v>
      </c>
      <c r="AL13" s="118">
        <v>71712</v>
      </c>
      <c r="AM13" s="118">
        <v>65377</v>
      </c>
      <c r="AN13" s="118">
        <v>64780</v>
      </c>
      <c r="AO13" s="118">
        <v>66239</v>
      </c>
      <c r="AP13" s="118">
        <v>69961</v>
      </c>
      <c r="AQ13" s="118">
        <v>65458</v>
      </c>
      <c r="AR13" s="118">
        <v>64376</v>
      </c>
      <c r="AS13" s="260">
        <v>82204</v>
      </c>
      <c r="AT13" s="260">
        <v>134513</v>
      </c>
      <c r="AU13" s="118">
        <v>123110</v>
      </c>
      <c r="AV13" s="118">
        <v>132124</v>
      </c>
      <c r="AW13" s="118">
        <v>130252</v>
      </c>
      <c r="AX13" s="118">
        <v>146075</v>
      </c>
      <c r="AY13" s="118">
        <v>146883</v>
      </c>
      <c r="AZ13" s="118">
        <v>155515</v>
      </c>
      <c r="BA13" s="118">
        <v>158738</v>
      </c>
      <c r="BB13" s="118">
        <v>161507</v>
      </c>
      <c r="BC13" s="118">
        <v>156948</v>
      </c>
      <c r="BD13" s="118">
        <v>154098</v>
      </c>
      <c r="BE13" s="118">
        <v>162369</v>
      </c>
      <c r="BF13" s="118">
        <f>'[3]16 Conting. NL'!$D$8</f>
        <v>162668</v>
      </c>
    </row>
    <row r="14" spans="1:58" x14ac:dyDescent="0.25">
      <c r="A14" s="70" t="s">
        <v>117</v>
      </c>
      <c r="B14" s="70" t="s">
        <v>977</v>
      </c>
      <c r="D14" s="129" t="str">
        <f>IF([1]RENAME!$H$3=1,B14,A14)</f>
        <v xml:space="preserve">Perda remota </v>
      </c>
      <c r="E14" s="118">
        <v>7224</v>
      </c>
      <c r="F14" s="118">
        <v>7224</v>
      </c>
      <c r="G14" s="118">
        <v>7224</v>
      </c>
      <c r="H14" s="118">
        <v>24478</v>
      </c>
      <c r="I14" s="118">
        <v>29318</v>
      </c>
      <c r="J14" s="160">
        <v>35580</v>
      </c>
      <c r="K14" s="118">
        <v>11268</v>
      </c>
      <c r="L14" s="118">
        <v>11824</v>
      </c>
      <c r="M14" s="118">
        <v>3565</v>
      </c>
      <c r="N14" s="118">
        <v>4137.8305468999997</v>
      </c>
      <c r="O14" s="118">
        <v>4157</v>
      </c>
      <c r="P14" s="118">
        <v>4964</v>
      </c>
      <c r="Q14" s="118">
        <v>18246</v>
      </c>
      <c r="R14" s="118">
        <v>29886</v>
      </c>
      <c r="S14" s="118">
        <v>32574</v>
      </c>
      <c r="T14" s="118">
        <v>37628</v>
      </c>
      <c r="U14" s="118">
        <v>39970</v>
      </c>
      <c r="V14" s="118">
        <v>36255</v>
      </c>
      <c r="W14" s="118">
        <v>42014</v>
      </c>
      <c r="X14" s="118">
        <v>58806</v>
      </c>
      <c r="Y14" s="118">
        <v>417974</v>
      </c>
      <c r="Z14" s="118">
        <v>424061</v>
      </c>
      <c r="AA14" s="118">
        <v>437971</v>
      </c>
      <c r="AB14" s="118">
        <v>446957</v>
      </c>
      <c r="AC14" s="118">
        <v>495541</v>
      </c>
      <c r="AD14" s="118">
        <v>508942</v>
      </c>
      <c r="AE14" s="118">
        <v>514584</v>
      </c>
      <c r="AF14" s="118">
        <v>521113</v>
      </c>
      <c r="AG14" s="118">
        <v>536343</v>
      </c>
      <c r="AH14" s="118">
        <v>547573</v>
      </c>
      <c r="AI14" s="118">
        <v>548725</v>
      </c>
      <c r="AJ14" s="118">
        <v>529367</v>
      </c>
      <c r="AK14" s="118">
        <v>565928</v>
      </c>
      <c r="AL14" s="118">
        <v>584979</v>
      </c>
      <c r="AM14" s="118">
        <v>596434</v>
      </c>
      <c r="AN14" s="118">
        <v>601432</v>
      </c>
      <c r="AO14" s="118">
        <v>619315</v>
      </c>
      <c r="AP14" s="118">
        <v>635540</v>
      </c>
      <c r="AQ14" s="118">
        <v>611769</v>
      </c>
      <c r="AR14" s="118">
        <v>629392</v>
      </c>
      <c r="AS14" s="118">
        <v>646922</v>
      </c>
      <c r="AT14" s="118">
        <v>627166</v>
      </c>
      <c r="AU14" s="118">
        <v>645627</v>
      </c>
      <c r="AV14" s="118">
        <v>653080</v>
      </c>
      <c r="AW14" s="118">
        <v>671404</v>
      </c>
      <c r="AX14" s="118">
        <v>676994</v>
      </c>
      <c r="AY14" s="118">
        <v>693388</v>
      </c>
      <c r="AZ14" s="118">
        <v>700931</v>
      </c>
      <c r="BA14" s="118">
        <v>722482</v>
      </c>
      <c r="BB14" s="118">
        <v>736016</v>
      </c>
      <c r="BC14" s="118">
        <v>550797</v>
      </c>
      <c r="BD14" s="118">
        <v>37247</v>
      </c>
      <c r="BE14" s="118">
        <v>37160</v>
      </c>
      <c r="BF14" s="118">
        <f>'[3]16 Conting. NL'!$D$9</f>
        <v>35822</v>
      </c>
    </row>
    <row r="15" spans="1:58" x14ac:dyDescent="0.25">
      <c r="A15" s="70" t="s">
        <v>73</v>
      </c>
      <c r="B15" s="70" t="s">
        <v>73</v>
      </c>
      <c r="D15" s="126" t="str">
        <f>IF([1]RENAME!$H$3=1,B15,A15)</f>
        <v>TOTAL</v>
      </c>
      <c r="E15" s="120">
        <f>SUM(E12:E14)</f>
        <v>46495</v>
      </c>
      <c r="F15" s="120">
        <f t="shared" ref="F15:N15" si="20">SUM(F12:F14)</f>
        <v>46495</v>
      </c>
      <c r="G15" s="120">
        <f t="shared" si="20"/>
        <v>46711</v>
      </c>
      <c r="H15" s="120">
        <f t="shared" si="20"/>
        <v>59377</v>
      </c>
      <c r="I15" s="120">
        <f t="shared" si="20"/>
        <v>55387</v>
      </c>
      <c r="J15" s="162">
        <f t="shared" si="20"/>
        <v>74806</v>
      </c>
      <c r="K15" s="120">
        <f t="shared" si="20"/>
        <v>53719</v>
      </c>
      <c r="L15" s="120">
        <f t="shared" si="20"/>
        <v>51386</v>
      </c>
      <c r="M15" s="120">
        <f t="shared" si="20"/>
        <v>91972</v>
      </c>
      <c r="N15" s="120">
        <f t="shared" si="20"/>
        <v>97108.502283176014</v>
      </c>
      <c r="O15" s="120">
        <f t="shared" ref="O15:V15" si="21">SUM(O12:O14)</f>
        <v>98064</v>
      </c>
      <c r="P15" s="120">
        <f t="shared" si="21"/>
        <v>79769</v>
      </c>
      <c r="Q15" s="120">
        <f t="shared" si="21"/>
        <v>85273</v>
      </c>
      <c r="R15" s="120">
        <f t="shared" si="21"/>
        <v>101571</v>
      </c>
      <c r="S15" s="120">
        <f t="shared" si="21"/>
        <v>110622</v>
      </c>
      <c r="T15" s="120">
        <f t="shared" si="21"/>
        <v>114888</v>
      </c>
      <c r="U15" s="120">
        <f t="shared" si="21"/>
        <v>130891</v>
      </c>
      <c r="V15" s="120">
        <f t="shared" si="21"/>
        <v>150353</v>
      </c>
      <c r="W15" s="120">
        <f t="shared" ref="W15:AF15" si="22">SUM(W12:W14)</f>
        <v>160939</v>
      </c>
      <c r="X15" s="120">
        <f t="shared" si="22"/>
        <v>198858</v>
      </c>
      <c r="Y15" s="120">
        <f t="shared" si="22"/>
        <v>568656</v>
      </c>
      <c r="Z15" s="120">
        <f t="shared" si="22"/>
        <v>567100</v>
      </c>
      <c r="AA15" s="120">
        <f t="shared" si="22"/>
        <v>562096</v>
      </c>
      <c r="AB15" s="120">
        <f t="shared" si="22"/>
        <v>573739</v>
      </c>
      <c r="AC15" s="120">
        <f t="shared" si="22"/>
        <v>618298</v>
      </c>
      <c r="AD15" s="120">
        <f t="shared" si="22"/>
        <v>632619</v>
      </c>
      <c r="AE15" s="120">
        <f t="shared" si="22"/>
        <v>634397</v>
      </c>
      <c r="AF15" s="120">
        <f t="shared" si="22"/>
        <v>640391</v>
      </c>
      <c r="AG15" s="120">
        <f t="shared" ref="AG15:AP15" si="23">SUM(AG12:AG14)</f>
        <v>651113</v>
      </c>
      <c r="AH15" s="120">
        <f t="shared" si="23"/>
        <v>654367</v>
      </c>
      <c r="AI15" s="120">
        <f t="shared" si="23"/>
        <v>661298</v>
      </c>
      <c r="AJ15" s="120">
        <f t="shared" si="23"/>
        <v>640894</v>
      </c>
      <c r="AK15" s="120">
        <f t="shared" si="23"/>
        <v>676437</v>
      </c>
      <c r="AL15" s="120">
        <f t="shared" si="23"/>
        <v>685351</v>
      </c>
      <c r="AM15" s="120">
        <f t="shared" si="23"/>
        <v>685293</v>
      </c>
      <c r="AN15" s="120">
        <f t="shared" si="23"/>
        <v>694014</v>
      </c>
      <c r="AO15" s="120">
        <f t="shared" si="23"/>
        <v>711548</v>
      </c>
      <c r="AP15" s="120">
        <f t="shared" si="23"/>
        <v>728140</v>
      </c>
      <c r="AQ15" s="120">
        <f t="shared" ref="AQ15:AX15" si="24">SUM(AQ12:AQ14)</f>
        <v>705800</v>
      </c>
      <c r="AR15" s="120">
        <f t="shared" si="24"/>
        <v>718395</v>
      </c>
      <c r="AS15" s="120">
        <f t="shared" si="24"/>
        <v>753979</v>
      </c>
      <c r="AT15" s="120">
        <f t="shared" si="24"/>
        <v>785666</v>
      </c>
      <c r="AU15" s="120">
        <f t="shared" si="24"/>
        <v>792922</v>
      </c>
      <c r="AV15" s="120">
        <f t="shared" si="24"/>
        <v>810108</v>
      </c>
      <c r="AW15" s="120">
        <f t="shared" si="24"/>
        <v>827063</v>
      </c>
      <c r="AX15" s="120">
        <f t="shared" si="24"/>
        <v>849526</v>
      </c>
      <c r="AY15" s="120">
        <f t="shared" ref="AY15:BD15" si="25">SUM(AY12:AY14)</f>
        <v>865514</v>
      </c>
      <c r="AZ15" s="120">
        <f t="shared" si="25"/>
        <v>875120</v>
      </c>
      <c r="BA15" s="120">
        <f t="shared" si="25"/>
        <v>900265</v>
      </c>
      <c r="BB15" s="120">
        <f t="shared" si="25"/>
        <v>916723</v>
      </c>
      <c r="BC15" s="120">
        <f t="shared" si="25"/>
        <v>726240</v>
      </c>
      <c r="BD15" s="120">
        <f t="shared" si="25"/>
        <v>209025</v>
      </c>
      <c r="BE15" s="120">
        <f>SUM(BE12:BE14)</f>
        <v>216649</v>
      </c>
      <c r="BF15" s="120">
        <f>SUM(BF12:BF14)</f>
        <v>216313</v>
      </c>
    </row>
    <row r="17" spans="1:58" x14ac:dyDescent="0.25">
      <c r="A17" s="70" t="s">
        <v>98</v>
      </c>
      <c r="B17" s="70" t="s">
        <v>978</v>
      </c>
      <c r="D17" s="145" t="str">
        <f>IF([1]RENAME!$H$3=1,B17,A17)</f>
        <v>Controladas</v>
      </c>
      <c r="E17" s="115" t="str">
        <f>E5</f>
        <v>1T13</v>
      </c>
      <c r="F17" s="115" t="str">
        <f t="shared" ref="F17:W17" si="26">F5</f>
        <v>2T13</v>
      </c>
      <c r="G17" s="115" t="str">
        <f t="shared" si="26"/>
        <v>3T13</v>
      </c>
      <c r="H17" s="115" t="str">
        <f t="shared" si="26"/>
        <v>4T13</v>
      </c>
      <c r="I17" s="115" t="str">
        <f t="shared" si="26"/>
        <v>1T14</v>
      </c>
      <c r="J17" s="115" t="str">
        <f t="shared" si="26"/>
        <v>2T14</v>
      </c>
      <c r="K17" s="115" t="str">
        <f t="shared" si="26"/>
        <v>3T14</v>
      </c>
      <c r="L17" s="115" t="str">
        <f t="shared" si="26"/>
        <v>4T14</v>
      </c>
      <c r="M17" s="115" t="str">
        <f t="shared" si="26"/>
        <v>1T15</v>
      </c>
      <c r="N17" s="115" t="str">
        <f t="shared" si="26"/>
        <v>2T15</v>
      </c>
      <c r="O17" s="115" t="str">
        <f t="shared" si="26"/>
        <v>3T15</v>
      </c>
      <c r="P17" s="115" t="str">
        <f t="shared" si="26"/>
        <v>4T15</v>
      </c>
      <c r="Q17" s="115" t="str">
        <f t="shared" si="26"/>
        <v>1T16</v>
      </c>
      <c r="R17" s="115" t="str">
        <f t="shared" si="26"/>
        <v>2T16</v>
      </c>
      <c r="S17" s="115" t="str">
        <f t="shared" si="26"/>
        <v>3T16</v>
      </c>
      <c r="T17" s="115" t="str">
        <f t="shared" si="26"/>
        <v>4T16</v>
      </c>
      <c r="U17" s="115" t="str">
        <f t="shared" si="26"/>
        <v>1T17</v>
      </c>
      <c r="V17" s="115" t="str">
        <f t="shared" si="26"/>
        <v>2T17</v>
      </c>
      <c r="W17" s="115" t="str">
        <f t="shared" si="26"/>
        <v>3T17</v>
      </c>
      <c r="X17" s="115" t="str">
        <f t="shared" ref="X17:AF17" si="27">X5</f>
        <v>4T17</v>
      </c>
      <c r="Y17" s="115" t="str">
        <f t="shared" si="27"/>
        <v>1T18</v>
      </c>
      <c r="Z17" s="115" t="str">
        <f t="shared" si="27"/>
        <v>2T18</v>
      </c>
      <c r="AA17" s="115" t="str">
        <f t="shared" si="27"/>
        <v>3T18</v>
      </c>
      <c r="AB17" s="115" t="str">
        <f t="shared" si="27"/>
        <v>4T18</v>
      </c>
      <c r="AC17" s="115" t="str">
        <f t="shared" si="27"/>
        <v>1T19</v>
      </c>
      <c r="AD17" s="115" t="str">
        <f t="shared" si="27"/>
        <v>2T19</v>
      </c>
      <c r="AE17" s="115" t="str">
        <f t="shared" si="27"/>
        <v>3T19</v>
      </c>
      <c r="AF17" s="115" t="str">
        <f t="shared" si="27"/>
        <v>4T19</v>
      </c>
      <c r="AG17" s="115" t="str">
        <f t="shared" ref="AG17:AP17" si="28">AG5</f>
        <v>1T20</v>
      </c>
      <c r="AH17" s="115" t="str">
        <f t="shared" si="28"/>
        <v>2T20</v>
      </c>
      <c r="AI17" s="115" t="str">
        <f t="shared" si="28"/>
        <v>3T20</v>
      </c>
      <c r="AJ17" s="115" t="str">
        <f t="shared" si="28"/>
        <v>4T20</v>
      </c>
      <c r="AK17" s="115" t="str">
        <f t="shared" si="28"/>
        <v>1T21</v>
      </c>
      <c r="AL17" s="115" t="str">
        <f t="shared" si="28"/>
        <v>2T21</v>
      </c>
      <c r="AM17" s="115" t="str">
        <f t="shared" si="28"/>
        <v>3T21</v>
      </c>
      <c r="AN17" s="115" t="str">
        <f t="shared" si="28"/>
        <v>4T21</v>
      </c>
      <c r="AO17" s="115" t="str">
        <f t="shared" si="28"/>
        <v>1T22</v>
      </c>
      <c r="AP17" s="115" t="str">
        <f t="shared" si="28"/>
        <v>2T22</v>
      </c>
      <c r="AQ17" s="115" t="str">
        <f t="shared" ref="AQ17:AX17" si="29">AQ5</f>
        <v>3T22</v>
      </c>
      <c r="AR17" s="115" t="str">
        <f t="shared" si="29"/>
        <v>4T22</v>
      </c>
      <c r="AS17" s="115" t="str">
        <f t="shared" si="29"/>
        <v>1T23</v>
      </c>
      <c r="AT17" s="115" t="str">
        <f t="shared" si="29"/>
        <v>2T23</v>
      </c>
      <c r="AU17" s="115" t="str">
        <f t="shared" si="29"/>
        <v>3T23</v>
      </c>
      <c r="AV17" s="115" t="str">
        <f t="shared" si="29"/>
        <v>4T23</v>
      </c>
      <c r="AW17" s="115" t="str">
        <f t="shared" si="29"/>
        <v>1T24</v>
      </c>
      <c r="AX17" s="115" t="str">
        <f t="shared" si="29"/>
        <v>2T24</v>
      </c>
      <c r="AY17" s="115" t="str">
        <f t="shared" ref="AY17:BD17" si="30">AY5</f>
        <v>3T24</v>
      </c>
      <c r="AZ17" s="115" t="str">
        <f t="shared" si="30"/>
        <v>4T24</v>
      </c>
      <c r="BA17" s="115" t="str">
        <f t="shared" si="30"/>
        <v>1T25</v>
      </c>
      <c r="BB17" s="115" t="str">
        <f t="shared" si="30"/>
        <v>2T25</v>
      </c>
      <c r="BC17" s="115" t="str">
        <f t="shared" si="30"/>
        <v>3T25</v>
      </c>
      <c r="BD17" s="115" t="str">
        <f t="shared" si="30"/>
        <v>4T25</v>
      </c>
      <c r="BE17" s="247" t="str">
        <f>BE5</f>
        <v>1T26</v>
      </c>
      <c r="BF17" s="115" t="str">
        <f>BF5</f>
        <v>2T26</v>
      </c>
    </row>
    <row r="18" spans="1:58" x14ac:dyDescent="0.25">
      <c r="A18" s="70" t="s">
        <v>115</v>
      </c>
      <c r="B18" s="70" t="s">
        <v>975</v>
      </c>
      <c r="D18" s="129" t="str">
        <f>IF([1]RENAME!$H$3=1,B18,A18)</f>
        <v>Perda provável</v>
      </c>
      <c r="E18" s="118">
        <f t="shared" ref="E18:O18" si="31">+E6-E12</f>
        <v>23663</v>
      </c>
      <c r="F18" s="118">
        <f t="shared" si="31"/>
        <v>23663</v>
      </c>
      <c r="G18" s="118">
        <f t="shared" si="31"/>
        <v>36800</v>
      </c>
      <c r="H18" s="118">
        <f t="shared" si="31"/>
        <v>33920</v>
      </c>
      <c r="I18" s="118">
        <f t="shared" si="31"/>
        <v>29096</v>
      </c>
      <c r="J18" s="160">
        <f t="shared" si="31"/>
        <v>7976</v>
      </c>
      <c r="K18" s="118">
        <f t="shared" si="31"/>
        <v>6585</v>
      </c>
      <c r="L18" s="118">
        <f t="shared" si="31"/>
        <v>8560</v>
      </c>
      <c r="M18" s="118">
        <f t="shared" si="31"/>
        <v>6451</v>
      </c>
      <c r="N18" s="118">
        <f t="shared" si="31"/>
        <v>7323.5889200000001</v>
      </c>
      <c r="O18" s="118">
        <f t="shared" si="31"/>
        <v>7493</v>
      </c>
      <c r="P18" s="118">
        <f t="shared" ref="P18:Q20" si="32">+P6-P12</f>
        <v>17761</v>
      </c>
      <c r="Q18" s="118">
        <f t="shared" si="32"/>
        <v>16588</v>
      </c>
      <c r="R18" s="118">
        <f t="shared" ref="R18:V20" si="33">+R6-R12</f>
        <v>11717</v>
      </c>
      <c r="S18" s="118">
        <f t="shared" si="33"/>
        <v>10631</v>
      </c>
      <c r="T18" s="118">
        <f t="shared" si="33"/>
        <v>9992</v>
      </c>
      <c r="U18" s="118">
        <f t="shared" si="33"/>
        <v>8605</v>
      </c>
      <c r="V18" s="118">
        <f t="shared" si="33"/>
        <v>9289</v>
      </c>
      <c r="W18" s="118">
        <v>7733</v>
      </c>
      <c r="X18" s="118">
        <f>+X6-X12</f>
        <v>8057</v>
      </c>
      <c r="Y18" s="118">
        <v>10867</v>
      </c>
      <c r="Z18" s="118">
        <f t="shared" ref="Z18:AC20" si="34">+Z6-Z12</f>
        <v>11060</v>
      </c>
      <c r="AA18" s="118">
        <f t="shared" si="34"/>
        <v>10778</v>
      </c>
      <c r="AB18" s="118">
        <f>+AB6-AB12</f>
        <v>10025</v>
      </c>
      <c r="AC18" s="118">
        <f>+AC6-AC12</f>
        <v>9502</v>
      </c>
      <c r="AD18" s="118">
        <v>10328</v>
      </c>
      <c r="AE18" s="118">
        <v>4563</v>
      </c>
      <c r="AF18" s="118">
        <f t="shared" ref="AF18:AG20" si="35">+AF6-AF12</f>
        <v>4660</v>
      </c>
      <c r="AG18" s="118">
        <f t="shared" si="35"/>
        <v>4262</v>
      </c>
      <c r="AH18" s="118">
        <f t="shared" ref="AH18:AI20" si="36">+AH6-AH12</f>
        <v>3944</v>
      </c>
      <c r="AI18" s="118">
        <f t="shared" si="36"/>
        <v>3923</v>
      </c>
      <c r="AJ18" s="118">
        <f t="shared" ref="AJ18:AQ18" si="37">+AJ6-AJ12</f>
        <v>3727</v>
      </c>
      <c r="AK18" s="118">
        <f t="shared" si="37"/>
        <v>3475</v>
      </c>
      <c r="AL18" s="118">
        <f t="shared" si="37"/>
        <v>3301</v>
      </c>
      <c r="AM18" s="118">
        <f t="shared" si="37"/>
        <v>3166</v>
      </c>
      <c r="AN18" s="118">
        <f t="shared" si="37"/>
        <v>3028</v>
      </c>
      <c r="AO18" s="118">
        <f t="shared" si="37"/>
        <v>3644</v>
      </c>
      <c r="AP18" s="118">
        <f t="shared" si="37"/>
        <v>3755</v>
      </c>
      <c r="AQ18" s="118">
        <f t="shared" si="37"/>
        <v>3757</v>
      </c>
      <c r="AR18" s="118">
        <f t="shared" ref="AR18:AW20" si="38">+AR6-AR12</f>
        <v>3755</v>
      </c>
      <c r="AS18" s="118">
        <f t="shared" si="38"/>
        <v>3802</v>
      </c>
      <c r="AT18" s="118">
        <f t="shared" si="38"/>
        <v>2491</v>
      </c>
      <c r="AU18" s="118">
        <f t="shared" si="38"/>
        <v>2463</v>
      </c>
      <c r="AV18" s="118">
        <f t="shared" si="38"/>
        <v>3111</v>
      </c>
      <c r="AW18" s="118">
        <f t="shared" si="38"/>
        <v>3330</v>
      </c>
      <c r="AX18" s="118">
        <f t="shared" ref="AX18:AY20" si="39">+AX6-AX12</f>
        <v>2872</v>
      </c>
      <c r="AY18" s="118">
        <f t="shared" si="39"/>
        <v>2890</v>
      </c>
      <c r="AZ18" s="118">
        <v>3018</v>
      </c>
      <c r="BA18" s="118">
        <v>3046</v>
      </c>
      <c r="BB18" s="118">
        <v>3053</v>
      </c>
      <c r="BC18" s="118">
        <v>2913</v>
      </c>
      <c r="BD18" s="118">
        <v>2984</v>
      </c>
      <c r="BE18" s="118">
        <v>3005</v>
      </c>
      <c r="BF18" s="118">
        <f>+BF6-BF12</f>
        <v>2988</v>
      </c>
    </row>
    <row r="19" spans="1:58" x14ac:dyDescent="0.25">
      <c r="A19" s="70" t="s">
        <v>116</v>
      </c>
      <c r="B19" s="70" t="s">
        <v>976</v>
      </c>
      <c r="D19" s="129" t="str">
        <f>IF([1]RENAME!$H$3=1,B19,A19)</f>
        <v xml:space="preserve">Perda possível </v>
      </c>
      <c r="E19" s="118">
        <f t="shared" ref="E19:O19" si="40">+E7-E13</f>
        <v>103444</v>
      </c>
      <c r="F19" s="118">
        <f t="shared" si="40"/>
        <v>103444</v>
      </c>
      <c r="G19" s="118">
        <f t="shared" si="40"/>
        <v>103444</v>
      </c>
      <c r="H19" s="118">
        <f t="shared" si="40"/>
        <v>91205</v>
      </c>
      <c r="I19" s="118">
        <f t="shared" si="40"/>
        <v>43325</v>
      </c>
      <c r="J19" s="160">
        <f t="shared" si="40"/>
        <v>27802</v>
      </c>
      <c r="K19" s="118">
        <f t="shared" si="40"/>
        <v>60159</v>
      </c>
      <c r="L19" s="118">
        <f t="shared" si="40"/>
        <v>70326</v>
      </c>
      <c r="M19" s="118">
        <f t="shared" si="40"/>
        <v>62127</v>
      </c>
      <c r="N19" s="118">
        <f t="shared" si="40"/>
        <v>63725.797452886094</v>
      </c>
      <c r="O19" s="118">
        <f t="shared" si="40"/>
        <v>45568</v>
      </c>
      <c r="P19" s="118">
        <f t="shared" si="32"/>
        <v>50902</v>
      </c>
      <c r="Q19" s="118">
        <f t="shared" si="32"/>
        <v>51372</v>
      </c>
      <c r="R19" s="118">
        <f t="shared" si="33"/>
        <v>51063</v>
      </c>
      <c r="S19" s="118">
        <f t="shared" si="33"/>
        <v>53666</v>
      </c>
      <c r="T19" s="118">
        <f t="shared" si="33"/>
        <v>56888</v>
      </c>
      <c r="U19" s="118">
        <f t="shared" si="33"/>
        <v>59338</v>
      </c>
      <c r="V19" s="260">
        <f t="shared" si="33"/>
        <v>19942</v>
      </c>
      <c r="W19" s="118">
        <v>20089</v>
      </c>
      <c r="X19" s="118">
        <f>+X7-X13</f>
        <v>23698</v>
      </c>
      <c r="Y19" s="118">
        <v>11788</v>
      </c>
      <c r="Z19" s="118">
        <f t="shared" si="34"/>
        <v>12747</v>
      </c>
      <c r="AA19" s="118">
        <f t="shared" si="34"/>
        <v>8131</v>
      </c>
      <c r="AB19" s="118">
        <f t="shared" si="34"/>
        <v>7396</v>
      </c>
      <c r="AC19" s="118">
        <f t="shared" si="34"/>
        <v>9410</v>
      </c>
      <c r="AD19" s="118">
        <v>9080</v>
      </c>
      <c r="AE19" s="118">
        <v>9623</v>
      </c>
      <c r="AF19" s="118">
        <f t="shared" si="35"/>
        <v>8565</v>
      </c>
      <c r="AG19" s="118">
        <f t="shared" si="35"/>
        <v>6355</v>
      </c>
      <c r="AH19" s="118">
        <f t="shared" si="36"/>
        <v>6037</v>
      </c>
      <c r="AI19" s="118">
        <f t="shared" si="36"/>
        <v>6819</v>
      </c>
      <c r="AJ19" s="118">
        <f t="shared" ref="AJ19:AQ19" si="41">+AJ7-AJ13</f>
        <v>6442</v>
      </c>
      <c r="AK19" s="118">
        <f t="shared" si="41"/>
        <v>6388</v>
      </c>
      <c r="AL19" s="118">
        <f t="shared" si="41"/>
        <v>6522</v>
      </c>
      <c r="AM19" s="118">
        <f t="shared" si="41"/>
        <v>6618</v>
      </c>
      <c r="AN19" s="118">
        <f t="shared" si="41"/>
        <v>6981</v>
      </c>
      <c r="AO19" s="118">
        <f t="shared" si="41"/>
        <v>6915</v>
      </c>
      <c r="AP19" s="118">
        <f t="shared" si="41"/>
        <v>6999</v>
      </c>
      <c r="AQ19" s="118">
        <f t="shared" si="41"/>
        <v>5631</v>
      </c>
      <c r="AR19" s="118">
        <f t="shared" si="38"/>
        <v>6474</v>
      </c>
      <c r="AS19" s="118">
        <f t="shared" si="38"/>
        <v>7430</v>
      </c>
      <c r="AT19" s="118">
        <f t="shared" si="38"/>
        <v>10077</v>
      </c>
      <c r="AU19" s="118">
        <f t="shared" si="38"/>
        <v>9967</v>
      </c>
      <c r="AV19" s="118">
        <f t="shared" si="38"/>
        <v>10501</v>
      </c>
      <c r="AW19" s="118">
        <f t="shared" si="38"/>
        <v>8940</v>
      </c>
      <c r="AX19" s="118">
        <f t="shared" si="39"/>
        <v>8007</v>
      </c>
      <c r="AY19" s="118">
        <f t="shared" si="39"/>
        <v>6797</v>
      </c>
      <c r="AZ19" s="118">
        <v>7894</v>
      </c>
      <c r="BA19" s="118">
        <v>8220</v>
      </c>
      <c r="BB19" s="118">
        <v>7757</v>
      </c>
      <c r="BC19" s="118">
        <v>18953</v>
      </c>
      <c r="BD19" s="118">
        <v>19910</v>
      </c>
      <c r="BE19" s="118">
        <v>20733</v>
      </c>
      <c r="BF19" s="118">
        <f>+BF7-BF13</f>
        <v>21501</v>
      </c>
    </row>
    <row r="20" spans="1:58" x14ac:dyDescent="0.25">
      <c r="A20" s="70" t="s">
        <v>117</v>
      </c>
      <c r="B20" s="70" t="s">
        <v>977</v>
      </c>
      <c r="D20" s="129" t="str">
        <f>IF([1]RENAME!$H$3=1,B20,A20)</f>
        <v xml:space="preserve">Perda remota </v>
      </c>
      <c r="E20" s="118">
        <f t="shared" ref="E20:O20" si="42">+E8-E14</f>
        <v>70078</v>
      </c>
      <c r="F20" s="118">
        <f t="shared" si="42"/>
        <v>70078</v>
      </c>
      <c r="G20" s="118">
        <f t="shared" si="42"/>
        <v>70078</v>
      </c>
      <c r="H20" s="118">
        <f t="shared" si="42"/>
        <v>61452</v>
      </c>
      <c r="I20" s="118">
        <f t="shared" si="42"/>
        <v>131499</v>
      </c>
      <c r="J20" s="160">
        <f t="shared" si="42"/>
        <v>41925</v>
      </c>
      <c r="K20" s="118">
        <f t="shared" si="42"/>
        <v>52897</v>
      </c>
      <c r="L20" s="118">
        <f t="shared" si="42"/>
        <v>8483</v>
      </c>
      <c r="M20" s="118">
        <f t="shared" si="42"/>
        <v>4474</v>
      </c>
      <c r="N20" s="118">
        <f t="shared" si="42"/>
        <v>4434.9573512035431</v>
      </c>
      <c r="O20" s="118">
        <f t="shared" si="42"/>
        <v>3747</v>
      </c>
      <c r="P20" s="118">
        <f t="shared" si="32"/>
        <v>1856</v>
      </c>
      <c r="Q20" s="118">
        <f t="shared" si="32"/>
        <v>2329</v>
      </c>
      <c r="R20" s="118">
        <f t="shared" si="33"/>
        <v>2472</v>
      </c>
      <c r="S20" s="118">
        <f t="shared" si="33"/>
        <v>5393</v>
      </c>
      <c r="T20" s="118">
        <f t="shared" si="33"/>
        <v>5482</v>
      </c>
      <c r="U20" s="118">
        <f t="shared" si="33"/>
        <v>5226</v>
      </c>
      <c r="V20" s="260">
        <f t="shared" si="33"/>
        <v>46433</v>
      </c>
      <c r="W20" s="118">
        <v>7386</v>
      </c>
      <c r="X20" s="118">
        <f>+X8-X14</f>
        <v>13635</v>
      </c>
      <c r="Y20" s="118">
        <v>11485</v>
      </c>
      <c r="Z20" s="118">
        <f t="shared" si="34"/>
        <v>12288</v>
      </c>
      <c r="AA20" s="118">
        <f t="shared" si="34"/>
        <v>9269</v>
      </c>
      <c r="AB20" s="118">
        <f t="shared" si="34"/>
        <v>7709</v>
      </c>
      <c r="AC20" s="118">
        <f t="shared" si="34"/>
        <v>5610</v>
      </c>
      <c r="AD20" s="118">
        <v>6900</v>
      </c>
      <c r="AE20" s="118">
        <v>6631</v>
      </c>
      <c r="AF20" s="118">
        <f t="shared" si="35"/>
        <v>5817</v>
      </c>
      <c r="AG20" s="118">
        <f t="shared" si="35"/>
        <v>6381</v>
      </c>
      <c r="AH20" s="118">
        <f t="shared" si="36"/>
        <v>6053</v>
      </c>
      <c r="AI20" s="118">
        <f t="shared" si="36"/>
        <v>5022</v>
      </c>
      <c r="AJ20" s="118">
        <f t="shared" ref="AJ20:AQ20" si="43">+AJ8-AJ14</f>
        <v>4837</v>
      </c>
      <c r="AK20" s="118">
        <f t="shared" si="43"/>
        <v>4920</v>
      </c>
      <c r="AL20" s="118">
        <f t="shared" si="43"/>
        <v>5083</v>
      </c>
      <c r="AM20" s="118">
        <f t="shared" si="43"/>
        <v>4774</v>
      </c>
      <c r="AN20" s="118">
        <f t="shared" si="43"/>
        <v>4509</v>
      </c>
      <c r="AO20" s="118">
        <f t="shared" si="43"/>
        <v>15898</v>
      </c>
      <c r="AP20" s="118">
        <f t="shared" si="43"/>
        <v>4611</v>
      </c>
      <c r="AQ20" s="118">
        <f t="shared" si="43"/>
        <v>5548</v>
      </c>
      <c r="AR20" s="118">
        <f t="shared" si="38"/>
        <v>5298</v>
      </c>
      <c r="AS20" s="118">
        <f t="shared" si="38"/>
        <v>6005</v>
      </c>
      <c r="AT20" s="118">
        <f t="shared" si="38"/>
        <v>3045</v>
      </c>
      <c r="AU20" s="118">
        <f t="shared" si="38"/>
        <v>2841</v>
      </c>
      <c r="AV20" s="118">
        <f t="shared" si="38"/>
        <v>2908</v>
      </c>
      <c r="AW20" s="118">
        <f t="shared" si="38"/>
        <v>2941</v>
      </c>
      <c r="AX20" s="118">
        <f t="shared" si="39"/>
        <v>2183</v>
      </c>
      <c r="AY20" s="118">
        <f t="shared" si="39"/>
        <v>1495</v>
      </c>
      <c r="AZ20" s="118">
        <v>1444</v>
      </c>
      <c r="BA20" s="118">
        <v>1423</v>
      </c>
      <c r="BB20" s="118">
        <v>4077</v>
      </c>
      <c r="BC20" s="118">
        <v>3986</v>
      </c>
      <c r="BD20" s="118">
        <v>3849</v>
      </c>
      <c r="BE20" s="118">
        <v>4028</v>
      </c>
      <c r="BF20" s="118">
        <f>+BF8-BF14</f>
        <v>4600</v>
      </c>
    </row>
    <row r="21" spans="1:58" x14ac:dyDescent="0.25">
      <c r="A21" s="70" t="s">
        <v>73</v>
      </c>
      <c r="B21" s="70" t="s">
        <v>73</v>
      </c>
      <c r="D21" s="126" t="str">
        <f>IF([1]RENAME!$H$3=1,B21,A21)</f>
        <v>TOTAL</v>
      </c>
      <c r="E21" s="120">
        <f>SUM(E18:E20)</f>
        <v>197185</v>
      </c>
      <c r="F21" s="120">
        <f t="shared" ref="F21:N21" si="44">SUM(F18:F20)</f>
        <v>197185</v>
      </c>
      <c r="G21" s="120">
        <f t="shared" si="44"/>
        <v>210322</v>
      </c>
      <c r="H21" s="120">
        <f t="shared" si="44"/>
        <v>186577</v>
      </c>
      <c r="I21" s="120">
        <f t="shared" si="44"/>
        <v>203920</v>
      </c>
      <c r="J21" s="162">
        <f t="shared" si="44"/>
        <v>77703</v>
      </c>
      <c r="K21" s="120">
        <f t="shared" si="44"/>
        <v>119641</v>
      </c>
      <c r="L21" s="120">
        <f t="shared" si="44"/>
        <v>87369</v>
      </c>
      <c r="M21" s="120">
        <f t="shared" si="44"/>
        <v>73052</v>
      </c>
      <c r="N21" s="120">
        <f t="shared" si="44"/>
        <v>75484.343724089631</v>
      </c>
      <c r="O21" s="120">
        <f t="shared" ref="O21:V21" si="45">SUM(O18:O20)</f>
        <v>56808</v>
      </c>
      <c r="P21" s="120">
        <f t="shared" si="45"/>
        <v>70519</v>
      </c>
      <c r="Q21" s="120">
        <f t="shared" si="45"/>
        <v>70289</v>
      </c>
      <c r="R21" s="120">
        <f t="shared" si="45"/>
        <v>65252</v>
      </c>
      <c r="S21" s="120">
        <f t="shared" si="45"/>
        <v>69690</v>
      </c>
      <c r="T21" s="120">
        <f t="shared" si="45"/>
        <v>72362</v>
      </c>
      <c r="U21" s="120">
        <f t="shared" si="45"/>
        <v>73169</v>
      </c>
      <c r="V21" s="120">
        <f t="shared" si="45"/>
        <v>75664</v>
      </c>
      <c r="W21" s="120">
        <f t="shared" ref="W21:AF21" si="46">SUM(W18:W20)</f>
        <v>35208</v>
      </c>
      <c r="X21" s="120">
        <f t="shared" si="46"/>
        <v>45390</v>
      </c>
      <c r="Y21" s="120">
        <f t="shared" si="46"/>
        <v>34140</v>
      </c>
      <c r="Z21" s="120">
        <f t="shared" si="46"/>
        <v>36095</v>
      </c>
      <c r="AA21" s="120">
        <f t="shared" si="46"/>
        <v>28178</v>
      </c>
      <c r="AB21" s="120">
        <f t="shared" si="46"/>
        <v>25130</v>
      </c>
      <c r="AC21" s="120">
        <f t="shared" si="46"/>
        <v>24522</v>
      </c>
      <c r="AD21" s="120">
        <f t="shared" si="46"/>
        <v>26308</v>
      </c>
      <c r="AE21" s="120">
        <f t="shared" si="46"/>
        <v>20817</v>
      </c>
      <c r="AF21" s="120">
        <f t="shared" si="46"/>
        <v>19042</v>
      </c>
      <c r="AG21" s="120">
        <f t="shared" ref="AG21:AM21" si="47">SUM(AG18:AG20)</f>
        <v>16998</v>
      </c>
      <c r="AH21" s="120">
        <f t="shared" si="47"/>
        <v>16034</v>
      </c>
      <c r="AI21" s="120">
        <f t="shared" si="47"/>
        <v>15764</v>
      </c>
      <c r="AJ21" s="120">
        <f t="shared" si="47"/>
        <v>15006</v>
      </c>
      <c r="AK21" s="120">
        <f t="shared" si="47"/>
        <v>14783</v>
      </c>
      <c r="AL21" s="120">
        <f t="shared" si="47"/>
        <v>14906</v>
      </c>
      <c r="AM21" s="120">
        <f t="shared" si="47"/>
        <v>14558</v>
      </c>
      <c r="AN21" s="120">
        <f t="shared" ref="AN21:AS21" si="48">SUM(AN18:AN20)</f>
        <v>14518</v>
      </c>
      <c r="AO21" s="120">
        <f t="shared" si="48"/>
        <v>26457</v>
      </c>
      <c r="AP21" s="120">
        <f t="shared" si="48"/>
        <v>15365</v>
      </c>
      <c r="AQ21" s="120">
        <f t="shared" si="48"/>
        <v>14936</v>
      </c>
      <c r="AR21" s="120">
        <f t="shared" si="48"/>
        <v>15527</v>
      </c>
      <c r="AS21" s="120">
        <f t="shared" si="48"/>
        <v>17237</v>
      </c>
      <c r="AT21" s="120">
        <f t="shared" ref="AT21:BB21" si="49">SUM(AT18:AT20)</f>
        <v>15613</v>
      </c>
      <c r="AU21" s="120">
        <f t="shared" si="49"/>
        <v>15271</v>
      </c>
      <c r="AV21" s="120">
        <f t="shared" si="49"/>
        <v>16520</v>
      </c>
      <c r="AW21" s="120">
        <f t="shared" si="49"/>
        <v>15211</v>
      </c>
      <c r="AX21" s="120">
        <f t="shared" si="49"/>
        <v>13062</v>
      </c>
      <c r="AY21" s="120">
        <f t="shared" si="49"/>
        <v>11182</v>
      </c>
      <c r="AZ21" s="120">
        <f t="shared" si="49"/>
        <v>12356</v>
      </c>
      <c r="BA21" s="120">
        <f t="shared" si="49"/>
        <v>12689</v>
      </c>
      <c r="BB21" s="120">
        <f t="shared" si="49"/>
        <v>14887</v>
      </c>
      <c r="BC21" s="120">
        <f>SUM(BC18:BC20)</f>
        <v>25852</v>
      </c>
      <c r="BD21" s="120">
        <f>SUM(BD18:BD20)</f>
        <v>26743</v>
      </c>
      <c r="BE21" s="120">
        <f>SUM(BE18:BE20)</f>
        <v>27766</v>
      </c>
      <c r="BF21" s="120">
        <f>SUM(BF18:BF20)</f>
        <v>29089</v>
      </c>
    </row>
    <row r="23" spans="1:58" x14ac:dyDescent="0.25">
      <c r="A23" s="70" t="s">
        <v>406</v>
      </c>
      <c r="B23" s="70" t="s">
        <v>654</v>
      </c>
      <c r="D23" s="953" t="str">
        <f>IF([1]RENAME!$H$3=1,B23,A23)</f>
        <v>Depósitos Judiciais</v>
      </c>
      <c r="E23" s="954"/>
      <c r="F23" s="954"/>
      <c r="G23" s="954"/>
      <c r="H23" s="954"/>
      <c r="I23" s="954"/>
      <c r="J23" s="954"/>
      <c r="K23" s="954"/>
      <c r="L23" s="954"/>
      <c r="M23" s="954"/>
      <c r="N23" s="954"/>
      <c r="O23" s="954"/>
      <c r="P23" s="954"/>
      <c r="Q23" s="954"/>
      <c r="R23" s="954"/>
      <c r="S23" s="954"/>
      <c r="T23" s="954"/>
      <c r="U23" s="954"/>
      <c r="V23" s="954"/>
      <c r="W23" s="954"/>
      <c r="X23" s="954"/>
      <c r="Y23" s="954"/>
      <c r="Z23" s="954"/>
      <c r="AA23" s="954"/>
      <c r="AB23" s="954"/>
      <c r="AC23" s="954"/>
      <c r="AD23" s="954"/>
      <c r="AE23" s="954"/>
      <c r="AF23" s="954"/>
      <c r="AG23" s="954"/>
      <c r="AH23" s="954"/>
      <c r="AI23" s="954"/>
      <c r="AJ23" s="954"/>
      <c r="AK23" s="954"/>
      <c r="AL23" s="954"/>
      <c r="AM23" s="954"/>
      <c r="AN23" s="954"/>
      <c r="AO23" s="954"/>
      <c r="AP23" s="954"/>
      <c r="AQ23" s="954"/>
      <c r="AR23" s="954"/>
      <c r="AS23" s="954"/>
      <c r="AT23" s="954"/>
      <c r="AU23" s="954"/>
      <c r="AV23" s="954"/>
      <c r="AW23" s="954"/>
      <c r="AX23" s="954"/>
      <c r="AY23" s="954"/>
      <c r="AZ23" s="954"/>
      <c r="BA23" s="954"/>
      <c r="BB23" s="954"/>
      <c r="BC23" s="954"/>
      <c r="BD23" s="954"/>
      <c r="BE23" s="954"/>
      <c r="BF23" s="954"/>
    </row>
    <row r="24" spans="1:58" x14ac:dyDescent="0.25">
      <c r="A24" s="70" t="s">
        <v>96</v>
      </c>
      <c r="B24" s="70" t="s">
        <v>866</v>
      </c>
      <c r="D24" s="145" t="str">
        <f>IF([1]RENAME!$H$3=1,B24,A24)</f>
        <v>Consolidado</v>
      </c>
      <c r="E24" s="145"/>
      <c r="F24" s="145"/>
      <c r="G24" s="145" t="s">
        <v>160</v>
      </c>
      <c r="H24" s="145" t="s">
        <v>160</v>
      </c>
      <c r="I24" s="145" t="s">
        <v>160</v>
      </c>
      <c r="J24" s="145" t="s">
        <v>160</v>
      </c>
      <c r="K24" s="145" t="s">
        <v>160</v>
      </c>
      <c r="L24" s="115" t="str">
        <f>L5</f>
        <v>4T14</v>
      </c>
      <c r="M24" s="115" t="str">
        <f t="shared" ref="M24:W24" si="50">M5</f>
        <v>1T15</v>
      </c>
      <c r="N24" s="115" t="str">
        <f t="shared" si="50"/>
        <v>2T15</v>
      </c>
      <c r="O24" s="115" t="str">
        <f t="shared" si="50"/>
        <v>3T15</v>
      </c>
      <c r="P24" s="115" t="str">
        <f t="shared" si="50"/>
        <v>4T15</v>
      </c>
      <c r="Q24" s="115" t="str">
        <f t="shared" si="50"/>
        <v>1T16</v>
      </c>
      <c r="R24" s="115" t="str">
        <f t="shared" si="50"/>
        <v>2T16</v>
      </c>
      <c r="S24" s="115" t="str">
        <f t="shared" si="50"/>
        <v>3T16</v>
      </c>
      <c r="T24" s="115" t="str">
        <f t="shared" si="50"/>
        <v>4T16</v>
      </c>
      <c r="U24" s="115" t="str">
        <f t="shared" si="50"/>
        <v>1T17</v>
      </c>
      <c r="V24" s="115" t="str">
        <f t="shared" si="50"/>
        <v>2T17</v>
      </c>
      <c r="W24" s="115" t="str">
        <f t="shared" si="50"/>
        <v>3T17</v>
      </c>
      <c r="X24" s="115" t="str">
        <f t="shared" ref="X24:AF24" si="51">X5</f>
        <v>4T17</v>
      </c>
      <c r="Y24" s="115" t="str">
        <f t="shared" si="51"/>
        <v>1T18</v>
      </c>
      <c r="Z24" s="115" t="str">
        <f t="shared" si="51"/>
        <v>2T18</v>
      </c>
      <c r="AA24" s="115" t="str">
        <f t="shared" si="51"/>
        <v>3T18</v>
      </c>
      <c r="AB24" s="115" t="str">
        <f t="shared" si="51"/>
        <v>4T18</v>
      </c>
      <c r="AC24" s="115" t="str">
        <f t="shared" si="51"/>
        <v>1T19</v>
      </c>
      <c r="AD24" s="115" t="str">
        <f t="shared" si="51"/>
        <v>2T19</v>
      </c>
      <c r="AE24" s="115" t="str">
        <f t="shared" si="51"/>
        <v>3T19</v>
      </c>
      <c r="AF24" s="115" t="str">
        <f t="shared" si="51"/>
        <v>4T19</v>
      </c>
      <c r="AG24" s="115" t="str">
        <f>AG5</f>
        <v>1T20</v>
      </c>
      <c r="AH24" s="115" t="str">
        <f>AH5</f>
        <v>2T20</v>
      </c>
      <c r="AI24" s="115" t="str">
        <f t="shared" ref="AI24:BF24" si="52">AI$5</f>
        <v>3T20</v>
      </c>
      <c r="AJ24" s="115" t="str">
        <f t="shared" si="52"/>
        <v>4T20</v>
      </c>
      <c r="AK24" s="115" t="str">
        <f t="shared" si="52"/>
        <v>1T21</v>
      </c>
      <c r="AL24" s="115" t="str">
        <f t="shared" si="52"/>
        <v>2T21</v>
      </c>
      <c r="AM24" s="115" t="str">
        <f t="shared" si="52"/>
        <v>3T21</v>
      </c>
      <c r="AN24" s="115" t="str">
        <f t="shared" si="52"/>
        <v>4T21</v>
      </c>
      <c r="AO24" s="115" t="str">
        <f t="shared" si="52"/>
        <v>1T22</v>
      </c>
      <c r="AP24" s="115" t="str">
        <f t="shared" si="52"/>
        <v>2T22</v>
      </c>
      <c r="AQ24" s="115" t="str">
        <f t="shared" si="52"/>
        <v>3T22</v>
      </c>
      <c r="AR24" s="115" t="str">
        <f t="shared" si="52"/>
        <v>4T22</v>
      </c>
      <c r="AS24" s="115" t="str">
        <f t="shared" si="52"/>
        <v>1T23</v>
      </c>
      <c r="AT24" s="115" t="str">
        <f t="shared" si="52"/>
        <v>2T23</v>
      </c>
      <c r="AU24" s="115" t="str">
        <f t="shared" si="52"/>
        <v>3T23</v>
      </c>
      <c r="AV24" s="115" t="str">
        <f t="shared" si="52"/>
        <v>4T23</v>
      </c>
      <c r="AW24" s="115" t="str">
        <f t="shared" si="52"/>
        <v>1T24</v>
      </c>
      <c r="AX24" s="115" t="str">
        <f t="shared" si="52"/>
        <v>2T24</v>
      </c>
      <c r="AY24" s="115" t="str">
        <f t="shared" si="52"/>
        <v>3T24</v>
      </c>
      <c r="AZ24" s="115" t="str">
        <f t="shared" si="52"/>
        <v>4T24</v>
      </c>
      <c r="BA24" s="115" t="str">
        <f t="shared" si="52"/>
        <v>1T25</v>
      </c>
      <c r="BB24" s="115" t="str">
        <f t="shared" si="52"/>
        <v>2T25</v>
      </c>
      <c r="BC24" s="115" t="str">
        <f t="shared" si="52"/>
        <v>3T25</v>
      </c>
      <c r="BD24" s="115" t="str">
        <f t="shared" si="52"/>
        <v>4T25</v>
      </c>
      <c r="BE24" s="247" t="str">
        <f>BE$5</f>
        <v>1T26</v>
      </c>
      <c r="BF24" s="115" t="str">
        <f t="shared" si="52"/>
        <v>2T26</v>
      </c>
    </row>
    <row r="25" spans="1:58" x14ac:dyDescent="0.25">
      <c r="A25" s="70" t="s">
        <v>407</v>
      </c>
      <c r="B25" s="70" t="s">
        <v>979</v>
      </c>
      <c r="D25" s="129" t="str">
        <f>IF([1]RENAME!$H$3=1,B25,A25)</f>
        <v>Trabalhistas e previdenciárias</v>
      </c>
      <c r="E25" s="129"/>
      <c r="F25" s="130"/>
      <c r="G25" s="130">
        <v>0</v>
      </c>
      <c r="H25" s="130">
        <v>0</v>
      </c>
      <c r="I25" s="130">
        <v>0</v>
      </c>
      <c r="J25" s="130">
        <v>0</v>
      </c>
      <c r="K25" s="130">
        <v>0</v>
      </c>
      <c r="L25" s="118">
        <v>24744</v>
      </c>
      <c r="M25" s="118">
        <v>25478</v>
      </c>
      <c r="N25" s="118">
        <v>25766</v>
      </c>
      <c r="O25" s="118">
        <v>26079</v>
      </c>
      <c r="P25" s="118">
        <v>20355</v>
      </c>
      <c r="Q25" s="118">
        <v>20294</v>
      </c>
      <c r="R25" s="118">
        <v>18534</v>
      </c>
      <c r="S25" s="118">
        <v>17735</v>
      </c>
      <c r="T25" s="118">
        <v>17425</v>
      </c>
      <c r="U25" s="118">
        <v>16133</v>
      </c>
      <c r="V25" s="118">
        <v>13997</v>
      </c>
      <c r="W25" s="118">
        <v>13695</v>
      </c>
      <c r="X25" s="118">
        <v>11750</v>
      </c>
      <c r="Y25" s="118">
        <v>10607</v>
      </c>
      <c r="Z25" s="118">
        <v>10751</v>
      </c>
      <c r="AA25" s="118">
        <v>10561</v>
      </c>
      <c r="AB25" s="118">
        <v>10104</v>
      </c>
      <c r="AC25" s="118">
        <v>9782</v>
      </c>
      <c r="AD25" s="118">
        <v>10144</v>
      </c>
      <c r="AE25" s="118">
        <v>10086</v>
      </c>
      <c r="AF25" s="118">
        <v>9968</v>
      </c>
      <c r="AG25" s="118">
        <v>10177</v>
      </c>
      <c r="AH25" s="118">
        <v>9598</v>
      </c>
      <c r="AI25" s="118">
        <v>9598</v>
      </c>
      <c r="AJ25" s="118">
        <v>10656</v>
      </c>
      <c r="AK25" s="118">
        <v>10752</v>
      </c>
      <c r="AL25" s="118">
        <v>10548</v>
      </c>
      <c r="AM25" s="118">
        <v>10362</v>
      </c>
      <c r="AN25" s="118">
        <v>13688</v>
      </c>
      <c r="AO25" s="118">
        <v>14879</v>
      </c>
      <c r="AP25" s="118">
        <v>14939</v>
      </c>
      <c r="AQ25" s="118">
        <v>17083</v>
      </c>
      <c r="AR25" s="118">
        <v>16879</v>
      </c>
      <c r="AS25" s="118">
        <v>17202</v>
      </c>
      <c r="AT25" s="118">
        <v>17085</v>
      </c>
      <c r="AU25" s="118">
        <v>17131</v>
      </c>
      <c r="AV25" s="118">
        <v>18095</v>
      </c>
      <c r="AW25" s="118">
        <v>18434</v>
      </c>
      <c r="AX25" s="118">
        <v>18840</v>
      </c>
      <c r="AY25" s="118">
        <v>18931</v>
      </c>
      <c r="AZ25" s="118">
        <v>19199</v>
      </c>
      <c r="BA25" s="118">
        <v>19505</v>
      </c>
      <c r="BB25" s="118">
        <v>19722</v>
      </c>
      <c r="BC25" s="118">
        <v>19962</v>
      </c>
      <c r="BD25" s="118">
        <v>20267</v>
      </c>
      <c r="BE25" s="118">
        <v>20644</v>
      </c>
      <c r="BF25" s="118">
        <f>'[3]16 Conting. NL'!$P$35</f>
        <v>21189</v>
      </c>
    </row>
    <row r="26" spans="1:58" x14ac:dyDescent="0.25">
      <c r="A26" s="70" t="s">
        <v>408</v>
      </c>
      <c r="B26" s="70" t="s">
        <v>980</v>
      </c>
      <c r="D26" s="129" t="str">
        <f>IF([1]RENAME!$H$3=1,B26,A26)</f>
        <v>Tributárias</v>
      </c>
      <c r="E26" s="129"/>
      <c r="F26" s="130"/>
      <c r="G26" s="130">
        <v>0</v>
      </c>
      <c r="H26" s="130">
        <v>0</v>
      </c>
      <c r="I26" s="130">
        <v>0</v>
      </c>
      <c r="J26" s="130">
        <v>0</v>
      </c>
      <c r="K26" s="130">
        <v>0</v>
      </c>
      <c r="L26" s="118">
        <v>350</v>
      </c>
      <c r="M26" s="118">
        <v>510</v>
      </c>
      <c r="N26" s="118">
        <v>757</v>
      </c>
      <c r="O26" s="118">
        <v>1107</v>
      </c>
      <c r="P26" s="118">
        <v>1185</v>
      </c>
      <c r="Q26" s="118">
        <v>1459</v>
      </c>
      <c r="R26" s="118">
        <v>3186</v>
      </c>
      <c r="S26" s="118">
        <v>3334</v>
      </c>
      <c r="T26" s="118">
        <v>3461</v>
      </c>
      <c r="U26" s="646">
        <v>0</v>
      </c>
      <c r="V26" s="118">
        <v>3752</v>
      </c>
      <c r="W26" s="118">
        <v>3752</v>
      </c>
      <c r="X26" s="260">
        <v>1631</v>
      </c>
      <c r="Y26" s="118">
        <v>1608</v>
      </c>
      <c r="Z26" s="118">
        <v>1608</v>
      </c>
      <c r="AA26" s="118">
        <v>1608</v>
      </c>
      <c r="AB26" s="118">
        <v>1608</v>
      </c>
      <c r="AC26" s="118">
        <v>1608</v>
      </c>
      <c r="AD26" s="118">
        <v>1608</v>
      </c>
      <c r="AE26" s="118">
        <v>1608</v>
      </c>
      <c r="AF26" s="118">
        <v>1608</v>
      </c>
      <c r="AG26" s="118">
        <v>1608</v>
      </c>
      <c r="AH26" s="118">
        <v>1608</v>
      </c>
      <c r="AI26" s="118">
        <v>1608</v>
      </c>
      <c r="AJ26" s="118">
        <v>1608</v>
      </c>
      <c r="AK26" s="118">
        <v>1608</v>
      </c>
      <c r="AL26" s="118">
        <v>1608</v>
      </c>
      <c r="AM26" s="118">
        <v>1608</v>
      </c>
      <c r="AN26" s="118">
        <v>1608</v>
      </c>
      <c r="AO26" s="118">
        <v>1608</v>
      </c>
      <c r="AP26" s="118">
        <v>1608</v>
      </c>
      <c r="AQ26" s="118">
        <v>1608</v>
      </c>
      <c r="AR26" s="118">
        <v>1608</v>
      </c>
      <c r="AS26" s="118">
        <v>1608</v>
      </c>
      <c r="AT26" s="118">
        <v>1608</v>
      </c>
      <c r="AU26" s="118">
        <v>1608</v>
      </c>
      <c r="AV26" s="118">
        <v>1608</v>
      </c>
      <c r="AW26" s="118">
        <v>1608</v>
      </c>
      <c r="AX26" s="118">
        <v>3230</v>
      </c>
      <c r="AY26" s="118">
        <v>3266</v>
      </c>
      <c r="AZ26" s="118">
        <v>3315</v>
      </c>
      <c r="BA26" s="118">
        <v>3357</v>
      </c>
      <c r="BB26" s="118">
        <v>3404</v>
      </c>
      <c r="BC26" s="118">
        <v>3438</v>
      </c>
      <c r="BD26" s="118">
        <v>3505</v>
      </c>
      <c r="BE26" s="118">
        <v>3576</v>
      </c>
      <c r="BF26" s="118">
        <f>'[3]16 Conting. NL'!$P$36</f>
        <v>3623</v>
      </c>
    </row>
    <row r="27" spans="1:58" x14ac:dyDescent="0.25">
      <c r="A27" s="70" t="s">
        <v>409</v>
      </c>
      <c r="B27" s="70" t="s">
        <v>981</v>
      </c>
      <c r="D27" s="129" t="str">
        <f>IF([1]RENAME!$H$3=1,B27,A27)</f>
        <v>Cíveis</v>
      </c>
      <c r="E27" s="129"/>
      <c r="F27" s="130"/>
      <c r="G27" s="130">
        <v>0</v>
      </c>
      <c r="H27" s="130">
        <v>0</v>
      </c>
      <c r="I27" s="130">
        <v>0</v>
      </c>
      <c r="J27" s="130">
        <v>0</v>
      </c>
      <c r="K27" s="130">
        <v>0</v>
      </c>
      <c r="L27" s="118">
        <v>609</v>
      </c>
      <c r="M27" s="118">
        <v>609</v>
      </c>
      <c r="N27" s="118">
        <v>306</v>
      </c>
      <c r="O27" s="118">
        <v>300</v>
      </c>
      <c r="P27" s="118">
        <v>329</v>
      </c>
      <c r="Q27" s="118">
        <v>445</v>
      </c>
      <c r="R27" s="118">
        <v>419</v>
      </c>
      <c r="S27" s="118">
        <v>520</v>
      </c>
      <c r="T27" s="118">
        <v>641</v>
      </c>
      <c r="U27" s="118">
        <v>802</v>
      </c>
      <c r="V27" s="118">
        <v>190</v>
      </c>
      <c r="W27" s="118">
        <v>190</v>
      </c>
      <c r="X27" s="118">
        <v>190</v>
      </c>
      <c r="Y27" s="118">
        <v>190</v>
      </c>
      <c r="Z27" s="118">
        <v>190</v>
      </c>
      <c r="AA27" s="118">
        <v>190</v>
      </c>
      <c r="AB27" s="118">
        <v>190</v>
      </c>
      <c r="AC27" s="118">
        <v>190</v>
      </c>
      <c r="AD27" s="118">
        <v>198</v>
      </c>
      <c r="AE27" s="259">
        <v>2769</v>
      </c>
      <c r="AF27" s="118">
        <v>2876</v>
      </c>
      <c r="AG27" s="118">
        <v>2876</v>
      </c>
      <c r="AH27" s="118">
        <v>2876</v>
      </c>
      <c r="AI27" s="118">
        <v>2876</v>
      </c>
      <c r="AJ27" s="118">
        <v>2876</v>
      </c>
      <c r="AK27" s="118">
        <v>2876</v>
      </c>
      <c r="AL27" s="118">
        <v>2876</v>
      </c>
      <c r="AM27" s="118">
        <v>2876</v>
      </c>
      <c r="AN27" s="118">
        <v>2876</v>
      </c>
      <c r="AO27" s="118">
        <v>3362</v>
      </c>
      <c r="AP27" s="118">
        <v>3362</v>
      </c>
      <c r="AQ27" s="118">
        <v>290</v>
      </c>
      <c r="AR27" s="118">
        <v>294</v>
      </c>
      <c r="AS27" s="118">
        <v>309</v>
      </c>
      <c r="AT27" s="118">
        <v>346</v>
      </c>
      <c r="AU27" s="118">
        <v>416</v>
      </c>
      <c r="AV27" s="118">
        <v>553</v>
      </c>
      <c r="AW27" s="118">
        <v>579</v>
      </c>
      <c r="AX27" s="118">
        <v>579</v>
      </c>
      <c r="AY27" s="118">
        <v>748</v>
      </c>
      <c r="AZ27" s="118">
        <v>664</v>
      </c>
      <c r="BA27" s="118">
        <v>704</v>
      </c>
      <c r="BB27" s="118">
        <v>746</v>
      </c>
      <c r="BC27" s="118">
        <v>709</v>
      </c>
      <c r="BD27" s="118">
        <v>806</v>
      </c>
      <c r="BE27" s="118">
        <v>853</v>
      </c>
      <c r="BF27" s="118">
        <f>'[3]16 Conting. NL'!$P$37</f>
        <v>852</v>
      </c>
    </row>
    <row r="28" spans="1:58" x14ac:dyDescent="0.25">
      <c r="A28" s="70" t="s">
        <v>73</v>
      </c>
      <c r="B28" s="70" t="s">
        <v>73</v>
      </c>
      <c r="D28" s="126" t="str">
        <f>IF([1]RENAME!$H$3=1,B28,A28)</f>
        <v>TOTAL</v>
      </c>
      <c r="E28" s="126"/>
      <c r="F28" s="120"/>
      <c r="G28" s="120">
        <v>0</v>
      </c>
      <c r="H28" s="120">
        <v>0</v>
      </c>
      <c r="I28" s="120">
        <v>0</v>
      </c>
      <c r="J28" s="120">
        <v>0</v>
      </c>
      <c r="K28" s="120">
        <v>0</v>
      </c>
      <c r="L28" s="120">
        <f t="shared" ref="L28:W28" si="53">+SUM(L25:L27)</f>
        <v>25703</v>
      </c>
      <c r="M28" s="120">
        <f t="shared" si="53"/>
        <v>26597</v>
      </c>
      <c r="N28" s="120">
        <f t="shared" si="53"/>
        <v>26829</v>
      </c>
      <c r="O28" s="120">
        <f t="shared" si="53"/>
        <v>27486</v>
      </c>
      <c r="P28" s="120">
        <f t="shared" si="53"/>
        <v>21869</v>
      </c>
      <c r="Q28" s="120">
        <f t="shared" si="53"/>
        <v>22198</v>
      </c>
      <c r="R28" s="120">
        <f t="shared" si="53"/>
        <v>22139</v>
      </c>
      <c r="S28" s="120">
        <f t="shared" si="53"/>
        <v>21589</v>
      </c>
      <c r="T28" s="120">
        <f t="shared" si="53"/>
        <v>21527</v>
      </c>
      <c r="U28" s="120">
        <f t="shared" si="53"/>
        <v>16935</v>
      </c>
      <c r="V28" s="120">
        <f t="shared" si="53"/>
        <v>17939</v>
      </c>
      <c r="W28" s="120">
        <f t="shared" si="53"/>
        <v>17637</v>
      </c>
      <c r="X28" s="120">
        <f t="shared" ref="X28:AF28" si="54">+SUM(X25:X27)</f>
        <v>13571</v>
      </c>
      <c r="Y28" s="120">
        <f t="shared" si="54"/>
        <v>12405</v>
      </c>
      <c r="Z28" s="120">
        <f t="shared" si="54"/>
        <v>12549</v>
      </c>
      <c r="AA28" s="120">
        <f t="shared" si="54"/>
        <v>12359</v>
      </c>
      <c r="AB28" s="120">
        <f t="shared" si="54"/>
        <v>11902</v>
      </c>
      <c r="AC28" s="120">
        <f t="shared" si="54"/>
        <v>11580</v>
      </c>
      <c r="AD28" s="120">
        <f t="shared" si="54"/>
        <v>11950</v>
      </c>
      <c r="AE28" s="120">
        <f t="shared" si="54"/>
        <v>14463</v>
      </c>
      <c r="AF28" s="120">
        <f t="shared" si="54"/>
        <v>14452</v>
      </c>
      <c r="AG28" s="120">
        <f t="shared" ref="AG28:AO28" si="55">+SUM(AG25:AG27)</f>
        <v>14661</v>
      </c>
      <c r="AH28" s="120">
        <f t="shared" si="55"/>
        <v>14082</v>
      </c>
      <c r="AI28" s="120">
        <f t="shared" si="55"/>
        <v>14082</v>
      </c>
      <c r="AJ28" s="120">
        <f t="shared" si="55"/>
        <v>15140</v>
      </c>
      <c r="AK28" s="120">
        <f t="shared" si="55"/>
        <v>15236</v>
      </c>
      <c r="AL28" s="120">
        <f t="shared" si="55"/>
        <v>15032</v>
      </c>
      <c r="AM28" s="120">
        <f t="shared" si="55"/>
        <v>14846</v>
      </c>
      <c r="AN28" s="120">
        <f t="shared" si="55"/>
        <v>18172</v>
      </c>
      <c r="AO28" s="120">
        <f t="shared" si="55"/>
        <v>19849</v>
      </c>
      <c r="AP28" s="120">
        <f t="shared" ref="AP28:AU28" si="56">+SUM(AP25:AP27)</f>
        <v>19909</v>
      </c>
      <c r="AQ28" s="120">
        <f t="shared" si="56"/>
        <v>18981</v>
      </c>
      <c r="AR28" s="120">
        <f t="shared" si="56"/>
        <v>18781</v>
      </c>
      <c r="AS28" s="120">
        <f t="shared" si="56"/>
        <v>19119</v>
      </c>
      <c r="AT28" s="120">
        <f t="shared" si="56"/>
        <v>19039</v>
      </c>
      <c r="AU28" s="120">
        <f t="shared" si="56"/>
        <v>19155</v>
      </c>
      <c r="AV28" s="120">
        <f t="shared" ref="AV28:BB28" si="57">+SUM(AV25:AV27)</f>
        <v>20256</v>
      </c>
      <c r="AW28" s="120">
        <f t="shared" si="57"/>
        <v>20621</v>
      </c>
      <c r="AX28" s="120">
        <f t="shared" si="57"/>
        <v>22649</v>
      </c>
      <c r="AY28" s="120">
        <f t="shared" si="57"/>
        <v>22945</v>
      </c>
      <c r="AZ28" s="120">
        <f t="shared" si="57"/>
        <v>23178</v>
      </c>
      <c r="BA28" s="120">
        <f t="shared" si="57"/>
        <v>23566</v>
      </c>
      <c r="BB28" s="120">
        <f t="shared" si="57"/>
        <v>23872</v>
      </c>
      <c r="BC28" s="120">
        <f>+SUM(BC25:BC27)</f>
        <v>24109</v>
      </c>
      <c r="BD28" s="120">
        <f>+SUM(BD25:BD27)</f>
        <v>24578</v>
      </c>
      <c r="BE28" s="120">
        <f>+SUM(BE25:BE27)</f>
        <v>25073</v>
      </c>
      <c r="BF28" s="120">
        <f>+SUM(BF25:BF27)</f>
        <v>25664</v>
      </c>
    </row>
    <row r="29" spans="1:58" ht="9" customHeight="1" x14ac:dyDescent="0.25">
      <c r="F29" s="288"/>
      <c r="G29" s="288"/>
      <c r="H29" s="288"/>
      <c r="I29" s="288"/>
      <c r="J29" s="288"/>
      <c r="K29" s="288"/>
    </row>
    <row r="30" spans="1:58" x14ac:dyDescent="0.25">
      <c r="A30" s="70" t="s">
        <v>97</v>
      </c>
      <c r="B30" s="70" t="s">
        <v>872</v>
      </c>
      <c r="D30" s="145" t="str">
        <f>IF([1]RENAME!$H$3=1,B30,A30)</f>
        <v>Controladora</v>
      </c>
      <c r="E30" s="145"/>
      <c r="F30" s="145"/>
      <c r="G30" s="145" t="s">
        <v>160</v>
      </c>
      <c r="H30" s="145" t="s">
        <v>160</v>
      </c>
      <c r="I30" s="145" t="s">
        <v>160</v>
      </c>
      <c r="J30" s="145" t="s">
        <v>160</v>
      </c>
      <c r="K30" s="145" t="s">
        <v>160</v>
      </c>
      <c r="L30" s="115" t="str">
        <f>L24</f>
        <v>4T14</v>
      </c>
      <c r="M30" s="115" t="str">
        <f t="shared" ref="M30:W30" si="58">M24</f>
        <v>1T15</v>
      </c>
      <c r="N30" s="115" t="str">
        <f t="shared" si="58"/>
        <v>2T15</v>
      </c>
      <c r="O30" s="115" t="str">
        <f t="shared" si="58"/>
        <v>3T15</v>
      </c>
      <c r="P30" s="115" t="str">
        <f t="shared" si="58"/>
        <v>4T15</v>
      </c>
      <c r="Q30" s="115" t="str">
        <f t="shared" si="58"/>
        <v>1T16</v>
      </c>
      <c r="R30" s="115" t="str">
        <f t="shared" si="58"/>
        <v>2T16</v>
      </c>
      <c r="S30" s="115" t="str">
        <f t="shared" si="58"/>
        <v>3T16</v>
      </c>
      <c r="T30" s="115" t="str">
        <f t="shared" si="58"/>
        <v>4T16</v>
      </c>
      <c r="U30" s="115" t="str">
        <f t="shared" si="58"/>
        <v>1T17</v>
      </c>
      <c r="V30" s="115" t="str">
        <f t="shared" si="58"/>
        <v>2T17</v>
      </c>
      <c r="W30" s="115" t="str">
        <f t="shared" si="58"/>
        <v>3T17</v>
      </c>
      <c r="X30" s="115" t="str">
        <f t="shared" ref="X30:AC30" si="59">X24</f>
        <v>4T17</v>
      </c>
      <c r="Y30" s="115" t="str">
        <f t="shared" si="59"/>
        <v>1T18</v>
      </c>
      <c r="Z30" s="115" t="str">
        <f t="shared" si="59"/>
        <v>2T18</v>
      </c>
      <c r="AA30" s="115" t="str">
        <f t="shared" si="59"/>
        <v>3T18</v>
      </c>
      <c r="AB30" s="115" t="str">
        <f t="shared" si="59"/>
        <v>4T18</v>
      </c>
      <c r="AC30" s="115" t="str">
        <f t="shared" si="59"/>
        <v>1T19</v>
      </c>
      <c r="AD30" s="115" t="str">
        <f>AD24</f>
        <v>2T19</v>
      </c>
      <c r="AE30" s="115" t="str">
        <f>AE24</f>
        <v>3T19</v>
      </c>
      <c r="AF30" s="115" t="str">
        <f>AF24</f>
        <v>4T19</v>
      </c>
      <c r="AG30" s="115" t="str">
        <f>AG24</f>
        <v>1T20</v>
      </c>
      <c r="AH30" s="115" t="str">
        <f>AH24</f>
        <v>2T20</v>
      </c>
      <c r="AI30" s="115" t="str">
        <f t="shared" ref="AI30:BF30" si="60">AI$5</f>
        <v>3T20</v>
      </c>
      <c r="AJ30" s="115" t="str">
        <f t="shared" si="60"/>
        <v>4T20</v>
      </c>
      <c r="AK30" s="115" t="str">
        <f t="shared" si="60"/>
        <v>1T21</v>
      </c>
      <c r="AL30" s="115" t="str">
        <f t="shared" si="60"/>
        <v>2T21</v>
      </c>
      <c r="AM30" s="115" t="str">
        <f t="shared" si="60"/>
        <v>3T21</v>
      </c>
      <c r="AN30" s="115" t="str">
        <f t="shared" si="60"/>
        <v>4T21</v>
      </c>
      <c r="AO30" s="115" t="str">
        <f t="shared" si="60"/>
        <v>1T22</v>
      </c>
      <c r="AP30" s="115" t="str">
        <f t="shared" si="60"/>
        <v>2T22</v>
      </c>
      <c r="AQ30" s="115" t="str">
        <f t="shared" si="60"/>
        <v>3T22</v>
      </c>
      <c r="AR30" s="115" t="str">
        <f t="shared" si="60"/>
        <v>4T22</v>
      </c>
      <c r="AS30" s="115" t="str">
        <f t="shared" si="60"/>
        <v>1T23</v>
      </c>
      <c r="AT30" s="115" t="str">
        <f t="shared" si="60"/>
        <v>2T23</v>
      </c>
      <c r="AU30" s="115" t="str">
        <f t="shared" si="60"/>
        <v>3T23</v>
      </c>
      <c r="AV30" s="115" t="str">
        <f t="shared" si="60"/>
        <v>4T23</v>
      </c>
      <c r="AW30" s="115" t="str">
        <f t="shared" si="60"/>
        <v>1T24</v>
      </c>
      <c r="AX30" s="115" t="str">
        <f t="shared" si="60"/>
        <v>2T24</v>
      </c>
      <c r="AY30" s="115" t="str">
        <f t="shared" si="60"/>
        <v>3T24</v>
      </c>
      <c r="AZ30" s="115" t="str">
        <f t="shared" si="60"/>
        <v>4T24</v>
      </c>
      <c r="BA30" s="115" t="str">
        <f t="shared" si="60"/>
        <v>1T25</v>
      </c>
      <c r="BB30" s="115" t="str">
        <f t="shared" si="60"/>
        <v>2T25</v>
      </c>
      <c r="BC30" s="115" t="str">
        <f t="shared" si="60"/>
        <v>3T25</v>
      </c>
      <c r="BD30" s="115" t="str">
        <f t="shared" si="60"/>
        <v>4T25</v>
      </c>
      <c r="BE30" s="247" t="str">
        <f>BE$5</f>
        <v>1T26</v>
      </c>
      <c r="BF30" s="115" t="str">
        <f t="shared" si="60"/>
        <v>2T26</v>
      </c>
    </row>
    <row r="31" spans="1:58" x14ac:dyDescent="0.25">
      <c r="A31" s="70" t="s">
        <v>407</v>
      </c>
      <c r="B31" s="70" t="s">
        <v>979</v>
      </c>
      <c r="D31" s="129" t="str">
        <f>IF([1]RENAME!$H$3=1,B31,A31)</f>
        <v>Trabalhistas e previdenciárias</v>
      </c>
      <c r="E31" s="129"/>
      <c r="F31" s="130"/>
      <c r="G31" s="130">
        <v>0</v>
      </c>
      <c r="H31" s="130">
        <v>0</v>
      </c>
      <c r="I31" s="130">
        <v>0</v>
      </c>
      <c r="J31" s="130">
        <v>0</v>
      </c>
      <c r="K31" s="130">
        <v>0</v>
      </c>
      <c r="L31" s="118">
        <v>7184</v>
      </c>
      <c r="M31" s="118">
        <v>7381</v>
      </c>
      <c r="N31" s="118">
        <v>7680</v>
      </c>
      <c r="O31" s="118">
        <v>7840</v>
      </c>
      <c r="P31" s="118">
        <v>6787</v>
      </c>
      <c r="Q31" s="118">
        <v>7037</v>
      </c>
      <c r="R31" s="118">
        <v>7511</v>
      </c>
      <c r="S31" s="118">
        <v>7226</v>
      </c>
      <c r="T31" s="118">
        <v>7392</v>
      </c>
      <c r="U31" s="118">
        <v>7313</v>
      </c>
      <c r="V31" s="118">
        <v>7257</v>
      </c>
      <c r="W31" s="118">
        <v>7367</v>
      </c>
      <c r="X31" s="118">
        <v>7002</v>
      </c>
      <c r="Y31" s="118">
        <v>7002</v>
      </c>
      <c r="Z31" s="118">
        <v>7195</v>
      </c>
      <c r="AA31" s="118">
        <v>7200</v>
      </c>
      <c r="AB31" s="118">
        <v>7001</v>
      </c>
      <c r="AC31" s="118">
        <v>7063</v>
      </c>
      <c r="AD31" s="118">
        <v>7283</v>
      </c>
      <c r="AE31" s="118">
        <v>7359</v>
      </c>
      <c r="AF31" s="118">
        <v>7211</v>
      </c>
      <c r="AG31" s="118">
        <v>7427</v>
      </c>
      <c r="AH31" s="118">
        <v>7248</v>
      </c>
      <c r="AI31" s="118">
        <v>7259</v>
      </c>
      <c r="AJ31" s="118">
        <v>7546</v>
      </c>
      <c r="AK31" s="118">
        <v>7672</v>
      </c>
      <c r="AL31" s="118">
        <v>7707</v>
      </c>
      <c r="AM31" s="118">
        <v>7652</v>
      </c>
      <c r="AN31" s="118">
        <v>11155</v>
      </c>
      <c r="AO31" s="118">
        <v>11804</v>
      </c>
      <c r="AP31" s="118">
        <v>12008</v>
      </c>
      <c r="AQ31" s="118">
        <v>14463</v>
      </c>
      <c r="AR31" s="118">
        <v>14213</v>
      </c>
      <c r="AS31" s="118">
        <v>14471</v>
      </c>
      <c r="AT31" s="118">
        <v>14389</v>
      </c>
      <c r="AU31" s="118">
        <v>14529</v>
      </c>
      <c r="AV31" s="118">
        <v>15473</v>
      </c>
      <c r="AW31" s="118">
        <v>15745</v>
      </c>
      <c r="AX31" s="118">
        <v>16267</v>
      </c>
      <c r="AY31" s="118">
        <v>16383</v>
      </c>
      <c r="AZ31" s="118">
        <v>16602</v>
      </c>
      <c r="BA31" s="118">
        <v>16844</v>
      </c>
      <c r="BB31" s="118">
        <v>17052</v>
      </c>
      <c r="BC31" s="118">
        <v>17332</v>
      </c>
      <c r="BD31" s="118">
        <v>17587</v>
      </c>
      <c r="BE31" s="118">
        <v>17907</v>
      </c>
      <c r="BF31" s="118">
        <f>'[3]16 Conting. NL'!$P$21</f>
        <v>18488</v>
      </c>
    </row>
    <row r="32" spans="1:58" x14ac:dyDescent="0.25">
      <c r="A32" s="70" t="s">
        <v>408</v>
      </c>
      <c r="B32" s="70" t="s">
        <v>980</v>
      </c>
      <c r="D32" s="129" t="str">
        <f>IF([1]RENAME!$H$3=1,B32,A32)</f>
        <v>Tributárias</v>
      </c>
      <c r="E32" s="129"/>
      <c r="F32" s="130"/>
      <c r="G32" s="130">
        <v>0</v>
      </c>
      <c r="H32" s="130">
        <v>0</v>
      </c>
      <c r="I32" s="130">
        <v>0</v>
      </c>
      <c r="J32" s="130">
        <v>0</v>
      </c>
      <c r="K32" s="130">
        <v>0</v>
      </c>
      <c r="L32" s="118">
        <v>305</v>
      </c>
      <c r="M32" s="118">
        <v>305</v>
      </c>
      <c r="N32" s="118">
        <v>305</v>
      </c>
      <c r="O32" s="118">
        <v>305</v>
      </c>
      <c r="P32" s="118">
        <v>59</v>
      </c>
      <c r="Q32" s="118">
        <v>59</v>
      </c>
      <c r="R32" s="118">
        <v>1608</v>
      </c>
      <c r="S32" s="118">
        <v>1608</v>
      </c>
      <c r="T32" s="118">
        <v>1608</v>
      </c>
      <c r="U32" s="118">
        <v>1608</v>
      </c>
      <c r="V32" s="118">
        <v>1608</v>
      </c>
      <c r="W32" s="118">
        <v>1608</v>
      </c>
      <c r="X32" s="118">
        <v>1608</v>
      </c>
      <c r="Y32" s="118">
        <v>1608</v>
      </c>
      <c r="Z32" s="118">
        <v>1608</v>
      </c>
      <c r="AA32" s="118">
        <v>1608</v>
      </c>
      <c r="AB32" s="118">
        <v>1608</v>
      </c>
      <c r="AC32" s="118">
        <v>1608</v>
      </c>
      <c r="AD32" s="118">
        <v>1608</v>
      </c>
      <c r="AE32" s="118">
        <v>1608</v>
      </c>
      <c r="AF32" s="118">
        <v>1608</v>
      </c>
      <c r="AG32" s="118">
        <v>1608</v>
      </c>
      <c r="AH32" s="118">
        <v>1608</v>
      </c>
      <c r="AI32" s="118">
        <v>1608</v>
      </c>
      <c r="AJ32" s="118">
        <v>1608</v>
      </c>
      <c r="AK32" s="118">
        <v>1608</v>
      </c>
      <c r="AL32" s="118">
        <v>1608</v>
      </c>
      <c r="AM32" s="118">
        <v>1608</v>
      </c>
      <c r="AN32" s="118">
        <v>1608</v>
      </c>
      <c r="AO32" s="118">
        <v>1608</v>
      </c>
      <c r="AP32" s="118">
        <v>1608</v>
      </c>
      <c r="AQ32" s="118">
        <v>1608</v>
      </c>
      <c r="AR32" s="118">
        <v>1608</v>
      </c>
      <c r="AS32" s="118">
        <v>1608</v>
      </c>
      <c r="AT32" s="118">
        <v>1608</v>
      </c>
      <c r="AU32" s="118">
        <v>1608</v>
      </c>
      <c r="AV32" s="118">
        <v>1608</v>
      </c>
      <c r="AW32" s="118">
        <v>1608</v>
      </c>
      <c r="AX32" s="118">
        <v>3230</v>
      </c>
      <c r="AY32" s="118">
        <v>3266</v>
      </c>
      <c r="AZ32" s="118">
        <v>3315</v>
      </c>
      <c r="BA32" s="118">
        <v>3357</v>
      </c>
      <c r="BB32" s="118">
        <v>3404</v>
      </c>
      <c r="BC32" s="118">
        <v>3438</v>
      </c>
      <c r="BD32" s="118">
        <v>3505</v>
      </c>
      <c r="BE32" s="118">
        <v>3576</v>
      </c>
      <c r="BF32" s="118">
        <f>'[3]16 Conting. NL'!$P$22</f>
        <v>3623</v>
      </c>
    </row>
    <row r="33" spans="1:58" x14ac:dyDescent="0.25">
      <c r="A33" s="70" t="s">
        <v>409</v>
      </c>
      <c r="B33" s="70" t="s">
        <v>981</v>
      </c>
      <c r="D33" s="129" t="str">
        <f>IF([1]RENAME!$H$3=1,B33,A33)</f>
        <v>Cíveis</v>
      </c>
      <c r="E33" s="129"/>
      <c r="F33" s="130"/>
      <c r="G33" s="130">
        <v>0</v>
      </c>
      <c r="H33" s="130">
        <v>0</v>
      </c>
      <c r="I33" s="130">
        <v>0</v>
      </c>
      <c r="J33" s="130">
        <v>0</v>
      </c>
      <c r="K33" s="130">
        <v>0</v>
      </c>
      <c r="L33" s="118">
        <v>203</v>
      </c>
      <c r="M33" s="118">
        <v>203</v>
      </c>
      <c r="N33" s="118">
        <v>203</v>
      </c>
      <c r="O33" s="118">
        <v>203</v>
      </c>
      <c r="P33" s="118">
        <v>221</v>
      </c>
      <c r="Q33" s="118">
        <v>337</v>
      </c>
      <c r="R33" s="118">
        <v>311</v>
      </c>
      <c r="S33" s="118">
        <v>422</v>
      </c>
      <c r="T33" s="118">
        <v>473</v>
      </c>
      <c r="U33" s="118">
        <v>634</v>
      </c>
      <c r="V33" s="118">
        <v>93</v>
      </c>
      <c r="W33" s="118">
        <v>93</v>
      </c>
      <c r="X33" s="118">
        <v>93</v>
      </c>
      <c r="Y33" s="118">
        <v>93</v>
      </c>
      <c r="Z33" s="118">
        <v>93</v>
      </c>
      <c r="AA33" s="118">
        <v>93</v>
      </c>
      <c r="AB33" s="118">
        <v>93</v>
      </c>
      <c r="AC33" s="118">
        <v>93</v>
      </c>
      <c r="AD33" s="118">
        <v>93</v>
      </c>
      <c r="AE33" s="259">
        <v>2663</v>
      </c>
      <c r="AF33" s="118">
        <v>2667</v>
      </c>
      <c r="AG33" s="118">
        <v>2667</v>
      </c>
      <c r="AH33" s="118">
        <v>2667</v>
      </c>
      <c r="AI33" s="118">
        <v>2667</v>
      </c>
      <c r="AJ33" s="118">
        <v>2667</v>
      </c>
      <c r="AK33" s="118">
        <v>2667</v>
      </c>
      <c r="AL33" s="118">
        <v>2667</v>
      </c>
      <c r="AM33" s="118">
        <v>2667</v>
      </c>
      <c r="AN33" s="118">
        <v>2667</v>
      </c>
      <c r="AO33" s="118">
        <v>3161</v>
      </c>
      <c r="AP33" s="118">
        <v>3161</v>
      </c>
      <c r="AQ33" s="118">
        <v>93</v>
      </c>
      <c r="AR33" s="118">
        <v>93</v>
      </c>
      <c r="AS33" s="118">
        <v>108</v>
      </c>
      <c r="AT33" s="118">
        <v>139</v>
      </c>
      <c r="AU33" s="118">
        <v>195</v>
      </c>
      <c r="AV33" s="118">
        <v>332</v>
      </c>
      <c r="AW33" s="118">
        <v>359</v>
      </c>
      <c r="AX33" s="118">
        <v>359</v>
      </c>
      <c r="AY33" s="118">
        <v>527</v>
      </c>
      <c r="AZ33" s="118">
        <v>549</v>
      </c>
      <c r="BA33" s="118">
        <v>590</v>
      </c>
      <c r="BB33" s="118">
        <v>628</v>
      </c>
      <c r="BC33" s="118">
        <v>588</v>
      </c>
      <c r="BD33" s="118">
        <v>682</v>
      </c>
      <c r="BE33" s="118">
        <v>727</v>
      </c>
      <c r="BF33" s="118">
        <f>'[3]16 Conting. NL'!$P$23</f>
        <v>724</v>
      </c>
    </row>
    <row r="34" spans="1:58" x14ac:dyDescent="0.25">
      <c r="A34" s="70" t="s">
        <v>73</v>
      </c>
      <c r="B34" s="70" t="s">
        <v>73</v>
      </c>
      <c r="D34" s="126" t="str">
        <f>IF([1]RENAME!$H$3=1,B34,A34)</f>
        <v>TOTAL</v>
      </c>
      <c r="E34" s="126"/>
      <c r="F34" s="120"/>
      <c r="G34" s="120">
        <v>0</v>
      </c>
      <c r="H34" s="120">
        <v>0</v>
      </c>
      <c r="I34" s="120">
        <v>0</v>
      </c>
      <c r="J34" s="120">
        <v>0</v>
      </c>
      <c r="K34" s="120">
        <v>0</v>
      </c>
      <c r="L34" s="120">
        <f t="shared" ref="L34:V34" si="61">+SUM(L31:L33)</f>
        <v>7692</v>
      </c>
      <c r="M34" s="120">
        <f t="shared" si="61"/>
        <v>7889</v>
      </c>
      <c r="N34" s="120">
        <f t="shared" si="61"/>
        <v>8188</v>
      </c>
      <c r="O34" s="120">
        <f t="shared" si="61"/>
        <v>8348</v>
      </c>
      <c r="P34" s="120">
        <f t="shared" si="61"/>
        <v>7067</v>
      </c>
      <c r="Q34" s="120">
        <f t="shared" si="61"/>
        <v>7433</v>
      </c>
      <c r="R34" s="120">
        <f t="shared" si="61"/>
        <v>9430</v>
      </c>
      <c r="S34" s="120">
        <f t="shared" si="61"/>
        <v>9256</v>
      </c>
      <c r="T34" s="120">
        <f t="shared" si="61"/>
        <v>9473</v>
      </c>
      <c r="U34" s="120">
        <f t="shared" si="61"/>
        <v>9555</v>
      </c>
      <c r="V34" s="120">
        <f t="shared" si="61"/>
        <v>8958</v>
      </c>
      <c r="W34" s="120">
        <f t="shared" ref="W34:AC34" si="62">+SUM(W31:W33)</f>
        <v>9068</v>
      </c>
      <c r="X34" s="120">
        <f t="shared" si="62"/>
        <v>8703</v>
      </c>
      <c r="Y34" s="120">
        <f t="shared" si="62"/>
        <v>8703</v>
      </c>
      <c r="Z34" s="120">
        <f t="shared" si="62"/>
        <v>8896</v>
      </c>
      <c r="AA34" s="120">
        <f t="shared" si="62"/>
        <v>8901</v>
      </c>
      <c r="AB34" s="120">
        <f t="shared" si="62"/>
        <v>8702</v>
      </c>
      <c r="AC34" s="120">
        <f t="shared" si="62"/>
        <v>8764</v>
      </c>
      <c r="AD34" s="120">
        <f t="shared" ref="AD34:AI34" si="63">+SUM(AD31:AD33)</f>
        <v>8984</v>
      </c>
      <c r="AE34" s="120">
        <f t="shared" si="63"/>
        <v>11630</v>
      </c>
      <c r="AF34" s="120">
        <f t="shared" si="63"/>
        <v>11486</v>
      </c>
      <c r="AG34" s="120">
        <f t="shared" si="63"/>
        <v>11702</v>
      </c>
      <c r="AH34" s="120">
        <f t="shared" si="63"/>
        <v>11523</v>
      </c>
      <c r="AI34" s="120">
        <f t="shared" si="63"/>
        <v>11534</v>
      </c>
      <c r="AJ34" s="120">
        <f t="shared" ref="AJ34:AP34" si="64">+SUM(AJ31:AJ33)</f>
        <v>11821</v>
      </c>
      <c r="AK34" s="120">
        <f t="shared" si="64"/>
        <v>11947</v>
      </c>
      <c r="AL34" s="120">
        <f t="shared" si="64"/>
        <v>11982</v>
      </c>
      <c r="AM34" s="120">
        <f t="shared" si="64"/>
        <v>11927</v>
      </c>
      <c r="AN34" s="120">
        <f t="shared" si="64"/>
        <v>15430</v>
      </c>
      <c r="AO34" s="120">
        <f t="shared" si="64"/>
        <v>16573</v>
      </c>
      <c r="AP34" s="120">
        <f t="shared" si="64"/>
        <v>16777</v>
      </c>
      <c r="AQ34" s="120">
        <f t="shared" ref="AQ34:AX34" si="65">+SUM(AQ31:AQ33)</f>
        <v>16164</v>
      </c>
      <c r="AR34" s="120">
        <f t="shared" si="65"/>
        <v>15914</v>
      </c>
      <c r="AS34" s="120">
        <f t="shared" si="65"/>
        <v>16187</v>
      </c>
      <c r="AT34" s="120">
        <f t="shared" si="65"/>
        <v>16136</v>
      </c>
      <c r="AU34" s="120">
        <f t="shared" si="65"/>
        <v>16332</v>
      </c>
      <c r="AV34" s="120">
        <f t="shared" si="65"/>
        <v>17413</v>
      </c>
      <c r="AW34" s="120">
        <f t="shared" si="65"/>
        <v>17712</v>
      </c>
      <c r="AX34" s="120">
        <f t="shared" si="65"/>
        <v>19856</v>
      </c>
      <c r="AY34" s="120">
        <f t="shared" ref="AY34:BD34" si="66">+SUM(AY31:AY33)</f>
        <v>20176</v>
      </c>
      <c r="AZ34" s="120">
        <f t="shared" si="66"/>
        <v>20466</v>
      </c>
      <c r="BA34" s="120">
        <f t="shared" si="66"/>
        <v>20791</v>
      </c>
      <c r="BB34" s="120">
        <f t="shared" si="66"/>
        <v>21084</v>
      </c>
      <c r="BC34" s="120">
        <f t="shared" si="66"/>
        <v>21358</v>
      </c>
      <c r="BD34" s="120">
        <f t="shared" si="66"/>
        <v>21774</v>
      </c>
      <c r="BE34" s="120">
        <f>+SUM(BE31:BE33)</f>
        <v>22210</v>
      </c>
      <c r="BF34" s="120">
        <f>+SUM(BF31:BF33)</f>
        <v>22835</v>
      </c>
    </row>
    <row r="35" spans="1:58" ht="9" customHeight="1" x14ac:dyDescent="0.25">
      <c r="D35" s="287"/>
      <c r="E35" s="287"/>
      <c r="F35" s="289"/>
      <c r="G35" s="289"/>
      <c r="H35" s="289"/>
      <c r="I35" s="289"/>
      <c r="J35" s="289"/>
      <c r="K35" s="289"/>
    </row>
    <row r="36" spans="1:58" x14ac:dyDescent="0.25">
      <c r="A36" s="70" t="s">
        <v>98</v>
      </c>
      <c r="B36" s="70" t="s">
        <v>978</v>
      </c>
      <c r="D36" s="145" t="str">
        <f>IF([1]RENAME!$H$3=1,B36,A36)</f>
        <v>Controladas</v>
      </c>
      <c r="E36" s="145"/>
      <c r="F36" s="145"/>
      <c r="G36" s="145" t="s">
        <v>160</v>
      </c>
      <c r="H36" s="145" t="s">
        <v>160</v>
      </c>
      <c r="I36" s="145" t="s">
        <v>160</v>
      </c>
      <c r="J36" s="145" t="s">
        <v>160</v>
      </c>
      <c r="K36" s="145" t="s">
        <v>160</v>
      </c>
      <c r="L36" s="115" t="str">
        <f>L30</f>
        <v>4T14</v>
      </c>
      <c r="M36" s="115" t="str">
        <f t="shared" ref="M36:W36" si="67">M30</f>
        <v>1T15</v>
      </c>
      <c r="N36" s="115" t="str">
        <f t="shared" si="67"/>
        <v>2T15</v>
      </c>
      <c r="O36" s="115" t="str">
        <f t="shared" si="67"/>
        <v>3T15</v>
      </c>
      <c r="P36" s="115" t="str">
        <f t="shared" si="67"/>
        <v>4T15</v>
      </c>
      <c r="Q36" s="115" t="str">
        <f t="shared" si="67"/>
        <v>1T16</v>
      </c>
      <c r="R36" s="115" t="str">
        <f t="shared" si="67"/>
        <v>2T16</v>
      </c>
      <c r="S36" s="115" t="str">
        <f t="shared" si="67"/>
        <v>3T16</v>
      </c>
      <c r="T36" s="115" t="str">
        <f t="shared" si="67"/>
        <v>4T16</v>
      </c>
      <c r="U36" s="115" t="str">
        <f t="shared" si="67"/>
        <v>1T17</v>
      </c>
      <c r="V36" s="115" t="str">
        <f t="shared" si="67"/>
        <v>2T17</v>
      </c>
      <c r="W36" s="115" t="str">
        <f t="shared" si="67"/>
        <v>3T17</v>
      </c>
      <c r="X36" s="115" t="str">
        <f t="shared" ref="X36:AC36" si="68">X30</f>
        <v>4T17</v>
      </c>
      <c r="Y36" s="115" t="str">
        <f t="shared" si="68"/>
        <v>1T18</v>
      </c>
      <c r="Z36" s="115" t="str">
        <f t="shared" si="68"/>
        <v>2T18</v>
      </c>
      <c r="AA36" s="115" t="str">
        <f t="shared" si="68"/>
        <v>3T18</v>
      </c>
      <c r="AB36" s="115" t="str">
        <f t="shared" si="68"/>
        <v>4T18</v>
      </c>
      <c r="AC36" s="115" t="str">
        <f t="shared" si="68"/>
        <v>1T19</v>
      </c>
      <c r="AD36" s="115" t="str">
        <f>AD30</f>
        <v>2T19</v>
      </c>
      <c r="AE36" s="115" t="str">
        <f>AE30</f>
        <v>3T19</v>
      </c>
      <c r="AF36" s="115" t="str">
        <f>AF30</f>
        <v>4T19</v>
      </c>
      <c r="AG36" s="115" t="str">
        <f>AG30</f>
        <v>1T20</v>
      </c>
      <c r="AH36" s="115" t="str">
        <f>AH30</f>
        <v>2T20</v>
      </c>
      <c r="AI36" s="115" t="str">
        <f t="shared" ref="AI36:BF36" si="69">AI$5</f>
        <v>3T20</v>
      </c>
      <c r="AJ36" s="115" t="str">
        <f t="shared" si="69"/>
        <v>4T20</v>
      </c>
      <c r="AK36" s="115" t="str">
        <f t="shared" si="69"/>
        <v>1T21</v>
      </c>
      <c r="AL36" s="115" t="str">
        <f t="shared" si="69"/>
        <v>2T21</v>
      </c>
      <c r="AM36" s="115" t="str">
        <f t="shared" si="69"/>
        <v>3T21</v>
      </c>
      <c r="AN36" s="115" t="str">
        <f t="shared" si="69"/>
        <v>4T21</v>
      </c>
      <c r="AO36" s="115" t="str">
        <f t="shared" si="69"/>
        <v>1T22</v>
      </c>
      <c r="AP36" s="115" t="str">
        <f t="shared" si="69"/>
        <v>2T22</v>
      </c>
      <c r="AQ36" s="115" t="str">
        <f t="shared" si="69"/>
        <v>3T22</v>
      </c>
      <c r="AR36" s="115" t="str">
        <f t="shared" si="69"/>
        <v>4T22</v>
      </c>
      <c r="AS36" s="115" t="str">
        <f t="shared" si="69"/>
        <v>1T23</v>
      </c>
      <c r="AT36" s="115" t="str">
        <f t="shared" si="69"/>
        <v>2T23</v>
      </c>
      <c r="AU36" s="115" t="str">
        <f t="shared" si="69"/>
        <v>3T23</v>
      </c>
      <c r="AV36" s="115" t="str">
        <f t="shared" si="69"/>
        <v>4T23</v>
      </c>
      <c r="AW36" s="115" t="str">
        <f t="shared" si="69"/>
        <v>1T24</v>
      </c>
      <c r="AX36" s="115" t="str">
        <f t="shared" si="69"/>
        <v>2T24</v>
      </c>
      <c r="AY36" s="115" t="str">
        <f t="shared" si="69"/>
        <v>3T24</v>
      </c>
      <c r="AZ36" s="115" t="str">
        <f t="shared" si="69"/>
        <v>4T24</v>
      </c>
      <c r="BA36" s="115" t="str">
        <f t="shared" si="69"/>
        <v>1T25</v>
      </c>
      <c r="BB36" s="115" t="str">
        <f t="shared" si="69"/>
        <v>2T25</v>
      </c>
      <c r="BC36" s="115" t="str">
        <f t="shared" si="69"/>
        <v>3T25</v>
      </c>
      <c r="BD36" s="115" t="str">
        <f t="shared" si="69"/>
        <v>4T25</v>
      </c>
      <c r="BE36" s="247" t="str">
        <f>BE$5</f>
        <v>1T26</v>
      </c>
      <c r="BF36" s="115" t="str">
        <f t="shared" si="69"/>
        <v>2T26</v>
      </c>
    </row>
    <row r="37" spans="1:58" x14ac:dyDescent="0.25">
      <c r="A37" s="70" t="s">
        <v>407</v>
      </c>
      <c r="B37" s="70" t="s">
        <v>979</v>
      </c>
      <c r="D37" s="129" t="str">
        <f>IF([1]RENAME!$H$3=1,B37,A37)</f>
        <v>Trabalhistas e previdenciárias</v>
      </c>
      <c r="E37" s="129"/>
      <c r="F37" s="130"/>
      <c r="G37" s="130">
        <v>0</v>
      </c>
      <c r="H37" s="130">
        <v>0</v>
      </c>
      <c r="I37" s="130">
        <v>0</v>
      </c>
      <c r="J37" s="130">
        <v>0</v>
      </c>
      <c r="K37" s="130">
        <v>0</v>
      </c>
      <c r="L37" s="118">
        <f t="shared" ref="L37:P39" si="70">+L25-L31</f>
        <v>17560</v>
      </c>
      <c r="M37" s="118">
        <f t="shared" ref="M37:N40" si="71">+M25-M31</f>
        <v>18097</v>
      </c>
      <c r="N37" s="118">
        <f t="shared" si="71"/>
        <v>18086</v>
      </c>
      <c r="O37" s="118">
        <f t="shared" si="70"/>
        <v>18239</v>
      </c>
      <c r="P37" s="118">
        <f t="shared" si="70"/>
        <v>13568</v>
      </c>
      <c r="Q37" s="118">
        <f t="shared" ref="Q37:S39" si="72">+Q25-Q31</f>
        <v>13257</v>
      </c>
      <c r="R37" s="118">
        <f t="shared" si="72"/>
        <v>11023</v>
      </c>
      <c r="S37" s="118">
        <f t="shared" si="72"/>
        <v>10509</v>
      </c>
      <c r="T37" s="118">
        <f t="shared" ref="T37:V39" si="73">+T25-T31</f>
        <v>10033</v>
      </c>
      <c r="U37" s="118">
        <f t="shared" si="73"/>
        <v>8820</v>
      </c>
      <c r="V37" s="118">
        <f t="shared" si="73"/>
        <v>6740</v>
      </c>
      <c r="W37" s="118">
        <v>6328</v>
      </c>
      <c r="X37" s="118">
        <f t="shared" ref="W37:X40" si="74">+X25-X31</f>
        <v>4748</v>
      </c>
      <c r="Y37" s="118">
        <v>3605</v>
      </c>
      <c r="Z37" s="118">
        <f t="shared" ref="Z37:AC40" si="75">+Z25-Z31</f>
        <v>3556</v>
      </c>
      <c r="AA37" s="118">
        <f t="shared" si="75"/>
        <v>3361</v>
      </c>
      <c r="AB37" s="118">
        <f t="shared" si="75"/>
        <v>3103</v>
      </c>
      <c r="AC37" s="118">
        <f t="shared" si="75"/>
        <v>2719</v>
      </c>
      <c r="AD37" s="118">
        <v>2861</v>
      </c>
      <c r="AE37" s="118">
        <v>2727</v>
      </c>
      <c r="AF37" s="118">
        <v>2757</v>
      </c>
      <c r="AG37" s="118">
        <v>2750</v>
      </c>
      <c r="AH37" s="118">
        <v>2360</v>
      </c>
      <c r="AI37" s="118">
        <f t="shared" ref="AI37:AJ40" si="76">+AI25-AI31</f>
        <v>2339</v>
      </c>
      <c r="AJ37" s="118">
        <f t="shared" si="76"/>
        <v>3110</v>
      </c>
      <c r="AK37" s="118">
        <f>+AK25-AK31</f>
        <v>3080</v>
      </c>
      <c r="AL37" s="118">
        <f t="shared" ref="AL37:AM39" si="77">+AL25-AL31</f>
        <v>2841</v>
      </c>
      <c r="AM37" s="118">
        <f t="shared" si="77"/>
        <v>2710</v>
      </c>
      <c r="AN37" s="118">
        <f>+AN25-AN31</f>
        <v>2533</v>
      </c>
      <c r="AO37" s="118">
        <v>3075</v>
      </c>
      <c r="AP37" s="118">
        <f t="shared" ref="AP37:AQ40" si="78">+AP25-AP31</f>
        <v>2931</v>
      </c>
      <c r="AQ37" s="118">
        <v>2620</v>
      </c>
      <c r="AR37" s="118">
        <f t="shared" ref="AR37:AW40" si="79">+AR25-AR31</f>
        <v>2666</v>
      </c>
      <c r="AS37" s="118">
        <f t="shared" si="79"/>
        <v>2731</v>
      </c>
      <c r="AT37" s="118">
        <f t="shared" si="79"/>
        <v>2696</v>
      </c>
      <c r="AU37" s="118">
        <f t="shared" si="79"/>
        <v>2602</v>
      </c>
      <c r="AV37" s="118">
        <f t="shared" si="79"/>
        <v>2622</v>
      </c>
      <c r="AW37" s="118">
        <f t="shared" si="79"/>
        <v>2689</v>
      </c>
      <c r="AX37" s="118">
        <f>+AX25-AX31</f>
        <v>2573</v>
      </c>
      <c r="AY37" s="118">
        <v>2548</v>
      </c>
      <c r="AZ37" s="118">
        <v>2597</v>
      </c>
      <c r="BA37" s="118">
        <v>2661</v>
      </c>
      <c r="BB37" s="118">
        <v>2670</v>
      </c>
      <c r="BC37" s="118">
        <v>2630</v>
      </c>
      <c r="BD37" s="118">
        <v>2680</v>
      </c>
      <c r="BE37" s="118">
        <v>2737</v>
      </c>
      <c r="BF37" s="118">
        <f>+BF25-BF31</f>
        <v>2701</v>
      </c>
    </row>
    <row r="38" spans="1:58" x14ac:dyDescent="0.25">
      <c r="A38" s="70" t="s">
        <v>408</v>
      </c>
      <c r="B38" s="70" t="s">
        <v>980</v>
      </c>
      <c r="D38" s="129" t="str">
        <f>IF([1]RENAME!$H$3=1,B38,A38)</f>
        <v>Tributárias</v>
      </c>
      <c r="E38" s="129"/>
      <c r="F38" s="130"/>
      <c r="G38" s="130">
        <v>0</v>
      </c>
      <c r="H38" s="130">
        <v>0</v>
      </c>
      <c r="I38" s="130">
        <v>0</v>
      </c>
      <c r="J38" s="130">
        <v>0</v>
      </c>
      <c r="K38" s="130">
        <v>0</v>
      </c>
      <c r="L38" s="118">
        <f t="shared" si="70"/>
        <v>45</v>
      </c>
      <c r="M38" s="118">
        <f t="shared" si="71"/>
        <v>205</v>
      </c>
      <c r="N38" s="118">
        <f t="shared" si="71"/>
        <v>452</v>
      </c>
      <c r="O38" s="118">
        <f t="shared" si="70"/>
        <v>802</v>
      </c>
      <c r="P38" s="118">
        <f t="shared" si="70"/>
        <v>1126</v>
      </c>
      <c r="Q38" s="118">
        <f t="shared" si="72"/>
        <v>1400</v>
      </c>
      <c r="R38" s="118">
        <f t="shared" si="72"/>
        <v>1578</v>
      </c>
      <c r="S38" s="118">
        <f t="shared" si="72"/>
        <v>1726</v>
      </c>
      <c r="T38" s="118">
        <f t="shared" si="73"/>
        <v>1853</v>
      </c>
      <c r="U38" s="118">
        <f>+U26-U32</f>
        <v>-1608</v>
      </c>
      <c r="V38" s="118">
        <f t="shared" si="73"/>
        <v>2144</v>
      </c>
      <c r="W38" s="118">
        <v>2144</v>
      </c>
      <c r="X38" s="118">
        <f t="shared" si="74"/>
        <v>23</v>
      </c>
      <c r="Y38" s="118">
        <v>0</v>
      </c>
      <c r="Z38" s="118">
        <f t="shared" si="75"/>
        <v>0</v>
      </c>
      <c r="AA38" s="118">
        <v>0</v>
      </c>
      <c r="AB38" s="118">
        <f t="shared" si="75"/>
        <v>0</v>
      </c>
      <c r="AC38" s="118">
        <f t="shared" si="75"/>
        <v>0</v>
      </c>
      <c r="AD38" s="118">
        <v>0</v>
      </c>
      <c r="AE38" s="118">
        <v>0</v>
      </c>
      <c r="AF38" s="118">
        <v>0</v>
      </c>
      <c r="AG38" s="118">
        <v>0</v>
      </c>
      <c r="AH38" s="118">
        <v>0</v>
      </c>
      <c r="AI38" s="118">
        <f t="shared" si="76"/>
        <v>0</v>
      </c>
      <c r="AJ38" s="118">
        <f t="shared" si="76"/>
        <v>0</v>
      </c>
      <c r="AK38" s="118">
        <f>+AK26-AK32</f>
        <v>0</v>
      </c>
      <c r="AL38" s="118">
        <f t="shared" si="77"/>
        <v>0</v>
      </c>
      <c r="AM38" s="118">
        <f t="shared" si="77"/>
        <v>0</v>
      </c>
      <c r="AN38" s="118">
        <f>+AN26-AN32</f>
        <v>0</v>
      </c>
      <c r="AO38" s="118">
        <v>0</v>
      </c>
      <c r="AP38" s="118">
        <f t="shared" si="78"/>
        <v>0</v>
      </c>
      <c r="AQ38" s="118">
        <v>0</v>
      </c>
      <c r="AR38" s="118">
        <f t="shared" si="79"/>
        <v>0</v>
      </c>
      <c r="AS38" s="118">
        <f t="shared" si="79"/>
        <v>0</v>
      </c>
      <c r="AT38" s="118">
        <f t="shared" si="79"/>
        <v>0</v>
      </c>
      <c r="AU38" s="118">
        <f t="shared" si="79"/>
        <v>0</v>
      </c>
      <c r="AV38" s="118">
        <f t="shared" si="79"/>
        <v>0</v>
      </c>
      <c r="AW38" s="118">
        <f t="shared" si="79"/>
        <v>0</v>
      </c>
      <c r="AX38" s="118">
        <f>+AX26-AX32</f>
        <v>0</v>
      </c>
      <c r="AY38" s="118">
        <v>0</v>
      </c>
      <c r="AZ38" s="118">
        <v>0</v>
      </c>
      <c r="BA38" s="118">
        <v>0</v>
      </c>
      <c r="BB38" s="118">
        <v>0</v>
      </c>
      <c r="BC38" s="118">
        <v>0</v>
      </c>
      <c r="BD38" s="118">
        <v>0</v>
      </c>
      <c r="BE38" s="118">
        <v>0</v>
      </c>
      <c r="BF38" s="118">
        <f>+BF26-BF32</f>
        <v>0</v>
      </c>
    </row>
    <row r="39" spans="1:58" x14ac:dyDescent="0.25">
      <c r="A39" s="70" t="s">
        <v>409</v>
      </c>
      <c r="B39" s="70" t="s">
        <v>981</v>
      </c>
      <c r="D39" s="129" t="str">
        <f>IF([1]RENAME!$H$3=1,B39,A39)</f>
        <v>Cíveis</v>
      </c>
      <c r="E39" s="129"/>
      <c r="F39" s="130"/>
      <c r="G39" s="130">
        <v>0</v>
      </c>
      <c r="H39" s="130">
        <v>0</v>
      </c>
      <c r="I39" s="130">
        <v>0</v>
      </c>
      <c r="J39" s="130">
        <v>0</v>
      </c>
      <c r="K39" s="130">
        <v>0</v>
      </c>
      <c r="L39" s="118">
        <f t="shared" si="70"/>
        <v>406</v>
      </c>
      <c r="M39" s="118">
        <f t="shared" si="71"/>
        <v>406</v>
      </c>
      <c r="N39" s="118">
        <f t="shared" si="71"/>
        <v>103</v>
      </c>
      <c r="O39" s="118">
        <f t="shared" si="70"/>
        <v>97</v>
      </c>
      <c r="P39" s="118">
        <f t="shared" si="70"/>
        <v>108</v>
      </c>
      <c r="Q39" s="118">
        <f t="shared" si="72"/>
        <v>108</v>
      </c>
      <c r="R39" s="118">
        <f t="shared" si="72"/>
        <v>108</v>
      </c>
      <c r="S39" s="118">
        <f t="shared" si="72"/>
        <v>98</v>
      </c>
      <c r="T39" s="118">
        <f t="shared" si="73"/>
        <v>168</v>
      </c>
      <c r="U39" s="118">
        <f t="shared" si="73"/>
        <v>168</v>
      </c>
      <c r="V39" s="118">
        <f t="shared" si="73"/>
        <v>97</v>
      </c>
      <c r="W39" s="118">
        <v>97</v>
      </c>
      <c r="X39" s="118">
        <f t="shared" si="74"/>
        <v>97</v>
      </c>
      <c r="Y39" s="118">
        <v>97</v>
      </c>
      <c r="Z39" s="118">
        <f t="shared" si="75"/>
        <v>97</v>
      </c>
      <c r="AA39" s="118">
        <f t="shared" si="75"/>
        <v>97</v>
      </c>
      <c r="AB39" s="118">
        <f t="shared" si="75"/>
        <v>97</v>
      </c>
      <c r="AC39" s="118">
        <f t="shared" si="75"/>
        <v>97</v>
      </c>
      <c r="AD39" s="118">
        <v>105</v>
      </c>
      <c r="AE39" s="118">
        <v>106</v>
      </c>
      <c r="AF39" s="118">
        <v>209</v>
      </c>
      <c r="AG39" s="118">
        <v>209</v>
      </c>
      <c r="AH39" s="118">
        <v>209</v>
      </c>
      <c r="AI39" s="118">
        <f t="shared" si="76"/>
        <v>209</v>
      </c>
      <c r="AJ39" s="118">
        <f t="shared" si="76"/>
        <v>209</v>
      </c>
      <c r="AK39" s="118">
        <f>+AK27-AK33</f>
        <v>209</v>
      </c>
      <c r="AL39" s="118">
        <f t="shared" si="77"/>
        <v>209</v>
      </c>
      <c r="AM39" s="118">
        <f t="shared" si="77"/>
        <v>209</v>
      </c>
      <c r="AN39" s="118">
        <f>+AN27-AN33</f>
        <v>209</v>
      </c>
      <c r="AO39" s="118">
        <v>201</v>
      </c>
      <c r="AP39" s="118">
        <f t="shared" si="78"/>
        <v>201</v>
      </c>
      <c r="AQ39" s="118">
        <v>197</v>
      </c>
      <c r="AR39" s="118">
        <f t="shared" si="79"/>
        <v>201</v>
      </c>
      <c r="AS39" s="118">
        <f t="shared" si="79"/>
        <v>201</v>
      </c>
      <c r="AT39" s="118">
        <f t="shared" si="79"/>
        <v>207</v>
      </c>
      <c r="AU39" s="118">
        <f t="shared" si="79"/>
        <v>221</v>
      </c>
      <c r="AV39" s="118">
        <f t="shared" si="79"/>
        <v>221</v>
      </c>
      <c r="AW39" s="118">
        <f t="shared" si="79"/>
        <v>220</v>
      </c>
      <c r="AX39" s="118">
        <f>+AX27-AX33</f>
        <v>220</v>
      </c>
      <c r="AY39" s="118">
        <v>221</v>
      </c>
      <c r="AZ39" s="118">
        <v>115</v>
      </c>
      <c r="BA39" s="118">
        <v>114</v>
      </c>
      <c r="BB39" s="118">
        <v>118</v>
      </c>
      <c r="BC39" s="118">
        <v>121</v>
      </c>
      <c r="BD39" s="118">
        <v>124</v>
      </c>
      <c r="BE39" s="118">
        <v>126</v>
      </c>
      <c r="BF39" s="118">
        <f>+BF27-BF33</f>
        <v>128</v>
      </c>
    </row>
    <row r="40" spans="1:58" x14ac:dyDescent="0.25">
      <c r="A40" s="70" t="s">
        <v>73</v>
      </c>
      <c r="B40" s="70" t="s">
        <v>73</v>
      </c>
      <c r="D40" s="126" t="str">
        <f>IF([1]RENAME!$H$3=1,B40,A40)</f>
        <v>TOTAL</v>
      </c>
      <c r="E40" s="126"/>
      <c r="F40" s="120"/>
      <c r="G40" s="120">
        <v>0</v>
      </c>
      <c r="H40" s="120">
        <v>0</v>
      </c>
      <c r="I40" s="120">
        <v>0</v>
      </c>
      <c r="J40" s="120">
        <v>0</v>
      </c>
      <c r="K40" s="120">
        <v>0</v>
      </c>
      <c r="L40" s="120">
        <f t="shared" ref="L40:V40" si="80">+L28-L34</f>
        <v>18011</v>
      </c>
      <c r="M40" s="120">
        <f t="shared" si="71"/>
        <v>18708</v>
      </c>
      <c r="N40" s="120">
        <f t="shared" si="71"/>
        <v>18641</v>
      </c>
      <c r="O40" s="120">
        <f t="shared" si="80"/>
        <v>19138</v>
      </c>
      <c r="P40" s="120">
        <f t="shared" si="80"/>
        <v>14802</v>
      </c>
      <c r="Q40" s="120">
        <f t="shared" si="80"/>
        <v>14765</v>
      </c>
      <c r="R40" s="120">
        <f t="shared" si="80"/>
        <v>12709</v>
      </c>
      <c r="S40" s="120">
        <f t="shared" si="80"/>
        <v>12333</v>
      </c>
      <c r="T40" s="120">
        <f t="shared" si="80"/>
        <v>12054</v>
      </c>
      <c r="U40" s="120">
        <f t="shared" si="80"/>
        <v>7380</v>
      </c>
      <c r="V40" s="120">
        <f t="shared" si="80"/>
        <v>8981</v>
      </c>
      <c r="W40" s="120">
        <f t="shared" si="74"/>
        <v>8569</v>
      </c>
      <c r="X40" s="120">
        <f t="shared" si="74"/>
        <v>4868</v>
      </c>
      <c r="Y40" s="120">
        <f>+Y28-Y34</f>
        <v>3702</v>
      </c>
      <c r="Z40" s="120">
        <f t="shared" si="75"/>
        <v>3653</v>
      </c>
      <c r="AA40" s="120">
        <f t="shared" si="75"/>
        <v>3458</v>
      </c>
      <c r="AB40" s="120">
        <f t="shared" si="75"/>
        <v>3200</v>
      </c>
      <c r="AC40" s="120">
        <f t="shared" si="75"/>
        <v>2816</v>
      </c>
      <c r="AD40" s="120">
        <f>+AD28-AD34</f>
        <v>2966</v>
      </c>
      <c r="AE40" s="120">
        <f>+AE28-AE34</f>
        <v>2833</v>
      </c>
      <c r="AF40" s="120">
        <f>+AF28-AF34</f>
        <v>2966</v>
      </c>
      <c r="AG40" s="120">
        <f>+AG28-AG34</f>
        <v>2959</v>
      </c>
      <c r="AH40" s="120">
        <f>+AH28-AH34</f>
        <v>2559</v>
      </c>
      <c r="AI40" s="120">
        <f t="shared" si="76"/>
        <v>2548</v>
      </c>
      <c r="AJ40" s="120">
        <f t="shared" si="76"/>
        <v>3319</v>
      </c>
      <c r="AK40" s="120">
        <f>+AK28-AK34</f>
        <v>3289</v>
      </c>
      <c r="AL40" s="120">
        <f>+AL28-AL34</f>
        <v>3050</v>
      </c>
      <c r="AM40" s="120">
        <f>+AM28-AM34</f>
        <v>2919</v>
      </c>
      <c r="AN40" s="120">
        <f>+AN28-AN34</f>
        <v>2742</v>
      </c>
      <c r="AO40" s="120">
        <f>+AO28-AO34</f>
        <v>3276</v>
      </c>
      <c r="AP40" s="120">
        <f t="shared" si="78"/>
        <v>3132</v>
      </c>
      <c r="AQ40" s="120">
        <f t="shared" si="78"/>
        <v>2817</v>
      </c>
      <c r="AR40" s="120">
        <f t="shared" si="79"/>
        <v>2867</v>
      </c>
      <c r="AS40" s="120">
        <f t="shared" si="79"/>
        <v>2932</v>
      </c>
      <c r="AT40" s="120">
        <f t="shared" si="79"/>
        <v>2903</v>
      </c>
      <c r="AU40" s="120">
        <f t="shared" si="79"/>
        <v>2823</v>
      </c>
      <c r="AV40" s="120">
        <f t="shared" si="79"/>
        <v>2843</v>
      </c>
      <c r="AW40" s="120">
        <f t="shared" si="79"/>
        <v>2909</v>
      </c>
      <c r="AX40" s="120">
        <f>+AX28-AX34</f>
        <v>2793</v>
      </c>
      <c r="AY40" s="120">
        <v>2769</v>
      </c>
      <c r="AZ40" s="120">
        <v>2769</v>
      </c>
      <c r="BA40" s="120">
        <f>+BA28-BA34</f>
        <v>2775</v>
      </c>
      <c r="BB40" s="120">
        <f>+BB28-BB34</f>
        <v>2788</v>
      </c>
      <c r="BC40" s="120">
        <f>+BC28-BC34</f>
        <v>2751</v>
      </c>
      <c r="BD40" s="120">
        <f>+BD28-BD34</f>
        <v>2804</v>
      </c>
      <c r="BE40" s="120">
        <f>+BE28-BE34</f>
        <v>2863</v>
      </c>
      <c r="BF40" s="120">
        <f>+BF28-BF34</f>
        <v>2829</v>
      </c>
    </row>
    <row r="42" spans="1:58" x14ac:dyDescent="0.25">
      <c r="A42" s="70" t="s">
        <v>82</v>
      </c>
      <c r="B42" s="70" t="s">
        <v>982</v>
      </c>
      <c r="D42" s="955" t="str">
        <f>IF([1]RENAME!$H$3=1,B42,A42)</f>
        <v>Provisões para demandas judiciais</v>
      </c>
      <c r="E42" s="956"/>
      <c r="F42" s="956"/>
      <c r="G42" s="956"/>
      <c r="H42" s="956"/>
      <c r="I42" s="956"/>
      <c r="J42" s="956"/>
      <c r="K42" s="956"/>
      <c r="L42" s="954"/>
      <c r="M42" s="954"/>
      <c r="N42" s="954"/>
      <c r="O42" s="954"/>
      <c r="P42" s="954"/>
      <c r="Q42" s="954"/>
      <c r="R42" s="954"/>
      <c r="S42" s="954"/>
      <c r="T42" s="954"/>
      <c r="U42" s="954"/>
      <c r="V42" s="954"/>
      <c r="W42" s="954"/>
      <c r="X42" s="954"/>
      <c r="Y42" s="954"/>
      <c r="Z42" s="954"/>
      <c r="AA42" s="954"/>
      <c r="AB42" s="954"/>
      <c r="AC42" s="954"/>
      <c r="AD42" s="954"/>
      <c r="AE42" s="954"/>
      <c r="AF42" s="954"/>
      <c r="AG42" s="954"/>
      <c r="AH42" s="954"/>
      <c r="AI42" s="954"/>
      <c r="AJ42" s="954"/>
      <c r="AK42" s="954"/>
      <c r="AL42" s="954"/>
      <c r="AM42" s="954"/>
      <c r="AN42" s="954"/>
      <c r="AO42" s="954"/>
      <c r="AP42" s="954"/>
      <c r="AQ42" s="954"/>
      <c r="AR42" s="954"/>
      <c r="AS42" s="954"/>
      <c r="AT42" s="954"/>
      <c r="AU42" s="954"/>
      <c r="AV42" s="954"/>
      <c r="AW42" s="954"/>
      <c r="AX42" s="954"/>
      <c r="AY42" s="954"/>
      <c r="AZ42" s="954"/>
      <c r="BA42" s="954"/>
      <c r="BB42" s="954"/>
      <c r="BC42" s="954"/>
      <c r="BD42" s="954"/>
      <c r="BE42" s="954"/>
      <c r="BF42" s="954"/>
    </row>
    <row r="43" spans="1:58" x14ac:dyDescent="0.25">
      <c r="A43" s="70" t="s">
        <v>96</v>
      </c>
      <c r="B43" s="70" t="s">
        <v>866</v>
      </c>
      <c r="D43" s="145" t="str">
        <f>IF([1]RENAME!$H$3=1,B43,A43)</f>
        <v>Consolidado</v>
      </c>
      <c r="E43" s="145"/>
      <c r="F43" s="145"/>
      <c r="G43" s="145" t="s">
        <v>160</v>
      </c>
      <c r="H43" s="145" t="s">
        <v>160</v>
      </c>
      <c r="I43" s="145" t="s">
        <v>160</v>
      </c>
      <c r="J43" s="145" t="s">
        <v>160</v>
      </c>
      <c r="K43" s="145" t="s">
        <v>160</v>
      </c>
      <c r="L43" s="115" t="str">
        <f t="shared" ref="L43:BF43" si="81">L$5</f>
        <v>4T14</v>
      </c>
      <c r="M43" s="115" t="str">
        <f t="shared" si="81"/>
        <v>1T15</v>
      </c>
      <c r="N43" s="115" t="str">
        <f t="shared" si="81"/>
        <v>2T15</v>
      </c>
      <c r="O43" s="115" t="str">
        <f t="shared" si="81"/>
        <v>3T15</v>
      </c>
      <c r="P43" s="115" t="str">
        <f t="shared" si="81"/>
        <v>4T15</v>
      </c>
      <c r="Q43" s="115" t="str">
        <f t="shared" si="81"/>
        <v>1T16</v>
      </c>
      <c r="R43" s="115" t="str">
        <f t="shared" si="81"/>
        <v>2T16</v>
      </c>
      <c r="S43" s="115" t="str">
        <f t="shared" si="81"/>
        <v>3T16</v>
      </c>
      <c r="T43" s="115" t="str">
        <f t="shared" si="81"/>
        <v>4T16</v>
      </c>
      <c r="U43" s="115" t="str">
        <f t="shared" si="81"/>
        <v>1T17</v>
      </c>
      <c r="V43" s="115" t="str">
        <f t="shared" si="81"/>
        <v>2T17</v>
      </c>
      <c r="W43" s="115" t="str">
        <f t="shared" si="81"/>
        <v>3T17</v>
      </c>
      <c r="X43" s="115" t="str">
        <f t="shared" si="81"/>
        <v>4T17</v>
      </c>
      <c r="Y43" s="115" t="str">
        <f t="shared" si="81"/>
        <v>1T18</v>
      </c>
      <c r="Z43" s="115" t="str">
        <f t="shared" si="81"/>
        <v>2T18</v>
      </c>
      <c r="AA43" s="115" t="str">
        <f t="shared" si="81"/>
        <v>3T18</v>
      </c>
      <c r="AB43" s="115" t="str">
        <f t="shared" si="81"/>
        <v>4T18</v>
      </c>
      <c r="AC43" s="115" t="str">
        <f t="shared" si="81"/>
        <v>1T19</v>
      </c>
      <c r="AD43" s="115" t="str">
        <f t="shared" si="81"/>
        <v>2T19</v>
      </c>
      <c r="AE43" s="115" t="str">
        <f t="shared" si="81"/>
        <v>3T19</v>
      </c>
      <c r="AF43" s="115" t="str">
        <f t="shared" si="81"/>
        <v>4T19</v>
      </c>
      <c r="AG43" s="115" t="str">
        <f t="shared" si="81"/>
        <v>1T20</v>
      </c>
      <c r="AH43" s="115" t="str">
        <f t="shared" si="81"/>
        <v>2T20</v>
      </c>
      <c r="AI43" s="115" t="str">
        <f t="shared" si="81"/>
        <v>3T20</v>
      </c>
      <c r="AJ43" s="115" t="str">
        <f t="shared" si="81"/>
        <v>4T20</v>
      </c>
      <c r="AK43" s="115" t="str">
        <f t="shared" si="81"/>
        <v>1T21</v>
      </c>
      <c r="AL43" s="115" t="str">
        <f t="shared" si="81"/>
        <v>2T21</v>
      </c>
      <c r="AM43" s="115" t="str">
        <f t="shared" si="81"/>
        <v>3T21</v>
      </c>
      <c r="AN43" s="115" t="str">
        <f t="shared" si="81"/>
        <v>4T21</v>
      </c>
      <c r="AO43" s="115" t="str">
        <f t="shared" si="81"/>
        <v>1T22</v>
      </c>
      <c r="AP43" s="115" t="str">
        <f t="shared" si="81"/>
        <v>2T22</v>
      </c>
      <c r="AQ43" s="115" t="str">
        <f t="shared" si="81"/>
        <v>3T22</v>
      </c>
      <c r="AR43" s="115" t="str">
        <f t="shared" si="81"/>
        <v>4T22</v>
      </c>
      <c r="AS43" s="115" t="str">
        <f t="shared" si="81"/>
        <v>1T23</v>
      </c>
      <c r="AT43" s="115" t="str">
        <f t="shared" si="81"/>
        <v>2T23</v>
      </c>
      <c r="AU43" s="115" t="str">
        <f t="shared" si="81"/>
        <v>3T23</v>
      </c>
      <c r="AV43" s="115" t="str">
        <f t="shared" si="81"/>
        <v>4T23</v>
      </c>
      <c r="AW43" s="115" t="str">
        <f t="shared" si="81"/>
        <v>1T24</v>
      </c>
      <c r="AX43" s="115" t="str">
        <f t="shared" si="81"/>
        <v>2T24</v>
      </c>
      <c r="AY43" s="115" t="str">
        <f t="shared" si="81"/>
        <v>3T24</v>
      </c>
      <c r="AZ43" s="115" t="str">
        <f t="shared" si="81"/>
        <v>4T24</v>
      </c>
      <c r="BA43" s="115" t="str">
        <f t="shared" si="81"/>
        <v>1T25</v>
      </c>
      <c r="BB43" s="115" t="str">
        <f t="shared" si="81"/>
        <v>2T25</v>
      </c>
      <c r="BC43" s="115" t="str">
        <f t="shared" si="81"/>
        <v>3T25</v>
      </c>
      <c r="BD43" s="115" t="str">
        <f t="shared" si="81"/>
        <v>4T25</v>
      </c>
      <c r="BE43" s="247" t="str">
        <f>BE$5</f>
        <v>1T26</v>
      </c>
      <c r="BF43" s="115" t="str">
        <f t="shared" si="81"/>
        <v>2T26</v>
      </c>
    </row>
    <row r="44" spans="1:58" x14ac:dyDescent="0.25">
      <c r="A44" s="70" t="s">
        <v>407</v>
      </c>
      <c r="B44" s="70" t="s">
        <v>979</v>
      </c>
      <c r="D44" s="129" t="str">
        <f>IF([1]RENAME!$H$3=1,B44,A44)</f>
        <v>Trabalhistas e previdenciárias</v>
      </c>
      <c r="E44" s="129"/>
      <c r="F44" s="130"/>
      <c r="G44" s="130">
        <v>0</v>
      </c>
      <c r="H44" s="130">
        <v>0</v>
      </c>
      <c r="I44" s="130">
        <v>0</v>
      </c>
      <c r="J44" s="130">
        <v>0</v>
      </c>
      <c r="K44" s="130">
        <v>0</v>
      </c>
      <c r="L44" s="118">
        <v>11446</v>
      </c>
      <c r="M44" s="118">
        <v>11446</v>
      </c>
      <c r="N44" s="118">
        <v>9821</v>
      </c>
      <c r="O44" s="118">
        <v>9967</v>
      </c>
      <c r="P44" s="118">
        <v>22711</v>
      </c>
      <c r="Q44" s="118">
        <v>21609</v>
      </c>
      <c r="R44" s="118">
        <v>16748</v>
      </c>
      <c r="S44" s="118">
        <v>15374</v>
      </c>
      <c r="T44" s="118">
        <v>14720</v>
      </c>
      <c r="U44" s="118">
        <v>14582</v>
      </c>
      <c r="V44" s="118">
        <v>19517</v>
      </c>
      <c r="W44" s="118">
        <v>18321</v>
      </c>
      <c r="X44" s="118">
        <v>22889</v>
      </c>
      <c r="Y44" s="118">
        <v>22663</v>
      </c>
      <c r="Z44" s="118">
        <v>21299</v>
      </c>
      <c r="AA44" s="118">
        <v>19053</v>
      </c>
      <c r="AB44" s="118">
        <v>16335</v>
      </c>
      <c r="AC44" s="118">
        <v>15798</v>
      </c>
      <c r="AD44" s="118">
        <v>15154</v>
      </c>
      <c r="AE44" s="118">
        <v>14737</v>
      </c>
      <c r="AF44" s="118">
        <v>15206</v>
      </c>
      <c r="AG44" s="118">
        <v>16672</v>
      </c>
      <c r="AH44" s="118">
        <v>16410</v>
      </c>
      <c r="AI44" s="118">
        <v>15620</v>
      </c>
      <c r="AJ44" s="118">
        <v>14353</v>
      </c>
      <c r="AK44" s="118">
        <v>14293</v>
      </c>
      <c r="AL44" s="118">
        <v>13820</v>
      </c>
      <c r="AM44" s="118">
        <v>13510</v>
      </c>
      <c r="AN44" s="118">
        <v>16508</v>
      </c>
      <c r="AO44" s="118">
        <v>16833</v>
      </c>
      <c r="AP44" s="118">
        <v>16678</v>
      </c>
      <c r="AQ44" s="118">
        <v>16353</v>
      </c>
      <c r="AR44" s="118">
        <v>15728</v>
      </c>
      <c r="AS44" s="118">
        <v>16123</v>
      </c>
      <c r="AT44" s="118">
        <v>15560</v>
      </c>
      <c r="AU44" s="118">
        <v>15605</v>
      </c>
      <c r="AV44" s="118">
        <v>17098</v>
      </c>
      <c r="AW44" s="118">
        <v>17775</v>
      </c>
      <c r="AX44" s="118">
        <v>18295</v>
      </c>
      <c r="AY44" s="118">
        <v>17664</v>
      </c>
      <c r="AZ44" s="118">
        <v>17526</v>
      </c>
      <c r="BA44" s="118">
        <v>17854</v>
      </c>
      <c r="BB44" s="118">
        <v>17954</v>
      </c>
      <c r="BC44" s="118">
        <v>18325</v>
      </c>
      <c r="BD44" s="118">
        <v>17847</v>
      </c>
      <c r="BE44" s="118">
        <v>18402</v>
      </c>
      <c r="BF44" s="118">
        <f>-'[3]16 Conting. NL'!$T$35</f>
        <v>18625</v>
      </c>
    </row>
    <row r="45" spans="1:58" x14ac:dyDescent="0.25">
      <c r="A45" s="70" t="s">
        <v>408</v>
      </c>
      <c r="B45" s="70" t="s">
        <v>980</v>
      </c>
      <c r="D45" s="129" t="str">
        <f>IF([1]RENAME!$H$3=1,B45,A45)</f>
        <v>Tributárias</v>
      </c>
      <c r="E45" s="129"/>
      <c r="F45" s="130"/>
      <c r="G45" s="130">
        <v>0</v>
      </c>
      <c r="H45" s="130">
        <v>0</v>
      </c>
      <c r="I45" s="130">
        <v>0</v>
      </c>
      <c r="J45" s="130">
        <v>0</v>
      </c>
      <c r="K45" s="130">
        <v>0</v>
      </c>
      <c r="L45" s="118">
        <v>28</v>
      </c>
      <c r="M45" s="118">
        <v>28</v>
      </c>
      <c r="N45" s="118">
        <v>28</v>
      </c>
      <c r="O45" s="118">
        <v>28</v>
      </c>
      <c r="P45" s="118">
        <v>28</v>
      </c>
      <c r="Q45" s="118">
        <v>0</v>
      </c>
      <c r="R45" s="118">
        <v>0</v>
      </c>
      <c r="S45" s="118">
        <v>0</v>
      </c>
      <c r="T45" s="118">
        <v>0</v>
      </c>
      <c r="U45" s="118">
        <v>0</v>
      </c>
      <c r="V45" s="118">
        <v>0</v>
      </c>
      <c r="W45" s="118">
        <v>0</v>
      </c>
      <c r="X45" s="118">
        <v>0</v>
      </c>
      <c r="Y45" s="118">
        <v>0</v>
      </c>
      <c r="Z45" s="118">
        <v>0</v>
      </c>
      <c r="AA45" s="118">
        <v>0</v>
      </c>
      <c r="AB45" s="118">
        <v>0</v>
      </c>
      <c r="AC45" s="118">
        <v>1</v>
      </c>
      <c r="AD45" s="118">
        <v>1</v>
      </c>
      <c r="AE45" s="118">
        <v>1</v>
      </c>
      <c r="AF45" s="118">
        <v>1</v>
      </c>
      <c r="AG45" s="118">
        <v>1</v>
      </c>
      <c r="AH45" s="118">
        <v>1</v>
      </c>
      <c r="AI45" s="118">
        <v>1</v>
      </c>
      <c r="AJ45" s="118">
        <v>1</v>
      </c>
      <c r="AK45" s="118">
        <v>1</v>
      </c>
      <c r="AL45" s="118">
        <v>1</v>
      </c>
      <c r="AM45" s="118">
        <v>1</v>
      </c>
      <c r="AN45" s="118">
        <v>1</v>
      </c>
      <c r="AO45" s="118">
        <v>1</v>
      </c>
      <c r="AP45" s="118">
        <v>1</v>
      </c>
      <c r="AQ45" s="118">
        <v>118</v>
      </c>
      <c r="AR45" s="118">
        <v>122</v>
      </c>
      <c r="AS45" s="118">
        <v>125</v>
      </c>
      <c r="AT45" s="118">
        <v>129</v>
      </c>
      <c r="AU45" s="118">
        <v>133</v>
      </c>
      <c r="AV45" s="118">
        <v>135</v>
      </c>
      <c r="AW45" s="118">
        <v>139</v>
      </c>
      <c r="AX45" s="118">
        <v>141</v>
      </c>
      <c r="AY45" s="118">
        <v>145</v>
      </c>
      <c r="AZ45" s="118">
        <v>149</v>
      </c>
      <c r="BA45" s="118">
        <v>151</v>
      </c>
      <c r="BB45" s="118">
        <v>154</v>
      </c>
      <c r="BC45" s="118">
        <v>149</v>
      </c>
      <c r="BD45" s="118">
        <v>151</v>
      </c>
      <c r="BE45" s="118">
        <v>152</v>
      </c>
      <c r="BF45" s="118">
        <f>-'[3]16 Conting. NL'!$T$36</f>
        <v>153</v>
      </c>
    </row>
    <row r="46" spans="1:58" x14ac:dyDescent="0.25">
      <c r="A46" s="70" t="s">
        <v>409</v>
      </c>
      <c r="B46" s="70" t="s">
        <v>981</v>
      </c>
      <c r="D46" s="129" t="str">
        <f>IF([1]RENAME!$H$3=1,B46,A46)</f>
        <v>Cíveis</v>
      </c>
      <c r="E46" s="129"/>
      <c r="F46" s="130"/>
      <c r="G46" s="130">
        <v>0</v>
      </c>
      <c r="H46" s="130">
        <v>0</v>
      </c>
      <c r="I46" s="130">
        <v>0</v>
      </c>
      <c r="J46" s="130">
        <v>0</v>
      </c>
      <c r="K46" s="130">
        <v>0</v>
      </c>
      <c r="L46" s="118">
        <v>12</v>
      </c>
      <c r="M46" s="118">
        <v>12</v>
      </c>
      <c r="N46" s="118">
        <v>12</v>
      </c>
      <c r="O46" s="118">
        <v>12</v>
      </c>
      <c r="P46" s="118">
        <v>12</v>
      </c>
      <c r="Q46" s="118">
        <v>186</v>
      </c>
      <c r="R46" s="118">
        <v>269</v>
      </c>
      <c r="S46" s="118">
        <v>256</v>
      </c>
      <c r="T46" s="118">
        <v>218</v>
      </c>
      <c r="U46" s="118">
        <v>127</v>
      </c>
      <c r="V46" s="118">
        <v>17086</v>
      </c>
      <c r="W46" s="118">
        <v>16633</v>
      </c>
      <c r="X46" s="118">
        <v>16094</v>
      </c>
      <c r="Y46" s="118">
        <v>21107</v>
      </c>
      <c r="Z46" s="118">
        <v>19793</v>
      </c>
      <c r="AA46" s="118">
        <v>17781</v>
      </c>
      <c r="AB46" s="118">
        <v>28109</v>
      </c>
      <c r="AC46" s="118">
        <v>27403</v>
      </c>
      <c r="AD46" s="118">
        <v>27595</v>
      </c>
      <c r="AE46" s="259">
        <v>21873</v>
      </c>
      <c r="AF46" s="118">
        <v>20059</v>
      </c>
      <c r="AG46" s="118">
        <v>20159</v>
      </c>
      <c r="AH46" s="118">
        <v>17802</v>
      </c>
      <c r="AI46" s="118">
        <v>19931</v>
      </c>
      <c r="AJ46" s="118">
        <v>19524</v>
      </c>
      <c r="AK46" s="118">
        <v>18812</v>
      </c>
      <c r="AL46" s="118">
        <v>18140</v>
      </c>
      <c r="AM46" s="118">
        <v>13137</v>
      </c>
      <c r="AN46" s="118">
        <v>14321</v>
      </c>
      <c r="AO46" s="118">
        <v>12804</v>
      </c>
      <c r="AP46" s="118">
        <v>9715</v>
      </c>
      <c r="AQ46" s="118">
        <v>15859</v>
      </c>
      <c r="AR46" s="118">
        <v>12532</v>
      </c>
      <c r="AS46" s="118">
        <v>12407</v>
      </c>
      <c r="AT46" s="118">
        <v>10789</v>
      </c>
      <c r="AU46" s="118">
        <v>10910</v>
      </c>
      <c r="AV46" s="118">
        <v>10782</v>
      </c>
      <c r="AW46" s="118">
        <v>10823</v>
      </c>
      <c r="AX46" s="118">
        <v>10893</v>
      </c>
      <c r="AY46" s="118">
        <v>10324</v>
      </c>
      <c r="AZ46" s="118">
        <v>4017</v>
      </c>
      <c r="BA46" s="118">
        <v>4086</v>
      </c>
      <c r="BB46" s="118">
        <v>4145</v>
      </c>
      <c r="BC46" s="118">
        <v>2934</v>
      </c>
      <c r="BD46" s="118">
        <v>2666</v>
      </c>
      <c r="BE46" s="118">
        <v>1571</v>
      </c>
      <c r="BF46" s="118">
        <f>-'[3]16 Conting. NL'!$T$37</f>
        <v>2033</v>
      </c>
    </row>
    <row r="47" spans="1:58" x14ac:dyDescent="0.25">
      <c r="A47" s="70" t="s">
        <v>73</v>
      </c>
      <c r="B47" s="70" t="s">
        <v>73</v>
      </c>
      <c r="D47" s="126" t="str">
        <f>IF([1]RENAME!$H$3=1,B47,A47)</f>
        <v>TOTAL</v>
      </c>
      <c r="E47" s="126"/>
      <c r="F47" s="120"/>
      <c r="G47" s="120">
        <v>0</v>
      </c>
      <c r="H47" s="120">
        <v>0</v>
      </c>
      <c r="I47" s="120">
        <v>0</v>
      </c>
      <c r="J47" s="120">
        <v>0</v>
      </c>
      <c r="K47" s="120">
        <v>0</v>
      </c>
      <c r="L47" s="120">
        <f t="shared" ref="L47:V47" si="82">+SUM(L44:L46)</f>
        <v>11486</v>
      </c>
      <c r="M47" s="120">
        <f t="shared" si="82"/>
        <v>11486</v>
      </c>
      <c r="N47" s="120">
        <f t="shared" si="82"/>
        <v>9861</v>
      </c>
      <c r="O47" s="120">
        <f t="shared" si="82"/>
        <v>10007</v>
      </c>
      <c r="P47" s="120">
        <f t="shared" si="82"/>
        <v>22751</v>
      </c>
      <c r="Q47" s="120">
        <f t="shared" si="82"/>
        <v>21795</v>
      </c>
      <c r="R47" s="120">
        <f t="shared" si="82"/>
        <v>17017</v>
      </c>
      <c r="S47" s="120">
        <f t="shared" si="82"/>
        <v>15630</v>
      </c>
      <c r="T47" s="120">
        <f t="shared" si="82"/>
        <v>14938</v>
      </c>
      <c r="U47" s="120">
        <f t="shared" si="82"/>
        <v>14709</v>
      </c>
      <c r="V47" s="120">
        <f t="shared" si="82"/>
        <v>36603</v>
      </c>
      <c r="W47" s="120">
        <f t="shared" ref="W47:AC47" si="83">+SUM(W44:W46)</f>
        <v>34954</v>
      </c>
      <c r="X47" s="120">
        <f t="shared" si="83"/>
        <v>38983</v>
      </c>
      <c r="Y47" s="120">
        <f t="shared" si="83"/>
        <v>43770</v>
      </c>
      <c r="Z47" s="120">
        <f t="shared" si="83"/>
        <v>41092</v>
      </c>
      <c r="AA47" s="120">
        <f t="shared" si="83"/>
        <v>36834</v>
      </c>
      <c r="AB47" s="120">
        <f t="shared" si="83"/>
        <v>44444</v>
      </c>
      <c r="AC47" s="120">
        <f t="shared" si="83"/>
        <v>43202</v>
      </c>
      <c r="AD47" s="120">
        <f t="shared" ref="AD47:AI47" si="84">+SUM(AD44:AD46)</f>
        <v>42750</v>
      </c>
      <c r="AE47" s="120">
        <f t="shared" si="84"/>
        <v>36611</v>
      </c>
      <c r="AF47" s="120">
        <f t="shared" si="84"/>
        <v>35266</v>
      </c>
      <c r="AG47" s="120">
        <f t="shared" si="84"/>
        <v>36832</v>
      </c>
      <c r="AH47" s="120">
        <f t="shared" si="84"/>
        <v>34213</v>
      </c>
      <c r="AI47" s="120">
        <f t="shared" si="84"/>
        <v>35552</v>
      </c>
      <c r="AJ47" s="120">
        <f t="shared" ref="AJ47:AP47" si="85">+SUM(AJ44:AJ46)</f>
        <v>33878</v>
      </c>
      <c r="AK47" s="120">
        <f t="shared" si="85"/>
        <v>33106</v>
      </c>
      <c r="AL47" s="120">
        <f t="shared" si="85"/>
        <v>31961</v>
      </c>
      <c r="AM47" s="120">
        <f t="shared" si="85"/>
        <v>26648</v>
      </c>
      <c r="AN47" s="120">
        <f t="shared" si="85"/>
        <v>30830</v>
      </c>
      <c r="AO47" s="120">
        <f t="shared" si="85"/>
        <v>29638</v>
      </c>
      <c r="AP47" s="120">
        <f t="shared" si="85"/>
        <v>26394</v>
      </c>
      <c r="AQ47" s="120">
        <f t="shared" ref="AQ47:AX47" si="86">+SUM(AQ44:AQ46)</f>
        <v>32330</v>
      </c>
      <c r="AR47" s="120">
        <f t="shared" si="86"/>
        <v>28382</v>
      </c>
      <c r="AS47" s="120">
        <f t="shared" si="86"/>
        <v>28655</v>
      </c>
      <c r="AT47" s="120">
        <f t="shared" si="86"/>
        <v>26478</v>
      </c>
      <c r="AU47" s="120">
        <f t="shared" si="86"/>
        <v>26648</v>
      </c>
      <c r="AV47" s="120">
        <f t="shared" si="86"/>
        <v>28015</v>
      </c>
      <c r="AW47" s="120">
        <f t="shared" si="86"/>
        <v>28737</v>
      </c>
      <c r="AX47" s="120">
        <f t="shared" si="86"/>
        <v>29329</v>
      </c>
      <c r="AY47" s="120">
        <f>+SUM(AY44:AY46)</f>
        <v>28133</v>
      </c>
      <c r="AZ47" s="120">
        <f>+SUM(AZ44:AZ46)</f>
        <v>21692</v>
      </c>
      <c r="BA47" s="120">
        <f>+SUM(BA44:BA46)</f>
        <v>22091</v>
      </c>
      <c r="BB47" s="120">
        <f>+SUM(BB44:BB46)</f>
        <v>22253</v>
      </c>
      <c r="BC47" s="120">
        <v>21408</v>
      </c>
      <c r="BD47" s="120">
        <v>20664</v>
      </c>
      <c r="BE47" s="120">
        <v>20125</v>
      </c>
      <c r="BF47" s="120">
        <f>+SUM(BF44:BF46)</f>
        <v>20811</v>
      </c>
    </row>
    <row r="48" spans="1:58" ht="9" customHeight="1" x14ac:dyDescent="0.25">
      <c r="F48" s="288"/>
      <c r="G48" s="288"/>
      <c r="H48" s="288"/>
      <c r="I48" s="288"/>
      <c r="J48" s="288"/>
      <c r="K48" s="288"/>
    </row>
    <row r="49" spans="1:58" x14ac:dyDescent="0.25">
      <c r="A49" s="70" t="s">
        <v>97</v>
      </c>
      <c r="B49" s="70" t="s">
        <v>872</v>
      </c>
      <c r="D49" s="145" t="str">
        <f>IF([1]RENAME!$H$3=1,B49,A49)</f>
        <v>Controladora</v>
      </c>
      <c r="E49" s="145"/>
      <c r="F49" s="145"/>
      <c r="G49" s="145" t="s">
        <v>160</v>
      </c>
      <c r="H49" s="145" t="s">
        <v>160</v>
      </c>
      <c r="I49" s="145" t="s">
        <v>160</v>
      </c>
      <c r="J49" s="145" t="s">
        <v>160</v>
      </c>
      <c r="K49" s="145" t="s">
        <v>160</v>
      </c>
      <c r="L49" s="115" t="str">
        <f t="shared" ref="L49:V49" si="87">L$5</f>
        <v>4T14</v>
      </c>
      <c r="M49" s="115" t="str">
        <f t="shared" si="87"/>
        <v>1T15</v>
      </c>
      <c r="N49" s="115" t="str">
        <f t="shared" si="87"/>
        <v>2T15</v>
      </c>
      <c r="O49" s="115" t="str">
        <f t="shared" si="87"/>
        <v>3T15</v>
      </c>
      <c r="P49" s="115" t="str">
        <f t="shared" si="87"/>
        <v>4T15</v>
      </c>
      <c r="Q49" s="115" t="str">
        <f t="shared" si="87"/>
        <v>1T16</v>
      </c>
      <c r="R49" s="115" t="str">
        <f t="shared" si="87"/>
        <v>2T16</v>
      </c>
      <c r="S49" s="115" t="str">
        <f t="shared" si="87"/>
        <v>3T16</v>
      </c>
      <c r="T49" s="115" t="str">
        <f t="shared" si="87"/>
        <v>4T16</v>
      </c>
      <c r="U49" s="115" t="str">
        <f t="shared" si="87"/>
        <v>1T17</v>
      </c>
      <c r="V49" s="115" t="str">
        <f t="shared" si="87"/>
        <v>2T17</v>
      </c>
      <c r="W49" s="115" t="str">
        <f t="shared" ref="W49:BF49" si="88">W$5</f>
        <v>3T17</v>
      </c>
      <c r="X49" s="115" t="str">
        <f t="shared" si="88"/>
        <v>4T17</v>
      </c>
      <c r="Y49" s="115" t="str">
        <f t="shared" si="88"/>
        <v>1T18</v>
      </c>
      <c r="Z49" s="115" t="str">
        <f t="shared" si="88"/>
        <v>2T18</v>
      </c>
      <c r="AA49" s="115" t="str">
        <f t="shared" si="88"/>
        <v>3T18</v>
      </c>
      <c r="AB49" s="115" t="str">
        <f t="shared" si="88"/>
        <v>4T18</v>
      </c>
      <c r="AC49" s="115" t="str">
        <f t="shared" si="88"/>
        <v>1T19</v>
      </c>
      <c r="AD49" s="115" t="str">
        <f t="shared" si="88"/>
        <v>2T19</v>
      </c>
      <c r="AE49" s="115" t="str">
        <f t="shared" si="88"/>
        <v>3T19</v>
      </c>
      <c r="AF49" s="115" t="str">
        <f t="shared" si="88"/>
        <v>4T19</v>
      </c>
      <c r="AG49" s="115" t="str">
        <f t="shared" si="88"/>
        <v>1T20</v>
      </c>
      <c r="AH49" s="115" t="str">
        <f t="shared" si="88"/>
        <v>2T20</v>
      </c>
      <c r="AI49" s="115" t="str">
        <f t="shared" si="88"/>
        <v>3T20</v>
      </c>
      <c r="AJ49" s="115" t="str">
        <f t="shared" si="88"/>
        <v>4T20</v>
      </c>
      <c r="AK49" s="115" t="str">
        <f t="shared" si="88"/>
        <v>1T21</v>
      </c>
      <c r="AL49" s="115" t="str">
        <f t="shared" si="88"/>
        <v>2T21</v>
      </c>
      <c r="AM49" s="115" t="str">
        <f t="shared" si="88"/>
        <v>3T21</v>
      </c>
      <c r="AN49" s="115" t="str">
        <f t="shared" si="88"/>
        <v>4T21</v>
      </c>
      <c r="AO49" s="115" t="str">
        <f t="shared" si="88"/>
        <v>1T22</v>
      </c>
      <c r="AP49" s="115" t="str">
        <f t="shared" si="88"/>
        <v>2T22</v>
      </c>
      <c r="AQ49" s="115" t="str">
        <f t="shared" si="88"/>
        <v>3T22</v>
      </c>
      <c r="AR49" s="115" t="str">
        <f t="shared" si="88"/>
        <v>4T22</v>
      </c>
      <c r="AS49" s="115" t="str">
        <f t="shared" si="88"/>
        <v>1T23</v>
      </c>
      <c r="AT49" s="115" t="str">
        <f t="shared" si="88"/>
        <v>2T23</v>
      </c>
      <c r="AU49" s="115" t="str">
        <f t="shared" si="88"/>
        <v>3T23</v>
      </c>
      <c r="AV49" s="115" t="str">
        <f t="shared" si="88"/>
        <v>4T23</v>
      </c>
      <c r="AW49" s="115" t="str">
        <f t="shared" si="88"/>
        <v>1T24</v>
      </c>
      <c r="AX49" s="115" t="str">
        <f t="shared" si="88"/>
        <v>2T24</v>
      </c>
      <c r="AY49" s="115" t="str">
        <f t="shared" si="88"/>
        <v>3T24</v>
      </c>
      <c r="AZ49" s="115" t="str">
        <f t="shared" si="88"/>
        <v>4T24</v>
      </c>
      <c r="BA49" s="115" t="str">
        <f t="shared" si="88"/>
        <v>1T25</v>
      </c>
      <c r="BB49" s="115" t="str">
        <f t="shared" si="88"/>
        <v>2T25</v>
      </c>
      <c r="BC49" s="115" t="s">
        <v>2242</v>
      </c>
      <c r="BD49" s="115" t="s">
        <v>2244</v>
      </c>
      <c r="BE49" s="115" t="s">
        <v>2284</v>
      </c>
      <c r="BF49" s="115" t="str">
        <f t="shared" si="88"/>
        <v>2T26</v>
      </c>
    </row>
    <row r="50" spans="1:58" x14ac:dyDescent="0.25">
      <c r="A50" s="70" t="s">
        <v>407</v>
      </c>
      <c r="B50" s="70" t="s">
        <v>979</v>
      </c>
      <c r="D50" s="129" t="str">
        <f>IF([1]RENAME!$H$3=1,B50,A50)</f>
        <v>Trabalhistas e previdenciárias</v>
      </c>
      <c r="E50" s="129"/>
      <c r="F50" s="130"/>
      <c r="G50" s="130">
        <v>0</v>
      </c>
      <c r="H50" s="130">
        <v>0</v>
      </c>
      <c r="I50" s="130">
        <v>0</v>
      </c>
      <c r="J50" s="130">
        <v>0</v>
      </c>
      <c r="K50" s="130">
        <v>0</v>
      </c>
      <c r="L50" s="118">
        <v>3194</v>
      </c>
      <c r="M50" s="118">
        <v>3194</v>
      </c>
      <c r="N50" s="118">
        <v>2538</v>
      </c>
      <c r="O50" s="118">
        <v>2514</v>
      </c>
      <c r="P50" s="118">
        <v>4990</v>
      </c>
      <c r="Q50" s="118">
        <v>5051</v>
      </c>
      <c r="R50" s="118">
        <v>5095</v>
      </c>
      <c r="S50" s="118">
        <v>4809</v>
      </c>
      <c r="T50" s="118">
        <v>4795</v>
      </c>
      <c r="U50" s="118">
        <v>6046</v>
      </c>
      <c r="V50" s="118">
        <v>10299</v>
      </c>
      <c r="W50" s="118">
        <v>10659</v>
      </c>
      <c r="X50" s="118">
        <v>14903</v>
      </c>
      <c r="Y50" s="118">
        <v>15725</v>
      </c>
      <c r="Z50" s="118">
        <v>14325</v>
      </c>
      <c r="AA50" s="118">
        <v>12989</v>
      </c>
      <c r="AB50" s="118">
        <v>11826</v>
      </c>
      <c r="AC50" s="118">
        <v>11822</v>
      </c>
      <c r="AD50" s="118">
        <v>10818</v>
      </c>
      <c r="AE50" s="118">
        <v>11077</v>
      </c>
      <c r="AF50" s="118">
        <v>11451</v>
      </c>
      <c r="AG50" s="118">
        <v>13314</v>
      </c>
      <c r="AH50" s="118">
        <v>13370</v>
      </c>
      <c r="AI50" s="118">
        <v>12603</v>
      </c>
      <c r="AJ50" s="118">
        <v>11533</v>
      </c>
      <c r="AK50" s="118">
        <v>11723</v>
      </c>
      <c r="AL50" s="118">
        <v>11424</v>
      </c>
      <c r="AM50" s="118">
        <v>11253</v>
      </c>
      <c r="AN50" s="118">
        <v>14546</v>
      </c>
      <c r="AO50" s="118">
        <v>14256</v>
      </c>
      <c r="AP50" s="118">
        <v>13989</v>
      </c>
      <c r="AQ50" s="118">
        <v>13779</v>
      </c>
      <c r="AR50" s="118">
        <v>13160</v>
      </c>
      <c r="AS50" s="118">
        <v>13511</v>
      </c>
      <c r="AT50" s="118">
        <v>13363</v>
      </c>
      <c r="AU50" s="118">
        <v>13440</v>
      </c>
      <c r="AV50" s="118">
        <v>14287</v>
      </c>
      <c r="AW50" s="118">
        <v>14703</v>
      </c>
      <c r="AX50" s="118">
        <v>15551</v>
      </c>
      <c r="AY50" s="118">
        <v>14894</v>
      </c>
      <c r="AZ50" s="118">
        <v>14636</v>
      </c>
      <c r="BA50" s="118">
        <v>14936</v>
      </c>
      <c r="BB50" s="118">
        <v>15029</v>
      </c>
      <c r="BC50" s="118">
        <v>15412</v>
      </c>
      <c r="BD50" s="118">
        <v>14863</v>
      </c>
      <c r="BE50" s="118">
        <v>15397</v>
      </c>
      <c r="BF50" s="118">
        <f>-'[3]16 Conting. NL'!$T$21</f>
        <v>15637</v>
      </c>
    </row>
    <row r="51" spans="1:58" x14ac:dyDescent="0.25">
      <c r="A51" s="70" t="s">
        <v>408</v>
      </c>
      <c r="B51" s="70" t="s">
        <v>980</v>
      </c>
      <c r="D51" s="129" t="str">
        <f>IF([1]RENAME!$H$3=1,B51,A51)</f>
        <v>Tributárias</v>
      </c>
      <c r="E51" s="129"/>
      <c r="F51" s="130"/>
      <c r="G51" s="130">
        <v>0</v>
      </c>
      <c r="H51" s="130">
        <v>0</v>
      </c>
      <c r="I51" s="130">
        <v>0</v>
      </c>
      <c r="J51" s="130">
        <v>0</v>
      </c>
      <c r="K51" s="130">
        <v>0</v>
      </c>
      <c r="L51" s="118">
        <v>0</v>
      </c>
      <c r="M51" s="118">
        <v>0</v>
      </c>
      <c r="N51" s="118">
        <v>0</v>
      </c>
      <c r="O51" s="118">
        <v>0</v>
      </c>
      <c r="P51" s="118">
        <v>0</v>
      </c>
      <c r="Q51" s="118">
        <v>0</v>
      </c>
      <c r="R51" s="118">
        <v>0</v>
      </c>
      <c r="S51" s="118">
        <v>0</v>
      </c>
      <c r="T51" s="118">
        <v>0</v>
      </c>
      <c r="U51" s="118">
        <v>0</v>
      </c>
      <c r="V51" s="118">
        <v>0</v>
      </c>
      <c r="W51" s="118">
        <v>0</v>
      </c>
      <c r="X51" s="118">
        <v>0</v>
      </c>
      <c r="Y51" s="118">
        <v>0</v>
      </c>
      <c r="Z51" s="118">
        <v>0</v>
      </c>
      <c r="AA51" s="118">
        <v>0</v>
      </c>
      <c r="AB51" s="118">
        <v>0</v>
      </c>
      <c r="AC51" s="118">
        <v>0</v>
      </c>
      <c r="AD51" s="118">
        <v>0</v>
      </c>
      <c r="AE51" s="118">
        <v>0</v>
      </c>
      <c r="AF51" s="118">
        <v>0</v>
      </c>
      <c r="AG51" s="118">
        <v>0</v>
      </c>
      <c r="AH51" s="118">
        <v>0</v>
      </c>
      <c r="AI51" s="118">
        <v>0</v>
      </c>
      <c r="AJ51" s="118">
        <v>0</v>
      </c>
      <c r="AK51" s="118">
        <v>0</v>
      </c>
      <c r="AL51" s="118">
        <v>0</v>
      </c>
      <c r="AM51" s="118">
        <v>0</v>
      </c>
      <c r="AN51" s="118">
        <v>0</v>
      </c>
      <c r="AO51" s="118">
        <v>0</v>
      </c>
      <c r="AP51" s="118">
        <v>0</v>
      </c>
      <c r="AQ51" s="118">
        <v>0</v>
      </c>
      <c r="AR51" s="118">
        <v>0</v>
      </c>
      <c r="AS51" s="118">
        <v>0</v>
      </c>
      <c r="AT51" s="118">
        <v>0</v>
      </c>
      <c r="AU51" s="118">
        <v>0</v>
      </c>
      <c r="AV51" s="118">
        <v>0</v>
      </c>
      <c r="AW51" s="118">
        <v>0</v>
      </c>
      <c r="AX51" s="118">
        <v>141</v>
      </c>
      <c r="AY51" s="118">
        <v>145</v>
      </c>
      <c r="AZ51" s="118">
        <v>149</v>
      </c>
      <c r="BA51" s="118">
        <v>151</v>
      </c>
      <c r="BB51" s="118">
        <v>154</v>
      </c>
      <c r="BC51" s="118">
        <v>149</v>
      </c>
      <c r="BD51" s="118">
        <v>151</v>
      </c>
      <c r="BE51" s="118">
        <v>152</v>
      </c>
      <c r="BF51" s="118">
        <f>-'[3]16 Conting. NL'!$T$22</f>
        <v>153</v>
      </c>
    </row>
    <row r="52" spans="1:58" x14ac:dyDescent="0.25">
      <c r="A52" s="70" t="s">
        <v>409</v>
      </c>
      <c r="B52" s="70" t="s">
        <v>981</v>
      </c>
      <c r="D52" s="129" t="str">
        <f>IF([1]RENAME!$H$3=1,B52,A52)</f>
        <v>Cíveis</v>
      </c>
      <c r="E52" s="129"/>
      <c r="F52" s="130"/>
      <c r="G52" s="130">
        <v>0</v>
      </c>
      <c r="H52" s="130">
        <v>0</v>
      </c>
      <c r="I52" s="130">
        <v>0</v>
      </c>
      <c r="J52" s="130">
        <v>0</v>
      </c>
      <c r="K52" s="130">
        <v>0</v>
      </c>
      <c r="L52" s="118">
        <v>0</v>
      </c>
      <c r="M52" s="118">
        <v>0</v>
      </c>
      <c r="N52" s="118">
        <v>0</v>
      </c>
      <c r="O52" s="118">
        <v>0</v>
      </c>
      <c r="P52" s="118">
        <v>0</v>
      </c>
      <c r="Q52" s="118">
        <v>156</v>
      </c>
      <c r="R52" s="118">
        <v>205</v>
      </c>
      <c r="S52" s="118">
        <v>190</v>
      </c>
      <c r="T52" s="118">
        <v>151</v>
      </c>
      <c r="U52" s="118">
        <v>58</v>
      </c>
      <c r="V52" s="118">
        <v>17015</v>
      </c>
      <c r="W52" s="118">
        <v>16562</v>
      </c>
      <c r="X52" s="118">
        <v>16023</v>
      </c>
      <c r="Y52" s="118">
        <v>17178</v>
      </c>
      <c r="Z52" s="118">
        <v>15707</v>
      </c>
      <c r="AA52" s="118">
        <v>13067</v>
      </c>
      <c r="AB52" s="118">
        <v>22593</v>
      </c>
      <c r="AC52" s="118">
        <v>21878</v>
      </c>
      <c r="AD52" s="118">
        <v>21604</v>
      </c>
      <c r="AE52" s="118">
        <v>20971</v>
      </c>
      <c r="AF52" s="118">
        <v>19155</v>
      </c>
      <c r="AG52" s="118">
        <v>19256</v>
      </c>
      <c r="AH52" s="118">
        <v>16899</v>
      </c>
      <c r="AI52" s="118">
        <v>19026</v>
      </c>
      <c r="AJ52" s="118">
        <v>18618</v>
      </c>
      <c r="AK52" s="118">
        <v>17908</v>
      </c>
      <c r="AL52" s="118">
        <v>17236</v>
      </c>
      <c r="AM52" s="118">
        <v>12229</v>
      </c>
      <c r="AN52" s="118">
        <v>13256</v>
      </c>
      <c r="AO52" s="118">
        <v>11738</v>
      </c>
      <c r="AP52" s="118">
        <v>8650</v>
      </c>
      <c r="AQ52" s="118">
        <v>14794</v>
      </c>
      <c r="AR52" s="118">
        <v>11467</v>
      </c>
      <c r="AS52" s="118">
        <v>11342</v>
      </c>
      <c r="AT52" s="118">
        <v>10624</v>
      </c>
      <c r="AU52" s="118">
        <v>10745</v>
      </c>
      <c r="AV52" s="118">
        <v>10617</v>
      </c>
      <c r="AW52" s="118">
        <v>10704</v>
      </c>
      <c r="AX52" s="118">
        <v>10765</v>
      </c>
      <c r="AY52" s="118">
        <v>10204</v>
      </c>
      <c r="AZ52" s="118">
        <v>3889</v>
      </c>
      <c r="BA52" s="118">
        <v>3958</v>
      </c>
      <c r="BB52" s="118">
        <v>4017</v>
      </c>
      <c r="BC52" s="118">
        <v>2934</v>
      </c>
      <c r="BD52" s="118">
        <v>2666</v>
      </c>
      <c r="BE52" s="118">
        <v>1571</v>
      </c>
      <c r="BF52" s="118">
        <f>-'[3]16 Conting. NL'!$T$23</f>
        <v>2033</v>
      </c>
    </row>
    <row r="53" spans="1:58" x14ac:dyDescent="0.25">
      <c r="A53" s="70" t="s">
        <v>73</v>
      </c>
      <c r="B53" s="70" t="s">
        <v>73</v>
      </c>
      <c r="D53" s="126" t="str">
        <f>IF([1]RENAME!$H$3=1,B53,A53)</f>
        <v>TOTAL</v>
      </c>
      <c r="E53" s="126"/>
      <c r="F53" s="120"/>
      <c r="G53" s="120">
        <v>0</v>
      </c>
      <c r="H53" s="120">
        <v>0</v>
      </c>
      <c r="I53" s="120">
        <v>0</v>
      </c>
      <c r="J53" s="120">
        <v>0</v>
      </c>
      <c r="K53" s="120">
        <v>0</v>
      </c>
      <c r="L53" s="120">
        <f t="shared" ref="L53:V53" si="89">+SUM(L50:L52)</f>
        <v>3194</v>
      </c>
      <c r="M53" s="120">
        <f t="shared" si="89"/>
        <v>3194</v>
      </c>
      <c r="N53" s="120">
        <f t="shared" si="89"/>
        <v>2538</v>
      </c>
      <c r="O53" s="120">
        <f t="shared" si="89"/>
        <v>2514</v>
      </c>
      <c r="P53" s="120">
        <f t="shared" si="89"/>
        <v>4990</v>
      </c>
      <c r="Q53" s="120">
        <f t="shared" si="89"/>
        <v>5207</v>
      </c>
      <c r="R53" s="120">
        <f t="shared" si="89"/>
        <v>5300</v>
      </c>
      <c r="S53" s="120">
        <f t="shared" si="89"/>
        <v>4999</v>
      </c>
      <c r="T53" s="120">
        <f t="shared" si="89"/>
        <v>4946</v>
      </c>
      <c r="U53" s="120">
        <f t="shared" si="89"/>
        <v>6104</v>
      </c>
      <c r="V53" s="120">
        <f t="shared" si="89"/>
        <v>27314</v>
      </c>
      <c r="W53" s="120">
        <f t="shared" ref="W53:AC53" si="90">+SUM(W50:W52)</f>
        <v>27221</v>
      </c>
      <c r="X53" s="120">
        <f t="shared" si="90"/>
        <v>30926</v>
      </c>
      <c r="Y53" s="120">
        <f t="shared" si="90"/>
        <v>32903</v>
      </c>
      <c r="Z53" s="120">
        <f t="shared" si="90"/>
        <v>30032</v>
      </c>
      <c r="AA53" s="120">
        <f t="shared" si="90"/>
        <v>26056</v>
      </c>
      <c r="AB53" s="120">
        <f t="shared" si="90"/>
        <v>34419</v>
      </c>
      <c r="AC53" s="120">
        <f t="shared" si="90"/>
        <v>33700</v>
      </c>
      <c r="AD53" s="120">
        <f t="shared" ref="AD53:AI53" si="91">+SUM(AD50:AD52)</f>
        <v>32422</v>
      </c>
      <c r="AE53" s="120">
        <f t="shared" si="91"/>
        <v>32048</v>
      </c>
      <c r="AF53" s="120">
        <f t="shared" si="91"/>
        <v>30606</v>
      </c>
      <c r="AG53" s="120">
        <f t="shared" si="91"/>
        <v>32570</v>
      </c>
      <c r="AH53" s="120">
        <f t="shared" si="91"/>
        <v>30269</v>
      </c>
      <c r="AI53" s="120">
        <f t="shared" si="91"/>
        <v>31629</v>
      </c>
      <c r="AJ53" s="120">
        <f t="shared" ref="AJ53:AP53" si="92">+SUM(AJ50:AJ52)</f>
        <v>30151</v>
      </c>
      <c r="AK53" s="120">
        <f t="shared" si="92"/>
        <v>29631</v>
      </c>
      <c r="AL53" s="120">
        <f t="shared" si="92"/>
        <v>28660</v>
      </c>
      <c r="AM53" s="120">
        <f t="shared" si="92"/>
        <v>23482</v>
      </c>
      <c r="AN53" s="120">
        <f t="shared" si="92"/>
        <v>27802</v>
      </c>
      <c r="AO53" s="120">
        <f t="shared" si="92"/>
        <v>25994</v>
      </c>
      <c r="AP53" s="120">
        <f t="shared" si="92"/>
        <v>22639</v>
      </c>
      <c r="AQ53" s="120">
        <f t="shared" ref="AQ53:AX53" si="93">+SUM(AQ50:AQ52)</f>
        <v>28573</v>
      </c>
      <c r="AR53" s="120">
        <f t="shared" si="93"/>
        <v>24627</v>
      </c>
      <c r="AS53" s="120">
        <f t="shared" si="93"/>
        <v>24853</v>
      </c>
      <c r="AT53" s="120">
        <f t="shared" si="93"/>
        <v>23987</v>
      </c>
      <c r="AU53" s="120">
        <f t="shared" si="93"/>
        <v>24185</v>
      </c>
      <c r="AV53" s="120">
        <f t="shared" si="93"/>
        <v>24904</v>
      </c>
      <c r="AW53" s="120">
        <f t="shared" si="93"/>
        <v>25407</v>
      </c>
      <c r="AX53" s="120">
        <f t="shared" si="93"/>
        <v>26457</v>
      </c>
      <c r="AY53" s="120">
        <f>+SUM(AY50:AY52)</f>
        <v>25243</v>
      </c>
      <c r="AZ53" s="120">
        <f>+SUM(AZ50:AZ52)</f>
        <v>18674</v>
      </c>
      <c r="BA53" s="120">
        <f>+SUM(BA50:BA52)</f>
        <v>19045</v>
      </c>
      <c r="BB53" s="120">
        <f>+SUM(BB50:BB52)</f>
        <v>19200</v>
      </c>
      <c r="BC53" s="120">
        <v>18495</v>
      </c>
      <c r="BD53" s="120">
        <v>17680</v>
      </c>
      <c r="BE53" s="120">
        <v>17120</v>
      </c>
      <c r="BF53" s="120">
        <f>+SUM(BF50:BF52)</f>
        <v>17823</v>
      </c>
    </row>
    <row r="54" spans="1:58" ht="9" customHeight="1" x14ac:dyDescent="0.25">
      <c r="D54" s="287"/>
      <c r="E54" s="287"/>
      <c r="F54" s="289"/>
      <c r="G54" s="289"/>
      <c r="H54" s="289"/>
      <c r="I54" s="289"/>
      <c r="J54" s="289"/>
      <c r="K54" s="289"/>
    </row>
    <row r="55" spans="1:58" x14ac:dyDescent="0.25">
      <c r="A55" s="70" t="s">
        <v>98</v>
      </c>
      <c r="B55" s="70" t="s">
        <v>978</v>
      </c>
      <c r="D55" s="145" t="str">
        <f>IF([1]RENAME!$H$3=1,B55,A55)</f>
        <v>Controladas</v>
      </c>
      <c r="E55" s="145"/>
      <c r="F55" s="145"/>
      <c r="G55" s="145" t="s">
        <v>160</v>
      </c>
      <c r="H55" s="145" t="s">
        <v>160</v>
      </c>
      <c r="I55" s="145" t="s">
        <v>160</v>
      </c>
      <c r="J55" s="145" t="s">
        <v>160</v>
      </c>
      <c r="K55" s="145" t="s">
        <v>160</v>
      </c>
      <c r="L55" s="115" t="str">
        <f t="shared" ref="L55:V55" si="94">L$5</f>
        <v>4T14</v>
      </c>
      <c r="M55" s="115" t="str">
        <f t="shared" si="94"/>
        <v>1T15</v>
      </c>
      <c r="N55" s="115" t="str">
        <f t="shared" si="94"/>
        <v>2T15</v>
      </c>
      <c r="O55" s="115" t="str">
        <f t="shared" si="94"/>
        <v>3T15</v>
      </c>
      <c r="P55" s="115" t="str">
        <f t="shared" si="94"/>
        <v>4T15</v>
      </c>
      <c r="Q55" s="115" t="str">
        <f t="shared" si="94"/>
        <v>1T16</v>
      </c>
      <c r="R55" s="115" t="str">
        <f t="shared" si="94"/>
        <v>2T16</v>
      </c>
      <c r="S55" s="115" t="str">
        <f t="shared" si="94"/>
        <v>3T16</v>
      </c>
      <c r="T55" s="115" t="str">
        <f t="shared" si="94"/>
        <v>4T16</v>
      </c>
      <c r="U55" s="115" t="str">
        <f t="shared" si="94"/>
        <v>1T17</v>
      </c>
      <c r="V55" s="115" t="str">
        <f t="shared" si="94"/>
        <v>2T17</v>
      </c>
      <c r="W55" s="115" t="str">
        <f t="shared" ref="W55:BF55" si="95">W$5</f>
        <v>3T17</v>
      </c>
      <c r="X55" s="115" t="str">
        <f t="shared" si="95"/>
        <v>4T17</v>
      </c>
      <c r="Y55" s="115" t="str">
        <f t="shared" si="95"/>
        <v>1T18</v>
      </c>
      <c r="Z55" s="115" t="str">
        <f t="shared" si="95"/>
        <v>2T18</v>
      </c>
      <c r="AA55" s="115" t="str">
        <f t="shared" si="95"/>
        <v>3T18</v>
      </c>
      <c r="AB55" s="115" t="str">
        <f t="shared" si="95"/>
        <v>4T18</v>
      </c>
      <c r="AC55" s="115" t="str">
        <f t="shared" si="95"/>
        <v>1T19</v>
      </c>
      <c r="AD55" s="115" t="str">
        <f t="shared" si="95"/>
        <v>2T19</v>
      </c>
      <c r="AE55" s="115" t="str">
        <f t="shared" si="95"/>
        <v>3T19</v>
      </c>
      <c r="AF55" s="115" t="str">
        <f t="shared" si="95"/>
        <v>4T19</v>
      </c>
      <c r="AG55" s="115" t="str">
        <f t="shared" si="95"/>
        <v>1T20</v>
      </c>
      <c r="AH55" s="115" t="str">
        <f t="shared" si="95"/>
        <v>2T20</v>
      </c>
      <c r="AI55" s="115" t="str">
        <f t="shared" si="95"/>
        <v>3T20</v>
      </c>
      <c r="AJ55" s="115" t="str">
        <f t="shared" si="95"/>
        <v>4T20</v>
      </c>
      <c r="AK55" s="115" t="str">
        <f t="shared" si="95"/>
        <v>1T21</v>
      </c>
      <c r="AL55" s="115" t="str">
        <f t="shared" si="95"/>
        <v>2T21</v>
      </c>
      <c r="AM55" s="115" t="str">
        <f t="shared" si="95"/>
        <v>3T21</v>
      </c>
      <c r="AN55" s="115" t="str">
        <f t="shared" si="95"/>
        <v>4T21</v>
      </c>
      <c r="AO55" s="115" t="str">
        <f t="shared" si="95"/>
        <v>1T22</v>
      </c>
      <c r="AP55" s="115" t="str">
        <f t="shared" si="95"/>
        <v>2T22</v>
      </c>
      <c r="AQ55" s="115" t="str">
        <f t="shared" si="95"/>
        <v>3T22</v>
      </c>
      <c r="AR55" s="115" t="str">
        <f t="shared" si="95"/>
        <v>4T22</v>
      </c>
      <c r="AS55" s="115" t="str">
        <f t="shared" si="95"/>
        <v>1T23</v>
      </c>
      <c r="AT55" s="115" t="str">
        <f t="shared" si="95"/>
        <v>2T23</v>
      </c>
      <c r="AU55" s="115" t="str">
        <f t="shared" si="95"/>
        <v>3T23</v>
      </c>
      <c r="AV55" s="115" t="str">
        <f t="shared" si="95"/>
        <v>4T23</v>
      </c>
      <c r="AW55" s="115" t="str">
        <f t="shared" si="95"/>
        <v>1T24</v>
      </c>
      <c r="AX55" s="115" t="str">
        <f t="shared" si="95"/>
        <v>2T24</v>
      </c>
      <c r="AY55" s="115" t="str">
        <f t="shared" si="95"/>
        <v>3T24</v>
      </c>
      <c r="AZ55" s="115" t="str">
        <f t="shared" si="95"/>
        <v>4T24</v>
      </c>
      <c r="BA55" s="115" t="str">
        <f t="shared" si="95"/>
        <v>1T25</v>
      </c>
      <c r="BB55" s="115" t="str">
        <f t="shared" si="95"/>
        <v>2T25</v>
      </c>
      <c r="BC55" s="115" t="s">
        <v>2242</v>
      </c>
      <c r="BD55" s="115" t="s">
        <v>2244</v>
      </c>
      <c r="BE55" s="115" t="s">
        <v>2284</v>
      </c>
      <c r="BF55" s="115" t="str">
        <f t="shared" si="95"/>
        <v>2T26</v>
      </c>
    </row>
    <row r="56" spans="1:58" x14ac:dyDescent="0.25">
      <c r="A56" s="70" t="s">
        <v>407</v>
      </c>
      <c r="B56" s="70" t="s">
        <v>979</v>
      </c>
      <c r="D56" s="129" t="str">
        <f>IF([1]RENAME!$H$3=1,B56,A56)</f>
        <v>Trabalhistas e previdenciárias</v>
      </c>
      <c r="E56" s="129"/>
      <c r="F56" s="130"/>
      <c r="G56" s="130">
        <v>0</v>
      </c>
      <c r="H56" s="130">
        <v>0</v>
      </c>
      <c r="I56" s="130">
        <v>0</v>
      </c>
      <c r="J56" s="130">
        <v>0</v>
      </c>
      <c r="K56" s="130">
        <v>0</v>
      </c>
      <c r="L56" s="118">
        <f t="shared" ref="L56:P58" si="96">+L44-L50</f>
        <v>8252</v>
      </c>
      <c r="M56" s="118">
        <f t="shared" ref="M56:N59" si="97">+M44-M50</f>
        <v>8252</v>
      </c>
      <c r="N56" s="118">
        <f t="shared" si="97"/>
        <v>7283</v>
      </c>
      <c r="O56" s="118">
        <f t="shared" si="96"/>
        <v>7453</v>
      </c>
      <c r="P56" s="118">
        <f t="shared" si="96"/>
        <v>17721</v>
      </c>
      <c r="Q56" s="118">
        <f t="shared" ref="Q56:S58" si="98">+Q44-Q50</f>
        <v>16558</v>
      </c>
      <c r="R56" s="118">
        <f t="shared" si="98"/>
        <v>11653</v>
      </c>
      <c r="S56" s="118">
        <f t="shared" si="98"/>
        <v>10565</v>
      </c>
      <c r="T56" s="118">
        <v>9925</v>
      </c>
      <c r="U56" s="118">
        <v>8536</v>
      </c>
      <c r="V56" s="118">
        <v>9218</v>
      </c>
      <c r="W56" s="118">
        <v>7662</v>
      </c>
      <c r="X56" s="118">
        <f t="shared" ref="W56:X59" si="99">+X44-X50</f>
        <v>7986</v>
      </c>
      <c r="Y56" s="118">
        <v>6938</v>
      </c>
      <c r="Z56" s="118">
        <f t="shared" ref="Z56:AC59" si="100">+Z44-Z50</f>
        <v>6974</v>
      </c>
      <c r="AA56" s="118">
        <f t="shared" si="100"/>
        <v>6064</v>
      </c>
      <c r="AB56" s="118">
        <f t="shared" si="100"/>
        <v>4509</v>
      </c>
      <c r="AC56" s="118">
        <f t="shared" si="100"/>
        <v>3976</v>
      </c>
      <c r="AD56" s="118">
        <v>4336</v>
      </c>
      <c r="AE56" s="118">
        <v>3660</v>
      </c>
      <c r="AF56" s="118">
        <v>3755</v>
      </c>
      <c r="AG56" s="118">
        <v>3358</v>
      </c>
      <c r="AH56" s="118">
        <v>3040</v>
      </c>
      <c r="AI56" s="118">
        <f>+AI44-AI50</f>
        <v>3017</v>
      </c>
      <c r="AJ56" s="118">
        <v>2820</v>
      </c>
      <c r="AK56" s="118">
        <f t="shared" ref="AK56:AL58" si="101">+AK44-AK50</f>
        <v>2570</v>
      </c>
      <c r="AL56" s="118">
        <f t="shared" si="101"/>
        <v>2396</v>
      </c>
      <c r="AM56" s="118">
        <v>2257</v>
      </c>
      <c r="AN56" s="118">
        <v>2257</v>
      </c>
      <c r="AO56" s="118">
        <v>2577</v>
      </c>
      <c r="AP56" s="118">
        <f t="shared" ref="AP56:AQ59" si="102">+AP44-AP50</f>
        <v>2689</v>
      </c>
      <c r="AQ56" s="118">
        <f t="shared" si="102"/>
        <v>2574</v>
      </c>
      <c r="AR56" s="118">
        <f t="shared" ref="AR56:AW59" si="103">+AR44-AR50</f>
        <v>2568</v>
      </c>
      <c r="AS56" s="118">
        <f t="shared" si="103"/>
        <v>2612</v>
      </c>
      <c r="AT56" s="118">
        <f t="shared" si="103"/>
        <v>2197</v>
      </c>
      <c r="AU56" s="118">
        <f t="shared" si="103"/>
        <v>2165</v>
      </c>
      <c r="AV56" s="118">
        <f t="shared" si="103"/>
        <v>2811</v>
      </c>
      <c r="AW56" s="118">
        <f t="shared" si="103"/>
        <v>3072</v>
      </c>
      <c r="AX56" s="118">
        <f t="shared" ref="AX56:AZ59" si="104">+AX44-AX50</f>
        <v>2744</v>
      </c>
      <c r="AY56" s="118">
        <f t="shared" si="104"/>
        <v>2770</v>
      </c>
      <c r="AZ56" s="118">
        <f t="shared" si="104"/>
        <v>2890</v>
      </c>
      <c r="BA56" s="118">
        <v>2918</v>
      </c>
      <c r="BB56" s="118">
        <v>2925</v>
      </c>
      <c r="BC56" s="118">
        <v>2913</v>
      </c>
      <c r="BD56" s="118">
        <v>2984</v>
      </c>
      <c r="BE56" s="118">
        <v>3005</v>
      </c>
      <c r="BF56" s="118">
        <f>+BF44-BF50</f>
        <v>2988</v>
      </c>
    </row>
    <row r="57" spans="1:58" x14ac:dyDescent="0.25">
      <c r="A57" s="70" t="s">
        <v>408</v>
      </c>
      <c r="B57" s="70" t="s">
        <v>980</v>
      </c>
      <c r="D57" s="129" t="str">
        <f>IF([1]RENAME!$H$3=1,B57,A57)</f>
        <v>Tributárias</v>
      </c>
      <c r="E57" s="129"/>
      <c r="F57" s="130"/>
      <c r="G57" s="130">
        <v>0</v>
      </c>
      <c r="H57" s="130">
        <v>0</v>
      </c>
      <c r="I57" s="130">
        <v>0</v>
      </c>
      <c r="J57" s="130">
        <v>0</v>
      </c>
      <c r="K57" s="130">
        <v>0</v>
      </c>
      <c r="L57" s="118">
        <f t="shared" si="96"/>
        <v>28</v>
      </c>
      <c r="M57" s="118">
        <f t="shared" si="97"/>
        <v>28</v>
      </c>
      <c r="N57" s="118">
        <f t="shared" si="97"/>
        <v>28</v>
      </c>
      <c r="O57" s="118">
        <f t="shared" si="96"/>
        <v>28</v>
      </c>
      <c r="P57" s="118">
        <f t="shared" si="96"/>
        <v>28</v>
      </c>
      <c r="Q57" s="118">
        <f t="shared" si="98"/>
        <v>0</v>
      </c>
      <c r="R57" s="118">
        <f t="shared" si="98"/>
        <v>0</v>
      </c>
      <c r="S57" s="118">
        <f t="shared" si="98"/>
        <v>0</v>
      </c>
      <c r="T57" s="118">
        <v>0</v>
      </c>
      <c r="U57" s="118">
        <v>0</v>
      </c>
      <c r="V57" s="118">
        <v>0</v>
      </c>
      <c r="W57" s="118">
        <v>0</v>
      </c>
      <c r="X57" s="118">
        <f t="shared" si="99"/>
        <v>0</v>
      </c>
      <c r="Y57" s="118">
        <v>0</v>
      </c>
      <c r="Z57" s="118">
        <f t="shared" si="100"/>
        <v>0</v>
      </c>
      <c r="AA57" s="118">
        <f t="shared" si="100"/>
        <v>0</v>
      </c>
      <c r="AB57" s="118">
        <f t="shared" si="100"/>
        <v>0</v>
      </c>
      <c r="AC57" s="118">
        <f t="shared" si="100"/>
        <v>1</v>
      </c>
      <c r="AD57" s="118">
        <v>1</v>
      </c>
      <c r="AE57" s="118">
        <v>1</v>
      </c>
      <c r="AF57" s="118">
        <v>1</v>
      </c>
      <c r="AG57" s="118">
        <v>1</v>
      </c>
      <c r="AH57" s="118">
        <v>1</v>
      </c>
      <c r="AI57" s="118">
        <f>+AI45-AI51</f>
        <v>1</v>
      </c>
      <c r="AJ57" s="118">
        <v>1</v>
      </c>
      <c r="AK57" s="118">
        <f t="shared" si="101"/>
        <v>1</v>
      </c>
      <c r="AL57" s="118">
        <f t="shared" si="101"/>
        <v>1</v>
      </c>
      <c r="AM57" s="118">
        <v>1</v>
      </c>
      <c r="AN57" s="118">
        <v>1</v>
      </c>
      <c r="AO57" s="118">
        <v>1</v>
      </c>
      <c r="AP57" s="118">
        <f t="shared" si="102"/>
        <v>1</v>
      </c>
      <c r="AQ57" s="118">
        <f t="shared" si="102"/>
        <v>118</v>
      </c>
      <c r="AR57" s="118">
        <f t="shared" si="103"/>
        <v>122</v>
      </c>
      <c r="AS57" s="118">
        <f t="shared" si="103"/>
        <v>125</v>
      </c>
      <c r="AT57" s="118">
        <f t="shared" si="103"/>
        <v>129</v>
      </c>
      <c r="AU57" s="118">
        <f t="shared" si="103"/>
        <v>133</v>
      </c>
      <c r="AV57" s="118">
        <f t="shared" si="103"/>
        <v>135</v>
      </c>
      <c r="AW57" s="118">
        <f t="shared" si="103"/>
        <v>139</v>
      </c>
      <c r="AX57" s="118">
        <f t="shared" si="104"/>
        <v>0</v>
      </c>
      <c r="AY57" s="118">
        <f t="shared" si="104"/>
        <v>0</v>
      </c>
      <c r="AZ57" s="118">
        <f t="shared" si="104"/>
        <v>0</v>
      </c>
      <c r="BA57" s="118">
        <v>0</v>
      </c>
      <c r="BB57" s="118">
        <v>0</v>
      </c>
      <c r="BC57" s="118">
        <v>0</v>
      </c>
      <c r="BD57" s="118">
        <v>0</v>
      </c>
      <c r="BE57" s="118">
        <v>0</v>
      </c>
      <c r="BF57" s="118">
        <f>+BF45-BF51</f>
        <v>0</v>
      </c>
    </row>
    <row r="58" spans="1:58" x14ac:dyDescent="0.25">
      <c r="A58" s="70" t="s">
        <v>409</v>
      </c>
      <c r="B58" s="70" t="s">
        <v>981</v>
      </c>
      <c r="D58" s="129" t="str">
        <f>IF([1]RENAME!$H$3=1,B58,A58)</f>
        <v>Cíveis</v>
      </c>
      <c r="E58" s="129"/>
      <c r="F58" s="130"/>
      <c r="G58" s="130">
        <v>0</v>
      </c>
      <c r="H58" s="130">
        <v>0</v>
      </c>
      <c r="I58" s="130">
        <v>0</v>
      </c>
      <c r="J58" s="130">
        <v>0</v>
      </c>
      <c r="K58" s="130">
        <v>0</v>
      </c>
      <c r="L58" s="118">
        <f t="shared" si="96"/>
        <v>12</v>
      </c>
      <c r="M58" s="118">
        <f t="shared" si="97"/>
        <v>12</v>
      </c>
      <c r="N58" s="118">
        <f t="shared" si="97"/>
        <v>12</v>
      </c>
      <c r="O58" s="118">
        <f t="shared" si="96"/>
        <v>12</v>
      </c>
      <c r="P58" s="118">
        <f t="shared" si="96"/>
        <v>12</v>
      </c>
      <c r="Q58" s="118">
        <f t="shared" si="98"/>
        <v>30</v>
      </c>
      <c r="R58" s="118">
        <f t="shared" si="98"/>
        <v>64</v>
      </c>
      <c r="S58" s="118">
        <f t="shared" si="98"/>
        <v>66</v>
      </c>
      <c r="T58" s="118">
        <v>67</v>
      </c>
      <c r="U58" s="118">
        <v>69</v>
      </c>
      <c r="V58" s="118">
        <v>71</v>
      </c>
      <c r="W58" s="118">
        <v>71</v>
      </c>
      <c r="X58" s="118">
        <f t="shared" si="99"/>
        <v>71</v>
      </c>
      <c r="Y58" s="118">
        <v>3929</v>
      </c>
      <c r="Z58" s="118">
        <f t="shared" si="100"/>
        <v>4086</v>
      </c>
      <c r="AA58" s="118">
        <f t="shared" si="100"/>
        <v>4714</v>
      </c>
      <c r="AB58" s="118">
        <f t="shared" si="100"/>
        <v>5516</v>
      </c>
      <c r="AC58" s="118">
        <f t="shared" si="100"/>
        <v>5525</v>
      </c>
      <c r="AD58" s="118">
        <v>5991</v>
      </c>
      <c r="AE58" s="259">
        <v>902</v>
      </c>
      <c r="AF58" s="118">
        <v>904</v>
      </c>
      <c r="AG58" s="118">
        <v>903</v>
      </c>
      <c r="AH58" s="118">
        <v>903</v>
      </c>
      <c r="AI58" s="118">
        <f>+AI46-AI52</f>
        <v>905</v>
      </c>
      <c r="AJ58" s="118">
        <v>906</v>
      </c>
      <c r="AK58" s="118">
        <f t="shared" si="101"/>
        <v>904</v>
      </c>
      <c r="AL58" s="118">
        <f t="shared" si="101"/>
        <v>904</v>
      </c>
      <c r="AM58" s="118">
        <v>908</v>
      </c>
      <c r="AN58" s="118">
        <v>908</v>
      </c>
      <c r="AO58" s="118">
        <v>1066</v>
      </c>
      <c r="AP58" s="118">
        <f t="shared" si="102"/>
        <v>1065</v>
      </c>
      <c r="AQ58" s="118">
        <f t="shared" si="102"/>
        <v>1065</v>
      </c>
      <c r="AR58" s="118">
        <f t="shared" si="103"/>
        <v>1065</v>
      </c>
      <c r="AS58" s="118">
        <f t="shared" si="103"/>
        <v>1065</v>
      </c>
      <c r="AT58" s="118">
        <f t="shared" si="103"/>
        <v>165</v>
      </c>
      <c r="AU58" s="118">
        <f t="shared" si="103"/>
        <v>165</v>
      </c>
      <c r="AV58" s="118">
        <f t="shared" si="103"/>
        <v>165</v>
      </c>
      <c r="AW58" s="118">
        <f t="shared" si="103"/>
        <v>119</v>
      </c>
      <c r="AX58" s="118">
        <f t="shared" si="104"/>
        <v>128</v>
      </c>
      <c r="AY58" s="118">
        <f t="shared" si="104"/>
        <v>120</v>
      </c>
      <c r="AZ58" s="118">
        <f t="shared" si="104"/>
        <v>128</v>
      </c>
      <c r="BA58" s="118">
        <v>128</v>
      </c>
      <c r="BB58" s="118">
        <v>128</v>
      </c>
      <c r="BC58" s="118">
        <v>0</v>
      </c>
      <c r="BD58" s="118">
        <v>0</v>
      </c>
      <c r="BE58" s="118">
        <v>0</v>
      </c>
      <c r="BF58" s="118">
        <f>+BF46-BF52</f>
        <v>0</v>
      </c>
    </row>
    <row r="59" spans="1:58" x14ac:dyDescent="0.25">
      <c r="A59" s="70" t="s">
        <v>73</v>
      </c>
      <c r="B59" s="70" t="s">
        <v>73</v>
      </c>
      <c r="D59" s="126" t="str">
        <f>IF([1]RENAME!$H$3=1,B59,A59)</f>
        <v>TOTAL</v>
      </c>
      <c r="E59" s="126"/>
      <c r="F59" s="120"/>
      <c r="G59" s="120">
        <v>0</v>
      </c>
      <c r="H59" s="120">
        <v>0</v>
      </c>
      <c r="I59" s="120">
        <v>0</v>
      </c>
      <c r="J59" s="120">
        <v>0</v>
      </c>
      <c r="K59" s="120">
        <v>0</v>
      </c>
      <c r="L59" s="120">
        <f t="shared" ref="L59:V59" si="105">+L47-L53</f>
        <v>8292</v>
      </c>
      <c r="M59" s="120">
        <f t="shared" si="97"/>
        <v>8292</v>
      </c>
      <c r="N59" s="120">
        <f t="shared" si="97"/>
        <v>7323</v>
      </c>
      <c r="O59" s="120">
        <f t="shared" si="105"/>
        <v>7493</v>
      </c>
      <c r="P59" s="120">
        <f t="shared" si="105"/>
        <v>17761</v>
      </c>
      <c r="Q59" s="120">
        <f t="shared" si="105"/>
        <v>16588</v>
      </c>
      <c r="R59" s="120">
        <f t="shared" si="105"/>
        <v>11717</v>
      </c>
      <c r="S59" s="120">
        <f t="shared" si="105"/>
        <v>10631</v>
      </c>
      <c r="T59" s="120">
        <f t="shared" si="105"/>
        <v>9992</v>
      </c>
      <c r="U59" s="120">
        <f t="shared" si="105"/>
        <v>8605</v>
      </c>
      <c r="V59" s="120">
        <f t="shared" si="105"/>
        <v>9289</v>
      </c>
      <c r="W59" s="120">
        <f t="shared" si="99"/>
        <v>7733</v>
      </c>
      <c r="X59" s="120">
        <f t="shared" si="99"/>
        <v>8057</v>
      </c>
      <c r="Y59" s="120">
        <f>+Y47-Y53</f>
        <v>10867</v>
      </c>
      <c r="Z59" s="120">
        <f t="shared" si="100"/>
        <v>11060</v>
      </c>
      <c r="AA59" s="120">
        <f t="shared" si="100"/>
        <v>10778</v>
      </c>
      <c r="AB59" s="120">
        <f t="shared" si="100"/>
        <v>10025</v>
      </c>
      <c r="AC59" s="120">
        <f t="shared" si="100"/>
        <v>9502</v>
      </c>
      <c r="AD59" s="120">
        <f>+AD47-AD53</f>
        <v>10328</v>
      </c>
      <c r="AE59" s="120">
        <f>+AE47-AE53</f>
        <v>4563</v>
      </c>
      <c r="AF59" s="120">
        <f>+AF47-AF53</f>
        <v>4660</v>
      </c>
      <c r="AG59" s="120">
        <f>+AG47-AG53</f>
        <v>4262</v>
      </c>
      <c r="AH59" s="120">
        <f>+AH47-AH53</f>
        <v>3944</v>
      </c>
      <c r="AI59" s="120">
        <f>+AI47-AI53</f>
        <v>3923</v>
      </c>
      <c r="AJ59" s="120">
        <f t="shared" ref="AJ59:AO59" si="106">+AJ47-AJ53</f>
        <v>3727</v>
      </c>
      <c r="AK59" s="120">
        <f t="shared" si="106"/>
        <v>3475</v>
      </c>
      <c r="AL59" s="120">
        <f t="shared" si="106"/>
        <v>3301</v>
      </c>
      <c r="AM59" s="120">
        <f t="shared" si="106"/>
        <v>3166</v>
      </c>
      <c r="AN59" s="120">
        <f t="shared" si="106"/>
        <v>3028</v>
      </c>
      <c r="AO59" s="120">
        <f t="shared" si="106"/>
        <v>3644</v>
      </c>
      <c r="AP59" s="120">
        <f t="shared" si="102"/>
        <v>3755</v>
      </c>
      <c r="AQ59" s="120">
        <f t="shared" si="102"/>
        <v>3757</v>
      </c>
      <c r="AR59" s="120">
        <f t="shared" si="103"/>
        <v>3755</v>
      </c>
      <c r="AS59" s="120">
        <f t="shared" si="103"/>
        <v>3802</v>
      </c>
      <c r="AT59" s="120">
        <f t="shared" si="103"/>
        <v>2491</v>
      </c>
      <c r="AU59" s="120">
        <f t="shared" si="103"/>
        <v>2463</v>
      </c>
      <c r="AV59" s="120">
        <f t="shared" si="103"/>
        <v>3111</v>
      </c>
      <c r="AW59" s="120">
        <f t="shared" si="103"/>
        <v>3330</v>
      </c>
      <c r="AX59" s="120">
        <f t="shared" si="104"/>
        <v>2872</v>
      </c>
      <c r="AY59" s="120">
        <f t="shared" si="104"/>
        <v>2890</v>
      </c>
      <c r="AZ59" s="120">
        <f t="shared" si="104"/>
        <v>3018</v>
      </c>
      <c r="BA59" s="120">
        <f>+BA47-BA53</f>
        <v>3046</v>
      </c>
      <c r="BB59" s="120">
        <f>+BB47-BB53</f>
        <v>3053</v>
      </c>
      <c r="BC59" s="120">
        <v>2913</v>
      </c>
      <c r="BD59" s="120">
        <v>2984</v>
      </c>
      <c r="BE59" s="120">
        <v>3005</v>
      </c>
      <c r="BF59" s="120">
        <f>+BF47-BF53</f>
        <v>2988</v>
      </c>
    </row>
    <row r="60" spans="1:58" x14ac:dyDescent="0.25">
      <c r="F60" s="288"/>
      <c r="G60" s="288"/>
      <c r="H60" s="288"/>
      <c r="I60" s="288"/>
      <c r="J60" s="288"/>
      <c r="K60" s="288"/>
    </row>
    <row r="61" spans="1:58" x14ac:dyDescent="0.25">
      <c r="A61" s="70" t="s">
        <v>448</v>
      </c>
      <c r="B61" s="70" t="s">
        <v>983</v>
      </c>
      <c r="D61" s="955" t="str">
        <f>IF([1]RENAME!$H$3=1,B61,A61)</f>
        <v>Riscos possíveis</v>
      </c>
      <c r="E61" s="956"/>
      <c r="F61" s="956"/>
      <c r="G61" s="956"/>
      <c r="H61" s="956"/>
      <c r="I61" s="956"/>
      <c r="J61" s="956"/>
      <c r="K61" s="956"/>
      <c r="L61" s="954"/>
      <c r="M61" s="954"/>
      <c r="N61" s="954"/>
      <c r="O61" s="954"/>
      <c r="P61" s="954"/>
      <c r="Q61" s="954"/>
      <c r="R61" s="954"/>
      <c r="S61" s="954"/>
      <c r="T61" s="954"/>
      <c r="U61" s="954"/>
      <c r="V61" s="954"/>
      <c r="W61" s="954"/>
      <c r="X61" s="954"/>
      <c r="Y61" s="954"/>
      <c r="Z61" s="954"/>
      <c r="AA61" s="954"/>
      <c r="AB61" s="954"/>
      <c r="AC61" s="954"/>
      <c r="AD61" s="954"/>
      <c r="AE61" s="954"/>
      <c r="AF61" s="954"/>
      <c r="AG61" s="954"/>
      <c r="AH61" s="954"/>
      <c r="AI61" s="954"/>
      <c r="AJ61" s="954"/>
      <c r="AK61" s="954"/>
      <c r="AL61" s="954"/>
      <c r="AM61" s="954"/>
      <c r="AN61" s="954"/>
      <c r="AO61" s="954"/>
      <c r="AP61" s="954"/>
      <c r="AQ61" s="954"/>
      <c r="AR61" s="954"/>
      <c r="AS61" s="954"/>
      <c r="AT61" s="954"/>
      <c r="AU61" s="954"/>
      <c r="AV61" s="954"/>
      <c r="AW61" s="954"/>
      <c r="AX61" s="954"/>
      <c r="AY61" s="954"/>
      <c r="AZ61" s="954"/>
      <c r="BA61" s="954"/>
      <c r="BB61" s="954"/>
      <c r="BC61" s="954"/>
      <c r="BD61" s="954"/>
      <c r="BE61" s="954"/>
      <c r="BF61" s="954"/>
    </row>
    <row r="62" spans="1:58" x14ac:dyDescent="0.25">
      <c r="A62" s="70" t="s">
        <v>96</v>
      </c>
      <c r="B62" s="70" t="s">
        <v>866</v>
      </c>
      <c r="D62" s="145" t="str">
        <f>IF([1]RENAME!$H$3=1,B62,A62)</f>
        <v>Consolidado</v>
      </c>
      <c r="E62" s="145"/>
      <c r="F62" s="145"/>
      <c r="G62" s="145" t="s">
        <v>160</v>
      </c>
      <c r="H62" s="145" t="s">
        <v>160</v>
      </c>
      <c r="I62" s="145" t="s">
        <v>160</v>
      </c>
      <c r="J62" s="145" t="s">
        <v>160</v>
      </c>
      <c r="K62" s="145" t="s">
        <v>160</v>
      </c>
      <c r="L62" s="115" t="str">
        <f t="shared" ref="L62:V62" si="107">L$5</f>
        <v>4T14</v>
      </c>
      <c r="M62" s="115" t="str">
        <f t="shared" si="107"/>
        <v>1T15</v>
      </c>
      <c r="N62" s="115" t="str">
        <f t="shared" si="107"/>
        <v>2T15</v>
      </c>
      <c r="O62" s="115" t="str">
        <f t="shared" si="107"/>
        <v>3T15</v>
      </c>
      <c r="P62" s="115" t="str">
        <f t="shared" si="107"/>
        <v>4T15</v>
      </c>
      <c r="Q62" s="115" t="str">
        <f t="shared" si="107"/>
        <v>1T16</v>
      </c>
      <c r="R62" s="115" t="str">
        <f t="shared" si="107"/>
        <v>2T16</v>
      </c>
      <c r="S62" s="115" t="str">
        <f t="shared" si="107"/>
        <v>3T16</v>
      </c>
      <c r="T62" s="115" t="str">
        <f t="shared" si="107"/>
        <v>4T16</v>
      </c>
      <c r="U62" s="115" t="str">
        <f t="shared" si="107"/>
        <v>1T17</v>
      </c>
      <c r="V62" s="115" t="str">
        <f t="shared" si="107"/>
        <v>2T17</v>
      </c>
      <c r="W62" s="115" t="str">
        <f t="shared" ref="W62:BF62" si="108">W$5</f>
        <v>3T17</v>
      </c>
      <c r="X62" s="115" t="str">
        <f t="shared" si="108"/>
        <v>4T17</v>
      </c>
      <c r="Y62" s="115" t="str">
        <f t="shared" si="108"/>
        <v>1T18</v>
      </c>
      <c r="Z62" s="115" t="str">
        <f t="shared" si="108"/>
        <v>2T18</v>
      </c>
      <c r="AA62" s="115" t="str">
        <f t="shared" si="108"/>
        <v>3T18</v>
      </c>
      <c r="AB62" s="115" t="str">
        <f t="shared" si="108"/>
        <v>4T18</v>
      </c>
      <c r="AC62" s="115" t="str">
        <f t="shared" si="108"/>
        <v>1T19</v>
      </c>
      <c r="AD62" s="115" t="str">
        <f t="shared" si="108"/>
        <v>2T19</v>
      </c>
      <c r="AE62" s="115" t="str">
        <f t="shared" si="108"/>
        <v>3T19</v>
      </c>
      <c r="AF62" s="115" t="str">
        <f t="shared" si="108"/>
        <v>4T19</v>
      </c>
      <c r="AG62" s="115" t="str">
        <f t="shared" si="108"/>
        <v>1T20</v>
      </c>
      <c r="AH62" s="115" t="str">
        <f t="shared" si="108"/>
        <v>2T20</v>
      </c>
      <c r="AI62" s="115" t="str">
        <f t="shared" si="108"/>
        <v>3T20</v>
      </c>
      <c r="AJ62" s="115" t="str">
        <f t="shared" si="108"/>
        <v>4T20</v>
      </c>
      <c r="AK62" s="115" t="str">
        <f t="shared" si="108"/>
        <v>1T21</v>
      </c>
      <c r="AL62" s="115" t="str">
        <f t="shared" si="108"/>
        <v>2T21</v>
      </c>
      <c r="AM62" s="115" t="str">
        <f t="shared" si="108"/>
        <v>3T21</v>
      </c>
      <c r="AN62" s="115" t="str">
        <f t="shared" si="108"/>
        <v>4T21</v>
      </c>
      <c r="AO62" s="115" t="str">
        <f t="shared" si="108"/>
        <v>1T22</v>
      </c>
      <c r="AP62" s="115" t="str">
        <f t="shared" si="108"/>
        <v>2T22</v>
      </c>
      <c r="AQ62" s="115" t="str">
        <f t="shared" si="108"/>
        <v>3T22</v>
      </c>
      <c r="AR62" s="115" t="str">
        <f t="shared" si="108"/>
        <v>4T22</v>
      </c>
      <c r="AS62" s="115" t="str">
        <f t="shared" si="108"/>
        <v>1T23</v>
      </c>
      <c r="AT62" s="115" t="str">
        <f t="shared" si="108"/>
        <v>2T23</v>
      </c>
      <c r="AU62" s="115" t="str">
        <f t="shared" si="108"/>
        <v>3T23</v>
      </c>
      <c r="AV62" s="115" t="str">
        <f t="shared" si="108"/>
        <v>4T23</v>
      </c>
      <c r="AW62" s="115" t="str">
        <f t="shared" si="108"/>
        <v>1T24</v>
      </c>
      <c r="AX62" s="115" t="str">
        <f t="shared" si="108"/>
        <v>2T24</v>
      </c>
      <c r="AY62" s="115" t="str">
        <f t="shared" si="108"/>
        <v>3T24</v>
      </c>
      <c r="AZ62" s="115" t="str">
        <f t="shared" si="108"/>
        <v>4T24</v>
      </c>
      <c r="BA62" s="115" t="str">
        <f t="shared" si="108"/>
        <v>1T25</v>
      </c>
      <c r="BB62" s="115" t="str">
        <f t="shared" si="108"/>
        <v>2T25</v>
      </c>
      <c r="BC62" s="115" t="s">
        <v>2242</v>
      </c>
      <c r="BD62" s="115" t="s">
        <v>2244</v>
      </c>
      <c r="BE62" s="115" t="s">
        <v>2284</v>
      </c>
      <c r="BF62" s="115" t="str">
        <f t="shared" si="108"/>
        <v>2T26</v>
      </c>
    </row>
    <row r="63" spans="1:58" x14ac:dyDescent="0.25">
      <c r="A63" s="70" t="s">
        <v>407</v>
      </c>
      <c r="B63" s="70" t="s">
        <v>979</v>
      </c>
      <c r="D63" s="129" t="str">
        <f>IF([1]RENAME!$H$3=1,B63,A63)</f>
        <v>Trabalhistas e previdenciárias</v>
      </c>
      <c r="E63" s="129"/>
      <c r="F63" s="130"/>
      <c r="G63" s="130">
        <v>0</v>
      </c>
      <c r="H63" s="130">
        <v>0</v>
      </c>
      <c r="I63" s="130">
        <v>0</v>
      </c>
      <c r="J63" s="130">
        <v>0</v>
      </c>
      <c r="K63" s="130">
        <v>0</v>
      </c>
      <c r="L63" s="118">
        <v>22354</v>
      </c>
      <c r="M63" s="118">
        <v>0</v>
      </c>
      <c r="N63" s="118">
        <v>0</v>
      </c>
      <c r="O63" s="118">
        <v>14496</v>
      </c>
      <c r="P63" s="118">
        <v>32630</v>
      </c>
      <c r="Q63" s="118">
        <v>32488</v>
      </c>
      <c r="R63" s="118">
        <v>36506</v>
      </c>
      <c r="S63" s="118">
        <v>40302</v>
      </c>
      <c r="T63" s="118">
        <v>39369</v>
      </c>
      <c r="U63" s="118">
        <v>49630</v>
      </c>
      <c r="V63" s="118">
        <v>47189</v>
      </c>
      <c r="W63" s="118">
        <v>58054</v>
      </c>
      <c r="X63" s="118">
        <v>76550</v>
      </c>
      <c r="Y63" s="118">
        <v>71271</v>
      </c>
      <c r="Z63" s="118">
        <v>65163</v>
      </c>
      <c r="AA63" s="118">
        <v>57933</v>
      </c>
      <c r="AB63" s="118">
        <v>48512</v>
      </c>
      <c r="AC63" s="118">
        <v>42129</v>
      </c>
      <c r="AD63" s="118">
        <v>40595</v>
      </c>
      <c r="AE63" s="118">
        <v>38222</v>
      </c>
      <c r="AF63" s="118">
        <v>40235</v>
      </c>
      <c r="AG63" s="118">
        <v>34153</v>
      </c>
      <c r="AH63" s="118">
        <v>30772</v>
      </c>
      <c r="AI63" s="118">
        <v>35676</v>
      </c>
      <c r="AJ63" s="118">
        <v>36556</v>
      </c>
      <c r="AK63" s="118">
        <v>36233</v>
      </c>
      <c r="AL63" s="118">
        <v>32269</v>
      </c>
      <c r="AM63" s="118">
        <v>25196</v>
      </c>
      <c r="AN63" s="118">
        <v>23380</v>
      </c>
      <c r="AO63" s="118">
        <v>25236</v>
      </c>
      <c r="AP63" s="118">
        <v>24173</v>
      </c>
      <c r="AQ63" s="118">
        <v>26326</v>
      </c>
      <c r="AR63" s="118">
        <v>25277</v>
      </c>
      <c r="AS63" s="118">
        <v>26157</v>
      </c>
      <c r="AT63" s="118">
        <v>26548</v>
      </c>
      <c r="AU63" s="118">
        <v>13066</v>
      </c>
      <c r="AV63" s="118">
        <v>11076</v>
      </c>
      <c r="AW63" s="118">
        <v>7224</v>
      </c>
      <c r="AX63" s="118">
        <v>7655</v>
      </c>
      <c r="AY63" s="118">
        <v>6522</v>
      </c>
      <c r="AZ63" s="118">
        <v>11308</v>
      </c>
      <c r="BA63" s="118">
        <v>12913</v>
      </c>
      <c r="BB63" s="118">
        <v>12301</v>
      </c>
      <c r="BC63" s="118">
        <v>13541</v>
      </c>
      <c r="BD63" s="118">
        <v>12646</v>
      </c>
      <c r="BE63" s="118">
        <v>14043</v>
      </c>
      <c r="BF63" s="118">
        <f>'[3]16 Conting. NL'!$AF$47</f>
        <v>15040</v>
      </c>
    </row>
    <row r="64" spans="1:58" x14ac:dyDescent="0.25">
      <c r="A64" s="70" t="s">
        <v>408</v>
      </c>
      <c r="B64" s="70" t="s">
        <v>980</v>
      </c>
      <c r="D64" s="129" t="str">
        <f>IF([1]RENAME!$H$3=1,B64,A64)</f>
        <v>Tributárias</v>
      </c>
      <c r="E64" s="129"/>
      <c r="F64" s="130"/>
      <c r="G64" s="130">
        <v>0</v>
      </c>
      <c r="H64" s="130">
        <v>0</v>
      </c>
      <c r="I64" s="130">
        <v>0</v>
      </c>
      <c r="J64" s="130">
        <v>0</v>
      </c>
      <c r="K64" s="130">
        <v>0</v>
      </c>
      <c r="L64" s="118">
        <v>55786</v>
      </c>
      <c r="M64" s="118">
        <v>0</v>
      </c>
      <c r="N64" s="118">
        <v>0</v>
      </c>
      <c r="O64" s="118">
        <v>91806</v>
      </c>
      <c r="P64" s="118">
        <v>56145</v>
      </c>
      <c r="Q64" s="118">
        <v>46376</v>
      </c>
      <c r="R64" s="118">
        <v>49977</v>
      </c>
      <c r="S64" s="118">
        <v>55503</v>
      </c>
      <c r="T64" s="118">
        <v>56874</v>
      </c>
      <c r="U64" s="118">
        <v>58254</v>
      </c>
      <c r="V64" s="118">
        <v>22446</v>
      </c>
      <c r="W64" s="118">
        <v>17838</v>
      </c>
      <c r="X64" s="118">
        <v>20086</v>
      </c>
      <c r="Y64" s="118">
        <v>26768</v>
      </c>
      <c r="Z64" s="118">
        <v>28468</v>
      </c>
      <c r="AA64" s="118">
        <v>27738</v>
      </c>
      <c r="AB64" s="118">
        <v>30135</v>
      </c>
      <c r="AC64" s="118">
        <v>31492</v>
      </c>
      <c r="AD64" s="118">
        <v>32591</v>
      </c>
      <c r="AE64" s="118">
        <v>35284</v>
      </c>
      <c r="AF64" s="118">
        <v>35636</v>
      </c>
      <c r="AG64" s="118">
        <v>34528</v>
      </c>
      <c r="AH64" s="118">
        <v>37273</v>
      </c>
      <c r="AI64" s="118">
        <v>40156</v>
      </c>
      <c r="AJ64" s="118">
        <v>40295</v>
      </c>
      <c r="AK64" s="118">
        <v>41174</v>
      </c>
      <c r="AL64" s="118">
        <v>33975</v>
      </c>
      <c r="AM64" s="118">
        <v>34367</v>
      </c>
      <c r="AN64" s="118">
        <v>36165</v>
      </c>
      <c r="AO64" s="118">
        <v>36190</v>
      </c>
      <c r="AP64" s="118">
        <v>39752</v>
      </c>
      <c r="AQ64" s="118">
        <v>34205</v>
      </c>
      <c r="AR64" s="118">
        <v>35613</v>
      </c>
      <c r="AS64" s="260">
        <v>53278</v>
      </c>
      <c r="AT64" s="260">
        <v>107573</v>
      </c>
      <c r="AU64" s="118">
        <v>109576</v>
      </c>
      <c r="AV64" s="118">
        <v>122554</v>
      </c>
      <c r="AW64" s="118">
        <v>123827</v>
      </c>
      <c r="AX64" s="118">
        <v>136076</v>
      </c>
      <c r="AY64" s="118">
        <v>137177</v>
      </c>
      <c r="AZ64" s="118">
        <v>139919</v>
      </c>
      <c r="BA64" s="118">
        <v>142008</v>
      </c>
      <c r="BB64" s="118">
        <v>143516</v>
      </c>
      <c r="BC64" s="118">
        <v>150728</v>
      </c>
      <c r="BD64" s="118">
        <v>149297</v>
      </c>
      <c r="BE64" s="118">
        <v>154211</v>
      </c>
      <c r="BF64" s="118">
        <f>'[3]16 Conting. NL'!$AF$48</f>
        <v>156759</v>
      </c>
    </row>
    <row r="65" spans="1:58" x14ac:dyDescent="0.25">
      <c r="A65" s="70" t="s">
        <v>409</v>
      </c>
      <c r="B65" s="70" t="s">
        <v>981</v>
      </c>
      <c r="D65" s="129" t="str">
        <f>IF([1]RENAME!$H$3=1,B65,A65)</f>
        <v>Cíveis</v>
      </c>
      <c r="E65" s="129"/>
      <c r="F65" s="130"/>
      <c r="G65" s="130">
        <v>0</v>
      </c>
      <c r="H65" s="130">
        <v>0</v>
      </c>
      <c r="I65" s="130">
        <v>0</v>
      </c>
      <c r="J65" s="130">
        <v>0</v>
      </c>
      <c r="K65" s="130">
        <v>0</v>
      </c>
      <c r="L65" s="118">
        <v>28554</v>
      </c>
      <c r="M65" s="118">
        <v>0</v>
      </c>
      <c r="N65" s="118">
        <v>0</v>
      </c>
      <c r="O65" s="118">
        <v>30659</v>
      </c>
      <c r="P65" s="118">
        <v>31942</v>
      </c>
      <c r="Q65" s="118">
        <v>34328</v>
      </c>
      <c r="R65" s="118">
        <v>30965</v>
      </c>
      <c r="S65" s="118">
        <v>30910</v>
      </c>
      <c r="T65" s="118">
        <v>32959</v>
      </c>
      <c r="U65" s="118">
        <v>36271</v>
      </c>
      <c r="V65" s="118">
        <v>37091</v>
      </c>
      <c r="W65" s="118">
        <v>35901</v>
      </c>
      <c r="X65" s="118">
        <v>36188</v>
      </c>
      <c r="Y65" s="118">
        <v>31528</v>
      </c>
      <c r="Z65" s="118">
        <v>32123</v>
      </c>
      <c r="AA65" s="118">
        <v>20529</v>
      </c>
      <c r="AB65" s="118">
        <v>21113</v>
      </c>
      <c r="AC65" s="118">
        <v>24846</v>
      </c>
      <c r="AD65" s="118">
        <v>27149</v>
      </c>
      <c r="AE65" s="118">
        <v>23882</v>
      </c>
      <c r="AF65" s="118">
        <v>21366</v>
      </c>
      <c r="AG65" s="118">
        <v>19874</v>
      </c>
      <c r="AH65" s="118">
        <v>14517</v>
      </c>
      <c r="AI65" s="118">
        <v>11931</v>
      </c>
      <c r="AJ65" s="118">
        <v>10967</v>
      </c>
      <c r="AK65" s="118">
        <v>9859</v>
      </c>
      <c r="AL65" s="118">
        <v>11990</v>
      </c>
      <c r="AM65" s="118">
        <v>12432</v>
      </c>
      <c r="AN65" s="118">
        <v>12216</v>
      </c>
      <c r="AO65" s="118">
        <v>11728</v>
      </c>
      <c r="AP65" s="118">
        <v>13035</v>
      </c>
      <c r="AQ65" s="118">
        <v>10558</v>
      </c>
      <c r="AR65" s="118">
        <v>9960</v>
      </c>
      <c r="AS65" s="118">
        <v>10199</v>
      </c>
      <c r="AT65" s="118">
        <v>10469</v>
      </c>
      <c r="AU65" s="118">
        <v>10435</v>
      </c>
      <c r="AV65" s="118">
        <v>8995</v>
      </c>
      <c r="AW65" s="118">
        <v>8141</v>
      </c>
      <c r="AX65" s="118">
        <v>10351</v>
      </c>
      <c r="AY65" s="118">
        <v>9981</v>
      </c>
      <c r="AZ65" s="118">
        <v>12182</v>
      </c>
      <c r="BA65" s="118">
        <v>12037</v>
      </c>
      <c r="BB65" s="118">
        <v>13447</v>
      </c>
      <c r="BC65" s="118">
        <v>11632</v>
      </c>
      <c r="BD65" s="118">
        <v>12065</v>
      </c>
      <c r="BE65" s="118">
        <v>14848</v>
      </c>
      <c r="BF65" s="118">
        <f>'[3]16 Conting. NL'!$AF$49</f>
        <v>12370</v>
      </c>
    </row>
    <row r="66" spans="1:58" x14ac:dyDescent="0.25">
      <c r="A66" s="70" t="s">
        <v>73</v>
      </c>
      <c r="B66" s="70" t="s">
        <v>73</v>
      </c>
      <c r="D66" s="126" t="str">
        <f>IF([1]RENAME!$H$3=1,B66,A66)</f>
        <v>TOTAL</v>
      </c>
      <c r="E66" s="126"/>
      <c r="F66" s="120"/>
      <c r="G66" s="120">
        <v>0</v>
      </c>
      <c r="H66" s="120">
        <v>0</v>
      </c>
      <c r="I66" s="120">
        <v>0</v>
      </c>
      <c r="J66" s="120">
        <v>0</v>
      </c>
      <c r="K66" s="120">
        <v>0</v>
      </c>
      <c r="L66" s="120">
        <f t="shared" ref="L66:V66" si="109">+SUM(L63:L65)</f>
        <v>106694</v>
      </c>
      <c r="M66" s="120">
        <f t="shared" si="109"/>
        <v>0</v>
      </c>
      <c r="N66" s="120">
        <f t="shared" si="109"/>
        <v>0</v>
      </c>
      <c r="O66" s="120">
        <f t="shared" si="109"/>
        <v>136961</v>
      </c>
      <c r="P66" s="120">
        <f t="shared" si="109"/>
        <v>120717</v>
      </c>
      <c r="Q66" s="120">
        <f t="shared" si="109"/>
        <v>113192</v>
      </c>
      <c r="R66" s="120">
        <f t="shared" si="109"/>
        <v>117448</v>
      </c>
      <c r="S66" s="120">
        <f t="shared" si="109"/>
        <v>126715</v>
      </c>
      <c r="T66" s="120">
        <f t="shared" si="109"/>
        <v>129202</v>
      </c>
      <c r="U66" s="120">
        <f t="shared" si="109"/>
        <v>144155</v>
      </c>
      <c r="V66" s="120">
        <f t="shared" si="109"/>
        <v>106726</v>
      </c>
      <c r="W66" s="120">
        <f t="shared" ref="W66:AC66" si="110">+SUM(W63:W65)</f>
        <v>111793</v>
      </c>
      <c r="X66" s="120">
        <f t="shared" si="110"/>
        <v>132824</v>
      </c>
      <c r="Y66" s="120">
        <f t="shared" si="110"/>
        <v>129567</v>
      </c>
      <c r="Z66" s="120">
        <f t="shared" si="110"/>
        <v>125754</v>
      </c>
      <c r="AA66" s="120">
        <f t="shared" si="110"/>
        <v>106200</v>
      </c>
      <c r="AB66" s="120">
        <f t="shared" si="110"/>
        <v>99760</v>
      </c>
      <c r="AC66" s="120">
        <f t="shared" si="110"/>
        <v>98467</v>
      </c>
      <c r="AD66" s="120">
        <f t="shared" ref="AD66:AI66" si="111">+SUM(AD63:AD65)</f>
        <v>100335</v>
      </c>
      <c r="AE66" s="120">
        <f t="shared" si="111"/>
        <v>97388</v>
      </c>
      <c r="AF66" s="120">
        <f t="shared" si="111"/>
        <v>97237</v>
      </c>
      <c r="AG66" s="120">
        <f t="shared" si="111"/>
        <v>88555</v>
      </c>
      <c r="AH66" s="120">
        <f t="shared" si="111"/>
        <v>82562</v>
      </c>
      <c r="AI66" s="120">
        <f t="shared" si="111"/>
        <v>87763</v>
      </c>
      <c r="AJ66" s="120">
        <f t="shared" ref="AJ66:AP66" si="112">+SUM(AJ63:AJ65)</f>
        <v>87818</v>
      </c>
      <c r="AK66" s="120">
        <f t="shared" si="112"/>
        <v>87266</v>
      </c>
      <c r="AL66" s="120">
        <f t="shared" si="112"/>
        <v>78234</v>
      </c>
      <c r="AM66" s="120">
        <f t="shared" si="112"/>
        <v>71995</v>
      </c>
      <c r="AN66" s="120">
        <f t="shared" si="112"/>
        <v>71761</v>
      </c>
      <c r="AO66" s="120">
        <f t="shared" si="112"/>
        <v>73154</v>
      </c>
      <c r="AP66" s="120">
        <f t="shared" si="112"/>
        <v>76960</v>
      </c>
      <c r="AQ66" s="120">
        <f t="shared" ref="AQ66:AX66" si="113">+SUM(AQ63:AQ65)</f>
        <v>71089</v>
      </c>
      <c r="AR66" s="120">
        <f t="shared" si="113"/>
        <v>70850</v>
      </c>
      <c r="AS66" s="120">
        <f t="shared" si="113"/>
        <v>89634</v>
      </c>
      <c r="AT66" s="120">
        <f t="shared" si="113"/>
        <v>144590</v>
      </c>
      <c r="AU66" s="120">
        <f t="shared" si="113"/>
        <v>133077</v>
      </c>
      <c r="AV66" s="120">
        <f t="shared" si="113"/>
        <v>142625</v>
      </c>
      <c r="AW66" s="120">
        <f t="shared" si="113"/>
        <v>139192</v>
      </c>
      <c r="AX66" s="120">
        <f t="shared" si="113"/>
        <v>154082</v>
      </c>
      <c r="AY66" s="120">
        <f>+SUM(AY63:AY65)</f>
        <v>153680</v>
      </c>
      <c r="AZ66" s="120">
        <f>+SUM(AZ63:AZ65)</f>
        <v>163409</v>
      </c>
      <c r="BA66" s="120">
        <f>+SUM(BA63:BA65)</f>
        <v>166958</v>
      </c>
      <c r="BB66" s="120">
        <f>+SUM(BB63:BB65)</f>
        <v>169264</v>
      </c>
      <c r="BC66" s="120">
        <v>175901</v>
      </c>
      <c r="BD66" s="120">
        <v>174008</v>
      </c>
      <c r="BE66" s="120">
        <v>183102</v>
      </c>
      <c r="BF66" s="120">
        <f>+SUM(BF63:BF65)</f>
        <v>184169</v>
      </c>
    </row>
    <row r="67" spans="1:58" ht="9" customHeight="1" x14ac:dyDescent="0.25">
      <c r="F67" s="288"/>
      <c r="G67" s="288"/>
      <c r="H67" s="288"/>
      <c r="I67" s="288"/>
      <c r="J67" s="288"/>
      <c r="K67" s="288"/>
    </row>
    <row r="68" spans="1:58" x14ac:dyDescent="0.25">
      <c r="A68" s="70" t="s">
        <v>97</v>
      </c>
      <c r="B68" s="70" t="s">
        <v>872</v>
      </c>
      <c r="D68" s="145" t="str">
        <f>IF([1]RENAME!$H$3=1,B68,A68)</f>
        <v>Controladora</v>
      </c>
      <c r="E68" s="145"/>
      <c r="F68" s="145"/>
      <c r="G68" s="145" t="s">
        <v>160</v>
      </c>
      <c r="H68" s="145" t="s">
        <v>160</v>
      </c>
      <c r="I68" s="145" t="s">
        <v>160</v>
      </c>
      <c r="J68" s="145" t="s">
        <v>160</v>
      </c>
      <c r="K68" s="145" t="s">
        <v>160</v>
      </c>
      <c r="L68" s="115" t="str">
        <f t="shared" ref="L68:BF68" si="114">L$5</f>
        <v>4T14</v>
      </c>
      <c r="M68" s="115" t="str">
        <f t="shared" si="114"/>
        <v>1T15</v>
      </c>
      <c r="N68" s="115" t="str">
        <f t="shared" si="114"/>
        <v>2T15</v>
      </c>
      <c r="O68" s="115" t="str">
        <f t="shared" si="114"/>
        <v>3T15</v>
      </c>
      <c r="P68" s="115" t="str">
        <f t="shared" si="114"/>
        <v>4T15</v>
      </c>
      <c r="Q68" s="115" t="str">
        <f t="shared" si="114"/>
        <v>1T16</v>
      </c>
      <c r="R68" s="115" t="str">
        <f t="shared" si="114"/>
        <v>2T16</v>
      </c>
      <c r="S68" s="115" t="str">
        <f t="shared" si="114"/>
        <v>3T16</v>
      </c>
      <c r="T68" s="115" t="str">
        <f t="shared" si="114"/>
        <v>4T16</v>
      </c>
      <c r="U68" s="115" t="str">
        <f t="shared" si="114"/>
        <v>1T17</v>
      </c>
      <c r="V68" s="115" t="str">
        <f t="shared" si="114"/>
        <v>2T17</v>
      </c>
      <c r="W68" s="115" t="str">
        <f t="shared" si="114"/>
        <v>3T17</v>
      </c>
      <c r="X68" s="115" t="str">
        <f t="shared" si="114"/>
        <v>4T17</v>
      </c>
      <c r="Y68" s="115" t="str">
        <f t="shared" si="114"/>
        <v>1T18</v>
      </c>
      <c r="Z68" s="115" t="str">
        <f t="shared" si="114"/>
        <v>2T18</v>
      </c>
      <c r="AA68" s="115" t="str">
        <f t="shared" si="114"/>
        <v>3T18</v>
      </c>
      <c r="AB68" s="115" t="str">
        <f t="shared" si="114"/>
        <v>4T18</v>
      </c>
      <c r="AC68" s="115" t="str">
        <f t="shared" si="114"/>
        <v>1T19</v>
      </c>
      <c r="AD68" s="115" t="str">
        <f t="shared" si="114"/>
        <v>2T19</v>
      </c>
      <c r="AE68" s="115" t="str">
        <f t="shared" si="114"/>
        <v>3T19</v>
      </c>
      <c r="AF68" s="115" t="str">
        <f t="shared" si="114"/>
        <v>4T19</v>
      </c>
      <c r="AG68" s="115" t="str">
        <f t="shared" si="114"/>
        <v>1T20</v>
      </c>
      <c r="AH68" s="115" t="str">
        <f t="shared" si="114"/>
        <v>2T20</v>
      </c>
      <c r="AI68" s="115" t="str">
        <f t="shared" si="114"/>
        <v>3T20</v>
      </c>
      <c r="AJ68" s="115" t="str">
        <f t="shared" si="114"/>
        <v>4T20</v>
      </c>
      <c r="AK68" s="115" t="str">
        <f t="shared" si="114"/>
        <v>1T21</v>
      </c>
      <c r="AL68" s="115" t="str">
        <f t="shared" si="114"/>
        <v>2T21</v>
      </c>
      <c r="AM68" s="115" t="str">
        <f t="shared" si="114"/>
        <v>3T21</v>
      </c>
      <c r="AN68" s="115" t="str">
        <f t="shared" si="114"/>
        <v>4T21</v>
      </c>
      <c r="AO68" s="115" t="str">
        <f t="shared" si="114"/>
        <v>1T22</v>
      </c>
      <c r="AP68" s="115" t="str">
        <f t="shared" si="114"/>
        <v>2T22</v>
      </c>
      <c r="AQ68" s="115" t="str">
        <f t="shared" si="114"/>
        <v>3T22</v>
      </c>
      <c r="AR68" s="115" t="str">
        <f t="shared" si="114"/>
        <v>4T22</v>
      </c>
      <c r="AS68" s="115" t="str">
        <f t="shared" si="114"/>
        <v>1T23</v>
      </c>
      <c r="AT68" s="115" t="str">
        <f t="shared" si="114"/>
        <v>2T23</v>
      </c>
      <c r="AU68" s="115" t="str">
        <f t="shared" si="114"/>
        <v>3T23</v>
      </c>
      <c r="AV68" s="115" t="str">
        <f t="shared" si="114"/>
        <v>4T23</v>
      </c>
      <c r="AW68" s="115" t="str">
        <f t="shared" si="114"/>
        <v>1T24</v>
      </c>
      <c r="AX68" s="115" t="str">
        <f t="shared" si="114"/>
        <v>2T24</v>
      </c>
      <c r="AY68" s="115" t="str">
        <f t="shared" si="114"/>
        <v>3T24</v>
      </c>
      <c r="AZ68" s="115" t="str">
        <f t="shared" si="114"/>
        <v>4T24</v>
      </c>
      <c r="BA68" s="115" t="str">
        <f t="shared" si="114"/>
        <v>1T25</v>
      </c>
      <c r="BB68" s="115" t="str">
        <f t="shared" si="114"/>
        <v>2T25</v>
      </c>
      <c r="BC68" s="115" t="s">
        <v>2242</v>
      </c>
      <c r="BD68" s="115" t="s">
        <v>2244</v>
      </c>
      <c r="BE68" s="115" t="s">
        <v>2284</v>
      </c>
      <c r="BF68" s="115" t="str">
        <f t="shared" si="114"/>
        <v>2T26</v>
      </c>
    </row>
    <row r="69" spans="1:58" x14ac:dyDescent="0.25">
      <c r="A69" s="70" t="s">
        <v>407</v>
      </c>
      <c r="B69" s="70" t="s">
        <v>979</v>
      </c>
      <c r="D69" s="129" t="str">
        <f>IF([1]RENAME!$H$3=1,B69,A69)</f>
        <v>Trabalhistas e previdenciárias</v>
      </c>
      <c r="E69" s="129"/>
      <c r="F69" s="130"/>
      <c r="G69" s="130">
        <v>0</v>
      </c>
      <c r="H69" s="130">
        <v>0</v>
      </c>
      <c r="I69" s="130">
        <v>0</v>
      </c>
      <c r="J69" s="130">
        <v>0</v>
      </c>
      <c r="K69" s="130">
        <v>0</v>
      </c>
      <c r="L69" s="118">
        <v>8941</v>
      </c>
      <c r="M69" s="118">
        <v>0</v>
      </c>
      <c r="N69" s="118">
        <v>0</v>
      </c>
      <c r="O69" s="118">
        <v>7990</v>
      </c>
      <c r="P69" s="118">
        <v>21875</v>
      </c>
      <c r="Q69" s="118">
        <v>22726</v>
      </c>
      <c r="R69" s="118">
        <v>27951</v>
      </c>
      <c r="S69" s="118">
        <v>34167</v>
      </c>
      <c r="T69" s="118">
        <v>35048</v>
      </c>
      <c r="U69" s="118">
        <v>44133</v>
      </c>
      <c r="V69" s="118">
        <v>40387</v>
      </c>
      <c r="W69" s="118">
        <v>49920</v>
      </c>
      <c r="X69" s="118">
        <v>65083</v>
      </c>
      <c r="Y69" s="118">
        <v>64567</v>
      </c>
      <c r="Z69" s="118">
        <v>58752</v>
      </c>
      <c r="AA69" s="118">
        <v>54440</v>
      </c>
      <c r="AB69" s="118">
        <v>45769</v>
      </c>
      <c r="AC69" s="118">
        <v>39507</v>
      </c>
      <c r="AD69" s="118">
        <v>39208</v>
      </c>
      <c r="AE69" s="118">
        <v>36440</v>
      </c>
      <c r="AF69" s="118">
        <v>38703</v>
      </c>
      <c r="AG69" s="118">
        <v>33009</v>
      </c>
      <c r="AH69" s="118">
        <v>30057</v>
      </c>
      <c r="AI69" s="118">
        <v>34036</v>
      </c>
      <c r="AJ69" s="118">
        <v>35502</v>
      </c>
      <c r="AK69" s="118">
        <v>35089</v>
      </c>
      <c r="AL69" s="118">
        <v>30999</v>
      </c>
      <c r="AM69" s="118">
        <v>23957</v>
      </c>
      <c r="AN69" s="118">
        <v>21861</v>
      </c>
      <c r="AO69" s="118">
        <v>23614</v>
      </c>
      <c r="AP69" s="118">
        <v>22679</v>
      </c>
      <c r="AQ69" s="118">
        <v>24077</v>
      </c>
      <c r="AR69" s="118">
        <v>21906</v>
      </c>
      <c r="AS69" s="118">
        <v>21851</v>
      </c>
      <c r="AT69" s="118">
        <v>22584</v>
      </c>
      <c r="AU69" s="118">
        <v>9282</v>
      </c>
      <c r="AV69" s="118">
        <v>8146</v>
      </c>
      <c r="AW69" s="118">
        <v>4899</v>
      </c>
      <c r="AX69" s="118">
        <v>7292</v>
      </c>
      <c r="AY69" s="118">
        <v>6219</v>
      </c>
      <c r="AZ69" s="118">
        <v>10474</v>
      </c>
      <c r="BA69" s="118">
        <v>11708</v>
      </c>
      <c r="BB69" s="118">
        <v>11263</v>
      </c>
      <c r="BC69" s="118">
        <v>12290</v>
      </c>
      <c r="BD69" s="118">
        <v>10496</v>
      </c>
      <c r="BE69" s="118">
        <v>11905</v>
      </c>
      <c r="BF69" s="118">
        <f>'[3]16 Conting. NL'!$AB$47</f>
        <v>12705</v>
      </c>
    </row>
    <row r="70" spans="1:58" x14ac:dyDescent="0.25">
      <c r="A70" s="70" t="s">
        <v>408</v>
      </c>
      <c r="B70" s="70" t="s">
        <v>980</v>
      </c>
      <c r="D70" s="129" t="str">
        <f>IF([1]RENAME!$H$3=1,B70,A70)</f>
        <v>Tributárias</v>
      </c>
      <c r="E70" s="129"/>
      <c r="F70" s="130"/>
      <c r="G70" s="130">
        <v>0</v>
      </c>
      <c r="H70" s="130">
        <v>0</v>
      </c>
      <c r="I70" s="130">
        <v>0</v>
      </c>
      <c r="J70" s="130">
        <v>0</v>
      </c>
      <c r="K70" s="130">
        <v>0</v>
      </c>
      <c r="L70" s="118">
        <v>1975</v>
      </c>
      <c r="M70" s="118">
        <v>0</v>
      </c>
      <c r="N70" s="118">
        <v>0</v>
      </c>
      <c r="O70" s="118">
        <v>55929</v>
      </c>
      <c r="P70" s="118">
        <v>19193</v>
      </c>
      <c r="Q70" s="118">
        <v>8689</v>
      </c>
      <c r="R70" s="118">
        <v>11290</v>
      </c>
      <c r="S70" s="118">
        <v>11787</v>
      </c>
      <c r="T70" s="118">
        <v>12140</v>
      </c>
      <c r="U70" s="118">
        <v>12451</v>
      </c>
      <c r="V70" s="118">
        <v>17844</v>
      </c>
      <c r="W70" s="118">
        <v>12796</v>
      </c>
      <c r="X70" s="118">
        <v>14767</v>
      </c>
      <c r="Y70" s="118">
        <v>22425</v>
      </c>
      <c r="Z70" s="118">
        <v>22693</v>
      </c>
      <c r="AA70" s="118">
        <v>23324</v>
      </c>
      <c r="AB70" s="118">
        <v>25703</v>
      </c>
      <c r="AC70" s="118">
        <v>27006</v>
      </c>
      <c r="AD70" s="118">
        <v>28167</v>
      </c>
      <c r="AE70" s="118">
        <v>30701</v>
      </c>
      <c r="AF70" s="118">
        <v>28869</v>
      </c>
      <c r="AG70" s="118">
        <v>29539</v>
      </c>
      <c r="AH70" s="118">
        <v>32175</v>
      </c>
      <c r="AI70" s="118">
        <v>35118</v>
      </c>
      <c r="AJ70" s="118">
        <v>35059</v>
      </c>
      <c r="AK70" s="118">
        <v>36074</v>
      </c>
      <c r="AL70" s="118">
        <v>28868</v>
      </c>
      <c r="AM70" s="118">
        <v>29158</v>
      </c>
      <c r="AN70" s="118">
        <v>30877</v>
      </c>
      <c r="AO70" s="118">
        <v>31055</v>
      </c>
      <c r="AP70" s="118">
        <v>34465</v>
      </c>
      <c r="AQ70" s="118">
        <v>31040</v>
      </c>
      <c r="AR70" s="118">
        <v>32751</v>
      </c>
      <c r="AS70" s="118">
        <v>50396</v>
      </c>
      <c r="AT70" s="260">
        <v>101735</v>
      </c>
      <c r="AU70" s="118">
        <v>103602</v>
      </c>
      <c r="AV70" s="118">
        <v>115062</v>
      </c>
      <c r="AW70" s="118">
        <v>117293</v>
      </c>
      <c r="AX70" s="118">
        <v>128514</v>
      </c>
      <c r="AY70" s="118">
        <v>130765</v>
      </c>
      <c r="AZ70" s="118">
        <v>132941</v>
      </c>
      <c r="BA70" s="118">
        <v>135078</v>
      </c>
      <c r="BB70" s="118">
        <v>136927</v>
      </c>
      <c r="BC70" s="118">
        <v>133158</v>
      </c>
      <c r="BD70" s="118">
        <v>131668</v>
      </c>
      <c r="BE70" s="118">
        <v>135722</v>
      </c>
      <c r="BF70" s="118">
        <f>'[3]16 Conting. NL'!$AB$48</f>
        <v>137797</v>
      </c>
    </row>
    <row r="71" spans="1:58" x14ac:dyDescent="0.25">
      <c r="A71" s="70" t="s">
        <v>409</v>
      </c>
      <c r="B71" s="70" t="s">
        <v>981</v>
      </c>
      <c r="D71" s="129" t="str">
        <f>IF([1]RENAME!$H$3=1,B71,A71)</f>
        <v>Cíveis</v>
      </c>
      <c r="E71" s="129"/>
      <c r="F71" s="130"/>
      <c r="G71" s="130">
        <v>0</v>
      </c>
      <c r="H71" s="130">
        <v>0</v>
      </c>
      <c r="I71" s="130">
        <v>0</v>
      </c>
      <c r="J71" s="130">
        <v>0</v>
      </c>
      <c r="K71" s="130">
        <v>0</v>
      </c>
      <c r="L71" s="118">
        <v>25452</v>
      </c>
      <c r="M71" s="118">
        <v>0</v>
      </c>
      <c r="N71" s="118">
        <v>0</v>
      </c>
      <c r="O71" s="118">
        <v>27474</v>
      </c>
      <c r="P71" s="118">
        <v>28748</v>
      </c>
      <c r="Q71" s="118">
        <v>30405</v>
      </c>
      <c r="R71" s="118">
        <v>27144</v>
      </c>
      <c r="S71" s="118">
        <v>27095</v>
      </c>
      <c r="T71" s="118">
        <v>25126</v>
      </c>
      <c r="U71" s="118">
        <v>28233</v>
      </c>
      <c r="V71" s="118">
        <v>28553</v>
      </c>
      <c r="W71" s="118">
        <v>28988</v>
      </c>
      <c r="X71" s="118">
        <v>29276</v>
      </c>
      <c r="Y71" s="118">
        <v>30787</v>
      </c>
      <c r="Z71" s="118">
        <v>31562</v>
      </c>
      <c r="AA71" s="118">
        <v>20305</v>
      </c>
      <c r="AB71" s="118">
        <v>20891</v>
      </c>
      <c r="AC71" s="118">
        <v>22544</v>
      </c>
      <c r="AD71" s="118">
        <v>23880</v>
      </c>
      <c r="AE71" s="118">
        <v>20624</v>
      </c>
      <c r="AF71" s="118">
        <v>21100</v>
      </c>
      <c r="AG71" s="118">
        <v>19652</v>
      </c>
      <c r="AH71" s="118">
        <v>14293</v>
      </c>
      <c r="AI71" s="118">
        <v>11790</v>
      </c>
      <c r="AJ71" s="118">
        <v>10815</v>
      </c>
      <c r="AK71" s="118">
        <v>9715</v>
      </c>
      <c r="AL71" s="118">
        <v>11845</v>
      </c>
      <c r="AM71" s="118">
        <v>12262</v>
      </c>
      <c r="AN71" s="118">
        <v>12042</v>
      </c>
      <c r="AO71" s="118">
        <v>11570</v>
      </c>
      <c r="AP71" s="118">
        <v>12817</v>
      </c>
      <c r="AQ71" s="118">
        <v>10341</v>
      </c>
      <c r="AR71" s="118">
        <v>9719</v>
      </c>
      <c r="AS71" s="118">
        <v>9957</v>
      </c>
      <c r="AT71" s="118">
        <v>10194</v>
      </c>
      <c r="AU71" s="118">
        <v>10226</v>
      </c>
      <c r="AV71" s="118">
        <v>8916</v>
      </c>
      <c r="AW71" s="118">
        <v>8060</v>
      </c>
      <c r="AX71" s="118">
        <v>10269</v>
      </c>
      <c r="AY71" s="118">
        <v>9899</v>
      </c>
      <c r="AZ71" s="118">
        <v>12100</v>
      </c>
      <c r="BA71" s="118">
        <v>11952</v>
      </c>
      <c r="BB71" s="118">
        <v>13317</v>
      </c>
      <c r="BC71" s="118">
        <v>11500</v>
      </c>
      <c r="BD71" s="118">
        <v>11934</v>
      </c>
      <c r="BE71" s="118">
        <v>14742</v>
      </c>
      <c r="BF71" s="118">
        <f>'[3]16 Conting. NL'!$AB$49</f>
        <v>12166</v>
      </c>
    </row>
    <row r="72" spans="1:58" x14ac:dyDescent="0.25">
      <c r="A72" s="70" t="s">
        <v>73</v>
      </c>
      <c r="B72" s="70" t="s">
        <v>73</v>
      </c>
      <c r="D72" s="126" t="str">
        <f>IF([1]RENAME!$H$3=1,B72,A72)</f>
        <v>TOTAL</v>
      </c>
      <c r="E72" s="126"/>
      <c r="F72" s="120"/>
      <c r="G72" s="120">
        <v>0</v>
      </c>
      <c r="H72" s="120">
        <v>0</v>
      </c>
      <c r="I72" s="120">
        <v>0</v>
      </c>
      <c r="J72" s="120">
        <v>0</v>
      </c>
      <c r="K72" s="120">
        <v>0</v>
      </c>
      <c r="L72" s="120">
        <f t="shared" ref="L72:V72" si="115">+SUM(L69:L71)</f>
        <v>36368</v>
      </c>
      <c r="M72" s="120">
        <v>0</v>
      </c>
      <c r="N72" s="120">
        <v>0</v>
      </c>
      <c r="O72" s="120">
        <f t="shared" si="115"/>
        <v>91393</v>
      </c>
      <c r="P72" s="120">
        <f t="shared" si="115"/>
        <v>69816</v>
      </c>
      <c r="Q72" s="120">
        <f t="shared" si="115"/>
        <v>61820</v>
      </c>
      <c r="R72" s="120">
        <f t="shared" si="115"/>
        <v>66385</v>
      </c>
      <c r="S72" s="120">
        <f t="shared" si="115"/>
        <v>73049</v>
      </c>
      <c r="T72" s="120">
        <f t="shared" si="115"/>
        <v>72314</v>
      </c>
      <c r="U72" s="120">
        <f t="shared" si="115"/>
        <v>84817</v>
      </c>
      <c r="V72" s="120">
        <f t="shared" si="115"/>
        <v>86784</v>
      </c>
      <c r="W72" s="120">
        <f t="shared" ref="W72:AC72" si="116">+SUM(W69:W71)</f>
        <v>91704</v>
      </c>
      <c r="X72" s="120">
        <f t="shared" si="116"/>
        <v>109126</v>
      </c>
      <c r="Y72" s="120">
        <f t="shared" si="116"/>
        <v>117779</v>
      </c>
      <c r="Z72" s="120">
        <f t="shared" si="116"/>
        <v>113007</v>
      </c>
      <c r="AA72" s="120">
        <f t="shared" si="116"/>
        <v>98069</v>
      </c>
      <c r="AB72" s="120">
        <f t="shared" si="116"/>
        <v>92363</v>
      </c>
      <c r="AC72" s="120">
        <f t="shared" si="116"/>
        <v>89057</v>
      </c>
      <c r="AD72" s="120">
        <f t="shared" ref="AD72:AI72" si="117">+SUM(AD69:AD71)</f>
        <v>91255</v>
      </c>
      <c r="AE72" s="120">
        <f t="shared" si="117"/>
        <v>87765</v>
      </c>
      <c r="AF72" s="120">
        <f t="shared" si="117"/>
        <v>88672</v>
      </c>
      <c r="AG72" s="120">
        <f t="shared" si="117"/>
        <v>82200</v>
      </c>
      <c r="AH72" s="120">
        <f t="shared" si="117"/>
        <v>76525</v>
      </c>
      <c r="AI72" s="120">
        <f t="shared" si="117"/>
        <v>80944</v>
      </c>
      <c r="AJ72" s="120">
        <f t="shared" ref="AJ72:AP72" si="118">+SUM(AJ69:AJ71)</f>
        <v>81376</v>
      </c>
      <c r="AK72" s="120">
        <f t="shared" si="118"/>
        <v>80878</v>
      </c>
      <c r="AL72" s="120">
        <f t="shared" si="118"/>
        <v>71712</v>
      </c>
      <c r="AM72" s="120">
        <f t="shared" si="118"/>
        <v>65377</v>
      </c>
      <c r="AN72" s="120">
        <f t="shared" si="118"/>
        <v>64780</v>
      </c>
      <c r="AO72" s="120">
        <f t="shared" si="118"/>
        <v>66239</v>
      </c>
      <c r="AP72" s="120">
        <f t="shared" si="118"/>
        <v>69961</v>
      </c>
      <c r="AQ72" s="120">
        <f t="shared" ref="AQ72:AX72" si="119">+SUM(AQ69:AQ71)</f>
        <v>65458</v>
      </c>
      <c r="AR72" s="120">
        <f t="shared" si="119"/>
        <v>64376</v>
      </c>
      <c r="AS72" s="120">
        <f t="shared" si="119"/>
        <v>82204</v>
      </c>
      <c r="AT72" s="120">
        <f t="shared" si="119"/>
        <v>134513</v>
      </c>
      <c r="AU72" s="120">
        <f t="shared" si="119"/>
        <v>123110</v>
      </c>
      <c r="AV72" s="120">
        <f t="shared" si="119"/>
        <v>132124</v>
      </c>
      <c r="AW72" s="120">
        <f t="shared" si="119"/>
        <v>130252</v>
      </c>
      <c r="AX72" s="120">
        <f t="shared" si="119"/>
        <v>146075</v>
      </c>
      <c r="AY72" s="120">
        <f>+SUM(AY69:AY71)</f>
        <v>146883</v>
      </c>
      <c r="AZ72" s="120">
        <f>+SUM(AZ69:AZ71)</f>
        <v>155515</v>
      </c>
      <c r="BA72" s="120">
        <f>+SUM(BA69:BA71)</f>
        <v>158738</v>
      </c>
      <c r="BB72" s="120">
        <f>+SUM(BB69:BB71)</f>
        <v>161507</v>
      </c>
      <c r="BC72" s="120">
        <v>156948</v>
      </c>
      <c r="BD72" s="120">
        <v>154098</v>
      </c>
      <c r="BE72" s="120">
        <v>162369</v>
      </c>
      <c r="BF72" s="120">
        <f>+SUM(BF69:BF71)</f>
        <v>162668</v>
      </c>
    </row>
    <row r="73" spans="1:58" ht="9" customHeight="1" x14ac:dyDescent="0.25">
      <c r="D73" s="287"/>
      <c r="E73" s="287"/>
      <c r="F73" s="289"/>
      <c r="G73" s="289"/>
      <c r="H73" s="289"/>
      <c r="I73" s="289"/>
      <c r="J73" s="289"/>
      <c r="K73" s="289"/>
    </row>
    <row r="74" spans="1:58" x14ac:dyDescent="0.25">
      <c r="A74" s="70" t="s">
        <v>98</v>
      </c>
      <c r="B74" s="70" t="s">
        <v>978</v>
      </c>
      <c r="D74" s="145" t="str">
        <f>IF([1]RENAME!$H$3=1,B74,A74)</f>
        <v>Controladas</v>
      </c>
      <c r="E74" s="145"/>
      <c r="F74" s="145"/>
      <c r="G74" s="145" t="s">
        <v>160</v>
      </c>
      <c r="H74" s="145" t="s">
        <v>160</v>
      </c>
      <c r="I74" s="145" t="s">
        <v>160</v>
      </c>
      <c r="J74" s="145" t="s">
        <v>160</v>
      </c>
      <c r="K74" s="145" t="s">
        <v>160</v>
      </c>
      <c r="L74" s="115" t="str">
        <f t="shared" ref="L74:BF74" si="120">L$5</f>
        <v>4T14</v>
      </c>
      <c r="M74" s="115" t="str">
        <f t="shared" si="120"/>
        <v>1T15</v>
      </c>
      <c r="N74" s="115" t="str">
        <f t="shared" si="120"/>
        <v>2T15</v>
      </c>
      <c r="O74" s="115" t="str">
        <f t="shared" si="120"/>
        <v>3T15</v>
      </c>
      <c r="P74" s="115" t="str">
        <f t="shared" si="120"/>
        <v>4T15</v>
      </c>
      <c r="Q74" s="115" t="str">
        <f t="shared" si="120"/>
        <v>1T16</v>
      </c>
      <c r="R74" s="115" t="str">
        <f t="shared" si="120"/>
        <v>2T16</v>
      </c>
      <c r="S74" s="115" t="str">
        <f t="shared" si="120"/>
        <v>3T16</v>
      </c>
      <c r="T74" s="115" t="str">
        <f t="shared" si="120"/>
        <v>4T16</v>
      </c>
      <c r="U74" s="115" t="str">
        <f t="shared" si="120"/>
        <v>1T17</v>
      </c>
      <c r="V74" s="115" t="str">
        <f t="shared" si="120"/>
        <v>2T17</v>
      </c>
      <c r="W74" s="115" t="str">
        <f t="shared" si="120"/>
        <v>3T17</v>
      </c>
      <c r="X74" s="115" t="str">
        <f t="shared" si="120"/>
        <v>4T17</v>
      </c>
      <c r="Y74" s="115" t="str">
        <f t="shared" si="120"/>
        <v>1T18</v>
      </c>
      <c r="Z74" s="115" t="str">
        <f t="shared" si="120"/>
        <v>2T18</v>
      </c>
      <c r="AA74" s="115" t="str">
        <f t="shared" si="120"/>
        <v>3T18</v>
      </c>
      <c r="AB74" s="115" t="str">
        <f t="shared" si="120"/>
        <v>4T18</v>
      </c>
      <c r="AC74" s="115" t="str">
        <f t="shared" si="120"/>
        <v>1T19</v>
      </c>
      <c r="AD74" s="115" t="str">
        <f t="shared" si="120"/>
        <v>2T19</v>
      </c>
      <c r="AE74" s="115" t="str">
        <f t="shared" si="120"/>
        <v>3T19</v>
      </c>
      <c r="AF74" s="115" t="str">
        <f t="shared" si="120"/>
        <v>4T19</v>
      </c>
      <c r="AG74" s="115" t="str">
        <f t="shared" si="120"/>
        <v>1T20</v>
      </c>
      <c r="AH74" s="115" t="str">
        <f t="shared" si="120"/>
        <v>2T20</v>
      </c>
      <c r="AI74" s="115" t="str">
        <f t="shared" si="120"/>
        <v>3T20</v>
      </c>
      <c r="AJ74" s="115" t="str">
        <f t="shared" si="120"/>
        <v>4T20</v>
      </c>
      <c r="AK74" s="115" t="str">
        <f t="shared" si="120"/>
        <v>1T21</v>
      </c>
      <c r="AL74" s="115" t="str">
        <f t="shared" si="120"/>
        <v>2T21</v>
      </c>
      <c r="AM74" s="115" t="str">
        <f t="shared" si="120"/>
        <v>3T21</v>
      </c>
      <c r="AN74" s="115" t="str">
        <f t="shared" si="120"/>
        <v>4T21</v>
      </c>
      <c r="AO74" s="115" t="str">
        <f t="shared" si="120"/>
        <v>1T22</v>
      </c>
      <c r="AP74" s="115" t="str">
        <f t="shared" si="120"/>
        <v>2T22</v>
      </c>
      <c r="AQ74" s="115" t="str">
        <f t="shared" si="120"/>
        <v>3T22</v>
      </c>
      <c r="AR74" s="115" t="str">
        <f t="shared" si="120"/>
        <v>4T22</v>
      </c>
      <c r="AS74" s="115" t="str">
        <f t="shared" si="120"/>
        <v>1T23</v>
      </c>
      <c r="AT74" s="115" t="str">
        <f t="shared" si="120"/>
        <v>2T23</v>
      </c>
      <c r="AU74" s="115" t="str">
        <f t="shared" si="120"/>
        <v>3T23</v>
      </c>
      <c r="AV74" s="115" t="str">
        <f t="shared" si="120"/>
        <v>4T23</v>
      </c>
      <c r="AW74" s="115" t="str">
        <f t="shared" si="120"/>
        <v>1T24</v>
      </c>
      <c r="AX74" s="115" t="str">
        <f t="shared" si="120"/>
        <v>2T24</v>
      </c>
      <c r="AY74" s="115" t="str">
        <f t="shared" si="120"/>
        <v>3T24</v>
      </c>
      <c r="AZ74" s="115" t="str">
        <f t="shared" si="120"/>
        <v>4T24</v>
      </c>
      <c r="BA74" s="115" t="str">
        <f t="shared" si="120"/>
        <v>1T25</v>
      </c>
      <c r="BB74" s="115" t="str">
        <f t="shared" si="120"/>
        <v>2T25</v>
      </c>
      <c r="BC74" s="115" t="s">
        <v>2242</v>
      </c>
      <c r="BD74" s="115" t="s">
        <v>2244</v>
      </c>
      <c r="BE74" s="115" t="s">
        <v>2284</v>
      </c>
      <c r="BF74" s="115" t="str">
        <f t="shared" si="120"/>
        <v>2T26</v>
      </c>
    </row>
    <row r="75" spans="1:58" x14ac:dyDescent="0.25">
      <c r="A75" s="70" t="s">
        <v>407</v>
      </c>
      <c r="B75" s="70" t="s">
        <v>979</v>
      </c>
      <c r="D75" s="129" t="str">
        <f>IF([1]RENAME!$H$3=1,B75,A75)</f>
        <v>Trabalhistas e previdenciárias</v>
      </c>
      <c r="E75" s="129"/>
      <c r="F75" s="130"/>
      <c r="G75" s="130">
        <v>0</v>
      </c>
      <c r="H75" s="130">
        <v>0</v>
      </c>
      <c r="I75" s="130">
        <v>0</v>
      </c>
      <c r="J75" s="130">
        <v>0</v>
      </c>
      <c r="K75" s="130">
        <v>0</v>
      </c>
      <c r="L75" s="118">
        <f t="shared" ref="L75:P78" si="121">+L63-L69</f>
        <v>13413</v>
      </c>
      <c r="M75" s="118">
        <v>0</v>
      </c>
      <c r="N75" s="118">
        <v>0</v>
      </c>
      <c r="O75" s="118">
        <f t="shared" si="121"/>
        <v>6506</v>
      </c>
      <c r="P75" s="118">
        <f t="shared" si="121"/>
        <v>10755</v>
      </c>
      <c r="Q75" s="118">
        <f t="shared" ref="Q75:V78" si="122">+Q63-Q69</f>
        <v>9762</v>
      </c>
      <c r="R75" s="118">
        <f t="shared" si="122"/>
        <v>8555</v>
      </c>
      <c r="S75" s="118">
        <f t="shared" si="122"/>
        <v>6135</v>
      </c>
      <c r="T75" s="118">
        <v>4321</v>
      </c>
      <c r="U75" s="118">
        <v>5497</v>
      </c>
      <c r="V75" s="118">
        <v>6802</v>
      </c>
      <c r="W75" s="118">
        <v>8134</v>
      </c>
      <c r="X75" s="118">
        <f t="shared" ref="W75:X78" si="123">+X63-X69</f>
        <v>11467</v>
      </c>
      <c r="Y75" s="118">
        <v>6704</v>
      </c>
      <c r="Z75" s="118">
        <f t="shared" ref="Z75:AC78" si="124">+Z63-Z69</f>
        <v>6411</v>
      </c>
      <c r="AA75" s="118">
        <f t="shared" si="124"/>
        <v>3493</v>
      </c>
      <c r="AB75" s="118">
        <f t="shared" si="124"/>
        <v>2743</v>
      </c>
      <c r="AC75" s="118">
        <f t="shared" si="124"/>
        <v>2622</v>
      </c>
      <c r="AD75" s="118">
        <v>1387</v>
      </c>
      <c r="AE75" s="118">
        <v>1782</v>
      </c>
      <c r="AF75" s="118">
        <v>1532</v>
      </c>
      <c r="AG75" s="118">
        <f t="shared" ref="AG75:AH78" si="125">+AG63-AG69</f>
        <v>1144</v>
      </c>
      <c r="AH75" s="118">
        <v>715</v>
      </c>
      <c r="AI75" s="118">
        <v>1640</v>
      </c>
      <c r="AJ75" s="118">
        <v>1054</v>
      </c>
      <c r="AK75" s="118">
        <f t="shared" ref="AK75:AP78" si="126">+AK63-AK69</f>
        <v>1144</v>
      </c>
      <c r="AL75" s="118">
        <f t="shared" si="126"/>
        <v>1270</v>
      </c>
      <c r="AM75" s="118">
        <f t="shared" si="126"/>
        <v>1239</v>
      </c>
      <c r="AN75" s="118">
        <f t="shared" si="126"/>
        <v>1519</v>
      </c>
      <c r="AO75" s="118">
        <f t="shared" si="126"/>
        <v>1622</v>
      </c>
      <c r="AP75" s="118">
        <f t="shared" si="126"/>
        <v>1494</v>
      </c>
      <c r="AQ75" s="118">
        <f t="shared" ref="AQ75:AW78" si="127">+AQ63-AQ69</f>
        <v>2249</v>
      </c>
      <c r="AR75" s="118">
        <f t="shared" si="127"/>
        <v>3371</v>
      </c>
      <c r="AS75" s="118">
        <f t="shared" si="127"/>
        <v>4306</v>
      </c>
      <c r="AT75" s="118">
        <f t="shared" si="127"/>
        <v>3964</v>
      </c>
      <c r="AU75" s="118">
        <f t="shared" si="127"/>
        <v>3784</v>
      </c>
      <c r="AV75" s="118">
        <f t="shared" si="127"/>
        <v>2930</v>
      </c>
      <c r="AW75" s="118">
        <f t="shared" si="127"/>
        <v>2325</v>
      </c>
      <c r="AX75" s="118">
        <f t="shared" ref="AX75:AZ78" si="128">+AX63-AX69</f>
        <v>363</v>
      </c>
      <c r="AY75" s="118">
        <f t="shared" si="128"/>
        <v>303</v>
      </c>
      <c r="AZ75" s="118">
        <f t="shared" si="128"/>
        <v>834</v>
      </c>
      <c r="BA75" s="118">
        <v>1205</v>
      </c>
      <c r="BB75" s="118">
        <v>1038</v>
      </c>
      <c r="BC75" s="118">
        <v>1251</v>
      </c>
      <c r="BD75" s="118">
        <v>2150</v>
      </c>
      <c r="BE75" s="118">
        <v>2138</v>
      </c>
      <c r="BF75" s="118">
        <f>+BF63-BF69</f>
        <v>2335</v>
      </c>
    </row>
    <row r="76" spans="1:58" x14ac:dyDescent="0.25">
      <c r="A76" s="70" t="s">
        <v>408</v>
      </c>
      <c r="B76" s="70" t="s">
        <v>980</v>
      </c>
      <c r="D76" s="129" t="str">
        <f>IF([1]RENAME!$H$3=1,B76,A76)</f>
        <v>Tributárias</v>
      </c>
      <c r="E76" s="129"/>
      <c r="F76" s="130"/>
      <c r="G76" s="130">
        <v>0</v>
      </c>
      <c r="H76" s="130">
        <v>0</v>
      </c>
      <c r="I76" s="130">
        <v>0</v>
      </c>
      <c r="J76" s="130">
        <v>0</v>
      </c>
      <c r="K76" s="130">
        <v>0</v>
      </c>
      <c r="L76" s="118">
        <f t="shared" si="121"/>
        <v>53811</v>
      </c>
      <c r="M76" s="118">
        <v>0</v>
      </c>
      <c r="N76" s="118">
        <v>0</v>
      </c>
      <c r="O76" s="118">
        <f t="shared" si="121"/>
        <v>35877</v>
      </c>
      <c r="P76" s="118">
        <f t="shared" si="121"/>
        <v>36952</v>
      </c>
      <c r="Q76" s="118">
        <f t="shared" si="122"/>
        <v>37687</v>
      </c>
      <c r="R76" s="118">
        <f t="shared" si="122"/>
        <v>38687</v>
      </c>
      <c r="S76" s="118">
        <f t="shared" si="122"/>
        <v>43716</v>
      </c>
      <c r="T76" s="118">
        <v>44734</v>
      </c>
      <c r="U76" s="118">
        <v>45803</v>
      </c>
      <c r="V76" s="118">
        <v>4602</v>
      </c>
      <c r="W76" s="118">
        <v>5042</v>
      </c>
      <c r="X76" s="118">
        <f t="shared" si="123"/>
        <v>5319</v>
      </c>
      <c r="Y76" s="118">
        <v>4343</v>
      </c>
      <c r="Z76" s="118">
        <f t="shared" si="124"/>
        <v>5775</v>
      </c>
      <c r="AA76" s="118">
        <f t="shared" si="124"/>
        <v>4414</v>
      </c>
      <c r="AB76" s="118">
        <f t="shared" si="124"/>
        <v>4432</v>
      </c>
      <c r="AC76" s="118">
        <f t="shared" si="124"/>
        <v>4486</v>
      </c>
      <c r="AD76" s="118">
        <v>4424</v>
      </c>
      <c r="AE76" s="118">
        <v>4583</v>
      </c>
      <c r="AF76" s="118">
        <v>6767</v>
      </c>
      <c r="AG76" s="118">
        <f t="shared" si="125"/>
        <v>4989</v>
      </c>
      <c r="AH76" s="118">
        <v>5098</v>
      </c>
      <c r="AI76" s="118">
        <v>5038</v>
      </c>
      <c r="AJ76" s="118">
        <v>5236</v>
      </c>
      <c r="AK76" s="118">
        <f t="shared" si="126"/>
        <v>5100</v>
      </c>
      <c r="AL76" s="118">
        <f t="shared" si="126"/>
        <v>5107</v>
      </c>
      <c r="AM76" s="118">
        <f t="shared" si="126"/>
        <v>5209</v>
      </c>
      <c r="AN76" s="118">
        <f t="shared" si="126"/>
        <v>5288</v>
      </c>
      <c r="AO76" s="118">
        <f t="shared" si="126"/>
        <v>5135</v>
      </c>
      <c r="AP76" s="118">
        <f t="shared" si="126"/>
        <v>5287</v>
      </c>
      <c r="AQ76" s="118">
        <f t="shared" si="127"/>
        <v>3165</v>
      </c>
      <c r="AR76" s="118">
        <f t="shared" si="127"/>
        <v>2862</v>
      </c>
      <c r="AS76" s="118">
        <f t="shared" si="127"/>
        <v>2882</v>
      </c>
      <c r="AT76" s="118">
        <f t="shared" si="127"/>
        <v>5838</v>
      </c>
      <c r="AU76" s="118">
        <f t="shared" si="127"/>
        <v>5974</v>
      </c>
      <c r="AV76" s="118">
        <f t="shared" si="127"/>
        <v>7492</v>
      </c>
      <c r="AW76" s="118">
        <f t="shared" si="127"/>
        <v>6534</v>
      </c>
      <c r="AX76" s="118">
        <f t="shared" si="128"/>
        <v>7562</v>
      </c>
      <c r="AY76" s="118">
        <f t="shared" si="128"/>
        <v>6412</v>
      </c>
      <c r="AZ76" s="118">
        <f t="shared" si="128"/>
        <v>6978</v>
      </c>
      <c r="BA76" s="118">
        <v>6930</v>
      </c>
      <c r="BB76" s="118">
        <v>6589</v>
      </c>
      <c r="BC76" s="118">
        <v>17570</v>
      </c>
      <c r="BD76" s="118">
        <v>17629</v>
      </c>
      <c r="BE76" s="118">
        <v>18489</v>
      </c>
      <c r="BF76" s="118">
        <f>+BF64-BF70</f>
        <v>18962</v>
      </c>
    </row>
    <row r="77" spans="1:58" x14ac:dyDescent="0.25">
      <c r="A77" s="70" t="s">
        <v>409</v>
      </c>
      <c r="B77" s="70" t="s">
        <v>981</v>
      </c>
      <c r="D77" s="129" t="str">
        <f>IF([1]RENAME!$H$3=1,B77,A77)</f>
        <v>Cíveis</v>
      </c>
      <c r="E77" s="129"/>
      <c r="F77" s="130"/>
      <c r="G77" s="130">
        <v>0</v>
      </c>
      <c r="H77" s="130">
        <v>0</v>
      </c>
      <c r="I77" s="130">
        <v>0</v>
      </c>
      <c r="J77" s="130">
        <v>0</v>
      </c>
      <c r="K77" s="130">
        <v>0</v>
      </c>
      <c r="L77" s="118">
        <f t="shared" si="121"/>
        <v>3102</v>
      </c>
      <c r="M77" s="118">
        <v>0</v>
      </c>
      <c r="N77" s="118">
        <v>0</v>
      </c>
      <c r="O77" s="118">
        <f t="shared" si="121"/>
        <v>3185</v>
      </c>
      <c r="P77" s="118">
        <f t="shared" si="121"/>
        <v>3194</v>
      </c>
      <c r="Q77" s="118">
        <f t="shared" si="122"/>
        <v>3923</v>
      </c>
      <c r="R77" s="118">
        <f t="shared" si="122"/>
        <v>3821</v>
      </c>
      <c r="S77" s="118">
        <f t="shared" si="122"/>
        <v>3815</v>
      </c>
      <c r="T77" s="118">
        <v>7833</v>
      </c>
      <c r="U77" s="118">
        <v>8038</v>
      </c>
      <c r="V77" s="118">
        <v>8538</v>
      </c>
      <c r="W77" s="118">
        <v>6913</v>
      </c>
      <c r="X77" s="118">
        <f t="shared" si="123"/>
        <v>6912</v>
      </c>
      <c r="Y77" s="118">
        <v>741</v>
      </c>
      <c r="Z77" s="118">
        <f t="shared" si="124"/>
        <v>561</v>
      </c>
      <c r="AA77" s="118">
        <f t="shared" si="124"/>
        <v>224</v>
      </c>
      <c r="AB77" s="118">
        <f t="shared" si="124"/>
        <v>222</v>
      </c>
      <c r="AC77" s="118">
        <f t="shared" si="124"/>
        <v>2302</v>
      </c>
      <c r="AD77" s="118">
        <v>3269</v>
      </c>
      <c r="AE77" s="118">
        <v>3258</v>
      </c>
      <c r="AF77" s="118">
        <v>266</v>
      </c>
      <c r="AG77" s="118">
        <f t="shared" si="125"/>
        <v>222</v>
      </c>
      <c r="AH77" s="118">
        <v>224</v>
      </c>
      <c r="AI77" s="118">
        <v>141</v>
      </c>
      <c r="AJ77" s="118">
        <v>152</v>
      </c>
      <c r="AK77" s="118">
        <f t="shared" si="126"/>
        <v>144</v>
      </c>
      <c r="AL77" s="118">
        <f t="shared" si="126"/>
        <v>145</v>
      </c>
      <c r="AM77" s="118">
        <f t="shared" si="126"/>
        <v>170</v>
      </c>
      <c r="AN77" s="118">
        <f t="shared" si="126"/>
        <v>174</v>
      </c>
      <c r="AO77" s="118">
        <f t="shared" si="126"/>
        <v>158</v>
      </c>
      <c r="AP77" s="118">
        <f t="shared" si="126"/>
        <v>218</v>
      </c>
      <c r="AQ77" s="118">
        <f t="shared" si="127"/>
        <v>217</v>
      </c>
      <c r="AR77" s="118">
        <f t="shared" si="127"/>
        <v>241</v>
      </c>
      <c r="AS77" s="118">
        <f t="shared" si="127"/>
        <v>242</v>
      </c>
      <c r="AT77" s="118">
        <f t="shared" si="127"/>
        <v>275</v>
      </c>
      <c r="AU77" s="118">
        <f t="shared" si="127"/>
        <v>209</v>
      </c>
      <c r="AV77" s="118">
        <f t="shared" si="127"/>
        <v>79</v>
      </c>
      <c r="AW77" s="118">
        <f t="shared" si="127"/>
        <v>81</v>
      </c>
      <c r="AX77" s="118">
        <f t="shared" si="128"/>
        <v>82</v>
      </c>
      <c r="AY77" s="118">
        <f t="shared" si="128"/>
        <v>82</v>
      </c>
      <c r="AZ77" s="118">
        <f t="shared" si="128"/>
        <v>82</v>
      </c>
      <c r="BA77" s="118">
        <v>85</v>
      </c>
      <c r="BB77" s="118">
        <v>130</v>
      </c>
      <c r="BC77" s="118">
        <v>132</v>
      </c>
      <c r="BD77" s="118">
        <v>131</v>
      </c>
      <c r="BE77" s="118">
        <v>106</v>
      </c>
      <c r="BF77" s="118">
        <f>+BF65-BF71</f>
        <v>204</v>
      </c>
    </row>
    <row r="78" spans="1:58" x14ac:dyDescent="0.25">
      <c r="A78" s="70" t="s">
        <v>73</v>
      </c>
      <c r="B78" s="70" t="s">
        <v>73</v>
      </c>
      <c r="D78" s="126" t="str">
        <f>IF([1]RENAME!$H$3=1,B78,A78)</f>
        <v>TOTAL</v>
      </c>
      <c r="E78" s="126"/>
      <c r="F78" s="120"/>
      <c r="G78" s="120">
        <v>0</v>
      </c>
      <c r="H78" s="120">
        <v>0</v>
      </c>
      <c r="I78" s="120">
        <v>0</v>
      </c>
      <c r="J78" s="120">
        <v>0</v>
      </c>
      <c r="K78" s="120">
        <v>0</v>
      </c>
      <c r="L78" s="120">
        <f t="shared" si="121"/>
        <v>70326</v>
      </c>
      <c r="M78" s="120">
        <v>0</v>
      </c>
      <c r="N78" s="120">
        <v>0</v>
      </c>
      <c r="O78" s="120">
        <f t="shared" si="121"/>
        <v>45568</v>
      </c>
      <c r="P78" s="120">
        <f t="shared" si="121"/>
        <v>50901</v>
      </c>
      <c r="Q78" s="120">
        <f t="shared" si="122"/>
        <v>51372</v>
      </c>
      <c r="R78" s="120">
        <f t="shared" si="122"/>
        <v>51063</v>
      </c>
      <c r="S78" s="120">
        <f t="shared" si="122"/>
        <v>53666</v>
      </c>
      <c r="T78" s="120">
        <f t="shared" si="122"/>
        <v>56888</v>
      </c>
      <c r="U78" s="120">
        <f t="shared" si="122"/>
        <v>59338</v>
      </c>
      <c r="V78" s="120">
        <f t="shared" si="122"/>
        <v>19942</v>
      </c>
      <c r="W78" s="120">
        <f t="shared" si="123"/>
        <v>20089</v>
      </c>
      <c r="X78" s="120">
        <f t="shared" si="123"/>
        <v>23698</v>
      </c>
      <c r="Y78" s="120">
        <f>+Y66-Y72</f>
        <v>11788</v>
      </c>
      <c r="Z78" s="120">
        <f t="shared" si="124"/>
        <v>12747</v>
      </c>
      <c r="AA78" s="120">
        <f t="shared" si="124"/>
        <v>8131</v>
      </c>
      <c r="AB78" s="120">
        <f t="shared" si="124"/>
        <v>7397</v>
      </c>
      <c r="AC78" s="120">
        <f t="shared" si="124"/>
        <v>9410</v>
      </c>
      <c r="AD78" s="120">
        <f>+AD66-AD72</f>
        <v>9080</v>
      </c>
      <c r="AE78" s="120">
        <f>+AE66-AE72</f>
        <v>9623</v>
      </c>
      <c r="AF78" s="120">
        <f>+AF66-AF72</f>
        <v>8565</v>
      </c>
      <c r="AG78" s="120">
        <f t="shared" si="125"/>
        <v>6355</v>
      </c>
      <c r="AH78" s="120">
        <f t="shared" si="125"/>
        <v>6037</v>
      </c>
      <c r="AI78" s="120">
        <f>+AI66-AI72</f>
        <v>6819</v>
      </c>
      <c r="AJ78" s="120">
        <f>+AJ66-AJ72</f>
        <v>6442</v>
      </c>
      <c r="AK78" s="120">
        <f t="shared" si="126"/>
        <v>6388</v>
      </c>
      <c r="AL78" s="120">
        <f t="shared" si="126"/>
        <v>6522</v>
      </c>
      <c r="AM78" s="120">
        <f t="shared" si="126"/>
        <v>6618</v>
      </c>
      <c r="AN78" s="120">
        <f t="shared" si="126"/>
        <v>6981</v>
      </c>
      <c r="AO78" s="120">
        <f t="shared" si="126"/>
        <v>6915</v>
      </c>
      <c r="AP78" s="120">
        <f t="shared" si="126"/>
        <v>6999</v>
      </c>
      <c r="AQ78" s="120">
        <f t="shared" si="127"/>
        <v>5631</v>
      </c>
      <c r="AR78" s="120">
        <f t="shared" si="127"/>
        <v>6474</v>
      </c>
      <c r="AS78" s="120">
        <f t="shared" si="127"/>
        <v>7430</v>
      </c>
      <c r="AT78" s="120">
        <f t="shared" si="127"/>
        <v>10077</v>
      </c>
      <c r="AU78" s="120">
        <f t="shared" si="127"/>
        <v>9967</v>
      </c>
      <c r="AV78" s="120">
        <f t="shared" si="127"/>
        <v>10501</v>
      </c>
      <c r="AW78" s="120">
        <f t="shared" si="127"/>
        <v>8940</v>
      </c>
      <c r="AX78" s="120">
        <f t="shared" si="128"/>
        <v>8007</v>
      </c>
      <c r="AY78" s="120">
        <f t="shared" si="128"/>
        <v>6797</v>
      </c>
      <c r="AZ78" s="120">
        <f t="shared" si="128"/>
        <v>7894</v>
      </c>
      <c r="BA78" s="120">
        <f>+BA66-BA72</f>
        <v>8220</v>
      </c>
      <c r="BB78" s="120">
        <f>+BB66-BB72</f>
        <v>7757</v>
      </c>
      <c r="BC78" s="120">
        <v>18953</v>
      </c>
      <c r="BD78" s="120">
        <v>19910</v>
      </c>
      <c r="BE78" s="120">
        <v>20733</v>
      </c>
      <c r="BF78" s="120">
        <f>+BF66-BF72</f>
        <v>21501</v>
      </c>
    </row>
    <row r="80" spans="1:58" x14ac:dyDescent="0.25">
      <c r="A80" s="70" t="s">
        <v>1180</v>
      </c>
      <c r="B80" s="70" t="s">
        <v>1185</v>
      </c>
      <c r="D80" s="955" t="str">
        <f>IF([1]RENAME!$H$3=1,B80,A80)</f>
        <v>Movimentação contingências</v>
      </c>
      <c r="E80" s="956"/>
      <c r="F80" s="956"/>
      <c r="G80" s="956"/>
      <c r="H80" s="956"/>
      <c r="I80" s="956"/>
      <c r="J80" s="956"/>
      <c r="K80" s="956"/>
      <c r="L80" s="954"/>
      <c r="M80" s="954"/>
      <c r="N80" s="954"/>
      <c r="O80" s="954"/>
      <c r="P80" s="954"/>
      <c r="Q80" s="954"/>
      <c r="R80" s="954"/>
      <c r="S80" s="954"/>
      <c r="T80" s="954"/>
      <c r="U80" s="954"/>
      <c r="V80" s="954"/>
      <c r="W80" s="954"/>
      <c r="X80" s="954"/>
      <c r="Y80" s="954"/>
      <c r="Z80" s="954"/>
      <c r="AA80" s="954"/>
      <c r="AB80" s="954"/>
      <c r="AC80" s="954"/>
      <c r="AD80" s="954"/>
      <c r="AE80" s="954"/>
      <c r="AF80" s="954"/>
      <c r="AG80" s="954"/>
      <c r="AH80" s="954"/>
      <c r="AI80" s="954"/>
      <c r="AJ80" s="954"/>
      <c r="AK80" s="954"/>
      <c r="AL80" s="954"/>
      <c r="AM80" s="954"/>
      <c r="AN80" s="954"/>
      <c r="AO80" s="954"/>
      <c r="AP80" s="954"/>
      <c r="AQ80" s="954"/>
      <c r="AR80" s="954"/>
      <c r="AS80" s="954"/>
      <c r="AT80" s="954"/>
      <c r="AU80" s="954"/>
      <c r="AV80" s="954"/>
      <c r="AW80" s="954"/>
      <c r="AX80" s="954"/>
      <c r="AY80" s="954"/>
      <c r="AZ80" s="954"/>
      <c r="BA80" s="954"/>
      <c r="BB80" s="954"/>
      <c r="BC80" s="954"/>
      <c r="BD80" s="954"/>
      <c r="BE80" s="954"/>
      <c r="BF80" s="954"/>
    </row>
    <row r="81" spans="1:58" x14ac:dyDescent="0.25">
      <c r="A81" s="70" t="s">
        <v>96</v>
      </c>
      <c r="B81" s="70" t="s">
        <v>866</v>
      </c>
      <c r="D81" s="145" t="str">
        <f>IF([1]RENAME!$H$3=1,B81,A81)</f>
        <v>Consolidado</v>
      </c>
      <c r="E81" s="145" t="s">
        <v>160</v>
      </c>
      <c r="F81" s="145" t="s">
        <v>160</v>
      </c>
      <c r="G81" s="145" t="s">
        <v>160</v>
      </c>
      <c r="H81" s="145" t="s">
        <v>160</v>
      </c>
      <c r="I81" s="145" t="s">
        <v>160</v>
      </c>
      <c r="J81" s="145" t="s">
        <v>160</v>
      </c>
      <c r="K81" s="145" t="s">
        <v>160</v>
      </c>
      <c r="L81" s="115" t="s">
        <v>160</v>
      </c>
      <c r="M81" s="115" t="s">
        <v>160</v>
      </c>
      <c r="N81" s="115" t="s">
        <v>160</v>
      </c>
      <c r="O81" s="115" t="s">
        <v>160</v>
      </c>
      <c r="P81" s="115" t="s">
        <v>160</v>
      </c>
      <c r="Q81" s="115" t="s">
        <v>160</v>
      </c>
      <c r="R81" s="115" t="s">
        <v>160</v>
      </c>
      <c r="S81" s="115" t="s">
        <v>160</v>
      </c>
      <c r="T81" s="115" t="s">
        <v>160</v>
      </c>
      <c r="U81" s="115" t="str">
        <f>U$5</f>
        <v>1T17</v>
      </c>
      <c r="V81" s="115" t="str">
        <f t="shared" ref="V81:BF81" si="129">V$5</f>
        <v>2T17</v>
      </c>
      <c r="W81" s="115" t="str">
        <f t="shared" si="129"/>
        <v>3T17</v>
      </c>
      <c r="X81" s="115" t="str">
        <f t="shared" si="129"/>
        <v>4T17</v>
      </c>
      <c r="Y81" s="115" t="str">
        <f t="shared" si="129"/>
        <v>1T18</v>
      </c>
      <c r="Z81" s="115" t="str">
        <f t="shared" si="129"/>
        <v>2T18</v>
      </c>
      <c r="AA81" s="115" t="str">
        <f t="shared" si="129"/>
        <v>3T18</v>
      </c>
      <c r="AB81" s="115" t="str">
        <f t="shared" si="129"/>
        <v>4T18</v>
      </c>
      <c r="AC81" s="115" t="str">
        <f t="shared" si="129"/>
        <v>1T19</v>
      </c>
      <c r="AD81" s="115" t="str">
        <f t="shared" si="129"/>
        <v>2T19</v>
      </c>
      <c r="AE81" s="115" t="str">
        <f t="shared" si="129"/>
        <v>3T19</v>
      </c>
      <c r="AF81" s="115" t="str">
        <f t="shared" si="129"/>
        <v>4T19</v>
      </c>
      <c r="AG81" s="115" t="str">
        <f t="shared" si="129"/>
        <v>1T20</v>
      </c>
      <c r="AH81" s="115" t="str">
        <f t="shared" si="129"/>
        <v>2T20</v>
      </c>
      <c r="AI81" s="115" t="str">
        <f t="shared" si="129"/>
        <v>3T20</v>
      </c>
      <c r="AJ81" s="115" t="str">
        <f t="shared" si="129"/>
        <v>4T20</v>
      </c>
      <c r="AK81" s="115" t="str">
        <f t="shared" si="129"/>
        <v>1T21</v>
      </c>
      <c r="AL81" s="115" t="str">
        <f t="shared" si="129"/>
        <v>2T21</v>
      </c>
      <c r="AM81" s="115" t="str">
        <f t="shared" si="129"/>
        <v>3T21</v>
      </c>
      <c r="AN81" s="115" t="str">
        <f t="shared" si="129"/>
        <v>4T21</v>
      </c>
      <c r="AO81" s="115" t="str">
        <f t="shared" si="129"/>
        <v>1T22</v>
      </c>
      <c r="AP81" s="115" t="str">
        <f t="shared" si="129"/>
        <v>2T22</v>
      </c>
      <c r="AQ81" s="115" t="str">
        <f t="shared" si="129"/>
        <v>3T22</v>
      </c>
      <c r="AR81" s="115" t="str">
        <f t="shared" si="129"/>
        <v>4T22</v>
      </c>
      <c r="AS81" s="115" t="str">
        <f t="shared" si="129"/>
        <v>1T23</v>
      </c>
      <c r="AT81" s="115" t="str">
        <f t="shared" si="129"/>
        <v>2T23</v>
      </c>
      <c r="AU81" s="115" t="str">
        <f t="shared" si="129"/>
        <v>3T23</v>
      </c>
      <c r="AV81" s="115" t="str">
        <f t="shared" si="129"/>
        <v>4T23</v>
      </c>
      <c r="AW81" s="115" t="str">
        <f t="shared" si="129"/>
        <v>1T24</v>
      </c>
      <c r="AX81" s="115" t="str">
        <f t="shared" si="129"/>
        <v>2T24</v>
      </c>
      <c r="AY81" s="115" t="str">
        <f t="shared" si="129"/>
        <v>3T24</v>
      </c>
      <c r="AZ81" s="115" t="str">
        <f t="shared" si="129"/>
        <v>4T24</v>
      </c>
      <c r="BA81" s="115" t="str">
        <f t="shared" si="129"/>
        <v>1T25</v>
      </c>
      <c r="BB81" s="115" t="str">
        <f t="shared" si="129"/>
        <v>2T25</v>
      </c>
      <c r="BC81" s="115" t="s">
        <v>2242</v>
      </c>
      <c r="BD81" s="115" t="s">
        <v>2244</v>
      </c>
      <c r="BE81" s="115" t="s">
        <v>2284</v>
      </c>
      <c r="BF81" s="115" t="str">
        <f t="shared" si="129"/>
        <v>2T26</v>
      </c>
    </row>
    <row r="82" spans="1:58" x14ac:dyDescent="0.25">
      <c r="A82" s="70" t="s">
        <v>188</v>
      </c>
      <c r="B82" s="70" t="s">
        <v>1186</v>
      </c>
      <c r="D82" s="126" t="str">
        <f>IF([1]RENAME!$H$3=1,B82,A82)</f>
        <v>Saldo inicial</v>
      </c>
      <c r="E82" s="120">
        <v>0</v>
      </c>
      <c r="F82" s="120">
        <v>0</v>
      </c>
      <c r="G82" s="120">
        <v>0</v>
      </c>
      <c r="H82" s="120">
        <v>0</v>
      </c>
      <c r="I82" s="120">
        <v>0</v>
      </c>
      <c r="J82" s="120">
        <v>0</v>
      </c>
      <c r="K82" s="120">
        <v>0</v>
      </c>
      <c r="L82" s="120">
        <v>0</v>
      </c>
      <c r="M82" s="120">
        <v>0</v>
      </c>
      <c r="N82" s="120">
        <v>0</v>
      </c>
      <c r="O82" s="120">
        <v>0</v>
      </c>
      <c r="P82" s="120">
        <v>0</v>
      </c>
      <c r="Q82" s="120">
        <v>0</v>
      </c>
      <c r="R82" s="120">
        <v>0</v>
      </c>
      <c r="S82" s="120">
        <v>0</v>
      </c>
      <c r="T82" s="120">
        <v>0</v>
      </c>
      <c r="U82" s="120">
        <v>14938</v>
      </c>
      <c r="V82" s="120">
        <f t="shared" ref="V82:AC82" si="130">+U91</f>
        <v>14709.10462</v>
      </c>
      <c r="W82" s="120">
        <f t="shared" si="130"/>
        <v>36603.414620000003</v>
      </c>
      <c r="X82" s="120">
        <f t="shared" si="130"/>
        <v>34954.246920000005</v>
      </c>
      <c r="Y82" s="120">
        <f t="shared" si="130"/>
        <v>38983.000000000007</v>
      </c>
      <c r="Z82" s="120">
        <f t="shared" si="130"/>
        <v>43770.000000000007</v>
      </c>
      <c r="AA82" s="120">
        <f t="shared" si="130"/>
        <v>41092.000000000007</v>
      </c>
      <c r="AB82" s="120">
        <f t="shared" si="130"/>
        <v>36834.000000000007</v>
      </c>
      <c r="AC82" s="120">
        <f t="shared" si="130"/>
        <v>44444.000000000007</v>
      </c>
      <c r="AD82" s="120">
        <f t="shared" ref="AD82:AJ82" si="131">+AC91</f>
        <v>43202.000000000007</v>
      </c>
      <c r="AE82" s="120">
        <f t="shared" si="131"/>
        <v>42750.000000000007</v>
      </c>
      <c r="AF82" s="120">
        <f t="shared" si="131"/>
        <v>36611.000000000007</v>
      </c>
      <c r="AG82" s="120">
        <f t="shared" si="131"/>
        <v>35266.000000000007</v>
      </c>
      <c r="AH82" s="120">
        <f t="shared" si="131"/>
        <v>36832.000000000007</v>
      </c>
      <c r="AI82" s="120">
        <f t="shared" si="131"/>
        <v>34213.000000000007</v>
      </c>
      <c r="AJ82" s="120">
        <f t="shared" si="131"/>
        <v>35552.000000000007</v>
      </c>
      <c r="AK82" s="120">
        <f t="shared" ref="AK82:AV82" si="132">+AJ91</f>
        <v>33878.000000000007</v>
      </c>
      <c r="AL82" s="120">
        <f t="shared" si="132"/>
        <v>33106.000000000007</v>
      </c>
      <c r="AM82" s="120">
        <f t="shared" si="132"/>
        <v>31961.000000000007</v>
      </c>
      <c r="AN82" s="120">
        <f t="shared" si="132"/>
        <v>26648.000000000007</v>
      </c>
      <c r="AO82" s="120">
        <f t="shared" si="132"/>
        <v>30830.000000000007</v>
      </c>
      <c r="AP82" s="120">
        <f t="shared" si="132"/>
        <v>29638.000000000007</v>
      </c>
      <c r="AQ82" s="120">
        <f t="shared" si="132"/>
        <v>26394.000000000007</v>
      </c>
      <c r="AR82" s="120">
        <f t="shared" si="132"/>
        <v>32330.000000000007</v>
      </c>
      <c r="AS82" s="120">
        <f t="shared" si="132"/>
        <v>28382.000000000007</v>
      </c>
      <c r="AT82" s="120">
        <f t="shared" si="132"/>
        <v>28655.000000000007</v>
      </c>
      <c r="AU82" s="120">
        <f t="shared" si="132"/>
        <v>26478.000000000007</v>
      </c>
      <c r="AV82" s="120">
        <f t="shared" si="132"/>
        <v>26648.000000000007</v>
      </c>
      <c r="AW82" s="120">
        <f t="shared" ref="AW82:BB82" si="133">+AV91</f>
        <v>28015.000000000007</v>
      </c>
      <c r="AX82" s="120">
        <f t="shared" si="133"/>
        <v>28737.000000000007</v>
      </c>
      <c r="AY82" s="120">
        <f t="shared" si="133"/>
        <v>29329.000000000007</v>
      </c>
      <c r="AZ82" s="120">
        <f t="shared" si="133"/>
        <v>28133.000000000007</v>
      </c>
      <c r="BA82" s="120">
        <f t="shared" si="133"/>
        <v>21692.000000000007</v>
      </c>
      <c r="BB82" s="120">
        <f t="shared" si="133"/>
        <v>22091.000000000007</v>
      </c>
      <c r="BC82" s="120">
        <v>22253.000000000007</v>
      </c>
      <c r="BD82" s="120">
        <v>21408.000000000007</v>
      </c>
      <c r="BE82" s="120">
        <v>20664</v>
      </c>
      <c r="BF82" s="120">
        <f>+BE91</f>
        <v>20125</v>
      </c>
    </row>
    <row r="83" spans="1:58" x14ac:dyDescent="0.25">
      <c r="A83" s="70" t="s">
        <v>2328</v>
      </c>
      <c r="B83" s="70" t="s">
        <v>2329</v>
      </c>
      <c r="D83" s="129" t="str">
        <f>IF([1]RENAME!$H$3=1,B83,A83)</f>
        <v>Constituição (reversão)</v>
      </c>
      <c r="E83" s="130">
        <v>0</v>
      </c>
      <c r="F83" s="130">
        <v>0</v>
      </c>
      <c r="G83" s="130">
        <v>0</v>
      </c>
      <c r="H83" s="130">
        <v>0</v>
      </c>
      <c r="I83" s="130">
        <v>0</v>
      </c>
      <c r="J83" s="130">
        <v>0</v>
      </c>
      <c r="K83" s="130">
        <v>0</v>
      </c>
      <c r="L83" s="118">
        <v>0</v>
      </c>
      <c r="M83" s="118">
        <v>0</v>
      </c>
      <c r="N83" s="118">
        <v>0</v>
      </c>
      <c r="O83" s="118">
        <v>0</v>
      </c>
      <c r="P83" s="118">
        <v>0</v>
      </c>
      <c r="Q83" s="118">
        <v>0</v>
      </c>
      <c r="R83" s="118">
        <v>0</v>
      </c>
      <c r="S83" s="118">
        <v>0</v>
      </c>
      <c r="T83" s="118">
        <v>0</v>
      </c>
      <c r="U83" s="118">
        <v>2762</v>
      </c>
      <c r="V83" s="118">
        <v>21052</v>
      </c>
      <c r="W83" s="118">
        <v>3614</v>
      </c>
      <c r="X83" s="260">
        <v>11012</v>
      </c>
      <c r="Y83" s="118">
        <f>10256+43</f>
        <v>10299</v>
      </c>
      <c r="Z83" s="118">
        <v>2111</v>
      </c>
      <c r="AA83" s="118">
        <v>3847</v>
      </c>
      <c r="AB83" s="118">
        <v>16226</v>
      </c>
      <c r="AC83" s="118">
        <v>4346</v>
      </c>
      <c r="AD83" s="118">
        <v>4486</v>
      </c>
      <c r="AE83" s="118">
        <v>5916</v>
      </c>
      <c r="AF83" s="118">
        <v>5934</v>
      </c>
      <c r="AG83" s="118">
        <v>5750</v>
      </c>
      <c r="AH83" s="118">
        <v>2009</v>
      </c>
      <c r="AI83" s="118">
        <v>5509</v>
      </c>
      <c r="AJ83" s="118">
        <v>1698</v>
      </c>
      <c r="AK83" s="118">
        <v>980</v>
      </c>
      <c r="AL83" s="118">
        <v>1036</v>
      </c>
      <c r="AM83" s="118">
        <v>4</v>
      </c>
      <c r="AN83" s="118">
        <v>2461</v>
      </c>
      <c r="AO83" s="118">
        <v>-561</v>
      </c>
      <c r="AP83" s="118">
        <v>27</v>
      </c>
      <c r="AQ83" s="260">
        <v>6931</v>
      </c>
      <c r="AR83" s="118">
        <v>415</v>
      </c>
      <c r="AS83" s="118">
        <v>478</v>
      </c>
      <c r="AT83" s="118">
        <v>197</v>
      </c>
      <c r="AU83" s="118">
        <v>369</v>
      </c>
      <c r="AV83" s="118">
        <v>1068</v>
      </c>
      <c r="AW83" s="118">
        <v>894</v>
      </c>
      <c r="AX83" s="118">
        <v>480</v>
      </c>
      <c r="AY83" s="118">
        <v>-23</v>
      </c>
      <c r="AZ83" s="118">
        <v>476</v>
      </c>
      <c r="BA83" s="118">
        <v>380</v>
      </c>
      <c r="BB83" s="118">
        <v>206</v>
      </c>
      <c r="BC83" s="118">
        <v>169</v>
      </c>
      <c r="BD83" s="118">
        <v>926</v>
      </c>
      <c r="BE83" s="118">
        <v>-760</v>
      </c>
      <c r="BF83" s="118">
        <f>('[3]16 Mov. Conting. NL'!$AD$50)-BE83</f>
        <v>8193</v>
      </c>
    </row>
    <row r="84" spans="1:58" x14ac:dyDescent="0.25">
      <c r="A84" s="70" t="s">
        <v>1602</v>
      </c>
      <c r="B84" s="70" t="s">
        <v>1603</v>
      </c>
      <c r="D84" s="129" t="str">
        <f>IF([1]RENAME!$H$3=1,B84,A84)</f>
        <v>Constituição INSS FAP</v>
      </c>
      <c r="E84" s="130">
        <v>0</v>
      </c>
      <c r="F84" s="130">
        <v>0</v>
      </c>
      <c r="G84" s="130">
        <v>0</v>
      </c>
      <c r="H84" s="130">
        <v>0</v>
      </c>
      <c r="I84" s="130">
        <v>0</v>
      </c>
      <c r="J84" s="130">
        <v>0</v>
      </c>
      <c r="K84" s="130">
        <v>0</v>
      </c>
      <c r="L84" s="130">
        <v>0</v>
      </c>
      <c r="M84" s="130">
        <v>0</v>
      </c>
      <c r="N84" s="130">
        <v>0</v>
      </c>
      <c r="O84" s="130">
        <v>0</v>
      </c>
      <c r="P84" s="130">
        <v>0</v>
      </c>
      <c r="Q84" s="130">
        <v>0</v>
      </c>
      <c r="R84" s="130">
        <v>0</v>
      </c>
      <c r="S84" s="130">
        <v>0</v>
      </c>
      <c r="T84" s="130">
        <v>0</v>
      </c>
      <c r="U84" s="130">
        <v>0</v>
      </c>
      <c r="V84" s="130">
        <v>0</v>
      </c>
      <c r="W84" s="130">
        <v>0</v>
      </c>
      <c r="X84" s="130">
        <v>0</v>
      </c>
      <c r="Y84" s="130">
        <v>0</v>
      </c>
      <c r="Z84" s="130">
        <v>0</v>
      </c>
      <c r="AA84" s="130">
        <v>0</v>
      </c>
      <c r="AB84" s="130">
        <v>0</v>
      </c>
      <c r="AC84" s="130">
        <v>0</v>
      </c>
      <c r="AD84" s="130">
        <v>0</v>
      </c>
      <c r="AE84" s="130">
        <v>0</v>
      </c>
      <c r="AF84" s="130">
        <v>418</v>
      </c>
      <c r="AG84" s="118">
        <v>95</v>
      </c>
      <c r="AH84" s="118">
        <v>71</v>
      </c>
      <c r="AI84" s="118">
        <v>79</v>
      </c>
      <c r="AJ84" s="118">
        <v>84</v>
      </c>
      <c r="AK84" s="118">
        <v>111</v>
      </c>
      <c r="AL84" s="118">
        <v>112</v>
      </c>
      <c r="AM84" s="118">
        <v>110</v>
      </c>
      <c r="AN84" s="118">
        <v>3667</v>
      </c>
      <c r="AO84" s="118">
        <v>780</v>
      </c>
      <c r="AP84" s="118">
        <v>254</v>
      </c>
      <c r="AQ84" s="118">
        <v>219</v>
      </c>
      <c r="AR84" s="118">
        <v>180</v>
      </c>
      <c r="AS84" s="118">
        <v>213</v>
      </c>
      <c r="AT84" s="118">
        <v>88</v>
      </c>
      <c r="AU84" s="118">
        <v>29</v>
      </c>
      <c r="AV84" s="118">
        <v>509</v>
      </c>
      <c r="AW84" s="118">
        <v>178</v>
      </c>
      <c r="AX84" s="118">
        <v>170</v>
      </c>
      <c r="AY84" s="118">
        <v>177</v>
      </c>
      <c r="AZ84" s="118">
        <v>233</v>
      </c>
      <c r="BA84" s="118">
        <v>199</v>
      </c>
      <c r="BB84" s="118">
        <v>220</v>
      </c>
      <c r="BC84" s="118">
        <v>97</v>
      </c>
      <c r="BD84" s="118">
        <v>319</v>
      </c>
      <c r="BE84" s="118">
        <v>144</v>
      </c>
      <c r="BF84" s="118">
        <f>('[3]16 Mov. Conting. NL'!$AD$51)-BE84</f>
        <v>199</v>
      </c>
    </row>
    <row r="85" spans="1:58" ht="24.75" customHeight="1" x14ac:dyDescent="0.25">
      <c r="A85" s="70" t="s">
        <v>1182</v>
      </c>
      <c r="B85" s="70" t="s">
        <v>1188</v>
      </c>
      <c r="D85" s="129" t="str">
        <f>IF([1]RENAME!$H$3=1,B85,A85)</f>
        <v>Transferência obrigação tributária</v>
      </c>
      <c r="E85" s="130">
        <v>0</v>
      </c>
      <c r="F85" s="130">
        <v>0</v>
      </c>
      <c r="G85" s="130">
        <v>0</v>
      </c>
      <c r="H85" s="130">
        <v>0</v>
      </c>
      <c r="I85" s="130">
        <v>0</v>
      </c>
      <c r="J85" s="130">
        <v>0</v>
      </c>
      <c r="K85" s="130">
        <v>0</v>
      </c>
      <c r="L85" s="118">
        <v>0</v>
      </c>
      <c r="M85" s="118">
        <v>0</v>
      </c>
      <c r="N85" s="118">
        <v>0</v>
      </c>
      <c r="O85" s="118">
        <v>0</v>
      </c>
      <c r="P85" s="118">
        <v>0</v>
      </c>
      <c r="Q85" s="118">
        <v>0</v>
      </c>
      <c r="R85" s="118">
        <v>0</v>
      </c>
      <c r="S85" s="118">
        <v>0</v>
      </c>
      <c r="T85" s="118">
        <v>0</v>
      </c>
      <c r="U85" s="118">
        <v>0</v>
      </c>
      <c r="V85" s="118">
        <v>5463.8</v>
      </c>
      <c r="W85" s="118">
        <v>49.112000000000002</v>
      </c>
      <c r="X85" s="118">
        <v>-48.912000000000262</v>
      </c>
      <c r="Y85" s="118">
        <v>0</v>
      </c>
      <c r="Z85" s="118" t="s">
        <v>160</v>
      </c>
      <c r="AA85" s="118" t="s">
        <v>160</v>
      </c>
      <c r="AB85" s="118">
        <v>0</v>
      </c>
      <c r="AC85" s="118">
        <v>0</v>
      </c>
      <c r="AD85" s="118">
        <v>0</v>
      </c>
      <c r="AE85" s="118">
        <v>0</v>
      </c>
      <c r="AF85" s="118">
        <v>0</v>
      </c>
      <c r="AG85" s="118">
        <v>0</v>
      </c>
      <c r="AH85" s="118">
        <v>0</v>
      </c>
      <c r="AI85" s="118">
        <v>0</v>
      </c>
      <c r="AJ85" s="118">
        <v>0</v>
      </c>
      <c r="AK85" s="118">
        <v>0</v>
      </c>
      <c r="AL85" s="118">
        <v>0</v>
      </c>
      <c r="AM85" s="118">
        <v>0</v>
      </c>
      <c r="AN85" s="118">
        <v>0</v>
      </c>
      <c r="AO85" s="118">
        <v>0</v>
      </c>
      <c r="AP85" s="118">
        <v>0</v>
      </c>
      <c r="AQ85" s="118">
        <v>0</v>
      </c>
      <c r="AR85" s="118">
        <v>0</v>
      </c>
      <c r="AS85" s="118">
        <v>0</v>
      </c>
      <c r="AT85" s="118">
        <v>0</v>
      </c>
      <c r="AU85" s="118">
        <v>0</v>
      </c>
      <c r="AV85" s="118">
        <v>0</v>
      </c>
      <c r="AW85" s="118">
        <v>0</v>
      </c>
      <c r="AX85" s="118">
        <v>0</v>
      </c>
      <c r="AY85" s="118">
        <v>0</v>
      </c>
      <c r="AZ85" s="118">
        <v>0</v>
      </c>
      <c r="BA85" s="118">
        <v>0</v>
      </c>
      <c r="BB85" s="118">
        <v>0</v>
      </c>
      <c r="BC85" s="118">
        <v>0</v>
      </c>
      <c r="BD85" s="118">
        <v>0</v>
      </c>
      <c r="BE85" s="118">
        <v>0</v>
      </c>
      <c r="BF85" s="118">
        <v>0</v>
      </c>
    </row>
    <row r="86" spans="1:58" x14ac:dyDescent="0.25">
      <c r="A86" s="70" t="s">
        <v>1311</v>
      </c>
      <c r="B86" s="70" t="s">
        <v>1311</v>
      </c>
      <c r="D86" s="129" t="str">
        <f>IF([1]RENAME!$H$3=1,B86,A86)</f>
        <v>Reestruturação societária</v>
      </c>
      <c r="E86" s="130" t="s">
        <v>160</v>
      </c>
      <c r="F86" s="130" t="s">
        <v>160</v>
      </c>
      <c r="G86" s="130" t="s">
        <v>160</v>
      </c>
      <c r="H86" s="130" t="s">
        <v>160</v>
      </c>
      <c r="I86" s="130" t="s">
        <v>160</v>
      </c>
      <c r="J86" s="130" t="s">
        <v>160</v>
      </c>
      <c r="K86" s="130" t="s">
        <v>160</v>
      </c>
      <c r="L86" s="118" t="s">
        <v>160</v>
      </c>
      <c r="M86" s="118" t="s">
        <v>160</v>
      </c>
      <c r="N86" s="118" t="s">
        <v>160</v>
      </c>
      <c r="O86" s="118" t="s">
        <v>160</v>
      </c>
      <c r="P86" s="118" t="s">
        <v>160</v>
      </c>
      <c r="Q86" s="118" t="s">
        <v>160</v>
      </c>
      <c r="R86" s="118" t="s">
        <v>160</v>
      </c>
      <c r="S86" s="118" t="s">
        <v>160</v>
      </c>
      <c r="T86" s="118" t="s">
        <v>160</v>
      </c>
      <c r="U86" s="118" t="s">
        <v>160</v>
      </c>
      <c r="V86" s="118" t="s">
        <v>160</v>
      </c>
      <c r="W86" s="118" t="s">
        <v>160</v>
      </c>
      <c r="X86" s="118" t="s">
        <v>160</v>
      </c>
      <c r="Y86" s="118">
        <v>-1482</v>
      </c>
      <c r="Z86" s="118">
        <v>0</v>
      </c>
      <c r="AA86" s="118">
        <v>0</v>
      </c>
      <c r="AB86" s="118">
        <v>0</v>
      </c>
      <c r="AC86" s="118">
        <v>0</v>
      </c>
      <c r="AD86" s="118" t="s">
        <v>160</v>
      </c>
      <c r="AE86" s="118" t="s">
        <v>160</v>
      </c>
      <c r="AF86" s="118" t="s">
        <v>160</v>
      </c>
      <c r="AG86" s="118" t="s">
        <v>160</v>
      </c>
      <c r="AH86" s="118" t="s">
        <v>160</v>
      </c>
      <c r="AI86" s="118" t="s">
        <v>160</v>
      </c>
      <c r="AJ86" s="118" t="s">
        <v>160</v>
      </c>
      <c r="AK86" s="118" t="s">
        <v>160</v>
      </c>
      <c r="AL86" s="118" t="s">
        <v>160</v>
      </c>
      <c r="AM86" s="118" t="s">
        <v>160</v>
      </c>
      <c r="AN86" s="118" t="s">
        <v>160</v>
      </c>
      <c r="AO86" s="118">
        <v>0</v>
      </c>
      <c r="AP86" s="118">
        <v>0</v>
      </c>
      <c r="AQ86" s="118">
        <v>0</v>
      </c>
      <c r="AR86" s="118">
        <v>0</v>
      </c>
      <c r="AS86" s="118">
        <v>0</v>
      </c>
      <c r="AT86" s="118">
        <v>0</v>
      </c>
      <c r="AU86" s="118">
        <v>0</v>
      </c>
      <c r="AV86" s="118">
        <v>0</v>
      </c>
      <c r="AW86" s="118">
        <v>0</v>
      </c>
      <c r="AX86" s="118">
        <v>0</v>
      </c>
      <c r="AY86" s="118">
        <v>0</v>
      </c>
      <c r="AZ86" s="118">
        <v>0</v>
      </c>
      <c r="BA86" s="118">
        <v>0</v>
      </c>
      <c r="BB86" s="118">
        <v>0</v>
      </c>
      <c r="BC86" s="118">
        <v>0</v>
      </c>
      <c r="BD86" s="118">
        <v>0</v>
      </c>
      <c r="BE86" s="118">
        <v>0</v>
      </c>
      <c r="BF86" s="118">
        <v>0</v>
      </c>
    </row>
    <row r="87" spans="1:58" x14ac:dyDescent="0.25">
      <c r="A87" s="70" t="s">
        <v>1253</v>
      </c>
      <c r="B87" s="70" t="s">
        <v>1252</v>
      </c>
      <c r="D87" s="129" t="str">
        <f>IF([1]RENAME!$H$3=1,B87,A87)</f>
        <v>Demandas judiciais a pagar</v>
      </c>
      <c r="E87" s="118">
        <v>0</v>
      </c>
      <c r="F87" s="118">
        <v>0</v>
      </c>
      <c r="G87" s="118">
        <v>0</v>
      </c>
      <c r="H87" s="118">
        <v>0</v>
      </c>
      <c r="I87" s="118">
        <v>0</v>
      </c>
      <c r="J87" s="118">
        <v>0</v>
      </c>
      <c r="K87" s="118">
        <v>0</v>
      </c>
      <c r="L87" s="118">
        <v>0</v>
      </c>
      <c r="M87" s="118">
        <v>0</v>
      </c>
      <c r="N87" s="118">
        <v>0</v>
      </c>
      <c r="O87" s="118">
        <v>0</v>
      </c>
      <c r="P87" s="118">
        <v>0</v>
      </c>
      <c r="Q87" s="118">
        <v>0</v>
      </c>
      <c r="R87" s="118">
        <v>0</v>
      </c>
      <c r="S87" s="118">
        <v>0</v>
      </c>
      <c r="T87" s="118">
        <v>0</v>
      </c>
      <c r="U87" s="118">
        <v>0</v>
      </c>
      <c r="V87" s="118">
        <v>0</v>
      </c>
      <c r="W87" s="118">
        <v>0</v>
      </c>
      <c r="X87" s="118">
        <v>-1095</v>
      </c>
      <c r="Y87" s="118">
        <v>1055</v>
      </c>
      <c r="Z87" s="118">
        <v>-1306</v>
      </c>
      <c r="AA87" s="118">
        <v>694</v>
      </c>
      <c r="AB87" s="118">
        <v>-1611</v>
      </c>
      <c r="AC87" s="118">
        <v>-229</v>
      </c>
      <c r="AD87" s="118">
        <v>124</v>
      </c>
      <c r="AE87" s="118">
        <v>-788</v>
      </c>
      <c r="AF87" s="118">
        <v>-1229</v>
      </c>
      <c r="AG87" s="118">
        <v>-58</v>
      </c>
      <c r="AH87" s="118">
        <v>27</v>
      </c>
      <c r="AI87" s="118">
        <v>-157</v>
      </c>
      <c r="AJ87" s="118">
        <v>-33</v>
      </c>
      <c r="AK87" s="118">
        <v>-81</v>
      </c>
      <c r="AL87" s="118">
        <v>-191</v>
      </c>
      <c r="AM87" s="118">
        <v>269</v>
      </c>
      <c r="AN87" s="118">
        <v>-10</v>
      </c>
      <c r="AO87" s="118">
        <v>-802</v>
      </c>
      <c r="AP87" s="118">
        <v>631</v>
      </c>
      <c r="AQ87" s="118">
        <v>161</v>
      </c>
      <c r="AR87" s="118">
        <v>-673</v>
      </c>
      <c r="AS87" s="118">
        <v>-65</v>
      </c>
      <c r="AT87" s="118">
        <v>-160</v>
      </c>
      <c r="AU87" s="118">
        <v>224</v>
      </c>
      <c r="AV87" s="118">
        <v>-30</v>
      </c>
      <c r="AW87" s="118">
        <v>-28</v>
      </c>
      <c r="AX87" s="118">
        <v>28</v>
      </c>
      <c r="AY87" s="118">
        <v>-3</v>
      </c>
      <c r="AZ87" s="118">
        <v>3</v>
      </c>
      <c r="BA87" s="118">
        <v>0</v>
      </c>
      <c r="BB87" s="118">
        <v>-7</v>
      </c>
      <c r="BC87" s="118">
        <v>-10</v>
      </c>
      <c r="BD87" s="118">
        <v>-311</v>
      </c>
      <c r="BE87" s="118">
        <v>0</v>
      </c>
      <c r="BF87" s="118">
        <f>('[3]16 Mov. Conting. NL'!$AD$52)-BE87</f>
        <v>-4439</v>
      </c>
    </row>
    <row r="88" spans="1:58" x14ac:dyDescent="0.25">
      <c r="A88" s="70" t="s">
        <v>1183</v>
      </c>
      <c r="B88" s="70" t="s">
        <v>1189</v>
      </c>
      <c r="D88" s="129" t="str">
        <f>IF([1]RENAME!$H$3=1,B88,A88)</f>
        <v>Baixa por deposito judicial</v>
      </c>
      <c r="E88" s="130">
        <v>0</v>
      </c>
      <c r="F88" s="130">
        <v>0</v>
      </c>
      <c r="G88" s="130">
        <v>0</v>
      </c>
      <c r="H88" s="130">
        <v>0</v>
      </c>
      <c r="I88" s="130">
        <v>0</v>
      </c>
      <c r="J88" s="130">
        <v>0</v>
      </c>
      <c r="K88" s="130">
        <v>0</v>
      </c>
      <c r="L88" s="118">
        <v>0</v>
      </c>
      <c r="M88" s="118">
        <v>0</v>
      </c>
      <c r="N88" s="118">
        <v>0</v>
      </c>
      <c r="O88" s="118">
        <v>0</v>
      </c>
      <c r="P88" s="118">
        <v>0</v>
      </c>
      <c r="Q88" s="118">
        <v>0</v>
      </c>
      <c r="R88" s="118">
        <v>0</v>
      </c>
      <c r="S88" s="118">
        <v>0</v>
      </c>
      <c r="T88" s="118">
        <v>0</v>
      </c>
      <c r="U88" s="118">
        <f>-1826.605</f>
        <v>-1826.605</v>
      </c>
      <c r="V88" s="118">
        <v>-818.49</v>
      </c>
      <c r="W88" s="118">
        <v>-3975.2797</v>
      </c>
      <c r="X88" s="118">
        <v>-2010.6253000000002</v>
      </c>
      <c r="Y88" s="118">
        <v>-521</v>
      </c>
      <c r="Z88" s="118">
        <v>-586</v>
      </c>
      <c r="AA88" s="118">
        <v>-602</v>
      </c>
      <c r="AB88" s="118">
        <v>-826</v>
      </c>
      <c r="AC88" s="118">
        <v>-789</v>
      </c>
      <c r="AD88" s="118">
        <v>-375</v>
      </c>
      <c r="AE88" s="118">
        <v>98</v>
      </c>
      <c r="AF88" s="118">
        <v>-120</v>
      </c>
      <c r="AG88" s="118">
        <v>-386</v>
      </c>
      <c r="AH88" s="118">
        <v>-353</v>
      </c>
      <c r="AI88" s="118">
        <v>-170</v>
      </c>
      <c r="AJ88" s="118">
        <v>677</v>
      </c>
      <c r="AK88" s="118">
        <v>-136</v>
      </c>
      <c r="AL88" s="118">
        <v>-230</v>
      </c>
      <c r="AM88" s="118">
        <v>-82</v>
      </c>
      <c r="AN88" s="118">
        <v>-457</v>
      </c>
      <c r="AO88" s="118">
        <v>-108</v>
      </c>
      <c r="AP88" s="118">
        <v>-140</v>
      </c>
      <c r="AQ88" s="118">
        <v>-506</v>
      </c>
      <c r="AR88" s="118">
        <v>-626</v>
      </c>
      <c r="AS88" s="118">
        <v>-90</v>
      </c>
      <c r="AT88" s="118">
        <v>-343</v>
      </c>
      <c r="AU88" s="118">
        <v>-37</v>
      </c>
      <c r="AV88" s="118">
        <v>-44</v>
      </c>
      <c r="AW88" s="118">
        <v>-57</v>
      </c>
      <c r="AX88" s="118">
        <v>-77</v>
      </c>
      <c r="AY88" s="118">
        <v>-216</v>
      </c>
      <c r="AZ88" s="118">
        <v>-218</v>
      </c>
      <c r="BA88" s="118">
        <v>-50</v>
      </c>
      <c r="BB88" s="118">
        <v>-66</v>
      </c>
      <c r="BC88" s="118">
        <v>-15</v>
      </c>
      <c r="BD88" s="118">
        <v>-273</v>
      </c>
      <c r="BE88" s="118">
        <v>-25</v>
      </c>
      <c r="BF88" s="118">
        <f>('[3]16 Mov. Conting. NL'!$AD$53)-BE88</f>
        <v>-723</v>
      </c>
    </row>
    <row r="89" spans="1:58" x14ac:dyDescent="0.25">
      <c r="A89" s="70" t="s">
        <v>49</v>
      </c>
      <c r="B89" s="70" t="s">
        <v>728</v>
      </c>
      <c r="D89" s="129" t="str">
        <f>IF([1]RENAME!$H$3=1,B89,A89)</f>
        <v>Outros</v>
      </c>
      <c r="E89" s="130">
        <v>0</v>
      </c>
      <c r="F89" s="130">
        <v>0</v>
      </c>
      <c r="G89" s="130">
        <v>0</v>
      </c>
      <c r="H89" s="130">
        <v>0</v>
      </c>
      <c r="I89" s="130">
        <v>0</v>
      </c>
      <c r="J89" s="130">
        <v>0</v>
      </c>
      <c r="K89" s="130">
        <v>0</v>
      </c>
      <c r="L89" s="118">
        <v>0</v>
      </c>
      <c r="M89" s="118">
        <v>0</v>
      </c>
      <c r="N89" s="118">
        <v>0</v>
      </c>
      <c r="O89" s="118">
        <v>0</v>
      </c>
      <c r="P89" s="118">
        <v>0</v>
      </c>
      <c r="Q89" s="118">
        <v>0</v>
      </c>
      <c r="R89" s="118">
        <v>0</v>
      </c>
      <c r="S89" s="118">
        <v>0</v>
      </c>
      <c r="T89" s="118">
        <v>0</v>
      </c>
      <c r="U89" s="118">
        <v>0</v>
      </c>
      <c r="V89" s="118">
        <v>0</v>
      </c>
      <c r="W89" s="118">
        <v>0</v>
      </c>
      <c r="X89" s="118">
        <v>0</v>
      </c>
      <c r="Y89" s="118">
        <v>0</v>
      </c>
      <c r="Z89" s="118">
        <v>0</v>
      </c>
      <c r="AA89" s="118">
        <v>0</v>
      </c>
      <c r="AB89" s="118">
        <v>0</v>
      </c>
      <c r="AC89" s="118">
        <v>0</v>
      </c>
      <c r="AD89" s="118">
        <v>0</v>
      </c>
      <c r="AE89" s="118">
        <v>0</v>
      </c>
      <c r="AF89" s="118">
        <v>0</v>
      </c>
      <c r="AG89" s="118">
        <v>0</v>
      </c>
      <c r="AH89" s="118">
        <v>0</v>
      </c>
      <c r="AI89" s="118">
        <v>0</v>
      </c>
      <c r="AJ89" s="118">
        <v>0</v>
      </c>
      <c r="AK89" s="118">
        <v>0</v>
      </c>
      <c r="AL89" s="118">
        <v>0</v>
      </c>
      <c r="AM89" s="118">
        <v>0</v>
      </c>
      <c r="AN89" s="118">
        <v>0</v>
      </c>
      <c r="AO89" s="118">
        <v>494</v>
      </c>
      <c r="AP89" s="118">
        <v>1</v>
      </c>
      <c r="AQ89" s="118">
        <v>452</v>
      </c>
      <c r="AR89" s="118">
        <v>-1</v>
      </c>
      <c r="AS89" s="118">
        <v>0</v>
      </c>
      <c r="AT89" s="118">
        <v>0</v>
      </c>
      <c r="AU89" s="118">
        <v>0</v>
      </c>
      <c r="AV89" s="118">
        <v>0</v>
      </c>
      <c r="AW89" s="118">
        <v>0</v>
      </c>
      <c r="AX89" s="118">
        <v>0</v>
      </c>
      <c r="AY89" s="118">
        <v>0</v>
      </c>
      <c r="AZ89" s="118">
        <v>0</v>
      </c>
      <c r="BA89" s="118">
        <v>0</v>
      </c>
      <c r="BB89" s="118">
        <v>0</v>
      </c>
      <c r="BC89" s="118">
        <v>0</v>
      </c>
      <c r="BD89" s="118">
        <v>0</v>
      </c>
      <c r="BE89" s="118">
        <v>0</v>
      </c>
      <c r="BF89" s="118">
        <f>('[3]16 Mov. Conting. NL'!$AB$55-SUM(AZ89))-BE89</f>
        <v>0</v>
      </c>
    </row>
    <row r="90" spans="1:58" x14ac:dyDescent="0.25">
      <c r="A90" s="70" t="s">
        <v>1184</v>
      </c>
      <c r="B90" s="70" t="s">
        <v>1190</v>
      </c>
      <c r="D90" s="129" t="str">
        <f>IF([1]RENAME!$H$3=1,B90,A90)</f>
        <v>Pagamento</v>
      </c>
      <c r="E90" s="130">
        <v>0</v>
      </c>
      <c r="F90" s="130">
        <v>0</v>
      </c>
      <c r="G90" s="130">
        <v>0</v>
      </c>
      <c r="H90" s="130">
        <v>0</v>
      </c>
      <c r="I90" s="130">
        <v>0</v>
      </c>
      <c r="J90" s="130">
        <v>0</v>
      </c>
      <c r="K90" s="130">
        <v>0</v>
      </c>
      <c r="L90" s="118">
        <v>0</v>
      </c>
      <c r="M90" s="118">
        <v>0</v>
      </c>
      <c r="N90" s="118">
        <v>0</v>
      </c>
      <c r="O90" s="118">
        <v>0</v>
      </c>
      <c r="P90" s="118">
        <v>0</v>
      </c>
      <c r="Q90" s="118">
        <v>0</v>
      </c>
      <c r="R90" s="118">
        <v>0</v>
      </c>
      <c r="S90" s="118">
        <v>0</v>
      </c>
      <c r="T90" s="118">
        <v>0</v>
      </c>
      <c r="U90" s="118">
        <f>-904.29038-260</f>
        <v>-1164.2903799999999</v>
      </c>
      <c r="V90" s="118">
        <v>-3803</v>
      </c>
      <c r="W90" s="118">
        <v>-1337</v>
      </c>
      <c r="X90" s="118">
        <v>-3828.7096200000001</v>
      </c>
      <c r="Y90" s="118">
        <v>-4564</v>
      </c>
      <c r="Z90" s="118">
        <v>-2897</v>
      </c>
      <c r="AA90" s="118">
        <v>-8197</v>
      </c>
      <c r="AB90" s="118">
        <v>-6179</v>
      </c>
      <c r="AC90" s="118">
        <v>-4570</v>
      </c>
      <c r="AD90" s="118">
        <v>-4687</v>
      </c>
      <c r="AE90" s="259">
        <v>-11365</v>
      </c>
      <c r="AF90" s="118">
        <v>-6348</v>
      </c>
      <c r="AG90" s="118">
        <v>-3835</v>
      </c>
      <c r="AH90" s="118">
        <v>-4373</v>
      </c>
      <c r="AI90" s="118">
        <v>-3922</v>
      </c>
      <c r="AJ90" s="118">
        <v>-4100</v>
      </c>
      <c r="AK90" s="118">
        <v>-1646</v>
      </c>
      <c r="AL90" s="118">
        <v>-1872</v>
      </c>
      <c r="AM90" s="118">
        <v>-5614</v>
      </c>
      <c r="AN90" s="118">
        <v>-1479</v>
      </c>
      <c r="AO90" s="118">
        <v>-995</v>
      </c>
      <c r="AP90" s="118">
        <v>-4017</v>
      </c>
      <c r="AQ90" s="118">
        <v>-1321</v>
      </c>
      <c r="AR90" s="118">
        <v>-3243</v>
      </c>
      <c r="AS90" s="118">
        <v>-263</v>
      </c>
      <c r="AT90" s="118">
        <v>-1959</v>
      </c>
      <c r="AU90" s="118">
        <v>-415</v>
      </c>
      <c r="AV90" s="118">
        <v>-136</v>
      </c>
      <c r="AW90" s="118">
        <v>-265</v>
      </c>
      <c r="AX90" s="118">
        <v>-9</v>
      </c>
      <c r="AY90" s="118">
        <v>-1131</v>
      </c>
      <c r="AZ90" s="118">
        <v>-6935</v>
      </c>
      <c r="BA90" s="118">
        <v>-130</v>
      </c>
      <c r="BB90" s="118">
        <v>-191</v>
      </c>
      <c r="BC90" s="118">
        <v>-1086</v>
      </c>
      <c r="BD90" s="118">
        <v>-1405</v>
      </c>
      <c r="BE90" s="118">
        <v>102</v>
      </c>
      <c r="BF90" s="118">
        <f>('[3]16 Mov. Conting. NL'!$AD$54)-BE90</f>
        <v>-2544</v>
      </c>
    </row>
    <row r="91" spans="1:58" x14ac:dyDescent="0.25">
      <c r="A91" s="70" t="s">
        <v>191</v>
      </c>
      <c r="B91" s="70" t="s">
        <v>1191</v>
      </c>
      <c r="D91" s="126" t="str">
        <f>IF([1]RENAME!$H$3=1,B91,A91)</f>
        <v>Saldo final</v>
      </c>
      <c r="E91" s="120">
        <v>0</v>
      </c>
      <c r="F91" s="120">
        <v>0</v>
      </c>
      <c r="G91" s="120">
        <v>0</v>
      </c>
      <c r="H91" s="120">
        <v>0</v>
      </c>
      <c r="I91" s="120">
        <v>0</v>
      </c>
      <c r="J91" s="120">
        <v>0</v>
      </c>
      <c r="K91" s="120">
        <v>0</v>
      </c>
      <c r="L91" s="120">
        <v>0</v>
      </c>
      <c r="M91" s="120">
        <v>0</v>
      </c>
      <c r="N91" s="120">
        <v>0</v>
      </c>
      <c r="O91" s="120">
        <v>0</v>
      </c>
      <c r="P91" s="120">
        <v>0</v>
      </c>
      <c r="Q91" s="120">
        <v>0</v>
      </c>
      <c r="R91" s="120">
        <v>0</v>
      </c>
      <c r="S91" s="120">
        <v>0</v>
      </c>
      <c r="T91" s="120">
        <v>0</v>
      </c>
      <c r="U91" s="120">
        <f t="shared" ref="U91:AG91" si="134">+SUM(U82:U90)</f>
        <v>14709.10462</v>
      </c>
      <c r="V91" s="120">
        <f t="shared" si="134"/>
        <v>36603.414620000003</v>
      </c>
      <c r="W91" s="120">
        <f t="shared" si="134"/>
        <v>34954.246920000005</v>
      </c>
      <c r="X91" s="120">
        <f t="shared" si="134"/>
        <v>38983.000000000007</v>
      </c>
      <c r="Y91" s="120">
        <f t="shared" si="134"/>
        <v>43770.000000000007</v>
      </c>
      <c r="Z91" s="120">
        <f t="shared" si="134"/>
        <v>41092.000000000007</v>
      </c>
      <c r="AA91" s="120">
        <f t="shared" si="134"/>
        <v>36834.000000000007</v>
      </c>
      <c r="AB91" s="120">
        <f t="shared" si="134"/>
        <v>44444.000000000007</v>
      </c>
      <c r="AC91" s="120">
        <f t="shared" si="134"/>
        <v>43202.000000000007</v>
      </c>
      <c r="AD91" s="120">
        <f t="shared" si="134"/>
        <v>42750.000000000007</v>
      </c>
      <c r="AE91" s="120">
        <f t="shared" si="134"/>
        <v>36611.000000000007</v>
      </c>
      <c r="AF91" s="120">
        <f t="shared" si="134"/>
        <v>35266.000000000007</v>
      </c>
      <c r="AG91" s="120">
        <f t="shared" si="134"/>
        <v>36832.000000000007</v>
      </c>
      <c r="AH91" s="120">
        <f>+SUM(AH82:AH90)</f>
        <v>34213.000000000007</v>
      </c>
      <c r="AI91" s="120">
        <f>+SUM(AI82:AI90)</f>
        <v>35552.000000000007</v>
      </c>
      <c r="AJ91" s="120">
        <f>+SUM(AJ82:AJ90)</f>
        <v>33878.000000000007</v>
      </c>
      <c r="AK91" s="120">
        <f t="shared" ref="AK91:AP91" si="135">+SUM(AK82:AK90)</f>
        <v>33106.000000000007</v>
      </c>
      <c r="AL91" s="120">
        <f t="shared" si="135"/>
        <v>31961.000000000007</v>
      </c>
      <c r="AM91" s="120">
        <f t="shared" si="135"/>
        <v>26648.000000000007</v>
      </c>
      <c r="AN91" s="120">
        <f t="shared" si="135"/>
        <v>30830.000000000007</v>
      </c>
      <c r="AO91" s="120">
        <f t="shared" si="135"/>
        <v>29638.000000000007</v>
      </c>
      <c r="AP91" s="120">
        <f t="shared" si="135"/>
        <v>26394.000000000007</v>
      </c>
      <c r="AQ91" s="120">
        <f t="shared" ref="AQ91:BB91" si="136">+SUM(AQ82:AQ90)</f>
        <v>32330.000000000007</v>
      </c>
      <c r="AR91" s="120">
        <f t="shared" si="136"/>
        <v>28382.000000000007</v>
      </c>
      <c r="AS91" s="120">
        <f t="shared" si="136"/>
        <v>28655.000000000007</v>
      </c>
      <c r="AT91" s="120">
        <f t="shared" si="136"/>
        <v>26478.000000000007</v>
      </c>
      <c r="AU91" s="120">
        <f t="shared" si="136"/>
        <v>26648.000000000007</v>
      </c>
      <c r="AV91" s="120">
        <f t="shared" si="136"/>
        <v>28015.000000000007</v>
      </c>
      <c r="AW91" s="120">
        <f t="shared" si="136"/>
        <v>28737.000000000007</v>
      </c>
      <c r="AX91" s="120">
        <f t="shared" si="136"/>
        <v>29329.000000000007</v>
      </c>
      <c r="AY91" s="120">
        <f t="shared" si="136"/>
        <v>28133.000000000007</v>
      </c>
      <c r="AZ91" s="120">
        <f t="shared" si="136"/>
        <v>21692.000000000007</v>
      </c>
      <c r="BA91" s="120">
        <f t="shared" si="136"/>
        <v>22091.000000000007</v>
      </c>
      <c r="BB91" s="120">
        <f t="shared" si="136"/>
        <v>22253.000000000007</v>
      </c>
      <c r="BC91" s="120">
        <v>21408.000000000007</v>
      </c>
      <c r="BD91" s="120">
        <v>20664.000000000007</v>
      </c>
      <c r="BE91" s="120">
        <v>20125</v>
      </c>
      <c r="BF91" s="120">
        <f>+SUM(BF82:BF90)</f>
        <v>20811</v>
      </c>
    </row>
    <row r="92" spans="1:58" x14ac:dyDescent="0.25">
      <c r="U92" s="656">
        <f t="shared" ref="U92:AD92" si="137">U91-U47</f>
        <v>0.1046200000000681</v>
      </c>
      <c r="V92" s="656">
        <f t="shared" si="137"/>
        <v>0.41462000000319676</v>
      </c>
      <c r="W92" s="656">
        <f t="shared" si="137"/>
        <v>0.24692000000504777</v>
      </c>
      <c r="X92" s="657">
        <f t="shared" si="137"/>
        <v>0</v>
      </c>
      <c r="Y92" s="673">
        <f t="shared" si="137"/>
        <v>0</v>
      </c>
      <c r="Z92" s="673">
        <f t="shared" si="137"/>
        <v>0</v>
      </c>
      <c r="AA92" s="673">
        <f t="shared" si="137"/>
        <v>0</v>
      </c>
      <c r="AB92" s="673">
        <f t="shared" si="137"/>
        <v>0</v>
      </c>
      <c r="AC92" s="673">
        <f t="shared" si="137"/>
        <v>0</v>
      </c>
      <c r="AD92" s="673">
        <f t="shared" si="137"/>
        <v>0</v>
      </c>
      <c r="AE92" s="673">
        <v>0</v>
      </c>
      <c r="AF92" s="673">
        <f t="shared" ref="AF92:AK92" si="138">AF91-AF47</f>
        <v>0</v>
      </c>
      <c r="AG92" s="673">
        <f t="shared" si="138"/>
        <v>0</v>
      </c>
      <c r="AH92" s="673">
        <f t="shared" si="138"/>
        <v>0</v>
      </c>
      <c r="AI92" s="673">
        <f t="shared" si="138"/>
        <v>0</v>
      </c>
      <c r="AJ92" s="673">
        <f t="shared" si="138"/>
        <v>0</v>
      </c>
      <c r="AK92" s="673">
        <f t="shared" si="138"/>
        <v>0</v>
      </c>
      <c r="AL92" s="673">
        <v>0</v>
      </c>
      <c r="AM92" s="673">
        <v>0</v>
      </c>
      <c r="AN92" s="673"/>
      <c r="AO92" s="673">
        <v>0</v>
      </c>
      <c r="AP92" s="673">
        <f t="shared" ref="AP92:AU92" si="139">AP91-AP47</f>
        <v>0</v>
      </c>
      <c r="AQ92" s="673">
        <f t="shared" si="139"/>
        <v>0</v>
      </c>
      <c r="AR92" s="673">
        <f t="shared" si="139"/>
        <v>0</v>
      </c>
      <c r="AS92" s="673">
        <f t="shared" si="139"/>
        <v>0</v>
      </c>
      <c r="AT92" s="673">
        <f t="shared" si="139"/>
        <v>0</v>
      </c>
      <c r="AU92" s="673">
        <f t="shared" si="139"/>
        <v>0</v>
      </c>
      <c r="AV92" s="673">
        <f t="shared" ref="AV92:BB92" si="140">AV91-AV47</f>
        <v>0</v>
      </c>
      <c r="AW92" s="673">
        <f t="shared" si="140"/>
        <v>0</v>
      </c>
      <c r="AX92" s="673">
        <f t="shared" si="140"/>
        <v>0</v>
      </c>
      <c r="AY92" s="673">
        <f t="shared" si="140"/>
        <v>0</v>
      </c>
      <c r="AZ92" s="673">
        <f t="shared" si="140"/>
        <v>0</v>
      </c>
      <c r="BA92" s="673">
        <f t="shared" si="140"/>
        <v>0</v>
      </c>
      <c r="BB92" s="673">
        <f t="shared" si="140"/>
        <v>0</v>
      </c>
      <c r="BC92" s="673">
        <v>0</v>
      </c>
      <c r="BD92" s="673">
        <v>0</v>
      </c>
      <c r="BE92" s="673">
        <v>0</v>
      </c>
      <c r="BF92" s="673">
        <f>BF91-BF47</f>
        <v>0</v>
      </c>
    </row>
    <row r="93" spans="1:58" x14ac:dyDescent="0.25">
      <c r="A93" s="70" t="s">
        <v>97</v>
      </c>
      <c r="B93" s="70" t="s">
        <v>872</v>
      </c>
      <c r="D93" s="145" t="str">
        <f>IF([1]RENAME!$H$3=1,B93,A93)</f>
        <v>Controladora</v>
      </c>
      <c r="E93" s="145" t="s">
        <v>160</v>
      </c>
      <c r="F93" s="145" t="s">
        <v>160</v>
      </c>
      <c r="G93" s="145" t="s">
        <v>160</v>
      </c>
      <c r="H93" s="145" t="s">
        <v>160</v>
      </c>
      <c r="I93" s="145" t="s">
        <v>160</v>
      </c>
      <c r="J93" s="145" t="s">
        <v>160</v>
      </c>
      <c r="K93" s="145" t="s">
        <v>160</v>
      </c>
      <c r="L93" s="115" t="s">
        <v>160</v>
      </c>
      <c r="M93" s="115" t="s">
        <v>160</v>
      </c>
      <c r="N93" s="115" t="s">
        <v>160</v>
      </c>
      <c r="O93" s="115" t="s">
        <v>160</v>
      </c>
      <c r="P93" s="115" t="s">
        <v>160</v>
      </c>
      <c r="Q93" s="115" t="s">
        <v>160</v>
      </c>
      <c r="R93" s="115" t="s">
        <v>160</v>
      </c>
      <c r="S93" s="115" t="s">
        <v>160</v>
      </c>
      <c r="T93" s="115" t="s">
        <v>160</v>
      </c>
      <c r="U93" s="115" t="str">
        <f>U$5</f>
        <v>1T17</v>
      </c>
      <c r="V93" s="115" t="str">
        <f t="shared" ref="V93:BF93" si="141">V$5</f>
        <v>2T17</v>
      </c>
      <c r="W93" s="115" t="str">
        <f t="shared" si="141"/>
        <v>3T17</v>
      </c>
      <c r="X93" s="115" t="str">
        <f t="shared" si="141"/>
        <v>4T17</v>
      </c>
      <c r="Y93" s="115" t="str">
        <f t="shared" si="141"/>
        <v>1T18</v>
      </c>
      <c r="Z93" s="115" t="str">
        <f t="shared" si="141"/>
        <v>2T18</v>
      </c>
      <c r="AA93" s="115" t="str">
        <f t="shared" si="141"/>
        <v>3T18</v>
      </c>
      <c r="AB93" s="115" t="str">
        <f t="shared" si="141"/>
        <v>4T18</v>
      </c>
      <c r="AC93" s="115" t="str">
        <f t="shared" si="141"/>
        <v>1T19</v>
      </c>
      <c r="AD93" s="115" t="str">
        <f t="shared" si="141"/>
        <v>2T19</v>
      </c>
      <c r="AE93" s="115" t="str">
        <f t="shared" si="141"/>
        <v>3T19</v>
      </c>
      <c r="AF93" s="115" t="str">
        <f t="shared" si="141"/>
        <v>4T19</v>
      </c>
      <c r="AG93" s="115" t="str">
        <f t="shared" si="141"/>
        <v>1T20</v>
      </c>
      <c r="AH93" s="115" t="str">
        <f t="shared" si="141"/>
        <v>2T20</v>
      </c>
      <c r="AI93" s="115" t="str">
        <f t="shared" si="141"/>
        <v>3T20</v>
      </c>
      <c r="AJ93" s="115" t="str">
        <f t="shared" si="141"/>
        <v>4T20</v>
      </c>
      <c r="AK93" s="115" t="str">
        <f t="shared" si="141"/>
        <v>1T21</v>
      </c>
      <c r="AL93" s="115" t="str">
        <f t="shared" si="141"/>
        <v>2T21</v>
      </c>
      <c r="AM93" s="115" t="str">
        <f t="shared" si="141"/>
        <v>3T21</v>
      </c>
      <c r="AN93" s="115" t="str">
        <f t="shared" si="141"/>
        <v>4T21</v>
      </c>
      <c r="AO93" s="115" t="str">
        <f t="shared" si="141"/>
        <v>1T22</v>
      </c>
      <c r="AP93" s="115" t="str">
        <f t="shared" si="141"/>
        <v>2T22</v>
      </c>
      <c r="AQ93" s="115" t="str">
        <f t="shared" si="141"/>
        <v>3T22</v>
      </c>
      <c r="AR93" s="115" t="str">
        <f t="shared" si="141"/>
        <v>4T22</v>
      </c>
      <c r="AS93" s="115" t="str">
        <f t="shared" si="141"/>
        <v>1T23</v>
      </c>
      <c r="AT93" s="115" t="str">
        <f t="shared" si="141"/>
        <v>2T23</v>
      </c>
      <c r="AU93" s="115" t="str">
        <f t="shared" si="141"/>
        <v>3T23</v>
      </c>
      <c r="AV93" s="115" t="str">
        <f t="shared" si="141"/>
        <v>4T23</v>
      </c>
      <c r="AW93" s="115" t="str">
        <f t="shared" si="141"/>
        <v>1T24</v>
      </c>
      <c r="AX93" s="115" t="str">
        <f t="shared" si="141"/>
        <v>2T24</v>
      </c>
      <c r="AY93" s="115" t="str">
        <f t="shared" si="141"/>
        <v>3T24</v>
      </c>
      <c r="AZ93" s="115" t="str">
        <f t="shared" si="141"/>
        <v>4T24</v>
      </c>
      <c r="BA93" s="115" t="str">
        <f t="shared" si="141"/>
        <v>1T25</v>
      </c>
      <c r="BB93" s="115" t="str">
        <f t="shared" si="141"/>
        <v>2T25</v>
      </c>
      <c r="BC93" s="115" t="s">
        <v>2242</v>
      </c>
      <c r="BD93" s="115" t="s">
        <v>2244</v>
      </c>
      <c r="BE93" s="115" t="s">
        <v>2284</v>
      </c>
      <c r="BF93" s="115" t="str">
        <f t="shared" si="141"/>
        <v>2T26</v>
      </c>
    </row>
    <row r="94" spans="1:58" x14ac:dyDescent="0.25">
      <c r="A94" s="70" t="s">
        <v>188</v>
      </c>
      <c r="B94" s="70" t="s">
        <v>1186</v>
      </c>
      <c r="D94" s="126" t="str">
        <f>IF([1]RENAME!$H$3=1,B94,A94)</f>
        <v>Saldo inicial</v>
      </c>
      <c r="E94" s="120">
        <v>0</v>
      </c>
      <c r="F94" s="120">
        <v>0</v>
      </c>
      <c r="G94" s="120">
        <v>0</v>
      </c>
      <c r="H94" s="120">
        <v>0</v>
      </c>
      <c r="I94" s="120">
        <v>0</v>
      </c>
      <c r="J94" s="120">
        <v>0</v>
      </c>
      <c r="K94" s="120">
        <v>0</v>
      </c>
      <c r="L94" s="120">
        <v>0</v>
      </c>
      <c r="M94" s="120">
        <v>0</v>
      </c>
      <c r="N94" s="120">
        <v>0</v>
      </c>
      <c r="O94" s="120">
        <v>0</v>
      </c>
      <c r="P94" s="120">
        <v>0</v>
      </c>
      <c r="Q94" s="120">
        <v>0</v>
      </c>
      <c r="R94" s="120">
        <v>0</v>
      </c>
      <c r="S94" s="120">
        <v>0</v>
      </c>
      <c r="T94" s="120">
        <v>0</v>
      </c>
      <c r="U94" s="120">
        <v>4946</v>
      </c>
      <c r="V94" s="120">
        <f t="shared" ref="V94:AC94" si="142">+U103</f>
        <v>6104</v>
      </c>
      <c r="W94" s="120">
        <f t="shared" si="142"/>
        <v>27314</v>
      </c>
      <c r="X94" s="120">
        <f t="shared" si="142"/>
        <v>27220.255570000001</v>
      </c>
      <c r="Y94" s="120">
        <f t="shared" si="142"/>
        <v>30926</v>
      </c>
      <c r="Z94" s="120">
        <f t="shared" si="142"/>
        <v>32903</v>
      </c>
      <c r="AA94" s="120">
        <f t="shared" si="142"/>
        <v>30032</v>
      </c>
      <c r="AB94" s="120">
        <f t="shared" si="142"/>
        <v>26056</v>
      </c>
      <c r="AC94" s="120">
        <f t="shared" si="142"/>
        <v>34419</v>
      </c>
      <c r="AD94" s="120">
        <f t="shared" ref="AD94:AJ94" si="143">+AC103</f>
        <v>33700</v>
      </c>
      <c r="AE94" s="120">
        <f t="shared" si="143"/>
        <v>32422</v>
      </c>
      <c r="AF94" s="120">
        <f t="shared" si="143"/>
        <v>32048</v>
      </c>
      <c r="AG94" s="120">
        <f t="shared" si="143"/>
        <v>30606</v>
      </c>
      <c r="AH94" s="120">
        <f t="shared" si="143"/>
        <v>32570</v>
      </c>
      <c r="AI94" s="120">
        <f t="shared" si="143"/>
        <v>30269</v>
      </c>
      <c r="AJ94" s="120">
        <f t="shared" si="143"/>
        <v>31629</v>
      </c>
      <c r="AK94" s="120">
        <f t="shared" ref="AK94:AW94" si="144">+AJ103</f>
        <v>30151</v>
      </c>
      <c r="AL94" s="120">
        <f t="shared" si="144"/>
        <v>29631</v>
      </c>
      <c r="AM94" s="120">
        <f t="shared" si="144"/>
        <v>28660</v>
      </c>
      <c r="AN94" s="120">
        <f t="shared" si="144"/>
        <v>23482</v>
      </c>
      <c r="AO94" s="120">
        <f t="shared" si="144"/>
        <v>27802</v>
      </c>
      <c r="AP94" s="120">
        <f t="shared" si="144"/>
        <v>25994</v>
      </c>
      <c r="AQ94" s="120">
        <f t="shared" si="144"/>
        <v>22639</v>
      </c>
      <c r="AR94" s="120">
        <f t="shared" si="144"/>
        <v>28573</v>
      </c>
      <c r="AS94" s="120">
        <f t="shared" si="144"/>
        <v>24627</v>
      </c>
      <c r="AT94" s="120">
        <f t="shared" si="144"/>
        <v>24853</v>
      </c>
      <c r="AU94" s="120">
        <f t="shared" si="144"/>
        <v>23987</v>
      </c>
      <c r="AV94" s="120">
        <f t="shared" si="144"/>
        <v>24185</v>
      </c>
      <c r="AW94" s="120">
        <f t="shared" si="144"/>
        <v>24904</v>
      </c>
      <c r="AX94" s="120">
        <f>+AW103</f>
        <v>25407</v>
      </c>
      <c r="AY94" s="120">
        <f>+AX103</f>
        <v>26457</v>
      </c>
      <c r="AZ94" s="120">
        <f>+AY103</f>
        <v>25243</v>
      </c>
      <c r="BA94" s="120">
        <f>+AZ103</f>
        <v>18674</v>
      </c>
      <c r="BB94" s="120">
        <f>+BA103</f>
        <v>19045</v>
      </c>
      <c r="BC94" s="120">
        <v>19200</v>
      </c>
      <c r="BD94" s="120">
        <v>18495</v>
      </c>
      <c r="BE94" s="120">
        <v>17680</v>
      </c>
      <c r="BF94" s="120">
        <f>+BE103</f>
        <v>17120</v>
      </c>
    </row>
    <row r="95" spans="1:58" x14ac:dyDescent="0.25">
      <c r="A95" s="70" t="s">
        <v>1181</v>
      </c>
      <c r="B95" s="70" t="s">
        <v>1187</v>
      </c>
      <c r="D95" s="129" t="str">
        <f>IF([1]RENAME!$H$3=1,B95,A95)</f>
        <v>Constituição</v>
      </c>
      <c r="E95" s="130">
        <v>0</v>
      </c>
      <c r="F95" s="130">
        <v>0</v>
      </c>
      <c r="G95" s="130">
        <v>0</v>
      </c>
      <c r="H95" s="130">
        <v>0</v>
      </c>
      <c r="I95" s="130">
        <v>0</v>
      </c>
      <c r="J95" s="130">
        <v>0</v>
      </c>
      <c r="K95" s="130">
        <v>0</v>
      </c>
      <c r="L95" s="118">
        <v>0</v>
      </c>
      <c r="M95" s="118">
        <v>0</v>
      </c>
      <c r="N95" s="118">
        <v>0</v>
      </c>
      <c r="O95" s="118">
        <v>0</v>
      </c>
      <c r="P95" s="118">
        <v>0</v>
      </c>
      <c r="Q95" s="118">
        <v>0</v>
      </c>
      <c r="R95" s="118">
        <v>0</v>
      </c>
      <c r="S95" s="118">
        <v>0</v>
      </c>
      <c r="T95" s="118">
        <v>0</v>
      </c>
      <c r="U95" s="118">
        <v>1883</v>
      </c>
      <c r="V95" s="260">
        <v>18147.411240000001</v>
      </c>
      <c r="W95" s="118">
        <v>3194.5887600000001</v>
      </c>
      <c r="X95" s="118">
        <v>7983</v>
      </c>
      <c r="Y95" s="118">
        <v>5594</v>
      </c>
      <c r="Z95" s="118">
        <v>1241</v>
      </c>
      <c r="AA95" s="118">
        <v>2442</v>
      </c>
      <c r="AB95" s="118">
        <v>15269</v>
      </c>
      <c r="AC95" s="118">
        <v>4037</v>
      </c>
      <c r="AD95" s="118">
        <v>3312</v>
      </c>
      <c r="AE95" s="118">
        <v>5256</v>
      </c>
      <c r="AF95" s="118">
        <v>5551</v>
      </c>
      <c r="AG95" s="118">
        <v>5593</v>
      </c>
      <c r="AH95" s="118">
        <v>1978</v>
      </c>
      <c r="AI95" s="118">
        <v>5211</v>
      </c>
      <c r="AJ95" s="118">
        <v>2037</v>
      </c>
      <c r="AK95" s="118">
        <v>926</v>
      </c>
      <c r="AL95" s="118">
        <v>921</v>
      </c>
      <c r="AM95" s="118">
        <v>-1</v>
      </c>
      <c r="AN95" s="118">
        <v>2090</v>
      </c>
      <c r="AO95" s="118">
        <v>-587</v>
      </c>
      <c r="AP95" s="118">
        <v>-138</v>
      </c>
      <c r="AQ95" s="260">
        <v>6905</v>
      </c>
      <c r="AR95" s="118">
        <v>226</v>
      </c>
      <c r="AS95" s="118">
        <v>443</v>
      </c>
      <c r="AT95" s="118">
        <v>559</v>
      </c>
      <c r="AU95" s="118">
        <v>322</v>
      </c>
      <c r="AV95" s="118">
        <v>459</v>
      </c>
      <c r="AW95" s="118">
        <v>660</v>
      </c>
      <c r="AX95" s="118">
        <v>431</v>
      </c>
      <c r="AY95" s="118">
        <v>-144</v>
      </c>
      <c r="AZ95" s="118">
        <v>236</v>
      </c>
      <c r="BA95" s="118">
        <v>361</v>
      </c>
      <c r="BB95" s="118">
        <v>205</v>
      </c>
      <c r="BC95" s="118">
        <v>235</v>
      </c>
      <c r="BD95" s="118">
        <v>878</v>
      </c>
      <c r="BE95" s="118">
        <v>-766</v>
      </c>
      <c r="BF95" s="260">
        <f>('[3]16 Mov. Conting. NL'!$J$21)-BE95</f>
        <v>8130</v>
      </c>
    </row>
    <row r="96" spans="1:58" x14ac:dyDescent="0.25">
      <c r="A96" s="70" t="s">
        <v>1602</v>
      </c>
      <c r="B96" s="70" t="s">
        <v>1603</v>
      </c>
      <c r="D96" s="129" t="str">
        <f>IF([1]RENAME!$H$3=1,B96,A96)</f>
        <v>Constituição INSS FAP</v>
      </c>
      <c r="E96" s="130">
        <v>0</v>
      </c>
      <c r="F96" s="130">
        <v>0</v>
      </c>
      <c r="G96" s="130">
        <v>0</v>
      </c>
      <c r="H96" s="130">
        <v>0</v>
      </c>
      <c r="I96" s="130">
        <v>0</v>
      </c>
      <c r="J96" s="130">
        <v>0</v>
      </c>
      <c r="K96" s="130">
        <v>0</v>
      </c>
      <c r="L96" s="130">
        <v>0</v>
      </c>
      <c r="M96" s="130">
        <v>0</v>
      </c>
      <c r="N96" s="130">
        <v>0</v>
      </c>
      <c r="O96" s="130">
        <v>0</v>
      </c>
      <c r="P96" s="130">
        <v>0</v>
      </c>
      <c r="Q96" s="130">
        <v>0</v>
      </c>
      <c r="R96" s="130">
        <v>0</v>
      </c>
      <c r="S96" s="130">
        <v>0</v>
      </c>
      <c r="T96" s="130">
        <v>0</v>
      </c>
      <c r="U96" s="130">
        <v>0</v>
      </c>
      <c r="V96" s="130">
        <v>0</v>
      </c>
      <c r="W96" s="130">
        <v>0</v>
      </c>
      <c r="X96" s="130">
        <v>0</v>
      </c>
      <c r="Y96" s="130">
        <v>0</v>
      </c>
      <c r="Z96" s="130">
        <v>0</v>
      </c>
      <c r="AA96" s="130">
        <v>0</v>
      </c>
      <c r="AB96" s="130">
        <v>0</v>
      </c>
      <c r="AC96" s="130">
        <v>0</v>
      </c>
      <c r="AD96" s="130">
        <v>0</v>
      </c>
      <c r="AE96" s="130">
        <v>0</v>
      </c>
      <c r="AF96" s="130">
        <v>418</v>
      </c>
      <c r="AG96" s="118">
        <v>95</v>
      </c>
      <c r="AH96" s="118">
        <v>71</v>
      </c>
      <c r="AI96" s="118">
        <v>79</v>
      </c>
      <c r="AJ96" s="118">
        <v>84</v>
      </c>
      <c r="AK96" s="118">
        <v>111</v>
      </c>
      <c r="AL96" s="118">
        <v>112</v>
      </c>
      <c r="AM96" s="118">
        <v>110</v>
      </c>
      <c r="AN96" s="118">
        <v>3667</v>
      </c>
      <c r="AO96" s="118">
        <v>128</v>
      </c>
      <c r="AP96" s="118">
        <v>225</v>
      </c>
      <c r="AQ96" s="118">
        <v>193</v>
      </c>
      <c r="AR96" s="118">
        <v>120</v>
      </c>
      <c r="AS96" s="118">
        <v>186</v>
      </c>
      <c r="AT96" s="118">
        <v>63</v>
      </c>
      <c r="AU96" s="118">
        <v>0</v>
      </c>
      <c r="AV96" s="118">
        <v>486</v>
      </c>
      <c r="AW96" s="118">
        <v>157</v>
      </c>
      <c r="AX96" s="118">
        <v>150</v>
      </c>
      <c r="AY96" s="118">
        <v>152</v>
      </c>
      <c r="AZ96" s="118">
        <v>205</v>
      </c>
      <c r="BA96" s="118">
        <v>175</v>
      </c>
      <c r="BB96" s="118">
        <v>194</v>
      </c>
      <c r="BC96" s="118">
        <v>144</v>
      </c>
      <c r="BD96" s="118">
        <v>281</v>
      </c>
      <c r="BE96" s="118">
        <v>127</v>
      </c>
      <c r="BF96" s="118">
        <f>('[3]16 Mov. Conting. NL'!$J$22)-BE96</f>
        <v>199</v>
      </c>
    </row>
    <row r="97" spans="1:58" ht="25.5" x14ac:dyDescent="0.25">
      <c r="A97" s="70" t="s">
        <v>1182</v>
      </c>
      <c r="B97" s="70" t="s">
        <v>1188</v>
      </c>
      <c r="D97" s="129" t="str">
        <f>IF([1]RENAME!$H$3=1,B97,A97)</f>
        <v>Transferência obrigação tributária</v>
      </c>
      <c r="E97" s="130">
        <v>0</v>
      </c>
      <c r="F97" s="130">
        <v>0</v>
      </c>
      <c r="G97" s="130">
        <v>0</v>
      </c>
      <c r="H97" s="130">
        <v>0</v>
      </c>
      <c r="I97" s="130">
        <v>0</v>
      </c>
      <c r="J97" s="130">
        <v>0</v>
      </c>
      <c r="K97" s="130">
        <v>0</v>
      </c>
      <c r="L97" s="118">
        <v>0</v>
      </c>
      <c r="M97" s="118">
        <v>0</v>
      </c>
      <c r="N97" s="118">
        <v>0</v>
      </c>
      <c r="O97" s="118">
        <v>0</v>
      </c>
      <c r="P97" s="118">
        <v>0</v>
      </c>
      <c r="Q97" s="118">
        <v>0</v>
      </c>
      <c r="R97" s="118">
        <v>0</v>
      </c>
      <c r="S97" s="118">
        <v>0</v>
      </c>
      <c r="T97" s="118">
        <v>0</v>
      </c>
      <c r="U97" s="118">
        <v>0</v>
      </c>
      <c r="V97" s="118">
        <v>4575.1435700000002</v>
      </c>
      <c r="W97" s="118">
        <v>49.112000000000002</v>
      </c>
      <c r="X97" s="118">
        <v>-49.255570000000262</v>
      </c>
      <c r="Y97" s="118">
        <v>0</v>
      </c>
      <c r="Z97" s="118">
        <v>0</v>
      </c>
      <c r="AA97" s="118">
        <v>0</v>
      </c>
      <c r="AB97" s="118">
        <v>0</v>
      </c>
      <c r="AC97" s="118">
        <v>0</v>
      </c>
      <c r="AD97" s="118">
        <v>0</v>
      </c>
      <c r="AE97" s="118">
        <v>0</v>
      </c>
      <c r="AF97" s="118">
        <v>0</v>
      </c>
      <c r="AG97" s="118">
        <v>0</v>
      </c>
      <c r="AH97" s="118">
        <v>0</v>
      </c>
      <c r="AI97" s="118">
        <v>0</v>
      </c>
      <c r="AJ97" s="118">
        <v>0</v>
      </c>
      <c r="AK97" s="118">
        <v>0</v>
      </c>
      <c r="AL97" s="118">
        <v>0</v>
      </c>
      <c r="AM97" s="118">
        <v>0</v>
      </c>
      <c r="AN97" s="118">
        <v>0</v>
      </c>
      <c r="AO97" s="118">
        <v>0</v>
      </c>
      <c r="AP97" s="118">
        <v>0</v>
      </c>
      <c r="AQ97" s="118">
        <v>0</v>
      </c>
      <c r="AR97" s="118">
        <v>0</v>
      </c>
      <c r="AS97" s="118">
        <v>0</v>
      </c>
      <c r="AT97" s="118">
        <v>0</v>
      </c>
      <c r="AU97" s="118">
        <v>0</v>
      </c>
      <c r="AV97" s="118">
        <v>0</v>
      </c>
      <c r="AW97" s="118">
        <v>0</v>
      </c>
      <c r="AX97" s="118">
        <v>0</v>
      </c>
      <c r="AY97" s="118">
        <v>0</v>
      </c>
      <c r="AZ97" s="118">
        <v>0</v>
      </c>
      <c r="BA97" s="118">
        <v>0</v>
      </c>
      <c r="BB97" s="118">
        <v>0</v>
      </c>
      <c r="BC97" s="118">
        <v>0</v>
      </c>
      <c r="BD97" s="118">
        <v>0</v>
      </c>
      <c r="BE97" s="118">
        <v>0</v>
      </c>
      <c r="BF97" s="118">
        <v>0</v>
      </c>
    </row>
    <row r="98" spans="1:58" x14ac:dyDescent="0.25">
      <c r="A98" s="70" t="s">
        <v>1311</v>
      </c>
      <c r="B98" s="70" t="s">
        <v>1311</v>
      </c>
      <c r="D98" s="129" t="str">
        <f>IF([1]RENAME!$H$3=1,B98,A98)</f>
        <v>Reestruturação societária</v>
      </c>
      <c r="E98" s="130">
        <v>0</v>
      </c>
      <c r="F98" s="130">
        <v>0</v>
      </c>
      <c r="G98" s="130">
        <v>0</v>
      </c>
      <c r="H98" s="130">
        <v>0</v>
      </c>
      <c r="I98" s="130">
        <v>0</v>
      </c>
      <c r="J98" s="130">
        <v>0</v>
      </c>
      <c r="K98" s="130">
        <v>0</v>
      </c>
      <c r="L98" s="118">
        <v>0</v>
      </c>
      <c r="M98" s="118">
        <v>0</v>
      </c>
      <c r="N98" s="118">
        <v>0</v>
      </c>
      <c r="O98" s="118">
        <v>0</v>
      </c>
      <c r="P98" s="118">
        <v>0</v>
      </c>
      <c r="Q98" s="118">
        <v>0</v>
      </c>
      <c r="R98" s="118">
        <v>0</v>
      </c>
      <c r="S98" s="118">
        <v>0</v>
      </c>
      <c r="T98" s="118">
        <v>0</v>
      </c>
      <c r="U98" s="118">
        <v>0</v>
      </c>
      <c r="V98" s="118">
        <v>0</v>
      </c>
      <c r="W98" s="118">
        <v>0</v>
      </c>
      <c r="X98" s="118">
        <v>0</v>
      </c>
      <c r="Y98" s="118">
        <v>0</v>
      </c>
      <c r="Z98" s="118">
        <v>0</v>
      </c>
      <c r="AA98" s="118">
        <v>0</v>
      </c>
      <c r="AB98" s="118">
        <v>0</v>
      </c>
      <c r="AC98" s="118">
        <v>0</v>
      </c>
      <c r="AD98" s="118">
        <v>0</v>
      </c>
      <c r="AE98" s="118">
        <v>0</v>
      </c>
      <c r="AF98" s="118" t="s">
        <v>160</v>
      </c>
      <c r="AG98" s="118" t="s">
        <v>160</v>
      </c>
      <c r="AH98" s="118" t="s">
        <v>160</v>
      </c>
      <c r="AI98" s="118" t="s">
        <v>160</v>
      </c>
      <c r="AJ98" s="118" t="s">
        <v>160</v>
      </c>
      <c r="AK98" s="118" t="s">
        <v>160</v>
      </c>
      <c r="AL98" s="118" t="s">
        <v>160</v>
      </c>
      <c r="AM98" s="118" t="s">
        <v>160</v>
      </c>
      <c r="AN98" s="118" t="s">
        <v>160</v>
      </c>
      <c r="AO98" s="118">
        <v>0</v>
      </c>
      <c r="AP98" s="118">
        <v>0</v>
      </c>
      <c r="AQ98" s="118">
        <v>0</v>
      </c>
      <c r="AR98" s="118">
        <v>0</v>
      </c>
      <c r="AS98" s="118">
        <v>0</v>
      </c>
      <c r="AT98" s="118">
        <v>0</v>
      </c>
      <c r="AU98" s="118">
        <v>0</v>
      </c>
      <c r="AV98" s="118">
        <v>0</v>
      </c>
      <c r="AW98" s="118">
        <v>0</v>
      </c>
      <c r="AX98" s="118">
        <v>0</v>
      </c>
      <c r="AY98" s="118">
        <v>0</v>
      </c>
      <c r="AZ98" s="118">
        <v>0</v>
      </c>
      <c r="BA98" s="118">
        <v>0</v>
      </c>
      <c r="BB98" s="118">
        <v>0</v>
      </c>
      <c r="BC98" s="118">
        <v>0</v>
      </c>
      <c r="BD98" s="118">
        <v>0</v>
      </c>
      <c r="BE98" s="118">
        <v>0</v>
      </c>
      <c r="BF98" s="118">
        <v>0</v>
      </c>
    </row>
    <row r="99" spans="1:58" x14ac:dyDescent="0.25">
      <c r="A99" s="70" t="s">
        <v>1253</v>
      </c>
      <c r="B99" s="70" t="s">
        <v>1252</v>
      </c>
      <c r="D99" s="129" t="str">
        <f>IF([1]RENAME!$H$3=1,B99,A99)</f>
        <v>Demandas judiciais a pagar</v>
      </c>
      <c r="E99" s="130">
        <v>0</v>
      </c>
      <c r="F99" s="130">
        <v>0</v>
      </c>
      <c r="G99" s="130">
        <v>0</v>
      </c>
      <c r="H99" s="130">
        <v>0</v>
      </c>
      <c r="I99" s="130">
        <v>0</v>
      </c>
      <c r="J99" s="130">
        <v>0</v>
      </c>
      <c r="K99" s="130">
        <v>0</v>
      </c>
      <c r="L99" s="118">
        <v>0</v>
      </c>
      <c r="M99" s="118">
        <v>0</v>
      </c>
      <c r="N99" s="118">
        <v>0</v>
      </c>
      <c r="O99" s="118">
        <v>0</v>
      </c>
      <c r="P99" s="118">
        <v>0</v>
      </c>
      <c r="Q99" s="118">
        <v>0</v>
      </c>
      <c r="R99" s="118">
        <v>0</v>
      </c>
      <c r="S99" s="118">
        <v>0</v>
      </c>
      <c r="T99" s="118">
        <v>0</v>
      </c>
      <c r="U99" s="118">
        <v>0</v>
      </c>
      <c r="V99" s="118">
        <v>0</v>
      </c>
      <c r="W99" s="118">
        <v>0</v>
      </c>
      <c r="X99" s="118">
        <v>-912</v>
      </c>
      <c r="Y99" s="118">
        <v>873</v>
      </c>
      <c r="Z99" s="118">
        <v>-1090</v>
      </c>
      <c r="AA99" s="118">
        <v>880</v>
      </c>
      <c r="AB99" s="118">
        <v>-999</v>
      </c>
      <c r="AC99" s="118">
        <v>84</v>
      </c>
      <c r="AD99" s="118">
        <v>-162</v>
      </c>
      <c r="AE99" s="118">
        <v>-530</v>
      </c>
      <c r="AF99" s="118">
        <v>-1514</v>
      </c>
      <c r="AG99" s="118">
        <v>-3</v>
      </c>
      <c r="AH99" s="118">
        <v>-28</v>
      </c>
      <c r="AI99" s="118">
        <v>-13</v>
      </c>
      <c r="AJ99" s="118">
        <v>-75</v>
      </c>
      <c r="AK99" s="118">
        <v>-81</v>
      </c>
      <c r="AL99" s="118">
        <v>-191</v>
      </c>
      <c r="AM99" s="118">
        <v>269</v>
      </c>
      <c r="AN99" s="118">
        <v>3</v>
      </c>
      <c r="AO99" s="118">
        <v>-802</v>
      </c>
      <c r="AP99" s="118">
        <v>631</v>
      </c>
      <c r="AQ99" s="118">
        <v>161</v>
      </c>
      <c r="AR99" s="118">
        <v>-568</v>
      </c>
      <c r="AS99" s="118">
        <v>-65</v>
      </c>
      <c r="AT99" s="118">
        <v>41</v>
      </c>
      <c r="AU99" s="118">
        <v>23</v>
      </c>
      <c r="AV99" s="118">
        <v>-30</v>
      </c>
      <c r="AW99" s="118">
        <v>0</v>
      </c>
      <c r="AX99" s="118">
        <v>0</v>
      </c>
      <c r="AY99" s="118">
        <v>-3</v>
      </c>
      <c r="AZ99" s="118">
        <v>3</v>
      </c>
      <c r="BA99" s="118">
        <v>0</v>
      </c>
      <c r="BB99" s="118">
        <v>-7</v>
      </c>
      <c r="BC99" s="118">
        <v>-9</v>
      </c>
      <c r="BD99" s="118">
        <v>-312</v>
      </c>
      <c r="BE99" s="118">
        <v>0</v>
      </c>
      <c r="BF99" s="118">
        <f>('[3]16 Mov. Conting. NL'!$J$23)-BE99</f>
        <v>-4402</v>
      </c>
    </row>
    <row r="100" spans="1:58" x14ac:dyDescent="0.25">
      <c r="A100" s="70" t="s">
        <v>1183</v>
      </c>
      <c r="B100" s="70" t="s">
        <v>1189</v>
      </c>
      <c r="D100" s="129" t="str">
        <f>IF([1]RENAME!$H$3=1,B100,A100)</f>
        <v>Baixa por deposito judicial</v>
      </c>
      <c r="E100" s="130">
        <v>0</v>
      </c>
      <c r="F100" s="130">
        <v>0</v>
      </c>
      <c r="G100" s="130">
        <v>0</v>
      </c>
      <c r="H100" s="130">
        <v>0</v>
      </c>
      <c r="I100" s="130">
        <v>0</v>
      </c>
      <c r="J100" s="130">
        <v>0</v>
      </c>
      <c r="K100" s="130">
        <v>0</v>
      </c>
      <c r="L100" s="118">
        <v>0</v>
      </c>
      <c r="M100" s="118">
        <v>0</v>
      </c>
      <c r="N100" s="118">
        <v>0</v>
      </c>
      <c r="O100" s="118">
        <v>0</v>
      </c>
      <c r="P100" s="118">
        <v>0</v>
      </c>
      <c r="Q100" s="118">
        <v>0</v>
      </c>
      <c r="R100" s="118">
        <v>0</v>
      </c>
      <c r="S100" s="118">
        <v>0</v>
      </c>
      <c r="T100" s="118">
        <v>0</v>
      </c>
      <c r="U100" s="118">
        <v>0</v>
      </c>
      <c r="V100" s="118">
        <v>-604.55480999999997</v>
      </c>
      <c r="W100" s="118">
        <v>-295.44519000000003</v>
      </c>
      <c r="X100" s="118">
        <v>-307</v>
      </c>
      <c r="Y100" s="118">
        <v>-252</v>
      </c>
      <c r="Z100" s="118">
        <v>-167</v>
      </c>
      <c r="AA100" s="118">
        <v>-245</v>
      </c>
      <c r="AB100" s="118">
        <v>-368</v>
      </c>
      <c r="AC100" s="118">
        <v>-506</v>
      </c>
      <c r="AD100" s="118">
        <v>-185</v>
      </c>
      <c r="AE100" s="118">
        <v>-113</v>
      </c>
      <c r="AF100" s="118">
        <v>-120</v>
      </c>
      <c r="AG100" s="118">
        <v>-104</v>
      </c>
      <c r="AH100" s="118">
        <v>-50</v>
      </c>
      <c r="AI100" s="118">
        <v>-122</v>
      </c>
      <c r="AJ100" s="118">
        <v>65</v>
      </c>
      <c r="AK100" s="118">
        <v>-70</v>
      </c>
      <c r="AL100" s="118">
        <v>-82</v>
      </c>
      <c r="AM100" s="118">
        <v>-22</v>
      </c>
      <c r="AN100" s="118">
        <v>-330</v>
      </c>
      <c r="AO100" s="118">
        <v>-70</v>
      </c>
      <c r="AP100" s="118">
        <v>-143</v>
      </c>
      <c r="AQ100" s="118">
        <v>-40</v>
      </c>
      <c r="AR100" s="118">
        <v>-584</v>
      </c>
      <c r="AS100" s="118">
        <v>-88</v>
      </c>
      <c r="AT100" s="118">
        <v>-278</v>
      </c>
      <c r="AU100" s="118">
        <v>-6</v>
      </c>
      <c r="AV100" s="118">
        <v>-35</v>
      </c>
      <c r="AW100" s="118">
        <v>-57</v>
      </c>
      <c r="AX100" s="118">
        <v>-40</v>
      </c>
      <c r="AY100" s="118">
        <v>-126</v>
      </c>
      <c r="AZ100" s="118">
        <v>-86</v>
      </c>
      <c r="BA100" s="118">
        <v>-38</v>
      </c>
      <c r="BB100" s="118">
        <v>-47</v>
      </c>
      <c r="BC100" s="118">
        <v>0</v>
      </c>
      <c r="BD100" s="118">
        <v>-269</v>
      </c>
      <c r="BE100" s="118">
        <v>-25</v>
      </c>
      <c r="BF100" s="118">
        <f>('[3]16 Mov. Conting. NL'!$J$24)-BE100</f>
        <v>-697</v>
      </c>
    </row>
    <row r="101" spans="1:58" x14ac:dyDescent="0.25">
      <c r="A101" s="70" t="s">
        <v>49</v>
      </c>
      <c r="B101" s="70" t="s">
        <v>728</v>
      </c>
      <c r="D101" s="129" t="str">
        <f>IF([1]RENAME!$H$3=1,B101,A101)</f>
        <v>Outros</v>
      </c>
      <c r="E101" s="130" t="s">
        <v>160</v>
      </c>
      <c r="F101" s="130" t="s">
        <v>160</v>
      </c>
      <c r="G101" s="130" t="s">
        <v>160</v>
      </c>
      <c r="H101" s="130" t="s">
        <v>160</v>
      </c>
      <c r="I101" s="130" t="s">
        <v>160</v>
      </c>
      <c r="J101" s="130" t="s">
        <v>160</v>
      </c>
      <c r="K101" s="130" t="s">
        <v>160</v>
      </c>
      <c r="L101" s="118" t="s">
        <v>160</v>
      </c>
      <c r="M101" s="118" t="s">
        <v>160</v>
      </c>
      <c r="N101" s="118" t="s">
        <v>160</v>
      </c>
      <c r="O101" s="118" t="s">
        <v>160</v>
      </c>
      <c r="P101" s="118" t="s">
        <v>160</v>
      </c>
      <c r="Q101" s="118" t="s">
        <v>160</v>
      </c>
      <c r="R101" s="118" t="s">
        <v>160</v>
      </c>
      <c r="S101" s="118" t="s">
        <v>160</v>
      </c>
      <c r="T101" s="118" t="s">
        <v>160</v>
      </c>
      <c r="U101" s="118" t="s">
        <v>160</v>
      </c>
      <c r="V101" s="118" t="s">
        <v>160</v>
      </c>
      <c r="W101" s="118" t="s">
        <v>160</v>
      </c>
      <c r="X101" s="118" t="s">
        <v>160</v>
      </c>
      <c r="Y101" s="118" t="s">
        <v>160</v>
      </c>
      <c r="Z101" s="118" t="s">
        <v>160</v>
      </c>
      <c r="AA101" s="118" t="s">
        <v>160</v>
      </c>
      <c r="AB101" s="118" t="s">
        <v>160</v>
      </c>
      <c r="AC101" s="118" t="s">
        <v>160</v>
      </c>
      <c r="AD101" s="118" t="s">
        <v>160</v>
      </c>
      <c r="AE101" s="118" t="s">
        <v>160</v>
      </c>
      <c r="AF101" s="118" t="s">
        <v>160</v>
      </c>
      <c r="AG101" s="118" t="s">
        <v>160</v>
      </c>
      <c r="AH101" s="118" t="s">
        <v>160</v>
      </c>
      <c r="AI101" s="118" t="s">
        <v>160</v>
      </c>
      <c r="AJ101" s="118" t="s">
        <v>160</v>
      </c>
      <c r="AK101" s="118" t="s">
        <v>160</v>
      </c>
      <c r="AL101" s="118" t="s">
        <v>160</v>
      </c>
      <c r="AM101" s="118" t="s">
        <v>160</v>
      </c>
      <c r="AN101" s="118" t="s">
        <v>160</v>
      </c>
      <c r="AO101" s="118">
        <v>494</v>
      </c>
      <c r="AP101" s="118">
        <v>1</v>
      </c>
      <c r="AQ101" s="118">
        <v>-1</v>
      </c>
      <c r="AR101" s="118">
        <v>0</v>
      </c>
      <c r="AS101" s="118">
        <v>0</v>
      </c>
      <c r="AT101" s="118">
        <v>0</v>
      </c>
      <c r="AU101" s="118">
        <v>0</v>
      </c>
      <c r="AV101" s="118">
        <v>0</v>
      </c>
      <c r="AW101" s="118">
        <v>0</v>
      </c>
      <c r="AX101" s="118">
        <v>487</v>
      </c>
      <c r="AY101" s="118">
        <v>0</v>
      </c>
      <c r="AZ101" s="118">
        <v>0</v>
      </c>
      <c r="BA101" s="118">
        <v>0</v>
      </c>
      <c r="BB101" s="118">
        <v>0</v>
      </c>
      <c r="BC101" s="118">
        <v>0</v>
      </c>
      <c r="BD101" s="118">
        <v>0</v>
      </c>
      <c r="BE101" s="118">
        <v>0</v>
      </c>
      <c r="BF101" s="118">
        <f>('[3]16 Mov. Conting. NL'!$J$26)-BE101</f>
        <v>0</v>
      </c>
    </row>
    <row r="102" spans="1:58" x14ac:dyDescent="0.25">
      <c r="A102" s="70" t="s">
        <v>1184</v>
      </c>
      <c r="B102" s="70" t="s">
        <v>1190</v>
      </c>
      <c r="D102" s="129" t="str">
        <f>IF([1]RENAME!$H$3=1,B102,A102)</f>
        <v>Pagamento</v>
      </c>
      <c r="E102" s="130">
        <v>0</v>
      </c>
      <c r="F102" s="130">
        <v>0</v>
      </c>
      <c r="G102" s="130">
        <v>0</v>
      </c>
      <c r="H102" s="130">
        <v>0</v>
      </c>
      <c r="I102" s="130">
        <v>0</v>
      </c>
      <c r="J102" s="130">
        <v>0</v>
      </c>
      <c r="K102" s="130">
        <v>0</v>
      </c>
      <c r="L102" s="118">
        <v>0</v>
      </c>
      <c r="M102" s="118">
        <v>0</v>
      </c>
      <c r="N102" s="118">
        <v>0</v>
      </c>
      <c r="O102" s="118">
        <v>0</v>
      </c>
      <c r="P102" s="118">
        <v>0</v>
      </c>
      <c r="Q102" s="118">
        <v>0</v>
      </c>
      <c r="R102" s="118">
        <v>0</v>
      </c>
      <c r="S102" s="118">
        <v>0</v>
      </c>
      <c r="T102" s="118">
        <v>0</v>
      </c>
      <c r="U102" s="118">
        <v>-725</v>
      </c>
      <c r="V102" s="118">
        <v>-908</v>
      </c>
      <c r="W102" s="118">
        <v>-3042</v>
      </c>
      <c r="X102" s="118">
        <v>-3009</v>
      </c>
      <c r="Y102" s="118">
        <v>-4238</v>
      </c>
      <c r="Z102" s="118">
        <v>-2855</v>
      </c>
      <c r="AA102" s="118">
        <v>-7053</v>
      </c>
      <c r="AB102" s="118">
        <v>-5539</v>
      </c>
      <c r="AC102" s="118">
        <v>-4334</v>
      </c>
      <c r="AD102" s="118">
        <v>-4243</v>
      </c>
      <c r="AE102" s="118">
        <v>-4987</v>
      </c>
      <c r="AF102" s="118">
        <v>-5777</v>
      </c>
      <c r="AG102" s="118">
        <v>-3617</v>
      </c>
      <c r="AH102" s="118">
        <v>-4272</v>
      </c>
      <c r="AI102" s="118">
        <v>-3795</v>
      </c>
      <c r="AJ102" s="118">
        <v>-3589</v>
      </c>
      <c r="AK102" s="118">
        <v>-1406</v>
      </c>
      <c r="AL102" s="118">
        <v>-1731</v>
      </c>
      <c r="AM102" s="118">
        <v>-5534</v>
      </c>
      <c r="AN102" s="118">
        <v>-1110</v>
      </c>
      <c r="AO102" s="118">
        <v>-971</v>
      </c>
      <c r="AP102" s="118">
        <v>-3931</v>
      </c>
      <c r="AQ102" s="118">
        <v>-1284</v>
      </c>
      <c r="AR102" s="118">
        <v>-3140</v>
      </c>
      <c r="AS102" s="118">
        <v>-250</v>
      </c>
      <c r="AT102" s="118">
        <v>-1251</v>
      </c>
      <c r="AU102" s="118">
        <v>-141</v>
      </c>
      <c r="AV102" s="118">
        <v>-161</v>
      </c>
      <c r="AW102" s="118">
        <v>-257</v>
      </c>
      <c r="AX102" s="118">
        <v>22</v>
      </c>
      <c r="AY102" s="118">
        <v>-1093</v>
      </c>
      <c r="AZ102" s="118">
        <v>-6927</v>
      </c>
      <c r="BA102" s="118">
        <v>-127</v>
      </c>
      <c r="BB102" s="118">
        <v>-190</v>
      </c>
      <c r="BC102" s="118">
        <v>-1075</v>
      </c>
      <c r="BD102" s="118">
        <v>-1393</v>
      </c>
      <c r="BE102" s="118">
        <v>104</v>
      </c>
      <c r="BF102" s="118">
        <f>('[3]16 Mov. Conting. NL'!$J$25)-BE102</f>
        <v>-2527</v>
      </c>
    </row>
    <row r="103" spans="1:58" x14ac:dyDescent="0.25">
      <c r="A103" s="70" t="s">
        <v>191</v>
      </c>
      <c r="B103" s="70" t="s">
        <v>1191</v>
      </c>
      <c r="D103" s="126" t="str">
        <f>IF([1]RENAME!$H$3=1,B103,A103)</f>
        <v>Saldo final</v>
      </c>
      <c r="E103" s="120">
        <v>0</v>
      </c>
      <c r="F103" s="120">
        <v>0</v>
      </c>
      <c r="G103" s="120">
        <v>0</v>
      </c>
      <c r="H103" s="120">
        <v>0</v>
      </c>
      <c r="I103" s="120">
        <v>0</v>
      </c>
      <c r="J103" s="120">
        <v>0</v>
      </c>
      <c r="K103" s="120">
        <v>0</v>
      </c>
      <c r="L103" s="120">
        <v>0</v>
      </c>
      <c r="M103" s="120">
        <v>0</v>
      </c>
      <c r="N103" s="120">
        <v>0</v>
      </c>
      <c r="O103" s="120">
        <v>0</v>
      </c>
      <c r="P103" s="120">
        <v>0</v>
      </c>
      <c r="Q103" s="120">
        <v>0</v>
      </c>
      <c r="R103" s="120">
        <v>0</v>
      </c>
      <c r="S103" s="120">
        <v>0</v>
      </c>
      <c r="T103" s="120">
        <v>0</v>
      </c>
      <c r="U103" s="120">
        <f t="shared" ref="U103:AC103" si="145">+SUM(U94:U102)</f>
        <v>6104</v>
      </c>
      <c r="V103" s="120">
        <f t="shared" si="145"/>
        <v>27314</v>
      </c>
      <c r="W103" s="120">
        <f t="shared" si="145"/>
        <v>27220.255570000001</v>
      </c>
      <c r="X103" s="120">
        <f t="shared" si="145"/>
        <v>30926</v>
      </c>
      <c r="Y103" s="120">
        <f t="shared" si="145"/>
        <v>32903</v>
      </c>
      <c r="Z103" s="120">
        <f t="shared" si="145"/>
        <v>30032</v>
      </c>
      <c r="AA103" s="120">
        <f t="shared" si="145"/>
        <v>26056</v>
      </c>
      <c r="AB103" s="120">
        <f t="shared" si="145"/>
        <v>34419</v>
      </c>
      <c r="AC103" s="120">
        <f t="shared" si="145"/>
        <v>33700</v>
      </c>
      <c r="AD103" s="120">
        <f t="shared" ref="AD103:AI103" si="146">+SUM(AD94:AD102)</f>
        <v>32422</v>
      </c>
      <c r="AE103" s="120">
        <f t="shared" si="146"/>
        <v>32048</v>
      </c>
      <c r="AF103" s="120">
        <f t="shared" si="146"/>
        <v>30606</v>
      </c>
      <c r="AG103" s="120">
        <f t="shared" si="146"/>
        <v>32570</v>
      </c>
      <c r="AH103" s="120">
        <f t="shared" si="146"/>
        <v>30269</v>
      </c>
      <c r="AI103" s="120">
        <f t="shared" si="146"/>
        <v>31629</v>
      </c>
      <c r="AJ103" s="120">
        <f>+SUM(AJ94:AJ102)</f>
        <v>30151</v>
      </c>
      <c r="AK103" s="120">
        <f t="shared" ref="AK103:AP103" si="147">+SUM(AK94:AK102)</f>
        <v>29631</v>
      </c>
      <c r="AL103" s="120">
        <f t="shared" si="147"/>
        <v>28660</v>
      </c>
      <c r="AM103" s="120">
        <f t="shared" si="147"/>
        <v>23482</v>
      </c>
      <c r="AN103" s="120">
        <f t="shared" si="147"/>
        <v>27802</v>
      </c>
      <c r="AO103" s="120">
        <f t="shared" si="147"/>
        <v>25994</v>
      </c>
      <c r="AP103" s="120">
        <f t="shared" si="147"/>
        <v>22639</v>
      </c>
      <c r="AQ103" s="120">
        <f t="shared" ref="AQ103:BB103" si="148">+SUM(AQ94:AQ102)</f>
        <v>28573</v>
      </c>
      <c r="AR103" s="120">
        <f t="shared" si="148"/>
        <v>24627</v>
      </c>
      <c r="AS103" s="120">
        <f t="shared" si="148"/>
        <v>24853</v>
      </c>
      <c r="AT103" s="120">
        <f t="shared" si="148"/>
        <v>23987</v>
      </c>
      <c r="AU103" s="120">
        <f t="shared" si="148"/>
        <v>24185</v>
      </c>
      <c r="AV103" s="120">
        <f t="shared" si="148"/>
        <v>24904</v>
      </c>
      <c r="AW103" s="120">
        <f t="shared" si="148"/>
        <v>25407</v>
      </c>
      <c r="AX103" s="120">
        <f t="shared" si="148"/>
        <v>26457</v>
      </c>
      <c r="AY103" s="120">
        <f t="shared" si="148"/>
        <v>25243</v>
      </c>
      <c r="AZ103" s="120">
        <f t="shared" si="148"/>
        <v>18674</v>
      </c>
      <c r="BA103" s="120">
        <f t="shared" si="148"/>
        <v>19045</v>
      </c>
      <c r="BB103" s="120">
        <f t="shared" si="148"/>
        <v>19200</v>
      </c>
      <c r="BC103" s="120">
        <v>18495</v>
      </c>
      <c r="BD103" s="120">
        <v>17680</v>
      </c>
      <c r="BE103" s="120">
        <v>17120</v>
      </c>
      <c r="BF103" s="120">
        <f>+SUM(BF94:BF102)</f>
        <v>17823</v>
      </c>
    </row>
    <row r="104" spans="1:58" x14ac:dyDescent="0.25">
      <c r="U104" s="655">
        <f t="shared" ref="U104:AD104" si="149">U103-U53</f>
        <v>0</v>
      </c>
      <c r="V104" s="655">
        <f t="shared" si="149"/>
        <v>0</v>
      </c>
      <c r="W104" s="655">
        <f t="shared" si="149"/>
        <v>-0.74442999999882886</v>
      </c>
      <c r="X104" s="655">
        <f t="shared" si="149"/>
        <v>0</v>
      </c>
      <c r="Y104" s="673">
        <f t="shared" si="149"/>
        <v>0</v>
      </c>
      <c r="Z104" s="673">
        <f t="shared" si="149"/>
        <v>0</v>
      </c>
      <c r="AA104" s="673">
        <f t="shared" si="149"/>
        <v>0</v>
      </c>
      <c r="AB104" s="673">
        <f t="shared" si="149"/>
        <v>0</v>
      </c>
      <c r="AC104" s="673">
        <f t="shared" si="149"/>
        <v>0</v>
      </c>
      <c r="AD104" s="673">
        <f t="shared" si="149"/>
        <v>0</v>
      </c>
      <c r="AE104" s="673">
        <v>0</v>
      </c>
      <c r="AF104" s="673">
        <f t="shared" ref="AF104:AK104" si="150">AF103-AF53</f>
        <v>0</v>
      </c>
      <c r="AG104" s="673">
        <f t="shared" si="150"/>
        <v>0</v>
      </c>
      <c r="AH104" s="673">
        <f t="shared" si="150"/>
        <v>0</v>
      </c>
      <c r="AI104" s="673">
        <f t="shared" si="150"/>
        <v>0</v>
      </c>
      <c r="AJ104" s="673">
        <f t="shared" si="150"/>
        <v>0</v>
      </c>
      <c r="AK104" s="673">
        <f t="shared" si="150"/>
        <v>0</v>
      </c>
      <c r="AL104" s="673">
        <v>0</v>
      </c>
      <c r="AM104" s="673">
        <v>0</v>
      </c>
      <c r="AN104" s="673"/>
      <c r="AO104" s="673">
        <v>0</v>
      </c>
      <c r="AP104" s="673">
        <f t="shared" ref="AP104:AU104" si="151">AP103-AP53</f>
        <v>0</v>
      </c>
      <c r="AQ104" s="673">
        <f t="shared" si="151"/>
        <v>0</v>
      </c>
      <c r="AR104" s="673">
        <f t="shared" si="151"/>
        <v>0</v>
      </c>
      <c r="AS104" s="673">
        <f t="shared" si="151"/>
        <v>0</v>
      </c>
      <c r="AT104" s="673">
        <f t="shared" si="151"/>
        <v>0</v>
      </c>
      <c r="AU104" s="673">
        <f t="shared" si="151"/>
        <v>0</v>
      </c>
      <c r="AV104" s="673">
        <f>AV103-AV53</f>
        <v>0</v>
      </c>
      <c r="AW104" s="673">
        <f>AW103-AW53</f>
        <v>0</v>
      </c>
      <c r="AX104" s="673">
        <f>AX103-AX53</f>
        <v>0</v>
      </c>
      <c r="AY104" s="673"/>
      <c r="AZ104" s="673"/>
      <c r="BA104" s="673"/>
      <c r="BB104" s="1215">
        <f>BB103-BB53</f>
        <v>0</v>
      </c>
      <c r="BC104" s="1215">
        <v>0</v>
      </c>
      <c r="BD104" s="1215">
        <v>0</v>
      </c>
      <c r="BE104" s="1215">
        <v>0</v>
      </c>
      <c r="BF104" s="1215">
        <f>BF103-BF53</f>
        <v>0</v>
      </c>
    </row>
    <row r="105" spans="1:58" x14ac:dyDescent="0.25">
      <c r="A105" s="70" t="s">
        <v>98</v>
      </c>
      <c r="B105" s="70" t="s">
        <v>978</v>
      </c>
      <c r="D105" s="145" t="str">
        <f>IF([1]RENAME!$H$3=1,B105,A105)</f>
        <v>Controladas</v>
      </c>
      <c r="E105" s="145" t="s">
        <v>160</v>
      </c>
      <c r="F105" s="145" t="s">
        <v>160</v>
      </c>
      <c r="G105" s="145" t="s">
        <v>160</v>
      </c>
      <c r="H105" s="145" t="s">
        <v>160</v>
      </c>
      <c r="I105" s="145" t="s">
        <v>160</v>
      </c>
      <c r="J105" s="145" t="s">
        <v>160</v>
      </c>
      <c r="K105" s="145" t="s">
        <v>160</v>
      </c>
      <c r="L105" s="115" t="s">
        <v>160</v>
      </c>
      <c r="M105" s="115" t="s">
        <v>160</v>
      </c>
      <c r="N105" s="115" t="s">
        <v>160</v>
      </c>
      <c r="O105" s="115" t="s">
        <v>160</v>
      </c>
      <c r="P105" s="115" t="s">
        <v>160</v>
      </c>
      <c r="Q105" s="115" t="s">
        <v>160</v>
      </c>
      <c r="R105" s="115" t="s">
        <v>160</v>
      </c>
      <c r="S105" s="115" t="s">
        <v>160</v>
      </c>
      <c r="T105" s="115" t="s">
        <v>160</v>
      </c>
      <c r="U105" s="115" t="str">
        <f>U$5</f>
        <v>1T17</v>
      </c>
      <c r="V105" s="115" t="str">
        <f t="shared" ref="V105:BF105" si="152">V$5</f>
        <v>2T17</v>
      </c>
      <c r="W105" s="115" t="str">
        <f t="shared" si="152"/>
        <v>3T17</v>
      </c>
      <c r="X105" s="115" t="str">
        <f t="shared" si="152"/>
        <v>4T17</v>
      </c>
      <c r="Y105" s="115" t="str">
        <f t="shared" si="152"/>
        <v>1T18</v>
      </c>
      <c r="Z105" s="115" t="str">
        <f t="shared" si="152"/>
        <v>2T18</v>
      </c>
      <c r="AA105" s="115" t="str">
        <f t="shared" si="152"/>
        <v>3T18</v>
      </c>
      <c r="AB105" s="115" t="str">
        <f t="shared" si="152"/>
        <v>4T18</v>
      </c>
      <c r="AC105" s="115" t="str">
        <f t="shared" si="152"/>
        <v>1T19</v>
      </c>
      <c r="AD105" s="115" t="str">
        <f t="shared" si="152"/>
        <v>2T19</v>
      </c>
      <c r="AE105" s="115" t="str">
        <f t="shared" si="152"/>
        <v>3T19</v>
      </c>
      <c r="AF105" s="115" t="str">
        <f t="shared" si="152"/>
        <v>4T19</v>
      </c>
      <c r="AG105" s="115" t="str">
        <f t="shared" si="152"/>
        <v>1T20</v>
      </c>
      <c r="AH105" s="115" t="str">
        <f t="shared" si="152"/>
        <v>2T20</v>
      </c>
      <c r="AI105" s="115" t="str">
        <f t="shared" si="152"/>
        <v>3T20</v>
      </c>
      <c r="AJ105" s="115" t="str">
        <f t="shared" si="152"/>
        <v>4T20</v>
      </c>
      <c r="AK105" s="115" t="str">
        <f t="shared" si="152"/>
        <v>1T21</v>
      </c>
      <c r="AL105" s="115" t="str">
        <f t="shared" si="152"/>
        <v>2T21</v>
      </c>
      <c r="AM105" s="115" t="str">
        <f t="shared" si="152"/>
        <v>3T21</v>
      </c>
      <c r="AN105" s="115" t="str">
        <f t="shared" si="152"/>
        <v>4T21</v>
      </c>
      <c r="AO105" s="115" t="str">
        <f t="shared" si="152"/>
        <v>1T22</v>
      </c>
      <c r="AP105" s="115" t="str">
        <f t="shared" si="152"/>
        <v>2T22</v>
      </c>
      <c r="AQ105" s="115" t="str">
        <f t="shared" si="152"/>
        <v>3T22</v>
      </c>
      <c r="AR105" s="115" t="str">
        <f t="shared" si="152"/>
        <v>4T22</v>
      </c>
      <c r="AS105" s="115" t="str">
        <f t="shared" si="152"/>
        <v>1T23</v>
      </c>
      <c r="AT105" s="115" t="str">
        <f t="shared" si="152"/>
        <v>2T23</v>
      </c>
      <c r="AU105" s="115" t="str">
        <f t="shared" si="152"/>
        <v>3T23</v>
      </c>
      <c r="AV105" s="115" t="str">
        <f t="shared" si="152"/>
        <v>4T23</v>
      </c>
      <c r="AW105" s="115" t="str">
        <f t="shared" si="152"/>
        <v>1T24</v>
      </c>
      <c r="AX105" s="115" t="str">
        <f t="shared" si="152"/>
        <v>2T24</v>
      </c>
      <c r="AY105" s="115" t="str">
        <f t="shared" si="152"/>
        <v>3T24</v>
      </c>
      <c r="AZ105" s="115" t="str">
        <f t="shared" si="152"/>
        <v>4T24</v>
      </c>
      <c r="BA105" s="115" t="str">
        <f t="shared" si="152"/>
        <v>1T25</v>
      </c>
      <c r="BB105" s="115" t="str">
        <f t="shared" si="152"/>
        <v>2T25</v>
      </c>
      <c r="BC105" s="115" t="s">
        <v>2242</v>
      </c>
      <c r="BD105" s="115" t="s">
        <v>2244</v>
      </c>
      <c r="BE105" s="115" t="s">
        <v>2284</v>
      </c>
      <c r="BF105" s="115" t="str">
        <f t="shared" si="152"/>
        <v>2T26</v>
      </c>
    </row>
    <row r="106" spans="1:58" x14ac:dyDescent="0.25">
      <c r="A106" s="70" t="s">
        <v>188</v>
      </c>
      <c r="B106" s="70" t="s">
        <v>1186</v>
      </c>
      <c r="D106" s="126" t="str">
        <f>IF([1]RENAME!$H$3=1,B106,A106)</f>
        <v>Saldo inicial</v>
      </c>
      <c r="E106" s="120">
        <v>0</v>
      </c>
      <c r="F106" s="120">
        <v>0</v>
      </c>
      <c r="G106" s="120">
        <v>0</v>
      </c>
      <c r="H106" s="120">
        <v>0</v>
      </c>
      <c r="I106" s="120">
        <v>0</v>
      </c>
      <c r="J106" s="120">
        <v>0</v>
      </c>
      <c r="K106" s="120">
        <v>0</v>
      </c>
      <c r="L106" s="120">
        <v>0</v>
      </c>
      <c r="M106" s="120">
        <v>0</v>
      </c>
      <c r="N106" s="120">
        <v>0</v>
      </c>
      <c r="O106" s="120">
        <v>0</v>
      </c>
      <c r="P106" s="120">
        <v>0</v>
      </c>
      <c r="Q106" s="120">
        <v>0</v>
      </c>
      <c r="R106" s="120">
        <v>0</v>
      </c>
      <c r="S106" s="120">
        <v>0</v>
      </c>
      <c r="T106" s="120">
        <v>0</v>
      </c>
      <c r="U106" s="120">
        <f t="shared" ref="U106:AG106" si="153">+U82-U94</f>
        <v>9992</v>
      </c>
      <c r="V106" s="120">
        <f t="shared" si="153"/>
        <v>8605.1046200000001</v>
      </c>
      <c r="W106" s="120">
        <f t="shared" si="153"/>
        <v>9289.4146200000032</v>
      </c>
      <c r="X106" s="120">
        <f t="shared" si="153"/>
        <v>7733.9913500000039</v>
      </c>
      <c r="Y106" s="120">
        <f t="shared" si="153"/>
        <v>8057.0000000000073</v>
      </c>
      <c r="Z106" s="120">
        <f t="shared" si="153"/>
        <v>10867.000000000007</v>
      </c>
      <c r="AA106" s="120">
        <f t="shared" si="153"/>
        <v>11060.000000000007</v>
      </c>
      <c r="AB106" s="120">
        <f t="shared" si="153"/>
        <v>10778.000000000007</v>
      </c>
      <c r="AC106" s="120">
        <f t="shared" si="153"/>
        <v>10025.000000000007</v>
      </c>
      <c r="AD106" s="120">
        <f t="shared" si="153"/>
        <v>9502.0000000000073</v>
      </c>
      <c r="AE106" s="120">
        <f t="shared" si="153"/>
        <v>10328.000000000007</v>
      </c>
      <c r="AF106" s="120">
        <f t="shared" si="153"/>
        <v>4563.0000000000073</v>
      </c>
      <c r="AG106" s="120">
        <f t="shared" si="153"/>
        <v>4660.0000000000073</v>
      </c>
      <c r="AH106" s="120">
        <f>+AH82-AH94</f>
        <v>4262.0000000000073</v>
      </c>
      <c r="AI106" s="120">
        <f>+AI82-AI94</f>
        <v>3944.0000000000073</v>
      </c>
      <c r="AJ106" s="120">
        <f t="shared" ref="AJ106:AP106" si="154">+AJ82-AJ94</f>
        <v>3923.0000000000073</v>
      </c>
      <c r="AK106" s="120">
        <f t="shared" si="154"/>
        <v>3727.0000000000073</v>
      </c>
      <c r="AL106" s="120">
        <f t="shared" si="154"/>
        <v>3475.0000000000073</v>
      </c>
      <c r="AM106" s="120">
        <f t="shared" si="154"/>
        <v>3301.0000000000073</v>
      </c>
      <c r="AN106" s="120">
        <f t="shared" si="154"/>
        <v>3166.0000000000073</v>
      </c>
      <c r="AO106" s="120">
        <f>+AO82-AO94</f>
        <v>3028.0000000000073</v>
      </c>
      <c r="AP106" s="120">
        <f t="shared" si="154"/>
        <v>3644.0000000000073</v>
      </c>
      <c r="AQ106" s="120">
        <f t="shared" ref="AQ106:AW107" si="155">+AQ82-AQ94</f>
        <v>3755.0000000000073</v>
      </c>
      <c r="AR106" s="120">
        <f t="shared" si="155"/>
        <v>3757.0000000000073</v>
      </c>
      <c r="AS106" s="120">
        <f t="shared" si="155"/>
        <v>3755.0000000000073</v>
      </c>
      <c r="AT106" s="120">
        <f t="shared" si="155"/>
        <v>3802.0000000000073</v>
      </c>
      <c r="AU106" s="120">
        <f t="shared" si="155"/>
        <v>2491.0000000000073</v>
      </c>
      <c r="AV106" s="120">
        <f t="shared" si="155"/>
        <v>2463.0000000000073</v>
      </c>
      <c r="AW106" s="120">
        <f t="shared" si="155"/>
        <v>3111.0000000000073</v>
      </c>
      <c r="AX106" s="120">
        <f>+AX82-AX94</f>
        <v>3330.0000000000073</v>
      </c>
      <c r="AY106" s="120">
        <f t="shared" ref="AY106:BA107" si="156">+AY82-AY94</f>
        <v>2872.0000000000073</v>
      </c>
      <c r="AZ106" s="120">
        <f t="shared" si="156"/>
        <v>2890.0000000000073</v>
      </c>
      <c r="BA106" s="120">
        <f t="shared" si="156"/>
        <v>3018.0000000000073</v>
      </c>
      <c r="BB106" s="120">
        <f>+BB82-BB94</f>
        <v>3046.0000000000073</v>
      </c>
      <c r="BC106" s="120">
        <f>+BC82-BC94</f>
        <v>3053.0000000000073</v>
      </c>
      <c r="BD106" s="120">
        <f>+BD82-BD94</f>
        <v>2913.0000000000073</v>
      </c>
      <c r="BE106" s="120">
        <f>+BE82-BE94</f>
        <v>2984</v>
      </c>
      <c r="BF106" s="120">
        <f>+BF82-BF94</f>
        <v>3005</v>
      </c>
    </row>
    <row r="107" spans="1:58" x14ac:dyDescent="0.25">
      <c r="A107" s="70" t="s">
        <v>1181</v>
      </c>
      <c r="B107" s="70" t="s">
        <v>1187</v>
      </c>
      <c r="D107" s="129" t="str">
        <f>IF([1]RENAME!$H$3=1,B107,A107)</f>
        <v>Constituição</v>
      </c>
      <c r="E107" s="130">
        <v>0</v>
      </c>
      <c r="F107" s="130">
        <v>0</v>
      </c>
      <c r="G107" s="130">
        <v>0</v>
      </c>
      <c r="H107" s="130">
        <v>0</v>
      </c>
      <c r="I107" s="130">
        <v>0</v>
      </c>
      <c r="J107" s="130">
        <v>0</v>
      </c>
      <c r="K107" s="130">
        <v>0</v>
      </c>
      <c r="L107" s="118">
        <v>0</v>
      </c>
      <c r="M107" s="118">
        <v>0</v>
      </c>
      <c r="N107" s="118">
        <v>0</v>
      </c>
      <c r="O107" s="118">
        <v>0</v>
      </c>
      <c r="P107" s="118">
        <v>0</v>
      </c>
      <c r="Q107" s="118">
        <v>0</v>
      </c>
      <c r="R107" s="118">
        <v>0</v>
      </c>
      <c r="S107" s="118">
        <v>0</v>
      </c>
      <c r="T107" s="118">
        <v>0</v>
      </c>
      <c r="U107" s="118">
        <f t="shared" ref="U107:AD107" si="157">+U83-U95</f>
        <v>879</v>
      </c>
      <c r="V107" s="118">
        <f t="shared" si="157"/>
        <v>2904.5887599999987</v>
      </c>
      <c r="W107" s="118">
        <f t="shared" si="157"/>
        <v>419.41123999999991</v>
      </c>
      <c r="X107" s="118">
        <f t="shared" si="157"/>
        <v>3029</v>
      </c>
      <c r="Y107" s="118">
        <f t="shared" si="157"/>
        <v>4705</v>
      </c>
      <c r="Z107" s="118">
        <f t="shared" si="157"/>
        <v>870</v>
      </c>
      <c r="AA107" s="118">
        <f t="shared" si="157"/>
        <v>1405</v>
      </c>
      <c r="AB107" s="118">
        <f t="shared" si="157"/>
        <v>957</v>
      </c>
      <c r="AC107" s="118">
        <f t="shared" si="157"/>
        <v>309</v>
      </c>
      <c r="AD107" s="118">
        <f t="shared" si="157"/>
        <v>1174</v>
      </c>
      <c r="AE107" s="118">
        <v>660</v>
      </c>
      <c r="AF107" s="118">
        <f>+AF83-AF95</f>
        <v>383</v>
      </c>
      <c r="AG107" s="118">
        <f>+AG83-AG95</f>
        <v>157</v>
      </c>
      <c r="AH107" s="118">
        <v>31</v>
      </c>
      <c r="AI107" s="118">
        <f>+AI83-AI95</f>
        <v>298</v>
      </c>
      <c r="AJ107" s="118">
        <f t="shared" ref="AJ107:AP107" si="158">+AJ83-AJ95</f>
        <v>-339</v>
      </c>
      <c r="AK107" s="118">
        <f t="shared" si="158"/>
        <v>54</v>
      </c>
      <c r="AL107" s="118">
        <f t="shared" si="158"/>
        <v>115</v>
      </c>
      <c r="AM107" s="118">
        <f t="shared" si="158"/>
        <v>5</v>
      </c>
      <c r="AN107" s="118">
        <f t="shared" si="158"/>
        <v>371</v>
      </c>
      <c r="AO107" s="118">
        <f>+AO83-AO95</f>
        <v>26</v>
      </c>
      <c r="AP107" s="118">
        <f t="shared" si="158"/>
        <v>165</v>
      </c>
      <c r="AQ107" s="118">
        <f t="shared" si="155"/>
        <v>26</v>
      </c>
      <c r="AR107" s="118">
        <f t="shared" si="155"/>
        <v>189</v>
      </c>
      <c r="AS107" s="118">
        <f t="shared" si="155"/>
        <v>35</v>
      </c>
      <c r="AT107" s="118">
        <f t="shared" si="155"/>
        <v>-362</v>
      </c>
      <c r="AU107" s="118">
        <f t="shared" si="155"/>
        <v>47</v>
      </c>
      <c r="AV107" s="118">
        <f t="shared" si="155"/>
        <v>609</v>
      </c>
      <c r="AW107" s="118">
        <f t="shared" si="155"/>
        <v>234</v>
      </c>
      <c r="AX107" s="118">
        <f>+AX83-AX95</f>
        <v>49</v>
      </c>
      <c r="AY107" s="118">
        <f t="shared" si="156"/>
        <v>121</v>
      </c>
      <c r="AZ107" s="118">
        <f t="shared" si="156"/>
        <v>240</v>
      </c>
      <c r="BA107" s="118">
        <v>19</v>
      </c>
      <c r="BB107" s="118">
        <v>1</v>
      </c>
      <c r="BC107" s="118">
        <v>-66</v>
      </c>
      <c r="BD107" s="118">
        <v>48</v>
      </c>
      <c r="BE107" s="118">
        <v>6</v>
      </c>
      <c r="BF107" s="118">
        <f>+BF83-BF95</f>
        <v>63</v>
      </c>
    </row>
    <row r="108" spans="1:58" ht="25.5" x14ac:dyDescent="0.25">
      <c r="A108" s="70" t="s">
        <v>1182</v>
      </c>
      <c r="B108" s="70" t="s">
        <v>1188</v>
      </c>
      <c r="D108" s="129" t="str">
        <f>IF([1]RENAME!$H$3=1,B108,A108)</f>
        <v>Transferência obrigação tributária</v>
      </c>
      <c r="E108" s="130">
        <v>0</v>
      </c>
      <c r="F108" s="130">
        <v>0</v>
      </c>
      <c r="G108" s="130">
        <v>0</v>
      </c>
      <c r="H108" s="130">
        <v>0</v>
      </c>
      <c r="I108" s="130">
        <v>0</v>
      </c>
      <c r="J108" s="130">
        <v>0</v>
      </c>
      <c r="K108" s="130">
        <v>0</v>
      </c>
      <c r="L108" s="118">
        <v>0</v>
      </c>
      <c r="M108" s="118">
        <v>0</v>
      </c>
      <c r="N108" s="118">
        <v>0</v>
      </c>
      <c r="O108" s="118">
        <v>0</v>
      </c>
      <c r="P108" s="118">
        <v>0</v>
      </c>
      <c r="Q108" s="118">
        <v>0</v>
      </c>
      <c r="R108" s="118">
        <v>0</v>
      </c>
      <c r="S108" s="118">
        <v>0</v>
      </c>
      <c r="T108" s="118">
        <v>0</v>
      </c>
      <c r="U108" s="118">
        <f>+U85-U97</f>
        <v>0</v>
      </c>
      <c r="V108" s="118">
        <f>+V85-V97</f>
        <v>888.65643</v>
      </c>
      <c r="W108" s="118">
        <f>+W85-W97</f>
        <v>0</v>
      </c>
      <c r="X108" s="118">
        <v>0</v>
      </c>
      <c r="Y108" s="118">
        <f>+Y85-Y97</f>
        <v>0</v>
      </c>
      <c r="Z108" s="118">
        <v>0</v>
      </c>
      <c r="AA108" s="118">
        <v>0</v>
      </c>
      <c r="AB108" s="118">
        <f t="shared" ref="AB108:AC111" si="159">+AB85-AB97</f>
        <v>0</v>
      </c>
      <c r="AC108" s="118">
        <f t="shared" si="159"/>
        <v>0</v>
      </c>
      <c r="AD108" s="118">
        <v>0</v>
      </c>
      <c r="AE108" s="118">
        <v>0</v>
      </c>
      <c r="AF108" s="118">
        <f>AF85-AF97</f>
        <v>0</v>
      </c>
      <c r="AG108" s="118">
        <f>AG85-AG97</f>
        <v>0</v>
      </c>
      <c r="AH108" s="118">
        <v>0</v>
      </c>
      <c r="AI108" s="118">
        <f>AI85-AI97</f>
        <v>0</v>
      </c>
      <c r="AJ108" s="118">
        <v>0</v>
      </c>
      <c r="AK108" s="118">
        <f>AK85-AK97</f>
        <v>0</v>
      </c>
      <c r="AL108" s="118">
        <v>0</v>
      </c>
      <c r="AM108" s="118">
        <v>0</v>
      </c>
      <c r="AN108" s="118">
        <f>+AN84-AN96</f>
        <v>0</v>
      </c>
      <c r="AO108" s="118">
        <f>+AO84-AO96</f>
        <v>652</v>
      </c>
      <c r="AP108" s="118">
        <f t="shared" ref="AP108:AR109" si="160">+AP85-AP97</f>
        <v>0</v>
      </c>
      <c r="AQ108" s="118">
        <f t="shared" si="160"/>
        <v>0</v>
      </c>
      <c r="AR108" s="118">
        <f t="shared" si="160"/>
        <v>0</v>
      </c>
      <c r="AS108" s="118">
        <f t="shared" ref="AS108:AW111" si="161">+AS85-AS97</f>
        <v>0</v>
      </c>
      <c r="AT108" s="118">
        <f t="shared" si="161"/>
        <v>0</v>
      </c>
      <c r="AU108" s="118">
        <f t="shared" si="161"/>
        <v>0</v>
      </c>
      <c r="AV108" s="118">
        <f t="shared" si="161"/>
        <v>0</v>
      </c>
      <c r="AW108" s="118">
        <f t="shared" si="161"/>
        <v>0</v>
      </c>
      <c r="AX108" s="118">
        <f t="shared" ref="AX108:AZ111" si="162">+AX85-AX97</f>
        <v>0</v>
      </c>
      <c r="AY108" s="118">
        <f t="shared" si="162"/>
        <v>0</v>
      </c>
      <c r="AZ108" s="118">
        <f t="shared" si="162"/>
        <v>0</v>
      </c>
      <c r="BA108" s="118">
        <v>0</v>
      </c>
      <c r="BB108" s="118">
        <v>0</v>
      </c>
      <c r="BC108" s="118">
        <v>0</v>
      </c>
      <c r="BD108" s="118">
        <v>0</v>
      </c>
      <c r="BE108" s="118">
        <v>0</v>
      </c>
      <c r="BF108" s="118">
        <f>+BF85-BF97</f>
        <v>0</v>
      </c>
    </row>
    <row r="109" spans="1:58" x14ac:dyDescent="0.25">
      <c r="D109" s="129" t="s">
        <v>1311</v>
      </c>
      <c r="E109" s="130"/>
      <c r="F109" s="130"/>
      <c r="G109" s="130"/>
      <c r="H109" s="130"/>
      <c r="I109" s="130"/>
      <c r="J109" s="130"/>
      <c r="K109" s="130"/>
      <c r="L109" s="118"/>
      <c r="M109" s="118"/>
      <c r="N109" s="118"/>
      <c r="O109" s="118"/>
      <c r="P109" s="118"/>
      <c r="Q109" s="118"/>
      <c r="R109" s="118"/>
      <c r="S109" s="118"/>
      <c r="T109" s="118"/>
      <c r="U109" s="118">
        <v>0</v>
      </c>
      <c r="V109" s="118">
        <v>0</v>
      </c>
      <c r="W109" s="118">
        <v>0</v>
      </c>
      <c r="X109" s="118">
        <v>0</v>
      </c>
      <c r="Y109" s="118">
        <f>+Y86-Y98</f>
        <v>-1482</v>
      </c>
      <c r="Z109" s="118">
        <f t="shared" ref="Z109:AA111" si="163">+Z86-Z98</f>
        <v>0</v>
      </c>
      <c r="AA109" s="118">
        <f t="shared" si="163"/>
        <v>0</v>
      </c>
      <c r="AB109" s="118">
        <f t="shared" si="159"/>
        <v>0</v>
      </c>
      <c r="AC109" s="118">
        <f t="shared" si="159"/>
        <v>0</v>
      </c>
      <c r="AD109" s="118">
        <v>0</v>
      </c>
      <c r="AE109" s="118">
        <v>0</v>
      </c>
      <c r="AF109" s="118">
        <v>0</v>
      </c>
      <c r="AG109" s="118">
        <v>0</v>
      </c>
      <c r="AH109" s="118">
        <v>0</v>
      </c>
      <c r="AI109" s="118">
        <v>0</v>
      </c>
      <c r="AJ109" s="118">
        <v>0</v>
      </c>
      <c r="AK109" s="118">
        <v>0</v>
      </c>
      <c r="AL109" s="118">
        <v>0</v>
      </c>
      <c r="AM109" s="118">
        <v>0</v>
      </c>
      <c r="AN109" s="118">
        <f>+AN85-AN97</f>
        <v>0</v>
      </c>
      <c r="AO109" s="118">
        <f>+AO85-AO97</f>
        <v>0</v>
      </c>
      <c r="AP109" s="118">
        <f t="shared" si="160"/>
        <v>0</v>
      </c>
      <c r="AQ109" s="118">
        <f t="shared" si="160"/>
        <v>0</v>
      </c>
      <c r="AR109" s="118">
        <f t="shared" si="160"/>
        <v>0</v>
      </c>
      <c r="AS109" s="118">
        <f t="shared" si="161"/>
        <v>0</v>
      </c>
      <c r="AT109" s="118">
        <f t="shared" si="161"/>
        <v>0</v>
      </c>
      <c r="AU109" s="118">
        <f t="shared" si="161"/>
        <v>0</v>
      </c>
      <c r="AV109" s="118">
        <f t="shared" si="161"/>
        <v>0</v>
      </c>
      <c r="AW109" s="118">
        <f t="shared" si="161"/>
        <v>0</v>
      </c>
      <c r="AX109" s="118">
        <f t="shared" si="162"/>
        <v>0</v>
      </c>
      <c r="AY109" s="118">
        <f t="shared" si="162"/>
        <v>0</v>
      </c>
      <c r="AZ109" s="118">
        <f t="shared" si="162"/>
        <v>0</v>
      </c>
      <c r="BA109" s="118">
        <v>0</v>
      </c>
      <c r="BB109" s="118">
        <v>0</v>
      </c>
      <c r="BC109" s="118">
        <v>0</v>
      </c>
      <c r="BD109" s="118">
        <v>0</v>
      </c>
      <c r="BE109" s="118">
        <v>0</v>
      </c>
      <c r="BF109" s="118">
        <f>+BF86-BF98</f>
        <v>0</v>
      </c>
    </row>
    <row r="110" spans="1:58" x14ac:dyDescent="0.25">
      <c r="A110" s="70" t="s">
        <v>1253</v>
      </c>
      <c r="B110" s="70" t="s">
        <v>1252</v>
      </c>
      <c r="D110" s="129" t="str">
        <f>IF([1]RENAME!$H$3=1,B110,A110)</f>
        <v>Demandas judiciais a pagar</v>
      </c>
      <c r="E110" s="130">
        <f t="shared" ref="E110:X110" si="164">+E87-E99</f>
        <v>0</v>
      </c>
      <c r="F110" s="130">
        <f t="shared" si="164"/>
        <v>0</v>
      </c>
      <c r="G110" s="130">
        <f t="shared" si="164"/>
        <v>0</v>
      </c>
      <c r="H110" s="130">
        <f t="shared" si="164"/>
        <v>0</v>
      </c>
      <c r="I110" s="130">
        <f t="shared" si="164"/>
        <v>0</v>
      </c>
      <c r="J110" s="130">
        <f t="shared" si="164"/>
        <v>0</v>
      </c>
      <c r="K110" s="130">
        <f t="shared" si="164"/>
        <v>0</v>
      </c>
      <c r="L110" s="118">
        <f t="shared" si="164"/>
        <v>0</v>
      </c>
      <c r="M110" s="118">
        <f t="shared" si="164"/>
        <v>0</v>
      </c>
      <c r="N110" s="118">
        <f t="shared" si="164"/>
        <v>0</v>
      </c>
      <c r="O110" s="118">
        <f t="shared" si="164"/>
        <v>0</v>
      </c>
      <c r="P110" s="118">
        <f t="shared" si="164"/>
        <v>0</v>
      </c>
      <c r="Q110" s="118">
        <f t="shared" si="164"/>
        <v>0</v>
      </c>
      <c r="R110" s="118">
        <f t="shared" si="164"/>
        <v>0</v>
      </c>
      <c r="S110" s="118">
        <f t="shared" si="164"/>
        <v>0</v>
      </c>
      <c r="T110" s="118">
        <f t="shared" si="164"/>
        <v>0</v>
      </c>
      <c r="U110" s="118">
        <f t="shared" si="164"/>
        <v>0</v>
      </c>
      <c r="V110" s="118">
        <f t="shared" si="164"/>
        <v>0</v>
      </c>
      <c r="W110" s="118">
        <f t="shared" si="164"/>
        <v>0</v>
      </c>
      <c r="X110" s="118">
        <f t="shared" si="164"/>
        <v>-183</v>
      </c>
      <c r="Y110" s="118">
        <f>+Y87-Y99</f>
        <v>182</v>
      </c>
      <c r="Z110" s="118">
        <f t="shared" si="163"/>
        <v>-216</v>
      </c>
      <c r="AA110" s="118">
        <f t="shared" si="163"/>
        <v>-186</v>
      </c>
      <c r="AB110" s="118">
        <f t="shared" si="159"/>
        <v>-612</v>
      </c>
      <c r="AC110" s="118">
        <f t="shared" si="159"/>
        <v>-313</v>
      </c>
      <c r="AD110" s="118">
        <f>+AD87-AD99</f>
        <v>286</v>
      </c>
      <c r="AE110" s="118">
        <v>-258</v>
      </c>
      <c r="AF110" s="118">
        <f>+AF87-AF99</f>
        <v>285</v>
      </c>
      <c r="AG110" s="118">
        <f>+AG87-AG99</f>
        <v>-55</v>
      </c>
      <c r="AH110" s="118">
        <v>55</v>
      </c>
      <c r="AI110" s="118">
        <f>+AI87-AI99</f>
        <v>-144</v>
      </c>
      <c r="AJ110" s="118">
        <f t="shared" ref="AJ110:AP110" si="165">+AJ87-AJ99</f>
        <v>42</v>
      </c>
      <c r="AK110" s="118">
        <f t="shared" si="165"/>
        <v>0</v>
      </c>
      <c r="AL110" s="118">
        <f t="shared" si="165"/>
        <v>0</v>
      </c>
      <c r="AM110" s="118">
        <f t="shared" si="165"/>
        <v>0</v>
      </c>
      <c r="AN110" s="118">
        <f t="shared" si="165"/>
        <v>-13</v>
      </c>
      <c r="AO110" s="118">
        <f>+AO87-AO99</f>
        <v>0</v>
      </c>
      <c r="AP110" s="118">
        <f t="shared" si="165"/>
        <v>0</v>
      </c>
      <c r="AQ110" s="118">
        <f>+AQ87-AQ99</f>
        <v>0</v>
      </c>
      <c r="AR110" s="118">
        <f>+AR87-AR99</f>
        <v>-105</v>
      </c>
      <c r="AS110" s="118">
        <f t="shared" si="161"/>
        <v>0</v>
      </c>
      <c r="AT110" s="118">
        <f t="shared" si="161"/>
        <v>-201</v>
      </c>
      <c r="AU110" s="118">
        <f t="shared" si="161"/>
        <v>201</v>
      </c>
      <c r="AV110" s="118">
        <f t="shared" si="161"/>
        <v>0</v>
      </c>
      <c r="AW110" s="118">
        <f t="shared" si="161"/>
        <v>-28</v>
      </c>
      <c r="AX110" s="118">
        <f t="shared" si="162"/>
        <v>28</v>
      </c>
      <c r="AY110" s="118">
        <f t="shared" si="162"/>
        <v>0</v>
      </c>
      <c r="AZ110" s="118">
        <f t="shared" si="162"/>
        <v>0</v>
      </c>
      <c r="BA110" s="118">
        <v>0</v>
      </c>
      <c r="BB110" s="118">
        <v>0</v>
      </c>
      <c r="BC110" s="118">
        <v>-1</v>
      </c>
      <c r="BD110" s="118">
        <v>1</v>
      </c>
      <c r="BE110" s="118">
        <v>0</v>
      </c>
      <c r="BF110" s="118">
        <f>+BF87-BF99</f>
        <v>-37</v>
      </c>
    </row>
    <row r="111" spans="1:58" x14ac:dyDescent="0.25">
      <c r="A111" s="70" t="s">
        <v>1183</v>
      </c>
      <c r="B111" s="70" t="s">
        <v>1189</v>
      </c>
      <c r="D111" s="129" t="str">
        <f>IF([1]RENAME!$H$3=1,B111,A111)</f>
        <v>Baixa por deposito judicial</v>
      </c>
      <c r="E111" s="130">
        <v>0</v>
      </c>
      <c r="F111" s="130">
        <v>0</v>
      </c>
      <c r="G111" s="130">
        <v>0</v>
      </c>
      <c r="H111" s="130">
        <v>0</v>
      </c>
      <c r="I111" s="130">
        <v>0</v>
      </c>
      <c r="J111" s="130">
        <v>0</v>
      </c>
      <c r="K111" s="130">
        <v>0</v>
      </c>
      <c r="L111" s="118">
        <v>0</v>
      </c>
      <c r="M111" s="118">
        <v>0</v>
      </c>
      <c r="N111" s="118">
        <v>0</v>
      </c>
      <c r="O111" s="118">
        <v>0</v>
      </c>
      <c r="P111" s="118">
        <v>0</v>
      </c>
      <c r="Q111" s="118">
        <v>0</v>
      </c>
      <c r="R111" s="118">
        <v>0</v>
      </c>
      <c r="S111" s="118">
        <v>0</v>
      </c>
      <c r="T111" s="118">
        <v>0</v>
      </c>
      <c r="U111" s="118">
        <f>+U88-U100</f>
        <v>-1826.605</v>
      </c>
      <c r="V111" s="118">
        <f>+V88-V100</f>
        <v>-213.93519000000003</v>
      </c>
      <c r="W111" s="118">
        <f>+W88-W100</f>
        <v>-3679.8345100000001</v>
      </c>
      <c r="X111" s="118">
        <f>+X88-X100</f>
        <v>-1703.6253000000002</v>
      </c>
      <c r="Y111" s="118">
        <f>+Y88-Y100</f>
        <v>-269</v>
      </c>
      <c r="Z111" s="118">
        <f t="shared" si="163"/>
        <v>-419</v>
      </c>
      <c r="AA111" s="118">
        <f t="shared" si="163"/>
        <v>-357</v>
      </c>
      <c r="AB111" s="118">
        <f t="shared" si="159"/>
        <v>-458</v>
      </c>
      <c r="AC111" s="118">
        <f t="shared" si="159"/>
        <v>-283</v>
      </c>
      <c r="AD111" s="118">
        <f>+AD88-AD100</f>
        <v>-190</v>
      </c>
      <c r="AE111" s="118">
        <v>211</v>
      </c>
      <c r="AF111" s="118">
        <f>+AF88-AF100</f>
        <v>0</v>
      </c>
      <c r="AG111" s="118">
        <f>+AG88-AG100</f>
        <v>-282</v>
      </c>
      <c r="AH111" s="118">
        <v>-303</v>
      </c>
      <c r="AI111" s="118">
        <f t="shared" ref="AI111:AP111" si="166">+AI88-AI100</f>
        <v>-48</v>
      </c>
      <c r="AJ111" s="118">
        <f t="shared" si="166"/>
        <v>612</v>
      </c>
      <c r="AK111" s="118">
        <f t="shared" si="166"/>
        <v>-66</v>
      </c>
      <c r="AL111" s="118">
        <f t="shared" si="166"/>
        <v>-148</v>
      </c>
      <c r="AM111" s="118">
        <f t="shared" si="166"/>
        <v>-60</v>
      </c>
      <c r="AN111" s="118">
        <f t="shared" si="166"/>
        <v>-127</v>
      </c>
      <c r="AO111" s="118">
        <f>+AO88-AO100</f>
        <v>-38</v>
      </c>
      <c r="AP111" s="118">
        <f t="shared" si="166"/>
        <v>3</v>
      </c>
      <c r="AQ111" s="118">
        <f>+AQ88-AQ100</f>
        <v>-466</v>
      </c>
      <c r="AR111" s="118">
        <f>+AR88-AR100</f>
        <v>-42</v>
      </c>
      <c r="AS111" s="118">
        <f t="shared" si="161"/>
        <v>-2</v>
      </c>
      <c r="AT111" s="118">
        <f t="shared" si="161"/>
        <v>-65</v>
      </c>
      <c r="AU111" s="118">
        <f t="shared" si="161"/>
        <v>-31</v>
      </c>
      <c r="AV111" s="118">
        <f t="shared" si="161"/>
        <v>-9</v>
      </c>
      <c r="AW111" s="118">
        <f t="shared" si="161"/>
        <v>0</v>
      </c>
      <c r="AX111" s="118">
        <f t="shared" si="162"/>
        <v>-37</v>
      </c>
      <c r="AY111" s="118">
        <f t="shared" si="162"/>
        <v>-90</v>
      </c>
      <c r="AZ111" s="118">
        <f t="shared" si="162"/>
        <v>-132</v>
      </c>
      <c r="BA111" s="118">
        <v>-12</v>
      </c>
      <c r="BB111" s="118">
        <v>-19</v>
      </c>
      <c r="BC111" s="118">
        <v>-15</v>
      </c>
      <c r="BD111" s="118">
        <v>-4</v>
      </c>
      <c r="BE111" s="118">
        <v>0</v>
      </c>
      <c r="BF111" s="118">
        <f>+BF88-BF100</f>
        <v>-26</v>
      </c>
    </row>
    <row r="112" spans="1:58" x14ac:dyDescent="0.25">
      <c r="A112" s="70" t="s">
        <v>1184</v>
      </c>
      <c r="B112" s="70" t="s">
        <v>1190</v>
      </c>
      <c r="D112" s="129" t="str">
        <f>IF([1]RENAME!$H$3=1,B112,A112)</f>
        <v>Pagamento</v>
      </c>
      <c r="E112" s="130">
        <v>0</v>
      </c>
      <c r="F112" s="130">
        <v>0</v>
      </c>
      <c r="G112" s="130">
        <v>0</v>
      </c>
      <c r="H112" s="130">
        <v>0</v>
      </c>
      <c r="I112" s="130">
        <v>0</v>
      </c>
      <c r="J112" s="130">
        <v>0</v>
      </c>
      <c r="K112" s="130">
        <v>0</v>
      </c>
      <c r="L112" s="118">
        <v>0</v>
      </c>
      <c r="M112" s="118">
        <v>0</v>
      </c>
      <c r="N112" s="118">
        <v>0</v>
      </c>
      <c r="O112" s="118">
        <v>0</v>
      </c>
      <c r="P112" s="118">
        <v>0</v>
      </c>
      <c r="Q112" s="118">
        <v>0</v>
      </c>
      <c r="R112" s="118">
        <v>0</v>
      </c>
      <c r="S112" s="118">
        <v>0</v>
      </c>
      <c r="T112" s="118">
        <v>0</v>
      </c>
      <c r="U112" s="118">
        <f t="shared" ref="U112:AD112" si="167">+U90-U102</f>
        <v>-439.29037999999991</v>
      </c>
      <c r="V112" s="118">
        <f t="shared" si="167"/>
        <v>-2895</v>
      </c>
      <c r="W112" s="118">
        <f t="shared" si="167"/>
        <v>1705</v>
      </c>
      <c r="X112" s="118">
        <f t="shared" si="167"/>
        <v>-819.70962000000009</v>
      </c>
      <c r="Y112" s="118">
        <f t="shared" si="167"/>
        <v>-326</v>
      </c>
      <c r="Z112" s="118">
        <f t="shared" si="167"/>
        <v>-42</v>
      </c>
      <c r="AA112" s="118">
        <f t="shared" si="167"/>
        <v>-1144</v>
      </c>
      <c r="AB112" s="118">
        <f t="shared" si="167"/>
        <v>-640</v>
      </c>
      <c r="AC112" s="118">
        <f t="shared" si="167"/>
        <v>-236</v>
      </c>
      <c r="AD112" s="118">
        <f t="shared" si="167"/>
        <v>-444</v>
      </c>
      <c r="AE112" s="259">
        <v>-6378</v>
      </c>
      <c r="AF112" s="118">
        <f>+AF90-AF102</f>
        <v>-571</v>
      </c>
      <c r="AG112" s="118">
        <f>+AG90-AG102</f>
        <v>-218</v>
      </c>
      <c r="AH112" s="118">
        <v>-101</v>
      </c>
      <c r="AI112" s="118">
        <f t="shared" ref="AI112:AP112" si="168">+AI90-AI102</f>
        <v>-127</v>
      </c>
      <c r="AJ112" s="118">
        <f t="shared" si="168"/>
        <v>-511</v>
      </c>
      <c r="AK112" s="118">
        <f t="shared" si="168"/>
        <v>-240</v>
      </c>
      <c r="AL112" s="118">
        <f t="shared" si="168"/>
        <v>-141</v>
      </c>
      <c r="AM112" s="118">
        <f t="shared" si="168"/>
        <v>-80</v>
      </c>
      <c r="AN112" s="118">
        <f t="shared" si="168"/>
        <v>-369</v>
      </c>
      <c r="AO112" s="118">
        <f>+AO90-AO102</f>
        <v>-24</v>
      </c>
      <c r="AP112" s="118">
        <f t="shared" si="168"/>
        <v>-86</v>
      </c>
      <c r="AQ112" s="118">
        <f t="shared" ref="AQ112:AW112" si="169">+AQ90-AQ102</f>
        <v>-37</v>
      </c>
      <c r="AR112" s="118">
        <f t="shared" si="169"/>
        <v>-103</v>
      </c>
      <c r="AS112" s="118">
        <f t="shared" si="169"/>
        <v>-13</v>
      </c>
      <c r="AT112" s="118">
        <f t="shared" si="169"/>
        <v>-708</v>
      </c>
      <c r="AU112" s="118">
        <f t="shared" si="169"/>
        <v>-274</v>
      </c>
      <c r="AV112" s="118">
        <f t="shared" si="169"/>
        <v>25</v>
      </c>
      <c r="AW112" s="118">
        <f t="shared" si="169"/>
        <v>-8</v>
      </c>
      <c r="AX112" s="118">
        <f>+AX90-AX102</f>
        <v>-31</v>
      </c>
      <c r="AY112" s="118">
        <f t="shared" ref="AY112:BD113" si="170">+AY90-AY102</f>
        <v>-38</v>
      </c>
      <c r="AZ112" s="118">
        <f t="shared" si="170"/>
        <v>-8</v>
      </c>
      <c r="BA112" s="118">
        <v>-3</v>
      </c>
      <c r="BB112" s="118">
        <v>-1</v>
      </c>
      <c r="BC112" s="118">
        <v>-11</v>
      </c>
      <c r="BD112" s="118">
        <v>-12</v>
      </c>
      <c r="BE112" s="118">
        <v>-2</v>
      </c>
      <c r="BF112" s="118">
        <f>+BF90-BF102</f>
        <v>-17</v>
      </c>
    </row>
    <row r="113" spans="1:58" x14ac:dyDescent="0.25">
      <c r="A113" s="70" t="s">
        <v>191</v>
      </c>
      <c r="B113" s="70" t="s">
        <v>1191</v>
      </c>
      <c r="D113" s="126" t="str">
        <f>IF([1]RENAME!$H$3=1,B113,A113)</f>
        <v>Saldo final</v>
      </c>
      <c r="E113" s="120">
        <v>0</v>
      </c>
      <c r="F113" s="120">
        <v>0</v>
      </c>
      <c r="G113" s="120">
        <v>0</v>
      </c>
      <c r="H113" s="120">
        <v>0</v>
      </c>
      <c r="I113" s="120">
        <v>0</v>
      </c>
      <c r="J113" s="120">
        <v>0</v>
      </c>
      <c r="K113" s="120">
        <v>0</v>
      </c>
      <c r="L113" s="120">
        <v>0</v>
      </c>
      <c r="M113" s="120">
        <v>0</v>
      </c>
      <c r="N113" s="120">
        <v>0</v>
      </c>
      <c r="O113" s="120">
        <v>0</v>
      </c>
      <c r="P113" s="120">
        <v>0</v>
      </c>
      <c r="Q113" s="120">
        <v>0</v>
      </c>
      <c r="R113" s="120">
        <v>0</v>
      </c>
      <c r="S113" s="120">
        <v>0</v>
      </c>
      <c r="T113" s="120">
        <v>0</v>
      </c>
      <c r="U113" s="120">
        <f t="shared" ref="U113:AF113" si="171">+U91-U103</f>
        <v>8605.1046200000001</v>
      </c>
      <c r="V113" s="120">
        <f t="shared" si="171"/>
        <v>9289.4146200000032</v>
      </c>
      <c r="W113" s="120">
        <f t="shared" si="171"/>
        <v>7733.9913500000039</v>
      </c>
      <c r="X113" s="120">
        <f t="shared" si="171"/>
        <v>8057.0000000000073</v>
      </c>
      <c r="Y113" s="120">
        <f t="shared" si="171"/>
        <v>10867.000000000007</v>
      </c>
      <c r="Z113" s="120">
        <f t="shared" si="171"/>
        <v>11060.000000000007</v>
      </c>
      <c r="AA113" s="120">
        <f t="shared" si="171"/>
        <v>10778.000000000007</v>
      </c>
      <c r="AB113" s="120">
        <f t="shared" si="171"/>
        <v>10025.000000000007</v>
      </c>
      <c r="AC113" s="120">
        <f t="shared" si="171"/>
        <v>9502.0000000000073</v>
      </c>
      <c r="AD113" s="120">
        <f t="shared" si="171"/>
        <v>10328.000000000007</v>
      </c>
      <c r="AE113" s="120">
        <f t="shared" si="171"/>
        <v>4563.0000000000073</v>
      </c>
      <c r="AF113" s="120">
        <f t="shared" si="171"/>
        <v>4660.0000000000073</v>
      </c>
      <c r="AG113" s="120">
        <f t="shared" ref="AG113:AN113" si="172">+AG91-AG103</f>
        <v>4262.0000000000073</v>
      </c>
      <c r="AH113" s="120">
        <f t="shared" si="172"/>
        <v>3944.0000000000073</v>
      </c>
      <c r="AI113" s="120">
        <f t="shared" si="172"/>
        <v>3923.0000000000073</v>
      </c>
      <c r="AJ113" s="120">
        <f t="shared" si="172"/>
        <v>3727.0000000000073</v>
      </c>
      <c r="AK113" s="120">
        <f t="shared" si="172"/>
        <v>3475.0000000000073</v>
      </c>
      <c r="AL113" s="120">
        <f t="shared" si="172"/>
        <v>3301.0000000000073</v>
      </c>
      <c r="AM113" s="120">
        <f t="shared" si="172"/>
        <v>3166.0000000000073</v>
      </c>
      <c r="AN113" s="120">
        <f t="shared" si="172"/>
        <v>3028.0000000000073</v>
      </c>
      <c r="AO113" s="120">
        <f>+AO91-AO103</f>
        <v>3644.0000000000073</v>
      </c>
      <c r="AP113" s="120">
        <f t="shared" ref="AP113:AU113" si="173">+AP91-AP103</f>
        <v>3755.0000000000073</v>
      </c>
      <c r="AQ113" s="120">
        <f t="shared" si="173"/>
        <v>3757.0000000000073</v>
      </c>
      <c r="AR113" s="120">
        <f t="shared" si="173"/>
        <v>3755.0000000000073</v>
      </c>
      <c r="AS113" s="120">
        <f t="shared" si="173"/>
        <v>3802.0000000000073</v>
      </c>
      <c r="AT113" s="120">
        <f t="shared" si="173"/>
        <v>2491.0000000000073</v>
      </c>
      <c r="AU113" s="120">
        <f t="shared" si="173"/>
        <v>2463.0000000000073</v>
      </c>
      <c r="AV113" s="120">
        <f>+AV91-AV103</f>
        <v>3111.0000000000073</v>
      </c>
      <c r="AW113" s="120">
        <f>+AW91-AW103</f>
        <v>3330.0000000000073</v>
      </c>
      <c r="AX113" s="120">
        <f>+AX91-AX103</f>
        <v>2872.0000000000073</v>
      </c>
      <c r="AY113" s="120">
        <f t="shared" si="170"/>
        <v>2890.0000000000073</v>
      </c>
      <c r="AZ113" s="120">
        <f t="shared" si="170"/>
        <v>3018.0000000000073</v>
      </c>
      <c r="BA113" s="120">
        <f t="shared" si="170"/>
        <v>3046.0000000000073</v>
      </c>
      <c r="BB113" s="120">
        <f t="shared" si="170"/>
        <v>3053.0000000000073</v>
      </c>
      <c r="BC113" s="120">
        <f t="shared" si="170"/>
        <v>2913.0000000000073</v>
      </c>
      <c r="BD113" s="120">
        <f t="shared" si="170"/>
        <v>2984.0000000000073</v>
      </c>
      <c r="BE113" s="120">
        <f>+BE91-BE103</f>
        <v>3005</v>
      </c>
      <c r="BF113" s="120">
        <f>+BF91-BF103</f>
        <v>2988</v>
      </c>
    </row>
  </sheetData>
  <mergeCells count="1">
    <mergeCell ref="H4:I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4">
    <pageSetUpPr autoPageBreaks="0"/>
  </sheetPr>
  <dimension ref="A1:FN160"/>
  <sheetViews>
    <sheetView showGridLines="0" zoomScaleNormal="100" workbookViewId="0">
      <pane xSplit="4" topLeftCell="AL1" activePane="topRight" state="frozen"/>
      <selection activeCell="AY7" sqref="AY7"/>
      <selection pane="topRight" activeCell="B1" sqref="A1:B1048576"/>
    </sheetView>
  </sheetViews>
  <sheetFormatPr defaultColWidth="9.140625" defaultRowHeight="14.25" outlineLevelRow="1" x14ac:dyDescent="0.2"/>
  <cols>
    <col min="1" max="1" width="25.5703125" style="25" hidden="1" customWidth="1"/>
    <col min="2" max="2" width="22.140625" style="25" hidden="1" customWidth="1"/>
    <col min="3" max="3" width="1.140625" customWidth="1"/>
    <col min="4" max="4" width="57.85546875" style="25" bestFit="1" customWidth="1"/>
    <col min="5" max="14" width="10.85546875" style="25" customWidth="1"/>
    <col min="15" max="18" width="12.140625" style="25" bestFit="1" customWidth="1"/>
    <col min="19" max="19" width="12.140625" style="25" customWidth="1"/>
    <col min="20" max="20" width="12.140625" style="25" bestFit="1" customWidth="1"/>
    <col min="21" max="23" width="12.140625" style="25" customWidth="1"/>
    <col min="24" max="31" width="12.140625" style="25" bestFit="1" customWidth="1"/>
    <col min="32" max="33" width="12.140625" style="25" customWidth="1"/>
    <col min="34" max="41" width="12.140625" style="25" bestFit="1" customWidth="1"/>
    <col min="42" max="45" width="12.140625" style="25" customWidth="1"/>
    <col min="46" max="49" width="12.140625" style="25" bestFit="1" customWidth="1"/>
    <col min="50" max="92" width="10.5703125" style="25" customWidth="1"/>
    <col min="93" max="93" width="5" style="25" customWidth="1"/>
    <col min="94" max="95" width="7" style="25" customWidth="1"/>
    <col min="96" max="96" width="6.42578125" style="25" customWidth="1"/>
    <col min="97" max="97" width="6.5703125" style="25" customWidth="1"/>
    <col min="98" max="98" width="8.140625" style="25" customWidth="1"/>
    <col min="99" max="99" width="8.42578125" style="25" customWidth="1"/>
    <col min="100" max="100" width="7" style="25" customWidth="1"/>
    <col min="101" max="101" width="6.85546875" style="25" customWidth="1"/>
    <col min="102" max="102" width="7.42578125" style="25" customWidth="1"/>
    <col min="103" max="104" width="6.85546875" style="25" customWidth="1"/>
    <col min="105" max="105" width="7.140625" style="25" customWidth="1"/>
    <col min="106" max="106" width="8" style="25" customWidth="1"/>
    <col min="107" max="107" width="8.140625" style="25" customWidth="1"/>
    <col min="108" max="108" width="7.140625" style="25" customWidth="1"/>
    <col min="109" max="109" width="7.85546875" style="25" customWidth="1"/>
    <col min="110" max="112" width="9.140625" style="25" customWidth="1"/>
    <col min="113" max="113" width="32.42578125" customWidth="1"/>
    <col min="114" max="115" width="11.85546875" customWidth="1"/>
    <col min="116" max="116" width="8.85546875" customWidth="1"/>
    <col min="117" max="117" width="9" customWidth="1"/>
    <col min="118" max="119" width="8.85546875" customWidth="1"/>
    <col min="120" max="120" width="9.140625" customWidth="1"/>
    <col min="121" max="121" width="32.42578125" customWidth="1"/>
    <col min="122" max="123" width="11.85546875" customWidth="1"/>
    <col min="124" max="124" width="9.140625" customWidth="1"/>
    <col min="125" max="125" width="32.42578125" customWidth="1"/>
    <col min="126" max="127" width="11.85546875" customWidth="1"/>
    <col min="128" max="128" width="39.5703125" customWidth="1"/>
    <col min="129" max="129" width="1.85546875" customWidth="1"/>
    <col min="130" max="130" width="10" customWidth="1"/>
    <col min="131" max="131" width="10.5703125" customWidth="1"/>
    <col min="132" max="132" width="1" customWidth="1"/>
    <col min="133" max="134" width="9.85546875" customWidth="1"/>
    <col min="135" max="135" width="1" customWidth="1"/>
    <col min="136" max="137" width="10.5703125" customWidth="1"/>
    <col min="138" max="138" width="2.85546875" customWidth="1"/>
    <col min="139" max="139" width="8.85546875" customWidth="1"/>
    <col min="140" max="140" width="9.140625" customWidth="1"/>
    <col min="141" max="141" width="1.85546875" customWidth="1"/>
    <col min="142" max="143" width="8.140625" customWidth="1"/>
    <col min="144" max="144" width="1.140625" customWidth="1"/>
    <col min="145" max="146" width="8.85546875" customWidth="1"/>
    <col min="147" max="147" width="2.85546875" customWidth="1"/>
    <col min="148" max="148" width="8.85546875" customWidth="1"/>
    <col min="149" max="149" width="9.140625" customWidth="1"/>
    <col min="150" max="150" width="1.85546875" customWidth="1"/>
    <col min="151" max="152" width="8.140625" customWidth="1"/>
    <col min="153" max="153" width="1.140625" customWidth="1"/>
    <col min="154" max="155" width="8.85546875" customWidth="1"/>
    <col min="156" max="156" width="9.140625" customWidth="1"/>
    <col min="157" max="157" width="11.42578125" customWidth="1"/>
    <col min="158" max="158" width="11" customWidth="1"/>
    <col min="159" max="159" width="12.140625" customWidth="1"/>
    <col min="160" max="160" width="10.140625" customWidth="1"/>
    <col min="162" max="162" width="13.140625" customWidth="1"/>
    <col min="163" max="163" width="14.5703125" customWidth="1"/>
    <col min="164" max="164" width="11.42578125" customWidth="1"/>
    <col min="165" max="165" width="12.42578125" customWidth="1"/>
    <col min="166" max="166" width="11.85546875" customWidth="1"/>
    <col min="167" max="167" width="10.85546875" customWidth="1"/>
    <col min="170" max="16384" width="9.140625" style="25"/>
  </cols>
  <sheetData>
    <row r="1" spans="1:170" s="552" customFormat="1" ht="7.5" customHeight="1" x14ac:dyDescent="0.2">
      <c r="C1" s="547"/>
      <c r="E1" s="552" t="s">
        <v>87</v>
      </c>
      <c r="F1" s="552" t="str">
        <f>IF(LEFT(E1,1)="4","1T"&amp;RIGHT(E1,2)+1,LEFT(E1,1)+1&amp;RIGHT(E1,3))</f>
        <v>2T15</v>
      </c>
      <c r="G1" s="552" t="str">
        <f t="shared" ref="G1:R1" si="0">IF(LEFT(F1,1)="4","1T"&amp;RIGHT(F1,2)+1,LEFT(F1,1)+1&amp;RIGHT(F1,3))</f>
        <v>3T15</v>
      </c>
      <c r="H1" s="552" t="str">
        <f t="shared" si="0"/>
        <v>4T15</v>
      </c>
      <c r="I1" s="552" t="str">
        <f t="shared" si="0"/>
        <v>1T16</v>
      </c>
      <c r="J1" s="552" t="str">
        <f t="shared" si="0"/>
        <v>2T16</v>
      </c>
      <c r="K1" s="552" t="str">
        <f t="shared" si="0"/>
        <v>3T16</v>
      </c>
      <c r="L1" s="552" t="str">
        <f t="shared" si="0"/>
        <v>4T16</v>
      </c>
      <c r="M1" s="552" t="str">
        <f t="shared" si="0"/>
        <v>1T17</v>
      </c>
      <c r="N1" s="552" t="str">
        <f t="shared" si="0"/>
        <v>2T17</v>
      </c>
      <c r="O1" s="552" t="str">
        <f t="shared" si="0"/>
        <v>3T17</v>
      </c>
      <c r="P1" s="552" t="str">
        <f t="shared" si="0"/>
        <v>4T17</v>
      </c>
      <c r="Q1" s="552" t="str">
        <f t="shared" si="0"/>
        <v>1T18</v>
      </c>
      <c r="R1" s="552" t="str">
        <f t="shared" si="0"/>
        <v>2T18</v>
      </c>
      <c r="S1" s="552" t="str">
        <f t="shared" ref="S1:AB1" si="1">IF(LEFT(R1,1)="4","1T"&amp;RIGHT(R1,2)+1,LEFT(R1,1)+1&amp;RIGHT(R1,3))</f>
        <v>3T18</v>
      </c>
      <c r="T1" s="552" t="str">
        <f t="shared" si="1"/>
        <v>4T18</v>
      </c>
      <c r="U1" s="552" t="str">
        <f t="shared" si="1"/>
        <v>1T19</v>
      </c>
      <c r="V1" s="552" t="str">
        <f t="shared" si="1"/>
        <v>2T19</v>
      </c>
      <c r="W1" s="552" t="str">
        <f t="shared" si="1"/>
        <v>3T19</v>
      </c>
      <c r="X1" s="552" t="str">
        <f t="shared" si="1"/>
        <v>4T19</v>
      </c>
      <c r="Y1" s="552" t="str">
        <f t="shared" si="1"/>
        <v>1T20</v>
      </c>
      <c r="Z1" s="552" t="str">
        <f t="shared" si="1"/>
        <v>2T20</v>
      </c>
      <c r="AA1" s="552" t="str">
        <f t="shared" si="1"/>
        <v>3T20</v>
      </c>
      <c r="AB1" s="552" t="str">
        <f t="shared" si="1"/>
        <v>4T20</v>
      </c>
      <c r="AC1" s="552" t="str">
        <f t="shared" ref="AC1:AO1" si="2">IF(LEFT(AB1,1)="4","1T"&amp;RIGHT(AB1,2)+1,LEFT(AB1,1)+1&amp;RIGHT(AB1,3))</f>
        <v>1T21</v>
      </c>
      <c r="AD1" s="552" t="str">
        <f t="shared" si="2"/>
        <v>2T21</v>
      </c>
      <c r="AE1" s="552" t="str">
        <f t="shared" si="2"/>
        <v>3T21</v>
      </c>
      <c r="AF1" s="552" t="str">
        <f t="shared" si="2"/>
        <v>4T21</v>
      </c>
      <c r="AG1" s="552" t="str">
        <f t="shared" si="2"/>
        <v>1T22</v>
      </c>
      <c r="AH1" s="552" t="str">
        <f t="shared" si="2"/>
        <v>2T22</v>
      </c>
      <c r="AI1" s="552" t="str">
        <f t="shared" si="2"/>
        <v>3T22</v>
      </c>
      <c r="AJ1" s="552" t="str">
        <f t="shared" si="2"/>
        <v>4T22</v>
      </c>
      <c r="AK1" s="552" t="str">
        <f t="shared" si="2"/>
        <v>1T23</v>
      </c>
      <c r="AL1" s="552" t="str">
        <f t="shared" si="2"/>
        <v>2T23</v>
      </c>
      <c r="AM1" s="552" t="str">
        <f t="shared" si="2"/>
        <v>3T23</v>
      </c>
      <c r="AN1" s="552" t="str">
        <f t="shared" si="2"/>
        <v>4T23</v>
      </c>
      <c r="AO1" s="552" t="str">
        <f t="shared" si="2"/>
        <v>1T24</v>
      </c>
      <c r="AP1" s="552" t="str">
        <f t="shared" ref="AP1:AX1" si="3">IF(LEFT(AO1,1)="4","1T"&amp;RIGHT(AO1,2)+1,LEFT(AO1,1)+1&amp;RIGHT(AO1,3))</f>
        <v>2T24</v>
      </c>
      <c r="AQ1" s="552" t="str">
        <f t="shared" si="3"/>
        <v>3T24</v>
      </c>
      <c r="AR1" s="552" t="str">
        <f t="shared" si="3"/>
        <v>4T24</v>
      </c>
      <c r="AS1" s="552" t="str">
        <f t="shared" si="3"/>
        <v>1T25</v>
      </c>
      <c r="AT1" s="552" t="str">
        <f t="shared" si="3"/>
        <v>2T25</v>
      </c>
      <c r="AU1" s="552" t="str">
        <f t="shared" si="3"/>
        <v>3T25</v>
      </c>
      <c r="AV1" s="552" t="str">
        <f t="shared" si="3"/>
        <v>4T25</v>
      </c>
      <c r="AW1" s="552" t="str">
        <f t="shared" si="3"/>
        <v>1T26</v>
      </c>
      <c r="AX1" s="552" t="str">
        <f t="shared" si="3"/>
        <v>2T26</v>
      </c>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row>
    <row r="2" spans="1:170" s="552" customFormat="1" ht="12.75" customHeight="1" x14ac:dyDescent="0.25">
      <c r="C2" s="547"/>
      <c r="E2" s="552" t="s">
        <v>950</v>
      </c>
      <c r="F2" s="557" t="str">
        <f t="shared" ref="F2:O2" si="4">SUBSTITUTE(F1,"T","Q")</f>
        <v>2Q15</v>
      </c>
      <c r="G2" s="552" t="str">
        <f t="shared" si="4"/>
        <v>3Q15</v>
      </c>
      <c r="H2" s="552" t="str">
        <f t="shared" si="4"/>
        <v>4Q15</v>
      </c>
      <c r="I2" s="552" t="str">
        <f t="shared" si="4"/>
        <v>1Q16</v>
      </c>
      <c r="J2" s="552" t="str">
        <f t="shared" si="4"/>
        <v>2Q16</v>
      </c>
      <c r="K2" s="552" t="str">
        <f t="shared" si="4"/>
        <v>3Q16</v>
      </c>
      <c r="L2" s="552" t="str">
        <f t="shared" si="4"/>
        <v>4Q16</v>
      </c>
      <c r="M2" s="552" t="str">
        <f t="shared" si="4"/>
        <v>1Q17</v>
      </c>
      <c r="N2" s="552" t="str">
        <f t="shared" si="4"/>
        <v>2Q17</v>
      </c>
      <c r="O2" s="552" t="str">
        <f t="shared" si="4"/>
        <v>3Q17</v>
      </c>
      <c r="P2" s="552" t="str">
        <f t="shared" ref="P2:U2" si="5">SUBSTITUTE(P1,"T","Q")</f>
        <v>4Q17</v>
      </c>
      <c r="Q2" s="552" t="str">
        <f t="shared" si="5"/>
        <v>1Q18</v>
      </c>
      <c r="R2" s="552" t="str">
        <f t="shared" si="5"/>
        <v>2Q18</v>
      </c>
      <c r="S2" s="552" t="str">
        <f t="shared" si="5"/>
        <v>3Q18</v>
      </c>
      <c r="T2" s="552" t="str">
        <f t="shared" si="5"/>
        <v>4Q18</v>
      </c>
      <c r="U2" s="552" t="str">
        <f t="shared" si="5"/>
        <v>1Q19</v>
      </c>
      <c r="V2" s="552" t="str">
        <f t="shared" ref="V2:AA2" si="6">SUBSTITUTE(V1,"T","Q")</f>
        <v>2Q19</v>
      </c>
      <c r="W2" s="552" t="str">
        <f t="shared" si="6"/>
        <v>3Q19</v>
      </c>
      <c r="X2" s="552" t="str">
        <f t="shared" si="6"/>
        <v>4Q19</v>
      </c>
      <c r="Y2" s="552" t="str">
        <f t="shared" si="6"/>
        <v>1Q20</v>
      </c>
      <c r="Z2" s="552" t="str">
        <f t="shared" si="6"/>
        <v>2Q20</v>
      </c>
      <c r="AA2" s="552" t="str">
        <f t="shared" si="6"/>
        <v>3Q20</v>
      </c>
      <c r="AB2" s="552" t="str">
        <f t="shared" ref="AB2:AH2" si="7">SUBSTITUTE(AB1,"T","Q")</f>
        <v>4Q20</v>
      </c>
      <c r="AC2" s="552" t="str">
        <f t="shared" si="7"/>
        <v>1Q21</v>
      </c>
      <c r="AD2" s="552" t="str">
        <f t="shared" si="7"/>
        <v>2Q21</v>
      </c>
      <c r="AE2" s="552" t="str">
        <f t="shared" si="7"/>
        <v>3Q21</v>
      </c>
      <c r="AF2" s="552" t="str">
        <f t="shared" si="7"/>
        <v>4Q21</v>
      </c>
      <c r="AG2" s="552" t="str">
        <f t="shared" si="7"/>
        <v>1Q22</v>
      </c>
      <c r="AH2" s="552" t="str">
        <f t="shared" si="7"/>
        <v>2Q22</v>
      </c>
      <c r="AI2" s="552" t="str">
        <f t="shared" ref="AI2:AO2" si="8">SUBSTITUTE(AI1,"T","Q")</f>
        <v>3Q22</v>
      </c>
      <c r="AJ2" s="552" t="str">
        <f t="shared" si="8"/>
        <v>4Q22</v>
      </c>
      <c r="AK2" s="552" t="str">
        <f t="shared" si="8"/>
        <v>1Q23</v>
      </c>
      <c r="AL2" s="552" t="str">
        <f t="shared" si="8"/>
        <v>2Q23</v>
      </c>
      <c r="AM2" s="552" t="str">
        <f t="shared" si="8"/>
        <v>3Q23</v>
      </c>
      <c r="AN2" s="552" t="str">
        <f t="shared" si="8"/>
        <v>4Q23</v>
      </c>
      <c r="AO2" s="552" t="str">
        <f t="shared" si="8"/>
        <v>1Q24</v>
      </c>
      <c r="AP2" s="552" t="str">
        <f t="shared" ref="AP2:AX2" si="9">SUBSTITUTE(AP1,"T","Q")</f>
        <v>2Q24</v>
      </c>
      <c r="AQ2" s="552" t="str">
        <f t="shared" si="9"/>
        <v>3Q24</v>
      </c>
      <c r="AR2" s="552" t="str">
        <f t="shared" si="9"/>
        <v>4Q24</v>
      </c>
      <c r="AS2" s="552" t="str">
        <f t="shared" si="9"/>
        <v>1Q25</v>
      </c>
      <c r="AT2" s="552" t="str">
        <f t="shared" si="9"/>
        <v>2Q25</v>
      </c>
      <c r="AU2" s="552" t="str">
        <f t="shared" si="9"/>
        <v>3Q25</v>
      </c>
      <c r="AV2" s="552" t="str">
        <f t="shared" si="9"/>
        <v>4Q25</v>
      </c>
      <c r="AW2" s="552" t="str">
        <f>SUBSTITUTE(AW1,"T","Q")</f>
        <v>1Q26</v>
      </c>
      <c r="AX2" s="552" t="str">
        <f t="shared" si="9"/>
        <v>2Q26</v>
      </c>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row>
    <row r="3" spans="1:170" ht="12.75" customHeight="1" x14ac:dyDescent="0.2">
      <c r="T3" s="552"/>
      <c r="U3" s="552"/>
      <c r="V3" s="552"/>
      <c r="W3" s="552"/>
      <c r="X3" s="552"/>
      <c r="Y3" s="552"/>
      <c r="Z3" s="552"/>
      <c r="AA3" s="552"/>
      <c r="AB3" s="552"/>
      <c r="AC3" s="552"/>
      <c r="AD3" s="552"/>
      <c r="AE3" s="552"/>
      <c r="AF3" s="766"/>
      <c r="AG3" s="766"/>
      <c r="AH3" s="766"/>
      <c r="AI3" s="766"/>
      <c r="AJ3" s="766"/>
      <c r="AK3" s="766"/>
      <c r="AL3" s="766"/>
      <c r="AM3" s="766"/>
      <c r="AN3" s="766"/>
      <c r="AO3" s="352"/>
      <c r="AP3" s="352"/>
      <c r="AQ3" s="352"/>
      <c r="AR3" s="352"/>
      <c r="AS3" s="352"/>
      <c r="AT3" s="352"/>
      <c r="AU3" s="352"/>
      <c r="AV3" s="352"/>
      <c r="AW3" s="352"/>
      <c r="AX3" s="352"/>
      <c r="DI3" s="25"/>
      <c r="FN3"/>
    </row>
    <row r="4" spans="1:170" ht="12.75" customHeight="1" x14ac:dyDescent="0.2">
      <c r="DI4" s="25"/>
      <c r="FN4"/>
    </row>
    <row r="5" spans="1:170" ht="14.25" customHeight="1" x14ac:dyDescent="0.2">
      <c r="A5" s="25" t="s">
        <v>96</v>
      </c>
      <c r="B5" s="25" t="s">
        <v>866</v>
      </c>
      <c r="D5" s="115" t="str">
        <f>IF([1]RENAME!$H$3=1,B5,A5)</f>
        <v>Consolidado</v>
      </c>
      <c r="E5" s="115" t="str">
        <f>IF([1]RENAME!$H$3=1,E2,E1)</f>
        <v>1T15</v>
      </c>
      <c r="F5" s="115" t="str">
        <f>IF([1]RENAME!$H$3=1,F2,F1)</f>
        <v>2T15</v>
      </c>
      <c r="G5" s="115" t="str">
        <f>IF([1]RENAME!$H$3=1,G2,G1)</f>
        <v>3T15</v>
      </c>
      <c r="H5" s="115" t="str">
        <f>IF([1]RENAME!$H$3=1,H2,H1)</f>
        <v>4T15</v>
      </c>
      <c r="I5" s="115" t="str">
        <f>IF([1]RENAME!$H$3=1,I2,I1)</f>
        <v>1T16</v>
      </c>
      <c r="J5" s="115" t="str">
        <f>IF([1]RENAME!$H$3=1,J2,J1)</f>
        <v>2T16</v>
      </c>
      <c r="K5" s="115" t="str">
        <f>IF([1]RENAME!$H$3=1,K2,K1)</f>
        <v>3T16</v>
      </c>
      <c r="L5" s="115" t="str">
        <f>IF([1]RENAME!$H$3=1,L2,L1)</f>
        <v>4T16</v>
      </c>
      <c r="M5" s="115" t="str">
        <f>IF([1]RENAME!$H$3=1,M2,M1)</f>
        <v>1T17</v>
      </c>
      <c r="N5" s="115" t="str">
        <f>IF([1]RENAME!$H$3=1,N2,N1)</f>
        <v>2T17</v>
      </c>
      <c r="O5" s="115" t="str">
        <f>IF([1]RENAME!$H$3=1,O2,O1)</f>
        <v>3T17</v>
      </c>
      <c r="P5" s="115" t="str">
        <f>IF([1]RENAME!$H$3=1,P2,P1)</f>
        <v>4T17</v>
      </c>
      <c r="Q5" s="115" t="str">
        <f>IF([1]RENAME!$H$3=1,Q2,Q1)</f>
        <v>1T18</v>
      </c>
      <c r="R5" s="115" t="str">
        <f>IF([1]RENAME!$H$3=1,R2,R1)</f>
        <v>2T18</v>
      </c>
      <c r="S5" s="115" t="str">
        <f>IF([1]RENAME!$H$3=1,S2,S1)</f>
        <v>3T18</v>
      </c>
      <c r="T5" s="115" t="str">
        <f>IF([1]RENAME!$H$3=1,T2,T1)</f>
        <v>4T18</v>
      </c>
      <c r="U5" s="115" t="str">
        <f>IF([1]RENAME!$H$3=1,U2,U1)</f>
        <v>1T19</v>
      </c>
      <c r="V5" s="115" t="str">
        <f>IF([1]RENAME!$H$3=1,V2,V1)</f>
        <v>2T19</v>
      </c>
      <c r="W5" s="115" t="str">
        <f>IF([1]RENAME!$H$3=1,W2,W1)</f>
        <v>3T19</v>
      </c>
      <c r="X5" s="115" t="str">
        <f>IF([1]RENAME!$H$3=1,X2,X1)</f>
        <v>4T19</v>
      </c>
      <c r="Y5" s="115" t="str">
        <f>IF([1]RENAME!$H$3=1,Y2,Y1)</f>
        <v>1T20</v>
      </c>
      <c r="Z5" s="115" t="str">
        <f>IF([1]RENAME!$H$3=1,Z2,Z1)</f>
        <v>2T20</v>
      </c>
      <c r="AA5" s="115" t="str">
        <f>IF([1]RENAME!$H$3=1,AA2,AA1)</f>
        <v>3T20</v>
      </c>
      <c r="AB5" s="115" t="str">
        <f>IF([1]RENAME!$H$3=1,AB2,AB1)</f>
        <v>4T20</v>
      </c>
      <c r="AC5" s="115" t="str">
        <f>IF([1]RENAME!$H$3=1,AC2,AC1)</f>
        <v>1T21</v>
      </c>
      <c r="AD5" s="115" t="str">
        <f>IF([1]RENAME!$H$3=1,AD2,AD1)</f>
        <v>2T21</v>
      </c>
      <c r="AE5" s="115" t="str">
        <f>IF([1]RENAME!$H$3=1,AE2,AE1)</f>
        <v>3T21</v>
      </c>
      <c r="AF5" s="115" t="str">
        <f>IF([1]RENAME!$H$3=1,AF2,AF1)</f>
        <v>4T21</v>
      </c>
      <c r="AG5" s="115" t="str">
        <f>IF([1]RENAME!$H$3=1,AG2,AG1)</f>
        <v>1T22</v>
      </c>
      <c r="AH5" s="115" t="str">
        <f>IF([1]RENAME!$H$3=1,AH2,AH1)</f>
        <v>2T22</v>
      </c>
      <c r="AI5" s="115" t="str">
        <f>IF([1]RENAME!$H$3=1,AI2,AI1)</f>
        <v>3T22</v>
      </c>
      <c r="AJ5" s="115" t="str">
        <f>IF([1]RENAME!$H$3=1,AJ2,AJ1)</f>
        <v>4T22</v>
      </c>
      <c r="AK5" s="115" t="str">
        <f>IF([1]RENAME!$H$3=1,AK2,AK1)</f>
        <v>1T23</v>
      </c>
      <c r="AL5" s="115" t="str">
        <f>IF([1]RENAME!$H$3=1,AL2,AL1)</f>
        <v>2T23</v>
      </c>
      <c r="AM5" s="115" t="str">
        <f>IF([1]RENAME!$H$3=1,AM2,AM1)</f>
        <v>3T23</v>
      </c>
      <c r="AN5" s="115" t="str">
        <f>IF([1]RENAME!$H$3=1,AN2,AN1)</f>
        <v>4T23</v>
      </c>
      <c r="AO5" s="115" t="str">
        <f>IF([1]RENAME!$H$3=1,AO2,AO1)</f>
        <v>1T24</v>
      </c>
      <c r="AP5" s="115" t="str">
        <f>IF([1]RENAME!$H$3=1,AP2,AP1)</f>
        <v>2T24</v>
      </c>
      <c r="AQ5" s="115" t="str">
        <f>IF([1]RENAME!$H$3=1,AQ2,AQ1)</f>
        <v>3T24</v>
      </c>
      <c r="AR5" s="115" t="str">
        <f>IF([1]RENAME!$H$3=1,AR2,AR1)</f>
        <v>4T24</v>
      </c>
      <c r="AS5" s="115" t="str">
        <f>IF([1]RENAME!$H$3=1,AS2,AS1)</f>
        <v>1T25</v>
      </c>
      <c r="AT5" s="115" t="str">
        <f>IF([1]RENAME!$H$3=1,AT2,AT1)</f>
        <v>2T25</v>
      </c>
      <c r="AU5" s="115" t="str">
        <f>IF([1]RENAME!$H$3=1,AU2,AU1)</f>
        <v>3T25</v>
      </c>
      <c r="AV5" s="115" t="str">
        <f>IF([1]RENAME!$H$3=1,AV2,AV1)</f>
        <v>4T25</v>
      </c>
      <c r="AW5" s="247" t="str">
        <f>IF([1]RENAME!$H$3=1,AW2,AW1)</f>
        <v>1T26</v>
      </c>
      <c r="AX5" s="115" t="str">
        <f>IF([1]RENAME!$H$3=1,AX2,AX1)</f>
        <v>2T26</v>
      </c>
      <c r="DI5" s="25"/>
      <c r="FN5"/>
    </row>
    <row r="6" spans="1:170" s="252" customFormat="1" ht="15.75" customHeight="1" x14ac:dyDescent="0.2">
      <c r="A6" s="252" t="s">
        <v>523</v>
      </c>
      <c r="B6" s="252" t="s">
        <v>984</v>
      </c>
      <c r="C6" s="142"/>
      <c r="D6" s="251" t="str">
        <f>IF([1]RENAME!$H$3=1,B6,A6)</f>
        <v>Lucro (prejuízo) antes do imposto sobre a renda e da contribuição social</v>
      </c>
      <c r="E6" s="121">
        <v>10729</v>
      </c>
      <c r="F6" s="121">
        <v>1695</v>
      </c>
      <c r="G6" s="121">
        <v>8172</v>
      </c>
      <c r="H6" s="121">
        <v>-9420</v>
      </c>
      <c r="I6" s="121">
        <v>-2088</v>
      </c>
      <c r="J6" s="121">
        <v>522</v>
      </c>
      <c r="K6" s="121">
        <v>7019</v>
      </c>
      <c r="L6" s="121">
        <v>21346</v>
      </c>
      <c r="M6" s="121">
        <v>9751</v>
      </c>
      <c r="N6" s="121">
        <v>16290</v>
      </c>
      <c r="O6" s="121">
        <v>24165</v>
      </c>
      <c r="P6" s="121">
        <v>67287</v>
      </c>
      <c r="Q6" s="121">
        <v>20229</v>
      </c>
      <c r="R6" s="121">
        <v>35186</v>
      </c>
      <c r="S6" s="121">
        <v>41037</v>
      </c>
      <c r="T6" s="121">
        <v>47844</v>
      </c>
      <c r="U6" s="121">
        <v>38197</v>
      </c>
      <c r="V6" s="121">
        <v>43438</v>
      </c>
      <c r="W6" s="121">
        <v>131449</v>
      </c>
      <c r="X6" s="121">
        <v>52214</v>
      </c>
      <c r="Y6" s="121">
        <v>26137</v>
      </c>
      <c r="Z6" s="121">
        <v>-8987</v>
      </c>
      <c r="AA6" s="121">
        <v>41959</v>
      </c>
      <c r="AB6" s="121">
        <v>37943</v>
      </c>
      <c r="AC6" s="121">
        <v>28150</v>
      </c>
      <c r="AD6" s="121">
        <v>32336</v>
      </c>
      <c r="AE6" s="121">
        <v>24630</v>
      </c>
      <c r="AF6" s="121">
        <v>39270</v>
      </c>
      <c r="AG6" s="121">
        <v>24074</v>
      </c>
      <c r="AH6" s="121">
        <v>38628</v>
      </c>
      <c r="AI6" s="121">
        <v>71117</v>
      </c>
      <c r="AJ6" s="121">
        <v>74076</v>
      </c>
      <c r="AK6" s="121">
        <v>45356</v>
      </c>
      <c r="AL6" s="121">
        <v>50439</v>
      </c>
      <c r="AM6" s="121">
        <v>73080</v>
      </c>
      <c r="AN6" s="121">
        <v>66601</v>
      </c>
      <c r="AO6" s="121">
        <v>53124</v>
      </c>
      <c r="AP6" s="121">
        <v>84659</v>
      </c>
      <c r="AQ6" s="121">
        <v>120378</v>
      </c>
      <c r="AR6" s="121">
        <v>119307</v>
      </c>
      <c r="AS6" s="121">
        <v>62512</v>
      </c>
      <c r="AT6" s="121">
        <v>91847</v>
      </c>
      <c r="AU6" s="121">
        <v>111923</v>
      </c>
      <c r="AV6" s="121">
        <v>72091</v>
      </c>
      <c r="AW6" s="121">
        <v>57822</v>
      </c>
      <c r="AX6" s="121">
        <f>'[3]17 desp IR CS'!$F$32-AW6</f>
        <v>118220</v>
      </c>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row>
    <row r="7" spans="1:170" ht="15" customHeight="1" x14ac:dyDescent="0.2">
      <c r="A7" s="25" t="s">
        <v>524</v>
      </c>
      <c r="B7" s="25" t="s">
        <v>985</v>
      </c>
      <c r="D7" s="129" t="str">
        <f>IF([1]RENAME!$H$3=1,B7,A7)</f>
        <v>Alíquota nominal combinada imposto sobre a renda e contribuição social</v>
      </c>
      <c r="E7" s="253">
        <v>0.34</v>
      </c>
      <c r="F7" s="253">
        <v>0.34</v>
      </c>
      <c r="G7" s="253">
        <v>0.34</v>
      </c>
      <c r="H7" s="253">
        <v>0.34</v>
      </c>
      <c r="I7" s="253">
        <v>0.34</v>
      </c>
      <c r="J7" s="253">
        <v>0.34</v>
      </c>
      <c r="K7" s="253">
        <v>0.34</v>
      </c>
      <c r="L7" s="253">
        <v>0.34</v>
      </c>
      <c r="M7" s="253">
        <v>0.34</v>
      </c>
      <c r="N7" s="253">
        <v>0.34</v>
      </c>
      <c r="O7" s="253">
        <v>0.34</v>
      </c>
      <c r="P7" s="253">
        <v>0.34</v>
      </c>
      <c r="Q7" s="253">
        <v>0.34</v>
      </c>
      <c r="R7" s="253">
        <v>0.34</v>
      </c>
      <c r="S7" s="253">
        <v>0.34</v>
      </c>
      <c r="T7" s="253">
        <v>0.34</v>
      </c>
      <c r="U7" s="253">
        <v>0.34</v>
      </c>
      <c r="V7" s="253">
        <v>0.34</v>
      </c>
      <c r="W7" s="253">
        <v>0.34</v>
      </c>
      <c r="X7" s="253">
        <v>0.34</v>
      </c>
      <c r="Y7" s="253">
        <v>0.34</v>
      </c>
      <c r="Z7" s="253">
        <v>0.34</v>
      </c>
      <c r="AA7" s="253">
        <v>0.34</v>
      </c>
      <c r="AB7" s="253">
        <v>0.34</v>
      </c>
      <c r="AC7" s="253">
        <v>0.34</v>
      </c>
      <c r="AD7" s="253">
        <v>0.34</v>
      </c>
      <c r="AE7" s="253">
        <v>0.34</v>
      </c>
      <c r="AF7" s="253">
        <v>0.34</v>
      </c>
      <c r="AG7" s="253">
        <v>0.34</v>
      </c>
      <c r="AH7" s="253">
        <v>0.34</v>
      </c>
      <c r="AI7" s="253">
        <v>0.34</v>
      </c>
      <c r="AJ7" s="253">
        <v>0.34</v>
      </c>
      <c r="AK7" s="253">
        <v>0.34</v>
      </c>
      <c r="AL7" s="253">
        <v>0.34</v>
      </c>
      <c r="AM7" s="253">
        <v>0.34</v>
      </c>
      <c r="AN7" s="253">
        <v>0.34</v>
      </c>
      <c r="AO7" s="253">
        <v>0.34</v>
      </c>
      <c r="AP7" s="253">
        <v>0.34</v>
      </c>
      <c r="AQ7" s="253">
        <v>0.34</v>
      </c>
      <c r="AR7" s="253">
        <v>0.34</v>
      </c>
      <c r="AS7" s="253">
        <v>0.34</v>
      </c>
      <c r="AT7" s="253">
        <v>0.34</v>
      </c>
      <c r="AU7" s="253">
        <v>0.34</v>
      </c>
      <c r="AV7" s="253">
        <v>0.34</v>
      </c>
      <c r="AW7" s="253">
        <v>0.34</v>
      </c>
      <c r="AX7" s="253">
        <v>0.34</v>
      </c>
      <c r="DI7" s="25"/>
      <c r="FN7"/>
    </row>
    <row r="8" spans="1:170" s="252" customFormat="1" ht="15.75" customHeight="1" x14ac:dyDescent="0.2">
      <c r="A8" s="252" t="s">
        <v>525</v>
      </c>
      <c r="B8" s="252" t="s">
        <v>986</v>
      </c>
      <c r="C8" s="142"/>
      <c r="D8" s="251" t="str">
        <f>IF([1]RENAME!$H$3=1,B8,A8)</f>
        <v>Imposto sobre a renda e contribuição social pela alíquota nominal</v>
      </c>
      <c r="E8" s="121">
        <f>+E6*-E7</f>
        <v>-3647.86</v>
      </c>
      <c r="F8" s="121">
        <f t="shared" ref="F8:M8" si="10">+F6*-F7</f>
        <v>-576.30000000000007</v>
      </c>
      <c r="G8" s="121">
        <f t="shared" si="10"/>
        <v>-2778.48</v>
      </c>
      <c r="H8" s="121">
        <f t="shared" si="10"/>
        <v>3202.8</v>
      </c>
      <c r="I8" s="121">
        <f t="shared" si="10"/>
        <v>709.92000000000007</v>
      </c>
      <c r="J8" s="121">
        <f t="shared" si="10"/>
        <v>-177.48000000000002</v>
      </c>
      <c r="K8" s="121">
        <f t="shared" si="10"/>
        <v>-2386.46</v>
      </c>
      <c r="L8" s="121">
        <f t="shared" si="10"/>
        <v>-7257.64</v>
      </c>
      <c r="M8" s="121">
        <f t="shared" si="10"/>
        <v>-3315.34</v>
      </c>
      <c r="N8" s="121">
        <f t="shared" ref="N8:Y8" si="11">+N6*-N7</f>
        <v>-5538.6</v>
      </c>
      <c r="O8" s="121">
        <f t="shared" si="11"/>
        <v>-8216.1</v>
      </c>
      <c r="P8" s="121">
        <f t="shared" si="11"/>
        <v>-22877.58</v>
      </c>
      <c r="Q8" s="121">
        <f t="shared" si="11"/>
        <v>-6877.8600000000006</v>
      </c>
      <c r="R8" s="121">
        <f t="shared" si="11"/>
        <v>-11963.240000000002</v>
      </c>
      <c r="S8" s="121">
        <f t="shared" si="11"/>
        <v>-13952.580000000002</v>
      </c>
      <c r="T8" s="121">
        <f t="shared" si="11"/>
        <v>-16266.960000000001</v>
      </c>
      <c r="U8" s="121">
        <f t="shared" si="11"/>
        <v>-12986.980000000001</v>
      </c>
      <c r="V8" s="121">
        <f t="shared" si="11"/>
        <v>-14768.920000000002</v>
      </c>
      <c r="W8" s="121">
        <f t="shared" si="11"/>
        <v>-44692.66</v>
      </c>
      <c r="X8" s="121">
        <f t="shared" si="11"/>
        <v>-17752.760000000002</v>
      </c>
      <c r="Y8" s="121">
        <f t="shared" si="11"/>
        <v>-8886.58</v>
      </c>
      <c r="Z8" s="121">
        <f t="shared" ref="Z8:AE8" si="12">+Z6*-Z7</f>
        <v>3055.5800000000004</v>
      </c>
      <c r="AA8" s="121">
        <f t="shared" si="12"/>
        <v>-14266.060000000001</v>
      </c>
      <c r="AB8" s="121">
        <f t="shared" si="12"/>
        <v>-12900.62</v>
      </c>
      <c r="AC8" s="121">
        <f t="shared" si="12"/>
        <v>-9571</v>
      </c>
      <c r="AD8" s="121">
        <f t="shared" si="12"/>
        <v>-10994.240000000002</v>
      </c>
      <c r="AE8" s="121">
        <f t="shared" si="12"/>
        <v>-8374.2000000000007</v>
      </c>
      <c r="AF8" s="121">
        <f t="shared" ref="AF8:AK8" si="13">+AF6*-AF7</f>
        <v>-13351.800000000001</v>
      </c>
      <c r="AG8" s="121">
        <f t="shared" si="13"/>
        <v>-8185.1600000000008</v>
      </c>
      <c r="AH8" s="121">
        <f t="shared" si="13"/>
        <v>-13133.52</v>
      </c>
      <c r="AI8" s="121">
        <f t="shared" si="13"/>
        <v>-24179.780000000002</v>
      </c>
      <c r="AJ8" s="121">
        <f t="shared" si="13"/>
        <v>-25185.84</v>
      </c>
      <c r="AK8" s="121">
        <f t="shared" si="13"/>
        <v>-15421.04</v>
      </c>
      <c r="AL8" s="121">
        <f t="shared" ref="AL8:AT8" si="14">+AL6*-AL7</f>
        <v>-17149.260000000002</v>
      </c>
      <c r="AM8" s="121">
        <f t="shared" si="14"/>
        <v>-24847.200000000001</v>
      </c>
      <c r="AN8" s="121">
        <f t="shared" si="14"/>
        <v>-22644.34</v>
      </c>
      <c r="AO8" s="121">
        <f t="shared" si="14"/>
        <v>-18062.16</v>
      </c>
      <c r="AP8" s="121">
        <f t="shared" si="14"/>
        <v>-28784.06</v>
      </c>
      <c r="AQ8" s="121">
        <f t="shared" si="14"/>
        <v>-40928.520000000004</v>
      </c>
      <c r="AR8" s="121">
        <f t="shared" si="14"/>
        <v>-40564.380000000005</v>
      </c>
      <c r="AS8" s="121">
        <f t="shared" si="14"/>
        <v>-21254.080000000002</v>
      </c>
      <c r="AT8" s="121">
        <f t="shared" si="14"/>
        <v>-31227.980000000003</v>
      </c>
      <c r="AU8" s="121">
        <f>+AU6*-AU7</f>
        <v>-38053.82</v>
      </c>
      <c r="AV8" s="121">
        <f>+AV6*-AV7</f>
        <v>-24510.940000000002</v>
      </c>
      <c r="AW8" s="121">
        <f>+AW6*-AW7</f>
        <v>-19659.480000000003</v>
      </c>
      <c r="AX8" s="121">
        <f>+AX6*-AX7</f>
        <v>-40194.800000000003</v>
      </c>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row>
    <row r="9" spans="1:170" s="252" customFormat="1" x14ac:dyDescent="0.2">
      <c r="A9" s="252" t="s">
        <v>526</v>
      </c>
      <c r="B9" s="252" t="s">
        <v>987</v>
      </c>
      <c r="C9" s="142"/>
      <c r="D9" s="251" t="str">
        <f>IF([1]RENAME!$H$3=1,B9,A9)</f>
        <v>Efeito do IRPJ e da CSLL sobre as diferenças permanentes</v>
      </c>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row>
    <row r="10" spans="1:170" x14ac:dyDescent="0.2">
      <c r="A10" s="25" t="s">
        <v>451</v>
      </c>
      <c r="B10" s="25" t="s">
        <v>988</v>
      </c>
      <c r="D10" s="192" t="str">
        <f>IF([1]RENAME!$H$3=1,B10,A10)</f>
        <v>Resultado de equivalência patrimonial</v>
      </c>
      <c r="E10" s="118">
        <v>127</v>
      </c>
      <c r="F10" s="118">
        <v>87</v>
      </c>
      <c r="G10" s="118">
        <v>267</v>
      </c>
      <c r="H10" s="118">
        <v>154</v>
      </c>
      <c r="I10" s="118">
        <v>-271</v>
      </c>
      <c r="J10" s="118">
        <v>-309</v>
      </c>
      <c r="K10" s="118">
        <v>-7</v>
      </c>
      <c r="L10" s="118">
        <v>-158</v>
      </c>
      <c r="M10" s="118">
        <v>-109</v>
      </c>
      <c r="N10" s="118">
        <v>-130</v>
      </c>
      <c r="O10" s="118">
        <v>-223</v>
      </c>
      <c r="P10" s="118">
        <v>203</v>
      </c>
      <c r="Q10" s="118">
        <v>-144.5</v>
      </c>
      <c r="R10" s="118">
        <v>-76.5</v>
      </c>
      <c r="S10" s="118">
        <v>116</v>
      </c>
      <c r="T10" s="118">
        <v>231</v>
      </c>
      <c r="U10" s="118">
        <v>-180</v>
      </c>
      <c r="V10" s="118">
        <v>110</v>
      </c>
      <c r="W10" s="118">
        <v>287</v>
      </c>
      <c r="X10" s="118">
        <v>798</v>
      </c>
      <c r="Y10" s="118">
        <v>474</v>
      </c>
      <c r="Z10" s="118">
        <v>820</v>
      </c>
      <c r="AA10" s="118">
        <v>895</v>
      </c>
      <c r="AB10" s="118">
        <v>-55</v>
      </c>
      <c r="AC10" s="118">
        <v>275</v>
      </c>
      <c r="AD10" s="118">
        <v>817</v>
      </c>
      <c r="AE10" s="118">
        <v>612</v>
      </c>
      <c r="AF10" s="118">
        <v>1439</v>
      </c>
      <c r="AG10" s="118">
        <v>1024</v>
      </c>
      <c r="AH10" s="118">
        <v>1022</v>
      </c>
      <c r="AI10" s="118">
        <v>829</v>
      </c>
      <c r="AJ10" s="118">
        <v>720</v>
      </c>
      <c r="AK10" s="118">
        <v>1305</v>
      </c>
      <c r="AL10" s="118">
        <v>980</v>
      </c>
      <c r="AM10" s="118">
        <v>1732</v>
      </c>
      <c r="AN10" s="118">
        <v>1510</v>
      </c>
      <c r="AO10" s="118">
        <v>2245</v>
      </c>
      <c r="AP10" s="118">
        <v>3183</v>
      </c>
      <c r="AQ10" s="118">
        <v>2528</v>
      </c>
      <c r="AR10" s="118">
        <v>1994</v>
      </c>
      <c r="AS10" s="118">
        <v>2144</v>
      </c>
      <c r="AT10" s="118">
        <v>3041</v>
      </c>
      <c r="AU10" s="118">
        <v>2507</v>
      </c>
      <c r="AV10" s="118">
        <v>1424</v>
      </c>
      <c r="AW10" s="118">
        <v>487</v>
      </c>
      <c r="AX10" s="118">
        <f>('[3]17 IRD NL'!$AH$31)-AW10</f>
        <v>1935</v>
      </c>
      <c r="DI10" s="25"/>
      <c r="FN10"/>
    </row>
    <row r="11" spans="1:170" x14ac:dyDescent="0.2">
      <c r="A11" s="25" t="s">
        <v>2400</v>
      </c>
      <c r="B11" s="25" t="s">
        <v>2401</v>
      </c>
      <c r="D11" s="192" t="str">
        <f>IF([1]RENAME!$H$3=1,B11,A11)</f>
        <v>Créditos presumidos de ICMS</v>
      </c>
      <c r="E11" s="118">
        <v>0</v>
      </c>
      <c r="F11" s="118">
        <v>0</v>
      </c>
      <c r="G11" s="118">
        <v>0</v>
      </c>
      <c r="H11" s="118">
        <v>0</v>
      </c>
      <c r="I11" s="118">
        <v>0</v>
      </c>
      <c r="J11" s="118">
        <v>0</v>
      </c>
      <c r="K11" s="118">
        <v>0</v>
      </c>
      <c r="L11" s="118">
        <v>0</v>
      </c>
      <c r="M11" s="118">
        <v>0</v>
      </c>
      <c r="N11" s="118">
        <v>0</v>
      </c>
      <c r="O11" s="118">
        <v>0</v>
      </c>
      <c r="P11" s="260">
        <v>4502</v>
      </c>
      <c r="Q11" s="118">
        <v>1068</v>
      </c>
      <c r="R11" s="118">
        <v>1217</v>
      </c>
      <c r="S11" s="118">
        <v>1869</v>
      </c>
      <c r="T11" s="118">
        <v>1543</v>
      </c>
      <c r="U11" s="118">
        <v>1676</v>
      </c>
      <c r="V11" s="118">
        <v>1504</v>
      </c>
      <c r="W11" s="118">
        <v>1546</v>
      </c>
      <c r="X11" s="118">
        <v>1825</v>
      </c>
      <c r="Y11" s="118">
        <v>1497</v>
      </c>
      <c r="Z11" s="118">
        <v>695</v>
      </c>
      <c r="AA11" s="118">
        <v>1588</v>
      </c>
      <c r="AB11" s="118">
        <v>1706</v>
      </c>
      <c r="AC11" s="118">
        <v>1329</v>
      </c>
      <c r="AD11" s="118">
        <v>1310</v>
      </c>
      <c r="AE11" s="118">
        <v>1369</v>
      </c>
      <c r="AF11" s="118">
        <v>1820</v>
      </c>
      <c r="AG11" s="118">
        <v>1357</v>
      </c>
      <c r="AH11" s="118">
        <v>1778</v>
      </c>
      <c r="AI11" s="118">
        <v>2464</v>
      </c>
      <c r="AJ11" s="118">
        <v>2420</v>
      </c>
      <c r="AK11" s="118">
        <v>1967</v>
      </c>
      <c r="AL11" s="118">
        <v>2253</v>
      </c>
      <c r="AM11" s="118">
        <v>2654</v>
      </c>
      <c r="AN11" s="118">
        <v>2839</v>
      </c>
      <c r="AO11" s="118">
        <v>0</v>
      </c>
      <c r="AP11" s="118">
        <v>0</v>
      </c>
      <c r="AQ11" s="118">
        <v>0</v>
      </c>
      <c r="AR11" s="118">
        <v>0</v>
      </c>
      <c r="AS11" s="118">
        <v>0</v>
      </c>
      <c r="AT11" s="118">
        <v>0</v>
      </c>
      <c r="AU11" s="118">
        <v>0</v>
      </c>
      <c r="AV11" s="118">
        <v>0</v>
      </c>
      <c r="AW11" s="118">
        <v>0</v>
      </c>
      <c r="AX11" s="118">
        <f>('[3]17 IRD NL'!$AH$32)-AW11</f>
        <v>2888</v>
      </c>
      <c r="DI11" s="25"/>
      <c r="FN11"/>
    </row>
    <row r="12" spans="1:170" x14ac:dyDescent="0.2">
      <c r="A12" s="25" t="s">
        <v>1174</v>
      </c>
      <c r="B12" s="25" t="s">
        <v>1176</v>
      </c>
      <c r="D12" s="192" t="str">
        <f>IF([1]RENAME!$H$3=1,B12,A12)</f>
        <v>Juros sobre capital próprio</v>
      </c>
      <c r="E12" s="118">
        <v>0</v>
      </c>
      <c r="F12" s="118">
        <v>0</v>
      </c>
      <c r="G12" s="118">
        <v>0</v>
      </c>
      <c r="H12" s="118">
        <v>0</v>
      </c>
      <c r="I12" s="118">
        <v>0</v>
      </c>
      <c r="J12" s="118">
        <v>0</v>
      </c>
      <c r="K12" s="118">
        <v>0</v>
      </c>
      <c r="L12" s="118">
        <v>0</v>
      </c>
      <c r="M12" s="118">
        <v>0</v>
      </c>
      <c r="N12" s="118">
        <v>0</v>
      </c>
      <c r="O12" s="118">
        <v>0</v>
      </c>
      <c r="P12" s="118">
        <v>1299</v>
      </c>
      <c r="Q12" s="118">
        <v>0</v>
      </c>
      <c r="R12" s="118">
        <v>3907</v>
      </c>
      <c r="S12" s="118">
        <v>1792</v>
      </c>
      <c r="T12" s="118">
        <v>1323</v>
      </c>
      <c r="U12" s="118">
        <v>0</v>
      </c>
      <c r="V12" s="118">
        <v>2406</v>
      </c>
      <c r="W12" s="118">
        <v>2513</v>
      </c>
      <c r="X12" s="118">
        <v>3885</v>
      </c>
      <c r="Y12" s="118">
        <v>0</v>
      </c>
      <c r="Z12" s="118">
        <v>0</v>
      </c>
      <c r="AA12" s="118">
        <v>0</v>
      </c>
      <c r="AB12" s="118">
        <v>1907</v>
      </c>
      <c r="AC12" s="118">
        <v>0</v>
      </c>
      <c r="AD12" s="118">
        <v>1066</v>
      </c>
      <c r="AE12" s="118">
        <v>1883</v>
      </c>
      <c r="AF12" s="118">
        <v>1455</v>
      </c>
      <c r="AG12" s="118">
        <v>0</v>
      </c>
      <c r="AH12" s="118">
        <v>1899</v>
      </c>
      <c r="AI12" s="118">
        <v>2090</v>
      </c>
      <c r="AJ12" s="118">
        <v>2242</v>
      </c>
      <c r="AK12" s="118">
        <v>0</v>
      </c>
      <c r="AL12" s="118">
        <v>3363</v>
      </c>
      <c r="AM12" s="118">
        <v>3139</v>
      </c>
      <c r="AN12" s="118">
        <v>3138</v>
      </c>
      <c r="AO12" s="118">
        <v>0</v>
      </c>
      <c r="AP12" s="118">
        <v>4035</v>
      </c>
      <c r="AQ12" s="118">
        <v>2242</v>
      </c>
      <c r="AR12" s="118">
        <v>4260</v>
      </c>
      <c r="AS12" s="118">
        <v>0</v>
      </c>
      <c r="AT12" s="118">
        <v>3363</v>
      </c>
      <c r="AU12" s="118">
        <v>3138</v>
      </c>
      <c r="AV12" s="118">
        <v>4036</v>
      </c>
      <c r="AW12" s="118">
        <v>0</v>
      </c>
      <c r="AX12" s="118">
        <f>('[3]17 IRD NL'!$AH$33)-AW12</f>
        <v>0</v>
      </c>
      <c r="DI12" s="25"/>
      <c r="FN12"/>
    </row>
    <row r="13" spans="1:170" s="249" customFormat="1" x14ac:dyDescent="0.2">
      <c r="A13" s="249" t="s">
        <v>1915</v>
      </c>
      <c r="B13" s="249" t="s">
        <v>1916</v>
      </c>
      <c r="C13" s="233"/>
      <c r="D13" s="192" t="str">
        <f>IF([1]RENAME!$H$3=1,B13,A13)</f>
        <v xml:space="preserve">Pagamentos de IRPJ/CSLL correntes efetuado a maior </v>
      </c>
      <c r="E13" s="218">
        <v>0</v>
      </c>
      <c r="F13" s="218">
        <v>0</v>
      </c>
      <c r="G13" s="218">
        <v>0</v>
      </c>
      <c r="H13" s="218">
        <v>0</v>
      </c>
      <c r="I13" s="218">
        <v>0</v>
      </c>
      <c r="J13" s="218">
        <v>0</v>
      </c>
      <c r="K13" s="218">
        <v>0</v>
      </c>
      <c r="L13" s="218">
        <v>0</v>
      </c>
      <c r="M13" s="218">
        <v>0</v>
      </c>
      <c r="N13" s="218">
        <v>0</v>
      </c>
      <c r="O13" s="218">
        <v>0</v>
      </c>
      <c r="P13" s="218">
        <v>0</v>
      </c>
      <c r="Q13" s="218">
        <v>0</v>
      </c>
      <c r="R13" s="218">
        <v>0</v>
      </c>
      <c r="S13" s="218">
        <v>0</v>
      </c>
      <c r="T13" s="218">
        <v>0</v>
      </c>
      <c r="U13" s="218">
        <v>0</v>
      </c>
      <c r="V13" s="218">
        <v>0</v>
      </c>
      <c r="W13" s="218">
        <v>0</v>
      </c>
      <c r="X13" s="218">
        <v>0</v>
      </c>
      <c r="Y13" s="218">
        <v>0</v>
      </c>
      <c r="Z13" s="218">
        <v>0</v>
      </c>
      <c r="AA13" s="218">
        <v>0</v>
      </c>
      <c r="AB13" s="218">
        <v>0</v>
      </c>
      <c r="AC13" s="218">
        <v>0</v>
      </c>
      <c r="AD13" s="218">
        <v>0</v>
      </c>
      <c r="AE13" s="260">
        <v>12919</v>
      </c>
      <c r="AF13" s="118">
        <v>0</v>
      </c>
      <c r="AG13" s="118">
        <v>0</v>
      </c>
      <c r="AH13" s="118">
        <v>0</v>
      </c>
      <c r="AI13" s="118">
        <v>0</v>
      </c>
      <c r="AJ13" s="118">
        <v>0</v>
      </c>
      <c r="AK13" s="118">
        <v>0</v>
      </c>
      <c r="AL13" s="118">
        <v>0</v>
      </c>
      <c r="AM13" s="118">
        <v>0</v>
      </c>
      <c r="AN13" s="118">
        <v>0</v>
      </c>
      <c r="AO13" s="118">
        <v>0</v>
      </c>
      <c r="AP13" s="118">
        <v>0</v>
      </c>
      <c r="AQ13" s="118">
        <v>0</v>
      </c>
      <c r="AR13" s="118">
        <v>0</v>
      </c>
      <c r="AS13" s="118">
        <v>0</v>
      </c>
      <c r="AT13" s="118">
        <v>0</v>
      </c>
      <c r="AU13" s="118">
        <v>0</v>
      </c>
      <c r="AV13" s="118">
        <v>0</v>
      </c>
      <c r="AW13" s="118">
        <v>0</v>
      </c>
      <c r="AX13" s="118">
        <v>0</v>
      </c>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row>
    <row r="14" spans="1:170" s="766" customFormat="1" x14ac:dyDescent="0.2">
      <c r="A14" s="766" t="s">
        <v>49</v>
      </c>
      <c r="B14" s="766" t="s">
        <v>699</v>
      </c>
      <c r="C14"/>
      <c r="D14" s="192" t="str">
        <f>IF([1]RENAME!$H$3=1,B14,A14)</f>
        <v>Outros</v>
      </c>
      <c r="E14" s="118">
        <v>-399</v>
      </c>
      <c r="F14" s="118">
        <v>-23</v>
      </c>
      <c r="G14" s="118">
        <v>-559</v>
      </c>
      <c r="H14" s="118">
        <v>-1595</v>
      </c>
      <c r="I14" s="118">
        <v>-254</v>
      </c>
      <c r="J14" s="118">
        <v>-723</v>
      </c>
      <c r="K14" s="118">
        <v>-1307</v>
      </c>
      <c r="L14" s="118">
        <v>-1354</v>
      </c>
      <c r="M14" s="118">
        <v>-875</v>
      </c>
      <c r="N14" s="118">
        <v>1229.1357691940009</v>
      </c>
      <c r="O14" s="118">
        <v>-439.48653957200099</v>
      </c>
      <c r="P14" s="118">
        <v>-1134.6492296219997</v>
      </c>
      <c r="Q14" s="118">
        <v>-278</v>
      </c>
      <c r="R14" s="118">
        <v>-86</v>
      </c>
      <c r="S14" s="118">
        <v>246</v>
      </c>
      <c r="T14" s="118">
        <v>287</v>
      </c>
      <c r="U14" s="118">
        <v>-85</v>
      </c>
      <c r="V14" s="118">
        <v>-175</v>
      </c>
      <c r="W14" s="118">
        <v>290</v>
      </c>
      <c r="X14" s="118">
        <v>2475</v>
      </c>
      <c r="Y14" s="118">
        <v>65</v>
      </c>
      <c r="Z14" s="118">
        <v>53</v>
      </c>
      <c r="AA14" s="118">
        <v>-237</v>
      </c>
      <c r="AB14" s="118">
        <v>47</v>
      </c>
      <c r="AC14" s="118">
        <v>-26</v>
      </c>
      <c r="AD14" s="118">
        <v>-378</v>
      </c>
      <c r="AE14" s="118">
        <v>1154</v>
      </c>
      <c r="AF14" s="118">
        <v>-1354</v>
      </c>
      <c r="AG14" s="118">
        <v>513</v>
      </c>
      <c r="AH14" s="118">
        <v>387</v>
      </c>
      <c r="AI14" s="118">
        <v>1149</v>
      </c>
      <c r="AJ14" s="118">
        <v>2559</v>
      </c>
      <c r="AK14" s="118">
        <v>1516</v>
      </c>
      <c r="AL14" s="118">
        <v>-30</v>
      </c>
      <c r="AM14" s="118">
        <v>555</v>
      </c>
      <c r="AN14" s="118">
        <v>-424</v>
      </c>
      <c r="AO14" s="118">
        <v>208</v>
      </c>
      <c r="AP14" s="118">
        <v>422</v>
      </c>
      <c r="AQ14" s="118">
        <v>226</v>
      </c>
      <c r="AR14" s="118">
        <v>140</v>
      </c>
      <c r="AS14" s="118">
        <v>332</v>
      </c>
      <c r="AT14" s="118">
        <v>96</v>
      </c>
      <c r="AU14" s="118">
        <v>377</v>
      </c>
      <c r="AV14" s="118">
        <v>-822</v>
      </c>
      <c r="AW14" s="118">
        <v>135</v>
      </c>
      <c r="AX14" s="118">
        <f>('[3]17 IRD NL'!$AH$34)-AW14</f>
        <v>268</v>
      </c>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row>
    <row r="15" spans="1:170" s="249" customFormat="1" hidden="1" outlineLevel="1" x14ac:dyDescent="0.2">
      <c r="A15" s="249" t="s">
        <v>1175</v>
      </c>
      <c r="B15" s="249" t="s">
        <v>1177</v>
      </c>
      <c r="C15" s="233"/>
      <c r="D15" s="765" t="str">
        <f>IF([1]RENAME!$H$3=1,B15,A15)</f>
        <v>Diferido de Períodos anteriores</v>
      </c>
      <c r="E15" s="218">
        <v>0</v>
      </c>
      <c r="F15" s="218">
        <v>0</v>
      </c>
      <c r="G15" s="218">
        <v>0</v>
      </c>
      <c r="H15" s="218">
        <v>0</v>
      </c>
      <c r="I15" s="218">
        <v>0</v>
      </c>
      <c r="J15" s="218">
        <v>0</v>
      </c>
      <c r="K15" s="218">
        <v>0</v>
      </c>
      <c r="L15" s="218">
        <v>0</v>
      </c>
      <c r="M15" s="218">
        <v>0</v>
      </c>
      <c r="N15" s="218">
        <v>0</v>
      </c>
      <c r="O15" s="218">
        <v>0</v>
      </c>
      <c r="P15" s="218">
        <v>9690</v>
      </c>
      <c r="Q15" s="218">
        <v>0</v>
      </c>
      <c r="R15" s="218">
        <v>0</v>
      </c>
      <c r="S15" s="218">
        <v>0</v>
      </c>
      <c r="T15" s="218">
        <v>0</v>
      </c>
      <c r="U15" s="218">
        <v>0</v>
      </c>
      <c r="V15" s="218">
        <v>0</v>
      </c>
      <c r="W15" s="218">
        <v>0</v>
      </c>
      <c r="X15" s="218">
        <v>0</v>
      </c>
      <c r="Y15" s="218">
        <v>0</v>
      </c>
      <c r="Z15" s="218">
        <v>0</v>
      </c>
      <c r="AA15" s="218">
        <v>0</v>
      </c>
      <c r="AB15" s="218">
        <v>0</v>
      </c>
      <c r="AC15" s="218">
        <v>0</v>
      </c>
      <c r="AD15" s="218">
        <v>0</v>
      </c>
      <c r="AE15" s="218">
        <v>0</v>
      </c>
      <c r="AF15" s="218">
        <v>0</v>
      </c>
      <c r="AG15" s="218">
        <v>0</v>
      </c>
      <c r="AH15" s="218">
        <v>0</v>
      </c>
      <c r="AI15" s="218">
        <v>0</v>
      </c>
      <c r="AJ15" s="218">
        <v>0</v>
      </c>
      <c r="AK15" s="218">
        <v>0</v>
      </c>
      <c r="AL15" s="218"/>
      <c r="AM15" s="218"/>
      <c r="AN15" s="218">
        <v>0</v>
      </c>
      <c r="AO15" s="218"/>
      <c r="AP15" s="218">
        <v>0</v>
      </c>
      <c r="AQ15" s="218">
        <v>0</v>
      </c>
      <c r="AR15" s="218">
        <v>0</v>
      </c>
      <c r="AS15" s="218">
        <v>0</v>
      </c>
      <c r="AT15" s="218">
        <v>0</v>
      </c>
      <c r="AU15" s="218">
        <v>0</v>
      </c>
      <c r="AV15" s="218">
        <v>0</v>
      </c>
      <c r="AW15" s="218">
        <v>0</v>
      </c>
      <c r="AX15" s="218">
        <v>0</v>
      </c>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row>
    <row r="16" spans="1:170" s="249" customFormat="1" ht="25.5" hidden="1" outlineLevel="1" x14ac:dyDescent="0.2">
      <c r="A16" s="249" t="s">
        <v>527</v>
      </c>
      <c r="B16" s="249" t="s">
        <v>990</v>
      </c>
      <c r="C16" s="233"/>
      <c r="D16" s="765" t="str">
        <f>IF([1]RENAME!$H$3=1,B16,A16)</f>
        <v>Reconhecimento de diferidos sobre Prejuízo fiscal e Base negativa da contribuição social</v>
      </c>
      <c r="E16" s="218">
        <v>691</v>
      </c>
      <c r="F16" s="218">
        <v>0</v>
      </c>
      <c r="G16" s="218">
        <v>0</v>
      </c>
      <c r="H16" s="218">
        <v>4751</v>
      </c>
      <c r="I16" s="218">
        <v>0</v>
      </c>
      <c r="J16" s="218">
        <v>0</v>
      </c>
      <c r="K16" s="218">
        <v>522</v>
      </c>
      <c r="L16" s="218">
        <v>0</v>
      </c>
      <c r="M16" s="218">
        <v>0</v>
      </c>
      <c r="N16" s="218">
        <v>0</v>
      </c>
      <c r="O16" s="218">
        <v>0</v>
      </c>
      <c r="P16" s="218">
        <v>0</v>
      </c>
      <c r="Q16" s="218">
        <v>0</v>
      </c>
      <c r="R16" s="218">
        <v>0</v>
      </c>
      <c r="S16" s="218">
        <v>0</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v>0</v>
      </c>
      <c r="AK16" s="218">
        <v>0</v>
      </c>
      <c r="AL16" s="218"/>
      <c r="AM16" s="218"/>
      <c r="AN16" s="218">
        <v>0</v>
      </c>
      <c r="AO16" s="218"/>
      <c r="AP16" s="218">
        <v>0</v>
      </c>
      <c r="AQ16" s="218">
        <v>0</v>
      </c>
      <c r="AR16" s="218">
        <v>0</v>
      </c>
      <c r="AS16" s="218">
        <v>0</v>
      </c>
      <c r="AT16" s="218">
        <v>0</v>
      </c>
      <c r="AU16" s="218">
        <v>0</v>
      </c>
      <c r="AV16" s="218">
        <v>0</v>
      </c>
      <c r="AW16" s="218">
        <v>0</v>
      </c>
      <c r="AX16" s="218">
        <v>0</v>
      </c>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row>
    <row r="17" spans="1:170" s="249" customFormat="1" hidden="1" outlineLevel="1" x14ac:dyDescent="0.2">
      <c r="A17" s="249" t="s">
        <v>589</v>
      </c>
      <c r="B17" s="249" t="s">
        <v>989</v>
      </c>
      <c r="C17" s="233"/>
      <c r="D17" s="765" t="str">
        <f>IF([1]RENAME!$H$3=1,B17,A17)</f>
        <v>Retificação LALUR 2014</v>
      </c>
      <c r="E17" s="218">
        <v>0</v>
      </c>
      <c r="F17" s="218">
        <v>0</v>
      </c>
      <c r="G17" s="218">
        <v>0</v>
      </c>
      <c r="H17" s="218">
        <v>0</v>
      </c>
      <c r="I17" s="218">
        <v>0</v>
      </c>
      <c r="J17" s="218">
        <v>0</v>
      </c>
      <c r="K17" s="218">
        <v>0</v>
      </c>
      <c r="L17" s="218">
        <v>0</v>
      </c>
      <c r="M17" s="218">
        <v>0</v>
      </c>
      <c r="N17" s="218">
        <v>12206</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c r="AM17" s="218"/>
      <c r="AN17" s="218">
        <v>0</v>
      </c>
      <c r="AO17" s="218"/>
      <c r="AP17" s="218">
        <v>0</v>
      </c>
      <c r="AQ17" s="218">
        <v>0</v>
      </c>
      <c r="AR17" s="218">
        <v>0</v>
      </c>
      <c r="AS17" s="218">
        <v>0</v>
      </c>
      <c r="AT17" s="218">
        <v>0</v>
      </c>
      <c r="AU17" s="218">
        <v>0</v>
      </c>
      <c r="AV17" s="218">
        <v>0</v>
      </c>
      <c r="AW17" s="218">
        <v>0</v>
      </c>
      <c r="AX17" s="218">
        <v>0</v>
      </c>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row>
    <row r="18" spans="1:170" s="249" customFormat="1" hidden="1" outlineLevel="1" x14ac:dyDescent="0.2">
      <c r="A18" s="249" t="s">
        <v>532</v>
      </c>
      <c r="B18" s="249" t="s">
        <v>532</v>
      </c>
      <c r="C18" s="233"/>
      <c r="D18" s="765" t="str">
        <f>IF([1]RENAME!$H$3=1,B18,A18)</f>
        <v>REFIS</v>
      </c>
      <c r="E18" s="218">
        <v>0</v>
      </c>
      <c r="F18" s="218">
        <v>0</v>
      </c>
      <c r="G18" s="218">
        <v>0</v>
      </c>
      <c r="H18" s="218">
        <v>-5013</v>
      </c>
      <c r="I18" s="218">
        <v>0</v>
      </c>
      <c r="J18" s="218">
        <v>0</v>
      </c>
      <c r="K18" s="218">
        <v>0</v>
      </c>
      <c r="L18" s="218">
        <v>0</v>
      </c>
      <c r="M18" s="218">
        <v>0</v>
      </c>
      <c r="N18" s="218">
        <v>0</v>
      </c>
      <c r="O18" s="218">
        <v>0</v>
      </c>
      <c r="P18" s="218">
        <v>0</v>
      </c>
      <c r="Q18" s="218">
        <v>0</v>
      </c>
      <c r="R18" s="218">
        <v>0</v>
      </c>
      <c r="S18" s="218">
        <v>0</v>
      </c>
      <c r="T18" s="218">
        <v>0</v>
      </c>
      <c r="U18" s="218">
        <v>0</v>
      </c>
      <c r="V18" s="218">
        <v>0</v>
      </c>
      <c r="W18" s="218">
        <v>0</v>
      </c>
      <c r="X18" s="218">
        <v>0</v>
      </c>
      <c r="Y18" s="218">
        <v>0</v>
      </c>
      <c r="Z18" s="218">
        <v>0</v>
      </c>
      <c r="AA18" s="218">
        <v>0</v>
      </c>
      <c r="AB18" s="218">
        <v>0</v>
      </c>
      <c r="AC18" s="218">
        <v>0</v>
      </c>
      <c r="AD18" s="218">
        <v>0</v>
      </c>
      <c r="AE18" s="218">
        <v>0</v>
      </c>
      <c r="AF18" s="218">
        <v>0</v>
      </c>
      <c r="AG18" s="218">
        <v>0</v>
      </c>
      <c r="AH18" s="218">
        <v>0</v>
      </c>
      <c r="AI18" s="218">
        <v>0</v>
      </c>
      <c r="AJ18" s="218">
        <v>0</v>
      </c>
      <c r="AK18" s="218">
        <v>0</v>
      </c>
      <c r="AL18" s="218"/>
      <c r="AM18" s="218"/>
      <c r="AN18" s="218">
        <v>0</v>
      </c>
      <c r="AO18" s="218"/>
      <c r="AP18" s="218">
        <v>0</v>
      </c>
      <c r="AQ18" s="218">
        <v>0</v>
      </c>
      <c r="AR18" s="218">
        <v>0</v>
      </c>
      <c r="AS18" s="218">
        <v>0</v>
      </c>
      <c r="AT18" s="218">
        <v>0</v>
      </c>
      <c r="AU18" s="218">
        <v>0</v>
      </c>
      <c r="AV18" s="218">
        <v>0</v>
      </c>
      <c r="AW18" s="218">
        <v>0</v>
      </c>
      <c r="AX18" s="218">
        <v>0</v>
      </c>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row>
    <row r="19" spans="1:170" s="249" customFormat="1" hidden="1" outlineLevel="1" x14ac:dyDescent="0.2">
      <c r="A19" s="249" t="s">
        <v>533</v>
      </c>
      <c r="B19" s="249" t="s">
        <v>991</v>
      </c>
      <c r="C19" s="233"/>
      <c r="D19" s="765" t="str">
        <f>IF([1]RENAME!$H$3=1,B19,A19)</f>
        <v>Baixa de diferido referente ágio</v>
      </c>
      <c r="E19" s="218">
        <v>0</v>
      </c>
      <c r="F19" s="218">
        <v>0</v>
      </c>
      <c r="G19" s="218">
        <v>0</v>
      </c>
      <c r="H19" s="218">
        <v>4066</v>
      </c>
      <c r="I19" s="218">
        <v>0</v>
      </c>
      <c r="J19" s="218">
        <v>0</v>
      </c>
      <c r="K19" s="218">
        <v>0</v>
      </c>
      <c r="L19" s="218">
        <v>0</v>
      </c>
      <c r="M19" s="218">
        <v>0</v>
      </c>
      <c r="N19" s="218">
        <v>0</v>
      </c>
      <c r="O19" s="218">
        <v>0</v>
      </c>
      <c r="P19" s="218">
        <v>0</v>
      </c>
      <c r="Q19" s="218">
        <v>0</v>
      </c>
      <c r="R19" s="218">
        <v>0</v>
      </c>
      <c r="S19" s="218">
        <v>0</v>
      </c>
      <c r="T19" s="218">
        <v>0</v>
      </c>
      <c r="U19" s="218">
        <v>0</v>
      </c>
      <c r="V19" s="218">
        <v>0</v>
      </c>
      <c r="W19" s="218">
        <v>0</v>
      </c>
      <c r="X19" s="218">
        <v>0</v>
      </c>
      <c r="Y19" s="218">
        <v>0</v>
      </c>
      <c r="Z19" s="218">
        <v>0</v>
      </c>
      <c r="AA19" s="218">
        <v>0</v>
      </c>
      <c r="AB19" s="218">
        <v>0</v>
      </c>
      <c r="AC19" s="218">
        <v>0</v>
      </c>
      <c r="AD19" s="218">
        <v>0</v>
      </c>
      <c r="AE19" s="218">
        <v>0</v>
      </c>
      <c r="AF19" s="218">
        <v>0</v>
      </c>
      <c r="AG19" s="218">
        <v>0</v>
      </c>
      <c r="AH19" s="218">
        <v>0</v>
      </c>
      <c r="AI19" s="218">
        <v>0</v>
      </c>
      <c r="AJ19" s="218">
        <v>0</v>
      </c>
      <c r="AK19" s="218">
        <v>0</v>
      </c>
      <c r="AL19" s="218"/>
      <c r="AM19" s="218"/>
      <c r="AN19" s="218">
        <v>0</v>
      </c>
      <c r="AO19" s="218"/>
      <c r="AP19" s="218">
        <v>0</v>
      </c>
      <c r="AQ19" s="218">
        <v>0</v>
      </c>
      <c r="AR19" s="218">
        <v>0</v>
      </c>
      <c r="AS19" s="218">
        <v>0</v>
      </c>
      <c r="AT19" s="218">
        <v>0</v>
      </c>
      <c r="AU19" s="218">
        <v>0</v>
      </c>
      <c r="AV19" s="218">
        <v>0</v>
      </c>
      <c r="AW19" s="218">
        <v>0</v>
      </c>
      <c r="AX19" s="218">
        <v>0</v>
      </c>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row>
    <row r="20" spans="1:170" s="249" customFormat="1" hidden="1" outlineLevel="1" x14ac:dyDescent="0.2">
      <c r="A20" s="249" t="s">
        <v>583</v>
      </c>
      <c r="B20" s="249" t="s">
        <v>992</v>
      </c>
      <c r="C20" s="233"/>
      <c r="D20" s="765" t="str">
        <f>IF([1]RENAME!$H$3=1,B20,A20)</f>
        <v xml:space="preserve">Perda alienação de investimento </v>
      </c>
      <c r="E20" s="218">
        <v>0</v>
      </c>
      <c r="F20" s="218">
        <v>0</v>
      </c>
      <c r="G20" s="218">
        <v>0</v>
      </c>
      <c r="H20" s="218">
        <v>0</v>
      </c>
      <c r="I20" s="218">
        <v>0</v>
      </c>
      <c r="J20" s="218">
        <v>0</v>
      </c>
      <c r="K20" s="218">
        <v>0</v>
      </c>
      <c r="L20" s="218">
        <v>0</v>
      </c>
      <c r="M20" s="218">
        <v>0</v>
      </c>
      <c r="N20" s="218">
        <v>0</v>
      </c>
      <c r="O20" s="218">
        <v>0</v>
      </c>
      <c r="P20" s="218">
        <v>0</v>
      </c>
      <c r="Q20" s="218">
        <v>0</v>
      </c>
      <c r="R20" s="218">
        <v>0</v>
      </c>
      <c r="S20" s="218">
        <v>0</v>
      </c>
      <c r="T20" s="218">
        <v>0</v>
      </c>
      <c r="U20" s="218">
        <v>0</v>
      </c>
      <c r="V20" s="218">
        <v>0</v>
      </c>
      <c r="W20" s="218">
        <v>0</v>
      </c>
      <c r="X20" s="218">
        <v>0</v>
      </c>
      <c r="Y20" s="218">
        <v>0</v>
      </c>
      <c r="Z20" s="218">
        <v>0</v>
      </c>
      <c r="AA20" s="218">
        <v>0</v>
      </c>
      <c r="AB20" s="218">
        <v>0</v>
      </c>
      <c r="AC20" s="218">
        <v>0</v>
      </c>
      <c r="AD20" s="218">
        <v>0</v>
      </c>
      <c r="AE20" s="218">
        <v>0</v>
      </c>
      <c r="AF20" s="218">
        <v>0</v>
      </c>
      <c r="AG20" s="218">
        <v>0</v>
      </c>
      <c r="AH20" s="218">
        <v>0</v>
      </c>
      <c r="AI20" s="218">
        <v>0</v>
      </c>
      <c r="AJ20" s="218">
        <v>0</v>
      </c>
      <c r="AK20" s="218">
        <v>0</v>
      </c>
      <c r="AL20" s="218"/>
      <c r="AM20" s="218"/>
      <c r="AN20" s="218">
        <v>0</v>
      </c>
      <c r="AO20" s="218"/>
      <c r="AP20" s="218">
        <v>0</v>
      </c>
      <c r="AQ20" s="218">
        <v>0</v>
      </c>
      <c r="AR20" s="218">
        <v>0</v>
      </c>
      <c r="AS20" s="218">
        <v>0</v>
      </c>
      <c r="AT20" s="218">
        <v>0</v>
      </c>
      <c r="AU20" s="218">
        <v>0</v>
      </c>
      <c r="AV20" s="218">
        <v>0</v>
      </c>
      <c r="AW20" s="218">
        <v>0</v>
      </c>
      <c r="AX20" s="218">
        <v>0</v>
      </c>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row>
    <row r="21" spans="1:170" s="252" customFormat="1" collapsed="1" x14ac:dyDescent="0.2">
      <c r="A21" s="252" t="s">
        <v>528</v>
      </c>
      <c r="B21" s="252" t="s">
        <v>993</v>
      </c>
      <c r="C21" s="142"/>
      <c r="D21" s="251" t="str">
        <f>IF([1]RENAME!$H$3=1,B21,A21)</f>
        <v>Imposto sobre a renda e contribuição social no resultado</v>
      </c>
      <c r="E21" s="121">
        <f t="shared" ref="E21:N21" si="15">SUM(E8:E20)</f>
        <v>-3228.86</v>
      </c>
      <c r="F21" s="121">
        <f t="shared" si="15"/>
        <v>-512.30000000000007</v>
      </c>
      <c r="G21" s="121">
        <f t="shared" si="15"/>
        <v>-3070.48</v>
      </c>
      <c r="H21" s="121">
        <f t="shared" si="15"/>
        <v>5565.8</v>
      </c>
      <c r="I21" s="121">
        <f t="shared" si="15"/>
        <v>184.92000000000007</v>
      </c>
      <c r="J21" s="121">
        <f t="shared" si="15"/>
        <v>-1209.48</v>
      </c>
      <c r="K21" s="121">
        <f t="shared" si="15"/>
        <v>-3178.46</v>
      </c>
      <c r="L21" s="121">
        <f t="shared" si="15"/>
        <v>-8769.64</v>
      </c>
      <c r="M21" s="121">
        <f t="shared" si="15"/>
        <v>-4299.34</v>
      </c>
      <c r="N21" s="121">
        <f t="shared" si="15"/>
        <v>7766.5357691940007</v>
      </c>
      <c r="O21" s="121">
        <v>-8878.5865395720011</v>
      </c>
      <c r="P21" s="121">
        <f t="shared" ref="P21:AM21" si="16">SUM(P8:P20)</f>
        <v>-8318.2292296220003</v>
      </c>
      <c r="Q21" s="121">
        <f t="shared" si="16"/>
        <v>-6232.3600000000006</v>
      </c>
      <c r="R21" s="121">
        <f t="shared" si="16"/>
        <v>-7001.7400000000016</v>
      </c>
      <c r="S21" s="121">
        <f t="shared" si="16"/>
        <v>-9929.5800000000017</v>
      </c>
      <c r="T21" s="121">
        <f t="shared" si="16"/>
        <v>-12882.960000000001</v>
      </c>
      <c r="U21" s="121">
        <f t="shared" si="16"/>
        <v>-11575.980000000001</v>
      </c>
      <c r="V21" s="121">
        <f t="shared" si="16"/>
        <v>-10923.920000000002</v>
      </c>
      <c r="W21" s="121">
        <f t="shared" si="16"/>
        <v>-40056.660000000003</v>
      </c>
      <c r="X21" s="121">
        <f t="shared" si="16"/>
        <v>-8769.760000000002</v>
      </c>
      <c r="Y21" s="121">
        <f t="shared" si="16"/>
        <v>-6850.58</v>
      </c>
      <c r="Z21" s="121">
        <f t="shared" si="16"/>
        <v>4623.58</v>
      </c>
      <c r="AA21" s="121">
        <f t="shared" si="16"/>
        <v>-12020.060000000001</v>
      </c>
      <c r="AB21" s="121">
        <f t="shared" si="16"/>
        <v>-9295.6200000000008</v>
      </c>
      <c r="AC21" s="121">
        <f t="shared" si="16"/>
        <v>-7993</v>
      </c>
      <c r="AD21" s="121">
        <f t="shared" si="16"/>
        <v>-8179.2400000000016</v>
      </c>
      <c r="AE21" s="121">
        <f t="shared" si="16"/>
        <v>9562.7999999999993</v>
      </c>
      <c r="AF21" s="121">
        <f t="shared" si="16"/>
        <v>-9991.8000000000011</v>
      </c>
      <c r="AG21" s="121">
        <f t="shared" si="16"/>
        <v>-5291.1600000000008</v>
      </c>
      <c r="AH21" s="121">
        <f t="shared" si="16"/>
        <v>-8047.52</v>
      </c>
      <c r="AI21" s="121">
        <f t="shared" si="16"/>
        <v>-17647.780000000002</v>
      </c>
      <c r="AJ21" s="121">
        <f t="shared" si="16"/>
        <v>-17244.84</v>
      </c>
      <c r="AK21" s="121">
        <f t="shared" si="16"/>
        <v>-10633.04</v>
      </c>
      <c r="AL21" s="121">
        <f t="shared" si="16"/>
        <v>-10583.260000000002</v>
      </c>
      <c r="AM21" s="121">
        <f t="shared" si="16"/>
        <v>-16767.2</v>
      </c>
      <c r="AN21" s="121">
        <f t="shared" ref="AN21:AX21" si="17">SUM(AN8:AN20)</f>
        <v>-15581.34</v>
      </c>
      <c r="AO21" s="121">
        <f t="shared" si="17"/>
        <v>-15609.16</v>
      </c>
      <c r="AP21" s="121">
        <f t="shared" si="17"/>
        <v>-21144.06</v>
      </c>
      <c r="AQ21" s="121">
        <f t="shared" si="17"/>
        <v>-35932.520000000004</v>
      </c>
      <c r="AR21" s="121">
        <f t="shared" si="17"/>
        <v>-34170.380000000005</v>
      </c>
      <c r="AS21" s="121">
        <f t="shared" si="17"/>
        <v>-18778.080000000002</v>
      </c>
      <c r="AT21" s="121">
        <f t="shared" si="17"/>
        <v>-24727.980000000003</v>
      </c>
      <c r="AU21" s="121">
        <f t="shared" si="17"/>
        <v>-32031.82</v>
      </c>
      <c r="AV21" s="121">
        <f t="shared" si="17"/>
        <v>-19872.940000000002</v>
      </c>
      <c r="AW21" s="121">
        <f>SUM(AW8:AW20)</f>
        <v>-19037.480000000003</v>
      </c>
      <c r="AX21" s="121">
        <f t="shared" si="17"/>
        <v>-35103.800000000003</v>
      </c>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row>
    <row r="22" spans="1:170" x14ac:dyDescent="0.2">
      <c r="A22" s="25" t="s">
        <v>529</v>
      </c>
      <c r="B22" s="25" t="s">
        <v>907</v>
      </c>
      <c r="D22" s="129" t="str">
        <f>IF([1]RENAME!$H$3=1,B22,A22)</f>
        <v>Corrente</v>
      </c>
      <c r="E22" s="118">
        <v>-381</v>
      </c>
      <c r="F22" s="118">
        <v>-4245</v>
      </c>
      <c r="G22" s="118">
        <v>-415</v>
      </c>
      <c r="H22" s="118">
        <v>-12790</v>
      </c>
      <c r="I22" s="118">
        <v>-1173</v>
      </c>
      <c r="J22" s="118">
        <v>-586</v>
      </c>
      <c r="K22" s="118">
        <v>-4918</v>
      </c>
      <c r="L22" s="118">
        <v>-9639</v>
      </c>
      <c r="M22" s="118">
        <v>-5095</v>
      </c>
      <c r="N22" s="118">
        <v>1980</v>
      </c>
      <c r="O22" s="118">
        <v>-12489</v>
      </c>
      <c r="P22" s="118">
        <v>-18384</v>
      </c>
      <c r="Q22" s="118">
        <v>-8414</v>
      </c>
      <c r="R22" s="118">
        <v>-5511</v>
      </c>
      <c r="S22" s="118">
        <v>-10176</v>
      </c>
      <c r="T22" s="118">
        <v>-18596</v>
      </c>
      <c r="U22" s="118">
        <v>-7951</v>
      </c>
      <c r="V22" s="118">
        <v>-10922</v>
      </c>
      <c r="W22" s="118">
        <v>-41841</v>
      </c>
      <c r="X22" s="118">
        <v>-11385</v>
      </c>
      <c r="Y22" s="118">
        <v>-2121</v>
      </c>
      <c r="Z22" s="118">
        <v>-3029</v>
      </c>
      <c r="AA22" s="118">
        <v>-9242</v>
      </c>
      <c r="AB22" s="118">
        <v>-8845</v>
      </c>
      <c r="AC22" s="118">
        <v>-3458</v>
      </c>
      <c r="AD22" s="118">
        <v>-4303</v>
      </c>
      <c r="AE22" s="118">
        <v>7761</v>
      </c>
      <c r="AF22" s="118">
        <v>-5456</v>
      </c>
      <c r="AG22" s="118">
        <v>-3368</v>
      </c>
      <c r="AH22" s="118">
        <v>-8061</v>
      </c>
      <c r="AI22" s="118">
        <v>-20095</v>
      </c>
      <c r="AJ22" s="118">
        <v>-11358</v>
      </c>
      <c r="AK22" s="118">
        <v>-15245</v>
      </c>
      <c r="AL22" s="118">
        <v>-9192</v>
      </c>
      <c r="AM22" s="118">
        <v>-18090</v>
      </c>
      <c r="AN22" s="118">
        <v>-15164</v>
      </c>
      <c r="AO22" s="118">
        <v>-12263</v>
      </c>
      <c r="AP22" s="118">
        <v>-24370</v>
      </c>
      <c r="AQ22" s="118">
        <v>-37202</v>
      </c>
      <c r="AR22" s="118">
        <v>-33985</v>
      </c>
      <c r="AS22" s="118">
        <v>-14593</v>
      </c>
      <c r="AT22" s="118">
        <v>-26264</v>
      </c>
      <c r="AU22" s="118">
        <v>-33819</v>
      </c>
      <c r="AV22" s="118">
        <v>-13237</v>
      </c>
      <c r="AW22" s="118">
        <v>-19761</v>
      </c>
      <c r="AX22" s="118">
        <f>('[3]17 IRD NL'!$AH$40)-AW22</f>
        <v>-39817</v>
      </c>
      <c r="DI22" s="25"/>
      <c r="FN22"/>
    </row>
    <row r="23" spans="1:170" x14ac:dyDescent="0.2">
      <c r="A23" s="25" t="s">
        <v>530</v>
      </c>
      <c r="B23" s="25" t="s">
        <v>994</v>
      </c>
      <c r="D23" s="129" t="str">
        <f>IF([1]RENAME!$H$3=1,B23,A23)</f>
        <v>Diferido</v>
      </c>
      <c r="E23" s="118">
        <v>-2848</v>
      </c>
      <c r="F23" s="118">
        <v>3733</v>
      </c>
      <c r="G23" s="118">
        <v>-2656</v>
      </c>
      <c r="H23" s="118">
        <v>18356</v>
      </c>
      <c r="I23" s="118">
        <v>1358</v>
      </c>
      <c r="J23" s="118">
        <v>-624</v>
      </c>
      <c r="K23" s="118">
        <v>1740</v>
      </c>
      <c r="L23" s="118">
        <v>869</v>
      </c>
      <c r="M23" s="118">
        <v>796</v>
      </c>
      <c r="N23" s="118">
        <v>5787</v>
      </c>
      <c r="O23" s="118">
        <v>3610</v>
      </c>
      <c r="P23" s="118">
        <v>10065</v>
      </c>
      <c r="Q23" s="118">
        <v>2181</v>
      </c>
      <c r="R23" s="118">
        <v>-1490</v>
      </c>
      <c r="S23" s="118">
        <v>246</v>
      </c>
      <c r="T23" s="118">
        <v>5713</v>
      </c>
      <c r="U23" s="118">
        <v>-3625</v>
      </c>
      <c r="V23" s="118">
        <v>-2</v>
      </c>
      <c r="W23" s="118">
        <v>1784</v>
      </c>
      <c r="X23" s="118">
        <v>2616</v>
      </c>
      <c r="Y23" s="118">
        <v>-4730</v>
      </c>
      <c r="Z23" s="118">
        <v>7653</v>
      </c>
      <c r="AA23" s="118">
        <v>-2778</v>
      </c>
      <c r="AB23" s="118">
        <v>-451</v>
      </c>
      <c r="AC23" s="118">
        <v>-4534</v>
      </c>
      <c r="AD23" s="118">
        <v>-3877</v>
      </c>
      <c r="AE23" s="118">
        <v>10649</v>
      </c>
      <c r="AF23" s="118">
        <v>-13383</v>
      </c>
      <c r="AG23" s="118">
        <v>-1923</v>
      </c>
      <c r="AH23" s="118">
        <v>13</v>
      </c>
      <c r="AI23" s="118">
        <v>2447</v>
      </c>
      <c r="AJ23" s="118">
        <v>-5886</v>
      </c>
      <c r="AK23" s="118">
        <v>4612</v>
      </c>
      <c r="AL23" s="118">
        <v>-1391</v>
      </c>
      <c r="AM23" s="118">
        <v>1322</v>
      </c>
      <c r="AN23" s="118">
        <v>-417</v>
      </c>
      <c r="AO23" s="118">
        <v>-3346</v>
      </c>
      <c r="AP23" s="118">
        <v>3226</v>
      </c>
      <c r="AQ23" s="118">
        <v>1269</v>
      </c>
      <c r="AR23" s="118">
        <v>-185</v>
      </c>
      <c r="AS23" s="118">
        <v>-4185</v>
      </c>
      <c r="AT23" s="118">
        <v>1536</v>
      </c>
      <c r="AU23" s="118">
        <v>1787</v>
      </c>
      <c r="AV23" s="118">
        <v>-6635</v>
      </c>
      <c r="AW23" s="118">
        <v>724</v>
      </c>
      <c r="AX23" s="118">
        <f>('[3]17 IRD NL'!$AH$41)-AW23</f>
        <v>4713</v>
      </c>
      <c r="DI23" s="25"/>
      <c r="FN23"/>
    </row>
    <row r="24" spans="1:170" s="252" customFormat="1" x14ac:dyDescent="0.2">
      <c r="A24" s="252" t="s">
        <v>531</v>
      </c>
      <c r="B24" s="252" t="s">
        <v>995</v>
      </c>
      <c r="C24" s="142"/>
      <c r="D24" s="251" t="str">
        <f>IF([1]RENAME!$H$3=1,B24,A24)</f>
        <v>Taxa efetiva</v>
      </c>
      <c r="E24" s="622">
        <f t="shared" ref="E24:AM24" si="18">+E21/E6</f>
        <v>-0.30094696616646471</v>
      </c>
      <c r="F24" s="622">
        <f t="shared" si="18"/>
        <v>-0.30224188790560474</v>
      </c>
      <c r="G24" s="622">
        <f t="shared" si="18"/>
        <v>-0.37573176700930006</v>
      </c>
      <c r="H24" s="622">
        <f t="shared" si="18"/>
        <v>-0.59084925690021228</v>
      </c>
      <c r="I24" s="622">
        <f t="shared" si="18"/>
        <v>-8.8563218390804638E-2</v>
      </c>
      <c r="J24" s="622">
        <f t="shared" si="18"/>
        <v>-2.3170114942528737</v>
      </c>
      <c r="K24" s="622">
        <f t="shared" si="18"/>
        <v>-0.45283658640832025</v>
      </c>
      <c r="L24" s="622">
        <f t="shared" si="18"/>
        <v>-0.41083294294012929</v>
      </c>
      <c r="M24" s="622">
        <f t="shared" si="18"/>
        <v>-0.44091272689980515</v>
      </c>
      <c r="N24" s="622">
        <f t="shared" si="18"/>
        <v>0.47676708220957648</v>
      </c>
      <c r="O24" s="622">
        <f t="shared" si="18"/>
        <v>-0.36741512681862204</v>
      </c>
      <c r="P24" s="622">
        <f t="shared" si="18"/>
        <v>-0.1236231252637508</v>
      </c>
      <c r="Q24" s="622">
        <f t="shared" si="18"/>
        <v>-0.30809036531711903</v>
      </c>
      <c r="R24" s="622">
        <f t="shared" si="18"/>
        <v>-0.19899221281191387</v>
      </c>
      <c r="S24" s="622">
        <f t="shared" si="18"/>
        <v>-0.24196651802032318</v>
      </c>
      <c r="T24" s="622">
        <f t="shared" si="18"/>
        <v>-0.26927012791572613</v>
      </c>
      <c r="U24" s="622">
        <f t="shared" si="18"/>
        <v>-0.3030599261722125</v>
      </c>
      <c r="V24" s="622">
        <f t="shared" si="18"/>
        <v>-0.25148303328882549</v>
      </c>
      <c r="W24" s="622">
        <f t="shared" si="18"/>
        <v>-0.30473156889744313</v>
      </c>
      <c r="X24" s="622">
        <f t="shared" si="18"/>
        <v>-0.16795801892212819</v>
      </c>
      <c r="Y24" s="622">
        <f t="shared" si="18"/>
        <v>-0.26210276619351874</v>
      </c>
      <c r="Z24" s="622">
        <f t="shared" si="18"/>
        <v>-0.5144742405697118</v>
      </c>
      <c r="AA24" s="622">
        <f t="shared" si="18"/>
        <v>-0.28647155556614795</v>
      </c>
      <c r="AB24" s="622">
        <f t="shared" si="18"/>
        <v>-0.24498906254118022</v>
      </c>
      <c r="AC24" s="622">
        <f t="shared" si="18"/>
        <v>-0.28394316163410299</v>
      </c>
      <c r="AD24" s="622">
        <f t="shared" si="18"/>
        <v>-0.25294532409698173</v>
      </c>
      <c r="AE24" s="622">
        <f t="shared" si="18"/>
        <v>0.38825822168087692</v>
      </c>
      <c r="AF24" s="622">
        <f t="shared" si="18"/>
        <v>-0.25443850267379681</v>
      </c>
      <c r="AG24" s="622">
        <f t="shared" si="18"/>
        <v>-0.21978732242253057</v>
      </c>
      <c r="AH24" s="622">
        <f t="shared" si="18"/>
        <v>-0.20833385109247179</v>
      </c>
      <c r="AI24" s="622">
        <f t="shared" si="18"/>
        <v>-0.24815135621581341</v>
      </c>
      <c r="AJ24" s="622">
        <f t="shared" si="18"/>
        <v>-0.23279928721853232</v>
      </c>
      <c r="AK24" s="622">
        <f t="shared" si="18"/>
        <v>-0.23443513537348976</v>
      </c>
      <c r="AL24" s="622">
        <f t="shared" si="18"/>
        <v>-0.20982295445984261</v>
      </c>
      <c r="AM24" s="622">
        <f t="shared" si="18"/>
        <v>-0.22943623426382048</v>
      </c>
      <c r="AN24" s="622">
        <f t="shared" ref="AN24:AX24" si="19">+AN21/AN6</f>
        <v>-0.23395054128316392</v>
      </c>
      <c r="AO24" s="622">
        <f t="shared" si="19"/>
        <v>-0.29382501317671861</v>
      </c>
      <c r="AP24" s="622">
        <f t="shared" si="19"/>
        <v>-0.24975560779125672</v>
      </c>
      <c r="AQ24" s="622">
        <f t="shared" si="19"/>
        <v>-0.29849739985711676</v>
      </c>
      <c r="AR24" s="622">
        <f t="shared" si="19"/>
        <v>-0.28640716806222605</v>
      </c>
      <c r="AS24" s="622">
        <f t="shared" si="19"/>
        <v>-0.30039160481187616</v>
      </c>
      <c r="AT24" s="622">
        <f t="shared" si="19"/>
        <v>-0.26923013272072038</v>
      </c>
      <c r="AU24" s="622">
        <f t="shared" si="19"/>
        <v>-0.28619515202415946</v>
      </c>
      <c r="AV24" s="622">
        <f t="shared" si="19"/>
        <v>-0.27566464607232527</v>
      </c>
      <c r="AW24" s="622">
        <f>+AW21/AW6</f>
        <v>-0.32924284874269316</v>
      </c>
      <c r="AX24" s="622">
        <f t="shared" si="19"/>
        <v>-0.2969362206056505</v>
      </c>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row>
    <row r="25" spans="1:170" customFormat="1" ht="12.75" x14ac:dyDescent="0.2"/>
    <row r="26" spans="1:170" x14ac:dyDescent="0.2">
      <c r="D26" s="31"/>
      <c r="E26" s="30"/>
      <c r="F26" s="30"/>
      <c r="G26" s="29"/>
      <c r="H26" s="29"/>
      <c r="I26" s="29"/>
      <c r="J26" s="29"/>
      <c r="K26" s="29"/>
      <c r="L26" s="29"/>
      <c r="M26" s="29"/>
      <c r="N26" s="29"/>
      <c r="O26" s="29"/>
      <c r="P26" s="29"/>
      <c r="Q26" s="1107"/>
      <c r="R26" s="1107"/>
      <c r="S26" s="1107"/>
      <c r="T26" s="1107"/>
      <c r="U26" s="1107"/>
      <c r="V26" s="1107"/>
      <c r="W26" s="1107"/>
      <c r="X26" s="1107"/>
      <c r="Y26" s="1107"/>
      <c r="Z26" s="1107"/>
      <c r="AA26" s="1107"/>
      <c r="AB26" s="1107"/>
      <c r="AC26" s="1107"/>
      <c r="AD26" s="1107"/>
      <c r="AE26" s="1107"/>
      <c r="AF26" s="1107"/>
      <c r="AG26" s="1107"/>
      <c r="AH26" s="1107"/>
      <c r="AI26" s="1107"/>
      <c r="AJ26" s="1107"/>
      <c r="AK26" s="1107"/>
      <c r="AL26" s="1107"/>
      <c r="AM26" s="1107"/>
      <c r="AN26" s="1107"/>
      <c r="AO26" s="1107"/>
      <c r="AP26" s="1107"/>
      <c r="AQ26" s="1107"/>
      <c r="AR26" s="1107"/>
      <c r="AS26" s="1107"/>
      <c r="AT26" s="1107"/>
      <c r="AU26" s="1107"/>
      <c r="AV26" s="1107"/>
      <c r="AW26" s="1107"/>
      <c r="AX26" s="1107"/>
      <c r="DI26" s="25"/>
      <c r="FN26"/>
    </row>
    <row r="27" spans="1:170" x14ac:dyDescent="0.2">
      <c r="AI27" s="1106"/>
      <c r="AJ27" s="1106"/>
      <c r="AK27" s="1106"/>
      <c r="AL27" s="1106"/>
      <c r="AM27" s="1106"/>
      <c r="AN27" s="1106"/>
      <c r="AO27" s="1106"/>
      <c r="AP27" s="1106"/>
      <c r="AQ27" s="1106"/>
      <c r="AR27" s="1106"/>
      <c r="AS27" s="1106"/>
      <c r="AT27" s="1106"/>
      <c r="AU27" s="1106"/>
      <c r="AV27" s="1106"/>
      <c r="AW27" s="1106"/>
      <c r="AX27" s="1106"/>
      <c r="DI27" s="25"/>
      <c r="FN27"/>
    </row>
    <row r="28" spans="1:170" x14ac:dyDescent="0.2">
      <c r="AI28" s="1107"/>
      <c r="AJ28" s="1107"/>
      <c r="AK28" s="1107"/>
      <c r="AL28" s="1107"/>
      <c r="AM28" s="1107"/>
      <c r="AN28" s="1107"/>
      <c r="AO28" s="1107"/>
      <c r="AP28" s="1107"/>
      <c r="AQ28" s="1107"/>
      <c r="AR28" s="1107"/>
      <c r="AS28" s="1107"/>
      <c r="AT28" s="1107"/>
      <c r="AU28" s="1107"/>
      <c r="AV28" s="1107"/>
      <c r="AW28" s="1107"/>
      <c r="AX28" s="1107"/>
      <c r="DI28" s="25"/>
      <c r="FN28"/>
    </row>
    <row r="29" spans="1:170" x14ac:dyDescent="0.2">
      <c r="AI29" s="1107"/>
      <c r="AJ29" s="1107"/>
      <c r="AK29" s="1107"/>
      <c r="AL29" s="1107"/>
      <c r="AM29" s="1107"/>
      <c r="AN29" s="1107"/>
      <c r="AO29" s="1107"/>
      <c r="AP29" s="1107"/>
      <c r="AQ29" s="1107"/>
      <c r="AR29" s="1107"/>
      <c r="AS29" s="1107"/>
      <c r="AT29" s="1107"/>
      <c r="AU29" s="1107"/>
      <c r="AV29" s="1107"/>
      <c r="AW29" s="1107"/>
      <c r="AX29" s="1107"/>
      <c r="DI29" s="25"/>
      <c r="FN29"/>
    </row>
    <row r="30" spans="1:170" x14ac:dyDescent="0.2">
      <c r="AI30" s="1106"/>
      <c r="AJ30" s="1106"/>
      <c r="AK30" s="1106"/>
      <c r="AL30" s="1106"/>
      <c r="AM30" s="1106"/>
      <c r="AN30" s="1106"/>
      <c r="AO30" s="1106"/>
      <c r="AP30" s="1106"/>
      <c r="AQ30" s="1106"/>
      <c r="AR30" s="1106"/>
      <c r="AS30" s="1106"/>
      <c r="AT30" s="1106"/>
      <c r="AU30" s="1106"/>
      <c r="AV30" s="1106"/>
      <c r="AW30" s="1106"/>
      <c r="AX30" s="1106"/>
      <c r="DI30" s="25"/>
      <c r="FN30"/>
    </row>
    <row r="31" spans="1:170" x14ac:dyDescent="0.2">
      <c r="DI31" s="25"/>
      <c r="FN31"/>
    </row>
    <row r="32" spans="1:170" x14ac:dyDescent="0.2">
      <c r="DI32" s="25"/>
      <c r="FN32"/>
    </row>
    <row r="33" spans="113:170" x14ac:dyDescent="0.2">
      <c r="DI33" s="25"/>
      <c r="FN33"/>
    </row>
    <row r="34" spans="113:170" x14ac:dyDescent="0.2">
      <c r="DI34" s="25"/>
      <c r="FN34"/>
    </row>
    <row r="35" spans="113:170" x14ac:dyDescent="0.2">
      <c r="DI35" s="25"/>
      <c r="FN35"/>
    </row>
    <row r="36" spans="113:170" x14ac:dyDescent="0.2">
      <c r="DI36" s="25"/>
      <c r="FN36"/>
    </row>
    <row r="37" spans="113:170" x14ac:dyDescent="0.2">
      <c r="DI37" s="25"/>
      <c r="FN37"/>
    </row>
    <row r="38" spans="113:170" x14ac:dyDescent="0.2">
      <c r="DI38" s="25"/>
      <c r="FN38"/>
    </row>
    <row r="39" spans="113:170" x14ac:dyDescent="0.2">
      <c r="DI39" s="25"/>
      <c r="FN39"/>
    </row>
    <row r="40" spans="113:170" x14ac:dyDescent="0.2">
      <c r="DI40" s="25"/>
      <c r="FN40"/>
    </row>
    <row r="41" spans="113:170" x14ac:dyDescent="0.2">
      <c r="DI41" s="25"/>
      <c r="FN41"/>
    </row>
    <row r="42" spans="113:170" x14ac:dyDescent="0.2">
      <c r="DI42" s="25"/>
      <c r="FN42"/>
    </row>
    <row r="43" spans="113:170" x14ac:dyDescent="0.2">
      <c r="DI43" s="25"/>
      <c r="FN43"/>
    </row>
    <row r="44" spans="113:170" x14ac:dyDescent="0.2">
      <c r="DI44" s="25"/>
      <c r="FN44"/>
    </row>
    <row r="45" spans="113:170" x14ac:dyDescent="0.2">
      <c r="DI45" s="25"/>
      <c r="FN45"/>
    </row>
    <row r="46" spans="113:170" x14ac:dyDescent="0.2">
      <c r="DI46" s="25"/>
      <c r="FN46"/>
    </row>
    <row r="47" spans="113:170" x14ac:dyDescent="0.2">
      <c r="DI47" s="25"/>
      <c r="FN47"/>
    </row>
    <row r="48" spans="113:170" x14ac:dyDescent="0.2">
      <c r="DI48" s="25"/>
      <c r="FN48"/>
    </row>
    <row r="49" spans="113:170" x14ac:dyDescent="0.2">
      <c r="DI49" s="25"/>
      <c r="FN49"/>
    </row>
    <row r="50" spans="113:170" x14ac:dyDescent="0.2">
      <c r="DI50" s="25"/>
      <c r="FN50"/>
    </row>
    <row r="51" spans="113:170" x14ac:dyDescent="0.2">
      <c r="DI51" s="25"/>
      <c r="FN51"/>
    </row>
    <row r="52" spans="113:170" x14ac:dyDescent="0.2">
      <c r="DI52" s="25"/>
      <c r="FN52"/>
    </row>
    <row r="53" spans="113:170" x14ac:dyDescent="0.2">
      <c r="DI53" s="25"/>
      <c r="FN53"/>
    </row>
    <row r="54" spans="113:170" x14ac:dyDescent="0.2">
      <c r="DI54" s="25"/>
      <c r="FN54"/>
    </row>
    <row r="55" spans="113:170" x14ac:dyDescent="0.2">
      <c r="DI55" s="25"/>
      <c r="FN55"/>
    </row>
    <row r="56" spans="113:170" x14ac:dyDescent="0.2">
      <c r="DI56" s="25"/>
      <c r="FN56"/>
    </row>
    <row r="57" spans="113:170" x14ac:dyDescent="0.2">
      <c r="DI57" s="25"/>
      <c r="FN57"/>
    </row>
    <row r="58" spans="113:170" x14ac:dyDescent="0.2">
      <c r="DI58" s="25"/>
      <c r="FN58"/>
    </row>
    <row r="59" spans="113:170" x14ac:dyDescent="0.2">
      <c r="DI59" s="25"/>
      <c r="FN59"/>
    </row>
    <row r="60" spans="113:170" x14ac:dyDescent="0.2">
      <c r="DI60" s="25"/>
      <c r="FN60"/>
    </row>
    <row r="61" spans="113:170" x14ac:dyDescent="0.2">
      <c r="DI61" s="25"/>
      <c r="FN61"/>
    </row>
    <row r="62" spans="113:170" x14ac:dyDescent="0.2">
      <c r="DI62" s="25"/>
      <c r="FN62"/>
    </row>
    <row r="63" spans="113:170" x14ac:dyDescent="0.2">
      <c r="DI63" s="25"/>
      <c r="FN63"/>
    </row>
    <row r="64" spans="113:170" x14ac:dyDescent="0.2">
      <c r="DI64" s="25"/>
      <c r="FN64"/>
    </row>
    <row r="65" spans="113:170" x14ac:dyDescent="0.2">
      <c r="DI65" s="25"/>
      <c r="FN65"/>
    </row>
    <row r="66" spans="113:170" x14ac:dyDescent="0.2">
      <c r="DI66" s="25"/>
      <c r="FN66"/>
    </row>
    <row r="67" spans="113:170" x14ac:dyDescent="0.2">
      <c r="DI67" s="25"/>
      <c r="FN67"/>
    </row>
    <row r="68" spans="113:170" x14ac:dyDescent="0.2">
      <c r="DI68" s="25"/>
      <c r="FN68"/>
    </row>
    <row r="69" spans="113:170" x14ac:dyDescent="0.2">
      <c r="DI69" s="25"/>
      <c r="FN69"/>
    </row>
    <row r="70" spans="113:170" x14ac:dyDescent="0.2">
      <c r="DI70" s="25"/>
      <c r="FN70"/>
    </row>
    <row r="71" spans="113:170" x14ac:dyDescent="0.2">
      <c r="DI71" s="25"/>
      <c r="FN71"/>
    </row>
    <row r="72" spans="113:170" x14ac:dyDescent="0.2">
      <c r="DI72" s="25"/>
      <c r="FN72"/>
    </row>
    <row r="73" spans="113:170" ht="15" customHeight="1" x14ac:dyDescent="0.2">
      <c r="DI73" s="25"/>
      <c r="FN73"/>
    </row>
    <row r="74" spans="113:170" x14ac:dyDescent="0.2">
      <c r="DI74" s="25"/>
      <c r="FN74"/>
    </row>
    <row r="75" spans="113:170" x14ac:dyDescent="0.2">
      <c r="DI75" s="25"/>
      <c r="FN75"/>
    </row>
    <row r="76" spans="113:170" x14ac:dyDescent="0.2">
      <c r="DI76" s="25"/>
      <c r="FN76"/>
    </row>
    <row r="77" spans="113:170" ht="14.25" customHeight="1" x14ac:dyDescent="0.2">
      <c r="DI77" s="25"/>
      <c r="FN77"/>
    </row>
    <row r="78" spans="113:170" x14ac:dyDescent="0.2">
      <c r="DI78" s="25"/>
      <c r="FN78"/>
    </row>
    <row r="79" spans="113:170" x14ac:dyDescent="0.2">
      <c r="DI79" s="25"/>
      <c r="FN79"/>
    </row>
    <row r="80" spans="113:170" x14ac:dyDescent="0.2">
      <c r="DI80" s="25"/>
      <c r="FN80"/>
    </row>
    <row r="81" spans="113:170" x14ac:dyDescent="0.2">
      <c r="DI81" s="25"/>
      <c r="FN81"/>
    </row>
    <row r="82" spans="113:170" x14ac:dyDescent="0.2">
      <c r="DI82" s="25"/>
      <c r="FN82"/>
    </row>
    <row r="83" spans="113:170" x14ac:dyDescent="0.2">
      <c r="DI83" s="25"/>
      <c r="FN83"/>
    </row>
    <row r="84" spans="113:170" x14ac:dyDescent="0.2">
      <c r="DI84" s="25"/>
      <c r="FN84"/>
    </row>
    <row r="85" spans="113:170" x14ac:dyDescent="0.2">
      <c r="DI85" s="25"/>
      <c r="FN85"/>
    </row>
    <row r="86" spans="113:170" x14ac:dyDescent="0.2">
      <c r="DI86" s="25"/>
      <c r="FN86"/>
    </row>
    <row r="87" spans="113:170" x14ac:dyDescent="0.2">
      <c r="DI87" s="25"/>
      <c r="FN87"/>
    </row>
    <row r="88" spans="113:170" x14ac:dyDescent="0.2">
      <c r="DI88" s="25"/>
      <c r="FN88"/>
    </row>
    <row r="89" spans="113:170" x14ac:dyDescent="0.2">
      <c r="DI89" s="25"/>
      <c r="FN89"/>
    </row>
    <row r="90" spans="113:170" x14ac:dyDescent="0.2">
      <c r="DI90" s="25"/>
      <c r="FN90"/>
    </row>
    <row r="91" spans="113:170" x14ac:dyDescent="0.2">
      <c r="DI91" s="25"/>
      <c r="FN91"/>
    </row>
    <row r="92" spans="113:170" x14ac:dyDescent="0.2">
      <c r="DI92" s="25"/>
      <c r="FN92"/>
    </row>
    <row r="93" spans="113:170" x14ac:dyDescent="0.2">
      <c r="DI93" s="25"/>
      <c r="FN93"/>
    </row>
    <row r="94" spans="113:170" x14ac:dyDescent="0.2">
      <c r="DI94" s="25"/>
      <c r="FN94"/>
    </row>
    <row r="95" spans="113:170" x14ac:dyDescent="0.2">
      <c r="DI95" s="25"/>
      <c r="FN95"/>
    </row>
    <row r="96" spans="113:170" x14ac:dyDescent="0.2">
      <c r="DI96" s="25"/>
      <c r="FN96"/>
    </row>
    <row r="97" spans="113:170" x14ac:dyDescent="0.2">
      <c r="DI97" s="25"/>
      <c r="FN97"/>
    </row>
    <row r="98" spans="113:170" x14ac:dyDescent="0.2">
      <c r="DI98" s="25"/>
      <c r="FN98"/>
    </row>
    <row r="99" spans="113:170" x14ac:dyDescent="0.2">
      <c r="DI99" s="25"/>
      <c r="FN99"/>
    </row>
    <row r="100" spans="113:170" ht="15" customHeight="1" x14ac:dyDescent="0.2">
      <c r="DI100" s="25"/>
      <c r="FN100"/>
    </row>
    <row r="101" spans="113:170" x14ac:dyDescent="0.2">
      <c r="DI101" s="25"/>
      <c r="FN101"/>
    </row>
    <row r="102" spans="113:170" x14ac:dyDescent="0.2">
      <c r="DI102" s="25"/>
      <c r="FN102"/>
    </row>
    <row r="103" spans="113:170" x14ac:dyDescent="0.2">
      <c r="DI103" s="25"/>
      <c r="FN103"/>
    </row>
    <row r="104" spans="113:170" ht="20.25" customHeight="1" x14ac:dyDescent="0.2">
      <c r="DI104" s="25"/>
      <c r="FN104"/>
    </row>
    <row r="105" spans="113:170" x14ac:dyDescent="0.2">
      <c r="DI105" s="25"/>
      <c r="FN105"/>
    </row>
    <row r="106" spans="113:170" x14ac:dyDescent="0.2">
      <c r="DI106" s="25"/>
      <c r="FN106"/>
    </row>
    <row r="107" spans="113:170" x14ac:dyDescent="0.2">
      <c r="DI107" s="25"/>
      <c r="FN107"/>
    </row>
    <row r="108" spans="113:170" x14ac:dyDescent="0.2">
      <c r="DI108" s="25"/>
      <c r="FN108"/>
    </row>
    <row r="109" spans="113:170" x14ac:dyDescent="0.2">
      <c r="DI109" s="25"/>
      <c r="FN109"/>
    </row>
    <row r="110" spans="113:170" x14ac:dyDescent="0.2">
      <c r="DI110" s="25"/>
      <c r="FN110"/>
    </row>
    <row r="111" spans="113:170" x14ac:dyDescent="0.2">
      <c r="DI111" s="25"/>
      <c r="FN111"/>
    </row>
    <row r="112" spans="113:170" x14ac:dyDescent="0.2">
      <c r="DI112" s="25"/>
      <c r="FN112"/>
    </row>
    <row r="113" spans="113:170" x14ac:dyDescent="0.2">
      <c r="DI113" s="25"/>
      <c r="FN113"/>
    </row>
    <row r="114" spans="113:170" x14ac:dyDescent="0.2">
      <c r="DI114" s="25"/>
      <c r="FN114"/>
    </row>
    <row r="115" spans="113:170" x14ac:dyDescent="0.2">
      <c r="DI115" s="25"/>
      <c r="FN115"/>
    </row>
    <row r="116" spans="113:170" x14ac:dyDescent="0.2">
      <c r="DI116" s="25"/>
      <c r="FN116"/>
    </row>
    <row r="117" spans="113:170" x14ac:dyDescent="0.2">
      <c r="DI117" s="25"/>
      <c r="FN117"/>
    </row>
    <row r="118" spans="113:170" x14ac:dyDescent="0.2">
      <c r="DI118" s="25"/>
      <c r="FN118"/>
    </row>
    <row r="119" spans="113:170" x14ac:dyDescent="0.2">
      <c r="DI119" s="25"/>
      <c r="FN119"/>
    </row>
    <row r="120" spans="113:170" x14ac:dyDescent="0.2">
      <c r="DI120" s="25"/>
      <c r="FN120"/>
    </row>
    <row r="121" spans="113:170" x14ac:dyDescent="0.2">
      <c r="DI121" s="25"/>
      <c r="FN121"/>
    </row>
    <row r="122" spans="113:170" x14ac:dyDescent="0.2">
      <c r="DI122" s="25"/>
      <c r="FN122"/>
    </row>
    <row r="123" spans="113:170" x14ac:dyDescent="0.2">
      <c r="DI123" s="25"/>
      <c r="FN123"/>
    </row>
    <row r="124" spans="113:170" x14ac:dyDescent="0.2">
      <c r="DI124" s="25"/>
      <c r="FN124"/>
    </row>
    <row r="125" spans="113:170" x14ac:dyDescent="0.2">
      <c r="DI125" s="25"/>
      <c r="FN125"/>
    </row>
    <row r="126" spans="113:170" x14ac:dyDescent="0.2">
      <c r="DI126" s="25"/>
      <c r="FN126"/>
    </row>
    <row r="127" spans="113:170" x14ac:dyDescent="0.2">
      <c r="DI127" s="25"/>
      <c r="FN127"/>
    </row>
    <row r="128" spans="113:170" x14ac:dyDescent="0.2">
      <c r="DI128" s="25"/>
      <c r="FN128"/>
    </row>
    <row r="129" spans="113:170" x14ac:dyDescent="0.2">
      <c r="DI129" s="25"/>
      <c r="FN129"/>
    </row>
    <row r="130" spans="113:170" ht="15" customHeight="1" x14ac:dyDescent="0.2">
      <c r="DI130" s="25"/>
      <c r="FN130"/>
    </row>
    <row r="131" spans="113:170" x14ac:dyDescent="0.2">
      <c r="DI131" s="25"/>
      <c r="FN131"/>
    </row>
    <row r="132" spans="113:170" x14ac:dyDescent="0.2">
      <c r="DI132" s="25"/>
      <c r="FN132"/>
    </row>
    <row r="133" spans="113:170" x14ac:dyDescent="0.2">
      <c r="DI133" s="25"/>
      <c r="FN133"/>
    </row>
    <row r="134" spans="113:170" x14ac:dyDescent="0.2">
      <c r="DI134" s="25"/>
      <c r="FN134"/>
    </row>
    <row r="135" spans="113:170" x14ac:dyDescent="0.2">
      <c r="DI135" s="25"/>
      <c r="FN135"/>
    </row>
    <row r="136" spans="113:170" x14ac:dyDescent="0.2">
      <c r="DI136" s="25"/>
      <c r="FN136"/>
    </row>
    <row r="137" spans="113:170" x14ac:dyDescent="0.2">
      <c r="DI137" s="25"/>
      <c r="FN137"/>
    </row>
    <row r="138" spans="113:170" x14ac:dyDescent="0.2">
      <c r="DI138" s="25"/>
      <c r="FN138"/>
    </row>
    <row r="139" spans="113:170" x14ac:dyDescent="0.2">
      <c r="DI139" s="25"/>
      <c r="FN139"/>
    </row>
    <row r="140" spans="113:170" x14ac:dyDescent="0.2">
      <c r="DI140" s="25"/>
      <c r="FN140"/>
    </row>
    <row r="141" spans="113:170" x14ac:dyDescent="0.2">
      <c r="DI141" s="25"/>
      <c r="FN141"/>
    </row>
    <row r="142" spans="113:170" x14ac:dyDescent="0.2">
      <c r="DI142" s="25"/>
      <c r="FN142"/>
    </row>
    <row r="143" spans="113:170" x14ac:dyDescent="0.2">
      <c r="DI143" s="25"/>
      <c r="FN143"/>
    </row>
    <row r="144" spans="113:170" x14ac:dyDescent="0.2">
      <c r="DI144" s="25"/>
      <c r="FN144"/>
    </row>
    <row r="145" spans="3:170" x14ac:dyDescent="0.2">
      <c r="DI145" s="25"/>
      <c r="FN145"/>
    </row>
    <row r="146" spans="3:170" x14ac:dyDescent="0.2">
      <c r="DI146" s="25"/>
      <c r="FN146"/>
    </row>
    <row r="147" spans="3:170" x14ac:dyDescent="0.2">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DI147" s="25"/>
      <c r="FN147"/>
    </row>
    <row r="148" spans="3:170" x14ac:dyDescent="0.2">
      <c r="DI148" s="25"/>
      <c r="FN148"/>
    </row>
    <row r="149" spans="3:170" x14ac:dyDescent="0.2">
      <c r="DI149" s="25"/>
      <c r="FN149"/>
    </row>
    <row r="150" spans="3:170" x14ac:dyDescent="0.2">
      <c r="DI150" s="25"/>
      <c r="FN150"/>
    </row>
    <row r="151" spans="3:170" x14ac:dyDescent="0.2">
      <c r="DI151" s="25"/>
      <c r="FN151"/>
    </row>
    <row r="152" spans="3:170" s="36" customFormat="1" ht="26.25" customHeight="1" x14ac:dyDescent="0.2">
      <c r="C152"/>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row>
    <row r="153" spans="3:170" ht="14.25" customHeight="1" x14ac:dyDescent="0.2">
      <c r="DI153" s="25"/>
      <c r="FN153"/>
    </row>
    <row r="154" spans="3:170" x14ac:dyDescent="0.2">
      <c r="DI154" s="25"/>
      <c r="FN154"/>
    </row>
    <row r="155" spans="3:170" x14ac:dyDescent="0.2">
      <c r="DI155" s="25"/>
      <c r="FN155"/>
    </row>
    <row r="156" spans="3:170" x14ac:dyDescent="0.2">
      <c r="DI156" s="25"/>
      <c r="FN156"/>
    </row>
    <row r="157" spans="3:170" x14ac:dyDescent="0.2">
      <c r="DI157" s="25"/>
      <c r="FN157"/>
    </row>
    <row r="158" spans="3:170" x14ac:dyDescent="0.2">
      <c r="DI158" s="25"/>
      <c r="FN158"/>
    </row>
    <row r="159" spans="3:170" x14ac:dyDescent="0.2">
      <c r="DI159" s="25"/>
      <c r="FN159"/>
    </row>
    <row r="160" spans="3:170" ht="14.25" customHeight="1" x14ac:dyDescent="0.2">
      <c r="DI160" s="25"/>
      <c r="FN160"/>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X24" evalError="1"/>
  </ignoredErrors>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45">
    <pageSetUpPr autoPageBreaks="0"/>
  </sheetPr>
  <dimension ref="A1:BB1741"/>
  <sheetViews>
    <sheetView showGridLines="0" zoomScaleNormal="100" workbookViewId="0">
      <pane xSplit="4" ySplit="4" topLeftCell="AW5" activePane="bottomRight" state="frozen"/>
      <selection activeCell="AY7" sqref="AY7"/>
      <selection pane="topRight" activeCell="AY7" sqref="AY7"/>
      <selection pane="bottomLeft" activeCell="AY7" sqref="AY7"/>
      <selection pane="bottomRight" activeCell="AZ22" sqref="AZ22:BB22"/>
    </sheetView>
  </sheetViews>
  <sheetFormatPr defaultColWidth="9.140625" defaultRowHeight="14.25" outlineLevelRow="1" x14ac:dyDescent="0.2"/>
  <cols>
    <col min="1" max="2" width="9.140625" style="25" hidden="1" customWidth="1"/>
    <col min="3" max="3" width="1.140625" style="25" customWidth="1"/>
    <col min="4" max="4" width="37.85546875" style="25" customWidth="1"/>
    <col min="5" max="53" width="10.85546875" style="25" customWidth="1"/>
    <col min="54" max="16384" width="9.140625" style="25"/>
  </cols>
  <sheetData>
    <row r="1" spans="1:54" s="552" customFormat="1" ht="7.5" customHeight="1" x14ac:dyDescent="0.2">
      <c r="E1" s="552" t="s">
        <v>45</v>
      </c>
      <c r="F1" s="552" t="str">
        <f>IF(LEFT(E1,1)="4","1T"&amp;RIGHT(E1,2)+1,LEFT(E1,1)+1&amp;RIGHT(E1,3))</f>
        <v>2T14</v>
      </c>
      <c r="G1" s="552" t="str">
        <f t="shared" ref="G1:V1" si="0">IF(LEFT(F1,1)="4","1T"&amp;RIGHT(F1,2)+1,LEFT(F1,1)+1&amp;RIGHT(F1,3))</f>
        <v>3T14</v>
      </c>
      <c r="H1" s="552" t="str">
        <f t="shared" si="0"/>
        <v>4T14</v>
      </c>
      <c r="I1" s="552" t="str">
        <f t="shared" si="0"/>
        <v>1T15</v>
      </c>
      <c r="J1" s="552" t="str">
        <f t="shared" si="0"/>
        <v>2T15</v>
      </c>
      <c r="K1" s="552" t="str">
        <f t="shared" si="0"/>
        <v>3T15</v>
      </c>
      <c r="L1" s="552" t="str">
        <f t="shared" si="0"/>
        <v>4T15</v>
      </c>
      <c r="M1" s="552" t="str">
        <f t="shared" si="0"/>
        <v>1T16</v>
      </c>
      <c r="N1" s="552" t="str">
        <f t="shared" si="0"/>
        <v>2T16</v>
      </c>
      <c r="O1" s="552" t="str">
        <f t="shared" si="0"/>
        <v>3T16</v>
      </c>
      <c r="P1" s="552" t="str">
        <f t="shared" si="0"/>
        <v>4T16</v>
      </c>
      <c r="Q1" s="552" t="str">
        <f t="shared" si="0"/>
        <v>1T17</v>
      </c>
      <c r="R1" s="552" t="str">
        <f t="shared" si="0"/>
        <v>2T17</v>
      </c>
      <c r="S1" s="552" t="str">
        <f t="shared" si="0"/>
        <v>3T17</v>
      </c>
      <c r="T1" s="552" t="str">
        <f t="shared" si="0"/>
        <v>4T17</v>
      </c>
      <c r="U1" s="552" t="str">
        <f t="shared" si="0"/>
        <v>1T18</v>
      </c>
      <c r="V1" s="552" t="str">
        <f t="shared" si="0"/>
        <v>2T18</v>
      </c>
      <c r="W1" s="552" t="str">
        <f>IF(LEFT(V1,1)="4","1T"&amp;RIGHT(V1,2)+1,LEFT(V1,1)+1&amp;RIGHT(V1,3))</f>
        <v>3T18</v>
      </c>
      <c r="X1" s="552" t="str">
        <f>IF(LEFT(W1,1)="4","1T"&amp;RIGHT(W1,2)+1,LEFT(W1,1)+1&amp;RIGHT(W1,3))</f>
        <v>4T18</v>
      </c>
      <c r="Y1" s="552" t="str">
        <f>IF(LEFT(X1,1)="4","1T"&amp;RIGHT(X1,2)+1,LEFT(X1,1)+1&amp;RIGHT(X1,3))</f>
        <v>1T19</v>
      </c>
      <c r="Z1" s="552" t="str">
        <f>IF(LEFT(Y1,1)="4","1T"&amp;RIGHT(Y1,2)+1,LEFT(Y1,1)+1&amp;RIGHT(Y1,3))</f>
        <v>2T19</v>
      </c>
      <c r="AA1" s="552" t="str">
        <f>IF(LEFT(Z1,1)="4","1T"&amp;RIGHT(Z1,2)+1,LEFT(Z1,1)+1&amp;RIGHT(Z1,3))</f>
        <v>3T19</v>
      </c>
      <c r="AB1" s="552" t="s">
        <v>1411</v>
      </c>
      <c r="AC1" s="552" t="str">
        <f t="shared" ref="AC1:AJ1" si="1">IF(LEFT(AB1,1)="4","1T"&amp;RIGHT(AB1,2)+1,LEFT(AB1,1)+1&amp;RIGHT(AB1,3))</f>
        <v>1T20</v>
      </c>
      <c r="AD1" s="552" t="str">
        <f t="shared" si="1"/>
        <v>2T20</v>
      </c>
      <c r="AE1" s="552" t="str">
        <f t="shared" si="1"/>
        <v>3T20</v>
      </c>
      <c r="AF1" s="552" t="str">
        <f t="shared" si="1"/>
        <v>4T20</v>
      </c>
      <c r="AG1" s="552" t="str">
        <f t="shared" si="1"/>
        <v>1T21</v>
      </c>
      <c r="AH1" s="552" t="str">
        <f t="shared" si="1"/>
        <v>2T21</v>
      </c>
      <c r="AI1" s="552" t="str">
        <f t="shared" si="1"/>
        <v>3T21</v>
      </c>
      <c r="AJ1" s="552" t="str">
        <f t="shared" si="1"/>
        <v>4T21</v>
      </c>
      <c r="AK1" s="552" t="str">
        <f t="shared" ref="AK1:AS1" si="2">IF(LEFT(AJ1,1)="4","1T"&amp;RIGHT(AJ1,2)+1,LEFT(AJ1,1)+1&amp;RIGHT(AJ1,3))</f>
        <v>1T22</v>
      </c>
      <c r="AL1" s="552" t="str">
        <f t="shared" si="2"/>
        <v>2T22</v>
      </c>
      <c r="AM1" s="552" t="str">
        <f t="shared" si="2"/>
        <v>3T22</v>
      </c>
      <c r="AN1" s="552" t="str">
        <f t="shared" si="2"/>
        <v>4T22</v>
      </c>
      <c r="AO1" s="552" t="str">
        <f t="shared" si="2"/>
        <v>1T23</v>
      </c>
      <c r="AP1" s="552" t="str">
        <f t="shared" si="2"/>
        <v>2T23</v>
      </c>
      <c r="AQ1" s="552" t="str">
        <f t="shared" si="2"/>
        <v>3T23</v>
      </c>
      <c r="AR1" s="552" t="str">
        <f t="shared" si="2"/>
        <v>4T23</v>
      </c>
      <c r="AS1" s="552" t="str">
        <f t="shared" si="2"/>
        <v>1T24</v>
      </c>
      <c r="AT1" s="552" t="str">
        <f t="shared" ref="AT1:BB1" si="3">IF(LEFT(AS1,1)="4","1T"&amp;RIGHT(AS1,2)+1,LEFT(AS1,1)+1&amp;RIGHT(AS1,3))</f>
        <v>2T24</v>
      </c>
      <c r="AU1" s="552" t="str">
        <f t="shared" si="3"/>
        <v>3T24</v>
      </c>
      <c r="AV1" s="552" t="str">
        <f t="shared" si="3"/>
        <v>4T24</v>
      </c>
      <c r="AW1" s="552" t="str">
        <f t="shared" si="3"/>
        <v>1T25</v>
      </c>
      <c r="AX1" s="552" t="str">
        <f t="shared" si="3"/>
        <v>2T25</v>
      </c>
      <c r="AY1" s="552" t="str">
        <f t="shared" si="3"/>
        <v>3T25</v>
      </c>
      <c r="AZ1" s="552" t="str">
        <f t="shared" si="3"/>
        <v>4T25</v>
      </c>
      <c r="BA1" s="552" t="str">
        <f t="shared" si="3"/>
        <v>1T26</v>
      </c>
      <c r="BB1" s="552" t="str">
        <f t="shared" si="3"/>
        <v>2T26</v>
      </c>
    </row>
    <row r="2" spans="1:54" s="552" customFormat="1" ht="12.75" customHeight="1" x14ac:dyDescent="0.25">
      <c r="E2" s="552" t="s">
        <v>946</v>
      </c>
      <c r="F2" s="557" t="str">
        <f t="shared" ref="F2:S2" si="4">SUBSTITUTE(F1,"T","Q")</f>
        <v>2Q14</v>
      </c>
      <c r="G2" s="552" t="str">
        <f t="shared" si="4"/>
        <v>3Q14</v>
      </c>
      <c r="H2" s="552" t="str">
        <f t="shared" si="4"/>
        <v>4Q14</v>
      </c>
      <c r="I2" s="552" t="str">
        <f t="shared" si="4"/>
        <v>1Q15</v>
      </c>
      <c r="J2" s="552" t="str">
        <f t="shared" si="4"/>
        <v>2Q15</v>
      </c>
      <c r="K2" s="552" t="str">
        <f t="shared" si="4"/>
        <v>3Q15</v>
      </c>
      <c r="L2" s="552" t="str">
        <f t="shared" si="4"/>
        <v>4Q15</v>
      </c>
      <c r="M2" s="552" t="str">
        <f t="shared" si="4"/>
        <v>1Q16</v>
      </c>
      <c r="N2" s="552" t="str">
        <f t="shared" si="4"/>
        <v>2Q16</v>
      </c>
      <c r="O2" s="552" t="str">
        <f t="shared" si="4"/>
        <v>3Q16</v>
      </c>
      <c r="P2" s="552" t="str">
        <f t="shared" si="4"/>
        <v>4Q16</v>
      </c>
      <c r="Q2" s="552" t="str">
        <f t="shared" si="4"/>
        <v>1Q17</v>
      </c>
      <c r="R2" s="552" t="str">
        <f t="shared" si="4"/>
        <v>2Q17</v>
      </c>
      <c r="S2" s="552" t="str">
        <f t="shared" si="4"/>
        <v>3Q17</v>
      </c>
      <c r="T2" s="552" t="str">
        <f t="shared" ref="T2:Y2" si="5">SUBSTITUTE(T1,"T","Q")</f>
        <v>4Q17</v>
      </c>
      <c r="U2" s="552" t="str">
        <f t="shared" si="5"/>
        <v>1Q18</v>
      </c>
      <c r="V2" s="552" t="str">
        <f t="shared" si="5"/>
        <v>2Q18</v>
      </c>
      <c r="W2" s="552" t="str">
        <f t="shared" si="5"/>
        <v>3Q18</v>
      </c>
      <c r="X2" s="552" t="str">
        <f t="shared" si="5"/>
        <v>4Q18</v>
      </c>
      <c r="Y2" s="552" t="str">
        <f t="shared" si="5"/>
        <v>1Q19</v>
      </c>
      <c r="Z2" s="552" t="str">
        <f>SUBSTITUTE(Z1,"T","Q")</f>
        <v>2Q19</v>
      </c>
      <c r="AA2" s="552" t="str">
        <f>SUBSTITUTE(AA1,"T","Q")</f>
        <v>3Q19</v>
      </c>
      <c r="AB2" s="552" t="s">
        <v>1514</v>
      </c>
      <c r="AC2" s="552" t="str">
        <f t="shared" ref="AC2:AL2" si="6">SUBSTITUTE(AC1,"T","Q")</f>
        <v>1Q20</v>
      </c>
      <c r="AD2" s="552" t="str">
        <f t="shared" si="6"/>
        <v>2Q20</v>
      </c>
      <c r="AE2" s="552" t="str">
        <f t="shared" si="6"/>
        <v>3Q20</v>
      </c>
      <c r="AF2" s="552" t="str">
        <f t="shared" si="6"/>
        <v>4Q20</v>
      </c>
      <c r="AG2" s="552" t="str">
        <f t="shared" si="6"/>
        <v>1Q21</v>
      </c>
      <c r="AH2" s="552" t="str">
        <f t="shared" si="6"/>
        <v>2Q21</v>
      </c>
      <c r="AI2" s="552" t="str">
        <f t="shared" si="6"/>
        <v>3Q21</v>
      </c>
      <c r="AJ2" s="552" t="str">
        <f t="shared" si="6"/>
        <v>4Q21</v>
      </c>
      <c r="AK2" s="552" t="str">
        <f t="shared" si="6"/>
        <v>1Q22</v>
      </c>
      <c r="AL2" s="552" t="str">
        <f t="shared" si="6"/>
        <v>2Q22</v>
      </c>
      <c r="AM2" s="552" t="str">
        <f t="shared" ref="AM2:AS2" si="7">SUBSTITUTE(AM1,"T","Q")</f>
        <v>3Q22</v>
      </c>
      <c r="AN2" s="552" t="str">
        <f t="shared" si="7"/>
        <v>4Q22</v>
      </c>
      <c r="AO2" s="552" t="str">
        <f t="shared" si="7"/>
        <v>1Q23</v>
      </c>
      <c r="AP2" s="552" t="str">
        <f t="shared" si="7"/>
        <v>2Q23</v>
      </c>
      <c r="AQ2" s="552" t="str">
        <f t="shared" si="7"/>
        <v>3Q23</v>
      </c>
      <c r="AR2" s="552" t="str">
        <f t="shared" si="7"/>
        <v>4Q23</v>
      </c>
      <c r="AS2" s="552" t="str">
        <f t="shared" si="7"/>
        <v>1Q24</v>
      </c>
      <c r="AT2" s="552" t="str">
        <f t="shared" ref="AT2:BB2" si="8">SUBSTITUTE(AT1,"T","Q")</f>
        <v>2Q24</v>
      </c>
      <c r="AU2" s="552" t="str">
        <f t="shared" si="8"/>
        <v>3Q24</v>
      </c>
      <c r="AV2" s="552" t="str">
        <f t="shared" si="8"/>
        <v>4Q24</v>
      </c>
      <c r="AW2" s="552" t="str">
        <f t="shared" si="8"/>
        <v>1Q25</v>
      </c>
      <c r="AX2" s="552" t="str">
        <f t="shared" si="8"/>
        <v>2Q25</v>
      </c>
      <c r="AY2" s="552" t="str">
        <f t="shared" si="8"/>
        <v>3Q25</v>
      </c>
      <c r="AZ2" s="552" t="str">
        <f t="shared" si="8"/>
        <v>4Q25</v>
      </c>
      <c r="BA2" s="552" t="str">
        <f>SUBSTITUTE(BA1,"T","Q")</f>
        <v>1Q26</v>
      </c>
      <c r="BB2" s="552" t="str">
        <f t="shared" si="8"/>
        <v>2Q26</v>
      </c>
    </row>
    <row r="3" spans="1:54" ht="12.75" customHeight="1" x14ac:dyDescent="0.2">
      <c r="X3" s="552"/>
      <c r="Y3" s="552"/>
      <c r="Z3" s="552"/>
      <c r="AA3" s="552"/>
      <c r="AB3" s="552"/>
      <c r="AC3" s="552"/>
      <c r="AD3" s="552"/>
      <c r="AE3" s="552"/>
      <c r="AF3" s="552"/>
      <c r="AG3" s="552"/>
      <c r="AH3" s="552"/>
      <c r="AI3" s="552"/>
      <c r="AJ3" s="552"/>
      <c r="AK3" s="552"/>
      <c r="AL3" s="552"/>
      <c r="AM3" s="552"/>
      <c r="AN3" s="552"/>
      <c r="AO3" s="552"/>
      <c r="AP3" s="552"/>
      <c r="AQ3" s="552"/>
      <c r="AR3" s="552"/>
      <c r="AS3" s="352"/>
      <c r="AT3" s="352"/>
      <c r="AU3" s="352"/>
      <c r="AV3" s="352"/>
      <c r="AW3" s="352"/>
      <c r="AX3" s="352"/>
      <c r="AY3" s="352"/>
      <c r="AZ3" s="352"/>
      <c r="BA3" s="352"/>
      <c r="BB3" s="352"/>
    </row>
    <row r="4" spans="1:54" ht="12.75" customHeight="1" x14ac:dyDescent="0.2">
      <c r="D4" s="1253" t="str">
        <f>IF([1]RENAME!$H$3=1,"&lt;== with Direct Express","&lt;== Com Direct Express")</f>
        <v>&lt;== Com Direct Express</v>
      </c>
      <c r="E4" s="1254"/>
      <c r="F4" s="224" t="str">
        <f>IF([1]RENAME!$H$3=1,"without Direct Express ==&gt;","Sem Direct Express ==&gt;")</f>
        <v>Sem Direct Express ==&gt;</v>
      </c>
      <c r="G4"/>
    </row>
    <row r="5" spans="1:54" x14ac:dyDescent="0.2">
      <c r="A5" s="25" t="s">
        <v>96</v>
      </c>
      <c r="B5" s="25" t="s">
        <v>866</v>
      </c>
      <c r="D5" s="115" t="str">
        <f>IF([1]RENAME!$H$3=1,B5,A5)</f>
        <v>Consolidado</v>
      </c>
      <c r="E5" s="115" t="str">
        <f>IF([1]RENAME!$H$3=1,E2,E1)</f>
        <v>1T14</v>
      </c>
      <c r="F5" s="222" t="str">
        <f>IF([1]RENAME!$H$3=1,F2,F1)</f>
        <v>2T14</v>
      </c>
      <c r="G5" s="115" t="str">
        <f>IF([1]RENAME!$H$3=1,G2,G1)</f>
        <v>3T14</v>
      </c>
      <c r="H5" s="115" t="str">
        <f>IF([1]RENAME!$H$3=1,H2,H1)</f>
        <v>4T14</v>
      </c>
      <c r="I5" s="115" t="str">
        <f>IF([1]RENAME!$H$3=1,I2,I1)</f>
        <v>1T15</v>
      </c>
      <c r="J5" s="115" t="str">
        <f>IF([1]RENAME!$H$3=1,J2,J1)</f>
        <v>2T15</v>
      </c>
      <c r="K5" s="115" t="str">
        <f>IF([1]RENAME!$H$3=1,K2,K1)</f>
        <v>3T15</v>
      </c>
      <c r="L5" s="115" t="str">
        <f>IF([1]RENAME!$H$3=1,L2,L1)</f>
        <v>4T15</v>
      </c>
      <c r="M5" s="115" t="str">
        <f>IF([1]RENAME!$H$3=1,M2,M1)</f>
        <v>1T16</v>
      </c>
      <c r="N5" s="115" t="str">
        <f>IF([1]RENAME!$H$3=1,N2,N1)</f>
        <v>2T16</v>
      </c>
      <c r="O5" s="115" t="str">
        <f>IF([1]RENAME!$H$3=1,O2,O1)</f>
        <v>3T16</v>
      </c>
      <c r="P5" s="115" t="str">
        <f>IF([1]RENAME!$H$3=1,P2,P1)</f>
        <v>4T16</v>
      </c>
      <c r="Q5" s="115" t="str">
        <f>IF([1]RENAME!$H$3=1,Q2,Q1)</f>
        <v>1T17</v>
      </c>
      <c r="R5" s="115" t="str">
        <f>IF([1]RENAME!$H$3=1,R2,R1)</f>
        <v>2T17</v>
      </c>
      <c r="S5" s="115" t="str">
        <f>IF([1]RENAME!$H$3=1,S2,S1)</f>
        <v>3T17</v>
      </c>
      <c r="T5" s="115" t="str">
        <f>IF([1]RENAME!$H$3=1,T2,T1)</f>
        <v>4T17</v>
      </c>
      <c r="U5" s="115" t="str">
        <f>IF([1]RENAME!$H$3=1,U2,U1)</f>
        <v>1T18</v>
      </c>
      <c r="V5" s="115" t="str">
        <f>IF([1]RENAME!$H$3=1,V2,V1)</f>
        <v>2T18</v>
      </c>
      <c r="W5" s="115" t="str">
        <f>IF([1]RENAME!$H$3=1,W2,W1)</f>
        <v>3T18</v>
      </c>
      <c r="X5" s="115" t="str">
        <f>IF([1]RENAME!$H$3=1,X2,X1)</f>
        <v>4T18</v>
      </c>
      <c r="Y5" s="115" t="str">
        <f>IF([1]RENAME!$H$3=1,Y2,Y1)</f>
        <v>1T19</v>
      </c>
      <c r="Z5" s="115" t="str">
        <f>IF([1]RENAME!$H$3=1,Z2,Z1)</f>
        <v>2T19</v>
      </c>
      <c r="AA5" s="115" t="str">
        <f>IF([1]RENAME!$H$3=1,AA2,AA1)</f>
        <v>3T19</v>
      </c>
      <c r="AB5" s="115" t="str">
        <f>IF([1]RENAME!$H$3=1,AB2,AB1)</f>
        <v>4T19</v>
      </c>
      <c r="AC5" s="115" t="str">
        <f>IF([1]RENAME!$H$3=1,AC2,AC1)</f>
        <v>1T20</v>
      </c>
      <c r="AD5" s="115" t="str">
        <f>IF([1]RENAME!$H$3=1,AD2,AD1)</f>
        <v>2T20</v>
      </c>
      <c r="AE5" s="115" t="str">
        <f>IF([1]RENAME!$H$3=1,AE2,AE1)</f>
        <v>3T20</v>
      </c>
      <c r="AF5" s="115" t="str">
        <f>IF([1]RENAME!$H$3=1,AF2,AF1)</f>
        <v>4T20</v>
      </c>
      <c r="AG5" s="115" t="str">
        <f>IF([1]RENAME!$H$3=1,AG2,AG1)</f>
        <v>1T21</v>
      </c>
      <c r="AH5" s="115" t="str">
        <f>IF([1]RENAME!$H$3=1,AH2,AH1)</f>
        <v>2T21</v>
      </c>
      <c r="AI5" s="115" t="str">
        <f>IF([1]RENAME!$H$3=1,AI2,AI1)</f>
        <v>3T21</v>
      </c>
      <c r="AJ5" s="115" t="str">
        <f>IF([1]RENAME!$H$3=1,AJ2,AJ1)</f>
        <v>4T21</v>
      </c>
      <c r="AK5" s="115" t="str">
        <f>IF([1]RENAME!$H$3=1,AK2,AK1)</f>
        <v>1T22</v>
      </c>
      <c r="AL5" s="115" t="str">
        <f>IF([1]RENAME!$H$3=1,AL2,AL1)</f>
        <v>2T22</v>
      </c>
      <c r="AM5" s="115" t="str">
        <f>IF([1]RENAME!$H$3=1,AM2,AM1)</f>
        <v>3T22</v>
      </c>
      <c r="AN5" s="115" t="str">
        <f>IF([1]RENAME!$H$3=1,AN2,AN1)</f>
        <v>4T22</v>
      </c>
      <c r="AO5" s="115" t="str">
        <f>IF([1]RENAME!$H$3=1,AO2,AO1)</f>
        <v>1T23</v>
      </c>
      <c r="AP5" s="115" t="str">
        <f>IF([1]RENAME!$H$3=1,AP2,AP1)</f>
        <v>2T23</v>
      </c>
      <c r="AQ5" s="115" t="str">
        <f>IF([1]RENAME!$H$3=1,AQ2,AQ1)</f>
        <v>3T23</v>
      </c>
      <c r="AR5" s="115" t="str">
        <f>IF([1]RENAME!$H$3=1,AR2,AR1)</f>
        <v>4T23</v>
      </c>
      <c r="AS5" s="115" t="str">
        <f>IF([1]RENAME!$H$3=1,AS2,AS1)</f>
        <v>1T24</v>
      </c>
      <c r="AT5" s="115" t="str">
        <f>IF([1]RENAME!$H$3=1,AT2,AT1)</f>
        <v>2T24</v>
      </c>
      <c r="AU5" s="115" t="str">
        <f>IF([1]RENAME!$H$3=1,AU2,AU1)</f>
        <v>3T24</v>
      </c>
      <c r="AV5" s="115" t="str">
        <f>IF([1]RENAME!$H$3=1,AV2,AV1)</f>
        <v>4T24</v>
      </c>
      <c r="AW5" s="115" t="str">
        <f>IF([1]RENAME!$H$3=1,AW2,AW1)</f>
        <v>1T25</v>
      </c>
      <c r="AX5" s="115" t="str">
        <f>IF([1]RENAME!$H$3=1,AX2,AX1)</f>
        <v>2T25</v>
      </c>
      <c r="AY5" s="115" t="str">
        <f>IF([1]RENAME!$H$3=1,AY2,AY1)</f>
        <v>3T25</v>
      </c>
      <c r="AZ5" s="115" t="str">
        <f>IF([1]RENAME!$H$3=1,AZ2,AZ1)</f>
        <v>4T25</v>
      </c>
      <c r="BA5" s="247" t="str">
        <f>IF([1]RENAME!$H$3=1,BA2,BA1)</f>
        <v>1T26</v>
      </c>
      <c r="BB5" s="115" t="str">
        <f>IF([1]RENAME!$H$3=1,BB2,BB1)</f>
        <v>2T26</v>
      </c>
    </row>
    <row r="6" spans="1:54" x14ac:dyDescent="0.2">
      <c r="A6" s="25" t="s">
        <v>401</v>
      </c>
      <c r="B6" s="25" t="s">
        <v>1006</v>
      </c>
      <c r="D6" s="129" t="str">
        <f>IF([1]RENAME!$H$3=1,B6,A6)</f>
        <v>Movimentação de veículos e cargas</v>
      </c>
      <c r="E6" s="118">
        <v>1040</v>
      </c>
      <c r="F6" s="160">
        <v>535</v>
      </c>
      <c r="G6" s="118">
        <v>1237</v>
      </c>
      <c r="H6" s="118">
        <v>1292</v>
      </c>
      <c r="I6" s="118">
        <v>1707</v>
      </c>
      <c r="J6" s="118">
        <v>1166</v>
      </c>
      <c r="K6" s="118">
        <v>1196</v>
      </c>
      <c r="L6" s="118">
        <v>821</v>
      </c>
      <c r="M6" s="118">
        <v>1538</v>
      </c>
      <c r="N6" s="118">
        <v>1899</v>
      </c>
      <c r="O6" s="118">
        <v>1654</v>
      </c>
      <c r="P6" s="118">
        <v>1536</v>
      </c>
      <c r="Q6" s="118">
        <v>2002</v>
      </c>
      <c r="R6" s="118">
        <v>1228</v>
      </c>
      <c r="S6" s="118">
        <v>2426</v>
      </c>
      <c r="T6" s="118">
        <v>2095</v>
      </c>
      <c r="U6" s="118">
        <v>1986</v>
      </c>
      <c r="V6" s="118">
        <v>2985</v>
      </c>
      <c r="W6" s="118">
        <v>1285</v>
      </c>
      <c r="X6" s="118">
        <v>2043</v>
      </c>
      <c r="Y6" s="118">
        <v>2768</v>
      </c>
      <c r="Z6" s="118">
        <v>2681</v>
      </c>
      <c r="AA6" s="118">
        <v>2498</v>
      </c>
      <c r="AB6" s="118">
        <v>2500</v>
      </c>
      <c r="AC6" s="118">
        <v>1031</v>
      </c>
      <c r="AD6" s="118">
        <v>550</v>
      </c>
      <c r="AE6" s="118">
        <v>963</v>
      </c>
      <c r="AF6" s="118">
        <v>1268</v>
      </c>
      <c r="AG6" s="118">
        <v>1311</v>
      </c>
      <c r="AH6" s="118">
        <v>1187</v>
      </c>
      <c r="AI6" s="118">
        <v>1023</v>
      </c>
      <c r="AJ6" s="118">
        <v>1645</v>
      </c>
      <c r="AK6" s="118">
        <v>1527</v>
      </c>
      <c r="AL6" s="118">
        <v>1623</v>
      </c>
      <c r="AM6" s="118">
        <v>1933</v>
      </c>
      <c r="AN6" s="118">
        <v>2180</v>
      </c>
      <c r="AO6" s="118">
        <v>2238</v>
      </c>
      <c r="AP6" s="118">
        <v>1745</v>
      </c>
      <c r="AQ6" s="118">
        <v>2457</v>
      </c>
      <c r="AR6" s="118">
        <v>2315</v>
      </c>
      <c r="AS6" s="118">
        <v>2068</v>
      </c>
      <c r="AT6" s="118">
        <v>2111</v>
      </c>
      <c r="AU6" s="118">
        <v>2711</v>
      </c>
      <c r="AV6" s="118">
        <v>2702</v>
      </c>
      <c r="AW6" s="118">
        <v>2119</v>
      </c>
      <c r="AX6" s="118">
        <v>2501</v>
      </c>
      <c r="AY6" s="118">
        <v>3013</v>
      </c>
      <c r="AZ6" s="118">
        <v>2394</v>
      </c>
      <c r="BA6" s="118">
        <v>3599</v>
      </c>
      <c r="BB6" s="118">
        <f>'[3]18 Demais a pagar NL'!$H7</f>
        <v>5894</v>
      </c>
    </row>
    <row r="7" spans="1:54" x14ac:dyDescent="0.2">
      <c r="A7" s="25" t="s">
        <v>118</v>
      </c>
      <c r="B7" s="25" t="s">
        <v>1007</v>
      </c>
      <c r="D7" s="129" t="str">
        <f>IF([1]RENAME!$H$3=1,B7,A7)</f>
        <v>Pedágio</v>
      </c>
      <c r="E7" s="118">
        <v>2699</v>
      </c>
      <c r="F7" s="160">
        <v>2402</v>
      </c>
      <c r="G7" s="118">
        <v>98</v>
      </c>
      <c r="H7" s="118">
        <v>3335</v>
      </c>
      <c r="I7" s="118">
        <v>52</v>
      </c>
      <c r="J7" s="118">
        <v>2058</v>
      </c>
      <c r="K7" s="118">
        <v>366</v>
      </c>
      <c r="L7" s="118">
        <v>2961</v>
      </c>
      <c r="M7" s="118">
        <v>2326</v>
      </c>
      <c r="N7" s="118">
        <v>2435</v>
      </c>
      <c r="O7" s="118">
        <v>2524</v>
      </c>
      <c r="P7" s="118">
        <v>3700</v>
      </c>
      <c r="Q7" s="118">
        <v>2837</v>
      </c>
      <c r="R7" s="118">
        <v>3124</v>
      </c>
      <c r="S7" s="118">
        <v>3325</v>
      </c>
      <c r="T7" s="118">
        <v>4209</v>
      </c>
      <c r="U7" s="118">
        <v>3610</v>
      </c>
      <c r="V7" s="118">
        <v>1290</v>
      </c>
      <c r="W7" s="118">
        <v>1952</v>
      </c>
      <c r="X7" s="118">
        <v>2736</v>
      </c>
      <c r="Y7" s="118">
        <v>2559</v>
      </c>
      <c r="Z7" s="118">
        <v>3838</v>
      </c>
      <c r="AA7" s="118">
        <v>2268</v>
      </c>
      <c r="AB7" s="118">
        <v>2532</v>
      </c>
      <c r="AC7" s="118">
        <v>2005</v>
      </c>
      <c r="AD7" s="118">
        <v>1346</v>
      </c>
      <c r="AE7" s="118">
        <v>1810</v>
      </c>
      <c r="AF7" s="118">
        <v>3996</v>
      </c>
      <c r="AG7" s="118">
        <v>1677</v>
      </c>
      <c r="AH7" s="118">
        <v>1873</v>
      </c>
      <c r="AI7" s="118">
        <v>2123</v>
      </c>
      <c r="AJ7" s="118">
        <v>2165</v>
      </c>
      <c r="AK7" s="118">
        <v>1345</v>
      </c>
      <c r="AL7" s="118">
        <v>1767</v>
      </c>
      <c r="AM7" s="118">
        <v>1870</v>
      </c>
      <c r="AN7" s="118">
        <v>2485</v>
      </c>
      <c r="AO7" s="118">
        <v>2381</v>
      </c>
      <c r="AP7" s="118">
        <v>2172</v>
      </c>
      <c r="AQ7" s="118">
        <v>2557</v>
      </c>
      <c r="AR7" s="118">
        <v>3013</v>
      </c>
      <c r="AS7" s="118">
        <v>2626</v>
      </c>
      <c r="AT7" s="118">
        <v>5735</v>
      </c>
      <c r="AU7" s="118">
        <v>3633</v>
      </c>
      <c r="AV7" s="118">
        <v>3980</v>
      </c>
      <c r="AW7" s="118">
        <v>5737</v>
      </c>
      <c r="AX7" s="118">
        <v>3693</v>
      </c>
      <c r="AY7" s="118">
        <v>4245</v>
      </c>
      <c r="AZ7" s="118">
        <v>4160</v>
      </c>
      <c r="BA7" s="118">
        <v>4238</v>
      </c>
      <c r="BB7" s="118">
        <f>'[3]18 Demais a pagar NL'!$H8</f>
        <v>4446</v>
      </c>
    </row>
    <row r="8" spans="1:54" x14ac:dyDescent="0.2">
      <c r="A8" s="25" t="s">
        <v>119</v>
      </c>
      <c r="B8" s="25" t="s">
        <v>820</v>
      </c>
      <c r="D8" s="129" t="str">
        <f>IF([1]RENAME!$H$3=1,B8,A8)</f>
        <v>Aluguel</v>
      </c>
      <c r="E8" s="118">
        <v>10485</v>
      </c>
      <c r="F8" s="160">
        <v>4632</v>
      </c>
      <c r="G8" s="118">
        <v>3949</v>
      </c>
      <c r="H8" s="118">
        <v>5045</v>
      </c>
      <c r="I8" s="118">
        <v>5747</v>
      </c>
      <c r="J8" s="118">
        <v>5438</v>
      </c>
      <c r="K8" s="118">
        <v>3784</v>
      </c>
      <c r="L8" s="118">
        <v>3727</v>
      </c>
      <c r="M8" s="118">
        <v>4168</v>
      </c>
      <c r="N8" s="118">
        <v>2372</v>
      </c>
      <c r="O8" s="118">
        <v>2529</v>
      </c>
      <c r="P8" s="118">
        <v>2649</v>
      </c>
      <c r="Q8" s="118">
        <v>3259</v>
      </c>
      <c r="R8" s="118">
        <v>3291</v>
      </c>
      <c r="S8" s="118">
        <v>2640</v>
      </c>
      <c r="T8" s="118">
        <v>3133</v>
      </c>
      <c r="U8" s="118">
        <v>3047</v>
      </c>
      <c r="V8" s="118">
        <v>3493</v>
      </c>
      <c r="W8" s="118">
        <v>3702</v>
      </c>
      <c r="X8" s="118">
        <v>3227</v>
      </c>
      <c r="Y8" s="118">
        <v>639</v>
      </c>
      <c r="Z8" s="118">
        <v>874</v>
      </c>
      <c r="AA8" s="118">
        <v>865</v>
      </c>
      <c r="AB8" s="118">
        <v>1098</v>
      </c>
      <c r="AC8" s="118">
        <v>1242</v>
      </c>
      <c r="AD8" s="118">
        <v>919</v>
      </c>
      <c r="AE8" s="118">
        <v>1313</v>
      </c>
      <c r="AF8" s="118">
        <v>1866</v>
      </c>
      <c r="AG8" s="118">
        <v>608</v>
      </c>
      <c r="AH8" s="118">
        <v>377</v>
      </c>
      <c r="AI8" s="118">
        <v>526</v>
      </c>
      <c r="AJ8" s="118">
        <v>573</v>
      </c>
      <c r="AK8" s="118">
        <v>649</v>
      </c>
      <c r="AL8" s="118">
        <v>1817</v>
      </c>
      <c r="AM8" s="118">
        <v>3238</v>
      </c>
      <c r="AN8" s="118">
        <v>3137</v>
      </c>
      <c r="AO8" s="118">
        <v>2990</v>
      </c>
      <c r="AP8" s="118">
        <v>3621</v>
      </c>
      <c r="AQ8" s="118">
        <v>3194</v>
      </c>
      <c r="AR8" s="118">
        <v>5235</v>
      </c>
      <c r="AS8" s="118">
        <v>3114</v>
      </c>
      <c r="AT8" s="118">
        <v>4836</v>
      </c>
      <c r="AU8" s="118">
        <v>7352</v>
      </c>
      <c r="AV8" s="118">
        <v>7699</v>
      </c>
      <c r="AW8" s="118">
        <v>5984</v>
      </c>
      <c r="AX8" s="118">
        <v>7519</v>
      </c>
      <c r="AY8" s="118">
        <v>7008</v>
      </c>
      <c r="AZ8" s="118">
        <v>7014</v>
      </c>
      <c r="BA8" s="118">
        <v>6531</v>
      </c>
      <c r="BB8" s="118">
        <f>'[3]18 Demais a pagar NL'!$H9</f>
        <v>7140</v>
      </c>
    </row>
    <row r="9" spans="1:54" x14ac:dyDescent="0.2">
      <c r="A9" s="25" t="s">
        <v>120</v>
      </c>
      <c r="B9" s="25" t="s">
        <v>1008</v>
      </c>
      <c r="D9" s="129" t="str">
        <f>IF([1]RENAME!$H$3=1,B9,A9)</f>
        <v>Seguros</v>
      </c>
      <c r="E9" s="118">
        <v>4079</v>
      </c>
      <c r="F9" s="160">
        <v>0</v>
      </c>
      <c r="G9" s="118">
        <v>0</v>
      </c>
      <c r="H9" s="118">
        <v>153</v>
      </c>
      <c r="I9" s="118">
        <v>168</v>
      </c>
      <c r="J9" s="118">
        <v>2</v>
      </c>
      <c r="K9" s="118">
        <v>0</v>
      </c>
      <c r="L9" s="118">
        <v>3465</v>
      </c>
      <c r="M9" s="118">
        <v>7151</v>
      </c>
      <c r="N9" s="118">
        <v>3966</v>
      </c>
      <c r="O9" s="118">
        <v>4438</v>
      </c>
      <c r="P9" s="118">
        <v>4002</v>
      </c>
      <c r="Q9" s="118">
        <v>4138</v>
      </c>
      <c r="R9" s="118">
        <v>4032</v>
      </c>
      <c r="S9" s="118">
        <v>5320</v>
      </c>
      <c r="T9" s="118">
        <v>6028</v>
      </c>
      <c r="U9" s="118">
        <v>5753</v>
      </c>
      <c r="V9" s="118">
        <v>6019</v>
      </c>
      <c r="W9" s="118">
        <v>7341</v>
      </c>
      <c r="X9" s="118">
        <v>5700</v>
      </c>
      <c r="Y9" s="118">
        <v>5092</v>
      </c>
      <c r="Z9" s="118">
        <v>6373</v>
      </c>
      <c r="AA9" s="118">
        <v>6014</v>
      </c>
      <c r="AB9" s="118">
        <v>6052</v>
      </c>
      <c r="AC9" s="118">
        <v>5200</v>
      </c>
      <c r="AD9" s="118">
        <v>4236</v>
      </c>
      <c r="AE9" s="118">
        <v>7364</v>
      </c>
      <c r="AF9" s="118">
        <v>5006</v>
      </c>
      <c r="AG9" s="118">
        <v>5691</v>
      </c>
      <c r="AH9" s="118">
        <v>6802</v>
      </c>
      <c r="AI9" s="118">
        <v>4780</v>
      </c>
      <c r="AJ9" s="118">
        <v>6611</v>
      </c>
      <c r="AK9" s="118">
        <v>4369</v>
      </c>
      <c r="AL9" s="118">
        <v>6391</v>
      </c>
      <c r="AM9" s="118">
        <v>10763</v>
      </c>
      <c r="AN9" s="118">
        <v>9681</v>
      </c>
      <c r="AO9" s="118">
        <v>5763</v>
      </c>
      <c r="AP9" s="118">
        <v>6927</v>
      </c>
      <c r="AQ9" s="118">
        <v>5536</v>
      </c>
      <c r="AR9" s="118">
        <v>7103</v>
      </c>
      <c r="AS9" s="118">
        <v>5491</v>
      </c>
      <c r="AT9" s="118">
        <v>5918</v>
      </c>
      <c r="AU9" s="118">
        <v>7463</v>
      </c>
      <c r="AV9" s="118">
        <v>11502</v>
      </c>
      <c r="AW9" s="118">
        <v>9036</v>
      </c>
      <c r="AX9" s="118">
        <v>9098</v>
      </c>
      <c r="AY9" s="118">
        <v>10313</v>
      </c>
      <c r="AZ9" s="118">
        <v>15676</v>
      </c>
      <c r="BA9" s="118">
        <v>10721</v>
      </c>
      <c r="BB9" s="118">
        <f>'[3]18 Demais a pagar NL'!$H10</f>
        <v>11148</v>
      </c>
    </row>
    <row r="10" spans="1:54" s="249" customFormat="1" x14ac:dyDescent="0.2">
      <c r="A10" s="249" t="s">
        <v>556</v>
      </c>
      <c r="B10" s="249" t="s">
        <v>1009</v>
      </c>
      <c r="C10" s="25"/>
      <c r="D10" s="129" t="str">
        <f>IF([1]RENAME!$H$3=1,B10,A10)</f>
        <v>Comunicação dados e voz</v>
      </c>
      <c r="E10" s="118">
        <v>696</v>
      </c>
      <c r="F10" s="160">
        <v>751</v>
      </c>
      <c r="G10" s="118">
        <v>848</v>
      </c>
      <c r="H10" s="118">
        <v>827</v>
      </c>
      <c r="I10" s="118">
        <v>658</v>
      </c>
      <c r="J10" s="118">
        <v>437</v>
      </c>
      <c r="K10" s="118">
        <v>0</v>
      </c>
      <c r="L10" s="118">
        <v>0</v>
      </c>
      <c r="M10" s="118">
        <v>402</v>
      </c>
      <c r="N10" s="118">
        <v>0</v>
      </c>
      <c r="O10" s="118">
        <v>0</v>
      </c>
      <c r="P10" s="118">
        <v>0</v>
      </c>
      <c r="Q10" s="118">
        <v>0</v>
      </c>
      <c r="R10" s="118">
        <v>0</v>
      </c>
      <c r="S10" s="118">
        <v>0</v>
      </c>
      <c r="T10" s="118">
        <v>0</v>
      </c>
      <c r="U10" s="118">
        <v>0</v>
      </c>
      <c r="V10" s="118">
        <v>0</v>
      </c>
      <c r="W10" s="118">
        <v>0</v>
      </c>
      <c r="X10" s="118">
        <v>0</v>
      </c>
      <c r="Y10" s="118">
        <v>0</v>
      </c>
      <c r="Z10" s="118">
        <v>0</v>
      </c>
      <c r="AA10" s="118">
        <v>0</v>
      </c>
      <c r="AB10" s="118">
        <v>0</v>
      </c>
      <c r="AC10" s="118">
        <v>0</v>
      </c>
      <c r="AD10" s="118">
        <v>0</v>
      </c>
      <c r="AE10" s="118">
        <v>0</v>
      </c>
      <c r="AF10" s="118">
        <v>0</v>
      </c>
      <c r="AG10" s="118">
        <v>0</v>
      </c>
      <c r="AH10" s="118">
        <v>0</v>
      </c>
      <c r="AI10" s="118">
        <v>0</v>
      </c>
      <c r="AJ10" s="118"/>
      <c r="AK10" s="118">
        <v>0</v>
      </c>
      <c r="AL10" s="118">
        <v>0</v>
      </c>
      <c r="AM10" s="118">
        <v>0</v>
      </c>
      <c r="AN10" s="118">
        <v>0</v>
      </c>
      <c r="AO10" s="118">
        <v>0</v>
      </c>
      <c r="AP10" s="118">
        <v>0</v>
      </c>
      <c r="AQ10" s="118">
        <v>95</v>
      </c>
      <c r="AR10" s="118">
        <v>201</v>
      </c>
      <c r="AS10" s="118">
        <v>129</v>
      </c>
      <c r="AT10" s="118">
        <v>191</v>
      </c>
      <c r="AU10" s="118">
        <v>177</v>
      </c>
      <c r="AV10" s="118">
        <v>473</v>
      </c>
      <c r="AW10" s="118">
        <v>713</v>
      </c>
      <c r="AX10" s="118">
        <v>603</v>
      </c>
      <c r="AY10" s="118">
        <v>783</v>
      </c>
      <c r="AZ10" s="118">
        <v>659</v>
      </c>
      <c r="BA10" s="118">
        <v>367</v>
      </c>
      <c r="BB10" s="118">
        <f>'[3]18 Demais a pagar NL'!$H11</f>
        <v>554</v>
      </c>
    </row>
    <row r="11" spans="1:54" ht="14.25" customHeight="1" x14ac:dyDescent="0.2">
      <c r="A11" s="25" t="s">
        <v>537</v>
      </c>
      <c r="B11" s="25" t="s">
        <v>1010</v>
      </c>
      <c r="D11" s="129" t="str">
        <f>IF([1]RENAME!$H$3=1,B11,A11)</f>
        <v>Benefícios</v>
      </c>
      <c r="E11" s="118">
        <v>1290</v>
      </c>
      <c r="F11" s="160">
        <v>3081</v>
      </c>
      <c r="G11" s="118">
        <v>488</v>
      </c>
      <c r="H11" s="118">
        <v>1310</v>
      </c>
      <c r="I11" s="118">
        <v>862</v>
      </c>
      <c r="J11" s="118">
        <v>724</v>
      </c>
      <c r="K11" s="118">
        <v>1089</v>
      </c>
      <c r="L11" s="118">
        <v>2009</v>
      </c>
      <c r="M11" s="118">
        <v>1056</v>
      </c>
      <c r="N11" s="118">
        <v>2095</v>
      </c>
      <c r="O11" s="118">
        <v>1025</v>
      </c>
      <c r="P11" s="118">
        <v>1666</v>
      </c>
      <c r="Q11" s="118">
        <v>1399</v>
      </c>
      <c r="R11" s="118">
        <v>1844</v>
      </c>
      <c r="S11" s="118">
        <v>1800</v>
      </c>
      <c r="T11" s="118">
        <v>3927</v>
      </c>
      <c r="U11" s="118">
        <v>3455</v>
      </c>
      <c r="V11" s="118">
        <v>1952</v>
      </c>
      <c r="W11" s="118">
        <v>2167</v>
      </c>
      <c r="X11" s="118">
        <v>3729</v>
      </c>
      <c r="Y11" s="118">
        <v>4142</v>
      </c>
      <c r="Z11" s="118">
        <v>4167</v>
      </c>
      <c r="AA11" s="118">
        <v>6472</v>
      </c>
      <c r="AB11" s="118">
        <v>7403</v>
      </c>
      <c r="AC11" s="118">
        <v>6210</v>
      </c>
      <c r="AD11" s="118">
        <v>6954</v>
      </c>
      <c r="AE11" s="118">
        <v>6966</v>
      </c>
      <c r="AF11" s="118">
        <v>7401</v>
      </c>
      <c r="AG11" s="118">
        <v>6571</v>
      </c>
      <c r="AH11" s="118">
        <v>7348</v>
      </c>
      <c r="AI11" s="118">
        <v>5899</v>
      </c>
      <c r="AJ11" s="118">
        <v>6385</v>
      </c>
      <c r="AK11" s="118">
        <v>6659</v>
      </c>
      <c r="AL11" s="118">
        <v>6582</v>
      </c>
      <c r="AM11" s="118">
        <v>4037</v>
      </c>
      <c r="AN11" s="118">
        <v>5469</v>
      </c>
      <c r="AO11" s="118">
        <v>3965</v>
      </c>
      <c r="AP11" s="118">
        <v>3518</v>
      </c>
      <c r="AQ11" s="118">
        <v>3736</v>
      </c>
      <c r="AR11" s="118">
        <v>5649</v>
      </c>
      <c r="AS11" s="118">
        <v>4834</v>
      </c>
      <c r="AT11" s="118">
        <v>3734</v>
      </c>
      <c r="AU11" s="118">
        <v>3350</v>
      </c>
      <c r="AV11" s="118">
        <v>4905</v>
      </c>
      <c r="AW11" s="118">
        <v>3380</v>
      </c>
      <c r="AX11" s="118">
        <v>2824</v>
      </c>
      <c r="AY11" s="118">
        <v>3297</v>
      </c>
      <c r="AZ11" s="118">
        <v>3867</v>
      </c>
      <c r="BA11" s="118">
        <v>3683</v>
      </c>
      <c r="BB11" s="118">
        <f>'[3]18 Demais a pagar NL'!$H12</f>
        <v>1307</v>
      </c>
    </row>
    <row r="12" spans="1:54" x14ac:dyDescent="0.2">
      <c r="A12" s="25" t="s">
        <v>121</v>
      </c>
      <c r="B12" s="25" t="s">
        <v>1011</v>
      </c>
      <c r="D12" s="129" t="str">
        <f>IF([1]RENAME!$H$3=1,B12,A12)</f>
        <v>Serviços de consultoria</v>
      </c>
      <c r="E12" s="118">
        <v>1065</v>
      </c>
      <c r="F12" s="160">
        <v>302</v>
      </c>
      <c r="G12" s="118">
        <v>1190</v>
      </c>
      <c r="H12" s="118">
        <v>1060</v>
      </c>
      <c r="I12" s="118">
        <v>699</v>
      </c>
      <c r="J12" s="118">
        <v>411</v>
      </c>
      <c r="K12" s="118">
        <v>574</v>
      </c>
      <c r="L12" s="118">
        <v>1072</v>
      </c>
      <c r="M12" s="118">
        <v>631</v>
      </c>
      <c r="N12" s="118">
        <v>685</v>
      </c>
      <c r="O12" s="118">
        <v>814</v>
      </c>
      <c r="P12" s="118">
        <v>672</v>
      </c>
      <c r="Q12" s="118">
        <v>412</v>
      </c>
      <c r="R12" s="118">
        <v>549</v>
      </c>
      <c r="S12" s="118">
        <v>558</v>
      </c>
      <c r="T12" s="118">
        <v>1306</v>
      </c>
      <c r="U12" s="118">
        <v>1318</v>
      </c>
      <c r="V12" s="118">
        <v>898</v>
      </c>
      <c r="W12" s="118">
        <v>878</v>
      </c>
      <c r="X12" s="118">
        <v>1470</v>
      </c>
      <c r="Y12" s="118">
        <v>895</v>
      </c>
      <c r="Z12" s="118">
        <v>1313</v>
      </c>
      <c r="AA12" s="118">
        <v>6877</v>
      </c>
      <c r="AB12" s="118">
        <v>2449</v>
      </c>
      <c r="AC12" s="118">
        <v>4474</v>
      </c>
      <c r="AD12" s="118">
        <v>3803</v>
      </c>
      <c r="AE12" s="118">
        <v>1487</v>
      </c>
      <c r="AF12" s="118">
        <v>2032</v>
      </c>
      <c r="AG12" s="118">
        <v>1933</v>
      </c>
      <c r="AH12" s="118">
        <v>2120</v>
      </c>
      <c r="AI12" s="118">
        <v>1899</v>
      </c>
      <c r="AJ12" s="118">
        <v>2713</v>
      </c>
      <c r="AK12" s="118">
        <v>1989</v>
      </c>
      <c r="AL12" s="118">
        <v>3669</v>
      </c>
      <c r="AM12" s="118">
        <v>2723</v>
      </c>
      <c r="AN12" s="118">
        <v>4295</v>
      </c>
      <c r="AO12" s="118">
        <v>4225</v>
      </c>
      <c r="AP12" s="118">
        <v>3425</v>
      </c>
      <c r="AQ12" s="118">
        <v>3790</v>
      </c>
      <c r="AR12" s="118">
        <v>3751</v>
      </c>
      <c r="AS12" s="118">
        <v>3035</v>
      </c>
      <c r="AT12" s="118">
        <v>2888</v>
      </c>
      <c r="AU12" s="118">
        <v>2205</v>
      </c>
      <c r="AV12" s="118">
        <v>3417</v>
      </c>
      <c r="AW12" s="118">
        <v>3076</v>
      </c>
      <c r="AX12" s="118">
        <v>1833</v>
      </c>
      <c r="AY12" s="118">
        <v>3146</v>
      </c>
      <c r="AZ12" s="118">
        <v>3265</v>
      </c>
      <c r="BA12" s="118">
        <v>2346</v>
      </c>
      <c r="BB12" s="118">
        <f>'[3]18 Demais a pagar NL'!$H13</f>
        <v>1672</v>
      </c>
    </row>
    <row r="13" spans="1:54" x14ac:dyDescent="0.2">
      <c r="A13" s="25" t="s">
        <v>122</v>
      </c>
      <c r="B13" s="25" t="s">
        <v>1012</v>
      </c>
      <c r="D13" s="129" t="str">
        <f>IF([1]RENAME!$H$3=1,B13,A13)</f>
        <v>Manutenções diversas</v>
      </c>
      <c r="E13" s="118">
        <v>1266</v>
      </c>
      <c r="F13" s="160">
        <v>680</v>
      </c>
      <c r="G13" s="118">
        <v>928</v>
      </c>
      <c r="H13" s="118">
        <v>1165</v>
      </c>
      <c r="I13" s="118">
        <v>762</v>
      </c>
      <c r="J13" s="118">
        <v>796</v>
      </c>
      <c r="K13" s="118">
        <v>798</v>
      </c>
      <c r="L13" s="118">
        <v>3863</v>
      </c>
      <c r="M13" s="118">
        <v>2002</v>
      </c>
      <c r="N13" s="118">
        <v>818</v>
      </c>
      <c r="O13" s="118">
        <v>785</v>
      </c>
      <c r="P13" s="118">
        <v>1339</v>
      </c>
      <c r="Q13" s="118">
        <v>1445</v>
      </c>
      <c r="R13" s="118">
        <v>1125</v>
      </c>
      <c r="S13" s="118">
        <v>1217</v>
      </c>
      <c r="T13" s="118">
        <v>1024</v>
      </c>
      <c r="U13" s="118">
        <v>887</v>
      </c>
      <c r="V13" s="118">
        <v>1020</v>
      </c>
      <c r="W13" s="118">
        <v>1431</v>
      </c>
      <c r="X13" s="118">
        <v>1884</v>
      </c>
      <c r="Y13" s="118">
        <v>1453</v>
      </c>
      <c r="Z13" s="118">
        <v>1474</v>
      </c>
      <c r="AA13" s="118">
        <v>1314</v>
      </c>
      <c r="AB13" s="118">
        <v>1119</v>
      </c>
      <c r="AC13" s="118">
        <v>1297</v>
      </c>
      <c r="AD13" s="118">
        <v>1062</v>
      </c>
      <c r="AE13" s="118">
        <v>1682</v>
      </c>
      <c r="AF13" s="118">
        <v>2306</v>
      </c>
      <c r="AG13" s="118">
        <v>1773</v>
      </c>
      <c r="AH13" s="118">
        <v>1591</v>
      </c>
      <c r="AI13" s="118">
        <v>1665</v>
      </c>
      <c r="AJ13" s="118">
        <v>1595</v>
      </c>
      <c r="AK13" s="118">
        <v>1613</v>
      </c>
      <c r="AL13" s="118">
        <v>1484</v>
      </c>
      <c r="AM13" s="118">
        <v>1812</v>
      </c>
      <c r="AN13" s="118">
        <v>2114</v>
      </c>
      <c r="AO13" s="118">
        <v>1844</v>
      </c>
      <c r="AP13" s="118">
        <v>1861</v>
      </c>
      <c r="AQ13" s="118">
        <v>1895</v>
      </c>
      <c r="AR13" s="118">
        <v>2059</v>
      </c>
      <c r="AS13" s="118">
        <v>2482</v>
      </c>
      <c r="AT13" s="118">
        <v>1684</v>
      </c>
      <c r="AU13" s="118">
        <v>2191</v>
      </c>
      <c r="AV13" s="118">
        <v>3074</v>
      </c>
      <c r="AW13" s="118">
        <v>3634</v>
      </c>
      <c r="AX13" s="118">
        <v>2617</v>
      </c>
      <c r="AY13" s="118">
        <v>2059</v>
      </c>
      <c r="AZ13" s="118">
        <v>3231</v>
      </c>
      <c r="BA13" s="118">
        <v>3072</v>
      </c>
      <c r="BB13" s="118">
        <f>'[3]18 Demais a pagar NL'!$H14</f>
        <v>2077</v>
      </c>
    </row>
    <row r="14" spans="1:54" s="249" customFormat="1" x14ac:dyDescent="0.2">
      <c r="A14" s="249" t="s">
        <v>123</v>
      </c>
      <c r="B14" s="249" t="s">
        <v>1013</v>
      </c>
      <c r="C14" s="25"/>
      <c r="D14" s="129" t="str">
        <f>IF([1]RENAME!$H$3=1,B14,A14)</f>
        <v>Combustível</v>
      </c>
      <c r="E14" s="118">
        <v>973</v>
      </c>
      <c r="F14" s="160">
        <v>0</v>
      </c>
      <c r="G14" s="118">
        <v>0</v>
      </c>
      <c r="H14" s="118">
        <v>0</v>
      </c>
      <c r="I14" s="118">
        <v>0</v>
      </c>
      <c r="J14" s="118">
        <v>0</v>
      </c>
      <c r="K14" s="118">
        <v>0</v>
      </c>
      <c r="L14" s="118">
        <v>0</v>
      </c>
      <c r="M14" s="118">
        <v>0</v>
      </c>
      <c r="N14" s="118">
        <v>0</v>
      </c>
      <c r="O14" s="118">
        <v>0</v>
      </c>
      <c r="P14" s="118">
        <v>0</v>
      </c>
      <c r="Q14" s="118">
        <v>0</v>
      </c>
      <c r="R14" s="118">
        <v>0</v>
      </c>
      <c r="S14" s="118">
        <v>0</v>
      </c>
      <c r="T14" s="118">
        <v>0</v>
      </c>
      <c r="U14" s="118">
        <v>0</v>
      </c>
      <c r="V14" s="118">
        <v>0</v>
      </c>
      <c r="W14" s="118">
        <v>0</v>
      </c>
      <c r="X14" s="118">
        <v>0</v>
      </c>
      <c r="Y14" s="118">
        <v>0</v>
      </c>
      <c r="Z14" s="118">
        <v>0</v>
      </c>
      <c r="AA14" s="118">
        <v>0</v>
      </c>
      <c r="AB14" s="118">
        <v>0</v>
      </c>
      <c r="AC14" s="118">
        <v>0</v>
      </c>
      <c r="AD14" s="118">
        <v>0</v>
      </c>
      <c r="AE14" s="118">
        <v>0</v>
      </c>
      <c r="AF14" s="118">
        <v>0</v>
      </c>
      <c r="AG14" s="118">
        <v>0</v>
      </c>
      <c r="AH14" s="118">
        <v>0</v>
      </c>
      <c r="AI14" s="118">
        <v>0</v>
      </c>
      <c r="AJ14" s="118"/>
      <c r="AK14" s="118">
        <v>0</v>
      </c>
      <c r="AL14" s="118">
        <v>0</v>
      </c>
      <c r="AM14" s="118">
        <v>0</v>
      </c>
      <c r="AN14" s="118">
        <v>0</v>
      </c>
      <c r="AO14" s="118">
        <v>0</v>
      </c>
      <c r="AP14" s="118">
        <v>0</v>
      </c>
      <c r="AQ14" s="118">
        <v>11</v>
      </c>
      <c r="AR14" s="118">
        <v>28</v>
      </c>
      <c r="AS14" s="118">
        <v>14</v>
      </c>
      <c r="AT14" s="118">
        <v>13</v>
      </c>
      <c r="AU14" s="118">
        <v>24</v>
      </c>
      <c r="AV14" s="118">
        <v>113</v>
      </c>
      <c r="AW14" s="118">
        <v>55</v>
      </c>
      <c r="AX14" s="118">
        <v>3</v>
      </c>
      <c r="AY14" s="118">
        <v>145</v>
      </c>
      <c r="AZ14" s="118">
        <v>233</v>
      </c>
      <c r="BA14" s="118">
        <v>0</v>
      </c>
      <c r="BB14" s="118">
        <f>'[3]18 Demais a pagar NL'!$H15</f>
        <v>112</v>
      </c>
    </row>
    <row r="15" spans="1:54" s="249" customFormat="1" x14ac:dyDescent="0.2">
      <c r="A15" s="249" t="s">
        <v>572</v>
      </c>
      <c r="B15" s="249" t="s">
        <v>1015</v>
      </c>
      <c r="C15" s="25"/>
      <c r="D15" s="129" t="str">
        <f>IF([1]RENAME!$H$3=1,B15,A15)</f>
        <v>Impostos e taxas</v>
      </c>
      <c r="E15" s="118">
        <v>0</v>
      </c>
      <c r="F15" s="160">
        <v>0</v>
      </c>
      <c r="G15" s="118">
        <v>0</v>
      </c>
      <c r="H15" s="118">
        <v>0</v>
      </c>
      <c r="I15" s="118">
        <v>0</v>
      </c>
      <c r="J15" s="118">
        <v>0</v>
      </c>
      <c r="K15" s="118">
        <v>0</v>
      </c>
      <c r="L15" s="118">
        <v>0</v>
      </c>
      <c r="M15" s="118">
        <v>0</v>
      </c>
      <c r="N15" s="118">
        <v>0</v>
      </c>
      <c r="O15" s="118">
        <v>0</v>
      </c>
      <c r="P15" s="118">
        <v>0</v>
      </c>
      <c r="Q15" s="118">
        <v>1349</v>
      </c>
      <c r="R15" s="118">
        <v>1031</v>
      </c>
      <c r="S15" s="118">
        <v>472</v>
      </c>
      <c r="T15" s="118">
        <v>0</v>
      </c>
      <c r="U15" s="118">
        <v>0</v>
      </c>
      <c r="V15" s="118">
        <v>0</v>
      </c>
      <c r="W15" s="118">
        <v>0</v>
      </c>
      <c r="X15" s="118">
        <v>0</v>
      </c>
      <c r="Y15" s="118">
        <v>0</v>
      </c>
      <c r="Z15" s="118">
        <v>0</v>
      </c>
      <c r="AA15" s="118">
        <v>0</v>
      </c>
      <c r="AB15" s="118">
        <v>0</v>
      </c>
      <c r="AC15" s="118">
        <v>0</v>
      </c>
      <c r="AD15" s="118">
        <v>0</v>
      </c>
      <c r="AE15" s="118">
        <v>0</v>
      </c>
      <c r="AF15" s="118">
        <v>0</v>
      </c>
      <c r="AG15" s="118">
        <v>0</v>
      </c>
      <c r="AH15" s="118">
        <v>0</v>
      </c>
      <c r="AI15" s="118">
        <v>0</v>
      </c>
      <c r="AJ15" s="118"/>
      <c r="AK15" s="118">
        <v>0</v>
      </c>
      <c r="AL15" s="118">
        <v>0</v>
      </c>
      <c r="AM15" s="118">
        <v>0</v>
      </c>
      <c r="AN15" s="118">
        <v>0</v>
      </c>
      <c r="AO15" s="118">
        <v>0</v>
      </c>
      <c r="AP15" s="118">
        <v>0</v>
      </c>
      <c r="AQ15" s="118">
        <v>61</v>
      </c>
      <c r="AR15" s="118">
        <v>29</v>
      </c>
      <c r="AS15" s="118">
        <v>383</v>
      </c>
      <c r="AT15" s="118">
        <v>385</v>
      </c>
      <c r="AU15" s="118">
        <v>323</v>
      </c>
      <c r="AV15" s="118">
        <v>198</v>
      </c>
      <c r="AW15" s="118">
        <v>97</v>
      </c>
      <c r="AX15" s="118">
        <v>71</v>
      </c>
      <c r="AY15" s="118">
        <v>96</v>
      </c>
      <c r="AZ15" s="118">
        <v>513</v>
      </c>
      <c r="BA15" s="118">
        <v>6</v>
      </c>
      <c r="BB15" s="118">
        <f>'[3]18 Demais a pagar NL'!$H16</f>
        <v>84</v>
      </c>
    </row>
    <row r="16" spans="1:54" x14ac:dyDescent="0.2">
      <c r="A16" s="25" t="s">
        <v>582</v>
      </c>
      <c r="B16" s="25" t="s">
        <v>1016</v>
      </c>
      <c r="D16" s="129" t="str">
        <f>IF([1]RENAME!$H$3=1,B16,A16)</f>
        <v>Vigilância</v>
      </c>
      <c r="E16" s="118">
        <v>0</v>
      </c>
      <c r="F16" s="160">
        <v>0</v>
      </c>
      <c r="G16" s="118">
        <v>0</v>
      </c>
      <c r="H16" s="118">
        <v>0</v>
      </c>
      <c r="I16" s="118">
        <v>0</v>
      </c>
      <c r="J16" s="118">
        <v>0</v>
      </c>
      <c r="K16" s="118">
        <v>0</v>
      </c>
      <c r="L16" s="118">
        <v>0</v>
      </c>
      <c r="M16" s="118">
        <v>1262</v>
      </c>
      <c r="N16" s="118">
        <v>1276</v>
      </c>
      <c r="O16" s="118">
        <v>936</v>
      </c>
      <c r="P16" s="118">
        <v>977</v>
      </c>
      <c r="Q16" s="118">
        <v>1093</v>
      </c>
      <c r="R16" s="118">
        <v>1007</v>
      </c>
      <c r="S16" s="118">
        <v>870</v>
      </c>
      <c r="T16" s="118">
        <v>1069</v>
      </c>
      <c r="U16" s="118">
        <v>900</v>
      </c>
      <c r="V16" s="118">
        <v>1664</v>
      </c>
      <c r="W16" s="118">
        <v>1851</v>
      </c>
      <c r="X16" s="118">
        <v>2341</v>
      </c>
      <c r="Y16" s="118">
        <v>1959</v>
      </c>
      <c r="Z16" s="118">
        <v>2094</v>
      </c>
      <c r="AA16" s="118">
        <v>1251</v>
      </c>
      <c r="AB16" s="118">
        <v>2591</v>
      </c>
      <c r="AC16" s="118">
        <v>2241</v>
      </c>
      <c r="AD16" s="118">
        <v>2244</v>
      </c>
      <c r="AE16" s="118">
        <v>2094</v>
      </c>
      <c r="AF16" s="118">
        <v>1713</v>
      </c>
      <c r="AG16" s="118">
        <v>2035</v>
      </c>
      <c r="AH16" s="118">
        <v>1715</v>
      </c>
      <c r="AI16" s="118">
        <v>1465</v>
      </c>
      <c r="AJ16" s="118">
        <v>2643</v>
      </c>
      <c r="AK16" s="118">
        <v>2875</v>
      </c>
      <c r="AL16" s="118">
        <v>1715</v>
      </c>
      <c r="AM16" s="118">
        <v>1846</v>
      </c>
      <c r="AN16" s="118">
        <v>1968</v>
      </c>
      <c r="AO16" s="118">
        <v>1866</v>
      </c>
      <c r="AP16" s="118">
        <v>1823</v>
      </c>
      <c r="AQ16" s="118">
        <v>1648</v>
      </c>
      <c r="AR16" s="118">
        <v>1802</v>
      </c>
      <c r="AS16" s="118">
        <v>1971</v>
      </c>
      <c r="AT16" s="118">
        <v>2419</v>
      </c>
      <c r="AU16" s="118">
        <v>2868</v>
      </c>
      <c r="AV16" s="118">
        <v>3166</v>
      </c>
      <c r="AW16" s="118">
        <v>3176</v>
      </c>
      <c r="AX16" s="118">
        <v>3755</v>
      </c>
      <c r="AY16" s="118">
        <v>4089</v>
      </c>
      <c r="AZ16" s="118">
        <v>2222</v>
      </c>
      <c r="BA16" s="118">
        <v>4249</v>
      </c>
      <c r="BB16" s="118">
        <f>'[3]18 Demais a pagar NL'!$H17</f>
        <v>4790</v>
      </c>
    </row>
    <row r="17" spans="1:54" x14ac:dyDescent="0.2">
      <c r="A17" s="25" t="s">
        <v>49</v>
      </c>
      <c r="B17" s="25" t="s">
        <v>699</v>
      </c>
      <c r="D17" s="129" t="str">
        <f>IF([1]RENAME!$H$3=1,B17,A17)</f>
        <v>Outros</v>
      </c>
      <c r="E17" s="118">
        <v>6161</v>
      </c>
      <c r="F17" s="160">
        <v>5908</v>
      </c>
      <c r="G17" s="118">
        <v>7437</v>
      </c>
      <c r="H17" s="118">
        <v>6590</v>
      </c>
      <c r="I17" s="118">
        <v>3961</v>
      </c>
      <c r="J17" s="118">
        <v>8143</v>
      </c>
      <c r="K17" s="118">
        <v>3100</v>
      </c>
      <c r="L17" s="118">
        <v>6325</v>
      </c>
      <c r="M17" s="118">
        <v>5058</v>
      </c>
      <c r="N17" s="118">
        <v>2282</v>
      </c>
      <c r="O17" s="118">
        <v>1413</v>
      </c>
      <c r="P17" s="118">
        <v>1470</v>
      </c>
      <c r="Q17" s="118">
        <v>1197</v>
      </c>
      <c r="R17" s="118">
        <v>1575</v>
      </c>
      <c r="S17" s="118">
        <v>2159</v>
      </c>
      <c r="T17" s="118">
        <v>3276</v>
      </c>
      <c r="U17" s="118">
        <v>1780</v>
      </c>
      <c r="V17" s="118">
        <v>3189</v>
      </c>
      <c r="W17" s="118">
        <v>5825</v>
      </c>
      <c r="X17" s="118">
        <v>7733</v>
      </c>
      <c r="Y17" s="118">
        <v>3065</v>
      </c>
      <c r="Z17" s="118">
        <v>2446</v>
      </c>
      <c r="AA17" s="118">
        <v>4299</v>
      </c>
      <c r="AB17" s="118">
        <v>3893</v>
      </c>
      <c r="AC17" s="118">
        <v>5125</v>
      </c>
      <c r="AD17" s="118">
        <v>8748</v>
      </c>
      <c r="AE17" s="118">
        <v>6573</v>
      </c>
      <c r="AF17" s="118">
        <v>5000</v>
      </c>
      <c r="AG17" s="118">
        <v>3881</v>
      </c>
      <c r="AH17" s="118">
        <v>3470</v>
      </c>
      <c r="AI17" s="118">
        <v>4606</v>
      </c>
      <c r="AJ17" s="118">
        <v>2727</v>
      </c>
      <c r="AK17" s="118">
        <v>2235</v>
      </c>
      <c r="AL17" s="118">
        <v>1366</v>
      </c>
      <c r="AM17" s="118">
        <v>3141</v>
      </c>
      <c r="AN17" s="118">
        <v>7797</v>
      </c>
      <c r="AO17" s="118">
        <v>6983</v>
      </c>
      <c r="AP17" s="118">
        <v>5386</v>
      </c>
      <c r="AQ17" s="118">
        <v>4844</v>
      </c>
      <c r="AR17" s="118">
        <v>5447</v>
      </c>
      <c r="AS17" s="118">
        <v>4583</v>
      </c>
      <c r="AT17" s="118">
        <v>4605</v>
      </c>
      <c r="AU17" s="118">
        <v>5736</v>
      </c>
      <c r="AV17" s="118">
        <v>4551</v>
      </c>
      <c r="AW17" s="118">
        <v>4635</v>
      </c>
      <c r="AX17" s="118">
        <v>4549</v>
      </c>
      <c r="AY17" s="118">
        <v>4726</v>
      </c>
      <c r="AZ17" s="260">
        <v>28320</v>
      </c>
      <c r="BA17" s="260">
        <v>26469</v>
      </c>
      <c r="BB17" s="260">
        <f>'[3]18 Demais a pagar NL'!$H18</f>
        <v>33133</v>
      </c>
    </row>
    <row r="18" spans="1:54" s="249" customFormat="1" ht="14.25" hidden="1" customHeight="1" outlineLevel="1" x14ac:dyDescent="0.2">
      <c r="A18" s="249" t="s">
        <v>124</v>
      </c>
      <c r="B18" s="249" t="s">
        <v>1014</v>
      </c>
      <c r="C18" s="25"/>
      <c r="D18" s="250" t="str">
        <f>IF([1]RENAME!$H$3=1,B18,A18)</f>
        <v>Indenizações a Pagar</v>
      </c>
      <c r="E18" s="218">
        <v>16107</v>
      </c>
      <c r="F18" s="219">
        <v>3481</v>
      </c>
      <c r="G18" s="218">
        <v>4497</v>
      </c>
      <c r="H18" s="218">
        <v>425</v>
      </c>
      <c r="I18" s="218">
        <v>450</v>
      </c>
      <c r="J18" s="218">
        <v>0</v>
      </c>
      <c r="K18" s="218">
        <v>0</v>
      </c>
      <c r="L18" s="218">
        <v>0</v>
      </c>
      <c r="M18" s="218">
        <v>0</v>
      </c>
      <c r="N18" s="218">
        <v>0</v>
      </c>
      <c r="O18" s="218">
        <v>0</v>
      </c>
      <c r="P18" s="218">
        <v>0</v>
      </c>
      <c r="Q18" s="218">
        <v>0</v>
      </c>
      <c r="R18" s="218">
        <v>0</v>
      </c>
      <c r="S18" s="218">
        <v>0</v>
      </c>
      <c r="T18" s="218">
        <v>0</v>
      </c>
      <c r="U18" s="218">
        <v>0</v>
      </c>
      <c r="V18" s="218">
        <v>0</v>
      </c>
      <c r="W18" s="218">
        <v>0</v>
      </c>
      <c r="X18" s="218">
        <v>0</v>
      </c>
      <c r="Y18" s="218">
        <v>0</v>
      </c>
      <c r="Z18" s="218"/>
      <c r="AA18" s="218">
        <v>0</v>
      </c>
      <c r="AB18" s="218">
        <v>0</v>
      </c>
      <c r="AC18" s="218">
        <v>0</v>
      </c>
      <c r="AD18" s="218">
        <v>0</v>
      </c>
      <c r="AE18" s="218">
        <v>0</v>
      </c>
      <c r="AF18" s="218">
        <v>0</v>
      </c>
      <c r="AG18" s="218">
        <f>+'[3]18 Demais Contas a Pagar'!$G$14</f>
        <v>0</v>
      </c>
      <c r="AH18" s="218">
        <f>+'[3]18 Demais Contas a Pagar'!$G$14</f>
        <v>0</v>
      </c>
      <c r="AI18" s="218">
        <v>0</v>
      </c>
      <c r="AJ18" s="218"/>
      <c r="AK18" s="218">
        <v>0</v>
      </c>
      <c r="AL18" s="218">
        <f>+'[3]18 Demais Contas a Pagar'!$G$14</f>
        <v>0</v>
      </c>
      <c r="AM18" s="218">
        <v>0</v>
      </c>
      <c r="AN18" s="218">
        <f>+'[3]18 Demais Contas a Pagar'!$G$14</f>
        <v>0</v>
      </c>
      <c r="AO18" s="218">
        <f>+'[3]18 Demais Contas a Pagar'!$G$14</f>
        <v>0</v>
      </c>
      <c r="AP18" s="218">
        <f>+'[3]18 Demais Contas a Pagar'!$G$14</f>
        <v>0</v>
      </c>
      <c r="AQ18" s="218">
        <f>+'[3]18 Demais Contas a Pagar'!$G$14</f>
        <v>0</v>
      </c>
      <c r="AR18" s="218">
        <f>+'[3]18 Demais Contas a Pagar'!$G$14</f>
        <v>0</v>
      </c>
      <c r="AS18" s="218">
        <f>+'[3]18 Demais Contas a Pagar'!$G$14</f>
        <v>0</v>
      </c>
      <c r="AT18" s="218"/>
      <c r="AU18" s="218"/>
      <c r="AV18" s="218"/>
      <c r="AW18" s="218"/>
      <c r="AX18" s="218">
        <f>+'[3]18 Demais Contas a Pagar'!$G$14</f>
        <v>0</v>
      </c>
      <c r="AY18" s="218">
        <f>+'[3]18 Demais Contas a Pagar'!$G$14</f>
        <v>0</v>
      </c>
      <c r="AZ18" s="218">
        <f>+'[3]18 Demais Contas a Pagar'!$G$14</f>
        <v>0</v>
      </c>
      <c r="BA18" s="218">
        <f>+'[3]18 Demais Contas a Pagar'!$G$14</f>
        <v>0</v>
      </c>
      <c r="BB18" s="218">
        <f>+'[3]18 Demais Contas a Pagar'!$G$14</f>
        <v>0</v>
      </c>
    </row>
    <row r="19" spans="1:54" s="249" customFormat="1" ht="14.25" hidden="1" customHeight="1" outlineLevel="1" x14ac:dyDescent="0.2">
      <c r="A19" s="249" t="s">
        <v>536</v>
      </c>
      <c r="B19" s="249" t="s">
        <v>1017</v>
      </c>
      <c r="C19" s="25"/>
      <c r="D19" s="250" t="str">
        <f>IF([1]RENAME!$H$3=1,B19,A19)</f>
        <v>Aquisições de terrenos a pagar</v>
      </c>
      <c r="E19" s="218">
        <v>0</v>
      </c>
      <c r="F19" s="219">
        <v>0</v>
      </c>
      <c r="G19" s="218">
        <v>0</v>
      </c>
      <c r="H19" s="218">
        <v>0</v>
      </c>
      <c r="I19" s="218">
        <v>0</v>
      </c>
      <c r="J19" s="218">
        <v>6400</v>
      </c>
      <c r="K19" s="218">
        <v>6400</v>
      </c>
      <c r="L19" s="218">
        <v>6400</v>
      </c>
      <c r="M19" s="218">
        <v>6400</v>
      </c>
      <c r="N19" s="218">
        <v>6400</v>
      </c>
      <c r="O19" s="218">
        <v>6400</v>
      </c>
      <c r="P19" s="218">
        <v>0</v>
      </c>
      <c r="Q19" s="218">
        <v>0</v>
      </c>
      <c r="R19" s="218">
        <v>0</v>
      </c>
      <c r="S19" s="218">
        <v>0</v>
      </c>
      <c r="T19" s="218">
        <v>0</v>
      </c>
      <c r="U19" s="218">
        <v>0</v>
      </c>
      <c r="V19" s="218">
        <v>0</v>
      </c>
      <c r="W19" s="218">
        <v>0</v>
      </c>
      <c r="X19" s="218">
        <v>0</v>
      </c>
      <c r="Y19" s="218">
        <v>0</v>
      </c>
      <c r="Z19" s="218"/>
      <c r="AA19" s="218">
        <v>0</v>
      </c>
      <c r="AB19" s="218">
        <v>0</v>
      </c>
      <c r="AC19" s="218">
        <v>0</v>
      </c>
      <c r="AD19" s="218">
        <v>0</v>
      </c>
      <c r="AE19" s="218">
        <v>0</v>
      </c>
      <c r="AF19" s="218">
        <v>0</v>
      </c>
      <c r="AG19" s="218">
        <v>0</v>
      </c>
      <c r="AH19" s="218">
        <v>0</v>
      </c>
      <c r="AI19" s="218">
        <v>0</v>
      </c>
      <c r="AJ19" s="218"/>
      <c r="AK19" s="218">
        <v>0</v>
      </c>
      <c r="AL19" s="218">
        <v>0</v>
      </c>
      <c r="AM19" s="218">
        <v>0</v>
      </c>
      <c r="AN19" s="218">
        <v>0</v>
      </c>
      <c r="AO19" s="218">
        <v>0</v>
      </c>
      <c r="AP19" s="218">
        <v>0</v>
      </c>
      <c r="AQ19" s="218">
        <v>0</v>
      </c>
      <c r="AR19" s="218">
        <v>0</v>
      </c>
      <c r="AS19" s="218">
        <v>0</v>
      </c>
      <c r="AT19" s="218"/>
      <c r="AU19" s="218"/>
      <c r="AV19" s="218"/>
      <c r="AW19" s="218"/>
      <c r="AX19" s="218">
        <v>0</v>
      </c>
      <c r="AY19" s="218">
        <v>0</v>
      </c>
      <c r="AZ19" s="218">
        <v>0</v>
      </c>
      <c r="BA19" s="218">
        <v>0</v>
      </c>
      <c r="BB19" s="218">
        <v>0</v>
      </c>
    </row>
    <row r="20" spans="1:54" s="249" customFormat="1" hidden="1" outlineLevel="1" x14ac:dyDescent="0.2">
      <c r="A20" s="249" t="s">
        <v>125</v>
      </c>
      <c r="B20" s="249" t="s">
        <v>1018</v>
      </c>
      <c r="C20" s="25"/>
      <c r="D20" s="250" t="str">
        <f>IF([1]RENAME!$H$3=1,B20,A20)</f>
        <v>Assessoria técnica / terraplanagem</v>
      </c>
      <c r="E20" s="218">
        <v>0</v>
      </c>
      <c r="F20" s="219">
        <v>0</v>
      </c>
      <c r="G20" s="218">
        <v>0</v>
      </c>
      <c r="H20" s="218">
        <v>10454</v>
      </c>
      <c r="I20" s="218">
        <v>6948</v>
      </c>
      <c r="J20" s="218">
        <v>0</v>
      </c>
      <c r="K20" s="218">
        <v>0</v>
      </c>
      <c r="L20" s="218">
        <v>0</v>
      </c>
      <c r="M20" s="218">
        <v>0</v>
      </c>
      <c r="N20" s="218">
        <v>0</v>
      </c>
      <c r="O20" s="218">
        <v>0</v>
      </c>
      <c r="P20" s="218">
        <v>0</v>
      </c>
      <c r="Q20" s="218">
        <v>0</v>
      </c>
      <c r="R20" s="218">
        <v>0</v>
      </c>
      <c r="S20" s="218">
        <v>0</v>
      </c>
      <c r="T20" s="218">
        <v>0</v>
      </c>
      <c r="U20" s="218">
        <v>0</v>
      </c>
      <c r="V20" s="218">
        <v>0</v>
      </c>
      <c r="W20" s="218">
        <v>0</v>
      </c>
      <c r="X20" s="218">
        <v>0</v>
      </c>
      <c r="Y20" s="218">
        <v>0</v>
      </c>
      <c r="Z20" s="218"/>
      <c r="AA20" s="218">
        <v>0</v>
      </c>
      <c r="AB20" s="218">
        <v>0</v>
      </c>
      <c r="AC20" s="218">
        <v>0</v>
      </c>
      <c r="AD20" s="218">
        <v>0</v>
      </c>
      <c r="AE20" s="218">
        <v>0</v>
      </c>
      <c r="AF20" s="218">
        <v>0</v>
      </c>
      <c r="AG20" s="218">
        <v>0</v>
      </c>
      <c r="AH20" s="218">
        <v>0</v>
      </c>
      <c r="AI20" s="218">
        <v>0</v>
      </c>
      <c r="AJ20" s="218"/>
      <c r="AK20" s="218">
        <v>0</v>
      </c>
      <c r="AL20" s="218">
        <v>0</v>
      </c>
      <c r="AM20" s="218">
        <v>0</v>
      </c>
      <c r="AN20" s="218">
        <v>0</v>
      </c>
      <c r="AO20" s="218">
        <v>0</v>
      </c>
      <c r="AP20" s="218">
        <v>0</v>
      </c>
      <c r="AQ20" s="218">
        <v>0</v>
      </c>
      <c r="AR20" s="218">
        <v>0</v>
      </c>
      <c r="AS20" s="218">
        <v>0</v>
      </c>
      <c r="AT20" s="218"/>
      <c r="AU20" s="218"/>
      <c r="AV20" s="218"/>
      <c r="AW20" s="218"/>
      <c r="AX20" s="218">
        <v>0</v>
      </c>
      <c r="AY20" s="218">
        <v>0</v>
      </c>
      <c r="AZ20" s="218">
        <v>0</v>
      </c>
      <c r="BA20" s="218">
        <v>0</v>
      </c>
      <c r="BB20" s="218">
        <v>0</v>
      </c>
    </row>
    <row r="21" spans="1:54" collapsed="1" x14ac:dyDescent="0.2">
      <c r="A21" s="25" t="s">
        <v>73</v>
      </c>
      <c r="B21" s="25" t="s">
        <v>73</v>
      </c>
      <c r="C21" s="27"/>
      <c r="D21" s="126" t="str">
        <f>IF([1]RENAME!$H$3=1,B21,A21)</f>
        <v>TOTAL</v>
      </c>
      <c r="E21" s="120">
        <f t="shared" ref="E21:AX21" si="9">SUM(E6:E20)</f>
        <v>45861</v>
      </c>
      <c r="F21" s="162">
        <f t="shared" si="9"/>
        <v>21772</v>
      </c>
      <c r="G21" s="120">
        <f t="shared" si="9"/>
        <v>20672</v>
      </c>
      <c r="H21" s="120">
        <f t="shared" si="9"/>
        <v>31656</v>
      </c>
      <c r="I21" s="120">
        <f t="shared" si="9"/>
        <v>22014</v>
      </c>
      <c r="J21" s="120">
        <f t="shared" si="9"/>
        <v>25575</v>
      </c>
      <c r="K21" s="120">
        <f t="shared" si="9"/>
        <v>17307</v>
      </c>
      <c r="L21" s="120">
        <f t="shared" si="9"/>
        <v>30643</v>
      </c>
      <c r="M21" s="120">
        <f t="shared" si="9"/>
        <v>31994</v>
      </c>
      <c r="N21" s="120">
        <f t="shared" si="9"/>
        <v>24228</v>
      </c>
      <c r="O21" s="120">
        <f t="shared" si="9"/>
        <v>22518</v>
      </c>
      <c r="P21" s="120">
        <f t="shared" si="9"/>
        <v>18011</v>
      </c>
      <c r="Q21" s="120">
        <f t="shared" si="9"/>
        <v>19131</v>
      </c>
      <c r="R21" s="120">
        <f t="shared" si="9"/>
        <v>18806</v>
      </c>
      <c r="S21" s="120">
        <f t="shared" si="9"/>
        <v>20787</v>
      </c>
      <c r="T21" s="120">
        <f t="shared" si="9"/>
        <v>26067</v>
      </c>
      <c r="U21" s="120">
        <f t="shared" si="9"/>
        <v>22736</v>
      </c>
      <c r="V21" s="120">
        <f t="shared" si="9"/>
        <v>22510</v>
      </c>
      <c r="W21" s="120">
        <f t="shared" si="9"/>
        <v>26432</v>
      </c>
      <c r="X21" s="120">
        <f t="shared" si="9"/>
        <v>30863</v>
      </c>
      <c r="Y21" s="120">
        <f t="shared" si="9"/>
        <v>22572</v>
      </c>
      <c r="Z21" s="120">
        <f t="shared" si="9"/>
        <v>25260</v>
      </c>
      <c r="AA21" s="120">
        <f t="shared" si="9"/>
        <v>31858</v>
      </c>
      <c r="AB21" s="120">
        <f t="shared" si="9"/>
        <v>29637</v>
      </c>
      <c r="AC21" s="120">
        <f t="shared" si="9"/>
        <v>28825</v>
      </c>
      <c r="AD21" s="120">
        <f t="shared" si="9"/>
        <v>29862</v>
      </c>
      <c r="AE21" s="120">
        <f t="shared" si="9"/>
        <v>30252</v>
      </c>
      <c r="AF21" s="120">
        <f t="shared" si="9"/>
        <v>30588</v>
      </c>
      <c r="AG21" s="120">
        <f t="shared" si="9"/>
        <v>25480</v>
      </c>
      <c r="AH21" s="120">
        <f t="shared" si="9"/>
        <v>26483</v>
      </c>
      <c r="AI21" s="120">
        <f t="shared" si="9"/>
        <v>23986</v>
      </c>
      <c r="AJ21" s="120">
        <f t="shared" si="9"/>
        <v>27057</v>
      </c>
      <c r="AK21" s="120">
        <f t="shared" si="9"/>
        <v>23261</v>
      </c>
      <c r="AL21" s="120">
        <f t="shared" si="9"/>
        <v>26414</v>
      </c>
      <c r="AM21" s="120">
        <f t="shared" si="9"/>
        <v>31363</v>
      </c>
      <c r="AN21" s="120">
        <f t="shared" si="9"/>
        <v>39126</v>
      </c>
      <c r="AO21" s="120">
        <f t="shared" si="9"/>
        <v>32255</v>
      </c>
      <c r="AP21" s="120">
        <f t="shared" si="9"/>
        <v>30478</v>
      </c>
      <c r="AQ21" s="120">
        <f t="shared" si="9"/>
        <v>29824</v>
      </c>
      <c r="AR21" s="120">
        <f t="shared" si="9"/>
        <v>36632</v>
      </c>
      <c r="AS21" s="120">
        <f t="shared" si="9"/>
        <v>30730</v>
      </c>
      <c r="AT21" s="120">
        <f t="shared" si="9"/>
        <v>34519</v>
      </c>
      <c r="AU21" s="120">
        <f t="shared" si="9"/>
        <v>38033</v>
      </c>
      <c r="AV21" s="120">
        <f t="shared" si="9"/>
        <v>45780</v>
      </c>
      <c r="AW21" s="120">
        <f t="shared" si="9"/>
        <v>41642</v>
      </c>
      <c r="AX21" s="120">
        <f t="shared" si="9"/>
        <v>39066</v>
      </c>
      <c r="AY21" s="120">
        <f>SUM(AY6:AY20)</f>
        <v>42920</v>
      </c>
      <c r="AZ21" s="120">
        <f>SUM(AZ6:AZ20)</f>
        <v>71554</v>
      </c>
      <c r="BA21" s="120">
        <f>SUM(BA6:BA20)</f>
        <v>65281</v>
      </c>
      <c r="BB21" s="120">
        <f>SUM(BB6:BB20)</f>
        <v>72357</v>
      </c>
    </row>
    <row r="22" spans="1:54" ht="15.75" customHeight="1" x14ac:dyDescent="0.2">
      <c r="C22" s="27"/>
      <c r="E22" s="69">
        <f>+E21-BP!U50</f>
        <v>0</v>
      </c>
      <c r="F22" s="69">
        <f>+F21-BP!V50</f>
        <v>0</v>
      </c>
      <c r="G22" s="69">
        <f>+G21-BP!W50</f>
        <v>0</v>
      </c>
      <c r="H22" s="69">
        <f>+H21-BP!X50</f>
        <v>0</v>
      </c>
      <c r="I22" s="69">
        <f>+I21-BP!Y50</f>
        <v>0</v>
      </c>
      <c r="J22" s="69">
        <f>+J21-BP!Z50</f>
        <v>0</v>
      </c>
      <c r="K22" s="69">
        <f>+K21-BP!AA50</f>
        <v>0</v>
      </c>
      <c r="L22" s="69">
        <f>+L21-BP!AB50</f>
        <v>0</v>
      </c>
      <c r="M22" s="69">
        <f>+M21-BP!AC50</f>
        <v>0</v>
      </c>
      <c r="N22" s="69">
        <f>+N21-BP!AD50</f>
        <v>0</v>
      </c>
      <c r="O22" s="69">
        <f>+O21-BP!AE50</f>
        <v>0</v>
      </c>
      <c r="P22" s="69">
        <f>+P21-BP!AF50</f>
        <v>0</v>
      </c>
      <c r="Q22" s="69">
        <f>+Q21-BP!AG50</f>
        <v>0</v>
      </c>
      <c r="R22" s="69">
        <f>+R21-BP!AH50</f>
        <v>0</v>
      </c>
      <c r="S22" s="69">
        <f>+S21-BP!AI50</f>
        <v>0</v>
      </c>
      <c r="T22" s="69">
        <f>BP!AJ50-T21</f>
        <v>0</v>
      </c>
      <c r="U22" s="69">
        <f>BP!AK50-U21</f>
        <v>0</v>
      </c>
      <c r="V22" s="69">
        <f>BP!AL50-V21</f>
        <v>0</v>
      </c>
      <c r="W22" s="69">
        <f>BP!AM50-W21</f>
        <v>0</v>
      </c>
      <c r="X22" s="69">
        <f>BP!AN50-X21</f>
        <v>0</v>
      </c>
      <c r="Y22" s="69">
        <f>BP!AO50-Y21</f>
        <v>0</v>
      </c>
      <c r="Z22" s="69">
        <f>BP!AP50-Z21</f>
        <v>0</v>
      </c>
      <c r="AA22" s="69">
        <v>0</v>
      </c>
      <c r="AB22" s="69">
        <v>0</v>
      </c>
      <c r="AC22" s="69">
        <f>BP!AS50-AC21</f>
        <v>0</v>
      </c>
      <c r="AD22" s="69">
        <f>BP!AT50-AD21</f>
        <v>0</v>
      </c>
      <c r="AE22" s="69">
        <f>BP!AU50-AE21</f>
        <v>0</v>
      </c>
      <c r="AF22" s="69">
        <f>BP!AV50-AF21</f>
        <v>0</v>
      </c>
      <c r="AG22" s="69">
        <f>BP!AW50-AG21</f>
        <v>0</v>
      </c>
      <c r="AH22" s="69">
        <f>BP!AX50-AH21</f>
        <v>0</v>
      </c>
      <c r="AI22" s="69">
        <f>BP!AY50-AI21</f>
        <v>0</v>
      </c>
      <c r="AJ22" s="69">
        <f>BP!AZ50-AJ21</f>
        <v>0</v>
      </c>
      <c r="AK22" s="69">
        <v>0</v>
      </c>
      <c r="AL22" s="69">
        <f>BP!BB50-AL21</f>
        <v>0</v>
      </c>
      <c r="AM22" s="69">
        <v>0</v>
      </c>
      <c r="AN22" s="69">
        <f>BP!BD50-AN21</f>
        <v>0</v>
      </c>
      <c r="AO22" s="69">
        <f>BP!BE50-AO21</f>
        <v>0</v>
      </c>
      <c r="AP22" s="69">
        <f>BP!BF50-AP21</f>
        <v>0</v>
      </c>
      <c r="AQ22" s="69">
        <f>BP!BG50-AQ21</f>
        <v>0</v>
      </c>
      <c r="AR22" s="69">
        <f>BP!BH50-AR21</f>
        <v>0</v>
      </c>
      <c r="AS22" s="69">
        <f>BP!BI50-AS21</f>
        <v>0</v>
      </c>
      <c r="AT22" s="69">
        <f>BP!BJ50-AT21</f>
        <v>0</v>
      </c>
      <c r="AU22" s="69">
        <f>BP!BK50-AU21</f>
        <v>0</v>
      </c>
      <c r="AV22" s="69">
        <f>BP!BL50-AV21</f>
        <v>0</v>
      </c>
      <c r="AW22" s="69">
        <f>BP!BM50-AW21</f>
        <v>0</v>
      </c>
      <c r="AX22" s="69">
        <f>BP!BN50-AX21</f>
        <v>0</v>
      </c>
      <c r="AY22" s="69">
        <f>BP!BO50-AY21</f>
        <v>0</v>
      </c>
      <c r="AZ22" s="69">
        <f>BP!BP50-AZ21</f>
        <v>0</v>
      </c>
      <c r="BA22" s="69">
        <f>BP!BQ50-BA21</f>
        <v>0</v>
      </c>
      <c r="BB22" s="69">
        <f>BP!BR50-BB21</f>
        <v>0</v>
      </c>
    </row>
    <row r="23" spans="1:54" ht="15.75" customHeight="1" x14ac:dyDescent="0.2">
      <c r="A23" s="25" t="s">
        <v>97</v>
      </c>
      <c r="B23" s="25" t="s">
        <v>872</v>
      </c>
      <c r="D23" s="115" t="str">
        <f>IF([1]RENAME!$H$3=1,B23,A23)</f>
        <v>Controladora</v>
      </c>
      <c r="E23" s="115" t="str">
        <f t="shared" ref="E23:AX23" si="10">E5</f>
        <v>1T14</v>
      </c>
      <c r="F23" s="222" t="str">
        <f t="shared" si="10"/>
        <v>2T14</v>
      </c>
      <c r="G23" s="115" t="str">
        <f t="shared" si="10"/>
        <v>3T14</v>
      </c>
      <c r="H23" s="115" t="str">
        <f t="shared" si="10"/>
        <v>4T14</v>
      </c>
      <c r="I23" s="115" t="str">
        <f t="shared" si="10"/>
        <v>1T15</v>
      </c>
      <c r="J23" s="115" t="str">
        <f t="shared" si="10"/>
        <v>2T15</v>
      </c>
      <c r="K23" s="115" t="str">
        <f t="shared" si="10"/>
        <v>3T15</v>
      </c>
      <c r="L23" s="115" t="str">
        <f t="shared" si="10"/>
        <v>4T15</v>
      </c>
      <c r="M23" s="115" t="str">
        <f t="shared" si="10"/>
        <v>1T16</v>
      </c>
      <c r="N23" s="115" t="str">
        <f t="shared" si="10"/>
        <v>2T16</v>
      </c>
      <c r="O23" s="115" t="str">
        <f t="shared" si="10"/>
        <v>3T16</v>
      </c>
      <c r="P23" s="115" t="str">
        <f t="shared" si="10"/>
        <v>4T16</v>
      </c>
      <c r="Q23" s="115" t="str">
        <f t="shared" si="10"/>
        <v>1T17</v>
      </c>
      <c r="R23" s="115" t="str">
        <f t="shared" si="10"/>
        <v>2T17</v>
      </c>
      <c r="S23" s="115" t="str">
        <f t="shared" si="10"/>
        <v>3T17</v>
      </c>
      <c r="T23" s="115" t="str">
        <f t="shared" si="10"/>
        <v>4T17</v>
      </c>
      <c r="U23" s="115" t="str">
        <f t="shared" si="10"/>
        <v>1T18</v>
      </c>
      <c r="V23" s="115" t="str">
        <f t="shared" si="10"/>
        <v>2T18</v>
      </c>
      <c r="W23" s="115" t="str">
        <f t="shared" si="10"/>
        <v>3T18</v>
      </c>
      <c r="X23" s="115" t="str">
        <f t="shared" si="10"/>
        <v>4T18</v>
      </c>
      <c r="Y23" s="115" t="str">
        <f t="shared" si="10"/>
        <v>1T19</v>
      </c>
      <c r="Z23" s="115" t="str">
        <f t="shared" si="10"/>
        <v>2T19</v>
      </c>
      <c r="AA23" s="115" t="str">
        <f t="shared" si="10"/>
        <v>3T19</v>
      </c>
      <c r="AB23" s="115" t="str">
        <f t="shared" si="10"/>
        <v>4T19</v>
      </c>
      <c r="AC23" s="115" t="str">
        <f t="shared" si="10"/>
        <v>1T20</v>
      </c>
      <c r="AD23" s="115" t="str">
        <f t="shared" si="10"/>
        <v>2T20</v>
      </c>
      <c r="AE23" s="115" t="str">
        <f t="shared" si="10"/>
        <v>3T20</v>
      </c>
      <c r="AF23" s="115" t="str">
        <f t="shared" si="10"/>
        <v>4T20</v>
      </c>
      <c r="AG23" s="115" t="str">
        <f t="shared" si="10"/>
        <v>1T21</v>
      </c>
      <c r="AH23" s="115" t="str">
        <f t="shared" si="10"/>
        <v>2T21</v>
      </c>
      <c r="AI23" s="115" t="str">
        <f t="shared" si="10"/>
        <v>3T21</v>
      </c>
      <c r="AJ23" s="115" t="str">
        <f t="shared" si="10"/>
        <v>4T21</v>
      </c>
      <c r="AK23" s="115" t="str">
        <f t="shared" si="10"/>
        <v>1T22</v>
      </c>
      <c r="AL23" s="115" t="str">
        <f t="shared" si="10"/>
        <v>2T22</v>
      </c>
      <c r="AM23" s="115" t="str">
        <f t="shared" si="10"/>
        <v>3T22</v>
      </c>
      <c r="AN23" s="115" t="str">
        <f t="shared" si="10"/>
        <v>4T22</v>
      </c>
      <c r="AO23" s="115" t="str">
        <f t="shared" si="10"/>
        <v>1T23</v>
      </c>
      <c r="AP23" s="115" t="str">
        <f t="shared" si="10"/>
        <v>2T23</v>
      </c>
      <c r="AQ23" s="115" t="str">
        <f t="shared" si="10"/>
        <v>3T23</v>
      </c>
      <c r="AR23" s="115" t="str">
        <f t="shared" si="10"/>
        <v>4T23</v>
      </c>
      <c r="AS23" s="115" t="str">
        <f t="shared" si="10"/>
        <v>1T24</v>
      </c>
      <c r="AT23" s="115" t="str">
        <f t="shared" si="10"/>
        <v>2T24</v>
      </c>
      <c r="AU23" s="115" t="str">
        <f t="shared" si="10"/>
        <v>3T24</v>
      </c>
      <c r="AV23" s="115" t="str">
        <f t="shared" si="10"/>
        <v>4T24</v>
      </c>
      <c r="AW23" s="115" t="str">
        <f t="shared" si="10"/>
        <v>1T25</v>
      </c>
      <c r="AX23" s="115" t="str">
        <f t="shared" si="10"/>
        <v>2T25</v>
      </c>
      <c r="AY23" s="115" t="str">
        <f>AY5</f>
        <v>3T25</v>
      </c>
      <c r="AZ23" s="115" t="str">
        <f>AZ5</f>
        <v>4T25</v>
      </c>
      <c r="BA23" s="247" t="str">
        <f>BA5</f>
        <v>1T26</v>
      </c>
      <c r="BB23" s="115" t="str">
        <f>BB5</f>
        <v>2T26</v>
      </c>
    </row>
    <row r="24" spans="1:54" x14ac:dyDescent="0.2">
      <c r="A24" s="25" t="s">
        <v>401</v>
      </c>
      <c r="B24" s="25" t="s">
        <v>1006</v>
      </c>
      <c r="D24" s="129" t="str">
        <f>IF([1]RENAME!$H$3=1,B24,A24)</f>
        <v>Movimentação de veículos e cargas</v>
      </c>
      <c r="E24" s="118">
        <v>663</v>
      </c>
      <c r="F24" s="160">
        <v>337</v>
      </c>
      <c r="G24" s="118">
        <v>579</v>
      </c>
      <c r="H24" s="118">
        <v>876</v>
      </c>
      <c r="I24" s="118">
        <v>1125</v>
      </c>
      <c r="J24" s="118">
        <v>603</v>
      </c>
      <c r="K24" s="118">
        <v>887</v>
      </c>
      <c r="L24" s="118">
        <v>718</v>
      </c>
      <c r="M24" s="118">
        <v>510</v>
      </c>
      <c r="N24" s="118">
        <v>777</v>
      </c>
      <c r="O24" s="118">
        <v>768</v>
      </c>
      <c r="P24" s="118">
        <v>1256</v>
      </c>
      <c r="Q24" s="118">
        <v>1185</v>
      </c>
      <c r="R24" s="118">
        <v>1226</v>
      </c>
      <c r="S24" s="118">
        <v>1506</v>
      </c>
      <c r="T24" s="118">
        <v>1565</v>
      </c>
      <c r="U24" s="118">
        <v>1525</v>
      </c>
      <c r="V24" s="118">
        <v>1458</v>
      </c>
      <c r="W24" s="118">
        <v>1285</v>
      </c>
      <c r="X24" s="118">
        <v>1308</v>
      </c>
      <c r="Y24" s="118">
        <v>1112</v>
      </c>
      <c r="Z24" s="118">
        <v>885</v>
      </c>
      <c r="AA24" s="118">
        <v>992</v>
      </c>
      <c r="AB24" s="118">
        <v>917</v>
      </c>
      <c r="AC24" s="118">
        <v>752</v>
      </c>
      <c r="AD24" s="118">
        <v>404</v>
      </c>
      <c r="AE24" s="118">
        <v>644</v>
      </c>
      <c r="AF24" s="118">
        <v>908</v>
      </c>
      <c r="AG24" s="118">
        <v>885</v>
      </c>
      <c r="AH24" s="118">
        <v>781</v>
      </c>
      <c r="AI24" s="118">
        <v>711</v>
      </c>
      <c r="AJ24" s="118">
        <v>1157</v>
      </c>
      <c r="AK24" s="118">
        <v>1259</v>
      </c>
      <c r="AL24" s="118">
        <v>1179</v>
      </c>
      <c r="AM24" s="118">
        <v>1150</v>
      </c>
      <c r="AN24" s="118">
        <v>1249</v>
      </c>
      <c r="AO24" s="118">
        <v>1308</v>
      </c>
      <c r="AP24" s="118">
        <v>952</v>
      </c>
      <c r="AQ24" s="118">
        <v>1373</v>
      </c>
      <c r="AR24" s="118">
        <v>1153</v>
      </c>
      <c r="AS24" s="118">
        <v>1013</v>
      </c>
      <c r="AT24" s="118">
        <v>1878</v>
      </c>
      <c r="AU24" s="118">
        <v>2364</v>
      </c>
      <c r="AV24" s="118">
        <v>2431</v>
      </c>
      <c r="AW24" s="118">
        <v>1191</v>
      </c>
      <c r="AX24" s="118">
        <v>1880</v>
      </c>
      <c r="AY24" s="118">
        <v>2694</v>
      </c>
      <c r="AZ24" s="118">
        <v>1742</v>
      </c>
      <c r="BA24" s="118">
        <v>1909</v>
      </c>
      <c r="BB24" s="118">
        <f>+'[3]18 Demais Contas a Pagar'!$C$5</f>
        <v>1961</v>
      </c>
    </row>
    <row r="25" spans="1:54" x14ac:dyDescent="0.2">
      <c r="A25" s="25" t="s">
        <v>118</v>
      </c>
      <c r="B25" s="25" t="s">
        <v>1007</v>
      </c>
      <c r="D25" s="129" t="str">
        <f>IF([1]RENAME!$H$3=1,B25,A25)</f>
        <v>Pedágio</v>
      </c>
      <c r="E25" s="118">
        <v>2676</v>
      </c>
      <c r="F25" s="160">
        <v>2402</v>
      </c>
      <c r="G25" s="118">
        <v>0</v>
      </c>
      <c r="H25" s="118">
        <v>3071</v>
      </c>
      <c r="I25" s="118">
        <v>52</v>
      </c>
      <c r="J25" s="118">
        <v>1780</v>
      </c>
      <c r="K25" s="118">
        <v>20</v>
      </c>
      <c r="L25" s="118">
        <v>2656</v>
      </c>
      <c r="M25" s="118">
        <v>2092</v>
      </c>
      <c r="N25" s="118">
        <v>2210</v>
      </c>
      <c r="O25" s="118">
        <v>2249</v>
      </c>
      <c r="P25" s="118">
        <v>3454</v>
      </c>
      <c r="Q25" s="118">
        <v>2575</v>
      </c>
      <c r="R25" s="118">
        <v>2878</v>
      </c>
      <c r="S25" s="118">
        <v>3099</v>
      </c>
      <c r="T25" s="118">
        <v>4026</v>
      </c>
      <c r="U25" s="118">
        <v>3256</v>
      </c>
      <c r="V25" s="118">
        <v>1050</v>
      </c>
      <c r="W25" s="118">
        <v>1253</v>
      </c>
      <c r="X25" s="118">
        <v>2395</v>
      </c>
      <c r="Y25" s="118">
        <v>1748</v>
      </c>
      <c r="Z25" s="118">
        <v>3136</v>
      </c>
      <c r="AA25" s="118">
        <v>1716</v>
      </c>
      <c r="AB25" s="118">
        <v>1994</v>
      </c>
      <c r="AC25" s="118">
        <v>1469</v>
      </c>
      <c r="AD25" s="118">
        <v>807</v>
      </c>
      <c r="AE25" s="118">
        <v>1570</v>
      </c>
      <c r="AF25" s="118">
        <v>3592</v>
      </c>
      <c r="AG25" s="118">
        <v>1463</v>
      </c>
      <c r="AH25" s="118">
        <v>1569</v>
      </c>
      <c r="AI25" s="118">
        <v>1501</v>
      </c>
      <c r="AJ25" s="118">
        <v>1923</v>
      </c>
      <c r="AK25" s="118">
        <v>1326</v>
      </c>
      <c r="AL25" s="118">
        <v>1541</v>
      </c>
      <c r="AM25" s="118">
        <v>1669</v>
      </c>
      <c r="AN25" s="118">
        <v>2241</v>
      </c>
      <c r="AO25" s="118">
        <v>2088</v>
      </c>
      <c r="AP25" s="118">
        <v>1944</v>
      </c>
      <c r="AQ25" s="118">
        <v>2294</v>
      </c>
      <c r="AR25" s="118">
        <v>2715</v>
      </c>
      <c r="AS25" s="118">
        <v>2355</v>
      </c>
      <c r="AT25" s="118">
        <v>5729</v>
      </c>
      <c r="AU25" s="118">
        <v>3625</v>
      </c>
      <c r="AV25" s="118">
        <v>3971</v>
      </c>
      <c r="AW25" s="118">
        <v>5729</v>
      </c>
      <c r="AX25" s="118">
        <v>3685</v>
      </c>
      <c r="AY25" s="118">
        <v>4238</v>
      </c>
      <c r="AZ25" s="118">
        <v>4149</v>
      </c>
      <c r="BA25" s="118">
        <v>4228</v>
      </c>
      <c r="BB25" s="118">
        <f>+'[3]18 Demais Contas a Pagar'!$C$6</f>
        <v>4437</v>
      </c>
    </row>
    <row r="26" spans="1:54" x14ac:dyDescent="0.2">
      <c r="A26" s="25" t="s">
        <v>119</v>
      </c>
      <c r="B26" s="25" t="s">
        <v>820</v>
      </c>
      <c r="D26" s="129" t="str">
        <f>IF([1]RENAME!$H$3=1,B26,A26)</f>
        <v>Aluguel</v>
      </c>
      <c r="E26" s="118">
        <v>3140</v>
      </c>
      <c r="F26" s="160">
        <v>2328</v>
      </c>
      <c r="G26" s="118">
        <v>1808</v>
      </c>
      <c r="H26" s="118">
        <v>2151</v>
      </c>
      <c r="I26" s="118">
        <v>2511</v>
      </c>
      <c r="J26" s="118">
        <v>2105</v>
      </c>
      <c r="K26" s="118">
        <v>1467</v>
      </c>
      <c r="L26" s="118">
        <v>1277</v>
      </c>
      <c r="M26" s="118">
        <v>1137</v>
      </c>
      <c r="N26" s="118">
        <v>910</v>
      </c>
      <c r="O26" s="118">
        <v>935</v>
      </c>
      <c r="P26" s="118">
        <v>1022</v>
      </c>
      <c r="Q26" s="118">
        <v>1323</v>
      </c>
      <c r="R26" s="118">
        <v>1542</v>
      </c>
      <c r="S26" s="118">
        <v>973</v>
      </c>
      <c r="T26" s="118">
        <v>1307</v>
      </c>
      <c r="U26" s="118">
        <v>1416</v>
      </c>
      <c r="V26" s="118">
        <v>1826</v>
      </c>
      <c r="W26" s="118">
        <v>2004</v>
      </c>
      <c r="X26" s="118">
        <v>1648</v>
      </c>
      <c r="Y26" s="118">
        <v>568</v>
      </c>
      <c r="Z26" s="118">
        <v>819</v>
      </c>
      <c r="AA26" s="118">
        <v>769</v>
      </c>
      <c r="AB26" s="118">
        <v>1043</v>
      </c>
      <c r="AC26" s="118">
        <v>1149</v>
      </c>
      <c r="AD26" s="118">
        <v>827</v>
      </c>
      <c r="AE26" s="118">
        <v>717</v>
      </c>
      <c r="AF26" s="118">
        <v>996</v>
      </c>
      <c r="AG26" s="118">
        <v>377</v>
      </c>
      <c r="AH26" s="118">
        <v>315</v>
      </c>
      <c r="AI26" s="118">
        <v>441</v>
      </c>
      <c r="AJ26" s="118">
        <v>806</v>
      </c>
      <c r="AK26" s="118">
        <v>814</v>
      </c>
      <c r="AL26" s="118">
        <v>2195</v>
      </c>
      <c r="AM26" s="118">
        <v>2301</v>
      </c>
      <c r="AN26" s="118">
        <v>2395</v>
      </c>
      <c r="AO26" s="118">
        <v>2128</v>
      </c>
      <c r="AP26" s="118">
        <v>3047</v>
      </c>
      <c r="AQ26" s="118">
        <v>2690</v>
      </c>
      <c r="AR26" s="118">
        <v>4679</v>
      </c>
      <c r="AS26" s="118">
        <v>2579</v>
      </c>
      <c r="AT26" s="118">
        <v>4206</v>
      </c>
      <c r="AU26" s="118">
        <v>6739</v>
      </c>
      <c r="AV26" s="118">
        <v>6355</v>
      </c>
      <c r="AW26" s="118">
        <v>5242</v>
      </c>
      <c r="AX26" s="118">
        <v>6148</v>
      </c>
      <c r="AY26" s="118">
        <v>5561</v>
      </c>
      <c r="AZ26" s="118">
        <v>5374</v>
      </c>
      <c r="BA26" s="118">
        <v>5140</v>
      </c>
      <c r="BB26" s="118">
        <f>+'[3]18 Demais Contas a Pagar'!$C$7</f>
        <v>5703</v>
      </c>
    </row>
    <row r="27" spans="1:54" x14ac:dyDescent="0.2">
      <c r="A27" s="25" t="s">
        <v>120</v>
      </c>
      <c r="B27" s="25" t="s">
        <v>1008</v>
      </c>
      <c r="D27" s="129" t="str">
        <f>IF([1]RENAME!$H$3=1,B27,A27)</f>
        <v>Seguros</v>
      </c>
      <c r="E27" s="118">
        <v>1184</v>
      </c>
      <c r="F27" s="160">
        <v>0</v>
      </c>
      <c r="G27" s="118">
        <v>0</v>
      </c>
      <c r="H27" s="118">
        <v>0</v>
      </c>
      <c r="I27" s="118">
        <v>167</v>
      </c>
      <c r="J27" s="118">
        <v>0</v>
      </c>
      <c r="K27" s="118">
        <v>0</v>
      </c>
      <c r="L27" s="118">
        <v>3402</v>
      </c>
      <c r="M27" s="118">
        <v>3799</v>
      </c>
      <c r="N27" s="118">
        <v>3470</v>
      </c>
      <c r="O27" s="118">
        <v>4354</v>
      </c>
      <c r="P27" s="118">
        <v>3903</v>
      </c>
      <c r="Q27" s="118">
        <v>4044</v>
      </c>
      <c r="R27" s="118">
        <v>3955</v>
      </c>
      <c r="S27" s="118">
        <v>5261</v>
      </c>
      <c r="T27" s="118">
        <v>5931</v>
      </c>
      <c r="U27" s="118">
        <v>5674</v>
      </c>
      <c r="V27" s="118">
        <v>5947</v>
      </c>
      <c r="W27" s="118">
        <v>6848</v>
      </c>
      <c r="X27" s="118">
        <v>5391</v>
      </c>
      <c r="Y27" s="118">
        <v>4908</v>
      </c>
      <c r="Z27" s="118">
        <v>6298</v>
      </c>
      <c r="AA27" s="118">
        <v>5538</v>
      </c>
      <c r="AB27" s="118">
        <v>5751</v>
      </c>
      <c r="AC27" s="118">
        <v>5037</v>
      </c>
      <c r="AD27" s="118">
        <v>4162</v>
      </c>
      <c r="AE27" s="118">
        <v>6707</v>
      </c>
      <c r="AF27" s="118">
        <v>4527</v>
      </c>
      <c r="AG27" s="118">
        <v>5379</v>
      </c>
      <c r="AH27" s="118">
        <v>6688</v>
      </c>
      <c r="AI27" s="118">
        <v>4446</v>
      </c>
      <c r="AJ27" s="118">
        <v>6062</v>
      </c>
      <c r="AK27" s="118">
        <v>4032</v>
      </c>
      <c r="AL27" s="118">
        <v>6164</v>
      </c>
      <c r="AM27" s="118">
        <v>9567</v>
      </c>
      <c r="AN27" s="118">
        <v>8841</v>
      </c>
      <c r="AO27" s="118">
        <v>5252</v>
      </c>
      <c r="AP27" s="118">
        <v>6693</v>
      </c>
      <c r="AQ27" s="118">
        <v>4655</v>
      </c>
      <c r="AR27" s="118">
        <v>6579</v>
      </c>
      <c r="AS27" s="118">
        <v>4822</v>
      </c>
      <c r="AT27" s="118">
        <v>5339</v>
      </c>
      <c r="AU27" s="118">
        <v>6992</v>
      </c>
      <c r="AV27" s="118">
        <v>10888</v>
      </c>
      <c r="AW27" s="118">
        <v>8321</v>
      </c>
      <c r="AX27" s="118">
        <v>8478</v>
      </c>
      <c r="AY27" s="118">
        <v>9642</v>
      </c>
      <c r="AZ27" s="118">
        <v>15221</v>
      </c>
      <c r="BA27" s="118">
        <v>10362</v>
      </c>
      <c r="BB27" s="118">
        <f>+'[3]18 Demais Contas a Pagar'!$C$8</f>
        <v>10805</v>
      </c>
    </row>
    <row r="28" spans="1:54" x14ac:dyDescent="0.2">
      <c r="A28" s="25" t="s">
        <v>556</v>
      </c>
      <c r="B28" s="25" t="s">
        <v>1009</v>
      </c>
      <c r="D28" s="129" t="str">
        <f>IF([1]RENAME!$H$3=1,B28,A28)</f>
        <v>Comunicação dados e voz</v>
      </c>
      <c r="E28" s="118">
        <v>404</v>
      </c>
      <c r="F28" s="160">
        <v>626</v>
      </c>
      <c r="G28" s="118">
        <v>718</v>
      </c>
      <c r="H28" s="118">
        <v>684</v>
      </c>
      <c r="I28" s="118">
        <v>546</v>
      </c>
      <c r="J28" s="118">
        <v>342</v>
      </c>
      <c r="K28" s="118">
        <v>0</v>
      </c>
      <c r="L28" s="118">
        <v>0</v>
      </c>
      <c r="M28" s="118">
        <v>0</v>
      </c>
      <c r="N28" s="118">
        <v>0</v>
      </c>
      <c r="O28" s="118">
        <v>0</v>
      </c>
      <c r="P28" s="118">
        <v>0</v>
      </c>
      <c r="Q28" s="118">
        <v>0</v>
      </c>
      <c r="R28" s="118">
        <v>0</v>
      </c>
      <c r="S28" s="118">
        <v>0</v>
      </c>
      <c r="T28" s="118">
        <v>0</v>
      </c>
      <c r="U28" s="118">
        <v>0</v>
      </c>
      <c r="V28" s="118">
        <v>0</v>
      </c>
      <c r="W28" s="118">
        <v>0</v>
      </c>
      <c r="X28" s="118">
        <v>270</v>
      </c>
      <c r="Y28" s="118">
        <v>0</v>
      </c>
      <c r="Z28" s="118">
        <v>0</v>
      </c>
      <c r="AA28" s="118">
        <v>0</v>
      </c>
      <c r="AB28" s="118">
        <v>0</v>
      </c>
      <c r="AC28" s="118">
        <v>0</v>
      </c>
      <c r="AD28" s="118">
        <v>0</v>
      </c>
      <c r="AE28" s="118">
        <v>0</v>
      </c>
      <c r="AF28" s="118">
        <v>0</v>
      </c>
      <c r="AG28" s="118">
        <v>0</v>
      </c>
      <c r="AH28" s="118">
        <v>0</v>
      </c>
      <c r="AI28" s="118">
        <v>0</v>
      </c>
      <c r="AJ28" s="118"/>
      <c r="AK28" s="118">
        <v>0</v>
      </c>
      <c r="AL28" s="118">
        <v>0</v>
      </c>
      <c r="AM28" s="118">
        <v>0</v>
      </c>
      <c r="AN28" s="118">
        <v>0</v>
      </c>
      <c r="AO28" s="118">
        <v>0</v>
      </c>
      <c r="AP28" s="118">
        <v>0</v>
      </c>
      <c r="AQ28" s="118">
        <v>0</v>
      </c>
      <c r="AR28" s="118">
        <v>0</v>
      </c>
      <c r="AS28" s="118">
        <v>0</v>
      </c>
      <c r="AT28" s="118">
        <v>0</v>
      </c>
      <c r="AU28" s="118">
        <v>0</v>
      </c>
      <c r="AV28" s="118">
        <v>0</v>
      </c>
      <c r="AW28" s="118">
        <v>0</v>
      </c>
      <c r="AX28" s="118">
        <v>0</v>
      </c>
      <c r="AY28" s="118">
        <v>0</v>
      </c>
      <c r="AZ28" s="118">
        <v>0</v>
      </c>
      <c r="BA28" s="118">
        <v>0</v>
      </c>
      <c r="BB28" s="118">
        <v>0</v>
      </c>
    </row>
    <row r="29" spans="1:54" x14ac:dyDescent="0.2">
      <c r="A29" s="25" t="s">
        <v>537</v>
      </c>
      <c r="B29" s="25" t="s">
        <v>1010</v>
      </c>
      <c r="D29" s="129" t="str">
        <f>IF([1]RENAME!$H$3=1,B29,A29)</f>
        <v>Benefícios</v>
      </c>
      <c r="E29" s="118">
        <v>344</v>
      </c>
      <c r="F29" s="160">
        <v>2188</v>
      </c>
      <c r="G29" s="118">
        <v>326</v>
      </c>
      <c r="H29" s="118">
        <v>1151</v>
      </c>
      <c r="I29" s="118">
        <v>657</v>
      </c>
      <c r="J29" s="118">
        <v>477</v>
      </c>
      <c r="K29" s="118">
        <v>754</v>
      </c>
      <c r="L29" s="118">
        <v>1589</v>
      </c>
      <c r="M29" s="118">
        <v>778</v>
      </c>
      <c r="N29" s="118">
        <v>1453</v>
      </c>
      <c r="O29" s="118">
        <v>641</v>
      </c>
      <c r="P29" s="118">
        <v>1397</v>
      </c>
      <c r="Q29" s="118">
        <v>1144</v>
      </c>
      <c r="R29" s="118">
        <v>1361</v>
      </c>
      <c r="S29" s="118">
        <v>1433</v>
      </c>
      <c r="T29" s="118">
        <v>3524</v>
      </c>
      <c r="U29" s="118">
        <v>2999</v>
      </c>
      <c r="V29" s="118">
        <v>1644</v>
      </c>
      <c r="W29" s="118">
        <v>1765</v>
      </c>
      <c r="X29" s="118">
        <v>3193</v>
      </c>
      <c r="Y29" s="118">
        <v>3900</v>
      </c>
      <c r="Z29" s="118">
        <v>3813</v>
      </c>
      <c r="AA29" s="118">
        <v>5614</v>
      </c>
      <c r="AB29" s="118">
        <v>5752</v>
      </c>
      <c r="AC29" s="118">
        <v>5316</v>
      </c>
      <c r="AD29" s="118">
        <v>5698</v>
      </c>
      <c r="AE29" s="118">
        <v>5343</v>
      </c>
      <c r="AF29" s="118">
        <v>6151</v>
      </c>
      <c r="AG29" s="118">
        <v>5599</v>
      </c>
      <c r="AH29" s="118">
        <v>6345</v>
      </c>
      <c r="AI29" s="118">
        <v>5213</v>
      </c>
      <c r="AJ29" s="118">
        <v>5480</v>
      </c>
      <c r="AK29" s="118">
        <v>5776</v>
      </c>
      <c r="AL29" s="118">
        <v>5638</v>
      </c>
      <c r="AM29" s="118">
        <v>3481</v>
      </c>
      <c r="AN29" s="118">
        <v>4954</v>
      </c>
      <c r="AO29" s="118">
        <v>3617</v>
      </c>
      <c r="AP29" s="118">
        <v>3252</v>
      </c>
      <c r="AQ29" s="118">
        <v>3555</v>
      </c>
      <c r="AR29" s="118">
        <v>5387</v>
      </c>
      <c r="AS29" s="118">
        <v>4637</v>
      </c>
      <c r="AT29" s="118">
        <v>3525</v>
      </c>
      <c r="AU29" s="118">
        <v>3165</v>
      </c>
      <c r="AV29" s="118">
        <v>4618</v>
      </c>
      <c r="AW29" s="118">
        <v>3289</v>
      </c>
      <c r="AX29" s="118">
        <v>2783</v>
      </c>
      <c r="AY29" s="118">
        <v>3280</v>
      </c>
      <c r="AZ29" s="118">
        <v>3695</v>
      </c>
      <c r="BA29" s="118">
        <v>3636</v>
      </c>
      <c r="BB29" s="118">
        <f>+'[3]18 Demais Contas a Pagar'!$C$10</f>
        <v>1267</v>
      </c>
    </row>
    <row r="30" spans="1:54" x14ac:dyDescent="0.2">
      <c r="A30" s="25" t="s">
        <v>121</v>
      </c>
      <c r="B30" s="25" t="s">
        <v>1011</v>
      </c>
      <c r="D30" s="129" t="str">
        <f>IF([1]RENAME!$H$3=1,B30,A30)</f>
        <v>Serviços de consultoria</v>
      </c>
      <c r="E30" s="118">
        <v>809</v>
      </c>
      <c r="F30" s="160">
        <v>270</v>
      </c>
      <c r="G30" s="118">
        <v>1150</v>
      </c>
      <c r="H30" s="118">
        <v>998</v>
      </c>
      <c r="I30" s="118">
        <v>627</v>
      </c>
      <c r="J30" s="118">
        <v>411</v>
      </c>
      <c r="K30" s="118">
        <v>488</v>
      </c>
      <c r="L30" s="118">
        <v>835</v>
      </c>
      <c r="M30" s="118">
        <v>497</v>
      </c>
      <c r="N30" s="118">
        <v>518</v>
      </c>
      <c r="O30" s="118">
        <v>656</v>
      </c>
      <c r="P30" s="118">
        <v>630</v>
      </c>
      <c r="Q30" s="118">
        <v>398</v>
      </c>
      <c r="R30" s="118">
        <v>528</v>
      </c>
      <c r="S30" s="118">
        <v>485</v>
      </c>
      <c r="T30" s="118">
        <v>1184</v>
      </c>
      <c r="U30" s="118">
        <v>1235</v>
      </c>
      <c r="V30" s="118">
        <v>789</v>
      </c>
      <c r="W30" s="118">
        <v>725</v>
      </c>
      <c r="X30" s="118">
        <v>1393</v>
      </c>
      <c r="Y30" s="118">
        <v>839</v>
      </c>
      <c r="Z30" s="118">
        <v>1116</v>
      </c>
      <c r="AA30" s="118">
        <v>6786</v>
      </c>
      <c r="AB30" s="118">
        <v>2333</v>
      </c>
      <c r="AC30" s="118">
        <v>4403</v>
      </c>
      <c r="AD30" s="118">
        <v>3774</v>
      </c>
      <c r="AE30" s="118">
        <v>1427</v>
      </c>
      <c r="AF30" s="118">
        <v>1797</v>
      </c>
      <c r="AG30" s="118">
        <v>1856</v>
      </c>
      <c r="AH30" s="118">
        <v>1437</v>
      </c>
      <c r="AI30" s="118">
        <v>1150</v>
      </c>
      <c r="AJ30" s="118">
        <v>1981</v>
      </c>
      <c r="AK30" s="118">
        <v>1323</v>
      </c>
      <c r="AL30" s="118">
        <v>2854</v>
      </c>
      <c r="AM30" s="118">
        <v>1514</v>
      </c>
      <c r="AN30" s="118">
        <v>2052</v>
      </c>
      <c r="AO30" s="118">
        <v>1731</v>
      </c>
      <c r="AP30" s="118">
        <v>2195</v>
      </c>
      <c r="AQ30" s="118">
        <v>2566</v>
      </c>
      <c r="AR30" s="118">
        <v>2543</v>
      </c>
      <c r="AS30" s="118">
        <v>2976</v>
      </c>
      <c r="AT30" s="118">
        <v>2721</v>
      </c>
      <c r="AU30" s="118">
        <v>2024</v>
      </c>
      <c r="AV30" s="118">
        <v>3286</v>
      </c>
      <c r="AW30" s="118">
        <v>2946</v>
      </c>
      <c r="AX30" s="118">
        <v>1654</v>
      </c>
      <c r="AY30" s="118">
        <v>2821</v>
      </c>
      <c r="AZ30" s="118">
        <v>2995</v>
      </c>
      <c r="BA30" s="118">
        <v>1797</v>
      </c>
      <c r="BB30" s="118">
        <f>+'[3]18 Demais Contas a Pagar'!$C$11</f>
        <v>1254</v>
      </c>
    </row>
    <row r="31" spans="1:54" x14ac:dyDescent="0.2">
      <c r="A31" s="25" t="s">
        <v>122</v>
      </c>
      <c r="B31" s="25" t="s">
        <v>1012</v>
      </c>
      <c r="D31" s="129" t="str">
        <f>IF([1]RENAME!$H$3=1,B31,A31)</f>
        <v>Manutenções diversas</v>
      </c>
      <c r="E31" s="118">
        <v>336</v>
      </c>
      <c r="F31" s="160">
        <v>474</v>
      </c>
      <c r="G31" s="118">
        <v>367</v>
      </c>
      <c r="H31" s="118">
        <v>739</v>
      </c>
      <c r="I31" s="118">
        <v>437</v>
      </c>
      <c r="J31" s="118">
        <v>473</v>
      </c>
      <c r="K31" s="118">
        <v>364</v>
      </c>
      <c r="L31" s="118">
        <v>743</v>
      </c>
      <c r="M31" s="118">
        <v>489</v>
      </c>
      <c r="N31" s="118">
        <v>361</v>
      </c>
      <c r="O31" s="118">
        <v>332</v>
      </c>
      <c r="P31" s="118">
        <v>363</v>
      </c>
      <c r="Q31" s="118">
        <v>413</v>
      </c>
      <c r="R31" s="118">
        <v>445</v>
      </c>
      <c r="S31" s="118">
        <v>755</v>
      </c>
      <c r="T31" s="118">
        <v>563</v>
      </c>
      <c r="U31" s="118">
        <v>650</v>
      </c>
      <c r="V31" s="118">
        <v>759</v>
      </c>
      <c r="W31" s="118">
        <v>1152</v>
      </c>
      <c r="X31" s="118">
        <v>1542</v>
      </c>
      <c r="Y31" s="118">
        <v>1106</v>
      </c>
      <c r="Z31" s="118">
        <v>1174</v>
      </c>
      <c r="AA31" s="118">
        <v>1065</v>
      </c>
      <c r="AB31" s="118">
        <v>873</v>
      </c>
      <c r="AC31" s="118">
        <v>1024</v>
      </c>
      <c r="AD31" s="118">
        <v>668</v>
      </c>
      <c r="AE31" s="118">
        <v>1131</v>
      </c>
      <c r="AF31" s="118">
        <v>1178</v>
      </c>
      <c r="AG31" s="118">
        <v>1245</v>
      </c>
      <c r="AH31" s="118">
        <v>1283</v>
      </c>
      <c r="AI31" s="118">
        <v>1327</v>
      </c>
      <c r="AJ31" s="118">
        <v>1266</v>
      </c>
      <c r="AK31" s="118">
        <v>1198</v>
      </c>
      <c r="AL31" s="118">
        <v>1215</v>
      </c>
      <c r="AM31" s="118">
        <v>1452</v>
      </c>
      <c r="AN31" s="118">
        <v>1747</v>
      </c>
      <c r="AO31" s="118">
        <v>1495</v>
      </c>
      <c r="AP31" s="118">
        <v>1501</v>
      </c>
      <c r="AQ31" s="118">
        <v>1539</v>
      </c>
      <c r="AR31" s="118">
        <v>1700</v>
      </c>
      <c r="AS31" s="118">
        <v>1648</v>
      </c>
      <c r="AT31" s="118">
        <v>1142</v>
      </c>
      <c r="AU31" s="118">
        <v>1740</v>
      </c>
      <c r="AV31" s="118">
        <v>2659</v>
      </c>
      <c r="AW31" s="118">
        <v>3179</v>
      </c>
      <c r="AX31" s="118">
        <v>2261</v>
      </c>
      <c r="AY31" s="118">
        <v>1772</v>
      </c>
      <c r="AZ31" s="118">
        <v>2518</v>
      </c>
      <c r="BA31" s="118">
        <v>2431</v>
      </c>
      <c r="BB31" s="118">
        <f>+'[3]18 Demais Contas a Pagar'!$C$12</f>
        <v>1597</v>
      </c>
    </row>
    <row r="32" spans="1:54" x14ac:dyDescent="0.2">
      <c r="A32" s="25" t="s">
        <v>123</v>
      </c>
      <c r="B32" s="25" t="s">
        <v>1013</v>
      </c>
      <c r="D32" s="129" t="str">
        <f>IF([1]RENAME!$H$3=1,B32,A32)</f>
        <v>Combustível</v>
      </c>
      <c r="E32" s="118">
        <v>0</v>
      </c>
      <c r="F32" s="160">
        <v>0</v>
      </c>
      <c r="G32" s="118">
        <v>0</v>
      </c>
      <c r="H32" s="118">
        <v>0</v>
      </c>
      <c r="I32" s="118">
        <v>0</v>
      </c>
      <c r="J32" s="118">
        <v>0</v>
      </c>
      <c r="K32" s="118">
        <v>0</v>
      </c>
      <c r="L32" s="118">
        <v>0</v>
      </c>
      <c r="M32" s="118">
        <v>0</v>
      </c>
      <c r="N32" s="118">
        <v>0</v>
      </c>
      <c r="O32" s="118">
        <v>0</v>
      </c>
      <c r="P32" s="118">
        <v>0</v>
      </c>
      <c r="Q32" s="118">
        <v>0</v>
      </c>
      <c r="R32" s="118">
        <v>0</v>
      </c>
      <c r="S32" s="118">
        <v>0</v>
      </c>
      <c r="T32" s="118">
        <v>0</v>
      </c>
      <c r="U32" s="118">
        <v>0</v>
      </c>
      <c r="V32" s="118">
        <v>0</v>
      </c>
      <c r="W32" s="118">
        <v>0</v>
      </c>
      <c r="X32" s="118">
        <v>0</v>
      </c>
      <c r="Y32" s="118">
        <v>0</v>
      </c>
      <c r="Z32" s="118">
        <v>0</v>
      </c>
      <c r="AA32" s="118">
        <v>0</v>
      </c>
      <c r="AB32" s="118">
        <v>0</v>
      </c>
      <c r="AC32" s="118">
        <v>0</v>
      </c>
      <c r="AD32" s="118">
        <v>0</v>
      </c>
      <c r="AE32" s="118">
        <v>0</v>
      </c>
      <c r="AF32" s="118">
        <v>0</v>
      </c>
      <c r="AG32" s="118">
        <v>0</v>
      </c>
      <c r="AH32" s="118">
        <v>0</v>
      </c>
      <c r="AI32" s="118">
        <v>0</v>
      </c>
      <c r="AJ32" s="118"/>
      <c r="AK32" s="118">
        <v>0</v>
      </c>
      <c r="AL32" s="118">
        <v>0</v>
      </c>
      <c r="AM32" s="118">
        <v>0</v>
      </c>
      <c r="AN32" s="118">
        <v>0</v>
      </c>
      <c r="AO32" s="118">
        <v>0</v>
      </c>
      <c r="AP32" s="118">
        <v>0</v>
      </c>
      <c r="AQ32" s="118">
        <v>0</v>
      </c>
      <c r="AR32" s="118">
        <v>0</v>
      </c>
      <c r="AS32" s="118">
        <v>0</v>
      </c>
      <c r="AT32" s="118">
        <v>0</v>
      </c>
      <c r="AU32" s="118">
        <v>0</v>
      </c>
      <c r="AV32" s="118">
        <v>0</v>
      </c>
      <c r="AW32" s="118">
        <v>0</v>
      </c>
      <c r="AX32" s="118">
        <v>0</v>
      </c>
      <c r="AY32" s="118">
        <v>0</v>
      </c>
      <c r="AZ32" s="118">
        <v>0</v>
      </c>
      <c r="BA32" s="118">
        <v>0</v>
      </c>
      <c r="BB32" s="118">
        <v>0</v>
      </c>
    </row>
    <row r="33" spans="1:54" x14ac:dyDescent="0.2">
      <c r="A33" s="25" t="s">
        <v>572</v>
      </c>
      <c r="B33" s="25" t="s">
        <v>1015</v>
      </c>
      <c r="D33" s="129" t="str">
        <f>IF([1]RENAME!$H$3=1,B33,A33)</f>
        <v>Impostos e taxas</v>
      </c>
      <c r="E33" s="118">
        <v>0</v>
      </c>
      <c r="F33" s="160">
        <v>0</v>
      </c>
      <c r="G33" s="118">
        <v>0</v>
      </c>
      <c r="H33" s="118">
        <v>0</v>
      </c>
      <c r="I33" s="118">
        <v>0</v>
      </c>
      <c r="J33" s="118">
        <v>0</v>
      </c>
      <c r="K33" s="118">
        <v>0</v>
      </c>
      <c r="L33" s="118">
        <v>0</v>
      </c>
      <c r="M33" s="118">
        <v>0</v>
      </c>
      <c r="N33" s="118">
        <v>0</v>
      </c>
      <c r="O33" s="118">
        <v>0</v>
      </c>
      <c r="P33" s="118">
        <v>0</v>
      </c>
      <c r="Q33" s="118">
        <v>1318</v>
      </c>
      <c r="R33" s="118">
        <v>1004</v>
      </c>
      <c r="S33" s="118">
        <v>462</v>
      </c>
      <c r="T33" s="118">
        <v>0</v>
      </c>
      <c r="U33" s="118">
        <v>0</v>
      </c>
      <c r="V33" s="118">
        <v>0</v>
      </c>
      <c r="W33" s="118">
        <v>0</v>
      </c>
      <c r="X33" s="118">
        <v>0</v>
      </c>
      <c r="Y33" s="118">
        <v>0</v>
      </c>
      <c r="Z33" s="118">
        <v>0</v>
      </c>
      <c r="AA33" s="118">
        <v>0</v>
      </c>
      <c r="AB33" s="118">
        <v>0</v>
      </c>
      <c r="AC33" s="118">
        <v>0</v>
      </c>
      <c r="AD33" s="118">
        <v>0</v>
      </c>
      <c r="AE33" s="118">
        <v>0</v>
      </c>
      <c r="AF33" s="118">
        <v>0</v>
      </c>
      <c r="AG33" s="118">
        <v>0</v>
      </c>
      <c r="AH33" s="118">
        <v>0</v>
      </c>
      <c r="AI33" s="118">
        <v>0</v>
      </c>
      <c r="AJ33" s="118"/>
      <c r="AK33" s="118">
        <v>0</v>
      </c>
      <c r="AL33" s="118">
        <v>0</v>
      </c>
      <c r="AM33" s="118">
        <v>0</v>
      </c>
      <c r="AN33" s="118">
        <v>0</v>
      </c>
      <c r="AO33" s="118">
        <v>0</v>
      </c>
      <c r="AP33" s="118">
        <v>0</v>
      </c>
      <c r="AQ33" s="118">
        <v>0</v>
      </c>
      <c r="AR33" s="118">
        <v>0</v>
      </c>
      <c r="AS33" s="118">
        <v>0</v>
      </c>
      <c r="AT33" s="118">
        <v>0</v>
      </c>
      <c r="AU33" s="118">
        <v>0</v>
      </c>
      <c r="AV33" s="118">
        <v>0</v>
      </c>
      <c r="AW33" s="118">
        <v>0</v>
      </c>
      <c r="AX33" s="118">
        <v>0</v>
      </c>
      <c r="AY33" s="118">
        <v>0</v>
      </c>
      <c r="AZ33" s="118">
        <v>0</v>
      </c>
      <c r="BA33" s="118">
        <v>0</v>
      </c>
      <c r="BB33" s="118">
        <v>0</v>
      </c>
    </row>
    <row r="34" spans="1:54" x14ac:dyDescent="0.2">
      <c r="A34" s="25" t="s">
        <v>582</v>
      </c>
      <c r="B34" s="25" t="s">
        <v>1016</v>
      </c>
      <c r="D34" s="129" t="str">
        <f>IF([1]RENAME!$H$3=1,B34,A34)</f>
        <v>Vigilância</v>
      </c>
      <c r="E34" s="118">
        <v>0</v>
      </c>
      <c r="F34" s="160">
        <v>0</v>
      </c>
      <c r="G34" s="118">
        <v>0</v>
      </c>
      <c r="H34" s="118">
        <v>0</v>
      </c>
      <c r="I34" s="118">
        <v>0</v>
      </c>
      <c r="J34" s="118">
        <v>0</v>
      </c>
      <c r="K34" s="118">
        <v>0</v>
      </c>
      <c r="L34" s="118">
        <v>0</v>
      </c>
      <c r="M34" s="118">
        <v>0</v>
      </c>
      <c r="N34" s="118">
        <v>0</v>
      </c>
      <c r="O34" s="118">
        <v>0</v>
      </c>
      <c r="P34" s="118">
        <v>0</v>
      </c>
      <c r="Q34" s="118">
        <v>0</v>
      </c>
      <c r="R34" s="118">
        <v>731</v>
      </c>
      <c r="S34" s="118">
        <v>611</v>
      </c>
      <c r="T34" s="118">
        <v>788</v>
      </c>
      <c r="U34" s="118">
        <v>634</v>
      </c>
      <c r="V34" s="118">
        <v>1362</v>
      </c>
      <c r="W34" s="118">
        <v>1530</v>
      </c>
      <c r="X34" s="118">
        <v>2040</v>
      </c>
      <c r="Y34" s="118">
        <v>1549</v>
      </c>
      <c r="Z34" s="118">
        <v>1698</v>
      </c>
      <c r="AA34" s="118">
        <v>959</v>
      </c>
      <c r="AB34" s="118">
        <v>2050</v>
      </c>
      <c r="AC34" s="118">
        <v>1841</v>
      </c>
      <c r="AD34" s="118">
        <v>1844</v>
      </c>
      <c r="AE34" s="118">
        <v>1749</v>
      </c>
      <c r="AF34" s="118">
        <v>1256</v>
      </c>
      <c r="AG34" s="118">
        <v>1723</v>
      </c>
      <c r="AH34" s="118">
        <v>1541</v>
      </c>
      <c r="AI34" s="118">
        <v>1312</v>
      </c>
      <c r="AJ34" s="118">
        <v>2489</v>
      </c>
      <c r="AK34" s="118">
        <v>2582</v>
      </c>
      <c r="AL34" s="118">
        <v>1522</v>
      </c>
      <c r="AM34" s="118">
        <v>1679</v>
      </c>
      <c r="AN34" s="118">
        <v>1780</v>
      </c>
      <c r="AO34" s="118">
        <v>1669</v>
      </c>
      <c r="AP34" s="118">
        <v>1637</v>
      </c>
      <c r="AQ34" s="118">
        <v>1456</v>
      </c>
      <c r="AR34" s="118">
        <v>1641</v>
      </c>
      <c r="AS34" s="118">
        <v>1693</v>
      </c>
      <c r="AT34" s="118">
        <v>2244</v>
      </c>
      <c r="AU34" s="118">
        <v>2749</v>
      </c>
      <c r="AV34" s="118">
        <v>3006</v>
      </c>
      <c r="AW34" s="118">
        <v>2998</v>
      </c>
      <c r="AX34" s="118">
        <v>3557</v>
      </c>
      <c r="AY34" s="118">
        <v>3990</v>
      </c>
      <c r="AZ34" s="118">
        <v>2021</v>
      </c>
      <c r="BA34" s="118">
        <v>4033</v>
      </c>
      <c r="BB34" s="118">
        <f>+'[3]18 Demais Contas a Pagar'!$C$16</f>
        <v>4573</v>
      </c>
    </row>
    <row r="35" spans="1:54" x14ac:dyDescent="0.2">
      <c r="A35" s="25" t="s">
        <v>49</v>
      </c>
      <c r="B35" s="25" t="s">
        <v>699</v>
      </c>
      <c r="D35" s="129" t="str">
        <f>IF([1]RENAME!$H$3=1,B35,A35)</f>
        <v>Outros</v>
      </c>
      <c r="E35" s="118">
        <v>2472</v>
      </c>
      <c r="F35" s="160">
        <v>2610</v>
      </c>
      <c r="G35" s="118">
        <v>4359</v>
      </c>
      <c r="H35" s="118">
        <v>5043</v>
      </c>
      <c r="I35" s="118">
        <v>2016</v>
      </c>
      <c r="J35" s="118">
        <v>2334</v>
      </c>
      <c r="K35" s="118">
        <v>1801</v>
      </c>
      <c r="L35" s="118">
        <v>1472</v>
      </c>
      <c r="M35" s="118">
        <v>1464</v>
      </c>
      <c r="N35" s="118">
        <v>1516</v>
      </c>
      <c r="O35" s="118">
        <v>1544</v>
      </c>
      <c r="P35" s="118">
        <v>1808</v>
      </c>
      <c r="Q35" s="118">
        <v>769</v>
      </c>
      <c r="R35" s="118">
        <v>466</v>
      </c>
      <c r="S35" s="118">
        <v>804</v>
      </c>
      <c r="T35" s="118">
        <v>1432</v>
      </c>
      <c r="U35" s="118">
        <v>743</v>
      </c>
      <c r="V35" s="118">
        <v>1638</v>
      </c>
      <c r="W35" s="118">
        <v>1695</v>
      </c>
      <c r="X35" s="118">
        <v>2814</v>
      </c>
      <c r="Y35" s="118">
        <v>1775</v>
      </c>
      <c r="Z35" s="118">
        <v>1720</v>
      </c>
      <c r="AA35" s="118">
        <v>3458</v>
      </c>
      <c r="AB35" s="118">
        <v>2872</v>
      </c>
      <c r="AC35" s="118">
        <v>4198</v>
      </c>
      <c r="AD35" s="118">
        <v>6407</v>
      </c>
      <c r="AE35" s="118">
        <v>4634</v>
      </c>
      <c r="AF35" s="118">
        <v>3653</v>
      </c>
      <c r="AG35" s="118">
        <v>2928</v>
      </c>
      <c r="AH35" s="118">
        <v>2463</v>
      </c>
      <c r="AI35" s="118">
        <v>3587</v>
      </c>
      <c r="AJ35" s="118">
        <v>2392</v>
      </c>
      <c r="AK35" s="118">
        <v>2155</v>
      </c>
      <c r="AL35" s="118">
        <v>1494</v>
      </c>
      <c r="AM35" s="118">
        <v>2846</v>
      </c>
      <c r="AN35" s="118">
        <v>3051</v>
      </c>
      <c r="AO35" s="118">
        <v>2605</v>
      </c>
      <c r="AP35" s="118">
        <v>2938</v>
      </c>
      <c r="AQ35" s="118">
        <v>2295</v>
      </c>
      <c r="AR35" s="118">
        <v>3369</v>
      </c>
      <c r="AS35" s="118">
        <v>2493</v>
      </c>
      <c r="AT35" s="118">
        <v>2468</v>
      </c>
      <c r="AU35" s="118">
        <v>3225</v>
      </c>
      <c r="AV35" s="118">
        <v>2227</v>
      </c>
      <c r="AW35" s="118">
        <v>2424</v>
      </c>
      <c r="AX35" s="118">
        <v>2287</v>
      </c>
      <c r="AY35" s="118">
        <v>1959</v>
      </c>
      <c r="AZ35" s="118">
        <v>3335</v>
      </c>
      <c r="BA35" s="118">
        <v>2741</v>
      </c>
      <c r="BB35" s="118">
        <f>+'[3]18 Demais Contas a Pagar'!$C$17+'[3]18 Demais Contas a Pagar'!$C$15+'[3]18 Demais Contas a Pagar'!$C$13+'[3]18 Demais Contas a Pagar'!$C$9</f>
        <v>5857</v>
      </c>
    </row>
    <row r="36" spans="1:54" s="249" customFormat="1" hidden="1" outlineLevel="1" x14ac:dyDescent="0.2">
      <c r="A36" s="249" t="s">
        <v>124</v>
      </c>
      <c r="B36" s="249" t="s">
        <v>1014</v>
      </c>
      <c r="C36" s="25"/>
      <c r="D36" s="250" t="str">
        <f>IF([1]RENAME!$H$3=1,B36,A36)</f>
        <v>Indenizações a Pagar</v>
      </c>
      <c r="E36" s="218">
        <v>0</v>
      </c>
      <c r="F36" s="219">
        <v>0</v>
      </c>
      <c r="G36" s="218">
        <v>37</v>
      </c>
      <c r="H36" s="218">
        <v>0</v>
      </c>
      <c r="I36" s="218">
        <v>0</v>
      </c>
      <c r="J36" s="218">
        <v>0</v>
      </c>
      <c r="K36" s="218">
        <v>0</v>
      </c>
      <c r="L36" s="218">
        <v>0</v>
      </c>
      <c r="M36" s="218">
        <v>0</v>
      </c>
      <c r="N36" s="218">
        <v>0</v>
      </c>
      <c r="O36" s="218">
        <v>0</v>
      </c>
      <c r="P36" s="218">
        <v>0</v>
      </c>
      <c r="Q36" s="218">
        <v>0</v>
      </c>
      <c r="R36" s="218">
        <v>0</v>
      </c>
      <c r="S36" s="218">
        <v>0</v>
      </c>
      <c r="T36" s="218">
        <v>0</v>
      </c>
      <c r="U36" s="218">
        <v>0</v>
      </c>
      <c r="V36" s="218">
        <v>0</v>
      </c>
      <c r="W36" s="218">
        <v>0</v>
      </c>
      <c r="X36" s="218">
        <v>0</v>
      </c>
      <c r="Y36" s="218">
        <v>0</v>
      </c>
      <c r="Z36" s="218"/>
      <c r="AA36" s="218">
        <v>0</v>
      </c>
      <c r="AB36" s="218">
        <v>0</v>
      </c>
      <c r="AC36" s="218">
        <v>0</v>
      </c>
      <c r="AD36" s="218">
        <v>0</v>
      </c>
      <c r="AE36" s="218">
        <v>0</v>
      </c>
      <c r="AF36" s="218">
        <v>0</v>
      </c>
      <c r="AG36" s="218">
        <f>+'[3]18 Demais Contas a Pagar'!$C$14</f>
        <v>0</v>
      </c>
      <c r="AH36" s="218">
        <f>+'[3]18 Demais Contas a Pagar'!$C$14</f>
        <v>0</v>
      </c>
      <c r="AI36" s="218">
        <v>0</v>
      </c>
      <c r="AJ36" s="218"/>
      <c r="AK36" s="218">
        <v>0</v>
      </c>
      <c r="AL36" s="218">
        <f>+'[3]18 Demais Contas a Pagar'!$C$14</f>
        <v>0</v>
      </c>
      <c r="AM36" s="218">
        <v>0</v>
      </c>
      <c r="AN36" s="218">
        <f>+'[3]18 Demais Contas a Pagar'!$C$14</f>
        <v>0</v>
      </c>
      <c r="AO36" s="218">
        <f>+'[3]18 Demais Contas a Pagar'!$C$14</f>
        <v>0</v>
      </c>
      <c r="AP36" s="218">
        <f>+'[3]18 Demais Contas a Pagar'!$C$14</f>
        <v>0</v>
      </c>
      <c r="AQ36" s="218">
        <f>+'[3]18 Demais Contas a Pagar'!$C$14</f>
        <v>0</v>
      </c>
      <c r="AR36" s="218">
        <f>+'[3]18 Demais Contas a Pagar'!$C$14</f>
        <v>0</v>
      </c>
      <c r="AS36" s="218">
        <f>+'[3]18 Demais Contas a Pagar'!$C$14</f>
        <v>0</v>
      </c>
      <c r="AT36" s="218"/>
      <c r="AU36" s="218"/>
      <c r="AV36" s="218">
        <v>0</v>
      </c>
      <c r="AW36" s="218"/>
      <c r="AX36" s="218">
        <f>+'[3]18 Demais Contas a Pagar'!$C$14</f>
        <v>0</v>
      </c>
      <c r="AY36" s="218">
        <f>+'[3]18 Demais Contas a Pagar'!$C$14</f>
        <v>0</v>
      </c>
      <c r="AZ36" s="218">
        <f>+'[3]18 Demais Contas a Pagar'!$C$14</f>
        <v>0</v>
      </c>
      <c r="BA36" s="218">
        <f>+'[3]18 Demais Contas a Pagar'!$C$14</f>
        <v>0</v>
      </c>
      <c r="BB36" s="218">
        <f>+'[3]18 Demais Contas a Pagar'!$C$14</f>
        <v>0</v>
      </c>
    </row>
    <row r="37" spans="1:54" s="249" customFormat="1" hidden="1" outlineLevel="1" x14ac:dyDescent="0.2">
      <c r="A37" s="249" t="s">
        <v>536</v>
      </c>
      <c r="B37" s="249" t="s">
        <v>1017</v>
      </c>
      <c r="C37" s="25"/>
      <c r="D37" s="250" t="str">
        <f>IF([1]RENAME!$H$3=1,B37,A37)</f>
        <v>Aquisições de terrenos a pagar</v>
      </c>
      <c r="E37" s="218">
        <v>0</v>
      </c>
      <c r="F37" s="219">
        <v>0</v>
      </c>
      <c r="G37" s="218">
        <v>0</v>
      </c>
      <c r="H37" s="218">
        <v>0</v>
      </c>
      <c r="I37" s="218">
        <v>0</v>
      </c>
      <c r="J37" s="218">
        <v>0</v>
      </c>
      <c r="K37" s="218">
        <v>0</v>
      </c>
      <c r="L37" s="218">
        <v>0</v>
      </c>
      <c r="M37" s="218">
        <v>0</v>
      </c>
      <c r="N37" s="218">
        <v>0</v>
      </c>
      <c r="O37" s="218">
        <v>0</v>
      </c>
      <c r="P37" s="218">
        <v>0</v>
      </c>
      <c r="Q37" s="218">
        <v>0</v>
      </c>
      <c r="R37" s="218">
        <v>0</v>
      </c>
      <c r="S37" s="218">
        <v>0</v>
      </c>
      <c r="T37" s="218">
        <v>0</v>
      </c>
      <c r="U37" s="218">
        <v>0</v>
      </c>
      <c r="V37" s="218">
        <v>0</v>
      </c>
      <c r="W37" s="218">
        <v>0</v>
      </c>
      <c r="X37" s="218">
        <v>0</v>
      </c>
      <c r="Y37" s="218">
        <v>0</v>
      </c>
      <c r="Z37" s="218"/>
      <c r="AA37" s="218">
        <v>0</v>
      </c>
      <c r="AB37" s="218">
        <v>0</v>
      </c>
      <c r="AC37" s="218">
        <v>0</v>
      </c>
      <c r="AD37" s="218">
        <v>0</v>
      </c>
      <c r="AE37" s="218">
        <v>0</v>
      </c>
      <c r="AF37" s="218">
        <v>0</v>
      </c>
      <c r="AG37" s="218">
        <v>0</v>
      </c>
      <c r="AH37" s="218">
        <v>0</v>
      </c>
      <c r="AI37" s="218">
        <v>0</v>
      </c>
      <c r="AJ37" s="218"/>
      <c r="AK37" s="218">
        <v>0</v>
      </c>
      <c r="AL37" s="218">
        <v>0</v>
      </c>
      <c r="AM37" s="218">
        <v>0</v>
      </c>
      <c r="AN37" s="218">
        <v>0</v>
      </c>
      <c r="AO37" s="218">
        <v>0</v>
      </c>
      <c r="AP37" s="218">
        <v>0</v>
      </c>
      <c r="AQ37" s="218">
        <v>0</v>
      </c>
      <c r="AR37" s="218">
        <v>0</v>
      </c>
      <c r="AS37" s="218">
        <v>0</v>
      </c>
      <c r="AT37" s="218"/>
      <c r="AU37" s="218"/>
      <c r="AV37" s="218">
        <v>0</v>
      </c>
      <c r="AW37" s="218"/>
      <c r="AX37" s="218">
        <v>0</v>
      </c>
      <c r="AY37" s="218">
        <v>0</v>
      </c>
      <c r="AZ37" s="218">
        <v>0</v>
      </c>
      <c r="BA37" s="218">
        <v>0</v>
      </c>
      <c r="BB37" s="218">
        <v>0</v>
      </c>
    </row>
    <row r="38" spans="1:54" s="249" customFormat="1" hidden="1" outlineLevel="1" x14ac:dyDescent="0.2">
      <c r="A38" s="249" t="s">
        <v>125</v>
      </c>
      <c r="B38" s="249" t="s">
        <v>1018</v>
      </c>
      <c r="C38" s="25"/>
      <c r="D38" s="250" t="str">
        <f>IF([1]RENAME!$H$3=1,B38,A38)</f>
        <v>Assessoria técnica / terraplanagem</v>
      </c>
      <c r="E38" s="218">
        <v>0</v>
      </c>
      <c r="F38" s="219">
        <v>0</v>
      </c>
      <c r="G38" s="218">
        <v>0</v>
      </c>
      <c r="H38" s="218">
        <v>10454</v>
      </c>
      <c r="I38" s="218">
        <v>6948</v>
      </c>
      <c r="J38" s="218">
        <v>0</v>
      </c>
      <c r="K38" s="218">
        <v>0</v>
      </c>
      <c r="L38" s="218">
        <v>0</v>
      </c>
      <c r="M38" s="218">
        <v>0</v>
      </c>
      <c r="N38" s="218">
        <v>0</v>
      </c>
      <c r="O38" s="218">
        <v>0</v>
      </c>
      <c r="P38" s="218">
        <v>0</v>
      </c>
      <c r="Q38" s="218">
        <v>0</v>
      </c>
      <c r="R38" s="218">
        <v>0</v>
      </c>
      <c r="S38" s="218">
        <v>0</v>
      </c>
      <c r="T38" s="218">
        <v>0</v>
      </c>
      <c r="U38" s="218">
        <v>0</v>
      </c>
      <c r="V38" s="218">
        <v>0</v>
      </c>
      <c r="W38" s="218">
        <v>0</v>
      </c>
      <c r="X38" s="218">
        <v>0</v>
      </c>
      <c r="Y38" s="218">
        <v>0</v>
      </c>
      <c r="Z38" s="218"/>
      <c r="AA38" s="218">
        <v>0</v>
      </c>
      <c r="AB38" s="218">
        <v>0</v>
      </c>
      <c r="AC38" s="218">
        <v>0</v>
      </c>
      <c r="AD38" s="218">
        <v>0</v>
      </c>
      <c r="AE38" s="218">
        <v>0</v>
      </c>
      <c r="AF38" s="218">
        <v>0</v>
      </c>
      <c r="AG38" s="218">
        <v>0</v>
      </c>
      <c r="AH38" s="218">
        <v>0</v>
      </c>
      <c r="AI38" s="218">
        <v>0</v>
      </c>
      <c r="AJ38" s="218"/>
      <c r="AK38" s="218">
        <v>0</v>
      </c>
      <c r="AL38" s="218">
        <v>0</v>
      </c>
      <c r="AM38" s="218">
        <v>0</v>
      </c>
      <c r="AN38" s="218">
        <v>0</v>
      </c>
      <c r="AO38" s="218">
        <v>0</v>
      </c>
      <c r="AP38" s="218">
        <v>0</v>
      </c>
      <c r="AQ38" s="218">
        <v>0</v>
      </c>
      <c r="AR38" s="218">
        <v>0</v>
      </c>
      <c r="AS38" s="218">
        <v>0</v>
      </c>
      <c r="AT38" s="218"/>
      <c r="AU38" s="218"/>
      <c r="AV38" s="218">
        <v>0</v>
      </c>
      <c r="AW38" s="218"/>
      <c r="AX38" s="218">
        <v>0</v>
      </c>
      <c r="AY38" s="218">
        <v>0</v>
      </c>
      <c r="AZ38" s="218">
        <v>0</v>
      </c>
      <c r="BA38" s="218">
        <v>0</v>
      </c>
      <c r="BB38" s="218">
        <v>0</v>
      </c>
    </row>
    <row r="39" spans="1:54" collapsed="1" x14ac:dyDescent="0.2">
      <c r="A39" s="25" t="s">
        <v>73</v>
      </c>
      <c r="B39" s="25" t="s">
        <v>73</v>
      </c>
      <c r="C39" s="27"/>
      <c r="D39" s="126" t="str">
        <f>IF([1]RENAME!$H$3=1,B39,A39)</f>
        <v>TOTAL</v>
      </c>
      <c r="E39" s="120">
        <f t="shared" ref="E39:AX39" si="11">SUM(E24:E38)</f>
        <v>12028</v>
      </c>
      <c r="F39" s="162">
        <f t="shared" si="11"/>
        <v>11235</v>
      </c>
      <c r="G39" s="120">
        <f t="shared" si="11"/>
        <v>9344</v>
      </c>
      <c r="H39" s="120">
        <f t="shared" si="11"/>
        <v>25167</v>
      </c>
      <c r="I39" s="120">
        <f t="shared" si="11"/>
        <v>15086</v>
      </c>
      <c r="J39" s="120">
        <f t="shared" si="11"/>
        <v>8525</v>
      </c>
      <c r="K39" s="120">
        <f t="shared" si="11"/>
        <v>5781</v>
      </c>
      <c r="L39" s="120">
        <f t="shared" si="11"/>
        <v>12692</v>
      </c>
      <c r="M39" s="120">
        <f t="shared" si="11"/>
        <v>10766</v>
      </c>
      <c r="N39" s="120">
        <f t="shared" si="11"/>
        <v>11215</v>
      </c>
      <c r="O39" s="120">
        <f t="shared" si="11"/>
        <v>11479</v>
      </c>
      <c r="P39" s="120">
        <f t="shared" si="11"/>
        <v>13833</v>
      </c>
      <c r="Q39" s="120">
        <f t="shared" si="11"/>
        <v>13169</v>
      </c>
      <c r="R39" s="120">
        <f t="shared" si="11"/>
        <v>14136</v>
      </c>
      <c r="S39" s="120">
        <f t="shared" si="11"/>
        <v>15389</v>
      </c>
      <c r="T39" s="120">
        <f t="shared" si="11"/>
        <v>20320</v>
      </c>
      <c r="U39" s="120">
        <f t="shared" si="11"/>
        <v>18132</v>
      </c>
      <c r="V39" s="120">
        <f t="shared" si="11"/>
        <v>16473</v>
      </c>
      <c r="W39" s="120">
        <f t="shared" si="11"/>
        <v>18257</v>
      </c>
      <c r="X39" s="120">
        <f t="shared" si="11"/>
        <v>21994</v>
      </c>
      <c r="Y39" s="120">
        <f t="shared" si="11"/>
        <v>17505</v>
      </c>
      <c r="Z39" s="120">
        <f t="shared" si="11"/>
        <v>20659</v>
      </c>
      <c r="AA39" s="120">
        <f t="shared" si="11"/>
        <v>26897</v>
      </c>
      <c r="AB39" s="120">
        <f t="shared" si="11"/>
        <v>23585</v>
      </c>
      <c r="AC39" s="120">
        <f t="shared" si="11"/>
        <v>25189</v>
      </c>
      <c r="AD39" s="120">
        <f t="shared" si="11"/>
        <v>24591</v>
      </c>
      <c r="AE39" s="120">
        <f t="shared" si="11"/>
        <v>23922</v>
      </c>
      <c r="AF39" s="120">
        <f t="shared" si="11"/>
        <v>24058</v>
      </c>
      <c r="AG39" s="120">
        <f t="shared" si="11"/>
        <v>21455</v>
      </c>
      <c r="AH39" s="120">
        <f t="shared" si="11"/>
        <v>22422</v>
      </c>
      <c r="AI39" s="120">
        <f t="shared" si="11"/>
        <v>19688</v>
      </c>
      <c r="AJ39" s="120">
        <f t="shared" si="11"/>
        <v>23556</v>
      </c>
      <c r="AK39" s="120">
        <f t="shared" si="11"/>
        <v>20465</v>
      </c>
      <c r="AL39" s="120">
        <f t="shared" si="11"/>
        <v>23802</v>
      </c>
      <c r="AM39" s="120">
        <f t="shared" si="11"/>
        <v>25659</v>
      </c>
      <c r="AN39" s="120">
        <f t="shared" si="11"/>
        <v>28310</v>
      </c>
      <c r="AO39" s="120">
        <f t="shared" si="11"/>
        <v>21893</v>
      </c>
      <c r="AP39" s="120">
        <f t="shared" si="11"/>
        <v>24159</v>
      </c>
      <c r="AQ39" s="120">
        <f t="shared" si="11"/>
        <v>22423</v>
      </c>
      <c r="AR39" s="120">
        <f t="shared" si="11"/>
        <v>29766</v>
      </c>
      <c r="AS39" s="120">
        <f t="shared" si="11"/>
        <v>24216</v>
      </c>
      <c r="AT39" s="120">
        <f t="shared" si="11"/>
        <v>29252</v>
      </c>
      <c r="AU39" s="120">
        <f t="shared" si="11"/>
        <v>32623</v>
      </c>
      <c r="AV39" s="120">
        <f t="shared" si="11"/>
        <v>39441</v>
      </c>
      <c r="AW39" s="120">
        <f t="shared" si="11"/>
        <v>35319</v>
      </c>
      <c r="AX39" s="120">
        <f t="shared" si="11"/>
        <v>32733</v>
      </c>
      <c r="AY39" s="120">
        <f>SUM(AY24:AY38)</f>
        <v>35957</v>
      </c>
      <c r="AZ39" s="120">
        <f>SUM(AZ24:AZ38)</f>
        <v>41050</v>
      </c>
      <c r="BA39" s="120">
        <f>SUM(BA24:BA38)</f>
        <v>36277</v>
      </c>
      <c r="BB39" s="120">
        <f>SUM(BB24:BB38)</f>
        <v>37454</v>
      </c>
    </row>
    <row r="41" spans="1:54" ht="15.75" customHeight="1" x14ac:dyDescent="0.2">
      <c r="A41" s="25" t="s">
        <v>98</v>
      </c>
      <c r="B41" s="25" t="s">
        <v>876</v>
      </c>
      <c r="D41" s="115" t="str">
        <f>IF([1]RENAME!$H$3=1,B41,A41)</f>
        <v>Controladas</v>
      </c>
      <c r="E41" s="115" t="str">
        <f t="shared" ref="E41:AX41" si="12">E5</f>
        <v>1T14</v>
      </c>
      <c r="F41" s="222" t="str">
        <f t="shared" si="12"/>
        <v>2T14</v>
      </c>
      <c r="G41" s="115" t="str">
        <f t="shared" si="12"/>
        <v>3T14</v>
      </c>
      <c r="H41" s="115" t="str">
        <f t="shared" si="12"/>
        <v>4T14</v>
      </c>
      <c r="I41" s="115" t="str">
        <f t="shared" si="12"/>
        <v>1T15</v>
      </c>
      <c r="J41" s="115" t="str">
        <f t="shared" si="12"/>
        <v>2T15</v>
      </c>
      <c r="K41" s="115" t="str">
        <f t="shared" si="12"/>
        <v>3T15</v>
      </c>
      <c r="L41" s="115" t="str">
        <f t="shared" si="12"/>
        <v>4T15</v>
      </c>
      <c r="M41" s="115" t="str">
        <f t="shared" si="12"/>
        <v>1T16</v>
      </c>
      <c r="N41" s="115" t="str">
        <f t="shared" si="12"/>
        <v>2T16</v>
      </c>
      <c r="O41" s="115" t="str">
        <f t="shared" si="12"/>
        <v>3T16</v>
      </c>
      <c r="P41" s="115" t="str">
        <f t="shared" si="12"/>
        <v>4T16</v>
      </c>
      <c r="Q41" s="115" t="str">
        <f t="shared" si="12"/>
        <v>1T17</v>
      </c>
      <c r="R41" s="115" t="str">
        <f t="shared" si="12"/>
        <v>2T17</v>
      </c>
      <c r="S41" s="115" t="str">
        <f t="shared" si="12"/>
        <v>3T17</v>
      </c>
      <c r="T41" s="115" t="str">
        <f t="shared" si="12"/>
        <v>4T17</v>
      </c>
      <c r="U41" s="115" t="str">
        <f t="shared" si="12"/>
        <v>1T18</v>
      </c>
      <c r="V41" s="115" t="str">
        <f t="shared" si="12"/>
        <v>2T18</v>
      </c>
      <c r="W41" s="115" t="str">
        <f t="shared" si="12"/>
        <v>3T18</v>
      </c>
      <c r="X41" s="115" t="str">
        <f t="shared" si="12"/>
        <v>4T18</v>
      </c>
      <c r="Y41" s="115" t="str">
        <f t="shared" si="12"/>
        <v>1T19</v>
      </c>
      <c r="Z41" s="115" t="str">
        <f t="shared" si="12"/>
        <v>2T19</v>
      </c>
      <c r="AA41" s="115" t="str">
        <f t="shared" si="12"/>
        <v>3T19</v>
      </c>
      <c r="AB41" s="115" t="str">
        <f t="shared" si="12"/>
        <v>4T19</v>
      </c>
      <c r="AC41" s="115" t="str">
        <f t="shared" si="12"/>
        <v>1T20</v>
      </c>
      <c r="AD41" s="115" t="str">
        <f t="shared" si="12"/>
        <v>2T20</v>
      </c>
      <c r="AE41" s="115" t="str">
        <f t="shared" si="12"/>
        <v>3T20</v>
      </c>
      <c r="AF41" s="115" t="str">
        <f t="shared" si="12"/>
        <v>4T20</v>
      </c>
      <c r="AG41" s="115" t="str">
        <f t="shared" si="12"/>
        <v>1T21</v>
      </c>
      <c r="AH41" s="115" t="str">
        <f t="shared" si="12"/>
        <v>2T21</v>
      </c>
      <c r="AI41" s="115" t="str">
        <f t="shared" si="12"/>
        <v>3T21</v>
      </c>
      <c r="AJ41" s="115" t="str">
        <f t="shared" si="12"/>
        <v>4T21</v>
      </c>
      <c r="AK41" s="115" t="str">
        <f t="shared" si="12"/>
        <v>1T22</v>
      </c>
      <c r="AL41" s="115" t="str">
        <f t="shared" si="12"/>
        <v>2T22</v>
      </c>
      <c r="AM41" s="115" t="str">
        <f t="shared" si="12"/>
        <v>3T22</v>
      </c>
      <c r="AN41" s="115" t="str">
        <f t="shared" si="12"/>
        <v>4T22</v>
      </c>
      <c r="AO41" s="115" t="str">
        <f t="shared" si="12"/>
        <v>1T23</v>
      </c>
      <c r="AP41" s="115" t="str">
        <f t="shared" si="12"/>
        <v>2T23</v>
      </c>
      <c r="AQ41" s="115" t="str">
        <f t="shared" si="12"/>
        <v>3T23</v>
      </c>
      <c r="AR41" s="115" t="str">
        <f t="shared" si="12"/>
        <v>4T23</v>
      </c>
      <c r="AS41" s="115" t="str">
        <f t="shared" si="12"/>
        <v>1T24</v>
      </c>
      <c r="AT41" s="115" t="str">
        <f t="shared" si="12"/>
        <v>2T24</v>
      </c>
      <c r="AU41" s="115" t="str">
        <f t="shared" si="12"/>
        <v>3T24</v>
      </c>
      <c r="AV41" s="115" t="str">
        <f t="shared" si="12"/>
        <v>4T24</v>
      </c>
      <c r="AW41" s="115" t="str">
        <f t="shared" si="12"/>
        <v>1T25</v>
      </c>
      <c r="AX41" s="115" t="str">
        <f t="shared" si="12"/>
        <v>2T25</v>
      </c>
      <c r="AY41" s="115" t="str">
        <f>AY5</f>
        <v>3T25</v>
      </c>
      <c r="AZ41" s="115" t="str">
        <f>AZ5</f>
        <v>4T25</v>
      </c>
      <c r="BA41" s="247" t="str">
        <f>BA5</f>
        <v>1T26</v>
      </c>
      <c r="BB41" s="115" t="str">
        <f>BB5</f>
        <v>2T26</v>
      </c>
    </row>
    <row r="42" spans="1:54" x14ac:dyDescent="0.2">
      <c r="A42" s="25" t="s">
        <v>401</v>
      </c>
      <c r="B42" s="25" t="s">
        <v>1006</v>
      </c>
      <c r="D42" s="129" t="str">
        <f>IF([1]RENAME!$H$3=1,B42,A42)</f>
        <v>Movimentação de veículos e cargas</v>
      </c>
      <c r="E42" s="118">
        <f t="shared" ref="E42:AU42" si="13">+E6-E24</f>
        <v>377</v>
      </c>
      <c r="F42" s="160">
        <f t="shared" si="13"/>
        <v>198</v>
      </c>
      <c r="G42" s="118">
        <f t="shared" si="13"/>
        <v>658</v>
      </c>
      <c r="H42" s="118">
        <f t="shared" si="13"/>
        <v>416</v>
      </c>
      <c r="I42" s="118">
        <f t="shared" si="13"/>
        <v>582</v>
      </c>
      <c r="J42" s="118">
        <f t="shared" si="13"/>
        <v>563</v>
      </c>
      <c r="K42" s="118">
        <f t="shared" si="13"/>
        <v>309</v>
      </c>
      <c r="L42" s="118">
        <f t="shared" si="13"/>
        <v>103</v>
      </c>
      <c r="M42" s="118">
        <f t="shared" si="13"/>
        <v>1028</v>
      </c>
      <c r="N42" s="118">
        <f t="shared" si="13"/>
        <v>1122</v>
      </c>
      <c r="O42" s="118">
        <f t="shared" si="13"/>
        <v>886</v>
      </c>
      <c r="P42" s="118">
        <f t="shared" si="13"/>
        <v>280</v>
      </c>
      <c r="Q42" s="118">
        <f t="shared" si="13"/>
        <v>817</v>
      </c>
      <c r="R42" s="118">
        <f t="shared" si="13"/>
        <v>2</v>
      </c>
      <c r="S42" s="118">
        <f t="shared" si="13"/>
        <v>920</v>
      </c>
      <c r="T42" s="118">
        <f t="shared" si="13"/>
        <v>530</v>
      </c>
      <c r="U42" s="118">
        <f t="shared" si="13"/>
        <v>461</v>
      </c>
      <c r="V42" s="118">
        <f t="shared" si="13"/>
        <v>1527</v>
      </c>
      <c r="W42" s="118">
        <f t="shared" si="13"/>
        <v>0</v>
      </c>
      <c r="X42" s="118">
        <f t="shared" si="13"/>
        <v>735</v>
      </c>
      <c r="Y42" s="118">
        <f t="shared" si="13"/>
        <v>1656</v>
      </c>
      <c r="Z42" s="118">
        <f t="shared" si="13"/>
        <v>1796</v>
      </c>
      <c r="AA42" s="118">
        <f t="shared" si="13"/>
        <v>1506</v>
      </c>
      <c r="AB42" s="118">
        <f t="shared" si="13"/>
        <v>1583</v>
      </c>
      <c r="AC42" s="118">
        <f t="shared" si="13"/>
        <v>279</v>
      </c>
      <c r="AD42" s="118">
        <f t="shared" si="13"/>
        <v>146</v>
      </c>
      <c r="AE42" s="118">
        <f t="shared" si="13"/>
        <v>319</v>
      </c>
      <c r="AF42" s="118">
        <f t="shared" si="13"/>
        <v>360</v>
      </c>
      <c r="AG42" s="118">
        <f t="shared" si="13"/>
        <v>426</v>
      </c>
      <c r="AH42" s="118">
        <f t="shared" si="13"/>
        <v>406</v>
      </c>
      <c r="AI42" s="118">
        <f t="shared" si="13"/>
        <v>312</v>
      </c>
      <c r="AJ42" s="118">
        <f t="shared" si="13"/>
        <v>488</v>
      </c>
      <c r="AK42" s="118">
        <f t="shared" si="13"/>
        <v>268</v>
      </c>
      <c r="AL42" s="118">
        <f t="shared" si="13"/>
        <v>444</v>
      </c>
      <c r="AM42" s="118">
        <f t="shared" si="13"/>
        <v>783</v>
      </c>
      <c r="AN42" s="118">
        <f t="shared" si="13"/>
        <v>931</v>
      </c>
      <c r="AO42" s="118">
        <f t="shared" si="13"/>
        <v>930</v>
      </c>
      <c r="AP42" s="118">
        <f t="shared" si="13"/>
        <v>793</v>
      </c>
      <c r="AQ42" s="118">
        <f t="shared" si="13"/>
        <v>1084</v>
      </c>
      <c r="AR42" s="118">
        <f t="shared" si="13"/>
        <v>1162</v>
      </c>
      <c r="AS42" s="118">
        <f t="shared" si="13"/>
        <v>1055</v>
      </c>
      <c r="AT42" s="118">
        <f t="shared" si="13"/>
        <v>233</v>
      </c>
      <c r="AU42" s="118">
        <f t="shared" si="13"/>
        <v>347</v>
      </c>
      <c r="AV42" s="118">
        <v>271</v>
      </c>
      <c r="AW42" s="118">
        <f t="shared" ref="AW42:AW53" si="14">+AW6-AW24</f>
        <v>928</v>
      </c>
      <c r="AX42" s="118">
        <v>621</v>
      </c>
      <c r="AY42" s="118">
        <f t="shared" ref="AY42:AZ53" si="15">+AY6-AY24</f>
        <v>319</v>
      </c>
      <c r="AZ42" s="118">
        <f t="shared" si="15"/>
        <v>652</v>
      </c>
      <c r="BA42" s="118">
        <f t="shared" ref="BA42:BA56" si="16">+BA6-BA24</f>
        <v>1690</v>
      </c>
      <c r="BB42" s="118">
        <f t="shared" ref="BB42:BB56" si="17">+BB6-BB24</f>
        <v>3933</v>
      </c>
    </row>
    <row r="43" spans="1:54" x14ac:dyDescent="0.2">
      <c r="A43" s="25" t="s">
        <v>118</v>
      </c>
      <c r="B43" s="25" t="s">
        <v>1007</v>
      </c>
      <c r="D43" s="129" t="str">
        <f>IF([1]RENAME!$H$3=1,B43,A43)</f>
        <v>Pedágio</v>
      </c>
      <c r="E43" s="118">
        <f t="shared" ref="E43:AU43" si="18">+E7-E25</f>
        <v>23</v>
      </c>
      <c r="F43" s="160">
        <f t="shared" si="18"/>
        <v>0</v>
      </c>
      <c r="G43" s="118">
        <f t="shared" si="18"/>
        <v>98</v>
      </c>
      <c r="H43" s="118">
        <f t="shared" si="18"/>
        <v>264</v>
      </c>
      <c r="I43" s="118">
        <f t="shared" si="18"/>
        <v>0</v>
      </c>
      <c r="J43" s="118">
        <f t="shared" si="18"/>
        <v>278</v>
      </c>
      <c r="K43" s="118">
        <f t="shared" si="18"/>
        <v>346</v>
      </c>
      <c r="L43" s="118">
        <f t="shared" si="18"/>
        <v>305</v>
      </c>
      <c r="M43" s="118">
        <f t="shared" si="18"/>
        <v>234</v>
      </c>
      <c r="N43" s="118">
        <f t="shared" si="18"/>
        <v>225</v>
      </c>
      <c r="O43" s="118">
        <f t="shared" si="18"/>
        <v>275</v>
      </c>
      <c r="P43" s="118">
        <f t="shared" si="18"/>
        <v>246</v>
      </c>
      <c r="Q43" s="118">
        <f t="shared" si="18"/>
        <v>262</v>
      </c>
      <c r="R43" s="118">
        <f t="shared" si="18"/>
        <v>246</v>
      </c>
      <c r="S43" s="118">
        <f t="shared" si="18"/>
        <v>226</v>
      </c>
      <c r="T43" s="118">
        <f t="shared" si="18"/>
        <v>183</v>
      </c>
      <c r="U43" s="118">
        <f t="shared" si="18"/>
        <v>354</v>
      </c>
      <c r="V43" s="118">
        <f t="shared" si="18"/>
        <v>240</v>
      </c>
      <c r="W43" s="118">
        <f t="shared" si="18"/>
        <v>699</v>
      </c>
      <c r="X43" s="118">
        <f t="shared" si="18"/>
        <v>341</v>
      </c>
      <c r="Y43" s="118">
        <f t="shared" si="18"/>
        <v>811</v>
      </c>
      <c r="Z43" s="118">
        <f t="shared" si="18"/>
        <v>702</v>
      </c>
      <c r="AA43" s="118">
        <f t="shared" si="18"/>
        <v>552</v>
      </c>
      <c r="AB43" s="118">
        <f t="shared" si="18"/>
        <v>538</v>
      </c>
      <c r="AC43" s="118">
        <f t="shared" si="18"/>
        <v>536</v>
      </c>
      <c r="AD43" s="118">
        <f t="shared" si="18"/>
        <v>539</v>
      </c>
      <c r="AE43" s="118">
        <f t="shared" si="18"/>
        <v>240</v>
      </c>
      <c r="AF43" s="118">
        <f t="shared" si="18"/>
        <v>404</v>
      </c>
      <c r="AG43" s="118">
        <f t="shared" si="18"/>
        <v>214</v>
      </c>
      <c r="AH43" s="118">
        <f t="shared" si="18"/>
        <v>304</v>
      </c>
      <c r="AI43" s="118">
        <f t="shared" si="18"/>
        <v>622</v>
      </c>
      <c r="AJ43" s="118">
        <f t="shared" si="18"/>
        <v>242</v>
      </c>
      <c r="AK43" s="118">
        <f t="shared" si="18"/>
        <v>19</v>
      </c>
      <c r="AL43" s="118">
        <f t="shared" si="18"/>
        <v>226</v>
      </c>
      <c r="AM43" s="118">
        <f t="shared" si="18"/>
        <v>201</v>
      </c>
      <c r="AN43" s="118">
        <f t="shared" si="18"/>
        <v>244</v>
      </c>
      <c r="AO43" s="118">
        <f t="shared" si="18"/>
        <v>293</v>
      </c>
      <c r="AP43" s="118">
        <f t="shared" si="18"/>
        <v>228</v>
      </c>
      <c r="AQ43" s="118">
        <f t="shared" si="18"/>
        <v>263</v>
      </c>
      <c r="AR43" s="118">
        <f t="shared" si="18"/>
        <v>298</v>
      </c>
      <c r="AS43" s="118">
        <f t="shared" si="18"/>
        <v>271</v>
      </c>
      <c r="AT43" s="118">
        <f t="shared" si="18"/>
        <v>6</v>
      </c>
      <c r="AU43" s="118">
        <f t="shared" si="18"/>
        <v>8</v>
      </c>
      <c r="AV43" s="118">
        <v>9</v>
      </c>
      <c r="AW43" s="118">
        <f t="shared" si="14"/>
        <v>8</v>
      </c>
      <c r="AX43" s="118">
        <v>8</v>
      </c>
      <c r="AY43" s="118">
        <f t="shared" si="15"/>
        <v>7</v>
      </c>
      <c r="AZ43" s="118">
        <f t="shared" si="15"/>
        <v>11</v>
      </c>
      <c r="BA43" s="118">
        <f t="shared" si="16"/>
        <v>10</v>
      </c>
      <c r="BB43" s="118">
        <f t="shared" si="17"/>
        <v>9</v>
      </c>
    </row>
    <row r="44" spans="1:54" x14ac:dyDescent="0.2">
      <c r="A44" s="25" t="s">
        <v>119</v>
      </c>
      <c r="B44" s="25" t="s">
        <v>820</v>
      </c>
      <c r="D44" s="129" t="str">
        <f>IF([1]RENAME!$H$3=1,B44,A44)</f>
        <v>Aluguel</v>
      </c>
      <c r="E44" s="118">
        <f t="shared" ref="E44:AU44" si="19">+E8-E26</f>
        <v>7345</v>
      </c>
      <c r="F44" s="160">
        <f t="shared" si="19"/>
        <v>2304</v>
      </c>
      <c r="G44" s="118">
        <f t="shared" si="19"/>
        <v>2141</v>
      </c>
      <c r="H44" s="118">
        <f t="shared" si="19"/>
        <v>2894</v>
      </c>
      <c r="I44" s="118">
        <f t="shared" si="19"/>
        <v>3236</v>
      </c>
      <c r="J44" s="118">
        <f t="shared" si="19"/>
        <v>3333</v>
      </c>
      <c r="K44" s="118">
        <f t="shared" si="19"/>
        <v>2317</v>
      </c>
      <c r="L44" s="118">
        <f t="shared" si="19"/>
        <v>2450</v>
      </c>
      <c r="M44" s="118">
        <f t="shared" si="19"/>
        <v>3031</v>
      </c>
      <c r="N44" s="118">
        <f t="shared" si="19"/>
        <v>1462</v>
      </c>
      <c r="O44" s="118">
        <f t="shared" si="19"/>
        <v>1594</v>
      </c>
      <c r="P44" s="118">
        <f t="shared" si="19"/>
        <v>1627</v>
      </c>
      <c r="Q44" s="118">
        <f t="shared" si="19"/>
        <v>1936</v>
      </c>
      <c r="R44" s="118">
        <f t="shared" si="19"/>
        <v>1749</v>
      </c>
      <c r="S44" s="118">
        <f t="shared" si="19"/>
        <v>1667</v>
      </c>
      <c r="T44" s="118">
        <f t="shared" si="19"/>
        <v>1826</v>
      </c>
      <c r="U44" s="118">
        <f t="shared" si="19"/>
        <v>1631</v>
      </c>
      <c r="V44" s="118">
        <f t="shared" si="19"/>
        <v>1667</v>
      </c>
      <c r="W44" s="118">
        <f t="shared" si="19"/>
        <v>1698</v>
      </c>
      <c r="X44" s="118">
        <f t="shared" si="19"/>
        <v>1579</v>
      </c>
      <c r="Y44" s="118">
        <f t="shared" si="19"/>
        <v>71</v>
      </c>
      <c r="Z44" s="118">
        <f t="shared" si="19"/>
        <v>55</v>
      </c>
      <c r="AA44" s="118">
        <f t="shared" si="19"/>
        <v>96</v>
      </c>
      <c r="AB44" s="118">
        <f t="shared" si="19"/>
        <v>55</v>
      </c>
      <c r="AC44" s="118">
        <f t="shared" si="19"/>
        <v>93</v>
      </c>
      <c r="AD44" s="118">
        <f t="shared" si="19"/>
        <v>92</v>
      </c>
      <c r="AE44" s="118">
        <f t="shared" si="19"/>
        <v>596</v>
      </c>
      <c r="AF44" s="118">
        <f t="shared" si="19"/>
        <v>870</v>
      </c>
      <c r="AG44" s="118">
        <f t="shared" si="19"/>
        <v>231</v>
      </c>
      <c r="AH44" s="118">
        <f t="shared" si="19"/>
        <v>62</v>
      </c>
      <c r="AI44" s="118">
        <f t="shared" si="19"/>
        <v>85</v>
      </c>
      <c r="AJ44" s="118">
        <f t="shared" si="19"/>
        <v>-233</v>
      </c>
      <c r="AK44" s="118">
        <f t="shared" si="19"/>
        <v>-165</v>
      </c>
      <c r="AL44" s="118">
        <f t="shared" si="19"/>
        <v>-378</v>
      </c>
      <c r="AM44" s="118">
        <f t="shared" si="19"/>
        <v>937</v>
      </c>
      <c r="AN44" s="118">
        <f t="shared" si="19"/>
        <v>742</v>
      </c>
      <c r="AO44" s="118">
        <f t="shared" si="19"/>
        <v>862</v>
      </c>
      <c r="AP44" s="118">
        <f t="shared" si="19"/>
        <v>574</v>
      </c>
      <c r="AQ44" s="118">
        <f t="shared" si="19"/>
        <v>504</v>
      </c>
      <c r="AR44" s="118">
        <f t="shared" si="19"/>
        <v>556</v>
      </c>
      <c r="AS44" s="118">
        <f t="shared" si="19"/>
        <v>535</v>
      </c>
      <c r="AT44" s="118">
        <f t="shared" si="19"/>
        <v>630</v>
      </c>
      <c r="AU44" s="118">
        <f t="shared" si="19"/>
        <v>613</v>
      </c>
      <c r="AV44" s="118">
        <v>1344</v>
      </c>
      <c r="AW44" s="118">
        <f t="shared" si="14"/>
        <v>742</v>
      </c>
      <c r="AX44" s="118">
        <v>1371</v>
      </c>
      <c r="AY44" s="118">
        <f t="shared" si="15"/>
        <v>1447</v>
      </c>
      <c r="AZ44" s="118">
        <f t="shared" si="15"/>
        <v>1640</v>
      </c>
      <c r="BA44" s="118">
        <f t="shared" si="16"/>
        <v>1391</v>
      </c>
      <c r="BB44" s="118">
        <f t="shared" si="17"/>
        <v>1437</v>
      </c>
    </row>
    <row r="45" spans="1:54" ht="15.75" customHeight="1" x14ac:dyDescent="0.2">
      <c r="A45" s="25" t="s">
        <v>120</v>
      </c>
      <c r="B45" s="25" t="s">
        <v>1008</v>
      </c>
      <c r="D45" s="129" t="str">
        <f>IF([1]RENAME!$H$3=1,B45,A45)</f>
        <v>Seguros</v>
      </c>
      <c r="E45" s="118">
        <f t="shared" ref="E45:AU45" si="20">+E9-E27</f>
        <v>2895</v>
      </c>
      <c r="F45" s="160">
        <f t="shared" si="20"/>
        <v>0</v>
      </c>
      <c r="G45" s="118">
        <f t="shared" si="20"/>
        <v>0</v>
      </c>
      <c r="H45" s="118">
        <f t="shared" si="20"/>
        <v>153</v>
      </c>
      <c r="I45" s="118">
        <f t="shared" si="20"/>
        <v>1</v>
      </c>
      <c r="J45" s="118">
        <f t="shared" si="20"/>
        <v>2</v>
      </c>
      <c r="K45" s="118">
        <f t="shared" si="20"/>
        <v>0</v>
      </c>
      <c r="L45" s="118">
        <f t="shared" si="20"/>
        <v>63</v>
      </c>
      <c r="M45" s="118">
        <f t="shared" si="20"/>
        <v>3352</v>
      </c>
      <c r="N45" s="118">
        <f t="shared" si="20"/>
        <v>496</v>
      </c>
      <c r="O45" s="118">
        <f t="shared" si="20"/>
        <v>84</v>
      </c>
      <c r="P45" s="118">
        <f t="shared" si="20"/>
        <v>99</v>
      </c>
      <c r="Q45" s="118">
        <f t="shared" si="20"/>
        <v>94</v>
      </c>
      <c r="R45" s="118">
        <f t="shared" si="20"/>
        <v>77</v>
      </c>
      <c r="S45" s="118">
        <f t="shared" si="20"/>
        <v>59</v>
      </c>
      <c r="T45" s="118">
        <f t="shared" si="20"/>
        <v>97</v>
      </c>
      <c r="U45" s="118">
        <f t="shared" si="20"/>
        <v>79</v>
      </c>
      <c r="V45" s="118">
        <f t="shared" si="20"/>
        <v>72</v>
      </c>
      <c r="W45" s="118">
        <f t="shared" si="20"/>
        <v>493</v>
      </c>
      <c r="X45" s="118">
        <f t="shared" si="20"/>
        <v>309</v>
      </c>
      <c r="Y45" s="118">
        <f t="shared" si="20"/>
        <v>184</v>
      </c>
      <c r="Z45" s="118">
        <f t="shared" si="20"/>
        <v>75</v>
      </c>
      <c r="AA45" s="118">
        <f t="shared" si="20"/>
        <v>476</v>
      </c>
      <c r="AB45" s="118">
        <f t="shared" si="20"/>
        <v>301</v>
      </c>
      <c r="AC45" s="118">
        <f t="shared" si="20"/>
        <v>163</v>
      </c>
      <c r="AD45" s="118">
        <f t="shared" si="20"/>
        <v>74</v>
      </c>
      <c r="AE45" s="118">
        <f t="shared" si="20"/>
        <v>657</v>
      </c>
      <c r="AF45" s="118">
        <f t="shared" si="20"/>
        <v>479</v>
      </c>
      <c r="AG45" s="118">
        <f t="shared" si="20"/>
        <v>312</v>
      </c>
      <c r="AH45" s="118">
        <f t="shared" si="20"/>
        <v>114</v>
      </c>
      <c r="AI45" s="118">
        <f t="shared" si="20"/>
        <v>334</v>
      </c>
      <c r="AJ45" s="118">
        <f t="shared" si="20"/>
        <v>549</v>
      </c>
      <c r="AK45" s="118">
        <f t="shared" si="20"/>
        <v>337</v>
      </c>
      <c r="AL45" s="118">
        <f t="shared" si="20"/>
        <v>227</v>
      </c>
      <c r="AM45" s="118">
        <f t="shared" si="20"/>
        <v>1196</v>
      </c>
      <c r="AN45" s="118">
        <f t="shared" si="20"/>
        <v>840</v>
      </c>
      <c r="AO45" s="118">
        <f t="shared" si="20"/>
        <v>511</v>
      </c>
      <c r="AP45" s="118">
        <f t="shared" si="20"/>
        <v>234</v>
      </c>
      <c r="AQ45" s="118">
        <f t="shared" si="20"/>
        <v>881</v>
      </c>
      <c r="AR45" s="118">
        <f t="shared" si="20"/>
        <v>524</v>
      </c>
      <c r="AS45" s="118">
        <f t="shared" si="20"/>
        <v>669</v>
      </c>
      <c r="AT45" s="118">
        <f t="shared" si="20"/>
        <v>579</v>
      </c>
      <c r="AU45" s="118">
        <f t="shared" si="20"/>
        <v>471</v>
      </c>
      <c r="AV45" s="118">
        <v>614</v>
      </c>
      <c r="AW45" s="118">
        <f t="shared" si="14"/>
        <v>715</v>
      </c>
      <c r="AX45" s="118">
        <v>620</v>
      </c>
      <c r="AY45" s="118">
        <f t="shared" si="15"/>
        <v>671</v>
      </c>
      <c r="AZ45" s="118">
        <f t="shared" si="15"/>
        <v>455</v>
      </c>
      <c r="BA45" s="118">
        <f t="shared" si="16"/>
        <v>359</v>
      </c>
      <c r="BB45" s="118">
        <f t="shared" si="17"/>
        <v>343</v>
      </c>
    </row>
    <row r="46" spans="1:54" ht="13.5" customHeight="1" x14ac:dyDescent="0.2">
      <c r="A46" s="25" t="s">
        <v>556</v>
      </c>
      <c r="B46" s="25" t="s">
        <v>1009</v>
      </c>
      <c r="D46" s="129" t="str">
        <f>IF([1]RENAME!$H$3=1,B46,A46)</f>
        <v>Comunicação dados e voz</v>
      </c>
      <c r="E46" s="118">
        <f t="shared" ref="E46:AU46" si="21">+E10-E28</f>
        <v>292</v>
      </c>
      <c r="F46" s="160">
        <f t="shared" si="21"/>
        <v>125</v>
      </c>
      <c r="G46" s="118">
        <f t="shared" si="21"/>
        <v>130</v>
      </c>
      <c r="H46" s="118">
        <f t="shared" si="21"/>
        <v>143</v>
      </c>
      <c r="I46" s="118">
        <f t="shared" si="21"/>
        <v>112</v>
      </c>
      <c r="J46" s="118">
        <f t="shared" si="21"/>
        <v>95</v>
      </c>
      <c r="K46" s="118">
        <f t="shared" si="21"/>
        <v>0</v>
      </c>
      <c r="L46" s="118">
        <f t="shared" si="21"/>
        <v>0</v>
      </c>
      <c r="M46" s="118">
        <f t="shared" si="21"/>
        <v>402</v>
      </c>
      <c r="N46" s="118">
        <f t="shared" si="21"/>
        <v>0</v>
      </c>
      <c r="O46" s="118">
        <f t="shared" si="21"/>
        <v>0</v>
      </c>
      <c r="P46" s="118">
        <f t="shared" si="21"/>
        <v>0</v>
      </c>
      <c r="Q46" s="118">
        <f t="shared" si="21"/>
        <v>0</v>
      </c>
      <c r="R46" s="118">
        <f t="shared" si="21"/>
        <v>0</v>
      </c>
      <c r="S46" s="118">
        <f t="shared" si="21"/>
        <v>0</v>
      </c>
      <c r="T46" s="118">
        <f t="shared" si="21"/>
        <v>0</v>
      </c>
      <c r="U46" s="118">
        <f t="shared" si="21"/>
        <v>0</v>
      </c>
      <c r="V46" s="118">
        <f t="shared" si="21"/>
        <v>0</v>
      </c>
      <c r="W46" s="118">
        <f t="shared" si="21"/>
        <v>0</v>
      </c>
      <c r="X46" s="118">
        <f t="shared" si="21"/>
        <v>-270</v>
      </c>
      <c r="Y46" s="118">
        <f t="shared" si="21"/>
        <v>0</v>
      </c>
      <c r="Z46" s="118">
        <f t="shared" si="21"/>
        <v>0</v>
      </c>
      <c r="AA46" s="118">
        <f t="shared" si="21"/>
        <v>0</v>
      </c>
      <c r="AB46" s="118">
        <f t="shared" si="21"/>
        <v>0</v>
      </c>
      <c r="AC46" s="118">
        <f t="shared" si="21"/>
        <v>0</v>
      </c>
      <c r="AD46" s="118">
        <f t="shared" si="21"/>
        <v>0</v>
      </c>
      <c r="AE46" s="118">
        <f t="shared" si="21"/>
        <v>0</v>
      </c>
      <c r="AF46" s="118">
        <f t="shared" si="21"/>
        <v>0</v>
      </c>
      <c r="AG46" s="118">
        <f t="shared" si="21"/>
        <v>0</v>
      </c>
      <c r="AH46" s="118">
        <f t="shared" si="21"/>
        <v>0</v>
      </c>
      <c r="AI46" s="118">
        <f t="shared" si="21"/>
        <v>0</v>
      </c>
      <c r="AJ46" s="118">
        <f t="shared" si="21"/>
        <v>0</v>
      </c>
      <c r="AK46" s="118">
        <f t="shared" si="21"/>
        <v>0</v>
      </c>
      <c r="AL46" s="118">
        <f t="shared" si="21"/>
        <v>0</v>
      </c>
      <c r="AM46" s="118">
        <f t="shared" si="21"/>
        <v>0</v>
      </c>
      <c r="AN46" s="118">
        <f t="shared" si="21"/>
        <v>0</v>
      </c>
      <c r="AO46" s="118">
        <f t="shared" si="21"/>
        <v>0</v>
      </c>
      <c r="AP46" s="118">
        <f t="shared" si="21"/>
        <v>0</v>
      </c>
      <c r="AQ46" s="118">
        <f t="shared" si="21"/>
        <v>95</v>
      </c>
      <c r="AR46" s="118">
        <f t="shared" si="21"/>
        <v>201</v>
      </c>
      <c r="AS46" s="118">
        <f t="shared" si="21"/>
        <v>129</v>
      </c>
      <c r="AT46" s="118">
        <f t="shared" si="21"/>
        <v>191</v>
      </c>
      <c r="AU46" s="118">
        <f t="shared" si="21"/>
        <v>177</v>
      </c>
      <c r="AV46" s="118">
        <v>473</v>
      </c>
      <c r="AW46" s="118">
        <f t="shared" si="14"/>
        <v>713</v>
      </c>
      <c r="AX46" s="118">
        <v>603</v>
      </c>
      <c r="AY46" s="118">
        <f t="shared" si="15"/>
        <v>783</v>
      </c>
      <c r="AZ46" s="118">
        <f t="shared" si="15"/>
        <v>659</v>
      </c>
      <c r="BA46" s="118">
        <f t="shared" si="16"/>
        <v>367</v>
      </c>
      <c r="BB46" s="118">
        <f t="shared" si="17"/>
        <v>554</v>
      </c>
    </row>
    <row r="47" spans="1:54" x14ac:dyDescent="0.2">
      <c r="A47" s="25" t="s">
        <v>537</v>
      </c>
      <c r="B47" s="25" t="s">
        <v>1010</v>
      </c>
      <c r="D47" s="129" t="str">
        <f>IF([1]RENAME!$H$3=1,B47,A47)</f>
        <v>Benefícios</v>
      </c>
      <c r="E47" s="118">
        <f t="shared" ref="E47:AU47" si="22">+E11-E29</f>
        <v>946</v>
      </c>
      <c r="F47" s="160">
        <f t="shared" si="22"/>
        <v>893</v>
      </c>
      <c r="G47" s="118">
        <f t="shared" si="22"/>
        <v>162</v>
      </c>
      <c r="H47" s="118">
        <f t="shared" si="22"/>
        <v>159</v>
      </c>
      <c r="I47" s="118">
        <f t="shared" si="22"/>
        <v>205</v>
      </c>
      <c r="J47" s="118">
        <f t="shared" si="22"/>
        <v>247</v>
      </c>
      <c r="K47" s="118">
        <f t="shared" si="22"/>
        <v>335</v>
      </c>
      <c r="L47" s="118">
        <f t="shared" si="22"/>
        <v>420</v>
      </c>
      <c r="M47" s="118">
        <f t="shared" si="22"/>
        <v>278</v>
      </c>
      <c r="N47" s="118">
        <f t="shared" si="22"/>
        <v>642</v>
      </c>
      <c r="O47" s="118">
        <f t="shared" si="22"/>
        <v>384</v>
      </c>
      <c r="P47" s="118">
        <f t="shared" si="22"/>
        <v>269</v>
      </c>
      <c r="Q47" s="118">
        <f t="shared" si="22"/>
        <v>255</v>
      </c>
      <c r="R47" s="118">
        <f t="shared" si="22"/>
        <v>483</v>
      </c>
      <c r="S47" s="118">
        <f t="shared" si="22"/>
        <v>367</v>
      </c>
      <c r="T47" s="118">
        <f t="shared" si="22"/>
        <v>403</v>
      </c>
      <c r="U47" s="118">
        <f t="shared" si="22"/>
        <v>456</v>
      </c>
      <c r="V47" s="118">
        <f t="shared" si="22"/>
        <v>308</v>
      </c>
      <c r="W47" s="118">
        <f t="shared" si="22"/>
        <v>402</v>
      </c>
      <c r="X47" s="118">
        <f t="shared" si="22"/>
        <v>536</v>
      </c>
      <c r="Y47" s="118">
        <f t="shared" si="22"/>
        <v>242</v>
      </c>
      <c r="Z47" s="118">
        <f t="shared" si="22"/>
        <v>354</v>
      </c>
      <c r="AA47" s="118">
        <f t="shared" si="22"/>
        <v>858</v>
      </c>
      <c r="AB47" s="118">
        <f t="shared" si="22"/>
        <v>1651</v>
      </c>
      <c r="AC47" s="118">
        <f t="shared" si="22"/>
        <v>894</v>
      </c>
      <c r="AD47" s="118">
        <f t="shared" si="22"/>
        <v>1256</v>
      </c>
      <c r="AE47" s="118">
        <f t="shared" si="22"/>
        <v>1623</v>
      </c>
      <c r="AF47" s="118">
        <f t="shared" si="22"/>
        <v>1250</v>
      </c>
      <c r="AG47" s="118">
        <f t="shared" si="22"/>
        <v>972</v>
      </c>
      <c r="AH47" s="118">
        <f t="shared" si="22"/>
        <v>1003</v>
      </c>
      <c r="AI47" s="118">
        <f t="shared" si="22"/>
        <v>686</v>
      </c>
      <c r="AJ47" s="118">
        <f t="shared" si="22"/>
        <v>905</v>
      </c>
      <c r="AK47" s="118">
        <f t="shared" si="22"/>
        <v>883</v>
      </c>
      <c r="AL47" s="118">
        <f t="shared" si="22"/>
        <v>944</v>
      </c>
      <c r="AM47" s="118">
        <f t="shared" si="22"/>
        <v>556</v>
      </c>
      <c r="AN47" s="118">
        <f t="shared" si="22"/>
        <v>515</v>
      </c>
      <c r="AO47" s="118">
        <f t="shared" si="22"/>
        <v>348</v>
      </c>
      <c r="AP47" s="118">
        <f t="shared" si="22"/>
        <v>266</v>
      </c>
      <c r="AQ47" s="118">
        <f t="shared" si="22"/>
        <v>181</v>
      </c>
      <c r="AR47" s="118">
        <f t="shared" si="22"/>
        <v>262</v>
      </c>
      <c r="AS47" s="118">
        <f t="shared" si="22"/>
        <v>197</v>
      </c>
      <c r="AT47" s="118">
        <f t="shared" si="22"/>
        <v>209</v>
      </c>
      <c r="AU47" s="118">
        <f t="shared" si="22"/>
        <v>185</v>
      </c>
      <c r="AV47" s="118">
        <v>287</v>
      </c>
      <c r="AW47" s="118">
        <f t="shared" si="14"/>
        <v>91</v>
      </c>
      <c r="AX47" s="118">
        <v>41</v>
      </c>
      <c r="AY47" s="118">
        <f t="shared" si="15"/>
        <v>17</v>
      </c>
      <c r="AZ47" s="118">
        <f t="shared" si="15"/>
        <v>172</v>
      </c>
      <c r="BA47" s="118">
        <f t="shared" si="16"/>
        <v>47</v>
      </c>
      <c r="BB47" s="118">
        <f t="shared" si="17"/>
        <v>40</v>
      </c>
    </row>
    <row r="48" spans="1:54" ht="14.25" customHeight="1" x14ac:dyDescent="0.2">
      <c r="A48" s="25" t="s">
        <v>121</v>
      </c>
      <c r="B48" s="25" t="s">
        <v>1011</v>
      </c>
      <c r="D48" s="129" t="str">
        <f>IF([1]RENAME!$H$3=1,B48,A48)</f>
        <v>Serviços de consultoria</v>
      </c>
      <c r="E48" s="118">
        <f t="shared" ref="E48:AU48" si="23">+E12-E30</f>
        <v>256</v>
      </c>
      <c r="F48" s="160">
        <f t="shared" si="23"/>
        <v>32</v>
      </c>
      <c r="G48" s="118">
        <f t="shared" si="23"/>
        <v>40</v>
      </c>
      <c r="H48" s="118">
        <f t="shared" si="23"/>
        <v>62</v>
      </c>
      <c r="I48" s="118">
        <f t="shared" si="23"/>
        <v>72</v>
      </c>
      <c r="J48" s="118">
        <f t="shared" si="23"/>
        <v>0</v>
      </c>
      <c r="K48" s="118">
        <f t="shared" si="23"/>
        <v>86</v>
      </c>
      <c r="L48" s="118">
        <f t="shared" si="23"/>
        <v>237</v>
      </c>
      <c r="M48" s="118">
        <f t="shared" si="23"/>
        <v>134</v>
      </c>
      <c r="N48" s="118">
        <f t="shared" si="23"/>
        <v>167</v>
      </c>
      <c r="O48" s="118">
        <f t="shared" si="23"/>
        <v>158</v>
      </c>
      <c r="P48" s="118">
        <f t="shared" si="23"/>
        <v>42</v>
      </c>
      <c r="Q48" s="118">
        <f t="shared" si="23"/>
        <v>14</v>
      </c>
      <c r="R48" s="118">
        <f t="shared" si="23"/>
        <v>21</v>
      </c>
      <c r="S48" s="118">
        <f t="shared" si="23"/>
        <v>73</v>
      </c>
      <c r="T48" s="118">
        <f t="shared" si="23"/>
        <v>122</v>
      </c>
      <c r="U48" s="118">
        <f t="shared" si="23"/>
        <v>83</v>
      </c>
      <c r="V48" s="118">
        <f t="shared" si="23"/>
        <v>109</v>
      </c>
      <c r="W48" s="118">
        <f t="shared" si="23"/>
        <v>153</v>
      </c>
      <c r="X48" s="118">
        <f t="shared" si="23"/>
        <v>77</v>
      </c>
      <c r="Y48" s="118">
        <f t="shared" si="23"/>
        <v>56</v>
      </c>
      <c r="Z48" s="118">
        <f t="shared" si="23"/>
        <v>197</v>
      </c>
      <c r="AA48" s="118">
        <f t="shared" si="23"/>
        <v>91</v>
      </c>
      <c r="AB48" s="118">
        <f t="shared" si="23"/>
        <v>116</v>
      </c>
      <c r="AC48" s="118">
        <f t="shared" si="23"/>
        <v>71</v>
      </c>
      <c r="AD48" s="118">
        <f t="shared" si="23"/>
        <v>29</v>
      </c>
      <c r="AE48" s="118">
        <f t="shared" si="23"/>
        <v>60</v>
      </c>
      <c r="AF48" s="118">
        <f t="shared" si="23"/>
        <v>235</v>
      </c>
      <c r="AG48" s="118">
        <f t="shared" si="23"/>
        <v>77</v>
      </c>
      <c r="AH48" s="118">
        <f t="shared" si="23"/>
        <v>683</v>
      </c>
      <c r="AI48" s="118">
        <f t="shared" si="23"/>
        <v>749</v>
      </c>
      <c r="AJ48" s="118">
        <f t="shared" si="23"/>
        <v>732</v>
      </c>
      <c r="AK48" s="118">
        <f t="shared" si="23"/>
        <v>666</v>
      </c>
      <c r="AL48" s="118">
        <f t="shared" si="23"/>
        <v>815</v>
      </c>
      <c r="AM48" s="118">
        <f t="shared" si="23"/>
        <v>1209</v>
      </c>
      <c r="AN48" s="118">
        <f t="shared" si="23"/>
        <v>2243</v>
      </c>
      <c r="AO48" s="118">
        <f t="shared" si="23"/>
        <v>2494</v>
      </c>
      <c r="AP48" s="118">
        <f t="shared" si="23"/>
        <v>1230</v>
      </c>
      <c r="AQ48" s="118">
        <f t="shared" si="23"/>
        <v>1224</v>
      </c>
      <c r="AR48" s="118">
        <f t="shared" si="23"/>
        <v>1208</v>
      </c>
      <c r="AS48" s="118">
        <f t="shared" si="23"/>
        <v>59</v>
      </c>
      <c r="AT48" s="118">
        <f t="shared" si="23"/>
        <v>167</v>
      </c>
      <c r="AU48" s="118">
        <f t="shared" si="23"/>
        <v>181</v>
      </c>
      <c r="AV48" s="118">
        <v>131</v>
      </c>
      <c r="AW48" s="118">
        <f t="shared" si="14"/>
        <v>130</v>
      </c>
      <c r="AX48" s="118">
        <v>179</v>
      </c>
      <c r="AY48" s="118">
        <f t="shared" si="15"/>
        <v>325</v>
      </c>
      <c r="AZ48" s="118">
        <f t="shared" si="15"/>
        <v>270</v>
      </c>
      <c r="BA48" s="118">
        <f t="shared" si="16"/>
        <v>549</v>
      </c>
      <c r="BB48" s="118">
        <f t="shared" si="17"/>
        <v>418</v>
      </c>
    </row>
    <row r="49" spans="1:54" x14ac:dyDescent="0.2">
      <c r="A49" s="25" t="s">
        <v>122</v>
      </c>
      <c r="B49" s="25" t="s">
        <v>1012</v>
      </c>
      <c r="D49" s="129" t="str">
        <f>IF([1]RENAME!$H$3=1,B49,A49)</f>
        <v>Manutenções diversas</v>
      </c>
      <c r="E49" s="118">
        <f t="shared" ref="E49:AU49" si="24">+E13-E31</f>
        <v>930</v>
      </c>
      <c r="F49" s="160">
        <f t="shared" si="24"/>
        <v>206</v>
      </c>
      <c r="G49" s="118">
        <f t="shared" si="24"/>
        <v>561</v>
      </c>
      <c r="H49" s="118">
        <f t="shared" si="24"/>
        <v>426</v>
      </c>
      <c r="I49" s="118">
        <f t="shared" si="24"/>
        <v>325</v>
      </c>
      <c r="J49" s="118">
        <f t="shared" si="24"/>
        <v>323</v>
      </c>
      <c r="K49" s="118">
        <f t="shared" si="24"/>
        <v>434</v>
      </c>
      <c r="L49" s="118">
        <f t="shared" si="24"/>
        <v>3120</v>
      </c>
      <c r="M49" s="118">
        <f t="shared" si="24"/>
        <v>1513</v>
      </c>
      <c r="N49" s="118">
        <f t="shared" si="24"/>
        <v>457</v>
      </c>
      <c r="O49" s="118">
        <f t="shared" si="24"/>
        <v>453</v>
      </c>
      <c r="P49" s="118">
        <f t="shared" si="24"/>
        <v>976</v>
      </c>
      <c r="Q49" s="118">
        <f t="shared" si="24"/>
        <v>1032</v>
      </c>
      <c r="R49" s="118">
        <f t="shared" si="24"/>
        <v>680</v>
      </c>
      <c r="S49" s="118">
        <f t="shared" si="24"/>
        <v>462</v>
      </c>
      <c r="T49" s="118">
        <f t="shared" si="24"/>
        <v>461</v>
      </c>
      <c r="U49" s="118">
        <f t="shared" si="24"/>
        <v>237</v>
      </c>
      <c r="V49" s="118">
        <f t="shared" si="24"/>
        <v>261</v>
      </c>
      <c r="W49" s="118">
        <f t="shared" si="24"/>
        <v>279</v>
      </c>
      <c r="X49" s="118">
        <f t="shared" si="24"/>
        <v>342</v>
      </c>
      <c r="Y49" s="118">
        <f t="shared" si="24"/>
        <v>347</v>
      </c>
      <c r="Z49" s="118">
        <f t="shared" si="24"/>
        <v>300</v>
      </c>
      <c r="AA49" s="118">
        <f t="shared" si="24"/>
        <v>249</v>
      </c>
      <c r="AB49" s="118">
        <f t="shared" si="24"/>
        <v>246</v>
      </c>
      <c r="AC49" s="118">
        <f t="shared" si="24"/>
        <v>273</v>
      </c>
      <c r="AD49" s="118">
        <f t="shared" si="24"/>
        <v>394</v>
      </c>
      <c r="AE49" s="118">
        <f t="shared" si="24"/>
        <v>551</v>
      </c>
      <c r="AF49" s="118">
        <f t="shared" si="24"/>
        <v>1128</v>
      </c>
      <c r="AG49" s="118">
        <f t="shared" si="24"/>
        <v>528</v>
      </c>
      <c r="AH49" s="118">
        <f t="shared" si="24"/>
        <v>308</v>
      </c>
      <c r="AI49" s="118">
        <f t="shared" si="24"/>
        <v>338</v>
      </c>
      <c r="AJ49" s="118">
        <f t="shared" si="24"/>
        <v>329</v>
      </c>
      <c r="AK49" s="118">
        <f t="shared" si="24"/>
        <v>415</v>
      </c>
      <c r="AL49" s="118">
        <f t="shared" si="24"/>
        <v>269</v>
      </c>
      <c r="AM49" s="118">
        <f t="shared" si="24"/>
        <v>360</v>
      </c>
      <c r="AN49" s="118">
        <f t="shared" si="24"/>
        <v>367</v>
      </c>
      <c r="AO49" s="118">
        <f t="shared" si="24"/>
        <v>349</v>
      </c>
      <c r="AP49" s="118">
        <f t="shared" si="24"/>
        <v>360</v>
      </c>
      <c r="AQ49" s="118">
        <f t="shared" si="24"/>
        <v>356</v>
      </c>
      <c r="AR49" s="118">
        <f t="shared" si="24"/>
        <v>359</v>
      </c>
      <c r="AS49" s="118">
        <f t="shared" si="24"/>
        <v>834</v>
      </c>
      <c r="AT49" s="118">
        <f t="shared" si="24"/>
        <v>542</v>
      </c>
      <c r="AU49" s="118">
        <f t="shared" si="24"/>
        <v>451</v>
      </c>
      <c r="AV49" s="118">
        <v>415</v>
      </c>
      <c r="AW49" s="118">
        <f t="shared" si="14"/>
        <v>455</v>
      </c>
      <c r="AX49" s="118">
        <v>356</v>
      </c>
      <c r="AY49" s="118">
        <f t="shared" si="15"/>
        <v>287</v>
      </c>
      <c r="AZ49" s="118">
        <f t="shared" si="15"/>
        <v>713</v>
      </c>
      <c r="BA49" s="118">
        <f t="shared" si="16"/>
        <v>641</v>
      </c>
      <c r="BB49" s="118">
        <f t="shared" si="17"/>
        <v>480</v>
      </c>
    </row>
    <row r="50" spans="1:54" x14ac:dyDescent="0.2">
      <c r="A50" s="25" t="s">
        <v>123</v>
      </c>
      <c r="B50" s="25" t="s">
        <v>1013</v>
      </c>
      <c r="D50" s="129" t="str">
        <f>IF([1]RENAME!$H$3=1,B50,A50)</f>
        <v>Combustível</v>
      </c>
      <c r="E50" s="118">
        <f t="shared" ref="E50:AU50" si="25">+E14-E32</f>
        <v>973</v>
      </c>
      <c r="F50" s="160">
        <f t="shared" si="25"/>
        <v>0</v>
      </c>
      <c r="G50" s="118">
        <f t="shared" si="25"/>
        <v>0</v>
      </c>
      <c r="H50" s="118">
        <f t="shared" si="25"/>
        <v>0</v>
      </c>
      <c r="I50" s="118">
        <f t="shared" si="25"/>
        <v>0</v>
      </c>
      <c r="J50" s="118">
        <f t="shared" si="25"/>
        <v>0</v>
      </c>
      <c r="K50" s="118">
        <f t="shared" si="25"/>
        <v>0</v>
      </c>
      <c r="L50" s="118">
        <f t="shared" si="25"/>
        <v>0</v>
      </c>
      <c r="M50" s="118">
        <f t="shared" si="25"/>
        <v>0</v>
      </c>
      <c r="N50" s="118">
        <f t="shared" si="25"/>
        <v>0</v>
      </c>
      <c r="O50" s="118">
        <f t="shared" si="25"/>
        <v>0</v>
      </c>
      <c r="P50" s="118">
        <f t="shared" si="25"/>
        <v>0</v>
      </c>
      <c r="Q50" s="118">
        <f t="shared" si="25"/>
        <v>0</v>
      </c>
      <c r="R50" s="118">
        <f t="shared" si="25"/>
        <v>0</v>
      </c>
      <c r="S50" s="118">
        <f t="shared" si="25"/>
        <v>0</v>
      </c>
      <c r="T50" s="118">
        <f t="shared" si="25"/>
        <v>0</v>
      </c>
      <c r="U50" s="118">
        <f t="shared" si="25"/>
        <v>0</v>
      </c>
      <c r="V50" s="118">
        <f t="shared" si="25"/>
        <v>0</v>
      </c>
      <c r="W50" s="118">
        <f t="shared" si="25"/>
        <v>0</v>
      </c>
      <c r="X50" s="118">
        <f t="shared" si="25"/>
        <v>0</v>
      </c>
      <c r="Y50" s="118">
        <f t="shared" si="25"/>
        <v>0</v>
      </c>
      <c r="Z50" s="118">
        <f t="shared" si="25"/>
        <v>0</v>
      </c>
      <c r="AA50" s="118">
        <f t="shared" si="25"/>
        <v>0</v>
      </c>
      <c r="AB50" s="118">
        <f t="shared" si="25"/>
        <v>0</v>
      </c>
      <c r="AC50" s="118">
        <f t="shared" si="25"/>
        <v>0</v>
      </c>
      <c r="AD50" s="118">
        <f t="shared" si="25"/>
        <v>0</v>
      </c>
      <c r="AE50" s="118">
        <f t="shared" si="25"/>
        <v>0</v>
      </c>
      <c r="AF50" s="118">
        <f t="shared" si="25"/>
        <v>0</v>
      </c>
      <c r="AG50" s="118">
        <f t="shared" si="25"/>
        <v>0</v>
      </c>
      <c r="AH50" s="118">
        <f t="shared" si="25"/>
        <v>0</v>
      </c>
      <c r="AI50" s="118">
        <f t="shared" si="25"/>
        <v>0</v>
      </c>
      <c r="AJ50" s="118">
        <f t="shared" si="25"/>
        <v>0</v>
      </c>
      <c r="AK50" s="118">
        <f t="shared" si="25"/>
        <v>0</v>
      </c>
      <c r="AL50" s="118">
        <f t="shared" si="25"/>
        <v>0</v>
      </c>
      <c r="AM50" s="118">
        <f t="shared" si="25"/>
        <v>0</v>
      </c>
      <c r="AN50" s="118">
        <f t="shared" si="25"/>
        <v>0</v>
      </c>
      <c r="AO50" s="118">
        <f t="shared" si="25"/>
        <v>0</v>
      </c>
      <c r="AP50" s="118">
        <f t="shared" si="25"/>
        <v>0</v>
      </c>
      <c r="AQ50" s="118">
        <f t="shared" si="25"/>
        <v>11</v>
      </c>
      <c r="AR50" s="118">
        <f t="shared" si="25"/>
        <v>28</v>
      </c>
      <c r="AS50" s="118">
        <f t="shared" si="25"/>
        <v>14</v>
      </c>
      <c r="AT50" s="118">
        <f t="shared" si="25"/>
        <v>13</v>
      </c>
      <c r="AU50" s="118">
        <f t="shared" si="25"/>
        <v>24</v>
      </c>
      <c r="AV50" s="118">
        <v>113</v>
      </c>
      <c r="AW50" s="118">
        <f t="shared" si="14"/>
        <v>55</v>
      </c>
      <c r="AX50" s="118">
        <v>3</v>
      </c>
      <c r="AY50" s="118">
        <f t="shared" si="15"/>
        <v>145</v>
      </c>
      <c r="AZ50" s="118">
        <f t="shared" si="15"/>
        <v>233</v>
      </c>
      <c r="BA50" s="118">
        <f t="shared" si="16"/>
        <v>0</v>
      </c>
      <c r="BB50" s="118">
        <f t="shared" si="17"/>
        <v>112</v>
      </c>
    </row>
    <row r="51" spans="1:54" s="249" customFormat="1" x14ac:dyDescent="0.2">
      <c r="A51" s="25" t="s">
        <v>572</v>
      </c>
      <c r="B51" s="25" t="s">
        <v>1015</v>
      </c>
      <c r="C51" s="25"/>
      <c r="D51" s="129" t="str">
        <f>IF([1]RENAME!$H$3=1,B51,A51)</f>
        <v>Impostos e taxas</v>
      </c>
      <c r="E51" s="118">
        <f t="shared" ref="E51:AU51" si="26">+E15-E33</f>
        <v>0</v>
      </c>
      <c r="F51" s="160">
        <f t="shared" si="26"/>
        <v>0</v>
      </c>
      <c r="G51" s="118">
        <f t="shared" si="26"/>
        <v>0</v>
      </c>
      <c r="H51" s="118">
        <f t="shared" si="26"/>
        <v>0</v>
      </c>
      <c r="I51" s="118">
        <f t="shared" si="26"/>
        <v>0</v>
      </c>
      <c r="J51" s="118">
        <f t="shared" si="26"/>
        <v>0</v>
      </c>
      <c r="K51" s="118">
        <f t="shared" si="26"/>
        <v>0</v>
      </c>
      <c r="L51" s="118">
        <f t="shared" si="26"/>
        <v>0</v>
      </c>
      <c r="M51" s="118">
        <f t="shared" si="26"/>
        <v>0</v>
      </c>
      <c r="N51" s="118">
        <f t="shared" si="26"/>
        <v>0</v>
      </c>
      <c r="O51" s="118">
        <f t="shared" si="26"/>
        <v>0</v>
      </c>
      <c r="P51" s="118">
        <f t="shared" si="26"/>
        <v>0</v>
      </c>
      <c r="Q51" s="118">
        <f t="shared" si="26"/>
        <v>31</v>
      </c>
      <c r="R51" s="118">
        <f t="shared" si="26"/>
        <v>27</v>
      </c>
      <c r="S51" s="118">
        <f t="shared" si="26"/>
        <v>10</v>
      </c>
      <c r="T51" s="118">
        <f t="shared" si="26"/>
        <v>0</v>
      </c>
      <c r="U51" s="118">
        <f t="shared" si="26"/>
        <v>0</v>
      </c>
      <c r="V51" s="118">
        <f t="shared" si="26"/>
        <v>0</v>
      </c>
      <c r="W51" s="118">
        <f t="shared" si="26"/>
        <v>0</v>
      </c>
      <c r="X51" s="118">
        <f t="shared" si="26"/>
        <v>0</v>
      </c>
      <c r="Y51" s="118">
        <f t="shared" si="26"/>
        <v>0</v>
      </c>
      <c r="Z51" s="118">
        <f t="shared" si="26"/>
        <v>0</v>
      </c>
      <c r="AA51" s="118">
        <f t="shared" si="26"/>
        <v>0</v>
      </c>
      <c r="AB51" s="118">
        <f t="shared" si="26"/>
        <v>0</v>
      </c>
      <c r="AC51" s="118">
        <f t="shared" si="26"/>
        <v>0</v>
      </c>
      <c r="AD51" s="118">
        <f t="shared" si="26"/>
        <v>0</v>
      </c>
      <c r="AE51" s="118">
        <f t="shared" si="26"/>
        <v>0</v>
      </c>
      <c r="AF51" s="118">
        <f t="shared" si="26"/>
        <v>0</v>
      </c>
      <c r="AG51" s="118">
        <f t="shared" si="26"/>
        <v>0</v>
      </c>
      <c r="AH51" s="118">
        <f t="shared" si="26"/>
        <v>0</v>
      </c>
      <c r="AI51" s="118">
        <f t="shared" si="26"/>
        <v>0</v>
      </c>
      <c r="AJ51" s="118">
        <f t="shared" si="26"/>
        <v>0</v>
      </c>
      <c r="AK51" s="118">
        <f t="shared" si="26"/>
        <v>0</v>
      </c>
      <c r="AL51" s="118">
        <f t="shared" si="26"/>
        <v>0</v>
      </c>
      <c r="AM51" s="118">
        <f t="shared" si="26"/>
        <v>0</v>
      </c>
      <c r="AN51" s="118">
        <f t="shared" si="26"/>
        <v>0</v>
      </c>
      <c r="AO51" s="118">
        <f t="shared" si="26"/>
        <v>0</v>
      </c>
      <c r="AP51" s="118">
        <f t="shared" si="26"/>
        <v>0</v>
      </c>
      <c r="AQ51" s="118">
        <f t="shared" si="26"/>
        <v>61</v>
      </c>
      <c r="AR51" s="118">
        <f t="shared" si="26"/>
        <v>29</v>
      </c>
      <c r="AS51" s="118">
        <f t="shared" si="26"/>
        <v>383</v>
      </c>
      <c r="AT51" s="118">
        <f t="shared" si="26"/>
        <v>385</v>
      </c>
      <c r="AU51" s="118">
        <f t="shared" si="26"/>
        <v>323</v>
      </c>
      <c r="AV51" s="118">
        <v>198</v>
      </c>
      <c r="AW51" s="118">
        <f t="shared" si="14"/>
        <v>97</v>
      </c>
      <c r="AX51" s="118">
        <v>71</v>
      </c>
      <c r="AY51" s="118">
        <f t="shared" si="15"/>
        <v>96</v>
      </c>
      <c r="AZ51" s="118">
        <f t="shared" si="15"/>
        <v>513</v>
      </c>
      <c r="BA51" s="118">
        <f t="shared" si="16"/>
        <v>6</v>
      </c>
      <c r="BB51" s="118">
        <f t="shared" si="17"/>
        <v>84</v>
      </c>
    </row>
    <row r="52" spans="1:54" s="249" customFormat="1" x14ac:dyDescent="0.2">
      <c r="A52" s="25" t="s">
        <v>582</v>
      </c>
      <c r="B52" s="25" t="s">
        <v>1016</v>
      </c>
      <c r="C52" s="25"/>
      <c r="D52" s="129" t="str">
        <f>IF([1]RENAME!$H$3=1,B52,A52)</f>
        <v>Vigilância</v>
      </c>
      <c r="E52" s="118">
        <f t="shared" ref="E52:AU52" si="27">+E16-E34</f>
        <v>0</v>
      </c>
      <c r="F52" s="160">
        <f t="shared" si="27"/>
        <v>0</v>
      </c>
      <c r="G52" s="118">
        <f t="shared" si="27"/>
        <v>0</v>
      </c>
      <c r="H52" s="118">
        <f t="shared" si="27"/>
        <v>0</v>
      </c>
      <c r="I52" s="118">
        <f t="shared" si="27"/>
        <v>0</v>
      </c>
      <c r="J52" s="118">
        <f t="shared" si="27"/>
        <v>0</v>
      </c>
      <c r="K52" s="118">
        <f t="shared" si="27"/>
        <v>0</v>
      </c>
      <c r="L52" s="118">
        <f t="shared" si="27"/>
        <v>0</v>
      </c>
      <c r="M52" s="118">
        <f t="shared" si="27"/>
        <v>1262</v>
      </c>
      <c r="N52" s="118">
        <f t="shared" si="27"/>
        <v>1276</v>
      </c>
      <c r="O52" s="118">
        <f t="shared" si="27"/>
        <v>936</v>
      </c>
      <c r="P52" s="118">
        <f t="shared" si="27"/>
        <v>977</v>
      </c>
      <c r="Q52" s="118">
        <f t="shared" si="27"/>
        <v>1093</v>
      </c>
      <c r="R52" s="118">
        <f t="shared" si="27"/>
        <v>276</v>
      </c>
      <c r="S52" s="118">
        <f t="shared" si="27"/>
        <v>259</v>
      </c>
      <c r="T52" s="118">
        <f t="shared" si="27"/>
        <v>281</v>
      </c>
      <c r="U52" s="118">
        <f t="shared" si="27"/>
        <v>266</v>
      </c>
      <c r="V52" s="118">
        <f t="shared" si="27"/>
        <v>302</v>
      </c>
      <c r="W52" s="118">
        <f t="shared" si="27"/>
        <v>321</v>
      </c>
      <c r="X52" s="118">
        <f t="shared" si="27"/>
        <v>301</v>
      </c>
      <c r="Y52" s="118">
        <f t="shared" si="27"/>
        <v>410</v>
      </c>
      <c r="Z52" s="118">
        <f t="shared" si="27"/>
        <v>396</v>
      </c>
      <c r="AA52" s="118">
        <f t="shared" si="27"/>
        <v>292</v>
      </c>
      <c r="AB52" s="118">
        <f t="shared" si="27"/>
        <v>541</v>
      </c>
      <c r="AC52" s="118">
        <f t="shared" si="27"/>
        <v>400</v>
      </c>
      <c r="AD52" s="118">
        <f t="shared" si="27"/>
        <v>400</v>
      </c>
      <c r="AE52" s="118">
        <f t="shared" si="27"/>
        <v>345</v>
      </c>
      <c r="AF52" s="118">
        <f t="shared" si="27"/>
        <v>457</v>
      </c>
      <c r="AG52" s="118">
        <f t="shared" si="27"/>
        <v>312</v>
      </c>
      <c r="AH52" s="118">
        <f t="shared" si="27"/>
        <v>174</v>
      </c>
      <c r="AI52" s="118">
        <f t="shared" si="27"/>
        <v>153</v>
      </c>
      <c r="AJ52" s="118">
        <f t="shared" si="27"/>
        <v>154</v>
      </c>
      <c r="AK52" s="118">
        <f t="shared" si="27"/>
        <v>293</v>
      </c>
      <c r="AL52" s="118">
        <f t="shared" si="27"/>
        <v>193</v>
      </c>
      <c r="AM52" s="118">
        <f t="shared" si="27"/>
        <v>167</v>
      </c>
      <c r="AN52" s="118">
        <f t="shared" si="27"/>
        <v>188</v>
      </c>
      <c r="AO52" s="118">
        <f t="shared" si="27"/>
        <v>197</v>
      </c>
      <c r="AP52" s="118">
        <f t="shared" si="27"/>
        <v>186</v>
      </c>
      <c r="AQ52" s="118">
        <f t="shared" si="27"/>
        <v>192</v>
      </c>
      <c r="AR52" s="118">
        <f t="shared" si="27"/>
        <v>161</v>
      </c>
      <c r="AS52" s="118">
        <f t="shared" si="27"/>
        <v>278</v>
      </c>
      <c r="AT52" s="118">
        <f t="shared" si="27"/>
        <v>175</v>
      </c>
      <c r="AU52" s="118">
        <f t="shared" si="27"/>
        <v>119</v>
      </c>
      <c r="AV52" s="118">
        <v>160</v>
      </c>
      <c r="AW52" s="118">
        <f t="shared" si="14"/>
        <v>178</v>
      </c>
      <c r="AX52" s="118">
        <v>198</v>
      </c>
      <c r="AY52" s="118">
        <f t="shared" si="15"/>
        <v>99</v>
      </c>
      <c r="AZ52" s="118">
        <f t="shared" si="15"/>
        <v>201</v>
      </c>
      <c r="BA52" s="118">
        <f t="shared" si="16"/>
        <v>216</v>
      </c>
      <c r="BB52" s="118">
        <f t="shared" si="17"/>
        <v>217</v>
      </c>
    </row>
    <row r="53" spans="1:54" s="249" customFormat="1" x14ac:dyDescent="0.2">
      <c r="A53" s="25" t="s">
        <v>49</v>
      </c>
      <c r="B53" s="25" t="s">
        <v>699</v>
      </c>
      <c r="C53" s="25"/>
      <c r="D53" s="129" t="str">
        <f>IF([1]RENAME!$H$3=1,B53,A53)</f>
        <v>Outros</v>
      </c>
      <c r="E53" s="118">
        <f t="shared" ref="E53:AU53" si="28">+E17-E35</f>
        <v>3689</v>
      </c>
      <c r="F53" s="160">
        <f t="shared" si="28"/>
        <v>3298</v>
      </c>
      <c r="G53" s="118">
        <f t="shared" si="28"/>
        <v>3078</v>
      </c>
      <c r="H53" s="118">
        <f t="shared" si="28"/>
        <v>1547</v>
      </c>
      <c r="I53" s="118">
        <f t="shared" si="28"/>
        <v>1945</v>
      </c>
      <c r="J53" s="118">
        <f t="shared" si="28"/>
        <v>5809</v>
      </c>
      <c r="K53" s="118">
        <f t="shared" si="28"/>
        <v>1299</v>
      </c>
      <c r="L53" s="118">
        <f t="shared" si="28"/>
        <v>4853</v>
      </c>
      <c r="M53" s="118">
        <f t="shared" si="28"/>
        <v>3594</v>
      </c>
      <c r="N53" s="118">
        <f t="shared" si="28"/>
        <v>766</v>
      </c>
      <c r="O53" s="118">
        <f t="shared" si="28"/>
        <v>-131</v>
      </c>
      <c r="P53" s="118">
        <f t="shared" si="28"/>
        <v>-338</v>
      </c>
      <c r="Q53" s="118">
        <f t="shared" si="28"/>
        <v>428</v>
      </c>
      <c r="R53" s="118">
        <f t="shared" si="28"/>
        <v>1109</v>
      </c>
      <c r="S53" s="118">
        <f t="shared" si="28"/>
        <v>1355</v>
      </c>
      <c r="T53" s="118">
        <f t="shared" si="28"/>
        <v>1844</v>
      </c>
      <c r="U53" s="118">
        <f t="shared" si="28"/>
        <v>1037</v>
      </c>
      <c r="V53" s="118">
        <f t="shared" si="28"/>
        <v>1551</v>
      </c>
      <c r="W53" s="118">
        <f t="shared" si="28"/>
        <v>4130</v>
      </c>
      <c r="X53" s="118">
        <f t="shared" si="28"/>
        <v>4919</v>
      </c>
      <c r="Y53" s="118">
        <f t="shared" si="28"/>
        <v>1290</v>
      </c>
      <c r="Z53" s="118">
        <f t="shared" si="28"/>
        <v>726</v>
      </c>
      <c r="AA53" s="118">
        <f t="shared" si="28"/>
        <v>841</v>
      </c>
      <c r="AB53" s="118">
        <f t="shared" si="28"/>
        <v>1021</v>
      </c>
      <c r="AC53" s="118">
        <f t="shared" si="28"/>
        <v>927</v>
      </c>
      <c r="AD53" s="118">
        <f t="shared" si="28"/>
        <v>2341</v>
      </c>
      <c r="AE53" s="118">
        <f t="shared" si="28"/>
        <v>1939</v>
      </c>
      <c r="AF53" s="118">
        <f t="shared" si="28"/>
        <v>1347</v>
      </c>
      <c r="AG53" s="118">
        <f t="shared" si="28"/>
        <v>953</v>
      </c>
      <c r="AH53" s="118">
        <f t="shared" si="28"/>
        <v>1007</v>
      </c>
      <c r="AI53" s="118">
        <f t="shared" si="28"/>
        <v>1019</v>
      </c>
      <c r="AJ53" s="118">
        <f t="shared" si="28"/>
        <v>335</v>
      </c>
      <c r="AK53" s="118">
        <f t="shared" si="28"/>
        <v>80</v>
      </c>
      <c r="AL53" s="118">
        <f t="shared" si="28"/>
        <v>-128</v>
      </c>
      <c r="AM53" s="118">
        <f t="shared" si="28"/>
        <v>295</v>
      </c>
      <c r="AN53" s="118">
        <f t="shared" si="28"/>
        <v>4746</v>
      </c>
      <c r="AO53" s="118">
        <f t="shared" si="28"/>
        <v>4378</v>
      </c>
      <c r="AP53" s="118">
        <f t="shared" si="28"/>
        <v>2448</v>
      </c>
      <c r="AQ53" s="118">
        <f t="shared" si="28"/>
        <v>2549</v>
      </c>
      <c r="AR53" s="118">
        <f t="shared" si="28"/>
        <v>2078</v>
      </c>
      <c r="AS53" s="118">
        <f t="shared" si="28"/>
        <v>2090</v>
      </c>
      <c r="AT53" s="118">
        <f t="shared" si="28"/>
        <v>2137</v>
      </c>
      <c r="AU53" s="118">
        <f t="shared" si="28"/>
        <v>2511</v>
      </c>
      <c r="AV53" s="118">
        <v>2324</v>
      </c>
      <c r="AW53" s="118">
        <f t="shared" si="14"/>
        <v>2211</v>
      </c>
      <c r="AX53" s="118">
        <v>2262</v>
      </c>
      <c r="AY53" s="118">
        <f t="shared" si="15"/>
        <v>2767</v>
      </c>
      <c r="AZ53" s="118">
        <f t="shared" si="15"/>
        <v>24985</v>
      </c>
      <c r="BA53" s="118">
        <f t="shared" si="16"/>
        <v>23728</v>
      </c>
      <c r="BB53" s="118">
        <f t="shared" si="17"/>
        <v>27276</v>
      </c>
    </row>
    <row r="54" spans="1:54" s="249" customFormat="1" hidden="1" outlineLevel="1" x14ac:dyDescent="0.2">
      <c r="A54" s="249" t="s">
        <v>124</v>
      </c>
      <c r="B54" s="249" t="s">
        <v>1014</v>
      </c>
      <c r="C54" s="25"/>
      <c r="D54" s="129" t="str">
        <f>IF([1]RENAME!$H$3=1,B54,A54)</f>
        <v>Indenizações a Pagar</v>
      </c>
      <c r="E54" s="118">
        <f t="shared" ref="E54:AT54" si="29">+E18-E36</f>
        <v>16107</v>
      </c>
      <c r="F54" s="160">
        <f t="shared" si="29"/>
        <v>3481</v>
      </c>
      <c r="G54" s="118">
        <f t="shared" si="29"/>
        <v>4460</v>
      </c>
      <c r="H54" s="118">
        <f t="shared" si="29"/>
        <v>425</v>
      </c>
      <c r="I54" s="118">
        <f t="shared" si="29"/>
        <v>450</v>
      </c>
      <c r="J54" s="118">
        <f t="shared" si="29"/>
        <v>0</v>
      </c>
      <c r="K54" s="118">
        <f t="shared" si="29"/>
        <v>0</v>
      </c>
      <c r="L54" s="118">
        <f t="shared" si="29"/>
        <v>0</v>
      </c>
      <c r="M54" s="118">
        <f t="shared" si="29"/>
        <v>0</v>
      </c>
      <c r="N54" s="118">
        <f t="shared" si="29"/>
        <v>0</v>
      </c>
      <c r="O54" s="118">
        <f t="shared" si="29"/>
        <v>0</v>
      </c>
      <c r="P54" s="118">
        <f t="shared" si="29"/>
        <v>0</v>
      </c>
      <c r="Q54" s="118">
        <f t="shared" si="29"/>
        <v>0</v>
      </c>
      <c r="R54" s="118">
        <f t="shared" si="29"/>
        <v>0</v>
      </c>
      <c r="S54" s="118">
        <f t="shared" si="29"/>
        <v>0</v>
      </c>
      <c r="T54" s="118">
        <f t="shared" si="29"/>
        <v>0</v>
      </c>
      <c r="U54" s="118">
        <f t="shared" si="29"/>
        <v>0</v>
      </c>
      <c r="V54" s="118">
        <f t="shared" si="29"/>
        <v>0</v>
      </c>
      <c r="W54" s="118">
        <f t="shared" si="29"/>
        <v>0</v>
      </c>
      <c r="X54" s="118">
        <f t="shared" si="29"/>
        <v>0</v>
      </c>
      <c r="Y54" s="118">
        <f t="shared" si="29"/>
        <v>0</v>
      </c>
      <c r="Z54" s="118">
        <f t="shared" si="29"/>
        <v>0</v>
      </c>
      <c r="AA54" s="118">
        <f t="shared" si="29"/>
        <v>0</v>
      </c>
      <c r="AB54" s="118">
        <f t="shared" si="29"/>
        <v>0</v>
      </c>
      <c r="AC54" s="118">
        <f t="shared" si="29"/>
        <v>0</v>
      </c>
      <c r="AD54" s="118">
        <f t="shared" si="29"/>
        <v>0</v>
      </c>
      <c r="AE54" s="118">
        <f t="shared" si="29"/>
        <v>0</v>
      </c>
      <c r="AF54" s="118">
        <f t="shared" si="29"/>
        <v>0</v>
      </c>
      <c r="AG54" s="118">
        <f t="shared" si="29"/>
        <v>0</v>
      </c>
      <c r="AH54" s="118">
        <f t="shared" si="29"/>
        <v>0</v>
      </c>
      <c r="AI54" s="118">
        <f t="shared" si="29"/>
        <v>0</v>
      </c>
      <c r="AJ54" s="118">
        <f t="shared" si="29"/>
        <v>0</v>
      </c>
      <c r="AK54" s="118">
        <f t="shared" si="29"/>
        <v>0</v>
      </c>
      <c r="AL54" s="118">
        <f t="shared" si="29"/>
        <v>0</v>
      </c>
      <c r="AM54" s="118">
        <f t="shared" si="29"/>
        <v>0</v>
      </c>
      <c r="AN54" s="118">
        <f t="shared" si="29"/>
        <v>0</v>
      </c>
      <c r="AO54" s="118">
        <f t="shared" si="29"/>
        <v>0</v>
      </c>
      <c r="AP54" s="118">
        <f t="shared" si="29"/>
        <v>0</v>
      </c>
      <c r="AQ54" s="118">
        <f t="shared" si="29"/>
        <v>0</v>
      </c>
      <c r="AR54" s="118">
        <f t="shared" si="29"/>
        <v>0</v>
      </c>
      <c r="AS54" s="118">
        <f t="shared" si="29"/>
        <v>0</v>
      </c>
      <c r="AT54" s="118">
        <f t="shared" si="29"/>
        <v>0</v>
      </c>
      <c r="AU54" s="118"/>
      <c r="AV54" s="118"/>
      <c r="AW54" s="118"/>
      <c r="AX54" s="118">
        <f t="shared" ref="AX54:AY56" si="30">+AX18-AX36</f>
        <v>0</v>
      </c>
      <c r="AY54" s="118">
        <f t="shared" si="30"/>
        <v>0</v>
      </c>
      <c r="AZ54" s="118">
        <f>+AZ18-AZ36</f>
        <v>0</v>
      </c>
      <c r="BA54" s="118">
        <f t="shared" si="16"/>
        <v>0</v>
      </c>
      <c r="BB54" s="118">
        <f t="shared" si="17"/>
        <v>0</v>
      </c>
    </row>
    <row r="55" spans="1:54" s="249" customFormat="1" hidden="1" outlineLevel="1" x14ac:dyDescent="0.2">
      <c r="A55" s="249" t="s">
        <v>536</v>
      </c>
      <c r="B55" s="249" t="s">
        <v>1017</v>
      </c>
      <c r="C55" s="25"/>
      <c r="D55" s="129" t="str">
        <f>IF([1]RENAME!$H$3=1,B55,A55)</f>
        <v>Aquisições de terrenos a pagar</v>
      </c>
      <c r="E55" s="118">
        <f t="shared" ref="E55:AT55" si="31">+E19-E37</f>
        <v>0</v>
      </c>
      <c r="F55" s="160">
        <f t="shared" si="31"/>
        <v>0</v>
      </c>
      <c r="G55" s="118">
        <f t="shared" si="31"/>
        <v>0</v>
      </c>
      <c r="H55" s="118">
        <f t="shared" si="31"/>
        <v>0</v>
      </c>
      <c r="I55" s="118">
        <f t="shared" si="31"/>
        <v>0</v>
      </c>
      <c r="J55" s="118">
        <f t="shared" si="31"/>
        <v>6400</v>
      </c>
      <c r="K55" s="118">
        <f t="shared" si="31"/>
        <v>6400</v>
      </c>
      <c r="L55" s="118">
        <f t="shared" si="31"/>
        <v>6400</v>
      </c>
      <c r="M55" s="118">
        <f t="shared" si="31"/>
        <v>6400</v>
      </c>
      <c r="N55" s="118">
        <f t="shared" si="31"/>
        <v>6400</v>
      </c>
      <c r="O55" s="118">
        <f t="shared" si="31"/>
        <v>6400</v>
      </c>
      <c r="P55" s="118">
        <f t="shared" si="31"/>
        <v>0</v>
      </c>
      <c r="Q55" s="118">
        <f t="shared" si="31"/>
        <v>0</v>
      </c>
      <c r="R55" s="118">
        <f t="shared" si="31"/>
        <v>0</v>
      </c>
      <c r="S55" s="118">
        <f t="shared" si="31"/>
        <v>0</v>
      </c>
      <c r="T55" s="118">
        <f t="shared" si="31"/>
        <v>0</v>
      </c>
      <c r="U55" s="118">
        <f t="shared" si="31"/>
        <v>0</v>
      </c>
      <c r="V55" s="118">
        <f t="shared" si="31"/>
        <v>0</v>
      </c>
      <c r="W55" s="118">
        <f t="shared" si="31"/>
        <v>0</v>
      </c>
      <c r="X55" s="118">
        <f t="shared" si="31"/>
        <v>0</v>
      </c>
      <c r="Y55" s="118">
        <f t="shared" si="31"/>
        <v>0</v>
      </c>
      <c r="Z55" s="118">
        <f t="shared" si="31"/>
        <v>0</v>
      </c>
      <c r="AA55" s="118">
        <f t="shared" si="31"/>
        <v>0</v>
      </c>
      <c r="AB55" s="118">
        <f t="shared" si="31"/>
        <v>0</v>
      </c>
      <c r="AC55" s="118">
        <f t="shared" si="31"/>
        <v>0</v>
      </c>
      <c r="AD55" s="118">
        <f t="shared" si="31"/>
        <v>0</v>
      </c>
      <c r="AE55" s="118">
        <f t="shared" si="31"/>
        <v>0</v>
      </c>
      <c r="AF55" s="118">
        <f t="shared" si="31"/>
        <v>0</v>
      </c>
      <c r="AG55" s="118">
        <f t="shared" si="31"/>
        <v>0</v>
      </c>
      <c r="AH55" s="118">
        <f t="shared" si="31"/>
        <v>0</v>
      </c>
      <c r="AI55" s="118">
        <f t="shared" si="31"/>
        <v>0</v>
      </c>
      <c r="AJ55" s="118">
        <f t="shared" si="31"/>
        <v>0</v>
      </c>
      <c r="AK55" s="118">
        <f t="shared" si="31"/>
        <v>0</v>
      </c>
      <c r="AL55" s="118">
        <f t="shared" si="31"/>
        <v>0</v>
      </c>
      <c r="AM55" s="118">
        <f t="shared" si="31"/>
        <v>0</v>
      </c>
      <c r="AN55" s="118">
        <f t="shared" si="31"/>
        <v>0</v>
      </c>
      <c r="AO55" s="118">
        <f t="shared" si="31"/>
        <v>0</v>
      </c>
      <c r="AP55" s="118">
        <f t="shared" si="31"/>
        <v>0</v>
      </c>
      <c r="AQ55" s="118">
        <f t="shared" si="31"/>
        <v>0</v>
      </c>
      <c r="AR55" s="118">
        <f t="shared" si="31"/>
        <v>0</v>
      </c>
      <c r="AS55" s="118">
        <f t="shared" si="31"/>
        <v>0</v>
      </c>
      <c r="AT55" s="118">
        <f t="shared" si="31"/>
        <v>0</v>
      </c>
      <c r="AU55" s="118"/>
      <c r="AV55" s="118"/>
      <c r="AW55" s="118"/>
      <c r="AX55" s="118">
        <f t="shared" si="30"/>
        <v>0</v>
      </c>
      <c r="AY55" s="118">
        <f t="shared" si="30"/>
        <v>0</v>
      </c>
      <c r="AZ55" s="118">
        <f>+AZ19-AZ37</f>
        <v>0</v>
      </c>
      <c r="BA55" s="118">
        <f t="shared" si="16"/>
        <v>0</v>
      </c>
      <c r="BB55" s="118">
        <f t="shared" si="17"/>
        <v>0</v>
      </c>
    </row>
    <row r="56" spans="1:54" s="249" customFormat="1" ht="13.5" hidden="1" customHeight="1" outlineLevel="1" x14ac:dyDescent="0.2">
      <c r="A56" s="249" t="s">
        <v>125</v>
      </c>
      <c r="B56" s="249" t="s">
        <v>1018</v>
      </c>
      <c r="C56" s="25"/>
      <c r="D56" s="129" t="str">
        <f>IF([1]RENAME!$H$3=1,B56,A56)</f>
        <v>Assessoria técnica / terraplanagem</v>
      </c>
      <c r="E56" s="118">
        <f t="shared" ref="E56:AT56" si="32">+E20-E38</f>
        <v>0</v>
      </c>
      <c r="F56" s="160">
        <f t="shared" si="32"/>
        <v>0</v>
      </c>
      <c r="G56" s="118">
        <f t="shared" si="32"/>
        <v>0</v>
      </c>
      <c r="H56" s="118">
        <f t="shared" si="32"/>
        <v>0</v>
      </c>
      <c r="I56" s="118">
        <f t="shared" si="32"/>
        <v>0</v>
      </c>
      <c r="J56" s="118">
        <f t="shared" si="32"/>
        <v>0</v>
      </c>
      <c r="K56" s="118">
        <f t="shared" si="32"/>
        <v>0</v>
      </c>
      <c r="L56" s="118">
        <f t="shared" si="32"/>
        <v>0</v>
      </c>
      <c r="M56" s="118">
        <f t="shared" si="32"/>
        <v>0</v>
      </c>
      <c r="N56" s="118">
        <f t="shared" si="32"/>
        <v>0</v>
      </c>
      <c r="O56" s="118">
        <f t="shared" si="32"/>
        <v>0</v>
      </c>
      <c r="P56" s="118">
        <f t="shared" si="32"/>
        <v>0</v>
      </c>
      <c r="Q56" s="118">
        <f t="shared" si="32"/>
        <v>0</v>
      </c>
      <c r="R56" s="118">
        <f t="shared" si="32"/>
        <v>0</v>
      </c>
      <c r="S56" s="118">
        <f t="shared" si="32"/>
        <v>0</v>
      </c>
      <c r="T56" s="118">
        <f t="shared" si="32"/>
        <v>0</v>
      </c>
      <c r="U56" s="118">
        <f t="shared" si="32"/>
        <v>0</v>
      </c>
      <c r="V56" s="118">
        <f t="shared" si="32"/>
        <v>0</v>
      </c>
      <c r="W56" s="118">
        <f t="shared" si="32"/>
        <v>0</v>
      </c>
      <c r="X56" s="118">
        <f t="shared" si="32"/>
        <v>0</v>
      </c>
      <c r="Y56" s="118">
        <f t="shared" si="32"/>
        <v>0</v>
      </c>
      <c r="Z56" s="118">
        <f t="shared" si="32"/>
        <v>0</v>
      </c>
      <c r="AA56" s="118">
        <f t="shared" si="32"/>
        <v>0</v>
      </c>
      <c r="AB56" s="118">
        <f t="shared" si="32"/>
        <v>0</v>
      </c>
      <c r="AC56" s="118">
        <f t="shared" si="32"/>
        <v>0</v>
      </c>
      <c r="AD56" s="118">
        <f t="shared" si="32"/>
        <v>0</v>
      </c>
      <c r="AE56" s="118">
        <f t="shared" si="32"/>
        <v>0</v>
      </c>
      <c r="AF56" s="118">
        <f t="shared" si="32"/>
        <v>0</v>
      </c>
      <c r="AG56" s="118">
        <f t="shared" si="32"/>
        <v>0</v>
      </c>
      <c r="AH56" s="118">
        <f t="shared" si="32"/>
        <v>0</v>
      </c>
      <c r="AI56" s="118">
        <f t="shared" si="32"/>
        <v>0</v>
      </c>
      <c r="AJ56" s="118">
        <f t="shared" si="32"/>
        <v>0</v>
      </c>
      <c r="AK56" s="118">
        <f t="shared" si="32"/>
        <v>0</v>
      </c>
      <c r="AL56" s="118">
        <f t="shared" si="32"/>
        <v>0</v>
      </c>
      <c r="AM56" s="118">
        <f t="shared" si="32"/>
        <v>0</v>
      </c>
      <c r="AN56" s="118">
        <f t="shared" si="32"/>
        <v>0</v>
      </c>
      <c r="AO56" s="118">
        <f t="shared" si="32"/>
        <v>0</v>
      </c>
      <c r="AP56" s="118">
        <f t="shared" si="32"/>
        <v>0</v>
      </c>
      <c r="AQ56" s="118">
        <f t="shared" si="32"/>
        <v>0</v>
      </c>
      <c r="AR56" s="118">
        <f t="shared" si="32"/>
        <v>0</v>
      </c>
      <c r="AS56" s="118">
        <f t="shared" si="32"/>
        <v>0</v>
      </c>
      <c r="AT56" s="118">
        <f t="shared" si="32"/>
        <v>0</v>
      </c>
      <c r="AU56" s="118"/>
      <c r="AV56" s="118"/>
      <c r="AW56" s="118"/>
      <c r="AX56" s="118">
        <f t="shared" si="30"/>
        <v>0</v>
      </c>
      <c r="AY56" s="118">
        <f t="shared" si="30"/>
        <v>0</v>
      </c>
      <c r="AZ56" s="118">
        <f>+AZ20-AZ38</f>
        <v>0</v>
      </c>
      <c r="BA56" s="118">
        <f t="shared" si="16"/>
        <v>0</v>
      </c>
      <c r="BB56" s="118">
        <f t="shared" si="17"/>
        <v>0</v>
      </c>
    </row>
    <row r="57" spans="1:54" collapsed="1" x14ac:dyDescent="0.2">
      <c r="A57" s="25" t="s">
        <v>73</v>
      </c>
      <c r="B57" s="25" t="s">
        <v>73</v>
      </c>
      <c r="D57" s="126" t="str">
        <f>IF([1]RENAME!$H$3=1,B57,A57)</f>
        <v>TOTAL</v>
      </c>
      <c r="E57" s="120">
        <f t="shared" ref="E57:R57" si="33">SUM(E42:E56)</f>
        <v>33833</v>
      </c>
      <c r="F57" s="162">
        <f t="shared" si="33"/>
        <v>10537</v>
      </c>
      <c r="G57" s="120">
        <f t="shared" si="33"/>
        <v>11328</v>
      </c>
      <c r="H57" s="120">
        <f t="shared" si="33"/>
        <v>6489</v>
      </c>
      <c r="I57" s="120">
        <f t="shared" si="33"/>
        <v>6928</v>
      </c>
      <c r="J57" s="120">
        <f t="shared" si="33"/>
        <v>17050</v>
      </c>
      <c r="K57" s="120">
        <f t="shared" si="33"/>
        <v>11526</v>
      </c>
      <c r="L57" s="120">
        <f t="shared" si="33"/>
        <v>17951</v>
      </c>
      <c r="M57" s="120">
        <f t="shared" si="33"/>
        <v>21228</v>
      </c>
      <c r="N57" s="120">
        <f t="shared" si="33"/>
        <v>13013</v>
      </c>
      <c r="O57" s="120">
        <f t="shared" si="33"/>
        <v>11039</v>
      </c>
      <c r="P57" s="120">
        <f t="shared" si="33"/>
        <v>4178</v>
      </c>
      <c r="Q57" s="120">
        <f t="shared" si="33"/>
        <v>5962</v>
      </c>
      <c r="R57" s="120">
        <f t="shared" si="33"/>
        <v>4670</v>
      </c>
      <c r="S57" s="120">
        <f t="shared" ref="S57:Y57" si="34">SUM(S42:S56)</f>
        <v>5398</v>
      </c>
      <c r="T57" s="120">
        <f t="shared" si="34"/>
        <v>5747</v>
      </c>
      <c r="U57" s="120">
        <f t="shared" si="34"/>
        <v>4604</v>
      </c>
      <c r="V57" s="120">
        <f t="shared" si="34"/>
        <v>6037</v>
      </c>
      <c r="W57" s="120">
        <f t="shared" si="34"/>
        <v>8175</v>
      </c>
      <c r="X57" s="120">
        <f t="shared" si="34"/>
        <v>8869</v>
      </c>
      <c r="Y57" s="120">
        <f t="shared" si="34"/>
        <v>5067</v>
      </c>
      <c r="Z57" s="120">
        <f t="shared" ref="Z57:AE57" si="35">SUM(Z42:Z56)</f>
        <v>4601</v>
      </c>
      <c r="AA57" s="120">
        <f t="shared" si="35"/>
        <v>4961</v>
      </c>
      <c r="AB57" s="120">
        <f t="shared" si="35"/>
        <v>6052</v>
      </c>
      <c r="AC57" s="120">
        <f t="shared" si="35"/>
        <v>3636</v>
      </c>
      <c r="AD57" s="120">
        <f t="shared" si="35"/>
        <v>5271</v>
      </c>
      <c r="AE57" s="120">
        <f t="shared" si="35"/>
        <v>6330</v>
      </c>
      <c r="AF57" s="120">
        <f t="shared" ref="AF57:AL57" si="36">SUM(AF42:AF56)</f>
        <v>6530</v>
      </c>
      <c r="AG57" s="120">
        <f t="shared" si="36"/>
        <v>4025</v>
      </c>
      <c r="AH57" s="120">
        <f t="shared" si="36"/>
        <v>4061</v>
      </c>
      <c r="AI57" s="120">
        <f t="shared" si="36"/>
        <v>4298</v>
      </c>
      <c r="AJ57" s="120">
        <f t="shared" si="36"/>
        <v>3501</v>
      </c>
      <c r="AK57" s="120">
        <f t="shared" si="36"/>
        <v>2796</v>
      </c>
      <c r="AL57" s="120">
        <f t="shared" si="36"/>
        <v>2612</v>
      </c>
      <c r="AM57" s="120">
        <f t="shared" ref="AM57:AS57" si="37">SUM(AM42:AM56)</f>
        <v>5704</v>
      </c>
      <c r="AN57" s="120">
        <f t="shared" si="37"/>
        <v>10816</v>
      </c>
      <c r="AO57" s="120">
        <f t="shared" si="37"/>
        <v>10362</v>
      </c>
      <c r="AP57" s="120">
        <f t="shared" si="37"/>
        <v>6319</v>
      </c>
      <c r="AQ57" s="120">
        <f t="shared" si="37"/>
        <v>7401</v>
      </c>
      <c r="AR57" s="120">
        <f t="shared" si="37"/>
        <v>6866</v>
      </c>
      <c r="AS57" s="120">
        <f t="shared" si="37"/>
        <v>6514</v>
      </c>
      <c r="AT57" s="120">
        <f>SUM(AT42:AT56)</f>
        <v>5267</v>
      </c>
      <c r="AU57" s="120">
        <f t="shared" ref="AU57:AZ57" si="38">SUM(AU42:AU56)</f>
        <v>5410</v>
      </c>
      <c r="AV57" s="120">
        <f t="shared" si="38"/>
        <v>6339</v>
      </c>
      <c r="AW57" s="120">
        <f t="shared" si="38"/>
        <v>6323</v>
      </c>
      <c r="AX57" s="120">
        <f t="shared" si="38"/>
        <v>6333</v>
      </c>
      <c r="AY57" s="120">
        <f t="shared" si="38"/>
        <v>6963</v>
      </c>
      <c r="AZ57" s="120">
        <f t="shared" si="38"/>
        <v>30504</v>
      </c>
      <c r="BA57" s="120">
        <f>SUM(BA42:BA56)</f>
        <v>29004</v>
      </c>
      <c r="BB57" s="120">
        <f>SUM(BB42:BB56)</f>
        <v>34903</v>
      </c>
    </row>
    <row r="58" spans="1:54" ht="15" customHeight="1" x14ac:dyDescent="0.2"/>
    <row r="59" spans="1:54" ht="15.75" customHeight="1" x14ac:dyDescent="0.2"/>
    <row r="60" spans="1:54" x14ac:dyDescent="0.2">
      <c r="C60" s="28"/>
    </row>
    <row r="61" spans="1:54" x14ac:dyDescent="0.2">
      <c r="C61" s="28"/>
    </row>
    <row r="62" spans="1:54" x14ac:dyDescent="0.2">
      <c r="C62" s="28"/>
    </row>
    <row r="63" spans="1:54" x14ac:dyDescent="0.2">
      <c r="C63" s="28"/>
    </row>
    <row r="64" spans="1:54" x14ac:dyDescent="0.2">
      <c r="C64" s="28"/>
    </row>
    <row r="65" spans="3:3" x14ac:dyDescent="0.2">
      <c r="C65" s="28"/>
    </row>
    <row r="66" spans="3:3" x14ac:dyDescent="0.2">
      <c r="C66" s="28"/>
    </row>
    <row r="67" spans="3:3" x14ac:dyDescent="0.2">
      <c r="C67" s="28"/>
    </row>
    <row r="68" spans="3:3" x14ac:dyDescent="0.2">
      <c r="C68" s="28"/>
    </row>
    <row r="69" spans="3:3" x14ac:dyDescent="0.2">
      <c r="C69" s="28"/>
    </row>
    <row r="70" spans="3:3" x14ac:dyDescent="0.2">
      <c r="C70" s="28"/>
    </row>
    <row r="71" spans="3:3" x14ac:dyDescent="0.2">
      <c r="C71" s="28"/>
    </row>
    <row r="72" spans="3:3" x14ac:dyDescent="0.2">
      <c r="C72" s="28"/>
    </row>
    <row r="73" spans="3:3" x14ac:dyDescent="0.2">
      <c r="C73" s="28"/>
    </row>
    <row r="74" spans="3:3" x14ac:dyDescent="0.2">
      <c r="C74" s="28"/>
    </row>
    <row r="75" spans="3:3" x14ac:dyDescent="0.2">
      <c r="C75" s="28"/>
    </row>
    <row r="76" spans="3:3" x14ac:dyDescent="0.2">
      <c r="C76" s="28"/>
    </row>
    <row r="77" spans="3:3" x14ac:dyDescent="0.2">
      <c r="C77" s="28"/>
    </row>
    <row r="78" spans="3:3" x14ac:dyDescent="0.2">
      <c r="C78" s="28"/>
    </row>
    <row r="79" spans="3:3" x14ac:dyDescent="0.2">
      <c r="C79" s="28"/>
    </row>
    <row r="80" spans="3:3" x14ac:dyDescent="0.2">
      <c r="C80" s="28"/>
    </row>
    <row r="81" spans="3:3" x14ac:dyDescent="0.2">
      <c r="C81" s="28"/>
    </row>
    <row r="82" spans="3:3" x14ac:dyDescent="0.2">
      <c r="C82" s="28"/>
    </row>
    <row r="83" spans="3:3" x14ac:dyDescent="0.2">
      <c r="C83" s="28"/>
    </row>
    <row r="84" spans="3:3" x14ac:dyDescent="0.2">
      <c r="C84" s="28"/>
    </row>
    <row r="85" spans="3:3" x14ac:dyDescent="0.2">
      <c r="C85" s="28"/>
    </row>
    <row r="86" spans="3:3" x14ac:dyDescent="0.2">
      <c r="C86" s="28"/>
    </row>
    <row r="87" spans="3:3" x14ac:dyDescent="0.2">
      <c r="C87" s="28"/>
    </row>
    <row r="88" spans="3:3" x14ac:dyDescent="0.2">
      <c r="C88" s="28"/>
    </row>
    <row r="89" spans="3:3" x14ac:dyDescent="0.2">
      <c r="C89" s="28"/>
    </row>
    <row r="90" spans="3:3" x14ac:dyDescent="0.2">
      <c r="C90" s="28"/>
    </row>
    <row r="91" spans="3:3" x14ac:dyDescent="0.2">
      <c r="C91" s="28"/>
    </row>
    <row r="92" spans="3:3" x14ac:dyDescent="0.2">
      <c r="C92" s="28"/>
    </row>
    <row r="93" spans="3:3" x14ac:dyDescent="0.2">
      <c r="C93" s="28"/>
    </row>
    <row r="94" spans="3:3" x14ac:dyDescent="0.2">
      <c r="C94" s="28"/>
    </row>
    <row r="95" spans="3:3" x14ac:dyDescent="0.2">
      <c r="C95" s="28"/>
    </row>
    <row r="96" spans="3:3" x14ac:dyDescent="0.2">
      <c r="C96" s="28"/>
    </row>
    <row r="97" spans="3:3" x14ac:dyDescent="0.2">
      <c r="C97" s="28"/>
    </row>
    <row r="98" spans="3:3" x14ac:dyDescent="0.2">
      <c r="C98" s="28"/>
    </row>
    <row r="99" spans="3:3" x14ac:dyDescent="0.2">
      <c r="C99" s="28"/>
    </row>
    <row r="100" spans="3:3" x14ac:dyDescent="0.2">
      <c r="C100" s="28"/>
    </row>
    <row r="101" spans="3:3" x14ac:dyDescent="0.2">
      <c r="C101" s="28"/>
    </row>
    <row r="102" spans="3:3" x14ac:dyDescent="0.2">
      <c r="C102" s="28"/>
    </row>
    <row r="103" spans="3:3" x14ac:dyDescent="0.2">
      <c r="C103" s="28"/>
    </row>
    <row r="104" spans="3:3" x14ac:dyDescent="0.2">
      <c r="C104" s="28"/>
    </row>
    <row r="105" spans="3:3" x14ac:dyDescent="0.2">
      <c r="C105" s="28"/>
    </row>
    <row r="106" spans="3:3" x14ac:dyDescent="0.2">
      <c r="C106" s="28"/>
    </row>
    <row r="107" spans="3:3" x14ac:dyDescent="0.2">
      <c r="C107" s="28"/>
    </row>
    <row r="108" spans="3:3" x14ac:dyDescent="0.2">
      <c r="C108" s="28"/>
    </row>
    <row r="109" spans="3:3" x14ac:dyDescent="0.2">
      <c r="C109" s="28"/>
    </row>
    <row r="110" spans="3:3" x14ac:dyDescent="0.2">
      <c r="C110" s="28"/>
    </row>
    <row r="111" spans="3:3" x14ac:dyDescent="0.2">
      <c r="C111" s="28"/>
    </row>
    <row r="112" spans="3:3" x14ac:dyDescent="0.2">
      <c r="C112" s="28"/>
    </row>
    <row r="113" spans="3:3" x14ac:dyDescent="0.2">
      <c r="C113" s="28"/>
    </row>
    <row r="114" spans="3:3" x14ac:dyDescent="0.2">
      <c r="C114" s="28"/>
    </row>
    <row r="115" spans="3:3" x14ac:dyDescent="0.2">
      <c r="C115" s="28"/>
    </row>
    <row r="116" spans="3:3" ht="15" customHeight="1" x14ac:dyDescent="0.2">
      <c r="C116" s="28"/>
    </row>
    <row r="117" spans="3:3" x14ac:dyDescent="0.2">
      <c r="C117" s="28"/>
    </row>
    <row r="118" spans="3:3" x14ac:dyDescent="0.2">
      <c r="C118" s="28"/>
    </row>
    <row r="119" spans="3:3" x14ac:dyDescent="0.2">
      <c r="C119" s="28"/>
    </row>
    <row r="120" spans="3:3" ht="14.25" customHeight="1" x14ac:dyDescent="0.2">
      <c r="C120" s="28"/>
    </row>
    <row r="121" spans="3:3" x14ac:dyDescent="0.2">
      <c r="C121" s="28"/>
    </row>
    <row r="122" spans="3:3" x14ac:dyDescent="0.2">
      <c r="C122" s="28"/>
    </row>
    <row r="123" spans="3:3" x14ac:dyDescent="0.2">
      <c r="C123" s="28"/>
    </row>
    <row r="124" spans="3:3" x14ac:dyDescent="0.2">
      <c r="C124" s="28"/>
    </row>
    <row r="125" spans="3:3" x14ac:dyDescent="0.2">
      <c r="C125" s="28"/>
    </row>
    <row r="126" spans="3:3" x14ac:dyDescent="0.2">
      <c r="C126" s="28"/>
    </row>
    <row r="127" spans="3:3" x14ac:dyDescent="0.2">
      <c r="C127" s="28"/>
    </row>
    <row r="128" spans="3:3" x14ac:dyDescent="0.2">
      <c r="C128" s="28"/>
    </row>
    <row r="129" spans="3:3" x14ac:dyDescent="0.2">
      <c r="C129" s="28"/>
    </row>
    <row r="130" spans="3:3" x14ac:dyDescent="0.2">
      <c r="C130" s="28"/>
    </row>
    <row r="131" spans="3:3" x14ac:dyDescent="0.2">
      <c r="C131" s="28"/>
    </row>
    <row r="132" spans="3:3" x14ac:dyDescent="0.2">
      <c r="C132" s="28"/>
    </row>
    <row r="133" spans="3:3" x14ac:dyDescent="0.2">
      <c r="C133" s="28"/>
    </row>
    <row r="134" spans="3:3" x14ac:dyDescent="0.2">
      <c r="C134" s="28"/>
    </row>
    <row r="135" spans="3:3" x14ac:dyDescent="0.2">
      <c r="C135" s="28"/>
    </row>
    <row r="136" spans="3:3" x14ac:dyDescent="0.2">
      <c r="C136" s="28"/>
    </row>
    <row r="137" spans="3:3" x14ac:dyDescent="0.2">
      <c r="C137" s="28"/>
    </row>
    <row r="138" spans="3:3" x14ac:dyDescent="0.2">
      <c r="C138" s="28"/>
    </row>
    <row r="139" spans="3:3" x14ac:dyDescent="0.2">
      <c r="C139" s="28"/>
    </row>
    <row r="140" spans="3:3" x14ac:dyDescent="0.2">
      <c r="C140" s="28"/>
    </row>
    <row r="141" spans="3:3" x14ac:dyDescent="0.2">
      <c r="C141" s="28"/>
    </row>
    <row r="142" spans="3:3" x14ac:dyDescent="0.2">
      <c r="C142" s="28"/>
    </row>
    <row r="143" spans="3:3" ht="15" customHeight="1" x14ac:dyDescent="0.2">
      <c r="C143" s="28"/>
    </row>
    <row r="144" spans="3:3" x14ac:dyDescent="0.2">
      <c r="C144" s="28"/>
    </row>
    <row r="145" spans="3:3" x14ac:dyDescent="0.2">
      <c r="C145" s="28"/>
    </row>
    <row r="146" spans="3:3" x14ac:dyDescent="0.2">
      <c r="C146" s="28"/>
    </row>
    <row r="147" spans="3:3" ht="20.25" customHeight="1" x14ac:dyDescent="0.2">
      <c r="C147" s="28"/>
    </row>
    <row r="148" spans="3:3" x14ac:dyDescent="0.2">
      <c r="C148" s="28"/>
    </row>
    <row r="149" spans="3:3" x14ac:dyDescent="0.2">
      <c r="C149" s="28"/>
    </row>
    <row r="150" spans="3:3" x14ac:dyDescent="0.2">
      <c r="C150" s="28"/>
    </row>
    <row r="151" spans="3:3" x14ac:dyDescent="0.2">
      <c r="C151" s="28"/>
    </row>
    <row r="152" spans="3:3" x14ac:dyDescent="0.2">
      <c r="C152" s="28"/>
    </row>
    <row r="153" spans="3:3" x14ac:dyDescent="0.2">
      <c r="C153" s="28"/>
    </row>
    <row r="154" spans="3:3" x14ac:dyDescent="0.2">
      <c r="C154" s="28"/>
    </row>
    <row r="155" spans="3:3" x14ac:dyDescent="0.2">
      <c r="C155" s="28"/>
    </row>
    <row r="156" spans="3:3" x14ac:dyDescent="0.2">
      <c r="C156" s="28"/>
    </row>
    <row r="157" spans="3:3" x14ac:dyDescent="0.2">
      <c r="C157" s="28"/>
    </row>
    <row r="158" spans="3:3" x14ac:dyDescent="0.2">
      <c r="C158" s="28"/>
    </row>
    <row r="159" spans="3:3" x14ac:dyDescent="0.2">
      <c r="C159" s="28"/>
    </row>
    <row r="160" spans="3:3" x14ac:dyDescent="0.2">
      <c r="C160" s="28"/>
    </row>
    <row r="161" spans="3:3" x14ac:dyDescent="0.2">
      <c r="C161" s="28"/>
    </row>
    <row r="162" spans="3:3" x14ac:dyDescent="0.2">
      <c r="C162" s="28"/>
    </row>
    <row r="163" spans="3:3" x14ac:dyDescent="0.2">
      <c r="C163" s="28"/>
    </row>
    <row r="164" spans="3:3" x14ac:dyDescent="0.2">
      <c r="C164" s="28"/>
    </row>
    <row r="165" spans="3:3" x14ac:dyDescent="0.2">
      <c r="C165" s="28"/>
    </row>
    <row r="166" spans="3:3" x14ac:dyDescent="0.2">
      <c r="C166" s="28"/>
    </row>
    <row r="167" spans="3:3" x14ac:dyDescent="0.2">
      <c r="C167" s="28"/>
    </row>
    <row r="168" spans="3:3" x14ac:dyDescent="0.2">
      <c r="C168" s="28"/>
    </row>
    <row r="169" spans="3:3" x14ac:dyDescent="0.2">
      <c r="C169" s="28"/>
    </row>
    <row r="170" spans="3:3" x14ac:dyDescent="0.2">
      <c r="C170" s="28"/>
    </row>
    <row r="171" spans="3:3" x14ac:dyDescent="0.2">
      <c r="C171" s="28"/>
    </row>
    <row r="172" spans="3:3" x14ac:dyDescent="0.2">
      <c r="C172" s="28"/>
    </row>
    <row r="173" spans="3:3" ht="15" customHeight="1" x14ac:dyDescent="0.2">
      <c r="C173" s="28"/>
    </row>
    <row r="174" spans="3:3" x14ac:dyDescent="0.2">
      <c r="C174" s="28"/>
    </row>
    <row r="175" spans="3:3" x14ac:dyDescent="0.2">
      <c r="C175" s="28"/>
    </row>
    <row r="176" spans="3:3" x14ac:dyDescent="0.2">
      <c r="C176" s="28"/>
    </row>
    <row r="177" spans="3:3" x14ac:dyDescent="0.2">
      <c r="C177" s="28"/>
    </row>
    <row r="178" spans="3:3" x14ac:dyDescent="0.2">
      <c r="C178" s="28"/>
    </row>
    <row r="179" spans="3:3" x14ac:dyDescent="0.2">
      <c r="C179" s="28"/>
    </row>
    <row r="180" spans="3:3" x14ac:dyDescent="0.2">
      <c r="C180" s="28"/>
    </row>
    <row r="181" spans="3:3" x14ac:dyDescent="0.2">
      <c r="C181" s="28"/>
    </row>
    <row r="182" spans="3:3" x14ac:dyDescent="0.2">
      <c r="C182" s="28"/>
    </row>
    <row r="183" spans="3:3" x14ac:dyDescent="0.2">
      <c r="C183" s="28"/>
    </row>
    <row r="184" spans="3:3" x14ac:dyDescent="0.2">
      <c r="C184" s="28"/>
    </row>
    <row r="185" spans="3:3" x14ac:dyDescent="0.2">
      <c r="C185" s="28"/>
    </row>
    <row r="186" spans="3:3" x14ac:dyDescent="0.2">
      <c r="C186" s="28"/>
    </row>
    <row r="187" spans="3:3" x14ac:dyDescent="0.2">
      <c r="C187" s="28"/>
    </row>
    <row r="188" spans="3:3" x14ac:dyDescent="0.2">
      <c r="C188" s="28"/>
    </row>
    <row r="189" spans="3:3" x14ac:dyDescent="0.2">
      <c r="C189" s="28"/>
    </row>
    <row r="190" spans="3:3" x14ac:dyDescent="0.2">
      <c r="C190" s="28"/>
    </row>
    <row r="191" spans="3:3" x14ac:dyDescent="0.2">
      <c r="C191" s="28"/>
    </row>
    <row r="192" spans="3:3" x14ac:dyDescent="0.2">
      <c r="C192" s="28"/>
    </row>
    <row r="193" spans="3:3" x14ac:dyDescent="0.2">
      <c r="C193" s="28"/>
    </row>
    <row r="194" spans="3:3" x14ac:dyDescent="0.2">
      <c r="C194" s="28"/>
    </row>
    <row r="195" spans="3:3" s="36" customFormat="1" ht="26.25" customHeight="1" x14ac:dyDescent="0.2">
      <c r="C195" s="28"/>
    </row>
    <row r="196" spans="3:3" ht="14.25" customHeight="1" x14ac:dyDescent="0.2">
      <c r="C196" s="28"/>
    </row>
    <row r="197" spans="3:3" x14ac:dyDescent="0.2">
      <c r="C197" s="28"/>
    </row>
    <row r="198" spans="3:3" x14ac:dyDescent="0.2">
      <c r="C198" s="28"/>
    </row>
    <row r="199" spans="3:3" x14ac:dyDescent="0.2">
      <c r="C199" s="28"/>
    </row>
    <row r="200" spans="3:3" x14ac:dyDescent="0.2">
      <c r="C200" s="28"/>
    </row>
    <row r="201" spans="3:3" x14ac:dyDescent="0.2">
      <c r="C201" s="28"/>
    </row>
    <row r="202" spans="3:3" x14ac:dyDescent="0.2">
      <c r="C202" s="28"/>
    </row>
    <row r="203" spans="3:3" ht="14.25" customHeight="1" x14ac:dyDescent="0.2">
      <c r="C203" s="28"/>
    </row>
    <row r="204" spans="3:3" x14ac:dyDescent="0.2">
      <c r="C204" s="28"/>
    </row>
    <row r="205" spans="3:3" x14ac:dyDescent="0.2">
      <c r="C205" s="28"/>
    </row>
    <row r="206" spans="3:3" x14ac:dyDescent="0.2">
      <c r="C206" s="28"/>
    </row>
    <row r="207" spans="3:3" x14ac:dyDescent="0.2">
      <c r="C207" s="28"/>
    </row>
    <row r="208" spans="3:3" x14ac:dyDescent="0.2">
      <c r="C208" s="28"/>
    </row>
    <row r="209" spans="3:3" x14ac:dyDescent="0.2">
      <c r="C209" s="28"/>
    </row>
    <row r="210" spans="3:3" x14ac:dyDescent="0.2">
      <c r="C210" s="28"/>
    </row>
    <row r="211" spans="3:3" x14ac:dyDescent="0.2">
      <c r="C211" s="28"/>
    </row>
    <row r="212" spans="3:3" x14ac:dyDescent="0.2">
      <c r="C212" s="28"/>
    </row>
    <row r="213" spans="3:3" x14ac:dyDescent="0.2">
      <c r="C213" s="28"/>
    </row>
    <row r="214" spans="3:3" x14ac:dyDescent="0.2">
      <c r="C214" s="28"/>
    </row>
    <row r="215" spans="3:3" x14ac:dyDescent="0.2">
      <c r="C215" s="28"/>
    </row>
    <row r="216" spans="3:3" x14ac:dyDescent="0.2">
      <c r="C216" s="28"/>
    </row>
    <row r="217" spans="3:3" x14ac:dyDescent="0.2">
      <c r="C217" s="28"/>
    </row>
    <row r="218" spans="3:3" x14ac:dyDescent="0.2">
      <c r="C218" s="28"/>
    </row>
    <row r="219" spans="3:3" x14ac:dyDescent="0.2">
      <c r="C219" s="28"/>
    </row>
    <row r="220" spans="3:3" x14ac:dyDescent="0.2">
      <c r="C220" s="28"/>
    </row>
    <row r="221" spans="3:3" x14ac:dyDescent="0.2">
      <c r="C221" s="28"/>
    </row>
    <row r="222" spans="3:3" x14ac:dyDescent="0.2">
      <c r="C222" s="28"/>
    </row>
    <row r="223" spans="3:3" x14ac:dyDescent="0.2">
      <c r="C223" s="28"/>
    </row>
    <row r="224" spans="3:3" x14ac:dyDescent="0.2">
      <c r="C224" s="28"/>
    </row>
    <row r="225" spans="3:3" x14ac:dyDescent="0.2">
      <c r="C225" s="28"/>
    </row>
    <row r="226" spans="3:3" x14ac:dyDescent="0.2">
      <c r="C226" s="28"/>
    </row>
    <row r="227" spans="3:3" x14ac:dyDescent="0.2">
      <c r="C227" s="28"/>
    </row>
    <row r="228" spans="3:3" x14ac:dyDescent="0.2">
      <c r="C228" s="28"/>
    </row>
    <row r="229" spans="3:3" x14ac:dyDescent="0.2">
      <c r="C229" s="28"/>
    </row>
    <row r="230" spans="3:3" x14ac:dyDescent="0.2">
      <c r="C230" s="28"/>
    </row>
    <row r="231" spans="3:3" x14ac:dyDescent="0.2">
      <c r="C231" s="28"/>
    </row>
    <row r="232" spans="3:3" x14ac:dyDescent="0.2">
      <c r="C232" s="28"/>
    </row>
    <row r="233" spans="3:3" x14ac:dyDescent="0.2">
      <c r="C233" s="28"/>
    </row>
    <row r="234" spans="3:3" x14ac:dyDescent="0.2">
      <c r="C234" s="28"/>
    </row>
    <row r="235" spans="3:3" x14ac:dyDescent="0.2">
      <c r="C235" s="28"/>
    </row>
    <row r="236" spans="3:3" x14ac:dyDescent="0.2">
      <c r="C236" s="28"/>
    </row>
    <row r="237" spans="3:3" x14ac:dyDescent="0.2">
      <c r="C237" s="28"/>
    </row>
    <row r="238" spans="3:3" x14ac:dyDescent="0.2">
      <c r="C238" s="28"/>
    </row>
    <row r="239" spans="3:3" x14ac:dyDescent="0.2">
      <c r="C239" s="28"/>
    </row>
    <row r="240" spans="3:3" x14ac:dyDescent="0.2">
      <c r="C240" s="28"/>
    </row>
    <row r="241" spans="3:3" x14ac:dyDescent="0.2">
      <c r="C241" s="28"/>
    </row>
    <row r="242" spans="3:3" x14ac:dyDescent="0.2">
      <c r="C242" s="28"/>
    </row>
    <row r="243" spans="3:3" x14ac:dyDescent="0.2">
      <c r="C243" s="28"/>
    </row>
    <row r="244" spans="3:3" x14ac:dyDescent="0.2">
      <c r="C244" s="28"/>
    </row>
    <row r="245" spans="3:3" x14ac:dyDescent="0.2">
      <c r="C245" s="28"/>
    </row>
    <row r="246" spans="3:3" x14ac:dyDescent="0.2">
      <c r="C246" s="28"/>
    </row>
    <row r="247" spans="3:3" x14ac:dyDescent="0.2">
      <c r="C247" s="28"/>
    </row>
    <row r="248" spans="3:3" x14ac:dyDescent="0.2">
      <c r="C248" s="28"/>
    </row>
    <row r="249" spans="3:3" x14ac:dyDescent="0.2">
      <c r="C249" s="28"/>
    </row>
    <row r="250" spans="3:3" x14ac:dyDescent="0.2">
      <c r="C250" s="28"/>
    </row>
    <row r="251" spans="3:3" x14ac:dyDescent="0.2">
      <c r="C251" s="28"/>
    </row>
    <row r="252" spans="3:3" x14ac:dyDescent="0.2">
      <c r="C252" s="28"/>
    </row>
    <row r="253" spans="3:3" x14ac:dyDescent="0.2">
      <c r="C253" s="28"/>
    </row>
    <row r="254" spans="3:3" x14ac:dyDescent="0.2">
      <c r="C254" s="28"/>
    </row>
    <row r="255" spans="3:3" x14ac:dyDescent="0.2">
      <c r="C255" s="28"/>
    </row>
    <row r="256" spans="3:3" x14ac:dyDescent="0.2">
      <c r="C256" s="28"/>
    </row>
    <row r="257" spans="3:3" x14ac:dyDescent="0.2">
      <c r="C257" s="28"/>
    </row>
    <row r="258" spans="3:3" x14ac:dyDescent="0.2">
      <c r="C258" s="28"/>
    </row>
    <row r="259" spans="3:3" x14ac:dyDescent="0.2">
      <c r="C259" s="28"/>
    </row>
    <row r="260" spans="3:3" x14ac:dyDescent="0.2">
      <c r="C260" s="28"/>
    </row>
    <row r="261" spans="3:3" x14ac:dyDescent="0.2">
      <c r="C261" s="28"/>
    </row>
    <row r="262" spans="3:3" x14ac:dyDescent="0.2">
      <c r="C262" s="28"/>
    </row>
    <row r="263" spans="3:3" x14ac:dyDescent="0.2">
      <c r="C263" s="28"/>
    </row>
    <row r="264" spans="3:3" x14ac:dyDescent="0.2">
      <c r="C264" s="28"/>
    </row>
    <row r="265" spans="3:3" x14ac:dyDescent="0.2">
      <c r="C265" s="28"/>
    </row>
    <row r="266" spans="3:3" x14ac:dyDescent="0.2">
      <c r="C266" s="28"/>
    </row>
    <row r="267" spans="3:3" x14ac:dyDescent="0.2">
      <c r="C267" s="28"/>
    </row>
    <row r="268" spans="3:3" x14ac:dyDescent="0.2">
      <c r="C268" s="28"/>
    </row>
    <row r="269" spans="3:3" x14ac:dyDescent="0.2">
      <c r="C269" s="28"/>
    </row>
    <row r="270" spans="3:3" x14ac:dyDescent="0.2">
      <c r="C270" s="28"/>
    </row>
    <row r="271" spans="3:3" x14ac:dyDescent="0.2">
      <c r="C271" s="28"/>
    </row>
    <row r="272" spans="3:3" x14ac:dyDescent="0.2">
      <c r="C272" s="28"/>
    </row>
    <row r="273" spans="3:3" x14ac:dyDescent="0.2">
      <c r="C273" s="28"/>
    </row>
    <row r="274" spans="3:3" x14ac:dyDescent="0.2">
      <c r="C274" s="28"/>
    </row>
    <row r="275" spans="3:3" x14ac:dyDescent="0.2">
      <c r="C275" s="28"/>
    </row>
    <row r="276" spans="3:3" x14ac:dyDescent="0.2">
      <c r="C276" s="28"/>
    </row>
    <row r="277" spans="3:3" x14ac:dyDescent="0.2">
      <c r="C277" s="28"/>
    </row>
    <row r="278" spans="3:3" x14ac:dyDescent="0.2">
      <c r="C278" s="28"/>
    </row>
    <row r="279" spans="3:3" x14ac:dyDescent="0.2">
      <c r="C279" s="28"/>
    </row>
    <row r="280" spans="3:3" x14ac:dyDescent="0.2">
      <c r="C280" s="28"/>
    </row>
    <row r="281" spans="3:3" x14ac:dyDescent="0.2">
      <c r="C281" s="28"/>
    </row>
    <row r="282" spans="3:3" x14ac:dyDescent="0.2">
      <c r="C282" s="28"/>
    </row>
    <row r="283" spans="3:3" x14ac:dyDescent="0.2">
      <c r="C283" s="28"/>
    </row>
    <row r="284" spans="3:3" x14ac:dyDescent="0.2">
      <c r="C284" s="28"/>
    </row>
    <row r="285" spans="3:3" x14ac:dyDescent="0.2">
      <c r="C285" s="28"/>
    </row>
    <row r="286" spans="3:3" x14ac:dyDescent="0.2">
      <c r="C286" s="28"/>
    </row>
    <row r="287" spans="3:3" x14ac:dyDescent="0.2">
      <c r="C287" s="28"/>
    </row>
    <row r="288" spans="3:3" x14ac:dyDescent="0.2">
      <c r="C288" s="28"/>
    </row>
    <row r="289" spans="3:3" x14ac:dyDescent="0.2">
      <c r="C289" s="28"/>
    </row>
    <row r="290" spans="3:3" x14ac:dyDescent="0.2">
      <c r="C290" s="28"/>
    </row>
    <row r="291" spans="3:3" x14ac:dyDescent="0.2">
      <c r="C291" s="28"/>
    </row>
    <row r="292" spans="3:3" x14ac:dyDescent="0.2">
      <c r="C292" s="28"/>
    </row>
    <row r="293" spans="3:3" x14ac:dyDescent="0.2">
      <c r="C293" s="28"/>
    </row>
    <row r="294" spans="3:3" x14ac:dyDescent="0.2">
      <c r="C294" s="28"/>
    </row>
    <row r="295" spans="3:3" x14ac:dyDescent="0.2">
      <c r="C295" s="28"/>
    </row>
    <row r="296" spans="3:3" x14ac:dyDescent="0.2">
      <c r="C296" s="28"/>
    </row>
    <row r="297" spans="3:3" x14ac:dyDescent="0.2">
      <c r="C297" s="28"/>
    </row>
    <row r="298" spans="3:3" x14ac:dyDescent="0.2">
      <c r="C298" s="28"/>
    </row>
    <row r="299" spans="3:3" x14ac:dyDescent="0.2">
      <c r="C299" s="28"/>
    </row>
    <row r="300" spans="3:3" x14ac:dyDescent="0.2">
      <c r="C300" s="28"/>
    </row>
    <row r="301" spans="3:3" x14ac:dyDescent="0.2">
      <c r="C301" s="28"/>
    </row>
    <row r="302" spans="3:3" x14ac:dyDescent="0.2">
      <c r="C302" s="28"/>
    </row>
    <row r="303" spans="3:3" x14ac:dyDescent="0.2">
      <c r="C303" s="28"/>
    </row>
    <row r="304" spans="3:3" x14ac:dyDescent="0.2">
      <c r="C304" s="28"/>
    </row>
    <row r="305" spans="3:3" x14ac:dyDescent="0.2">
      <c r="C305" s="28"/>
    </row>
    <row r="306" spans="3:3" x14ac:dyDescent="0.2">
      <c r="C306" s="28"/>
    </row>
    <row r="307" spans="3:3" x14ac:dyDescent="0.2">
      <c r="C307" s="28"/>
    </row>
    <row r="308" spans="3:3" x14ac:dyDescent="0.2">
      <c r="C308" s="28"/>
    </row>
    <row r="309" spans="3:3" x14ac:dyDescent="0.2">
      <c r="C309" s="28"/>
    </row>
    <row r="310" spans="3:3" x14ac:dyDescent="0.2">
      <c r="C310" s="28"/>
    </row>
    <row r="311" spans="3:3" x14ac:dyDescent="0.2">
      <c r="C311" s="28"/>
    </row>
    <row r="312" spans="3:3" x14ac:dyDescent="0.2">
      <c r="C312" s="28"/>
    </row>
    <row r="313" spans="3:3" x14ac:dyDescent="0.2">
      <c r="C313" s="28"/>
    </row>
    <row r="314" spans="3:3" x14ac:dyDescent="0.2">
      <c r="C314" s="28"/>
    </row>
    <row r="315" spans="3:3" x14ac:dyDescent="0.2">
      <c r="C315" s="28"/>
    </row>
    <row r="316" spans="3:3" x14ac:dyDescent="0.2">
      <c r="C316" s="28"/>
    </row>
    <row r="317" spans="3:3" x14ac:dyDescent="0.2">
      <c r="C317" s="28"/>
    </row>
    <row r="318" spans="3:3" x14ac:dyDescent="0.2">
      <c r="C318" s="28"/>
    </row>
    <row r="319" spans="3:3" x14ac:dyDescent="0.2">
      <c r="C319" s="28"/>
    </row>
    <row r="320" spans="3:3" x14ac:dyDescent="0.2">
      <c r="C320" s="28"/>
    </row>
    <row r="321" spans="3:3" x14ac:dyDescent="0.2">
      <c r="C321" s="28"/>
    </row>
    <row r="322" spans="3:3" x14ac:dyDescent="0.2">
      <c r="C322" s="28"/>
    </row>
    <row r="323" spans="3:3" x14ac:dyDescent="0.2">
      <c r="C323" s="28"/>
    </row>
    <row r="324" spans="3:3" x14ac:dyDescent="0.2">
      <c r="C324" s="28"/>
    </row>
    <row r="325" spans="3:3" x14ac:dyDescent="0.2">
      <c r="C325" s="28"/>
    </row>
    <row r="326" spans="3:3" x14ac:dyDescent="0.2">
      <c r="C326" s="28"/>
    </row>
    <row r="327" spans="3:3" x14ac:dyDescent="0.2">
      <c r="C327" s="28"/>
    </row>
    <row r="328" spans="3:3" x14ac:dyDescent="0.2">
      <c r="C328" s="28"/>
    </row>
    <row r="329" spans="3:3" x14ac:dyDescent="0.2">
      <c r="C329" s="28"/>
    </row>
    <row r="330" spans="3:3" x14ac:dyDescent="0.2">
      <c r="C330" s="28"/>
    </row>
    <row r="331" spans="3:3" x14ac:dyDescent="0.2">
      <c r="C331" s="28"/>
    </row>
    <row r="332" spans="3:3" x14ac:dyDescent="0.2">
      <c r="C332" s="28"/>
    </row>
    <row r="333" spans="3:3" x14ac:dyDescent="0.2">
      <c r="C333" s="28"/>
    </row>
    <row r="334" spans="3:3" x14ac:dyDescent="0.2">
      <c r="C334" s="28"/>
    </row>
    <row r="335" spans="3:3" x14ac:dyDescent="0.2">
      <c r="C335" s="28"/>
    </row>
    <row r="336" spans="3:3" x14ac:dyDescent="0.2">
      <c r="C336" s="28"/>
    </row>
    <row r="337" spans="3:3" x14ac:dyDescent="0.2">
      <c r="C337" s="28"/>
    </row>
    <row r="338" spans="3:3" x14ac:dyDescent="0.2">
      <c r="C338" s="28"/>
    </row>
    <row r="339" spans="3:3" x14ac:dyDescent="0.2">
      <c r="C339" s="28"/>
    </row>
    <row r="340" spans="3:3" x14ac:dyDescent="0.2">
      <c r="C340" s="28"/>
    </row>
    <row r="341" spans="3:3" x14ac:dyDescent="0.2">
      <c r="C341" s="28"/>
    </row>
    <row r="342" spans="3:3" x14ac:dyDescent="0.2">
      <c r="C342" s="28"/>
    </row>
    <row r="343" spans="3:3" x14ac:dyDescent="0.2">
      <c r="C343" s="28"/>
    </row>
    <row r="344" spans="3:3" x14ac:dyDescent="0.2">
      <c r="C344" s="28"/>
    </row>
    <row r="345" spans="3:3" x14ac:dyDescent="0.2">
      <c r="C345" s="28"/>
    </row>
    <row r="346" spans="3:3" x14ac:dyDescent="0.2">
      <c r="C346" s="28"/>
    </row>
    <row r="347" spans="3:3" x14ac:dyDescent="0.2">
      <c r="C347" s="28"/>
    </row>
    <row r="348" spans="3:3" x14ac:dyDescent="0.2">
      <c r="C348" s="28"/>
    </row>
    <row r="349" spans="3:3" x14ac:dyDescent="0.2">
      <c r="C349" s="28"/>
    </row>
    <row r="350" spans="3:3" x14ac:dyDescent="0.2">
      <c r="C350" s="28"/>
    </row>
    <row r="351" spans="3:3" x14ac:dyDescent="0.2">
      <c r="C351" s="28"/>
    </row>
    <row r="352" spans="3:3" x14ac:dyDescent="0.2">
      <c r="C352" s="28"/>
    </row>
    <row r="353" spans="3:3" x14ac:dyDescent="0.2">
      <c r="C353" s="28"/>
    </row>
    <row r="354" spans="3:3" x14ac:dyDescent="0.2">
      <c r="C354" s="28"/>
    </row>
    <row r="355" spans="3:3" x14ac:dyDescent="0.2">
      <c r="C355" s="28"/>
    </row>
    <row r="356" spans="3:3" x14ac:dyDescent="0.2">
      <c r="C356" s="28"/>
    </row>
    <row r="357" spans="3:3" x14ac:dyDescent="0.2">
      <c r="C357" s="28"/>
    </row>
    <row r="358" spans="3:3" x14ac:dyDescent="0.2">
      <c r="C358" s="28"/>
    </row>
    <row r="359" spans="3:3" x14ac:dyDescent="0.2">
      <c r="C359" s="28"/>
    </row>
    <row r="360" spans="3:3" x14ac:dyDescent="0.2">
      <c r="C360" s="28"/>
    </row>
    <row r="361" spans="3:3" x14ac:dyDescent="0.2">
      <c r="C361" s="28"/>
    </row>
    <row r="362" spans="3:3" x14ac:dyDescent="0.2">
      <c r="C362" s="28"/>
    </row>
    <row r="363" spans="3:3" x14ac:dyDescent="0.2">
      <c r="C363" s="28"/>
    </row>
    <row r="364" spans="3:3" x14ac:dyDescent="0.2">
      <c r="C364" s="28"/>
    </row>
    <row r="365" spans="3:3" x14ac:dyDescent="0.2">
      <c r="C365" s="28"/>
    </row>
    <row r="366" spans="3:3" x14ac:dyDescent="0.2">
      <c r="C366" s="28"/>
    </row>
    <row r="367" spans="3:3" x14ac:dyDescent="0.2">
      <c r="C367" s="28"/>
    </row>
    <row r="368" spans="3:3" x14ac:dyDescent="0.2">
      <c r="C368" s="28"/>
    </row>
    <row r="369" spans="3:3" x14ac:dyDescent="0.2">
      <c r="C369" s="28"/>
    </row>
    <row r="370" spans="3:3" x14ac:dyDescent="0.2">
      <c r="C370" s="28"/>
    </row>
    <row r="371" spans="3:3" x14ac:dyDescent="0.2">
      <c r="C371" s="28"/>
    </row>
    <row r="372" spans="3:3" x14ac:dyDescent="0.2">
      <c r="C372" s="28"/>
    </row>
    <row r="373" spans="3:3" x14ac:dyDescent="0.2">
      <c r="C373" s="28"/>
    </row>
    <row r="374" spans="3:3" x14ac:dyDescent="0.2">
      <c r="C374" s="28"/>
    </row>
    <row r="375" spans="3:3" x14ac:dyDescent="0.2">
      <c r="C375" s="28"/>
    </row>
    <row r="376" spans="3:3" x14ac:dyDescent="0.2">
      <c r="C376" s="28"/>
    </row>
    <row r="377" spans="3:3" x14ac:dyDescent="0.2">
      <c r="C377" s="28"/>
    </row>
    <row r="378" spans="3:3" x14ac:dyDescent="0.2">
      <c r="C378" s="28"/>
    </row>
    <row r="379" spans="3:3" x14ac:dyDescent="0.2">
      <c r="C379" s="28"/>
    </row>
    <row r="380" spans="3:3" x14ac:dyDescent="0.2">
      <c r="C380" s="28"/>
    </row>
    <row r="381" spans="3:3" x14ac:dyDescent="0.2">
      <c r="C381" s="28"/>
    </row>
    <row r="382" spans="3:3" x14ac:dyDescent="0.2">
      <c r="C382" s="28"/>
    </row>
    <row r="383" spans="3:3" x14ac:dyDescent="0.2">
      <c r="C383" s="28"/>
    </row>
    <row r="384" spans="3:3" x14ac:dyDescent="0.2">
      <c r="C384" s="28"/>
    </row>
    <row r="385" spans="3:3" x14ac:dyDescent="0.2">
      <c r="C385" s="28"/>
    </row>
    <row r="386" spans="3:3" x14ac:dyDescent="0.2">
      <c r="C386" s="28"/>
    </row>
    <row r="387" spans="3:3" x14ac:dyDescent="0.2">
      <c r="C387" s="28"/>
    </row>
    <row r="388" spans="3:3" x14ac:dyDescent="0.2">
      <c r="C388" s="28"/>
    </row>
    <row r="389" spans="3:3" x14ac:dyDescent="0.2">
      <c r="C389" s="28"/>
    </row>
    <row r="390" spans="3:3" x14ac:dyDescent="0.2">
      <c r="C390" s="28"/>
    </row>
    <row r="391" spans="3:3" x14ac:dyDescent="0.2">
      <c r="C391" s="28"/>
    </row>
    <row r="392" spans="3:3" x14ac:dyDescent="0.2">
      <c r="C392" s="28"/>
    </row>
    <row r="393" spans="3:3" x14ac:dyDescent="0.2">
      <c r="C393" s="28"/>
    </row>
    <row r="394" spans="3:3" x14ac:dyDescent="0.2">
      <c r="C394" s="28"/>
    </row>
    <row r="395" spans="3:3" x14ac:dyDescent="0.2">
      <c r="C395" s="28"/>
    </row>
    <row r="396" spans="3:3" x14ac:dyDescent="0.2">
      <c r="C396" s="28"/>
    </row>
    <row r="397" spans="3:3" x14ac:dyDescent="0.2">
      <c r="C397" s="28"/>
    </row>
    <row r="398" spans="3:3" x14ac:dyDescent="0.2">
      <c r="C398" s="28"/>
    </row>
    <row r="399" spans="3:3" x14ac:dyDescent="0.2">
      <c r="C399" s="28"/>
    </row>
    <row r="400" spans="3:3" x14ac:dyDescent="0.2">
      <c r="C400" s="28"/>
    </row>
    <row r="401" spans="3:3" x14ac:dyDescent="0.2">
      <c r="C401" s="28"/>
    </row>
    <row r="402" spans="3:3" x14ac:dyDescent="0.2">
      <c r="C402" s="28"/>
    </row>
    <row r="403" spans="3:3" x14ac:dyDescent="0.2">
      <c r="C403" s="28"/>
    </row>
    <row r="404" spans="3:3" x14ac:dyDescent="0.2">
      <c r="C404" s="28"/>
    </row>
    <row r="405" spans="3:3" x14ac:dyDescent="0.2">
      <c r="C405" s="28"/>
    </row>
    <row r="406" spans="3:3" x14ac:dyDescent="0.2">
      <c r="C406" s="28"/>
    </row>
    <row r="407" spans="3:3" x14ac:dyDescent="0.2">
      <c r="C407" s="28"/>
    </row>
    <row r="408" spans="3:3" x14ac:dyDescent="0.2">
      <c r="C408" s="28"/>
    </row>
    <row r="409" spans="3:3" x14ac:dyDescent="0.2">
      <c r="C409" s="28"/>
    </row>
    <row r="410" spans="3:3" x14ac:dyDescent="0.2">
      <c r="C410" s="28"/>
    </row>
    <row r="411" spans="3:3" x14ac:dyDescent="0.2">
      <c r="C411" s="28"/>
    </row>
    <row r="412" spans="3:3" x14ac:dyDescent="0.2">
      <c r="C412" s="28"/>
    </row>
    <row r="413" spans="3:3" x14ac:dyDescent="0.2">
      <c r="C413" s="28"/>
    </row>
    <row r="414" spans="3:3" x14ac:dyDescent="0.2">
      <c r="C414" s="28"/>
    </row>
    <row r="415" spans="3:3" x14ac:dyDescent="0.2">
      <c r="C415" s="28"/>
    </row>
    <row r="416" spans="3:3" x14ac:dyDescent="0.2">
      <c r="C416" s="28"/>
    </row>
    <row r="417" spans="3:3" x14ac:dyDescent="0.2">
      <c r="C417" s="28"/>
    </row>
    <row r="418" spans="3:3" x14ac:dyDescent="0.2">
      <c r="C418" s="28"/>
    </row>
    <row r="419" spans="3:3" x14ac:dyDescent="0.2">
      <c r="C419" s="28"/>
    </row>
    <row r="420" spans="3:3" x14ac:dyDescent="0.2">
      <c r="C420" s="28"/>
    </row>
    <row r="421" spans="3:3" x14ac:dyDescent="0.2">
      <c r="C421" s="28"/>
    </row>
    <row r="422" spans="3:3" x14ac:dyDescent="0.2">
      <c r="C422" s="28"/>
    </row>
    <row r="423" spans="3:3" x14ac:dyDescent="0.2">
      <c r="C423" s="28"/>
    </row>
    <row r="424" spans="3:3" x14ac:dyDescent="0.2">
      <c r="C424" s="28"/>
    </row>
    <row r="425" spans="3:3" x14ac:dyDescent="0.2">
      <c r="C425" s="28"/>
    </row>
    <row r="426" spans="3:3" x14ac:dyDescent="0.2">
      <c r="C426" s="28"/>
    </row>
    <row r="427" spans="3:3" x14ac:dyDescent="0.2">
      <c r="C427" s="28"/>
    </row>
    <row r="428" spans="3:3" x14ac:dyDescent="0.2">
      <c r="C428" s="28"/>
    </row>
    <row r="429" spans="3:3" x14ac:dyDescent="0.2">
      <c r="C429" s="28"/>
    </row>
    <row r="430" spans="3:3" x14ac:dyDescent="0.2">
      <c r="C430" s="28"/>
    </row>
    <row r="431" spans="3:3" x14ac:dyDescent="0.2">
      <c r="C431" s="28"/>
    </row>
    <row r="432" spans="3:3" x14ac:dyDescent="0.2">
      <c r="C432" s="28"/>
    </row>
    <row r="433" spans="3:3" x14ac:dyDescent="0.2">
      <c r="C433" s="28"/>
    </row>
    <row r="434" spans="3:3" x14ac:dyDescent="0.2">
      <c r="C434" s="28"/>
    </row>
    <row r="435" spans="3:3" x14ac:dyDescent="0.2">
      <c r="C435" s="28"/>
    </row>
    <row r="436" spans="3:3" x14ac:dyDescent="0.2">
      <c r="C436" s="28"/>
    </row>
    <row r="437" spans="3:3" x14ac:dyDescent="0.2">
      <c r="C437" s="28"/>
    </row>
    <row r="438" spans="3:3" x14ac:dyDescent="0.2">
      <c r="C438" s="28"/>
    </row>
    <row r="439" spans="3:3" x14ac:dyDescent="0.2">
      <c r="C439" s="28"/>
    </row>
    <row r="440" spans="3:3" x14ac:dyDescent="0.2">
      <c r="C440" s="28"/>
    </row>
    <row r="441" spans="3:3" x14ac:dyDescent="0.2">
      <c r="C441" s="28"/>
    </row>
    <row r="442" spans="3:3" x14ac:dyDescent="0.2">
      <c r="C442" s="28"/>
    </row>
    <row r="443" spans="3:3" x14ac:dyDescent="0.2">
      <c r="C443" s="28"/>
    </row>
    <row r="444" spans="3:3" x14ac:dyDescent="0.2">
      <c r="C444" s="28"/>
    </row>
    <row r="445" spans="3:3" x14ac:dyDescent="0.2">
      <c r="C445" s="28"/>
    </row>
    <row r="446" spans="3:3" x14ac:dyDescent="0.2">
      <c r="C446" s="28"/>
    </row>
    <row r="447" spans="3:3" x14ac:dyDescent="0.2">
      <c r="C447" s="28"/>
    </row>
    <row r="448" spans="3:3" x14ac:dyDescent="0.2">
      <c r="C448" s="28"/>
    </row>
    <row r="449" spans="3:3" x14ac:dyDescent="0.2">
      <c r="C449" s="28"/>
    </row>
    <row r="450" spans="3:3" x14ac:dyDescent="0.2">
      <c r="C450" s="28"/>
    </row>
    <row r="451" spans="3:3" x14ac:dyDescent="0.2">
      <c r="C451" s="28"/>
    </row>
    <row r="452" spans="3:3" x14ac:dyDescent="0.2">
      <c r="C452" s="28"/>
    </row>
    <row r="453" spans="3:3" x14ac:dyDescent="0.2">
      <c r="C453" s="28"/>
    </row>
    <row r="454" spans="3:3" x14ac:dyDescent="0.2">
      <c r="C454" s="28"/>
    </row>
    <row r="455" spans="3:3" x14ac:dyDescent="0.2">
      <c r="C455" s="28"/>
    </row>
    <row r="456" spans="3:3" x14ac:dyDescent="0.2">
      <c r="C456" s="28"/>
    </row>
    <row r="457" spans="3:3" x14ac:dyDescent="0.2">
      <c r="C457" s="28"/>
    </row>
    <row r="458" spans="3:3" x14ac:dyDescent="0.2">
      <c r="C458" s="28"/>
    </row>
    <row r="459" spans="3:3" x14ac:dyDescent="0.2">
      <c r="C459" s="28"/>
    </row>
    <row r="460" spans="3:3" x14ac:dyDescent="0.2">
      <c r="C460" s="28"/>
    </row>
    <row r="461" spans="3:3" x14ac:dyDescent="0.2">
      <c r="C461" s="28"/>
    </row>
    <row r="462" spans="3:3" x14ac:dyDescent="0.2">
      <c r="C462" s="28"/>
    </row>
    <row r="463" spans="3:3" x14ac:dyDescent="0.2">
      <c r="C463" s="28"/>
    </row>
    <row r="464" spans="3:3" x14ac:dyDescent="0.2">
      <c r="C464" s="28"/>
    </row>
    <row r="465" spans="3:3" x14ac:dyDescent="0.2">
      <c r="C465" s="28"/>
    </row>
    <row r="466" spans="3:3" x14ac:dyDescent="0.2">
      <c r="C466" s="28"/>
    </row>
    <row r="467" spans="3:3" x14ac:dyDescent="0.2">
      <c r="C467" s="28"/>
    </row>
    <row r="468" spans="3:3" x14ac:dyDescent="0.2">
      <c r="C468" s="28"/>
    </row>
    <row r="469" spans="3:3" x14ac:dyDescent="0.2">
      <c r="C469" s="28"/>
    </row>
    <row r="470" spans="3:3" x14ac:dyDescent="0.2">
      <c r="C470" s="28"/>
    </row>
    <row r="471" spans="3:3" x14ac:dyDescent="0.2">
      <c r="C471" s="28"/>
    </row>
    <row r="472" spans="3:3" x14ac:dyDescent="0.2">
      <c r="C472" s="28"/>
    </row>
    <row r="473" spans="3:3" x14ac:dyDescent="0.2">
      <c r="C473" s="28"/>
    </row>
    <row r="474" spans="3:3" x14ac:dyDescent="0.2">
      <c r="C474" s="28"/>
    </row>
    <row r="475" spans="3:3" x14ac:dyDescent="0.2">
      <c r="C475" s="28"/>
    </row>
    <row r="476" spans="3:3" x14ac:dyDescent="0.2">
      <c r="C476" s="28"/>
    </row>
    <row r="477" spans="3:3" x14ac:dyDescent="0.2">
      <c r="C477" s="28"/>
    </row>
    <row r="478" spans="3:3" x14ac:dyDescent="0.2">
      <c r="C478" s="28"/>
    </row>
    <row r="479" spans="3:3" x14ac:dyDescent="0.2">
      <c r="C479" s="28"/>
    </row>
    <row r="480" spans="3:3" x14ac:dyDescent="0.2">
      <c r="C480" s="28"/>
    </row>
    <row r="481" spans="3:3" x14ac:dyDescent="0.2">
      <c r="C481" s="28"/>
    </row>
    <row r="482" spans="3:3" x14ac:dyDescent="0.2">
      <c r="C482" s="28"/>
    </row>
    <row r="483" spans="3:3" x14ac:dyDescent="0.2">
      <c r="C483" s="28"/>
    </row>
    <row r="484" spans="3:3" x14ac:dyDescent="0.2">
      <c r="C484" s="28"/>
    </row>
    <row r="485" spans="3:3" x14ac:dyDescent="0.2">
      <c r="C485" s="28"/>
    </row>
    <row r="486" spans="3:3" x14ac:dyDescent="0.2">
      <c r="C486" s="28"/>
    </row>
    <row r="487" spans="3:3" x14ac:dyDescent="0.2">
      <c r="C487" s="28"/>
    </row>
    <row r="488" spans="3:3" x14ac:dyDescent="0.2">
      <c r="C488" s="28"/>
    </row>
    <row r="489" spans="3:3" x14ac:dyDescent="0.2">
      <c r="C489" s="28"/>
    </row>
    <row r="490" spans="3:3" x14ac:dyDescent="0.2">
      <c r="C490" s="28"/>
    </row>
    <row r="491" spans="3:3" x14ac:dyDescent="0.2">
      <c r="C491" s="28"/>
    </row>
    <row r="492" spans="3:3" x14ac:dyDescent="0.2">
      <c r="C492" s="28"/>
    </row>
    <row r="493" spans="3:3" x14ac:dyDescent="0.2">
      <c r="C493" s="28"/>
    </row>
    <row r="494" spans="3:3" x14ac:dyDescent="0.2">
      <c r="C494" s="28"/>
    </row>
    <row r="495" spans="3:3" x14ac:dyDescent="0.2">
      <c r="C495" s="28"/>
    </row>
    <row r="496" spans="3:3" x14ac:dyDescent="0.2">
      <c r="C496" s="28"/>
    </row>
    <row r="497" spans="3:3" x14ac:dyDescent="0.2">
      <c r="C497" s="28"/>
    </row>
    <row r="498" spans="3:3" x14ac:dyDescent="0.2">
      <c r="C498" s="28"/>
    </row>
    <row r="499" spans="3:3" x14ac:dyDescent="0.2">
      <c r="C499" s="28"/>
    </row>
    <row r="500" spans="3:3" x14ac:dyDescent="0.2">
      <c r="C500" s="28"/>
    </row>
    <row r="501" spans="3:3" x14ac:dyDescent="0.2">
      <c r="C501" s="28"/>
    </row>
    <row r="502" spans="3:3" x14ac:dyDescent="0.2">
      <c r="C502" s="28"/>
    </row>
    <row r="503" spans="3:3" x14ac:dyDescent="0.2">
      <c r="C503" s="28"/>
    </row>
    <row r="504" spans="3:3" x14ac:dyDescent="0.2">
      <c r="C504" s="28"/>
    </row>
    <row r="505" spans="3:3" x14ac:dyDescent="0.2">
      <c r="C505" s="28"/>
    </row>
    <row r="506" spans="3:3" x14ac:dyDescent="0.2">
      <c r="C506" s="28"/>
    </row>
    <row r="507" spans="3:3" x14ac:dyDescent="0.2">
      <c r="C507" s="28"/>
    </row>
    <row r="508" spans="3:3" x14ac:dyDescent="0.2">
      <c r="C508" s="28"/>
    </row>
    <row r="509" spans="3:3" x14ac:dyDescent="0.2">
      <c r="C509" s="28"/>
    </row>
    <row r="510" spans="3:3" x14ac:dyDescent="0.2">
      <c r="C510" s="28"/>
    </row>
    <row r="511" spans="3:3" x14ac:dyDescent="0.2">
      <c r="C511" s="28"/>
    </row>
    <row r="512" spans="3:3" x14ac:dyDescent="0.2">
      <c r="C512" s="28"/>
    </row>
    <row r="513" spans="3:3" x14ac:dyDescent="0.2">
      <c r="C513" s="28"/>
    </row>
    <row r="514" spans="3:3" x14ac:dyDescent="0.2">
      <c r="C514" s="28"/>
    </row>
    <row r="515" spans="3:3" x14ac:dyDescent="0.2">
      <c r="C515" s="28"/>
    </row>
    <row r="516" spans="3:3" x14ac:dyDescent="0.2">
      <c r="C516" s="28"/>
    </row>
    <row r="517" spans="3:3" x14ac:dyDescent="0.2">
      <c r="C517" s="28"/>
    </row>
    <row r="518" spans="3:3" x14ac:dyDescent="0.2">
      <c r="C518" s="28"/>
    </row>
    <row r="519" spans="3:3" x14ac:dyDescent="0.2">
      <c r="C519" s="28"/>
    </row>
    <row r="520" spans="3:3" x14ac:dyDescent="0.2">
      <c r="C520" s="28"/>
    </row>
    <row r="521" spans="3:3" x14ac:dyDescent="0.2">
      <c r="C521" s="28"/>
    </row>
    <row r="522" spans="3:3" x14ac:dyDescent="0.2">
      <c r="C522" s="28"/>
    </row>
    <row r="523" spans="3:3" x14ac:dyDescent="0.2">
      <c r="C523" s="28"/>
    </row>
    <row r="524" spans="3:3" x14ac:dyDescent="0.2">
      <c r="C524" s="28"/>
    </row>
    <row r="525" spans="3:3" x14ac:dyDescent="0.2">
      <c r="C525" s="28"/>
    </row>
    <row r="526" spans="3:3" x14ac:dyDescent="0.2">
      <c r="C526" s="28"/>
    </row>
    <row r="527" spans="3:3" x14ac:dyDescent="0.2">
      <c r="C527" s="28"/>
    </row>
    <row r="528" spans="3:3" x14ac:dyDescent="0.2">
      <c r="C528" s="28"/>
    </row>
    <row r="529" spans="3:3" x14ac:dyDescent="0.2">
      <c r="C529" s="28"/>
    </row>
    <row r="530" spans="3:3" x14ac:dyDescent="0.2">
      <c r="C530" s="28"/>
    </row>
    <row r="531" spans="3:3" x14ac:dyDescent="0.2">
      <c r="C531" s="28"/>
    </row>
    <row r="532" spans="3:3" x14ac:dyDescent="0.2">
      <c r="C532" s="28"/>
    </row>
    <row r="533" spans="3:3" x14ac:dyDescent="0.2">
      <c r="C533" s="28"/>
    </row>
    <row r="534" spans="3:3" x14ac:dyDescent="0.2">
      <c r="C534" s="28"/>
    </row>
    <row r="535" spans="3:3" x14ac:dyDescent="0.2">
      <c r="C535" s="28"/>
    </row>
    <row r="536" spans="3:3" x14ac:dyDescent="0.2">
      <c r="C536" s="28"/>
    </row>
    <row r="537" spans="3:3" x14ac:dyDescent="0.2">
      <c r="C537" s="28"/>
    </row>
    <row r="538" spans="3:3" x14ac:dyDescent="0.2">
      <c r="C538" s="28"/>
    </row>
    <row r="539" spans="3:3" x14ac:dyDescent="0.2">
      <c r="C539" s="28"/>
    </row>
    <row r="540" spans="3:3" x14ac:dyDescent="0.2">
      <c r="C540" s="28"/>
    </row>
    <row r="541" spans="3:3" x14ac:dyDescent="0.2">
      <c r="C541" s="28"/>
    </row>
    <row r="542" spans="3:3" x14ac:dyDescent="0.2">
      <c r="C542" s="28"/>
    </row>
    <row r="543" spans="3:3" x14ac:dyDescent="0.2">
      <c r="C543" s="28"/>
    </row>
    <row r="544" spans="3:3" x14ac:dyDescent="0.2">
      <c r="C544" s="28"/>
    </row>
    <row r="545" spans="3:3" x14ac:dyDescent="0.2">
      <c r="C545" s="28"/>
    </row>
    <row r="546" spans="3:3" x14ac:dyDescent="0.2">
      <c r="C546" s="28"/>
    </row>
    <row r="547" spans="3:3" x14ac:dyDescent="0.2">
      <c r="C547" s="28"/>
    </row>
    <row r="548" spans="3:3" x14ac:dyDescent="0.2">
      <c r="C548" s="28"/>
    </row>
    <row r="549" spans="3:3" x14ac:dyDescent="0.2">
      <c r="C549" s="28"/>
    </row>
    <row r="550" spans="3:3" x14ac:dyDescent="0.2">
      <c r="C550" s="28"/>
    </row>
    <row r="551" spans="3:3" x14ac:dyDescent="0.2">
      <c r="C551" s="28"/>
    </row>
    <row r="552" spans="3:3" x14ac:dyDescent="0.2">
      <c r="C552" s="28"/>
    </row>
    <row r="553" spans="3:3" x14ac:dyDescent="0.2">
      <c r="C553" s="28"/>
    </row>
    <row r="554" spans="3:3" x14ac:dyDescent="0.2">
      <c r="C554" s="28"/>
    </row>
    <row r="555" spans="3:3" x14ac:dyDescent="0.2">
      <c r="C555" s="28"/>
    </row>
    <row r="556" spans="3:3" x14ac:dyDescent="0.2">
      <c r="C556" s="28"/>
    </row>
    <row r="557" spans="3:3" x14ac:dyDescent="0.2">
      <c r="C557" s="28"/>
    </row>
    <row r="558" spans="3:3" x14ac:dyDescent="0.2">
      <c r="C558" s="28"/>
    </row>
    <row r="559" spans="3:3" x14ac:dyDescent="0.2">
      <c r="C559" s="28"/>
    </row>
    <row r="560" spans="3:3" x14ac:dyDescent="0.2">
      <c r="C560" s="28"/>
    </row>
    <row r="561" spans="3:3" x14ac:dyDescent="0.2">
      <c r="C561" s="28"/>
    </row>
    <row r="562" spans="3:3" x14ac:dyDescent="0.2">
      <c r="C562" s="28"/>
    </row>
    <row r="563" spans="3:3" x14ac:dyDescent="0.2">
      <c r="C563" s="28"/>
    </row>
    <row r="564" spans="3:3" x14ac:dyDescent="0.2">
      <c r="C564" s="28"/>
    </row>
    <row r="565" spans="3:3" x14ac:dyDescent="0.2">
      <c r="C565" s="28"/>
    </row>
    <row r="566" spans="3:3" x14ac:dyDescent="0.2">
      <c r="C566" s="28"/>
    </row>
    <row r="567" spans="3:3" x14ac:dyDescent="0.2">
      <c r="C567" s="28"/>
    </row>
    <row r="568" spans="3:3" x14ac:dyDescent="0.2">
      <c r="C568" s="28"/>
    </row>
    <row r="569" spans="3:3" x14ac:dyDescent="0.2">
      <c r="C569" s="28"/>
    </row>
    <row r="570" spans="3:3" x14ac:dyDescent="0.2">
      <c r="C570" s="28"/>
    </row>
    <row r="571" spans="3:3" x14ac:dyDescent="0.2">
      <c r="C571" s="28"/>
    </row>
    <row r="572" spans="3:3" x14ac:dyDescent="0.2">
      <c r="C572" s="28"/>
    </row>
    <row r="573" spans="3:3" x14ac:dyDescent="0.2">
      <c r="C573" s="28"/>
    </row>
    <row r="574" spans="3:3" x14ac:dyDescent="0.2">
      <c r="C574" s="28"/>
    </row>
    <row r="575" spans="3:3" x14ac:dyDescent="0.2">
      <c r="C575" s="28"/>
    </row>
    <row r="576" spans="3:3" x14ac:dyDescent="0.2">
      <c r="C576" s="28"/>
    </row>
    <row r="577" spans="3:3" x14ac:dyDescent="0.2">
      <c r="C577" s="28"/>
    </row>
    <row r="578" spans="3:3" x14ac:dyDescent="0.2">
      <c r="C578" s="28"/>
    </row>
    <row r="579" spans="3:3" x14ac:dyDescent="0.2">
      <c r="C579" s="28"/>
    </row>
    <row r="580" spans="3:3" x14ac:dyDescent="0.2">
      <c r="C580" s="28"/>
    </row>
    <row r="581" spans="3:3" x14ac:dyDescent="0.2">
      <c r="C581" s="28"/>
    </row>
    <row r="582" spans="3:3" x14ac:dyDescent="0.2">
      <c r="C582" s="28"/>
    </row>
    <row r="583" spans="3:3" x14ac:dyDescent="0.2">
      <c r="C583" s="28"/>
    </row>
    <row r="584" spans="3:3" x14ac:dyDescent="0.2">
      <c r="C584" s="28"/>
    </row>
    <row r="585" spans="3:3" x14ac:dyDescent="0.2">
      <c r="C585" s="28"/>
    </row>
    <row r="586" spans="3:3" x14ac:dyDescent="0.2">
      <c r="C586" s="28"/>
    </row>
    <row r="587" spans="3:3" x14ac:dyDescent="0.2">
      <c r="C587" s="28"/>
    </row>
    <row r="588" spans="3:3" x14ac:dyDescent="0.2">
      <c r="C588" s="28"/>
    </row>
    <row r="589" spans="3:3" x14ac:dyDescent="0.2">
      <c r="C589" s="28"/>
    </row>
    <row r="590" spans="3:3" x14ac:dyDescent="0.2">
      <c r="C590" s="28"/>
    </row>
    <row r="591" spans="3:3" x14ac:dyDescent="0.2">
      <c r="C591" s="28"/>
    </row>
    <row r="592" spans="3:3" x14ac:dyDescent="0.2">
      <c r="C592" s="28"/>
    </row>
    <row r="593" spans="3:3" x14ac:dyDescent="0.2">
      <c r="C593" s="28"/>
    </row>
    <row r="594" spans="3:3" x14ac:dyDescent="0.2">
      <c r="C594" s="28"/>
    </row>
    <row r="595" spans="3:3" x14ac:dyDescent="0.2">
      <c r="C595" s="28"/>
    </row>
    <row r="596" spans="3:3" x14ac:dyDescent="0.2">
      <c r="C596" s="28"/>
    </row>
    <row r="597" spans="3:3" x14ac:dyDescent="0.2">
      <c r="C597" s="28"/>
    </row>
    <row r="598" spans="3:3" x14ac:dyDescent="0.2">
      <c r="C598" s="28"/>
    </row>
    <row r="599" spans="3:3" x14ac:dyDescent="0.2">
      <c r="C599" s="28"/>
    </row>
    <row r="600" spans="3:3" x14ac:dyDescent="0.2">
      <c r="C600" s="28"/>
    </row>
    <row r="601" spans="3:3" x14ac:dyDescent="0.2">
      <c r="C601" s="28"/>
    </row>
    <row r="602" spans="3:3" x14ac:dyDescent="0.2">
      <c r="C602" s="28"/>
    </row>
    <row r="603" spans="3:3" x14ac:dyDescent="0.2">
      <c r="C603" s="28"/>
    </row>
    <row r="604" spans="3:3" x14ac:dyDescent="0.2">
      <c r="C604" s="28"/>
    </row>
    <row r="605" spans="3:3" x14ac:dyDescent="0.2">
      <c r="C605" s="28"/>
    </row>
    <row r="606" spans="3:3" x14ac:dyDescent="0.2">
      <c r="C606" s="28"/>
    </row>
    <row r="607" spans="3:3" x14ac:dyDescent="0.2">
      <c r="C607" s="28"/>
    </row>
    <row r="608" spans="3:3" x14ac:dyDescent="0.2">
      <c r="C608" s="28"/>
    </row>
    <row r="609" spans="3:3" x14ac:dyDescent="0.2">
      <c r="C609" s="28"/>
    </row>
    <row r="610" spans="3:3" x14ac:dyDescent="0.2">
      <c r="C610" s="28"/>
    </row>
    <row r="611" spans="3:3" x14ac:dyDescent="0.2">
      <c r="C611" s="28"/>
    </row>
    <row r="612" spans="3:3" x14ac:dyDescent="0.2">
      <c r="C612" s="28"/>
    </row>
    <row r="613" spans="3:3" x14ac:dyDescent="0.2">
      <c r="C613" s="28"/>
    </row>
    <row r="614" spans="3:3" x14ac:dyDescent="0.2">
      <c r="C614" s="28"/>
    </row>
    <row r="615" spans="3:3" x14ac:dyDescent="0.2">
      <c r="C615" s="28"/>
    </row>
    <row r="616" spans="3:3" x14ac:dyDescent="0.2">
      <c r="C616" s="28"/>
    </row>
    <row r="617" spans="3:3" x14ac:dyDescent="0.2">
      <c r="C617" s="28"/>
    </row>
    <row r="618" spans="3:3" x14ac:dyDescent="0.2">
      <c r="C618" s="28"/>
    </row>
    <row r="619" spans="3:3" x14ac:dyDescent="0.2">
      <c r="C619" s="28"/>
    </row>
    <row r="620" spans="3:3" x14ac:dyDescent="0.2">
      <c r="C620" s="28"/>
    </row>
    <row r="621" spans="3:3" x14ac:dyDescent="0.2">
      <c r="C621" s="28"/>
    </row>
    <row r="622" spans="3:3" x14ac:dyDescent="0.2">
      <c r="C622" s="28"/>
    </row>
    <row r="623" spans="3:3" x14ac:dyDescent="0.2">
      <c r="C623" s="28"/>
    </row>
    <row r="624" spans="3:3" x14ac:dyDescent="0.2">
      <c r="C624" s="28"/>
    </row>
    <row r="625" spans="3:3" x14ac:dyDescent="0.2">
      <c r="C625" s="28"/>
    </row>
    <row r="626" spans="3:3" x14ac:dyDescent="0.2">
      <c r="C626" s="28"/>
    </row>
    <row r="627" spans="3:3" x14ac:dyDescent="0.2">
      <c r="C627" s="28"/>
    </row>
    <row r="628" spans="3:3" x14ac:dyDescent="0.2">
      <c r="C628" s="28"/>
    </row>
    <row r="629" spans="3:3" x14ac:dyDescent="0.2">
      <c r="C629" s="28"/>
    </row>
    <row r="630" spans="3:3" x14ac:dyDescent="0.2">
      <c r="C630" s="28"/>
    </row>
    <row r="631" spans="3:3" x14ac:dyDescent="0.2">
      <c r="C631" s="28"/>
    </row>
    <row r="632" spans="3:3" x14ac:dyDescent="0.2">
      <c r="C632" s="28"/>
    </row>
    <row r="633" spans="3:3" x14ac:dyDescent="0.2">
      <c r="C633" s="28"/>
    </row>
    <row r="634" spans="3:3" x14ac:dyDescent="0.2">
      <c r="C634" s="28"/>
    </row>
    <row r="635" spans="3:3" x14ac:dyDescent="0.2">
      <c r="C635" s="28"/>
    </row>
    <row r="636" spans="3:3" x14ac:dyDescent="0.2">
      <c r="C636" s="28"/>
    </row>
    <row r="637" spans="3:3" x14ac:dyDescent="0.2">
      <c r="C637" s="28"/>
    </row>
    <row r="638" spans="3:3" x14ac:dyDescent="0.2">
      <c r="C638" s="28"/>
    </row>
    <row r="639" spans="3:3" x14ac:dyDescent="0.2">
      <c r="C639" s="28"/>
    </row>
    <row r="640" spans="3:3" x14ac:dyDescent="0.2">
      <c r="C640" s="28"/>
    </row>
    <row r="641" spans="3:3" x14ac:dyDescent="0.2">
      <c r="C641" s="28"/>
    </row>
    <row r="642" spans="3:3" x14ac:dyDescent="0.2">
      <c r="C642" s="28"/>
    </row>
    <row r="643" spans="3:3" x14ac:dyDescent="0.2">
      <c r="C643" s="28"/>
    </row>
    <row r="644" spans="3:3" x14ac:dyDescent="0.2">
      <c r="C644" s="28"/>
    </row>
    <row r="645" spans="3:3" x14ac:dyDescent="0.2">
      <c r="C645" s="28"/>
    </row>
    <row r="646" spans="3:3" x14ac:dyDescent="0.2">
      <c r="C646" s="28"/>
    </row>
    <row r="647" spans="3:3" x14ac:dyDescent="0.2">
      <c r="C647" s="28"/>
    </row>
    <row r="648" spans="3:3" x14ac:dyDescent="0.2">
      <c r="C648" s="28"/>
    </row>
    <row r="649" spans="3:3" x14ac:dyDescent="0.2">
      <c r="C649" s="28"/>
    </row>
    <row r="650" spans="3:3" x14ac:dyDescent="0.2">
      <c r="C650" s="28"/>
    </row>
    <row r="651" spans="3:3" x14ac:dyDescent="0.2">
      <c r="C651" s="28"/>
    </row>
    <row r="652" spans="3:3" x14ac:dyDescent="0.2">
      <c r="C652" s="28"/>
    </row>
    <row r="653" spans="3:3" x14ac:dyDescent="0.2">
      <c r="C653" s="28"/>
    </row>
    <row r="654" spans="3:3" x14ac:dyDescent="0.2">
      <c r="C654" s="28"/>
    </row>
    <row r="655" spans="3:3" x14ac:dyDescent="0.2">
      <c r="C655" s="28"/>
    </row>
    <row r="656" spans="3:3" x14ac:dyDescent="0.2">
      <c r="C656" s="28"/>
    </row>
    <row r="657" spans="3:3" x14ac:dyDescent="0.2">
      <c r="C657" s="28"/>
    </row>
    <row r="658" spans="3:3" x14ac:dyDescent="0.2">
      <c r="C658" s="28"/>
    </row>
    <row r="659" spans="3:3" x14ac:dyDescent="0.2">
      <c r="C659" s="28"/>
    </row>
    <row r="660" spans="3:3" x14ac:dyDescent="0.2">
      <c r="C660" s="28"/>
    </row>
    <row r="661" spans="3:3" x14ac:dyDescent="0.2">
      <c r="C661" s="28"/>
    </row>
    <row r="662" spans="3:3" x14ac:dyDescent="0.2">
      <c r="C662" s="28"/>
    </row>
    <row r="663" spans="3:3" x14ac:dyDescent="0.2">
      <c r="C663" s="28"/>
    </row>
    <row r="664" spans="3:3" x14ac:dyDescent="0.2">
      <c r="C664" s="28"/>
    </row>
    <row r="665" spans="3:3" x14ac:dyDescent="0.2">
      <c r="C665" s="28"/>
    </row>
    <row r="666" spans="3:3" x14ac:dyDescent="0.2">
      <c r="C666" s="28"/>
    </row>
    <row r="667" spans="3:3" x14ac:dyDescent="0.2">
      <c r="C667" s="28"/>
    </row>
    <row r="668" spans="3:3" x14ac:dyDescent="0.2">
      <c r="C668" s="28"/>
    </row>
    <row r="669" spans="3:3" x14ac:dyDescent="0.2">
      <c r="C669" s="28"/>
    </row>
    <row r="670" spans="3:3" x14ac:dyDescent="0.2">
      <c r="C670" s="28"/>
    </row>
    <row r="671" spans="3:3" x14ac:dyDescent="0.2">
      <c r="C671" s="28"/>
    </row>
    <row r="672" spans="3:3" x14ac:dyDescent="0.2">
      <c r="C672" s="28"/>
    </row>
    <row r="673" spans="3:3" x14ac:dyDescent="0.2">
      <c r="C673" s="28"/>
    </row>
    <row r="674" spans="3:3" x14ac:dyDescent="0.2">
      <c r="C674" s="28"/>
    </row>
    <row r="675" spans="3:3" x14ac:dyDescent="0.2">
      <c r="C675" s="28"/>
    </row>
    <row r="676" spans="3:3" x14ac:dyDescent="0.2">
      <c r="C676" s="28"/>
    </row>
    <row r="677" spans="3:3" x14ac:dyDescent="0.2">
      <c r="C677" s="28"/>
    </row>
    <row r="678" spans="3:3" x14ac:dyDescent="0.2">
      <c r="C678" s="28"/>
    </row>
    <row r="679" spans="3:3" x14ac:dyDescent="0.2">
      <c r="C679" s="28"/>
    </row>
    <row r="680" spans="3:3" x14ac:dyDescent="0.2">
      <c r="C680" s="28"/>
    </row>
    <row r="681" spans="3:3" x14ac:dyDescent="0.2">
      <c r="C681" s="28"/>
    </row>
    <row r="682" spans="3:3" x14ac:dyDescent="0.2">
      <c r="C682" s="28"/>
    </row>
    <row r="683" spans="3:3" x14ac:dyDescent="0.2">
      <c r="C683" s="28"/>
    </row>
    <row r="684" spans="3:3" x14ac:dyDescent="0.2">
      <c r="C684" s="28"/>
    </row>
    <row r="685" spans="3:3" x14ac:dyDescent="0.2">
      <c r="C685" s="28"/>
    </row>
    <row r="686" spans="3:3" x14ac:dyDescent="0.2">
      <c r="C686" s="28"/>
    </row>
    <row r="687" spans="3:3" x14ac:dyDescent="0.2">
      <c r="C687" s="28"/>
    </row>
    <row r="688" spans="3:3" x14ac:dyDescent="0.2">
      <c r="C688" s="28"/>
    </row>
    <row r="689" spans="3:3" x14ac:dyDescent="0.2">
      <c r="C689" s="28"/>
    </row>
    <row r="690" spans="3:3" x14ac:dyDescent="0.2">
      <c r="C690" s="28"/>
    </row>
    <row r="691" spans="3:3" x14ac:dyDescent="0.2">
      <c r="C691" s="28"/>
    </row>
    <row r="692" spans="3:3" x14ac:dyDescent="0.2">
      <c r="C692" s="28"/>
    </row>
    <row r="693" spans="3:3" x14ac:dyDescent="0.2">
      <c r="C693" s="28"/>
    </row>
    <row r="694" spans="3:3" x14ac:dyDescent="0.2">
      <c r="C694" s="28"/>
    </row>
    <row r="695" spans="3:3" x14ac:dyDescent="0.2">
      <c r="C695" s="28"/>
    </row>
    <row r="696" spans="3:3" x14ac:dyDescent="0.2">
      <c r="C696" s="28"/>
    </row>
    <row r="697" spans="3:3" x14ac:dyDescent="0.2">
      <c r="C697" s="28"/>
    </row>
    <row r="698" spans="3:3" x14ac:dyDescent="0.2">
      <c r="C698" s="28"/>
    </row>
    <row r="699" spans="3:3" x14ac:dyDescent="0.2">
      <c r="C699" s="28"/>
    </row>
    <row r="700" spans="3:3" x14ac:dyDescent="0.2">
      <c r="C700" s="28"/>
    </row>
    <row r="701" spans="3:3" x14ac:dyDescent="0.2">
      <c r="C701" s="28"/>
    </row>
    <row r="702" spans="3:3" x14ac:dyDescent="0.2">
      <c r="C702" s="28"/>
    </row>
    <row r="703" spans="3:3" x14ac:dyDescent="0.2">
      <c r="C703" s="28"/>
    </row>
    <row r="704" spans="3:3" x14ac:dyDescent="0.2">
      <c r="C704" s="28"/>
    </row>
    <row r="705" spans="3:3" x14ac:dyDescent="0.2">
      <c r="C705" s="28"/>
    </row>
    <row r="706" spans="3:3" x14ac:dyDescent="0.2">
      <c r="C706" s="28"/>
    </row>
    <row r="707" spans="3:3" x14ac:dyDescent="0.2">
      <c r="C707" s="28"/>
    </row>
    <row r="708" spans="3:3" x14ac:dyDescent="0.2">
      <c r="C708" s="28"/>
    </row>
    <row r="709" spans="3:3" x14ac:dyDescent="0.2">
      <c r="C709" s="28"/>
    </row>
    <row r="710" spans="3:3" x14ac:dyDescent="0.2">
      <c r="C710" s="28"/>
    </row>
    <row r="711" spans="3:3" x14ac:dyDescent="0.2">
      <c r="C711" s="28"/>
    </row>
    <row r="712" spans="3:3" x14ac:dyDescent="0.2">
      <c r="C712" s="28"/>
    </row>
    <row r="713" spans="3:3" x14ac:dyDescent="0.2">
      <c r="C713" s="28"/>
    </row>
    <row r="714" spans="3:3" x14ac:dyDescent="0.2">
      <c r="C714" s="28"/>
    </row>
    <row r="715" spans="3:3" x14ac:dyDescent="0.2">
      <c r="C715" s="28"/>
    </row>
    <row r="716" spans="3:3" x14ac:dyDescent="0.2">
      <c r="C716" s="28"/>
    </row>
    <row r="717" spans="3:3" x14ac:dyDescent="0.2">
      <c r="C717" s="28"/>
    </row>
    <row r="718" spans="3:3" x14ac:dyDescent="0.2">
      <c r="C718" s="28"/>
    </row>
    <row r="719" spans="3:3" x14ac:dyDescent="0.2">
      <c r="C719" s="28"/>
    </row>
    <row r="720" spans="3:3" x14ac:dyDescent="0.2">
      <c r="C720" s="28"/>
    </row>
    <row r="721" spans="3:3" x14ac:dyDescent="0.2">
      <c r="C721" s="28"/>
    </row>
    <row r="722" spans="3:3" x14ac:dyDescent="0.2">
      <c r="C722" s="28"/>
    </row>
    <row r="723" spans="3:3" x14ac:dyDescent="0.2">
      <c r="C723" s="28"/>
    </row>
    <row r="724" spans="3:3" x14ac:dyDescent="0.2">
      <c r="C724" s="28"/>
    </row>
    <row r="725" spans="3:3" x14ac:dyDescent="0.2">
      <c r="C725" s="28"/>
    </row>
    <row r="726" spans="3:3" x14ac:dyDescent="0.2">
      <c r="C726" s="28"/>
    </row>
    <row r="727" spans="3:3" x14ac:dyDescent="0.2">
      <c r="C727" s="28"/>
    </row>
    <row r="728" spans="3:3" x14ac:dyDescent="0.2">
      <c r="C728" s="28"/>
    </row>
    <row r="729" spans="3:3" x14ac:dyDescent="0.2">
      <c r="C729" s="28"/>
    </row>
    <row r="730" spans="3:3" x14ac:dyDescent="0.2">
      <c r="C730" s="28"/>
    </row>
    <row r="731" spans="3:3" x14ac:dyDescent="0.2">
      <c r="C731" s="28"/>
    </row>
    <row r="732" spans="3:3" x14ac:dyDescent="0.2">
      <c r="C732" s="28"/>
    </row>
    <row r="733" spans="3:3" x14ac:dyDescent="0.2">
      <c r="C733" s="28"/>
    </row>
    <row r="734" spans="3:3" x14ac:dyDescent="0.2">
      <c r="C734" s="28"/>
    </row>
    <row r="735" spans="3:3" x14ac:dyDescent="0.2">
      <c r="C735" s="28"/>
    </row>
    <row r="736" spans="3:3" x14ac:dyDescent="0.2">
      <c r="C736" s="28"/>
    </row>
    <row r="737" spans="3:3" x14ac:dyDescent="0.2">
      <c r="C737" s="28"/>
    </row>
    <row r="738" spans="3:3" x14ac:dyDescent="0.2">
      <c r="C738" s="28"/>
    </row>
    <row r="739" spans="3:3" x14ac:dyDescent="0.2">
      <c r="C739" s="28"/>
    </row>
    <row r="740" spans="3:3" x14ac:dyDescent="0.2">
      <c r="C740" s="28"/>
    </row>
    <row r="741" spans="3:3" x14ac:dyDescent="0.2">
      <c r="C741" s="28"/>
    </row>
    <row r="742" spans="3:3" x14ac:dyDescent="0.2">
      <c r="C742" s="28"/>
    </row>
    <row r="743" spans="3:3" x14ac:dyDescent="0.2">
      <c r="C743" s="28"/>
    </row>
    <row r="744" spans="3:3" x14ac:dyDescent="0.2">
      <c r="C744" s="28"/>
    </row>
    <row r="745" spans="3:3" x14ac:dyDescent="0.2">
      <c r="C745" s="28"/>
    </row>
    <row r="746" spans="3:3" x14ac:dyDescent="0.2">
      <c r="C746" s="28"/>
    </row>
    <row r="747" spans="3:3" x14ac:dyDescent="0.2">
      <c r="C747" s="28"/>
    </row>
    <row r="748" spans="3:3" x14ac:dyDescent="0.2">
      <c r="C748" s="28"/>
    </row>
    <row r="749" spans="3:3" x14ac:dyDescent="0.2">
      <c r="C749" s="28"/>
    </row>
    <row r="750" spans="3:3" x14ac:dyDescent="0.2">
      <c r="C750" s="28"/>
    </row>
    <row r="751" spans="3:3" x14ac:dyDescent="0.2">
      <c r="C751" s="28"/>
    </row>
    <row r="752" spans="3:3" x14ac:dyDescent="0.2">
      <c r="C752" s="28"/>
    </row>
    <row r="753" spans="3:3" x14ac:dyDescent="0.2">
      <c r="C753" s="28"/>
    </row>
    <row r="754" spans="3:3" x14ac:dyDescent="0.2">
      <c r="C754" s="28"/>
    </row>
    <row r="755" spans="3:3" x14ac:dyDescent="0.2">
      <c r="C755" s="28"/>
    </row>
    <row r="756" spans="3:3" x14ac:dyDescent="0.2">
      <c r="C756" s="28"/>
    </row>
    <row r="757" spans="3:3" x14ac:dyDescent="0.2">
      <c r="C757" s="28"/>
    </row>
    <row r="758" spans="3:3" x14ac:dyDescent="0.2">
      <c r="C758" s="28"/>
    </row>
    <row r="759" spans="3:3" x14ac:dyDescent="0.2">
      <c r="C759" s="28"/>
    </row>
    <row r="760" spans="3:3" x14ac:dyDescent="0.2">
      <c r="C760" s="28"/>
    </row>
    <row r="761" spans="3:3" x14ac:dyDescent="0.2">
      <c r="C761" s="28"/>
    </row>
    <row r="762" spans="3:3" x14ac:dyDescent="0.2">
      <c r="C762" s="28"/>
    </row>
    <row r="763" spans="3:3" x14ac:dyDescent="0.2">
      <c r="C763" s="28"/>
    </row>
    <row r="764" spans="3:3" x14ac:dyDescent="0.2">
      <c r="C764" s="28"/>
    </row>
    <row r="765" spans="3:3" x14ac:dyDescent="0.2">
      <c r="C765" s="28"/>
    </row>
    <row r="766" spans="3:3" x14ac:dyDescent="0.2">
      <c r="C766" s="28"/>
    </row>
    <row r="767" spans="3:3" x14ac:dyDescent="0.2">
      <c r="C767" s="28"/>
    </row>
    <row r="768" spans="3:3" x14ac:dyDescent="0.2">
      <c r="C768" s="28"/>
    </row>
    <row r="769" spans="3:3" x14ac:dyDescent="0.2">
      <c r="C769" s="28"/>
    </row>
    <row r="770" spans="3:3" x14ac:dyDescent="0.2">
      <c r="C770" s="28"/>
    </row>
    <row r="771" spans="3:3" x14ac:dyDescent="0.2">
      <c r="C771" s="28"/>
    </row>
    <row r="772" spans="3:3" x14ac:dyDescent="0.2">
      <c r="C772" s="28"/>
    </row>
    <row r="773" spans="3:3" x14ac:dyDescent="0.2">
      <c r="C773" s="28"/>
    </row>
    <row r="774" spans="3:3" x14ac:dyDescent="0.2">
      <c r="C774" s="28"/>
    </row>
    <row r="775" spans="3:3" x14ac:dyDescent="0.2">
      <c r="C775" s="28"/>
    </row>
    <row r="776" spans="3:3" x14ac:dyDescent="0.2">
      <c r="C776" s="28"/>
    </row>
    <row r="777" spans="3:3" x14ac:dyDescent="0.2">
      <c r="C777" s="28"/>
    </row>
    <row r="778" spans="3:3" x14ac:dyDescent="0.2">
      <c r="C778" s="28"/>
    </row>
    <row r="779" spans="3:3" x14ac:dyDescent="0.2">
      <c r="C779" s="28"/>
    </row>
    <row r="780" spans="3:3" x14ac:dyDescent="0.2">
      <c r="C780" s="28"/>
    </row>
    <row r="781" spans="3:3" x14ac:dyDescent="0.2">
      <c r="C781" s="28"/>
    </row>
    <row r="782" spans="3:3" x14ac:dyDescent="0.2">
      <c r="C782" s="28"/>
    </row>
    <row r="783" spans="3:3" x14ac:dyDescent="0.2">
      <c r="C783" s="28"/>
    </row>
    <row r="784" spans="3:3" x14ac:dyDescent="0.2">
      <c r="C784" s="28"/>
    </row>
    <row r="785" spans="3:3" x14ac:dyDescent="0.2">
      <c r="C785" s="28"/>
    </row>
    <row r="786" spans="3:3" x14ac:dyDescent="0.2">
      <c r="C786" s="28"/>
    </row>
    <row r="787" spans="3:3" x14ac:dyDescent="0.2">
      <c r="C787" s="28"/>
    </row>
    <row r="788" spans="3:3" x14ac:dyDescent="0.2">
      <c r="C788" s="28"/>
    </row>
    <row r="789" spans="3:3" x14ac:dyDescent="0.2">
      <c r="C789" s="28"/>
    </row>
    <row r="790" spans="3:3" x14ac:dyDescent="0.2">
      <c r="C790" s="28"/>
    </row>
    <row r="791" spans="3:3" x14ac:dyDescent="0.2">
      <c r="C791" s="28"/>
    </row>
    <row r="792" spans="3:3" x14ac:dyDescent="0.2">
      <c r="C792" s="28"/>
    </row>
    <row r="793" spans="3:3" x14ac:dyDescent="0.2">
      <c r="C793" s="28"/>
    </row>
    <row r="794" spans="3:3" x14ac:dyDescent="0.2">
      <c r="C794" s="28"/>
    </row>
    <row r="795" spans="3:3" x14ac:dyDescent="0.2">
      <c r="C795" s="28"/>
    </row>
    <row r="796" spans="3:3" x14ac:dyDescent="0.2">
      <c r="C796" s="28"/>
    </row>
    <row r="797" spans="3:3" x14ac:dyDescent="0.2">
      <c r="C797" s="28"/>
    </row>
    <row r="798" spans="3:3" x14ac:dyDescent="0.2">
      <c r="C798" s="28"/>
    </row>
    <row r="799" spans="3:3" x14ac:dyDescent="0.2">
      <c r="C799" s="28"/>
    </row>
    <row r="800" spans="3:3" x14ac:dyDescent="0.2">
      <c r="C800" s="28"/>
    </row>
    <row r="801" spans="3:3" x14ac:dyDescent="0.2">
      <c r="C801" s="28"/>
    </row>
    <row r="802" spans="3:3" x14ac:dyDescent="0.2">
      <c r="C802" s="28"/>
    </row>
    <row r="803" spans="3:3" x14ac:dyDescent="0.2">
      <c r="C803" s="28"/>
    </row>
    <row r="804" spans="3:3" x14ac:dyDescent="0.2">
      <c r="C804" s="28"/>
    </row>
    <row r="805" spans="3:3" x14ac:dyDescent="0.2">
      <c r="C805" s="28"/>
    </row>
    <row r="806" spans="3:3" x14ac:dyDescent="0.2">
      <c r="C806" s="28"/>
    </row>
    <row r="807" spans="3:3" x14ac:dyDescent="0.2">
      <c r="C807" s="28"/>
    </row>
    <row r="808" spans="3:3" x14ac:dyDescent="0.2">
      <c r="C808" s="28"/>
    </row>
    <row r="809" spans="3:3" x14ac:dyDescent="0.2">
      <c r="C809" s="28"/>
    </row>
    <row r="810" spans="3:3" x14ac:dyDescent="0.2">
      <c r="C810" s="28"/>
    </row>
    <row r="811" spans="3:3" x14ac:dyDescent="0.2">
      <c r="C811" s="28"/>
    </row>
    <row r="812" spans="3:3" x14ac:dyDescent="0.2">
      <c r="C812" s="28"/>
    </row>
    <row r="813" spans="3:3" x14ac:dyDescent="0.2">
      <c r="C813" s="28"/>
    </row>
    <row r="814" spans="3:3" x14ac:dyDescent="0.2">
      <c r="C814" s="28"/>
    </row>
    <row r="815" spans="3:3" x14ac:dyDescent="0.2">
      <c r="C815" s="28"/>
    </row>
    <row r="816" spans="3:3" x14ac:dyDescent="0.2">
      <c r="C816" s="28"/>
    </row>
    <row r="817" spans="3:3" x14ac:dyDescent="0.2">
      <c r="C817" s="28"/>
    </row>
    <row r="818" spans="3:3" x14ac:dyDescent="0.2">
      <c r="C818" s="28"/>
    </row>
    <row r="819" spans="3:3" x14ac:dyDescent="0.2">
      <c r="C819" s="28"/>
    </row>
    <row r="820" spans="3:3" x14ac:dyDescent="0.2">
      <c r="C820" s="28"/>
    </row>
    <row r="821" spans="3:3" x14ac:dyDescent="0.2">
      <c r="C821" s="28"/>
    </row>
    <row r="822" spans="3:3" x14ac:dyDescent="0.2">
      <c r="C822" s="28"/>
    </row>
    <row r="823" spans="3:3" x14ac:dyDescent="0.2">
      <c r="C823" s="28"/>
    </row>
    <row r="824" spans="3:3" x14ac:dyDescent="0.2">
      <c r="C824" s="28"/>
    </row>
    <row r="825" spans="3:3" x14ac:dyDescent="0.2">
      <c r="C825" s="28"/>
    </row>
    <row r="826" spans="3:3" x14ac:dyDescent="0.2">
      <c r="C826" s="28"/>
    </row>
    <row r="827" spans="3:3" x14ac:dyDescent="0.2">
      <c r="C827" s="28"/>
    </row>
    <row r="828" spans="3:3" x14ac:dyDescent="0.2">
      <c r="C828" s="28"/>
    </row>
    <row r="829" spans="3:3" x14ac:dyDescent="0.2">
      <c r="C829" s="28"/>
    </row>
    <row r="830" spans="3:3" x14ac:dyDescent="0.2">
      <c r="C830" s="28"/>
    </row>
    <row r="831" spans="3:3" x14ac:dyDescent="0.2">
      <c r="C831" s="28"/>
    </row>
    <row r="832" spans="3:3" x14ac:dyDescent="0.2">
      <c r="C832" s="28"/>
    </row>
    <row r="833" spans="3:3" x14ac:dyDescent="0.2">
      <c r="C833" s="28"/>
    </row>
    <row r="834" spans="3:3" x14ac:dyDescent="0.2">
      <c r="C834" s="28"/>
    </row>
    <row r="835" spans="3:3" x14ac:dyDescent="0.2">
      <c r="C835" s="28"/>
    </row>
    <row r="836" spans="3:3" x14ac:dyDescent="0.2">
      <c r="C836" s="28"/>
    </row>
    <row r="837" spans="3:3" x14ac:dyDescent="0.2">
      <c r="C837" s="28"/>
    </row>
    <row r="838" spans="3:3" x14ac:dyDescent="0.2">
      <c r="C838" s="28"/>
    </row>
    <row r="839" spans="3:3" x14ac:dyDescent="0.2">
      <c r="C839" s="28"/>
    </row>
    <row r="840" spans="3:3" x14ac:dyDescent="0.2">
      <c r="C840" s="28"/>
    </row>
    <row r="841" spans="3:3" x14ac:dyDescent="0.2">
      <c r="C841" s="28"/>
    </row>
    <row r="842" spans="3:3" x14ac:dyDescent="0.2">
      <c r="C842" s="28"/>
    </row>
    <row r="843" spans="3:3" x14ac:dyDescent="0.2">
      <c r="C843" s="28"/>
    </row>
    <row r="844" spans="3:3" x14ac:dyDescent="0.2">
      <c r="C844" s="28"/>
    </row>
    <row r="845" spans="3:3" x14ac:dyDescent="0.2">
      <c r="C845" s="28"/>
    </row>
    <row r="846" spans="3:3" x14ac:dyDescent="0.2">
      <c r="C846" s="28"/>
    </row>
    <row r="847" spans="3:3" x14ac:dyDescent="0.2">
      <c r="C847" s="28"/>
    </row>
    <row r="848" spans="3:3" x14ac:dyDescent="0.2">
      <c r="C848" s="28"/>
    </row>
    <row r="849" spans="3:3" x14ac:dyDescent="0.2">
      <c r="C849" s="28"/>
    </row>
    <row r="850" spans="3:3" x14ac:dyDescent="0.2">
      <c r="C850" s="28"/>
    </row>
    <row r="851" spans="3:3" x14ac:dyDescent="0.2">
      <c r="C851" s="28"/>
    </row>
    <row r="852" spans="3:3" x14ac:dyDescent="0.2">
      <c r="C852" s="28"/>
    </row>
    <row r="853" spans="3:3" x14ac:dyDescent="0.2">
      <c r="C853" s="28"/>
    </row>
    <row r="854" spans="3:3" x14ac:dyDescent="0.2">
      <c r="C854" s="28"/>
    </row>
    <row r="855" spans="3:3" x14ac:dyDescent="0.2">
      <c r="C855" s="28"/>
    </row>
    <row r="856" spans="3:3" x14ac:dyDescent="0.2">
      <c r="C856" s="28"/>
    </row>
    <row r="857" spans="3:3" x14ac:dyDescent="0.2">
      <c r="C857" s="28"/>
    </row>
    <row r="858" spans="3:3" x14ac:dyDescent="0.2">
      <c r="C858" s="28"/>
    </row>
    <row r="859" spans="3:3" x14ac:dyDescent="0.2">
      <c r="C859" s="28"/>
    </row>
    <row r="860" spans="3:3" x14ac:dyDescent="0.2">
      <c r="C860" s="28"/>
    </row>
    <row r="861" spans="3:3" x14ac:dyDescent="0.2">
      <c r="C861" s="28"/>
    </row>
    <row r="862" spans="3:3" x14ac:dyDescent="0.2">
      <c r="C862" s="28"/>
    </row>
    <row r="863" spans="3:3" x14ac:dyDescent="0.2">
      <c r="C863" s="28"/>
    </row>
    <row r="864" spans="3:3" x14ac:dyDescent="0.2">
      <c r="C864" s="28"/>
    </row>
    <row r="865" spans="3:3" x14ac:dyDescent="0.2">
      <c r="C865" s="28"/>
    </row>
    <row r="866" spans="3:3" x14ac:dyDescent="0.2">
      <c r="C866" s="28"/>
    </row>
    <row r="867" spans="3:3" x14ac:dyDescent="0.2">
      <c r="C867" s="28"/>
    </row>
    <row r="868" spans="3:3" x14ac:dyDescent="0.2">
      <c r="C868" s="28"/>
    </row>
    <row r="869" spans="3:3" x14ac:dyDescent="0.2">
      <c r="C869" s="28"/>
    </row>
    <row r="870" spans="3:3" x14ac:dyDescent="0.2">
      <c r="C870" s="28"/>
    </row>
    <row r="871" spans="3:3" x14ac:dyDescent="0.2">
      <c r="C871" s="28"/>
    </row>
    <row r="872" spans="3:3" x14ac:dyDescent="0.2">
      <c r="C872" s="28"/>
    </row>
    <row r="873" spans="3:3" x14ac:dyDescent="0.2">
      <c r="C873" s="28"/>
    </row>
    <row r="874" spans="3:3" x14ac:dyDescent="0.2">
      <c r="C874" s="28"/>
    </row>
    <row r="875" spans="3:3" x14ac:dyDescent="0.2">
      <c r="C875" s="28"/>
    </row>
    <row r="876" spans="3:3" x14ac:dyDescent="0.2">
      <c r="C876" s="28"/>
    </row>
    <row r="877" spans="3:3" x14ac:dyDescent="0.2">
      <c r="C877" s="28"/>
    </row>
    <row r="878" spans="3:3" x14ac:dyDescent="0.2">
      <c r="C878" s="28"/>
    </row>
    <row r="879" spans="3:3" x14ac:dyDescent="0.2">
      <c r="C879" s="28"/>
    </row>
    <row r="880" spans="3:3" x14ac:dyDescent="0.2">
      <c r="C880" s="28"/>
    </row>
    <row r="881" spans="3:3" x14ac:dyDescent="0.2">
      <c r="C881" s="28"/>
    </row>
    <row r="882" spans="3:3" x14ac:dyDescent="0.2">
      <c r="C882" s="28"/>
    </row>
    <row r="883" spans="3:3" x14ac:dyDescent="0.2">
      <c r="C883" s="28"/>
    </row>
    <row r="884" spans="3:3" x14ac:dyDescent="0.2">
      <c r="C884" s="28"/>
    </row>
    <row r="885" spans="3:3" x14ac:dyDescent="0.2">
      <c r="C885" s="28"/>
    </row>
    <row r="886" spans="3:3" x14ac:dyDescent="0.2">
      <c r="C886" s="28"/>
    </row>
    <row r="887" spans="3:3" x14ac:dyDescent="0.2">
      <c r="C887" s="28"/>
    </row>
    <row r="888" spans="3:3" x14ac:dyDescent="0.2">
      <c r="C888" s="28"/>
    </row>
    <row r="889" spans="3:3" x14ac:dyDescent="0.2">
      <c r="C889" s="28"/>
    </row>
    <row r="890" spans="3:3" x14ac:dyDescent="0.2">
      <c r="C890" s="28"/>
    </row>
    <row r="891" spans="3:3" x14ac:dyDescent="0.2">
      <c r="C891" s="28"/>
    </row>
    <row r="892" spans="3:3" x14ac:dyDescent="0.2">
      <c r="C892" s="28"/>
    </row>
    <row r="893" spans="3:3" x14ac:dyDescent="0.2">
      <c r="C893" s="28"/>
    </row>
    <row r="894" spans="3:3" x14ac:dyDescent="0.2">
      <c r="C894" s="28"/>
    </row>
    <row r="895" spans="3:3" x14ac:dyDescent="0.2">
      <c r="C895" s="28"/>
    </row>
    <row r="896" spans="3:3" x14ac:dyDescent="0.2">
      <c r="C896" s="28"/>
    </row>
    <row r="897" spans="3:3" x14ac:dyDescent="0.2">
      <c r="C897" s="28"/>
    </row>
    <row r="898" spans="3:3" x14ac:dyDescent="0.2">
      <c r="C898" s="28"/>
    </row>
    <row r="899" spans="3:3" x14ac:dyDescent="0.2">
      <c r="C899" s="28"/>
    </row>
    <row r="900" spans="3:3" x14ac:dyDescent="0.2">
      <c r="C900" s="28"/>
    </row>
    <row r="901" spans="3:3" x14ac:dyDescent="0.2">
      <c r="C901" s="28"/>
    </row>
    <row r="902" spans="3:3" x14ac:dyDescent="0.2">
      <c r="C902" s="28"/>
    </row>
    <row r="903" spans="3:3" x14ac:dyDescent="0.2">
      <c r="C903" s="28"/>
    </row>
    <row r="904" spans="3:3" x14ac:dyDescent="0.2">
      <c r="C904" s="28"/>
    </row>
    <row r="905" spans="3:3" x14ac:dyDescent="0.2">
      <c r="C905" s="28"/>
    </row>
    <row r="906" spans="3:3" x14ac:dyDescent="0.2">
      <c r="C906" s="28"/>
    </row>
    <row r="907" spans="3:3" x14ac:dyDescent="0.2">
      <c r="C907" s="28"/>
    </row>
    <row r="908" spans="3:3" x14ac:dyDescent="0.2">
      <c r="C908" s="28"/>
    </row>
    <row r="909" spans="3:3" x14ac:dyDescent="0.2">
      <c r="C909" s="28"/>
    </row>
    <row r="910" spans="3:3" x14ac:dyDescent="0.2">
      <c r="C910" s="28"/>
    </row>
    <row r="911" spans="3:3" x14ac:dyDescent="0.2">
      <c r="C911" s="28"/>
    </row>
    <row r="912" spans="3:3" x14ac:dyDescent="0.2">
      <c r="C912" s="28"/>
    </row>
    <row r="913" spans="3:3" x14ac:dyDescent="0.2">
      <c r="C913" s="28"/>
    </row>
    <row r="914" spans="3:3" x14ac:dyDescent="0.2">
      <c r="C914" s="28"/>
    </row>
    <row r="915" spans="3:3" x14ac:dyDescent="0.2">
      <c r="C915" s="28"/>
    </row>
    <row r="916" spans="3:3" x14ac:dyDescent="0.2">
      <c r="C916" s="28"/>
    </row>
    <row r="917" spans="3:3" x14ac:dyDescent="0.2">
      <c r="C917" s="28"/>
    </row>
    <row r="918" spans="3:3" x14ac:dyDescent="0.2">
      <c r="C918" s="28"/>
    </row>
    <row r="919" spans="3:3" x14ac:dyDescent="0.2">
      <c r="C919" s="28"/>
    </row>
    <row r="920" spans="3:3" x14ac:dyDescent="0.2">
      <c r="C920" s="28"/>
    </row>
    <row r="921" spans="3:3" x14ac:dyDescent="0.2">
      <c r="C921" s="28"/>
    </row>
    <row r="922" spans="3:3" x14ac:dyDescent="0.2">
      <c r="C922" s="28"/>
    </row>
    <row r="923" spans="3:3" x14ac:dyDescent="0.2">
      <c r="C923" s="28"/>
    </row>
    <row r="924" spans="3:3" x14ac:dyDescent="0.2">
      <c r="C924" s="28"/>
    </row>
    <row r="925" spans="3:3" x14ac:dyDescent="0.2">
      <c r="C925" s="28"/>
    </row>
    <row r="926" spans="3:3" x14ac:dyDescent="0.2">
      <c r="C926" s="28"/>
    </row>
    <row r="927" spans="3:3" x14ac:dyDescent="0.2">
      <c r="C927" s="28"/>
    </row>
    <row r="928" spans="3:3" x14ac:dyDescent="0.2">
      <c r="C928" s="28"/>
    </row>
    <row r="929" spans="3:3" x14ac:dyDescent="0.2">
      <c r="C929" s="28"/>
    </row>
    <row r="930" spans="3:3" x14ac:dyDescent="0.2">
      <c r="C930" s="28"/>
    </row>
    <row r="931" spans="3:3" x14ac:dyDescent="0.2">
      <c r="C931" s="28"/>
    </row>
    <row r="932" spans="3:3" x14ac:dyDescent="0.2">
      <c r="C932" s="28"/>
    </row>
    <row r="933" spans="3:3" x14ac:dyDescent="0.2">
      <c r="C933" s="28"/>
    </row>
    <row r="934" spans="3:3" x14ac:dyDescent="0.2">
      <c r="C934" s="28"/>
    </row>
    <row r="935" spans="3:3" x14ac:dyDescent="0.2">
      <c r="C935" s="28"/>
    </row>
    <row r="936" spans="3:3" x14ac:dyDescent="0.2">
      <c r="C936" s="28"/>
    </row>
    <row r="937" spans="3:3" x14ac:dyDescent="0.2">
      <c r="C937" s="28"/>
    </row>
    <row r="938" spans="3:3" x14ac:dyDescent="0.2">
      <c r="C938" s="28"/>
    </row>
    <row r="939" spans="3:3" x14ac:dyDescent="0.2">
      <c r="C939" s="28"/>
    </row>
    <row r="940" spans="3:3" x14ac:dyDescent="0.2">
      <c r="C940" s="28"/>
    </row>
    <row r="941" spans="3:3" x14ac:dyDescent="0.2">
      <c r="C941" s="28"/>
    </row>
    <row r="942" spans="3:3" x14ac:dyDescent="0.2">
      <c r="C942" s="28"/>
    </row>
    <row r="943" spans="3:3" x14ac:dyDescent="0.2">
      <c r="C943" s="28"/>
    </row>
    <row r="944" spans="3:3" x14ac:dyDescent="0.2">
      <c r="C944" s="28"/>
    </row>
    <row r="945" spans="3:3" x14ac:dyDescent="0.2">
      <c r="C945" s="28"/>
    </row>
    <row r="946" spans="3:3" x14ac:dyDescent="0.2">
      <c r="C946" s="28"/>
    </row>
    <row r="947" spans="3:3" x14ac:dyDescent="0.2">
      <c r="C947" s="28"/>
    </row>
    <row r="948" spans="3:3" x14ac:dyDescent="0.2">
      <c r="C948" s="28"/>
    </row>
    <row r="949" spans="3:3" x14ac:dyDescent="0.2">
      <c r="C949" s="28"/>
    </row>
    <row r="950" spans="3:3" x14ac:dyDescent="0.2">
      <c r="C950" s="28"/>
    </row>
    <row r="951" spans="3:3" x14ac:dyDescent="0.2">
      <c r="C951" s="28"/>
    </row>
    <row r="952" spans="3:3" x14ac:dyDescent="0.2">
      <c r="C952" s="28"/>
    </row>
    <row r="953" spans="3:3" x14ac:dyDescent="0.2">
      <c r="C953" s="28"/>
    </row>
    <row r="954" spans="3:3" x14ac:dyDescent="0.2">
      <c r="C954" s="28"/>
    </row>
    <row r="955" spans="3:3" x14ac:dyDescent="0.2">
      <c r="C955" s="28"/>
    </row>
    <row r="956" spans="3:3" x14ac:dyDescent="0.2">
      <c r="C956" s="28"/>
    </row>
    <row r="957" spans="3:3" x14ac:dyDescent="0.2">
      <c r="C957" s="28"/>
    </row>
    <row r="958" spans="3:3" x14ac:dyDescent="0.2">
      <c r="C958" s="28"/>
    </row>
    <row r="959" spans="3:3" x14ac:dyDescent="0.2">
      <c r="C959" s="28"/>
    </row>
    <row r="960" spans="3:3" x14ac:dyDescent="0.2">
      <c r="C960" s="28"/>
    </row>
    <row r="961" spans="3:3" x14ac:dyDescent="0.2">
      <c r="C961" s="28"/>
    </row>
    <row r="962" spans="3:3" x14ac:dyDescent="0.2">
      <c r="C962" s="28"/>
    </row>
    <row r="963" spans="3:3" x14ac:dyDescent="0.2">
      <c r="C963" s="28"/>
    </row>
    <row r="964" spans="3:3" x14ac:dyDescent="0.2">
      <c r="C964" s="28"/>
    </row>
    <row r="965" spans="3:3" x14ac:dyDescent="0.2">
      <c r="C965" s="28"/>
    </row>
    <row r="966" spans="3:3" x14ac:dyDescent="0.2">
      <c r="C966" s="28"/>
    </row>
    <row r="967" spans="3:3" x14ac:dyDescent="0.2">
      <c r="C967" s="28"/>
    </row>
    <row r="968" spans="3:3" x14ac:dyDescent="0.2">
      <c r="C968" s="28"/>
    </row>
    <row r="969" spans="3:3" x14ac:dyDescent="0.2">
      <c r="C969" s="28"/>
    </row>
    <row r="970" spans="3:3" x14ac:dyDescent="0.2">
      <c r="C970" s="28"/>
    </row>
    <row r="971" spans="3:3" x14ac:dyDescent="0.2">
      <c r="C971" s="28"/>
    </row>
    <row r="972" spans="3:3" x14ac:dyDescent="0.2">
      <c r="C972" s="28"/>
    </row>
    <row r="973" spans="3:3" x14ac:dyDescent="0.2">
      <c r="C973" s="28"/>
    </row>
    <row r="974" spans="3:3" x14ac:dyDescent="0.2">
      <c r="C974" s="28"/>
    </row>
    <row r="975" spans="3:3" x14ac:dyDescent="0.2">
      <c r="C975" s="28"/>
    </row>
    <row r="976" spans="3:3" x14ac:dyDescent="0.2">
      <c r="C976" s="28"/>
    </row>
    <row r="977" spans="3:3" x14ac:dyDescent="0.2">
      <c r="C977" s="28"/>
    </row>
    <row r="978" spans="3:3" x14ac:dyDescent="0.2">
      <c r="C978" s="28"/>
    </row>
    <row r="979" spans="3:3" x14ac:dyDescent="0.2">
      <c r="C979" s="28"/>
    </row>
    <row r="980" spans="3:3" x14ac:dyDescent="0.2">
      <c r="C980" s="28"/>
    </row>
    <row r="981" spans="3:3" x14ac:dyDescent="0.2">
      <c r="C981" s="28"/>
    </row>
    <row r="982" spans="3:3" x14ac:dyDescent="0.2">
      <c r="C982" s="28"/>
    </row>
    <row r="983" spans="3:3" x14ac:dyDescent="0.2">
      <c r="C983" s="28"/>
    </row>
    <row r="984" spans="3:3" x14ac:dyDescent="0.2">
      <c r="C984" s="28"/>
    </row>
    <row r="985" spans="3:3" x14ac:dyDescent="0.2">
      <c r="C985" s="28"/>
    </row>
    <row r="986" spans="3:3" x14ac:dyDescent="0.2">
      <c r="C986" s="28"/>
    </row>
    <row r="987" spans="3:3" x14ac:dyDescent="0.2">
      <c r="C987" s="28"/>
    </row>
    <row r="988" spans="3:3" x14ac:dyDescent="0.2">
      <c r="C988" s="28"/>
    </row>
    <row r="989" spans="3:3" x14ac:dyDescent="0.2">
      <c r="C989" s="28"/>
    </row>
    <row r="990" spans="3:3" x14ac:dyDescent="0.2">
      <c r="C990" s="28"/>
    </row>
    <row r="991" spans="3:3" x14ac:dyDescent="0.2">
      <c r="C991" s="28"/>
    </row>
    <row r="992" spans="3:3" x14ac:dyDescent="0.2">
      <c r="C992" s="28"/>
    </row>
    <row r="993" spans="3:3" x14ac:dyDescent="0.2">
      <c r="C993" s="28"/>
    </row>
    <row r="994" spans="3:3" x14ac:dyDescent="0.2">
      <c r="C994" s="28"/>
    </row>
    <row r="995" spans="3:3" x14ac:dyDescent="0.2">
      <c r="C995" s="28"/>
    </row>
    <row r="996" spans="3:3" x14ac:dyDescent="0.2">
      <c r="C996" s="28"/>
    </row>
    <row r="997" spans="3:3" x14ac:dyDescent="0.2">
      <c r="C997" s="28"/>
    </row>
    <row r="998" spans="3:3" x14ac:dyDescent="0.2">
      <c r="C998" s="28"/>
    </row>
    <row r="999" spans="3:3" x14ac:dyDescent="0.2">
      <c r="C999" s="28"/>
    </row>
    <row r="1000" spans="3:3" x14ac:dyDescent="0.2">
      <c r="C1000" s="28"/>
    </row>
    <row r="1001" spans="3:3" x14ac:dyDescent="0.2">
      <c r="C1001" s="28"/>
    </row>
    <row r="1002" spans="3:3" x14ac:dyDescent="0.2">
      <c r="C1002" s="28"/>
    </row>
    <row r="1003" spans="3:3" x14ac:dyDescent="0.2">
      <c r="C1003" s="28"/>
    </row>
    <row r="1004" spans="3:3" x14ac:dyDescent="0.2">
      <c r="C1004" s="28"/>
    </row>
    <row r="1005" spans="3:3" x14ac:dyDescent="0.2">
      <c r="C1005" s="28"/>
    </row>
    <row r="1006" spans="3:3" x14ac:dyDescent="0.2">
      <c r="C1006" s="28"/>
    </row>
    <row r="1007" spans="3:3" x14ac:dyDescent="0.2">
      <c r="C1007" s="28"/>
    </row>
    <row r="1008" spans="3:3" x14ac:dyDescent="0.2">
      <c r="C1008" s="28"/>
    </row>
    <row r="1009" spans="3:3" x14ac:dyDescent="0.2">
      <c r="C1009" s="28"/>
    </row>
    <row r="1010" spans="3:3" x14ac:dyDescent="0.2">
      <c r="C1010" s="28"/>
    </row>
    <row r="1011" spans="3:3" x14ac:dyDescent="0.2">
      <c r="C1011" s="28"/>
    </row>
    <row r="1012" spans="3:3" x14ac:dyDescent="0.2">
      <c r="C1012" s="28"/>
    </row>
    <row r="1013" spans="3:3" x14ac:dyDescent="0.2">
      <c r="C1013" s="28"/>
    </row>
    <row r="1014" spans="3:3" x14ac:dyDescent="0.2">
      <c r="C1014" s="28"/>
    </row>
    <row r="1015" spans="3:3" x14ac:dyDescent="0.2">
      <c r="C1015" s="28"/>
    </row>
    <row r="1016" spans="3:3" x14ac:dyDescent="0.2">
      <c r="C1016" s="28"/>
    </row>
    <row r="1017" spans="3:3" x14ac:dyDescent="0.2">
      <c r="C1017" s="28"/>
    </row>
    <row r="1018" spans="3:3" x14ac:dyDescent="0.2">
      <c r="C1018" s="28"/>
    </row>
    <row r="1019" spans="3:3" x14ac:dyDescent="0.2">
      <c r="C1019" s="28"/>
    </row>
    <row r="1020" spans="3:3" x14ac:dyDescent="0.2">
      <c r="C1020" s="28"/>
    </row>
    <row r="1021" spans="3:3" x14ac:dyDescent="0.2">
      <c r="C1021" s="28"/>
    </row>
    <row r="1022" spans="3:3" x14ac:dyDescent="0.2">
      <c r="C1022" s="28"/>
    </row>
    <row r="1023" spans="3:3" x14ac:dyDescent="0.2">
      <c r="C1023" s="28"/>
    </row>
    <row r="1024" spans="3:3" x14ac:dyDescent="0.2">
      <c r="C1024" s="28"/>
    </row>
    <row r="1025" spans="3:3" x14ac:dyDescent="0.2">
      <c r="C1025" s="28"/>
    </row>
    <row r="1026" spans="3:3" x14ac:dyDescent="0.2">
      <c r="C1026" s="28"/>
    </row>
    <row r="1027" spans="3:3" x14ac:dyDescent="0.2">
      <c r="C1027" s="28"/>
    </row>
    <row r="1028" spans="3:3" x14ac:dyDescent="0.2">
      <c r="C1028" s="28"/>
    </row>
    <row r="1029" spans="3:3" x14ac:dyDescent="0.2">
      <c r="C1029" s="28"/>
    </row>
    <row r="1030" spans="3:3" x14ac:dyDescent="0.2">
      <c r="C1030" s="28"/>
    </row>
    <row r="1031" spans="3:3" x14ac:dyDescent="0.2">
      <c r="C1031" s="28"/>
    </row>
    <row r="1032" spans="3:3" x14ac:dyDescent="0.2">
      <c r="C1032" s="28"/>
    </row>
    <row r="1033" spans="3:3" x14ac:dyDescent="0.2">
      <c r="C1033" s="28"/>
    </row>
    <row r="1034" spans="3:3" x14ac:dyDescent="0.2">
      <c r="C1034" s="28"/>
    </row>
    <row r="1035" spans="3:3" x14ac:dyDescent="0.2">
      <c r="C1035" s="28"/>
    </row>
    <row r="1036" spans="3:3" x14ac:dyDescent="0.2">
      <c r="C1036" s="28"/>
    </row>
    <row r="1037" spans="3:3" x14ac:dyDescent="0.2">
      <c r="C1037" s="28"/>
    </row>
    <row r="1038" spans="3:3" x14ac:dyDescent="0.2">
      <c r="C1038" s="28"/>
    </row>
    <row r="1039" spans="3:3" x14ac:dyDescent="0.2">
      <c r="C1039" s="28"/>
    </row>
    <row r="1040" spans="3:3" x14ac:dyDescent="0.2">
      <c r="C1040" s="28"/>
    </row>
    <row r="1041" spans="3:3" x14ac:dyDescent="0.2">
      <c r="C1041" s="28"/>
    </row>
    <row r="1042" spans="3:3" x14ac:dyDescent="0.2">
      <c r="C1042" s="28"/>
    </row>
    <row r="1043" spans="3:3" x14ac:dyDescent="0.2">
      <c r="C1043" s="28"/>
    </row>
    <row r="1044" spans="3:3" x14ac:dyDescent="0.2">
      <c r="C1044" s="28"/>
    </row>
    <row r="1045" spans="3:3" x14ac:dyDescent="0.2">
      <c r="C1045" s="28"/>
    </row>
    <row r="1046" spans="3:3" x14ac:dyDescent="0.2">
      <c r="C1046" s="28"/>
    </row>
    <row r="1047" spans="3:3" x14ac:dyDescent="0.2">
      <c r="C1047" s="28"/>
    </row>
    <row r="1048" spans="3:3" x14ac:dyDescent="0.2">
      <c r="C1048" s="28"/>
    </row>
    <row r="1049" spans="3:3" x14ac:dyDescent="0.2">
      <c r="C1049" s="28"/>
    </row>
    <row r="1050" spans="3:3" x14ac:dyDescent="0.2">
      <c r="C1050" s="28"/>
    </row>
    <row r="1051" spans="3:3" x14ac:dyDescent="0.2">
      <c r="C1051" s="28"/>
    </row>
    <row r="1052" spans="3:3" x14ac:dyDescent="0.2">
      <c r="C1052" s="28"/>
    </row>
    <row r="1053" spans="3:3" x14ac:dyDescent="0.2">
      <c r="C1053" s="28"/>
    </row>
    <row r="1054" spans="3:3" x14ac:dyDescent="0.2">
      <c r="C1054" s="28"/>
    </row>
    <row r="1055" spans="3:3" x14ac:dyDescent="0.2">
      <c r="C1055" s="28"/>
    </row>
    <row r="1056" spans="3:3" x14ac:dyDescent="0.2">
      <c r="C1056" s="28"/>
    </row>
    <row r="1057" spans="3:3" x14ac:dyDescent="0.2">
      <c r="C1057" s="28"/>
    </row>
    <row r="1058" spans="3:3" x14ac:dyDescent="0.2">
      <c r="C1058" s="28"/>
    </row>
    <row r="1059" spans="3:3" x14ac:dyDescent="0.2">
      <c r="C1059" s="28"/>
    </row>
    <row r="1060" spans="3:3" x14ac:dyDescent="0.2">
      <c r="C1060" s="28"/>
    </row>
    <row r="1061" spans="3:3" x14ac:dyDescent="0.2">
      <c r="C1061" s="28"/>
    </row>
    <row r="1062" spans="3:3" x14ac:dyDescent="0.2">
      <c r="C1062" s="28"/>
    </row>
    <row r="1063" spans="3:3" x14ac:dyDescent="0.2">
      <c r="C1063" s="28"/>
    </row>
    <row r="1064" spans="3:3" x14ac:dyDescent="0.2">
      <c r="C1064" s="28"/>
    </row>
    <row r="1065" spans="3:3" x14ac:dyDescent="0.2">
      <c r="C1065" s="28"/>
    </row>
    <row r="1066" spans="3:3" x14ac:dyDescent="0.2">
      <c r="C1066" s="28"/>
    </row>
    <row r="1067" spans="3:3" x14ac:dyDescent="0.2">
      <c r="C1067" s="28"/>
    </row>
    <row r="1068" spans="3:3" x14ac:dyDescent="0.2">
      <c r="C1068" s="28"/>
    </row>
    <row r="1069" spans="3:3" x14ac:dyDescent="0.2">
      <c r="C1069" s="28"/>
    </row>
    <row r="1070" spans="3:3" x14ac:dyDescent="0.2">
      <c r="C1070" s="28"/>
    </row>
    <row r="1071" spans="3:3" x14ac:dyDescent="0.2">
      <c r="C1071" s="28"/>
    </row>
    <row r="1072" spans="3:3" x14ac:dyDescent="0.2">
      <c r="C1072" s="28"/>
    </row>
    <row r="1073" spans="3:3" x14ac:dyDescent="0.2">
      <c r="C1073" s="28"/>
    </row>
    <row r="1074" spans="3:3" x14ac:dyDescent="0.2">
      <c r="C1074" s="28"/>
    </row>
    <row r="1075" spans="3:3" x14ac:dyDescent="0.2">
      <c r="C1075" s="28"/>
    </row>
    <row r="1076" spans="3:3" x14ac:dyDescent="0.2">
      <c r="C1076" s="28"/>
    </row>
    <row r="1077" spans="3:3" x14ac:dyDescent="0.2">
      <c r="C1077" s="28"/>
    </row>
    <row r="1078" spans="3:3" x14ac:dyDescent="0.2">
      <c r="C1078" s="28"/>
    </row>
    <row r="1079" spans="3:3" x14ac:dyDescent="0.2">
      <c r="C1079" s="28"/>
    </row>
    <row r="1080" spans="3:3" x14ac:dyDescent="0.2">
      <c r="C1080" s="28"/>
    </row>
    <row r="1081" spans="3:3" x14ac:dyDescent="0.2">
      <c r="C1081" s="28"/>
    </row>
    <row r="1082" spans="3:3" x14ac:dyDescent="0.2">
      <c r="C1082" s="28"/>
    </row>
    <row r="1083" spans="3:3" x14ac:dyDescent="0.2">
      <c r="C1083" s="28"/>
    </row>
    <row r="1084" spans="3:3" x14ac:dyDescent="0.2">
      <c r="C1084" s="28"/>
    </row>
    <row r="1085" spans="3:3" x14ac:dyDescent="0.2">
      <c r="C1085" s="28"/>
    </row>
    <row r="1086" spans="3:3" x14ac:dyDescent="0.2">
      <c r="C1086" s="28"/>
    </row>
    <row r="1087" spans="3:3" x14ac:dyDescent="0.2">
      <c r="C1087" s="28"/>
    </row>
    <row r="1088" spans="3:3" x14ac:dyDescent="0.2">
      <c r="C1088" s="28"/>
    </row>
    <row r="1089" spans="3:3" x14ac:dyDescent="0.2">
      <c r="C1089" s="28"/>
    </row>
    <row r="1090" spans="3:3" x14ac:dyDescent="0.2">
      <c r="C1090" s="28"/>
    </row>
    <row r="1091" spans="3:3" x14ac:dyDescent="0.2">
      <c r="C1091" s="28"/>
    </row>
    <row r="1092" spans="3:3" x14ac:dyDescent="0.2">
      <c r="C1092" s="28"/>
    </row>
    <row r="1093" spans="3:3" x14ac:dyDescent="0.2">
      <c r="C1093" s="28"/>
    </row>
    <row r="1094" spans="3:3" x14ac:dyDescent="0.2">
      <c r="C1094" s="28"/>
    </row>
    <row r="1095" spans="3:3" x14ac:dyDescent="0.2">
      <c r="C1095" s="28"/>
    </row>
    <row r="1096" spans="3:3" x14ac:dyDescent="0.2">
      <c r="C1096" s="28"/>
    </row>
    <row r="1097" spans="3:3" x14ac:dyDescent="0.2">
      <c r="C1097" s="28"/>
    </row>
    <row r="1098" spans="3:3" x14ac:dyDescent="0.2">
      <c r="C1098" s="28"/>
    </row>
    <row r="1099" spans="3:3" x14ac:dyDescent="0.2">
      <c r="C1099" s="28"/>
    </row>
    <row r="1100" spans="3:3" x14ac:dyDescent="0.2">
      <c r="C1100" s="28"/>
    </row>
    <row r="1101" spans="3:3" x14ac:dyDescent="0.2">
      <c r="C1101" s="28"/>
    </row>
    <row r="1102" spans="3:3" x14ac:dyDescent="0.2">
      <c r="C1102" s="28"/>
    </row>
    <row r="1103" spans="3:3" x14ac:dyDescent="0.2">
      <c r="C1103" s="28"/>
    </row>
    <row r="1104" spans="3:3" x14ac:dyDescent="0.2">
      <c r="C1104" s="28"/>
    </row>
    <row r="1105" spans="3:3" x14ac:dyDescent="0.2">
      <c r="C1105" s="28"/>
    </row>
    <row r="1106" spans="3:3" x14ac:dyDescent="0.2">
      <c r="C1106" s="28"/>
    </row>
    <row r="1107" spans="3:3" x14ac:dyDescent="0.2">
      <c r="C1107" s="28"/>
    </row>
    <row r="1108" spans="3:3" x14ac:dyDescent="0.2">
      <c r="C1108" s="28"/>
    </row>
    <row r="1109" spans="3:3" x14ac:dyDescent="0.2">
      <c r="C1109" s="28"/>
    </row>
    <row r="1110" spans="3:3" x14ac:dyDescent="0.2">
      <c r="C1110" s="28"/>
    </row>
    <row r="1111" spans="3:3" x14ac:dyDescent="0.2">
      <c r="C1111" s="28"/>
    </row>
    <row r="1112" spans="3:3" x14ac:dyDescent="0.2">
      <c r="C1112" s="28"/>
    </row>
    <row r="1113" spans="3:3" x14ac:dyDescent="0.2">
      <c r="C1113" s="28"/>
    </row>
    <row r="1114" spans="3:3" x14ac:dyDescent="0.2">
      <c r="C1114" s="28"/>
    </row>
    <row r="1115" spans="3:3" x14ac:dyDescent="0.2">
      <c r="C1115" s="28"/>
    </row>
    <row r="1116" spans="3:3" x14ac:dyDescent="0.2">
      <c r="C1116" s="28"/>
    </row>
    <row r="1117" spans="3:3" x14ac:dyDescent="0.2">
      <c r="C1117" s="28"/>
    </row>
    <row r="1118" spans="3:3" x14ac:dyDescent="0.2">
      <c r="C1118" s="28"/>
    </row>
    <row r="1119" spans="3:3" x14ac:dyDescent="0.2">
      <c r="C1119" s="28"/>
    </row>
    <row r="1120" spans="3:3" x14ac:dyDescent="0.2">
      <c r="C1120" s="28"/>
    </row>
    <row r="1121" spans="3:3" x14ac:dyDescent="0.2">
      <c r="C1121" s="28"/>
    </row>
    <row r="1122" spans="3:3" x14ac:dyDescent="0.2">
      <c r="C1122" s="28"/>
    </row>
    <row r="1123" spans="3:3" x14ac:dyDescent="0.2">
      <c r="C1123" s="28"/>
    </row>
    <row r="1124" spans="3:3" x14ac:dyDescent="0.2">
      <c r="C1124" s="28"/>
    </row>
    <row r="1125" spans="3:3" x14ac:dyDescent="0.2">
      <c r="C1125" s="28"/>
    </row>
    <row r="1126" spans="3:3" x14ac:dyDescent="0.2">
      <c r="C1126" s="28"/>
    </row>
    <row r="1127" spans="3:3" x14ac:dyDescent="0.2">
      <c r="C1127" s="28"/>
    </row>
    <row r="1128" spans="3:3" x14ac:dyDescent="0.2">
      <c r="C1128" s="28"/>
    </row>
    <row r="1129" spans="3:3" x14ac:dyDescent="0.2">
      <c r="C1129" s="28"/>
    </row>
    <row r="1130" spans="3:3" x14ac:dyDescent="0.2">
      <c r="C1130" s="28"/>
    </row>
    <row r="1131" spans="3:3" x14ac:dyDescent="0.2">
      <c r="C1131" s="28"/>
    </row>
    <row r="1132" spans="3:3" x14ac:dyDescent="0.2">
      <c r="C1132" s="28"/>
    </row>
    <row r="1133" spans="3:3" x14ac:dyDescent="0.2">
      <c r="C1133" s="28"/>
    </row>
    <row r="1134" spans="3:3" x14ac:dyDescent="0.2">
      <c r="C1134" s="28"/>
    </row>
    <row r="1135" spans="3:3" x14ac:dyDescent="0.2">
      <c r="C1135" s="28"/>
    </row>
    <row r="1136" spans="3:3" x14ac:dyDescent="0.2">
      <c r="C1136" s="28"/>
    </row>
    <row r="1137" spans="3:3" x14ac:dyDescent="0.2">
      <c r="C1137" s="28"/>
    </row>
    <row r="1138" spans="3:3" x14ac:dyDescent="0.2">
      <c r="C1138" s="28"/>
    </row>
    <row r="1139" spans="3:3" x14ac:dyDescent="0.2">
      <c r="C1139" s="28"/>
    </row>
    <row r="1140" spans="3:3" x14ac:dyDescent="0.2">
      <c r="C1140" s="28"/>
    </row>
    <row r="1141" spans="3:3" x14ac:dyDescent="0.2">
      <c r="C1141" s="28"/>
    </row>
    <row r="1142" spans="3:3" x14ac:dyDescent="0.2">
      <c r="C1142" s="28"/>
    </row>
    <row r="1143" spans="3:3" x14ac:dyDescent="0.2">
      <c r="C1143" s="28"/>
    </row>
    <row r="1144" spans="3:3" x14ac:dyDescent="0.2">
      <c r="C1144" s="28"/>
    </row>
    <row r="1145" spans="3:3" x14ac:dyDescent="0.2">
      <c r="C1145" s="28"/>
    </row>
    <row r="1146" spans="3:3" x14ac:dyDescent="0.2">
      <c r="C1146" s="28"/>
    </row>
    <row r="1147" spans="3:3" x14ac:dyDescent="0.2">
      <c r="C1147" s="28"/>
    </row>
    <row r="1148" spans="3:3" x14ac:dyDescent="0.2">
      <c r="C1148" s="28"/>
    </row>
    <row r="1149" spans="3:3" x14ac:dyDescent="0.2">
      <c r="C1149" s="28"/>
    </row>
    <row r="1150" spans="3:3" x14ac:dyDescent="0.2">
      <c r="C1150" s="28"/>
    </row>
    <row r="1151" spans="3:3" x14ac:dyDescent="0.2">
      <c r="C1151" s="28"/>
    </row>
    <row r="1152" spans="3:3" x14ac:dyDescent="0.2">
      <c r="C1152" s="28"/>
    </row>
    <row r="1153" spans="3:3" x14ac:dyDescent="0.2">
      <c r="C1153" s="28"/>
    </row>
    <row r="1154" spans="3:3" x14ac:dyDescent="0.2">
      <c r="C1154" s="28"/>
    </row>
    <row r="1155" spans="3:3" x14ac:dyDescent="0.2">
      <c r="C1155" s="28"/>
    </row>
    <row r="1156" spans="3:3" x14ac:dyDescent="0.2">
      <c r="C1156" s="28"/>
    </row>
    <row r="1157" spans="3:3" x14ac:dyDescent="0.2">
      <c r="C1157" s="28"/>
    </row>
    <row r="1158" spans="3:3" x14ac:dyDescent="0.2">
      <c r="C1158" s="28"/>
    </row>
    <row r="1159" spans="3:3" x14ac:dyDescent="0.2">
      <c r="C1159" s="28"/>
    </row>
    <row r="1160" spans="3:3" x14ac:dyDescent="0.2">
      <c r="C1160" s="28"/>
    </row>
    <row r="1161" spans="3:3" x14ac:dyDescent="0.2">
      <c r="C1161" s="28"/>
    </row>
    <row r="1162" spans="3:3" x14ac:dyDescent="0.2">
      <c r="C1162" s="28"/>
    </row>
    <row r="1163" spans="3:3" x14ac:dyDescent="0.2">
      <c r="C1163" s="28"/>
    </row>
    <row r="1164" spans="3:3" x14ac:dyDescent="0.2">
      <c r="C1164" s="28"/>
    </row>
    <row r="1165" spans="3:3" x14ac:dyDescent="0.2">
      <c r="C1165" s="28"/>
    </row>
    <row r="1166" spans="3:3" x14ac:dyDescent="0.2">
      <c r="C1166" s="28"/>
    </row>
    <row r="1167" spans="3:3" x14ac:dyDescent="0.2">
      <c r="C1167" s="28"/>
    </row>
    <row r="1168" spans="3:3" x14ac:dyDescent="0.2">
      <c r="C1168" s="28"/>
    </row>
    <row r="1169" spans="3:3" x14ac:dyDescent="0.2">
      <c r="C1169" s="28"/>
    </row>
    <row r="1170" spans="3:3" x14ac:dyDescent="0.2">
      <c r="C1170" s="28"/>
    </row>
    <row r="1171" spans="3:3" x14ac:dyDescent="0.2">
      <c r="C1171" s="28"/>
    </row>
    <row r="1172" spans="3:3" x14ac:dyDescent="0.2">
      <c r="C1172" s="28"/>
    </row>
    <row r="1173" spans="3:3" x14ac:dyDescent="0.2">
      <c r="C1173" s="28"/>
    </row>
    <row r="1174" spans="3:3" x14ac:dyDescent="0.2">
      <c r="C1174" s="28"/>
    </row>
    <row r="1175" spans="3:3" x14ac:dyDescent="0.2">
      <c r="C1175" s="28"/>
    </row>
    <row r="1176" spans="3:3" x14ac:dyDescent="0.2">
      <c r="C1176" s="28"/>
    </row>
    <row r="1177" spans="3:3" x14ac:dyDescent="0.2">
      <c r="C1177" s="28"/>
    </row>
    <row r="1178" spans="3:3" x14ac:dyDescent="0.2">
      <c r="C1178" s="28"/>
    </row>
    <row r="1179" spans="3:3" x14ac:dyDescent="0.2">
      <c r="C1179" s="28"/>
    </row>
    <row r="1180" spans="3:3" x14ac:dyDescent="0.2">
      <c r="C1180" s="28"/>
    </row>
    <row r="1181" spans="3:3" x14ac:dyDescent="0.2">
      <c r="C1181" s="28"/>
    </row>
    <row r="1182" spans="3:3" x14ac:dyDescent="0.2">
      <c r="C1182" s="28"/>
    </row>
    <row r="1183" spans="3:3" x14ac:dyDescent="0.2">
      <c r="C1183" s="28"/>
    </row>
    <row r="1184" spans="3:3" x14ac:dyDescent="0.2">
      <c r="C1184" s="28"/>
    </row>
    <row r="1185" spans="3:3" x14ac:dyDescent="0.2">
      <c r="C1185" s="28"/>
    </row>
    <row r="1186" spans="3:3" x14ac:dyDescent="0.2">
      <c r="C1186" s="28"/>
    </row>
    <row r="1187" spans="3:3" x14ac:dyDescent="0.2">
      <c r="C1187" s="28"/>
    </row>
    <row r="1188" spans="3:3" x14ac:dyDescent="0.2">
      <c r="C1188" s="28"/>
    </row>
    <row r="1189" spans="3:3" x14ac:dyDescent="0.2">
      <c r="C1189" s="28"/>
    </row>
    <row r="1190" spans="3:3" x14ac:dyDescent="0.2">
      <c r="C1190" s="28"/>
    </row>
    <row r="1191" spans="3:3" x14ac:dyDescent="0.2">
      <c r="C1191" s="28"/>
    </row>
    <row r="1192" spans="3:3" x14ac:dyDescent="0.2">
      <c r="C1192" s="28"/>
    </row>
    <row r="1193" spans="3:3" x14ac:dyDescent="0.2">
      <c r="C1193" s="28"/>
    </row>
    <row r="1194" spans="3:3" x14ac:dyDescent="0.2">
      <c r="C1194" s="28"/>
    </row>
    <row r="1195" spans="3:3" x14ac:dyDescent="0.2">
      <c r="C1195" s="28"/>
    </row>
    <row r="1196" spans="3:3" x14ac:dyDescent="0.2">
      <c r="C1196" s="28"/>
    </row>
    <row r="1197" spans="3:3" x14ac:dyDescent="0.2">
      <c r="C1197" s="28"/>
    </row>
    <row r="1198" spans="3:3" x14ac:dyDescent="0.2">
      <c r="C1198" s="28"/>
    </row>
    <row r="1199" spans="3:3" x14ac:dyDescent="0.2">
      <c r="C1199" s="28"/>
    </row>
    <row r="1200" spans="3:3" x14ac:dyDescent="0.2">
      <c r="C1200" s="28"/>
    </row>
    <row r="1201" spans="3:3" x14ac:dyDescent="0.2">
      <c r="C1201" s="28"/>
    </row>
    <row r="1202" spans="3:3" x14ac:dyDescent="0.2">
      <c r="C1202" s="28"/>
    </row>
    <row r="1203" spans="3:3" x14ac:dyDescent="0.2">
      <c r="C1203" s="28"/>
    </row>
    <row r="1204" spans="3:3" x14ac:dyDescent="0.2">
      <c r="C1204" s="28"/>
    </row>
    <row r="1205" spans="3:3" x14ac:dyDescent="0.2">
      <c r="C1205" s="28"/>
    </row>
    <row r="1206" spans="3:3" x14ac:dyDescent="0.2">
      <c r="C1206" s="28"/>
    </row>
    <row r="1207" spans="3:3" x14ac:dyDescent="0.2">
      <c r="C1207" s="28"/>
    </row>
    <row r="1208" spans="3:3" x14ac:dyDescent="0.2">
      <c r="C1208" s="28"/>
    </row>
    <row r="1209" spans="3:3" x14ac:dyDescent="0.2">
      <c r="C1209" s="28"/>
    </row>
    <row r="1210" spans="3:3" x14ac:dyDescent="0.2">
      <c r="C1210" s="28"/>
    </row>
    <row r="1211" spans="3:3" x14ac:dyDescent="0.2">
      <c r="C1211" s="28"/>
    </row>
    <row r="1212" spans="3:3" x14ac:dyDescent="0.2">
      <c r="C1212" s="28"/>
    </row>
    <row r="1213" spans="3:3" x14ac:dyDescent="0.2">
      <c r="C1213" s="28"/>
    </row>
    <row r="1214" spans="3:3" x14ac:dyDescent="0.2">
      <c r="C1214" s="28"/>
    </row>
    <row r="1215" spans="3:3" x14ac:dyDescent="0.2">
      <c r="C1215" s="28"/>
    </row>
    <row r="1216" spans="3:3" x14ac:dyDescent="0.2">
      <c r="C1216" s="28"/>
    </row>
    <row r="1217" spans="3:3" x14ac:dyDescent="0.2">
      <c r="C1217" s="28"/>
    </row>
    <row r="1218" spans="3:3" x14ac:dyDescent="0.2">
      <c r="C1218" s="28"/>
    </row>
    <row r="1219" spans="3:3" x14ac:dyDescent="0.2">
      <c r="C1219" s="28"/>
    </row>
    <row r="1220" spans="3:3" x14ac:dyDescent="0.2">
      <c r="C1220" s="28"/>
    </row>
    <row r="1221" spans="3:3" x14ac:dyDescent="0.2">
      <c r="C1221" s="28"/>
    </row>
    <row r="1222" spans="3:3" x14ac:dyDescent="0.2">
      <c r="C1222" s="28"/>
    </row>
    <row r="1223" spans="3:3" x14ac:dyDescent="0.2">
      <c r="C1223" s="28"/>
    </row>
    <row r="1224" spans="3:3" x14ac:dyDescent="0.2">
      <c r="C1224" s="28"/>
    </row>
    <row r="1225" spans="3:3" x14ac:dyDescent="0.2">
      <c r="C1225" s="28"/>
    </row>
    <row r="1226" spans="3:3" x14ac:dyDescent="0.2">
      <c r="C1226" s="28"/>
    </row>
    <row r="1227" spans="3:3" x14ac:dyDescent="0.2">
      <c r="C1227" s="28"/>
    </row>
    <row r="1228" spans="3:3" x14ac:dyDescent="0.2">
      <c r="C1228" s="28"/>
    </row>
    <row r="1229" spans="3:3" x14ac:dyDescent="0.2">
      <c r="C1229" s="28"/>
    </row>
    <row r="1230" spans="3:3" x14ac:dyDescent="0.2">
      <c r="C1230" s="28"/>
    </row>
    <row r="1231" spans="3:3" x14ac:dyDescent="0.2">
      <c r="C1231" s="28"/>
    </row>
    <row r="1232" spans="3:3" x14ac:dyDescent="0.2">
      <c r="C1232" s="28"/>
    </row>
    <row r="1233" spans="3:3" x14ac:dyDescent="0.2">
      <c r="C1233" s="28"/>
    </row>
    <row r="1234" spans="3:3" x14ac:dyDescent="0.2">
      <c r="C1234" s="28"/>
    </row>
    <row r="1235" spans="3:3" x14ac:dyDescent="0.2">
      <c r="C1235" s="28"/>
    </row>
    <row r="1236" spans="3:3" x14ac:dyDescent="0.2">
      <c r="C1236" s="28"/>
    </row>
    <row r="1237" spans="3:3" x14ac:dyDescent="0.2">
      <c r="C1237" s="28"/>
    </row>
    <row r="1238" spans="3:3" x14ac:dyDescent="0.2">
      <c r="C1238" s="28"/>
    </row>
    <row r="1239" spans="3:3" x14ac:dyDescent="0.2">
      <c r="C1239" s="28"/>
    </row>
    <row r="1240" spans="3:3" x14ac:dyDescent="0.2">
      <c r="C1240" s="28"/>
    </row>
    <row r="1241" spans="3:3" x14ac:dyDescent="0.2">
      <c r="C1241" s="28"/>
    </row>
    <row r="1242" spans="3:3" x14ac:dyDescent="0.2">
      <c r="C1242" s="28"/>
    </row>
    <row r="1243" spans="3:3" x14ac:dyDescent="0.2">
      <c r="C1243" s="28"/>
    </row>
    <row r="1244" spans="3:3" x14ac:dyDescent="0.2">
      <c r="C1244" s="28"/>
    </row>
    <row r="1245" spans="3:3" x14ac:dyDescent="0.2">
      <c r="C1245" s="28"/>
    </row>
    <row r="1246" spans="3:3" x14ac:dyDescent="0.2">
      <c r="C1246" s="28"/>
    </row>
    <row r="1247" spans="3:3" x14ac:dyDescent="0.2">
      <c r="C1247" s="28"/>
    </row>
    <row r="1248" spans="3:3" x14ac:dyDescent="0.2">
      <c r="C1248" s="28"/>
    </row>
    <row r="1249" spans="3:3" x14ac:dyDescent="0.2">
      <c r="C1249" s="28"/>
    </row>
    <row r="1250" spans="3:3" x14ac:dyDescent="0.2">
      <c r="C1250" s="28"/>
    </row>
    <row r="1251" spans="3:3" x14ac:dyDescent="0.2">
      <c r="C1251" s="28"/>
    </row>
    <row r="1252" spans="3:3" x14ac:dyDescent="0.2">
      <c r="C1252" s="28"/>
    </row>
    <row r="1253" spans="3:3" x14ac:dyDescent="0.2">
      <c r="C1253" s="28"/>
    </row>
    <row r="1254" spans="3:3" x14ac:dyDescent="0.2">
      <c r="C1254" s="28"/>
    </row>
    <row r="1255" spans="3:3" x14ac:dyDescent="0.2">
      <c r="C1255" s="28"/>
    </row>
    <row r="1256" spans="3:3" x14ac:dyDescent="0.2">
      <c r="C1256" s="28"/>
    </row>
    <row r="1257" spans="3:3" x14ac:dyDescent="0.2">
      <c r="C1257" s="28"/>
    </row>
    <row r="1258" spans="3:3" x14ac:dyDescent="0.2">
      <c r="C1258" s="28"/>
    </row>
    <row r="1259" spans="3:3" x14ac:dyDescent="0.2">
      <c r="C1259" s="28"/>
    </row>
    <row r="1260" spans="3:3" x14ac:dyDescent="0.2">
      <c r="C1260" s="28"/>
    </row>
    <row r="1261" spans="3:3" x14ac:dyDescent="0.2">
      <c r="C1261" s="28"/>
    </row>
    <row r="1262" spans="3:3" x14ac:dyDescent="0.2">
      <c r="C1262" s="28"/>
    </row>
    <row r="1263" spans="3:3" x14ac:dyDescent="0.2">
      <c r="C1263" s="28"/>
    </row>
    <row r="1264" spans="3:3" x14ac:dyDescent="0.2">
      <c r="C1264" s="28"/>
    </row>
    <row r="1265" spans="3:3" x14ac:dyDescent="0.2">
      <c r="C1265" s="28"/>
    </row>
    <row r="1266" spans="3:3" x14ac:dyDescent="0.2">
      <c r="C1266" s="28"/>
    </row>
    <row r="1267" spans="3:3" x14ac:dyDescent="0.2">
      <c r="C1267" s="28"/>
    </row>
    <row r="1268" spans="3:3" x14ac:dyDescent="0.2">
      <c r="C1268" s="28"/>
    </row>
    <row r="1269" spans="3:3" x14ac:dyDescent="0.2">
      <c r="C1269" s="28"/>
    </row>
    <row r="1270" spans="3:3" x14ac:dyDescent="0.2">
      <c r="C1270" s="28"/>
    </row>
    <row r="1271" spans="3:3" x14ac:dyDescent="0.2">
      <c r="C1271" s="28"/>
    </row>
    <row r="1272" spans="3:3" x14ac:dyDescent="0.2">
      <c r="C1272" s="28"/>
    </row>
    <row r="1273" spans="3:3" x14ac:dyDescent="0.2">
      <c r="C1273" s="28"/>
    </row>
    <row r="1274" spans="3:3" x14ac:dyDescent="0.2">
      <c r="C1274" s="28"/>
    </row>
    <row r="1275" spans="3:3" x14ac:dyDescent="0.2">
      <c r="C1275" s="28"/>
    </row>
    <row r="1276" spans="3:3" x14ac:dyDescent="0.2">
      <c r="C1276" s="28"/>
    </row>
    <row r="1277" spans="3:3" x14ac:dyDescent="0.2">
      <c r="C1277" s="28"/>
    </row>
    <row r="1278" spans="3:3" x14ac:dyDescent="0.2">
      <c r="C1278" s="28"/>
    </row>
    <row r="1279" spans="3:3" x14ac:dyDescent="0.2">
      <c r="C1279" s="28"/>
    </row>
    <row r="1280" spans="3:3" x14ac:dyDescent="0.2">
      <c r="C1280" s="28"/>
    </row>
    <row r="1281" spans="3:3" x14ac:dyDescent="0.2">
      <c r="C1281" s="28"/>
    </row>
    <row r="1282" spans="3:3" x14ac:dyDescent="0.2">
      <c r="C1282" s="28"/>
    </row>
    <row r="1283" spans="3:3" x14ac:dyDescent="0.2">
      <c r="C1283" s="28"/>
    </row>
    <row r="1284" spans="3:3" x14ac:dyDescent="0.2">
      <c r="C1284" s="28"/>
    </row>
    <row r="1285" spans="3:3" x14ac:dyDescent="0.2">
      <c r="C1285" s="28"/>
    </row>
    <row r="1286" spans="3:3" x14ac:dyDescent="0.2">
      <c r="C1286" s="28"/>
    </row>
    <row r="1287" spans="3:3" x14ac:dyDescent="0.2">
      <c r="C1287" s="28"/>
    </row>
    <row r="1288" spans="3:3" x14ac:dyDescent="0.2">
      <c r="C1288" s="28"/>
    </row>
    <row r="1289" spans="3:3" x14ac:dyDescent="0.2">
      <c r="C1289" s="28"/>
    </row>
    <row r="1290" spans="3:3" x14ac:dyDescent="0.2">
      <c r="C1290" s="28"/>
    </row>
    <row r="1291" spans="3:3" x14ac:dyDescent="0.2">
      <c r="C1291" s="28"/>
    </row>
    <row r="1292" spans="3:3" x14ac:dyDescent="0.2">
      <c r="C1292" s="28"/>
    </row>
    <row r="1293" spans="3:3" x14ac:dyDescent="0.2">
      <c r="C1293" s="28"/>
    </row>
    <row r="1294" spans="3:3" x14ac:dyDescent="0.2">
      <c r="C1294" s="28"/>
    </row>
    <row r="1295" spans="3:3" x14ac:dyDescent="0.2">
      <c r="C1295" s="28"/>
    </row>
    <row r="1296" spans="3:3" x14ac:dyDescent="0.2">
      <c r="C1296" s="28"/>
    </row>
    <row r="1297" spans="3:3" x14ac:dyDescent="0.2">
      <c r="C1297" s="28"/>
    </row>
    <row r="1298" spans="3:3" x14ac:dyDescent="0.2">
      <c r="C1298" s="28"/>
    </row>
    <row r="1299" spans="3:3" x14ac:dyDescent="0.2">
      <c r="C1299" s="28"/>
    </row>
    <row r="1300" spans="3:3" x14ac:dyDescent="0.2">
      <c r="C1300" s="28"/>
    </row>
    <row r="1301" spans="3:3" x14ac:dyDescent="0.2">
      <c r="C1301" s="28"/>
    </row>
    <row r="1302" spans="3:3" x14ac:dyDescent="0.2">
      <c r="C1302" s="28"/>
    </row>
    <row r="1303" spans="3:3" x14ac:dyDescent="0.2">
      <c r="C1303" s="28"/>
    </row>
    <row r="1304" spans="3:3" x14ac:dyDescent="0.2">
      <c r="C1304" s="28"/>
    </row>
    <row r="1305" spans="3:3" x14ac:dyDescent="0.2">
      <c r="C1305" s="28"/>
    </row>
    <row r="1306" spans="3:3" x14ac:dyDescent="0.2">
      <c r="C1306" s="28"/>
    </row>
    <row r="1307" spans="3:3" x14ac:dyDescent="0.2">
      <c r="C1307" s="28"/>
    </row>
    <row r="1308" spans="3:3" x14ac:dyDescent="0.2">
      <c r="C1308" s="28"/>
    </row>
    <row r="1309" spans="3:3" x14ac:dyDescent="0.2">
      <c r="C1309" s="28"/>
    </row>
    <row r="1310" spans="3:3" x14ac:dyDescent="0.2">
      <c r="C1310" s="28"/>
    </row>
    <row r="1311" spans="3:3" x14ac:dyDescent="0.2">
      <c r="C1311" s="28"/>
    </row>
    <row r="1312" spans="3:3" x14ac:dyDescent="0.2">
      <c r="C1312" s="28"/>
    </row>
    <row r="1313" spans="3:3" x14ac:dyDescent="0.2">
      <c r="C1313" s="28"/>
    </row>
    <row r="1314" spans="3:3" x14ac:dyDescent="0.2">
      <c r="C1314" s="28"/>
    </row>
    <row r="1315" spans="3:3" x14ac:dyDescent="0.2">
      <c r="C1315" s="28"/>
    </row>
    <row r="1316" spans="3:3" x14ac:dyDescent="0.2">
      <c r="C1316" s="28"/>
    </row>
    <row r="1317" spans="3:3" x14ac:dyDescent="0.2">
      <c r="C1317" s="28"/>
    </row>
    <row r="1318" spans="3:3" x14ac:dyDescent="0.2">
      <c r="C1318" s="28"/>
    </row>
    <row r="1319" spans="3:3" x14ac:dyDescent="0.2">
      <c r="C1319" s="28"/>
    </row>
    <row r="1320" spans="3:3" x14ac:dyDescent="0.2">
      <c r="C1320" s="28"/>
    </row>
    <row r="1321" spans="3:3" x14ac:dyDescent="0.2">
      <c r="C1321" s="28"/>
    </row>
    <row r="1322" spans="3:3" x14ac:dyDescent="0.2">
      <c r="C1322" s="28"/>
    </row>
    <row r="1323" spans="3:3" x14ac:dyDescent="0.2">
      <c r="C1323" s="28"/>
    </row>
    <row r="1324" spans="3:3" x14ac:dyDescent="0.2">
      <c r="C1324" s="28"/>
    </row>
    <row r="1325" spans="3:3" x14ac:dyDescent="0.2">
      <c r="C1325" s="28"/>
    </row>
    <row r="1326" spans="3:3" x14ac:dyDescent="0.2">
      <c r="C1326" s="28"/>
    </row>
    <row r="1327" spans="3:3" x14ac:dyDescent="0.2">
      <c r="C1327" s="28"/>
    </row>
    <row r="1328" spans="3:3" x14ac:dyDescent="0.2">
      <c r="C1328" s="28"/>
    </row>
    <row r="1329" spans="3:3" x14ac:dyDescent="0.2">
      <c r="C1329" s="28"/>
    </row>
    <row r="1330" spans="3:3" x14ac:dyDescent="0.2">
      <c r="C1330" s="28"/>
    </row>
    <row r="1331" spans="3:3" x14ac:dyDescent="0.2">
      <c r="C1331" s="28"/>
    </row>
    <row r="1332" spans="3:3" x14ac:dyDescent="0.2">
      <c r="C1332" s="28"/>
    </row>
    <row r="1333" spans="3:3" x14ac:dyDescent="0.2">
      <c r="C1333" s="28"/>
    </row>
    <row r="1334" spans="3:3" x14ac:dyDescent="0.2">
      <c r="C1334" s="28"/>
    </row>
    <row r="1335" spans="3:3" x14ac:dyDescent="0.2">
      <c r="C1335" s="28"/>
    </row>
    <row r="1336" spans="3:3" x14ac:dyDescent="0.2">
      <c r="C1336" s="28"/>
    </row>
    <row r="1337" spans="3:3" x14ac:dyDescent="0.2">
      <c r="C1337" s="28"/>
    </row>
    <row r="1338" spans="3:3" x14ac:dyDescent="0.2">
      <c r="C1338" s="28"/>
    </row>
    <row r="1339" spans="3:3" x14ac:dyDescent="0.2">
      <c r="C1339" s="28"/>
    </row>
    <row r="1340" spans="3:3" x14ac:dyDescent="0.2">
      <c r="C1340" s="28"/>
    </row>
    <row r="1341" spans="3:3" x14ac:dyDescent="0.2">
      <c r="C1341" s="28"/>
    </row>
    <row r="1342" spans="3:3" x14ac:dyDescent="0.2">
      <c r="C1342" s="28"/>
    </row>
    <row r="1343" spans="3:3" x14ac:dyDescent="0.2">
      <c r="C1343" s="28"/>
    </row>
    <row r="1344" spans="3:3" x14ac:dyDescent="0.2">
      <c r="C1344" s="28"/>
    </row>
    <row r="1345" spans="3:3" x14ac:dyDescent="0.2">
      <c r="C1345" s="28"/>
    </row>
    <row r="1346" spans="3:3" x14ac:dyDescent="0.2">
      <c r="C1346" s="28"/>
    </row>
    <row r="1347" spans="3:3" x14ac:dyDescent="0.2">
      <c r="C1347" s="28"/>
    </row>
    <row r="1348" spans="3:3" x14ac:dyDescent="0.2">
      <c r="C1348" s="28"/>
    </row>
    <row r="1349" spans="3:3" x14ac:dyDescent="0.2">
      <c r="C1349" s="28"/>
    </row>
    <row r="1350" spans="3:3" x14ac:dyDescent="0.2">
      <c r="C1350" s="28"/>
    </row>
    <row r="1351" spans="3:3" x14ac:dyDescent="0.2">
      <c r="C1351" s="28"/>
    </row>
    <row r="1352" spans="3:3" x14ac:dyDescent="0.2">
      <c r="C1352" s="28"/>
    </row>
    <row r="1353" spans="3:3" x14ac:dyDescent="0.2">
      <c r="C1353" s="28"/>
    </row>
    <row r="1354" spans="3:3" x14ac:dyDescent="0.2">
      <c r="C1354" s="28"/>
    </row>
    <row r="1355" spans="3:3" x14ac:dyDescent="0.2">
      <c r="C1355" s="28"/>
    </row>
    <row r="1356" spans="3:3" x14ac:dyDescent="0.2">
      <c r="C1356" s="28"/>
    </row>
    <row r="1357" spans="3:3" x14ac:dyDescent="0.2">
      <c r="C1357" s="28"/>
    </row>
    <row r="1358" spans="3:3" x14ac:dyDescent="0.2">
      <c r="C1358" s="28"/>
    </row>
    <row r="1359" spans="3:3" x14ac:dyDescent="0.2">
      <c r="C1359" s="28"/>
    </row>
    <row r="1360" spans="3:3" x14ac:dyDescent="0.2">
      <c r="C1360" s="28"/>
    </row>
    <row r="1361" spans="3:3" x14ac:dyDescent="0.2">
      <c r="C1361" s="28"/>
    </row>
    <row r="1362" spans="3:3" x14ac:dyDescent="0.2">
      <c r="C1362" s="28"/>
    </row>
    <row r="1363" spans="3:3" x14ac:dyDescent="0.2">
      <c r="C1363" s="28"/>
    </row>
    <row r="1364" spans="3:3" x14ac:dyDescent="0.2">
      <c r="C1364" s="28"/>
    </row>
    <row r="1365" spans="3:3" x14ac:dyDescent="0.2">
      <c r="C1365" s="28"/>
    </row>
    <row r="1366" spans="3:3" x14ac:dyDescent="0.2">
      <c r="C1366" s="28"/>
    </row>
    <row r="1367" spans="3:3" x14ac:dyDescent="0.2">
      <c r="C1367" s="28"/>
    </row>
    <row r="1368" spans="3:3" x14ac:dyDescent="0.2">
      <c r="C1368" s="28"/>
    </row>
    <row r="1369" spans="3:3" x14ac:dyDescent="0.2">
      <c r="C1369" s="28"/>
    </row>
    <row r="1370" spans="3:3" x14ac:dyDescent="0.2">
      <c r="C1370" s="28"/>
    </row>
    <row r="1371" spans="3:3" x14ac:dyDescent="0.2">
      <c r="C1371" s="28"/>
    </row>
    <row r="1372" spans="3:3" x14ac:dyDescent="0.2">
      <c r="C1372" s="28"/>
    </row>
    <row r="1373" spans="3:3" x14ac:dyDescent="0.2">
      <c r="C1373" s="28"/>
    </row>
    <row r="1374" spans="3:3" x14ac:dyDescent="0.2">
      <c r="C1374" s="28"/>
    </row>
    <row r="1375" spans="3:3" x14ac:dyDescent="0.2">
      <c r="C1375" s="28"/>
    </row>
    <row r="1376" spans="3:3" x14ac:dyDescent="0.2">
      <c r="C1376" s="28"/>
    </row>
    <row r="1377" spans="3:3" x14ac:dyDescent="0.2">
      <c r="C1377" s="28"/>
    </row>
    <row r="1378" spans="3:3" x14ac:dyDescent="0.2">
      <c r="C1378" s="28"/>
    </row>
    <row r="1379" spans="3:3" x14ac:dyDescent="0.2">
      <c r="C1379" s="28"/>
    </row>
    <row r="1380" spans="3:3" x14ac:dyDescent="0.2">
      <c r="C1380" s="28"/>
    </row>
    <row r="1381" spans="3:3" x14ac:dyDescent="0.2">
      <c r="C1381" s="28"/>
    </row>
    <row r="1382" spans="3:3" x14ac:dyDescent="0.2">
      <c r="C1382" s="28"/>
    </row>
    <row r="1383" spans="3:3" x14ac:dyDescent="0.2">
      <c r="C1383" s="28"/>
    </row>
    <row r="1384" spans="3:3" x14ac:dyDescent="0.2">
      <c r="C1384" s="28"/>
    </row>
    <row r="1385" spans="3:3" x14ac:dyDescent="0.2">
      <c r="C1385" s="28"/>
    </row>
    <row r="1386" spans="3:3" x14ac:dyDescent="0.2">
      <c r="C1386" s="28"/>
    </row>
    <row r="1387" spans="3:3" x14ac:dyDescent="0.2">
      <c r="C1387" s="28"/>
    </row>
    <row r="1388" spans="3:3" x14ac:dyDescent="0.2">
      <c r="C1388" s="28"/>
    </row>
    <row r="1389" spans="3:3" x14ac:dyDescent="0.2">
      <c r="C1389" s="28"/>
    </row>
    <row r="1390" spans="3:3" x14ac:dyDescent="0.2">
      <c r="C1390" s="28"/>
    </row>
    <row r="1391" spans="3:3" x14ac:dyDescent="0.2">
      <c r="C1391" s="28"/>
    </row>
    <row r="1392" spans="3:3" x14ac:dyDescent="0.2">
      <c r="C1392" s="28"/>
    </row>
    <row r="1393" spans="3:3" x14ac:dyDescent="0.2">
      <c r="C1393" s="28"/>
    </row>
    <row r="1394" spans="3:3" x14ac:dyDescent="0.2">
      <c r="C1394" s="28"/>
    </row>
    <row r="1395" spans="3:3" x14ac:dyDescent="0.2">
      <c r="C1395" s="28"/>
    </row>
    <row r="1396" spans="3:3" x14ac:dyDescent="0.2">
      <c r="C1396" s="28"/>
    </row>
    <row r="1397" spans="3:3" x14ac:dyDescent="0.2">
      <c r="C1397" s="28"/>
    </row>
    <row r="1398" spans="3:3" x14ac:dyDescent="0.2">
      <c r="C1398" s="28"/>
    </row>
    <row r="1399" spans="3:3" x14ac:dyDescent="0.2">
      <c r="C1399" s="28"/>
    </row>
    <row r="1400" spans="3:3" x14ac:dyDescent="0.2">
      <c r="C1400" s="28"/>
    </row>
    <row r="1401" spans="3:3" x14ac:dyDescent="0.2">
      <c r="C1401" s="28"/>
    </row>
    <row r="1402" spans="3:3" x14ac:dyDescent="0.2">
      <c r="C1402" s="28"/>
    </row>
    <row r="1403" spans="3:3" x14ac:dyDescent="0.2">
      <c r="C1403" s="28"/>
    </row>
    <row r="1404" spans="3:3" x14ac:dyDescent="0.2">
      <c r="C1404" s="28"/>
    </row>
    <row r="1405" spans="3:3" x14ac:dyDescent="0.2">
      <c r="C1405" s="28"/>
    </row>
    <row r="1406" spans="3:3" x14ac:dyDescent="0.2">
      <c r="C1406" s="28"/>
    </row>
    <row r="1407" spans="3:3" x14ac:dyDescent="0.2">
      <c r="C1407" s="28"/>
    </row>
    <row r="1408" spans="3:3" x14ac:dyDescent="0.2">
      <c r="C1408" s="28"/>
    </row>
    <row r="1409" spans="3:3" x14ac:dyDescent="0.2">
      <c r="C1409" s="28"/>
    </row>
    <row r="1410" spans="3:3" x14ac:dyDescent="0.2">
      <c r="C1410" s="28"/>
    </row>
    <row r="1411" spans="3:3" x14ac:dyDescent="0.2">
      <c r="C1411" s="28"/>
    </row>
    <row r="1412" spans="3:3" x14ac:dyDescent="0.2">
      <c r="C1412" s="28"/>
    </row>
    <row r="1413" spans="3:3" x14ac:dyDescent="0.2">
      <c r="C1413" s="28"/>
    </row>
    <row r="1414" spans="3:3" x14ac:dyDescent="0.2">
      <c r="C1414" s="28"/>
    </row>
    <row r="1415" spans="3:3" x14ac:dyDescent="0.2">
      <c r="C1415" s="28"/>
    </row>
    <row r="1416" spans="3:3" x14ac:dyDescent="0.2">
      <c r="C1416" s="28"/>
    </row>
    <row r="1417" spans="3:3" x14ac:dyDescent="0.2">
      <c r="C1417" s="28"/>
    </row>
    <row r="1418" spans="3:3" x14ac:dyDescent="0.2">
      <c r="C1418" s="28"/>
    </row>
    <row r="1419" spans="3:3" x14ac:dyDescent="0.2">
      <c r="C1419" s="28"/>
    </row>
    <row r="1420" spans="3:3" x14ac:dyDescent="0.2">
      <c r="C1420" s="28"/>
    </row>
    <row r="1421" spans="3:3" x14ac:dyDescent="0.2">
      <c r="C1421" s="28"/>
    </row>
    <row r="1422" spans="3:3" x14ac:dyDescent="0.2">
      <c r="C1422" s="28"/>
    </row>
    <row r="1423" spans="3:3" x14ac:dyDescent="0.2">
      <c r="C1423" s="28"/>
    </row>
    <row r="1424" spans="3:3" x14ac:dyDescent="0.2">
      <c r="C1424" s="28"/>
    </row>
    <row r="1425" spans="3:3" x14ac:dyDescent="0.2">
      <c r="C1425" s="28"/>
    </row>
    <row r="1426" spans="3:3" x14ac:dyDescent="0.2">
      <c r="C1426" s="28"/>
    </row>
    <row r="1427" spans="3:3" x14ac:dyDescent="0.2">
      <c r="C1427" s="28"/>
    </row>
    <row r="1428" spans="3:3" x14ac:dyDescent="0.2">
      <c r="C1428" s="28"/>
    </row>
    <row r="1429" spans="3:3" x14ac:dyDescent="0.2">
      <c r="C1429" s="28"/>
    </row>
    <row r="1430" spans="3:3" x14ac:dyDescent="0.2">
      <c r="C1430" s="28"/>
    </row>
    <row r="1431" spans="3:3" x14ac:dyDescent="0.2">
      <c r="C1431" s="28"/>
    </row>
    <row r="1432" spans="3:3" x14ac:dyDescent="0.2">
      <c r="C1432" s="28"/>
    </row>
    <row r="1433" spans="3:3" x14ac:dyDescent="0.2">
      <c r="C1433" s="28"/>
    </row>
    <row r="1434" spans="3:3" x14ac:dyDescent="0.2">
      <c r="C1434" s="28"/>
    </row>
    <row r="1435" spans="3:3" x14ac:dyDescent="0.2">
      <c r="C1435" s="28"/>
    </row>
    <row r="1436" spans="3:3" x14ac:dyDescent="0.2">
      <c r="C1436" s="28"/>
    </row>
    <row r="1437" spans="3:3" x14ac:dyDescent="0.2">
      <c r="C1437" s="28"/>
    </row>
    <row r="1438" spans="3:3" x14ac:dyDescent="0.2">
      <c r="C1438" s="28"/>
    </row>
    <row r="1439" spans="3:3" x14ac:dyDescent="0.2">
      <c r="C1439" s="28"/>
    </row>
    <row r="1440" spans="3:3" x14ac:dyDescent="0.2">
      <c r="C1440" s="28"/>
    </row>
    <row r="1441" spans="3:3" x14ac:dyDescent="0.2">
      <c r="C1441" s="28"/>
    </row>
    <row r="1442" spans="3:3" x14ac:dyDescent="0.2">
      <c r="C1442" s="28"/>
    </row>
    <row r="1443" spans="3:3" x14ac:dyDescent="0.2">
      <c r="C1443" s="28"/>
    </row>
    <row r="1444" spans="3:3" x14ac:dyDescent="0.2">
      <c r="C1444" s="28"/>
    </row>
    <row r="1445" spans="3:3" x14ac:dyDescent="0.2">
      <c r="C1445" s="28"/>
    </row>
    <row r="1446" spans="3:3" x14ac:dyDescent="0.2">
      <c r="C1446" s="28"/>
    </row>
    <row r="1447" spans="3:3" x14ac:dyDescent="0.2">
      <c r="C1447" s="28"/>
    </row>
    <row r="1448" spans="3:3" x14ac:dyDescent="0.2">
      <c r="C1448" s="28"/>
    </row>
    <row r="1449" spans="3:3" x14ac:dyDescent="0.2">
      <c r="C1449" s="28"/>
    </row>
    <row r="1450" spans="3:3" x14ac:dyDescent="0.2">
      <c r="C1450" s="28"/>
    </row>
    <row r="1451" spans="3:3" x14ac:dyDescent="0.2">
      <c r="C1451" s="28"/>
    </row>
    <row r="1452" spans="3:3" x14ac:dyDescent="0.2">
      <c r="C1452" s="28"/>
    </row>
    <row r="1453" spans="3:3" x14ac:dyDescent="0.2">
      <c r="C1453" s="28"/>
    </row>
    <row r="1454" spans="3:3" x14ac:dyDescent="0.2">
      <c r="C1454" s="28"/>
    </row>
    <row r="1455" spans="3:3" x14ac:dyDescent="0.2">
      <c r="C1455" s="28"/>
    </row>
    <row r="1456" spans="3:3" x14ac:dyDescent="0.2">
      <c r="C1456" s="28"/>
    </row>
    <row r="1457" spans="3:3" x14ac:dyDescent="0.2">
      <c r="C1457" s="28"/>
    </row>
    <row r="1458" spans="3:3" x14ac:dyDescent="0.2">
      <c r="C1458" s="28"/>
    </row>
    <row r="1459" spans="3:3" x14ac:dyDescent="0.2">
      <c r="C1459" s="28"/>
    </row>
    <row r="1460" spans="3:3" x14ac:dyDescent="0.2">
      <c r="C1460" s="28"/>
    </row>
    <row r="1461" spans="3:3" x14ac:dyDescent="0.2">
      <c r="C1461" s="28"/>
    </row>
    <row r="1462" spans="3:3" x14ac:dyDescent="0.2">
      <c r="C1462" s="28"/>
    </row>
    <row r="1463" spans="3:3" x14ac:dyDescent="0.2">
      <c r="C1463" s="28"/>
    </row>
    <row r="1464" spans="3:3" x14ac:dyDescent="0.2">
      <c r="C1464" s="28"/>
    </row>
    <row r="1465" spans="3:3" x14ac:dyDescent="0.2">
      <c r="C1465" s="28"/>
    </row>
    <row r="1466" spans="3:3" x14ac:dyDescent="0.2">
      <c r="C1466" s="28"/>
    </row>
    <row r="1467" spans="3:3" x14ac:dyDescent="0.2">
      <c r="C1467" s="28"/>
    </row>
    <row r="1468" spans="3:3" x14ac:dyDescent="0.2">
      <c r="C1468" s="28"/>
    </row>
    <row r="1469" spans="3:3" x14ac:dyDescent="0.2">
      <c r="C1469" s="28"/>
    </row>
    <row r="1470" spans="3:3" x14ac:dyDescent="0.2">
      <c r="C1470" s="28"/>
    </row>
    <row r="1471" spans="3:3" x14ac:dyDescent="0.2">
      <c r="C1471" s="28"/>
    </row>
    <row r="1472" spans="3:3" x14ac:dyDescent="0.2">
      <c r="C1472" s="28"/>
    </row>
    <row r="1473" spans="3:3" x14ac:dyDescent="0.2">
      <c r="C1473" s="28"/>
    </row>
    <row r="1474" spans="3:3" x14ac:dyDescent="0.2">
      <c r="C1474" s="28"/>
    </row>
    <row r="1475" spans="3:3" x14ac:dyDescent="0.2">
      <c r="C1475" s="28"/>
    </row>
    <row r="1476" spans="3:3" x14ac:dyDescent="0.2">
      <c r="C1476" s="28"/>
    </row>
    <row r="1477" spans="3:3" x14ac:dyDescent="0.2">
      <c r="C1477" s="28"/>
    </row>
    <row r="1478" spans="3:3" x14ac:dyDescent="0.2">
      <c r="C1478" s="28"/>
    </row>
    <row r="1479" spans="3:3" x14ac:dyDescent="0.2">
      <c r="C1479" s="28"/>
    </row>
    <row r="1480" spans="3:3" x14ac:dyDescent="0.2">
      <c r="C1480" s="28"/>
    </row>
    <row r="1481" spans="3:3" x14ac:dyDescent="0.2">
      <c r="C1481" s="28"/>
    </row>
    <row r="1482" spans="3:3" x14ac:dyDescent="0.2">
      <c r="C1482" s="28"/>
    </row>
    <row r="1483" spans="3:3" x14ac:dyDescent="0.2">
      <c r="C1483" s="28"/>
    </row>
    <row r="1484" spans="3:3" x14ac:dyDescent="0.2">
      <c r="C1484" s="28"/>
    </row>
    <row r="1485" spans="3:3" x14ac:dyDescent="0.2">
      <c r="C1485" s="28"/>
    </row>
    <row r="1486" spans="3:3" x14ac:dyDescent="0.2">
      <c r="C1486" s="28"/>
    </row>
    <row r="1487" spans="3:3" x14ac:dyDescent="0.2">
      <c r="C1487" s="28"/>
    </row>
    <row r="1488" spans="3:3" x14ac:dyDescent="0.2">
      <c r="C1488" s="28"/>
    </row>
    <row r="1489" spans="3:3" x14ac:dyDescent="0.2">
      <c r="C1489" s="28"/>
    </row>
    <row r="1490" spans="3:3" x14ac:dyDescent="0.2">
      <c r="C1490" s="28"/>
    </row>
    <row r="1491" spans="3:3" x14ac:dyDescent="0.2">
      <c r="C1491" s="28"/>
    </row>
    <row r="1492" spans="3:3" x14ac:dyDescent="0.2">
      <c r="C1492" s="28"/>
    </row>
    <row r="1493" spans="3:3" x14ac:dyDescent="0.2">
      <c r="C1493" s="28"/>
    </row>
    <row r="1494" spans="3:3" x14ac:dyDescent="0.2">
      <c r="C1494" s="28"/>
    </row>
    <row r="1495" spans="3:3" x14ac:dyDescent="0.2">
      <c r="C1495" s="28"/>
    </row>
    <row r="1496" spans="3:3" x14ac:dyDescent="0.2">
      <c r="C1496" s="28"/>
    </row>
    <row r="1497" spans="3:3" x14ac:dyDescent="0.2">
      <c r="C1497" s="28"/>
    </row>
    <row r="1498" spans="3:3" x14ac:dyDescent="0.2">
      <c r="C1498" s="28"/>
    </row>
    <row r="1499" spans="3:3" x14ac:dyDescent="0.2">
      <c r="C1499" s="28"/>
    </row>
    <row r="1500" spans="3:3" x14ac:dyDescent="0.2">
      <c r="C1500" s="28"/>
    </row>
    <row r="1501" spans="3:3" x14ac:dyDescent="0.2">
      <c r="C1501" s="28"/>
    </row>
    <row r="1502" spans="3:3" x14ac:dyDescent="0.2">
      <c r="C1502" s="28"/>
    </row>
    <row r="1503" spans="3:3" x14ac:dyDescent="0.2">
      <c r="C1503" s="28"/>
    </row>
    <row r="1504" spans="3:3" x14ac:dyDescent="0.2">
      <c r="C1504" s="28"/>
    </row>
    <row r="1505" spans="3:3" x14ac:dyDescent="0.2">
      <c r="C1505" s="28"/>
    </row>
    <row r="1506" spans="3:3" x14ac:dyDescent="0.2">
      <c r="C1506" s="28"/>
    </row>
    <row r="1507" spans="3:3" x14ac:dyDescent="0.2">
      <c r="C1507" s="28"/>
    </row>
    <row r="1508" spans="3:3" x14ac:dyDescent="0.2">
      <c r="C1508" s="28"/>
    </row>
    <row r="1509" spans="3:3" x14ac:dyDescent="0.2">
      <c r="C1509" s="28"/>
    </row>
    <row r="1510" spans="3:3" x14ac:dyDescent="0.2">
      <c r="C1510" s="28"/>
    </row>
    <row r="1511" spans="3:3" x14ac:dyDescent="0.2">
      <c r="C1511" s="28"/>
    </row>
    <row r="1512" spans="3:3" x14ac:dyDescent="0.2">
      <c r="C1512" s="28"/>
    </row>
    <row r="1513" spans="3:3" x14ac:dyDescent="0.2">
      <c r="C1513" s="28"/>
    </row>
    <row r="1514" spans="3:3" x14ac:dyDescent="0.2">
      <c r="C1514" s="28"/>
    </row>
    <row r="1515" spans="3:3" x14ac:dyDescent="0.2">
      <c r="C1515" s="28"/>
    </row>
    <row r="1516" spans="3:3" x14ac:dyDescent="0.2">
      <c r="C1516" s="28"/>
    </row>
    <row r="1517" spans="3:3" x14ac:dyDescent="0.2">
      <c r="C1517" s="28"/>
    </row>
    <row r="1518" spans="3:3" x14ac:dyDescent="0.2">
      <c r="C1518" s="28"/>
    </row>
    <row r="1519" spans="3:3" x14ac:dyDescent="0.2">
      <c r="C1519" s="28"/>
    </row>
    <row r="1520" spans="3:3" x14ac:dyDescent="0.2">
      <c r="C1520" s="28"/>
    </row>
    <row r="1521" spans="3:3" x14ac:dyDescent="0.2">
      <c r="C1521" s="28"/>
    </row>
    <row r="1522" spans="3:3" x14ac:dyDescent="0.2">
      <c r="C1522" s="28"/>
    </row>
    <row r="1523" spans="3:3" x14ac:dyDescent="0.2">
      <c r="C1523" s="28"/>
    </row>
    <row r="1524" spans="3:3" x14ac:dyDescent="0.2">
      <c r="C1524" s="28"/>
    </row>
    <row r="1525" spans="3:3" x14ac:dyDescent="0.2">
      <c r="C1525" s="28"/>
    </row>
    <row r="1526" spans="3:3" x14ac:dyDescent="0.2">
      <c r="C1526" s="28"/>
    </row>
    <row r="1527" spans="3:3" x14ac:dyDescent="0.2">
      <c r="C1527" s="28"/>
    </row>
    <row r="1528" spans="3:3" x14ac:dyDescent="0.2">
      <c r="C1528" s="28"/>
    </row>
    <row r="1529" spans="3:3" x14ac:dyDescent="0.2">
      <c r="C1529" s="28"/>
    </row>
    <row r="1530" spans="3:3" x14ac:dyDescent="0.2">
      <c r="C1530" s="28"/>
    </row>
    <row r="1531" spans="3:3" x14ac:dyDescent="0.2">
      <c r="C1531" s="28"/>
    </row>
    <row r="1532" spans="3:3" x14ac:dyDescent="0.2">
      <c r="C1532" s="28"/>
    </row>
    <row r="1533" spans="3:3" x14ac:dyDescent="0.2">
      <c r="C1533" s="28"/>
    </row>
    <row r="1534" spans="3:3" x14ac:dyDescent="0.2">
      <c r="C1534" s="28"/>
    </row>
    <row r="1535" spans="3:3" x14ac:dyDescent="0.2">
      <c r="C1535" s="28"/>
    </row>
    <row r="1536" spans="3:3" x14ac:dyDescent="0.2">
      <c r="C1536" s="28"/>
    </row>
    <row r="1537" spans="3:3" x14ac:dyDescent="0.2">
      <c r="C1537" s="28"/>
    </row>
    <row r="1538" spans="3:3" x14ac:dyDescent="0.2">
      <c r="C1538" s="28"/>
    </row>
    <row r="1539" spans="3:3" x14ac:dyDescent="0.2">
      <c r="C1539" s="28"/>
    </row>
    <row r="1540" spans="3:3" x14ac:dyDescent="0.2">
      <c r="C1540" s="28"/>
    </row>
    <row r="1541" spans="3:3" x14ac:dyDescent="0.2">
      <c r="C1541" s="28"/>
    </row>
    <row r="1542" spans="3:3" x14ac:dyDescent="0.2">
      <c r="C1542" s="28"/>
    </row>
    <row r="1543" spans="3:3" x14ac:dyDescent="0.2">
      <c r="C1543" s="28"/>
    </row>
    <row r="1544" spans="3:3" x14ac:dyDescent="0.2">
      <c r="C1544" s="28"/>
    </row>
    <row r="1545" spans="3:3" x14ac:dyDescent="0.2">
      <c r="C1545" s="28"/>
    </row>
    <row r="1546" spans="3:3" x14ac:dyDescent="0.2">
      <c r="C1546" s="28"/>
    </row>
    <row r="1547" spans="3:3" x14ac:dyDescent="0.2">
      <c r="C1547" s="28"/>
    </row>
    <row r="1548" spans="3:3" x14ac:dyDescent="0.2">
      <c r="C1548" s="28"/>
    </row>
    <row r="1549" spans="3:3" x14ac:dyDescent="0.2">
      <c r="C1549" s="28"/>
    </row>
    <row r="1550" spans="3:3" x14ac:dyDescent="0.2">
      <c r="C1550" s="28"/>
    </row>
    <row r="1551" spans="3:3" x14ac:dyDescent="0.2">
      <c r="C1551" s="28"/>
    </row>
    <row r="1552" spans="3:3" x14ac:dyDescent="0.2">
      <c r="C1552" s="28"/>
    </row>
    <row r="1553" spans="3:3" x14ac:dyDescent="0.2">
      <c r="C1553" s="28"/>
    </row>
    <row r="1554" spans="3:3" x14ac:dyDescent="0.2">
      <c r="C1554" s="28"/>
    </row>
    <row r="1555" spans="3:3" x14ac:dyDescent="0.2">
      <c r="C1555" s="28"/>
    </row>
    <row r="1556" spans="3:3" x14ac:dyDescent="0.2">
      <c r="C1556" s="28"/>
    </row>
    <row r="1557" spans="3:3" x14ac:dyDescent="0.2">
      <c r="C1557" s="28"/>
    </row>
    <row r="1558" spans="3:3" x14ac:dyDescent="0.2">
      <c r="C1558" s="28"/>
    </row>
    <row r="1559" spans="3:3" x14ac:dyDescent="0.2">
      <c r="C1559" s="28"/>
    </row>
    <row r="1560" spans="3:3" x14ac:dyDescent="0.2">
      <c r="C1560" s="28"/>
    </row>
    <row r="1561" spans="3:3" x14ac:dyDescent="0.2">
      <c r="C1561" s="28"/>
    </row>
    <row r="1562" spans="3:3" x14ac:dyDescent="0.2">
      <c r="C1562" s="28"/>
    </row>
    <row r="1563" spans="3:3" x14ac:dyDescent="0.2">
      <c r="C1563" s="28"/>
    </row>
    <row r="1564" spans="3:3" x14ac:dyDescent="0.2">
      <c r="C1564" s="28"/>
    </row>
    <row r="1565" spans="3:3" x14ac:dyDescent="0.2">
      <c r="C1565" s="28"/>
    </row>
    <row r="1566" spans="3:3" x14ac:dyDescent="0.2">
      <c r="C1566" s="28"/>
    </row>
    <row r="1567" spans="3:3" x14ac:dyDescent="0.2">
      <c r="C1567" s="28"/>
    </row>
    <row r="1568" spans="3:3" x14ac:dyDescent="0.2">
      <c r="C1568" s="28"/>
    </row>
    <row r="1569" spans="3:3" x14ac:dyDescent="0.2">
      <c r="C1569" s="28"/>
    </row>
    <row r="1570" spans="3:3" x14ac:dyDescent="0.2">
      <c r="C1570" s="28"/>
    </row>
    <row r="1571" spans="3:3" x14ac:dyDescent="0.2">
      <c r="C1571" s="28"/>
    </row>
    <row r="1572" spans="3:3" x14ac:dyDescent="0.2">
      <c r="C1572" s="28"/>
    </row>
    <row r="1573" spans="3:3" x14ac:dyDescent="0.2">
      <c r="C1573" s="28"/>
    </row>
    <row r="1574" spans="3:3" x14ac:dyDescent="0.2">
      <c r="C1574" s="28"/>
    </row>
    <row r="1575" spans="3:3" x14ac:dyDescent="0.2">
      <c r="C1575" s="28"/>
    </row>
    <row r="1576" spans="3:3" x14ac:dyDescent="0.2">
      <c r="C1576" s="28"/>
    </row>
    <row r="1577" spans="3:3" x14ac:dyDescent="0.2">
      <c r="C1577" s="28"/>
    </row>
    <row r="1578" spans="3:3" x14ac:dyDescent="0.2">
      <c r="C1578" s="28"/>
    </row>
    <row r="1579" spans="3:3" x14ac:dyDescent="0.2">
      <c r="C1579" s="28"/>
    </row>
    <row r="1580" spans="3:3" x14ac:dyDescent="0.2">
      <c r="C1580" s="28"/>
    </row>
    <row r="1581" spans="3:3" x14ac:dyDescent="0.2">
      <c r="C1581" s="28"/>
    </row>
    <row r="1582" spans="3:3" x14ac:dyDescent="0.2">
      <c r="C1582" s="28"/>
    </row>
    <row r="1583" spans="3:3" x14ac:dyDescent="0.2">
      <c r="C1583" s="28"/>
    </row>
    <row r="1584" spans="3:3" x14ac:dyDescent="0.2">
      <c r="C1584" s="28"/>
    </row>
    <row r="1585" spans="3:3" x14ac:dyDescent="0.2">
      <c r="C1585" s="28"/>
    </row>
    <row r="1586" spans="3:3" x14ac:dyDescent="0.2">
      <c r="C1586" s="28"/>
    </row>
    <row r="1587" spans="3:3" x14ac:dyDescent="0.2">
      <c r="C1587" s="28"/>
    </row>
    <row r="1588" spans="3:3" x14ac:dyDescent="0.2">
      <c r="C1588" s="28"/>
    </row>
    <row r="1589" spans="3:3" x14ac:dyDescent="0.2">
      <c r="C1589" s="28"/>
    </row>
    <row r="1590" spans="3:3" x14ac:dyDescent="0.2">
      <c r="C1590" s="28"/>
    </row>
    <row r="1591" spans="3:3" x14ac:dyDescent="0.2">
      <c r="C1591" s="28"/>
    </row>
    <row r="1592" spans="3:3" x14ac:dyDescent="0.2">
      <c r="C1592" s="28"/>
    </row>
    <row r="1593" spans="3:3" x14ac:dyDescent="0.2">
      <c r="C1593" s="28"/>
    </row>
    <row r="1594" spans="3:3" x14ac:dyDescent="0.2">
      <c r="C1594" s="28"/>
    </row>
    <row r="1595" spans="3:3" x14ac:dyDescent="0.2">
      <c r="C1595" s="28"/>
    </row>
    <row r="1596" spans="3:3" x14ac:dyDescent="0.2">
      <c r="C1596" s="28"/>
    </row>
    <row r="1597" spans="3:3" x14ac:dyDescent="0.2">
      <c r="C1597" s="28"/>
    </row>
    <row r="1598" spans="3:3" x14ac:dyDescent="0.2">
      <c r="C1598" s="28"/>
    </row>
    <row r="1599" spans="3:3" x14ac:dyDescent="0.2">
      <c r="C1599" s="28"/>
    </row>
    <row r="1600" spans="3:3" x14ac:dyDescent="0.2">
      <c r="C1600" s="28"/>
    </row>
    <row r="1601" spans="3:3" x14ac:dyDescent="0.2">
      <c r="C1601" s="28"/>
    </row>
    <row r="1602" spans="3:3" x14ac:dyDescent="0.2">
      <c r="C1602" s="28"/>
    </row>
    <row r="1603" spans="3:3" x14ac:dyDescent="0.2">
      <c r="C1603" s="28"/>
    </row>
    <row r="1604" spans="3:3" x14ac:dyDescent="0.2">
      <c r="C1604" s="28"/>
    </row>
    <row r="1605" spans="3:3" x14ac:dyDescent="0.2">
      <c r="C1605" s="28"/>
    </row>
    <row r="1606" spans="3:3" x14ac:dyDescent="0.2">
      <c r="C1606" s="28"/>
    </row>
    <row r="1607" spans="3:3" x14ac:dyDescent="0.2">
      <c r="C1607" s="28"/>
    </row>
    <row r="1608" spans="3:3" x14ac:dyDescent="0.2">
      <c r="C1608" s="28"/>
    </row>
    <row r="1609" spans="3:3" x14ac:dyDescent="0.2">
      <c r="C1609" s="28"/>
    </row>
    <row r="1610" spans="3:3" x14ac:dyDescent="0.2">
      <c r="C1610" s="28"/>
    </row>
    <row r="1611" spans="3:3" x14ac:dyDescent="0.2">
      <c r="C1611" s="28"/>
    </row>
    <row r="1612" spans="3:3" x14ac:dyDescent="0.2">
      <c r="C1612" s="28"/>
    </row>
    <row r="1613" spans="3:3" x14ac:dyDescent="0.2">
      <c r="C1613" s="28"/>
    </row>
    <row r="1614" spans="3:3" x14ac:dyDescent="0.2">
      <c r="C1614" s="28"/>
    </row>
    <row r="1615" spans="3:3" x14ac:dyDescent="0.2">
      <c r="C1615" s="28"/>
    </row>
    <row r="1616" spans="3:3" x14ac:dyDescent="0.2">
      <c r="C1616" s="28"/>
    </row>
    <row r="1617" spans="3:3" x14ac:dyDescent="0.2">
      <c r="C1617" s="28"/>
    </row>
    <row r="1618" spans="3:3" x14ac:dyDescent="0.2">
      <c r="C1618" s="28"/>
    </row>
    <row r="1619" spans="3:3" x14ac:dyDescent="0.2">
      <c r="C1619" s="28"/>
    </row>
    <row r="1620" spans="3:3" x14ac:dyDescent="0.2">
      <c r="C1620" s="28"/>
    </row>
    <row r="1621" spans="3:3" x14ac:dyDescent="0.2">
      <c r="C1621" s="28"/>
    </row>
    <row r="1622" spans="3:3" x14ac:dyDescent="0.2">
      <c r="C1622" s="28"/>
    </row>
    <row r="1623" spans="3:3" x14ac:dyDescent="0.2">
      <c r="C1623" s="28"/>
    </row>
    <row r="1624" spans="3:3" x14ac:dyDescent="0.2">
      <c r="C1624" s="28"/>
    </row>
    <row r="1625" spans="3:3" x14ac:dyDescent="0.2">
      <c r="C1625" s="28"/>
    </row>
    <row r="1626" spans="3:3" x14ac:dyDescent="0.2">
      <c r="C1626" s="28"/>
    </row>
    <row r="1627" spans="3:3" x14ac:dyDescent="0.2">
      <c r="C1627" s="28"/>
    </row>
    <row r="1628" spans="3:3" x14ac:dyDescent="0.2">
      <c r="C1628" s="28"/>
    </row>
    <row r="1629" spans="3:3" x14ac:dyDescent="0.2">
      <c r="C1629" s="28"/>
    </row>
    <row r="1630" spans="3:3" x14ac:dyDescent="0.2">
      <c r="C1630" s="28"/>
    </row>
    <row r="1631" spans="3:3" x14ac:dyDescent="0.2">
      <c r="C1631" s="28"/>
    </row>
    <row r="1632" spans="3:3" x14ac:dyDescent="0.2">
      <c r="C1632" s="28"/>
    </row>
    <row r="1633" spans="3:3" x14ac:dyDescent="0.2">
      <c r="C1633" s="28"/>
    </row>
    <row r="1634" spans="3:3" x14ac:dyDescent="0.2">
      <c r="C1634" s="28"/>
    </row>
    <row r="1635" spans="3:3" x14ac:dyDescent="0.2">
      <c r="C1635" s="28"/>
    </row>
    <row r="1636" spans="3:3" x14ac:dyDescent="0.2">
      <c r="C1636" s="28"/>
    </row>
    <row r="1637" spans="3:3" x14ac:dyDescent="0.2">
      <c r="C1637" s="28"/>
    </row>
    <row r="1638" spans="3:3" x14ac:dyDescent="0.2">
      <c r="C1638" s="28"/>
    </row>
    <row r="1639" spans="3:3" x14ac:dyDescent="0.2">
      <c r="C1639" s="28"/>
    </row>
    <row r="1640" spans="3:3" x14ac:dyDescent="0.2">
      <c r="C1640" s="28"/>
    </row>
    <row r="1641" spans="3:3" x14ac:dyDescent="0.2">
      <c r="C1641" s="28"/>
    </row>
    <row r="1642" spans="3:3" x14ac:dyDescent="0.2">
      <c r="C1642" s="28"/>
    </row>
    <row r="1643" spans="3:3" x14ac:dyDescent="0.2">
      <c r="C1643" s="28"/>
    </row>
    <row r="1644" spans="3:3" x14ac:dyDescent="0.2">
      <c r="C1644" s="28"/>
    </row>
    <row r="1645" spans="3:3" x14ac:dyDescent="0.2">
      <c r="C1645" s="28"/>
    </row>
    <row r="1646" spans="3:3" x14ac:dyDescent="0.2">
      <c r="C1646" s="28"/>
    </row>
    <row r="1647" spans="3:3" x14ac:dyDescent="0.2">
      <c r="C1647" s="28"/>
    </row>
    <row r="1648" spans="3:3" x14ac:dyDescent="0.2">
      <c r="C1648" s="28"/>
    </row>
    <row r="1649" spans="3:3" x14ac:dyDescent="0.2">
      <c r="C1649" s="28"/>
    </row>
    <row r="1650" spans="3:3" x14ac:dyDescent="0.2">
      <c r="C1650" s="28"/>
    </row>
    <row r="1651" spans="3:3" x14ac:dyDescent="0.2">
      <c r="C1651" s="28"/>
    </row>
    <row r="1652" spans="3:3" x14ac:dyDescent="0.2">
      <c r="C1652" s="28"/>
    </row>
    <row r="1653" spans="3:3" x14ac:dyDescent="0.2">
      <c r="C1653" s="28"/>
    </row>
    <row r="1654" spans="3:3" x14ac:dyDescent="0.2">
      <c r="C1654" s="28"/>
    </row>
    <row r="1655" spans="3:3" x14ac:dyDescent="0.2">
      <c r="C1655" s="28"/>
    </row>
    <row r="1656" spans="3:3" x14ac:dyDescent="0.2">
      <c r="C1656" s="28"/>
    </row>
    <row r="1657" spans="3:3" x14ac:dyDescent="0.2">
      <c r="C1657" s="28"/>
    </row>
    <row r="1658" spans="3:3" x14ac:dyDescent="0.2">
      <c r="C1658" s="28"/>
    </row>
    <row r="1659" spans="3:3" x14ac:dyDescent="0.2">
      <c r="C1659" s="28"/>
    </row>
    <row r="1660" spans="3:3" x14ac:dyDescent="0.2">
      <c r="C1660" s="28"/>
    </row>
    <row r="1661" spans="3:3" x14ac:dyDescent="0.2">
      <c r="C1661" s="28"/>
    </row>
    <row r="1662" spans="3:3" x14ac:dyDescent="0.2">
      <c r="C1662" s="28"/>
    </row>
    <row r="1663" spans="3:3" x14ac:dyDescent="0.2">
      <c r="C1663" s="28"/>
    </row>
    <row r="1664" spans="3:3" x14ac:dyDescent="0.2">
      <c r="C1664" s="28"/>
    </row>
    <row r="1665" spans="3:3" x14ac:dyDescent="0.2">
      <c r="C1665" s="28"/>
    </row>
    <row r="1666" spans="3:3" x14ac:dyDescent="0.2">
      <c r="C1666" s="28"/>
    </row>
    <row r="1667" spans="3:3" x14ac:dyDescent="0.2">
      <c r="C1667" s="28"/>
    </row>
    <row r="1668" spans="3:3" x14ac:dyDescent="0.2">
      <c r="C1668" s="28"/>
    </row>
    <row r="1669" spans="3:3" x14ac:dyDescent="0.2">
      <c r="C1669" s="28"/>
    </row>
    <row r="1670" spans="3:3" x14ac:dyDescent="0.2">
      <c r="C1670" s="28"/>
    </row>
    <row r="1671" spans="3:3" x14ac:dyDescent="0.2">
      <c r="C1671" s="28"/>
    </row>
    <row r="1672" spans="3:3" x14ac:dyDescent="0.2">
      <c r="C1672" s="28"/>
    </row>
    <row r="1673" spans="3:3" x14ac:dyDescent="0.2">
      <c r="C1673" s="28"/>
    </row>
    <row r="1674" spans="3:3" x14ac:dyDescent="0.2">
      <c r="C1674" s="28"/>
    </row>
    <row r="1675" spans="3:3" x14ac:dyDescent="0.2">
      <c r="C1675" s="28"/>
    </row>
    <row r="1676" spans="3:3" x14ac:dyDescent="0.2">
      <c r="C1676" s="28"/>
    </row>
    <row r="1677" spans="3:3" x14ac:dyDescent="0.2">
      <c r="C1677" s="28"/>
    </row>
    <row r="1678" spans="3:3" x14ac:dyDescent="0.2">
      <c r="C1678" s="28"/>
    </row>
    <row r="1679" spans="3:3" x14ac:dyDescent="0.2">
      <c r="C1679" s="28"/>
    </row>
    <row r="1680" spans="3:3" x14ac:dyDescent="0.2">
      <c r="C1680" s="28"/>
    </row>
    <row r="1681" spans="3:3" x14ac:dyDescent="0.2">
      <c r="C1681" s="28"/>
    </row>
    <row r="1682" spans="3:3" x14ac:dyDescent="0.2">
      <c r="C1682" s="28"/>
    </row>
    <row r="1683" spans="3:3" x14ac:dyDescent="0.2">
      <c r="C1683" s="28"/>
    </row>
    <row r="1684" spans="3:3" x14ac:dyDescent="0.2">
      <c r="C1684" s="28"/>
    </row>
    <row r="1685" spans="3:3" x14ac:dyDescent="0.2">
      <c r="C1685" s="28"/>
    </row>
    <row r="1686" spans="3:3" x14ac:dyDescent="0.2">
      <c r="C1686" s="28"/>
    </row>
    <row r="1687" spans="3:3" x14ac:dyDescent="0.2">
      <c r="C1687" s="28"/>
    </row>
    <row r="1688" spans="3:3" x14ac:dyDescent="0.2">
      <c r="C1688" s="28"/>
    </row>
    <row r="1689" spans="3:3" x14ac:dyDescent="0.2">
      <c r="C1689" s="28"/>
    </row>
    <row r="1690" spans="3:3" x14ac:dyDescent="0.2">
      <c r="C1690" s="28"/>
    </row>
    <row r="1691" spans="3:3" x14ac:dyDescent="0.2">
      <c r="C1691" s="28"/>
    </row>
    <row r="1692" spans="3:3" x14ac:dyDescent="0.2">
      <c r="C1692" s="28"/>
    </row>
    <row r="1693" spans="3:3" x14ac:dyDescent="0.2">
      <c r="C1693" s="28"/>
    </row>
    <row r="1694" spans="3:3" x14ac:dyDescent="0.2">
      <c r="C1694" s="28"/>
    </row>
    <row r="1695" spans="3:3" x14ac:dyDescent="0.2">
      <c r="C1695" s="28"/>
    </row>
    <row r="1696" spans="3:3" x14ac:dyDescent="0.2">
      <c r="C1696" s="28"/>
    </row>
    <row r="1697" spans="3:3" x14ac:dyDescent="0.2">
      <c r="C1697" s="28"/>
    </row>
    <row r="1698" spans="3:3" x14ac:dyDescent="0.2">
      <c r="C1698" s="28"/>
    </row>
    <row r="1699" spans="3:3" x14ac:dyDescent="0.2">
      <c r="C1699" s="28"/>
    </row>
    <row r="1700" spans="3:3" x14ac:dyDescent="0.2">
      <c r="C1700" s="28"/>
    </row>
    <row r="1701" spans="3:3" x14ac:dyDescent="0.2">
      <c r="C1701" s="28"/>
    </row>
    <row r="1702" spans="3:3" x14ac:dyDescent="0.2">
      <c r="C1702" s="28"/>
    </row>
    <row r="1703" spans="3:3" x14ac:dyDescent="0.2">
      <c r="C1703" s="28"/>
    </row>
    <row r="1704" spans="3:3" x14ac:dyDescent="0.2">
      <c r="C1704" s="28"/>
    </row>
    <row r="1705" spans="3:3" x14ac:dyDescent="0.2">
      <c r="C1705" s="28"/>
    </row>
    <row r="1706" spans="3:3" x14ac:dyDescent="0.2">
      <c r="C1706" s="28"/>
    </row>
    <row r="1707" spans="3:3" x14ac:dyDescent="0.2">
      <c r="C1707" s="28"/>
    </row>
    <row r="1708" spans="3:3" x14ac:dyDescent="0.2">
      <c r="C1708" s="28"/>
    </row>
    <row r="1709" spans="3:3" x14ac:dyDescent="0.2">
      <c r="C1709" s="28"/>
    </row>
    <row r="1710" spans="3:3" x14ac:dyDescent="0.2">
      <c r="C1710" s="28"/>
    </row>
    <row r="1711" spans="3:3" x14ac:dyDescent="0.2">
      <c r="C1711" s="28"/>
    </row>
    <row r="1712" spans="3:3" x14ac:dyDescent="0.2">
      <c r="C1712" s="28"/>
    </row>
    <row r="1713" spans="3:3" x14ac:dyDescent="0.2">
      <c r="C1713" s="28"/>
    </row>
    <row r="1714" spans="3:3" x14ac:dyDescent="0.2">
      <c r="C1714" s="28"/>
    </row>
    <row r="1715" spans="3:3" x14ac:dyDescent="0.2">
      <c r="C1715" s="28"/>
    </row>
    <row r="1716" spans="3:3" x14ac:dyDescent="0.2">
      <c r="C1716" s="28"/>
    </row>
    <row r="1717" spans="3:3" x14ac:dyDescent="0.2">
      <c r="C1717" s="28"/>
    </row>
    <row r="1718" spans="3:3" x14ac:dyDescent="0.2">
      <c r="C1718" s="28"/>
    </row>
    <row r="1719" spans="3:3" x14ac:dyDescent="0.2">
      <c r="C1719" s="28"/>
    </row>
    <row r="1720" spans="3:3" x14ac:dyDescent="0.2">
      <c r="C1720" s="28"/>
    </row>
    <row r="1721" spans="3:3" x14ac:dyDescent="0.2">
      <c r="C1721" s="28"/>
    </row>
    <row r="1722" spans="3:3" x14ac:dyDescent="0.2">
      <c r="C1722" s="28"/>
    </row>
    <row r="1723" spans="3:3" x14ac:dyDescent="0.2">
      <c r="C1723" s="28"/>
    </row>
    <row r="1724" spans="3:3" x14ac:dyDescent="0.2">
      <c r="C1724" s="28"/>
    </row>
    <row r="1725" spans="3:3" x14ac:dyDescent="0.2">
      <c r="C1725" s="28"/>
    </row>
    <row r="1726" spans="3:3" x14ac:dyDescent="0.2">
      <c r="C1726" s="28"/>
    </row>
    <row r="1727" spans="3:3" x14ac:dyDescent="0.2">
      <c r="C1727" s="28"/>
    </row>
    <row r="1728" spans="3:3" x14ac:dyDescent="0.2">
      <c r="C1728" s="28"/>
    </row>
    <row r="1729" spans="3:3" x14ac:dyDescent="0.2">
      <c r="C1729" s="28"/>
    </row>
    <row r="1730" spans="3:3" x14ac:dyDescent="0.2">
      <c r="C1730" s="28"/>
    </row>
    <row r="1731" spans="3:3" x14ac:dyDescent="0.2">
      <c r="C1731" s="28"/>
    </row>
    <row r="1732" spans="3:3" x14ac:dyDescent="0.2">
      <c r="C1732" s="28"/>
    </row>
    <row r="1733" spans="3:3" x14ac:dyDescent="0.2">
      <c r="C1733" s="28"/>
    </row>
    <row r="1734" spans="3:3" x14ac:dyDescent="0.2">
      <c r="C1734" s="28"/>
    </row>
    <row r="1735" spans="3:3" x14ac:dyDescent="0.2">
      <c r="C1735" s="28"/>
    </row>
    <row r="1736" spans="3:3" x14ac:dyDescent="0.2">
      <c r="C1736" s="28"/>
    </row>
    <row r="1737" spans="3:3" x14ac:dyDescent="0.2">
      <c r="C1737" s="28"/>
    </row>
    <row r="1738" spans="3:3" x14ac:dyDescent="0.2">
      <c r="C1738" s="28"/>
    </row>
    <row r="1739" spans="3:3" x14ac:dyDescent="0.2">
      <c r="C1739" s="28"/>
    </row>
    <row r="1740" spans="3:3" x14ac:dyDescent="0.2">
      <c r="C1740" s="28"/>
    </row>
    <row r="1741" spans="3:3" x14ac:dyDescent="0.2">
      <c r="C1741" s="28"/>
    </row>
  </sheetData>
  <mergeCells count="1">
    <mergeCell ref="D4:E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Plan48">
    <pageSetUpPr autoPageBreaks="0"/>
  </sheetPr>
  <dimension ref="A1:BB1754"/>
  <sheetViews>
    <sheetView showGridLines="0" zoomScaleNormal="100" workbookViewId="0">
      <pane xSplit="4" ySplit="4" topLeftCell="AP5" activePane="bottomRight" state="frozen"/>
      <selection activeCell="AY7" sqref="AY7"/>
      <selection pane="topRight" activeCell="AY7" sqref="AY7"/>
      <selection pane="bottomLeft" activeCell="AY7" sqref="AY7"/>
      <selection pane="bottomRight" activeCell="AZ27" sqref="AZ27"/>
    </sheetView>
  </sheetViews>
  <sheetFormatPr defaultColWidth="9.140625" defaultRowHeight="14.25" outlineLevelRow="1" x14ac:dyDescent="0.2"/>
  <cols>
    <col min="1" max="2" width="9.140625" style="25" hidden="1" customWidth="1"/>
    <col min="3" max="3" width="1.42578125" style="25" customWidth="1"/>
    <col min="4" max="4" width="56.140625" style="25" customWidth="1"/>
    <col min="5" max="6" width="10.85546875" style="25" customWidth="1"/>
    <col min="7" max="9" width="10.85546875" style="26" customWidth="1"/>
    <col min="10" max="53" width="10.85546875" style="27" customWidth="1"/>
    <col min="54" max="55" width="9.85546875" bestFit="1" customWidth="1"/>
    <col min="56" max="56" width="1" customWidth="1"/>
    <col min="57" max="58" width="10.5703125" bestFit="1" customWidth="1"/>
    <col min="59" max="59" width="2.85546875" customWidth="1"/>
    <col min="60" max="60" width="8.85546875" customWidth="1"/>
    <col min="61" max="61" width="9.140625" customWidth="1"/>
    <col min="62" max="62" width="1.85546875" customWidth="1"/>
    <col min="63" max="64" width="8.140625" customWidth="1"/>
    <col min="65" max="65" width="1.140625" customWidth="1"/>
    <col min="66" max="67" width="8.85546875" customWidth="1"/>
    <col min="68" max="68" width="2.85546875" customWidth="1"/>
    <col min="69" max="69" width="8.85546875" customWidth="1"/>
    <col min="70" max="70" width="9.140625" customWidth="1"/>
    <col min="71" max="71" width="1.85546875" customWidth="1"/>
    <col min="72" max="73" width="8.140625" customWidth="1"/>
    <col min="74" max="74" width="1.140625" customWidth="1"/>
    <col min="75" max="76" width="8.85546875" customWidth="1"/>
    <col min="78" max="78" width="11.42578125" customWidth="1"/>
    <col min="79" max="79" width="11" customWidth="1"/>
    <col min="80" max="80" width="12.140625" customWidth="1"/>
    <col min="81" max="81" width="10.140625" customWidth="1"/>
    <col min="83" max="83" width="13.140625" customWidth="1"/>
    <col min="84" max="84" width="14.5703125" customWidth="1"/>
    <col min="85" max="85" width="11.42578125" customWidth="1"/>
    <col min="86" max="86" width="12.42578125" customWidth="1"/>
    <col min="87" max="87" width="11.85546875" customWidth="1"/>
    <col min="88" max="88" width="10.85546875" customWidth="1"/>
  </cols>
  <sheetData>
    <row r="1" spans="1:54" ht="7.5" customHeight="1" x14ac:dyDescent="0.2">
      <c r="A1" s="552"/>
      <c r="B1" s="552"/>
      <c r="C1" s="552"/>
      <c r="D1" s="552"/>
      <c r="E1" s="552" t="s">
        <v>45</v>
      </c>
      <c r="F1" s="552" t="str">
        <f>IF(LEFT(E1,1)="4","1T"&amp;RIGHT(E1,2)+1,LEFT(E1,1)+1&amp;RIGHT(E1,3))</f>
        <v>2T14</v>
      </c>
      <c r="G1" s="559" t="str">
        <f t="shared" ref="G1:V1" si="0">IF(LEFT(F1,1)="4","1T"&amp;RIGHT(F1,2)+1,LEFT(F1,1)+1&amp;RIGHT(F1,3))</f>
        <v>3T14</v>
      </c>
      <c r="H1" s="559" t="str">
        <f t="shared" si="0"/>
        <v>4T14</v>
      </c>
      <c r="I1" s="559" t="str">
        <f t="shared" si="0"/>
        <v>1T15</v>
      </c>
      <c r="J1" s="560" t="str">
        <f t="shared" si="0"/>
        <v>2T15</v>
      </c>
      <c r="K1" s="560" t="str">
        <f t="shared" si="0"/>
        <v>3T15</v>
      </c>
      <c r="L1" s="560" t="str">
        <f t="shared" si="0"/>
        <v>4T15</v>
      </c>
      <c r="M1" s="560" t="str">
        <f t="shared" si="0"/>
        <v>1T16</v>
      </c>
      <c r="N1" s="560" t="str">
        <f t="shared" si="0"/>
        <v>2T16</v>
      </c>
      <c r="O1" s="560" t="str">
        <f t="shared" si="0"/>
        <v>3T16</v>
      </c>
      <c r="P1" s="560" t="str">
        <f t="shared" si="0"/>
        <v>4T16</v>
      </c>
      <c r="Q1" s="560" t="str">
        <f t="shared" si="0"/>
        <v>1T17</v>
      </c>
      <c r="R1" s="560" t="str">
        <f t="shared" si="0"/>
        <v>2T17</v>
      </c>
      <c r="S1" s="560" t="str">
        <f t="shared" si="0"/>
        <v>3T17</v>
      </c>
      <c r="T1" s="560" t="str">
        <f t="shared" si="0"/>
        <v>4T17</v>
      </c>
      <c r="U1" s="560" t="str">
        <f t="shared" si="0"/>
        <v>1T18</v>
      </c>
      <c r="V1" s="560" t="str">
        <f t="shared" si="0"/>
        <v>2T18</v>
      </c>
      <c r="W1" s="560" t="str">
        <f t="shared" ref="W1:AF1" si="1">IF(LEFT(V1,1)="4","1T"&amp;RIGHT(V1,2)+1,LEFT(V1,1)+1&amp;RIGHT(V1,3))</f>
        <v>3T18</v>
      </c>
      <c r="X1" s="560" t="str">
        <f t="shared" si="1"/>
        <v>4T18</v>
      </c>
      <c r="Y1" s="560" t="str">
        <f t="shared" si="1"/>
        <v>1T19</v>
      </c>
      <c r="Z1" s="560" t="str">
        <f t="shared" si="1"/>
        <v>2T19</v>
      </c>
      <c r="AA1" s="560" t="str">
        <f t="shared" si="1"/>
        <v>3T19</v>
      </c>
      <c r="AB1" s="560" t="str">
        <f t="shared" si="1"/>
        <v>4T19</v>
      </c>
      <c r="AC1" s="560" t="str">
        <f t="shared" si="1"/>
        <v>1T20</v>
      </c>
      <c r="AD1" s="560" t="str">
        <f t="shared" si="1"/>
        <v>2T20</v>
      </c>
      <c r="AE1" s="560" t="str">
        <f t="shared" si="1"/>
        <v>3T20</v>
      </c>
      <c r="AF1" s="560" t="str">
        <f t="shared" si="1"/>
        <v>4T20</v>
      </c>
      <c r="AG1" s="560" t="str">
        <f t="shared" ref="AG1:AS1" si="2">IF(LEFT(AF1,1)="4","1T"&amp;RIGHT(AF1,2)+1,LEFT(AF1,1)+1&amp;RIGHT(AF1,3))</f>
        <v>1T21</v>
      </c>
      <c r="AH1" s="560" t="str">
        <f t="shared" si="2"/>
        <v>2T21</v>
      </c>
      <c r="AI1" s="560" t="str">
        <f t="shared" si="2"/>
        <v>3T21</v>
      </c>
      <c r="AJ1" s="560" t="str">
        <f t="shared" si="2"/>
        <v>4T21</v>
      </c>
      <c r="AK1" s="560" t="str">
        <f t="shared" si="2"/>
        <v>1T22</v>
      </c>
      <c r="AL1" s="560" t="str">
        <f t="shared" si="2"/>
        <v>2T22</v>
      </c>
      <c r="AM1" s="560" t="str">
        <f t="shared" si="2"/>
        <v>3T22</v>
      </c>
      <c r="AN1" s="560" t="str">
        <f t="shared" si="2"/>
        <v>4T22</v>
      </c>
      <c r="AO1" s="560" t="str">
        <f t="shared" si="2"/>
        <v>1T23</v>
      </c>
      <c r="AP1" s="560" t="str">
        <f t="shared" si="2"/>
        <v>2T23</v>
      </c>
      <c r="AQ1" s="560" t="str">
        <f t="shared" si="2"/>
        <v>3T23</v>
      </c>
      <c r="AR1" s="560" t="str">
        <f t="shared" si="2"/>
        <v>4T23</v>
      </c>
      <c r="AS1" s="560" t="str">
        <f t="shared" si="2"/>
        <v>1T24</v>
      </c>
      <c r="AT1" s="560" t="str">
        <f t="shared" ref="AT1:AZ1" si="3">IF(LEFT(AS1,1)="4","1T"&amp;RIGHT(AS1,2)+1,LEFT(AS1,1)+1&amp;RIGHT(AS1,3))</f>
        <v>2T24</v>
      </c>
      <c r="AU1" s="560" t="str">
        <f t="shared" si="3"/>
        <v>3T24</v>
      </c>
      <c r="AV1" s="560" t="str">
        <f t="shared" si="3"/>
        <v>4T24</v>
      </c>
      <c r="AW1" s="560" t="str">
        <f t="shared" si="3"/>
        <v>1T25</v>
      </c>
      <c r="AX1" s="560" t="str">
        <f t="shared" si="3"/>
        <v>2T25</v>
      </c>
      <c r="AY1" s="560" t="str">
        <f t="shared" si="3"/>
        <v>3T25</v>
      </c>
      <c r="AZ1" s="560" t="str">
        <f t="shared" si="3"/>
        <v>4T25</v>
      </c>
      <c r="BA1" s="560" t="str">
        <f>IF(LEFT(AZ1,1)="4","1T"&amp;RIGHT(AZ1,2)+1,LEFT(AZ1,1)+1&amp;RIGHT(AZ1,3))</f>
        <v>1T26</v>
      </c>
      <c r="BB1" s="560" t="str">
        <f>IF(LEFT(BA1,1)="4","1T"&amp;RIGHT(BA1,2)+1,LEFT(BA1,1)+1&amp;RIGHT(BA1,3))</f>
        <v>2T26</v>
      </c>
    </row>
    <row r="2" spans="1:54" ht="12.75" customHeight="1" x14ac:dyDescent="0.25">
      <c r="A2" s="552"/>
      <c r="B2" s="552"/>
      <c r="C2" s="552"/>
      <c r="D2" s="552"/>
      <c r="E2" s="552" t="s">
        <v>946</v>
      </c>
      <c r="F2" s="557" t="str">
        <f t="shared" ref="F2:S2" si="4">SUBSTITUTE(F1,"T","Q")</f>
        <v>2Q14</v>
      </c>
      <c r="G2" s="559" t="str">
        <f t="shared" si="4"/>
        <v>3Q14</v>
      </c>
      <c r="H2" s="559" t="str">
        <f t="shared" si="4"/>
        <v>4Q14</v>
      </c>
      <c r="I2" s="559" t="str">
        <f t="shared" si="4"/>
        <v>1Q15</v>
      </c>
      <c r="J2" s="560" t="str">
        <f t="shared" si="4"/>
        <v>2Q15</v>
      </c>
      <c r="K2" s="560" t="str">
        <f t="shared" si="4"/>
        <v>3Q15</v>
      </c>
      <c r="L2" s="560" t="str">
        <f t="shared" si="4"/>
        <v>4Q15</v>
      </c>
      <c r="M2" s="560" t="str">
        <f t="shared" si="4"/>
        <v>1Q16</v>
      </c>
      <c r="N2" s="560" t="str">
        <f t="shared" si="4"/>
        <v>2Q16</v>
      </c>
      <c r="O2" s="560" t="str">
        <f t="shared" si="4"/>
        <v>3Q16</v>
      </c>
      <c r="P2" s="560" t="str">
        <f t="shared" si="4"/>
        <v>4Q16</v>
      </c>
      <c r="Q2" s="560" t="str">
        <f t="shared" si="4"/>
        <v>1Q17</v>
      </c>
      <c r="R2" s="560" t="str">
        <f t="shared" si="4"/>
        <v>2Q17</v>
      </c>
      <c r="S2" s="560" t="str">
        <f t="shared" si="4"/>
        <v>3Q17</v>
      </c>
      <c r="T2" s="560" t="str">
        <f t="shared" ref="T2:Y2" si="5">SUBSTITUTE(T1,"T","Q")</f>
        <v>4Q17</v>
      </c>
      <c r="U2" s="560" t="str">
        <f t="shared" si="5"/>
        <v>1Q18</v>
      </c>
      <c r="V2" s="560" t="str">
        <f t="shared" si="5"/>
        <v>2Q18</v>
      </c>
      <c r="W2" s="560" t="str">
        <f t="shared" si="5"/>
        <v>3Q18</v>
      </c>
      <c r="X2" s="560" t="str">
        <f t="shared" si="5"/>
        <v>4Q18</v>
      </c>
      <c r="Y2" s="560" t="str">
        <f t="shared" si="5"/>
        <v>1Q19</v>
      </c>
      <c r="Z2" s="560" t="str">
        <f t="shared" ref="Z2:AE2" si="6">SUBSTITUTE(Z1,"T","Q")</f>
        <v>2Q19</v>
      </c>
      <c r="AA2" s="560" t="str">
        <f t="shared" si="6"/>
        <v>3Q19</v>
      </c>
      <c r="AB2" s="560" t="str">
        <f t="shared" si="6"/>
        <v>4Q19</v>
      </c>
      <c r="AC2" s="560" t="str">
        <f t="shared" si="6"/>
        <v>1Q20</v>
      </c>
      <c r="AD2" s="560" t="str">
        <f t="shared" si="6"/>
        <v>2Q20</v>
      </c>
      <c r="AE2" s="560" t="str">
        <f t="shared" si="6"/>
        <v>3Q20</v>
      </c>
      <c r="AF2" s="560" t="str">
        <f t="shared" ref="AF2:AL2" si="7">SUBSTITUTE(AF1,"T","Q")</f>
        <v>4Q20</v>
      </c>
      <c r="AG2" s="560" t="str">
        <f t="shared" si="7"/>
        <v>1Q21</v>
      </c>
      <c r="AH2" s="560" t="str">
        <f t="shared" si="7"/>
        <v>2Q21</v>
      </c>
      <c r="AI2" s="560" t="str">
        <f t="shared" si="7"/>
        <v>3Q21</v>
      </c>
      <c r="AJ2" s="560" t="str">
        <f t="shared" si="7"/>
        <v>4Q21</v>
      </c>
      <c r="AK2" s="560" t="str">
        <f t="shared" si="7"/>
        <v>1Q22</v>
      </c>
      <c r="AL2" s="560" t="str">
        <f t="shared" si="7"/>
        <v>2Q22</v>
      </c>
      <c r="AM2" s="560" t="str">
        <f t="shared" ref="AM2:AS2" si="8">SUBSTITUTE(AM1,"T","Q")</f>
        <v>3Q22</v>
      </c>
      <c r="AN2" s="560" t="str">
        <f t="shared" si="8"/>
        <v>4Q22</v>
      </c>
      <c r="AO2" s="560" t="str">
        <f t="shared" si="8"/>
        <v>1Q23</v>
      </c>
      <c r="AP2" s="560" t="str">
        <f t="shared" si="8"/>
        <v>2Q23</v>
      </c>
      <c r="AQ2" s="560" t="str">
        <f t="shared" si="8"/>
        <v>3Q23</v>
      </c>
      <c r="AR2" s="560" t="str">
        <f t="shared" si="8"/>
        <v>4Q23</v>
      </c>
      <c r="AS2" s="560" t="str">
        <f t="shared" si="8"/>
        <v>1Q24</v>
      </c>
      <c r="AT2" s="560" t="str">
        <f t="shared" ref="AT2:BB2" si="9">SUBSTITUTE(AT1,"T","Q")</f>
        <v>2Q24</v>
      </c>
      <c r="AU2" s="560" t="str">
        <f t="shared" si="9"/>
        <v>3Q24</v>
      </c>
      <c r="AV2" s="560" t="str">
        <f t="shared" si="9"/>
        <v>4Q24</v>
      </c>
      <c r="AW2" s="560" t="str">
        <f t="shared" si="9"/>
        <v>1Q25</v>
      </c>
      <c r="AX2" s="560" t="str">
        <f t="shared" si="9"/>
        <v>2Q25</v>
      </c>
      <c r="AY2" s="560" t="str">
        <f t="shared" si="9"/>
        <v>3Q25</v>
      </c>
      <c r="AZ2" s="560" t="str">
        <f t="shared" si="9"/>
        <v>4Q25</v>
      </c>
      <c r="BA2" s="560" t="str">
        <f>SUBSTITUTE(BA1,"T","Q")</f>
        <v>1Q26</v>
      </c>
      <c r="BB2" s="560" t="str">
        <f t="shared" si="9"/>
        <v>2Q26</v>
      </c>
    </row>
    <row r="3" spans="1:54" ht="12.75" customHeight="1" x14ac:dyDescent="0.2">
      <c r="BB3" s="27"/>
    </row>
    <row r="4" spans="1:54" ht="12.75" customHeight="1" x14ac:dyDescent="0.2">
      <c r="BB4" s="27"/>
    </row>
    <row r="5" spans="1:54" x14ac:dyDescent="0.2">
      <c r="A5" s="25" t="s">
        <v>96</v>
      </c>
      <c r="B5" s="25" t="s">
        <v>866</v>
      </c>
      <c r="D5" s="115" t="str">
        <f>IF([1]RENAME!$H$3=1,B5,A5)</f>
        <v>Consolidado</v>
      </c>
      <c r="E5" s="115" t="str">
        <f>IF([1]RENAME!$H$3=1,E2,E1)</f>
        <v>1T14</v>
      </c>
      <c r="F5" s="115" t="str">
        <f>IF([1]RENAME!$H$3=1,F2,F1)</f>
        <v>2T14</v>
      </c>
      <c r="G5" s="115" t="str">
        <f>IF([1]RENAME!$H$3=1,G2,G1)</f>
        <v>3T14</v>
      </c>
      <c r="H5" s="115" t="str">
        <f>IF([1]RENAME!$H$3=1,H2,H1)</f>
        <v>4T14</v>
      </c>
      <c r="I5" s="115" t="str">
        <f>IF([1]RENAME!$H$3=1,I2,I1)</f>
        <v>1T15</v>
      </c>
      <c r="J5" s="115" t="str">
        <f>IF([1]RENAME!$H$3=1,J2,J1)</f>
        <v>2T15</v>
      </c>
      <c r="K5" s="115" t="str">
        <f>IF([1]RENAME!$H$3=1,K2,K1)</f>
        <v>3T15</v>
      </c>
      <c r="L5" s="115" t="str">
        <f>IF([1]RENAME!$H$3=1,L2,L1)</f>
        <v>4T15</v>
      </c>
      <c r="M5" s="115" t="str">
        <f>IF([1]RENAME!$H$3=1,M2,M1)</f>
        <v>1T16</v>
      </c>
      <c r="N5" s="115" t="str">
        <f>IF([1]RENAME!$H$3=1,N2,N1)</f>
        <v>2T16</v>
      </c>
      <c r="O5" s="115" t="str">
        <f>IF([1]RENAME!$H$3=1,O2,O1)</f>
        <v>3T16</v>
      </c>
      <c r="P5" s="115" t="str">
        <f>IF([1]RENAME!$H$3=1,P2,P1)</f>
        <v>4T16</v>
      </c>
      <c r="Q5" s="115" t="str">
        <f>IF([1]RENAME!$H$3=1,Q2,Q1)</f>
        <v>1T17</v>
      </c>
      <c r="R5" s="115" t="str">
        <f>IF([1]RENAME!$H$3=1,R2,R1)</f>
        <v>2T17</v>
      </c>
      <c r="S5" s="115" t="str">
        <f>IF([1]RENAME!$H$3=1,S2,S1)</f>
        <v>3T17</v>
      </c>
      <c r="T5" s="115" t="str">
        <f>IF([1]RENAME!$H$3=1,T2,T1)</f>
        <v>4T17</v>
      </c>
      <c r="U5" s="115" t="str">
        <f>IF([1]RENAME!$H$3=1,U2,U1)</f>
        <v>1T18</v>
      </c>
      <c r="V5" s="115" t="str">
        <f>IF([1]RENAME!$H$3=1,V2,V1)</f>
        <v>2T18</v>
      </c>
      <c r="W5" s="115" t="str">
        <f>IF([1]RENAME!$H$3=1,W2,W1)</f>
        <v>3T18</v>
      </c>
      <c r="X5" s="115" t="str">
        <f>IF([1]RENAME!$H$3=1,X2,X1)</f>
        <v>4T18</v>
      </c>
      <c r="Y5" s="115" t="str">
        <f>IF([1]RENAME!$H$3=1,Y2,Y1)</f>
        <v>1T19</v>
      </c>
      <c r="Z5" s="115" t="str">
        <f>IF([1]RENAME!$H$3=1,Z2,Z1)</f>
        <v>2T19</v>
      </c>
      <c r="AA5" s="115" t="str">
        <f>IF([1]RENAME!$H$3=1,AA2,AA1)</f>
        <v>3T19</v>
      </c>
      <c r="AB5" s="115" t="str">
        <f>IF([1]RENAME!$H$3=1,AB2,AB1)</f>
        <v>4T19</v>
      </c>
      <c r="AC5" s="115" t="str">
        <f>IF([1]RENAME!$H$3=1,AC2,AC1)</f>
        <v>1T20</v>
      </c>
      <c r="AD5" s="115" t="str">
        <f>IF([1]RENAME!$H$3=1,AD2,AD1)</f>
        <v>2T20</v>
      </c>
      <c r="AE5" s="115" t="str">
        <f>IF([1]RENAME!$H$3=1,AE2,AE1)</f>
        <v>3T20</v>
      </c>
      <c r="AF5" s="115" t="str">
        <f>IF([1]RENAME!$H$3=1,AF2,AF1)</f>
        <v>4T20</v>
      </c>
      <c r="AG5" s="115" t="str">
        <f>IF([1]RENAME!$H$3=1,AG2,AG1)</f>
        <v>1T21</v>
      </c>
      <c r="AH5" s="115" t="str">
        <f>IF([1]RENAME!$H$3=1,AH2,AH1)</f>
        <v>2T21</v>
      </c>
      <c r="AI5" s="115" t="str">
        <f>IF([1]RENAME!$H$3=1,AI2,AI1)</f>
        <v>3T21</v>
      </c>
      <c r="AJ5" s="115" t="str">
        <f>IF([1]RENAME!$H$3=1,AJ2,AJ1)</f>
        <v>4T21</v>
      </c>
      <c r="AK5" s="115" t="str">
        <f>IF([1]RENAME!$H$3=1,AK2,AK1)</f>
        <v>1T22</v>
      </c>
      <c r="AL5" s="115" t="str">
        <f>IF([1]RENAME!$H$3=1,AL2,AL1)</f>
        <v>2T22</v>
      </c>
      <c r="AM5" s="115" t="str">
        <f>IF([1]RENAME!$H$3=1,AM2,AM1)</f>
        <v>3T22</v>
      </c>
      <c r="AN5" s="115" t="str">
        <f>IF([1]RENAME!$H$3=1,AN2,AN1)</f>
        <v>4T22</v>
      </c>
      <c r="AO5" s="115" t="str">
        <f>IF([1]RENAME!$H$3=1,AO2,AO1)</f>
        <v>1T23</v>
      </c>
      <c r="AP5" s="115" t="str">
        <f>IF([1]RENAME!$H$3=1,AP2,AP1)</f>
        <v>2T23</v>
      </c>
      <c r="AQ5" s="115" t="str">
        <f>IF([1]RENAME!$H$3=1,AQ2,AQ1)</f>
        <v>3T23</v>
      </c>
      <c r="AR5" s="115" t="str">
        <f>IF([1]RENAME!$H$3=1,AR2,AR1)</f>
        <v>4T23</v>
      </c>
      <c r="AS5" s="115" t="str">
        <f>IF([1]RENAME!$H$3=1,AS2,AS1)</f>
        <v>1T24</v>
      </c>
      <c r="AT5" s="115" t="str">
        <f>IF([1]RENAME!$H$3=1,AT2,AT1)</f>
        <v>2T24</v>
      </c>
      <c r="AU5" s="115" t="str">
        <f>IF([1]RENAME!$H$3=1,AU2,AU1)</f>
        <v>3T24</v>
      </c>
      <c r="AV5" s="115" t="str">
        <f>IF([1]RENAME!$H$3=1,AV2,AV1)</f>
        <v>4T24</v>
      </c>
      <c r="AW5" s="115" t="str">
        <f>IF([1]RENAME!$H$3=1,AW2,AW1)</f>
        <v>1T25</v>
      </c>
      <c r="AX5" s="115" t="str">
        <f>IF([1]RENAME!$H$3=1,AX2,AX1)</f>
        <v>2T25</v>
      </c>
      <c r="AY5" s="115" t="str">
        <f>IF([1]RENAME!$H$3=1,AY2,AY1)</f>
        <v>3T25</v>
      </c>
      <c r="AZ5" s="115" t="str">
        <f>IF([1]RENAME!$H$3=1,AZ2,AZ1)</f>
        <v>4T25</v>
      </c>
      <c r="BA5" s="247" t="str">
        <f>IF([1]RENAME!$H$3=1,BA2,BA1)</f>
        <v>1T26</v>
      </c>
      <c r="BB5" s="115" t="str">
        <f>IF([1]RENAME!$H$3=1,BB2,BB1)</f>
        <v>2T26</v>
      </c>
    </row>
    <row r="6" spans="1:54" x14ac:dyDescent="0.2">
      <c r="A6" s="25" t="s">
        <v>1505</v>
      </c>
      <c r="B6" s="25" t="s">
        <v>1019</v>
      </c>
      <c r="D6" s="129" t="str">
        <f>IF([1]RENAME!$H$3=1,B6,A6)</f>
        <v>Recuperação de despesas (i)</v>
      </c>
      <c r="E6" s="118">
        <v>3989</v>
      </c>
      <c r="F6" s="118">
        <v>3415</v>
      </c>
      <c r="G6" s="118">
        <v>2104</v>
      </c>
      <c r="H6" s="118">
        <v>3926</v>
      </c>
      <c r="I6" s="118">
        <v>3775</v>
      </c>
      <c r="J6" s="118">
        <v>4104</v>
      </c>
      <c r="K6" s="118">
        <v>3490</v>
      </c>
      <c r="L6" s="118">
        <v>2637</v>
      </c>
      <c r="M6" s="118">
        <v>2493</v>
      </c>
      <c r="N6" s="118">
        <v>1156</v>
      </c>
      <c r="O6" s="118">
        <v>621</v>
      </c>
      <c r="P6" s="118">
        <v>781</v>
      </c>
      <c r="Q6" s="118">
        <v>606</v>
      </c>
      <c r="R6" s="118">
        <v>1189</v>
      </c>
      <c r="S6" s="118">
        <v>986</v>
      </c>
      <c r="T6" s="118">
        <v>952</v>
      </c>
      <c r="U6" s="118">
        <v>845</v>
      </c>
      <c r="V6" s="118">
        <v>736</v>
      </c>
      <c r="W6" s="118">
        <v>713</v>
      </c>
      <c r="X6" s="118">
        <v>769</v>
      </c>
      <c r="Y6" s="118">
        <v>1243</v>
      </c>
      <c r="Z6" s="118">
        <v>864</v>
      </c>
      <c r="AA6" s="118">
        <v>864</v>
      </c>
      <c r="AB6" s="118">
        <v>1235</v>
      </c>
      <c r="AC6" s="118">
        <v>538</v>
      </c>
      <c r="AD6" s="118">
        <v>36</v>
      </c>
      <c r="AE6" s="118">
        <v>152</v>
      </c>
      <c r="AF6" s="118">
        <v>176</v>
      </c>
      <c r="AG6" s="118">
        <v>209</v>
      </c>
      <c r="AH6" s="118">
        <v>119</v>
      </c>
      <c r="AI6" s="118">
        <v>178</v>
      </c>
      <c r="AJ6" s="118">
        <v>56</v>
      </c>
      <c r="AK6" s="118">
        <v>46</v>
      </c>
      <c r="AL6" s="118">
        <v>734</v>
      </c>
      <c r="AM6" s="118">
        <v>333</v>
      </c>
      <c r="AN6" s="118">
        <v>220</v>
      </c>
      <c r="AO6" s="118">
        <v>870</v>
      </c>
      <c r="AP6" s="118">
        <v>175</v>
      </c>
      <c r="AQ6" s="118">
        <v>507</v>
      </c>
      <c r="AR6" s="118">
        <v>55</v>
      </c>
      <c r="AS6" s="118">
        <v>83</v>
      </c>
      <c r="AT6" s="118">
        <v>108</v>
      </c>
      <c r="AU6" s="118">
        <v>204</v>
      </c>
      <c r="AV6" s="118">
        <v>473</v>
      </c>
      <c r="AW6" s="118">
        <v>674</v>
      </c>
      <c r="AX6" s="118">
        <v>45</v>
      </c>
      <c r="AY6" s="118">
        <v>335</v>
      </c>
      <c r="AZ6" s="118">
        <v>246</v>
      </c>
      <c r="BA6" s="118">
        <v>171</v>
      </c>
      <c r="BB6" s="118">
        <f>('[3]23 Out Op. NL'!$N$8)-BA6</f>
        <v>262</v>
      </c>
    </row>
    <row r="7" spans="1:54" x14ac:dyDescent="0.2">
      <c r="A7" s="25" t="s">
        <v>127</v>
      </c>
      <c r="B7" s="25" t="s">
        <v>1020</v>
      </c>
      <c r="D7" s="129" t="str">
        <f>IF([1]RENAME!$H$3=1,B7,A7)</f>
        <v>Ajustes de estoques</v>
      </c>
      <c r="E7" s="118">
        <v>381</v>
      </c>
      <c r="F7" s="118">
        <v>398</v>
      </c>
      <c r="G7" s="118">
        <v>125</v>
      </c>
      <c r="H7" s="118">
        <v>-898</v>
      </c>
      <c r="I7" s="118">
        <v>421</v>
      </c>
      <c r="J7" s="118">
        <v>-36</v>
      </c>
      <c r="K7" s="118">
        <v>-52</v>
      </c>
      <c r="L7" s="118">
        <v>-346</v>
      </c>
      <c r="M7" s="118">
        <v>-41</v>
      </c>
      <c r="N7" s="118">
        <v>-249</v>
      </c>
      <c r="O7" s="118">
        <v>-237</v>
      </c>
      <c r="P7" s="118">
        <v>-210</v>
      </c>
      <c r="Q7" s="118">
        <v>-3</v>
      </c>
      <c r="R7" s="118">
        <v>3</v>
      </c>
      <c r="S7" s="118">
        <v>-18</v>
      </c>
      <c r="T7" s="118">
        <v>-16</v>
      </c>
      <c r="U7" s="118">
        <v>-27</v>
      </c>
      <c r="V7" s="118">
        <v>-16</v>
      </c>
      <c r="W7" s="118">
        <v>-19</v>
      </c>
      <c r="X7" s="118">
        <v>-13</v>
      </c>
      <c r="Y7" s="118">
        <v>-15</v>
      </c>
      <c r="Z7" s="118">
        <v>-4</v>
      </c>
      <c r="AA7" s="118">
        <v>-105</v>
      </c>
      <c r="AB7" s="118">
        <v>98</v>
      </c>
      <c r="AC7" s="118">
        <v>2</v>
      </c>
      <c r="AD7" s="118">
        <v>-4</v>
      </c>
      <c r="AE7" s="118">
        <v>1</v>
      </c>
      <c r="AF7" s="118">
        <v>-3</v>
      </c>
      <c r="AG7" s="118">
        <v>-2</v>
      </c>
      <c r="AH7" s="118">
        <v>-8</v>
      </c>
      <c r="AI7" s="118">
        <v>-5</v>
      </c>
      <c r="AJ7" s="118">
        <v>-2</v>
      </c>
      <c r="AK7" s="118">
        <v>-3</v>
      </c>
      <c r="AL7" s="118">
        <v>-19</v>
      </c>
      <c r="AM7" s="118">
        <v>1</v>
      </c>
      <c r="AN7" s="118">
        <v>-2</v>
      </c>
      <c r="AO7" s="118">
        <v>-7</v>
      </c>
      <c r="AP7" s="118">
        <v>-9</v>
      </c>
      <c r="AQ7" s="118">
        <v>-7</v>
      </c>
      <c r="AR7" s="118">
        <v>-24</v>
      </c>
      <c r="AS7" s="118">
        <v>-10</v>
      </c>
      <c r="AT7" s="118">
        <v>-11</v>
      </c>
      <c r="AU7" s="118">
        <v>-11</v>
      </c>
      <c r="AV7" s="118">
        <v>-3</v>
      </c>
      <c r="AW7" s="118">
        <v>0</v>
      </c>
      <c r="AX7" s="118">
        <v>0</v>
      </c>
      <c r="AY7" s="118">
        <v>0</v>
      </c>
      <c r="AZ7" s="118">
        <v>0</v>
      </c>
      <c r="BA7" s="118">
        <v>0</v>
      </c>
      <c r="BB7" s="118">
        <f>('[3]23 Out Op. NL'!$N$9)-BA7</f>
        <v>0</v>
      </c>
    </row>
    <row r="8" spans="1:54" x14ac:dyDescent="0.2">
      <c r="A8" s="25" t="s">
        <v>385</v>
      </c>
      <c r="B8" s="25" t="s">
        <v>1021</v>
      </c>
      <c r="D8" s="129" t="str">
        <f>IF([1]RENAME!$H$3=1,B8,A8)</f>
        <v>Ganho (perda) na venda de ativo imobilizado líquido</v>
      </c>
      <c r="E8" s="118">
        <v>124</v>
      </c>
      <c r="F8" s="118">
        <v>50</v>
      </c>
      <c r="G8" s="118">
        <v>267</v>
      </c>
      <c r="H8" s="118">
        <v>1412</v>
      </c>
      <c r="I8" s="118">
        <v>-72</v>
      </c>
      <c r="J8" s="118">
        <v>-107</v>
      </c>
      <c r="K8" s="118">
        <v>441</v>
      </c>
      <c r="L8" s="118">
        <v>-367</v>
      </c>
      <c r="M8" s="118">
        <v>-35</v>
      </c>
      <c r="N8" s="118">
        <v>-369</v>
      </c>
      <c r="O8" s="118">
        <v>-594</v>
      </c>
      <c r="P8" s="260">
        <v>-1920</v>
      </c>
      <c r="Q8" s="118">
        <v>-153</v>
      </c>
      <c r="R8" s="118">
        <v>79</v>
      </c>
      <c r="S8" s="118">
        <v>-232</v>
      </c>
      <c r="T8" s="118">
        <v>-508</v>
      </c>
      <c r="U8" s="118">
        <v>-406</v>
      </c>
      <c r="V8" s="118">
        <v>-22</v>
      </c>
      <c r="W8" s="118">
        <v>21</v>
      </c>
      <c r="X8" s="118">
        <v>-819</v>
      </c>
      <c r="Y8" s="118">
        <v>-71</v>
      </c>
      <c r="Z8" s="118">
        <v>23</v>
      </c>
      <c r="AA8" s="118">
        <v>12</v>
      </c>
      <c r="AB8" s="118">
        <v>-2852</v>
      </c>
      <c r="AC8" s="118">
        <v>16</v>
      </c>
      <c r="AD8" s="118">
        <v>25</v>
      </c>
      <c r="AE8" s="118">
        <v>-229</v>
      </c>
      <c r="AF8" s="118">
        <v>329</v>
      </c>
      <c r="AG8" s="118">
        <v>76</v>
      </c>
      <c r="AH8" s="118">
        <v>-633</v>
      </c>
      <c r="AI8" s="118">
        <v>148</v>
      </c>
      <c r="AJ8" s="118">
        <v>-5</v>
      </c>
      <c r="AK8" s="118">
        <v>-71</v>
      </c>
      <c r="AL8" s="118">
        <v>-14</v>
      </c>
      <c r="AM8" s="118">
        <v>-65</v>
      </c>
      <c r="AN8" s="118">
        <v>-33</v>
      </c>
      <c r="AO8" s="118">
        <v>19</v>
      </c>
      <c r="AP8" s="118">
        <v>1</v>
      </c>
      <c r="AQ8" s="118">
        <v>189</v>
      </c>
      <c r="AR8" s="118">
        <v>-385</v>
      </c>
      <c r="AS8" s="118">
        <v>423</v>
      </c>
      <c r="AT8" s="118">
        <v>146</v>
      </c>
      <c r="AU8" s="118">
        <v>82</v>
      </c>
      <c r="AV8" s="118">
        <v>127</v>
      </c>
      <c r="AW8" s="118">
        <v>-716</v>
      </c>
      <c r="AX8" s="118">
        <v>953</v>
      </c>
      <c r="AY8" s="118">
        <v>244</v>
      </c>
      <c r="AZ8" s="118">
        <v>-20</v>
      </c>
      <c r="BA8" s="118">
        <v>118</v>
      </c>
      <c r="BB8" s="118">
        <f>('[3]23 Out Op. NL'!$N$10)-BA8</f>
        <v>89</v>
      </c>
    </row>
    <row r="9" spans="1:54" ht="15" customHeight="1" x14ac:dyDescent="0.2">
      <c r="A9" s="25" t="s">
        <v>588</v>
      </c>
      <c r="B9" s="25" t="s">
        <v>1023</v>
      </c>
      <c r="D9" s="129" t="str">
        <f>IF([1]RENAME!$H$3=1,B9,A9)</f>
        <v>Constituição de provisões para demandas judiciais e indenizações pagas</v>
      </c>
      <c r="E9" s="118">
        <v>0</v>
      </c>
      <c r="F9" s="118">
        <v>0</v>
      </c>
      <c r="G9" s="118">
        <v>0</v>
      </c>
      <c r="H9" s="118">
        <v>0</v>
      </c>
      <c r="I9" s="118">
        <v>-890</v>
      </c>
      <c r="J9" s="118">
        <v>-3033</v>
      </c>
      <c r="K9" s="118">
        <v>-4671</v>
      </c>
      <c r="L9" s="118">
        <v>-21451</v>
      </c>
      <c r="M9" s="118">
        <v>-1666</v>
      </c>
      <c r="N9" s="118">
        <v>-2160</v>
      </c>
      <c r="O9" s="118">
        <v>-1715</v>
      </c>
      <c r="P9" s="118">
        <v>-2355</v>
      </c>
      <c r="Q9" s="118">
        <v>-2502</v>
      </c>
      <c r="R9" s="260">
        <v>-23943</v>
      </c>
      <c r="S9" s="118">
        <v>-2029</v>
      </c>
      <c r="T9" s="260">
        <v>-9966</v>
      </c>
      <c r="U9" s="118">
        <v>-10256</v>
      </c>
      <c r="V9" s="118">
        <v>-3842</v>
      </c>
      <c r="W9" s="118">
        <v>-2044</v>
      </c>
      <c r="X9" s="118">
        <v>-16341</v>
      </c>
      <c r="Y9" s="118">
        <v>-4346</v>
      </c>
      <c r="Z9" s="118">
        <v>-4653</v>
      </c>
      <c r="AA9" s="118">
        <v>-5749</v>
      </c>
      <c r="AB9" s="118">
        <v>-6352</v>
      </c>
      <c r="AC9" s="118">
        <v>-5750</v>
      </c>
      <c r="AD9" s="118">
        <v>-2009</v>
      </c>
      <c r="AE9" s="118">
        <v>-5509</v>
      </c>
      <c r="AF9" s="118">
        <v>-1698</v>
      </c>
      <c r="AG9" s="118">
        <v>-980</v>
      </c>
      <c r="AH9" s="118">
        <v>-1036</v>
      </c>
      <c r="AI9" s="118">
        <v>-4</v>
      </c>
      <c r="AJ9" s="118">
        <v>-2461</v>
      </c>
      <c r="AK9" s="118">
        <v>562</v>
      </c>
      <c r="AL9" s="118">
        <v>-28</v>
      </c>
      <c r="AM9" s="260">
        <v>-6930</v>
      </c>
      <c r="AN9" s="118">
        <v>-416</v>
      </c>
      <c r="AO9" s="118">
        <v>-478</v>
      </c>
      <c r="AP9" s="118">
        <v>-197</v>
      </c>
      <c r="AQ9" s="118">
        <v>-369</v>
      </c>
      <c r="AR9" s="118">
        <v>-1068</v>
      </c>
      <c r="AS9" s="118">
        <v>-894</v>
      </c>
      <c r="AT9" s="118">
        <v>-480</v>
      </c>
      <c r="AU9" s="118">
        <v>23</v>
      </c>
      <c r="AV9" s="118">
        <v>-476</v>
      </c>
      <c r="AW9" s="118">
        <v>-380</v>
      </c>
      <c r="AX9" s="118">
        <v>-206</v>
      </c>
      <c r="AY9" s="118">
        <v>-169</v>
      </c>
      <c r="AZ9" s="118">
        <v>-926</v>
      </c>
      <c r="BA9" s="118">
        <v>760</v>
      </c>
      <c r="BB9" s="260">
        <f>('[3]23 Out Op. NL'!$N$13)-BA9</f>
        <v>-8193</v>
      </c>
    </row>
    <row r="10" spans="1:54" x14ac:dyDescent="0.2">
      <c r="A10" s="782" t="s">
        <v>1570</v>
      </c>
      <c r="B10" s="25" t="s">
        <v>1263</v>
      </c>
      <c r="D10" s="129" t="str">
        <f>IF([1]RENAME!$H$3=1,B10,A10)</f>
        <v>Créditos fiscais extemporâneos</v>
      </c>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0</v>
      </c>
      <c r="AA10" s="260">
        <v>56475</v>
      </c>
      <c r="AB10" s="320">
        <v>0</v>
      </c>
      <c r="AC10" s="320">
        <v>0</v>
      </c>
      <c r="AD10" s="320">
        <v>0</v>
      </c>
      <c r="AE10" s="320">
        <v>0</v>
      </c>
      <c r="AF10" s="118">
        <v>0</v>
      </c>
      <c r="AG10" s="118">
        <v>0</v>
      </c>
      <c r="AH10" s="260">
        <v>5732</v>
      </c>
      <c r="AI10" s="118">
        <v>0</v>
      </c>
      <c r="AJ10" s="118">
        <v>0</v>
      </c>
      <c r="AK10" s="118">
        <v>0</v>
      </c>
      <c r="AL10" s="118">
        <v>0</v>
      </c>
      <c r="AM10" s="118">
        <v>0</v>
      </c>
      <c r="AN10" s="260">
        <v>9187</v>
      </c>
      <c r="AO10" s="118">
        <v>0</v>
      </c>
      <c r="AP10" s="118">
        <v>0</v>
      </c>
      <c r="AQ10" s="118">
        <v>0</v>
      </c>
      <c r="AR10" s="118">
        <v>0</v>
      </c>
      <c r="AS10" s="118">
        <v>0</v>
      </c>
      <c r="AT10" s="118">
        <v>0</v>
      </c>
      <c r="AU10" s="118">
        <v>0</v>
      </c>
      <c r="AV10" s="118">
        <v>0</v>
      </c>
      <c r="AW10" s="118">
        <v>0</v>
      </c>
      <c r="AX10" s="118">
        <v>0</v>
      </c>
      <c r="AY10" s="118">
        <v>0</v>
      </c>
      <c r="AZ10" s="118">
        <v>0</v>
      </c>
      <c r="BA10" s="118">
        <v>0</v>
      </c>
      <c r="BB10" s="118">
        <f>('[3]23 outras operacionais'!G6)-BA10</f>
        <v>0</v>
      </c>
    </row>
    <row r="11" spans="1:54" ht="15" customHeight="1" x14ac:dyDescent="0.2">
      <c r="A11" s="25" t="s">
        <v>1565</v>
      </c>
      <c r="B11" s="25" t="s">
        <v>1566</v>
      </c>
      <c r="D11" s="129" t="str">
        <f>IF([1]RENAME!$H$3=1,B11,A11)</f>
        <v>Baixa direito de uso / arrendamento</v>
      </c>
      <c r="E11" s="118">
        <v>0</v>
      </c>
      <c r="F11" s="118">
        <v>0</v>
      </c>
      <c r="G11" s="118">
        <v>0</v>
      </c>
      <c r="H11" s="118">
        <v>0</v>
      </c>
      <c r="I11" s="118">
        <v>0</v>
      </c>
      <c r="J11" s="118">
        <v>0</v>
      </c>
      <c r="K11" s="118">
        <v>0</v>
      </c>
      <c r="L11" s="118">
        <v>0</v>
      </c>
      <c r="M11" s="118">
        <v>0</v>
      </c>
      <c r="N11" s="118">
        <v>0</v>
      </c>
      <c r="O11" s="118">
        <v>0</v>
      </c>
      <c r="P11" s="118">
        <v>0</v>
      </c>
      <c r="Q11" s="118">
        <v>0</v>
      </c>
      <c r="R11" s="118">
        <v>0</v>
      </c>
      <c r="S11" s="118">
        <v>0</v>
      </c>
      <c r="T11" s="118">
        <v>0</v>
      </c>
      <c r="U11" s="118">
        <v>0</v>
      </c>
      <c r="V11" s="118">
        <v>0</v>
      </c>
      <c r="W11" s="118">
        <v>0</v>
      </c>
      <c r="X11" s="118">
        <v>0</v>
      </c>
      <c r="Y11" s="118">
        <v>0</v>
      </c>
      <c r="Z11" s="118">
        <v>0</v>
      </c>
      <c r="AA11" s="118">
        <v>10</v>
      </c>
      <c r="AB11" s="118">
        <v>105</v>
      </c>
      <c r="AC11" s="118">
        <v>-2</v>
      </c>
      <c r="AD11" s="118">
        <v>38</v>
      </c>
      <c r="AE11" s="118">
        <v>36</v>
      </c>
      <c r="AF11" s="118">
        <v>35</v>
      </c>
      <c r="AG11" s="118">
        <v>2</v>
      </c>
      <c r="AH11" s="118">
        <v>1</v>
      </c>
      <c r="AI11" s="118">
        <v>0</v>
      </c>
      <c r="AJ11" s="118">
        <v>0</v>
      </c>
      <c r="AK11" s="118">
        <v>3</v>
      </c>
      <c r="AL11" s="118">
        <v>-3</v>
      </c>
      <c r="AM11" s="118">
        <v>0</v>
      </c>
      <c r="AN11" s="118">
        <v>0</v>
      </c>
      <c r="AO11" s="118">
        <v>0</v>
      </c>
      <c r="AP11" s="118">
        <v>0</v>
      </c>
      <c r="AQ11" s="118">
        <v>0</v>
      </c>
      <c r="AR11" s="118">
        <v>0</v>
      </c>
      <c r="AS11" s="118">
        <v>0</v>
      </c>
      <c r="AT11" s="118">
        <v>0</v>
      </c>
      <c r="AU11" s="118">
        <v>0</v>
      </c>
      <c r="AV11" s="118">
        <v>0</v>
      </c>
      <c r="AW11" s="118">
        <v>0</v>
      </c>
      <c r="AX11" s="118">
        <v>0</v>
      </c>
      <c r="AY11" s="118">
        <v>0</v>
      </c>
      <c r="AZ11" s="118">
        <v>0</v>
      </c>
      <c r="BA11" s="118">
        <v>0</v>
      </c>
      <c r="BB11" s="118">
        <f>('[3]23 outras operacionais'!K11)-BA11</f>
        <v>0</v>
      </c>
    </row>
    <row r="12" spans="1:54" x14ac:dyDescent="0.2">
      <c r="A12" s="25" t="s">
        <v>1936</v>
      </c>
      <c r="B12" s="25" t="s">
        <v>1937</v>
      </c>
      <c r="D12" s="129" t="str">
        <f>IF([1]RENAME!$H$3=1,B12,A12)</f>
        <v>Ganho na alienação de investimento</v>
      </c>
      <c r="E12" s="118" t="s">
        <v>160</v>
      </c>
      <c r="F12" s="118" t="s">
        <v>160</v>
      </c>
      <c r="G12" s="118" t="s">
        <v>160</v>
      </c>
      <c r="H12" s="118" t="s">
        <v>160</v>
      </c>
      <c r="I12" s="118" t="s">
        <v>160</v>
      </c>
      <c r="J12" s="118" t="s">
        <v>160</v>
      </c>
      <c r="K12" s="118" t="s">
        <v>160</v>
      </c>
      <c r="L12" s="118" t="s">
        <v>160</v>
      </c>
      <c r="M12" s="118" t="s">
        <v>160</v>
      </c>
      <c r="N12" s="118" t="s">
        <v>160</v>
      </c>
      <c r="O12" s="118" t="s">
        <v>160</v>
      </c>
      <c r="P12" s="118" t="s">
        <v>160</v>
      </c>
      <c r="Q12" s="118" t="s">
        <v>160</v>
      </c>
      <c r="R12" s="118" t="s">
        <v>160</v>
      </c>
      <c r="S12" s="118" t="s">
        <v>160</v>
      </c>
      <c r="T12" s="118" t="s">
        <v>160</v>
      </c>
      <c r="U12" s="118" t="s">
        <v>160</v>
      </c>
      <c r="V12" s="118" t="s">
        <v>160</v>
      </c>
      <c r="W12" s="118" t="s">
        <v>160</v>
      </c>
      <c r="X12" s="118" t="s">
        <v>160</v>
      </c>
      <c r="Y12" s="118" t="s">
        <v>160</v>
      </c>
      <c r="Z12" s="118" t="s">
        <v>160</v>
      </c>
      <c r="AA12" s="118" t="s">
        <v>160</v>
      </c>
      <c r="AB12" s="118" t="s">
        <v>160</v>
      </c>
      <c r="AC12" s="118" t="s">
        <v>160</v>
      </c>
      <c r="AD12" s="118" t="s">
        <v>160</v>
      </c>
      <c r="AE12" s="118" t="s">
        <v>160</v>
      </c>
      <c r="AF12" s="118" t="s">
        <v>160</v>
      </c>
      <c r="AG12" s="118" t="s">
        <v>160</v>
      </c>
      <c r="AH12" s="118" t="s">
        <v>160</v>
      </c>
      <c r="AI12" s="118" t="s">
        <v>160</v>
      </c>
      <c r="AJ12" s="260">
        <v>2592</v>
      </c>
      <c r="AK12" s="118">
        <v>0</v>
      </c>
      <c r="AL12" s="118">
        <v>0</v>
      </c>
      <c r="AM12" s="118">
        <v>847</v>
      </c>
      <c r="AN12" s="118">
        <v>0</v>
      </c>
      <c r="AO12" s="118">
        <v>0</v>
      </c>
      <c r="AP12" s="118">
        <v>0</v>
      </c>
      <c r="AQ12" s="118">
        <v>0</v>
      </c>
      <c r="AR12" s="118">
        <v>0</v>
      </c>
      <c r="AS12" s="118">
        <v>0</v>
      </c>
      <c r="AT12" s="118">
        <v>0</v>
      </c>
      <c r="AU12" s="118">
        <v>0</v>
      </c>
      <c r="AV12" s="118">
        <v>0</v>
      </c>
      <c r="AW12" s="118">
        <v>0</v>
      </c>
      <c r="AX12" s="118">
        <v>0</v>
      </c>
      <c r="AY12" s="118">
        <v>0</v>
      </c>
      <c r="AZ12" s="118">
        <v>0</v>
      </c>
      <c r="BA12" s="118">
        <v>0</v>
      </c>
      <c r="BB12" s="118">
        <f>('[3]23 outras operacionais'!K10)-BA12</f>
        <v>0</v>
      </c>
    </row>
    <row r="13" spans="1:54" x14ac:dyDescent="0.2">
      <c r="A13" s="25" t="s">
        <v>128</v>
      </c>
      <c r="B13" s="25" t="s">
        <v>699</v>
      </c>
      <c r="D13" s="129" t="str">
        <f>IF([1]RENAME!$H$3=1,B13,A13)</f>
        <v>Outras</v>
      </c>
      <c r="E13" s="118">
        <v>6</v>
      </c>
      <c r="F13" s="118">
        <v>17</v>
      </c>
      <c r="G13" s="118">
        <v>209</v>
      </c>
      <c r="H13" s="118">
        <v>647</v>
      </c>
      <c r="I13" s="118">
        <v>17</v>
      </c>
      <c r="J13" s="118">
        <v>38</v>
      </c>
      <c r="K13" s="118">
        <v>180</v>
      </c>
      <c r="L13" s="118">
        <v>-1764</v>
      </c>
      <c r="M13" s="118">
        <v>1048</v>
      </c>
      <c r="N13" s="118">
        <v>-32</v>
      </c>
      <c r="O13" s="118">
        <v>-186</v>
      </c>
      <c r="P13" s="118">
        <v>379</v>
      </c>
      <c r="Q13" s="118">
        <v>2</v>
      </c>
      <c r="R13" s="118">
        <v>2</v>
      </c>
      <c r="S13" s="118">
        <v>692</v>
      </c>
      <c r="T13" s="118">
        <v>-1648</v>
      </c>
      <c r="U13" s="118">
        <v>4893</v>
      </c>
      <c r="V13" s="118">
        <v>-66</v>
      </c>
      <c r="W13" s="118">
        <v>-2233</v>
      </c>
      <c r="X13" s="118">
        <v>1399</v>
      </c>
      <c r="Y13" s="118">
        <v>169</v>
      </c>
      <c r="Z13" s="118">
        <v>-938</v>
      </c>
      <c r="AA13" s="118">
        <v>-68</v>
      </c>
      <c r="AB13" s="118">
        <v>153</v>
      </c>
      <c r="AC13" s="118">
        <v>-60</v>
      </c>
      <c r="AD13" s="118">
        <v>-72</v>
      </c>
      <c r="AE13" s="118">
        <v>259</v>
      </c>
      <c r="AF13" s="118">
        <v>-2309</v>
      </c>
      <c r="AG13" s="260">
        <v>6571</v>
      </c>
      <c r="AH13" s="118">
        <v>-1266</v>
      </c>
      <c r="AI13" s="118">
        <v>337</v>
      </c>
      <c r="AJ13" s="118">
        <v>-503</v>
      </c>
      <c r="AK13" s="118">
        <v>164</v>
      </c>
      <c r="AL13" s="118">
        <v>-493</v>
      </c>
      <c r="AM13" s="118">
        <v>-360</v>
      </c>
      <c r="AN13" s="260">
        <v>-3044</v>
      </c>
      <c r="AO13" s="118">
        <v>819</v>
      </c>
      <c r="AP13" s="118">
        <v>-233</v>
      </c>
      <c r="AQ13" s="118">
        <v>-42</v>
      </c>
      <c r="AR13" s="118">
        <v>-933</v>
      </c>
      <c r="AS13" s="118">
        <v>-156</v>
      </c>
      <c r="AT13" s="118">
        <v>649</v>
      </c>
      <c r="AU13" s="118">
        <v>-324</v>
      </c>
      <c r="AV13" s="118">
        <v>1956</v>
      </c>
      <c r="AW13" s="118">
        <v>948</v>
      </c>
      <c r="AX13" s="118">
        <v>-970</v>
      </c>
      <c r="AY13" s="118">
        <v>37</v>
      </c>
      <c r="AZ13" s="118">
        <v>-218</v>
      </c>
      <c r="BA13" s="260">
        <v>3288</v>
      </c>
      <c r="BB13" s="118">
        <f>('[3]23 Out Op. NL'!$N$14)-BA13</f>
        <v>227</v>
      </c>
    </row>
    <row r="14" spans="1:54" ht="15" hidden="1" customHeight="1" outlineLevel="1" x14ac:dyDescent="0.2">
      <c r="A14" s="249" t="s">
        <v>581</v>
      </c>
      <c r="B14" s="249" t="s">
        <v>992</v>
      </c>
      <c r="C14" s="249"/>
      <c r="D14" s="250" t="str">
        <f>IF([1]RENAME!$H$3=1,B14,A14)</f>
        <v>Perda alienação de investimento</v>
      </c>
      <c r="E14" s="218">
        <v>0</v>
      </c>
      <c r="F14" s="218">
        <v>0</v>
      </c>
      <c r="G14" s="218">
        <v>0</v>
      </c>
      <c r="H14" s="218">
        <v>0</v>
      </c>
      <c r="I14" s="218">
        <v>0</v>
      </c>
      <c r="J14" s="218">
        <v>0</v>
      </c>
      <c r="K14" s="218">
        <v>0</v>
      </c>
      <c r="L14" s="218">
        <v>0</v>
      </c>
      <c r="M14" s="218">
        <v>0</v>
      </c>
      <c r="N14" s="218">
        <v>0</v>
      </c>
      <c r="O14" s="218">
        <v>0</v>
      </c>
      <c r="P14" s="218">
        <v>0</v>
      </c>
      <c r="Q14" s="218">
        <v>0</v>
      </c>
      <c r="R14" s="218">
        <v>-223</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c r="AN14" s="218">
        <v>0</v>
      </c>
      <c r="AO14" s="218">
        <v>0</v>
      </c>
      <c r="AP14" s="218">
        <v>0</v>
      </c>
      <c r="AQ14" s="218">
        <v>0</v>
      </c>
      <c r="AR14" s="218">
        <v>0</v>
      </c>
      <c r="AS14" s="218">
        <v>0</v>
      </c>
      <c r="AT14" s="218"/>
      <c r="AU14" s="218"/>
      <c r="AV14" s="218"/>
      <c r="AW14" s="218"/>
      <c r="AX14" s="218">
        <v>0</v>
      </c>
      <c r="AY14" s="218">
        <v>0</v>
      </c>
      <c r="AZ14" s="218">
        <v>0</v>
      </c>
      <c r="BA14" s="218">
        <v>0</v>
      </c>
      <c r="BB14" s="218">
        <v>0</v>
      </c>
    </row>
    <row r="15" spans="1:54" ht="15" hidden="1" customHeight="1" outlineLevel="1" x14ac:dyDescent="0.2">
      <c r="A15" s="249" t="s">
        <v>126</v>
      </c>
      <c r="B15" s="249" t="s">
        <v>1022</v>
      </c>
      <c r="C15" s="249"/>
      <c r="D15" s="250" t="str">
        <f>IF([1]RENAME!$H$3=1,B15,A15)</f>
        <v>Perdas com créditos incobráveis</v>
      </c>
      <c r="E15" s="218">
        <v>-372</v>
      </c>
      <c r="F15" s="218">
        <v>-1631</v>
      </c>
      <c r="G15" s="218">
        <v>-12619</v>
      </c>
      <c r="H15" s="218">
        <v>-5339</v>
      </c>
      <c r="I15" s="218">
        <v>-808</v>
      </c>
      <c r="J15" s="218">
        <v>-894</v>
      </c>
      <c r="K15" s="218">
        <v>-1732</v>
      </c>
      <c r="L15" s="218">
        <v>-1087</v>
      </c>
      <c r="M15" s="218">
        <v>-734</v>
      </c>
      <c r="N15" s="218">
        <v>-956</v>
      </c>
      <c r="O15" s="218">
        <v>-162</v>
      </c>
      <c r="P15" s="218">
        <v>-879</v>
      </c>
      <c r="Q15" s="218">
        <v>-168</v>
      </c>
      <c r="R15" s="218">
        <v>-13</v>
      </c>
      <c r="S15" s="218">
        <v>-1851</v>
      </c>
      <c r="T15" s="218">
        <v>1939</v>
      </c>
      <c r="U15" s="218">
        <v>-63</v>
      </c>
      <c r="V15" s="218">
        <v>410</v>
      </c>
      <c r="W15" s="218">
        <v>308</v>
      </c>
      <c r="X15" s="218">
        <v>-1751</v>
      </c>
      <c r="Y15" s="218">
        <v>-76</v>
      </c>
      <c r="Z15" s="218">
        <v>1492</v>
      </c>
      <c r="AA15" s="218">
        <v>-132</v>
      </c>
      <c r="AB15" s="218">
        <v>-1284</v>
      </c>
      <c r="AC15" s="218">
        <v>0</v>
      </c>
      <c r="AD15" s="218">
        <v>0</v>
      </c>
      <c r="AE15" s="218">
        <v>0</v>
      </c>
      <c r="AF15" s="218">
        <v>0</v>
      </c>
      <c r="AG15" s="218">
        <v>0</v>
      </c>
      <c r="AH15" s="218">
        <v>0</v>
      </c>
      <c r="AI15" s="218">
        <v>0</v>
      </c>
      <c r="AJ15" s="218">
        <v>0</v>
      </c>
      <c r="AK15" s="218">
        <v>0</v>
      </c>
      <c r="AL15" s="218">
        <v>0</v>
      </c>
      <c r="AM15" s="218">
        <v>0</v>
      </c>
      <c r="AN15" s="218">
        <v>0</v>
      </c>
      <c r="AO15" s="218">
        <v>0</v>
      </c>
      <c r="AP15" s="218">
        <v>0</v>
      </c>
      <c r="AQ15" s="218">
        <v>0</v>
      </c>
      <c r="AR15" s="218">
        <v>0</v>
      </c>
      <c r="AS15" s="218">
        <v>0</v>
      </c>
      <c r="AT15" s="218"/>
      <c r="AU15" s="218"/>
      <c r="AV15" s="218"/>
      <c r="AW15" s="218"/>
      <c r="AX15" s="218">
        <v>0</v>
      </c>
      <c r="AY15" s="218">
        <v>0</v>
      </c>
      <c r="AZ15" s="218">
        <v>0</v>
      </c>
      <c r="BA15" s="218">
        <v>0</v>
      </c>
      <c r="BB15" s="218">
        <v>0</v>
      </c>
    </row>
    <row r="16" spans="1:54" ht="15" hidden="1" customHeight="1" outlineLevel="1" x14ac:dyDescent="0.2">
      <c r="A16" s="249" t="s">
        <v>1299</v>
      </c>
      <c r="B16" s="249" t="s">
        <v>1022</v>
      </c>
      <c r="C16" s="249"/>
      <c r="D16" s="250" t="str">
        <f>IF([1]RENAME!$H$3=1,B16,A16)</f>
        <v>Perda na baixa de ágio (ii)</v>
      </c>
      <c r="E16" s="218">
        <v>0</v>
      </c>
      <c r="F16" s="218">
        <v>0</v>
      </c>
      <c r="G16" s="218">
        <v>0</v>
      </c>
      <c r="H16" s="218">
        <v>0</v>
      </c>
      <c r="I16" s="218">
        <v>0</v>
      </c>
      <c r="J16" s="218">
        <v>0</v>
      </c>
      <c r="K16" s="218">
        <v>0</v>
      </c>
      <c r="L16" s="218">
        <v>0</v>
      </c>
      <c r="M16" s="218">
        <v>0</v>
      </c>
      <c r="N16" s="218">
        <v>0</v>
      </c>
      <c r="O16" s="218">
        <v>0</v>
      </c>
      <c r="P16" s="218">
        <v>0</v>
      </c>
      <c r="Q16" s="218">
        <v>0</v>
      </c>
      <c r="R16" s="218">
        <v>0</v>
      </c>
      <c r="S16" s="218">
        <v>0</v>
      </c>
      <c r="T16" s="218">
        <v>0</v>
      </c>
      <c r="U16" s="218">
        <v>-2527</v>
      </c>
      <c r="V16" s="218">
        <v>0</v>
      </c>
      <c r="W16" s="218">
        <v>0</v>
      </c>
      <c r="X16" s="218">
        <v>0</v>
      </c>
      <c r="Y16" s="218">
        <v>0</v>
      </c>
      <c r="Z16" s="218">
        <v>0</v>
      </c>
      <c r="AA16" s="218">
        <v>0</v>
      </c>
      <c r="AB16" s="218">
        <v>0</v>
      </c>
      <c r="AC16" s="218">
        <v>0</v>
      </c>
      <c r="AD16" s="218">
        <v>0</v>
      </c>
      <c r="AE16" s="218">
        <v>0</v>
      </c>
      <c r="AF16" s="218">
        <v>0</v>
      </c>
      <c r="AG16" s="218">
        <v>0</v>
      </c>
      <c r="AH16" s="218">
        <v>0</v>
      </c>
      <c r="AI16" s="218">
        <v>0</v>
      </c>
      <c r="AJ16" s="218">
        <v>0</v>
      </c>
      <c r="AK16" s="218">
        <v>0</v>
      </c>
      <c r="AL16" s="218">
        <v>0</v>
      </c>
      <c r="AM16" s="218">
        <v>0</v>
      </c>
      <c r="AN16" s="218">
        <v>0</v>
      </c>
      <c r="AO16" s="218">
        <v>0</v>
      </c>
      <c r="AP16" s="218">
        <v>0</v>
      </c>
      <c r="AQ16" s="218">
        <v>0</v>
      </c>
      <c r="AR16" s="218">
        <v>0</v>
      </c>
      <c r="AS16" s="218">
        <v>0</v>
      </c>
      <c r="AT16" s="218"/>
      <c r="AU16" s="218"/>
      <c r="AV16" s="218"/>
      <c r="AW16" s="218"/>
      <c r="AX16" s="218">
        <v>0</v>
      </c>
      <c r="AY16" s="218">
        <v>0</v>
      </c>
      <c r="AZ16" s="218">
        <v>0</v>
      </c>
      <c r="BA16" s="218">
        <v>0</v>
      </c>
      <c r="BB16" s="218">
        <v>0</v>
      </c>
    </row>
    <row r="17" spans="1:54" ht="15" hidden="1" customHeight="1" outlineLevel="1" x14ac:dyDescent="0.2">
      <c r="A17" s="249" t="s">
        <v>1300</v>
      </c>
      <c r="B17" s="249" t="s">
        <v>992</v>
      </c>
      <c r="C17" s="249"/>
      <c r="D17" s="250" t="str">
        <f>IF([1]RENAME!$H$3=1,B17,A17)</f>
        <v>Valor justo na transferência de investimento (iii)</v>
      </c>
      <c r="E17" s="218">
        <v>0</v>
      </c>
      <c r="F17" s="218">
        <v>0</v>
      </c>
      <c r="G17" s="218">
        <v>0</v>
      </c>
      <c r="H17" s="218">
        <v>0</v>
      </c>
      <c r="I17" s="218">
        <v>0</v>
      </c>
      <c r="J17" s="218">
        <v>0</v>
      </c>
      <c r="K17" s="218">
        <v>0</v>
      </c>
      <c r="L17" s="218">
        <v>0</v>
      </c>
      <c r="M17" s="218">
        <v>0</v>
      </c>
      <c r="N17" s="218">
        <v>0</v>
      </c>
      <c r="O17" s="218">
        <v>0</v>
      </c>
      <c r="P17" s="218">
        <v>0</v>
      </c>
      <c r="Q17" s="218">
        <v>0</v>
      </c>
      <c r="R17" s="218">
        <v>0</v>
      </c>
      <c r="S17" s="218">
        <v>0</v>
      </c>
      <c r="T17" s="218">
        <v>0</v>
      </c>
      <c r="U17" s="218">
        <v>1842</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c r="AN17" s="218">
        <v>0</v>
      </c>
      <c r="AO17" s="218">
        <v>0</v>
      </c>
      <c r="AP17" s="218">
        <v>0</v>
      </c>
      <c r="AQ17" s="218">
        <v>0</v>
      </c>
      <c r="AR17" s="218">
        <v>0</v>
      </c>
      <c r="AS17" s="218">
        <v>0</v>
      </c>
      <c r="AT17" s="218"/>
      <c r="AU17" s="218"/>
      <c r="AV17" s="218"/>
      <c r="AW17" s="218"/>
      <c r="AX17" s="218">
        <v>0</v>
      </c>
      <c r="AY17" s="218">
        <v>0</v>
      </c>
      <c r="AZ17" s="218">
        <v>0</v>
      </c>
      <c r="BA17" s="218">
        <v>0</v>
      </c>
      <c r="BB17" s="218">
        <v>0</v>
      </c>
    </row>
    <row r="18" spans="1:54" ht="15" hidden="1" customHeight="1" outlineLevel="1" x14ac:dyDescent="0.2">
      <c r="A18" s="249" t="s">
        <v>580</v>
      </c>
      <c r="B18" s="249" t="s">
        <v>1024</v>
      </c>
      <c r="C18" s="249"/>
      <c r="D18" s="250" t="str">
        <f>IF([1]RENAME!$H$3=1,B18,A18)</f>
        <v>Provisão para perda de investimento</v>
      </c>
      <c r="E18" s="218">
        <v>0</v>
      </c>
      <c r="F18" s="218">
        <v>0</v>
      </c>
      <c r="G18" s="218">
        <v>0</v>
      </c>
      <c r="H18" s="218">
        <v>0</v>
      </c>
      <c r="I18" s="218">
        <v>0</v>
      </c>
      <c r="J18" s="218">
        <v>0</v>
      </c>
      <c r="K18" s="218">
        <v>0</v>
      </c>
      <c r="L18" s="218">
        <v>0</v>
      </c>
      <c r="M18" s="218">
        <v>0</v>
      </c>
      <c r="N18" s="218">
        <v>0</v>
      </c>
      <c r="O18" s="218">
        <v>0</v>
      </c>
      <c r="P18" s="218">
        <v>0</v>
      </c>
      <c r="Q18" s="218">
        <v>0</v>
      </c>
      <c r="R18" s="218">
        <v>-1365</v>
      </c>
      <c r="S18" s="218">
        <v>0</v>
      </c>
      <c r="T18" s="218">
        <v>0</v>
      </c>
      <c r="U18" s="218">
        <v>0</v>
      </c>
      <c r="V18" s="218">
        <v>0</v>
      </c>
      <c r="W18" s="218">
        <v>0</v>
      </c>
      <c r="X18" s="218">
        <v>0</v>
      </c>
      <c r="Y18" s="218">
        <v>0</v>
      </c>
      <c r="Z18" s="218">
        <v>0</v>
      </c>
      <c r="AA18" s="218">
        <v>0</v>
      </c>
      <c r="AB18" s="218">
        <v>0</v>
      </c>
      <c r="AC18" s="218">
        <v>0</v>
      </c>
      <c r="AD18" s="218">
        <v>0</v>
      </c>
      <c r="AE18" s="218">
        <v>0</v>
      </c>
      <c r="AF18" s="218">
        <v>0</v>
      </c>
      <c r="AG18" s="218">
        <v>0</v>
      </c>
      <c r="AH18" s="218">
        <v>0</v>
      </c>
      <c r="AI18" s="218">
        <v>0</v>
      </c>
      <c r="AJ18" s="218">
        <v>0</v>
      </c>
      <c r="AK18" s="218">
        <v>0</v>
      </c>
      <c r="AL18" s="218">
        <v>0</v>
      </c>
      <c r="AM18" s="218">
        <v>0</v>
      </c>
      <c r="AN18" s="218">
        <v>0</v>
      </c>
      <c r="AO18" s="218">
        <v>0</v>
      </c>
      <c r="AP18" s="218">
        <v>0</v>
      </c>
      <c r="AQ18" s="218">
        <v>0</v>
      </c>
      <c r="AR18" s="218">
        <v>0</v>
      </c>
      <c r="AS18" s="218">
        <v>0</v>
      </c>
      <c r="AT18" s="218"/>
      <c r="AU18" s="218"/>
      <c r="AV18" s="218"/>
      <c r="AW18" s="218"/>
      <c r="AX18" s="218">
        <v>0</v>
      </c>
      <c r="AY18" s="218">
        <v>0</v>
      </c>
      <c r="AZ18" s="218">
        <v>0</v>
      </c>
      <c r="BA18" s="218">
        <v>0</v>
      </c>
      <c r="BB18" s="218">
        <v>0</v>
      </c>
    </row>
    <row r="19" spans="1:54" collapsed="1" x14ac:dyDescent="0.2">
      <c r="A19" s="25" t="s">
        <v>386</v>
      </c>
      <c r="B19" s="25" t="s">
        <v>1025</v>
      </c>
      <c r="D19" s="126" t="str">
        <f>IF([1]RENAME!$H$3=1,B19,A19)</f>
        <v>Outras receitas (despesas) líquidas</v>
      </c>
      <c r="E19" s="120">
        <f t="shared" ref="E19:AN19" si="10">SUM(E6:E18)</f>
        <v>4128</v>
      </c>
      <c r="F19" s="120">
        <f t="shared" si="10"/>
        <v>2249</v>
      </c>
      <c r="G19" s="120">
        <f t="shared" si="10"/>
        <v>-9914</v>
      </c>
      <c r="H19" s="120">
        <f t="shared" si="10"/>
        <v>-252</v>
      </c>
      <c r="I19" s="120">
        <f t="shared" si="10"/>
        <v>2443</v>
      </c>
      <c r="J19" s="120">
        <f t="shared" si="10"/>
        <v>72</v>
      </c>
      <c r="K19" s="120">
        <f t="shared" si="10"/>
        <v>-2344</v>
      </c>
      <c r="L19" s="120">
        <f t="shared" si="10"/>
        <v>-22378</v>
      </c>
      <c r="M19" s="120">
        <f t="shared" si="10"/>
        <v>1065</v>
      </c>
      <c r="N19" s="120">
        <f t="shared" si="10"/>
        <v>-2610</v>
      </c>
      <c r="O19" s="120">
        <f t="shared" si="10"/>
        <v>-2273</v>
      </c>
      <c r="P19" s="120">
        <f t="shared" si="10"/>
        <v>-4204</v>
      </c>
      <c r="Q19" s="120">
        <f t="shared" si="10"/>
        <v>-2218</v>
      </c>
      <c r="R19" s="120">
        <f t="shared" si="10"/>
        <v>-24271</v>
      </c>
      <c r="S19" s="120">
        <f t="shared" si="10"/>
        <v>-2452</v>
      </c>
      <c r="T19" s="120">
        <f t="shared" si="10"/>
        <v>-9247</v>
      </c>
      <c r="U19" s="120">
        <f t="shared" si="10"/>
        <v>-5699</v>
      </c>
      <c r="V19" s="120">
        <f t="shared" si="10"/>
        <v>-2800</v>
      </c>
      <c r="W19" s="120">
        <f t="shared" si="10"/>
        <v>-3254</v>
      </c>
      <c r="X19" s="120">
        <f t="shared" si="10"/>
        <v>-16756</v>
      </c>
      <c r="Y19" s="120">
        <f t="shared" si="10"/>
        <v>-3096</v>
      </c>
      <c r="Z19" s="120">
        <f t="shared" si="10"/>
        <v>-3216</v>
      </c>
      <c r="AA19" s="120">
        <f t="shared" si="10"/>
        <v>51307</v>
      </c>
      <c r="AB19" s="120">
        <f t="shared" si="10"/>
        <v>-8897</v>
      </c>
      <c r="AC19" s="120">
        <f t="shared" si="10"/>
        <v>-5256</v>
      </c>
      <c r="AD19" s="120">
        <f t="shared" si="10"/>
        <v>-1986</v>
      </c>
      <c r="AE19" s="120">
        <f t="shared" si="10"/>
        <v>-5290</v>
      </c>
      <c r="AF19" s="120">
        <f t="shared" si="10"/>
        <v>-3470</v>
      </c>
      <c r="AG19" s="120">
        <f t="shared" si="10"/>
        <v>5876</v>
      </c>
      <c r="AH19" s="120">
        <f t="shared" si="10"/>
        <v>2909</v>
      </c>
      <c r="AI19" s="120">
        <f t="shared" si="10"/>
        <v>654</v>
      </c>
      <c r="AJ19" s="120">
        <f t="shared" si="10"/>
        <v>-323</v>
      </c>
      <c r="AK19" s="120">
        <f t="shared" si="10"/>
        <v>701</v>
      </c>
      <c r="AL19" s="120">
        <f t="shared" si="10"/>
        <v>177</v>
      </c>
      <c r="AM19" s="120">
        <f t="shared" si="10"/>
        <v>-6174</v>
      </c>
      <c r="AN19" s="120">
        <f t="shared" si="10"/>
        <v>5912</v>
      </c>
      <c r="AO19" s="120">
        <f t="shared" ref="AO19:AW19" si="11">SUM(AO6:AO18)</f>
        <v>1223</v>
      </c>
      <c r="AP19" s="120">
        <f t="shared" si="11"/>
        <v>-263</v>
      </c>
      <c r="AQ19" s="120">
        <f t="shared" si="11"/>
        <v>278</v>
      </c>
      <c r="AR19" s="120">
        <f t="shared" si="11"/>
        <v>-2355</v>
      </c>
      <c r="AS19" s="120">
        <f t="shared" si="11"/>
        <v>-554</v>
      </c>
      <c r="AT19" s="120">
        <f>SUM(AT6:AT18)</f>
        <v>412</v>
      </c>
      <c r="AU19" s="120">
        <f t="shared" si="11"/>
        <v>-26</v>
      </c>
      <c r="AV19" s="120">
        <f t="shared" si="11"/>
        <v>2077</v>
      </c>
      <c r="AW19" s="120">
        <f t="shared" si="11"/>
        <v>526</v>
      </c>
      <c r="AX19" s="120">
        <f>SUM(AX6:AX18)</f>
        <v>-178</v>
      </c>
      <c r="AY19" s="120">
        <f>SUM(AY6:AY18)</f>
        <v>447</v>
      </c>
      <c r="AZ19" s="120">
        <f>SUM(AZ6:AZ18)</f>
        <v>-918</v>
      </c>
      <c r="BA19" s="120">
        <f>SUM(BA6:BA18)</f>
        <v>4337</v>
      </c>
      <c r="BB19" s="120">
        <f>SUM(BB6:BB18)</f>
        <v>-7615</v>
      </c>
    </row>
    <row r="20" spans="1:54" x14ac:dyDescent="0.2">
      <c r="D20"/>
      <c r="E20" s="658"/>
      <c r="F20" s="658"/>
      <c r="G20" s="658"/>
      <c r="H20" s="658"/>
      <c r="I20" s="658"/>
      <c r="J20" s="658"/>
      <c r="K20" s="658"/>
      <c r="L20" s="658"/>
      <c r="M20" s="658"/>
      <c r="N20" s="658"/>
      <c r="O20" s="658"/>
      <c r="P20" s="658"/>
      <c r="Q20" s="658"/>
      <c r="R20" s="658"/>
      <c r="S20" s="658"/>
      <c r="T20" s="658"/>
      <c r="U20" s="208"/>
      <c r="V20" s="208"/>
      <c r="W20" s="208"/>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182"/>
      <c r="AT20" s="169"/>
      <c r="AU20" s="169"/>
      <c r="AV20" s="169"/>
      <c r="AW20" s="169"/>
      <c r="AX20" s="169"/>
      <c r="AY20" s="169"/>
      <c r="AZ20" s="169"/>
      <c r="BA20" s="169"/>
      <c r="BB20" s="169"/>
    </row>
    <row r="21" spans="1:54" x14ac:dyDescent="0.2">
      <c r="A21" s="25" t="s">
        <v>97</v>
      </c>
      <c r="B21" s="25" t="s">
        <v>872</v>
      </c>
      <c r="D21" s="115" t="str">
        <f>IF([1]RENAME!$H$3=1,B21,A21)</f>
        <v>Controladora</v>
      </c>
      <c r="E21" s="115" t="str">
        <f t="shared" ref="E21:AN21" si="12">E5</f>
        <v>1T14</v>
      </c>
      <c r="F21" s="115" t="str">
        <f t="shared" si="12"/>
        <v>2T14</v>
      </c>
      <c r="G21" s="115" t="str">
        <f t="shared" si="12"/>
        <v>3T14</v>
      </c>
      <c r="H21" s="115" t="str">
        <f t="shared" si="12"/>
        <v>4T14</v>
      </c>
      <c r="I21" s="115" t="str">
        <f t="shared" si="12"/>
        <v>1T15</v>
      </c>
      <c r="J21" s="115" t="str">
        <f t="shared" si="12"/>
        <v>2T15</v>
      </c>
      <c r="K21" s="115" t="str">
        <f t="shared" si="12"/>
        <v>3T15</v>
      </c>
      <c r="L21" s="115" t="str">
        <f t="shared" si="12"/>
        <v>4T15</v>
      </c>
      <c r="M21" s="115" t="str">
        <f t="shared" si="12"/>
        <v>1T16</v>
      </c>
      <c r="N21" s="115" t="str">
        <f t="shared" si="12"/>
        <v>2T16</v>
      </c>
      <c r="O21" s="115" t="str">
        <f t="shared" si="12"/>
        <v>3T16</v>
      </c>
      <c r="P21" s="115" t="str">
        <f t="shared" si="12"/>
        <v>4T16</v>
      </c>
      <c r="Q21" s="115" t="str">
        <f t="shared" si="12"/>
        <v>1T17</v>
      </c>
      <c r="R21" s="115" t="str">
        <f t="shared" si="12"/>
        <v>2T17</v>
      </c>
      <c r="S21" s="115" t="str">
        <f t="shared" si="12"/>
        <v>3T17</v>
      </c>
      <c r="T21" s="115" t="str">
        <f t="shared" si="12"/>
        <v>4T17</v>
      </c>
      <c r="U21" s="115" t="str">
        <f t="shared" si="12"/>
        <v>1T18</v>
      </c>
      <c r="V21" s="115" t="str">
        <f t="shared" si="12"/>
        <v>2T18</v>
      </c>
      <c r="W21" s="115" t="str">
        <f t="shared" si="12"/>
        <v>3T18</v>
      </c>
      <c r="X21" s="115" t="str">
        <f t="shared" si="12"/>
        <v>4T18</v>
      </c>
      <c r="Y21" s="115" t="str">
        <f t="shared" si="12"/>
        <v>1T19</v>
      </c>
      <c r="Z21" s="115" t="str">
        <f t="shared" si="12"/>
        <v>2T19</v>
      </c>
      <c r="AA21" s="115" t="str">
        <f t="shared" si="12"/>
        <v>3T19</v>
      </c>
      <c r="AB21" s="115" t="str">
        <f t="shared" si="12"/>
        <v>4T19</v>
      </c>
      <c r="AC21" s="115" t="str">
        <f t="shared" si="12"/>
        <v>1T20</v>
      </c>
      <c r="AD21" s="115" t="str">
        <f t="shared" si="12"/>
        <v>2T20</v>
      </c>
      <c r="AE21" s="115" t="str">
        <f t="shared" si="12"/>
        <v>3T20</v>
      </c>
      <c r="AF21" s="115" t="str">
        <f t="shared" si="12"/>
        <v>4T20</v>
      </c>
      <c r="AG21" s="115" t="str">
        <f t="shared" si="12"/>
        <v>1T21</v>
      </c>
      <c r="AH21" s="115" t="str">
        <f t="shared" si="12"/>
        <v>2T21</v>
      </c>
      <c r="AI21" s="115" t="str">
        <f t="shared" si="12"/>
        <v>3T21</v>
      </c>
      <c r="AJ21" s="115" t="str">
        <f t="shared" si="12"/>
        <v>4T21</v>
      </c>
      <c r="AK21" s="115" t="str">
        <f t="shared" si="12"/>
        <v>1T22</v>
      </c>
      <c r="AL21" s="115" t="str">
        <f t="shared" si="12"/>
        <v>2T22</v>
      </c>
      <c r="AM21" s="115" t="str">
        <f t="shared" si="12"/>
        <v>3T22</v>
      </c>
      <c r="AN21" s="115" t="str">
        <f t="shared" si="12"/>
        <v>4T22</v>
      </c>
      <c r="AO21" s="115" t="str">
        <f t="shared" ref="AO21:AX21" si="13">AO5</f>
        <v>1T23</v>
      </c>
      <c r="AP21" s="115" t="str">
        <f t="shared" si="13"/>
        <v>2T23</v>
      </c>
      <c r="AQ21" s="115" t="str">
        <f t="shared" si="13"/>
        <v>3T23</v>
      </c>
      <c r="AR21" s="115" t="str">
        <f t="shared" si="13"/>
        <v>4T23</v>
      </c>
      <c r="AS21" s="115" t="str">
        <f t="shared" si="13"/>
        <v>1T24</v>
      </c>
      <c r="AT21" s="115" t="str">
        <f>AT5</f>
        <v>2T24</v>
      </c>
      <c r="AU21" s="115" t="str">
        <f t="shared" si="13"/>
        <v>3T24</v>
      </c>
      <c r="AV21" s="115" t="str">
        <f t="shared" si="13"/>
        <v>4T24</v>
      </c>
      <c r="AW21" s="115" t="str">
        <f t="shared" si="13"/>
        <v>1T25</v>
      </c>
      <c r="AX21" s="115" t="str">
        <f t="shared" si="13"/>
        <v>2T25</v>
      </c>
      <c r="AY21" s="115" t="str">
        <f>AY5</f>
        <v>3T25</v>
      </c>
      <c r="AZ21" s="115" t="s">
        <v>2244</v>
      </c>
      <c r="BA21" s="115" t="s">
        <v>2284</v>
      </c>
      <c r="BB21" s="115" t="str">
        <f>BB5</f>
        <v>2T26</v>
      </c>
    </row>
    <row r="22" spans="1:54" x14ac:dyDescent="0.2">
      <c r="A22" s="25" t="s">
        <v>1505</v>
      </c>
      <c r="B22" s="25" t="s">
        <v>1019</v>
      </c>
      <c r="D22" s="129" t="str">
        <f>IF([1]RENAME!$H$3=1,B22,A22)</f>
        <v>Recuperação de despesas (i)</v>
      </c>
      <c r="E22" s="118">
        <v>91</v>
      </c>
      <c r="F22" s="118">
        <v>196</v>
      </c>
      <c r="G22" s="118">
        <v>172</v>
      </c>
      <c r="H22" s="118">
        <v>445</v>
      </c>
      <c r="I22" s="118">
        <v>142</v>
      </c>
      <c r="J22" s="118">
        <v>406</v>
      </c>
      <c r="K22" s="118">
        <v>267</v>
      </c>
      <c r="L22" s="118">
        <v>217</v>
      </c>
      <c r="M22" s="118">
        <v>81</v>
      </c>
      <c r="N22" s="118">
        <v>436</v>
      </c>
      <c r="O22" s="118">
        <v>117</v>
      </c>
      <c r="P22" s="118">
        <v>364</v>
      </c>
      <c r="Q22" s="118">
        <v>67</v>
      </c>
      <c r="R22" s="118">
        <v>594</v>
      </c>
      <c r="S22" s="118">
        <v>386</v>
      </c>
      <c r="T22" s="118">
        <v>254</v>
      </c>
      <c r="U22" s="118">
        <v>127</v>
      </c>
      <c r="V22" s="118">
        <v>221</v>
      </c>
      <c r="W22" s="118">
        <v>69</v>
      </c>
      <c r="X22" s="118">
        <v>369</v>
      </c>
      <c r="Y22" s="118">
        <v>714</v>
      </c>
      <c r="Z22" s="118">
        <v>349</v>
      </c>
      <c r="AA22" s="118">
        <v>381</v>
      </c>
      <c r="AB22" s="118">
        <v>753</v>
      </c>
      <c r="AC22" s="118">
        <v>244</v>
      </c>
      <c r="AD22" s="118">
        <v>-71</v>
      </c>
      <c r="AE22" s="118">
        <v>149</v>
      </c>
      <c r="AF22" s="118">
        <v>175</v>
      </c>
      <c r="AG22" s="118">
        <v>207</v>
      </c>
      <c r="AH22" s="118">
        <v>117</v>
      </c>
      <c r="AI22" s="118">
        <v>179</v>
      </c>
      <c r="AJ22" s="118">
        <v>56</v>
      </c>
      <c r="AK22" s="118">
        <v>45</v>
      </c>
      <c r="AL22" s="118">
        <v>734</v>
      </c>
      <c r="AM22" s="118">
        <v>333</v>
      </c>
      <c r="AN22" s="118">
        <v>207</v>
      </c>
      <c r="AO22" s="118">
        <v>846</v>
      </c>
      <c r="AP22" s="118">
        <v>142</v>
      </c>
      <c r="AQ22" s="118">
        <v>438</v>
      </c>
      <c r="AR22" s="118">
        <v>27</v>
      </c>
      <c r="AS22" s="118">
        <v>32</v>
      </c>
      <c r="AT22" s="118">
        <v>66</v>
      </c>
      <c r="AU22" s="118">
        <v>159</v>
      </c>
      <c r="AV22" s="118">
        <v>444</v>
      </c>
      <c r="AW22" s="118">
        <v>432</v>
      </c>
      <c r="AX22" s="118">
        <v>-41</v>
      </c>
      <c r="AY22" s="118">
        <v>146</v>
      </c>
      <c r="AZ22" s="118">
        <v>145</v>
      </c>
      <c r="BA22" s="118">
        <v>108</v>
      </c>
      <c r="BB22" s="118">
        <f>('[3]23 Out Op. NL'!$F$8)-BA22</f>
        <v>210</v>
      </c>
    </row>
    <row r="23" spans="1:54" x14ac:dyDescent="0.2">
      <c r="A23" s="25" t="s">
        <v>127</v>
      </c>
      <c r="B23" s="25" t="s">
        <v>1020</v>
      </c>
      <c r="D23" s="129" t="str">
        <f>IF([1]RENAME!$H$3=1,B23,A23)</f>
        <v>Ajustes de estoques</v>
      </c>
      <c r="E23" s="118">
        <v>23</v>
      </c>
      <c r="F23" s="118">
        <v>18</v>
      </c>
      <c r="G23" s="118">
        <v>-11</v>
      </c>
      <c r="H23" s="118">
        <v>-1039</v>
      </c>
      <c r="I23" s="118">
        <v>30</v>
      </c>
      <c r="J23" s="118">
        <v>-30</v>
      </c>
      <c r="K23" s="118">
        <v>-3</v>
      </c>
      <c r="L23" s="118">
        <v>-32</v>
      </c>
      <c r="M23" s="118">
        <v>32</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18">
        <v>0</v>
      </c>
      <c r="AD23" s="118">
        <v>0</v>
      </c>
      <c r="AE23" s="118">
        <v>0</v>
      </c>
      <c r="AF23" s="118">
        <v>0</v>
      </c>
      <c r="AG23" s="118">
        <v>0</v>
      </c>
      <c r="AH23" s="118">
        <v>0</v>
      </c>
      <c r="AI23" s="118">
        <v>0</v>
      </c>
      <c r="AJ23" s="118">
        <v>0</v>
      </c>
      <c r="AK23" s="118">
        <v>0</v>
      </c>
      <c r="AL23" s="118">
        <v>-2</v>
      </c>
      <c r="AM23" s="118">
        <v>0</v>
      </c>
      <c r="AN23" s="118">
        <v>0</v>
      </c>
      <c r="AO23" s="118">
        <v>0</v>
      </c>
      <c r="AP23" s="118">
        <v>-5</v>
      </c>
      <c r="AQ23" s="118">
        <v>0</v>
      </c>
      <c r="AR23" s="118">
        <v>-14</v>
      </c>
      <c r="AS23" s="118">
        <v>0</v>
      </c>
      <c r="AT23" s="118">
        <v>0</v>
      </c>
      <c r="AU23" s="118">
        <v>0</v>
      </c>
      <c r="AV23" s="118">
        <v>0</v>
      </c>
      <c r="AW23" s="118">
        <v>0</v>
      </c>
      <c r="AX23" s="118">
        <v>0</v>
      </c>
      <c r="AY23" s="118">
        <v>0</v>
      </c>
      <c r="AZ23" s="118">
        <v>0</v>
      </c>
      <c r="BA23" s="118">
        <v>0</v>
      </c>
      <c r="BB23" s="118">
        <f>('[3]23 Out Op. NL'!$F$9)-BA23</f>
        <v>0</v>
      </c>
    </row>
    <row r="24" spans="1:54" x14ac:dyDescent="0.2">
      <c r="A24" s="25" t="s">
        <v>385</v>
      </c>
      <c r="B24" s="25" t="s">
        <v>1021</v>
      </c>
      <c r="D24" s="129" t="str">
        <f>IF([1]RENAME!$H$3=1,B24,A24)</f>
        <v>Ganho (perda) na venda de ativo imobilizado líquido</v>
      </c>
      <c r="E24" s="118">
        <v>-18</v>
      </c>
      <c r="F24" s="118">
        <v>-1</v>
      </c>
      <c r="G24" s="118">
        <v>1</v>
      </c>
      <c r="H24" s="118">
        <v>1334</v>
      </c>
      <c r="I24" s="118">
        <v>84</v>
      </c>
      <c r="J24" s="118">
        <v>-122</v>
      </c>
      <c r="K24" s="118">
        <v>129</v>
      </c>
      <c r="L24" s="118">
        <v>-380</v>
      </c>
      <c r="M24" s="118">
        <v>-147</v>
      </c>
      <c r="N24" s="118">
        <v>-220</v>
      </c>
      <c r="O24" s="118">
        <v>-859</v>
      </c>
      <c r="P24" s="118">
        <v>-664</v>
      </c>
      <c r="Q24" s="118">
        <v>-153</v>
      </c>
      <c r="R24" s="118">
        <v>3</v>
      </c>
      <c r="S24" s="118">
        <v>-195</v>
      </c>
      <c r="T24" s="118">
        <v>-510</v>
      </c>
      <c r="U24" s="118">
        <v>-295</v>
      </c>
      <c r="V24" s="118">
        <v>-64</v>
      </c>
      <c r="W24" s="118">
        <v>3</v>
      </c>
      <c r="X24" s="118">
        <v>-10</v>
      </c>
      <c r="Y24" s="118">
        <v>12</v>
      </c>
      <c r="Z24" s="118">
        <v>19</v>
      </c>
      <c r="AA24" s="118">
        <v>-7</v>
      </c>
      <c r="AB24" s="118">
        <v>-985</v>
      </c>
      <c r="AC24" s="118">
        <v>1</v>
      </c>
      <c r="AD24" s="118">
        <v>-2</v>
      </c>
      <c r="AE24" s="118">
        <v>-230</v>
      </c>
      <c r="AF24" s="118">
        <v>5</v>
      </c>
      <c r="AG24" s="118">
        <v>-87</v>
      </c>
      <c r="AH24" s="118">
        <v>0</v>
      </c>
      <c r="AI24" s="118">
        <v>149</v>
      </c>
      <c r="AJ24" s="118">
        <v>-4</v>
      </c>
      <c r="AK24" s="118">
        <v>0</v>
      </c>
      <c r="AL24" s="118">
        <v>-51</v>
      </c>
      <c r="AM24" s="118">
        <v>0</v>
      </c>
      <c r="AN24" s="118">
        <v>1</v>
      </c>
      <c r="AO24" s="118">
        <v>19</v>
      </c>
      <c r="AP24" s="118">
        <v>1</v>
      </c>
      <c r="AQ24" s="118">
        <v>0</v>
      </c>
      <c r="AR24" s="118">
        <v>-138</v>
      </c>
      <c r="AS24" s="118">
        <v>-10</v>
      </c>
      <c r="AT24" s="118">
        <v>6</v>
      </c>
      <c r="AU24" s="118">
        <v>94</v>
      </c>
      <c r="AV24" s="118">
        <v>176</v>
      </c>
      <c r="AW24" s="118">
        <v>-98</v>
      </c>
      <c r="AX24" s="118">
        <v>289</v>
      </c>
      <c r="AY24" s="118">
        <v>1</v>
      </c>
      <c r="AZ24" s="118">
        <v>0</v>
      </c>
      <c r="BA24" s="118">
        <v>0</v>
      </c>
      <c r="BB24" s="118">
        <f>('[3]23 Out Op. NL'!$F$10)-BA24</f>
        <v>23</v>
      </c>
    </row>
    <row r="25" spans="1:54" ht="15" customHeight="1" x14ac:dyDescent="0.2">
      <c r="A25" s="25" t="s">
        <v>588</v>
      </c>
      <c r="B25" s="25" t="s">
        <v>1023</v>
      </c>
      <c r="D25" s="129" t="str">
        <f>IF([1]RENAME!$H$3=1,B25,A25)</f>
        <v>Constituição de provisões para demandas judiciais e indenizações pagas</v>
      </c>
      <c r="E25" s="118">
        <v>0</v>
      </c>
      <c r="F25" s="118">
        <v>0</v>
      </c>
      <c r="G25" s="118">
        <v>0</v>
      </c>
      <c r="H25" s="118">
        <v>0</v>
      </c>
      <c r="I25" s="118">
        <v>-263</v>
      </c>
      <c r="J25" s="118">
        <v>403</v>
      </c>
      <c r="K25" s="118">
        <v>-181</v>
      </c>
      <c r="L25" s="118">
        <v>-4616</v>
      </c>
      <c r="M25" s="118">
        <v>-596</v>
      </c>
      <c r="N25" s="118">
        <v>-987</v>
      </c>
      <c r="O25" s="118">
        <v>-283</v>
      </c>
      <c r="P25" s="118">
        <v>-352</v>
      </c>
      <c r="Q25" s="118">
        <v>-1455</v>
      </c>
      <c r="R25" s="260">
        <v>-18703</v>
      </c>
      <c r="S25" s="118">
        <v>-3287</v>
      </c>
      <c r="T25" s="118">
        <v>-7763</v>
      </c>
      <c r="U25" s="118">
        <v>-5551</v>
      </c>
      <c r="V25" s="118">
        <v>-2971</v>
      </c>
      <c r="W25" s="118">
        <v>-640</v>
      </c>
      <c r="X25" s="118">
        <v>-15384</v>
      </c>
      <c r="Y25" s="118">
        <v>-4037</v>
      </c>
      <c r="Z25" s="118">
        <v>-3479</v>
      </c>
      <c r="AA25" s="118">
        <v>-5089</v>
      </c>
      <c r="AB25" s="118">
        <v>-5969</v>
      </c>
      <c r="AC25" s="118">
        <v>-5593</v>
      </c>
      <c r="AD25" s="118">
        <v>-1978</v>
      </c>
      <c r="AE25" s="118">
        <v>-5211</v>
      </c>
      <c r="AF25" s="118">
        <v>-2037</v>
      </c>
      <c r="AG25" s="118">
        <v>-926</v>
      </c>
      <c r="AH25" s="118">
        <v>-921</v>
      </c>
      <c r="AI25" s="118">
        <v>1</v>
      </c>
      <c r="AJ25" s="118">
        <v>-2090</v>
      </c>
      <c r="AK25" s="118">
        <v>587</v>
      </c>
      <c r="AL25" s="118">
        <v>138</v>
      </c>
      <c r="AM25" s="260">
        <v>-6904</v>
      </c>
      <c r="AN25" s="118">
        <v>-227</v>
      </c>
      <c r="AO25" s="118">
        <v>-443</v>
      </c>
      <c r="AP25" s="118">
        <v>-559</v>
      </c>
      <c r="AQ25" s="118">
        <v>-322</v>
      </c>
      <c r="AR25" s="118">
        <v>-459</v>
      </c>
      <c r="AS25" s="118">
        <v>-660</v>
      </c>
      <c r="AT25" s="118">
        <v>-431</v>
      </c>
      <c r="AU25" s="118">
        <v>144</v>
      </c>
      <c r="AV25" s="118">
        <v>-236</v>
      </c>
      <c r="AW25" s="118">
        <v>-361</v>
      </c>
      <c r="AX25" s="118">
        <v>-205</v>
      </c>
      <c r="AY25" s="118">
        <v>-235</v>
      </c>
      <c r="AZ25" s="118">
        <v>-878</v>
      </c>
      <c r="BA25" s="118">
        <v>765</v>
      </c>
      <c r="BB25" s="260">
        <f>('[3]23 Out Op. NL'!$F$13)-BA25</f>
        <v>-8129</v>
      </c>
    </row>
    <row r="26" spans="1:54" x14ac:dyDescent="0.2">
      <c r="A26" s="782" t="s">
        <v>1570</v>
      </c>
      <c r="B26" s="25" t="s">
        <v>1263</v>
      </c>
      <c r="D26" s="129" t="str">
        <f>IF([1]RENAME!$H$3=1,B26,A26)</f>
        <v>Créditos fiscais extemporâneos</v>
      </c>
      <c r="E26" s="118">
        <v>0</v>
      </c>
      <c r="F26" s="118">
        <v>0</v>
      </c>
      <c r="G26" s="118">
        <v>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18">
        <v>0</v>
      </c>
      <c r="Y26" s="118">
        <v>0</v>
      </c>
      <c r="Z26" s="118">
        <v>0</v>
      </c>
      <c r="AA26" s="260">
        <v>56475</v>
      </c>
      <c r="AB26" s="320">
        <v>0</v>
      </c>
      <c r="AC26" s="320">
        <v>0</v>
      </c>
      <c r="AD26" s="320">
        <v>0</v>
      </c>
      <c r="AE26" s="320">
        <v>0</v>
      </c>
      <c r="AF26" s="320">
        <v>0</v>
      </c>
      <c r="AG26" s="320">
        <v>0</v>
      </c>
      <c r="AH26" s="320">
        <v>0</v>
      </c>
      <c r="AI26" s="320">
        <v>0</v>
      </c>
      <c r="AJ26" s="320">
        <v>0</v>
      </c>
      <c r="AK26" s="320">
        <v>0</v>
      </c>
      <c r="AL26" s="320">
        <v>0</v>
      </c>
      <c r="AM26" s="320">
        <v>0</v>
      </c>
      <c r="AN26" s="320">
        <v>0</v>
      </c>
      <c r="AO26" s="320">
        <v>0</v>
      </c>
      <c r="AP26" s="320">
        <v>0</v>
      </c>
      <c r="AQ26" s="320">
        <v>0</v>
      </c>
      <c r="AR26" s="320">
        <v>0</v>
      </c>
      <c r="AS26" s="320">
        <v>0</v>
      </c>
      <c r="AT26" s="320">
        <v>0</v>
      </c>
      <c r="AU26" s="320">
        <v>0</v>
      </c>
      <c r="AV26" s="320">
        <v>0</v>
      </c>
      <c r="AW26" s="320">
        <v>0</v>
      </c>
      <c r="AX26" s="320">
        <v>0</v>
      </c>
      <c r="AY26" s="320">
        <v>0</v>
      </c>
      <c r="AZ26" s="320">
        <v>0</v>
      </c>
      <c r="BA26" s="320">
        <v>0</v>
      </c>
      <c r="BB26" s="320">
        <f>('[3]23 outras operacionais'!$B$6)-BA26</f>
        <v>0</v>
      </c>
    </row>
    <row r="27" spans="1:54" ht="15" customHeight="1" x14ac:dyDescent="0.2">
      <c r="A27" s="25" t="s">
        <v>1565</v>
      </c>
      <c r="B27" s="25" t="s">
        <v>1566</v>
      </c>
      <c r="D27" s="129" t="str">
        <f>IF([1]RENAME!$H$3=1,B27,A27)</f>
        <v>Baixa direito de uso / arrendamento</v>
      </c>
      <c r="E27" s="118">
        <v>0</v>
      </c>
      <c r="F27" s="118">
        <v>0</v>
      </c>
      <c r="G27" s="118">
        <v>0</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18">
        <v>0</v>
      </c>
      <c r="Y27" s="118">
        <v>0</v>
      </c>
      <c r="Z27" s="118">
        <v>0</v>
      </c>
      <c r="AA27" s="118">
        <v>10</v>
      </c>
      <c r="AB27" s="118">
        <v>56</v>
      </c>
      <c r="AC27" s="118">
        <v>-10</v>
      </c>
      <c r="AD27" s="118">
        <v>5</v>
      </c>
      <c r="AE27" s="118">
        <v>36</v>
      </c>
      <c r="AF27" s="118">
        <v>0</v>
      </c>
      <c r="AG27" s="118">
        <v>0</v>
      </c>
      <c r="AH27" s="118">
        <v>0</v>
      </c>
      <c r="AI27" s="118">
        <v>0</v>
      </c>
      <c r="AJ27" s="118">
        <v>0</v>
      </c>
      <c r="AK27" s="118">
        <v>3</v>
      </c>
      <c r="AL27" s="118">
        <v>-3</v>
      </c>
      <c r="AM27" s="118">
        <v>0</v>
      </c>
      <c r="AN27" s="118">
        <v>0</v>
      </c>
      <c r="AO27" s="118">
        <v>0</v>
      </c>
      <c r="AP27" s="118">
        <v>0</v>
      </c>
      <c r="AQ27" s="118">
        <v>0</v>
      </c>
      <c r="AR27" s="118">
        <v>0</v>
      </c>
      <c r="AS27" s="118">
        <v>0</v>
      </c>
      <c r="AT27" s="118">
        <v>0</v>
      </c>
      <c r="AU27" s="118">
        <v>0</v>
      </c>
      <c r="AV27" s="118">
        <v>41</v>
      </c>
      <c r="AW27" s="118">
        <v>0</v>
      </c>
      <c r="AX27" s="118">
        <v>0</v>
      </c>
      <c r="AY27" s="118">
        <v>0</v>
      </c>
      <c r="AZ27" s="118">
        <v>0</v>
      </c>
      <c r="BA27" s="118">
        <v>0</v>
      </c>
      <c r="BB27" s="118">
        <f>(+'[3]23 outras operacionais'!$B$11)-BA27</f>
        <v>0</v>
      </c>
    </row>
    <row r="28" spans="1:54" x14ac:dyDescent="0.2">
      <c r="A28" s="25" t="s">
        <v>1936</v>
      </c>
      <c r="B28" s="25" t="s">
        <v>1937</v>
      </c>
      <c r="D28" s="129" t="str">
        <f>IF([1]RENAME!$H$3=1,B28,A28)</f>
        <v>Ganho na alienação de investimento</v>
      </c>
      <c r="E28" s="118" t="s">
        <v>160</v>
      </c>
      <c r="F28" s="118" t="s">
        <v>160</v>
      </c>
      <c r="G28" s="118" t="s">
        <v>160</v>
      </c>
      <c r="H28" s="118" t="s">
        <v>160</v>
      </c>
      <c r="I28" s="118" t="s">
        <v>160</v>
      </c>
      <c r="J28" s="118" t="s">
        <v>160</v>
      </c>
      <c r="K28" s="118" t="s">
        <v>160</v>
      </c>
      <c r="L28" s="118" t="s">
        <v>160</v>
      </c>
      <c r="M28" s="118" t="s">
        <v>160</v>
      </c>
      <c r="N28" s="118" t="s">
        <v>160</v>
      </c>
      <c r="O28" s="118" t="s">
        <v>160</v>
      </c>
      <c r="P28" s="118" t="s">
        <v>160</v>
      </c>
      <c r="Q28" s="118" t="s">
        <v>160</v>
      </c>
      <c r="R28" s="118" t="s">
        <v>160</v>
      </c>
      <c r="S28" s="118" t="s">
        <v>160</v>
      </c>
      <c r="T28" s="118" t="s">
        <v>160</v>
      </c>
      <c r="U28" s="118" t="s">
        <v>160</v>
      </c>
      <c r="V28" s="118" t="s">
        <v>160</v>
      </c>
      <c r="W28" s="118" t="s">
        <v>160</v>
      </c>
      <c r="X28" s="118" t="s">
        <v>160</v>
      </c>
      <c r="Y28" s="118" t="s">
        <v>160</v>
      </c>
      <c r="Z28" s="118" t="s">
        <v>160</v>
      </c>
      <c r="AA28" s="118" t="s">
        <v>160</v>
      </c>
      <c r="AB28" s="118" t="s">
        <v>160</v>
      </c>
      <c r="AC28" s="118" t="s">
        <v>160</v>
      </c>
      <c r="AD28" s="118" t="s">
        <v>160</v>
      </c>
      <c r="AE28" s="118" t="s">
        <v>160</v>
      </c>
      <c r="AF28" s="118" t="s">
        <v>160</v>
      </c>
      <c r="AG28" s="118" t="s">
        <v>160</v>
      </c>
      <c r="AH28" s="118" t="s">
        <v>160</v>
      </c>
      <c r="AI28" s="118" t="s">
        <v>160</v>
      </c>
      <c r="AJ28" s="118">
        <v>0</v>
      </c>
      <c r="AK28" s="118">
        <v>0</v>
      </c>
      <c r="AL28" s="118">
        <v>0</v>
      </c>
      <c r="AM28" s="118">
        <v>0</v>
      </c>
      <c r="AN28" s="118">
        <v>0</v>
      </c>
      <c r="AO28" s="118">
        <v>0</v>
      </c>
      <c r="AP28" s="118">
        <v>0</v>
      </c>
      <c r="AQ28" s="118">
        <v>0</v>
      </c>
      <c r="AR28" s="118">
        <v>0</v>
      </c>
      <c r="AS28" s="118">
        <v>0</v>
      </c>
      <c r="AT28" s="118">
        <v>0</v>
      </c>
      <c r="AU28" s="118">
        <v>0</v>
      </c>
      <c r="AV28" s="118">
        <v>0</v>
      </c>
      <c r="AW28" s="118">
        <v>0</v>
      </c>
      <c r="AX28" s="118">
        <v>0</v>
      </c>
      <c r="AY28" s="118">
        <v>0</v>
      </c>
      <c r="AZ28" s="118">
        <v>0</v>
      </c>
      <c r="BA28" s="118">
        <v>0</v>
      </c>
      <c r="BB28" s="118">
        <v>0</v>
      </c>
    </row>
    <row r="29" spans="1:54" x14ac:dyDescent="0.2">
      <c r="A29" s="25" t="s">
        <v>128</v>
      </c>
      <c r="B29" s="25" t="s">
        <v>699</v>
      </c>
      <c r="D29" s="129" t="str">
        <f>IF([1]RENAME!$H$3=1,B29,A29)</f>
        <v>Outras</v>
      </c>
      <c r="E29" s="118">
        <v>6</v>
      </c>
      <c r="F29" s="118">
        <v>2</v>
      </c>
      <c r="G29" s="118">
        <v>293</v>
      </c>
      <c r="H29" s="118">
        <v>3</v>
      </c>
      <c r="I29" s="118">
        <v>2</v>
      </c>
      <c r="J29" s="118">
        <v>-8</v>
      </c>
      <c r="K29" s="118">
        <v>4</v>
      </c>
      <c r="L29" s="118">
        <v>-1702</v>
      </c>
      <c r="M29" s="118">
        <v>1222</v>
      </c>
      <c r="N29" s="118">
        <v>-310</v>
      </c>
      <c r="O29" s="118">
        <v>40</v>
      </c>
      <c r="P29" s="118">
        <v>-20</v>
      </c>
      <c r="Q29" s="118">
        <v>2</v>
      </c>
      <c r="R29" s="118">
        <v>2</v>
      </c>
      <c r="S29" s="118">
        <v>706</v>
      </c>
      <c r="T29" s="118">
        <v>-26</v>
      </c>
      <c r="U29" s="118">
        <v>828</v>
      </c>
      <c r="V29" s="118">
        <v>-39</v>
      </c>
      <c r="W29" s="118">
        <v>-2301</v>
      </c>
      <c r="X29" s="118">
        <v>1016</v>
      </c>
      <c r="Y29" s="118">
        <v>55</v>
      </c>
      <c r="Z29" s="118">
        <v>-926</v>
      </c>
      <c r="AA29" s="118">
        <v>-300</v>
      </c>
      <c r="AB29" s="118">
        <v>871</v>
      </c>
      <c r="AC29" s="118">
        <v>-71</v>
      </c>
      <c r="AD29" s="118">
        <v>-2</v>
      </c>
      <c r="AE29" s="118">
        <v>198</v>
      </c>
      <c r="AF29" s="118">
        <v>-125</v>
      </c>
      <c r="AG29" s="260">
        <v>6551</v>
      </c>
      <c r="AH29" s="118">
        <v>19</v>
      </c>
      <c r="AI29" s="118">
        <v>-11</v>
      </c>
      <c r="AJ29" s="118">
        <v>-597</v>
      </c>
      <c r="AK29" s="118">
        <v>180</v>
      </c>
      <c r="AL29" s="118">
        <v>-469</v>
      </c>
      <c r="AM29" s="118">
        <v>-299</v>
      </c>
      <c r="AN29" s="118">
        <v>340</v>
      </c>
      <c r="AO29" s="118">
        <v>146</v>
      </c>
      <c r="AP29" s="118">
        <v>-2573</v>
      </c>
      <c r="AQ29" s="118">
        <v>-25</v>
      </c>
      <c r="AR29" s="118">
        <v>-168</v>
      </c>
      <c r="AS29" s="118">
        <v>-53</v>
      </c>
      <c r="AT29" s="118">
        <v>695</v>
      </c>
      <c r="AU29" s="118">
        <v>-238</v>
      </c>
      <c r="AV29" s="118">
        <v>1830</v>
      </c>
      <c r="AW29" s="118">
        <v>269</v>
      </c>
      <c r="AX29" s="118">
        <v>-291</v>
      </c>
      <c r="AY29" s="118">
        <v>61</v>
      </c>
      <c r="AZ29" s="118">
        <v>-1</v>
      </c>
      <c r="BA29" s="118">
        <v>2500</v>
      </c>
      <c r="BB29" s="118">
        <f>('[3]23 Out Op. NL'!$F$14)-BA29</f>
        <v>-231</v>
      </c>
    </row>
    <row r="30" spans="1:54" hidden="1" outlineLevel="1" x14ac:dyDescent="0.2">
      <c r="A30" s="249" t="s">
        <v>581</v>
      </c>
      <c r="B30" s="249" t="s">
        <v>992</v>
      </c>
      <c r="C30" s="249"/>
      <c r="D30" s="250" t="str">
        <f>IF([1]RENAME!$H$3=1,B30,A30)</f>
        <v>Perda alienação de investimento</v>
      </c>
      <c r="E30" s="218">
        <v>0</v>
      </c>
      <c r="F30" s="218">
        <v>0</v>
      </c>
      <c r="G30" s="218">
        <v>0</v>
      </c>
      <c r="H30" s="218">
        <v>0</v>
      </c>
      <c r="I30" s="218">
        <v>0</v>
      </c>
      <c r="J30" s="218">
        <v>0</v>
      </c>
      <c r="K30" s="218">
        <v>0</v>
      </c>
      <c r="L30" s="218">
        <v>0</v>
      </c>
      <c r="M30" s="218">
        <v>0</v>
      </c>
      <c r="N30" s="218">
        <v>0</v>
      </c>
      <c r="O30" s="218">
        <v>0</v>
      </c>
      <c r="P30" s="218">
        <v>0</v>
      </c>
      <c r="Q30" s="218">
        <v>0</v>
      </c>
      <c r="R30" s="218">
        <v>-223</v>
      </c>
      <c r="S30" s="218">
        <v>0</v>
      </c>
      <c r="T30" s="218">
        <v>0</v>
      </c>
      <c r="U30" s="218">
        <v>0</v>
      </c>
      <c r="V30" s="218">
        <v>0</v>
      </c>
      <c r="W30" s="218">
        <v>0</v>
      </c>
      <c r="X30" s="218">
        <v>0</v>
      </c>
      <c r="Y30" s="218">
        <v>0</v>
      </c>
      <c r="Z30" s="218">
        <v>0</v>
      </c>
      <c r="AA30" s="218">
        <v>0</v>
      </c>
      <c r="AB30" s="218">
        <v>0</v>
      </c>
      <c r="AC30" s="218">
        <v>0</v>
      </c>
      <c r="AD30" s="218">
        <v>0</v>
      </c>
      <c r="AE30" s="218">
        <v>0</v>
      </c>
      <c r="AF30" s="218">
        <v>0</v>
      </c>
      <c r="AG30" s="218">
        <v>0</v>
      </c>
      <c r="AH30" s="218">
        <v>0</v>
      </c>
      <c r="AI30" s="218">
        <v>0</v>
      </c>
      <c r="AJ30" s="218">
        <v>0</v>
      </c>
      <c r="AK30" s="218">
        <v>0</v>
      </c>
      <c r="AL30" s="218">
        <v>0</v>
      </c>
      <c r="AM30" s="218">
        <v>0</v>
      </c>
      <c r="AN30" s="218">
        <v>0</v>
      </c>
      <c r="AO30" s="218">
        <v>0</v>
      </c>
      <c r="AP30" s="218">
        <v>0</v>
      </c>
      <c r="AQ30" s="218">
        <v>0</v>
      </c>
      <c r="AR30" s="218">
        <v>0</v>
      </c>
      <c r="AS30" s="218">
        <v>0</v>
      </c>
      <c r="AT30" s="218"/>
      <c r="AU30" s="218"/>
      <c r="AV30" s="218"/>
      <c r="AW30" s="218"/>
      <c r="AX30" s="218">
        <v>0</v>
      </c>
      <c r="AY30" s="218">
        <v>0</v>
      </c>
      <c r="AZ30" s="218">
        <v>0</v>
      </c>
      <c r="BA30" s="218">
        <v>0</v>
      </c>
      <c r="BB30" s="218">
        <v>0</v>
      </c>
    </row>
    <row r="31" spans="1:54" hidden="1" outlineLevel="1" x14ac:dyDescent="0.2">
      <c r="A31" s="249" t="s">
        <v>126</v>
      </c>
      <c r="B31" s="249" t="s">
        <v>1022</v>
      </c>
      <c r="C31" s="249"/>
      <c r="D31" s="250" t="str">
        <f>IF([1]RENAME!$H$3=1,B31,A31)</f>
        <v>Perdas com créditos incobráveis</v>
      </c>
      <c r="E31" s="218">
        <v>-647</v>
      </c>
      <c r="F31" s="218">
        <v>-828</v>
      </c>
      <c r="G31" s="218">
        <v>-12308</v>
      </c>
      <c r="H31" s="218">
        <v>-2904</v>
      </c>
      <c r="I31" s="218">
        <v>-487</v>
      </c>
      <c r="J31" s="218">
        <v>-113</v>
      </c>
      <c r="K31" s="218">
        <v>-470</v>
      </c>
      <c r="L31" s="218">
        <v>-999</v>
      </c>
      <c r="M31" s="218">
        <v>-105</v>
      </c>
      <c r="N31" s="218">
        <v>-933</v>
      </c>
      <c r="O31" s="218">
        <v>-187</v>
      </c>
      <c r="P31" s="218">
        <v>-145</v>
      </c>
      <c r="Q31" s="218">
        <v>-5</v>
      </c>
      <c r="R31" s="218">
        <v>-35</v>
      </c>
      <c r="S31" s="218">
        <v>55</v>
      </c>
      <c r="T31" s="218">
        <v>8</v>
      </c>
      <c r="U31" s="218">
        <v>-57</v>
      </c>
      <c r="V31" s="218">
        <v>109</v>
      </c>
      <c r="W31" s="218">
        <v>-5</v>
      </c>
      <c r="X31" s="218">
        <v>-15</v>
      </c>
      <c r="Y31" s="218">
        <v>-79</v>
      </c>
      <c r="Z31" s="218">
        <v>80</v>
      </c>
      <c r="AA31" s="218">
        <v>-86</v>
      </c>
      <c r="AB31" s="218">
        <v>85</v>
      </c>
      <c r="AC31" s="218">
        <v>0</v>
      </c>
      <c r="AD31" s="218">
        <v>0</v>
      </c>
      <c r="AE31" s="218">
        <v>0</v>
      </c>
      <c r="AF31" s="218">
        <v>0</v>
      </c>
      <c r="AG31" s="218">
        <v>0</v>
      </c>
      <c r="AH31" s="218">
        <v>0</v>
      </c>
      <c r="AI31" s="218">
        <v>0</v>
      </c>
      <c r="AJ31" s="218">
        <v>0</v>
      </c>
      <c r="AK31" s="218">
        <v>0</v>
      </c>
      <c r="AL31" s="218">
        <v>0</v>
      </c>
      <c r="AM31" s="218">
        <v>847</v>
      </c>
      <c r="AN31" s="218">
        <f>'[3]23 outras operacionais'!$B$10-SUM(AK31:AM31)</f>
        <v>-847</v>
      </c>
      <c r="AO31" s="218">
        <f>'[3]23 outras operacionais'!$B$10-SUM(AL31:AN31)</f>
        <v>0</v>
      </c>
      <c r="AP31" s="218">
        <f>'[3]23 outras operacionais'!$B$10-SUM(AM31:AO31)</f>
        <v>0</v>
      </c>
      <c r="AQ31" s="218">
        <v>0</v>
      </c>
      <c r="AR31" s="218">
        <v>0</v>
      </c>
      <c r="AS31" s="218">
        <v>0</v>
      </c>
      <c r="AT31" s="218"/>
      <c r="AU31" s="218"/>
      <c r="AV31" s="218"/>
      <c r="AW31" s="218"/>
      <c r="AX31" s="218">
        <v>0</v>
      </c>
      <c r="AY31" s="218">
        <v>0</v>
      </c>
      <c r="AZ31" s="218">
        <v>0</v>
      </c>
      <c r="BA31" s="218">
        <v>0</v>
      </c>
      <c r="BB31" s="218">
        <v>0</v>
      </c>
    </row>
    <row r="32" spans="1:54" hidden="1" outlineLevel="1" x14ac:dyDescent="0.2">
      <c r="A32" s="25" t="s">
        <v>1299</v>
      </c>
      <c r="B32" s="25" t="s">
        <v>1022</v>
      </c>
      <c r="D32" s="250" t="str">
        <f>IF([1]RENAME!$H$3=1,B32,A32)</f>
        <v>Perda na baixa de ágio (ii)</v>
      </c>
      <c r="E32" s="218">
        <v>0</v>
      </c>
      <c r="F32" s="218">
        <v>0</v>
      </c>
      <c r="G32" s="218">
        <v>0</v>
      </c>
      <c r="H32" s="218">
        <v>0</v>
      </c>
      <c r="I32" s="218">
        <v>0</v>
      </c>
      <c r="J32" s="218">
        <v>0</v>
      </c>
      <c r="K32" s="218">
        <v>0</v>
      </c>
      <c r="L32" s="218">
        <v>0</v>
      </c>
      <c r="M32" s="218">
        <v>0</v>
      </c>
      <c r="N32" s="218">
        <v>0</v>
      </c>
      <c r="O32" s="218">
        <v>0</v>
      </c>
      <c r="P32" s="218">
        <v>0</v>
      </c>
      <c r="Q32" s="218">
        <v>0</v>
      </c>
      <c r="R32" s="218">
        <v>0</v>
      </c>
      <c r="S32" s="218">
        <v>0</v>
      </c>
      <c r="T32" s="218">
        <v>0</v>
      </c>
      <c r="U32" s="218">
        <v>-2527</v>
      </c>
      <c r="V32" s="218">
        <v>0</v>
      </c>
      <c r="W32" s="218">
        <v>0</v>
      </c>
      <c r="X32" s="218">
        <v>0</v>
      </c>
      <c r="Y32" s="218">
        <v>0</v>
      </c>
      <c r="Z32" s="218">
        <v>0</v>
      </c>
      <c r="AA32" s="218">
        <v>0</v>
      </c>
      <c r="AB32" s="218">
        <v>0</v>
      </c>
      <c r="AC32" s="218">
        <v>0</v>
      </c>
      <c r="AD32" s="218">
        <v>0</v>
      </c>
      <c r="AE32" s="218">
        <v>0</v>
      </c>
      <c r="AF32" s="218">
        <v>0</v>
      </c>
      <c r="AG32" s="218">
        <v>0</v>
      </c>
      <c r="AH32" s="218">
        <v>0</v>
      </c>
      <c r="AI32" s="218">
        <v>0</v>
      </c>
      <c r="AJ32" s="218">
        <v>0</v>
      </c>
      <c r="AK32" s="218">
        <v>0</v>
      </c>
      <c r="AL32" s="218">
        <v>0</v>
      </c>
      <c r="AM32" s="218">
        <v>0</v>
      </c>
      <c r="AN32" s="218">
        <v>0</v>
      </c>
      <c r="AO32" s="218">
        <v>0</v>
      </c>
      <c r="AP32" s="218">
        <v>0</v>
      </c>
      <c r="AQ32" s="218">
        <v>0</v>
      </c>
      <c r="AR32" s="218">
        <v>0</v>
      </c>
      <c r="AS32" s="218">
        <v>0</v>
      </c>
      <c r="AT32" s="218"/>
      <c r="AU32" s="218"/>
      <c r="AV32" s="218"/>
      <c r="AW32" s="218"/>
      <c r="AX32" s="218">
        <v>0</v>
      </c>
      <c r="AY32" s="218">
        <v>0</v>
      </c>
      <c r="AZ32" s="218">
        <v>0</v>
      </c>
      <c r="BA32" s="218">
        <v>0</v>
      </c>
      <c r="BB32" s="218">
        <v>0</v>
      </c>
    </row>
    <row r="33" spans="1:54" hidden="1" outlineLevel="1" x14ac:dyDescent="0.2">
      <c r="A33" s="25" t="s">
        <v>1300</v>
      </c>
      <c r="B33" s="25" t="s">
        <v>992</v>
      </c>
      <c r="D33" s="250" t="str">
        <f>IF([1]RENAME!$H$3=1,B33,A33)</f>
        <v>Valor justo na transferência de investimento (iii)</v>
      </c>
      <c r="E33" s="218">
        <v>0</v>
      </c>
      <c r="F33" s="218">
        <v>0</v>
      </c>
      <c r="G33" s="218">
        <v>0</v>
      </c>
      <c r="H33" s="218">
        <v>0</v>
      </c>
      <c r="I33" s="218">
        <v>0</v>
      </c>
      <c r="J33" s="218">
        <v>0</v>
      </c>
      <c r="K33" s="218">
        <v>0</v>
      </c>
      <c r="L33" s="218">
        <v>0</v>
      </c>
      <c r="M33" s="218">
        <v>0</v>
      </c>
      <c r="N33" s="218">
        <v>0</v>
      </c>
      <c r="O33" s="218">
        <v>0</v>
      </c>
      <c r="P33" s="218">
        <v>0</v>
      </c>
      <c r="Q33" s="218">
        <v>0</v>
      </c>
      <c r="R33" s="218">
        <v>0</v>
      </c>
      <c r="S33" s="218">
        <v>0</v>
      </c>
      <c r="T33" s="218">
        <v>0</v>
      </c>
      <c r="U33" s="218">
        <v>1842</v>
      </c>
      <c r="V33" s="218">
        <v>0</v>
      </c>
      <c r="W33" s="218">
        <v>0</v>
      </c>
      <c r="X33" s="218">
        <v>0</v>
      </c>
      <c r="Y33" s="218">
        <v>0</v>
      </c>
      <c r="Z33" s="218">
        <v>0</v>
      </c>
      <c r="AA33" s="218">
        <v>0</v>
      </c>
      <c r="AB33" s="218">
        <v>0</v>
      </c>
      <c r="AC33" s="218">
        <v>0</v>
      </c>
      <c r="AD33" s="218">
        <v>0</v>
      </c>
      <c r="AE33" s="218">
        <v>0</v>
      </c>
      <c r="AF33" s="218">
        <v>0</v>
      </c>
      <c r="AG33" s="218">
        <v>0</v>
      </c>
      <c r="AH33" s="218">
        <v>0</v>
      </c>
      <c r="AI33" s="218">
        <v>0</v>
      </c>
      <c r="AJ33" s="218">
        <v>0</v>
      </c>
      <c r="AK33" s="218">
        <v>0</v>
      </c>
      <c r="AL33" s="218">
        <v>0</v>
      </c>
      <c r="AM33" s="218">
        <v>0</v>
      </c>
      <c r="AN33" s="218">
        <v>0</v>
      </c>
      <c r="AO33" s="218">
        <v>0</v>
      </c>
      <c r="AP33" s="218">
        <v>0</v>
      </c>
      <c r="AQ33" s="218">
        <v>0</v>
      </c>
      <c r="AR33" s="218">
        <v>0</v>
      </c>
      <c r="AS33" s="218">
        <v>0</v>
      </c>
      <c r="AT33" s="218"/>
      <c r="AU33" s="218"/>
      <c r="AV33" s="218"/>
      <c r="AW33" s="218"/>
      <c r="AX33" s="218">
        <v>0</v>
      </c>
      <c r="AY33" s="218">
        <v>0</v>
      </c>
      <c r="AZ33" s="218">
        <v>0</v>
      </c>
      <c r="BA33" s="218">
        <v>0</v>
      </c>
      <c r="BB33" s="218">
        <v>0</v>
      </c>
    </row>
    <row r="34" spans="1:54" ht="12.75" hidden="1" outlineLevel="1" x14ac:dyDescent="0.2">
      <c r="A34" s="767" t="s">
        <v>580</v>
      </c>
      <c r="B34" s="767" t="s">
        <v>1024</v>
      </c>
      <c r="C34" s="767"/>
      <c r="D34" s="250" t="str">
        <f>IF([1]RENAME!$H$3=1,B34,A34)</f>
        <v>Provisão para perda de investimento</v>
      </c>
      <c r="E34" s="218">
        <v>0</v>
      </c>
      <c r="F34" s="218">
        <v>0</v>
      </c>
      <c r="G34" s="218">
        <v>0</v>
      </c>
      <c r="H34" s="218">
        <v>0</v>
      </c>
      <c r="I34" s="218">
        <v>0</v>
      </c>
      <c r="J34" s="218">
        <v>0</v>
      </c>
      <c r="K34" s="218">
        <v>0</v>
      </c>
      <c r="L34" s="218">
        <v>0</v>
      </c>
      <c r="M34" s="218">
        <v>0</v>
      </c>
      <c r="N34" s="218">
        <v>0</v>
      </c>
      <c r="O34" s="218">
        <v>0</v>
      </c>
      <c r="P34" s="218">
        <v>0</v>
      </c>
      <c r="Q34" s="218">
        <v>0</v>
      </c>
      <c r="R34" s="218">
        <v>-1365</v>
      </c>
      <c r="S34" s="218">
        <v>0</v>
      </c>
      <c r="T34" s="218">
        <v>0</v>
      </c>
      <c r="U34" s="218">
        <v>0</v>
      </c>
      <c r="V34" s="218">
        <v>0</v>
      </c>
      <c r="W34" s="218">
        <v>0</v>
      </c>
      <c r="X34" s="218">
        <v>0</v>
      </c>
      <c r="Y34" s="218">
        <v>0</v>
      </c>
      <c r="Z34" s="218">
        <v>0</v>
      </c>
      <c r="AA34" s="218">
        <v>0</v>
      </c>
      <c r="AB34" s="218">
        <v>0</v>
      </c>
      <c r="AC34" s="218">
        <v>0</v>
      </c>
      <c r="AD34" s="218">
        <v>0</v>
      </c>
      <c r="AE34" s="218">
        <v>0</v>
      </c>
      <c r="AF34" s="218">
        <v>0</v>
      </c>
      <c r="AG34" s="218">
        <v>0</v>
      </c>
      <c r="AH34" s="218">
        <v>0</v>
      </c>
      <c r="AI34" s="218">
        <v>0</v>
      </c>
      <c r="AJ34" s="218">
        <v>0</v>
      </c>
      <c r="AK34" s="218">
        <v>0</v>
      </c>
      <c r="AL34" s="218">
        <v>0</v>
      </c>
      <c r="AM34" s="218">
        <v>0</v>
      </c>
      <c r="AN34" s="218">
        <v>0</v>
      </c>
      <c r="AO34" s="218">
        <v>0</v>
      </c>
      <c r="AP34" s="218">
        <v>0</v>
      </c>
      <c r="AQ34" s="218">
        <v>0</v>
      </c>
      <c r="AR34" s="218">
        <v>0</v>
      </c>
      <c r="AS34" s="218">
        <v>0</v>
      </c>
      <c r="AT34" s="218"/>
      <c r="AU34" s="218"/>
      <c r="AV34" s="218"/>
      <c r="AW34" s="218"/>
      <c r="AX34" s="218">
        <v>0</v>
      </c>
      <c r="AY34" s="218">
        <v>0</v>
      </c>
      <c r="AZ34" s="218">
        <v>0</v>
      </c>
      <c r="BA34" s="218">
        <v>0</v>
      </c>
      <c r="BB34" s="218">
        <v>0</v>
      </c>
    </row>
    <row r="35" spans="1:54" collapsed="1" x14ac:dyDescent="0.2">
      <c r="A35" s="25" t="s">
        <v>386</v>
      </c>
      <c r="B35" s="25" t="s">
        <v>1025</v>
      </c>
      <c r="D35" s="126" t="str">
        <f>IF([1]RENAME!$H$3=1,B35,A35)</f>
        <v>Outras receitas (despesas) líquidas</v>
      </c>
      <c r="E35" s="120">
        <f t="shared" ref="E35:AN35" si="14">SUM(E22:E34)</f>
        <v>-545</v>
      </c>
      <c r="F35" s="120">
        <f t="shared" si="14"/>
        <v>-613</v>
      </c>
      <c r="G35" s="120">
        <f t="shared" si="14"/>
        <v>-11853</v>
      </c>
      <c r="H35" s="120">
        <f t="shared" si="14"/>
        <v>-2161</v>
      </c>
      <c r="I35" s="120">
        <f t="shared" si="14"/>
        <v>-492</v>
      </c>
      <c r="J35" s="120">
        <f t="shared" si="14"/>
        <v>536</v>
      </c>
      <c r="K35" s="120">
        <f t="shared" si="14"/>
        <v>-254</v>
      </c>
      <c r="L35" s="120">
        <f t="shared" si="14"/>
        <v>-7512</v>
      </c>
      <c r="M35" s="120">
        <f t="shared" si="14"/>
        <v>487</v>
      </c>
      <c r="N35" s="120">
        <f t="shared" si="14"/>
        <v>-2014</v>
      </c>
      <c r="O35" s="120">
        <f t="shared" si="14"/>
        <v>-1172</v>
      </c>
      <c r="P35" s="120">
        <f t="shared" si="14"/>
        <v>-817</v>
      </c>
      <c r="Q35" s="120">
        <f t="shared" si="14"/>
        <v>-1544</v>
      </c>
      <c r="R35" s="120">
        <f t="shared" si="14"/>
        <v>-19727</v>
      </c>
      <c r="S35" s="120">
        <f t="shared" si="14"/>
        <v>-2335</v>
      </c>
      <c r="T35" s="120">
        <f t="shared" si="14"/>
        <v>-8037</v>
      </c>
      <c r="U35" s="120">
        <f t="shared" si="14"/>
        <v>-5633</v>
      </c>
      <c r="V35" s="120">
        <f t="shared" si="14"/>
        <v>-2744</v>
      </c>
      <c r="W35" s="120">
        <f t="shared" si="14"/>
        <v>-2874</v>
      </c>
      <c r="X35" s="120">
        <f t="shared" si="14"/>
        <v>-14024</v>
      </c>
      <c r="Y35" s="120">
        <f t="shared" si="14"/>
        <v>-3335</v>
      </c>
      <c r="Z35" s="120">
        <f t="shared" si="14"/>
        <v>-3957</v>
      </c>
      <c r="AA35" s="120">
        <f t="shared" si="14"/>
        <v>51384</v>
      </c>
      <c r="AB35" s="120">
        <f t="shared" si="14"/>
        <v>-5189</v>
      </c>
      <c r="AC35" s="120">
        <f t="shared" si="14"/>
        <v>-5429</v>
      </c>
      <c r="AD35" s="120">
        <f t="shared" si="14"/>
        <v>-2048</v>
      </c>
      <c r="AE35" s="120">
        <f t="shared" si="14"/>
        <v>-5058</v>
      </c>
      <c r="AF35" s="120">
        <f t="shared" si="14"/>
        <v>-1982</v>
      </c>
      <c r="AG35" s="120">
        <f t="shared" si="14"/>
        <v>5745</v>
      </c>
      <c r="AH35" s="120">
        <f t="shared" si="14"/>
        <v>-785</v>
      </c>
      <c r="AI35" s="120">
        <f t="shared" si="14"/>
        <v>318</v>
      </c>
      <c r="AJ35" s="120">
        <f t="shared" si="14"/>
        <v>-2635</v>
      </c>
      <c r="AK35" s="120">
        <f t="shared" si="14"/>
        <v>815</v>
      </c>
      <c r="AL35" s="120">
        <f t="shared" si="14"/>
        <v>347</v>
      </c>
      <c r="AM35" s="120">
        <f t="shared" si="14"/>
        <v>-6023</v>
      </c>
      <c r="AN35" s="120">
        <f t="shared" si="14"/>
        <v>-526</v>
      </c>
      <c r="AO35" s="120">
        <f t="shared" ref="AO35:AX35" si="15">SUM(AO22:AO34)</f>
        <v>568</v>
      </c>
      <c r="AP35" s="120">
        <f t="shared" si="15"/>
        <v>-2994</v>
      </c>
      <c r="AQ35" s="120">
        <f t="shared" si="15"/>
        <v>91</v>
      </c>
      <c r="AR35" s="120">
        <f t="shared" si="15"/>
        <v>-752</v>
      </c>
      <c r="AS35" s="120">
        <f t="shared" si="15"/>
        <v>-691</v>
      </c>
      <c r="AT35" s="120">
        <f>SUM(AT22:AT34)</f>
        <v>336</v>
      </c>
      <c r="AU35" s="120">
        <f t="shared" si="15"/>
        <v>159</v>
      </c>
      <c r="AV35" s="120">
        <f t="shared" si="15"/>
        <v>2255</v>
      </c>
      <c r="AW35" s="120">
        <f t="shared" si="15"/>
        <v>242</v>
      </c>
      <c r="AX35" s="120">
        <f t="shared" si="15"/>
        <v>-248</v>
      </c>
      <c r="AY35" s="120">
        <f>SUM(AY22:AY34)</f>
        <v>-27</v>
      </c>
      <c r="AZ35" s="120">
        <f>SUM(AZ22:AZ34)</f>
        <v>-734</v>
      </c>
      <c r="BA35" s="120">
        <f>SUM(BA22:BA34)</f>
        <v>3373</v>
      </c>
      <c r="BB35" s="120">
        <f>SUM(BB22:BB34)</f>
        <v>-8127</v>
      </c>
    </row>
    <row r="36" spans="1:54" ht="15" customHeight="1" x14ac:dyDescent="0.2">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row>
    <row r="37" spans="1:54" ht="15" customHeight="1" x14ac:dyDescent="0.2">
      <c r="A37" s="25" t="s">
        <v>98</v>
      </c>
      <c r="B37" s="25" t="s">
        <v>876</v>
      </c>
      <c r="D37" s="115" t="str">
        <f>IF([1]RENAME!$H$3=1,B37,A37)</f>
        <v>Controladas</v>
      </c>
      <c r="E37" s="115" t="str">
        <f t="shared" ref="E37:AN37" si="16">E5</f>
        <v>1T14</v>
      </c>
      <c r="F37" s="115" t="str">
        <f t="shared" si="16"/>
        <v>2T14</v>
      </c>
      <c r="G37" s="115" t="str">
        <f t="shared" si="16"/>
        <v>3T14</v>
      </c>
      <c r="H37" s="115" t="str">
        <f t="shared" si="16"/>
        <v>4T14</v>
      </c>
      <c r="I37" s="115" t="str">
        <f t="shared" si="16"/>
        <v>1T15</v>
      </c>
      <c r="J37" s="115" t="str">
        <f t="shared" si="16"/>
        <v>2T15</v>
      </c>
      <c r="K37" s="115" t="str">
        <f t="shared" si="16"/>
        <v>3T15</v>
      </c>
      <c r="L37" s="115" t="str">
        <f t="shared" si="16"/>
        <v>4T15</v>
      </c>
      <c r="M37" s="115" t="str">
        <f t="shared" si="16"/>
        <v>1T16</v>
      </c>
      <c r="N37" s="115" t="str">
        <f t="shared" si="16"/>
        <v>2T16</v>
      </c>
      <c r="O37" s="115" t="str">
        <f t="shared" si="16"/>
        <v>3T16</v>
      </c>
      <c r="P37" s="115" t="str">
        <f t="shared" si="16"/>
        <v>4T16</v>
      </c>
      <c r="Q37" s="115" t="str">
        <f t="shared" si="16"/>
        <v>1T17</v>
      </c>
      <c r="R37" s="115" t="str">
        <f t="shared" si="16"/>
        <v>2T17</v>
      </c>
      <c r="S37" s="115" t="str">
        <f t="shared" si="16"/>
        <v>3T17</v>
      </c>
      <c r="T37" s="115" t="str">
        <f t="shared" si="16"/>
        <v>4T17</v>
      </c>
      <c r="U37" s="115" t="str">
        <f t="shared" si="16"/>
        <v>1T18</v>
      </c>
      <c r="V37" s="115" t="str">
        <f t="shared" si="16"/>
        <v>2T18</v>
      </c>
      <c r="W37" s="115" t="str">
        <f t="shared" si="16"/>
        <v>3T18</v>
      </c>
      <c r="X37" s="115" t="str">
        <f t="shared" si="16"/>
        <v>4T18</v>
      </c>
      <c r="Y37" s="115" t="str">
        <f t="shared" si="16"/>
        <v>1T19</v>
      </c>
      <c r="Z37" s="115" t="str">
        <f t="shared" si="16"/>
        <v>2T19</v>
      </c>
      <c r="AA37" s="115" t="str">
        <f t="shared" si="16"/>
        <v>3T19</v>
      </c>
      <c r="AB37" s="115" t="str">
        <f t="shared" si="16"/>
        <v>4T19</v>
      </c>
      <c r="AC37" s="115" t="str">
        <f t="shared" si="16"/>
        <v>1T20</v>
      </c>
      <c r="AD37" s="115" t="str">
        <f t="shared" si="16"/>
        <v>2T20</v>
      </c>
      <c r="AE37" s="115" t="str">
        <f t="shared" si="16"/>
        <v>3T20</v>
      </c>
      <c r="AF37" s="115" t="str">
        <f t="shared" si="16"/>
        <v>4T20</v>
      </c>
      <c r="AG37" s="115" t="str">
        <f t="shared" si="16"/>
        <v>1T21</v>
      </c>
      <c r="AH37" s="115" t="str">
        <f t="shared" si="16"/>
        <v>2T21</v>
      </c>
      <c r="AI37" s="115" t="str">
        <f t="shared" si="16"/>
        <v>3T21</v>
      </c>
      <c r="AJ37" s="115" t="str">
        <f t="shared" si="16"/>
        <v>4T21</v>
      </c>
      <c r="AK37" s="115" t="str">
        <f t="shared" si="16"/>
        <v>1T22</v>
      </c>
      <c r="AL37" s="115" t="str">
        <f t="shared" si="16"/>
        <v>2T22</v>
      </c>
      <c r="AM37" s="115" t="str">
        <f t="shared" si="16"/>
        <v>3T22</v>
      </c>
      <c r="AN37" s="115" t="str">
        <f t="shared" si="16"/>
        <v>4T22</v>
      </c>
      <c r="AO37" s="115" t="str">
        <f t="shared" ref="AO37:AX37" si="17">AO5</f>
        <v>1T23</v>
      </c>
      <c r="AP37" s="115" t="str">
        <f t="shared" si="17"/>
        <v>2T23</v>
      </c>
      <c r="AQ37" s="115" t="str">
        <f t="shared" si="17"/>
        <v>3T23</v>
      </c>
      <c r="AR37" s="115" t="str">
        <f t="shared" si="17"/>
        <v>4T23</v>
      </c>
      <c r="AS37" s="115" t="str">
        <f t="shared" si="17"/>
        <v>1T24</v>
      </c>
      <c r="AT37" s="115" t="str">
        <f>AT5</f>
        <v>2T24</v>
      </c>
      <c r="AU37" s="115" t="str">
        <f t="shared" si="17"/>
        <v>3T24</v>
      </c>
      <c r="AV37" s="115" t="str">
        <f t="shared" si="17"/>
        <v>4T24</v>
      </c>
      <c r="AW37" s="115" t="str">
        <f t="shared" si="17"/>
        <v>1T25</v>
      </c>
      <c r="AX37" s="115" t="str">
        <f t="shared" si="17"/>
        <v>2T25</v>
      </c>
      <c r="AY37" s="115" t="str">
        <f>AY5</f>
        <v>3T25</v>
      </c>
      <c r="AZ37" s="115" t="s">
        <v>2244</v>
      </c>
      <c r="BA37" s="115" t="s">
        <v>2284</v>
      </c>
      <c r="BB37" s="115" t="str">
        <f>BB5</f>
        <v>2T26</v>
      </c>
    </row>
    <row r="38" spans="1:54" ht="15" customHeight="1" x14ac:dyDescent="0.2">
      <c r="A38" s="25" t="s">
        <v>1505</v>
      </c>
      <c r="B38" s="25" t="s">
        <v>1019</v>
      </c>
      <c r="D38" s="129" t="str">
        <f>IF([1]RENAME!$H$3=1,B38,A38)</f>
        <v>Recuperação de despesas (i)</v>
      </c>
      <c r="E38" s="118">
        <f t="shared" ref="E38:AD38" si="18">+E6-E22</f>
        <v>3898</v>
      </c>
      <c r="F38" s="118">
        <f t="shared" si="18"/>
        <v>3219</v>
      </c>
      <c r="G38" s="118">
        <f t="shared" si="18"/>
        <v>1932</v>
      </c>
      <c r="H38" s="118">
        <f t="shared" si="18"/>
        <v>3481</v>
      </c>
      <c r="I38" s="118">
        <f t="shared" si="18"/>
        <v>3633</v>
      </c>
      <c r="J38" s="118">
        <f t="shared" si="18"/>
        <v>3698</v>
      </c>
      <c r="K38" s="118">
        <f t="shared" si="18"/>
        <v>3223</v>
      </c>
      <c r="L38" s="118">
        <f t="shared" si="18"/>
        <v>2420</v>
      </c>
      <c r="M38" s="118">
        <f t="shared" si="18"/>
        <v>2412</v>
      </c>
      <c r="N38" s="118">
        <f t="shared" si="18"/>
        <v>720</v>
      </c>
      <c r="O38" s="118">
        <f t="shared" si="18"/>
        <v>504</v>
      </c>
      <c r="P38" s="118">
        <f t="shared" si="18"/>
        <v>417</v>
      </c>
      <c r="Q38" s="118">
        <f t="shared" si="18"/>
        <v>539</v>
      </c>
      <c r="R38" s="118">
        <f t="shared" si="18"/>
        <v>595</v>
      </c>
      <c r="S38" s="118">
        <f t="shared" si="18"/>
        <v>600</v>
      </c>
      <c r="T38" s="118">
        <f t="shared" si="18"/>
        <v>698</v>
      </c>
      <c r="U38" s="118">
        <f t="shared" si="18"/>
        <v>718</v>
      </c>
      <c r="V38" s="118">
        <f t="shared" si="18"/>
        <v>515</v>
      </c>
      <c r="W38" s="118">
        <f t="shared" si="18"/>
        <v>644</v>
      </c>
      <c r="X38" s="118">
        <f t="shared" si="18"/>
        <v>400</v>
      </c>
      <c r="Y38" s="118">
        <f t="shared" si="18"/>
        <v>529</v>
      </c>
      <c r="Z38" s="118">
        <f t="shared" si="18"/>
        <v>515</v>
      </c>
      <c r="AA38" s="118">
        <f t="shared" si="18"/>
        <v>483</v>
      </c>
      <c r="AB38" s="118">
        <f t="shared" si="18"/>
        <v>482</v>
      </c>
      <c r="AC38" s="118">
        <f t="shared" si="18"/>
        <v>294</v>
      </c>
      <c r="AD38" s="118">
        <f t="shared" si="18"/>
        <v>107</v>
      </c>
      <c r="AE38" s="118">
        <v>3</v>
      </c>
      <c r="AF38" s="118">
        <f t="shared" ref="AF38:AN38" si="19">+AF6-AF22</f>
        <v>1</v>
      </c>
      <c r="AG38" s="118">
        <f t="shared" si="19"/>
        <v>2</v>
      </c>
      <c r="AH38" s="118">
        <f t="shared" si="19"/>
        <v>2</v>
      </c>
      <c r="AI38" s="118">
        <f t="shared" si="19"/>
        <v>-1</v>
      </c>
      <c r="AJ38" s="118">
        <f t="shared" si="19"/>
        <v>0</v>
      </c>
      <c r="AK38" s="118">
        <f t="shared" si="19"/>
        <v>1</v>
      </c>
      <c r="AL38" s="118">
        <f t="shared" si="19"/>
        <v>0</v>
      </c>
      <c r="AM38" s="118">
        <f t="shared" si="19"/>
        <v>0</v>
      </c>
      <c r="AN38" s="118">
        <f t="shared" si="19"/>
        <v>13</v>
      </c>
      <c r="AO38" s="118">
        <f t="shared" ref="AO38:AS51" si="20">+AO6-AO22</f>
        <v>24</v>
      </c>
      <c r="AP38" s="118">
        <f t="shared" si="20"/>
        <v>33</v>
      </c>
      <c r="AQ38" s="118">
        <f t="shared" si="20"/>
        <v>69</v>
      </c>
      <c r="AR38" s="118">
        <f t="shared" si="20"/>
        <v>28</v>
      </c>
      <c r="AS38" s="118">
        <f t="shared" si="20"/>
        <v>51</v>
      </c>
      <c r="AT38" s="118">
        <f t="shared" ref="AT38:AV45" si="21">+AT6-AT22</f>
        <v>42</v>
      </c>
      <c r="AU38" s="118">
        <f t="shared" si="21"/>
        <v>45</v>
      </c>
      <c r="AV38" s="118">
        <f t="shared" ref="AV38:BB38" si="22">+AV6-AV22</f>
        <v>29</v>
      </c>
      <c r="AW38" s="118">
        <f t="shared" si="22"/>
        <v>242</v>
      </c>
      <c r="AX38" s="118">
        <f t="shared" si="22"/>
        <v>86</v>
      </c>
      <c r="AY38" s="118">
        <f t="shared" si="22"/>
        <v>189</v>
      </c>
      <c r="AZ38" s="118">
        <f t="shared" si="22"/>
        <v>101</v>
      </c>
      <c r="BA38" s="118">
        <f t="shared" si="22"/>
        <v>63</v>
      </c>
      <c r="BB38" s="118">
        <f t="shared" si="22"/>
        <v>52</v>
      </c>
    </row>
    <row r="39" spans="1:54" ht="15" customHeight="1" x14ac:dyDescent="0.2">
      <c r="A39" s="25" t="s">
        <v>127</v>
      </c>
      <c r="B39" s="25" t="s">
        <v>1020</v>
      </c>
      <c r="D39" s="129" t="str">
        <f>IF([1]RENAME!$H$3=1,B39,A39)</f>
        <v>Ajustes de estoques</v>
      </c>
      <c r="E39" s="118">
        <f t="shared" ref="E39:AD39" si="23">+E7-E23</f>
        <v>358</v>
      </c>
      <c r="F39" s="118">
        <f t="shared" si="23"/>
        <v>380</v>
      </c>
      <c r="G39" s="118">
        <f t="shared" si="23"/>
        <v>136</v>
      </c>
      <c r="H39" s="118">
        <f t="shared" si="23"/>
        <v>141</v>
      </c>
      <c r="I39" s="118">
        <f t="shared" si="23"/>
        <v>391</v>
      </c>
      <c r="J39" s="118">
        <f t="shared" si="23"/>
        <v>-6</v>
      </c>
      <c r="K39" s="118">
        <f t="shared" si="23"/>
        <v>-49</v>
      </c>
      <c r="L39" s="118">
        <f t="shared" si="23"/>
        <v>-314</v>
      </c>
      <c r="M39" s="118">
        <f t="shared" si="23"/>
        <v>-73</v>
      </c>
      <c r="N39" s="118">
        <f t="shared" si="23"/>
        <v>-249</v>
      </c>
      <c r="O39" s="118">
        <f t="shared" si="23"/>
        <v>-237</v>
      </c>
      <c r="P39" s="118">
        <f t="shared" si="23"/>
        <v>-210</v>
      </c>
      <c r="Q39" s="118">
        <f t="shared" si="23"/>
        <v>-3</v>
      </c>
      <c r="R39" s="118">
        <f t="shared" si="23"/>
        <v>3</v>
      </c>
      <c r="S39" s="118">
        <f t="shared" si="23"/>
        <v>-18</v>
      </c>
      <c r="T39" s="118">
        <f t="shared" si="23"/>
        <v>-16</v>
      </c>
      <c r="U39" s="118">
        <f t="shared" si="23"/>
        <v>-27</v>
      </c>
      <c r="V39" s="118">
        <f t="shared" si="23"/>
        <v>-16</v>
      </c>
      <c r="W39" s="118">
        <f t="shared" si="23"/>
        <v>-19</v>
      </c>
      <c r="X39" s="118">
        <f t="shared" si="23"/>
        <v>-13</v>
      </c>
      <c r="Y39" s="118">
        <f t="shared" si="23"/>
        <v>-15</v>
      </c>
      <c r="Z39" s="118">
        <f t="shared" si="23"/>
        <v>-4</v>
      </c>
      <c r="AA39" s="118">
        <f t="shared" si="23"/>
        <v>-105</v>
      </c>
      <c r="AB39" s="118">
        <f t="shared" si="23"/>
        <v>98</v>
      </c>
      <c r="AC39" s="118">
        <f t="shared" si="23"/>
        <v>2</v>
      </c>
      <c r="AD39" s="118">
        <f t="shared" si="23"/>
        <v>-4</v>
      </c>
      <c r="AE39" s="118">
        <v>1</v>
      </c>
      <c r="AF39" s="118">
        <f t="shared" ref="AF39:AN39" si="24">+AF7-AF23</f>
        <v>-3</v>
      </c>
      <c r="AG39" s="118">
        <f t="shared" si="24"/>
        <v>-2</v>
      </c>
      <c r="AH39" s="118">
        <f t="shared" si="24"/>
        <v>-8</v>
      </c>
      <c r="AI39" s="118">
        <f t="shared" si="24"/>
        <v>-5</v>
      </c>
      <c r="AJ39" s="118">
        <f t="shared" si="24"/>
        <v>-2</v>
      </c>
      <c r="AK39" s="118">
        <f t="shared" si="24"/>
        <v>-3</v>
      </c>
      <c r="AL39" s="118">
        <f t="shared" si="24"/>
        <v>-17</v>
      </c>
      <c r="AM39" s="118">
        <f t="shared" si="24"/>
        <v>1</v>
      </c>
      <c r="AN39" s="118">
        <f t="shared" si="24"/>
        <v>-2</v>
      </c>
      <c r="AO39" s="118">
        <f t="shared" si="20"/>
        <v>-7</v>
      </c>
      <c r="AP39" s="118">
        <f t="shared" si="20"/>
        <v>-4</v>
      </c>
      <c r="AQ39" s="118">
        <f t="shared" si="20"/>
        <v>-7</v>
      </c>
      <c r="AR39" s="118">
        <f t="shared" si="20"/>
        <v>-10</v>
      </c>
      <c r="AS39" s="118">
        <f t="shared" si="20"/>
        <v>-10</v>
      </c>
      <c r="AT39" s="118">
        <f t="shared" si="21"/>
        <v>-11</v>
      </c>
      <c r="AU39" s="118">
        <f t="shared" si="21"/>
        <v>-11</v>
      </c>
      <c r="AV39" s="118">
        <f t="shared" ref="AV39:BB39" si="25">+AV7-AV23</f>
        <v>-3</v>
      </c>
      <c r="AW39" s="118">
        <f t="shared" si="25"/>
        <v>0</v>
      </c>
      <c r="AX39" s="118">
        <f t="shared" si="25"/>
        <v>0</v>
      </c>
      <c r="AY39" s="118">
        <f t="shared" si="25"/>
        <v>0</v>
      </c>
      <c r="AZ39" s="118">
        <f t="shared" si="25"/>
        <v>0</v>
      </c>
      <c r="BA39" s="118">
        <f t="shared" si="25"/>
        <v>0</v>
      </c>
      <c r="BB39" s="118">
        <f t="shared" si="25"/>
        <v>0</v>
      </c>
    </row>
    <row r="40" spans="1:54" x14ac:dyDescent="0.2">
      <c r="A40" s="25" t="s">
        <v>385</v>
      </c>
      <c r="B40" s="25" t="s">
        <v>1021</v>
      </c>
      <c r="D40" s="129" t="str">
        <f>IF([1]RENAME!$H$3=1,B40,A40)</f>
        <v>Ganho (perda) na venda de ativo imobilizado líquido</v>
      </c>
      <c r="E40" s="118">
        <f t="shared" ref="E40:AD40" si="26">+E8-E24</f>
        <v>142</v>
      </c>
      <c r="F40" s="118">
        <f t="shared" si="26"/>
        <v>51</v>
      </c>
      <c r="G40" s="118">
        <f t="shared" si="26"/>
        <v>266</v>
      </c>
      <c r="H40" s="118">
        <f t="shared" si="26"/>
        <v>78</v>
      </c>
      <c r="I40" s="118">
        <f t="shared" si="26"/>
        <v>-156</v>
      </c>
      <c r="J40" s="118">
        <f t="shared" si="26"/>
        <v>15</v>
      </c>
      <c r="K40" s="118">
        <f t="shared" si="26"/>
        <v>312</v>
      </c>
      <c r="L40" s="118">
        <f t="shared" si="26"/>
        <v>13</v>
      </c>
      <c r="M40" s="118">
        <f t="shared" si="26"/>
        <v>112</v>
      </c>
      <c r="N40" s="118">
        <f t="shared" si="26"/>
        <v>-149</v>
      </c>
      <c r="O40" s="118">
        <f t="shared" si="26"/>
        <v>265</v>
      </c>
      <c r="P40" s="118">
        <f t="shared" si="26"/>
        <v>-1256</v>
      </c>
      <c r="Q40" s="118">
        <f t="shared" si="26"/>
        <v>0</v>
      </c>
      <c r="R40" s="118">
        <f t="shared" si="26"/>
        <v>76</v>
      </c>
      <c r="S40" s="118">
        <f t="shared" si="26"/>
        <v>-37</v>
      </c>
      <c r="T40" s="118">
        <f t="shared" si="26"/>
        <v>2</v>
      </c>
      <c r="U40" s="118">
        <f t="shared" si="26"/>
        <v>-111</v>
      </c>
      <c r="V40" s="118">
        <f t="shared" si="26"/>
        <v>42</v>
      </c>
      <c r="W40" s="118">
        <f t="shared" si="26"/>
        <v>18</v>
      </c>
      <c r="X40" s="118">
        <f t="shared" si="26"/>
        <v>-809</v>
      </c>
      <c r="Y40" s="118">
        <f t="shared" si="26"/>
        <v>-83</v>
      </c>
      <c r="Z40" s="118">
        <f t="shared" si="26"/>
        <v>4</v>
      </c>
      <c r="AA40" s="118">
        <f t="shared" si="26"/>
        <v>19</v>
      </c>
      <c r="AB40" s="118">
        <f t="shared" si="26"/>
        <v>-1867</v>
      </c>
      <c r="AC40" s="118">
        <f t="shared" si="26"/>
        <v>15</v>
      </c>
      <c r="AD40" s="118">
        <f t="shared" si="26"/>
        <v>27</v>
      </c>
      <c r="AE40" s="118">
        <v>1</v>
      </c>
      <c r="AF40" s="118">
        <f t="shared" ref="AF40:AN40" si="27">+AF8-AF24</f>
        <v>324</v>
      </c>
      <c r="AG40" s="118">
        <f t="shared" si="27"/>
        <v>163</v>
      </c>
      <c r="AH40" s="118">
        <f t="shared" si="27"/>
        <v>-633</v>
      </c>
      <c r="AI40" s="118">
        <f t="shared" si="27"/>
        <v>-1</v>
      </c>
      <c r="AJ40" s="118">
        <f t="shared" si="27"/>
        <v>-1</v>
      </c>
      <c r="AK40" s="118">
        <f t="shared" si="27"/>
        <v>-71</v>
      </c>
      <c r="AL40" s="118">
        <f t="shared" si="27"/>
        <v>37</v>
      </c>
      <c r="AM40" s="118">
        <f t="shared" si="27"/>
        <v>-65</v>
      </c>
      <c r="AN40" s="118">
        <f t="shared" si="27"/>
        <v>-34</v>
      </c>
      <c r="AO40" s="118">
        <f t="shared" si="20"/>
        <v>0</v>
      </c>
      <c r="AP40" s="118">
        <f t="shared" si="20"/>
        <v>0</v>
      </c>
      <c r="AQ40" s="118">
        <f t="shared" si="20"/>
        <v>189</v>
      </c>
      <c r="AR40" s="118">
        <f t="shared" si="20"/>
        <v>-247</v>
      </c>
      <c r="AS40" s="118">
        <f t="shared" si="20"/>
        <v>433</v>
      </c>
      <c r="AT40" s="118">
        <f t="shared" si="21"/>
        <v>140</v>
      </c>
      <c r="AU40" s="118">
        <f t="shared" si="21"/>
        <v>-12</v>
      </c>
      <c r="AV40" s="118">
        <f t="shared" ref="AV40:BB40" si="28">+AV8-AV24</f>
        <v>-49</v>
      </c>
      <c r="AW40" s="118">
        <f t="shared" si="28"/>
        <v>-618</v>
      </c>
      <c r="AX40" s="118">
        <f t="shared" si="28"/>
        <v>664</v>
      </c>
      <c r="AY40" s="118">
        <f t="shared" si="28"/>
        <v>243</v>
      </c>
      <c r="AZ40" s="118">
        <f t="shared" si="28"/>
        <v>-20</v>
      </c>
      <c r="BA40" s="118">
        <f t="shared" si="28"/>
        <v>118</v>
      </c>
      <c r="BB40" s="118">
        <f t="shared" si="28"/>
        <v>66</v>
      </c>
    </row>
    <row r="41" spans="1:54" ht="15" customHeight="1" x14ac:dyDescent="0.2">
      <c r="A41" s="25" t="s">
        <v>588</v>
      </c>
      <c r="B41" s="25" t="s">
        <v>1023</v>
      </c>
      <c r="D41" s="129" t="str">
        <f>IF([1]RENAME!$H$3=1,B41,A41)</f>
        <v>Constituição de provisões para demandas judiciais e indenizações pagas</v>
      </c>
      <c r="E41" s="118">
        <f t="shared" ref="E41:AD41" si="29">+E9-E25</f>
        <v>0</v>
      </c>
      <c r="F41" s="118">
        <f t="shared" si="29"/>
        <v>0</v>
      </c>
      <c r="G41" s="118">
        <f t="shared" si="29"/>
        <v>0</v>
      </c>
      <c r="H41" s="118">
        <f t="shared" si="29"/>
        <v>0</v>
      </c>
      <c r="I41" s="118">
        <f t="shared" si="29"/>
        <v>-627</v>
      </c>
      <c r="J41" s="118">
        <f t="shared" si="29"/>
        <v>-3436</v>
      </c>
      <c r="K41" s="118">
        <f t="shared" si="29"/>
        <v>-4490</v>
      </c>
      <c r="L41" s="118">
        <f t="shared" si="29"/>
        <v>-16835</v>
      </c>
      <c r="M41" s="118">
        <f t="shared" si="29"/>
        <v>-1070</v>
      </c>
      <c r="N41" s="118">
        <f t="shared" si="29"/>
        <v>-1173</v>
      </c>
      <c r="O41" s="118">
        <f t="shared" si="29"/>
        <v>-1432</v>
      </c>
      <c r="P41" s="118">
        <f t="shared" si="29"/>
        <v>-2003</v>
      </c>
      <c r="Q41" s="118">
        <f t="shared" si="29"/>
        <v>-1047</v>
      </c>
      <c r="R41" s="118">
        <f t="shared" si="29"/>
        <v>-5240</v>
      </c>
      <c r="S41" s="118">
        <f t="shared" si="29"/>
        <v>1258</v>
      </c>
      <c r="T41" s="118">
        <f t="shared" si="29"/>
        <v>-2203</v>
      </c>
      <c r="U41" s="118">
        <f t="shared" si="29"/>
        <v>-4705</v>
      </c>
      <c r="V41" s="118">
        <f t="shared" si="29"/>
        <v>-871</v>
      </c>
      <c r="W41" s="118">
        <f t="shared" si="29"/>
        <v>-1404</v>
      </c>
      <c r="X41" s="118">
        <f t="shared" si="29"/>
        <v>-957</v>
      </c>
      <c r="Y41" s="118">
        <f t="shared" si="29"/>
        <v>-309</v>
      </c>
      <c r="Z41" s="118">
        <f t="shared" si="29"/>
        <v>-1174</v>
      </c>
      <c r="AA41" s="118">
        <f t="shared" si="29"/>
        <v>-660</v>
      </c>
      <c r="AB41" s="118">
        <f t="shared" si="29"/>
        <v>-383</v>
      </c>
      <c r="AC41" s="118">
        <f t="shared" si="29"/>
        <v>-157</v>
      </c>
      <c r="AD41" s="118">
        <f t="shared" si="29"/>
        <v>-31</v>
      </c>
      <c r="AE41" s="118">
        <v>-298</v>
      </c>
      <c r="AF41" s="118">
        <f t="shared" ref="AF41:AN41" si="30">+AF9-AF25</f>
        <v>339</v>
      </c>
      <c r="AG41" s="118">
        <f t="shared" si="30"/>
        <v>-54</v>
      </c>
      <c r="AH41" s="118">
        <f t="shared" si="30"/>
        <v>-115</v>
      </c>
      <c r="AI41" s="118">
        <f t="shared" si="30"/>
        <v>-5</v>
      </c>
      <c r="AJ41" s="118">
        <f t="shared" si="30"/>
        <v>-371</v>
      </c>
      <c r="AK41" s="118">
        <f t="shared" si="30"/>
        <v>-25</v>
      </c>
      <c r="AL41" s="118">
        <f t="shared" si="30"/>
        <v>-166</v>
      </c>
      <c r="AM41" s="118">
        <f t="shared" si="30"/>
        <v>-26</v>
      </c>
      <c r="AN41" s="118">
        <f t="shared" si="30"/>
        <v>-189</v>
      </c>
      <c r="AO41" s="118">
        <f t="shared" si="20"/>
        <v>-35</v>
      </c>
      <c r="AP41" s="118">
        <f t="shared" si="20"/>
        <v>362</v>
      </c>
      <c r="AQ41" s="118">
        <f t="shared" si="20"/>
        <v>-47</v>
      </c>
      <c r="AR41" s="118">
        <f t="shared" si="20"/>
        <v>-609</v>
      </c>
      <c r="AS41" s="118">
        <f t="shared" si="20"/>
        <v>-234</v>
      </c>
      <c r="AT41" s="118">
        <f t="shared" si="21"/>
        <v>-49</v>
      </c>
      <c r="AU41" s="118">
        <f t="shared" si="21"/>
        <v>-121</v>
      </c>
      <c r="AV41" s="118">
        <f t="shared" si="21"/>
        <v>-240</v>
      </c>
      <c r="AW41" s="118">
        <f t="shared" ref="AW41:BB41" si="31">+AW9-AW25</f>
        <v>-19</v>
      </c>
      <c r="AX41" s="118">
        <f t="shared" si="31"/>
        <v>-1</v>
      </c>
      <c r="AY41" s="118">
        <f t="shared" si="31"/>
        <v>66</v>
      </c>
      <c r="AZ41" s="118">
        <f t="shared" si="31"/>
        <v>-48</v>
      </c>
      <c r="BA41" s="118">
        <f t="shared" si="31"/>
        <v>-5</v>
      </c>
      <c r="BB41" s="118">
        <f t="shared" si="31"/>
        <v>-64</v>
      </c>
    </row>
    <row r="42" spans="1:54" x14ac:dyDescent="0.2">
      <c r="A42" s="782" t="s">
        <v>1570</v>
      </c>
      <c r="B42" s="25" t="s">
        <v>1263</v>
      </c>
      <c r="D42" s="129" t="str">
        <f>IF([1]RENAME!$H$3=1,B42,A42)</f>
        <v>Créditos fiscais extemporâneos</v>
      </c>
      <c r="E42" s="118">
        <f t="shared" ref="E42:AD42" si="32">+E10-E26</f>
        <v>0</v>
      </c>
      <c r="F42" s="118">
        <f t="shared" si="32"/>
        <v>0</v>
      </c>
      <c r="G42" s="118">
        <f t="shared" si="32"/>
        <v>0</v>
      </c>
      <c r="H42" s="118">
        <f t="shared" si="32"/>
        <v>0</v>
      </c>
      <c r="I42" s="118">
        <f t="shared" si="32"/>
        <v>0</v>
      </c>
      <c r="J42" s="118">
        <f t="shared" si="32"/>
        <v>0</v>
      </c>
      <c r="K42" s="118">
        <f t="shared" si="32"/>
        <v>0</v>
      </c>
      <c r="L42" s="118">
        <f t="shared" si="32"/>
        <v>0</v>
      </c>
      <c r="M42" s="118">
        <f t="shared" si="32"/>
        <v>0</v>
      </c>
      <c r="N42" s="118">
        <f t="shared" si="32"/>
        <v>0</v>
      </c>
      <c r="O42" s="118">
        <f t="shared" si="32"/>
        <v>0</v>
      </c>
      <c r="P42" s="118">
        <f t="shared" si="32"/>
        <v>0</v>
      </c>
      <c r="Q42" s="118">
        <f t="shared" si="32"/>
        <v>0</v>
      </c>
      <c r="R42" s="118">
        <f t="shared" si="32"/>
        <v>0</v>
      </c>
      <c r="S42" s="118">
        <f t="shared" si="32"/>
        <v>0</v>
      </c>
      <c r="T42" s="118">
        <f t="shared" si="32"/>
        <v>0</v>
      </c>
      <c r="U42" s="118">
        <f t="shared" si="32"/>
        <v>0</v>
      </c>
      <c r="V42" s="118">
        <f t="shared" si="32"/>
        <v>0</v>
      </c>
      <c r="W42" s="118">
        <f t="shared" si="32"/>
        <v>0</v>
      </c>
      <c r="X42" s="118">
        <f t="shared" si="32"/>
        <v>0</v>
      </c>
      <c r="Y42" s="118">
        <f t="shared" si="32"/>
        <v>0</v>
      </c>
      <c r="Z42" s="118">
        <f t="shared" si="32"/>
        <v>0</v>
      </c>
      <c r="AA42" s="118">
        <f t="shared" si="32"/>
        <v>0</v>
      </c>
      <c r="AB42" s="118">
        <f t="shared" si="32"/>
        <v>0</v>
      </c>
      <c r="AC42" s="118">
        <f t="shared" si="32"/>
        <v>0</v>
      </c>
      <c r="AD42" s="118">
        <f t="shared" si="32"/>
        <v>0</v>
      </c>
      <c r="AE42" s="118">
        <v>0</v>
      </c>
      <c r="AF42" s="118">
        <f t="shared" ref="AF42:AN42" si="33">+AF10-AF26</f>
        <v>0</v>
      </c>
      <c r="AG42" s="118">
        <f t="shared" si="33"/>
        <v>0</v>
      </c>
      <c r="AH42" s="260">
        <f t="shared" si="33"/>
        <v>5732</v>
      </c>
      <c r="AI42" s="118">
        <f t="shared" si="33"/>
        <v>0</v>
      </c>
      <c r="AJ42" s="118">
        <f t="shared" si="33"/>
        <v>0</v>
      </c>
      <c r="AK42" s="118">
        <f t="shared" si="33"/>
        <v>0</v>
      </c>
      <c r="AL42" s="118">
        <f t="shared" si="33"/>
        <v>0</v>
      </c>
      <c r="AM42" s="118">
        <f t="shared" si="33"/>
        <v>0</v>
      </c>
      <c r="AN42" s="260">
        <f t="shared" si="33"/>
        <v>9187</v>
      </c>
      <c r="AO42" s="118">
        <f t="shared" si="20"/>
        <v>0</v>
      </c>
      <c r="AP42" s="118">
        <f t="shared" si="20"/>
        <v>0</v>
      </c>
      <c r="AQ42" s="118">
        <f t="shared" si="20"/>
        <v>0</v>
      </c>
      <c r="AR42" s="118">
        <f t="shared" si="20"/>
        <v>0</v>
      </c>
      <c r="AS42" s="118">
        <f t="shared" si="20"/>
        <v>0</v>
      </c>
      <c r="AT42" s="118">
        <f t="shared" si="21"/>
        <v>0</v>
      </c>
      <c r="AU42" s="118">
        <f t="shared" si="21"/>
        <v>0</v>
      </c>
      <c r="AV42" s="118">
        <f t="shared" ref="AV42:BB42" si="34">+AV10-AV26</f>
        <v>0</v>
      </c>
      <c r="AW42" s="118">
        <f t="shared" si="34"/>
        <v>0</v>
      </c>
      <c r="AX42" s="118">
        <f t="shared" si="34"/>
        <v>0</v>
      </c>
      <c r="AY42" s="118">
        <f t="shared" si="34"/>
        <v>0</v>
      </c>
      <c r="AZ42" s="118">
        <f t="shared" si="34"/>
        <v>0</v>
      </c>
      <c r="BA42" s="118">
        <f t="shared" si="34"/>
        <v>0</v>
      </c>
      <c r="BB42" s="118">
        <f t="shared" si="34"/>
        <v>0</v>
      </c>
    </row>
    <row r="43" spans="1:54" ht="15" customHeight="1" x14ac:dyDescent="0.2">
      <c r="A43" s="25" t="s">
        <v>1565</v>
      </c>
      <c r="B43" s="25" t="s">
        <v>1566</v>
      </c>
      <c r="D43" s="129" t="str">
        <f>IF([1]RENAME!$H$3=1,B43,A43)</f>
        <v>Baixa direito de uso / arrendamento</v>
      </c>
      <c r="E43" s="118">
        <v>0</v>
      </c>
      <c r="F43" s="118">
        <v>0</v>
      </c>
      <c r="G43" s="118">
        <v>0</v>
      </c>
      <c r="H43" s="118">
        <v>0</v>
      </c>
      <c r="I43" s="118">
        <v>0</v>
      </c>
      <c r="J43" s="118">
        <v>0</v>
      </c>
      <c r="K43" s="118">
        <v>0</v>
      </c>
      <c r="L43" s="118">
        <v>0</v>
      </c>
      <c r="M43" s="118">
        <v>0</v>
      </c>
      <c r="N43" s="118">
        <v>0</v>
      </c>
      <c r="O43" s="118">
        <v>0</v>
      </c>
      <c r="P43" s="118">
        <v>0</v>
      </c>
      <c r="Q43" s="118">
        <v>0</v>
      </c>
      <c r="R43" s="118">
        <v>0</v>
      </c>
      <c r="S43" s="118">
        <v>0</v>
      </c>
      <c r="T43" s="118">
        <v>0</v>
      </c>
      <c r="U43" s="118">
        <v>0</v>
      </c>
      <c r="V43" s="118">
        <v>0</v>
      </c>
      <c r="W43" s="118">
        <v>0</v>
      </c>
      <c r="X43" s="118">
        <v>0</v>
      </c>
      <c r="Y43" s="118">
        <v>0</v>
      </c>
      <c r="Z43" s="118">
        <v>0</v>
      </c>
      <c r="AA43" s="118">
        <v>1</v>
      </c>
      <c r="AB43" s="118">
        <f>+AB11-AB27</f>
        <v>49</v>
      </c>
      <c r="AC43" s="118">
        <f>+AC11-AC27</f>
        <v>8</v>
      </c>
      <c r="AD43" s="118">
        <f>+AD11-AD27</f>
        <v>33</v>
      </c>
      <c r="AE43" s="118">
        <v>0</v>
      </c>
      <c r="AF43" s="118">
        <f t="shared" ref="AF43:AN43" si="35">+AF11-AF27</f>
        <v>35</v>
      </c>
      <c r="AG43" s="118">
        <f t="shared" si="35"/>
        <v>2</v>
      </c>
      <c r="AH43" s="118">
        <f t="shared" si="35"/>
        <v>1</v>
      </c>
      <c r="AI43" s="118">
        <f t="shared" si="35"/>
        <v>0</v>
      </c>
      <c r="AJ43" s="118">
        <f t="shared" si="35"/>
        <v>0</v>
      </c>
      <c r="AK43" s="118">
        <f t="shared" si="35"/>
        <v>0</v>
      </c>
      <c r="AL43" s="118">
        <f t="shared" si="35"/>
        <v>0</v>
      </c>
      <c r="AM43" s="118">
        <f t="shared" si="35"/>
        <v>0</v>
      </c>
      <c r="AN43" s="118">
        <f t="shared" si="35"/>
        <v>0</v>
      </c>
      <c r="AO43" s="118">
        <f t="shared" si="20"/>
        <v>0</v>
      </c>
      <c r="AP43" s="118">
        <f t="shared" si="20"/>
        <v>0</v>
      </c>
      <c r="AQ43" s="118">
        <f t="shared" si="20"/>
        <v>0</v>
      </c>
      <c r="AR43" s="118">
        <f t="shared" si="20"/>
        <v>0</v>
      </c>
      <c r="AS43" s="118">
        <f t="shared" si="20"/>
        <v>0</v>
      </c>
      <c r="AT43" s="118">
        <f t="shared" si="21"/>
        <v>0</v>
      </c>
      <c r="AU43" s="118">
        <f t="shared" si="21"/>
        <v>0</v>
      </c>
      <c r="AV43" s="118">
        <f t="shared" ref="AV43:BB43" si="36">+AV11-AV27</f>
        <v>-41</v>
      </c>
      <c r="AW43" s="118">
        <f t="shared" si="36"/>
        <v>0</v>
      </c>
      <c r="AX43" s="118">
        <f t="shared" si="36"/>
        <v>0</v>
      </c>
      <c r="AY43" s="118">
        <f t="shared" si="36"/>
        <v>0</v>
      </c>
      <c r="AZ43" s="118">
        <f t="shared" si="36"/>
        <v>0</v>
      </c>
      <c r="BA43" s="118">
        <f t="shared" si="36"/>
        <v>0</v>
      </c>
      <c r="BB43" s="118">
        <f t="shared" si="36"/>
        <v>0</v>
      </c>
    </row>
    <row r="44" spans="1:54" x14ac:dyDescent="0.2">
      <c r="A44" s="25" t="s">
        <v>1936</v>
      </c>
      <c r="B44" s="25" t="s">
        <v>1937</v>
      </c>
      <c r="D44" s="129" t="str">
        <f>IF([1]RENAME!$H$3=1,B44,A44)</f>
        <v>Ganho na alienação de investimento</v>
      </c>
      <c r="E44" s="118" t="s">
        <v>160</v>
      </c>
      <c r="F44" s="118" t="s">
        <v>160</v>
      </c>
      <c r="G44" s="118" t="s">
        <v>160</v>
      </c>
      <c r="H44" s="118" t="s">
        <v>160</v>
      </c>
      <c r="I44" s="118" t="s">
        <v>160</v>
      </c>
      <c r="J44" s="118" t="s">
        <v>160</v>
      </c>
      <c r="K44" s="118" t="s">
        <v>160</v>
      </c>
      <c r="L44" s="118" t="s">
        <v>160</v>
      </c>
      <c r="M44" s="118" t="s">
        <v>160</v>
      </c>
      <c r="N44" s="118" t="s">
        <v>160</v>
      </c>
      <c r="O44" s="118" t="s">
        <v>160</v>
      </c>
      <c r="P44" s="118" t="s">
        <v>160</v>
      </c>
      <c r="Q44" s="118" t="s">
        <v>160</v>
      </c>
      <c r="R44" s="118" t="s">
        <v>160</v>
      </c>
      <c r="S44" s="118" t="s">
        <v>160</v>
      </c>
      <c r="T44" s="118" t="s">
        <v>160</v>
      </c>
      <c r="U44" s="118" t="s">
        <v>160</v>
      </c>
      <c r="V44" s="118" t="s">
        <v>160</v>
      </c>
      <c r="W44" s="118" t="s">
        <v>160</v>
      </c>
      <c r="X44" s="118" t="s">
        <v>160</v>
      </c>
      <c r="Y44" s="118" t="s">
        <v>160</v>
      </c>
      <c r="Z44" s="118" t="s">
        <v>160</v>
      </c>
      <c r="AA44" s="118" t="s">
        <v>160</v>
      </c>
      <c r="AB44" s="118" t="s">
        <v>160</v>
      </c>
      <c r="AC44" s="118" t="s">
        <v>160</v>
      </c>
      <c r="AD44" s="118" t="s">
        <v>160</v>
      </c>
      <c r="AE44" s="118" t="s">
        <v>160</v>
      </c>
      <c r="AF44" s="118" t="s">
        <v>160</v>
      </c>
      <c r="AG44" s="118" t="s">
        <v>160</v>
      </c>
      <c r="AH44" s="118" t="s">
        <v>160</v>
      </c>
      <c r="AI44" s="118" t="s">
        <v>160</v>
      </c>
      <c r="AJ44" s="260">
        <f t="shared" ref="AJ44:AJ51" si="37">+AJ12-AJ28</f>
        <v>2592</v>
      </c>
      <c r="AK44" s="118" t="s">
        <v>160</v>
      </c>
      <c r="AL44" s="118" t="s">
        <v>160</v>
      </c>
      <c r="AM44" s="118">
        <f t="shared" ref="AM44:AN51" si="38">+AM12-AM28</f>
        <v>847</v>
      </c>
      <c r="AN44" s="118">
        <f t="shared" si="38"/>
        <v>0</v>
      </c>
      <c r="AO44" s="118">
        <f t="shared" si="20"/>
        <v>0</v>
      </c>
      <c r="AP44" s="118">
        <f t="shared" si="20"/>
        <v>0</v>
      </c>
      <c r="AQ44" s="118">
        <f t="shared" si="20"/>
        <v>0</v>
      </c>
      <c r="AR44" s="118">
        <f t="shared" si="20"/>
        <v>0</v>
      </c>
      <c r="AS44" s="118">
        <f t="shared" si="20"/>
        <v>0</v>
      </c>
      <c r="AT44" s="118">
        <f t="shared" si="21"/>
        <v>0</v>
      </c>
      <c r="AU44" s="118">
        <f t="shared" si="21"/>
        <v>0</v>
      </c>
      <c r="AV44" s="118">
        <f t="shared" ref="AV44:BB44" si="39">+AV12-AV28</f>
        <v>0</v>
      </c>
      <c r="AW44" s="118">
        <f t="shared" si="39"/>
        <v>0</v>
      </c>
      <c r="AX44" s="118">
        <f t="shared" si="39"/>
        <v>0</v>
      </c>
      <c r="AY44" s="118">
        <f t="shared" si="39"/>
        <v>0</v>
      </c>
      <c r="AZ44" s="118">
        <f t="shared" si="39"/>
        <v>0</v>
      </c>
      <c r="BA44" s="118">
        <f t="shared" si="39"/>
        <v>0</v>
      </c>
      <c r="BB44" s="118">
        <f t="shared" si="39"/>
        <v>0</v>
      </c>
    </row>
    <row r="45" spans="1:54" ht="15" customHeight="1" x14ac:dyDescent="0.2">
      <c r="A45" s="25" t="s">
        <v>128</v>
      </c>
      <c r="B45" s="25" t="s">
        <v>699</v>
      </c>
      <c r="D45" s="129" t="str">
        <f>IF([1]RENAME!$H$3=1,B45,A45)</f>
        <v>Outras</v>
      </c>
      <c r="E45" s="118">
        <f t="shared" ref="E45:AD45" si="40">+E13-E29</f>
        <v>0</v>
      </c>
      <c r="F45" s="118">
        <f t="shared" si="40"/>
        <v>15</v>
      </c>
      <c r="G45" s="118">
        <f t="shared" si="40"/>
        <v>-84</v>
      </c>
      <c r="H45" s="118">
        <f t="shared" si="40"/>
        <v>644</v>
      </c>
      <c r="I45" s="118">
        <f t="shared" si="40"/>
        <v>15</v>
      </c>
      <c r="J45" s="118">
        <f t="shared" si="40"/>
        <v>46</v>
      </c>
      <c r="K45" s="118">
        <f t="shared" si="40"/>
        <v>176</v>
      </c>
      <c r="L45" s="118">
        <f t="shared" si="40"/>
        <v>-62</v>
      </c>
      <c r="M45" s="118">
        <f t="shared" si="40"/>
        <v>-174</v>
      </c>
      <c r="N45" s="118">
        <f t="shared" si="40"/>
        <v>278</v>
      </c>
      <c r="O45" s="118">
        <f t="shared" si="40"/>
        <v>-226</v>
      </c>
      <c r="P45" s="118">
        <f t="shared" si="40"/>
        <v>399</v>
      </c>
      <c r="Q45" s="118">
        <f t="shared" si="40"/>
        <v>0</v>
      </c>
      <c r="R45" s="118">
        <f t="shared" si="40"/>
        <v>0</v>
      </c>
      <c r="S45" s="118">
        <f t="shared" si="40"/>
        <v>-14</v>
      </c>
      <c r="T45" s="118">
        <f t="shared" si="40"/>
        <v>-1622</v>
      </c>
      <c r="U45" s="118">
        <f t="shared" si="40"/>
        <v>4065</v>
      </c>
      <c r="V45" s="118">
        <f t="shared" si="40"/>
        <v>-27</v>
      </c>
      <c r="W45" s="118">
        <f t="shared" si="40"/>
        <v>68</v>
      </c>
      <c r="X45" s="118">
        <f t="shared" si="40"/>
        <v>383</v>
      </c>
      <c r="Y45" s="118">
        <f t="shared" si="40"/>
        <v>114</v>
      </c>
      <c r="Z45" s="118">
        <f t="shared" si="40"/>
        <v>-12</v>
      </c>
      <c r="AA45" s="118">
        <f t="shared" si="40"/>
        <v>232</v>
      </c>
      <c r="AB45" s="118">
        <f t="shared" si="40"/>
        <v>-718</v>
      </c>
      <c r="AC45" s="118">
        <f t="shared" si="40"/>
        <v>11</v>
      </c>
      <c r="AD45" s="118">
        <f t="shared" si="40"/>
        <v>-70</v>
      </c>
      <c r="AE45" s="118">
        <v>61</v>
      </c>
      <c r="AF45" s="118">
        <f t="shared" ref="AF45:AI51" si="41">+AF13-AF29</f>
        <v>-2184</v>
      </c>
      <c r="AG45" s="118">
        <f t="shared" si="41"/>
        <v>20</v>
      </c>
      <c r="AH45" s="118">
        <f t="shared" si="41"/>
        <v>-1285</v>
      </c>
      <c r="AI45" s="118">
        <f t="shared" si="41"/>
        <v>348</v>
      </c>
      <c r="AJ45" s="118">
        <f t="shared" si="37"/>
        <v>94</v>
      </c>
      <c r="AK45" s="118">
        <f t="shared" ref="AK45:AL51" si="42">+AK13-AK29</f>
        <v>-16</v>
      </c>
      <c r="AL45" s="118">
        <f t="shared" si="42"/>
        <v>-24</v>
      </c>
      <c r="AM45" s="118">
        <f t="shared" si="38"/>
        <v>-61</v>
      </c>
      <c r="AN45" s="260">
        <f t="shared" si="38"/>
        <v>-3384</v>
      </c>
      <c r="AO45" s="118">
        <f t="shared" si="20"/>
        <v>673</v>
      </c>
      <c r="AP45" s="118">
        <f t="shared" si="20"/>
        <v>2340</v>
      </c>
      <c r="AQ45" s="118">
        <f t="shared" si="20"/>
        <v>-17</v>
      </c>
      <c r="AR45" s="118">
        <f t="shared" si="20"/>
        <v>-765</v>
      </c>
      <c r="AS45" s="118">
        <f t="shared" si="20"/>
        <v>-103</v>
      </c>
      <c r="AT45" s="118">
        <f t="shared" si="21"/>
        <v>-46</v>
      </c>
      <c r="AU45" s="118">
        <f t="shared" si="21"/>
        <v>-86</v>
      </c>
      <c r="AV45" s="118">
        <f t="shared" ref="AV45:BB45" si="43">+AV13-AV29</f>
        <v>126</v>
      </c>
      <c r="AW45" s="118">
        <f t="shared" si="43"/>
        <v>679</v>
      </c>
      <c r="AX45" s="118">
        <f t="shared" si="43"/>
        <v>-679</v>
      </c>
      <c r="AY45" s="118">
        <f t="shared" si="43"/>
        <v>-24</v>
      </c>
      <c r="AZ45" s="118">
        <f t="shared" si="43"/>
        <v>-217</v>
      </c>
      <c r="BA45" s="118">
        <f t="shared" si="43"/>
        <v>788</v>
      </c>
      <c r="BB45" s="118">
        <f t="shared" si="43"/>
        <v>458</v>
      </c>
    </row>
    <row r="46" spans="1:54" outlineLevel="1" x14ac:dyDescent="0.2">
      <c r="A46" s="249" t="s">
        <v>581</v>
      </c>
      <c r="B46" s="249" t="s">
        <v>992</v>
      </c>
      <c r="C46" s="249"/>
      <c r="D46" s="250" t="str">
        <f>IF([1]RENAME!$H$3=1,B46,A46)</f>
        <v>Perda alienação de investimento</v>
      </c>
      <c r="E46" s="218">
        <f t="shared" ref="E46:Z46" si="44">+E14-E30</f>
        <v>0</v>
      </c>
      <c r="F46" s="218">
        <f t="shared" si="44"/>
        <v>0</v>
      </c>
      <c r="G46" s="218">
        <f t="shared" si="44"/>
        <v>0</v>
      </c>
      <c r="H46" s="218">
        <f t="shared" si="44"/>
        <v>0</v>
      </c>
      <c r="I46" s="218">
        <f t="shared" si="44"/>
        <v>0</v>
      </c>
      <c r="J46" s="218">
        <f t="shared" si="44"/>
        <v>0</v>
      </c>
      <c r="K46" s="218">
        <f t="shared" si="44"/>
        <v>0</v>
      </c>
      <c r="L46" s="218">
        <f t="shared" si="44"/>
        <v>0</v>
      </c>
      <c r="M46" s="218">
        <f t="shared" si="44"/>
        <v>0</v>
      </c>
      <c r="N46" s="218">
        <f t="shared" si="44"/>
        <v>0</v>
      </c>
      <c r="O46" s="218">
        <f t="shared" si="44"/>
        <v>0</v>
      </c>
      <c r="P46" s="218">
        <f t="shared" si="44"/>
        <v>0</v>
      </c>
      <c r="Q46" s="218">
        <f t="shared" si="44"/>
        <v>0</v>
      </c>
      <c r="R46" s="218">
        <f t="shared" si="44"/>
        <v>0</v>
      </c>
      <c r="S46" s="218">
        <f t="shared" si="44"/>
        <v>0</v>
      </c>
      <c r="T46" s="218">
        <f t="shared" si="44"/>
        <v>0</v>
      </c>
      <c r="U46" s="218">
        <f t="shared" si="44"/>
        <v>0</v>
      </c>
      <c r="V46" s="218">
        <f t="shared" si="44"/>
        <v>0</v>
      </c>
      <c r="W46" s="218">
        <f t="shared" si="44"/>
        <v>0</v>
      </c>
      <c r="X46" s="218">
        <f t="shared" si="44"/>
        <v>0</v>
      </c>
      <c r="Y46" s="218">
        <f t="shared" si="44"/>
        <v>0</v>
      </c>
      <c r="Z46" s="218">
        <f t="shared" si="44"/>
        <v>0</v>
      </c>
      <c r="AA46" s="218">
        <v>0</v>
      </c>
      <c r="AB46" s="218">
        <f>+AB14-AB30</f>
        <v>0</v>
      </c>
      <c r="AC46" s="218">
        <f>+AC14-AC30</f>
        <v>0</v>
      </c>
      <c r="AD46" s="218">
        <f>+AD14-AD30</f>
        <v>0</v>
      </c>
      <c r="AE46" s="218">
        <f>+AE14-AE30</f>
        <v>0</v>
      </c>
      <c r="AF46" s="218">
        <f t="shared" si="41"/>
        <v>0</v>
      </c>
      <c r="AG46" s="218">
        <f t="shared" si="41"/>
        <v>0</v>
      </c>
      <c r="AH46" s="218">
        <f t="shared" si="41"/>
        <v>0</v>
      </c>
      <c r="AI46" s="218">
        <f t="shared" si="41"/>
        <v>0</v>
      </c>
      <c r="AJ46" s="218">
        <f t="shared" si="37"/>
        <v>0</v>
      </c>
      <c r="AK46" s="218">
        <f t="shared" si="42"/>
        <v>0</v>
      </c>
      <c r="AL46" s="218">
        <f t="shared" si="42"/>
        <v>0</v>
      </c>
      <c r="AM46" s="218">
        <f t="shared" si="38"/>
        <v>0</v>
      </c>
      <c r="AN46" s="218">
        <f t="shared" si="38"/>
        <v>0</v>
      </c>
      <c r="AO46" s="218">
        <f t="shared" si="20"/>
        <v>0</v>
      </c>
      <c r="AP46" s="218">
        <f t="shared" si="20"/>
        <v>0</v>
      </c>
      <c r="AQ46" s="218">
        <f t="shared" si="20"/>
        <v>0</v>
      </c>
      <c r="AR46" s="218">
        <f t="shared" si="20"/>
        <v>0</v>
      </c>
      <c r="AS46" s="218">
        <f t="shared" si="20"/>
        <v>0</v>
      </c>
      <c r="AT46" s="218">
        <f t="shared" ref="AT46:AT51" si="45">+AT14-AT30</f>
        <v>0</v>
      </c>
      <c r="AU46" s="218"/>
      <c r="AV46" s="218"/>
      <c r="AW46" s="218"/>
      <c r="AX46" s="218">
        <f t="shared" ref="AX46:AX51" si="46">+AX14-AX30</f>
        <v>0</v>
      </c>
      <c r="AY46" s="218">
        <f t="shared" ref="AY46:AY51" si="47">+AY14-AY30</f>
        <v>0</v>
      </c>
      <c r="AZ46" s="218">
        <v>0</v>
      </c>
      <c r="BA46" s="218">
        <v>0</v>
      </c>
      <c r="BB46" s="218">
        <f t="shared" ref="BB46:BB51" si="48">+BB14-BB30</f>
        <v>0</v>
      </c>
    </row>
    <row r="47" spans="1:54" outlineLevel="1" x14ac:dyDescent="0.2">
      <c r="A47" s="249" t="s">
        <v>126</v>
      </c>
      <c r="B47" s="249" t="s">
        <v>1022</v>
      </c>
      <c r="C47" s="249"/>
      <c r="D47" s="250" t="str">
        <f>IF([1]RENAME!$H$3=1,B47,A47)</f>
        <v>Perdas com créditos incobráveis</v>
      </c>
      <c r="E47" s="218">
        <f t="shared" ref="E47:Z47" si="49">+E15-E31</f>
        <v>275</v>
      </c>
      <c r="F47" s="218">
        <f t="shared" si="49"/>
        <v>-803</v>
      </c>
      <c r="G47" s="218">
        <f t="shared" si="49"/>
        <v>-311</v>
      </c>
      <c r="H47" s="218">
        <f t="shared" si="49"/>
        <v>-2435</v>
      </c>
      <c r="I47" s="218">
        <f t="shared" si="49"/>
        <v>-321</v>
      </c>
      <c r="J47" s="218">
        <f t="shared" si="49"/>
        <v>-781</v>
      </c>
      <c r="K47" s="218">
        <f t="shared" si="49"/>
        <v>-1262</v>
      </c>
      <c r="L47" s="218">
        <f t="shared" si="49"/>
        <v>-88</v>
      </c>
      <c r="M47" s="218">
        <f t="shared" si="49"/>
        <v>-629</v>
      </c>
      <c r="N47" s="218">
        <f t="shared" si="49"/>
        <v>-23</v>
      </c>
      <c r="O47" s="218">
        <f t="shared" si="49"/>
        <v>25</v>
      </c>
      <c r="P47" s="218">
        <f t="shared" si="49"/>
        <v>-734</v>
      </c>
      <c r="Q47" s="218">
        <f t="shared" si="49"/>
        <v>-163</v>
      </c>
      <c r="R47" s="218">
        <f t="shared" si="49"/>
        <v>22</v>
      </c>
      <c r="S47" s="218">
        <f t="shared" si="49"/>
        <v>-1906</v>
      </c>
      <c r="T47" s="218">
        <f t="shared" si="49"/>
        <v>1931</v>
      </c>
      <c r="U47" s="218">
        <f t="shared" si="49"/>
        <v>-6</v>
      </c>
      <c r="V47" s="218">
        <f t="shared" si="49"/>
        <v>301</v>
      </c>
      <c r="W47" s="218">
        <f t="shared" si="49"/>
        <v>313</v>
      </c>
      <c r="X47" s="218">
        <f t="shared" si="49"/>
        <v>-1736</v>
      </c>
      <c r="Y47" s="218">
        <f t="shared" si="49"/>
        <v>3</v>
      </c>
      <c r="Z47" s="218">
        <f t="shared" si="49"/>
        <v>1412</v>
      </c>
      <c r="AA47" s="218">
        <f t="shared" ref="AA47:AD49" si="50">+AA15-AA31</f>
        <v>-46</v>
      </c>
      <c r="AB47" s="218">
        <f t="shared" si="50"/>
        <v>-1369</v>
      </c>
      <c r="AC47" s="218">
        <f t="shared" si="50"/>
        <v>0</v>
      </c>
      <c r="AD47" s="218">
        <f t="shared" si="50"/>
        <v>0</v>
      </c>
      <c r="AE47" s="218">
        <v>0</v>
      </c>
      <c r="AF47" s="218">
        <f t="shared" si="41"/>
        <v>0</v>
      </c>
      <c r="AG47" s="218">
        <f t="shared" si="41"/>
        <v>0</v>
      </c>
      <c r="AH47" s="218">
        <f t="shared" si="41"/>
        <v>0</v>
      </c>
      <c r="AI47" s="218">
        <f t="shared" si="41"/>
        <v>0</v>
      </c>
      <c r="AJ47" s="218">
        <f t="shared" si="37"/>
        <v>0</v>
      </c>
      <c r="AK47" s="218">
        <f t="shared" si="42"/>
        <v>0</v>
      </c>
      <c r="AL47" s="218">
        <f t="shared" si="42"/>
        <v>0</v>
      </c>
      <c r="AM47" s="218">
        <f t="shared" si="38"/>
        <v>-847</v>
      </c>
      <c r="AN47" s="218">
        <f t="shared" si="38"/>
        <v>847</v>
      </c>
      <c r="AO47" s="218">
        <f t="shared" si="20"/>
        <v>0</v>
      </c>
      <c r="AP47" s="218">
        <f t="shared" si="20"/>
        <v>0</v>
      </c>
      <c r="AQ47" s="218">
        <f t="shared" si="20"/>
        <v>0</v>
      </c>
      <c r="AR47" s="218">
        <f t="shared" si="20"/>
        <v>0</v>
      </c>
      <c r="AS47" s="218">
        <f t="shared" si="20"/>
        <v>0</v>
      </c>
      <c r="AT47" s="218">
        <f t="shared" si="45"/>
        <v>0</v>
      </c>
      <c r="AU47" s="218"/>
      <c r="AV47" s="218"/>
      <c r="AW47" s="218"/>
      <c r="AX47" s="218">
        <f t="shared" si="46"/>
        <v>0</v>
      </c>
      <c r="AY47" s="218">
        <f t="shared" si="47"/>
        <v>0</v>
      </c>
      <c r="AZ47" s="218">
        <v>0</v>
      </c>
      <c r="BA47" s="218">
        <v>0</v>
      </c>
      <c r="BB47" s="218">
        <f t="shared" si="48"/>
        <v>0</v>
      </c>
    </row>
    <row r="48" spans="1:54" ht="15" customHeight="1" outlineLevel="1" x14ac:dyDescent="0.2">
      <c r="A48" s="25" t="s">
        <v>1299</v>
      </c>
      <c r="B48" s="25" t="s">
        <v>1022</v>
      </c>
      <c r="D48" s="250" t="str">
        <f>IF([1]RENAME!$H$3=1,B48,A48)</f>
        <v>Perda na baixa de ágio (ii)</v>
      </c>
      <c r="E48" s="218">
        <f t="shared" ref="E48:Z48" si="51">+E16-E32</f>
        <v>0</v>
      </c>
      <c r="F48" s="218">
        <f t="shared" si="51"/>
        <v>0</v>
      </c>
      <c r="G48" s="218">
        <f t="shared" si="51"/>
        <v>0</v>
      </c>
      <c r="H48" s="218">
        <f t="shared" si="51"/>
        <v>0</v>
      </c>
      <c r="I48" s="218">
        <f t="shared" si="51"/>
        <v>0</v>
      </c>
      <c r="J48" s="218">
        <f t="shared" si="51"/>
        <v>0</v>
      </c>
      <c r="K48" s="218">
        <f t="shared" si="51"/>
        <v>0</v>
      </c>
      <c r="L48" s="218">
        <f t="shared" si="51"/>
        <v>0</v>
      </c>
      <c r="M48" s="218">
        <f t="shared" si="51"/>
        <v>0</v>
      </c>
      <c r="N48" s="218">
        <f t="shared" si="51"/>
        <v>0</v>
      </c>
      <c r="O48" s="218">
        <f t="shared" si="51"/>
        <v>0</v>
      </c>
      <c r="P48" s="218">
        <f t="shared" si="51"/>
        <v>0</v>
      </c>
      <c r="Q48" s="218">
        <f t="shared" si="51"/>
        <v>0</v>
      </c>
      <c r="R48" s="218">
        <f t="shared" si="51"/>
        <v>0</v>
      </c>
      <c r="S48" s="218">
        <f t="shared" si="51"/>
        <v>0</v>
      </c>
      <c r="T48" s="218">
        <f t="shared" si="51"/>
        <v>0</v>
      </c>
      <c r="U48" s="218">
        <f t="shared" si="51"/>
        <v>0</v>
      </c>
      <c r="V48" s="218">
        <f t="shared" si="51"/>
        <v>0</v>
      </c>
      <c r="W48" s="218">
        <f t="shared" si="51"/>
        <v>0</v>
      </c>
      <c r="X48" s="218">
        <f t="shared" si="51"/>
        <v>0</v>
      </c>
      <c r="Y48" s="218">
        <f t="shared" si="51"/>
        <v>0</v>
      </c>
      <c r="Z48" s="218">
        <f t="shared" si="51"/>
        <v>0</v>
      </c>
      <c r="AA48" s="218">
        <f t="shared" si="50"/>
        <v>0</v>
      </c>
      <c r="AB48" s="218">
        <f t="shared" si="50"/>
        <v>0</v>
      </c>
      <c r="AC48" s="218">
        <f t="shared" si="50"/>
        <v>0</v>
      </c>
      <c r="AD48" s="218">
        <f t="shared" si="50"/>
        <v>0</v>
      </c>
      <c r="AE48" s="218">
        <v>0</v>
      </c>
      <c r="AF48" s="218">
        <f t="shared" si="41"/>
        <v>0</v>
      </c>
      <c r="AG48" s="218">
        <f t="shared" si="41"/>
        <v>0</v>
      </c>
      <c r="AH48" s="218">
        <f t="shared" si="41"/>
        <v>0</v>
      </c>
      <c r="AI48" s="218">
        <f t="shared" si="41"/>
        <v>0</v>
      </c>
      <c r="AJ48" s="218">
        <f t="shared" si="37"/>
        <v>0</v>
      </c>
      <c r="AK48" s="218">
        <f t="shared" si="42"/>
        <v>0</v>
      </c>
      <c r="AL48" s="218">
        <f t="shared" si="42"/>
        <v>0</v>
      </c>
      <c r="AM48" s="218">
        <f t="shared" si="38"/>
        <v>0</v>
      </c>
      <c r="AN48" s="218">
        <f t="shared" si="38"/>
        <v>0</v>
      </c>
      <c r="AO48" s="218">
        <f t="shared" si="20"/>
        <v>0</v>
      </c>
      <c r="AP48" s="218">
        <f t="shared" si="20"/>
        <v>0</v>
      </c>
      <c r="AQ48" s="218">
        <f t="shared" si="20"/>
        <v>0</v>
      </c>
      <c r="AR48" s="218">
        <f t="shared" si="20"/>
        <v>0</v>
      </c>
      <c r="AS48" s="218">
        <f t="shared" si="20"/>
        <v>0</v>
      </c>
      <c r="AT48" s="218">
        <f t="shared" si="45"/>
        <v>0</v>
      </c>
      <c r="AU48" s="218"/>
      <c r="AV48" s="218"/>
      <c r="AW48" s="218"/>
      <c r="AX48" s="218">
        <f t="shared" si="46"/>
        <v>0</v>
      </c>
      <c r="AY48" s="218">
        <f t="shared" si="47"/>
        <v>0</v>
      </c>
      <c r="AZ48" s="218">
        <v>0</v>
      </c>
      <c r="BA48" s="218">
        <v>0</v>
      </c>
      <c r="BB48" s="218">
        <f t="shared" si="48"/>
        <v>0</v>
      </c>
    </row>
    <row r="49" spans="1:54" ht="15" customHeight="1" outlineLevel="1" x14ac:dyDescent="0.2">
      <c r="A49" s="25" t="s">
        <v>1300</v>
      </c>
      <c r="B49" s="25" t="s">
        <v>992</v>
      </c>
      <c r="D49" s="250" t="str">
        <f>IF([1]RENAME!$H$3=1,B49,A49)</f>
        <v>Valor justo na transferência de investimento (iii)</v>
      </c>
      <c r="E49" s="218">
        <f t="shared" ref="E49:Z49" si="52">+E17-E33</f>
        <v>0</v>
      </c>
      <c r="F49" s="218">
        <f t="shared" si="52"/>
        <v>0</v>
      </c>
      <c r="G49" s="218">
        <f t="shared" si="52"/>
        <v>0</v>
      </c>
      <c r="H49" s="218">
        <f t="shared" si="52"/>
        <v>0</v>
      </c>
      <c r="I49" s="218">
        <f t="shared" si="52"/>
        <v>0</v>
      </c>
      <c r="J49" s="218">
        <f t="shared" si="52"/>
        <v>0</v>
      </c>
      <c r="K49" s="218">
        <f t="shared" si="52"/>
        <v>0</v>
      </c>
      <c r="L49" s="218">
        <f t="shared" si="52"/>
        <v>0</v>
      </c>
      <c r="M49" s="218">
        <f t="shared" si="52"/>
        <v>0</v>
      </c>
      <c r="N49" s="218">
        <f t="shared" si="52"/>
        <v>0</v>
      </c>
      <c r="O49" s="218">
        <f t="shared" si="52"/>
        <v>0</v>
      </c>
      <c r="P49" s="218">
        <f t="shared" si="52"/>
        <v>0</v>
      </c>
      <c r="Q49" s="218">
        <f t="shared" si="52"/>
        <v>0</v>
      </c>
      <c r="R49" s="218">
        <f t="shared" si="52"/>
        <v>0</v>
      </c>
      <c r="S49" s="218">
        <f t="shared" si="52"/>
        <v>0</v>
      </c>
      <c r="T49" s="218">
        <f t="shared" si="52"/>
        <v>0</v>
      </c>
      <c r="U49" s="218">
        <f t="shared" si="52"/>
        <v>0</v>
      </c>
      <c r="V49" s="218">
        <f t="shared" si="52"/>
        <v>0</v>
      </c>
      <c r="W49" s="218">
        <f t="shared" si="52"/>
        <v>0</v>
      </c>
      <c r="X49" s="218">
        <f t="shared" si="52"/>
        <v>0</v>
      </c>
      <c r="Y49" s="218">
        <f t="shared" si="52"/>
        <v>0</v>
      </c>
      <c r="Z49" s="218">
        <f t="shared" si="52"/>
        <v>0</v>
      </c>
      <c r="AA49" s="218">
        <f t="shared" si="50"/>
        <v>0</v>
      </c>
      <c r="AB49" s="218">
        <f t="shared" si="50"/>
        <v>0</v>
      </c>
      <c r="AC49" s="218">
        <f t="shared" si="50"/>
        <v>0</v>
      </c>
      <c r="AD49" s="218">
        <f t="shared" si="50"/>
        <v>0</v>
      </c>
      <c r="AE49" s="218">
        <v>0</v>
      </c>
      <c r="AF49" s="218">
        <f t="shared" si="41"/>
        <v>0</v>
      </c>
      <c r="AG49" s="218">
        <f t="shared" si="41"/>
        <v>0</v>
      </c>
      <c r="AH49" s="218">
        <f t="shared" si="41"/>
        <v>0</v>
      </c>
      <c r="AI49" s="218">
        <f t="shared" si="41"/>
        <v>0</v>
      </c>
      <c r="AJ49" s="218">
        <f t="shared" si="37"/>
        <v>0</v>
      </c>
      <c r="AK49" s="218">
        <f t="shared" si="42"/>
        <v>0</v>
      </c>
      <c r="AL49" s="218">
        <f t="shared" si="42"/>
        <v>0</v>
      </c>
      <c r="AM49" s="218">
        <f t="shared" si="38"/>
        <v>0</v>
      </c>
      <c r="AN49" s="218">
        <f t="shared" si="38"/>
        <v>0</v>
      </c>
      <c r="AO49" s="218">
        <f t="shared" si="20"/>
        <v>0</v>
      </c>
      <c r="AP49" s="218">
        <f t="shared" si="20"/>
        <v>0</v>
      </c>
      <c r="AQ49" s="218">
        <f t="shared" si="20"/>
        <v>0</v>
      </c>
      <c r="AR49" s="218">
        <f t="shared" si="20"/>
        <v>0</v>
      </c>
      <c r="AS49" s="218">
        <f t="shared" si="20"/>
        <v>0</v>
      </c>
      <c r="AT49" s="218">
        <f t="shared" si="45"/>
        <v>0</v>
      </c>
      <c r="AU49" s="218"/>
      <c r="AV49" s="218"/>
      <c r="AW49" s="218"/>
      <c r="AX49" s="218">
        <f t="shared" si="46"/>
        <v>0</v>
      </c>
      <c r="AY49" s="218">
        <f t="shared" si="47"/>
        <v>0</v>
      </c>
      <c r="AZ49" s="218">
        <v>0</v>
      </c>
      <c r="BA49" s="218">
        <v>0</v>
      </c>
      <c r="BB49" s="218">
        <f t="shared" si="48"/>
        <v>0</v>
      </c>
    </row>
    <row r="50" spans="1:54" outlineLevel="1" x14ac:dyDescent="0.2">
      <c r="A50" s="249" t="s">
        <v>580</v>
      </c>
      <c r="B50" s="249" t="s">
        <v>1024</v>
      </c>
      <c r="C50" s="249"/>
      <c r="D50" s="250" t="str">
        <f>IF([1]RENAME!$H$3=1,B50,A50)</f>
        <v>Provisão para perda de investimento</v>
      </c>
      <c r="E50" s="218">
        <f t="shared" ref="E50:Z50" si="53">+E18-E34</f>
        <v>0</v>
      </c>
      <c r="F50" s="218">
        <f t="shared" si="53"/>
        <v>0</v>
      </c>
      <c r="G50" s="218">
        <f t="shared" si="53"/>
        <v>0</v>
      </c>
      <c r="H50" s="218">
        <f t="shared" si="53"/>
        <v>0</v>
      </c>
      <c r="I50" s="218">
        <f t="shared" si="53"/>
        <v>0</v>
      </c>
      <c r="J50" s="218">
        <f t="shared" si="53"/>
        <v>0</v>
      </c>
      <c r="K50" s="218">
        <f t="shared" si="53"/>
        <v>0</v>
      </c>
      <c r="L50" s="218">
        <f t="shared" si="53"/>
        <v>0</v>
      </c>
      <c r="M50" s="218">
        <f t="shared" si="53"/>
        <v>0</v>
      </c>
      <c r="N50" s="218">
        <f t="shared" si="53"/>
        <v>0</v>
      </c>
      <c r="O50" s="218">
        <f t="shared" si="53"/>
        <v>0</v>
      </c>
      <c r="P50" s="218">
        <f t="shared" si="53"/>
        <v>0</v>
      </c>
      <c r="Q50" s="218">
        <f t="shared" si="53"/>
        <v>0</v>
      </c>
      <c r="R50" s="218">
        <f t="shared" si="53"/>
        <v>0</v>
      </c>
      <c r="S50" s="218">
        <f t="shared" si="53"/>
        <v>0</v>
      </c>
      <c r="T50" s="218">
        <f t="shared" si="53"/>
        <v>0</v>
      </c>
      <c r="U50" s="218">
        <f t="shared" si="53"/>
        <v>0</v>
      </c>
      <c r="V50" s="218">
        <f t="shared" si="53"/>
        <v>0</v>
      </c>
      <c r="W50" s="218">
        <f t="shared" si="53"/>
        <v>0</v>
      </c>
      <c r="X50" s="218">
        <f t="shared" si="53"/>
        <v>0</v>
      </c>
      <c r="Y50" s="218">
        <f t="shared" si="53"/>
        <v>0</v>
      </c>
      <c r="Z50" s="218">
        <f t="shared" si="53"/>
        <v>0</v>
      </c>
      <c r="AA50" s="218">
        <v>0</v>
      </c>
      <c r="AB50" s="218">
        <f t="shared" ref="AB50:AE51" si="54">+AB18-AB34</f>
        <v>0</v>
      </c>
      <c r="AC50" s="218">
        <f t="shared" si="54"/>
        <v>0</v>
      </c>
      <c r="AD50" s="218">
        <f t="shared" si="54"/>
        <v>0</v>
      </c>
      <c r="AE50" s="218">
        <f t="shared" si="54"/>
        <v>0</v>
      </c>
      <c r="AF50" s="218">
        <f t="shared" si="41"/>
        <v>0</v>
      </c>
      <c r="AG50" s="218">
        <f t="shared" si="41"/>
        <v>0</v>
      </c>
      <c r="AH50" s="218">
        <f t="shared" si="41"/>
        <v>0</v>
      </c>
      <c r="AI50" s="218">
        <f t="shared" si="41"/>
        <v>0</v>
      </c>
      <c r="AJ50" s="218">
        <f t="shared" si="37"/>
        <v>0</v>
      </c>
      <c r="AK50" s="218">
        <f t="shared" si="42"/>
        <v>0</v>
      </c>
      <c r="AL50" s="218">
        <f t="shared" si="42"/>
        <v>0</v>
      </c>
      <c r="AM50" s="218">
        <f t="shared" si="38"/>
        <v>0</v>
      </c>
      <c r="AN50" s="218">
        <f t="shared" si="38"/>
        <v>0</v>
      </c>
      <c r="AO50" s="218">
        <f t="shared" si="20"/>
        <v>0</v>
      </c>
      <c r="AP50" s="218">
        <f t="shared" si="20"/>
        <v>0</v>
      </c>
      <c r="AQ50" s="218">
        <f t="shared" si="20"/>
        <v>0</v>
      </c>
      <c r="AR50" s="218">
        <f t="shared" si="20"/>
        <v>0</v>
      </c>
      <c r="AS50" s="218">
        <f t="shared" si="20"/>
        <v>0</v>
      </c>
      <c r="AT50" s="218">
        <f t="shared" si="45"/>
        <v>0</v>
      </c>
      <c r="AU50" s="218"/>
      <c r="AV50" s="218"/>
      <c r="AW50" s="218"/>
      <c r="AX50" s="218">
        <f t="shared" si="46"/>
        <v>0</v>
      </c>
      <c r="AY50" s="218">
        <f t="shared" si="47"/>
        <v>0</v>
      </c>
      <c r="AZ50" s="218">
        <v>0</v>
      </c>
      <c r="BA50" s="218">
        <v>0</v>
      </c>
      <c r="BB50" s="218">
        <f t="shared" si="48"/>
        <v>0</v>
      </c>
    </row>
    <row r="51" spans="1:54" x14ac:dyDescent="0.2">
      <c r="A51" s="25" t="s">
        <v>386</v>
      </c>
      <c r="B51" s="25" t="s">
        <v>1025</v>
      </c>
      <c r="D51" s="126" t="str">
        <f>IF([1]RENAME!$H$3=1,B51,A51)</f>
        <v>Outras receitas (despesas) líquidas</v>
      </c>
      <c r="E51" s="120">
        <f t="shared" ref="E51:Z51" si="55">+E19-E35</f>
        <v>4673</v>
      </c>
      <c r="F51" s="120">
        <f t="shared" si="55"/>
        <v>2862</v>
      </c>
      <c r="G51" s="120">
        <f t="shared" si="55"/>
        <v>1939</v>
      </c>
      <c r="H51" s="120">
        <f t="shared" si="55"/>
        <v>1909</v>
      </c>
      <c r="I51" s="120">
        <f t="shared" si="55"/>
        <v>2935</v>
      </c>
      <c r="J51" s="120">
        <f t="shared" si="55"/>
        <v>-464</v>
      </c>
      <c r="K51" s="120">
        <f t="shared" si="55"/>
        <v>-2090</v>
      </c>
      <c r="L51" s="120">
        <f t="shared" si="55"/>
        <v>-14866</v>
      </c>
      <c r="M51" s="120">
        <f t="shared" si="55"/>
        <v>578</v>
      </c>
      <c r="N51" s="120">
        <f t="shared" si="55"/>
        <v>-596</v>
      </c>
      <c r="O51" s="120">
        <f t="shared" si="55"/>
        <v>-1101</v>
      </c>
      <c r="P51" s="120">
        <f t="shared" si="55"/>
        <v>-3387</v>
      </c>
      <c r="Q51" s="120">
        <f t="shared" si="55"/>
        <v>-674</v>
      </c>
      <c r="R51" s="120">
        <f t="shared" si="55"/>
        <v>-4544</v>
      </c>
      <c r="S51" s="120">
        <f t="shared" si="55"/>
        <v>-117</v>
      </c>
      <c r="T51" s="120">
        <f t="shared" si="55"/>
        <v>-1210</v>
      </c>
      <c r="U51" s="120">
        <f t="shared" si="55"/>
        <v>-66</v>
      </c>
      <c r="V51" s="120">
        <f t="shared" si="55"/>
        <v>-56</v>
      </c>
      <c r="W51" s="120">
        <f t="shared" si="55"/>
        <v>-380</v>
      </c>
      <c r="X51" s="120">
        <f t="shared" si="55"/>
        <v>-2732</v>
      </c>
      <c r="Y51" s="120">
        <f t="shared" si="55"/>
        <v>239</v>
      </c>
      <c r="Z51" s="120">
        <f t="shared" si="55"/>
        <v>741</v>
      </c>
      <c r="AA51" s="120">
        <f>+AA19-AA35</f>
        <v>-77</v>
      </c>
      <c r="AB51" s="120">
        <f t="shared" si="54"/>
        <v>-3708</v>
      </c>
      <c r="AC51" s="120">
        <f t="shared" si="54"/>
        <v>173</v>
      </c>
      <c r="AD51" s="120">
        <f t="shared" si="54"/>
        <v>62</v>
      </c>
      <c r="AE51" s="120">
        <f t="shared" si="54"/>
        <v>-232</v>
      </c>
      <c r="AF51" s="120">
        <f t="shared" si="41"/>
        <v>-1488</v>
      </c>
      <c r="AG51" s="120">
        <f t="shared" si="41"/>
        <v>131</v>
      </c>
      <c r="AH51" s="120">
        <f t="shared" si="41"/>
        <v>3694</v>
      </c>
      <c r="AI51" s="120">
        <f t="shared" si="41"/>
        <v>336</v>
      </c>
      <c r="AJ51" s="120">
        <f t="shared" si="37"/>
        <v>2312</v>
      </c>
      <c r="AK51" s="120">
        <f t="shared" si="42"/>
        <v>-114</v>
      </c>
      <c r="AL51" s="120">
        <f t="shared" si="42"/>
        <v>-170</v>
      </c>
      <c r="AM51" s="120">
        <f t="shared" si="38"/>
        <v>-151</v>
      </c>
      <c r="AN51" s="120">
        <f t="shared" si="38"/>
        <v>6438</v>
      </c>
      <c r="AO51" s="120">
        <f t="shared" si="20"/>
        <v>655</v>
      </c>
      <c r="AP51" s="120">
        <f t="shared" si="20"/>
        <v>2731</v>
      </c>
      <c r="AQ51" s="120">
        <f t="shared" si="20"/>
        <v>187</v>
      </c>
      <c r="AR51" s="120">
        <f t="shared" si="20"/>
        <v>-1603</v>
      </c>
      <c r="AS51" s="120">
        <f t="shared" si="20"/>
        <v>137</v>
      </c>
      <c r="AT51" s="120">
        <f t="shared" si="45"/>
        <v>76</v>
      </c>
      <c r="AU51" s="120">
        <f>+AU19-AU35</f>
        <v>-185</v>
      </c>
      <c r="AV51" s="120">
        <f>+AV19-AV35</f>
        <v>-178</v>
      </c>
      <c r="AW51" s="120">
        <f>+AW19-AW35</f>
        <v>284</v>
      </c>
      <c r="AX51" s="120">
        <f t="shared" si="46"/>
        <v>70</v>
      </c>
      <c r="AY51" s="120">
        <f t="shared" si="47"/>
        <v>474</v>
      </c>
      <c r="AZ51" s="120">
        <f>+AZ19-AZ35</f>
        <v>-184</v>
      </c>
      <c r="BA51" s="120">
        <f>+BA19-BA35</f>
        <v>964</v>
      </c>
      <c r="BB51" s="120">
        <f t="shared" si="48"/>
        <v>512</v>
      </c>
    </row>
    <row r="52" spans="1:54" x14ac:dyDescent="0.2">
      <c r="D52" s="153"/>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c r="AY52" s="154"/>
      <c r="AZ52" s="154"/>
      <c r="BA52" s="154"/>
      <c r="BB52" s="154"/>
    </row>
    <row r="53" spans="1:54" ht="12.75" x14ac:dyDescent="0.2">
      <c r="A53" s="27"/>
      <c r="B53" s="27"/>
      <c r="C53" s="27"/>
      <c r="D53" s="27"/>
      <c r="E53" s="27"/>
      <c r="F53" s="27"/>
      <c r="G53" s="27"/>
      <c r="H53" s="27"/>
      <c r="I53" s="27"/>
      <c r="BB53" s="27"/>
    </row>
    <row r="54" spans="1:54" x14ac:dyDescent="0.2">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7"/>
      <c r="AX54" s="167"/>
      <c r="AY54" s="167"/>
      <c r="AZ54" s="167"/>
      <c r="BA54" s="167" t="s">
        <v>1634</v>
      </c>
      <c r="BB54" s="167"/>
    </row>
    <row r="55" spans="1:54" ht="15" customHeight="1" x14ac:dyDescent="0.2">
      <c r="D55" s="168"/>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row>
    <row r="56" spans="1:54" x14ac:dyDescent="0.2">
      <c r="D56" s="168"/>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row>
    <row r="57" spans="1:54" x14ac:dyDescent="0.2">
      <c r="D57" s="168"/>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69"/>
    </row>
    <row r="58" spans="1:54" x14ac:dyDescent="0.2">
      <c r="D58" s="168"/>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row>
    <row r="59" spans="1:54" ht="15" customHeight="1" x14ac:dyDescent="0.2">
      <c r="D59" s="168"/>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69"/>
    </row>
    <row r="60" spans="1:54" ht="15" customHeight="1" x14ac:dyDescent="0.2">
      <c r="D60" s="168"/>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row>
    <row r="61" spans="1:54" x14ac:dyDescent="0.2">
      <c r="D61" s="168"/>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row>
    <row r="62" spans="1:54" ht="15" customHeight="1" x14ac:dyDescent="0.2">
      <c r="D62" s="153"/>
      <c r="E62" s="154"/>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row>
    <row r="63" spans="1:54" x14ac:dyDescent="0.2">
      <c r="D63" s="168"/>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169"/>
      <c r="BA63" s="169"/>
      <c r="BB63" s="169"/>
    </row>
    <row r="64" spans="1:54" ht="15.75" customHeight="1" x14ac:dyDescent="0.2">
      <c r="D64" s="168"/>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row>
    <row r="65" spans="1:54" x14ac:dyDescent="0.2">
      <c r="D65" s="168"/>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row>
    <row r="66" spans="1:54" x14ac:dyDescent="0.2">
      <c r="D66" s="168"/>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row>
    <row r="67" spans="1:54" x14ac:dyDescent="0.2">
      <c r="D67" s="168"/>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69"/>
      <c r="BB67" s="169"/>
    </row>
    <row r="68" spans="1:54" x14ac:dyDescent="0.2">
      <c r="D68" s="168"/>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169"/>
      <c r="BA68" s="169"/>
      <c r="BB68" s="169"/>
    </row>
    <row r="69" spans="1:54" x14ac:dyDescent="0.2">
      <c r="D69" s="153"/>
      <c r="E69" s="154"/>
      <c r="F69" s="15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c r="AR69" s="154"/>
      <c r="AS69" s="154"/>
      <c r="AT69" s="154"/>
      <c r="AU69" s="154"/>
      <c r="AV69" s="154"/>
      <c r="AW69" s="154"/>
      <c r="AX69" s="154"/>
      <c r="AY69" s="154"/>
      <c r="AZ69" s="154"/>
      <c r="BA69" s="154"/>
      <c r="BB69" s="154"/>
    </row>
    <row r="70" spans="1:54" x14ac:dyDescent="0.2">
      <c r="D70" s="153"/>
      <c r="E70" s="154"/>
      <c r="F70" s="154"/>
      <c r="G70" s="154"/>
      <c r="H70" s="154"/>
      <c r="I70" s="154"/>
      <c r="J70" s="154"/>
      <c r="K70" s="154"/>
      <c r="L70" s="154"/>
      <c r="M70" s="154"/>
      <c r="N70" s="154"/>
      <c r="O70" s="154"/>
      <c r="P70" s="154"/>
      <c r="Q70" s="154"/>
      <c r="R70" s="154"/>
      <c r="S70" s="154"/>
      <c r="T70" s="154"/>
      <c r="U70" s="154"/>
      <c r="V70" s="154"/>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4"/>
      <c r="AT70" s="154"/>
      <c r="AU70" s="154"/>
      <c r="AV70" s="154"/>
      <c r="AW70" s="154"/>
      <c r="AX70" s="154"/>
      <c r="AY70" s="154"/>
      <c r="AZ70" s="154"/>
      <c r="BA70" s="154"/>
      <c r="BB70" s="154"/>
    </row>
    <row r="71" spans="1:54" x14ac:dyDescent="0.2">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row>
    <row r="72" spans="1:54" x14ac:dyDescent="0.2">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row>
    <row r="73" spans="1:54" ht="12.75" x14ac:dyDescent="0.2">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row>
    <row r="74" spans="1:54" ht="12.75" x14ac:dyDescent="0.2">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row>
    <row r="75" spans="1:54" ht="12.75" x14ac:dyDescent="0.2">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row>
    <row r="76" spans="1:54" ht="12.75" x14ac:dyDescent="0.2">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row>
    <row r="77" spans="1:54" ht="12.75" x14ac:dyDescent="0.2">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row>
    <row r="78" spans="1:54" ht="12.75" x14ac:dyDescent="0.2">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row>
    <row r="79" spans="1:54" ht="12.75" x14ac:dyDescent="0.2">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row>
    <row r="80" spans="1:54" ht="12.75" x14ac:dyDescent="0.2">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54" ht="12.75" x14ac:dyDescent="0.2">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54" ht="12.75" x14ac:dyDescent="0.2">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3" spans="1:54" ht="12.75" x14ac:dyDescent="0.2">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row>
    <row r="84" spans="1:54" ht="12.75" x14ac:dyDescent="0.2">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row>
    <row r="85" spans="1:54" ht="12.75" x14ac:dyDescent="0.2">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row>
    <row r="86" spans="1:54" ht="12.75" x14ac:dyDescent="0.2">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row>
    <row r="87" spans="1:54" ht="12.75" x14ac:dyDescent="0.2">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row>
    <row r="88" spans="1:54" ht="12.75" x14ac:dyDescent="0.2">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row>
    <row r="89" spans="1:54" ht="12.75" x14ac:dyDescent="0.2">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row>
    <row r="90" spans="1:54" ht="12.75" x14ac:dyDescent="0.2">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row>
    <row r="91" spans="1:54" ht="12.75" x14ac:dyDescent="0.2">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row>
    <row r="92" spans="1:54" ht="12.75" x14ac:dyDescent="0.2">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row>
    <row r="93" spans="1:54" ht="15" customHeight="1" x14ac:dyDescent="0.2">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row>
    <row r="94" spans="1:54" ht="12.75" x14ac:dyDescent="0.2">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row>
    <row r="95" spans="1:54" ht="12.75" x14ac:dyDescent="0.2">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row>
    <row r="96" spans="1:54" ht="12.75" x14ac:dyDescent="0.2">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row>
    <row r="97" spans="1:54" ht="14.25" customHeight="1" x14ac:dyDescent="0.2">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row>
    <row r="98" spans="1:54" ht="12.75" x14ac:dyDescent="0.2">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row>
    <row r="99" spans="1:54" ht="12.75" x14ac:dyDescent="0.2">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row>
    <row r="100" spans="1:54" ht="12.75" x14ac:dyDescent="0.2">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row>
    <row r="101" spans="1:54" ht="12.75" x14ac:dyDescent="0.2">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row>
    <row r="102" spans="1:54" ht="12.75" x14ac:dyDescent="0.2">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row>
    <row r="103" spans="1:54" ht="12.75" x14ac:dyDescent="0.2">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row>
    <row r="104" spans="1:54" ht="12.75" x14ac:dyDescent="0.2">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row>
    <row r="105" spans="1:54" ht="12.75" x14ac:dyDescent="0.2">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row>
    <row r="106" spans="1:54" ht="12.75" x14ac:dyDescent="0.2">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row>
    <row r="107" spans="1:54" ht="12.75" x14ac:dyDescent="0.2">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row>
    <row r="108" spans="1:54" ht="12.75" x14ac:dyDescent="0.2">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row>
    <row r="109" spans="1:54" ht="12.75" x14ac:dyDescent="0.2">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row>
    <row r="110" spans="1:54" ht="12.75" x14ac:dyDescent="0.2">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row>
    <row r="111" spans="1:54" ht="12.75" x14ac:dyDescent="0.2">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row>
    <row r="112" spans="1:54" ht="12.75" x14ac:dyDescent="0.2">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row>
    <row r="113" spans="1:54" ht="12.75" x14ac:dyDescent="0.2">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row>
    <row r="114" spans="1:54" ht="12.75" x14ac:dyDescent="0.2">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row>
    <row r="115" spans="1:54" ht="12.75" x14ac:dyDescent="0.2">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row>
    <row r="116" spans="1:54" ht="12.75" x14ac:dyDescent="0.2">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row>
    <row r="117" spans="1:54" ht="12.75" x14ac:dyDescent="0.2">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row>
    <row r="118" spans="1:54" ht="12.75" x14ac:dyDescent="0.2">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row>
    <row r="119" spans="1:54" ht="12.75" x14ac:dyDescent="0.2">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row>
    <row r="120" spans="1:54" ht="15" customHeight="1" x14ac:dyDescent="0.2">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row>
    <row r="121" spans="1:54" ht="12.75" x14ac:dyDescent="0.2">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row>
    <row r="122" spans="1:54" ht="12.75" x14ac:dyDescent="0.2">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row>
    <row r="123" spans="1:54" ht="12.75" x14ac:dyDescent="0.2">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row>
    <row r="124" spans="1:54" ht="20.25" customHeight="1" x14ac:dyDescent="0.2">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row>
    <row r="125" spans="1:54" ht="12.75" x14ac:dyDescent="0.2">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row>
    <row r="126" spans="1:54" ht="12.75" x14ac:dyDescent="0.2">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row>
    <row r="127" spans="1:54" ht="12.75" x14ac:dyDescent="0.2">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row>
    <row r="128" spans="1:54" ht="12.75" x14ac:dyDescent="0.2">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row>
    <row r="129" spans="1:54" ht="12.75" x14ac:dyDescent="0.2">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row>
    <row r="130" spans="1:54" ht="12.75" x14ac:dyDescent="0.2">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row>
    <row r="131" spans="1:54" ht="12.75" x14ac:dyDescent="0.2">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row>
    <row r="132" spans="1:54" ht="12.75" x14ac:dyDescent="0.2">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row>
    <row r="133" spans="1:54" ht="12.75" x14ac:dyDescent="0.2">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row>
    <row r="134" spans="1:54" ht="12.75" x14ac:dyDescent="0.2">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row>
    <row r="135" spans="1:54" ht="12.75" x14ac:dyDescent="0.2">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row>
    <row r="136" spans="1:54" ht="12.75" x14ac:dyDescent="0.2">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row>
    <row r="137" spans="1:54" ht="12.75" x14ac:dyDescent="0.2">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row>
    <row r="138" spans="1:54" ht="12.75" x14ac:dyDescent="0.2">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row>
    <row r="139" spans="1:54" ht="12.75" x14ac:dyDescent="0.2">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row>
    <row r="140" spans="1:54" ht="12.75" x14ac:dyDescent="0.2">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row>
    <row r="141" spans="1:54" ht="12.75" x14ac:dyDescent="0.2">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row>
    <row r="142" spans="1:54" ht="12.75" x14ac:dyDescent="0.2">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row>
    <row r="143" spans="1:54" ht="12.75" x14ac:dyDescent="0.2">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row>
    <row r="144" spans="1:54" ht="12.75" x14ac:dyDescent="0.2">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row>
    <row r="145" spans="1:54" ht="12.75" x14ac:dyDescent="0.2">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row>
    <row r="146" spans="1:54" ht="12.75" x14ac:dyDescent="0.2">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row>
    <row r="147" spans="1:54" ht="12.75" x14ac:dyDescent="0.2">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row>
    <row r="148" spans="1:54" ht="12.75" x14ac:dyDescent="0.2">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row>
    <row r="149" spans="1:54" ht="12.75" x14ac:dyDescent="0.2">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row>
    <row r="150" spans="1:54" ht="15" customHeight="1" x14ac:dyDescent="0.2">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row>
    <row r="151" spans="1:54" ht="12.75" x14ac:dyDescent="0.2">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row>
    <row r="152" spans="1:54" ht="12.75" x14ac:dyDescent="0.2">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row>
    <row r="153" spans="1:54" ht="12.75" x14ac:dyDescent="0.2">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row>
    <row r="154" spans="1:54" ht="12.75" x14ac:dyDescent="0.2">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row>
    <row r="155" spans="1:54" ht="12.75" x14ac:dyDescent="0.2">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row>
    <row r="156" spans="1:54" ht="12.75" x14ac:dyDescent="0.2">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row>
    <row r="157" spans="1:54" ht="12.75" x14ac:dyDescent="0.2">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row>
    <row r="158" spans="1:54" ht="12.75" x14ac:dyDescent="0.2">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row>
    <row r="159" spans="1:54" ht="12.75" x14ac:dyDescent="0.2">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row>
    <row r="160" spans="1:54" ht="12.75" x14ac:dyDescent="0.2">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row>
    <row r="161" spans="1:54" ht="12.75" x14ac:dyDescent="0.2">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row>
    <row r="162" spans="1:54" ht="12.75" x14ac:dyDescent="0.2">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row>
    <row r="163" spans="1:54" ht="12.75" x14ac:dyDescent="0.2">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row>
    <row r="164" spans="1:54" ht="12.75" x14ac:dyDescent="0.2">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row>
    <row r="165" spans="1:54" ht="12.75" x14ac:dyDescent="0.2">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row>
    <row r="166" spans="1:54" ht="12.75" x14ac:dyDescent="0.2">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row>
    <row r="167" spans="1:54" ht="12.75" x14ac:dyDescent="0.2">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row>
    <row r="168" spans="1:54" ht="12.75" x14ac:dyDescent="0.2">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row>
    <row r="169" spans="1:54" ht="12.75" x14ac:dyDescent="0.2">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row>
    <row r="170" spans="1:54" ht="12.75" x14ac:dyDescent="0.2">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row>
    <row r="171" spans="1:54" ht="12.75" x14ac:dyDescent="0.2">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row>
    <row r="172" spans="1:54" ht="26.25" customHeight="1" x14ac:dyDescent="0.2">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row>
    <row r="173" spans="1:54" ht="14.25" customHeight="1" x14ac:dyDescent="0.2">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row>
    <row r="174" spans="1:54" ht="12.75" x14ac:dyDescent="0.2">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row>
    <row r="175" spans="1:54" ht="12.75" x14ac:dyDescent="0.2">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row>
    <row r="176" spans="1:54" ht="12.75" x14ac:dyDescent="0.2">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row>
    <row r="177" spans="1:54" ht="12.75" x14ac:dyDescent="0.2">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row>
    <row r="178" spans="1:54" ht="12.75" x14ac:dyDescent="0.2">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row>
    <row r="179" spans="1:54" ht="12.75" x14ac:dyDescent="0.2">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row>
    <row r="180" spans="1:54" ht="14.25" customHeight="1" x14ac:dyDescent="0.2">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row>
    <row r="181" spans="1:54" ht="12.75" x14ac:dyDescent="0.2">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row>
    <row r="182" spans="1:54" ht="12.75" x14ac:dyDescent="0.2">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row>
    <row r="183" spans="1:54" ht="12.75" x14ac:dyDescent="0.2">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row>
    <row r="184" spans="1:54" ht="12.75" x14ac:dyDescent="0.2">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row>
    <row r="185" spans="1:54" ht="12.75" x14ac:dyDescent="0.2">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row>
    <row r="186" spans="1:54" ht="12.75" x14ac:dyDescent="0.2">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row>
    <row r="187" spans="1:54" ht="12.75" x14ac:dyDescent="0.2">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row>
    <row r="188" spans="1:54" ht="12.75" x14ac:dyDescent="0.2">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row>
    <row r="189" spans="1:54" ht="12.75" x14ac:dyDescent="0.2">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row>
    <row r="190" spans="1:54" ht="12.75" x14ac:dyDescent="0.2">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row>
    <row r="191" spans="1:54" ht="12.75" x14ac:dyDescent="0.2">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row>
    <row r="192" spans="1:54" ht="12.75" x14ac:dyDescent="0.2">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row>
    <row r="193" spans="1:54" ht="12.75" x14ac:dyDescent="0.2">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row>
    <row r="194" spans="1:54" ht="12.75" x14ac:dyDescent="0.2">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row>
    <row r="195" spans="1:54" ht="12.75" x14ac:dyDescent="0.2">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row>
    <row r="196" spans="1:54" ht="12.75" x14ac:dyDescent="0.2">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row>
    <row r="197" spans="1:54" ht="12.75" x14ac:dyDescent="0.2">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row>
    <row r="198" spans="1:54" ht="12.75" x14ac:dyDescent="0.2">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row>
    <row r="199" spans="1:54" ht="12.75" x14ac:dyDescent="0.2">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row>
    <row r="200" spans="1:54" ht="12.75" x14ac:dyDescent="0.2">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row>
    <row r="201" spans="1:54" ht="12.75" x14ac:dyDescent="0.2">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row>
    <row r="202" spans="1:54" ht="12.75" x14ac:dyDescent="0.2">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row>
    <row r="203" spans="1:54" ht="12.75" x14ac:dyDescent="0.2">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row>
    <row r="204" spans="1:54" ht="12.75" x14ac:dyDescent="0.2">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row>
    <row r="205" spans="1:54" ht="12.75" x14ac:dyDescent="0.2">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row>
    <row r="206" spans="1:54" ht="12.75" x14ac:dyDescent="0.2">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row>
    <row r="207" spans="1:54" ht="12.75" x14ac:dyDescent="0.2">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row>
    <row r="208" spans="1:54" ht="12.75" x14ac:dyDescent="0.2">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row>
    <row r="209" spans="1:54" ht="12.75" x14ac:dyDescent="0.2">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row>
    <row r="210" spans="1:54" ht="12.75" x14ac:dyDescent="0.2">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row>
    <row r="211" spans="1:54" ht="12.75" x14ac:dyDescent="0.2">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row>
    <row r="212" spans="1:54" ht="12.75" x14ac:dyDescent="0.2">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row>
    <row r="213" spans="1:54" ht="12.75" x14ac:dyDescent="0.2">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row>
    <row r="214" spans="1:54" ht="12.75" x14ac:dyDescent="0.2">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row>
    <row r="215" spans="1:54" ht="12.75" x14ac:dyDescent="0.2">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row>
    <row r="216" spans="1:54" ht="12.75" x14ac:dyDescent="0.2">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row>
    <row r="217" spans="1:54" ht="12.75" x14ac:dyDescent="0.2">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row>
    <row r="218" spans="1:54" ht="12.75" x14ac:dyDescent="0.2">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row>
    <row r="219" spans="1:54" ht="12.75" x14ac:dyDescent="0.2">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row>
    <row r="220" spans="1:54" ht="12.75" x14ac:dyDescent="0.2">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row>
    <row r="221" spans="1:54" ht="12.75" x14ac:dyDescent="0.2">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row>
    <row r="222" spans="1:54" ht="12.75" x14ac:dyDescent="0.2">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row>
    <row r="223" spans="1:54" ht="12.75" x14ac:dyDescent="0.2">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row>
    <row r="224" spans="1:54" ht="12.75" x14ac:dyDescent="0.2">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row>
    <row r="225" spans="1:54" ht="12.75" x14ac:dyDescent="0.2">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row>
    <row r="226" spans="1:54" ht="12.75" x14ac:dyDescent="0.2">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row>
    <row r="227" spans="1:54" ht="12.75" x14ac:dyDescent="0.2">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row>
    <row r="228" spans="1:54" ht="12.75" x14ac:dyDescent="0.2">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row>
    <row r="229" spans="1:54" ht="12.75" x14ac:dyDescent="0.2">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row>
    <row r="230" spans="1:54" ht="12.75" x14ac:dyDescent="0.2">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row>
    <row r="231" spans="1:54" ht="12.75" x14ac:dyDescent="0.2">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row>
    <row r="232" spans="1:54" ht="12.75" x14ac:dyDescent="0.2">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row>
    <row r="233" spans="1:54" ht="12.75" x14ac:dyDescent="0.2">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row>
    <row r="234" spans="1:54" ht="12.75" x14ac:dyDescent="0.2">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row>
    <row r="235" spans="1:54" ht="12.75" x14ac:dyDescent="0.2">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row>
    <row r="236" spans="1:54" ht="12.75" x14ac:dyDescent="0.2">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row>
    <row r="237" spans="1:54" ht="12.75" x14ac:dyDescent="0.2">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row>
    <row r="238" spans="1:54" ht="12.75" x14ac:dyDescent="0.2">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row>
    <row r="239" spans="1:54" ht="12.75" x14ac:dyDescent="0.2">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row>
    <row r="240" spans="1:54" ht="12.75" x14ac:dyDescent="0.2">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row>
    <row r="241" spans="1:54" ht="12.75" x14ac:dyDescent="0.2">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row>
    <row r="242" spans="1:54" ht="12.75" x14ac:dyDescent="0.2">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row>
    <row r="243" spans="1:54" ht="12.75" x14ac:dyDescent="0.2">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row>
    <row r="244" spans="1:54" ht="12.75" x14ac:dyDescent="0.2">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row>
    <row r="245" spans="1:54" ht="12.75" x14ac:dyDescent="0.2">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row>
    <row r="246" spans="1:54" ht="12.75" x14ac:dyDescent="0.2">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row>
    <row r="247" spans="1:54" ht="12.75" x14ac:dyDescent="0.2">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row>
    <row r="248" spans="1:54" ht="12.75" x14ac:dyDescent="0.2">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28"/>
      <c r="AQ248" s="28"/>
      <c r="AR248" s="28"/>
      <c r="AS248" s="28"/>
      <c r="AT248" s="28"/>
      <c r="AU248" s="28"/>
      <c r="AV248" s="28"/>
      <c r="AW248" s="28"/>
      <c r="AX248" s="28"/>
      <c r="AY248" s="28"/>
      <c r="AZ248" s="28"/>
      <c r="BA248" s="28"/>
      <c r="BB248" s="28"/>
    </row>
    <row r="249" spans="1:54" ht="12.75" x14ac:dyDescent="0.2">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c r="AR249" s="28"/>
      <c r="AS249" s="28"/>
      <c r="AT249" s="28"/>
      <c r="AU249" s="28"/>
      <c r="AV249" s="28"/>
      <c r="AW249" s="28"/>
      <c r="AX249" s="28"/>
      <c r="AY249" s="28"/>
      <c r="AZ249" s="28"/>
      <c r="BA249" s="28"/>
      <c r="BB249" s="28"/>
    </row>
    <row r="250" spans="1:54" ht="12.75" x14ac:dyDescent="0.2">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c r="AR250" s="28"/>
      <c r="AS250" s="28"/>
      <c r="AT250" s="28"/>
      <c r="AU250" s="28"/>
      <c r="AV250" s="28"/>
      <c r="AW250" s="28"/>
      <c r="AX250" s="28"/>
      <c r="AY250" s="28"/>
      <c r="AZ250" s="28"/>
      <c r="BA250" s="28"/>
      <c r="BB250" s="28"/>
    </row>
    <row r="251" spans="1:54" ht="12.75" x14ac:dyDescent="0.2">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c r="AR251" s="28"/>
      <c r="AS251" s="28"/>
      <c r="AT251" s="28"/>
      <c r="AU251" s="28"/>
      <c r="AV251" s="28"/>
      <c r="AW251" s="28"/>
      <c r="AX251" s="28"/>
      <c r="AY251" s="28"/>
      <c r="AZ251" s="28"/>
      <c r="BA251" s="28"/>
      <c r="BB251" s="28"/>
    </row>
    <row r="252" spans="1:54" ht="12.75" x14ac:dyDescent="0.2">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row>
    <row r="253" spans="1:54" ht="12.75" x14ac:dyDescent="0.2">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c r="AR253" s="28"/>
      <c r="AS253" s="28"/>
      <c r="AT253" s="28"/>
      <c r="AU253" s="28"/>
      <c r="AV253" s="28"/>
      <c r="AW253" s="28"/>
      <c r="AX253" s="28"/>
      <c r="AY253" s="28"/>
      <c r="AZ253" s="28"/>
      <c r="BA253" s="28"/>
      <c r="BB253" s="28"/>
    </row>
    <row r="254" spans="1:54" ht="12.75" x14ac:dyDescent="0.2">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c r="AR254" s="28"/>
      <c r="AS254" s="28"/>
      <c r="AT254" s="28"/>
      <c r="AU254" s="28"/>
      <c r="AV254" s="28"/>
      <c r="AW254" s="28"/>
      <c r="AX254" s="28"/>
      <c r="AY254" s="28"/>
      <c r="AZ254" s="28"/>
      <c r="BA254" s="28"/>
      <c r="BB254" s="28"/>
    </row>
    <row r="255" spans="1:54" ht="12.75" x14ac:dyDescent="0.2">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c r="AR255" s="28"/>
      <c r="AS255" s="28"/>
      <c r="AT255" s="28"/>
      <c r="AU255" s="28"/>
      <c r="AV255" s="28"/>
      <c r="AW255" s="28"/>
      <c r="AX255" s="28"/>
      <c r="AY255" s="28"/>
      <c r="AZ255" s="28"/>
      <c r="BA255" s="28"/>
      <c r="BB255" s="28"/>
    </row>
    <row r="256" spans="1:54" ht="12.75" x14ac:dyDescent="0.2">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row>
    <row r="257" spans="1:54" ht="12.75" x14ac:dyDescent="0.2">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c r="AR257" s="28"/>
      <c r="AS257" s="28"/>
      <c r="AT257" s="28"/>
      <c r="AU257" s="28"/>
      <c r="AV257" s="28"/>
      <c r="AW257" s="28"/>
      <c r="AX257" s="28"/>
      <c r="AY257" s="28"/>
      <c r="AZ257" s="28"/>
      <c r="BA257" s="28"/>
      <c r="BB257" s="28"/>
    </row>
    <row r="258" spans="1:54" ht="12.75" x14ac:dyDescent="0.2">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c r="AP258" s="28"/>
      <c r="AQ258" s="28"/>
      <c r="AR258" s="28"/>
      <c r="AS258" s="28"/>
      <c r="AT258" s="28"/>
      <c r="AU258" s="28"/>
      <c r="AV258" s="28"/>
      <c r="AW258" s="28"/>
      <c r="AX258" s="28"/>
      <c r="AY258" s="28"/>
      <c r="AZ258" s="28"/>
      <c r="BA258" s="28"/>
      <c r="BB258" s="28"/>
    </row>
    <row r="259" spans="1:54" ht="12.75" x14ac:dyDescent="0.2">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c r="AP259" s="28"/>
      <c r="AQ259" s="28"/>
      <c r="AR259" s="28"/>
      <c r="AS259" s="28"/>
      <c r="AT259" s="28"/>
      <c r="AU259" s="28"/>
      <c r="AV259" s="28"/>
      <c r="AW259" s="28"/>
      <c r="AX259" s="28"/>
      <c r="AY259" s="28"/>
      <c r="AZ259" s="28"/>
      <c r="BA259" s="28"/>
      <c r="BB259" s="28"/>
    </row>
    <row r="260" spans="1:54" ht="12.75" x14ac:dyDescent="0.2">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c r="AZ260" s="28"/>
      <c r="BA260" s="28"/>
      <c r="BB260" s="28"/>
    </row>
    <row r="261" spans="1:54" ht="12.75" x14ac:dyDescent="0.2">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8"/>
      <c r="AR261" s="28"/>
      <c r="AS261" s="28"/>
      <c r="AT261" s="28"/>
      <c r="AU261" s="28"/>
      <c r="AV261" s="28"/>
      <c r="AW261" s="28"/>
      <c r="AX261" s="28"/>
      <c r="AY261" s="28"/>
      <c r="AZ261" s="28"/>
      <c r="BA261" s="28"/>
      <c r="BB261" s="28"/>
    </row>
    <row r="262" spans="1:54" ht="12.75" x14ac:dyDescent="0.2">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c r="AZ262" s="28"/>
      <c r="BA262" s="28"/>
      <c r="BB262" s="28"/>
    </row>
    <row r="263" spans="1:54" ht="12.75" x14ac:dyDescent="0.2">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8"/>
      <c r="AN263" s="28"/>
      <c r="AO263" s="28"/>
      <c r="AP263" s="28"/>
      <c r="AQ263" s="28"/>
      <c r="AR263" s="28"/>
      <c r="AS263" s="28"/>
      <c r="AT263" s="28"/>
      <c r="AU263" s="28"/>
      <c r="AV263" s="28"/>
      <c r="AW263" s="28"/>
      <c r="AX263" s="28"/>
      <c r="AY263" s="28"/>
      <c r="AZ263" s="28"/>
      <c r="BA263" s="28"/>
      <c r="BB263" s="28"/>
    </row>
    <row r="264" spans="1:54" ht="12.75" x14ac:dyDescent="0.2">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28"/>
      <c r="AK264" s="28"/>
      <c r="AL264" s="28"/>
      <c r="AM264" s="28"/>
      <c r="AN264" s="28"/>
      <c r="AO264" s="28"/>
      <c r="AP264" s="28"/>
      <c r="AQ264" s="28"/>
      <c r="AR264" s="28"/>
      <c r="AS264" s="28"/>
      <c r="AT264" s="28"/>
      <c r="AU264" s="28"/>
      <c r="AV264" s="28"/>
      <c r="AW264" s="28"/>
      <c r="AX264" s="28"/>
      <c r="AY264" s="28"/>
      <c r="AZ264" s="28"/>
      <c r="BA264" s="28"/>
      <c r="BB264" s="28"/>
    </row>
    <row r="265" spans="1:54" ht="12.75" x14ac:dyDescent="0.2">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8"/>
      <c r="AN265" s="28"/>
      <c r="AO265" s="28"/>
      <c r="AP265" s="28"/>
      <c r="AQ265" s="28"/>
      <c r="AR265" s="28"/>
      <c r="AS265" s="28"/>
      <c r="AT265" s="28"/>
      <c r="AU265" s="28"/>
      <c r="AV265" s="28"/>
      <c r="AW265" s="28"/>
      <c r="AX265" s="28"/>
      <c r="AY265" s="28"/>
      <c r="AZ265" s="28"/>
      <c r="BA265" s="28"/>
      <c r="BB265" s="28"/>
    </row>
    <row r="266" spans="1:54" ht="12.75" x14ac:dyDescent="0.2">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c r="AN266" s="28"/>
      <c r="AO266" s="28"/>
      <c r="AP266" s="28"/>
      <c r="AQ266" s="28"/>
      <c r="AR266" s="28"/>
      <c r="AS266" s="28"/>
      <c r="AT266" s="28"/>
      <c r="AU266" s="28"/>
      <c r="AV266" s="28"/>
      <c r="AW266" s="28"/>
      <c r="AX266" s="28"/>
      <c r="AY266" s="28"/>
      <c r="AZ266" s="28"/>
      <c r="BA266" s="28"/>
      <c r="BB266" s="28"/>
    </row>
    <row r="267" spans="1:54" ht="12.75" x14ac:dyDescent="0.2">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8"/>
      <c r="AN267" s="28"/>
      <c r="AO267" s="28"/>
      <c r="AP267" s="28"/>
      <c r="AQ267" s="28"/>
      <c r="AR267" s="28"/>
      <c r="AS267" s="28"/>
      <c r="AT267" s="28"/>
      <c r="AU267" s="28"/>
      <c r="AV267" s="28"/>
      <c r="AW267" s="28"/>
      <c r="AX267" s="28"/>
      <c r="AY267" s="28"/>
      <c r="AZ267" s="28"/>
      <c r="BA267" s="28"/>
      <c r="BB267" s="28"/>
    </row>
    <row r="268" spans="1:54" ht="12.75" x14ac:dyDescent="0.2">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8"/>
      <c r="AN268" s="28"/>
      <c r="AO268" s="28"/>
      <c r="AP268" s="28"/>
      <c r="AQ268" s="28"/>
      <c r="AR268" s="28"/>
      <c r="AS268" s="28"/>
      <c r="AT268" s="28"/>
      <c r="AU268" s="28"/>
      <c r="AV268" s="28"/>
      <c r="AW268" s="28"/>
      <c r="AX268" s="28"/>
      <c r="AY268" s="28"/>
      <c r="AZ268" s="28"/>
      <c r="BA268" s="28"/>
      <c r="BB268" s="28"/>
    </row>
    <row r="269" spans="1:54" ht="12.75" x14ac:dyDescent="0.2">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8"/>
      <c r="AN269" s="28"/>
      <c r="AO269" s="28"/>
      <c r="AP269" s="28"/>
      <c r="AQ269" s="28"/>
      <c r="AR269" s="28"/>
      <c r="AS269" s="28"/>
      <c r="AT269" s="28"/>
      <c r="AU269" s="28"/>
      <c r="AV269" s="28"/>
      <c r="AW269" s="28"/>
      <c r="AX269" s="28"/>
      <c r="AY269" s="28"/>
      <c r="AZ269" s="28"/>
      <c r="BA269" s="28"/>
      <c r="BB269" s="28"/>
    </row>
    <row r="270" spans="1:54" ht="12.75" x14ac:dyDescent="0.2">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28"/>
      <c r="AY270" s="28"/>
      <c r="AZ270" s="28"/>
      <c r="BA270" s="28"/>
      <c r="BB270" s="28"/>
    </row>
    <row r="271" spans="1:54" ht="12.75" x14ac:dyDescent="0.2">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c r="AP271" s="28"/>
      <c r="AQ271" s="28"/>
      <c r="AR271" s="28"/>
      <c r="AS271" s="28"/>
      <c r="AT271" s="28"/>
      <c r="AU271" s="28"/>
      <c r="AV271" s="28"/>
      <c r="AW271" s="28"/>
      <c r="AX271" s="28"/>
      <c r="AY271" s="28"/>
      <c r="AZ271" s="28"/>
      <c r="BA271" s="28"/>
      <c r="BB271" s="28"/>
    </row>
    <row r="272" spans="1:54" ht="12.75" x14ac:dyDescent="0.2">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c r="AP272" s="28"/>
      <c r="AQ272" s="28"/>
      <c r="AR272" s="28"/>
      <c r="AS272" s="28"/>
      <c r="AT272" s="28"/>
      <c r="AU272" s="28"/>
      <c r="AV272" s="28"/>
      <c r="AW272" s="28"/>
      <c r="AX272" s="28"/>
      <c r="AY272" s="28"/>
      <c r="AZ272" s="28"/>
      <c r="BA272" s="28"/>
      <c r="BB272" s="28"/>
    </row>
    <row r="273" spans="1:54" ht="12.75" x14ac:dyDescent="0.2">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8"/>
      <c r="AN273" s="28"/>
      <c r="AO273" s="28"/>
      <c r="AP273" s="28"/>
      <c r="AQ273" s="28"/>
      <c r="AR273" s="28"/>
      <c r="AS273" s="28"/>
      <c r="AT273" s="28"/>
      <c r="AU273" s="28"/>
      <c r="AV273" s="28"/>
      <c r="AW273" s="28"/>
      <c r="AX273" s="28"/>
      <c r="AY273" s="28"/>
      <c r="AZ273" s="28"/>
      <c r="BA273" s="28"/>
      <c r="BB273" s="28"/>
    </row>
    <row r="274" spans="1:54" ht="12.75" x14ac:dyDescent="0.2">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c r="AK274" s="28"/>
      <c r="AL274" s="28"/>
      <c r="AM274" s="28"/>
      <c r="AN274" s="28"/>
      <c r="AO274" s="28"/>
      <c r="AP274" s="28"/>
      <c r="AQ274" s="28"/>
      <c r="AR274" s="28"/>
      <c r="AS274" s="28"/>
      <c r="AT274" s="28"/>
      <c r="AU274" s="28"/>
      <c r="AV274" s="28"/>
      <c r="AW274" s="28"/>
      <c r="AX274" s="28"/>
      <c r="AY274" s="28"/>
      <c r="AZ274" s="28"/>
      <c r="BA274" s="28"/>
      <c r="BB274" s="28"/>
    </row>
    <row r="275" spans="1:54" ht="12.75" x14ac:dyDescent="0.2">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8"/>
      <c r="AN275" s="28"/>
      <c r="AO275" s="28"/>
      <c r="AP275" s="28"/>
      <c r="AQ275" s="28"/>
      <c r="AR275" s="28"/>
      <c r="AS275" s="28"/>
      <c r="AT275" s="28"/>
      <c r="AU275" s="28"/>
      <c r="AV275" s="28"/>
      <c r="AW275" s="28"/>
      <c r="AX275" s="28"/>
      <c r="AY275" s="28"/>
      <c r="AZ275" s="28"/>
      <c r="BA275" s="28"/>
      <c r="BB275" s="28"/>
    </row>
    <row r="276" spans="1:54" ht="12.75" x14ac:dyDescent="0.2">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c r="AR276" s="28"/>
      <c r="AS276" s="28"/>
      <c r="AT276" s="28"/>
      <c r="AU276" s="28"/>
      <c r="AV276" s="28"/>
      <c r="AW276" s="28"/>
      <c r="AX276" s="28"/>
      <c r="AY276" s="28"/>
      <c r="AZ276" s="28"/>
      <c r="BA276" s="28"/>
      <c r="BB276" s="28"/>
    </row>
    <row r="277" spans="1:54" ht="12.75" x14ac:dyDescent="0.2">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c r="AP277" s="28"/>
      <c r="AQ277" s="28"/>
      <c r="AR277" s="28"/>
      <c r="AS277" s="28"/>
      <c r="AT277" s="28"/>
      <c r="AU277" s="28"/>
      <c r="AV277" s="28"/>
      <c r="AW277" s="28"/>
      <c r="AX277" s="28"/>
      <c r="AY277" s="28"/>
      <c r="AZ277" s="28"/>
      <c r="BA277" s="28"/>
      <c r="BB277" s="28"/>
    </row>
    <row r="278" spans="1:54" ht="12.75" x14ac:dyDescent="0.2">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c r="AJ278" s="28"/>
      <c r="AK278" s="28"/>
      <c r="AL278" s="28"/>
      <c r="AM278" s="28"/>
      <c r="AN278" s="28"/>
      <c r="AO278" s="28"/>
      <c r="AP278" s="28"/>
      <c r="AQ278" s="28"/>
      <c r="AR278" s="28"/>
      <c r="AS278" s="28"/>
      <c r="AT278" s="28"/>
      <c r="AU278" s="28"/>
      <c r="AV278" s="28"/>
      <c r="AW278" s="28"/>
      <c r="AX278" s="28"/>
      <c r="AY278" s="28"/>
      <c r="AZ278" s="28"/>
      <c r="BA278" s="28"/>
      <c r="BB278" s="28"/>
    </row>
    <row r="279" spans="1:54" ht="12.75" x14ac:dyDescent="0.2">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8"/>
      <c r="AR279" s="28"/>
      <c r="AS279" s="28"/>
      <c r="AT279" s="28"/>
      <c r="AU279" s="28"/>
      <c r="AV279" s="28"/>
      <c r="AW279" s="28"/>
      <c r="AX279" s="28"/>
      <c r="AY279" s="28"/>
      <c r="AZ279" s="28"/>
      <c r="BA279" s="28"/>
      <c r="BB279" s="28"/>
    </row>
    <row r="280" spans="1:54" ht="12.75" x14ac:dyDescent="0.2">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8"/>
      <c r="AN280" s="28"/>
      <c r="AO280" s="28"/>
      <c r="AP280" s="28"/>
      <c r="AQ280" s="28"/>
      <c r="AR280" s="28"/>
      <c r="AS280" s="28"/>
      <c r="AT280" s="28"/>
      <c r="AU280" s="28"/>
      <c r="AV280" s="28"/>
      <c r="AW280" s="28"/>
      <c r="AX280" s="28"/>
      <c r="AY280" s="28"/>
      <c r="AZ280" s="28"/>
      <c r="BA280" s="28"/>
      <c r="BB280" s="28"/>
    </row>
    <row r="281" spans="1:54" ht="12.75" x14ac:dyDescent="0.2">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c r="AN281" s="28"/>
      <c r="AO281" s="28"/>
      <c r="AP281" s="28"/>
      <c r="AQ281" s="28"/>
      <c r="AR281" s="28"/>
      <c r="AS281" s="28"/>
      <c r="AT281" s="28"/>
      <c r="AU281" s="28"/>
      <c r="AV281" s="28"/>
      <c r="AW281" s="28"/>
      <c r="AX281" s="28"/>
      <c r="AY281" s="28"/>
      <c r="AZ281" s="28"/>
      <c r="BA281" s="28"/>
      <c r="BB281" s="28"/>
    </row>
    <row r="282" spans="1:54" ht="12.75" x14ac:dyDescent="0.2">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c r="AI282" s="28"/>
      <c r="AJ282" s="28"/>
      <c r="AK282" s="28"/>
      <c r="AL282" s="28"/>
      <c r="AM282" s="28"/>
      <c r="AN282" s="28"/>
      <c r="AO282" s="28"/>
      <c r="AP282" s="28"/>
      <c r="AQ282" s="28"/>
      <c r="AR282" s="28"/>
      <c r="AS282" s="28"/>
      <c r="AT282" s="28"/>
      <c r="AU282" s="28"/>
      <c r="AV282" s="28"/>
      <c r="AW282" s="28"/>
      <c r="AX282" s="28"/>
      <c r="AY282" s="28"/>
      <c r="AZ282" s="28"/>
      <c r="BA282" s="28"/>
      <c r="BB282" s="28"/>
    </row>
    <row r="283" spans="1:54" ht="12.75" x14ac:dyDescent="0.2">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8"/>
      <c r="AN283" s="28"/>
      <c r="AO283" s="28"/>
      <c r="AP283" s="28"/>
      <c r="AQ283" s="28"/>
      <c r="AR283" s="28"/>
      <c r="AS283" s="28"/>
      <c r="AT283" s="28"/>
      <c r="AU283" s="28"/>
      <c r="AV283" s="28"/>
      <c r="AW283" s="28"/>
      <c r="AX283" s="28"/>
      <c r="AY283" s="28"/>
      <c r="AZ283" s="28"/>
      <c r="BA283" s="28"/>
      <c r="BB283" s="28"/>
    </row>
    <row r="284" spans="1:54" ht="12.75" x14ac:dyDescent="0.2">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row>
    <row r="285" spans="1:54" ht="12.75" x14ac:dyDescent="0.2">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row>
    <row r="286" spans="1:54" ht="12.75" x14ac:dyDescent="0.2">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row>
    <row r="287" spans="1:54" ht="12.75" x14ac:dyDescent="0.2">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row>
    <row r="288" spans="1:54" ht="12.75" x14ac:dyDescent="0.2">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c r="AI288" s="28"/>
      <c r="AJ288" s="28"/>
      <c r="AK288" s="28"/>
      <c r="AL288" s="28"/>
      <c r="AM288" s="28"/>
      <c r="AN288" s="28"/>
      <c r="AO288" s="28"/>
      <c r="AP288" s="28"/>
      <c r="AQ288" s="28"/>
      <c r="AR288" s="28"/>
      <c r="AS288" s="28"/>
      <c r="AT288" s="28"/>
      <c r="AU288" s="28"/>
      <c r="AV288" s="28"/>
      <c r="AW288" s="28"/>
      <c r="AX288" s="28"/>
      <c r="AY288" s="28"/>
      <c r="AZ288" s="28"/>
      <c r="BA288" s="28"/>
      <c r="BB288" s="28"/>
    </row>
    <row r="289" spans="1:54" ht="12.75" x14ac:dyDescent="0.2">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8"/>
      <c r="AP289" s="28"/>
      <c r="AQ289" s="28"/>
      <c r="AR289" s="28"/>
      <c r="AS289" s="28"/>
      <c r="AT289" s="28"/>
      <c r="AU289" s="28"/>
      <c r="AV289" s="28"/>
      <c r="AW289" s="28"/>
      <c r="AX289" s="28"/>
      <c r="AY289" s="28"/>
      <c r="AZ289" s="28"/>
      <c r="BA289" s="28"/>
      <c r="BB289" s="28"/>
    </row>
    <row r="290" spans="1:54" ht="12.75" x14ac:dyDescent="0.2">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8"/>
      <c r="AR290" s="28"/>
      <c r="AS290" s="28"/>
      <c r="AT290" s="28"/>
      <c r="AU290" s="28"/>
      <c r="AV290" s="28"/>
      <c r="AW290" s="28"/>
      <c r="AX290" s="28"/>
      <c r="AY290" s="28"/>
      <c r="AZ290" s="28"/>
      <c r="BA290" s="28"/>
      <c r="BB290" s="28"/>
    </row>
    <row r="291" spans="1:54" ht="12.75" x14ac:dyDescent="0.2">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8"/>
      <c r="AR291" s="28"/>
      <c r="AS291" s="28"/>
      <c r="AT291" s="28"/>
      <c r="AU291" s="28"/>
      <c r="AV291" s="28"/>
      <c r="AW291" s="28"/>
      <c r="AX291" s="28"/>
      <c r="AY291" s="28"/>
      <c r="AZ291" s="28"/>
      <c r="BA291" s="28"/>
      <c r="BB291" s="28"/>
    </row>
    <row r="292" spans="1:54" ht="12.75" x14ac:dyDescent="0.2">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8"/>
      <c r="AR292" s="28"/>
      <c r="AS292" s="28"/>
      <c r="AT292" s="28"/>
      <c r="AU292" s="28"/>
      <c r="AV292" s="28"/>
      <c r="AW292" s="28"/>
      <c r="AX292" s="28"/>
      <c r="AY292" s="28"/>
      <c r="AZ292" s="28"/>
      <c r="BA292" s="28"/>
      <c r="BB292" s="28"/>
    </row>
    <row r="293" spans="1:54" ht="12.75" x14ac:dyDescent="0.2">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28"/>
      <c r="AK293" s="28"/>
      <c r="AL293" s="28"/>
      <c r="AM293" s="28"/>
      <c r="AN293" s="28"/>
      <c r="AO293" s="28"/>
      <c r="AP293" s="28"/>
      <c r="AQ293" s="28"/>
      <c r="AR293" s="28"/>
      <c r="AS293" s="28"/>
      <c r="AT293" s="28"/>
      <c r="AU293" s="28"/>
      <c r="AV293" s="28"/>
      <c r="AW293" s="28"/>
      <c r="AX293" s="28"/>
      <c r="AY293" s="28"/>
      <c r="AZ293" s="28"/>
      <c r="BA293" s="28"/>
      <c r="BB293" s="28"/>
    </row>
    <row r="294" spans="1:54" ht="12.75" x14ac:dyDescent="0.2">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c r="AI294" s="28"/>
      <c r="AJ294" s="28"/>
      <c r="AK294" s="28"/>
      <c r="AL294" s="28"/>
      <c r="AM294" s="28"/>
      <c r="AN294" s="28"/>
      <c r="AO294" s="28"/>
      <c r="AP294" s="28"/>
      <c r="AQ294" s="28"/>
      <c r="AR294" s="28"/>
      <c r="AS294" s="28"/>
      <c r="AT294" s="28"/>
      <c r="AU294" s="28"/>
      <c r="AV294" s="28"/>
      <c r="AW294" s="28"/>
      <c r="AX294" s="28"/>
      <c r="AY294" s="28"/>
      <c r="AZ294" s="28"/>
      <c r="BA294" s="28"/>
      <c r="BB294" s="28"/>
    </row>
    <row r="295" spans="1:54" ht="12.75" x14ac:dyDescent="0.2">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c r="AH295" s="28"/>
      <c r="AI295" s="28"/>
      <c r="AJ295" s="28"/>
      <c r="AK295" s="28"/>
      <c r="AL295" s="28"/>
      <c r="AM295" s="28"/>
      <c r="AN295" s="28"/>
      <c r="AO295" s="28"/>
      <c r="AP295" s="28"/>
      <c r="AQ295" s="28"/>
      <c r="AR295" s="28"/>
      <c r="AS295" s="28"/>
      <c r="AT295" s="28"/>
      <c r="AU295" s="28"/>
      <c r="AV295" s="28"/>
      <c r="AW295" s="28"/>
      <c r="AX295" s="28"/>
      <c r="AY295" s="28"/>
      <c r="AZ295" s="28"/>
      <c r="BA295" s="28"/>
      <c r="BB295" s="28"/>
    </row>
    <row r="296" spans="1:54" ht="12.75" x14ac:dyDescent="0.2">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c r="AR296" s="28"/>
      <c r="AS296" s="28"/>
      <c r="AT296" s="28"/>
      <c r="AU296" s="28"/>
      <c r="AV296" s="28"/>
      <c r="AW296" s="28"/>
      <c r="AX296" s="28"/>
      <c r="AY296" s="28"/>
      <c r="AZ296" s="28"/>
      <c r="BA296" s="28"/>
      <c r="BB296" s="28"/>
    </row>
    <row r="297" spans="1:54" ht="12.75" x14ac:dyDescent="0.2">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28"/>
      <c r="AJ297" s="28"/>
      <c r="AK297" s="28"/>
      <c r="AL297" s="28"/>
      <c r="AM297" s="28"/>
      <c r="AN297" s="28"/>
      <c r="AO297" s="28"/>
      <c r="AP297" s="28"/>
      <c r="AQ297" s="28"/>
      <c r="AR297" s="28"/>
      <c r="AS297" s="28"/>
      <c r="AT297" s="28"/>
      <c r="AU297" s="28"/>
      <c r="AV297" s="28"/>
      <c r="AW297" s="28"/>
      <c r="AX297" s="28"/>
      <c r="AY297" s="28"/>
      <c r="AZ297" s="28"/>
      <c r="BA297" s="28"/>
      <c r="BB297" s="28"/>
    </row>
    <row r="298" spans="1:54" ht="12.75" x14ac:dyDescent="0.2">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c r="AI298" s="28"/>
      <c r="AJ298" s="28"/>
      <c r="AK298" s="28"/>
      <c r="AL298" s="28"/>
      <c r="AM298" s="28"/>
      <c r="AN298" s="28"/>
      <c r="AO298" s="28"/>
      <c r="AP298" s="28"/>
      <c r="AQ298" s="28"/>
      <c r="AR298" s="28"/>
      <c r="AS298" s="28"/>
      <c r="AT298" s="28"/>
      <c r="AU298" s="28"/>
      <c r="AV298" s="28"/>
      <c r="AW298" s="28"/>
      <c r="AX298" s="28"/>
      <c r="AY298" s="28"/>
      <c r="AZ298" s="28"/>
      <c r="BA298" s="28"/>
      <c r="BB298" s="28"/>
    </row>
    <row r="299" spans="1:54" ht="12.75" x14ac:dyDescent="0.2">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J299" s="28"/>
      <c r="AK299" s="28"/>
      <c r="AL299" s="28"/>
      <c r="AM299" s="28"/>
      <c r="AN299" s="28"/>
      <c r="AO299" s="28"/>
      <c r="AP299" s="28"/>
      <c r="AQ299" s="28"/>
      <c r="AR299" s="28"/>
      <c r="AS299" s="28"/>
      <c r="AT299" s="28"/>
      <c r="AU299" s="28"/>
      <c r="AV299" s="28"/>
      <c r="AW299" s="28"/>
      <c r="AX299" s="28"/>
      <c r="AY299" s="28"/>
      <c r="AZ299" s="28"/>
      <c r="BA299" s="28"/>
      <c r="BB299" s="28"/>
    </row>
    <row r="300" spans="1:54" ht="12.75" x14ac:dyDescent="0.2">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8"/>
      <c r="AI300" s="28"/>
      <c r="AJ300" s="28"/>
      <c r="AK300" s="28"/>
      <c r="AL300" s="28"/>
      <c r="AM300" s="28"/>
      <c r="AN300" s="28"/>
      <c r="AO300" s="28"/>
      <c r="AP300" s="28"/>
      <c r="AQ300" s="28"/>
      <c r="AR300" s="28"/>
      <c r="AS300" s="28"/>
      <c r="AT300" s="28"/>
      <c r="AU300" s="28"/>
      <c r="AV300" s="28"/>
      <c r="AW300" s="28"/>
      <c r="AX300" s="28"/>
      <c r="AY300" s="28"/>
      <c r="AZ300" s="28"/>
      <c r="BA300" s="28"/>
      <c r="BB300" s="28"/>
    </row>
    <row r="301" spans="1:54" ht="12.75" x14ac:dyDescent="0.2">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8"/>
      <c r="AR301" s="28"/>
      <c r="AS301" s="28"/>
      <c r="AT301" s="28"/>
      <c r="AU301" s="28"/>
      <c r="AV301" s="28"/>
      <c r="AW301" s="28"/>
      <c r="AX301" s="28"/>
      <c r="AY301" s="28"/>
      <c r="AZ301" s="28"/>
      <c r="BA301" s="28"/>
      <c r="BB301" s="28"/>
    </row>
    <row r="302" spans="1:54" ht="12.75" x14ac:dyDescent="0.2">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28"/>
      <c r="AH302" s="28"/>
      <c r="AI302" s="28"/>
      <c r="AJ302" s="28"/>
      <c r="AK302" s="28"/>
      <c r="AL302" s="28"/>
      <c r="AM302" s="28"/>
      <c r="AN302" s="28"/>
      <c r="AO302" s="28"/>
      <c r="AP302" s="28"/>
      <c r="AQ302" s="28"/>
      <c r="AR302" s="28"/>
      <c r="AS302" s="28"/>
      <c r="AT302" s="28"/>
      <c r="AU302" s="28"/>
      <c r="AV302" s="28"/>
      <c r="AW302" s="28"/>
      <c r="AX302" s="28"/>
      <c r="AY302" s="28"/>
      <c r="AZ302" s="28"/>
      <c r="BA302" s="28"/>
      <c r="BB302" s="28"/>
    </row>
    <row r="303" spans="1:54" ht="12.75" x14ac:dyDescent="0.2">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c r="AN303" s="28"/>
      <c r="AO303" s="28"/>
      <c r="AP303" s="28"/>
      <c r="AQ303" s="28"/>
      <c r="AR303" s="28"/>
      <c r="AS303" s="28"/>
      <c r="AT303" s="28"/>
      <c r="AU303" s="28"/>
      <c r="AV303" s="28"/>
      <c r="AW303" s="28"/>
      <c r="AX303" s="28"/>
      <c r="AY303" s="28"/>
      <c r="AZ303" s="28"/>
      <c r="BA303" s="28"/>
      <c r="BB303" s="28"/>
    </row>
    <row r="304" spans="1:54" ht="12.75" x14ac:dyDescent="0.2">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c r="AN304" s="28"/>
      <c r="AO304" s="28"/>
      <c r="AP304" s="28"/>
      <c r="AQ304" s="28"/>
      <c r="AR304" s="28"/>
      <c r="AS304" s="28"/>
      <c r="AT304" s="28"/>
      <c r="AU304" s="28"/>
      <c r="AV304" s="28"/>
      <c r="AW304" s="28"/>
      <c r="AX304" s="28"/>
      <c r="AY304" s="28"/>
      <c r="AZ304" s="28"/>
      <c r="BA304" s="28"/>
      <c r="BB304" s="28"/>
    </row>
    <row r="305" spans="1:54" ht="12.75" x14ac:dyDescent="0.2">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c r="AP305" s="28"/>
      <c r="AQ305" s="28"/>
      <c r="AR305" s="28"/>
      <c r="AS305" s="28"/>
      <c r="AT305" s="28"/>
      <c r="AU305" s="28"/>
      <c r="AV305" s="28"/>
      <c r="AW305" s="28"/>
      <c r="AX305" s="28"/>
      <c r="AY305" s="28"/>
      <c r="AZ305" s="28"/>
      <c r="BA305" s="28"/>
      <c r="BB305" s="28"/>
    </row>
    <row r="306" spans="1:54" ht="12.75" x14ac:dyDescent="0.2">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c r="AR306" s="28"/>
      <c r="AS306" s="28"/>
      <c r="AT306" s="28"/>
      <c r="AU306" s="28"/>
      <c r="AV306" s="28"/>
      <c r="AW306" s="28"/>
      <c r="AX306" s="28"/>
      <c r="AY306" s="28"/>
      <c r="AZ306" s="28"/>
      <c r="BA306" s="28"/>
      <c r="BB306" s="28"/>
    </row>
    <row r="307" spans="1:54" ht="12.75" x14ac:dyDescent="0.2">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c r="AI307" s="28"/>
      <c r="AJ307" s="28"/>
      <c r="AK307" s="28"/>
      <c r="AL307" s="28"/>
      <c r="AM307" s="28"/>
      <c r="AN307" s="28"/>
      <c r="AO307" s="28"/>
      <c r="AP307" s="28"/>
      <c r="AQ307" s="28"/>
      <c r="AR307" s="28"/>
      <c r="AS307" s="28"/>
      <c r="AT307" s="28"/>
      <c r="AU307" s="28"/>
      <c r="AV307" s="28"/>
      <c r="AW307" s="28"/>
      <c r="AX307" s="28"/>
      <c r="AY307" s="28"/>
      <c r="AZ307" s="28"/>
      <c r="BA307" s="28"/>
      <c r="BB307" s="28"/>
    </row>
    <row r="308" spans="1:54" ht="12.75" x14ac:dyDescent="0.2">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c r="AI308" s="28"/>
      <c r="AJ308" s="28"/>
      <c r="AK308" s="28"/>
      <c r="AL308" s="28"/>
      <c r="AM308" s="28"/>
      <c r="AN308" s="28"/>
      <c r="AO308" s="28"/>
      <c r="AP308" s="28"/>
      <c r="AQ308" s="28"/>
      <c r="AR308" s="28"/>
      <c r="AS308" s="28"/>
      <c r="AT308" s="28"/>
      <c r="AU308" s="28"/>
      <c r="AV308" s="28"/>
      <c r="AW308" s="28"/>
      <c r="AX308" s="28"/>
      <c r="AY308" s="28"/>
      <c r="AZ308" s="28"/>
      <c r="BA308" s="28"/>
      <c r="BB308" s="28"/>
    </row>
    <row r="309" spans="1:54" ht="12.75" x14ac:dyDescent="0.2">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J309" s="28"/>
      <c r="AK309" s="28"/>
      <c r="AL309" s="28"/>
      <c r="AM309" s="28"/>
      <c r="AN309" s="28"/>
      <c r="AO309" s="28"/>
      <c r="AP309" s="28"/>
      <c r="AQ309" s="28"/>
      <c r="AR309" s="28"/>
      <c r="AS309" s="28"/>
      <c r="AT309" s="28"/>
      <c r="AU309" s="28"/>
      <c r="AV309" s="28"/>
      <c r="AW309" s="28"/>
      <c r="AX309" s="28"/>
      <c r="AY309" s="28"/>
      <c r="AZ309" s="28"/>
      <c r="BA309" s="28"/>
      <c r="BB309" s="28"/>
    </row>
    <row r="310" spans="1:54" ht="12.75" x14ac:dyDescent="0.2">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c r="AI310" s="28"/>
      <c r="AJ310" s="28"/>
      <c r="AK310" s="28"/>
      <c r="AL310" s="28"/>
      <c r="AM310" s="28"/>
      <c r="AN310" s="28"/>
      <c r="AO310" s="28"/>
      <c r="AP310" s="28"/>
      <c r="AQ310" s="28"/>
      <c r="AR310" s="28"/>
      <c r="AS310" s="28"/>
      <c r="AT310" s="28"/>
      <c r="AU310" s="28"/>
      <c r="AV310" s="28"/>
      <c r="AW310" s="28"/>
      <c r="AX310" s="28"/>
      <c r="AY310" s="28"/>
      <c r="AZ310" s="28"/>
      <c r="BA310" s="28"/>
      <c r="BB310" s="28"/>
    </row>
    <row r="311" spans="1:54" ht="12.75" x14ac:dyDescent="0.2">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8"/>
      <c r="AN311" s="28"/>
      <c r="AO311" s="28"/>
      <c r="AP311" s="28"/>
      <c r="AQ311" s="28"/>
      <c r="AR311" s="28"/>
      <c r="AS311" s="28"/>
      <c r="AT311" s="28"/>
      <c r="AU311" s="28"/>
      <c r="AV311" s="28"/>
      <c r="AW311" s="28"/>
      <c r="AX311" s="28"/>
      <c r="AY311" s="28"/>
      <c r="AZ311" s="28"/>
      <c r="BA311" s="28"/>
      <c r="BB311" s="28"/>
    </row>
    <row r="312" spans="1:54" ht="12.75" x14ac:dyDescent="0.2">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c r="AN312" s="28"/>
      <c r="AO312" s="28"/>
      <c r="AP312" s="28"/>
      <c r="AQ312" s="28"/>
      <c r="AR312" s="28"/>
      <c r="AS312" s="28"/>
      <c r="AT312" s="28"/>
      <c r="AU312" s="28"/>
      <c r="AV312" s="28"/>
      <c r="AW312" s="28"/>
      <c r="AX312" s="28"/>
      <c r="AY312" s="28"/>
      <c r="AZ312" s="28"/>
      <c r="BA312" s="28"/>
      <c r="BB312" s="28"/>
    </row>
    <row r="313" spans="1:54" ht="12.75" x14ac:dyDescent="0.2">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c r="AI313" s="28"/>
      <c r="AJ313" s="28"/>
      <c r="AK313" s="28"/>
      <c r="AL313" s="28"/>
      <c r="AM313" s="28"/>
      <c r="AN313" s="28"/>
      <c r="AO313" s="28"/>
      <c r="AP313" s="28"/>
      <c r="AQ313" s="28"/>
      <c r="AR313" s="28"/>
      <c r="AS313" s="28"/>
      <c r="AT313" s="28"/>
      <c r="AU313" s="28"/>
      <c r="AV313" s="28"/>
      <c r="AW313" s="28"/>
      <c r="AX313" s="28"/>
      <c r="AY313" s="28"/>
      <c r="AZ313" s="28"/>
      <c r="BA313" s="28"/>
      <c r="BB313" s="28"/>
    </row>
    <row r="314" spans="1:54" ht="12.75" x14ac:dyDescent="0.2">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8"/>
      <c r="AJ314" s="28"/>
      <c r="AK314" s="28"/>
      <c r="AL314" s="28"/>
      <c r="AM314" s="28"/>
      <c r="AN314" s="28"/>
      <c r="AO314" s="28"/>
      <c r="AP314" s="28"/>
      <c r="AQ314" s="28"/>
      <c r="AR314" s="28"/>
      <c r="AS314" s="28"/>
      <c r="AT314" s="28"/>
      <c r="AU314" s="28"/>
      <c r="AV314" s="28"/>
      <c r="AW314" s="28"/>
      <c r="AX314" s="28"/>
      <c r="AY314" s="28"/>
      <c r="AZ314" s="28"/>
      <c r="BA314" s="28"/>
      <c r="BB314" s="28"/>
    </row>
    <row r="315" spans="1:54" ht="12.75" x14ac:dyDescent="0.2">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8"/>
      <c r="AJ315" s="28"/>
      <c r="AK315" s="28"/>
      <c r="AL315" s="28"/>
      <c r="AM315" s="28"/>
      <c r="AN315" s="28"/>
      <c r="AO315" s="28"/>
      <c r="AP315" s="28"/>
      <c r="AQ315" s="28"/>
      <c r="AR315" s="28"/>
      <c r="AS315" s="28"/>
      <c r="AT315" s="28"/>
      <c r="AU315" s="28"/>
      <c r="AV315" s="28"/>
      <c r="AW315" s="28"/>
      <c r="AX315" s="28"/>
      <c r="AY315" s="28"/>
      <c r="AZ315" s="28"/>
      <c r="BA315" s="28"/>
      <c r="BB315" s="28"/>
    </row>
    <row r="316" spans="1:54" ht="12.75" x14ac:dyDescent="0.2">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c r="AP316" s="28"/>
      <c r="AQ316" s="28"/>
      <c r="AR316" s="28"/>
      <c r="AS316" s="28"/>
      <c r="AT316" s="28"/>
      <c r="AU316" s="28"/>
      <c r="AV316" s="28"/>
      <c r="AW316" s="28"/>
      <c r="AX316" s="28"/>
      <c r="AY316" s="28"/>
      <c r="AZ316" s="28"/>
      <c r="BA316" s="28"/>
      <c r="BB316" s="28"/>
    </row>
    <row r="317" spans="1:54" ht="12.75" x14ac:dyDescent="0.2">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8"/>
      <c r="AJ317" s="28"/>
      <c r="AK317" s="28"/>
      <c r="AL317" s="28"/>
      <c r="AM317" s="28"/>
      <c r="AN317" s="28"/>
      <c r="AO317" s="28"/>
      <c r="AP317" s="28"/>
      <c r="AQ317" s="28"/>
      <c r="AR317" s="28"/>
      <c r="AS317" s="28"/>
      <c r="AT317" s="28"/>
      <c r="AU317" s="28"/>
      <c r="AV317" s="28"/>
      <c r="AW317" s="28"/>
      <c r="AX317" s="28"/>
      <c r="AY317" s="28"/>
      <c r="AZ317" s="28"/>
      <c r="BA317" s="28"/>
      <c r="BB317" s="28"/>
    </row>
    <row r="318" spans="1:54" ht="12.75" x14ac:dyDescent="0.2">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c r="AI318" s="28"/>
      <c r="AJ318" s="28"/>
      <c r="AK318" s="28"/>
      <c r="AL318" s="28"/>
      <c r="AM318" s="28"/>
      <c r="AN318" s="28"/>
      <c r="AO318" s="28"/>
      <c r="AP318" s="28"/>
      <c r="AQ318" s="28"/>
      <c r="AR318" s="28"/>
      <c r="AS318" s="28"/>
      <c r="AT318" s="28"/>
      <c r="AU318" s="28"/>
      <c r="AV318" s="28"/>
      <c r="AW318" s="28"/>
      <c r="AX318" s="28"/>
      <c r="AY318" s="28"/>
      <c r="AZ318" s="28"/>
      <c r="BA318" s="28"/>
      <c r="BB318" s="28"/>
    </row>
    <row r="319" spans="1:54" ht="12.75" x14ac:dyDescent="0.2">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8"/>
      <c r="AJ319" s="28"/>
      <c r="AK319" s="28"/>
      <c r="AL319" s="28"/>
      <c r="AM319" s="28"/>
      <c r="AN319" s="28"/>
      <c r="AO319" s="28"/>
      <c r="AP319" s="28"/>
      <c r="AQ319" s="28"/>
      <c r="AR319" s="28"/>
      <c r="AS319" s="28"/>
      <c r="AT319" s="28"/>
      <c r="AU319" s="28"/>
      <c r="AV319" s="28"/>
      <c r="AW319" s="28"/>
      <c r="AX319" s="28"/>
      <c r="AY319" s="28"/>
      <c r="AZ319" s="28"/>
      <c r="BA319" s="28"/>
      <c r="BB319" s="28"/>
    </row>
    <row r="320" spans="1:54" ht="12.75" x14ac:dyDescent="0.2">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c r="AI320" s="28"/>
      <c r="AJ320" s="28"/>
      <c r="AK320" s="28"/>
      <c r="AL320" s="28"/>
      <c r="AM320" s="28"/>
      <c r="AN320" s="28"/>
      <c r="AO320" s="28"/>
      <c r="AP320" s="28"/>
      <c r="AQ320" s="28"/>
      <c r="AR320" s="28"/>
      <c r="AS320" s="28"/>
      <c r="AT320" s="28"/>
      <c r="AU320" s="28"/>
      <c r="AV320" s="28"/>
      <c r="AW320" s="28"/>
      <c r="AX320" s="28"/>
      <c r="AY320" s="28"/>
      <c r="AZ320" s="28"/>
      <c r="BA320" s="28"/>
      <c r="BB320" s="28"/>
    </row>
    <row r="321" spans="1:54" ht="12.75" x14ac:dyDescent="0.2">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c r="AI321" s="28"/>
      <c r="AJ321" s="28"/>
      <c r="AK321" s="28"/>
      <c r="AL321" s="28"/>
      <c r="AM321" s="28"/>
      <c r="AN321" s="28"/>
      <c r="AO321" s="28"/>
      <c r="AP321" s="28"/>
      <c r="AQ321" s="28"/>
      <c r="AR321" s="28"/>
      <c r="AS321" s="28"/>
      <c r="AT321" s="28"/>
      <c r="AU321" s="28"/>
      <c r="AV321" s="28"/>
      <c r="AW321" s="28"/>
      <c r="AX321" s="28"/>
      <c r="AY321" s="28"/>
      <c r="AZ321" s="28"/>
      <c r="BA321" s="28"/>
      <c r="BB321" s="28"/>
    </row>
    <row r="322" spans="1:54" ht="12.75" x14ac:dyDescent="0.2">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8"/>
      <c r="AJ322" s="28"/>
      <c r="AK322" s="28"/>
      <c r="AL322" s="28"/>
      <c r="AM322" s="28"/>
      <c r="AN322" s="28"/>
      <c r="AO322" s="28"/>
      <c r="AP322" s="28"/>
      <c r="AQ322" s="28"/>
      <c r="AR322" s="28"/>
      <c r="AS322" s="28"/>
      <c r="AT322" s="28"/>
      <c r="AU322" s="28"/>
      <c r="AV322" s="28"/>
      <c r="AW322" s="28"/>
      <c r="AX322" s="28"/>
      <c r="AY322" s="28"/>
      <c r="AZ322" s="28"/>
      <c r="BA322" s="28"/>
      <c r="BB322" s="28"/>
    </row>
    <row r="323" spans="1:54" ht="12.75" x14ac:dyDescent="0.2">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8"/>
      <c r="AN323" s="28"/>
      <c r="AO323" s="28"/>
      <c r="AP323" s="28"/>
      <c r="AQ323" s="28"/>
      <c r="AR323" s="28"/>
      <c r="AS323" s="28"/>
      <c r="AT323" s="28"/>
      <c r="AU323" s="28"/>
      <c r="AV323" s="28"/>
      <c r="AW323" s="28"/>
      <c r="AX323" s="28"/>
      <c r="AY323" s="28"/>
      <c r="AZ323" s="28"/>
      <c r="BA323" s="28"/>
      <c r="BB323" s="28"/>
    </row>
    <row r="324" spans="1:54" ht="12.75" x14ac:dyDescent="0.2">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8"/>
      <c r="AJ324" s="28"/>
      <c r="AK324" s="28"/>
      <c r="AL324" s="28"/>
      <c r="AM324" s="28"/>
      <c r="AN324" s="28"/>
      <c r="AO324" s="28"/>
      <c r="AP324" s="28"/>
      <c r="AQ324" s="28"/>
      <c r="AR324" s="28"/>
      <c r="AS324" s="28"/>
      <c r="AT324" s="28"/>
      <c r="AU324" s="28"/>
      <c r="AV324" s="28"/>
      <c r="AW324" s="28"/>
      <c r="AX324" s="28"/>
      <c r="AY324" s="28"/>
      <c r="AZ324" s="28"/>
      <c r="BA324" s="28"/>
      <c r="BB324" s="28"/>
    </row>
    <row r="325" spans="1:54" ht="12.75" x14ac:dyDescent="0.2">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c r="AN325" s="28"/>
      <c r="AO325" s="28"/>
      <c r="AP325" s="28"/>
      <c r="AQ325" s="28"/>
      <c r="AR325" s="28"/>
      <c r="AS325" s="28"/>
      <c r="AT325" s="28"/>
      <c r="AU325" s="28"/>
      <c r="AV325" s="28"/>
      <c r="AW325" s="28"/>
      <c r="AX325" s="28"/>
      <c r="AY325" s="28"/>
      <c r="AZ325" s="28"/>
      <c r="BA325" s="28"/>
      <c r="BB325" s="28"/>
    </row>
    <row r="326" spans="1:54" ht="12.75" x14ac:dyDescent="0.2">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c r="AR326" s="28"/>
      <c r="AS326" s="28"/>
      <c r="AT326" s="28"/>
      <c r="AU326" s="28"/>
      <c r="AV326" s="28"/>
      <c r="AW326" s="28"/>
      <c r="AX326" s="28"/>
      <c r="AY326" s="28"/>
      <c r="AZ326" s="28"/>
      <c r="BA326" s="28"/>
      <c r="BB326" s="28"/>
    </row>
    <row r="327" spans="1:54" ht="12.75" x14ac:dyDescent="0.2">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c r="AP327" s="28"/>
      <c r="AQ327" s="28"/>
      <c r="AR327" s="28"/>
      <c r="AS327" s="28"/>
      <c r="AT327" s="28"/>
      <c r="AU327" s="28"/>
      <c r="AV327" s="28"/>
      <c r="AW327" s="28"/>
      <c r="AX327" s="28"/>
      <c r="AY327" s="28"/>
      <c r="AZ327" s="28"/>
      <c r="BA327" s="28"/>
      <c r="BB327" s="28"/>
    </row>
    <row r="328" spans="1:54" ht="12.75" x14ac:dyDescent="0.2">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c r="AH328" s="28"/>
      <c r="AI328" s="28"/>
      <c r="AJ328" s="28"/>
      <c r="AK328" s="28"/>
      <c r="AL328" s="28"/>
      <c r="AM328" s="28"/>
      <c r="AN328" s="28"/>
      <c r="AO328" s="28"/>
      <c r="AP328" s="28"/>
      <c r="AQ328" s="28"/>
      <c r="AR328" s="28"/>
      <c r="AS328" s="28"/>
      <c r="AT328" s="28"/>
      <c r="AU328" s="28"/>
      <c r="AV328" s="28"/>
      <c r="AW328" s="28"/>
      <c r="AX328" s="28"/>
      <c r="AY328" s="28"/>
      <c r="AZ328" s="28"/>
      <c r="BA328" s="28"/>
      <c r="BB328" s="28"/>
    </row>
    <row r="329" spans="1:54" ht="12.75" x14ac:dyDescent="0.2">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8"/>
      <c r="AR329" s="28"/>
      <c r="AS329" s="28"/>
      <c r="AT329" s="28"/>
      <c r="AU329" s="28"/>
      <c r="AV329" s="28"/>
      <c r="AW329" s="28"/>
      <c r="AX329" s="28"/>
      <c r="AY329" s="28"/>
      <c r="AZ329" s="28"/>
      <c r="BA329" s="28"/>
      <c r="BB329" s="28"/>
    </row>
    <row r="330" spans="1:54" ht="12.75" x14ac:dyDescent="0.2">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8"/>
      <c r="AR330" s="28"/>
      <c r="AS330" s="28"/>
      <c r="AT330" s="28"/>
      <c r="AU330" s="28"/>
      <c r="AV330" s="28"/>
      <c r="AW330" s="28"/>
      <c r="AX330" s="28"/>
      <c r="AY330" s="28"/>
      <c r="AZ330" s="28"/>
      <c r="BA330" s="28"/>
      <c r="BB330" s="28"/>
    </row>
    <row r="331" spans="1:54" ht="12.75" x14ac:dyDescent="0.2">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c r="AI331" s="28"/>
      <c r="AJ331" s="28"/>
      <c r="AK331" s="28"/>
      <c r="AL331" s="28"/>
      <c r="AM331" s="28"/>
      <c r="AN331" s="28"/>
      <c r="AO331" s="28"/>
      <c r="AP331" s="28"/>
      <c r="AQ331" s="28"/>
      <c r="AR331" s="28"/>
      <c r="AS331" s="28"/>
      <c r="AT331" s="28"/>
      <c r="AU331" s="28"/>
      <c r="AV331" s="28"/>
      <c r="AW331" s="28"/>
      <c r="AX331" s="28"/>
      <c r="AY331" s="28"/>
      <c r="AZ331" s="28"/>
      <c r="BA331" s="28"/>
      <c r="BB331" s="28"/>
    </row>
    <row r="332" spans="1:54" ht="12.75" x14ac:dyDescent="0.2">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c r="AN332" s="28"/>
      <c r="AO332" s="28"/>
      <c r="AP332" s="28"/>
      <c r="AQ332" s="28"/>
      <c r="AR332" s="28"/>
      <c r="AS332" s="28"/>
      <c r="AT332" s="28"/>
      <c r="AU332" s="28"/>
      <c r="AV332" s="28"/>
      <c r="AW332" s="28"/>
      <c r="AX332" s="28"/>
      <c r="AY332" s="28"/>
      <c r="AZ332" s="28"/>
      <c r="BA332" s="28"/>
      <c r="BB332" s="28"/>
    </row>
    <row r="333" spans="1:54" ht="12.75" x14ac:dyDescent="0.2">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c r="AP333" s="28"/>
      <c r="AQ333" s="28"/>
      <c r="AR333" s="28"/>
      <c r="AS333" s="28"/>
      <c r="AT333" s="28"/>
      <c r="AU333" s="28"/>
      <c r="AV333" s="28"/>
      <c r="AW333" s="28"/>
      <c r="AX333" s="28"/>
      <c r="AY333" s="28"/>
      <c r="AZ333" s="28"/>
      <c r="BA333" s="28"/>
      <c r="BB333" s="28"/>
    </row>
    <row r="334" spans="1:54" ht="12.75" x14ac:dyDescent="0.2">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c r="AI334" s="28"/>
      <c r="AJ334" s="28"/>
      <c r="AK334" s="28"/>
      <c r="AL334" s="28"/>
      <c r="AM334" s="28"/>
      <c r="AN334" s="28"/>
      <c r="AO334" s="28"/>
      <c r="AP334" s="28"/>
      <c r="AQ334" s="28"/>
      <c r="AR334" s="28"/>
      <c r="AS334" s="28"/>
      <c r="AT334" s="28"/>
      <c r="AU334" s="28"/>
      <c r="AV334" s="28"/>
      <c r="AW334" s="28"/>
      <c r="AX334" s="28"/>
      <c r="AY334" s="28"/>
      <c r="AZ334" s="28"/>
      <c r="BA334" s="28"/>
      <c r="BB334" s="28"/>
    </row>
    <row r="335" spans="1:54" ht="12.75" x14ac:dyDescent="0.2">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c r="AG335" s="28"/>
      <c r="AH335" s="28"/>
      <c r="AI335" s="28"/>
      <c r="AJ335" s="28"/>
      <c r="AK335" s="28"/>
      <c r="AL335" s="28"/>
      <c r="AM335" s="28"/>
      <c r="AN335" s="28"/>
      <c r="AO335" s="28"/>
      <c r="AP335" s="28"/>
      <c r="AQ335" s="28"/>
      <c r="AR335" s="28"/>
      <c r="AS335" s="28"/>
      <c r="AT335" s="28"/>
      <c r="AU335" s="28"/>
      <c r="AV335" s="28"/>
      <c r="AW335" s="28"/>
      <c r="AX335" s="28"/>
      <c r="AY335" s="28"/>
      <c r="AZ335" s="28"/>
      <c r="BA335" s="28"/>
      <c r="BB335" s="28"/>
    </row>
    <row r="336" spans="1:54" ht="12.75" x14ac:dyDescent="0.2">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c r="AP336" s="28"/>
      <c r="AQ336" s="28"/>
      <c r="AR336" s="28"/>
      <c r="AS336" s="28"/>
      <c r="AT336" s="28"/>
      <c r="AU336" s="28"/>
      <c r="AV336" s="28"/>
      <c r="AW336" s="28"/>
      <c r="AX336" s="28"/>
      <c r="AY336" s="28"/>
      <c r="AZ336" s="28"/>
      <c r="BA336" s="28"/>
      <c r="BB336" s="28"/>
    </row>
    <row r="337" spans="1:54" ht="12.75" x14ac:dyDescent="0.2">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c r="AN337" s="28"/>
      <c r="AO337" s="28"/>
      <c r="AP337" s="28"/>
      <c r="AQ337" s="28"/>
      <c r="AR337" s="28"/>
      <c r="AS337" s="28"/>
      <c r="AT337" s="28"/>
      <c r="AU337" s="28"/>
      <c r="AV337" s="28"/>
      <c r="AW337" s="28"/>
      <c r="AX337" s="28"/>
      <c r="AY337" s="28"/>
      <c r="AZ337" s="28"/>
      <c r="BA337" s="28"/>
      <c r="BB337" s="28"/>
    </row>
    <row r="338" spans="1:54" ht="12.75" x14ac:dyDescent="0.2">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c r="AG338" s="28"/>
      <c r="AH338" s="28"/>
      <c r="AI338" s="28"/>
      <c r="AJ338" s="28"/>
      <c r="AK338" s="28"/>
      <c r="AL338" s="28"/>
      <c r="AM338" s="28"/>
      <c r="AN338" s="28"/>
      <c r="AO338" s="28"/>
      <c r="AP338" s="28"/>
      <c r="AQ338" s="28"/>
      <c r="AR338" s="28"/>
      <c r="AS338" s="28"/>
      <c r="AT338" s="28"/>
      <c r="AU338" s="28"/>
      <c r="AV338" s="28"/>
      <c r="AW338" s="28"/>
      <c r="AX338" s="28"/>
      <c r="AY338" s="28"/>
      <c r="AZ338" s="28"/>
      <c r="BA338" s="28"/>
      <c r="BB338" s="28"/>
    </row>
    <row r="339" spans="1:54" ht="12.75" x14ac:dyDescent="0.2">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8"/>
      <c r="AN339" s="28"/>
      <c r="AO339" s="28"/>
      <c r="AP339" s="28"/>
      <c r="AQ339" s="28"/>
      <c r="AR339" s="28"/>
      <c r="AS339" s="28"/>
      <c r="AT339" s="28"/>
      <c r="AU339" s="28"/>
      <c r="AV339" s="28"/>
      <c r="AW339" s="28"/>
      <c r="AX339" s="28"/>
      <c r="AY339" s="28"/>
      <c r="AZ339" s="28"/>
      <c r="BA339" s="28"/>
      <c r="BB339" s="28"/>
    </row>
    <row r="340" spans="1:54" ht="12.75" x14ac:dyDescent="0.2">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c r="AG340" s="28"/>
      <c r="AH340" s="28"/>
      <c r="AI340" s="28"/>
      <c r="AJ340" s="28"/>
      <c r="AK340" s="28"/>
      <c r="AL340" s="28"/>
      <c r="AM340" s="28"/>
      <c r="AN340" s="28"/>
      <c r="AO340" s="28"/>
      <c r="AP340" s="28"/>
      <c r="AQ340" s="28"/>
      <c r="AR340" s="28"/>
      <c r="AS340" s="28"/>
      <c r="AT340" s="28"/>
      <c r="AU340" s="28"/>
      <c r="AV340" s="28"/>
      <c r="AW340" s="28"/>
      <c r="AX340" s="28"/>
      <c r="AY340" s="28"/>
      <c r="AZ340" s="28"/>
      <c r="BA340" s="28"/>
      <c r="BB340" s="28"/>
    </row>
    <row r="341" spans="1:54" ht="12.75" x14ac:dyDescent="0.2">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c r="AG341" s="28"/>
      <c r="AH341" s="28"/>
      <c r="AI341" s="28"/>
      <c r="AJ341" s="28"/>
      <c r="AK341" s="28"/>
      <c r="AL341" s="28"/>
      <c r="AM341" s="28"/>
      <c r="AN341" s="28"/>
      <c r="AO341" s="28"/>
      <c r="AP341" s="28"/>
      <c r="AQ341" s="28"/>
      <c r="AR341" s="28"/>
      <c r="AS341" s="28"/>
      <c r="AT341" s="28"/>
      <c r="AU341" s="28"/>
      <c r="AV341" s="28"/>
      <c r="AW341" s="28"/>
      <c r="AX341" s="28"/>
      <c r="AY341" s="28"/>
      <c r="AZ341" s="28"/>
      <c r="BA341" s="28"/>
      <c r="BB341" s="28"/>
    </row>
    <row r="342" spans="1:54" ht="12.75" x14ac:dyDescent="0.2">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c r="AG342" s="28"/>
      <c r="AH342" s="28"/>
      <c r="AI342" s="28"/>
      <c r="AJ342" s="28"/>
      <c r="AK342" s="28"/>
      <c r="AL342" s="28"/>
      <c r="AM342" s="28"/>
      <c r="AN342" s="28"/>
      <c r="AO342" s="28"/>
      <c r="AP342" s="28"/>
      <c r="AQ342" s="28"/>
      <c r="AR342" s="28"/>
      <c r="AS342" s="28"/>
      <c r="AT342" s="28"/>
      <c r="AU342" s="28"/>
      <c r="AV342" s="28"/>
      <c r="AW342" s="28"/>
      <c r="AX342" s="28"/>
      <c r="AY342" s="28"/>
      <c r="AZ342" s="28"/>
      <c r="BA342" s="28"/>
      <c r="BB342" s="28"/>
    </row>
    <row r="343" spans="1:54" ht="12.75" x14ac:dyDescent="0.2">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c r="AG343" s="28"/>
      <c r="AH343" s="28"/>
      <c r="AI343" s="28"/>
      <c r="AJ343" s="28"/>
      <c r="AK343" s="28"/>
      <c r="AL343" s="28"/>
      <c r="AM343" s="28"/>
      <c r="AN343" s="28"/>
      <c r="AO343" s="28"/>
      <c r="AP343" s="28"/>
      <c r="AQ343" s="28"/>
      <c r="AR343" s="28"/>
      <c r="AS343" s="28"/>
      <c r="AT343" s="28"/>
      <c r="AU343" s="28"/>
      <c r="AV343" s="28"/>
      <c r="AW343" s="28"/>
      <c r="AX343" s="28"/>
      <c r="AY343" s="28"/>
      <c r="AZ343" s="28"/>
      <c r="BA343" s="28"/>
      <c r="BB343" s="28"/>
    </row>
    <row r="344" spans="1:54" ht="12.75" x14ac:dyDescent="0.2">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8"/>
      <c r="AN344" s="28"/>
      <c r="AO344" s="28"/>
      <c r="AP344" s="28"/>
      <c r="AQ344" s="28"/>
      <c r="AR344" s="28"/>
      <c r="AS344" s="28"/>
      <c r="AT344" s="28"/>
      <c r="AU344" s="28"/>
      <c r="AV344" s="28"/>
      <c r="AW344" s="28"/>
      <c r="AX344" s="28"/>
      <c r="AY344" s="28"/>
      <c r="AZ344" s="28"/>
      <c r="BA344" s="28"/>
      <c r="BB344" s="28"/>
    </row>
    <row r="345" spans="1:54" ht="12.75" x14ac:dyDescent="0.2">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c r="AN345" s="28"/>
      <c r="AO345" s="28"/>
      <c r="AP345" s="28"/>
      <c r="AQ345" s="28"/>
      <c r="AR345" s="28"/>
      <c r="AS345" s="28"/>
      <c r="AT345" s="28"/>
      <c r="AU345" s="28"/>
      <c r="AV345" s="28"/>
      <c r="AW345" s="28"/>
      <c r="AX345" s="28"/>
      <c r="AY345" s="28"/>
      <c r="AZ345" s="28"/>
      <c r="BA345" s="28"/>
      <c r="BB345" s="28"/>
    </row>
    <row r="346" spans="1:54" ht="12.75" x14ac:dyDescent="0.2">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c r="AP346" s="28"/>
      <c r="AQ346" s="28"/>
      <c r="AR346" s="28"/>
      <c r="AS346" s="28"/>
      <c r="AT346" s="28"/>
      <c r="AU346" s="28"/>
      <c r="AV346" s="28"/>
      <c r="AW346" s="28"/>
      <c r="AX346" s="28"/>
      <c r="AY346" s="28"/>
      <c r="AZ346" s="28"/>
      <c r="BA346" s="28"/>
      <c r="BB346" s="28"/>
    </row>
    <row r="347" spans="1:54" ht="12.75" x14ac:dyDescent="0.2">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28"/>
      <c r="AN347" s="28"/>
      <c r="AO347" s="28"/>
      <c r="AP347" s="28"/>
      <c r="AQ347" s="28"/>
      <c r="AR347" s="28"/>
      <c r="AS347" s="28"/>
      <c r="AT347" s="28"/>
      <c r="AU347" s="28"/>
      <c r="AV347" s="28"/>
      <c r="AW347" s="28"/>
      <c r="AX347" s="28"/>
      <c r="AY347" s="28"/>
      <c r="AZ347" s="28"/>
      <c r="BA347" s="28"/>
      <c r="BB347" s="28"/>
    </row>
    <row r="348" spans="1:54" ht="12.75" x14ac:dyDescent="0.2">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c r="AG348" s="28"/>
      <c r="AH348" s="28"/>
      <c r="AI348" s="28"/>
      <c r="AJ348" s="28"/>
      <c r="AK348" s="28"/>
      <c r="AL348" s="28"/>
      <c r="AM348" s="28"/>
      <c r="AN348" s="28"/>
      <c r="AO348" s="28"/>
      <c r="AP348" s="28"/>
      <c r="AQ348" s="28"/>
      <c r="AR348" s="28"/>
      <c r="AS348" s="28"/>
      <c r="AT348" s="28"/>
      <c r="AU348" s="28"/>
      <c r="AV348" s="28"/>
      <c r="AW348" s="28"/>
      <c r="AX348" s="28"/>
      <c r="AY348" s="28"/>
      <c r="AZ348" s="28"/>
      <c r="BA348" s="28"/>
      <c r="BB348" s="28"/>
    </row>
    <row r="349" spans="1:54" ht="12.75" x14ac:dyDescent="0.2">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c r="AI349" s="28"/>
      <c r="AJ349" s="28"/>
      <c r="AK349" s="28"/>
      <c r="AL349" s="28"/>
      <c r="AM349" s="28"/>
      <c r="AN349" s="28"/>
      <c r="AO349" s="28"/>
      <c r="AP349" s="28"/>
      <c r="AQ349" s="28"/>
      <c r="AR349" s="28"/>
      <c r="AS349" s="28"/>
      <c r="AT349" s="28"/>
      <c r="AU349" s="28"/>
      <c r="AV349" s="28"/>
      <c r="AW349" s="28"/>
      <c r="AX349" s="28"/>
      <c r="AY349" s="28"/>
      <c r="AZ349" s="28"/>
      <c r="BA349" s="28"/>
      <c r="BB349" s="28"/>
    </row>
    <row r="350" spans="1:54" ht="12.75" x14ac:dyDescent="0.2">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c r="AI350" s="28"/>
      <c r="AJ350" s="28"/>
      <c r="AK350" s="28"/>
      <c r="AL350" s="28"/>
      <c r="AM350" s="28"/>
      <c r="AN350" s="28"/>
      <c r="AO350" s="28"/>
      <c r="AP350" s="28"/>
      <c r="AQ350" s="28"/>
      <c r="AR350" s="28"/>
      <c r="AS350" s="28"/>
      <c r="AT350" s="28"/>
      <c r="AU350" s="28"/>
      <c r="AV350" s="28"/>
      <c r="AW350" s="28"/>
      <c r="AX350" s="28"/>
      <c r="AY350" s="28"/>
      <c r="AZ350" s="28"/>
      <c r="BA350" s="28"/>
      <c r="BB350" s="28"/>
    </row>
    <row r="351" spans="1:54" ht="12.75" x14ac:dyDescent="0.2">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c r="AG351" s="28"/>
      <c r="AH351" s="28"/>
      <c r="AI351" s="28"/>
      <c r="AJ351" s="28"/>
      <c r="AK351" s="28"/>
      <c r="AL351" s="28"/>
      <c r="AM351" s="28"/>
      <c r="AN351" s="28"/>
      <c r="AO351" s="28"/>
      <c r="AP351" s="28"/>
      <c r="AQ351" s="28"/>
      <c r="AR351" s="28"/>
      <c r="AS351" s="28"/>
      <c r="AT351" s="28"/>
      <c r="AU351" s="28"/>
      <c r="AV351" s="28"/>
      <c r="AW351" s="28"/>
      <c r="AX351" s="28"/>
      <c r="AY351" s="28"/>
      <c r="AZ351" s="28"/>
      <c r="BA351" s="28"/>
      <c r="BB351" s="28"/>
    </row>
    <row r="352" spans="1:54" ht="12.75" x14ac:dyDescent="0.2">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c r="AP352" s="28"/>
      <c r="AQ352" s="28"/>
      <c r="AR352" s="28"/>
      <c r="AS352" s="28"/>
      <c r="AT352" s="28"/>
      <c r="AU352" s="28"/>
      <c r="AV352" s="28"/>
      <c r="AW352" s="28"/>
      <c r="AX352" s="28"/>
      <c r="AY352" s="28"/>
      <c r="AZ352" s="28"/>
      <c r="BA352" s="28"/>
      <c r="BB352" s="28"/>
    </row>
    <row r="353" spans="1:54" ht="12.75" x14ac:dyDescent="0.2">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c r="AI353" s="28"/>
      <c r="AJ353" s="28"/>
      <c r="AK353" s="28"/>
      <c r="AL353" s="28"/>
      <c r="AM353" s="28"/>
      <c r="AN353" s="28"/>
      <c r="AO353" s="28"/>
      <c r="AP353" s="28"/>
      <c r="AQ353" s="28"/>
      <c r="AR353" s="28"/>
      <c r="AS353" s="28"/>
      <c r="AT353" s="28"/>
      <c r="AU353" s="28"/>
      <c r="AV353" s="28"/>
      <c r="AW353" s="28"/>
      <c r="AX353" s="28"/>
      <c r="AY353" s="28"/>
      <c r="AZ353" s="28"/>
      <c r="BA353" s="28"/>
      <c r="BB353" s="28"/>
    </row>
    <row r="354" spans="1:54" ht="12.75" x14ac:dyDescent="0.2">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c r="AI354" s="28"/>
      <c r="AJ354" s="28"/>
      <c r="AK354" s="28"/>
      <c r="AL354" s="28"/>
      <c r="AM354" s="28"/>
      <c r="AN354" s="28"/>
      <c r="AO354" s="28"/>
      <c r="AP354" s="28"/>
      <c r="AQ354" s="28"/>
      <c r="AR354" s="28"/>
      <c r="AS354" s="28"/>
      <c r="AT354" s="28"/>
      <c r="AU354" s="28"/>
      <c r="AV354" s="28"/>
      <c r="AW354" s="28"/>
      <c r="AX354" s="28"/>
      <c r="AY354" s="28"/>
      <c r="AZ354" s="28"/>
      <c r="BA354" s="28"/>
      <c r="BB354" s="28"/>
    </row>
    <row r="355" spans="1:54" ht="12.75" x14ac:dyDescent="0.2">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c r="AN355" s="28"/>
      <c r="AO355" s="28"/>
      <c r="AP355" s="28"/>
      <c r="AQ355" s="28"/>
      <c r="AR355" s="28"/>
      <c r="AS355" s="28"/>
      <c r="AT355" s="28"/>
      <c r="AU355" s="28"/>
      <c r="AV355" s="28"/>
      <c r="AW355" s="28"/>
      <c r="AX355" s="28"/>
      <c r="AY355" s="28"/>
      <c r="AZ355" s="28"/>
      <c r="BA355" s="28"/>
      <c r="BB355" s="28"/>
    </row>
    <row r="356" spans="1:54" ht="12.75" x14ac:dyDescent="0.2">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8"/>
      <c r="AN356" s="28"/>
      <c r="AO356" s="28"/>
      <c r="AP356" s="28"/>
      <c r="AQ356" s="28"/>
      <c r="AR356" s="28"/>
      <c r="AS356" s="28"/>
      <c r="AT356" s="28"/>
      <c r="AU356" s="28"/>
      <c r="AV356" s="28"/>
      <c r="AW356" s="28"/>
      <c r="AX356" s="28"/>
      <c r="AY356" s="28"/>
      <c r="AZ356" s="28"/>
      <c r="BA356" s="28"/>
      <c r="BB356" s="28"/>
    </row>
    <row r="357" spans="1:54" ht="12.75" x14ac:dyDescent="0.2">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c r="AR357" s="28"/>
      <c r="AS357" s="28"/>
      <c r="AT357" s="28"/>
      <c r="AU357" s="28"/>
      <c r="AV357" s="28"/>
      <c r="AW357" s="28"/>
      <c r="AX357" s="28"/>
      <c r="AY357" s="28"/>
      <c r="AZ357" s="28"/>
      <c r="BA357" s="28"/>
      <c r="BB357" s="28"/>
    </row>
    <row r="358" spans="1:54" ht="12.75" x14ac:dyDescent="0.2">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c r="AI358" s="28"/>
      <c r="AJ358" s="28"/>
      <c r="AK358" s="28"/>
      <c r="AL358" s="28"/>
      <c r="AM358" s="28"/>
      <c r="AN358" s="28"/>
      <c r="AO358" s="28"/>
      <c r="AP358" s="28"/>
      <c r="AQ358" s="28"/>
      <c r="AR358" s="28"/>
      <c r="AS358" s="28"/>
      <c r="AT358" s="28"/>
      <c r="AU358" s="28"/>
      <c r="AV358" s="28"/>
      <c r="AW358" s="28"/>
      <c r="AX358" s="28"/>
      <c r="AY358" s="28"/>
      <c r="AZ358" s="28"/>
      <c r="BA358" s="28"/>
      <c r="BB358" s="28"/>
    </row>
    <row r="359" spans="1:54" ht="12.75" x14ac:dyDescent="0.2">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c r="AI359" s="28"/>
      <c r="AJ359" s="28"/>
      <c r="AK359" s="28"/>
      <c r="AL359" s="28"/>
      <c r="AM359" s="28"/>
      <c r="AN359" s="28"/>
      <c r="AO359" s="28"/>
      <c r="AP359" s="28"/>
      <c r="AQ359" s="28"/>
      <c r="AR359" s="28"/>
      <c r="AS359" s="28"/>
      <c r="AT359" s="28"/>
      <c r="AU359" s="28"/>
      <c r="AV359" s="28"/>
      <c r="AW359" s="28"/>
      <c r="AX359" s="28"/>
      <c r="AY359" s="28"/>
      <c r="AZ359" s="28"/>
      <c r="BA359" s="28"/>
      <c r="BB359" s="28"/>
    </row>
    <row r="360" spans="1:54" ht="12.75" x14ac:dyDescent="0.2">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c r="AI360" s="28"/>
      <c r="AJ360" s="28"/>
      <c r="AK360" s="28"/>
      <c r="AL360" s="28"/>
      <c r="AM360" s="28"/>
      <c r="AN360" s="28"/>
      <c r="AO360" s="28"/>
      <c r="AP360" s="28"/>
      <c r="AQ360" s="28"/>
      <c r="AR360" s="28"/>
      <c r="AS360" s="28"/>
      <c r="AT360" s="28"/>
      <c r="AU360" s="28"/>
      <c r="AV360" s="28"/>
      <c r="AW360" s="28"/>
      <c r="AX360" s="28"/>
      <c r="AY360" s="28"/>
      <c r="AZ360" s="28"/>
      <c r="BA360" s="28"/>
      <c r="BB360" s="28"/>
    </row>
    <row r="361" spans="1:54" ht="12.75" x14ac:dyDescent="0.2">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c r="AG361" s="28"/>
      <c r="AH361" s="28"/>
      <c r="AI361" s="28"/>
      <c r="AJ361" s="28"/>
      <c r="AK361" s="28"/>
      <c r="AL361" s="28"/>
      <c r="AM361" s="28"/>
      <c r="AN361" s="28"/>
      <c r="AO361" s="28"/>
      <c r="AP361" s="28"/>
      <c r="AQ361" s="28"/>
      <c r="AR361" s="28"/>
      <c r="AS361" s="28"/>
      <c r="AT361" s="28"/>
      <c r="AU361" s="28"/>
      <c r="AV361" s="28"/>
      <c r="AW361" s="28"/>
      <c r="AX361" s="28"/>
      <c r="AY361" s="28"/>
      <c r="AZ361" s="28"/>
      <c r="BA361" s="28"/>
      <c r="BB361" s="28"/>
    </row>
    <row r="362" spans="1:54" ht="12.75" x14ac:dyDescent="0.2">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c r="AF362" s="28"/>
      <c r="AG362" s="28"/>
      <c r="AH362" s="28"/>
      <c r="AI362" s="28"/>
      <c r="AJ362" s="28"/>
      <c r="AK362" s="28"/>
      <c r="AL362" s="28"/>
      <c r="AM362" s="28"/>
      <c r="AN362" s="28"/>
      <c r="AO362" s="28"/>
      <c r="AP362" s="28"/>
      <c r="AQ362" s="28"/>
      <c r="AR362" s="28"/>
      <c r="AS362" s="28"/>
      <c r="AT362" s="28"/>
      <c r="AU362" s="28"/>
      <c r="AV362" s="28"/>
      <c r="AW362" s="28"/>
      <c r="AX362" s="28"/>
      <c r="AY362" s="28"/>
      <c r="AZ362" s="28"/>
      <c r="BA362" s="28"/>
      <c r="BB362" s="28"/>
    </row>
    <row r="363" spans="1:54" ht="12.75" x14ac:dyDescent="0.2">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c r="AG363" s="28"/>
      <c r="AH363" s="28"/>
      <c r="AI363" s="28"/>
      <c r="AJ363" s="28"/>
      <c r="AK363" s="28"/>
      <c r="AL363" s="28"/>
      <c r="AM363" s="28"/>
      <c r="AN363" s="28"/>
      <c r="AO363" s="28"/>
      <c r="AP363" s="28"/>
      <c r="AQ363" s="28"/>
      <c r="AR363" s="28"/>
      <c r="AS363" s="28"/>
      <c r="AT363" s="28"/>
      <c r="AU363" s="28"/>
      <c r="AV363" s="28"/>
      <c r="AW363" s="28"/>
      <c r="AX363" s="28"/>
      <c r="AY363" s="28"/>
      <c r="AZ363" s="28"/>
      <c r="BA363" s="28"/>
      <c r="BB363" s="28"/>
    </row>
    <row r="364" spans="1:54" ht="12.75" x14ac:dyDescent="0.2">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c r="AG364" s="28"/>
      <c r="AH364" s="28"/>
      <c r="AI364" s="28"/>
      <c r="AJ364" s="28"/>
      <c r="AK364" s="28"/>
      <c r="AL364" s="28"/>
      <c r="AM364" s="28"/>
      <c r="AN364" s="28"/>
      <c r="AO364" s="28"/>
      <c r="AP364" s="28"/>
      <c r="AQ364" s="28"/>
      <c r="AR364" s="28"/>
      <c r="AS364" s="28"/>
      <c r="AT364" s="28"/>
      <c r="AU364" s="28"/>
      <c r="AV364" s="28"/>
      <c r="AW364" s="28"/>
      <c r="AX364" s="28"/>
      <c r="AY364" s="28"/>
      <c r="AZ364" s="28"/>
      <c r="BA364" s="28"/>
      <c r="BB364" s="28"/>
    </row>
    <row r="365" spans="1:54" ht="12.75" x14ac:dyDescent="0.2">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28"/>
      <c r="AG365" s="28"/>
      <c r="AH365" s="28"/>
      <c r="AI365" s="28"/>
      <c r="AJ365" s="28"/>
      <c r="AK365" s="28"/>
      <c r="AL365" s="28"/>
      <c r="AM365" s="28"/>
      <c r="AN365" s="28"/>
      <c r="AO365" s="28"/>
      <c r="AP365" s="28"/>
      <c r="AQ365" s="28"/>
      <c r="AR365" s="28"/>
      <c r="AS365" s="28"/>
      <c r="AT365" s="28"/>
      <c r="AU365" s="28"/>
      <c r="AV365" s="28"/>
      <c r="AW365" s="28"/>
      <c r="AX365" s="28"/>
      <c r="AY365" s="28"/>
      <c r="AZ365" s="28"/>
      <c r="BA365" s="28"/>
      <c r="BB365" s="28"/>
    </row>
    <row r="366" spans="1:54" ht="12.75" x14ac:dyDescent="0.2">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c r="AI366" s="28"/>
      <c r="AJ366" s="28"/>
      <c r="AK366" s="28"/>
      <c r="AL366" s="28"/>
      <c r="AM366" s="28"/>
      <c r="AN366" s="28"/>
      <c r="AO366" s="28"/>
      <c r="AP366" s="28"/>
      <c r="AQ366" s="28"/>
      <c r="AR366" s="28"/>
      <c r="AS366" s="28"/>
      <c r="AT366" s="28"/>
      <c r="AU366" s="28"/>
      <c r="AV366" s="28"/>
      <c r="AW366" s="28"/>
      <c r="AX366" s="28"/>
      <c r="AY366" s="28"/>
      <c r="AZ366" s="28"/>
      <c r="BA366" s="28"/>
      <c r="BB366" s="28"/>
    </row>
    <row r="367" spans="1:54" ht="12.75" x14ac:dyDescent="0.2">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28"/>
      <c r="AG367" s="28"/>
      <c r="AH367" s="28"/>
      <c r="AI367" s="28"/>
      <c r="AJ367" s="28"/>
      <c r="AK367" s="28"/>
      <c r="AL367" s="28"/>
      <c r="AM367" s="28"/>
      <c r="AN367" s="28"/>
      <c r="AO367" s="28"/>
      <c r="AP367" s="28"/>
      <c r="AQ367" s="28"/>
      <c r="AR367" s="28"/>
      <c r="AS367" s="28"/>
      <c r="AT367" s="28"/>
      <c r="AU367" s="28"/>
      <c r="AV367" s="28"/>
      <c r="AW367" s="28"/>
      <c r="AX367" s="28"/>
      <c r="AY367" s="28"/>
      <c r="AZ367" s="28"/>
      <c r="BA367" s="28"/>
      <c r="BB367" s="28"/>
    </row>
    <row r="368" spans="1:54" ht="12.75" x14ac:dyDescent="0.2">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28"/>
      <c r="AG368" s="28"/>
      <c r="AH368" s="28"/>
      <c r="AI368" s="28"/>
      <c r="AJ368" s="28"/>
      <c r="AK368" s="28"/>
      <c r="AL368" s="28"/>
      <c r="AM368" s="28"/>
      <c r="AN368" s="28"/>
      <c r="AO368" s="28"/>
      <c r="AP368" s="28"/>
      <c r="AQ368" s="28"/>
      <c r="AR368" s="28"/>
      <c r="AS368" s="28"/>
      <c r="AT368" s="28"/>
      <c r="AU368" s="28"/>
      <c r="AV368" s="28"/>
      <c r="AW368" s="28"/>
      <c r="AX368" s="28"/>
      <c r="AY368" s="28"/>
      <c r="AZ368" s="28"/>
      <c r="BA368" s="28"/>
      <c r="BB368" s="28"/>
    </row>
    <row r="369" spans="1:54" ht="12.75" x14ac:dyDescent="0.2">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c r="AG369" s="28"/>
      <c r="AH369" s="28"/>
      <c r="AI369" s="28"/>
      <c r="AJ369" s="28"/>
      <c r="AK369" s="28"/>
      <c r="AL369" s="28"/>
      <c r="AM369" s="28"/>
      <c r="AN369" s="28"/>
      <c r="AO369" s="28"/>
      <c r="AP369" s="28"/>
      <c r="AQ369" s="28"/>
      <c r="AR369" s="28"/>
      <c r="AS369" s="28"/>
      <c r="AT369" s="28"/>
      <c r="AU369" s="28"/>
      <c r="AV369" s="28"/>
      <c r="AW369" s="28"/>
      <c r="AX369" s="28"/>
      <c r="AY369" s="28"/>
      <c r="AZ369" s="28"/>
      <c r="BA369" s="28"/>
      <c r="BB369" s="28"/>
    </row>
    <row r="370" spans="1:54" ht="12.75" x14ac:dyDescent="0.2">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c r="AG370" s="28"/>
      <c r="AH370" s="28"/>
      <c r="AI370" s="28"/>
      <c r="AJ370" s="28"/>
      <c r="AK370" s="28"/>
      <c r="AL370" s="28"/>
      <c r="AM370" s="28"/>
      <c r="AN370" s="28"/>
      <c r="AO370" s="28"/>
      <c r="AP370" s="28"/>
      <c r="AQ370" s="28"/>
      <c r="AR370" s="28"/>
      <c r="AS370" s="28"/>
      <c r="AT370" s="28"/>
      <c r="AU370" s="28"/>
      <c r="AV370" s="28"/>
      <c r="AW370" s="28"/>
      <c r="AX370" s="28"/>
      <c r="AY370" s="28"/>
      <c r="AZ370" s="28"/>
      <c r="BA370" s="28"/>
      <c r="BB370" s="28"/>
    </row>
    <row r="371" spans="1:54" ht="12.75" x14ac:dyDescent="0.2">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28"/>
      <c r="AG371" s="28"/>
      <c r="AH371" s="28"/>
      <c r="AI371" s="28"/>
      <c r="AJ371" s="28"/>
      <c r="AK371" s="28"/>
      <c r="AL371" s="28"/>
      <c r="AM371" s="28"/>
      <c r="AN371" s="28"/>
      <c r="AO371" s="28"/>
      <c r="AP371" s="28"/>
      <c r="AQ371" s="28"/>
      <c r="AR371" s="28"/>
      <c r="AS371" s="28"/>
      <c r="AT371" s="28"/>
      <c r="AU371" s="28"/>
      <c r="AV371" s="28"/>
      <c r="AW371" s="28"/>
      <c r="AX371" s="28"/>
      <c r="AY371" s="28"/>
      <c r="AZ371" s="28"/>
      <c r="BA371" s="28"/>
      <c r="BB371" s="28"/>
    </row>
    <row r="372" spans="1:54" ht="12.75" x14ac:dyDescent="0.2">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c r="AG372" s="28"/>
      <c r="AH372" s="28"/>
      <c r="AI372" s="28"/>
      <c r="AJ372" s="28"/>
      <c r="AK372" s="28"/>
      <c r="AL372" s="28"/>
      <c r="AM372" s="28"/>
      <c r="AN372" s="28"/>
      <c r="AO372" s="28"/>
      <c r="AP372" s="28"/>
      <c r="AQ372" s="28"/>
      <c r="AR372" s="28"/>
      <c r="AS372" s="28"/>
      <c r="AT372" s="28"/>
      <c r="AU372" s="28"/>
      <c r="AV372" s="28"/>
      <c r="AW372" s="28"/>
      <c r="AX372" s="28"/>
      <c r="AY372" s="28"/>
      <c r="AZ372" s="28"/>
      <c r="BA372" s="28"/>
      <c r="BB372" s="28"/>
    </row>
    <row r="373" spans="1:54" ht="12.75" x14ac:dyDescent="0.2">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c r="AH373" s="28"/>
      <c r="AI373" s="28"/>
      <c r="AJ373" s="28"/>
      <c r="AK373" s="28"/>
      <c r="AL373" s="28"/>
      <c r="AM373" s="28"/>
      <c r="AN373" s="28"/>
      <c r="AO373" s="28"/>
      <c r="AP373" s="28"/>
      <c r="AQ373" s="28"/>
      <c r="AR373" s="28"/>
      <c r="AS373" s="28"/>
      <c r="AT373" s="28"/>
      <c r="AU373" s="28"/>
      <c r="AV373" s="28"/>
      <c r="AW373" s="28"/>
      <c r="AX373" s="28"/>
      <c r="AY373" s="28"/>
      <c r="AZ373" s="28"/>
      <c r="BA373" s="28"/>
      <c r="BB373" s="28"/>
    </row>
    <row r="374" spans="1:54" ht="12.75" x14ac:dyDescent="0.2">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c r="AH374" s="28"/>
      <c r="AI374" s="28"/>
      <c r="AJ374" s="28"/>
      <c r="AK374" s="28"/>
      <c r="AL374" s="28"/>
      <c r="AM374" s="28"/>
      <c r="AN374" s="28"/>
      <c r="AO374" s="28"/>
      <c r="AP374" s="28"/>
      <c r="AQ374" s="28"/>
      <c r="AR374" s="28"/>
      <c r="AS374" s="28"/>
      <c r="AT374" s="28"/>
      <c r="AU374" s="28"/>
      <c r="AV374" s="28"/>
      <c r="AW374" s="28"/>
      <c r="AX374" s="28"/>
      <c r="AY374" s="28"/>
      <c r="AZ374" s="28"/>
      <c r="BA374" s="28"/>
      <c r="BB374" s="28"/>
    </row>
    <row r="375" spans="1:54" ht="12.75" x14ac:dyDescent="0.2">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c r="AG375" s="28"/>
      <c r="AH375" s="28"/>
      <c r="AI375" s="28"/>
      <c r="AJ375" s="28"/>
      <c r="AK375" s="28"/>
      <c r="AL375" s="28"/>
      <c r="AM375" s="28"/>
      <c r="AN375" s="28"/>
      <c r="AO375" s="28"/>
      <c r="AP375" s="28"/>
      <c r="AQ375" s="28"/>
      <c r="AR375" s="28"/>
      <c r="AS375" s="28"/>
      <c r="AT375" s="28"/>
      <c r="AU375" s="28"/>
      <c r="AV375" s="28"/>
      <c r="AW375" s="28"/>
      <c r="AX375" s="28"/>
      <c r="AY375" s="28"/>
      <c r="AZ375" s="28"/>
      <c r="BA375" s="28"/>
      <c r="BB375" s="28"/>
    </row>
    <row r="376" spans="1:54" ht="12.75" x14ac:dyDescent="0.2">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c r="AH376" s="28"/>
      <c r="AI376" s="28"/>
      <c r="AJ376" s="28"/>
      <c r="AK376" s="28"/>
      <c r="AL376" s="28"/>
      <c r="AM376" s="28"/>
      <c r="AN376" s="28"/>
      <c r="AO376" s="28"/>
      <c r="AP376" s="28"/>
      <c r="AQ376" s="28"/>
      <c r="AR376" s="28"/>
      <c r="AS376" s="28"/>
      <c r="AT376" s="28"/>
      <c r="AU376" s="28"/>
      <c r="AV376" s="28"/>
      <c r="AW376" s="28"/>
      <c r="AX376" s="28"/>
      <c r="AY376" s="28"/>
      <c r="AZ376" s="28"/>
      <c r="BA376" s="28"/>
      <c r="BB376" s="28"/>
    </row>
    <row r="377" spans="1:54" ht="12.75" x14ac:dyDescent="0.2">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28"/>
      <c r="AG377" s="28"/>
      <c r="AH377" s="28"/>
      <c r="AI377" s="28"/>
      <c r="AJ377" s="28"/>
      <c r="AK377" s="28"/>
      <c r="AL377" s="28"/>
      <c r="AM377" s="28"/>
      <c r="AN377" s="28"/>
      <c r="AO377" s="28"/>
      <c r="AP377" s="28"/>
      <c r="AQ377" s="28"/>
      <c r="AR377" s="28"/>
      <c r="AS377" s="28"/>
      <c r="AT377" s="28"/>
      <c r="AU377" s="28"/>
      <c r="AV377" s="28"/>
      <c r="AW377" s="28"/>
      <c r="AX377" s="28"/>
      <c r="AY377" s="28"/>
      <c r="AZ377" s="28"/>
      <c r="BA377" s="28"/>
      <c r="BB377" s="28"/>
    </row>
    <row r="378" spans="1:54" ht="12.75" x14ac:dyDescent="0.2">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28"/>
      <c r="AG378" s="28"/>
      <c r="AH378" s="28"/>
      <c r="AI378" s="28"/>
      <c r="AJ378" s="28"/>
      <c r="AK378" s="28"/>
      <c r="AL378" s="28"/>
      <c r="AM378" s="28"/>
      <c r="AN378" s="28"/>
      <c r="AO378" s="28"/>
      <c r="AP378" s="28"/>
      <c r="AQ378" s="28"/>
      <c r="AR378" s="28"/>
      <c r="AS378" s="28"/>
      <c r="AT378" s="28"/>
      <c r="AU378" s="28"/>
      <c r="AV378" s="28"/>
      <c r="AW378" s="28"/>
      <c r="AX378" s="28"/>
      <c r="AY378" s="28"/>
      <c r="AZ378" s="28"/>
      <c r="BA378" s="28"/>
      <c r="BB378" s="28"/>
    </row>
    <row r="379" spans="1:54" ht="12.75" x14ac:dyDescent="0.2">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c r="AG379" s="28"/>
      <c r="AH379" s="28"/>
      <c r="AI379" s="28"/>
      <c r="AJ379" s="28"/>
      <c r="AK379" s="28"/>
      <c r="AL379" s="28"/>
      <c r="AM379" s="28"/>
      <c r="AN379" s="28"/>
      <c r="AO379" s="28"/>
      <c r="AP379" s="28"/>
      <c r="AQ379" s="28"/>
      <c r="AR379" s="28"/>
      <c r="AS379" s="28"/>
      <c r="AT379" s="28"/>
      <c r="AU379" s="28"/>
      <c r="AV379" s="28"/>
      <c r="AW379" s="28"/>
      <c r="AX379" s="28"/>
      <c r="AY379" s="28"/>
      <c r="AZ379" s="28"/>
      <c r="BA379" s="28"/>
      <c r="BB379" s="28"/>
    </row>
    <row r="380" spans="1:54" ht="12.75" x14ac:dyDescent="0.2">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28"/>
      <c r="AG380" s="28"/>
      <c r="AH380" s="28"/>
      <c r="AI380" s="28"/>
      <c r="AJ380" s="28"/>
      <c r="AK380" s="28"/>
      <c r="AL380" s="28"/>
      <c r="AM380" s="28"/>
      <c r="AN380" s="28"/>
      <c r="AO380" s="28"/>
      <c r="AP380" s="28"/>
      <c r="AQ380" s="28"/>
      <c r="AR380" s="28"/>
      <c r="AS380" s="28"/>
      <c r="AT380" s="28"/>
      <c r="AU380" s="28"/>
      <c r="AV380" s="28"/>
      <c r="AW380" s="28"/>
      <c r="AX380" s="28"/>
      <c r="AY380" s="28"/>
      <c r="AZ380" s="28"/>
      <c r="BA380" s="28"/>
      <c r="BB380" s="28"/>
    </row>
    <row r="381" spans="1:54" ht="12.75" x14ac:dyDescent="0.2">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28"/>
      <c r="AG381" s="28"/>
      <c r="AH381" s="28"/>
      <c r="AI381" s="28"/>
      <c r="AJ381" s="28"/>
      <c r="AK381" s="28"/>
      <c r="AL381" s="28"/>
      <c r="AM381" s="28"/>
      <c r="AN381" s="28"/>
      <c r="AO381" s="28"/>
      <c r="AP381" s="28"/>
      <c r="AQ381" s="28"/>
      <c r="AR381" s="28"/>
      <c r="AS381" s="28"/>
      <c r="AT381" s="28"/>
      <c r="AU381" s="28"/>
      <c r="AV381" s="28"/>
      <c r="AW381" s="28"/>
      <c r="AX381" s="28"/>
      <c r="AY381" s="28"/>
      <c r="AZ381" s="28"/>
      <c r="BA381" s="28"/>
      <c r="BB381" s="28"/>
    </row>
    <row r="382" spans="1:54" ht="12.75" x14ac:dyDescent="0.2">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8"/>
      <c r="AR382" s="28"/>
      <c r="AS382" s="28"/>
      <c r="AT382" s="28"/>
      <c r="AU382" s="28"/>
      <c r="AV382" s="28"/>
      <c r="AW382" s="28"/>
      <c r="AX382" s="28"/>
      <c r="AY382" s="28"/>
      <c r="AZ382" s="28"/>
      <c r="BA382" s="28"/>
      <c r="BB382" s="28"/>
    </row>
    <row r="383" spans="1:54" ht="12.75" x14ac:dyDescent="0.2">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8"/>
      <c r="AN383" s="28"/>
      <c r="AO383" s="28"/>
      <c r="AP383" s="28"/>
      <c r="AQ383" s="28"/>
      <c r="AR383" s="28"/>
      <c r="AS383" s="28"/>
      <c r="AT383" s="28"/>
      <c r="AU383" s="28"/>
      <c r="AV383" s="28"/>
      <c r="AW383" s="28"/>
      <c r="AX383" s="28"/>
      <c r="AY383" s="28"/>
      <c r="AZ383" s="28"/>
      <c r="BA383" s="28"/>
      <c r="BB383" s="28"/>
    </row>
    <row r="384" spans="1:54" ht="12.75" x14ac:dyDescent="0.2">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28"/>
      <c r="AG384" s="28"/>
      <c r="AH384" s="28"/>
      <c r="AI384" s="28"/>
      <c r="AJ384" s="28"/>
      <c r="AK384" s="28"/>
      <c r="AL384" s="28"/>
      <c r="AM384" s="28"/>
      <c r="AN384" s="28"/>
      <c r="AO384" s="28"/>
      <c r="AP384" s="28"/>
      <c r="AQ384" s="28"/>
      <c r="AR384" s="28"/>
      <c r="AS384" s="28"/>
      <c r="AT384" s="28"/>
      <c r="AU384" s="28"/>
      <c r="AV384" s="28"/>
      <c r="AW384" s="28"/>
      <c r="AX384" s="28"/>
      <c r="AY384" s="28"/>
      <c r="AZ384" s="28"/>
      <c r="BA384" s="28"/>
      <c r="BB384" s="28"/>
    </row>
    <row r="385" spans="1:54" ht="12.75" x14ac:dyDescent="0.2">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c r="AF385" s="28"/>
      <c r="AG385" s="28"/>
      <c r="AH385" s="28"/>
      <c r="AI385" s="28"/>
      <c r="AJ385" s="28"/>
      <c r="AK385" s="28"/>
      <c r="AL385" s="28"/>
      <c r="AM385" s="28"/>
      <c r="AN385" s="28"/>
      <c r="AO385" s="28"/>
      <c r="AP385" s="28"/>
      <c r="AQ385" s="28"/>
      <c r="AR385" s="28"/>
      <c r="AS385" s="28"/>
      <c r="AT385" s="28"/>
      <c r="AU385" s="28"/>
      <c r="AV385" s="28"/>
      <c r="AW385" s="28"/>
      <c r="AX385" s="28"/>
      <c r="AY385" s="28"/>
      <c r="AZ385" s="28"/>
      <c r="BA385" s="28"/>
      <c r="BB385" s="28"/>
    </row>
    <row r="386" spans="1:54" ht="12.75" x14ac:dyDescent="0.2">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c r="AG386" s="28"/>
      <c r="AH386" s="28"/>
      <c r="AI386" s="28"/>
      <c r="AJ386" s="28"/>
      <c r="AK386" s="28"/>
      <c r="AL386" s="28"/>
      <c r="AM386" s="28"/>
      <c r="AN386" s="28"/>
      <c r="AO386" s="28"/>
      <c r="AP386" s="28"/>
      <c r="AQ386" s="28"/>
      <c r="AR386" s="28"/>
      <c r="AS386" s="28"/>
      <c r="AT386" s="28"/>
      <c r="AU386" s="28"/>
      <c r="AV386" s="28"/>
      <c r="AW386" s="28"/>
      <c r="AX386" s="28"/>
      <c r="AY386" s="28"/>
      <c r="AZ386" s="28"/>
      <c r="BA386" s="28"/>
      <c r="BB386" s="28"/>
    </row>
    <row r="387" spans="1:54" ht="12.75" x14ac:dyDescent="0.2">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c r="AF387" s="28"/>
      <c r="AG387" s="28"/>
      <c r="AH387" s="28"/>
      <c r="AI387" s="28"/>
      <c r="AJ387" s="28"/>
      <c r="AK387" s="28"/>
      <c r="AL387" s="28"/>
      <c r="AM387" s="28"/>
      <c r="AN387" s="28"/>
      <c r="AO387" s="28"/>
      <c r="AP387" s="28"/>
      <c r="AQ387" s="28"/>
      <c r="AR387" s="28"/>
      <c r="AS387" s="28"/>
      <c r="AT387" s="28"/>
      <c r="AU387" s="28"/>
      <c r="AV387" s="28"/>
      <c r="AW387" s="28"/>
      <c r="AX387" s="28"/>
      <c r="AY387" s="28"/>
      <c r="AZ387" s="28"/>
      <c r="BA387" s="28"/>
      <c r="BB387" s="28"/>
    </row>
    <row r="388" spans="1:54" ht="12.75" x14ac:dyDescent="0.2">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c r="AF388" s="28"/>
      <c r="AG388" s="28"/>
      <c r="AH388" s="28"/>
      <c r="AI388" s="28"/>
      <c r="AJ388" s="28"/>
      <c r="AK388" s="28"/>
      <c r="AL388" s="28"/>
      <c r="AM388" s="28"/>
      <c r="AN388" s="28"/>
      <c r="AO388" s="28"/>
      <c r="AP388" s="28"/>
      <c r="AQ388" s="28"/>
      <c r="AR388" s="28"/>
      <c r="AS388" s="28"/>
      <c r="AT388" s="28"/>
      <c r="AU388" s="28"/>
      <c r="AV388" s="28"/>
      <c r="AW388" s="28"/>
      <c r="AX388" s="28"/>
      <c r="AY388" s="28"/>
      <c r="AZ388" s="28"/>
      <c r="BA388" s="28"/>
      <c r="BB388" s="28"/>
    </row>
    <row r="389" spans="1:54" ht="12.75" x14ac:dyDescent="0.2">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row>
    <row r="390" spans="1:54" ht="12.75" x14ac:dyDescent="0.2">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c r="AF390" s="28"/>
      <c r="AG390" s="28"/>
      <c r="AH390" s="28"/>
      <c r="AI390" s="28"/>
      <c r="AJ390" s="28"/>
      <c r="AK390" s="28"/>
      <c r="AL390" s="28"/>
      <c r="AM390" s="28"/>
      <c r="AN390" s="28"/>
      <c r="AO390" s="28"/>
      <c r="AP390" s="28"/>
      <c r="AQ390" s="28"/>
      <c r="AR390" s="28"/>
      <c r="AS390" s="28"/>
      <c r="AT390" s="28"/>
      <c r="AU390" s="28"/>
      <c r="AV390" s="28"/>
      <c r="AW390" s="28"/>
      <c r="AX390" s="28"/>
      <c r="AY390" s="28"/>
      <c r="AZ390" s="28"/>
      <c r="BA390" s="28"/>
      <c r="BB390" s="28"/>
    </row>
    <row r="391" spans="1:54" ht="12.75" x14ac:dyDescent="0.2">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c r="AF391" s="28"/>
      <c r="AG391" s="28"/>
      <c r="AH391" s="28"/>
      <c r="AI391" s="28"/>
      <c r="AJ391" s="28"/>
      <c r="AK391" s="28"/>
      <c r="AL391" s="28"/>
      <c r="AM391" s="28"/>
      <c r="AN391" s="28"/>
      <c r="AO391" s="28"/>
      <c r="AP391" s="28"/>
      <c r="AQ391" s="28"/>
      <c r="AR391" s="28"/>
      <c r="AS391" s="28"/>
      <c r="AT391" s="28"/>
      <c r="AU391" s="28"/>
      <c r="AV391" s="28"/>
      <c r="AW391" s="28"/>
      <c r="AX391" s="28"/>
      <c r="AY391" s="28"/>
      <c r="AZ391" s="28"/>
      <c r="BA391" s="28"/>
      <c r="BB391" s="28"/>
    </row>
    <row r="392" spans="1:54" ht="12.75" x14ac:dyDescent="0.2">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c r="AF392" s="28"/>
      <c r="AG392" s="28"/>
      <c r="AH392" s="28"/>
      <c r="AI392" s="28"/>
      <c r="AJ392" s="28"/>
      <c r="AK392" s="28"/>
      <c r="AL392" s="28"/>
      <c r="AM392" s="28"/>
      <c r="AN392" s="28"/>
      <c r="AO392" s="28"/>
      <c r="AP392" s="28"/>
      <c r="AQ392" s="28"/>
      <c r="AR392" s="28"/>
      <c r="AS392" s="28"/>
      <c r="AT392" s="28"/>
      <c r="AU392" s="28"/>
      <c r="AV392" s="28"/>
      <c r="AW392" s="28"/>
      <c r="AX392" s="28"/>
      <c r="AY392" s="28"/>
      <c r="AZ392" s="28"/>
      <c r="BA392" s="28"/>
      <c r="BB392" s="28"/>
    </row>
    <row r="393" spans="1:54" ht="12.75" x14ac:dyDescent="0.2">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c r="AF393" s="28"/>
      <c r="AG393" s="28"/>
      <c r="AH393" s="28"/>
      <c r="AI393" s="28"/>
      <c r="AJ393" s="28"/>
      <c r="AK393" s="28"/>
      <c r="AL393" s="28"/>
      <c r="AM393" s="28"/>
      <c r="AN393" s="28"/>
      <c r="AO393" s="28"/>
      <c r="AP393" s="28"/>
      <c r="AQ393" s="28"/>
      <c r="AR393" s="28"/>
      <c r="AS393" s="28"/>
      <c r="AT393" s="28"/>
      <c r="AU393" s="28"/>
      <c r="AV393" s="28"/>
      <c r="AW393" s="28"/>
      <c r="AX393" s="28"/>
      <c r="AY393" s="28"/>
      <c r="AZ393" s="28"/>
      <c r="BA393" s="28"/>
      <c r="BB393" s="28"/>
    </row>
    <row r="394" spans="1:54" ht="12.75" x14ac:dyDescent="0.2">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c r="AF394" s="28"/>
      <c r="AG394" s="28"/>
      <c r="AH394" s="28"/>
      <c r="AI394" s="28"/>
      <c r="AJ394" s="28"/>
      <c r="AK394" s="28"/>
      <c r="AL394" s="28"/>
      <c r="AM394" s="28"/>
      <c r="AN394" s="28"/>
      <c r="AO394" s="28"/>
      <c r="AP394" s="28"/>
      <c r="AQ394" s="28"/>
      <c r="AR394" s="28"/>
      <c r="AS394" s="28"/>
      <c r="AT394" s="28"/>
      <c r="AU394" s="28"/>
      <c r="AV394" s="28"/>
      <c r="AW394" s="28"/>
      <c r="AX394" s="28"/>
      <c r="AY394" s="28"/>
      <c r="AZ394" s="28"/>
      <c r="BA394" s="28"/>
      <c r="BB394" s="28"/>
    </row>
    <row r="395" spans="1:54" ht="12.75" x14ac:dyDescent="0.2">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28"/>
      <c r="AG395" s="28"/>
      <c r="AH395" s="28"/>
      <c r="AI395" s="28"/>
      <c r="AJ395" s="28"/>
      <c r="AK395" s="28"/>
      <c r="AL395" s="28"/>
      <c r="AM395" s="28"/>
      <c r="AN395" s="28"/>
      <c r="AO395" s="28"/>
      <c r="AP395" s="28"/>
      <c r="AQ395" s="28"/>
      <c r="AR395" s="28"/>
      <c r="AS395" s="28"/>
      <c r="AT395" s="28"/>
      <c r="AU395" s="28"/>
      <c r="AV395" s="28"/>
      <c r="AW395" s="28"/>
      <c r="AX395" s="28"/>
      <c r="AY395" s="28"/>
      <c r="AZ395" s="28"/>
      <c r="BA395" s="28"/>
      <c r="BB395" s="28"/>
    </row>
    <row r="396" spans="1:54" ht="12.75" x14ac:dyDescent="0.2">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c r="AG396" s="28"/>
      <c r="AH396" s="28"/>
      <c r="AI396" s="28"/>
      <c r="AJ396" s="28"/>
      <c r="AK396" s="28"/>
      <c r="AL396" s="28"/>
      <c r="AM396" s="28"/>
      <c r="AN396" s="28"/>
      <c r="AO396" s="28"/>
      <c r="AP396" s="28"/>
      <c r="AQ396" s="28"/>
      <c r="AR396" s="28"/>
      <c r="AS396" s="28"/>
      <c r="AT396" s="28"/>
      <c r="AU396" s="28"/>
      <c r="AV396" s="28"/>
      <c r="AW396" s="28"/>
      <c r="AX396" s="28"/>
      <c r="AY396" s="28"/>
      <c r="AZ396" s="28"/>
      <c r="BA396" s="28"/>
      <c r="BB396" s="28"/>
    </row>
    <row r="397" spans="1:54" ht="12.75" x14ac:dyDescent="0.2">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28"/>
      <c r="AG397" s="28"/>
      <c r="AH397" s="28"/>
      <c r="AI397" s="28"/>
      <c r="AJ397" s="28"/>
      <c r="AK397" s="28"/>
      <c r="AL397" s="28"/>
      <c r="AM397" s="28"/>
      <c r="AN397" s="28"/>
      <c r="AO397" s="28"/>
      <c r="AP397" s="28"/>
      <c r="AQ397" s="28"/>
      <c r="AR397" s="28"/>
      <c r="AS397" s="28"/>
      <c r="AT397" s="28"/>
      <c r="AU397" s="28"/>
      <c r="AV397" s="28"/>
      <c r="AW397" s="28"/>
      <c r="AX397" s="28"/>
      <c r="AY397" s="28"/>
      <c r="AZ397" s="28"/>
      <c r="BA397" s="28"/>
      <c r="BB397" s="28"/>
    </row>
    <row r="398" spans="1:54" ht="12.75" x14ac:dyDescent="0.2">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c r="AG398" s="28"/>
      <c r="AH398" s="28"/>
      <c r="AI398" s="28"/>
      <c r="AJ398" s="28"/>
      <c r="AK398" s="28"/>
      <c r="AL398" s="28"/>
      <c r="AM398" s="28"/>
      <c r="AN398" s="28"/>
      <c r="AO398" s="28"/>
      <c r="AP398" s="28"/>
      <c r="AQ398" s="28"/>
      <c r="AR398" s="28"/>
      <c r="AS398" s="28"/>
      <c r="AT398" s="28"/>
      <c r="AU398" s="28"/>
      <c r="AV398" s="28"/>
      <c r="AW398" s="28"/>
      <c r="AX398" s="28"/>
      <c r="AY398" s="28"/>
      <c r="AZ398" s="28"/>
      <c r="BA398" s="28"/>
      <c r="BB398" s="28"/>
    </row>
    <row r="399" spans="1:54" ht="12.75" x14ac:dyDescent="0.2">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c r="AG399" s="28"/>
      <c r="AH399" s="28"/>
      <c r="AI399" s="28"/>
      <c r="AJ399" s="28"/>
      <c r="AK399" s="28"/>
      <c r="AL399" s="28"/>
      <c r="AM399" s="28"/>
      <c r="AN399" s="28"/>
      <c r="AO399" s="28"/>
      <c r="AP399" s="28"/>
      <c r="AQ399" s="28"/>
      <c r="AR399" s="28"/>
      <c r="AS399" s="28"/>
      <c r="AT399" s="28"/>
      <c r="AU399" s="28"/>
      <c r="AV399" s="28"/>
      <c r="AW399" s="28"/>
      <c r="AX399" s="28"/>
      <c r="AY399" s="28"/>
      <c r="AZ399" s="28"/>
      <c r="BA399" s="28"/>
      <c r="BB399" s="28"/>
    </row>
    <row r="400" spans="1:54" ht="12.75" x14ac:dyDescent="0.2">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c r="AG400" s="28"/>
      <c r="AH400" s="28"/>
      <c r="AI400" s="28"/>
      <c r="AJ400" s="28"/>
      <c r="AK400" s="28"/>
      <c r="AL400" s="28"/>
      <c r="AM400" s="28"/>
      <c r="AN400" s="28"/>
      <c r="AO400" s="28"/>
      <c r="AP400" s="28"/>
      <c r="AQ400" s="28"/>
      <c r="AR400" s="28"/>
      <c r="AS400" s="28"/>
      <c r="AT400" s="28"/>
      <c r="AU400" s="28"/>
      <c r="AV400" s="28"/>
      <c r="AW400" s="28"/>
      <c r="AX400" s="28"/>
      <c r="AY400" s="28"/>
      <c r="AZ400" s="28"/>
      <c r="BA400" s="28"/>
      <c r="BB400" s="28"/>
    </row>
    <row r="401" spans="1:54" ht="12.75" x14ac:dyDescent="0.2">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c r="AG401" s="28"/>
      <c r="AH401" s="28"/>
      <c r="AI401" s="28"/>
      <c r="AJ401" s="28"/>
      <c r="AK401" s="28"/>
      <c r="AL401" s="28"/>
      <c r="AM401" s="28"/>
      <c r="AN401" s="28"/>
      <c r="AO401" s="28"/>
      <c r="AP401" s="28"/>
      <c r="AQ401" s="28"/>
      <c r="AR401" s="28"/>
      <c r="AS401" s="28"/>
      <c r="AT401" s="28"/>
      <c r="AU401" s="28"/>
      <c r="AV401" s="28"/>
      <c r="AW401" s="28"/>
      <c r="AX401" s="28"/>
      <c r="AY401" s="28"/>
      <c r="AZ401" s="28"/>
      <c r="BA401" s="28"/>
      <c r="BB401" s="28"/>
    </row>
    <row r="402" spans="1:54" ht="12.75" x14ac:dyDescent="0.2">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c r="AG402" s="28"/>
      <c r="AH402" s="28"/>
      <c r="AI402" s="28"/>
      <c r="AJ402" s="28"/>
      <c r="AK402" s="28"/>
      <c r="AL402" s="28"/>
      <c r="AM402" s="28"/>
      <c r="AN402" s="28"/>
      <c r="AO402" s="28"/>
      <c r="AP402" s="28"/>
      <c r="AQ402" s="28"/>
      <c r="AR402" s="28"/>
      <c r="AS402" s="28"/>
      <c r="AT402" s="28"/>
      <c r="AU402" s="28"/>
      <c r="AV402" s="28"/>
      <c r="AW402" s="28"/>
      <c r="AX402" s="28"/>
      <c r="AY402" s="28"/>
      <c r="AZ402" s="28"/>
      <c r="BA402" s="28"/>
      <c r="BB402" s="28"/>
    </row>
    <row r="403" spans="1:54" ht="12.75" x14ac:dyDescent="0.2">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28"/>
      <c r="AG403" s="28"/>
      <c r="AH403" s="28"/>
      <c r="AI403" s="28"/>
      <c r="AJ403" s="28"/>
      <c r="AK403" s="28"/>
      <c r="AL403" s="28"/>
      <c r="AM403" s="28"/>
      <c r="AN403" s="28"/>
      <c r="AO403" s="28"/>
      <c r="AP403" s="28"/>
      <c r="AQ403" s="28"/>
      <c r="AR403" s="28"/>
      <c r="AS403" s="28"/>
      <c r="AT403" s="28"/>
      <c r="AU403" s="28"/>
      <c r="AV403" s="28"/>
      <c r="AW403" s="28"/>
      <c r="AX403" s="28"/>
      <c r="AY403" s="28"/>
      <c r="AZ403" s="28"/>
      <c r="BA403" s="28"/>
      <c r="BB403" s="28"/>
    </row>
    <row r="404" spans="1:54" ht="12.75" x14ac:dyDescent="0.2">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c r="AG404" s="28"/>
      <c r="AH404" s="28"/>
      <c r="AI404" s="28"/>
      <c r="AJ404" s="28"/>
      <c r="AK404" s="28"/>
      <c r="AL404" s="28"/>
      <c r="AM404" s="28"/>
      <c r="AN404" s="28"/>
      <c r="AO404" s="28"/>
      <c r="AP404" s="28"/>
      <c r="AQ404" s="28"/>
      <c r="AR404" s="28"/>
      <c r="AS404" s="28"/>
      <c r="AT404" s="28"/>
      <c r="AU404" s="28"/>
      <c r="AV404" s="28"/>
      <c r="AW404" s="28"/>
      <c r="AX404" s="28"/>
      <c r="AY404" s="28"/>
      <c r="AZ404" s="28"/>
      <c r="BA404" s="28"/>
      <c r="BB404" s="28"/>
    </row>
    <row r="405" spans="1:54" ht="12.75" x14ac:dyDescent="0.2">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28"/>
      <c r="AG405" s="28"/>
      <c r="AH405" s="28"/>
      <c r="AI405" s="28"/>
      <c r="AJ405" s="28"/>
      <c r="AK405" s="28"/>
      <c r="AL405" s="28"/>
      <c r="AM405" s="28"/>
      <c r="AN405" s="28"/>
      <c r="AO405" s="28"/>
      <c r="AP405" s="28"/>
      <c r="AQ405" s="28"/>
      <c r="AR405" s="28"/>
      <c r="AS405" s="28"/>
      <c r="AT405" s="28"/>
      <c r="AU405" s="28"/>
      <c r="AV405" s="28"/>
      <c r="AW405" s="28"/>
      <c r="AX405" s="28"/>
      <c r="AY405" s="28"/>
      <c r="AZ405" s="28"/>
      <c r="BA405" s="28"/>
      <c r="BB405" s="28"/>
    </row>
    <row r="406" spans="1:54" ht="12.75" x14ac:dyDescent="0.2">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row>
    <row r="407" spans="1:54" ht="12.75" x14ac:dyDescent="0.2">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28"/>
      <c r="AG407" s="28"/>
      <c r="AH407" s="28"/>
      <c r="AI407" s="28"/>
      <c r="AJ407" s="28"/>
      <c r="AK407" s="28"/>
      <c r="AL407" s="28"/>
      <c r="AM407" s="28"/>
      <c r="AN407" s="28"/>
      <c r="AO407" s="28"/>
      <c r="AP407" s="28"/>
      <c r="AQ407" s="28"/>
      <c r="AR407" s="28"/>
      <c r="AS407" s="28"/>
      <c r="AT407" s="28"/>
      <c r="AU407" s="28"/>
      <c r="AV407" s="28"/>
      <c r="AW407" s="28"/>
      <c r="AX407" s="28"/>
      <c r="AY407" s="28"/>
      <c r="AZ407" s="28"/>
      <c r="BA407" s="28"/>
      <c r="BB407" s="28"/>
    </row>
    <row r="408" spans="1:54" ht="12.75" x14ac:dyDescent="0.2">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28"/>
      <c r="AG408" s="28"/>
      <c r="AH408" s="28"/>
      <c r="AI408" s="28"/>
      <c r="AJ408" s="28"/>
      <c r="AK408" s="28"/>
      <c r="AL408" s="28"/>
      <c r="AM408" s="28"/>
      <c r="AN408" s="28"/>
      <c r="AO408" s="28"/>
      <c r="AP408" s="28"/>
      <c r="AQ408" s="28"/>
      <c r="AR408" s="28"/>
      <c r="AS408" s="28"/>
      <c r="AT408" s="28"/>
      <c r="AU408" s="28"/>
      <c r="AV408" s="28"/>
      <c r="AW408" s="28"/>
      <c r="AX408" s="28"/>
      <c r="AY408" s="28"/>
      <c r="AZ408" s="28"/>
      <c r="BA408" s="28"/>
      <c r="BB408" s="28"/>
    </row>
    <row r="409" spans="1:54" ht="12.75" x14ac:dyDescent="0.2">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c r="AN409" s="28"/>
      <c r="AO409" s="28"/>
      <c r="AP409" s="28"/>
      <c r="AQ409" s="28"/>
      <c r="AR409" s="28"/>
      <c r="AS409" s="28"/>
      <c r="AT409" s="28"/>
      <c r="AU409" s="28"/>
      <c r="AV409" s="28"/>
      <c r="AW409" s="28"/>
      <c r="AX409" s="28"/>
      <c r="AY409" s="28"/>
      <c r="AZ409" s="28"/>
      <c r="BA409" s="28"/>
      <c r="BB409" s="28"/>
    </row>
    <row r="410" spans="1:54" ht="12.75" x14ac:dyDescent="0.2">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28"/>
      <c r="AG410" s="28"/>
      <c r="AH410" s="28"/>
      <c r="AI410" s="28"/>
      <c r="AJ410" s="28"/>
      <c r="AK410" s="28"/>
      <c r="AL410" s="28"/>
      <c r="AM410" s="28"/>
      <c r="AN410" s="28"/>
      <c r="AO410" s="28"/>
      <c r="AP410" s="28"/>
      <c r="AQ410" s="28"/>
      <c r="AR410" s="28"/>
      <c r="AS410" s="28"/>
      <c r="AT410" s="28"/>
      <c r="AU410" s="28"/>
      <c r="AV410" s="28"/>
      <c r="AW410" s="28"/>
      <c r="AX410" s="28"/>
      <c r="AY410" s="28"/>
      <c r="AZ410" s="28"/>
      <c r="BA410" s="28"/>
      <c r="BB410" s="28"/>
    </row>
    <row r="411" spans="1:54" ht="12.75" x14ac:dyDescent="0.2">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c r="AP411" s="28"/>
      <c r="AQ411" s="28"/>
      <c r="AR411" s="28"/>
      <c r="AS411" s="28"/>
      <c r="AT411" s="28"/>
      <c r="AU411" s="28"/>
      <c r="AV411" s="28"/>
      <c r="AW411" s="28"/>
      <c r="AX411" s="28"/>
      <c r="AY411" s="28"/>
      <c r="AZ411" s="28"/>
      <c r="BA411" s="28"/>
      <c r="BB411" s="28"/>
    </row>
    <row r="412" spans="1:54" ht="12.75" x14ac:dyDescent="0.2">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c r="AR412" s="28"/>
      <c r="AS412" s="28"/>
      <c r="AT412" s="28"/>
      <c r="AU412" s="28"/>
      <c r="AV412" s="28"/>
      <c r="AW412" s="28"/>
      <c r="AX412" s="28"/>
      <c r="AY412" s="28"/>
      <c r="AZ412" s="28"/>
      <c r="BA412" s="28"/>
      <c r="BB412" s="28"/>
    </row>
    <row r="413" spans="1:54" ht="12.75" x14ac:dyDescent="0.2">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c r="AF413" s="28"/>
      <c r="AG413" s="28"/>
      <c r="AH413" s="28"/>
      <c r="AI413" s="28"/>
      <c r="AJ413" s="28"/>
      <c r="AK413" s="28"/>
      <c r="AL413" s="28"/>
      <c r="AM413" s="28"/>
      <c r="AN413" s="28"/>
      <c r="AO413" s="28"/>
      <c r="AP413" s="28"/>
      <c r="AQ413" s="28"/>
      <c r="AR413" s="28"/>
      <c r="AS413" s="28"/>
      <c r="AT413" s="28"/>
      <c r="AU413" s="28"/>
      <c r="AV413" s="28"/>
      <c r="AW413" s="28"/>
      <c r="AX413" s="28"/>
      <c r="AY413" s="28"/>
      <c r="AZ413" s="28"/>
      <c r="BA413" s="28"/>
      <c r="BB413" s="28"/>
    </row>
    <row r="414" spans="1:54" ht="12.75" x14ac:dyDescent="0.2">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28"/>
      <c r="AG414" s="28"/>
      <c r="AH414" s="28"/>
      <c r="AI414" s="28"/>
      <c r="AJ414" s="28"/>
      <c r="AK414" s="28"/>
      <c r="AL414" s="28"/>
      <c r="AM414" s="28"/>
      <c r="AN414" s="28"/>
      <c r="AO414" s="28"/>
      <c r="AP414" s="28"/>
      <c r="AQ414" s="28"/>
      <c r="AR414" s="28"/>
      <c r="AS414" s="28"/>
      <c r="AT414" s="28"/>
      <c r="AU414" s="28"/>
      <c r="AV414" s="28"/>
      <c r="AW414" s="28"/>
      <c r="AX414" s="28"/>
      <c r="AY414" s="28"/>
      <c r="AZ414" s="28"/>
      <c r="BA414" s="28"/>
      <c r="BB414" s="28"/>
    </row>
    <row r="415" spans="1:54" ht="12.75" x14ac:dyDescent="0.2">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c r="AF415" s="28"/>
      <c r="AG415" s="28"/>
      <c r="AH415" s="28"/>
      <c r="AI415" s="28"/>
      <c r="AJ415" s="28"/>
      <c r="AK415" s="28"/>
      <c r="AL415" s="28"/>
      <c r="AM415" s="28"/>
      <c r="AN415" s="28"/>
      <c r="AO415" s="28"/>
      <c r="AP415" s="28"/>
      <c r="AQ415" s="28"/>
      <c r="AR415" s="28"/>
      <c r="AS415" s="28"/>
      <c r="AT415" s="28"/>
      <c r="AU415" s="28"/>
      <c r="AV415" s="28"/>
      <c r="AW415" s="28"/>
      <c r="AX415" s="28"/>
      <c r="AY415" s="28"/>
      <c r="AZ415" s="28"/>
      <c r="BA415" s="28"/>
      <c r="BB415" s="28"/>
    </row>
    <row r="416" spans="1:54" ht="12.75" x14ac:dyDescent="0.2">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c r="AG416" s="28"/>
      <c r="AH416" s="28"/>
      <c r="AI416" s="28"/>
      <c r="AJ416" s="28"/>
      <c r="AK416" s="28"/>
      <c r="AL416" s="28"/>
      <c r="AM416" s="28"/>
      <c r="AN416" s="28"/>
      <c r="AO416" s="28"/>
      <c r="AP416" s="28"/>
      <c r="AQ416" s="28"/>
      <c r="AR416" s="28"/>
      <c r="AS416" s="28"/>
      <c r="AT416" s="28"/>
      <c r="AU416" s="28"/>
      <c r="AV416" s="28"/>
      <c r="AW416" s="28"/>
      <c r="AX416" s="28"/>
      <c r="AY416" s="28"/>
      <c r="AZ416" s="28"/>
      <c r="BA416" s="28"/>
      <c r="BB416" s="28"/>
    </row>
    <row r="417" spans="1:54" ht="12.75" x14ac:dyDescent="0.2">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c r="AF417" s="28"/>
      <c r="AG417" s="28"/>
      <c r="AH417" s="28"/>
      <c r="AI417" s="28"/>
      <c r="AJ417" s="28"/>
      <c r="AK417" s="28"/>
      <c r="AL417" s="28"/>
      <c r="AM417" s="28"/>
      <c r="AN417" s="28"/>
      <c r="AO417" s="28"/>
      <c r="AP417" s="28"/>
      <c r="AQ417" s="28"/>
      <c r="AR417" s="28"/>
      <c r="AS417" s="28"/>
      <c r="AT417" s="28"/>
      <c r="AU417" s="28"/>
      <c r="AV417" s="28"/>
      <c r="AW417" s="28"/>
      <c r="AX417" s="28"/>
      <c r="AY417" s="28"/>
      <c r="AZ417" s="28"/>
      <c r="BA417" s="28"/>
      <c r="BB417" s="28"/>
    </row>
    <row r="418" spans="1:54" ht="12.75" x14ac:dyDescent="0.2">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c r="AF418" s="28"/>
      <c r="AG418" s="28"/>
      <c r="AH418" s="28"/>
      <c r="AI418" s="28"/>
      <c r="AJ418" s="28"/>
      <c r="AK418" s="28"/>
      <c r="AL418" s="28"/>
      <c r="AM418" s="28"/>
      <c r="AN418" s="28"/>
      <c r="AO418" s="28"/>
      <c r="AP418" s="28"/>
      <c r="AQ418" s="28"/>
      <c r="AR418" s="28"/>
      <c r="AS418" s="28"/>
      <c r="AT418" s="28"/>
      <c r="AU418" s="28"/>
      <c r="AV418" s="28"/>
      <c r="AW418" s="28"/>
      <c r="AX418" s="28"/>
      <c r="AY418" s="28"/>
      <c r="AZ418" s="28"/>
      <c r="BA418" s="28"/>
      <c r="BB418" s="28"/>
    </row>
    <row r="419" spans="1:54" ht="12.75" x14ac:dyDescent="0.2">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28"/>
      <c r="AG419" s="28"/>
      <c r="AH419" s="28"/>
      <c r="AI419" s="28"/>
      <c r="AJ419" s="28"/>
      <c r="AK419" s="28"/>
      <c r="AL419" s="28"/>
      <c r="AM419" s="28"/>
      <c r="AN419" s="28"/>
      <c r="AO419" s="28"/>
      <c r="AP419" s="28"/>
      <c r="AQ419" s="28"/>
      <c r="AR419" s="28"/>
      <c r="AS419" s="28"/>
      <c r="AT419" s="28"/>
      <c r="AU419" s="28"/>
      <c r="AV419" s="28"/>
      <c r="AW419" s="28"/>
      <c r="AX419" s="28"/>
      <c r="AY419" s="28"/>
      <c r="AZ419" s="28"/>
      <c r="BA419" s="28"/>
      <c r="BB419" s="28"/>
    </row>
    <row r="420" spans="1:54" ht="12.75" x14ac:dyDescent="0.2">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28"/>
      <c r="AG420" s="28"/>
      <c r="AH420" s="28"/>
      <c r="AI420" s="28"/>
      <c r="AJ420" s="28"/>
      <c r="AK420" s="28"/>
      <c r="AL420" s="28"/>
      <c r="AM420" s="28"/>
      <c r="AN420" s="28"/>
      <c r="AO420" s="28"/>
      <c r="AP420" s="28"/>
      <c r="AQ420" s="28"/>
      <c r="AR420" s="28"/>
      <c r="AS420" s="28"/>
      <c r="AT420" s="28"/>
      <c r="AU420" s="28"/>
      <c r="AV420" s="28"/>
      <c r="AW420" s="28"/>
      <c r="AX420" s="28"/>
      <c r="AY420" s="28"/>
      <c r="AZ420" s="28"/>
      <c r="BA420" s="28"/>
      <c r="BB420" s="28"/>
    </row>
    <row r="421" spans="1:54" ht="12.75" x14ac:dyDescent="0.2">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c r="AF421" s="28"/>
      <c r="AG421" s="28"/>
      <c r="AH421" s="28"/>
      <c r="AI421" s="28"/>
      <c r="AJ421" s="28"/>
      <c r="AK421" s="28"/>
      <c r="AL421" s="28"/>
      <c r="AM421" s="28"/>
      <c r="AN421" s="28"/>
      <c r="AO421" s="28"/>
      <c r="AP421" s="28"/>
      <c r="AQ421" s="28"/>
      <c r="AR421" s="28"/>
      <c r="AS421" s="28"/>
      <c r="AT421" s="28"/>
      <c r="AU421" s="28"/>
      <c r="AV421" s="28"/>
      <c r="AW421" s="28"/>
      <c r="AX421" s="28"/>
      <c r="AY421" s="28"/>
      <c r="AZ421" s="28"/>
      <c r="BA421" s="28"/>
      <c r="BB421" s="28"/>
    </row>
    <row r="422" spans="1:54" ht="12.75" x14ac:dyDescent="0.2">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c r="AF422" s="28"/>
      <c r="AG422" s="28"/>
      <c r="AH422" s="28"/>
      <c r="AI422" s="28"/>
      <c r="AJ422" s="28"/>
      <c r="AK422" s="28"/>
      <c r="AL422" s="28"/>
      <c r="AM422" s="28"/>
      <c r="AN422" s="28"/>
      <c r="AO422" s="28"/>
      <c r="AP422" s="28"/>
      <c r="AQ422" s="28"/>
      <c r="AR422" s="28"/>
      <c r="AS422" s="28"/>
      <c r="AT422" s="28"/>
      <c r="AU422" s="28"/>
      <c r="AV422" s="28"/>
      <c r="AW422" s="28"/>
      <c r="AX422" s="28"/>
      <c r="AY422" s="28"/>
      <c r="AZ422" s="28"/>
      <c r="BA422" s="28"/>
      <c r="BB422" s="28"/>
    </row>
    <row r="423" spans="1:54" ht="12.75" x14ac:dyDescent="0.2">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c r="AE423" s="28"/>
      <c r="AF423" s="28"/>
      <c r="AG423" s="28"/>
      <c r="AH423" s="28"/>
      <c r="AI423" s="28"/>
      <c r="AJ423" s="28"/>
      <c r="AK423" s="28"/>
      <c r="AL423" s="28"/>
      <c r="AM423" s="28"/>
      <c r="AN423" s="28"/>
      <c r="AO423" s="28"/>
      <c r="AP423" s="28"/>
      <c r="AQ423" s="28"/>
      <c r="AR423" s="28"/>
      <c r="AS423" s="28"/>
      <c r="AT423" s="28"/>
      <c r="AU423" s="28"/>
      <c r="AV423" s="28"/>
      <c r="AW423" s="28"/>
      <c r="AX423" s="28"/>
      <c r="AY423" s="28"/>
      <c r="AZ423" s="28"/>
      <c r="BA423" s="28"/>
      <c r="BB423" s="28"/>
    </row>
    <row r="424" spans="1:54" ht="12.75" x14ac:dyDescent="0.2">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c r="AE424" s="28"/>
      <c r="AF424" s="28"/>
      <c r="AG424" s="28"/>
      <c r="AH424" s="28"/>
      <c r="AI424" s="28"/>
      <c r="AJ424" s="28"/>
      <c r="AK424" s="28"/>
      <c r="AL424" s="28"/>
      <c r="AM424" s="28"/>
      <c r="AN424" s="28"/>
      <c r="AO424" s="28"/>
      <c r="AP424" s="28"/>
      <c r="AQ424" s="28"/>
      <c r="AR424" s="28"/>
      <c r="AS424" s="28"/>
      <c r="AT424" s="28"/>
      <c r="AU424" s="28"/>
      <c r="AV424" s="28"/>
      <c r="AW424" s="28"/>
      <c r="AX424" s="28"/>
      <c r="AY424" s="28"/>
      <c r="AZ424" s="28"/>
      <c r="BA424" s="28"/>
      <c r="BB424" s="28"/>
    </row>
    <row r="425" spans="1:54" ht="12.75" x14ac:dyDescent="0.2">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c r="AE425" s="28"/>
      <c r="AF425" s="28"/>
      <c r="AG425" s="28"/>
      <c r="AH425" s="28"/>
      <c r="AI425" s="28"/>
      <c r="AJ425" s="28"/>
      <c r="AK425" s="28"/>
      <c r="AL425" s="28"/>
      <c r="AM425" s="28"/>
      <c r="AN425" s="28"/>
      <c r="AO425" s="28"/>
      <c r="AP425" s="28"/>
      <c r="AQ425" s="28"/>
      <c r="AR425" s="28"/>
      <c r="AS425" s="28"/>
      <c r="AT425" s="28"/>
      <c r="AU425" s="28"/>
      <c r="AV425" s="28"/>
      <c r="AW425" s="28"/>
      <c r="AX425" s="28"/>
      <c r="AY425" s="28"/>
      <c r="AZ425" s="28"/>
      <c r="BA425" s="28"/>
      <c r="BB425" s="28"/>
    </row>
    <row r="426" spans="1:54" ht="12.75" x14ac:dyDescent="0.2">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c r="AE426" s="28"/>
      <c r="AF426" s="28"/>
      <c r="AG426" s="28"/>
      <c r="AH426" s="28"/>
      <c r="AI426" s="28"/>
      <c r="AJ426" s="28"/>
      <c r="AK426" s="28"/>
      <c r="AL426" s="28"/>
      <c r="AM426" s="28"/>
      <c r="AN426" s="28"/>
      <c r="AO426" s="28"/>
      <c r="AP426" s="28"/>
      <c r="AQ426" s="28"/>
      <c r="AR426" s="28"/>
      <c r="AS426" s="28"/>
      <c r="AT426" s="28"/>
      <c r="AU426" s="28"/>
      <c r="AV426" s="28"/>
      <c r="AW426" s="28"/>
      <c r="AX426" s="28"/>
      <c r="AY426" s="28"/>
      <c r="AZ426" s="28"/>
      <c r="BA426" s="28"/>
      <c r="BB426" s="28"/>
    </row>
    <row r="427" spans="1:54" ht="12.75" x14ac:dyDescent="0.2">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c r="AB427" s="28"/>
      <c r="AC427" s="28"/>
      <c r="AD427" s="28"/>
      <c r="AE427" s="28"/>
      <c r="AF427" s="28"/>
      <c r="AG427" s="28"/>
      <c r="AH427" s="28"/>
      <c r="AI427" s="28"/>
      <c r="AJ427" s="28"/>
      <c r="AK427" s="28"/>
      <c r="AL427" s="28"/>
      <c r="AM427" s="28"/>
      <c r="AN427" s="28"/>
      <c r="AO427" s="28"/>
      <c r="AP427" s="28"/>
      <c r="AQ427" s="28"/>
      <c r="AR427" s="28"/>
      <c r="AS427" s="28"/>
      <c r="AT427" s="28"/>
      <c r="AU427" s="28"/>
      <c r="AV427" s="28"/>
      <c r="AW427" s="28"/>
      <c r="AX427" s="28"/>
      <c r="AY427" s="28"/>
      <c r="AZ427" s="28"/>
      <c r="BA427" s="28"/>
      <c r="BB427" s="28"/>
    </row>
    <row r="428" spans="1:54" ht="12.75" x14ac:dyDescent="0.2">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c r="AB428" s="28"/>
      <c r="AC428" s="28"/>
      <c r="AD428" s="28"/>
      <c r="AE428" s="28"/>
      <c r="AF428" s="28"/>
      <c r="AG428" s="28"/>
      <c r="AH428" s="28"/>
      <c r="AI428" s="28"/>
      <c r="AJ428" s="28"/>
      <c r="AK428" s="28"/>
      <c r="AL428" s="28"/>
      <c r="AM428" s="28"/>
      <c r="AN428" s="28"/>
      <c r="AO428" s="28"/>
      <c r="AP428" s="28"/>
      <c r="AQ428" s="28"/>
      <c r="AR428" s="28"/>
      <c r="AS428" s="28"/>
      <c r="AT428" s="28"/>
      <c r="AU428" s="28"/>
      <c r="AV428" s="28"/>
      <c r="AW428" s="28"/>
      <c r="AX428" s="28"/>
      <c r="AY428" s="28"/>
      <c r="AZ428" s="28"/>
      <c r="BA428" s="28"/>
      <c r="BB428" s="28"/>
    </row>
    <row r="429" spans="1:54" ht="12.75" x14ac:dyDescent="0.2">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c r="AE429" s="28"/>
      <c r="AF429" s="28"/>
      <c r="AG429" s="28"/>
      <c r="AH429" s="28"/>
      <c r="AI429" s="28"/>
      <c r="AJ429" s="28"/>
      <c r="AK429" s="28"/>
      <c r="AL429" s="28"/>
      <c r="AM429" s="28"/>
      <c r="AN429" s="28"/>
      <c r="AO429" s="28"/>
      <c r="AP429" s="28"/>
      <c r="AQ429" s="28"/>
      <c r="AR429" s="28"/>
      <c r="AS429" s="28"/>
      <c r="AT429" s="28"/>
      <c r="AU429" s="28"/>
      <c r="AV429" s="28"/>
      <c r="AW429" s="28"/>
      <c r="AX429" s="28"/>
      <c r="AY429" s="28"/>
      <c r="AZ429" s="28"/>
      <c r="BA429" s="28"/>
      <c r="BB429" s="28"/>
    </row>
    <row r="430" spans="1:54" ht="12.75" x14ac:dyDescent="0.2">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c r="AB430" s="28"/>
      <c r="AC430" s="28"/>
      <c r="AD430" s="28"/>
      <c r="AE430" s="28"/>
      <c r="AF430" s="28"/>
      <c r="AG430" s="28"/>
      <c r="AH430" s="28"/>
      <c r="AI430" s="28"/>
      <c r="AJ430" s="28"/>
      <c r="AK430" s="28"/>
      <c r="AL430" s="28"/>
      <c r="AM430" s="28"/>
      <c r="AN430" s="28"/>
      <c r="AO430" s="28"/>
      <c r="AP430" s="28"/>
      <c r="AQ430" s="28"/>
      <c r="AR430" s="28"/>
      <c r="AS430" s="28"/>
      <c r="AT430" s="28"/>
      <c r="AU430" s="28"/>
      <c r="AV430" s="28"/>
      <c r="AW430" s="28"/>
      <c r="AX430" s="28"/>
      <c r="AY430" s="28"/>
      <c r="AZ430" s="28"/>
      <c r="BA430" s="28"/>
      <c r="BB430" s="28"/>
    </row>
    <row r="431" spans="1:54" ht="12.75" x14ac:dyDescent="0.2">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c r="AE431" s="28"/>
      <c r="AF431" s="28"/>
      <c r="AG431" s="28"/>
      <c r="AH431" s="28"/>
      <c r="AI431" s="28"/>
      <c r="AJ431" s="28"/>
      <c r="AK431" s="28"/>
      <c r="AL431" s="28"/>
      <c r="AM431" s="28"/>
      <c r="AN431" s="28"/>
      <c r="AO431" s="28"/>
      <c r="AP431" s="28"/>
      <c r="AQ431" s="28"/>
      <c r="AR431" s="28"/>
      <c r="AS431" s="28"/>
      <c r="AT431" s="28"/>
      <c r="AU431" s="28"/>
      <c r="AV431" s="28"/>
      <c r="AW431" s="28"/>
      <c r="AX431" s="28"/>
      <c r="AY431" s="28"/>
      <c r="AZ431" s="28"/>
      <c r="BA431" s="28"/>
      <c r="BB431" s="28"/>
    </row>
    <row r="432" spans="1:54" ht="12.75" x14ac:dyDescent="0.2">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28"/>
      <c r="AE432" s="28"/>
      <c r="AF432" s="28"/>
      <c r="AG432" s="28"/>
      <c r="AH432" s="28"/>
      <c r="AI432" s="28"/>
      <c r="AJ432" s="28"/>
      <c r="AK432" s="28"/>
      <c r="AL432" s="28"/>
      <c r="AM432" s="28"/>
      <c r="AN432" s="28"/>
      <c r="AO432" s="28"/>
      <c r="AP432" s="28"/>
      <c r="AQ432" s="28"/>
      <c r="AR432" s="28"/>
      <c r="AS432" s="28"/>
      <c r="AT432" s="28"/>
      <c r="AU432" s="28"/>
      <c r="AV432" s="28"/>
      <c r="AW432" s="28"/>
      <c r="AX432" s="28"/>
      <c r="AY432" s="28"/>
      <c r="AZ432" s="28"/>
      <c r="BA432" s="28"/>
      <c r="BB432" s="28"/>
    </row>
    <row r="433" spans="1:54" ht="12.75" x14ac:dyDescent="0.2">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8"/>
      <c r="AR433" s="28"/>
      <c r="AS433" s="28"/>
      <c r="AT433" s="28"/>
      <c r="AU433" s="28"/>
      <c r="AV433" s="28"/>
      <c r="AW433" s="28"/>
      <c r="AX433" s="28"/>
      <c r="AY433" s="28"/>
      <c r="AZ433" s="28"/>
      <c r="BA433" s="28"/>
      <c r="BB433" s="28"/>
    </row>
    <row r="434" spans="1:54" ht="12.75" x14ac:dyDescent="0.2">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c r="AI434" s="28"/>
      <c r="AJ434" s="28"/>
      <c r="AK434" s="28"/>
      <c r="AL434" s="28"/>
      <c r="AM434" s="28"/>
      <c r="AN434" s="28"/>
      <c r="AO434" s="28"/>
      <c r="AP434" s="28"/>
      <c r="AQ434" s="28"/>
      <c r="AR434" s="28"/>
      <c r="AS434" s="28"/>
      <c r="AT434" s="28"/>
      <c r="AU434" s="28"/>
      <c r="AV434" s="28"/>
      <c r="AW434" s="28"/>
      <c r="AX434" s="28"/>
      <c r="AY434" s="28"/>
      <c r="AZ434" s="28"/>
      <c r="BA434" s="28"/>
      <c r="BB434" s="28"/>
    </row>
    <row r="435" spans="1:54" ht="12.75" x14ac:dyDescent="0.2">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28"/>
      <c r="AE435" s="28"/>
      <c r="AF435" s="28"/>
      <c r="AG435" s="28"/>
      <c r="AH435" s="28"/>
      <c r="AI435" s="28"/>
      <c r="AJ435" s="28"/>
      <c r="AK435" s="28"/>
      <c r="AL435" s="28"/>
      <c r="AM435" s="28"/>
      <c r="AN435" s="28"/>
      <c r="AO435" s="28"/>
      <c r="AP435" s="28"/>
      <c r="AQ435" s="28"/>
      <c r="AR435" s="28"/>
      <c r="AS435" s="28"/>
      <c r="AT435" s="28"/>
      <c r="AU435" s="28"/>
      <c r="AV435" s="28"/>
      <c r="AW435" s="28"/>
      <c r="AX435" s="28"/>
      <c r="AY435" s="28"/>
      <c r="AZ435" s="28"/>
      <c r="BA435" s="28"/>
      <c r="BB435" s="28"/>
    </row>
    <row r="436" spans="1:54" ht="12.75" x14ac:dyDescent="0.2">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c r="AE436" s="28"/>
      <c r="AF436" s="28"/>
      <c r="AG436" s="28"/>
      <c r="AH436" s="28"/>
      <c r="AI436" s="28"/>
      <c r="AJ436" s="28"/>
      <c r="AK436" s="28"/>
      <c r="AL436" s="28"/>
      <c r="AM436" s="28"/>
      <c r="AN436" s="28"/>
      <c r="AO436" s="28"/>
      <c r="AP436" s="28"/>
      <c r="AQ436" s="28"/>
      <c r="AR436" s="28"/>
      <c r="AS436" s="28"/>
      <c r="AT436" s="28"/>
      <c r="AU436" s="28"/>
      <c r="AV436" s="28"/>
      <c r="AW436" s="28"/>
      <c r="AX436" s="28"/>
      <c r="AY436" s="28"/>
      <c r="AZ436" s="28"/>
      <c r="BA436" s="28"/>
      <c r="BB436" s="28"/>
    </row>
    <row r="437" spans="1:54" ht="12.75" x14ac:dyDescent="0.2">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c r="AE437" s="28"/>
      <c r="AF437" s="28"/>
      <c r="AG437" s="28"/>
      <c r="AH437" s="28"/>
      <c r="AI437" s="28"/>
      <c r="AJ437" s="28"/>
      <c r="AK437" s="28"/>
      <c r="AL437" s="28"/>
      <c r="AM437" s="28"/>
      <c r="AN437" s="28"/>
      <c r="AO437" s="28"/>
      <c r="AP437" s="28"/>
      <c r="AQ437" s="28"/>
      <c r="AR437" s="28"/>
      <c r="AS437" s="28"/>
      <c r="AT437" s="28"/>
      <c r="AU437" s="28"/>
      <c r="AV437" s="28"/>
      <c r="AW437" s="28"/>
      <c r="AX437" s="28"/>
      <c r="AY437" s="28"/>
      <c r="AZ437" s="28"/>
      <c r="BA437" s="28"/>
      <c r="BB437" s="28"/>
    </row>
    <row r="438" spans="1:54" ht="12.75" x14ac:dyDescent="0.2">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c r="AA438" s="28"/>
      <c r="AB438" s="28"/>
      <c r="AC438" s="28"/>
      <c r="AD438" s="28"/>
      <c r="AE438" s="28"/>
      <c r="AF438" s="28"/>
      <c r="AG438" s="28"/>
      <c r="AH438" s="28"/>
      <c r="AI438" s="28"/>
      <c r="AJ438" s="28"/>
      <c r="AK438" s="28"/>
      <c r="AL438" s="28"/>
      <c r="AM438" s="28"/>
      <c r="AN438" s="28"/>
      <c r="AO438" s="28"/>
      <c r="AP438" s="28"/>
      <c r="AQ438" s="28"/>
      <c r="AR438" s="28"/>
      <c r="AS438" s="28"/>
      <c r="AT438" s="28"/>
      <c r="AU438" s="28"/>
      <c r="AV438" s="28"/>
      <c r="AW438" s="28"/>
      <c r="AX438" s="28"/>
      <c r="AY438" s="28"/>
      <c r="AZ438" s="28"/>
      <c r="BA438" s="28"/>
      <c r="BB438" s="28"/>
    </row>
    <row r="439" spans="1:54" ht="12.75" x14ac:dyDescent="0.2">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c r="AA439" s="28"/>
      <c r="AB439" s="28"/>
      <c r="AC439" s="28"/>
      <c r="AD439" s="28"/>
      <c r="AE439" s="28"/>
      <c r="AF439" s="28"/>
      <c r="AG439" s="28"/>
      <c r="AH439" s="28"/>
      <c r="AI439" s="28"/>
      <c r="AJ439" s="28"/>
      <c r="AK439" s="28"/>
      <c r="AL439" s="28"/>
      <c r="AM439" s="28"/>
      <c r="AN439" s="28"/>
      <c r="AO439" s="28"/>
      <c r="AP439" s="28"/>
      <c r="AQ439" s="28"/>
      <c r="AR439" s="28"/>
      <c r="AS439" s="28"/>
      <c r="AT439" s="28"/>
      <c r="AU439" s="28"/>
      <c r="AV439" s="28"/>
      <c r="AW439" s="28"/>
      <c r="AX439" s="28"/>
      <c r="AY439" s="28"/>
      <c r="AZ439" s="28"/>
      <c r="BA439" s="28"/>
      <c r="BB439" s="28"/>
    </row>
    <row r="440" spans="1:54" ht="12.75" x14ac:dyDescent="0.2">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c r="AA440" s="28"/>
      <c r="AB440" s="28"/>
      <c r="AC440" s="28"/>
      <c r="AD440" s="28"/>
      <c r="AE440" s="28"/>
      <c r="AF440" s="28"/>
      <c r="AG440" s="28"/>
      <c r="AH440" s="28"/>
      <c r="AI440" s="28"/>
      <c r="AJ440" s="28"/>
      <c r="AK440" s="28"/>
      <c r="AL440" s="28"/>
      <c r="AM440" s="28"/>
      <c r="AN440" s="28"/>
      <c r="AO440" s="28"/>
      <c r="AP440" s="28"/>
      <c r="AQ440" s="28"/>
      <c r="AR440" s="28"/>
      <c r="AS440" s="28"/>
      <c r="AT440" s="28"/>
      <c r="AU440" s="28"/>
      <c r="AV440" s="28"/>
      <c r="AW440" s="28"/>
      <c r="AX440" s="28"/>
      <c r="AY440" s="28"/>
      <c r="AZ440" s="28"/>
      <c r="BA440" s="28"/>
      <c r="BB440" s="28"/>
    </row>
    <row r="441" spans="1:54" ht="12.75" x14ac:dyDescent="0.2">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c r="AA441" s="28"/>
      <c r="AB441" s="28"/>
      <c r="AC441" s="28"/>
      <c r="AD441" s="28"/>
      <c r="AE441" s="28"/>
      <c r="AF441" s="28"/>
      <c r="AG441" s="28"/>
      <c r="AH441" s="28"/>
      <c r="AI441" s="28"/>
      <c r="AJ441" s="28"/>
      <c r="AK441" s="28"/>
      <c r="AL441" s="28"/>
      <c r="AM441" s="28"/>
      <c r="AN441" s="28"/>
      <c r="AO441" s="28"/>
      <c r="AP441" s="28"/>
      <c r="AQ441" s="28"/>
      <c r="AR441" s="28"/>
      <c r="AS441" s="28"/>
      <c r="AT441" s="28"/>
      <c r="AU441" s="28"/>
      <c r="AV441" s="28"/>
      <c r="AW441" s="28"/>
      <c r="AX441" s="28"/>
      <c r="AY441" s="28"/>
      <c r="AZ441" s="28"/>
      <c r="BA441" s="28"/>
      <c r="BB441" s="28"/>
    </row>
    <row r="442" spans="1:54" ht="12.75" x14ac:dyDescent="0.2">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c r="AB442" s="28"/>
      <c r="AC442" s="28"/>
      <c r="AD442" s="28"/>
      <c r="AE442" s="28"/>
      <c r="AF442" s="28"/>
      <c r="AG442" s="28"/>
      <c r="AH442" s="28"/>
      <c r="AI442" s="28"/>
      <c r="AJ442" s="28"/>
      <c r="AK442" s="28"/>
      <c r="AL442" s="28"/>
      <c r="AM442" s="28"/>
      <c r="AN442" s="28"/>
      <c r="AO442" s="28"/>
      <c r="AP442" s="28"/>
      <c r="AQ442" s="28"/>
      <c r="AR442" s="28"/>
      <c r="AS442" s="28"/>
      <c r="AT442" s="28"/>
      <c r="AU442" s="28"/>
      <c r="AV442" s="28"/>
      <c r="AW442" s="28"/>
      <c r="AX442" s="28"/>
      <c r="AY442" s="28"/>
      <c r="AZ442" s="28"/>
      <c r="BA442" s="28"/>
      <c r="BB442" s="28"/>
    </row>
    <row r="443" spans="1:54" ht="12.75" x14ac:dyDescent="0.2">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c r="AB443" s="28"/>
      <c r="AC443" s="28"/>
      <c r="AD443" s="28"/>
      <c r="AE443" s="28"/>
      <c r="AF443" s="28"/>
      <c r="AG443" s="28"/>
      <c r="AH443" s="28"/>
      <c r="AI443" s="28"/>
      <c r="AJ443" s="28"/>
      <c r="AK443" s="28"/>
      <c r="AL443" s="28"/>
      <c r="AM443" s="28"/>
      <c r="AN443" s="28"/>
      <c r="AO443" s="28"/>
      <c r="AP443" s="28"/>
      <c r="AQ443" s="28"/>
      <c r="AR443" s="28"/>
      <c r="AS443" s="28"/>
      <c r="AT443" s="28"/>
      <c r="AU443" s="28"/>
      <c r="AV443" s="28"/>
      <c r="AW443" s="28"/>
      <c r="AX443" s="28"/>
      <c r="AY443" s="28"/>
      <c r="AZ443" s="28"/>
      <c r="BA443" s="28"/>
      <c r="BB443" s="28"/>
    </row>
    <row r="444" spans="1:54" ht="12.75" x14ac:dyDescent="0.2">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c r="AD444" s="28"/>
      <c r="AE444" s="28"/>
      <c r="AF444" s="28"/>
      <c r="AG444" s="28"/>
      <c r="AH444" s="28"/>
      <c r="AI444" s="28"/>
      <c r="AJ444" s="28"/>
      <c r="AK444" s="28"/>
      <c r="AL444" s="28"/>
      <c r="AM444" s="28"/>
      <c r="AN444" s="28"/>
      <c r="AO444" s="28"/>
      <c r="AP444" s="28"/>
      <c r="AQ444" s="28"/>
      <c r="AR444" s="28"/>
      <c r="AS444" s="28"/>
      <c r="AT444" s="28"/>
      <c r="AU444" s="28"/>
      <c r="AV444" s="28"/>
      <c r="AW444" s="28"/>
      <c r="AX444" s="28"/>
      <c r="AY444" s="28"/>
      <c r="AZ444" s="28"/>
      <c r="BA444" s="28"/>
      <c r="BB444" s="28"/>
    </row>
    <row r="445" spans="1:54" ht="12.75" x14ac:dyDescent="0.2">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c r="AD445" s="28"/>
      <c r="AE445" s="28"/>
      <c r="AF445" s="28"/>
      <c r="AG445" s="28"/>
      <c r="AH445" s="28"/>
      <c r="AI445" s="28"/>
      <c r="AJ445" s="28"/>
      <c r="AK445" s="28"/>
      <c r="AL445" s="28"/>
      <c r="AM445" s="28"/>
      <c r="AN445" s="28"/>
      <c r="AO445" s="28"/>
      <c r="AP445" s="28"/>
      <c r="AQ445" s="28"/>
      <c r="AR445" s="28"/>
      <c r="AS445" s="28"/>
      <c r="AT445" s="28"/>
      <c r="AU445" s="28"/>
      <c r="AV445" s="28"/>
      <c r="AW445" s="28"/>
      <c r="AX445" s="28"/>
      <c r="AY445" s="28"/>
      <c r="AZ445" s="28"/>
      <c r="BA445" s="28"/>
      <c r="BB445" s="28"/>
    </row>
    <row r="446" spans="1:54" ht="12.75" x14ac:dyDescent="0.2">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c r="AF446" s="28"/>
      <c r="AG446" s="28"/>
      <c r="AH446" s="28"/>
      <c r="AI446" s="28"/>
      <c r="AJ446" s="28"/>
      <c r="AK446" s="28"/>
      <c r="AL446" s="28"/>
      <c r="AM446" s="28"/>
      <c r="AN446" s="28"/>
      <c r="AO446" s="28"/>
      <c r="AP446" s="28"/>
      <c r="AQ446" s="28"/>
      <c r="AR446" s="28"/>
      <c r="AS446" s="28"/>
      <c r="AT446" s="28"/>
      <c r="AU446" s="28"/>
      <c r="AV446" s="28"/>
      <c r="AW446" s="28"/>
      <c r="AX446" s="28"/>
      <c r="AY446" s="28"/>
      <c r="AZ446" s="28"/>
      <c r="BA446" s="28"/>
      <c r="BB446" s="28"/>
    </row>
    <row r="447" spans="1:54" ht="12.75" x14ac:dyDescent="0.2">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c r="AA447" s="28"/>
      <c r="AB447" s="28"/>
      <c r="AC447" s="28"/>
      <c r="AD447" s="28"/>
      <c r="AE447" s="28"/>
      <c r="AF447" s="28"/>
      <c r="AG447" s="28"/>
      <c r="AH447" s="28"/>
      <c r="AI447" s="28"/>
      <c r="AJ447" s="28"/>
      <c r="AK447" s="28"/>
      <c r="AL447" s="28"/>
      <c r="AM447" s="28"/>
      <c r="AN447" s="28"/>
      <c r="AO447" s="28"/>
      <c r="AP447" s="28"/>
      <c r="AQ447" s="28"/>
      <c r="AR447" s="28"/>
      <c r="AS447" s="28"/>
      <c r="AT447" s="28"/>
      <c r="AU447" s="28"/>
      <c r="AV447" s="28"/>
      <c r="AW447" s="28"/>
      <c r="AX447" s="28"/>
      <c r="AY447" s="28"/>
      <c r="AZ447" s="28"/>
      <c r="BA447" s="28"/>
      <c r="BB447" s="28"/>
    </row>
    <row r="448" spans="1:54" ht="12.75" x14ac:dyDescent="0.2">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c r="AA448" s="28"/>
      <c r="AB448" s="28"/>
      <c r="AC448" s="28"/>
      <c r="AD448" s="28"/>
      <c r="AE448" s="28"/>
      <c r="AF448" s="28"/>
      <c r="AG448" s="28"/>
      <c r="AH448" s="28"/>
      <c r="AI448" s="28"/>
      <c r="AJ448" s="28"/>
      <c r="AK448" s="28"/>
      <c r="AL448" s="28"/>
      <c r="AM448" s="28"/>
      <c r="AN448" s="28"/>
      <c r="AO448" s="28"/>
      <c r="AP448" s="28"/>
      <c r="AQ448" s="28"/>
      <c r="AR448" s="28"/>
      <c r="AS448" s="28"/>
      <c r="AT448" s="28"/>
      <c r="AU448" s="28"/>
      <c r="AV448" s="28"/>
      <c r="AW448" s="28"/>
      <c r="AX448" s="28"/>
      <c r="AY448" s="28"/>
      <c r="AZ448" s="28"/>
      <c r="BA448" s="28"/>
      <c r="BB448" s="28"/>
    </row>
    <row r="449" spans="1:54" ht="12.75" x14ac:dyDescent="0.2">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c r="AN449" s="28"/>
      <c r="AO449" s="28"/>
      <c r="AP449" s="28"/>
      <c r="AQ449" s="28"/>
      <c r="AR449" s="28"/>
      <c r="AS449" s="28"/>
      <c r="AT449" s="28"/>
      <c r="AU449" s="28"/>
      <c r="AV449" s="28"/>
      <c r="AW449" s="28"/>
      <c r="AX449" s="28"/>
      <c r="AY449" s="28"/>
      <c r="AZ449" s="28"/>
      <c r="BA449" s="28"/>
      <c r="BB449" s="28"/>
    </row>
    <row r="450" spans="1:54" ht="12.75" x14ac:dyDescent="0.2">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c r="AA450" s="28"/>
      <c r="AB450" s="28"/>
      <c r="AC450" s="28"/>
      <c r="AD450" s="28"/>
      <c r="AE450" s="28"/>
      <c r="AF450" s="28"/>
      <c r="AG450" s="28"/>
      <c r="AH450" s="28"/>
      <c r="AI450" s="28"/>
      <c r="AJ450" s="28"/>
      <c r="AK450" s="28"/>
      <c r="AL450" s="28"/>
      <c r="AM450" s="28"/>
      <c r="AN450" s="28"/>
      <c r="AO450" s="28"/>
      <c r="AP450" s="28"/>
      <c r="AQ450" s="28"/>
      <c r="AR450" s="28"/>
      <c r="AS450" s="28"/>
      <c r="AT450" s="28"/>
      <c r="AU450" s="28"/>
      <c r="AV450" s="28"/>
      <c r="AW450" s="28"/>
      <c r="AX450" s="28"/>
      <c r="AY450" s="28"/>
      <c r="AZ450" s="28"/>
      <c r="BA450" s="28"/>
      <c r="BB450" s="28"/>
    </row>
    <row r="451" spans="1:54" ht="12.75" x14ac:dyDescent="0.2">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c r="AF451" s="28"/>
      <c r="AG451" s="28"/>
      <c r="AH451" s="28"/>
      <c r="AI451" s="28"/>
      <c r="AJ451" s="28"/>
      <c r="AK451" s="28"/>
      <c r="AL451" s="28"/>
      <c r="AM451" s="28"/>
      <c r="AN451" s="28"/>
      <c r="AO451" s="28"/>
      <c r="AP451" s="28"/>
      <c r="AQ451" s="28"/>
      <c r="AR451" s="28"/>
      <c r="AS451" s="28"/>
      <c r="AT451" s="28"/>
      <c r="AU451" s="28"/>
      <c r="AV451" s="28"/>
      <c r="AW451" s="28"/>
      <c r="AX451" s="28"/>
      <c r="AY451" s="28"/>
      <c r="AZ451" s="28"/>
      <c r="BA451" s="28"/>
      <c r="BB451" s="28"/>
    </row>
    <row r="452" spans="1:54" ht="12.75" x14ac:dyDescent="0.2">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c r="AN452" s="28"/>
      <c r="AO452" s="28"/>
      <c r="AP452" s="28"/>
      <c r="AQ452" s="28"/>
      <c r="AR452" s="28"/>
      <c r="AS452" s="28"/>
      <c r="AT452" s="28"/>
      <c r="AU452" s="28"/>
      <c r="AV452" s="28"/>
      <c r="AW452" s="28"/>
      <c r="AX452" s="28"/>
      <c r="AY452" s="28"/>
      <c r="AZ452" s="28"/>
      <c r="BA452" s="28"/>
      <c r="BB452" s="28"/>
    </row>
    <row r="453" spans="1:54" ht="12.75" x14ac:dyDescent="0.2">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c r="AO453" s="28"/>
      <c r="AP453" s="28"/>
      <c r="AQ453" s="28"/>
      <c r="AR453" s="28"/>
      <c r="AS453" s="28"/>
      <c r="AT453" s="28"/>
      <c r="AU453" s="28"/>
      <c r="AV453" s="28"/>
      <c r="AW453" s="28"/>
      <c r="AX453" s="28"/>
      <c r="AY453" s="28"/>
      <c r="AZ453" s="28"/>
      <c r="BA453" s="28"/>
      <c r="BB453" s="28"/>
    </row>
    <row r="454" spans="1:54" ht="12.75" x14ac:dyDescent="0.2">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c r="AO454" s="28"/>
      <c r="AP454" s="28"/>
      <c r="AQ454" s="28"/>
      <c r="AR454" s="28"/>
      <c r="AS454" s="28"/>
      <c r="AT454" s="28"/>
      <c r="AU454" s="28"/>
      <c r="AV454" s="28"/>
      <c r="AW454" s="28"/>
      <c r="AX454" s="28"/>
      <c r="AY454" s="28"/>
      <c r="AZ454" s="28"/>
      <c r="BA454" s="28"/>
      <c r="BB454" s="28"/>
    </row>
    <row r="455" spans="1:54" ht="12.75" x14ac:dyDescent="0.2">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c r="AA455" s="28"/>
      <c r="AB455" s="28"/>
      <c r="AC455" s="28"/>
      <c r="AD455" s="28"/>
      <c r="AE455" s="28"/>
      <c r="AF455" s="28"/>
      <c r="AG455" s="28"/>
      <c r="AH455" s="28"/>
      <c r="AI455" s="28"/>
      <c r="AJ455" s="28"/>
      <c r="AK455" s="28"/>
      <c r="AL455" s="28"/>
      <c r="AM455" s="28"/>
      <c r="AN455" s="28"/>
      <c r="AO455" s="28"/>
      <c r="AP455" s="28"/>
      <c r="AQ455" s="28"/>
      <c r="AR455" s="28"/>
      <c r="AS455" s="28"/>
      <c r="AT455" s="28"/>
      <c r="AU455" s="28"/>
      <c r="AV455" s="28"/>
      <c r="AW455" s="28"/>
      <c r="AX455" s="28"/>
      <c r="AY455" s="28"/>
      <c r="AZ455" s="28"/>
      <c r="BA455" s="28"/>
      <c r="BB455" s="28"/>
    </row>
    <row r="456" spans="1:54" ht="12.75" x14ac:dyDescent="0.2">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c r="AA456" s="28"/>
      <c r="AB456" s="28"/>
      <c r="AC456" s="28"/>
      <c r="AD456" s="28"/>
      <c r="AE456" s="28"/>
      <c r="AF456" s="28"/>
      <c r="AG456" s="28"/>
      <c r="AH456" s="28"/>
      <c r="AI456" s="28"/>
      <c r="AJ456" s="28"/>
      <c r="AK456" s="28"/>
      <c r="AL456" s="28"/>
      <c r="AM456" s="28"/>
      <c r="AN456" s="28"/>
      <c r="AO456" s="28"/>
      <c r="AP456" s="28"/>
      <c r="AQ456" s="28"/>
      <c r="AR456" s="28"/>
      <c r="AS456" s="28"/>
      <c r="AT456" s="28"/>
      <c r="AU456" s="28"/>
      <c r="AV456" s="28"/>
      <c r="AW456" s="28"/>
      <c r="AX456" s="28"/>
      <c r="AY456" s="28"/>
      <c r="AZ456" s="28"/>
      <c r="BA456" s="28"/>
      <c r="BB456" s="28"/>
    </row>
    <row r="457" spans="1:54" ht="12.75" x14ac:dyDescent="0.2">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c r="AA457" s="28"/>
      <c r="AB457" s="28"/>
      <c r="AC457" s="28"/>
      <c r="AD457" s="28"/>
      <c r="AE457" s="28"/>
      <c r="AF457" s="28"/>
      <c r="AG457" s="28"/>
      <c r="AH457" s="28"/>
      <c r="AI457" s="28"/>
      <c r="AJ457" s="28"/>
      <c r="AK457" s="28"/>
      <c r="AL457" s="28"/>
      <c r="AM457" s="28"/>
      <c r="AN457" s="28"/>
      <c r="AO457" s="28"/>
      <c r="AP457" s="28"/>
      <c r="AQ457" s="28"/>
      <c r="AR457" s="28"/>
      <c r="AS457" s="28"/>
      <c r="AT457" s="28"/>
      <c r="AU457" s="28"/>
      <c r="AV457" s="28"/>
      <c r="AW457" s="28"/>
      <c r="AX457" s="28"/>
      <c r="AY457" s="28"/>
      <c r="AZ457" s="28"/>
      <c r="BA457" s="28"/>
      <c r="BB457" s="28"/>
    </row>
    <row r="458" spans="1:54" ht="12.75" x14ac:dyDescent="0.2">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c r="AA458" s="28"/>
      <c r="AB458" s="28"/>
      <c r="AC458" s="28"/>
      <c r="AD458" s="28"/>
      <c r="AE458" s="28"/>
      <c r="AF458" s="28"/>
      <c r="AG458" s="28"/>
      <c r="AH458" s="28"/>
      <c r="AI458" s="28"/>
      <c r="AJ458" s="28"/>
      <c r="AK458" s="28"/>
      <c r="AL458" s="28"/>
      <c r="AM458" s="28"/>
      <c r="AN458" s="28"/>
      <c r="AO458" s="28"/>
      <c r="AP458" s="28"/>
      <c r="AQ458" s="28"/>
      <c r="AR458" s="28"/>
      <c r="AS458" s="28"/>
      <c r="AT458" s="28"/>
      <c r="AU458" s="28"/>
      <c r="AV458" s="28"/>
      <c r="AW458" s="28"/>
      <c r="AX458" s="28"/>
      <c r="AY458" s="28"/>
      <c r="AZ458" s="28"/>
      <c r="BA458" s="28"/>
      <c r="BB458" s="28"/>
    </row>
    <row r="459" spans="1:54" ht="12.75" x14ac:dyDescent="0.2">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c r="AN459" s="28"/>
      <c r="AO459" s="28"/>
      <c r="AP459" s="28"/>
      <c r="AQ459" s="28"/>
      <c r="AR459" s="28"/>
      <c r="AS459" s="28"/>
      <c r="AT459" s="28"/>
      <c r="AU459" s="28"/>
      <c r="AV459" s="28"/>
      <c r="AW459" s="28"/>
      <c r="AX459" s="28"/>
      <c r="AY459" s="28"/>
      <c r="AZ459" s="28"/>
      <c r="BA459" s="28"/>
      <c r="BB459" s="28"/>
    </row>
    <row r="460" spans="1:54" ht="12.75" x14ac:dyDescent="0.2">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c r="AA460" s="28"/>
      <c r="AB460" s="28"/>
      <c r="AC460" s="28"/>
      <c r="AD460" s="28"/>
      <c r="AE460" s="28"/>
      <c r="AF460" s="28"/>
      <c r="AG460" s="28"/>
      <c r="AH460" s="28"/>
      <c r="AI460" s="28"/>
      <c r="AJ460" s="28"/>
      <c r="AK460" s="28"/>
      <c r="AL460" s="28"/>
      <c r="AM460" s="28"/>
      <c r="AN460" s="28"/>
      <c r="AO460" s="28"/>
      <c r="AP460" s="28"/>
      <c r="AQ460" s="28"/>
      <c r="AR460" s="28"/>
      <c r="AS460" s="28"/>
      <c r="AT460" s="28"/>
      <c r="AU460" s="28"/>
      <c r="AV460" s="28"/>
      <c r="AW460" s="28"/>
      <c r="AX460" s="28"/>
      <c r="AY460" s="28"/>
      <c r="AZ460" s="28"/>
      <c r="BA460" s="28"/>
      <c r="BB460" s="28"/>
    </row>
    <row r="461" spans="1:54" ht="12.75" x14ac:dyDescent="0.2">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c r="AF461" s="28"/>
      <c r="AG461" s="28"/>
      <c r="AH461" s="28"/>
      <c r="AI461" s="28"/>
      <c r="AJ461" s="28"/>
      <c r="AK461" s="28"/>
      <c r="AL461" s="28"/>
      <c r="AM461" s="28"/>
      <c r="AN461" s="28"/>
      <c r="AO461" s="28"/>
      <c r="AP461" s="28"/>
      <c r="AQ461" s="28"/>
      <c r="AR461" s="28"/>
      <c r="AS461" s="28"/>
      <c r="AT461" s="28"/>
      <c r="AU461" s="28"/>
      <c r="AV461" s="28"/>
      <c r="AW461" s="28"/>
      <c r="AX461" s="28"/>
      <c r="AY461" s="28"/>
      <c r="AZ461" s="28"/>
      <c r="BA461" s="28"/>
      <c r="BB461" s="28"/>
    </row>
    <row r="462" spans="1:54" ht="12.75" x14ac:dyDescent="0.2">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c r="AA462" s="28"/>
      <c r="AB462" s="28"/>
      <c r="AC462" s="28"/>
      <c r="AD462" s="28"/>
      <c r="AE462" s="28"/>
      <c r="AF462" s="28"/>
      <c r="AG462" s="28"/>
      <c r="AH462" s="28"/>
      <c r="AI462" s="28"/>
      <c r="AJ462" s="28"/>
      <c r="AK462" s="28"/>
      <c r="AL462" s="28"/>
      <c r="AM462" s="28"/>
      <c r="AN462" s="28"/>
      <c r="AO462" s="28"/>
      <c r="AP462" s="28"/>
      <c r="AQ462" s="28"/>
      <c r="AR462" s="28"/>
      <c r="AS462" s="28"/>
      <c r="AT462" s="28"/>
      <c r="AU462" s="28"/>
      <c r="AV462" s="28"/>
      <c r="AW462" s="28"/>
      <c r="AX462" s="28"/>
      <c r="AY462" s="28"/>
      <c r="AZ462" s="28"/>
      <c r="BA462" s="28"/>
      <c r="BB462" s="28"/>
    </row>
    <row r="463" spans="1:54" ht="12.75" x14ac:dyDescent="0.2">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c r="AA463" s="28"/>
      <c r="AB463" s="28"/>
      <c r="AC463" s="28"/>
      <c r="AD463" s="28"/>
      <c r="AE463" s="28"/>
      <c r="AF463" s="28"/>
      <c r="AG463" s="28"/>
      <c r="AH463" s="28"/>
      <c r="AI463" s="28"/>
      <c r="AJ463" s="28"/>
      <c r="AK463" s="28"/>
      <c r="AL463" s="28"/>
      <c r="AM463" s="28"/>
      <c r="AN463" s="28"/>
      <c r="AO463" s="28"/>
      <c r="AP463" s="28"/>
      <c r="AQ463" s="28"/>
      <c r="AR463" s="28"/>
      <c r="AS463" s="28"/>
      <c r="AT463" s="28"/>
      <c r="AU463" s="28"/>
      <c r="AV463" s="28"/>
      <c r="AW463" s="28"/>
      <c r="AX463" s="28"/>
      <c r="AY463" s="28"/>
      <c r="AZ463" s="28"/>
      <c r="BA463" s="28"/>
      <c r="BB463" s="28"/>
    </row>
    <row r="464" spans="1:54" ht="12.75" x14ac:dyDescent="0.2">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28"/>
      <c r="AG464" s="28"/>
      <c r="AH464" s="28"/>
      <c r="AI464" s="28"/>
      <c r="AJ464" s="28"/>
      <c r="AK464" s="28"/>
      <c r="AL464" s="28"/>
      <c r="AM464" s="28"/>
      <c r="AN464" s="28"/>
      <c r="AO464" s="28"/>
      <c r="AP464" s="28"/>
      <c r="AQ464" s="28"/>
      <c r="AR464" s="28"/>
      <c r="AS464" s="28"/>
      <c r="AT464" s="28"/>
      <c r="AU464" s="28"/>
      <c r="AV464" s="28"/>
      <c r="AW464" s="28"/>
      <c r="AX464" s="28"/>
      <c r="AY464" s="28"/>
      <c r="AZ464" s="28"/>
      <c r="BA464" s="28"/>
      <c r="BB464" s="28"/>
    </row>
    <row r="465" spans="1:54" ht="12.75" x14ac:dyDescent="0.2">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c r="AB465" s="28"/>
      <c r="AC465" s="28"/>
      <c r="AD465" s="28"/>
      <c r="AE465" s="28"/>
      <c r="AF465" s="28"/>
      <c r="AG465" s="28"/>
      <c r="AH465" s="28"/>
      <c r="AI465" s="28"/>
      <c r="AJ465" s="28"/>
      <c r="AK465" s="28"/>
      <c r="AL465" s="28"/>
      <c r="AM465" s="28"/>
      <c r="AN465" s="28"/>
      <c r="AO465" s="28"/>
      <c r="AP465" s="28"/>
      <c r="AQ465" s="28"/>
      <c r="AR465" s="28"/>
      <c r="AS465" s="28"/>
      <c r="AT465" s="28"/>
      <c r="AU465" s="28"/>
      <c r="AV465" s="28"/>
      <c r="AW465" s="28"/>
      <c r="AX465" s="28"/>
      <c r="AY465" s="28"/>
      <c r="AZ465" s="28"/>
      <c r="BA465" s="28"/>
      <c r="BB465" s="28"/>
    </row>
    <row r="466" spans="1:54" ht="12.75" x14ac:dyDescent="0.2">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c r="AA466" s="28"/>
      <c r="AB466" s="28"/>
      <c r="AC466" s="28"/>
      <c r="AD466" s="28"/>
      <c r="AE466" s="28"/>
      <c r="AF466" s="28"/>
      <c r="AG466" s="28"/>
      <c r="AH466" s="28"/>
      <c r="AI466" s="28"/>
      <c r="AJ466" s="28"/>
      <c r="AK466" s="28"/>
      <c r="AL466" s="28"/>
      <c r="AM466" s="28"/>
      <c r="AN466" s="28"/>
      <c r="AO466" s="28"/>
      <c r="AP466" s="28"/>
      <c r="AQ466" s="28"/>
      <c r="AR466" s="28"/>
      <c r="AS466" s="28"/>
      <c r="AT466" s="28"/>
      <c r="AU466" s="28"/>
      <c r="AV466" s="28"/>
      <c r="AW466" s="28"/>
      <c r="AX466" s="28"/>
      <c r="AY466" s="28"/>
      <c r="AZ466" s="28"/>
      <c r="BA466" s="28"/>
      <c r="BB466" s="28"/>
    </row>
    <row r="467" spans="1:54" ht="12.75" x14ac:dyDescent="0.2">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c r="AA467" s="28"/>
      <c r="AB467" s="28"/>
      <c r="AC467" s="28"/>
      <c r="AD467" s="28"/>
      <c r="AE467" s="28"/>
      <c r="AF467" s="28"/>
      <c r="AG467" s="28"/>
      <c r="AH467" s="28"/>
      <c r="AI467" s="28"/>
      <c r="AJ467" s="28"/>
      <c r="AK467" s="28"/>
      <c r="AL467" s="28"/>
      <c r="AM467" s="28"/>
      <c r="AN467" s="28"/>
      <c r="AO467" s="28"/>
      <c r="AP467" s="28"/>
      <c r="AQ467" s="28"/>
      <c r="AR467" s="28"/>
      <c r="AS467" s="28"/>
      <c r="AT467" s="28"/>
      <c r="AU467" s="28"/>
      <c r="AV467" s="28"/>
      <c r="AW467" s="28"/>
      <c r="AX467" s="28"/>
      <c r="AY467" s="28"/>
      <c r="AZ467" s="28"/>
      <c r="BA467" s="28"/>
      <c r="BB467" s="28"/>
    </row>
    <row r="468" spans="1:54" ht="12.75" x14ac:dyDescent="0.2">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8"/>
      <c r="AH468" s="28"/>
      <c r="AI468" s="28"/>
      <c r="AJ468" s="28"/>
      <c r="AK468" s="28"/>
      <c r="AL468" s="28"/>
      <c r="AM468" s="28"/>
      <c r="AN468" s="28"/>
      <c r="AO468" s="28"/>
      <c r="AP468" s="28"/>
      <c r="AQ468" s="28"/>
      <c r="AR468" s="28"/>
      <c r="AS468" s="28"/>
      <c r="AT468" s="28"/>
      <c r="AU468" s="28"/>
      <c r="AV468" s="28"/>
      <c r="AW468" s="28"/>
      <c r="AX468" s="28"/>
      <c r="AY468" s="28"/>
      <c r="AZ468" s="28"/>
      <c r="BA468" s="28"/>
      <c r="BB468" s="28"/>
    </row>
    <row r="469" spans="1:54" ht="12.75" x14ac:dyDescent="0.2">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c r="AA469" s="28"/>
      <c r="AB469" s="28"/>
      <c r="AC469" s="28"/>
      <c r="AD469" s="28"/>
      <c r="AE469" s="28"/>
      <c r="AF469" s="28"/>
      <c r="AG469" s="28"/>
      <c r="AH469" s="28"/>
      <c r="AI469" s="28"/>
      <c r="AJ469" s="28"/>
      <c r="AK469" s="28"/>
      <c r="AL469" s="28"/>
      <c r="AM469" s="28"/>
      <c r="AN469" s="28"/>
      <c r="AO469" s="28"/>
      <c r="AP469" s="28"/>
      <c r="AQ469" s="28"/>
      <c r="AR469" s="28"/>
      <c r="AS469" s="28"/>
      <c r="AT469" s="28"/>
      <c r="AU469" s="28"/>
      <c r="AV469" s="28"/>
      <c r="AW469" s="28"/>
      <c r="AX469" s="28"/>
      <c r="AY469" s="28"/>
      <c r="AZ469" s="28"/>
      <c r="BA469" s="28"/>
      <c r="BB469" s="28"/>
    </row>
    <row r="470" spans="1:54" ht="12.75" x14ac:dyDescent="0.2">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c r="AA470" s="28"/>
      <c r="AB470" s="28"/>
      <c r="AC470" s="28"/>
      <c r="AD470" s="28"/>
      <c r="AE470" s="28"/>
      <c r="AF470" s="28"/>
      <c r="AG470" s="28"/>
      <c r="AH470" s="28"/>
      <c r="AI470" s="28"/>
      <c r="AJ470" s="28"/>
      <c r="AK470" s="28"/>
      <c r="AL470" s="28"/>
      <c r="AM470" s="28"/>
      <c r="AN470" s="28"/>
      <c r="AO470" s="28"/>
      <c r="AP470" s="28"/>
      <c r="AQ470" s="28"/>
      <c r="AR470" s="28"/>
      <c r="AS470" s="28"/>
      <c r="AT470" s="28"/>
      <c r="AU470" s="28"/>
      <c r="AV470" s="28"/>
      <c r="AW470" s="28"/>
      <c r="AX470" s="28"/>
      <c r="AY470" s="28"/>
      <c r="AZ470" s="28"/>
      <c r="BA470" s="28"/>
      <c r="BB470" s="28"/>
    </row>
    <row r="471" spans="1:54" ht="12.75" x14ac:dyDescent="0.2">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c r="AA471" s="28"/>
      <c r="AB471" s="28"/>
      <c r="AC471" s="28"/>
      <c r="AD471" s="28"/>
      <c r="AE471" s="28"/>
      <c r="AF471" s="28"/>
      <c r="AG471" s="28"/>
      <c r="AH471" s="28"/>
      <c r="AI471" s="28"/>
      <c r="AJ471" s="28"/>
      <c r="AK471" s="28"/>
      <c r="AL471" s="28"/>
      <c r="AM471" s="28"/>
      <c r="AN471" s="28"/>
      <c r="AO471" s="28"/>
      <c r="AP471" s="28"/>
      <c r="AQ471" s="28"/>
      <c r="AR471" s="28"/>
      <c r="AS471" s="28"/>
      <c r="AT471" s="28"/>
      <c r="AU471" s="28"/>
      <c r="AV471" s="28"/>
      <c r="AW471" s="28"/>
      <c r="AX471" s="28"/>
      <c r="AY471" s="28"/>
      <c r="AZ471" s="28"/>
      <c r="BA471" s="28"/>
      <c r="BB471" s="28"/>
    </row>
    <row r="472" spans="1:54" ht="12.75" x14ac:dyDescent="0.2">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c r="AA472" s="28"/>
      <c r="AB472" s="28"/>
      <c r="AC472" s="28"/>
      <c r="AD472" s="28"/>
      <c r="AE472" s="28"/>
      <c r="AF472" s="28"/>
      <c r="AG472" s="28"/>
      <c r="AH472" s="28"/>
      <c r="AI472" s="28"/>
      <c r="AJ472" s="28"/>
      <c r="AK472" s="28"/>
      <c r="AL472" s="28"/>
      <c r="AM472" s="28"/>
      <c r="AN472" s="28"/>
      <c r="AO472" s="28"/>
      <c r="AP472" s="28"/>
      <c r="AQ472" s="28"/>
      <c r="AR472" s="28"/>
      <c r="AS472" s="28"/>
      <c r="AT472" s="28"/>
      <c r="AU472" s="28"/>
      <c r="AV472" s="28"/>
      <c r="AW472" s="28"/>
      <c r="AX472" s="28"/>
      <c r="AY472" s="28"/>
      <c r="AZ472" s="28"/>
      <c r="BA472" s="28"/>
      <c r="BB472" s="28"/>
    </row>
    <row r="473" spans="1:54" ht="12.75" x14ac:dyDescent="0.2">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c r="AA473" s="28"/>
      <c r="AB473" s="28"/>
      <c r="AC473" s="28"/>
      <c r="AD473" s="28"/>
      <c r="AE473" s="28"/>
      <c r="AF473" s="28"/>
      <c r="AG473" s="28"/>
      <c r="AH473" s="28"/>
      <c r="AI473" s="28"/>
      <c r="AJ473" s="28"/>
      <c r="AK473" s="28"/>
      <c r="AL473" s="28"/>
      <c r="AM473" s="28"/>
      <c r="AN473" s="28"/>
      <c r="AO473" s="28"/>
      <c r="AP473" s="28"/>
      <c r="AQ473" s="28"/>
      <c r="AR473" s="28"/>
      <c r="AS473" s="28"/>
      <c r="AT473" s="28"/>
      <c r="AU473" s="28"/>
      <c r="AV473" s="28"/>
      <c r="AW473" s="28"/>
      <c r="AX473" s="28"/>
      <c r="AY473" s="28"/>
      <c r="AZ473" s="28"/>
      <c r="BA473" s="28"/>
      <c r="BB473" s="28"/>
    </row>
    <row r="474" spans="1:54" ht="12.75" x14ac:dyDescent="0.2">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c r="AA474" s="28"/>
      <c r="AB474" s="28"/>
      <c r="AC474" s="28"/>
      <c r="AD474" s="28"/>
      <c r="AE474" s="28"/>
      <c r="AF474" s="28"/>
      <c r="AG474" s="28"/>
      <c r="AH474" s="28"/>
      <c r="AI474" s="28"/>
      <c r="AJ474" s="28"/>
      <c r="AK474" s="28"/>
      <c r="AL474" s="28"/>
      <c r="AM474" s="28"/>
      <c r="AN474" s="28"/>
      <c r="AO474" s="28"/>
      <c r="AP474" s="28"/>
      <c r="AQ474" s="28"/>
      <c r="AR474" s="28"/>
      <c r="AS474" s="28"/>
      <c r="AT474" s="28"/>
      <c r="AU474" s="28"/>
      <c r="AV474" s="28"/>
      <c r="AW474" s="28"/>
      <c r="AX474" s="28"/>
      <c r="AY474" s="28"/>
      <c r="AZ474" s="28"/>
      <c r="BA474" s="28"/>
      <c r="BB474" s="28"/>
    </row>
    <row r="475" spans="1:54" ht="12.75" x14ac:dyDescent="0.2">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c r="AD475" s="28"/>
      <c r="AE475" s="28"/>
      <c r="AF475" s="28"/>
      <c r="AG475" s="28"/>
      <c r="AH475" s="28"/>
      <c r="AI475" s="28"/>
      <c r="AJ475" s="28"/>
      <c r="AK475" s="28"/>
      <c r="AL475" s="28"/>
      <c r="AM475" s="28"/>
      <c r="AN475" s="28"/>
      <c r="AO475" s="28"/>
      <c r="AP475" s="28"/>
      <c r="AQ475" s="28"/>
      <c r="AR475" s="28"/>
      <c r="AS475" s="28"/>
      <c r="AT475" s="28"/>
      <c r="AU475" s="28"/>
      <c r="AV475" s="28"/>
      <c r="AW475" s="28"/>
      <c r="AX475" s="28"/>
      <c r="AY475" s="28"/>
      <c r="AZ475" s="28"/>
      <c r="BA475" s="28"/>
      <c r="BB475" s="28"/>
    </row>
    <row r="476" spans="1:54" ht="12.75" x14ac:dyDescent="0.2">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c r="AD476" s="28"/>
      <c r="AE476" s="28"/>
      <c r="AF476" s="28"/>
      <c r="AG476" s="28"/>
      <c r="AH476" s="28"/>
      <c r="AI476" s="28"/>
      <c r="AJ476" s="28"/>
      <c r="AK476" s="28"/>
      <c r="AL476" s="28"/>
      <c r="AM476" s="28"/>
      <c r="AN476" s="28"/>
      <c r="AO476" s="28"/>
      <c r="AP476" s="28"/>
      <c r="AQ476" s="28"/>
      <c r="AR476" s="28"/>
      <c r="AS476" s="28"/>
      <c r="AT476" s="28"/>
      <c r="AU476" s="28"/>
      <c r="AV476" s="28"/>
      <c r="AW476" s="28"/>
      <c r="AX476" s="28"/>
      <c r="AY476" s="28"/>
      <c r="AZ476" s="28"/>
      <c r="BA476" s="28"/>
      <c r="BB476" s="28"/>
    </row>
    <row r="477" spans="1:54" ht="12.75" x14ac:dyDescent="0.2">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c r="AD477" s="28"/>
      <c r="AE477" s="28"/>
      <c r="AF477" s="28"/>
      <c r="AG477" s="28"/>
      <c r="AH477" s="28"/>
      <c r="AI477" s="28"/>
      <c r="AJ477" s="28"/>
      <c r="AK477" s="28"/>
      <c r="AL477" s="28"/>
      <c r="AM477" s="28"/>
      <c r="AN477" s="28"/>
      <c r="AO477" s="28"/>
      <c r="AP477" s="28"/>
      <c r="AQ477" s="28"/>
      <c r="AR477" s="28"/>
      <c r="AS477" s="28"/>
      <c r="AT477" s="28"/>
      <c r="AU477" s="28"/>
      <c r="AV477" s="28"/>
      <c r="AW477" s="28"/>
      <c r="AX477" s="28"/>
      <c r="AY477" s="28"/>
      <c r="AZ477" s="28"/>
      <c r="BA477" s="28"/>
      <c r="BB477" s="28"/>
    </row>
    <row r="478" spans="1:54" ht="12.75" x14ac:dyDescent="0.2">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c r="AF478" s="28"/>
      <c r="AG478" s="28"/>
      <c r="AH478" s="28"/>
      <c r="AI478" s="28"/>
      <c r="AJ478" s="28"/>
      <c r="AK478" s="28"/>
      <c r="AL478" s="28"/>
      <c r="AM478" s="28"/>
      <c r="AN478" s="28"/>
      <c r="AO478" s="28"/>
      <c r="AP478" s="28"/>
      <c r="AQ478" s="28"/>
      <c r="AR478" s="28"/>
      <c r="AS478" s="28"/>
      <c r="AT478" s="28"/>
      <c r="AU478" s="28"/>
      <c r="AV478" s="28"/>
      <c r="AW478" s="28"/>
      <c r="AX478" s="28"/>
      <c r="AY478" s="28"/>
      <c r="AZ478" s="28"/>
      <c r="BA478" s="28"/>
      <c r="BB478" s="28"/>
    </row>
    <row r="479" spans="1:54" ht="12.75" x14ac:dyDescent="0.2">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c r="AF479" s="28"/>
      <c r="AG479" s="28"/>
      <c r="AH479" s="28"/>
      <c r="AI479" s="28"/>
      <c r="AJ479" s="28"/>
      <c r="AK479" s="28"/>
      <c r="AL479" s="28"/>
      <c r="AM479" s="28"/>
      <c r="AN479" s="28"/>
      <c r="AO479" s="28"/>
      <c r="AP479" s="28"/>
      <c r="AQ479" s="28"/>
      <c r="AR479" s="28"/>
      <c r="AS479" s="28"/>
      <c r="AT479" s="28"/>
      <c r="AU479" s="28"/>
      <c r="AV479" s="28"/>
      <c r="AW479" s="28"/>
      <c r="AX479" s="28"/>
      <c r="AY479" s="28"/>
      <c r="AZ479" s="28"/>
      <c r="BA479" s="28"/>
      <c r="BB479" s="28"/>
    </row>
    <row r="480" spans="1:54" ht="12.75" x14ac:dyDescent="0.2">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c r="AF480" s="28"/>
      <c r="AG480" s="28"/>
      <c r="AH480" s="28"/>
      <c r="AI480" s="28"/>
      <c r="AJ480" s="28"/>
      <c r="AK480" s="28"/>
      <c r="AL480" s="28"/>
      <c r="AM480" s="28"/>
      <c r="AN480" s="28"/>
      <c r="AO480" s="28"/>
      <c r="AP480" s="28"/>
      <c r="AQ480" s="28"/>
      <c r="AR480" s="28"/>
      <c r="AS480" s="28"/>
      <c r="AT480" s="28"/>
      <c r="AU480" s="28"/>
      <c r="AV480" s="28"/>
      <c r="AW480" s="28"/>
      <c r="AX480" s="28"/>
      <c r="AY480" s="28"/>
      <c r="AZ480" s="28"/>
      <c r="BA480" s="28"/>
      <c r="BB480" s="28"/>
    </row>
    <row r="481" spans="1:54" ht="12.75" x14ac:dyDescent="0.2">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c r="AF481" s="28"/>
      <c r="AG481" s="28"/>
      <c r="AH481" s="28"/>
      <c r="AI481" s="28"/>
      <c r="AJ481" s="28"/>
      <c r="AK481" s="28"/>
      <c r="AL481" s="28"/>
      <c r="AM481" s="28"/>
      <c r="AN481" s="28"/>
      <c r="AO481" s="28"/>
      <c r="AP481" s="28"/>
      <c r="AQ481" s="28"/>
      <c r="AR481" s="28"/>
      <c r="AS481" s="28"/>
      <c r="AT481" s="28"/>
      <c r="AU481" s="28"/>
      <c r="AV481" s="28"/>
      <c r="AW481" s="28"/>
      <c r="AX481" s="28"/>
      <c r="AY481" s="28"/>
      <c r="AZ481" s="28"/>
      <c r="BA481" s="28"/>
      <c r="BB481" s="28"/>
    </row>
    <row r="482" spans="1:54" ht="12.75" x14ac:dyDescent="0.2">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c r="AA482" s="28"/>
      <c r="AB482" s="28"/>
      <c r="AC482" s="28"/>
      <c r="AD482" s="28"/>
      <c r="AE482" s="28"/>
      <c r="AF482" s="28"/>
      <c r="AG482" s="28"/>
      <c r="AH482" s="28"/>
      <c r="AI482" s="28"/>
      <c r="AJ482" s="28"/>
      <c r="AK482" s="28"/>
      <c r="AL482" s="28"/>
      <c r="AM482" s="28"/>
      <c r="AN482" s="28"/>
      <c r="AO482" s="28"/>
      <c r="AP482" s="28"/>
      <c r="AQ482" s="28"/>
      <c r="AR482" s="28"/>
      <c r="AS482" s="28"/>
      <c r="AT482" s="28"/>
      <c r="AU482" s="28"/>
      <c r="AV482" s="28"/>
      <c r="AW482" s="28"/>
      <c r="AX482" s="28"/>
      <c r="AY482" s="28"/>
      <c r="AZ482" s="28"/>
      <c r="BA482" s="28"/>
      <c r="BB482" s="28"/>
    </row>
    <row r="483" spans="1:54" ht="12.75" x14ac:dyDescent="0.2">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c r="AA483" s="28"/>
      <c r="AB483" s="28"/>
      <c r="AC483" s="28"/>
      <c r="AD483" s="28"/>
      <c r="AE483" s="28"/>
      <c r="AF483" s="28"/>
      <c r="AG483" s="28"/>
      <c r="AH483" s="28"/>
      <c r="AI483" s="28"/>
      <c r="AJ483" s="28"/>
      <c r="AK483" s="28"/>
      <c r="AL483" s="28"/>
      <c r="AM483" s="28"/>
      <c r="AN483" s="28"/>
      <c r="AO483" s="28"/>
      <c r="AP483" s="28"/>
      <c r="AQ483" s="28"/>
      <c r="AR483" s="28"/>
      <c r="AS483" s="28"/>
      <c r="AT483" s="28"/>
      <c r="AU483" s="28"/>
      <c r="AV483" s="28"/>
      <c r="AW483" s="28"/>
      <c r="AX483" s="28"/>
      <c r="AY483" s="28"/>
      <c r="AZ483" s="28"/>
      <c r="BA483" s="28"/>
      <c r="BB483" s="28"/>
    </row>
    <row r="484" spans="1:54" ht="12.75" x14ac:dyDescent="0.2">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c r="AF484" s="28"/>
      <c r="AG484" s="28"/>
      <c r="AH484" s="28"/>
      <c r="AI484" s="28"/>
      <c r="AJ484" s="28"/>
      <c r="AK484" s="28"/>
      <c r="AL484" s="28"/>
      <c r="AM484" s="28"/>
      <c r="AN484" s="28"/>
      <c r="AO484" s="28"/>
      <c r="AP484" s="28"/>
      <c r="AQ484" s="28"/>
      <c r="AR484" s="28"/>
      <c r="AS484" s="28"/>
      <c r="AT484" s="28"/>
      <c r="AU484" s="28"/>
      <c r="AV484" s="28"/>
      <c r="AW484" s="28"/>
      <c r="AX484" s="28"/>
      <c r="AY484" s="28"/>
      <c r="AZ484" s="28"/>
      <c r="BA484" s="28"/>
      <c r="BB484" s="28"/>
    </row>
    <row r="485" spans="1:54" ht="12.75" x14ac:dyDescent="0.2">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c r="AF485" s="28"/>
      <c r="AG485" s="28"/>
      <c r="AH485" s="28"/>
      <c r="AI485" s="28"/>
      <c r="AJ485" s="28"/>
      <c r="AK485" s="28"/>
      <c r="AL485" s="28"/>
      <c r="AM485" s="28"/>
      <c r="AN485" s="28"/>
      <c r="AO485" s="28"/>
      <c r="AP485" s="28"/>
      <c r="AQ485" s="28"/>
      <c r="AR485" s="28"/>
      <c r="AS485" s="28"/>
      <c r="AT485" s="28"/>
      <c r="AU485" s="28"/>
      <c r="AV485" s="28"/>
      <c r="AW485" s="28"/>
      <c r="AX485" s="28"/>
      <c r="AY485" s="28"/>
      <c r="AZ485" s="28"/>
      <c r="BA485" s="28"/>
      <c r="BB485" s="28"/>
    </row>
    <row r="486" spans="1:54" ht="12.75" x14ac:dyDescent="0.2">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28"/>
      <c r="AG486" s="28"/>
      <c r="AH486" s="28"/>
      <c r="AI486" s="28"/>
      <c r="AJ486" s="28"/>
      <c r="AK486" s="28"/>
      <c r="AL486" s="28"/>
      <c r="AM486" s="28"/>
      <c r="AN486" s="28"/>
      <c r="AO486" s="28"/>
      <c r="AP486" s="28"/>
      <c r="AQ486" s="28"/>
      <c r="AR486" s="28"/>
      <c r="AS486" s="28"/>
      <c r="AT486" s="28"/>
      <c r="AU486" s="28"/>
      <c r="AV486" s="28"/>
      <c r="AW486" s="28"/>
      <c r="AX486" s="28"/>
      <c r="AY486" s="28"/>
      <c r="AZ486" s="28"/>
      <c r="BA486" s="28"/>
      <c r="BB486" s="28"/>
    </row>
    <row r="487" spans="1:54" ht="12.75" x14ac:dyDescent="0.2">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28"/>
      <c r="AG487" s="28"/>
      <c r="AH487" s="28"/>
      <c r="AI487" s="28"/>
      <c r="AJ487" s="28"/>
      <c r="AK487" s="28"/>
      <c r="AL487" s="28"/>
      <c r="AM487" s="28"/>
      <c r="AN487" s="28"/>
      <c r="AO487" s="28"/>
      <c r="AP487" s="28"/>
      <c r="AQ487" s="28"/>
      <c r="AR487" s="28"/>
      <c r="AS487" s="28"/>
      <c r="AT487" s="28"/>
      <c r="AU487" s="28"/>
      <c r="AV487" s="28"/>
      <c r="AW487" s="28"/>
      <c r="AX487" s="28"/>
      <c r="AY487" s="28"/>
      <c r="AZ487" s="28"/>
      <c r="BA487" s="28"/>
      <c r="BB487" s="28"/>
    </row>
    <row r="488" spans="1:54" ht="12.75" x14ac:dyDescent="0.2">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28"/>
      <c r="AG488" s="28"/>
      <c r="AH488" s="28"/>
      <c r="AI488" s="28"/>
      <c r="AJ488" s="28"/>
      <c r="AK488" s="28"/>
      <c r="AL488" s="28"/>
      <c r="AM488" s="28"/>
      <c r="AN488" s="28"/>
      <c r="AO488" s="28"/>
      <c r="AP488" s="28"/>
      <c r="AQ488" s="28"/>
      <c r="AR488" s="28"/>
      <c r="AS488" s="28"/>
      <c r="AT488" s="28"/>
      <c r="AU488" s="28"/>
      <c r="AV488" s="28"/>
      <c r="AW488" s="28"/>
      <c r="AX488" s="28"/>
      <c r="AY488" s="28"/>
      <c r="AZ488" s="28"/>
      <c r="BA488" s="28"/>
      <c r="BB488" s="28"/>
    </row>
    <row r="489" spans="1:54" ht="12.75" x14ac:dyDescent="0.2">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28"/>
      <c r="AG489" s="28"/>
      <c r="AH489" s="28"/>
      <c r="AI489" s="28"/>
      <c r="AJ489" s="28"/>
      <c r="AK489" s="28"/>
      <c r="AL489" s="28"/>
      <c r="AM489" s="28"/>
      <c r="AN489" s="28"/>
      <c r="AO489" s="28"/>
      <c r="AP489" s="28"/>
      <c r="AQ489" s="28"/>
      <c r="AR489" s="28"/>
      <c r="AS489" s="28"/>
      <c r="AT489" s="28"/>
      <c r="AU489" s="28"/>
      <c r="AV489" s="28"/>
      <c r="AW489" s="28"/>
      <c r="AX489" s="28"/>
      <c r="AY489" s="28"/>
      <c r="AZ489" s="28"/>
      <c r="BA489" s="28"/>
      <c r="BB489" s="28"/>
    </row>
    <row r="490" spans="1:54" ht="12.75" x14ac:dyDescent="0.2">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c r="AF490" s="28"/>
      <c r="AG490" s="28"/>
      <c r="AH490" s="28"/>
      <c r="AI490" s="28"/>
      <c r="AJ490" s="28"/>
      <c r="AK490" s="28"/>
      <c r="AL490" s="28"/>
      <c r="AM490" s="28"/>
      <c r="AN490" s="28"/>
      <c r="AO490" s="28"/>
      <c r="AP490" s="28"/>
      <c r="AQ490" s="28"/>
      <c r="AR490" s="28"/>
      <c r="AS490" s="28"/>
      <c r="AT490" s="28"/>
      <c r="AU490" s="28"/>
      <c r="AV490" s="28"/>
      <c r="AW490" s="28"/>
      <c r="AX490" s="28"/>
      <c r="AY490" s="28"/>
      <c r="AZ490" s="28"/>
      <c r="BA490" s="28"/>
      <c r="BB490" s="28"/>
    </row>
    <row r="491" spans="1:54" ht="12.75" x14ac:dyDescent="0.2">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c r="AF491" s="28"/>
      <c r="AG491" s="28"/>
      <c r="AH491" s="28"/>
      <c r="AI491" s="28"/>
      <c r="AJ491" s="28"/>
      <c r="AK491" s="28"/>
      <c r="AL491" s="28"/>
      <c r="AM491" s="28"/>
      <c r="AN491" s="28"/>
      <c r="AO491" s="28"/>
      <c r="AP491" s="28"/>
      <c r="AQ491" s="28"/>
      <c r="AR491" s="28"/>
      <c r="AS491" s="28"/>
      <c r="AT491" s="28"/>
      <c r="AU491" s="28"/>
      <c r="AV491" s="28"/>
      <c r="AW491" s="28"/>
      <c r="AX491" s="28"/>
      <c r="AY491" s="28"/>
      <c r="AZ491" s="28"/>
      <c r="BA491" s="28"/>
      <c r="BB491" s="28"/>
    </row>
    <row r="492" spans="1:54" ht="12.75" x14ac:dyDescent="0.2">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c r="AA492" s="28"/>
      <c r="AB492" s="28"/>
      <c r="AC492" s="28"/>
      <c r="AD492" s="28"/>
      <c r="AE492" s="28"/>
      <c r="AF492" s="28"/>
      <c r="AG492" s="28"/>
      <c r="AH492" s="28"/>
      <c r="AI492" s="28"/>
      <c r="AJ492" s="28"/>
      <c r="AK492" s="28"/>
      <c r="AL492" s="28"/>
      <c r="AM492" s="28"/>
      <c r="AN492" s="28"/>
      <c r="AO492" s="28"/>
      <c r="AP492" s="28"/>
      <c r="AQ492" s="28"/>
      <c r="AR492" s="28"/>
      <c r="AS492" s="28"/>
      <c r="AT492" s="28"/>
      <c r="AU492" s="28"/>
      <c r="AV492" s="28"/>
      <c r="AW492" s="28"/>
      <c r="AX492" s="28"/>
      <c r="AY492" s="28"/>
      <c r="AZ492" s="28"/>
      <c r="BA492" s="28"/>
      <c r="BB492" s="28"/>
    </row>
    <row r="493" spans="1:54" ht="12.75" x14ac:dyDescent="0.2">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c r="AA493" s="28"/>
      <c r="AB493" s="28"/>
      <c r="AC493" s="28"/>
      <c r="AD493" s="28"/>
      <c r="AE493" s="28"/>
      <c r="AF493" s="28"/>
      <c r="AG493" s="28"/>
      <c r="AH493" s="28"/>
      <c r="AI493" s="28"/>
      <c r="AJ493" s="28"/>
      <c r="AK493" s="28"/>
      <c r="AL493" s="28"/>
      <c r="AM493" s="28"/>
      <c r="AN493" s="28"/>
      <c r="AO493" s="28"/>
      <c r="AP493" s="28"/>
      <c r="AQ493" s="28"/>
      <c r="AR493" s="28"/>
      <c r="AS493" s="28"/>
      <c r="AT493" s="28"/>
      <c r="AU493" s="28"/>
      <c r="AV493" s="28"/>
      <c r="AW493" s="28"/>
      <c r="AX493" s="28"/>
      <c r="AY493" s="28"/>
      <c r="AZ493" s="28"/>
      <c r="BA493" s="28"/>
      <c r="BB493" s="28"/>
    </row>
    <row r="494" spans="1:54" ht="12.75" x14ac:dyDescent="0.2">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c r="AI494" s="28"/>
      <c r="AJ494" s="28"/>
      <c r="AK494" s="28"/>
      <c r="AL494" s="28"/>
      <c r="AM494" s="28"/>
      <c r="AN494" s="28"/>
      <c r="AO494" s="28"/>
      <c r="AP494" s="28"/>
      <c r="AQ494" s="28"/>
      <c r="AR494" s="28"/>
      <c r="AS494" s="28"/>
      <c r="AT494" s="28"/>
      <c r="AU494" s="28"/>
      <c r="AV494" s="28"/>
      <c r="AW494" s="28"/>
      <c r="AX494" s="28"/>
      <c r="AY494" s="28"/>
      <c r="AZ494" s="28"/>
      <c r="BA494" s="28"/>
      <c r="BB494" s="28"/>
    </row>
    <row r="495" spans="1:54" ht="12.75" x14ac:dyDescent="0.2">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c r="AF495" s="28"/>
      <c r="AG495" s="28"/>
      <c r="AH495" s="28"/>
      <c r="AI495" s="28"/>
      <c r="AJ495" s="28"/>
      <c r="AK495" s="28"/>
      <c r="AL495" s="28"/>
      <c r="AM495" s="28"/>
      <c r="AN495" s="28"/>
      <c r="AO495" s="28"/>
      <c r="AP495" s="28"/>
      <c r="AQ495" s="28"/>
      <c r="AR495" s="28"/>
      <c r="AS495" s="28"/>
      <c r="AT495" s="28"/>
      <c r="AU495" s="28"/>
      <c r="AV495" s="28"/>
      <c r="AW495" s="28"/>
      <c r="AX495" s="28"/>
      <c r="AY495" s="28"/>
      <c r="AZ495" s="28"/>
      <c r="BA495" s="28"/>
      <c r="BB495" s="28"/>
    </row>
    <row r="496" spans="1:54" ht="12.75" x14ac:dyDescent="0.2">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c r="AA496" s="28"/>
      <c r="AB496" s="28"/>
      <c r="AC496" s="28"/>
      <c r="AD496" s="28"/>
      <c r="AE496" s="28"/>
      <c r="AF496" s="28"/>
      <c r="AG496" s="28"/>
      <c r="AH496" s="28"/>
      <c r="AI496" s="28"/>
      <c r="AJ496" s="28"/>
      <c r="AK496" s="28"/>
      <c r="AL496" s="28"/>
      <c r="AM496" s="28"/>
      <c r="AN496" s="28"/>
      <c r="AO496" s="28"/>
      <c r="AP496" s="28"/>
      <c r="AQ496" s="28"/>
      <c r="AR496" s="28"/>
      <c r="AS496" s="28"/>
      <c r="AT496" s="28"/>
      <c r="AU496" s="28"/>
      <c r="AV496" s="28"/>
      <c r="AW496" s="28"/>
      <c r="AX496" s="28"/>
      <c r="AY496" s="28"/>
      <c r="AZ496" s="28"/>
      <c r="BA496" s="28"/>
      <c r="BB496" s="28"/>
    </row>
    <row r="497" spans="1:54" ht="12.75" x14ac:dyDescent="0.2">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c r="AA497" s="28"/>
      <c r="AB497" s="28"/>
      <c r="AC497" s="28"/>
      <c r="AD497" s="28"/>
      <c r="AE497" s="28"/>
      <c r="AF497" s="28"/>
      <c r="AG497" s="28"/>
      <c r="AH497" s="28"/>
      <c r="AI497" s="28"/>
      <c r="AJ497" s="28"/>
      <c r="AK497" s="28"/>
      <c r="AL497" s="28"/>
      <c r="AM497" s="28"/>
      <c r="AN497" s="28"/>
      <c r="AO497" s="28"/>
      <c r="AP497" s="28"/>
      <c r="AQ497" s="28"/>
      <c r="AR497" s="28"/>
      <c r="AS497" s="28"/>
      <c r="AT497" s="28"/>
      <c r="AU497" s="28"/>
      <c r="AV497" s="28"/>
      <c r="AW497" s="28"/>
      <c r="AX497" s="28"/>
      <c r="AY497" s="28"/>
      <c r="AZ497" s="28"/>
      <c r="BA497" s="28"/>
      <c r="BB497" s="28"/>
    </row>
    <row r="498" spans="1:54" ht="12.75" x14ac:dyDescent="0.2">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c r="AA498" s="28"/>
      <c r="AB498" s="28"/>
      <c r="AC498" s="28"/>
      <c r="AD498" s="28"/>
      <c r="AE498" s="28"/>
      <c r="AF498" s="28"/>
      <c r="AG498" s="28"/>
      <c r="AH498" s="28"/>
      <c r="AI498" s="28"/>
      <c r="AJ498" s="28"/>
      <c r="AK498" s="28"/>
      <c r="AL498" s="28"/>
      <c r="AM498" s="28"/>
      <c r="AN498" s="28"/>
      <c r="AO498" s="28"/>
      <c r="AP498" s="28"/>
      <c r="AQ498" s="28"/>
      <c r="AR498" s="28"/>
      <c r="AS498" s="28"/>
      <c r="AT498" s="28"/>
      <c r="AU498" s="28"/>
      <c r="AV498" s="28"/>
      <c r="AW498" s="28"/>
      <c r="AX498" s="28"/>
      <c r="AY498" s="28"/>
      <c r="AZ498" s="28"/>
      <c r="BA498" s="28"/>
      <c r="BB498" s="28"/>
    </row>
    <row r="499" spans="1:54" ht="12.75" x14ac:dyDescent="0.2">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c r="AA499" s="28"/>
      <c r="AB499" s="28"/>
      <c r="AC499" s="28"/>
      <c r="AD499" s="28"/>
      <c r="AE499" s="28"/>
      <c r="AF499" s="28"/>
      <c r="AG499" s="28"/>
      <c r="AH499" s="28"/>
      <c r="AI499" s="28"/>
      <c r="AJ499" s="28"/>
      <c r="AK499" s="28"/>
      <c r="AL499" s="28"/>
      <c r="AM499" s="28"/>
      <c r="AN499" s="28"/>
      <c r="AO499" s="28"/>
      <c r="AP499" s="28"/>
      <c r="AQ499" s="28"/>
      <c r="AR499" s="28"/>
      <c r="AS499" s="28"/>
      <c r="AT499" s="28"/>
      <c r="AU499" s="28"/>
      <c r="AV499" s="28"/>
      <c r="AW499" s="28"/>
      <c r="AX499" s="28"/>
      <c r="AY499" s="28"/>
      <c r="AZ499" s="28"/>
      <c r="BA499" s="28"/>
      <c r="BB499" s="28"/>
    </row>
    <row r="500" spans="1:54" ht="12.75" x14ac:dyDescent="0.2">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c r="AA500" s="28"/>
      <c r="AB500" s="28"/>
      <c r="AC500" s="28"/>
      <c r="AD500" s="28"/>
      <c r="AE500" s="28"/>
      <c r="AF500" s="28"/>
      <c r="AG500" s="28"/>
      <c r="AH500" s="28"/>
      <c r="AI500" s="28"/>
      <c r="AJ500" s="28"/>
      <c r="AK500" s="28"/>
      <c r="AL500" s="28"/>
      <c r="AM500" s="28"/>
      <c r="AN500" s="28"/>
      <c r="AO500" s="28"/>
      <c r="AP500" s="28"/>
      <c r="AQ500" s="28"/>
      <c r="AR500" s="28"/>
      <c r="AS500" s="28"/>
      <c r="AT500" s="28"/>
      <c r="AU500" s="28"/>
      <c r="AV500" s="28"/>
      <c r="AW500" s="28"/>
      <c r="AX500" s="28"/>
      <c r="AY500" s="28"/>
      <c r="AZ500" s="28"/>
      <c r="BA500" s="28"/>
      <c r="BB500" s="28"/>
    </row>
    <row r="501" spans="1:54" ht="12.75" x14ac:dyDescent="0.2">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c r="AA501" s="28"/>
      <c r="AB501" s="28"/>
      <c r="AC501" s="28"/>
      <c r="AD501" s="28"/>
      <c r="AE501" s="28"/>
      <c r="AF501" s="28"/>
      <c r="AG501" s="28"/>
      <c r="AH501" s="28"/>
      <c r="AI501" s="28"/>
      <c r="AJ501" s="28"/>
      <c r="AK501" s="28"/>
      <c r="AL501" s="28"/>
      <c r="AM501" s="28"/>
      <c r="AN501" s="28"/>
      <c r="AO501" s="28"/>
      <c r="AP501" s="28"/>
      <c r="AQ501" s="28"/>
      <c r="AR501" s="28"/>
      <c r="AS501" s="28"/>
      <c r="AT501" s="28"/>
      <c r="AU501" s="28"/>
      <c r="AV501" s="28"/>
      <c r="AW501" s="28"/>
      <c r="AX501" s="28"/>
      <c r="AY501" s="28"/>
      <c r="AZ501" s="28"/>
      <c r="BA501" s="28"/>
      <c r="BB501" s="28"/>
    </row>
    <row r="502" spans="1:54" ht="12.75" x14ac:dyDescent="0.2">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c r="AA502" s="28"/>
      <c r="AB502" s="28"/>
      <c r="AC502" s="28"/>
      <c r="AD502" s="28"/>
      <c r="AE502" s="28"/>
      <c r="AF502" s="28"/>
      <c r="AG502" s="28"/>
      <c r="AH502" s="28"/>
      <c r="AI502" s="28"/>
      <c r="AJ502" s="28"/>
      <c r="AK502" s="28"/>
      <c r="AL502" s="28"/>
      <c r="AM502" s="28"/>
      <c r="AN502" s="28"/>
      <c r="AO502" s="28"/>
      <c r="AP502" s="28"/>
      <c r="AQ502" s="28"/>
      <c r="AR502" s="28"/>
      <c r="AS502" s="28"/>
      <c r="AT502" s="28"/>
      <c r="AU502" s="28"/>
      <c r="AV502" s="28"/>
      <c r="AW502" s="28"/>
      <c r="AX502" s="28"/>
      <c r="AY502" s="28"/>
      <c r="AZ502" s="28"/>
      <c r="BA502" s="28"/>
      <c r="BB502" s="28"/>
    </row>
    <row r="503" spans="1:54" ht="12.75" x14ac:dyDescent="0.2">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c r="AA503" s="28"/>
      <c r="AB503" s="28"/>
      <c r="AC503" s="28"/>
      <c r="AD503" s="28"/>
      <c r="AE503" s="28"/>
      <c r="AF503" s="28"/>
      <c r="AG503" s="28"/>
      <c r="AH503" s="28"/>
      <c r="AI503" s="28"/>
      <c r="AJ503" s="28"/>
      <c r="AK503" s="28"/>
      <c r="AL503" s="28"/>
      <c r="AM503" s="28"/>
      <c r="AN503" s="28"/>
      <c r="AO503" s="28"/>
      <c r="AP503" s="28"/>
      <c r="AQ503" s="28"/>
      <c r="AR503" s="28"/>
      <c r="AS503" s="28"/>
      <c r="AT503" s="28"/>
      <c r="AU503" s="28"/>
      <c r="AV503" s="28"/>
      <c r="AW503" s="28"/>
      <c r="AX503" s="28"/>
      <c r="AY503" s="28"/>
      <c r="AZ503" s="28"/>
      <c r="BA503" s="28"/>
      <c r="BB503" s="28"/>
    </row>
    <row r="504" spans="1:54" ht="12.75" x14ac:dyDescent="0.2">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c r="AA504" s="28"/>
      <c r="AB504" s="28"/>
      <c r="AC504" s="28"/>
      <c r="AD504" s="28"/>
      <c r="AE504" s="28"/>
      <c r="AF504" s="28"/>
      <c r="AG504" s="28"/>
      <c r="AH504" s="28"/>
      <c r="AI504" s="28"/>
      <c r="AJ504" s="28"/>
      <c r="AK504" s="28"/>
      <c r="AL504" s="28"/>
      <c r="AM504" s="28"/>
      <c r="AN504" s="28"/>
      <c r="AO504" s="28"/>
      <c r="AP504" s="28"/>
      <c r="AQ504" s="28"/>
      <c r="AR504" s="28"/>
      <c r="AS504" s="28"/>
      <c r="AT504" s="28"/>
      <c r="AU504" s="28"/>
      <c r="AV504" s="28"/>
      <c r="AW504" s="28"/>
      <c r="AX504" s="28"/>
      <c r="AY504" s="28"/>
      <c r="AZ504" s="28"/>
      <c r="BA504" s="28"/>
      <c r="BB504" s="28"/>
    </row>
    <row r="505" spans="1:54" ht="12.75" x14ac:dyDescent="0.2">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c r="AA505" s="28"/>
      <c r="AB505" s="28"/>
      <c r="AC505" s="28"/>
      <c r="AD505" s="28"/>
      <c r="AE505" s="28"/>
      <c r="AF505" s="28"/>
      <c r="AG505" s="28"/>
      <c r="AH505" s="28"/>
      <c r="AI505" s="28"/>
      <c r="AJ505" s="28"/>
      <c r="AK505" s="28"/>
      <c r="AL505" s="28"/>
      <c r="AM505" s="28"/>
      <c r="AN505" s="28"/>
      <c r="AO505" s="28"/>
      <c r="AP505" s="28"/>
      <c r="AQ505" s="28"/>
      <c r="AR505" s="28"/>
      <c r="AS505" s="28"/>
      <c r="AT505" s="28"/>
      <c r="AU505" s="28"/>
      <c r="AV505" s="28"/>
      <c r="AW505" s="28"/>
      <c r="AX505" s="28"/>
      <c r="AY505" s="28"/>
      <c r="AZ505" s="28"/>
      <c r="BA505" s="28"/>
      <c r="BB505" s="28"/>
    </row>
    <row r="506" spans="1:54" ht="12.75" x14ac:dyDescent="0.2">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c r="AD506" s="28"/>
      <c r="AE506" s="28"/>
      <c r="AF506" s="28"/>
      <c r="AG506" s="28"/>
      <c r="AH506" s="28"/>
      <c r="AI506" s="28"/>
      <c r="AJ506" s="28"/>
      <c r="AK506" s="28"/>
      <c r="AL506" s="28"/>
      <c r="AM506" s="28"/>
      <c r="AN506" s="28"/>
      <c r="AO506" s="28"/>
      <c r="AP506" s="28"/>
      <c r="AQ506" s="28"/>
      <c r="AR506" s="28"/>
      <c r="AS506" s="28"/>
      <c r="AT506" s="28"/>
      <c r="AU506" s="28"/>
      <c r="AV506" s="28"/>
      <c r="AW506" s="28"/>
      <c r="AX506" s="28"/>
      <c r="AY506" s="28"/>
      <c r="AZ506" s="28"/>
      <c r="BA506" s="28"/>
      <c r="BB506" s="28"/>
    </row>
    <row r="507" spans="1:54" ht="12.75" x14ac:dyDescent="0.2">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c r="AD507" s="28"/>
      <c r="AE507" s="28"/>
      <c r="AF507" s="28"/>
      <c r="AG507" s="28"/>
      <c r="AH507" s="28"/>
      <c r="AI507" s="28"/>
      <c r="AJ507" s="28"/>
      <c r="AK507" s="28"/>
      <c r="AL507" s="28"/>
      <c r="AM507" s="28"/>
      <c r="AN507" s="28"/>
      <c r="AO507" s="28"/>
      <c r="AP507" s="28"/>
      <c r="AQ507" s="28"/>
      <c r="AR507" s="28"/>
      <c r="AS507" s="28"/>
      <c r="AT507" s="28"/>
      <c r="AU507" s="28"/>
      <c r="AV507" s="28"/>
      <c r="AW507" s="28"/>
      <c r="AX507" s="28"/>
      <c r="AY507" s="28"/>
      <c r="AZ507" s="28"/>
      <c r="BA507" s="28"/>
      <c r="BB507" s="28"/>
    </row>
    <row r="508" spans="1:54" ht="12.75" x14ac:dyDescent="0.2">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c r="AA508" s="28"/>
      <c r="AB508" s="28"/>
      <c r="AC508" s="28"/>
      <c r="AD508" s="28"/>
      <c r="AE508" s="28"/>
      <c r="AF508" s="28"/>
      <c r="AG508" s="28"/>
      <c r="AH508" s="28"/>
      <c r="AI508" s="28"/>
      <c r="AJ508" s="28"/>
      <c r="AK508" s="28"/>
      <c r="AL508" s="28"/>
      <c r="AM508" s="28"/>
      <c r="AN508" s="28"/>
      <c r="AO508" s="28"/>
      <c r="AP508" s="28"/>
      <c r="AQ508" s="28"/>
      <c r="AR508" s="28"/>
      <c r="AS508" s="28"/>
      <c r="AT508" s="28"/>
      <c r="AU508" s="28"/>
      <c r="AV508" s="28"/>
      <c r="AW508" s="28"/>
      <c r="AX508" s="28"/>
      <c r="AY508" s="28"/>
      <c r="AZ508" s="28"/>
      <c r="BA508" s="28"/>
      <c r="BB508" s="28"/>
    </row>
    <row r="509" spans="1:54" ht="12.75" x14ac:dyDescent="0.2">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c r="AA509" s="28"/>
      <c r="AB509" s="28"/>
      <c r="AC509" s="28"/>
      <c r="AD509" s="28"/>
      <c r="AE509" s="28"/>
      <c r="AF509" s="28"/>
      <c r="AG509" s="28"/>
      <c r="AH509" s="28"/>
      <c r="AI509" s="28"/>
      <c r="AJ509" s="28"/>
      <c r="AK509" s="28"/>
      <c r="AL509" s="28"/>
      <c r="AM509" s="28"/>
      <c r="AN509" s="28"/>
      <c r="AO509" s="28"/>
      <c r="AP509" s="28"/>
      <c r="AQ509" s="28"/>
      <c r="AR509" s="28"/>
      <c r="AS509" s="28"/>
      <c r="AT509" s="28"/>
      <c r="AU509" s="28"/>
      <c r="AV509" s="28"/>
      <c r="AW509" s="28"/>
      <c r="AX509" s="28"/>
      <c r="AY509" s="28"/>
      <c r="AZ509" s="28"/>
      <c r="BA509" s="28"/>
      <c r="BB509" s="28"/>
    </row>
    <row r="510" spans="1:54" ht="12.75" x14ac:dyDescent="0.2">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c r="AA510" s="28"/>
      <c r="AB510" s="28"/>
      <c r="AC510" s="28"/>
      <c r="AD510" s="28"/>
      <c r="AE510" s="28"/>
      <c r="AF510" s="28"/>
      <c r="AG510" s="28"/>
      <c r="AH510" s="28"/>
      <c r="AI510" s="28"/>
      <c r="AJ510" s="28"/>
      <c r="AK510" s="28"/>
      <c r="AL510" s="28"/>
      <c r="AM510" s="28"/>
      <c r="AN510" s="28"/>
      <c r="AO510" s="28"/>
      <c r="AP510" s="28"/>
      <c r="AQ510" s="28"/>
      <c r="AR510" s="28"/>
      <c r="AS510" s="28"/>
      <c r="AT510" s="28"/>
      <c r="AU510" s="28"/>
      <c r="AV510" s="28"/>
      <c r="AW510" s="28"/>
      <c r="AX510" s="28"/>
      <c r="AY510" s="28"/>
      <c r="AZ510" s="28"/>
      <c r="BA510" s="28"/>
      <c r="BB510" s="28"/>
    </row>
    <row r="511" spans="1:54" ht="12.75" x14ac:dyDescent="0.2">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c r="AA511" s="28"/>
      <c r="AB511" s="28"/>
      <c r="AC511" s="28"/>
      <c r="AD511" s="28"/>
      <c r="AE511" s="28"/>
      <c r="AF511" s="28"/>
      <c r="AG511" s="28"/>
      <c r="AH511" s="28"/>
      <c r="AI511" s="28"/>
      <c r="AJ511" s="28"/>
      <c r="AK511" s="28"/>
      <c r="AL511" s="28"/>
      <c r="AM511" s="28"/>
      <c r="AN511" s="28"/>
      <c r="AO511" s="28"/>
      <c r="AP511" s="28"/>
      <c r="AQ511" s="28"/>
      <c r="AR511" s="28"/>
      <c r="AS511" s="28"/>
      <c r="AT511" s="28"/>
      <c r="AU511" s="28"/>
      <c r="AV511" s="28"/>
      <c r="AW511" s="28"/>
      <c r="AX511" s="28"/>
      <c r="AY511" s="28"/>
      <c r="AZ511" s="28"/>
      <c r="BA511" s="28"/>
      <c r="BB511" s="28"/>
    </row>
    <row r="512" spans="1:54" ht="12.75" x14ac:dyDescent="0.2">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c r="AD512" s="28"/>
      <c r="AE512" s="28"/>
      <c r="AF512" s="28"/>
      <c r="AG512" s="28"/>
      <c r="AH512" s="28"/>
      <c r="AI512" s="28"/>
      <c r="AJ512" s="28"/>
      <c r="AK512" s="28"/>
      <c r="AL512" s="28"/>
      <c r="AM512" s="28"/>
      <c r="AN512" s="28"/>
      <c r="AO512" s="28"/>
      <c r="AP512" s="28"/>
      <c r="AQ512" s="28"/>
      <c r="AR512" s="28"/>
      <c r="AS512" s="28"/>
      <c r="AT512" s="28"/>
      <c r="AU512" s="28"/>
      <c r="AV512" s="28"/>
      <c r="AW512" s="28"/>
      <c r="AX512" s="28"/>
      <c r="AY512" s="28"/>
      <c r="AZ512" s="28"/>
      <c r="BA512" s="28"/>
      <c r="BB512" s="28"/>
    </row>
    <row r="513" spans="1:54" ht="12.75" x14ac:dyDescent="0.2">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c r="AD513" s="28"/>
      <c r="AE513" s="28"/>
      <c r="AF513" s="28"/>
      <c r="AG513" s="28"/>
      <c r="AH513" s="28"/>
      <c r="AI513" s="28"/>
      <c r="AJ513" s="28"/>
      <c r="AK513" s="28"/>
      <c r="AL513" s="28"/>
      <c r="AM513" s="28"/>
      <c r="AN513" s="28"/>
      <c r="AO513" s="28"/>
      <c r="AP513" s="28"/>
      <c r="AQ513" s="28"/>
      <c r="AR513" s="28"/>
      <c r="AS513" s="28"/>
      <c r="AT513" s="28"/>
      <c r="AU513" s="28"/>
      <c r="AV513" s="28"/>
      <c r="AW513" s="28"/>
      <c r="AX513" s="28"/>
      <c r="AY513" s="28"/>
      <c r="AZ513" s="28"/>
      <c r="BA513" s="28"/>
      <c r="BB513" s="28"/>
    </row>
    <row r="514" spans="1:54" ht="12.75" x14ac:dyDescent="0.2">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c r="AA514" s="28"/>
      <c r="AB514" s="28"/>
      <c r="AC514" s="28"/>
      <c r="AD514" s="28"/>
      <c r="AE514" s="28"/>
      <c r="AF514" s="28"/>
      <c r="AG514" s="28"/>
      <c r="AH514" s="28"/>
      <c r="AI514" s="28"/>
      <c r="AJ514" s="28"/>
      <c r="AK514" s="28"/>
      <c r="AL514" s="28"/>
      <c r="AM514" s="28"/>
      <c r="AN514" s="28"/>
      <c r="AO514" s="28"/>
      <c r="AP514" s="28"/>
      <c r="AQ514" s="28"/>
      <c r="AR514" s="28"/>
      <c r="AS514" s="28"/>
      <c r="AT514" s="28"/>
      <c r="AU514" s="28"/>
      <c r="AV514" s="28"/>
      <c r="AW514" s="28"/>
      <c r="AX514" s="28"/>
      <c r="AY514" s="28"/>
      <c r="AZ514" s="28"/>
      <c r="BA514" s="28"/>
      <c r="BB514" s="28"/>
    </row>
    <row r="515" spans="1:54" ht="12.75" x14ac:dyDescent="0.2">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c r="AA515" s="28"/>
      <c r="AB515" s="28"/>
      <c r="AC515" s="28"/>
      <c r="AD515" s="28"/>
      <c r="AE515" s="28"/>
      <c r="AF515" s="28"/>
      <c r="AG515" s="28"/>
      <c r="AH515" s="28"/>
      <c r="AI515" s="28"/>
      <c r="AJ515" s="28"/>
      <c r="AK515" s="28"/>
      <c r="AL515" s="28"/>
      <c r="AM515" s="28"/>
      <c r="AN515" s="28"/>
      <c r="AO515" s="28"/>
      <c r="AP515" s="28"/>
      <c r="AQ515" s="28"/>
      <c r="AR515" s="28"/>
      <c r="AS515" s="28"/>
      <c r="AT515" s="28"/>
      <c r="AU515" s="28"/>
      <c r="AV515" s="28"/>
      <c r="AW515" s="28"/>
      <c r="AX515" s="28"/>
      <c r="AY515" s="28"/>
      <c r="AZ515" s="28"/>
      <c r="BA515" s="28"/>
      <c r="BB515" s="28"/>
    </row>
    <row r="516" spans="1:54" ht="12.75" x14ac:dyDescent="0.2">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c r="AA516" s="28"/>
      <c r="AB516" s="28"/>
      <c r="AC516" s="28"/>
      <c r="AD516" s="28"/>
      <c r="AE516" s="28"/>
      <c r="AF516" s="28"/>
      <c r="AG516" s="28"/>
      <c r="AH516" s="28"/>
      <c r="AI516" s="28"/>
      <c r="AJ516" s="28"/>
      <c r="AK516" s="28"/>
      <c r="AL516" s="28"/>
      <c r="AM516" s="28"/>
      <c r="AN516" s="28"/>
      <c r="AO516" s="28"/>
      <c r="AP516" s="28"/>
      <c r="AQ516" s="28"/>
      <c r="AR516" s="28"/>
      <c r="AS516" s="28"/>
      <c r="AT516" s="28"/>
      <c r="AU516" s="28"/>
      <c r="AV516" s="28"/>
      <c r="AW516" s="28"/>
      <c r="AX516" s="28"/>
      <c r="AY516" s="28"/>
      <c r="AZ516" s="28"/>
      <c r="BA516" s="28"/>
      <c r="BB516" s="28"/>
    </row>
    <row r="517" spans="1:54" ht="12.75" x14ac:dyDescent="0.2">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c r="AA517" s="28"/>
      <c r="AB517" s="28"/>
      <c r="AC517" s="28"/>
      <c r="AD517" s="28"/>
      <c r="AE517" s="28"/>
      <c r="AF517" s="28"/>
      <c r="AG517" s="28"/>
      <c r="AH517" s="28"/>
      <c r="AI517" s="28"/>
      <c r="AJ517" s="28"/>
      <c r="AK517" s="28"/>
      <c r="AL517" s="28"/>
      <c r="AM517" s="28"/>
      <c r="AN517" s="28"/>
      <c r="AO517" s="28"/>
      <c r="AP517" s="28"/>
      <c r="AQ517" s="28"/>
      <c r="AR517" s="28"/>
      <c r="AS517" s="28"/>
      <c r="AT517" s="28"/>
      <c r="AU517" s="28"/>
      <c r="AV517" s="28"/>
      <c r="AW517" s="28"/>
      <c r="AX517" s="28"/>
      <c r="AY517" s="28"/>
      <c r="AZ517" s="28"/>
      <c r="BA517" s="28"/>
      <c r="BB517" s="28"/>
    </row>
    <row r="518" spans="1:54" ht="12.75" x14ac:dyDescent="0.2">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c r="AA518" s="28"/>
      <c r="AB518" s="28"/>
      <c r="AC518" s="28"/>
      <c r="AD518" s="28"/>
      <c r="AE518" s="28"/>
      <c r="AF518" s="28"/>
      <c r="AG518" s="28"/>
      <c r="AH518" s="28"/>
      <c r="AI518" s="28"/>
      <c r="AJ518" s="28"/>
      <c r="AK518" s="28"/>
      <c r="AL518" s="28"/>
      <c r="AM518" s="28"/>
      <c r="AN518" s="28"/>
      <c r="AO518" s="28"/>
      <c r="AP518" s="28"/>
      <c r="AQ518" s="28"/>
      <c r="AR518" s="28"/>
      <c r="AS518" s="28"/>
      <c r="AT518" s="28"/>
      <c r="AU518" s="28"/>
      <c r="AV518" s="28"/>
      <c r="AW518" s="28"/>
      <c r="AX518" s="28"/>
      <c r="AY518" s="28"/>
      <c r="AZ518" s="28"/>
      <c r="BA518" s="28"/>
      <c r="BB518" s="28"/>
    </row>
    <row r="519" spans="1:54" ht="12.75" x14ac:dyDescent="0.2">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c r="AA519" s="28"/>
      <c r="AB519" s="28"/>
      <c r="AC519" s="28"/>
      <c r="AD519" s="28"/>
      <c r="AE519" s="28"/>
      <c r="AF519" s="28"/>
      <c r="AG519" s="28"/>
      <c r="AH519" s="28"/>
      <c r="AI519" s="28"/>
      <c r="AJ519" s="28"/>
      <c r="AK519" s="28"/>
      <c r="AL519" s="28"/>
      <c r="AM519" s="28"/>
      <c r="AN519" s="28"/>
      <c r="AO519" s="28"/>
      <c r="AP519" s="28"/>
      <c r="AQ519" s="28"/>
      <c r="AR519" s="28"/>
      <c r="AS519" s="28"/>
      <c r="AT519" s="28"/>
      <c r="AU519" s="28"/>
      <c r="AV519" s="28"/>
      <c r="AW519" s="28"/>
      <c r="AX519" s="28"/>
      <c r="AY519" s="28"/>
      <c r="AZ519" s="28"/>
      <c r="BA519" s="28"/>
      <c r="BB519" s="28"/>
    </row>
    <row r="520" spans="1:54" ht="12.75" x14ac:dyDescent="0.2">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c r="AA520" s="28"/>
      <c r="AB520" s="28"/>
      <c r="AC520" s="28"/>
      <c r="AD520" s="28"/>
      <c r="AE520" s="28"/>
      <c r="AF520" s="28"/>
      <c r="AG520" s="28"/>
      <c r="AH520" s="28"/>
      <c r="AI520" s="28"/>
      <c r="AJ520" s="28"/>
      <c r="AK520" s="28"/>
      <c r="AL520" s="28"/>
      <c r="AM520" s="28"/>
      <c r="AN520" s="28"/>
      <c r="AO520" s="28"/>
      <c r="AP520" s="28"/>
      <c r="AQ520" s="28"/>
      <c r="AR520" s="28"/>
      <c r="AS520" s="28"/>
      <c r="AT520" s="28"/>
      <c r="AU520" s="28"/>
      <c r="AV520" s="28"/>
      <c r="AW520" s="28"/>
      <c r="AX520" s="28"/>
      <c r="AY520" s="28"/>
      <c r="AZ520" s="28"/>
      <c r="BA520" s="28"/>
      <c r="BB520" s="28"/>
    </row>
    <row r="521" spans="1:54" ht="12.75" x14ac:dyDescent="0.2">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c r="AA521" s="28"/>
      <c r="AB521" s="28"/>
      <c r="AC521" s="28"/>
      <c r="AD521" s="28"/>
      <c r="AE521" s="28"/>
      <c r="AF521" s="28"/>
      <c r="AG521" s="28"/>
      <c r="AH521" s="28"/>
      <c r="AI521" s="28"/>
      <c r="AJ521" s="28"/>
      <c r="AK521" s="28"/>
      <c r="AL521" s="28"/>
      <c r="AM521" s="28"/>
      <c r="AN521" s="28"/>
      <c r="AO521" s="28"/>
      <c r="AP521" s="28"/>
      <c r="AQ521" s="28"/>
      <c r="AR521" s="28"/>
      <c r="AS521" s="28"/>
      <c r="AT521" s="28"/>
      <c r="AU521" s="28"/>
      <c r="AV521" s="28"/>
      <c r="AW521" s="28"/>
      <c r="AX521" s="28"/>
      <c r="AY521" s="28"/>
      <c r="AZ521" s="28"/>
      <c r="BA521" s="28"/>
      <c r="BB521" s="28"/>
    </row>
    <row r="522" spans="1:54" ht="12.75" x14ac:dyDescent="0.2">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c r="AA522" s="28"/>
      <c r="AB522" s="28"/>
      <c r="AC522" s="28"/>
      <c r="AD522" s="28"/>
      <c r="AE522" s="28"/>
      <c r="AF522" s="28"/>
      <c r="AG522" s="28"/>
      <c r="AH522" s="28"/>
      <c r="AI522" s="28"/>
      <c r="AJ522" s="28"/>
      <c r="AK522" s="28"/>
      <c r="AL522" s="28"/>
      <c r="AM522" s="28"/>
      <c r="AN522" s="28"/>
      <c r="AO522" s="28"/>
      <c r="AP522" s="28"/>
      <c r="AQ522" s="28"/>
      <c r="AR522" s="28"/>
      <c r="AS522" s="28"/>
      <c r="AT522" s="28"/>
      <c r="AU522" s="28"/>
      <c r="AV522" s="28"/>
      <c r="AW522" s="28"/>
      <c r="AX522" s="28"/>
      <c r="AY522" s="28"/>
      <c r="AZ522" s="28"/>
      <c r="BA522" s="28"/>
      <c r="BB522" s="28"/>
    </row>
    <row r="523" spans="1:54" ht="12.75" x14ac:dyDescent="0.2">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c r="AA523" s="28"/>
      <c r="AB523" s="28"/>
      <c r="AC523" s="28"/>
      <c r="AD523" s="28"/>
      <c r="AE523" s="28"/>
      <c r="AF523" s="28"/>
      <c r="AG523" s="28"/>
      <c r="AH523" s="28"/>
      <c r="AI523" s="28"/>
      <c r="AJ523" s="28"/>
      <c r="AK523" s="28"/>
      <c r="AL523" s="28"/>
      <c r="AM523" s="28"/>
      <c r="AN523" s="28"/>
      <c r="AO523" s="28"/>
      <c r="AP523" s="28"/>
      <c r="AQ523" s="28"/>
      <c r="AR523" s="28"/>
      <c r="AS523" s="28"/>
      <c r="AT523" s="28"/>
      <c r="AU523" s="28"/>
      <c r="AV523" s="28"/>
      <c r="AW523" s="28"/>
      <c r="AX523" s="28"/>
      <c r="AY523" s="28"/>
      <c r="AZ523" s="28"/>
      <c r="BA523" s="28"/>
      <c r="BB523" s="28"/>
    </row>
    <row r="524" spans="1:54" ht="12.75" x14ac:dyDescent="0.2">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c r="AA524" s="28"/>
      <c r="AB524" s="28"/>
      <c r="AC524" s="28"/>
      <c r="AD524" s="28"/>
      <c r="AE524" s="28"/>
      <c r="AF524" s="28"/>
      <c r="AG524" s="28"/>
      <c r="AH524" s="28"/>
      <c r="AI524" s="28"/>
      <c r="AJ524" s="28"/>
      <c r="AK524" s="28"/>
      <c r="AL524" s="28"/>
      <c r="AM524" s="28"/>
      <c r="AN524" s="28"/>
      <c r="AO524" s="28"/>
      <c r="AP524" s="28"/>
      <c r="AQ524" s="28"/>
      <c r="AR524" s="28"/>
      <c r="AS524" s="28"/>
      <c r="AT524" s="28"/>
      <c r="AU524" s="28"/>
      <c r="AV524" s="28"/>
      <c r="AW524" s="28"/>
      <c r="AX524" s="28"/>
      <c r="AY524" s="28"/>
      <c r="AZ524" s="28"/>
      <c r="BA524" s="28"/>
      <c r="BB524" s="28"/>
    </row>
    <row r="525" spans="1:54" ht="12.75" x14ac:dyDescent="0.2">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c r="AA525" s="28"/>
      <c r="AB525" s="28"/>
      <c r="AC525" s="28"/>
      <c r="AD525" s="28"/>
      <c r="AE525" s="28"/>
      <c r="AF525" s="28"/>
      <c r="AG525" s="28"/>
      <c r="AH525" s="28"/>
      <c r="AI525" s="28"/>
      <c r="AJ525" s="28"/>
      <c r="AK525" s="28"/>
      <c r="AL525" s="28"/>
      <c r="AM525" s="28"/>
      <c r="AN525" s="28"/>
      <c r="AO525" s="28"/>
      <c r="AP525" s="28"/>
      <c r="AQ525" s="28"/>
      <c r="AR525" s="28"/>
      <c r="AS525" s="28"/>
      <c r="AT525" s="28"/>
      <c r="AU525" s="28"/>
      <c r="AV525" s="28"/>
      <c r="AW525" s="28"/>
      <c r="AX525" s="28"/>
      <c r="AY525" s="28"/>
      <c r="AZ525" s="28"/>
      <c r="BA525" s="28"/>
      <c r="BB525" s="28"/>
    </row>
    <row r="526" spans="1:54" ht="12.75" x14ac:dyDescent="0.2">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c r="AA526" s="28"/>
      <c r="AB526" s="28"/>
      <c r="AC526" s="28"/>
      <c r="AD526" s="28"/>
      <c r="AE526" s="28"/>
      <c r="AF526" s="28"/>
      <c r="AG526" s="28"/>
      <c r="AH526" s="28"/>
      <c r="AI526" s="28"/>
      <c r="AJ526" s="28"/>
      <c r="AK526" s="28"/>
      <c r="AL526" s="28"/>
      <c r="AM526" s="28"/>
      <c r="AN526" s="28"/>
      <c r="AO526" s="28"/>
      <c r="AP526" s="28"/>
      <c r="AQ526" s="28"/>
      <c r="AR526" s="28"/>
      <c r="AS526" s="28"/>
      <c r="AT526" s="28"/>
      <c r="AU526" s="28"/>
      <c r="AV526" s="28"/>
      <c r="AW526" s="28"/>
      <c r="AX526" s="28"/>
      <c r="AY526" s="28"/>
      <c r="AZ526" s="28"/>
      <c r="BA526" s="28"/>
      <c r="BB526" s="28"/>
    </row>
    <row r="527" spans="1:54" ht="12.75" x14ac:dyDescent="0.2">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c r="AA527" s="28"/>
      <c r="AB527" s="28"/>
      <c r="AC527" s="28"/>
      <c r="AD527" s="28"/>
      <c r="AE527" s="28"/>
      <c r="AF527" s="28"/>
      <c r="AG527" s="28"/>
      <c r="AH527" s="28"/>
      <c r="AI527" s="28"/>
      <c r="AJ527" s="28"/>
      <c r="AK527" s="28"/>
      <c r="AL527" s="28"/>
      <c r="AM527" s="28"/>
      <c r="AN527" s="28"/>
      <c r="AO527" s="28"/>
      <c r="AP527" s="28"/>
      <c r="AQ527" s="28"/>
      <c r="AR527" s="28"/>
      <c r="AS527" s="28"/>
      <c r="AT527" s="28"/>
      <c r="AU527" s="28"/>
      <c r="AV527" s="28"/>
      <c r="AW527" s="28"/>
      <c r="AX527" s="28"/>
      <c r="AY527" s="28"/>
      <c r="AZ527" s="28"/>
      <c r="BA527" s="28"/>
      <c r="BB527" s="28"/>
    </row>
    <row r="528" spans="1:54" ht="12.75" x14ac:dyDescent="0.2">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c r="AD528" s="28"/>
      <c r="AE528" s="28"/>
      <c r="AF528" s="28"/>
      <c r="AG528" s="28"/>
      <c r="AH528" s="28"/>
      <c r="AI528" s="28"/>
      <c r="AJ528" s="28"/>
      <c r="AK528" s="28"/>
      <c r="AL528" s="28"/>
      <c r="AM528" s="28"/>
      <c r="AN528" s="28"/>
      <c r="AO528" s="28"/>
      <c r="AP528" s="28"/>
      <c r="AQ528" s="28"/>
      <c r="AR528" s="28"/>
      <c r="AS528" s="28"/>
      <c r="AT528" s="28"/>
      <c r="AU528" s="28"/>
      <c r="AV528" s="28"/>
      <c r="AW528" s="28"/>
      <c r="AX528" s="28"/>
      <c r="AY528" s="28"/>
      <c r="AZ528" s="28"/>
      <c r="BA528" s="28"/>
      <c r="BB528" s="28"/>
    </row>
    <row r="529" spans="1:54" ht="12.75" x14ac:dyDescent="0.2">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c r="AA529" s="28"/>
      <c r="AB529" s="28"/>
      <c r="AC529" s="28"/>
      <c r="AD529" s="28"/>
      <c r="AE529" s="28"/>
      <c r="AF529" s="28"/>
      <c r="AG529" s="28"/>
      <c r="AH529" s="28"/>
      <c r="AI529" s="28"/>
      <c r="AJ529" s="28"/>
      <c r="AK529" s="28"/>
      <c r="AL529" s="28"/>
      <c r="AM529" s="28"/>
      <c r="AN529" s="28"/>
      <c r="AO529" s="28"/>
      <c r="AP529" s="28"/>
      <c r="AQ529" s="28"/>
      <c r="AR529" s="28"/>
      <c r="AS529" s="28"/>
      <c r="AT529" s="28"/>
      <c r="AU529" s="28"/>
      <c r="AV529" s="28"/>
      <c r="AW529" s="28"/>
      <c r="AX529" s="28"/>
      <c r="AY529" s="28"/>
      <c r="AZ529" s="28"/>
      <c r="BA529" s="28"/>
      <c r="BB529" s="28"/>
    </row>
    <row r="530" spans="1:54" ht="12.75" x14ac:dyDescent="0.2">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c r="AA530" s="28"/>
      <c r="AB530" s="28"/>
      <c r="AC530" s="28"/>
      <c r="AD530" s="28"/>
      <c r="AE530" s="28"/>
      <c r="AF530" s="28"/>
      <c r="AG530" s="28"/>
      <c r="AH530" s="28"/>
      <c r="AI530" s="28"/>
      <c r="AJ530" s="28"/>
      <c r="AK530" s="28"/>
      <c r="AL530" s="28"/>
      <c r="AM530" s="28"/>
      <c r="AN530" s="28"/>
      <c r="AO530" s="28"/>
      <c r="AP530" s="28"/>
      <c r="AQ530" s="28"/>
      <c r="AR530" s="28"/>
      <c r="AS530" s="28"/>
      <c r="AT530" s="28"/>
      <c r="AU530" s="28"/>
      <c r="AV530" s="28"/>
      <c r="AW530" s="28"/>
      <c r="AX530" s="28"/>
      <c r="AY530" s="28"/>
      <c r="AZ530" s="28"/>
      <c r="BA530" s="28"/>
      <c r="BB530" s="28"/>
    </row>
    <row r="531" spans="1:54" ht="12.75" x14ac:dyDescent="0.2">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c r="AA531" s="28"/>
      <c r="AB531" s="28"/>
      <c r="AC531" s="28"/>
      <c r="AD531" s="28"/>
      <c r="AE531" s="28"/>
      <c r="AF531" s="28"/>
      <c r="AG531" s="28"/>
      <c r="AH531" s="28"/>
      <c r="AI531" s="28"/>
      <c r="AJ531" s="28"/>
      <c r="AK531" s="28"/>
      <c r="AL531" s="28"/>
      <c r="AM531" s="28"/>
      <c r="AN531" s="28"/>
      <c r="AO531" s="28"/>
      <c r="AP531" s="28"/>
      <c r="AQ531" s="28"/>
      <c r="AR531" s="28"/>
      <c r="AS531" s="28"/>
      <c r="AT531" s="28"/>
      <c r="AU531" s="28"/>
      <c r="AV531" s="28"/>
      <c r="AW531" s="28"/>
      <c r="AX531" s="28"/>
      <c r="AY531" s="28"/>
      <c r="AZ531" s="28"/>
      <c r="BA531" s="28"/>
      <c r="BB531" s="28"/>
    </row>
    <row r="532" spans="1:54" ht="12.75" x14ac:dyDescent="0.2">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c r="AA532" s="28"/>
      <c r="AB532" s="28"/>
      <c r="AC532" s="28"/>
      <c r="AD532" s="28"/>
      <c r="AE532" s="28"/>
      <c r="AF532" s="28"/>
      <c r="AG532" s="28"/>
      <c r="AH532" s="28"/>
      <c r="AI532" s="28"/>
      <c r="AJ532" s="28"/>
      <c r="AK532" s="28"/>
      <c r="AL532" s="28"/>
      <c r="AM532" s="28"/>
      <c r="AN532" s="28"/>
      <c r="AO532" s="28"/>
      <c r="AP532" s="28"/>
      <c r="AQ532" s="28"/>
      <c r="AR532" s="28"/>
      <c r="AS532" s="28"/>
      <c r="AT532" s="28"/>
      <c r="AU532" s="28"/>
      <c r="AV532" s="28"/>
      <c r="AW532" s="28"/>
      <c r="AX532" s="28"/>
      <c r="AY532" s="28"/>
      <c r="AZ532" s="28"/>
      <c r="BA532" s="28"/>
      <c r="BB532" s="28"/>
    </row>
    <row r="533" spans="1:54" ht="12.75" x14ac:dyDescent="0.2">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c r="AA533" s="28"/>
      <c r="AB533" s="28"/>
      <c r="AC533" s="28"/>
      <c r="AD533" s="28"/>
      <c r="AE533" s="28"/>
      <c r="AF533" s="28"/>
      <c r="AG533" s="28"/>
      <c r="AH533" s="28"/>
      <c r="AI533" s="28"/>
      <c r="AJ533" s="28"/>
      <c r="AK533" s="28"/>
      <c r="AL533" s="28"/>
      <c r="AM533" s="28"/>
      <c r="AN533" s="28"/>
      <c r="AO533" s="28"/>
      <c r="AP533" s="28"/>
      <c r="AQ533" s="28"/>
      <c r="AR533" s="28"/>
      <c r="AS533" s="28"/>
      <c r="AT533" s="28"/>
      <c r="AU533" s="28"/>
      <c r="AV533" s="28"/>
      <c r="AW533" s="28"/>
      <c r="AX533" s="28"/>
      <c r="AY533" s="28"/>
      <c r="AZ533" s="28"/>
      <c r="BA533" s="28"/>
      <c r="BB533" s="28"/>
    </row>
    <row r="534" spans="1:54" ht="12.75" x14ac:dyDescent="0.2">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c r="AA534" s="28"/>
      <c r="AB534" s="28"/>
      <c r="AC534" s="28"/>
      <c r="AD534" s="28"/>
      <c r="AE534" s="28"/>
      <c r="AF534" s="28"/>
      <c r="AG534" s="28"/>
      <c r="AH534" s="28"/>
      <c r="AI534" s="28"/>
      <c r="AJ534" s="28"/>
      <c r="AK534" s="28"/>
      <c r="AL534" s="28"/>
      <c r="AM534" s="28"/>
      <c r="AN534" s="28"/>
      <c r="AO534" s="28"/>
      <c r="AP534" s="28"/>
      <c r="AQ534" s="28"/>
      <c r="AR534" s="28"/>
      <c r="AS534" s="28"/>
      <c r="AT534" s="28"/>
      <c r="AU534" s="28"/>
      <c r="AV534" s="28"/>
      <c r="AW534" s="28"/>
      <c r="AX534" s="28"/>
      <c r="AY534" s="28"/>
      <c r="AZ534" s="28"/>
      <c r="BA534" s="28"/>
      <c r="BB534" s="28"/>
    </row>
    <row r="535" spans="1:54" ht="12.75" x14ac:dyDescent="0.2">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8"/>
      <c r="AG535" s="28"/>
      <c r="AH535" s="28"/>
      <c r="AI535" s="28"/>
      <c r="AJ535" s="28"/>
      <c r="AK535" s="28"/>
      <c r="AL535" s="28"/>
      <c r="AM535" s="28"/>
      <c r="AN535" s="28"/>
      <c r="AO535" s="28"/>
      <c r="AP535" s="28"/>
      <c r="AQ535" s="28"/>
      <c r="AR535" s="28"/>
      <c r="AS535" s="28"/>
      <c r="AT535" s="28"/>
      <c r="AU535" s="28"/>
      <c r="AV535" s="28"/>
      <c r="AW535" s="28"/>
      <c r="AX535" s="28"/>
      <c r="AY535" s="28"/>
      <c r="AZ535" s="28"/>
      <c r="BA535" s="28"/>
      <c r="BB535" s="28"/>
    </row>
    <row r="536" spans="1:54" ht="12.75" x14ac:dyDescent="0.2">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c r="AA536" s="28"/>
      <c r="AB536" s="28"/>
      <c r="AC536" s="28"/>
      <c r="AD536" s="28"/>
      <c r="AE536" s="28"/>
      <c r="AF536" s="28"/>
      <c r="AG536" s="28"/>
      <c r="AH536" s="28"/>
      <c r="AI536" s="28"/>
      <c r="AJ536" s="28"/>
      <c r="AK536" s="28"/>
      <c r="AL536" s="28"/>
      <c r="AM536" s="28"/>
      <c r="AN536" s="28"/>
      <c r="AO536" s="28"/>
      <c r="AP536" s="28"/>
      <c r="AQ536" s="28"/>
      <c r="AR536" s="28"/>
      <c r="AS536" s="28"/>
      <c r="AT536" s="28"/>
      <c r="AU536" s="28"/>
      <c r="AV536" s="28"/>
      <c r="AW536" s="28"/>
      <c r="AX536" s="28"/>
      <c r="AY536" s="28"/>
      <c r="AZ536" s="28"/>
      <c r="BA536" s="28"/>
      <c r="BB536" s="28"/>
    </row>
    <row r="537" spans="1:54" ht="12.75" x14ac:dyDescent="0.2">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c r="AA537" s="28"/>
      <c r="AB537" s="28"/>
      <c r="AC537" s="28"/>
      <c r="AD537" s="28"/>
      <c r="AE537" s="28"/>
      <c r="AF537" s="28"/>
      <c r="AG537" s="28"/>
      <c r="AH537" s="28"/>
      <c r="AI537" s="28"/>
      <c r="AJ537" s="28"/>
      <c r="AK537" s="28"/>
      <c r="AL537" s="28"/>
      <c r="AM537" s="28"/>
      <c r="AN537" s="28"/>
      <c r="AO537" s="28"/>
      <c r="AP537" s="28"/>
      <c r="AQ537" s="28"/>
      <c r="AR537" s="28"/>
      <c r="AS537" s="28"/>
      <c r="AT537" s="28"/>
      <c r="AU537" s="28"/>
      <c r="AV537" s="28"/>
      <c r="AW537" s="28"/>
      <c r="AX537" s="28"/>
      <c r="AY537" s="28"/>
      <c r="AZ537" s="28"/>
      <c r="BA537" s="28"/>
      <c r="BB537" s="28"/>
    </row>
    <row r="538" spans="1:54" ht="12.75" x14ac:dyDescent="0.2">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c r="AA538" s="28"/>
      <c r="AB538" s="28"/>
      <c r="AC538" s="28"/>
      <c r="AD538" s="28"/>
      <c r="AE538" s="28"/>
      <c r="AF538" s="28"/>
      <c r="AG538" s="28"/>
      <c r="AH538" s="28"/>
      <c r="AI538" s="28"/>
      <c r="AJ538" s="28"/>
      <c r="AK538" s="28"/>
      <c r="AL538" s="28"/>
      <c r="AM538" s="28"/>
      <c r="AN538" s="28"/>
      <c r="AO538" s="28"/>
      <c r="AP538" s="28"/>
      <c r="AQ538" s="28"/>
      <c r="AR538" s="28"/>
      <c r="AS538" s="28"/>
      <c r="AT538" s="28"/>
      <c r="AU538" s="28"/>
      <c r="AV538" s="28"/>
      <c r="AW538" s="28"/>
      <c r="AX538" s="28"/>
      <c r="AY538" s="28"/>
      <c r="AZ538" s="28"/>
      <c r="BA538" s="28"/>
      <c r="BB538" s="28"/>
    </row>
    <row r="539" spans="1:54" ht="12.75" x14ac:dyDescent="0.2">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c r="AA539" s="28"/>
      <c r="AB539" s="28"/>
      <c r="AC539" s="28"/>
      <c r="AD539" s="28"/>
      <c r="AE539" s="28"/>
      <c r="AF539" s="28"/>
      <c r="AG539" s="28"/>
      <c r="AH539" s="28"/>
      <c r="AI539" s="28"/>
      <c r="AJ539" s="28"/>
      <c r="AK539" s="28"/>
      <c r="AL539" s="28"/>
      <c r="AM539" s="28"/>
      <c r="AN539" s="28"/>
      <c r="AO539" s="28"/>
      <c r="AP539" s="28"/>
      <c r="AQ539" s="28"/>
      <c r="AR539" s="28"/>
      <c r="AS539" s="28"/>
      <c r="AT539" s="28"/>
      <c r="AU539" s="28"/>
      <c r="AV539" s="28"/>
      <c r="AW539" s="28"/>
      <c r="AX539" s="28"/>
      <c r="AY539" s="28"/>
      <c r="AZ539" s="28"/>
      <c r="BA539" s="28"/>
      <c r="BB539" s="28"/>
    </row>
    <row r="540" spans="1:54" ht="12.75" x14ac:dyDescent="0.2">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c r="AA540" s="28"/>
      <c r="AB540" s="28"/>
      <c r="AC540" s="28"/>
      <c r="AD540" s="28"/>
      <c r="AE540" s="28"/>
      <c r="AF540" s="28"/>
      <c r="AG540" s="28"/>
      <c r="AH540" s="28"/>
      <c r="AI540" s="28"/>
      <c r="AJ540" s="28"/>
      <c r="AK540" s="28"/>
      <c r="AL540" s="28"/>
      <c r="AM540" s="28"/>
      <c r="AN540" s="28"/>
      <c r="AO540" s="28"/>
      <c r="AP540" s="28"/>
      <c r="AQ540" s="28"/>
      <c r="AR540" s="28"/>
      <c r="AS540" s="28"/>
      <c r="AT540" s="28"/>
      <c r="AU540" s="28"/>
      <c r="AV540" s="28"/>
      <c r="AW540" s="28"/>
      <c r="AX540" s="28"/>
      <c r="AY540" s="28"/>
      <c r="AZ540" s="28"/>
      <c r="BA540" s="28"/>
      <c r="BB540" s="28"/>
    </row>
    <row r="541" spans="1:54" ht="12.75" x14ac:dyDescent="0.2">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c r="AA541" s="28"/>
      <c r="AB541" s="28"/>
      <c r="AC541" s="28"/>
      <c r="AD541" s="28"/>
      <c r="AE541" s="28"/>
      <c r="AF541" s="28"/>
      <c r="AG541" s="28"/>
      <c r="AH541" s="28"/>
      <c r="AI541" s="28"/>
      <c r="AJ541" s="28"/>
      <c r="AK541" s="28"/>
      <c r="AL541" s="28"/>
      <c r="AM541" s="28"/>
      <c r="AN541" s="28"/>
      <c r="AO541" s="28"/>
      <c r="AP541" s="28"/>
      <c r="AQ541" s="28"/>
      <c r="AR541" s="28"/>
      <c r="AS541" s="28"/>
      <c r="AT541" s="28"/>
      <c r="AU541" s="28"/>
      <c r="AV541" s="28"/>
      <c r="AW541" s="28"/>
      <c r="AX541" s="28"/>
      <c r="AY541" s="28"/>
      <c r="AZ541" s="28"/>
      <c r="BA541" s="28"/>
      <c r="BB541" s="28"/>
    </row>
    <row r="542" spans="1:54" ht="12.75" x14ac:dyDescent="0.2">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c r="AA542" s="28"/>
      <c r="AB542" s="28"/>
      <c r="AC542" s="28"/>
      <c r="AD542" s="28"/>
      <c r="AE542" s="28"/>
      <c r="AF542" s="28"/>
      <c r="AG542" s="28"/>
      <c r="AH542" s="28"/>
      <c r="AI542" s="28"/>
      <c r="AJ542" s="28"/>
      <c r="AK542" s="28"/>
      <c r="AL542" s="28"/>
      <c r="AM542" s="28"/>
      <c r="AN542" s="28"/>
      <c r="AO542" s="28"/>
      <c r="AP542" s="28"/>
      <c r="AQ542" s="28"/>
      <c r="AR542" s="28"/>
      <c r="AS542" s="28"/>
      <c r="AT542" s="28"/>
      <c r="AU542" s="28"/>
      <c r="AV542" s="28"/>
      <c r="AW542" s="28"/>
      <c r="AX542" s="28"/>
      <c r="AY542" s="28"/>
      <c r="AZ542" s="28"/>
      <c r="BA542" s="28"/>
      <c r="BB542" s="28"/>
    </row>
    <row r="543" spans="1:54" ht="12.75" x14ac:dyDescent="0.2">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8"/>
      <c r="AE543" s="28"/>
      <c r="AF543" s="28"/>
      <c r="AG543" s="28"/>
      <c r="AH543" s="28"/>
      <c r="AI543" s="28"/>
      <c r="AJ543" s="28"/>
      <c r="AK543" s="28"/>
      <c r="AL543" s="28"/>
      <c r="AM543" s="28"/>
      <c r="AN543" s="28"/>
      <c r="AO543" s="28"/>
      <c r="AP543" s="28"/>
      <c r="AQ543" s="28"/>
      <c r="AR543" s="28"/>
      <c r="AS543" s="28"/>
      <c r="AT543" s="28"/>
      <c r="AU543" s="28"/>
      <c r="AV543" s="28"/>
      <c r="AW543" s="28"/>
      <c r="AX543" s="28"/>
      <c r="AY543" s="28"/>
      <c r="AZ543" s="28"/>
      <c r="BA543" s="28"/>
      <c r="BB543" s="28"/>
    </row>
    <row r="544" spans="1:54" ht="12.75" x14ac:dyDescent="0.2">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c r="AA544" s="28"/>
      <c r="AB544" s="28"/>
      <c r="AC544" s="28"/>
      <c r="AD544" s="28"/>
      <c r="AE544" s="28"/>
      <c r="AF544" s="28"/>
      <c r="AG544" s="28"/>
      <c r="AH544" s="28"/>
      <c r="AI544" s="28"/>
      <c r="AJ544" s="28"/>
      <c r="AK544" s="28"/>
      <c r="AL544" s="28"/>
      <c r="AM544" s="28"/>
      <c r="AN544" s="28"/>
      <c r="AO544" s="28"/>
      <c r="AP544" s="28"/>
      <c r="AQ544" s="28"/>
      <c r="AR544" s="28"/>
      <c r="AS544" s="28"/>
      <c r="AT544" s="28"/>
      <c r="AU544" s="28"/>
      <c r="AV544" s="28"/>
      <c r="AW544" s="28"/>
      <c r="AX544" s="28"/>
      <c r="AY544" s="28"/>
      <c r="AZ544" s="28"/>
      <c r="BA544" s="28"/>
      <c r="BB544" s="28"/>
    </row>
    <row r="545" spans="1:54" ht="12.75" x14ac:dyDescent="0.2">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c r="AA545" s="28"/>
      <c r="AB545" s="28"/>
      <c r="AC545" s="28"/>
      <c r="AD545" s="28"/>
      <c r="AE545" s="28"/>
      <c r="AF545" s="28"/>
      <c r="AG545" s="28"/>
      <c r="AH545" s="28"/>
      <c r="AI545" s="28"/>
      <c r="AJ545" s="28"/>
      <c r="AK545" s="28"/>
      <c r="AL545" s="28"/>
      <c r="AM545" s="28"/>
      <c r="AN545" s="28"/>
      <c r="AO545" s="28"/>
      <c r="AP545" s="28"/>
      <c r="AQ545" s="28"/>
      <c r="AR545" s="28"/>
      <c r="AS545" s="28"/>
      <c r="AT545" s="28"/>
      <c r="AU545" s="28"/>
      <c r="AV545" s="28"/>
      <c r="AW545" s="28"/>
      <c r="AX545" s="28"/>
      <c r="AY545" s="28"/>
      <c r="AZ545" s="28"/>
      <c r="BA545" s="28"/>
      <c r="BB545" s="28"/>
    </row>
    <row r="546" spans="1:54" ht="12.75" x14ac:dyDescent="0.2">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c r="AA546" s="28"/>
      <c r="AB546" s="28"/>
      <c r="AC546" s="28"/>
      <c r="AD546" s="28"/>
      <c r="AE546" s="28"/>
      <c r="AF546" s="28"/>
      <c r="AG546" s="28"/>
      <c r="AH546" s="28"/>
      <c r="AI546" s="28"/>
      <c r="AJ546" s="28"/>
      <c r="AK546" s="28"/>
      <c r="AL546" s="28"/>
      <c r="AM546" s="28"/>
      <c r="AN546" s="28"/>
      <c r="AO546" s="28"/>
      <c r="AP546" s="28"/>
      <c r="AQ546" s="28"/>
      <c r="AR546" s="28"/>
      <c r="AS546" s="28"/>
      <c r="AT546" s="28"/>
      <c r="AU546" s="28"/>
      <c r="AV546" s="28"/>
      <c r="AW546" s="28"/>
      <c r="AX546" s="28"/>
      <c r="AY546" s="28"/>
      <c r="AZ546" s="28"/>
      <c r="BA546" s="28"/>
      <c r="BB546" s="28"/>
    </row>
    <row r="547" spans="1:54" ht="12.75" x14ac:dyDescent="0.2">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c r="AA547" s="28"/>
      <c r="AB547" s="28"/>
      <c r="AC547" s="28"/>
      <c r="AD547" s="28"/>
      <c r="AE547" s="28"/>
      <c r="AF547" s="28"/>
      <c r="AG547" s="28"/>
      <c r="AH547" s="28"/>
      <c r="AI547" s="28"/>
      <c r="AJ547" s="28"/>
      <c r="AK547" s="28"/>
      <c r="AL547" s="28"/>
      <c r="AM547" s="28"/>
      <c r="AN547" s="28"/>
      <c r="AO547" s="28"/>
      <c r="AP547" s="28"/>
      <c r="AQ547" s="28"/>
      <c r="AR547" s="28"/>
      <c r="AS547" s="28"/>
      <c r="AT547" s="28"/>
      <c r="AU547" s="28"/>
      <c r="AV547" s="28"/>
      <c r="AW547" s="28"/>
      <c r="AX547" s="28"/>
      <c r="AY547" s="28"/>
      <c r="AZ547" s="28"/>
      <c r="BA547" s="28"/>
      <c r="BB547" s="28"/>
    </row>
    <row r="548" spans="1:54" ht="12.75" x14ac:dyDescent="0.2">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c r="AA548" s="28"/>
      <c r="AB548" s="28"/>
      <c r="AC548" s="28"/>
      <c r="AD548" s="28"/>
      <c r="AE548" s="28"/>
      <c r="AF548" s="28"/>
      <c r="AG548" s="28"/>
      <c r="AH548" s="28"/>
      <c r="AI548" s="28"/>
      <c r="AJ548" s="28"/>
      <c r="AK548" s="28"/>
      <c r="AL548" s="28"/>
      <c r="AM548" s="28"/>
      <c r="AN548" s="28"/>
      <c r="AO548" s="28"/>
      <c r="AP548" s="28"/>
      <c r="AQ548" s="28"/>
      <c r="AR548" s="28"/>
      <c r="AS548" s="28"/>
      <c r="AT548" s="28"/>
      <c r="AU548" s="28"/>
      <c r="AV548" s="28"/>
      <c r="AW548" s="28"/>
      <c r="AX548" s="28"/>
      <c r="AY548" s="28"/>
      <c r="AZ548" s="28"/>
      <c r="BA548" s="28"/>
      <c r="BB548" s="28"/>
    </row>
    <row r="549" spans="1:54" ht="12.75" x14ac:dyDescent="0.2">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c r="AA549" s="28"/>
      <c r="AB549" s="28"/>
      <c r="AC549" s="28"/>
      <c r="AD549" s="28"/>
      <c r="AE549" s="28"/>
      <c r="AF549" s="28"/>
      <c r="AG549" s="28"/>
      <c r="AH549" s="28"/>
      <c r="AI549" s="28"/>
      <c r="AJ549" s="28"/>
      <c r="AK549" s="28"/>
      <c r="AL549" s="28"/>
      <c r="AM549" s="28"/>
      <c r="AN549" s="28"/>
      <c r="AO549" s="28"/>
      <c r="AP549" s="28"/>
      <c r="AQ549" s="28"/>
      <c r="AR549" s="28"/>
      <c r="AS549" s="28"/>
      <c r="AT549" s="28"/>
      <c r="AU549" s="28"/>
      <c r="AV549" s="28"/>
      <c r="AW549" s="28"/>
      <c r="AX549" s="28"/>
      <c r="AY549" s="28"/>
      <c r="AZ549" s="28"/>
      <c r="BA549" s="28"/>
      <c r="BB549" s="28"/>
    </row>
    <row r="550" spans="1:54" ht="12.75" x14ac:dyDescent="0.2">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8"/>
      <c r="AG550" s="28"/>
      <c r="AH550" s="28"/>
      <c r="AI550" s="28"/>
      <c r="AJ550" s="28"/>
      <c r="AK550" s="28"/>
      <c r="AL550" s="28"/>
      <c r="AM550" s="28"/>
      <c r="AN550" s="28"/>
      <c r="AO550" s="28"/>
      <c r="AP550" s="28"/>
      <c r="AQ550" s="28"/>
      <c r="AR550" s="28"/>
      <c r="AS550" s="28"/>
      <c r="AT550" s="28"/>
      <c r="AU550" s="28"/>
      <c r="AV550" s="28"/>
      <c r="AW550" s="28"/>
      <c r="AX550" s="28"/>
      <c r="AY550" s="28"/>
      <c r="AZ550" s="28"/>
      <c r="BA550" s="28"/>
      <c r="BB550" s="28"/>
    </row>
    <row r="551" spans="1:54" ht="12.75" x14ac:dyDescent="0.2">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c r="AA551" s="28"/>
      <c r="AB551" s="28"/>
      <c r="AC551" s="28"/>
      <c r="AD551" s="28"/>
      <c r="AE551" s="28"/>
      <c r="AF551" s="28"/>
      <c r="AG551" s="28"/>
      <c r="AH551" s="28"/>
      <c r="AI551" s="28"/>
      <c r="AJ551" s="28"/>
      <c r="AK551" s="28"/>
      <c r="AL551" s="28"/>
      <c r="AM551" s="28"/>
      <c r="AN551" s="28"/>
      <c r="AO551" s="28"/>
      <c r="AP551" s="28"/>
      <c r="AQ551" s="28"/>
      <c r="AR551" s="28"/>
      <c r="AS551" s="28"/>
      <c r="AT551" s="28"/>
      <c r="AU551" s="28"/>
      <c r="AV551" s="28"/>
      <c r="AW551" s="28"/>
      <c r="AX551" s="28"/>
      <c r="AY551" s="28"/>
      <c r="AZ551" s="28"/>
      <c r="BA551" s="28"/>
      <c r="BB551" s="28"/>
    </row>
    <row r="552" spans="1:54" ht="12.75" x14ac:dyDescent="0.2">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c r="AA552" s="28"/>
      <c r="AB552" s="28"/>
      <c r="AC552" s="28"/>
      <c r="AD552" s="28"/>
      <c r="AE552" s="28"/>
      <c r="AF552" s="28"/>
      <c r="AG552" s="28"/>
      <c r="AH552" s="28"/>
      <c r="AI552" s="28"/>
      <c r="AJ552" s="28"/>
      <c r="AK552" s="28"/>
      <c r="AL552" s="28"/>
      <c r="AM552" s="28"/>
      <c r="AN552" s="28"/>
      <c r="AO552" s="28"/>
      <c r="AP552" s="28"/>
      <c r="AQ552" s="28"/>
      <c r="AR552" s="28"/>
      <c r="AS552" s="28"/>
      <c r="AT552" s="28"/>
      <c r="AU552" s="28"/>
      <c r="AV552" s="28"/>
      <c r="AW552" s="28"/>
      <c r="AX552" s="28"/>
      <c r="AY552" s="28"/>
      <c r="AZ552" s="28"/>
      <c r="BA552" s="28"/>
      <c r="BB552" s="28"/>
    </row>
    <row r="553" spans="1:54" ht="12.75" x14ac:dyDescent="0.2">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c r="AA553" s="28"/>
      <c r="AB553" s="28"/>
      <c r="AC553" s="28"/>
      <c r="AD553" s="28"/>
      <c r="AE553" s="28"/>
      <c r="AF553" s="28"/>
      <c r="AG553" s="28"/>
      <c r="AH553" s="28"/>
      <c r="AI553" s="28"/>
      <c r="AJ553" s="28"/>
      <c r="AK553" s="28"/>
      <c r="AL553" s="28"/>
      <c r="AM553" s="28"/>
      <c r="AN553" s="28"/>
      <c r="AO553" s="28"/>
      <c r="AP553" s="28"/>
      <c r="AQ553" s="28"/>
      <c r="AR553" s="28"/>
      <c r="AS553" s="28"/>
      <c r="AT553" s="28"/>
      <c r="AU553" s="28"/>
      <c r="AV553" s="28"/>
      <c r="AW553" s="28"/>
      <c r="AX553" s="28"/>
      <c r="AY553" s="28"/>
      <c r="AZ553" s="28"/>
      <c r="BA553" s="28"/>
      <c r="BB553" s="28"/>
    </row>
    <row r="554" spans="1:54" ht="12.75" x14ac:dyDescent="0.2">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c r="AA554" s="28"/>
      <c r="AB554" s="28"/>
      <c r="AC554" s="28"/>
      <c r="AD554" s="28"/>
      <c r="AE554" s="28"/>
      <c r="AF554" s="28"/>
      <c r="AG554" s="28"/>
      <c r="AH554" s="28"/>
      <c r="AI554" s="28"/>
      <c r="AJ554" s="28"/>
      <c r="AK554" s="28"/>
      <c r="AL554" s="28"/>
      <c r="AM554" s="28"/>
      <c r="AN554" s="28"/>
      <c r="AO554" s="28"/>
      <c r="AP554" s="28"/>
      <c r="AQ554" s="28"/>
      <c r="AR554" s="28"/>
      <c r="AS554" s="28"/>
      <c r="AT554" s="28"/>
      <c r="AU554" s="28"/>
      <c r="AV554" s="28"/>
      <c r="AW554" s="28"/>
      <c r="AX554" s="28"/>
      <c r="AY554" s="28"/>
      <c r="AZ554" s="28"/>
      <c r="BA554" s="28"/>
      <c r="BB554" s="28"/>
    </row>
    <row r="555" spans="1:54" ht="12.75" x14ac:dyDescent="0.2">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c r="AA555" s="28"/>
      <c r="AB555" s="28"/>
      <c r="AC555" s="28"/>
      <c r="AD555" s="28"/>
      <c r="AE555" s="28"/>
      <c r="AF555" s="28"/>
      <c r="AG555" s="28"/>
      <c r="AH555" s="28"/>
      <c r="AI555" s="28"/>
      <c r="AJ555" s="28"/>
      <c r="AK555" s="28"/>
      <c r="AL555" s="28"/>
      <c r="AM555" s="28"/>
      <c r="AN555" s="28"/>
      <c r="AO555" s="28"/>
      <c r="AP555" s="28"/>
      <c r="AQ555" s="28"/>
      <c r="AR555" s="28"/>
      <c r="AS555" s="28"/>
      <c r="AT555" s="28"/>
      <c r="AU555" s="28"/>
      <c r="AV555" s="28"/>
      <c r="AW555" s="28"/>
      <c r="AX555" s="28"/>
      <c r="AY555" s="28"/>
      <c r="AZ555" s="28"/>
      <c r="BA555" s="28"/>
      <c r="BB555" s="28"/>
    </row>
    <row r="556" spans="1:54" ht="12.75" x14ac:dyDescent="0.2">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c r="AA556" s="28"/>
      <c r="AB556" s="28"/>
      <c r="AC556" s="28"/>
      <c r="AD556" s="28"/>
      <c r="AE556" s="28"/>
      <c r="AF556" s="28"/>
      <c r="AG556" s="28"/>
      <c r="AH556" s="28"/>
      <c r="AI556" s="28"/>
      <c r="AJ556" s="28"/>
      <c r="AK556" s="28"/>
      <c r="AL556" s="28"/>
      <c r="AM556" s="28"/>
      <c r="AN556" s="28"/>
      <c r="AO556" s="28"/>
      <c r="AP556" s="28"/>
      <c r="AQ556" s="28"/>
      <c r="AR556" s="28"/>
      <c r="AS556" s="28"/>
      <c r="AT556" s="28"/>
      <c r="AU556" s="28"/>
      <c r="AV556" s="28"/>
      <c r="AW556" s="28"/>
      <c r="AX556" s="28"/>
      <c r="AY556" s="28"/>
      <c r="AZ556" s="28"/>
      <c r="BA556" s="28"/>
      <c r="BB556" s="28"/>
    </row>
    <row r="557" spans="1:54" ht="12.75" x14ac:dyDescent="0.2">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c r="AA557" s="28"/>
      <c r="AB557" s="28"/>
      <c r="AC557" s="28"/>
      <c r="AD557" s="28"/>
      <c r="AE557" s="28"/>
      <c r="AF557" s="28"/>
      <c r="AG557" s="28"/>
      <c r="AH557" s="28"/>
      <c r="AI557" s="28"/>
      <c r="AJ557" s="28"/>
      <c r="AK557" s="28"/>
      <c r="AL557" s="28"/>
      <c r="AM557" s="28"/>
      <c r="AN557" s="28"/>
      <c r="AO557" s="28"/>
      <c r="AP557" s="28"/>
      <c r="AQ557" s="28"/>
      <c r="AR557" s="28"/>
      <c r="AS557" s="28"/>
      <c r="AT557" s="28"/>
      <c r="AU557" s="28"/>
      <c r="AV557" s="28"/>
      <c r="AW557" s="28"/>
      <c r="AX557" s="28"/>
      <c r="AY557" s="28"/>
      <c r="AZ557" s="28"/>
      <c r="BA557" s="28"/>
      <c r="BB557" s="28"/>
    </row>
    <row r="558" spans="1:54" ht="12.75" x14ac:dyDescent="0.2">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c r="AA558" s="28"/>
      <c r="AB558" s="28"/>
      <c r="AC558" s="28"/>
      <c r="AD558" s="28"/>
      <c r="AE558" s="28"/>
      <c r="AF558" s="28"/>
      <c r="AG558" s="28"/>
      <c r="AH558" s="28"/>
      <c r="AI558" s="28"/>
      <c r="AJ558" s="28"/>
      <c r="AK558" s="28"/>
      <c r="AL558" s="28"/>
      <c r="AM558" s="28"/>
      <c r="AN558" s="28"/>
      <c r="AO558" s="28"/>
      <c r="AP558" s="28"/>
      <c r="AQ558" s="28"/>
      <c r="AR558" s="28"/>
      <c r="AS558" s="28"/>
      <c r="AT558" s="28"/>
      <c r="AU558" s="28"/>
      <c r="AV558" s="28"/>
      <c r="AW558" s="28"/>
      <c r="AX558" s="28"/>
      <c r="AY558" s="28"/>
      <c r="AZ558" s="28"/>
      <c r="BA558" s="28"/>
      <c r="BB558" s="28"/>
    </row>
    <row r="559" spans="1:54" ht="12.75" x14ac:dyDescent="0.2">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c r="AA559" s="28"/>
      <c r="AB559" s="28"/>
      <c r="AC559" s="28"/>
      <c r="AD559" s="28"/>
      <c r="AE559" s="28"/>
      <c r="AF559" s="28"/>
      <c r="AG559" s="28"/>
      <c r="AH559" s="28"/>
      <c r="AI559" s="28"/>
      <c r="AJ559" s="28"/>
      <c r="AK559" s="28"/>
      <c r="AL559" s="28"/>
      <c r="AM559" s="28"/>
      <c r="AN559" s="28"/>
      <c r="AO559" s="28"/>
      <c r="AP559" s="28"/>
      <c r="AQ559" s="28"/>
      <c r="AR559" s="28"/>
      <c r="AS559" s="28"/>
      <c r="AT559" s="28"/>
      <c r="AU559" s="28"/>
      <c r="AV559" s="28"/>
      <c r="AW559" s="28"/>
      <c r="AX559" s="28"/>
      <c r="AY559" s="28"/>
      <c r="AZ559" s="28"/>
      <c r="BA559" s="28"/>
      <c r="BB559" s="28"/>
    </row>
    <row r="560" spans="1:54" ht="12.75" x14ac:dyDescent="0.2">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c r="AA560" s="28"/>
      <c r="AB560" s="28"/>
      <c r="AC560" s="28"/>
      <c r="AD560" s="28"/>
      <c r="AE560" s="28"/>
      <c r="AF560" s="28"/>
      <c r="AG560" s="28"/>
      <c r="AH560" s="28"/>
      <c r="AI560" s="28"/>
      <c r="AJ560" s="28"/>
      <c r="AK560" s="28"/>
      <c r="AL560" s="28"/>
      <c r="AM560" s="28"/>
      <c r="AN560" s="28"/>
      <c r="AO560" s="28"/>
      <c r="AP560" s="28"/>
      <c r="AQ560" s="28"/>
      <c r="AR560" s="28"/>
      <c r="AS560" s="28"/>
      <c r="AT560" s="28"/>
      <c r="AU560" s="28"/>
      <c r="AV560" s="28"/>
      <c r="AW560" s="28"/>
      <c r="AX560" s="28"/>
      <c r="AY560" s="28"/>
      <c r="AZ560" s="28"/>
      <c r="BA560" s="28"/>
      <c r="BB560" s="28"/>
    </row>
    <row r="561" spans="1:54" ht="12.75" x14ac:dyDescent="0.2">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c r="AA561" s="28"/>
      <c r="AB561" s="28"/>
      <c r="AC561" s="28"/>
      <c r="AD561" s="28"/>
      <c r="AE561" s="28"/>
      <c r="AF561" s="28"/>
      <c r="AG561" s="28"/>
      <c r="AH561" s="28"/>
      <c r="AI561" s="28"/>
      <c r="AJ561" s="28"/>
      <c r="AK561" s="28"/>
      <c r="AL561" s="28"/>
      <c r="AM561" s="28"/>
      <c r="AN561" s="28"/>
      <c r="AO561" s="28"/>
      <c r="AP561" s="28"/>
      <c r="AQ561" s="28"/>
      <c r="AR561" s="28"/>
      <c r="AS561" s="28"/>
      <c r="AT561" s="28"/>
      <c r="AU561" s="28"/>
      <c r="AV561" s="28"/>
      <c r="AW561" s="28"/>
      <c r="AX561" s="28"/>
      <c r="AY561" s="28"/>
      <c r="AZ561" s="28"/>
      <c r="BA561" s="28"/>
      <c r="BB561" s="28"/>
    </row>
    <row r="562" spans="1:54" ht="12.75" x14ac:dyDescent="0.2">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c r="AA562" s="28"/>
      <c r="AB562" s="28"/>
      <c r="AC562" s="28"/>
      <c r="AD562" s="28"/>
      <c r="AE562" s="28"/>
      <c r="AF562" s="28"/>
      <c r="AG562" s="28"/>
      <c r="AH562" s="28"/>
      <c r="AI562" s="28"/>
      <c r="AJ562" s="28"/>
      <c r="AK562" s="28"/>
      <c r="AL562" s="28"/>
      <c r="AM562" s="28"/>
      <c r="AN562" s="28"/>
      <c r="AO562" s="28"/>
      <c r="AP562" s="28"/>
      <c r="AQ562" s="28"/>
      <c r="AR562" s="28"/>
      <c r="AS562" s="28"/>
      <c r="AT562" s="28"/>
      <c r="AU562" s="28"/>
      <c r="AV562" s="28"/>
      <c r="AW562" s="28"/>
      <c r="AX562" s="28"/>
      <c r="AY562" s="28"/>
      <c r="AZ562" s="28"/>
      <c r="BA562" s="28"/>
      <c r="BB562" s="28"/>
    </row>
    <row r="563" spans="1:54" ht="12.75" x14ac:dyDescent="0.2">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c r="AA563" s="28"/>
      <c r="AB563" s="28"/>
      <c r="AC563" s="28"/>
      <c r="AD563" s="28"/>
      <c r="AE563" s="28"/>
      <c r="AF563" s="28"/>
      <c r="AG563" s="28"/>
      <c r="AH563" s="28"/>
      <c r="AI563" s="28"/>
      <c r="AJ563" s="28"/>
      <c r="AK563" s="28"/>
      <c r="AL563" s="28"/>
      <c r="AM563" s="28"/>
      <c r="AN563" s="28"/>
      <c r="AO563" s="28"/>
      <c r="AP563" s="28"/>
      <c r="AQ563" s="28"/>
      <c r="AR563" s="28"/>
      <c r="AS563" s="28"/>
      <c r="AT563" s="28"/>
      <c r="AU563" s="28"/>
      <c r="AV563" s="28"/>
      <c r="AW563" s="28"/>
      <c r="AX563" s="28"/>
      <c r="AY563" s="28"/>
      <c r="AZ563" s="28"/>
      <c r="BA563" s="28"/>
      <c r="BB563" s="28"/>
    </row>
    <row r="564" spans="1:54" ht="12.75" x14ac:dyDescent="0.2">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c r="AA564" s="28"/>
      <c r="AB564" s="28"/>
      <c r="AC564" s="28"/>
      <c r="AD564" s="28"/>
      <c r="AE564" s="28"/>
      <c r="AF564" s="28"/>
      <c r="AG564" s="28"/>
      <c r="AH564" s="28"/>
      <c r="AI564" s="28"/>
      <c r="AJ564" s="28"/>
      <c r="AK564" s="28"/>
      <c r="AL564" s="28"/>
      <c r="AM564" s="28"/>
      <c r="AN564" s="28"/>
      <c r="AO564" s="28"/>
      <c r="AP564" s="28"/>
      <c r="AQ564" s="28"/>
      <c r="AR564" s="28"/>
      <c r="AS564" s="28"/>
      <c r="AT564" s="28"/>
      <c r="AU564" s="28"/>
      <c r="AV564" s="28"/>
      <c r="AW564" s="28"/>
      <c r="AX564" s="28"/>
      <c r="AY564" s="28"/>
      <c r="AZ564" s="28"/>
      <c r="BA564" s="28"/>
      <c r="BB564" s="28"/>
    </row>
    <row r="565" spans="1:54" ht="12.75" x14ac:dyDescent="0.2">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c r="AA565" s="28"/>
      <c r="AB565" s="28"/>
      <c r="AC565" s="28"/>
      <c r="AD565" s="28"/>
      <c r="AE565" s="28"/>
      <c r="AF565" s="28"/>
      <c r="AG565" s="28"/>
      <c r="AH565" s="28"/>
      <c r="AI565" s="28"/>
      <c r="AJ565" s="28"/>
      <c r="AK565" s="28"/>
      <c r="AL565" s="28"/>
      <c r="AM565" s="28"/>
      <c r="AN565" s="28"/>
      <c r="AO565" s="28"/>
      <c r="AP565" s="28"/>
      <c r="AQ565" s="28"/>
      <c r="AR565" s="28"/>
      <c r="AS565" s="28"/>
      <c r="AT565" s="28"/>
      <c r="AU565" s="28"/>
      <c r="AV565" s="28"/>
      <c r="AW565" s="28"/>
      <c r="AX565" s="28"/>
      <c r="AY565" s="28"/>
      <c r="AZ565" s="28"/>
      <c r="BA565" s="28"/>
      <c r="BB565" s="28"/>
    </row>
    <row r="566" spans="1:54" ht="12.75" x14ac:dyDescent="0.2">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c r="AA566" s="28"/>
      <c r="AB566" s="28"/>
      <c r="AC566" s="28"/>
      <c r="AD566" s="28"/>
      <c r="AE566" s="28"/>
      <c r="AF566" s="28"/>
      <c r="AG566" s="28"/>
      <c r="AH566" s="28"/>
      <c r="AI566" s="28"/>
      <c r="AJ566" s="28"/>
      <c r="AK566" s="28"/>
      <c r="AL566" s="28"/>
      <c r="AM566" s="28"/>
      <c r="AN566" s="28"/>
      <c r="AO566" s="28"/>
      <c r="AP566" s="28"/>
      <c r="AQ566" s="28"/>
      <c r="AR566" s="28"/>
      <c r="AS566" s="28"/>
      <c r="AT566" s="28"/>
      <c r="AU566" s="28"/>
      <c r="AV566" s="28"/>
      <c r="AW566" s="28"/>
      <c r="AX566" s="28"/>
      <c r="AY566" s="28"/>
      <c r="AZ566" s="28"/>
      <c r="BA566" s="28"/>
      <c r="BB566" s="28"/>
    </row>
    <row r="567" spans="1:54" ht="12.75" x14ac:dyDescent="0.2">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c r="AA567" s="28"/>
      <c r="AB567" s="28"/>
      <c r="AC567" s="28"/>
      <c r="AD567" s="28"/>
      <c r="AE567" s="28"/>
      <c r="AF567" s="28"/>
      <c r="AG567" s="28"/>
      <c r="AH567" s="28"/>
      <c r="AI567" s="28"/>
      <c r="AJ567" s="28"/>
      <c r="AK567" s="28"/>
      <c r="AL567" s="28"/>
      <c r="AM567" s="28"/>
      <c r="AN567" s="28"/>
      <c r="AO567" s="28"/>
      <c r="AP567" s="28"/>
      <c r="AQ567" s="28"/>
      <c r="AR567" s="28"/>
      <c r="AS567" s="28"/>
      <c r="AT567" s="28"/>
      <c r="AU567" s="28"/>
      <c r="AV567" s="28"/>
      <c r="AW567" s="28"/>
      <c r="AX567" s="28"/>
      <c r="AY567" s="28"/>
      <c r="AZ567" s="28"/>
      <c r="BA567" s="28"/>
      <c r="BB567" s="28"/>
    </row>
    <row r="568" spans="1:54" ht="12.75" x14ac:dyDescent="0.2">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c r="AA568" s="28"/>
      <c r="AB568" s="28"/>
      <c r="AC568" s="28"/>
      <c r="AD568" s="28"/>
      <c r="AE568" s="28"/>
      <c r="AF568" s="28"/>
      <c r="AG568" s="28"/>
      <c r="AH568" s="28"/>
      <c r="AI568" s="28"/>
      <c r="AJ568" s="28"/>
      <c r="AK568" s="28"/>
      <c r="AL568" s="28"/>
      <c r="AM568" s="28"/>
      <c r="AN568" s="28"/>
      <c r="AO568" s="28"/>
      <c r="AP568" s="28"/>
      <c r="AQ568" s="28"/>
      <c r="AR568" s="28"/>
      <c r="AS568" s="28"/>
      <c r="AT568" s="28"/>
      <c r="AU568" s="28"/>
      <c r="AV568" s="28"/>
      <c r="AW568" s="28"/>
      <c r="AX568" s="28"/>
      <c r="AY568" s="28"/>
      <c r="AZ568" s="28"/>
      <c r="BA568" s="28"/>
      <c r="BB568" s="28"/>
    </row>
    <row r="569" spans="1:54" ht="12.75" x14ac:dyDescent="0.2">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c r="AA569" s="28"/>
      <c r="AB569" s="28"/>
      <c r="AC569" s="28"/>
      <c r="AD569" s="28"/>
      <c r="AE569" s="28"/>
      <c r="AF569" s="28"/>
      <c r="AG569" s="28"/>
      <c r="AH569" s="28"/>
      <c r="AI569" s="28"/>
      <c r="AJ569" s="28"/>
      <c r="AK569" s="28"/>
      <c r="AL569" s="28"/>
      <c r="AM569" s="28"/>
      <c r="AN569" s="28"/>
      <c r="AO569" s="28"/>
      <c r="AP569" s="28"/>
      <c r="AQ569" s="28"/>
      <c r="AR569" s="28"/>
      <c r="AS569" s="28"/>
      <c r="AT569" s="28"/>
      <c r="AU569" s="28"/>
      <c r="AV569" s="28"/>
      <c r="AW569" s="28"/>
      <c r="AX569" s="28"/>
      <c r="AY569" s="28"/>
      <c r="AZ569" s="28"/>
      <c r="BA569" s="28"/>
      <c r="BB569" s="28"/>
    </row>
    <row r="570" spans="1:54" ht="12.75" x14ac:dyDescent="0.2">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c r="AA570" s="28"/>
      <c r="AB570" s="28"/>
      <c r="AC570" s="28"/>
      <c r="AD570" s="28"/>
      <c r="AE570" s="28"/>
      <c r="AF570" s="28"/>
      <c r="AG570" s="28"/>
      <c r="AH570" s="28"/>
      <c r="AI570" s="28"/>
      <c r="AJ570" s="28"/>
      <c r="AK570" s="28"/>
      <c r="AL570" s="28"/>
      <c r="AM570" s="28"/>
      <c r="AN570" s="28"/>
      <c r="AO570" s="28"/>
      <c r="AP570" s="28"/>
      <c r="AQ570" s="28"/>
      <c r="AR570" s="28"/>
      <c r="AS570" s="28"/>
      <c r="AT570" s="28"/>
      <c r="AU570" s="28"/>
      <c r="AV570" s="28"/>
      <c r="AW570" s="28"/>
      <c r="AX570" s="28"/>
      <c r="AY570" s="28"/>
      <c r="AZ570" s="28"/>
      <c r="BA570" s="28"/>
      <c r="BB570" s="28"/>
    </row>
    <row r="571" spans="1:54" ht="12.75" x14ac:dyDescent="0.2">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c r="AA571" s="28"/>
      <c r="AB571" s="28"/>
      <c r="AC571" s="28"/>
      <c r="AD571" s="28"/>
      <c r="AE571" s="28"/>
      <c r="AF571" s="28"/>
      <c r="AG571" s="28"/>
      <c r="AH571" s="28"/>
      <c r="AI571" s="28"/>
      <c r="AJ571" s="28"/>
      <c r="AK571" s="28"/>
      <c r="AL571" s="28"/>
      <c r="AM571" s="28"/>
      <c r="AN571" s="28"/>
      <c r="AO571" s="28"/>
      <c r="AP571" s="28"/>
      <c r="AQ571" s="28"/>
      <c r="AR571" s="28"/>
      <c r="AS571" s="28"/>
      <c r="AT571" s="28"/>
      <c r="AU571" s="28"/>
      <c r="AV571" s="28"/>
      <c r="AW571" s="28"/>
      <c r="AX571" s="28"/>
      <c r="AY571" s="28"/>
      <c r="AZ571" s="28"/>
      <c r="BA571" s="28"/>
      <c r="BB571" s="28"/>
    </row>
    <row r="572" spans="1:54" ht="12.75" x14ac:dyDescent="0.2">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c r="AE572" s="28"/>
      <c r="AF572" s="28"/>
      <c r="AG572" s="28"/>
      <c r="AH572" s="28"/>
      <c r="AI572" s="28"/>
      <c r="AJ572" s="28"/>
      <c r="AK572" s="28"/>
      <c r="AL572" s="28"/>
      <c r="AM572" s="28"/>
      <c r="AN572" s="28"/>
      <c r="AO572" s="28"/>
      <c r="AP572" s="28"/>
      <c r="AQ572" s="28"/>
      <c r="AR572" s="28"/>
      <c r="AS572" s="28"/>
      <c r="AT572" s="28"/>
      <c r="AU572" s="28"/>
      <c r="AV572" s="28"/>
      <c r="AW572" s="28"/>
      <c r="AX572" s="28"/>
      <c r="AY572" s="28"/>
      <c r="AZ572" s="28"/>
      <c r="BA572" s="28"/>
      <c r="BB572" s="28"/>
    </row>
    <row r="573" spans="1:54" ht="12.75" x14ac:dyDescent="0.2">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c r="AA573" s="28"/>
      <c r="AB573" s="28"/>
      <c r="AC573" s="28"/>
      <c r="AD573" s="28"/>
      <c r="AE573" s="28"/>
      <c r="AF573" s="28"/>
      <c r="AG573" s="28"/>
      <c r="AH573" s="28"/>
      <c r="AI573" s="28"/>
      <c r="AJ573" s="28"/>
      <c r="AK573" s="28"/>
      <c r="AL573" s="28"/>
      <c r="AM573" s="28"/>
      <c r="AN573" s="28"/>
      <c r="AO573" s="28"/>
      <c r="AP573" s="28"/>
      <c r="AQ573" s="28"/>
      <c r="AR573" s="28"/>
      <c r="AS573" s="28"/>
      <c r="AT573" s="28"/>
      <c r="AU573" s="28"/>
      <c r="AV573" s="28"/>
      <c r="AW573" s="28"/>
      <c r="AX573" s="28"/>
      <c r="AY573" s="28"/>
      <c r="AZ573" s="28"/>
      <c r="BA573" s="28"/>
      <c r="BB573" s="28"/>
    </row>
    <row r="574" spans="1:54" ht="12.75" x14ac:dyDescent="0.2">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c r="AA574" s="28"/>
      <c r="AB574" s="28"/>
      <c r="AC574" s="28"/>
      <c r="AD574" s="28"/>
      <c r="AE574" s="28"/>
      <c r="AF574" s="28"/>
      <c r="AG574" s="28"/>
      <c r="AH574" s="28"/>
      <c r="AI574" s="28"/>
      <c r="AJ574" s="28"/>
      <c r="AK574" s="28"/>
      <c r="AL574" s="28"/>
      <c r="AM574" s="28"/>
      <c r="AN574" s="28"/>
      <c r="AO574" s="28"/>
      <c r="AP574" s="28"/>
      <c r="AQ574" s="28"/>
      <c r="AR574" s="28"/>
      <c r="AS574" s="28"/>
      <c r="AT574" s="28"/>
      <c r="AU574" s="28"/>
      <c r="AV574" s="28"/>
      <c r="AW574" s="28"/>
      <c r="AX574" s="28"/>
      <c r="AY574" s="28"/>
      <c r="AZ574" s="28"/>
      <c r="BA574" s="28"/>
      <c r="BB574" s="28"/>
    </row>
    <row r="575" spans="1:54" ht="12.75" x14ac:dyDescent="0.2">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c r="AA575" s="28"/>
      <c r="AB575" s="28"/>
      <c r="AC575" s="28"/>
      <c r="AD575" s="28"/>
      <c r="AE575" s="28"/>
      <c r="AF575" s="28"/>
      <c r="AG575" s="28"/>
      <c r="AH575" s="28"/>
      <c r="AI575" s="28"/>
      <c r="AJ575" s="28"/>
      <c r="AK575" s="28"/>
      <c r="AL575" s="28"/>
      <c r="AM575" s="28"/>
      <c r="AN575" s="28"/>
      <c r="AO575" s="28"/>
      <c r="AP575" s="28"/>
      <c r="AQ575" s="28"/>
      <c r="AR575" s="28"/>
      <c r="AS575" s="28"/>
      <c r="AT575" s="28"/>
      <c r="AU575" s="28"/>
      <c r="AV575" s="28"/>
      <c r="AW575" s="28"/>
      <c r="AX575" s="28"/>
      <c r="AY575" s="28"/>
      <c r="AZ575" s="28"/>
      <c r="BA575" s="28"/>
      <c r="BB575" s="28"/>
    </row>
    <row r="576" spans="1:54" ht="12.75" x14ac:dyDescent="0.2">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c r="AA576" s="28"/>
      <c r="AB576" s="28"/>
      <c r="AC576" s="28"/>
      <c r="AD576" s="28"/>
      <c r="AE576" s="28"/>
      <c r="AF576" s="28"/>
      <c r="AG576" s="28"/>
      <c r="AH576" s="28"/>
      <c r="AI576" s="28"/>
      <c r="AJ576" s="28"/>
      <c r="AK576" s="28"/>
      <c r="AL576" s="28"/>
      <c r="AM576" s="28"/>
      <c r="AN576" s="28"/>
      <c r="AO576" s="28"/>
      <c r="AP576" s="28"/>
      <c r="AQ576" s="28"/>
      <c r="AR576" s="28"/>
      <c r="AS576" s="28"/>
      <c r="AT576" s="28"/>
      <c r="AU576" s="28"/>
      <c r="AV576" s="28"/>
      <c r="AW576" s="28"/>
      <c r="AX576" s="28"/>
      <c r="AY576" s="28"/>
      <c r="AZ576" s="28"/>
      <c r="BA576" s="28"/>
      <c r="BB576" s="28"/>
    </row>
    <row r="577" spans="1:54" ht="12.75" x14ac:dyDescent="0.2">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c r="AA577" s="28"/>
      <c r="AB577" s="28"/>
      <c r="AC577" s="28"/>
      <c r="AD577" s="28"/>
      <c r="AE577" s="28"/>
      <c r="AF577" s="28"/>
      <c r="AG577" s="28"/>
      <c r="AH577" s="28"/>
      <c r="AI577" s="28"/>
      <c r="AJ577" s="28"/>
      <c r="AK577" s="28"/>
      <c r="AL577" s="28"/>
      <c r="AM577" s="28"/>
      <c r="AN577" s="28"/>
      <c r="AO577" s="28"/>
      <c r="AP577" s="28"/>
      <c r="AQ577" s="28"/>
      <c r="AR577" s="28"/>
      <c r="AS577" s="28"/>
      <c r="AT577" s="28"/>
      <c r="AU577" s="28"/>
      <c r="AV577" s="28"/>
      <c r="AW577" s="28"/>
      <c r="AX577" s="28"/>
      <c r="AY577" s="28"/>
      <c r="AZ577" s="28"/>
      <c r="BA577" s="28"/>
      <c r="BB577" s="28"/>
    </row>
    <row r="578" spans="1:54" ht="12.75" x14ac:dyDescent="0.2">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c r="AA578" s="28"/>
      <c r="AB578" s="28"/>
      <c r="AC578" s="28"/>
      <c r="AD578" s="28"/>
      <c r="AE578" s="28"/>
      <c r="AF578" s="28"/>
      <c r="AG578" s="28"/>
      <c r="AH578" s="28"/>
      <c r="AI578" s="28"/>
      <c r="AJ578" s="28"/>
      <c r="AK578" s="28"/>
      <c r="AL578" s="28"/>
      <c r="AM578" s="28"/>
      <c r="AN578" s="28"/>
      <c r="AO578" s="28"/>
      <c r="AP578" s="28"/>
      <c r="AQ578" s="28"/>
      <c r="AR578" s="28"/>
      <c r="AS578" s="28"/>
      <c r="AT578" s="28"/>
      <c r="AU578" s="28"/>
      <c r="AV578" s="28"/>
      <c r="AW578" s="28"/>
      <c r="AX578" s="28"/>
      <c r="AY578" s="28"/>
      <c r="AZ578" s="28"/>
      <c r="BA578" s="28"/>
      <c r="BB578" s="28"/>
    </row>
    <row r="579" spans="1:54" ht="12.75" x14ac:dyDescent="0.2">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c r="AA579" s="28"/>
      <c r="AB579" s="28"/>
      <c r="AC579" s="28"/>
      <c r="AD579" s="28"/>
      <c r="AE579" s="28"/>
      <c r="AF579" s="28"/>
      <c r="AG579" s="28"/>
      <c r="AH579" s="28"/>
      <c r="AI579" s="28"/>
      <c r="AJ579" s="28"/>
      <c r="AK579" s="28"/>
      <c r="AL579" s="28"/>
      <c r="AM579" s="28"/>
      <c r="AN579" s="28"/>
      <c r="AO579" s="28"/>
      <c r="AP579" s="28"/>
      <c r="AQ579" s="28"/>
      <c r="AR579" s="28"/>
      <c r="AS579" s="28"/>
      <c r="AT579" s="28"/>
      <c r="AU579" s="28"/>
      <c r="AV579" s="28"/>
      <c r="AW579" s="28"/>
      <c r="AX579" s="28"/>
      <c r="AY579" s="28"/>
      <c r="AZ579" s="28"/>
      <c r="BA579" s="28"/>
      <c r="BB579" s="28"/>
    </row>
    <row r="580" spans="1:54" ht="12.75" x14ac:dyDescent="0.2">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c r="AA580" s="28"/>
      <c r="AB580" s="28"/>
      <c r="AC580" s="28"/>
      <c r="AD580" s="28"/>
      <c r="AE580" s="28"/>
      <c r="AF580" s="28"/>
      <c r="AG580" s="28"/>
      <c r="AH580" s="28"/>
      <c r="AI580" s="28"/>
      <c r="AJ580" s="28"/>
      <c r="AK580" s="28"/>
      <c r="AL580" s="28"/>
      <c r="AM580" s="28"/>
      <c r="AN580" s="28"/>
      <c r="AO580" s="28"/>
      <c r="AP580" s="28"/>
      <c r="AQ580" s="28"/>
      <c r="AR580" s="28"/>
      <c r="AS580" s="28"/>
      <c r="AT580" s="28"/>
      <c r="AU580" s="28"/>
      <c r="AV580" s="28"/>
      <c r="AW580" s="28"/>
      <c r="AX580" s="28"/>
      <c r="AY580" s="28"/>
      <c r="AZ580" s="28"/>
      <c r="BA580" s="28"/>
      <c r="BB580" s="28"/>
    </row>
    <row r="581" spans="1:54" ht="12.75" x14ac:dyDescent="0.2">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c r="AA581" s="28"/>
      <c r="AB581" s="28"/>
      <c r="AC581" s="28"/>
      <c r="AD581" s="28"/>
      <c r="AE581" s="28"/>
      <c r="AF581" s="28"/>
      <c r="AG581" s="28"/>
      <c r="AH581" s="28"/>
      <c r="AI581" s="28"/>
      <c r="AJ581" s="28"/>
      <c r="AK581" s="28"/>
      <c r="AL581" s="28"/>
      <c r="AM581" s="28"/>
      <c r="AN581" s="28"/>
      <c r="AO581" s="28"/>
      <c r="AP581" s="28"/>
      <c r="AQ581" s="28"/>
      <c r="AR581" s="28"/>
      <c r="AS581" s="28"/>
      <c r="AT581" s="28"/>
      <c r="AU581" s="28"/>
      <c r="AV581" s="28"/>
      <c r="AW581" s="28"/>
      <c r="AX581" s="28"/>
      <c r="AY581" s="28"/>
      <c r="AZ581" s="28"/>
      <c r="BA581" s="28"/>
      <c r="BB581" s="28"/>
    </row>
    <row r="582" spans="1:54" ht="12.75" x14ac:dyDescent="0.2">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c r="AA582" s="28"/>
      <c r="AB582" s="28"/>
      <c r="AC582" s="28"/>
      <c r="AD582" s="28"/>
      <c r="AE582" s="28"/>
      <c r="AF582" s="28"/>
      <c r="AG582" s="28"/>
      <c r="AH582" s="28"/>
      <c r="AI582" s="28"/>
      <c r="AJ582" s="28"/>
      <c r="AK582" s="28"/>
      <c r="AL582" s="28"/>
      <c r="AM582" s="28"/>
      <c r="AN582" s="28"/>
      <c r="AO582" s="28"/>
      <c r="AP582" s="28"/>
      <c r="AQ582" s="28"/>
      <c r="AR582" s="28"/>
      <c r="AS582" s="28"/>
      <c r="AT582" s="28"/>
      <c r="AU582" s="28"/>
      <c r="AV582" s="28"/>
      <c r="AW582" s="28"/>
      <c r="AX582" s="28"/>
      <c r="AY582" s="28"/>
      <c r="AZ582" s="28"/>
      <c r="BA582" s="28"/>
      <c r="BB582" s="28"/>
    </row>
    <row r="583" spans="1:54" ht="12.75" x14ac:dyDescent="0.2">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c r="AA583" s="28"/>
      <c r="AB583" s="28"/>
      <c r="AC583" s="28"/>
      <c r="AD583" s="28"/>
      <c r="AE583" s="28"/>
      <c r="AF583" s="28"/>
      <c r="AG583" s="28"/>
      <c r="AH583" s="28"/>
      <c r="AI583" s="28"/>
      <c r="AJ583" s="28"/>
      <c r="AK583" s="28"/>
      <c r="AL583" s="28"/>
      <c r="AM583" s="28"/>
      <c r="AN583" s="28"/>
      <c r="AO583" s="28"/>
      <c r="AP583" s="28"/>
      <c r="AQ583" s="28"/>
      <c r="AR583" s="28"/>
      <c r="AS583" s="28"/>
      <c r="AT583" s="28"/>
      <c r="AU583" s="28"/>
      <c r="AV583" s="28"/>
      <c r="AW583" s="28"/>
      <c r="AX583" s="28"/>
      <c r="AY583" s="28"/>
      <c r="AZ583" s="28"/>
      <c r="BA583" s="28"/>
      <c r="BB583" s="28"/>
    </row>
    <row r="584" spans="1:54" ht="12.75" x14ac:dyDescent="0.2">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c r="AA584" s="28"/>
      <c r="AB584" s="28"/>
      <c r="AC584" s="28"/>
      <c r="AD584" s="28"/>
      <c r="AE584" s="28"/>
      <c r="AF584" s="28"/>
      <c r="AG584" s="28"/>
      <c r="AH584" s="28"/>
      <c r="AI584" s="28"/>
      <c r="AJ584" s="28"/>
      <c r="AK584" s="28"/>
      <c r="AL584" s="28"/>
      <c r="AM584" s="28"/>
      <c r="AN584" s="28"/>
      <c r="AO584" s="28"/>
      <c r="AP584" s="28"/>
      <c r="AQ584" s="28"/>
      <c r="AR584" s="28"/>
      <c r="AS584" s="28"/>
      <c r="AT584" s="28"/>
      <c r="AU584" s="28"/>
      <c r="AV584" s="28"/>
      <c r="AW584" s="28"/>
      <c r="AX584" s="28"/>
      <c r="AY584" s="28"/>
      <c r="AZ584" s="28"/>
      <c r="BA584" s="28"/>
      <c r="BB584" s="28"/>
    </row>
    <row r="585" spans="1:54" ht="12.75" x14ac:dyDescent="0.2">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c r="AA585" s="28"/>
      <c r="AB585" s="28"/>
      <c r="AC585" s="28"/>
      <c r="AD585" s="28"/>
      <c r="AE585" s="28"/>
      <c r="AF585" s="28"/>
      <c r="AG585" s="28"/>
      <c r="AH585" s="28"/>
      <c r="AI585" s="28"/>
      <c r="AJ585" s="28"/>
      <c r="AK585" s="28"/>
      <c r="AL585" s="28"/>
      <c r="AM585" s="28"/>
      <c r="AN585" s="28"/>
      <c r="AO585" s="28"/>
      <c r="AP585" s="28"/>
      <c r="AQ585" s="28"/>
      <c r="AR585" s="28"/>
      <c r="AS585" s="28"/>
      <c r="AT585" s="28"/>
      <c r="AU585" s="28"/>
      <c r="AV585" s="28"/>
      <c r="AW585" s="28"/>
      <c r="AX585" s="28"/>
      <c r="AY585" s="28"/>
      <c r="AZ585" s="28"/>
      <c r="BA585" s="28"/>
      <c r="BB585" s="28"/>
    </row>
    <row r="586" spans="1:54" ht="12.75" x14ac:dyDescent="0.2">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c r="AA586" s="28"/>
      <c r="AB586" s="28"/>
      <c r="AC586" s="28"/>
      <c r="AD586" s="28"/>
      <c r="AE586" s="28"/>
      <c r="AF586" s="28"/>
      <c r="AG586" s="28"/>
      <c r="AH586" s="28"/>
      <c r="AI586" s="28"/>
      <c r="AJ586" s="28"/>
      <c r="AK586" s="28"/>
      <c r="AL586" s="28"/>
      <c r="AM586" s="28"/>
      <c r="AN586" s="28"/>
      <c r="AO586" s="28"/>
      <c r="AP586" s="28"/>
      <c r="AQ586" s="28"/>
      <c r="AR586" s="28"/>
      <c r="AS586" s="28"/>
      <c r="AT586" s="28"/>
      <c r="AU586" s="28"/>
      <c r="AV586" s="28"/>
      <c r="AW586" s="28"/>
      <c r="AX586" s="28"/>
      <c r="AY586" s="28"/>
      <c r="AZ586" s="28"/>
      <c r="BA586" s="28"/>
      <c r="BB586" s="28"/>
    </row>
    <row r="587" spans="1:54" ht="12.75" x14ac:dyDescent="0.2">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c r="AA587" s="28"/>
      <c r="AB587" s="28"/>
      <c r="AC587" s="28"/>
      <c r="AD587" s="28"/>
      <c r="AE587" s="28"/>
      <c r="AF587" s="28"/>
      <c r="AG587" s="28"/>
      <c r="AH587" s="28"/>
      <c r="AI587" s="28"/>
      <c r="AJ587" s="28"/>
      <c r="AK587" s="28"/>
      <c r="AL587" s="28"/>
      <c r="AM587" s="28"/>
      <c r="AN587" s="28"/>
      <c r="AO587" s="28"/>
      <c r="AP587" s="28"/>
      <c r="AQ587" s="28"/>
      <c r="AR587" s="28"/>
      <c r="AS587" s="28"/>
      <c r="AT587" s="28"/>
      <c r="AU587" s="28"/>
      <c r="AV587" s="28"/>
      <c r="AW587" s="28"/>
      <c r="AX587" s="28"/>
      <c r="AY587" s="28"/>
      <c r="AZ587" s="28"/>
      <c r="BA587" s="28"/>
      <c r="BB587" s="28"/>
    </row>
    <row r="588" spans="1:54" ht="12.75" x14ac:dyDescent="0.2">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c r="AA588" s="28"/>
      <c r="AB588" s="28"/>
      <c r="AC588" s="28"/>
      <c r="AD588" s="28"/>
      <c r="AE588" s="28"/>
      <c r="AF588" s="28"/>
      <c r="AG588" s="28"/>
      <c r="AH588" s="28"/>
      <c r="AI588" s="28"/>
      <c r="AJ588" s="28"/>
      <c r="AK588" s="28"/>
      <c r="AL588" s="28"/>
      <c r="AM588" s="28"/>
      <c r="AN588" s="28"/>
      <c r="AO588" s="28"/>
      <c r="AP588" s="28"/>
      <c r="AQ588" s="28"/>
      <c r="AR588" s="28"/>
      <c r="AS588" s="28"/>
      <c r="AT588" s="28"/>
      <c r="AU588" s="28"/>
      <c r="AV588" s="28"/>
      <c r="AW588" s="28"/>
      <c r="AX588" s="28"/>
      <c r="AY588" s="28"/>
      <c r="AZ588" s="28"/>
      <c r="BA588" s="28"/>
      <c r="BB588" s="28"/>
    </row>
    <row r="589" spans="1:54" ht="12.75" x14ac:dyDescent="0.2">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c r="AA589" s="28"/>
      <c r="AB589" s="28"/>
      <c r="AC589" s="28"/>
      <c r="AD589" s="28"/>
      <c r="AE589" s="28"/>
      <c r="AF589" s="28"/>
      <c r="AG589" s="28"/>
      <c r="AH589" s="28"/>
      <c r="AI589" s="28"/>
      <c r="AJ589" s="28"/>
      <c r="AK589" s="28"/>
      <c r="AL589" s="28"/>
      <c r="AM589" s="28"/>
      <c r="AN589" s="28"/>
      <c r="AO589" s="28"/>
      <c r="AP589" s="28"/>
      <c r="AQ589" s="28"/>
      <c r="AR589" s="28"/>
      <c r="AS589" s="28"/>
      <c r="AT589" s="28"/>
      <c r="AU589" s="28"/>
      <c r="AV589" s="28"/>
      <c r="AW589" s="28"/>
      <c r="AX589" s="28"/>
      <c r="AY589" s="28"/>
      <c r="AZ589" s="28"/>
      <c r="BA589" s="28"/>
      <c r="BB589" s="28"/>
    </row>
    <row r="590" spans="1:54" ht="12.75" x14ac:dyDescent="0.2">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c r="AA590" s="28"/>
      <c r="AB590" s="28"/>
      <c r="AC590" s="28"/>
      <c r="AD590" s="28"/>
      <c r="AE590" s="28"/>
      <c r="AF590" s="28"/>
      <c r="AG590" s="28"/>
      <c r="AH590" s="28"/>
      <c r="AI590" s="28"/>
      <c r="AJ590" s="28"/>
      <c r="AK590" s="28"/>
      <c r="AL590" s="28"/>
      <c r="AM590" s="28"/>
      <c r="AN590" s="28"/>
      <c r="AO590" s="28"/>
      <c r="AP590" s="28"/>
      <c r="AQ590" s="28"/>
      <c r="AR590" s="28"/>
      <c r="AS590" s="28"/>
      <c r="AT590" s="28"/>
      <c r="AU590" s="28"/>
      <c r="AV590" s="28"/>
      <c r="AW590" s="28"/>
      <c r="AX590" s="28"/>
      <c r="AY590" s="28"/>
      <c r="AZ590" s="28"/>
      <c r="BA590" s="28"/>
      <c r="BB590" s="28"/>
    </row>
    <row r="591" spans="1:54" ht="12.75" x14ac:dyDescent="0.2">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c r="AA591" s="28"/>
      <c r="AB591" s="28"/>
      <c r="AC591" s="28"/>
      <c r="AD591" s="28"/>
      <c r="AE591" s="28"/>
      <c r="AF591" s="28"/>
      <c r="AG591" s="28"/>
      <c r="AH591" s="28"/>
      <c r="AI591" s="28"/>
      <c r="AJ591" s="28"/>
      <c r="AK591" s="28"/>
      <c r="AL591" s="28"/>
      <c r="AM591" s="28"/>
      <c r="AN591" s="28"/>
      <c r="AO591" s="28"/>
      <c r="AP591" s="28"/>
      <c r="AQ591" s="28"/>
      <c r="AR591" s="28"/>
      <c r="AS591" s="28"/>
      <c r="AT591" s="28"/>
      <c r="AU591" s="28"/>
      <c r="AV591" s="28"/>
      <c r="AW591" s="28"/>
      <c r="AX591" s="28"/>
      <c r="AY591" s="28"/>
      <c r="AZ591" s="28"/>
      <c r="BA591" s="28"/>
      <c r="BB591" s="28"/>
    </row>
    <row r="592" spans="1:54" ht="12.75" x14ac:dyDescent="0.2">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c r="AA592" s="28"/>
      <c r="AB592" s="28"/>
      <c r="AC592" s="28"/>
      <c r="AD592" s="28"/>
      <c r="AE592" s="28"/>
      <c r="AF592" s="28"/>
      <c r="AG592" s="28"/>
      <c r="AH592" s="28"/>
      <c r="AI592" s="28"/>
      <c r="AJ592" s="28"/>
      <c r="AK592" s="28"/>
      <c r="AL592" s="28"/>
      <c r="AM592" s="28"/>
      <c r="AN592" s="28"/>
      <c r="AO592" s="28"/>
      <c r="AP592" s="28"/>
      <c r="AQ592" s="28"/>
      <c r="AR592" s="28"/>
      <c r="AS592" s="28"/>
      <c r="AT592" s="28"/>
      <c r="AU592" s="28"/>
      <c r="AV592" s="28"/>
      <c r="AW592" s="28"/>
      <c r="AX592" s="28"/>
      <c r="AY592" s="28"/>
      <c r="AZ592" s="28"/>
      <c r="BA592" s="28"/>
      <c r="BB592" s="28"/>
    </row>
    <row r="593" spans="1:54" ht="12.75" x14ac:dyDescent="0.2">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c r="AA593" s="28"/>
      <c r="AB593" s="28"/>
      <c r="AC593" s="28"/>
      <c r="AD593" s="28"/>
      <c r="AE593" s="28"/>
      <c r="AF593" s="28"/>
      <c r="AG593" s="28"/>
      <c r="AH593" s="28"/>
      <c r="AI593" s="28"/>
      <c r="AJ593" s="28"/>
      <c r="AK593" s="28"/>
      <c r="AL593" s="28"/>
      <c r="AM593" s="28"/>
      <c r="AN593" s="28"/>
      <c r="AO593" s="28"/>
      <c r="AP593" s="28"/>
      <c r="AQ593" s="28"/>
      <c r="AR593" s="28"/>
      <c r="AS593" s="28"/>
      <c r="AT593" s="28"/>
      <c r="AU593" s="28"/>
      <c r="AV593" s="28"/>
      <c r="AW593" s="28"/>
      <c r="AX593" s="28"/>
      <c r="AY593" s="28"/>
      <c r="AZ593" s="28"/>
      <c r="BA593" s="28"/>
      <c r="BB593" s="28"/>
    </row>
    <row r="594" spans="1:54" ht="12.75" x14ac:dyDescent="0.2">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c r="AA594" s="28"/>
      <c r="AB594" s="28"/>
      <c r="AC594" s="28"/>
      <c r="AD594" s="28"/>
      <c r="AE594" s="28"/>
      <c r="AF594" s="28"/>
      <c r="AG594" s="28"/>
      <c r="AH594" s="28"/>
      <c r="AI594" s="28"/>
      <c r="AJ594" s="28"/>
      <c r="AK594" s="28"/>
      <c r="AL594" s="28"/>
      <c r="AM594" s="28"/>
      <c r="AN594" s="28"/>
      <c r="AO594" s="28"/>
      <c r="AP594" s="28"/>
      <c r="AQ594" s="28"/>
      <c r="AR594" s="28"/>
      <c r="AS594" s="28"/>
      <c r="AT594" s="28"/>
      <c r="AU594" s="28"/>
      <c r="AV594" s="28"/>
      <c r="AW594" s="28"/>
      <c r="AX594" s="28"/>
      <c r="AY594" s="28"/>
      <c r="AZ594" s="28"/>
      <c r="BA594" s="28"/>
      <c r="BB594" s="28"/>
    </row>
    <row r="595" spans="1:54" ht="12.75" x14ac:dyDescent="0.2">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c r="AA595" s="28"/>
      <c r="AB595" s="28"/>
      <c r="AC595" s="28"/>
      <c r="AD595" s="28"/>
      <c r="AE595" s="28"/>
      <c r="AF595" s="28"/>
      <c r="AG595" s="28"/>
      <c r="AH595" s="28"/>
      <c r="AI595" s="28"/>
      <c r="AJ595" s="28"/>
      <c r="AK595" s="28"/>
      <c r="AL595" s="28"/>
      <c r="AM595" s="28"/>
      <c r="AN595" s="28"/>
      <c r="AO595" s="28"/>
      <c r="AP595" s="28"/>
      <c r="AQ595" s="28"/>
      <c r="AR595" s="28"/>
      <c r="AS595" s="28"/>
      <c r="AT595" s="28"/>
      <c r="AU595" s="28"/>
      <c r="AV595" s="28"/>
      <c r="AW595" s="28"/>
      <c r="AX595" s="28"/>
      <c r="AY595" s="28"/>
      <c r="AZ595" s="28"/>
      <c r="BA595" s="28"/>
      <c r="BB595" s="28"/>
    </row>
    <row r="596" spans="1:54" ht="12.75" x14ac:dyDescent="0.2">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c r="AA596" s="28"/>
      <c r="AB596" s="28"/>
      <c r="AC596" s="28"/>
      <c r="AD596" s="28"/>
      <c r="AE596" s="28"/>
      <c r="AF596" s="28"/>
      <c r="AG596" s="28"/>
      <c r="AH596" s="28"/>
      <c r="AI596" s="28"/>
      <c r="AJ596" s="28"/>
      <c r="AK596" s="28"/>
      <c r="AL596" s="28"/>
      <c r="AM596" s="28"/>
      <c r="AN596" s="28"/>
      <c r="AO596" s="28"/>
      <c r="AP596" s="28"/>
      <c r="AQ596" s="28"/>
      <c r="AR596" s="28"/>
      <c r="AS596" s="28"/>
      <c r="AT596" s="28"/>
      <c r="AU596" s="28"/>
      <c r="AV596" s="28"/>
      <c r="AW596" s="28"/>
      <c r="AX596" s="28"/>
      <c r="AY596" s="28"/>
      <c r="AZ596" s="28"/>
      <c r="BA596" s="28"/>
      <c r="BB596" s="28"/>
    </row>
    <row r="597" spans="1:54" ht="12.75" x14ac:dyDescent="0.2">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c r="AA597" s="28"/>
      <c r="AB597" s="28"/>
      <c r="AC597" s="28"/>
      <c r="AD597" s="28"/>
      <c r="AE597" s="28"/>
      <c r="AF597" s="28"/>
      <c r="AG597" s="28"/>
      <c r="AH597" s="28"/>
      <c r="AI597" s="28"/>
      <c r="AJ597" s="28"/>
      <c r="AK597" s="28"/>
      <c r="AL597" s="28"/>
      <c r="AM597" s="28"/>
      <c r="AN597" s="28"/>
      <c r="AO597" s="28"/>
      <c r="AP597" s="28"/>
      <c r="AQ597" s="28"/>
      <c r="AR597" s="28"/>
      <c r="AS597" s="28"/>
      <c r="AT597" s="28"/>
      <c r="AU597" s="28"/>
      <c r="AV597" s="28"/>
      <c r="AW597" s="28"/>
      <c r="AX597" s="28"/>
      <c r="AY597" s="28"/>
      <c r="AZ597" s="28"/>
      <c r="BA597" s="28"/>
      <c r="BB597" s="28"/>
    </row>
    <row r="598" spans="1:54" ht="12.75" x14ac:dyDescent="0.2">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c r="AA598" s="28"/>
      <c r="AB598" s="28"/>
      <c r="AC598" s="28"/>
      <c r="AD598" s="28"/>
      <c r="AE598" s="28"/>
      <c r="AF598" s="28"/>
      <c r="AG598" s="28"/>
      <c r="AH598" s="28"/>
      <c r="AI598" s="28"/>
      <c r="AJ598" s="28"/>
      <c r="AK598" s="28"/>
      <c r="AL598" s="28"/>
      <c r="AM598" s="28"/>
      <c r="AN598" s="28"/>
      <c r="AO598" s="28"/>
      <c r="AP598" s="28"/>
      <c r="AQ598" s="28"/>
      <c r="AR598" s="28"/>
      <c r="AS598" s="28"/>
      <c r="AT598" s="28"/>
      <c r="AU598" s="28"/>
      <c r="AV598" s="28"/>
      <c r="AW598" s="28"/>
      <c r="AX598" s="28"/>
      <c r="AY598" s="28"/>
      <c r="AZ598" s="28"/>
      <c r="BA598" s="28"/>
      <c r="BB598" s="28"/>
    </row>
    <row r="599" spans="1:54" ht="12.75" x14ac:dyDescent="0.2">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c r="AA599" s="28"/>
      <c r="AB599" s="28"/>
      <c r="AC599" s="28"/>
      <c r="AD599" s="28"/>
      <c r="AE599" s="28"/>
      <c r="AF599" s="28"/>
      <c r="AG599" s="28"/>
      <c r="AH599" s="28"/>
      <c r="AI599" s="28"/>
      <c r="AJ599" s="28"/>
      <c r="AK599" s="28"/>
      <c r="AL599" s="28"/>
      <c r="AM599" s="28"/>
      <c r="AN599" s="28"/>
      <c r="AO599" s="28"/>
      <c r="AP599" s="28"/>
      <c r="AQ599" s="28"/>
      <c r="AR599" s="28"/>
      <c r="AS599" s="28"/>
      <c r="AT599" s="28"/>
      <c r="AU599" s="28"/>
      <c r="AV599" s="28"/>
      <c r="AW599" s="28"/>
      <c r="AX599" s="28"/>
      <c r="AY599" s="28"/>
      <c r="AZ599" s="28"/>
      <c r="BA599" s="28"/>
      <c r="BB599" s="28"/>
    </row>
    <row r="600" spans="1:54" ht="12.75" x14ac:dyDescent="0.2">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c r="AA600" s="28"/>
      <c r="AB600" s="28"/>
      <c r="AC600" s="28"/>
      <c r="AD600" s="28"/>
      <c r="AE600" s="28"/>
      <c r="AF600" s="28"/>
      <c r="AG600" s="28"/>
      <c r="AH600" s="28"/>
      <c r="AI600" s="28"/>
      <c r="AJ600" s="28"/>
      <c r="AK600" s="28"/>
      <c r="AL600" s="28"/>
      <c r="AM600" s="28"/>
      <c r="AN600" s="28"/>
      <c r="AO600" s="28"/>
      <c r="AP600" s="28"/>
      <c r="AQ600" s="28"/>
      <c r="AR600" s="28"/>
      <c r="AS600" s="28"/>
      <c r="AT600" s="28"/>
      <c r="AU600" s="28"/>
      <c r="AV600" s="28"/>
      <c r="AW600" s="28"/>
      <c r="AX600" s="28"/>
      <c r="AY600" s="28"/>
      <c r="AZ600" s="28"/>
      <c r="BA600" s="28"/>
      <c r="BB600" s="28"/>
    </row>
    <row r="601" spans="1:54" ht="12.75" x14ac:dyDescent="0.2">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c r="AA601" s="28"/>
      <c r="AB601" s="28"/>
      <c r="AC601" s="28"/>
      <c r="AD601" s="28"/>
      <c r="AE601" s="28"/>
      <c r="AF601" s="28"/>
      <c r="AG601" s="28"/>
      <c r="AH601" s="28"/>
      <c r="AI601" s="28"/>
      <c r="AJ601" s="28"/>
      <c r="AK601" s="28"/>
      <c r="AL601" s="28"/>
      <c r="AM601" s="28"/>
      <c r="AN601" s="28"/>
      <c r="AO601" s="28"/>
      <c r="AP601" s="28"/>
      <c r="AQ601" s="28"/>
      <c r="AR601" s="28"/>
      <c r="AS601" s="28"/>
      <c r="AT601" s="28"/>
      <c r="AU601" s="28"/>
      <c r="AV601" s="28"/>
      <c r="AW601" s="28"/>
      <c r="AX601" s="28"/>
      <c r="AY601" s="28"/>
      <c r="AZ601" s="28"/>
      <c r="BA601" s="28"/>
      <c r="BB601" s="28"/>
    </row>
    <row r="602" spans="1:54" ht="12.75" x14ac:dyDescent="0.2">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c r="AA602" s="28"/>
      <c r="AB602" s="28"/>
      <c r="AC602" s="28"/>
      <c r="AD602" s="28"/>
      <c r="AE602" s="28"/>
      <c r="AF602" s="28"/>
      <c r="AG602" s="28"/>
      <c r="AH602" s="28"/>
      <c r="AI602" s="28"/>
      <c r="AJ602" s="28"/>
      <c r="AK602" s="28"/>
      <c r="AL602" s="28"/>
      <c r="AM602" s="28"/>
      <c r="AN602" s="28"/>
      <c r="AO602" s="28"/>
      <c r="AP602" s="28"/>
      <c r="AQ602" s="28"/>
      <c r="AR602" s="28"/>
      <c r="AS602" s="28"/>
      <c r="AT602" s="28"/>
      <c r="AU602" s="28"/>
      <c r="AV602" s="28"/>
      <c r="AW602" s="28"/>
      <c r="AX602" s="28"/>
      <c r="AY602" s="28"/>
      <c r="AZ602" s="28"/>
      <c r="BA602" s="28"/>
      <c r="BB602" s="28"/>
    </row>
    <row r="603" spans="1:54" ht="12.75" x14ac:dyDescent="0.2">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c r="AA603" s="28"/>
      <c r="AB603" s="28"/>
      <c r="AC603" s="28"/>
      <c r="AD603" s="28"/>
      <c r="AE603" s="28"/>
      <c r="AF603" s="28"/>
      <c r="AG603" s="28"/>
      <c r="AH603" s="28"/>
      <c r="AI603" s="28"/>
      <c r="AJ603" s="28"/>
      <c r="AK603" s="28"/>
      <c r="AL603" s="28"/>
      <c r="AM603" s="28"/>
      <c r="AN603" s="28"/>
      <c r="AO603" s="28"/>
      <c r="AP603" s="28"/>
      <c r="AQ603" s="28"/>
      <c r="AR603" s="28"/>
      <c r="AS603" s="28"/>
      <c r="AT603" s="28"/>
      <c r="AU603" s="28"/>
      <c r="AV603" s="28"/>
      <c r="AW603" s="28"/>
      <c r="AX603" s="28"/>
      <c r="AY603" s="28"/>
      <c r="AZ603" s="28"/>
      <c r="BA603" s="28"/>
      <c r="BB603" s="28"/>
    </row>
    <row r="604" spans="1:54" ht="12.75" x14ac:dyDescent="0.2">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c r="AA604" s="28"/>
      <c r="AB604" s="28"/>
      <c r="AC604" s="28"/>
      <c r="AD604" s="28"/>
      <c r="AE604" s="28"/>
      <c r="AF604" s="28"/>
      <c r="AG604" s="28"/>
      <c r="AH604" s="28"/>
      <c r="AI604" s="28"/>
      <c r="AJ604" s="28"/>
      <c r="AK604" s="28"/>
      <c r="AL604" s="28"/>
      <c r="AM604" s="28"/>
      <c r="AN604" s="28"/>
      <c r="AO604" s="28"/>
      <c r="AP604" s="28"/>
      <c r="AQ604" s="28"/>
      <c r="AR604" s="28"/>
      <c r="AS604" s="28"/>
      <c r="AT604" s="28"/>
      <c r="AU604" s="28"/>
      <c r="AV604" s="28"/>
      <c r="AW604" s="28"/>
      <c r="AX604" s="28"/>
      <c r="AY604" s="28"/>
      <c r="AZ604" s="28"/>
      <c r="BA604" s="28"/>
      <c r="BB604" s="28"/>
    </row>
    <row r="605" spans="1:54" ht="12.75" x14ac:dyDescent="0.2">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c r="AA605" s="28"/>
      <c r="AB605" s="28"/>
      <c r="AC605" s="28"/>
      <c r="AD605" s="28"/>
      <c r="AE605" s="28"/>
      <c r="AF605" s="28"/>
      <c r="AG605" s="28"/>
      <c r="AH605" s="28"/>
      <c r="AI605" s="28"/>
      <c r="AJ605" s="28"/>
      <c r="AK605" s="28"/>
      <c r="AL605" s="28"/>
      <c r="AM605" s="28"/>
      <c r="AN605" s="28"/>
      <c r="AO605" s="28"/>
      <c r="AP605" s="28"/>
      <c r="AQ605" s="28"/>
      <c r="AR605" s="28"/>
      <c r="AS605" s="28"/>
      <c r="AT605" s="28"/>
      <c r="AU605" s="28"/>
      <c r="AV605" s="28"/>
      <c r="AW605" s="28"/>
      <c r="AX605" s="28"/>
      <c r="AY605" s="28"/>
      <c r="AZ605" s="28"/>
      <c r="BA605" s="28"/>
      <c r="BB605" s="28"/>
    </row>
    <row r="606" spans="1:54" ht="12.75" x14ac:dyDescent="0.2">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c r="AA606" s="28"/>
      <c r="AB606" s="28"/>
      <c r="AC606" s="28"/>
      <c r="AD606" s="28"/>
      <c r="AE606" s="28"/>
      <c r="AF606" s="28"/>
      <c r="AG606" s="28"/>
      <c r="AH606" s="28"/>
      <c r="AI606" s="28"/>
      <c r="AJ606" s="28"/>
      <c r="AK606" s="28"/>
      <c r="AL606" s="28"/>
      <c r="AM606" s="28"/>
      <c r="AN606" s="28"/>
      <c r="AO606" s="28"/>
      <c r="AP606" s="28"/>
      <c r="AQ606" s="28"/>
      <c r="AR606" s="28"/>
      <c r="AS606" s="28"/>
      <c r="AT606" s="28"/>
      <c r="AU606" s="28"/>
      <c r="AV606" s="28"/>
      <c r="AW606" s="28"/>
      <c r="AX606" s="28"/>
      <c r="AY606" s="28"/>
      <c r="AZ606" s="28"/>
      <c r="BA606" s="28"/>
      <c r="BB606" s="28"/>
    </row>
    <row r="607" spans="1:54" ht="12.75" x14ac:dyDescent="0.2">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c r="AA607" s="28"/>
      <c r="AB607" s="28"/>
      <c r="AC607" s="28"/>
      <c r="AD607" s="28"/>
      <c r="AE607" s="28"/>
      <c r="AF607" s="28"/>
      <c r="AG607" s="28"/>
      <c r="AH607" s="28"/>
      <c r="AI607" s="28"/>
      <c r="AJ607" s="28"/>
      <c r="AK607" s="28"/>
      <c r="AL607" s="28"/>
      <c r="AM607" s="28"/>
      <c r="AN607" s="28"/>
      <c r="AO607" s="28"/>
      <c r="AP607" s="28"/>
      <c r="AQ607" s="28"/>
      <c r="AR607" s="28"/>
      <c r="AS607" s="28"/>
      <c r="AT607" s="28"/>
      <c r="AU607" s="28"/>
      <c r="AV607" s="28"/>
      <c r="AW607" s="28"/>
      <c r="AX607" s="28"/>
      <c r="AY607" s="28"/>
      <c r="AZ607" s="28"/>
      <c r="BA607" s="28"/>
      <c r="BB607" s="28"/>
    </row>
    <row r="608" spans="1:54" ht="12.75" x14ac:dyDescent="0.2">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c r="AD608" s="28"/>
      <c r="AE608" s="28"/>
      <c r="AF608" s="28"/>
      <c r="AG608" s="28"/>
      <c r="AH608" s="28"/>
      <c r="AI608" s="28"/>
      <c r="AJ608" s="28"/>
      <c r="AK608" s="28"/>
      <c r="AL608" s="28"/>
      <c r="AM608" s="28"/>
      <c r="AN608" s="28"/>
      <c r="AO608" s="28"/>
      <c r="AP608" s="28"/>
      <c r="AQ608" s="28"/>
      <c r="AR608" s="28"/>
      <c r="AS608" s="28"/>
      <c r="AT608" s="28"/>
      <c r="AU608" s="28"/>
      <c r="AV608" s="28"/>
      <c r="AW608" s="28"/>
      <c r="AX608" s="28"/>
      <c r="AY608" s="28"/>
      <c r="AZ608" s="28"/>
      <c r="BA608" s="28"/>
      <c r="BB608" s="28"/>
    </row>
    <row r="609" spans="1:54" ht="12.75" x14ac:dyDescent="0.2">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c r="AA609" s="28"/>
      <c r="AB609" s="28"/>
      <c r="AC609" s="28"/>
      <c r="AD609" s="28"/>
      <c r="AE609" s="28"/>
      <c r="AF609" s="28"/>
      <c r="AG609" s="28"/>
      <c r="AH609" s="28"/>
      <c r="AI609" s="28"/>
      <c r="AJ609" s="28"/>
      <c r="AK609" s="28"/>
      <c r="AL609" s="28"/>
      <c r="AM609" s="28"/>
      <c r="AN609" s="28"/>
      <c r="AO609" s="28"/>
      <c r="AP609" s="28"/>
      <c r="AQ609" s="28"/>
      <c r="AR609" s="28"/>
      <c r="AS609" s="28"/>
      <c r="AT609" s="28"/>
      <c r="AU609" s="28"/>
      <c r="AV609" s="28"/>
      <c r="AW609" s="28"/>
      <c r="AX609" s="28"/>
      <c r="AY609" s="28"/>
      <c r="AZ609" s="28"/>
      <c r="BA609" s="28"/>
      <c r="BB609" s="28"/>
    </row>
    <row r="610" spans="1:54" ht="12.75" x14ac:dyDescent="0.2">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c r="AD610" s="28"/>
      <c r="AE610" s="28"/>
      <c r="AF610" s="28"/>
      <c r="AG610" s="28"/>
      <c r="AH610" s="28"/>
      <c r="AI610" s="28"/>
      <c r="AJ610" s="28"/>
      <c r="AK610" s="28"/>
      <c r="AL610" s="28"/>
      <c r="AM610" s="28"/>
      <c r="AN610" s="28"/>
      <c r="AO610" s="28"/>
      <c r="AP610" s="28"/>
      <c r="AQ610" s="28"/>
      <c r="AR610" s="28"/>
      <c r="AS610" s="28"/>
      <c r="AT610" s="28"/>
      <c r="AU610" s="28"/>
      <c r="AV610" s="28"/>
      <c r="AW610" s="28"/>
      <c r="AX610" s="28"/>
      <c r="AY610" s="28"/>
      <c r="AZ610" s="28"/>
      <c r="BA610" s="28"/>
      <c r="BB610" s="28"/>
    </row>
    <row r="611" spans="1:54" ht="12.75" x14ac:dyDescent="0.2">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c r="AD611" s="28"/>
      <c r="AE611" s="28"/>
      <c r="AF611" s="28"/>
      <c r="AG611" s="28"/>
      <c r="AH611" s="28"/>
      <c r="AI611" s="28"/>
      <c r="AJ611" s="28"/>
      <c r="AK611" s="28"/>
      <c r="AL611" s="28"/>
      <c r="AM611" s="28"/>
      <c r="AN611" s="28"/>
      <c r="AO611" s="28"/>
      <c r="AP611" s="28"/>
      <c r="AQ611" s="28"/>
      <c r="AR611" s="28"/>
      <c r="AS611" s="28"/>
      <c r="AT611" s="28"/>
      <c r="AU611" s="28"/>
      <c r="AV611" s="28"/>
      <c r="AW611" s="28"/>
      <c r="AX611" s="28"/>
      <c r="AY611" s="28"/>
      <c r="AZ611" s="28"/>
      <c r="BA611" s="28"/>
      <c r="BB611" s="28"/>
    </row>
    <row r="612" spans="1:54" ht="12.75" x14ac:dyDescent="0.2">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c r="AA612" s="28"/>
      <c r="AB612" s="28"/>
      <c r="AC612" s="28"/>
      <c r="AD612" s="28"/>
      <c r="AE612" s="28"/>
      <c r="AF612" s="28"/>
      <c r="AG612" s="28"/>
      <c r="AH612" s="28"/>
      <c r="AI612" s="28"/>
      <c r="AJ612" s="28"/>
      <c r="AK612" s="28"/>
      <c r="AL612" s="28"/>
      <c r="AM612" s="28"/>
      <c r="AN612" s="28"/>
      <c r="AO612" s="28"/>
      <c r="AP612" s="28"/>
      <c r="AQ612" s="28"/>
      <c r="AR612" s="28"/>
      <c r="AS612" s="28"/>
      <c r="AT612" s="28"/>
      <c r="AU612" s="28"/>
      <c r="AV612" s="28"/>
      <c r="AW612" s="28"/>
      <c r="AX612" s="28"/>
      <c r="AY612" s="28"/>
      <c r="AZ612" s="28"/>
      <c r="BA612" s="28"/>
      <c r="BB612" s="28"/>
    </row>
    <row r="613" spans="1:54" ht="12.75" x14ac:dyDescent="0.2">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c r="AD613" s="28"/>
      <c r="AE613" s="28"/>
      <c r="AF613" s="28"/>
      <c r="AG613" s="28"/>
      <c r="AH613" s="28"/>
      <c r="AI613" s="28"/>
      <c r="AJ613" s="28"/>
      <c r="AK613" s="28"/>
      <c r="AL613" s="28"/>
      <c r="AM613" s="28"/>
      <c r="AN613" s="28"/>
      <c r="AO613" s="28"/>
      <c r="AP613" s="28"/>
      <c r="AQ613" s="28"/>
      <c r="AR613" s="28"/>
      <c r="AS613" s="28"/>
      <c r="AT613" s="28"/>
      <c r="AU613" s="28"/>
      <c r="AV613" s="28"/>
      <c r="AW613" s="28"/>
      <c r="AX613" s="28"/>
      <c r="AY613" s="28"/>
      <c r="AZ613" s="28"/>
      <c r="BA613" s="28"/>
      <c r="BB613" s="28"/>
    </row>
    <row r="614" spans="1:54" ht="12.75" x14ac:dyDescent="0.2">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c r="AA614" s="28"/>
      <c r="AB614" s="28"/>
      <c r="AC614" s="28"/>
      <c r="AD614" s="28"/>
      <c r="AE614" s="28"/>
      <c r="AF614" s="28"/>
      <c r="AG614" s="28"/>
      <c r="AH614" s="28"/>
      <c r="AI614" s="28"/>
      <c r="AJ614" s="28"/>
      <c r="AK614" s="28"/>
      <c r="AL614" s="28"/>
      <c r="AM614" s="28"/>
      <c r="AN614" s="28"/>
      <c r="AO614" s="28"/>
      <c r="AP614" s="28"/>
      <c r="AQ614" s="28"/>
      <c r="AR614" s="28"/>
      <c r="AS614" s="28"/>
      <c r="AT614" s="28"/>
      <c r="AU614" s="28"/>
      <c r="AV614" s="28"/>
      <c r="AW614" s="28"/>
      <c r="AX614" s="28"/>
      <c r="AY614" s="28"/>
      <c r="AZ614" s="28"/>
      <c r="BA614" s="28"/>
      <c r="BB614" s="28"/>
    </row>
    <row r="615" spans="1:54" ht="12.75" x14ac:dyDescent="0.2">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c r="AA615" s="28"/>
      <c r="AB615" s="28"/>
      <c r="AC615" s="28"/>
      <c r="AD615" s="28"/>
      <c r="AE615" s="28"/>
      <c r="AF615" s="28"/>
      <c r="AG615" s="28"/>
      <c r="AH615" s="28"/>
      <c r="AI615" s="28"/>
      <c r="AJ615" s="28"/>
      <c r="AK615" s="28"/>
      <c r="AL615" s="28"/>
      <c r="AM615" s="28"/>
      <c r="AN615" s="28"/>
      <c r="AO615" s="28"/>
      <c r="AP615" s="28"/>
      <c r="AQ615" s="28"/>
      <c r="AR615" s="28"/>
      <c r="AS615" s="28"/>
      <c r="AT615" s="28"/>
      <c r="AU615" s="28"/>
      <c r="AV615" s="28"/>
      <c r="AW615" s="28"/>
      <c r="AX615" s="28"/>
      <c r="AY615" s="28"/>
      <c r="AZ615" s="28"/>
      <c r="BA615" s="28"/>
      <c r="BB615" s="28"/>
    </row>
    <row r="616" spans="1:54" ht="12.75" x14ac:dyDescent="0.2">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c r="AA616" s="28"/>
      <c r="AB616" s="28"/>
      <c r="AC616" s="28"/>
      <c r="AD616" s="28"/>
      <c r="AE616" s="28"/>
      <c r="AF616" s="28"/>
      <c r="AG616" s="28"/>
      <c r="AH616" s="28"/>
      <c r="AI616" s="28"/>
      <c r="AJ616" s="28"/>
      <c r="AK616" s="28"/>
      <c r="AL616" s="28"/>
      <c r="AM616" s="28"/>
      <c r="AN616" s="28"/>
      <c r="AO616" s="28"/>
      <c r="AP616" s="28"/>
      <c r="AQ616" s="28"/>
      <c r="AR616" s="28"/>
      <c r="AS616" s="28"/>
      <c r="AT616" s="28"/>
      <c r="AU616" s="28"/>
      <c r="AV616" s="28"/>
      <c r="AW616" s="28"/>
      <c r="AX616" s="28"/>
      <c r="AY616" s="28"/>
      <c r="AZ616" s="28"/>
      <c r="BA616" s="28"/>
      <c r="BB616" s="28"/>
    </row>
    <row r="617" spans="1:54" ht="12.75" x14ac:dyDescent="0.2">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c r="AA617" s="28"/>
      <c r="AB617" s="28"/>
      <c r="AC617" s="28"/>
      <c r="AD617" s="28"/>
      <c r="AE617" s="28"/>
      <c r="AF617" s="28"/>
      <c r="AG617" s="28"/>
      <c r="AH617" s="28"/>
      <c r="AI617" s="28"/>
      <c r="AJ617" s="28"/>
      <c r="AK617" s="28"/>
      <c r="AL617" s="28"/>
      <c r="AM617" s="28"/>
      <c r="AN617" s="28"/>
      <c r="AO617" s="28"/>
      <c r="AP617" s="28"/>
      <c r="AQ617" s="28"/>
      <c r="AR617" s="28"/>
      <c r="AS617" s="28"/>
      <c r="AT617" s="28"/>
      <c r="AU617" s="28"/>
      <c r="AV617" s="28"/>
      <c r="AW617" s="28"/>
      <c r="AX617" s="28"/>
      <c r="AY617" s="28"/>
      <c r="AZ617" s="28"/>
      <c r="BA617" s="28"/>
      <c r="BB617" s="28"/>
    </row>
    <row r="618" spans="1:54" ht="12.75" x14ac:dyDescent="0.2">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c r="AA618" s="28"/>
      <c r="AB618" s="28"/>
      <c r="AC618" s="28"/>
      <c r="AD618" s="28"/>
      <c r="AE618" s="28"/>
      <c r="AF618" s="28"/>
      <c r="AG618" s="28"/>
      <c r="AH618" s="28"/>
      <c r="AI618" s="28"/>
      <c r="AJ618" s="28"/>
      <c r="AK618" s="28"/>
      <c r="AL618" s="28"/>
      <c r="AM618" s="28"/>
      <c r="AN618" s="28"/>
      <c r="AO618" s="28"/>
      <c r="AP618" s="28"/>
      <c r="AQ618" s="28"/>
      <c r="AR618" s="28"/>
      <c r="AS618" s="28"/>
      <c r="AT618" s="28"/>
      <c r="AU618" s="28"/>
      <c r="AV618" s="28"/>
      <c r="AW618" s="28"/>
      <c r="AX618" s="28"/>
      <c r="AY618" s="28"/>
      <c r="AZ618" s="28"/>
      <c r="BA618" s="28"/>
      <c r="BB618" s="28"/>
    </row>
    <row r="619" spans="1:54" ht="12.75" x14ac:dyDescent="0.2">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c r="AA619" s="28"/>
      <c r="AB619" s="28"/>
      <c r="AC619" s="28"/>
      <c r="AD619" s="28"/>
      <c r="AE619" s="28"/>
      <c r="AF619" s="28"/>
      <c r="AG619" s="28"/>
      <c r="AH619" s="28"/>
      <c r="AI619" s="28"/>
      <c r="AJ619" s="28"/>
      <c r="AK619" s="28"/>
      <c r="AL619" s="28"/>
      <c r="AM619" s="28"/>
      <c r="AN619" s="28"/>
      <c r="AO619" s="28"/>
      <c r="AP619" s="28"/>
      <c r="AQ619" s="28"/>
      <c r="AR619" s="28"/>
      <c r="AS619" s="28"/>
      <c r="AT619" s="28"/>
      <c r="AU619" s="28"/>
      <c r="AV619" s="28"/>
      <c r="AW619" s="28"/>
      <c r="AX619" s="28"/>
      <c r="AY619" s="28"/>
      <c r="AZ619" s="28"/>
      <c r="BA619" s="28"/>
      <c r="BB619" s="28"/>
    </row>
    <row r="620" spans="1:54" ht="12.75" x14ac:dyDescent="0.2">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c r="AA620" s="28"/>
      <c r="AB620" s="28"/>
      <c r="AC620" s="28"/>
      <c r="AD620" s="28"/>
      <c r="AE620" s="28"/>
      <c r="AF620" s="28"/>
      <c r="AG620" s="28"/>
      <c r="AH620" s="28"/>
      <c r="AI620" s="28"/>
      <c r="AJ620" s="28"/>
      <c r="AK620" s="28"/>
      <c r="AL620" s="28"/>
      <c r="AM620" s="28"/>
      <c r="AN620" s="28"/>
      <c r="AO620" s="28"/>
      <c r="AP620" s="28"/>
      <c r="AQ620" s="28"/>
      <c r="AR620" s="28"/>
      <c r="AS620" s="28"/>
      <c r="AT620" s="28"/>
      <c r="AU620" s="28"/>
      <c r="AV620" s="28"/>
      <c r="AW620" s="28"/>
      <c r="AX620" s="28"/>
      <c r="AY620" s="28"/>
      <c r="AZ620" s="28"/>
      <c r="BA620" s="28"/>
      <c r="BB620" s="28"/>
    </row>
    <row r="621" spans="1:54" ht="12.75" x14ac:dyDescent="0.2">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c r="AA621" s="28"/>
      <c r="AB621" s="28"/>
      <c r="AC621" s="28"/>
      <c r="AD621" s="28"/>
      <c r="AE621" s="28"/>
      <c r="AF621" s="28"/>
      <c r="AG621" s="28"/>
      <c r="AH621" s="28"/>
      <c r="AI621" s="28"/>
      <c r="AJ621" s="28"/>
      <c r="AK621" s="28"/>
      <c r="AL621" s="28"/>
      <c r="AM621" s="28"/>
      <c r="AN621" s="28"/>
      <c r="AO621" s="28"/>
      <c r="AP621" s="28"/>
      <c r="AQ621" s="28"/>
      <c r="AR621" s="28"/>
      <c r="AS621" s="28"/>
      <c r="AT621" s="28"/>
      <c r="AU621" s="28"/>
      <c r="AV621" s="28"/>
      <c r="AW621" s="28"/>
      <c r="AX621" s="28"/>
      <c r="AY621" s="28"/>
      <c r="AZ621" s="28"/>
      <c r="BA621" s="28"/>
      <c r="BB621" s="28"/>
    </row>
    <row r="622" spans="1:54" ht="12.75" x14ac:dyDescent="0.2">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c r="AA622" s="28"/>
      <c r="AB622" s="28"/>
      <c r="AC622" s="28"/>
      <c r="AD622" s="28"/>
      <c r="AE622" s="28"/>
      <c r="AF622" s="28"/>
      <c r="AG622" s="28"/>
      <c r="AH622" s="28"/>
      <c r="AI622" s="28"/>
      <c r="AJ622" s="28"/>
      <c r="AK622" s="28"/>
      <c r="AL622" s="28"/>
      <c r="AM622" s="28"/>
      <c r="AN622" s="28"/>
      <c r="AO622" s="28"/>
      <c r="AP622" s="28"/>
      <c r="AQ622" s="28"/>
      <c r="AR622" s="28"/>
      <c r="AS622" s="28"/>
      <c r="AT622" s="28"/>
      <c r="AU622" s="28"/>
      <c r="AV622" s="28"/>
      <c r="AW622" s="28"/>
      <c r="AX622" s="28"/>
      <c r="AY622" s="28"/>
      <c r="AZ622" s="28"/>
      <c r="BA622" s="28"/>
      <c r="BB622" s="28"/>
    </row>
    <row r="623" spans="1:54" ht="12.75" x14ac:dyDescent="0.2">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c r="AA623" s="28"/>
      <c r="AB623" s="28"/>
      <c r="AC623" s="28"/>
      <c r="AD623" s="28"/>
      <c r="AE623" s="28"/>
      <c r="AF623" s="28"/>
      <c r="AG623" s="28"/>
      <c r="AH623" s="28"/>
      <c r="AI623" s="28"/>
      <c r="AJ623" s="28"/>
      <c r="AK623" s="28"/>
      <c r="AL623" s="28"/>
      <c r="AM623" s="28"/>
      <c r="AN623" s="28"/>
      <c r="AO623" s="28"/>
      <c r="AP623" s="28"/>
      <c r="AQ623" s="28"/>
      <c r="AR623" s="28"/>
      <c r="AS623" s="28"/>
      <c r="AT623" s="28"/>
      <c r="AU623" s="28"/>
      <c r="AV623" s="28"/>
      <c r="AW623" s="28"/>
      <c r="AX623" s="28"/>
      <c r="AY623" s="28"/>
      <c r="AZ623" s="28"/>
      <c r="BA623" s="28"/>
      <c r="BB623" s="28"/>
    </row>
    <row r="624" spans="1:54" ht="12.75" x14ac:dyDescent="0.2">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c r="AA624" s="28"/>
      <c r="AB624" s="28"/>
      <c r="AC624" s="28"/>
      <c r="AD624" s="28"/>
      <c r="AE624" s="28"/>
      <c r="AF624" s="28"/>
      <c r="AG624" s="28"/>
      <c r="AH624" s="28"/>
      <c r="AI624" s="28"/>
      <c r="AJ624" s="28"/>
      <c r="AK624" s="28"/>
      <c r="AL624" s="28"/>
      <c r="AM624" s="28"/>
      <c r="AN624" s="28"/>
      <c r="AO624" s="28"/>
      <c r="AP624" s="28"/>
      <c r="AQ624" s="28"/>
      <c r="AR624" s="28"/>
      <c r="AS624" s="28"/>
      <c r="AT624" s="28"/>
      <c r="AU624" s="28"/>
      <c r="AV624" s="28"/>
      <c r="AW624" s="28"/>
      <c r="AX624" s="28"/>
      <c r="AY624" s="28"/>
      <c r="AZ624" s="28"/>
      <c r="BA624" s="28"/>
      <c r="BB624" s="28"/>
    </row>
    <row r="625" spans="1:54" ht="12.75" x14ac:dyDescent="0.2">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c r="AA625" s="28"/>
      <c r="AB625" s="28"/>
      <c r="AC625" s="28"/>
      <c r="AD625" s="28"/>
      <c r="AE625" s="28"/>
      <c r="AF625" s="28"/>
      <c r="AG625" s="28"/>
      <c r="AH625" s="28"/>
      <c r="AI625" s="28"/>
      <c r="AJ625" s="28"/>
      <c r="AK625" s="28"/>
      <c r="AL625" s="28"/>
      <c r="AM625" s="28"/>
      <c r="AN625" s="28"/>
      <c r="AO625" s="28"/>
      <c r="AP625" s="28"/>
      <c r="AQ625" s="28"/>
      <c r="AR625" s="28"/>
      <c r="AS625" s="28"/>
      <c r="AT625" s="28"/>
      <c r="AU625" s="28"/>
      <c r="AV625" s="28"/>
      <c r="AW625" s="28"/>
      <c r="AX625" s="28"/>
      <c r="AY625" s="28"/>
      <c r="AZ625" s="28"/>
      <c r="BA625" s="28"/>
      <c r="BB625" s="28"/>
    </row>
    <row r="626" spans="1:54" ht="12.75" x14ac:dyDescent="0.2">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c r="AA626" s="28"/>
      <c r="AB626" s="28"/>
      <c r="AC626" s="28"/>
      <c r="AD626" s="28"/>
      <c r="AE626" s="28"/>
      <c r="AF626" s="28"/>
      <c r="AG626" s="28"/>
      <c r="AH626" s="28"/>
      <c r="AI626" s="28"/>
      <c r="AJ626" s="28"/>
      <c r="AK626" s="28"/>
      <c r="AL626" s="28"/>
      <c r="AM626" s="28"/>
      <c r="AN626" s="28"/>
      <c r="AO626" s="28"/>
      <c r="AP626" s="28"/>
      <c r="AQ626" s="28"/>
      <c r="AR626" s="28"/>
      <c r="AS626" s="28"/>
      <c r="AT626" s="28"/>
      <c r="AU626" s="28"/>
      <c r="AV626" s="28"/>
      <c r="AW626" s="28"/>
      <c r="AX626" s="28"/>
      <c r="AY626" s="28"/>
      <c r="AZ626" s="28"/>
      <c r="BA626" s="28"/>
      <c r="BB626" s="28"/>
    </row>
    <row r="627" spans="1:54" ht="12.75" x14ac:dyDescent="0.2">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c r="AA627" s="28"/>
      <c r="AB627" s="28"/>
      <c r="AC627" s="28"/>
      <c r="AD627" s="28"/>
      <c r="AE627" s="28"/>
      <c r="AF627" s="28"/>
      <c r="AG627" s="28"/>
      <c r="AH627" s="28"/>
      <c r="AI627" s="28"/>
      <c r="AJ627" s="28"/>
      <c r="AK627" s="28"/>
      <c r="AL627" s="28"/>
      <c r="AM627" s="28"/>
      <c r="AN627" s="28"/>
      <c r="AO627" s="28"/>
      <c r="AP627" s="28"/>
      <c r="AQ627" s="28"/>
      <c r="AR627" s="28"/>
      <c r="AS627" s="28"/>
      <c r="AT627" s="28"/>
      <c r="AU627" s="28"/>
      <c r="AV627" s="28"/>
      <c r="AW627" s="28"/>
      <c r="AX627" s="28"/>
      <c r="AY627" s="28"/>
      <c r="AZ627" s="28"/>
      <c r="BA627" s="28"/>
      <c r="BB627" s="28"/>
    </row>
    <row r="628" spans="1:54" ht="12.75" x14ac:dyDescent="0.2">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c r="AA628" s="28"/>
      <c r="AB628" s="28"/>
      <c r="AC628" s="28"/>
      <c r="AD628" s="28"/>
      <c r="AE628" s="28"/>
      <c r="AF628" s="28"/>
      <c r="AG628" s="28"/>
      <c r="AH628" s="28"/>
      <c r="AI628" s="28"/>
      <c r="AJ628" s="28"/>
      <c r="AK628" s="28"/>
      <c r="AL628" s="28"/>
      <c r="AM628" s="28"/>
      <c r="AN628" s="28"/>
      <c r="AO628" s="28"/>
      <c r="AP628" s="28"/>
      <c r="AQ628" s="28"/>
      <c r="AR628" s="28"/>
      <c r="AS628" s="28"/>
      <c r="AT628" s="28"/>
      <c r="AU628" s="28"/>
      <c r="AV628" s="28"/>
      <c r="AW628" s="28"/>
      <c r="AX628" s="28"/>
      <c r="AY628" s="28"/>
      <c r="AZ628" s="28"/>
      <c r="BA628" s="28"/>
      <c r="BB628" s="28"/>
    </row>
    <row r="629" spans="1:54" ht="12.75" x14ac:dyDescent="0.2">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c r="AA629" s="28"/>
      <c r="AB629" s="28"/>
      <c r="AC629" s="28"/>
      <c r="AD629" s="28"/>
      <c r="AE629" s="28"/>
      <c r="AF629" s="28"/>
      <c r="AG629" s="28"/>
      <c r="AH629" s="28"/>
      <c r="AI629" s="28"/>
      <c r="AJ629" s="28"/>
      <c r="AK629" s="28"/>
      <c r="AL629" s="28"/>
      <c r="AM629" s="28"/>
      <c r="AN629" s="28"/>
      <c r="AO629" s="28"/>
      <c r="AP629" s="28"/>
      <c r="AQ629" s="28"/>
      <c r="AR629" s="28"/>
      <c r="AS629" s="28"/>
      <c r="AT629" s="28"/>
      <c r="AU629" s="28"/>
      <c r="AV629" s="28"/>
      <c r="AW629" s="28"/>
      <c r="AX629" s="28"/>
      <c r="AY629" s="28"/>
      <c r="AZ629" s="28"/>
      <c r="BA629" s="28"/>
      <c r="BB629" s="28"/>
    </row>
    <row r="630" spans="1:54" ht="12.75" x14ac:dyDescent="0.2">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c r="AA630" s="28"/>
      <c r="AB630" s="28"/>
      <c r="AC630" s="28"/>
      <c r="AD630" s="28"/>
      <c r="AE630" s="28"/>
      <c r="AF630" s="28"/>
      <c r="AG630" s="28"/>
      <c r="AH630" s="28"/>
      <c r="AI630" s="28"/>
      <c r="AJ630" s="28"/>
      <c r="AK630" s="28"/>
      <c r="AL630" s="28"/>
      <c r="AM630" s="28"/>
      <c r="AN630" s="28"/>
      <c r="AO630" s="28"/>
      <c r="AP630" s="28"/>
      <c r="AQ630" s="28"/>
      <c r="AR630" s="28"/>
      <c r="AS630" s="28"/>
      <c r="AT630" s="28"/>
      <c r="AU630" s="28"/>
      <c r="AV630" s="28"/>
      <c r="AW630" s="28"/>
      <c r="AX630" s="28"/>
      <c r="AY630" s="28"/>
      <c r="AZ630" s="28"/>
      <c r="BA630" s="28"/>
      <c r="BB630" s="28"/>
    </row>
    <row r="631" spans="1:54" ht="12.75" x14ac:dyDescent="0.2">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c r="AA631" s="28"/>
      <c r="AB631" s="28"/>
      <c r="AC631" s="28"/>
      <c r="AD631" s="28"/>
      <c r="AE631" s="28"/>
      <c r="AF631" s="28"/>
      <c r="AG631" s="28"/>
      <c r="AH631" s="28"/>
      <c r="AI631" s="28"/>
      <c r="AJ631" s="28"/>
      <c r="AK631" s="28"/>
      <c r="AL631" s="28"/>
      <c r="AM631" s="28"/>
      <c r="AN631" s="28"/>
      <c r="AO631" s="28"/>
      <c r="AP631" s="28"/>
      <c r="AQ631" s="28"/>
      <c r="AR631" s="28"/>
      <c r="AS631" s="28"/>
      <c r="AT631" s="28"/>
      <c r="AU631" s="28"/>
      <c r="AV631" s="28"/>
      <c r="AW631" s="28"/>
      <c r="AX631" s="28"/>
      <c r="AY631" s="28"/>
      <c r="AZ631" s="28"/>
      <c r="BA631" s="28"/>
      <c r="BB631" s="28"/>
    </row>
    <row r="632" spans="1:54" ht="12.75" x14ac:dyDescent="0.2">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c r="AA632" s="28"/>
      <c r="AB632" s="28"/>
      <c r="AC632" s="28"/>
      <c r="AD632" s="28"/>
      <c r="AE632" s="28"/>
      <c r="AF632" s="28"/>
      <c r="AG632" s="28"/>
      <c r="AH632" s="28"/>
      <c r="AI632" s="28"/>
      <c r="AJ632" s="28"/>
      <c r="AK632" s="28"/>
      <c r="AL632" s="28"/>
      <c r="AM632" s="28"/>
      <c r="AN632" s="28"/>
      <c r="AO632" s="28"/>
      <c r="AP632" s="28"/>
      <c r="AQ632" s="28"/>
      <c r="AR632" s="28"/>
      <c r="AS632" s="28"/>
      <c r="AT632" s="28"/>
      <c r="AU632" s="28"/>
      <c r="AV632" s="28"/>
      <c r="AW632" s="28"/>
      <c r="AX632" s="28"/>
      <c r="AY632" s="28"/>
      <c r="AZ632" s="28"/>
      <c r="BA632" s="28"/>
      <c r="BB632" s="28"/>
    </row>
    <row r="633" spans="1:54" ht="12.75" x14ac:dyDescent="0.2">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c r="AA633" s="28"/>
      <c r="AB633" s="28"/>
      <c r="AC633" s="28"/>
      <c r="AD633" s="28"/>
      <c r="AE633" s="28"/>
      <c r="AF633" s="28"/>
      <c r="AG633" s="28"/>
      <c r="AH633" s="28"/>
      <c r="AI633" s="28"/>
      <c r="AJ633" s="28"/>
      <c r="AK633" s="28"/>
      <c r="AL633" s="28"/>
      <c r="AM633" s="28"/>
      <c r="AN633" s="28"/>
      <c r="AO633" s="28"/>
      <c r="AP633" s="28"/>
      <c r="AQ633" s="28"/>
      <c r="AR633" s="28"/>
      <c r="AS633" s="28"/>
      <c r="AT633" s="28"/>
      <c r="AU633" s="28"/>
      <c r="AV633" s="28"/>
      <c r="AW633" s="28"/>
      <c r="AX633" s="28"/>
      <c r="AY633" s="28"/>
      <c r="AZ633" s="28"/>
      <c r="BA633" s="28"/>
      <c r="BB633" s="28"/>
    </row>
    <row r="634" spans="1:54" ht="12.75" x14ac:dyDescent="0.2">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c r="AA634" s="28"/>
      <c r="AB634" s="28"/>
      <c r="AC634" s="28"/>
      <c r="AD634" s="28"/>
      <c r="AE634" s="28"/>
      <c r="AF634" s="28"/>
      <c r="AG634" s="28"/>
      <c r="AH634" s="28"/>
      <c r="AI634" s="28"/>
      <c r="AJ634" s="28"/>
      <c r="AK634" s="28"/>
      <c r="AL634" s="28"/>
      <c r="AM634" s="28"/>
      <c r="AN634" s="28"/>
      <c r="AO634" s="28"/>
      <c r="AP634" s="28"/>
      <c r="AQ634" s="28"/>
      <c r="AR634" s="28"/>
      <c r="AS634" s="28"/>
      <c r="AT634" s="28"/>
      <c r="AU634" s="28"/>
      <c r="AV634" s="28"/>
      <c r="AW634" s="28"/>
      <c r="AX634" s="28"/>
      <c r="AY634" s="28"/>
      <c r="AZ634" s="28"/>
      <c r="BA634" s="28"/>
      <c r="BB634" s="28"/>
    </row>
    <row r="635" spans="1:54" ht="12.75" x14ac:dyDescent="0.2">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c r="AA635" s="28"/>
      <c r="AB635" s="28"/>
      <c r="AC635" s="28"/>
      <c r="AD635" s="28"/>
      <c r="AE635" s="28"/>
      <c r="AF635" s="28"/>
      <c r="AG635" s="28"/>
      <c r="AH635" s="28"/>
      <c r="AI635" s="28"/>
      <c r="AJ635" s="28"/>
      <c r="AK635" s="28"/>
      <c r="AL635" s="28"/>
      <c r="AM635" s="28"/>
      <c r="AN635" s="28"/>
      <c r="AO635" s="28"/>
      <c r="AP635" s="28"/>
      <c r="AQ635" s="28"/>
      <c r="AR635" s="28"/>
      <c r="AS635" s="28"/>
      <c r="AT635" s="28"/>
      <c r="AU635" s="28"/>
      <c r="AV635" s="28"/>
      <c r="AW635" s="28"/>
      <c r="AX635" s="28"/>
      <c r="AY635" s="28"/>
      <c r="AZ635" s="28"/>
      <c r="BA635" s="28"/>
      <c r="BB635" s="28"/>
    </row>
    <row r="636" spans="1:54" ht="12.75" x14ac:dyDescent="0.2">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c r="AA636" s="28"/>
      <c r="AB636" s="28"/>
      <c r="AC636" s="28"/>
      <c r="AD636" s="28"/>
      <c r="AE636" s="28"/>
      <c r="AF636" s="28"/>
      <c r="AG636" s="28"/>
      <c r="AH636" s="28"/>
      <c r="AI636" s="28"/>
      <c r="AJ636" s="28"/>
      <c r="AK636" s="28"/>
      <c r="AL636" s="28"/>
      <c r="AM636" s="28"/>
      <c r="AN636" s="28"/>
      <c r="AO636" s="28"/>
      <c r="AP636" s="28"/>
      <c r="AQ636" s="28"/>
      <c r="AR636" s="28"/>
      <c r="AS636" s="28"/>
      <c r="AT636" s="28"/>
      <c r="AU636" s="28"/>
      <c r="AV636" s="28"/>
      <c r="AW636" s="28"/>
      <c r="AX636" s="28"/>
      <c r="AY636" s="28"/>
      <c r="AZ636" s="28"/>
      <c r="BA636" s="28"/>
      <c r="BB636" s="28"/>
    </row>
    <row r="637" spans="1:54" ht="12.75" x14ac:dyDescent="0.2">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c r="AA637" s="28"/>
      <c r="AB637" s="28"/>
      <c r="AC637" s="28"/>
      <c r="AD637" s="28"/>
      <c r="AE637" s="28"/>
      <c r="AF637" s="28"/>
      <c r="AG637" s="28"/>
      <c r="AH637" s="28"/>
      <c r="AI637" s="28"/>
      <c r="AJ637" s="28"/>
      <c r="AK637" s="28"/>
      <c r="AL637" s="28"/>
      <c r="AM637" s="28"/>
      <c r="AN637" s="28"/>
      <c r="AO637" s="28"/>
      <c r="AP637" s="28"/>
      <c r="AQ637" s="28"/>
      <c r="AR637" s="28"/>
      <c r="AS637" s="28"/>
      <c r="AT637" s="28"/>
      <c r="AU637" s="28"/>
      <c r="AV637" s="28"/>
      <c r="AW637" s="28"/>
      <c r="AX637" s="28"/>
      <c r="AY637" s="28"/>
      <c r="AZ637" s="28"/>
      <c r="BA637" s="28"/>
      <c r="BB637" s="28"/>
    </row>
    <row r="638" spans="1:54" ht="12.75" x14ac:dyDescent="0.2">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c r="AA638" s="28"/>
      <c r="AB638" s="28"/>
      <c r="AC638" s="28"/>
      <c r="AD638" s="28"/>
      <c r="AE638" s="28"/>
      <c r="AF638" s="28"/>
      <c r="AG638" s="28"/>
      <c r="AH638" s="28"/>
      <c r="AI638" s="28"/>
      <c r="AJ638" s="28"/>
      <c r="AK638" s="28"/>
      <c r="AL638" s="28"/>
      <c r="AM638" s="28"/>
      <c r="AN638" s="28"/>
      <c r="AO638" s="28"/>
      <c r="AP638" s="28"/>
      <c r="AQ638" s="28"/>
      <c r="AR638" s="28"/>
      <c r="AS638" s="28"/>
      <c r="AT638" s="28"/>
      <c r="AU638" s="28"/>
      <c r="AV638" s="28"/>
      <c r="AW638" s="28"/>
      <c r="AX638" s="28"/>
      <c r="AY638" s="28"/>
      <c r="AZ638" s="28"/>
      <c r="BA638" s="28"/>
      <c r="BB638" s="28"/>
    </row>
    <row r="639" spans="1:54" ht="12.75" x14ac:dyDescent="0.2">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c r="AA639" s="28"/>
      <c r="AB639" s="28"/>
      <c r="AC639" s="28"/>
      <c r="AD639" s="28"/>
      <c r="AE639" s="28"/>
      <c r="AF639" s="28"/>
      <c r="AG639" s="28"/>
      <c r="AH639" s="28"/>
      <c r="AI639" s="28"/>
      <c r="AJ639" s="28"/>
      <c r="AK639" s="28"/>
      <c r="AL639" s="28"/>
      <c r="AM639" s="28"/>
      <c r="AN639" s="28"/>
      <c r="AO639" s="28"/>
      <c r="AP639" s="28"/>
      <c r="AQ639" s="28"/>
      <c r="AR639" s="28"/>
      <c r="AS639" s="28"/>
      <c r="AT639" s="28"/>
      <c r="AU639" s="28"/>
      <c r="AV639" s="28"/>
      <c r="AW639" s="28"/>
      <c r="AX639" s="28"/>
      <c r="AY639" s="28"/>
      <c r="AZ639" s="28"/>
      <c r="BA639" s="28"/>
      <c r="BB639" s="28"/>
    </row>
    <row r="640" spans="1:54" ht="12.75" x14ac:dyDescent="0.2">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c r="AA640" s="28"/>
      <c r="AB640" s="28"/>
      <c r="AC640" s="28"/>
      <c r="AD640" s="28"/>
      <c r="AE640" s="28"/>
      <c r="AF640" s="28"/>
      <c r="AG640" s="28"/>
      <c r="AH640" s="28"/>
      <c r="AI640" s="28"/>
      <c r="AJ640" s="28"/>
      <c r="AK640" s="28"/>
      <c r="AL640" s="28"/>
      <c r="AM640" s="28"/>
      <c r="AN640" s="28"/>
      <c r="AO640" s="28"/>
      <c r="AP640" s="28"/>
      <c r="AQ640" s="28"/>
      <c r="AR640" s="28"/>
      <c r="AS640" s="28"/>
      <c r="AT640" s="28"/>
      <c r="AU640" s="28"/>
      <c r="AV640" s="28"/>
      <c r="AW640" s="28"/>
      <c r="AX640" s="28"/>
      <c r="AY640" s="28"/>
      <c r="AZ640" s="28"/>
      <c r="BA640" s="28"/>
      <c r="BB640" s="28"/>
    </row>
    <row r="641" spans="1:54" ht="12.75" x14ac:dyDescent="0.2">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8"/>
      <c r="AJ641" s="28"/>
      <c r="AK641" s="28"/>
      <c r="AL641" s="28"/>
      <c r="AM641" s="28"/>
      <c r="AN641" s="28"/>
      <c r="AO641" s="28"/>
      <c r="AP641" s="28"/>
      <c r="AQ641" s="28"/>
      <c r="AR641" s="28"/>
      <c r="AS641" s="28"/>
      <c r="AT641" s="28"/>
      <c r="AU641" s="28"/>
      <c r="AV641" s="28"/>
      <c r="AW641" s="28"/>
      <c r="AX641" s="28"/>
      <c r="AY641" s="28"/>
      <c r="AZ641" s="28"/>
      <c r="BA641" s="28"/>
      <c r="BB641" s="28"/>
    </row>
    <row r="642" spans="1:54" ht="12.75" x14ac:dyDescent="0.2">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c r="AA642" s="28"/>
      <c r="AB642" s="28"/>
      <c r="AC642" s="28"/>
      <c r="AD642" s="28"/>
      <c r="AE642" s="28"/>
      <c r="AF642" s="28"/>
      <c r="AG642" s="28"/>
      <c r="AH642" s="28"/>
      <c r="AI642" s="28"/>
      <c r="AJ642" s="28"/>
      <c r="AK642" s="28"/>
      <c r="AL642" s="28"/>
      <c r="AM642" s="28"/>
      <c r="AN642" s="28"/>
      <c r="AO642" s="28"/>
      <c r="AP642" s="28"/>
      <c r="AQ642" s="28"/>
      <c r="AR642" s="28"/>
      <c r="AS642" s="28"/>
      <c r="AT642" s="28"/>
      <c r="AU642" s="28"/>
      <c r="AV642" s="28"/>
      <c r="AW642" s="28"/>
      <c r="AX642" s="28"/>
      <c r="AY642" s="28"/>
      <c r="AZ642" s="28"/>
      <c r="BA642" s="28"/>
      <c r="BB642" s="28"/>
    </row>
    <row r="643" spans="1:54" ht="12.75" x14ac:dyDescent="0.2">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c r="AA643" s="28"/>
      <c r="AB643" s="28"/>
      <c r="AC643" s="28"/>
      <c r="AD643" s="28"/>
      <c r="AE643" s="28"/>
      <c r="AF643" s="28"/>
      <c r="AG643" s="28"/>
      <c r="AH643" s="28"/>
      <c r="AI643" s="28"/>
      <c r="AJ643" s="28"/>
      <c r="AK643" s="28"/>
      <c r="AL643" s="28"/>
      <c r="AM643" s="28"/>
      <c r="AN643" s="28"/>
      <c r="AO643" s="28"/>
      <c r="AP643" s="28"/>
      <c r="AQ643" s="28"/>
      <c r="AR643" s="28"/>
      <c r="AS643" s="28"/>
      <c r="AT643" s="28"/>
      <c r="AU643" s="28"/>
      <c r="AV643" s="28"/>
      <c r="AW643" s="28"/>
      <c r="AX643" s="28"/>
      <c r="AY643" s="28"/>
      <c r="AZ643" s="28"/>
      <c r="BA643" s="28"/>
      <c r="BB643" s="28"/>
    </row>
    <row r="644" spans="1:54" ht="12.75" x14ac:dyDescent="0.2">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c r="AA644" s="28"/>
      <c r="AB644" s="28"/>
      <c r="AC644" s="28"/>
      <c r="AD644" s="28"/>
      <c r="AE644" s="28"/>
      <c r="AF644" s="28"/>
      <c r="AG644" s="28"/>
      <c r="AH644" s="28"/>
      <c r="AI644" s="28"/>
      <c r="AJ644" s="28"/>
      <c r="AK644" s="28"/>
      <c r="AL644" s="28"/>
      <c r="AM644" s="28"/>
      <c r="AN644" s="28"/>
      <c r="AO644" s="28"/>
      <c r="AP644" s="28"/>
      <c r="AQ644" s="28"/>
      <c r="AR644" s="28"/>
      <c r="AS644" s="28"/>
      <c r="AT644" s="28"/>
      <c r="AU644" s="28"/>
      <c r="AV644" s="28"/>
      <c r="AW644" s="28"/>
      <c r="AX644" s="28"/>
      <c r="AY644" s="28"/>
      <c r="AZ644" s="28"/>
      <c r="BA644" s="28"/>
      <c r="BB644" s="28"/>
    </row>
    <row r="645" spans="1:54" ht="12.75" x14ac:dyDescent="0.2">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c r="AA645" s="28"/>
      <c r="AB645" s="28"/>
      <c r="AC645" s="28"/>
      <c r="AD645" s="28"/>
      <c r="AE645" s="28"/>
      <c r="AF645" s="28"/>
      <c r="AG645" s="28"/>
      <c r="AH645" s="28"/>
      <c r="AI645" s="28"/>
      <c r="AJ645" s="28"/>
      <c r="AK645" s="28"/>
      <c r="AL645" s="28"/>
      <c r="AM645" s="28"/>
      <c r="AN645" s="28"/>
      <c r="AO645" s="28"/>
      <c r="AP645" s="28"/>
      <c r="AQ645" s="28"/>
      <c r="AR645" s="28"/>
      <c r="AS645" s="28"/>
      <c r="AT645" s="28"/>
      <c r="AU645" s="28"/>
      <c r="AV645" s="28"/>
      <c r="AW645" s="28"/>
      <c r="AX645" s="28"/>
      <c r="AY645" s="28"/>
      <c r="AZ645" s="28"/>
      <c r="BA645" s="28"/>
      <c r="BB645" s="28"/>
    </row>
    <row r="646" spans="1:54" ht="12.75" x14ac:dyDescent="0.2">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c r="AA646" s="28"/>
      <c r="AB646" s="28"/>
      <c r="AC646" s="28"/>
      <c r="AD646" s="28"/>
      <c r="AE646" s="28"/>
      <c r="AF646" s="28"/>
      <c r="AG646" s="28"/>
      <c r="AH646" s="28"/>
      <c r="AI646" s="28"/>
      <c r="AJ646" s="28"/>
      <c r="AK646" s="28"/>
      <c r="AL646" s="28"/>
      <c r="AM646" s="28"/>
      <c r="AN646" s="28"/>
      <c r="AO646" s="28"/>
      <c r="AP646" s="28"/>
      <c r="AQ646" s="28"/>
      <c r="AR646" s="28"/>
      <c r="AS646" s="28"/>
      <c r="AT646" s="28"/>
      <c r="AU646" s="28"/>
      <c r="AV646" s="28"/>
      <c r="AW646" s="28"/>
      <c r="AX646" s="28"/>
      <c r="AY646" s="28"/>
      <c r="AZ646" s="28"/>
      <c r="BA646" s="28"/>
      <c r="BB646" s="28"/>
    </row>
    <row r="647" spans="1:54" ht="12.75" x14ac:dyDescent="0.2">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c r="AA647" s="28"/>
      <c r="AB647" s="28"/>
      <c r="AC647" s="28"/>
      <c r="AD647" s="28"/>
      <c r="AE647" s="28"/>
      <c r="AF647" s="28"/>
      <c r="AG647" s="28"/>
      <c r="AH647" s="28"/>
      <c r="AI647" s="28"/>
      <c r="AJ647" s="28"/>
      <c r="AK647" s="28"/>
      <c r="AL647" s="28"/>
      <c r="AM647" s="28"/>
      <c r="AN647" s="28"/>
      <c r="AO647" s="28"/>
      <c r="AP647" s="28"/>
      <c r="AQ647" s="28"/>
      <c r="AR647" s="28"/>
      <c r="AS647" s="28"/>
      <c r="AT647" s="28"/>
      <c r="AU647" s="28"/>
      <c r="AV647" s="28"/>
      <c r="AW647" s="28"/>
      <c r="AX647" s="28"/>
      <c r="AY647" s="28"/>
      <c r="AZ647" s="28"/>
      <c r="BA647" s="28"/>
      <c r="BB647" s="28"/>
    </row>
    <row r="648" spans="1:54" ht="12.75" x14ac:dyDescent="0.2">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c r="AA648" s="28"/>
      <c r="AB648" s="28"/>
      <c r="AC648" s="28"/>
      <c r="AD648" s="28"/>
      <c r="AE648" s="28"/>
      <c r="AF648" s="28"/>
      <c r="AG648" s="28"/>
      <c r="AH648" s="28"/>
      <c r="AI648" s="28"/>
      <c r="AJ648" s="28"/>
      <c r="AK648" s="28"/>
      <c r="AL648" s="28"/>
      <c r="AM648" s="28"/>
      <c r="AN648" s="28"/>
      <c r="AO648" s="28"/>
      <c r="AP648" s="28"/>
      <c r="AQ648" s="28"/>
      <c r="AR648" s="28"/>
      <c r="AS648" s="28"/>
      <c r="AT648" s="28"/>
      <c r="AU648" s="28"/>
      <c r="AV648" s="28"/>
      <c r="AW648" s="28"/>
      <c r="AX648" s="28"/>
      <c r="AY648" s="28"/>
      <c r="AZ648" s="28"/>
      <c r="BA648" s="28"/>
      <c r="BB648" s="28"/>
    </row>
    <row r="649" spans="1:54" ht="12.75" x14ac:dyDescent="0.2">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c r="AA649" s="28"/>
      <c r="AB649" s="28"/>
      <c r="AC649" s="28"/>
      <c r="AD649" s="28"/>
      <c r="AE649" s="28"/>
      <c r="AF649" s="28"/>
      <c r="AG649" s="28"/>
      <c r="AH649" s="28"/>
      <c r="AI649" s="28"/>
      <c r="AJ649" s="28"/>
      <c r="AK649" s="28"/>
      <c r="AL649" s="28"/>
      <c r="AM649" s="28"/>
      <c r="AN649" s="28"/>
      <c r="AO649" s="28"/>
      <c r="AP649" s="28"/>
      <c r="AQ649" s="28"/>
      <c r="AR649" s="28"/>
      <c r="AS649" s="28"/>
      <c r="AT649" s="28"/>
      <c r="AU649" s="28"/>
      <c r="AV649" s="28"/>
      <c r="AW649" s="28"/>
      <c r="AX649" s="28"/>
      <c r="AY649" s="28"/>
      <c r="AZ649" s="28"/>
      <c r="BA649" s="28"/>
      <c r="BB649" s="28"/>
    </row>
    <row r="650" spans="1:54" ht="12.75" x14ac:dyDescent="0.2">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c r="AA650" s="28"/>
      <c r="AB650" s="28"/>
      <c r="AC650" s="28"/>
      <c r="AD650" s="28"/>
      <c r="AE650" s="28"/>
      <c r="AF650" s="28"/>
      <c r="AG650" s="28"/>
      <c r="AH650" s="28"/>
      <c r="AI650" s="28"/>
      <c r="AJ650" s="28"/>
      <c r="AK650" s="28"/>
      <c r="AL650" s="28"/>
      <c r="AM650" s="28"/>
      <c r="AN650" s="28"/>
      <c r="AO650" s="28"/>
      <c r="AP650" s="28"/>
      <c r="AQ650" s="28"/>
      <c r="AR650" s="28"/>
      <c r="AS650" s="28"/>
      <c r="AT650" s="28"/>
      <c r="AU650" s="28"/>
      <c r="AV650" s="28"/>
      <c r="AW650" s="28"/>
      <c r="AX650" s="28"/>
      <c r="AY650" s="28"/>
      <c r="AZ650" s="28"/>
      <c r="BA650" s="28"/>
      <c r="BB650" s="28"/>
    </row>
    <row r="651" spans="1:54" ht="12.75" x14ac:dyDescent="0.2">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c r="AA651" s="28"/>
      <c r="AB651" s="28"/>
      <c r="AC651" s="28"/>
      <c r="AD651" s="28"/>
      <c r="AE651" s="28"/>
      <c r="AF651" s="28"/>
      <c r="AG651" s="28"/>
      <c r="AH651" s="28"/>
      <c r="AI651" s="28"/>
      <c r="AJ651" s="28"/>
      <c r="AK651" s="28"/>
      <c r="AL651" s="28"/>
      <c r="AM651" s="28"/>
      <c r="AN651" s="28"/>
      <c r="AO651" s="28"/>
      <c r="AP651" s="28"/>
      <c r="AQ651" s="28"/>
      <c r="AR651" s="28"/>
      <c r="AS651" s="28"/>
      <c r="AT651" s="28"/>
      <c r="AU651" s="28"/>
      <c r="AV651" s="28"/>
      <c r="AW651" s="28"/>
      <c r="AX651" s="28"/>
      <c r="AY651" s="28"/>
      <c r="AZ651" s="28"/>
      <c r="BA651" s="28"/>
      <c r="BB651" s="28"/>
    </row>
    <row r="652" spans="1:54" ht="12.75" x14ac:dyDescent="0.2">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c r="AA652" s="28"/>
      <c r="AB652" s="28"/>
      <c r="AC652" s="28"/>
      <c r="AD652" s="28"/>
      <c r="AE652" s="28"/>
      <c r="AF652" s="28"/>
      <c r="AG652" s="28"/>
      <c r="AH652" s="28"/>
      <c r="AI652" s="28"/>
      <c r="AJ652" s="28"/>
      <c r="AK652" s="28"/>
      <c r="AL652" s="28"/>
      <c r="AM652" s="28"/>
      <c r="AN652" s="28"/>
      <c r="AO652" s="28"/>
      <c r="AP652" s="28"/>
      <c r="AQ652" s="28"/>
      <c r="AR652" s="28"/>
      <c r="AS652" s="28"/>
      <c r="AT652" s="28"/>
      <c r="AU652" s="28"/>
      <c r="AV652" s="28"/>
      <c r="AW652" s="28"/>
      <c r="AX652" s="28"/>
      <c r="AY652" s="28"/>
      <c r="AZ652" s="28"/>
      <c r="BA652" s="28"/>
      <c r="BB652" s="28"/>
    </row>
    <row r="653" spans="1:54" ht="12.75" x14ac:dyDescent="0.2">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c r="AA653" s="28"/>
      <c r="AB653" s="28"/>
      <c r="AC653" s="28"/>
      <c r="AD653" s="28"/>
      <c r="AE653" s="28"/>
      <c r="AF653" s="28"/>
      <c r="AG653" s="28"/>
      <c r="AH653" s="28"/>
      <c r="AI653" s="28"/>
      <c r="AJ653" s="28"/>
      <c r="AK653" s="28"/>
      <c r="AL653" s="28"/>
      <c r="AM653" s="28"/>
      <c r="AN653" s="28"/>
      <c r="AO653" s="28"/>
      <c r="AP653" s="28"/>
      <c r="AQ653" s="28"/>
      <c r="AR653" s="28"/>
      <c r="AS653" s="28"/>
      <c r="AT653" s="28"/>
      <c r="AU653" s="28"/>
      <c r="AV653" s="28"/>
      <c r="AW653" s="28"/>
      <c r="AX653" s="28"/>
      <c r="AY653" s="28"/>
      <c r="AZ653" s="28"/>
      <c r="BA653" s="28"/>
      <c r="BB653" s="28"/>
    </row>
    <row r="654" spans="1:54" ht="12.75" x14ac:dyDescent="0.2">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c r="AA654" s="28"/>
      <c r="AB654" s="28"/>
      <c r="AC654" s="28"/>
      <c r="AD654" s="28"/>
      <c r="AE654" s="28"/>
      <c r="AF654" s="28"/>
      <c r="AG654" s="28"/>
      <c r="AH654" s="28"/>
      <c r="AI654" s="28"/>
      <c r="AJ654" s="28"/>
      <c r="AK654" s="28"/>
      <c r="AL654" s="28"/>
      <c r="AM654" s="28"/>
      <c r="AN654" s="28"/>
      <c r="AO654" s="28"/>
      <c r="AP654" s="28"/>
      <c r="AQ654" s="28"/>
      <c r="AR654" s="28"/>
      <c r="AS654" s="28"/>
      <c r="AT654" s="28"/>
      <c r="AU654" s="28"/>
      <c r="AV654" s="28"/>
      <c r="AW654" s="28"/>
      <c r="AX654" s="28"/>
      <c r="AY654" s="28"/>
      <c r="AZ654" s="28"/>
      <c r="BA654" s="28"/>
      <c r="BB654" s="28"/>
    </row>
    <row r="655" spans="1:54" ht="12.75" x14ac:dyDescent="0.2">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c r="AA655" s="28"/>
      <c r="AB655" s="28"/>
      <c r="AC655" s="28"/>
      <c r="AD655" s="28"/>
      <c r="AE655" s="28"/>
      <c r="AF655" s="28"/>
      <c r="AG655" s="28"/>
      <c r="AH655" s="28"/>
      <c r="AI655" s="28"/>
      <c r="AJ655" s="28"/>
      <c r="AK655" s="28"/>
      <c r="AL655" s="28"/>
      <c r="AM655" s="28"/>
      <c r="AN655" s="28"/>
      <c r="AO655" s="28"/>
      <c r="AP655" s="28"/>
      <c r="AQ655" s="28"/>
      <c r="AR655" s="28"/>
      <c r="AS655" s="28"/>
      <c r="AT655" s="28"/>
      <c r="AU655" s="28"/>
      <c r="AV655" s="28"/>
      <c r="AW655" s="28"/>
      <c r="AX655" s="28"/>
      <c r="AY655" s="28"/>
      <c r="AZ655" s="28"/>
      <c r="BA655" s="28"/>
      <c r="BB655" s="28"/>
    </row>
    <row r="656" spans="1:54" ht="12.75" x14ac:dyDescent="0.2">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c r="AA656" s="28"/>
      <c r="AB656" s="28"/>
      <c r="AC656" s="28"/>
      <c r="AD656" s="28"/>
      <c r="AE656" s="28"/>
      <c r="AF656" s="28"/>
      <c r="AG656" s="28"/>
      <c r="AH656" s="28"/>
      <c r="AI656" s="28"/>
      <c r="AJ656" s="28"/>
      <c r="AK656" s="28"/>
      <c r="AL656" s="28"/>
      <c r="AM656" s="28"/>
      <c r="AN656" s="28"/>
      <c r="AO656" s="28"/>
      <c r="AP656" s="28"/>
      <c r="AQ656" s="28"/>
      <c r="AR656" s="28"/>
      <c r="AS656" s="28"/>
      <c r="AT656" s="28"/>
      <c r="AU656" s="28"/>
      <c r="AV656" s="28"/>
      <c r="AW656" s="28"/>
      <c r="AX656" s="28"/>
      <c r="AY656" s="28"/>
      <c r="AZ656" s="28"/>
      <c r="BA656" s="28"/>
      <c r="BB656" s="28"/>
    </row>
    <row r="657" spans="1:54" ht="12.75" x14ac:dyDescent="0.2">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c r="AA657" s="28"/>
      <c r="AB657" s="28"/>
      <c r="AC657" s="28"/>
      <c r="AD657" s="28"/>
      <c r="AE657" s="28"/>
      <c r="AF657" s="28"/>
      <c r="AG657" s="28"/>
      <c r="AH657" s="28"/>
      <c r="AI657" s="28"/>
      <c r="AJ657" s="28"/>
      <c r="AK657" s="28"/>
      <c r="AL657" s="28"/>
      <c r="AM657" s="28"/>
      <c r="AN657" s="28"/>
      <c r="AO657" s="28"/>
      <c r="AP657" s="28"/>
      <c r="AQ657" s="28"/>
      <c r="AR657" s="28"/>
      <c r="AS657" s="28"/>
      <c r="AT657" s="28"/>
      <c r="AU657" s="28"/>
      <c r="AV657" s="28"/>
      <c r="AW657" s="28"/>
      <c r="AX657" s="28"/>
      <c r="AY657" s="28"/>
      <c r="AZ657" s="28"/>
      <c r="BA657" s="28"/>
      <c r="BB657" s="28"/>
    </row>
    <row r="658" spans="1:54" ht="12.75" x14ac:dyDescent="0.2">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c r="AA658" s="28"/>
      <c r="AB658" s="28"/>
      <c r="AC658" s="28"/>
      <c r="AD658" s="28"/>
      <c r="AE658" s="28"/>
      <c r="AF658" s="28"/>
      <c r="AG658" s="28"/>
      <c r="AH658" s="28"/>
      <c r="AI658" s="28"/>
      <c r="AJ658" s="28"/>
      <c r="AK658" s="28"/>
      <c r="AL658" s="28"/>
      <c r="AM658" s="28"/>
      <c r="AN658" s="28"/>
      <c r="AO658" s="28"/>
      <c r="AP658" s="28"/>
      <c r="AQ658" s="28"/>
      <c r="AR658" s="28"/>
      <c r="AS658" s="28"/>
      <c r="AT658" s="28"/>
      <c r="AU658" s="28"/>
      <c r="AV658" s="28"/>
      <c r="AW658" s="28"/>
      <c r="AX658" s="28"/>
      <c r="AY658" s="28"/>
      <c r="AZ658" s="28"/>
      <c r="BA658" s="28"/>
      <c r="BB658" s="28"/>
    </row>
    <row r="659" spans="1:54" ht="12.75" x14ac:dyDescent="0.2">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c r="AA659" s="28"/>
      <c r="AB659" s="28"/>
      <c r="AC659" s="28"/>
      <c r="AD659" s="28"/>
      <c r="AE659" s="28"/>
      <c r="AF659" s="28"/>
      <c r="AG659" s="28"/>
      <c r="AH659" s="28"/>
      <c r="AI659" s="28"/>
      <c r="AJ659" s="28"/>
      <c r="AK659" s="28"/>
      <c r="AL659" s="28"/>
      <c r="AM659" s="28"/>
      <c r="AN659" s="28"/>
      <c r="AO659" s="28"/>
      <c r="AP659" s="28"/>
      <c r="AQ659" s="28"/>
      <c r="AR659" s="28"/>
      <c r="AS659" s="28"/>
      <c r="AT659" s="28"/>
      <c r="AU659" s="28"/>
      <c r="AV659" s="28"/>
      <c r="AW659" s="28"/>
      <c r="AX659" s="28"/>
      <c r="AY659" s="28"/>
      <c r="AZ659" s="28"/>
      <c r="BA659" s="28"/>
      <c r="BB659" s="28"/>
    </row>
    <row r="660" spans="1:54" ht="12.75" x14ac:dyDescent="0.2">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c r="AA660" s="28"/>
      <c r="AB660" s="28"/>
      <c r="AC660" s="28"/>
      <c r="AD660" s="28"/>
      <c r="AE660" s="28"/>
      <c r="AF660" s="28"/>
      <c r="AG660" s="28"/>
      <c r="AH660" s="28"/>
      <c r="AI660" s="28"/>
      <c r="AJ660" s="28"/>
      <c r="AK660" s="28"/>
      <c r="AL660" s="28"/>
      <c r="AM660" s="28"/>
      <c r="AN660" s="28"/>
      <c r="AO660" s="28"/>
      <c r="AP660" s="28"/>
      <c r="AQ660" s="28"/>
      <c r="AR660" s="28"/>
      <c r="AS660" s="28"/>
      <c r="AT660" s="28"/>
      <c r="AU660" s="28"/>
      <c r="AV660" s="28"/>
      <c r="AW660" s="28"/>
      <c r="AX660" s="28"/>
      <c r="AY660" s="28"/>
      <c r="AZ660" s="28"/>
      <c r="BA660" s="28"/>
      <c r="BB660" s="28"/>
    </row>
    <row r="661" spans="1:54" ht="12.75" x14ac:dyDescent="0.2">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c r="AA661" s="28"/>
      <c r="AB661" s="28"/>
      <c r="AC661" s="28"/>
      <c r="AD661" s="28"/>
      <c r="AE661" s="28"/>
      <c r="AF661" s="28"/>
      <c r="AG661" s="28"/>
      <c r="AH661" s="28"/>
      <c r="AI661" s="28"/>
      <c r="AJ661" s="28"/>
      <c r="AK661" s="28"/>
      <c r="AL661" s="28"/>
      <c r="AM661" s="28"/>
      <c r="AN661" s="28"/>
      <c r="AO661" s="28"/>
      <c r="AP661" s="28"/>
      <c r="AQ661" s="28"/>
      <c r="AR661" s="28"/>
      <c r="AS661" s="28"/>
      <c r="AT661" s="28"/>
      <c r="AU661" s="28"/>
      <c r="AV661" s="28"/>
      <c r="AW661" s="28"/>
      <c r="AX661" s="28"/>
      <c r="AY661" s="28"/>
      <c r="AZ661" s="28"/>
      <c r="BA661" s="28"/>
      <c r="BB661" s="28"/>
    </row>
    <row r="662" spans="1:54" ht="12.75" x14ac:dyDescent="0.2">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c r="AA662" s="28"/>
      <c r="AB662" s="28"/>
      <c r="AC662" s="28"/>
      <c r="AD662" s="28"/>
      <c r="AE662" s="28"/>
      <c r="AF662" s="28"/>
      <c r="AG662" s="28"/>
      <c r="AH662" s="28"/>
      <c r="AI662" s="28"/>
      <c r="AJ662" s="28"/>
      <c r="AK662" s="28"/>
      <c r="AL662" s="28"/>
      <c r="AM662" s="28"/>
      <c r="AN662" s="28"/>
      <c r="AO662" s="28"/>
      <c r="AP662" s="28"/>
      <c r="AQ662" s="28"/>
      <c r="AR662" s="28"/>
      <c r="AS662" s="28"/>
      <c r="AT662" s="28"/>
      <c r="AU662" s="28"/>
      <c r="AV662" s="28"/>
      <c r="AW662" s="28"/>
      <c r="AX662" s="28"/>
      <c r="AY662" s="28"/>
      <c r="AZ662" s="28"/>
      <c r="BA662" s="28"/>
      <c r="BB662" s="28"/>
    </row>
    <row r="663" spans="1:54" ht="12.75" x14ac:dyDescent="0.2">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c r="AA663" s="28"/>
      <c r="AB663" s="28"/>
      <c r="AC663" s="28"/>
      <c r="AD663" s="28"/>
      <c r="AE663" s="28"/>
      <c r="AF663" s="28"/>
      <c r="AG663" s="28"/>
      <c r="AH663" s="28"/>
      <c r="AI663" s="28"/>
      <c r="AJ663" s="28"/>
      <c r="AK663" s="28"/>
      <c r="AL663" s="28"/>
      <c r="AM663" s="28"/>
      <c r="AN663" s="28"/>
      <c r="AO663" s="28"/>
      <c r="AP663" s="28"/>
      <c r="AQ663" s="28"/>
      <c r="AR663" s="28"/>
      <c r="AS663" s="28"/>
      <c r="AT663" s="28"/>
      <c r="AU663" s="28"/>
      <c r="AV663" s="28"/>
      <c r="AW663" s="28"/>
      <c r="AX663" s="28"/>
      <c r="AY663" s="28"/>
      <c r="AZ663" s="28"/>
      <c r="BA663" s="28"/>
      <c r="BB663" s="28"/>
    </row>
    <row r="664" spans="1:54" ht="12.75" x14ac:dyDescent="0.2">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c r="AA664" s="28"/>
      <c r="AB664" s="28"/>
      <c r="AC664" s="28"/>
      <c r="AD664" s="28"/>
      <c r="AE664" s="28"/>
      <c r="AF664" s="28"/>
      <c r="AG664" s="28"/>
      <c r="AH664" s="28"/>
      <c r="AI664" s="28"/>
      <c r="AJ664" s="28"/>
      <c r="AK664" s="28"/>
      <c r="AL664" s="28"/>
      <c r="AM664" s="28"/>
      <c r="AN664" s="28"/>
      <c r="AO664" s="28"/>
      <c r="AP664" s="28"/>
      <c r="AQ664" s="28"/>
      <c r="AR664" s="28"/>
      <c r="AS664" s="28"/>
      <c r="AT664" s="28"/>
      <c r="AU664" s="28"/>
      <c r="AV664" s="28"/>
      <c r="AW664" s="28"/>
      <c r="AX664" s="28"/>
      <c r="AY664" s="28"/>
      <c r="AZ664" s="28"/>
      <c r="BA664" s="28"/>
      <c r="BB664" s="28"/>
    </row>
    <row r="665" spans="1:54" ht="12.75" x14ac:dyDescent="0.2">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c r="AA665" s="28"/>
      <c r="AB665" s="28"/>
      <c r="AC665" s="28"/>
      <c r="AD665" s="28"/>
      <c r="AE665" s="28"/>
      <c r="AF665" s="28"/>
      <c r="AG665" s="28"/>
      <c r="AH665" s="28"/>
      <c r="AI665" s="28"/>
      <c r="AJ665" s="28"/>
      <c r="AK665" s="28"/>
      <c r="AL665" s="28"/>
      <c r="AM665" s="28"/>
      <c r="AN665" s="28"/>
      <c r="AO665" s="28"/>
      <c r="AP665" s="28"/>
      <c r="AQ665" s="28"/>
      <c r="AR665" s="28"/>
      <c r="AS665" s="28"/>
      <c r="AT665" s="28"/>
      <c r="AU665" s="28"/>
      <c r="AV665" s="28"/>
      <c r="AW665" s="28"/>
      <c r="AX665" s="28"/>
      <c r="AY665" s="28"/>
      <c r="AZ665" s="28"/>
      <c r="BA665" s="28"/>
      <c r="BB665" s="28"/>
    </row>
    <row r="666" spans="1:54" ht="12.75" x14ac:dyDescent="0.2">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c r="AA666" s="28"/>
      <c r="AB666" s="28"/>
      <c r="AC666" s="28"/>
      <c r="AD666" s="28"/>
      <c r="AE666" s="28"/>
      <c r="AF666" s="28"/>
      <c r="AG666" s="28"/>
      <c r="AH666" s="28"/>
      <c r="AI666" s="28"/>
      <c r="AJ666" s="28"/>
      <c r="AK666" s="28"/>
      <c r="AL666" s="28"/>
      <c r="AM666" s="28"/>
      <c r="AN666" s="28"/>
      <c r="AO666" s="28"/>
      <c r="AP666" s="28"/>
      <c r="AQ666" s="28"/>
      <c r="AR666" s="28"/>
      <c r="AS666" s="28"/>
      <c r="AT666" s="28"/>
      <c r="AU666" s="28"/>
      <c r="AV666" s="28"/>
      <c r="AW666" s="28"/>
      <c r="AX666" s="28"/>
      <c r="AY666" s="28"/>
      <c r="AZ666" s="28"/>
      <c r="BA666" s="28"/>
      <c r="BB666" s="28"/>
    </row>
    <row r="667" spans="1:54" ht="12.75" x14ac:dyDescent="0.2">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c r="AA667" s="28"/>
      <c r="AB667" s="28"/>
      <c r="AC667" s="28"/>
      <c r="AD667" s="28"/>
      <c r="AE667" s="28"/>
      <c r="AF667" s="28"/>
      <c r="AG667" s="28"/>
      <c r="AH667" s="28"/>
      <c r="AI667" s="28"/>
      <c r="AJ667" s="28"/>
      <c r="AK667" s="28"/>
      <c r="AL667" s="28"/>
      <c r="AM667" s="28"/>
      <c r="AN667" s="28"/>
      <c r="AO667" s="28"/>
      <c r="AP667" s="28"/>
      <c r="AQ667" s="28"/>
      <c r="AR667" s="28"/>
      <c r="AS667" s="28"/>
      <c r="AT667" s="28"/>
      <c r="AU667" s="28"/>
      <c r="AV667" s="28"/>
      <c r="AW667" s="28"/>
      <c r="AX667" s="28"/>
      <c r="AY667" s="28"/>
      <c r="AZ667" s="28"/>
      <c r="BA667" s="28"/>
      <c r="BB667" s="28"/>
    </row>
    <row r="668" spans="1:54" ht="12.75" x14ac:dyDescent="0.2">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c r="AA668" s="28"/>
      <c r="AB668" s="28"/>
      <c r="AC668" s="28"/>
      <c r="AD668" s="28"/>
      <c r="AE668" s="28"/>
      <c r="AF668" s="28"/>
      <c r="AG668" s="28"/>
      <c r="AH668" s="28"/>
      <c r="AI668" s="28"/>
      <c r="AJ668" s="28"/>
      <c r="AK668" s="28"/>
      <c r="AL668" s="28"/>
      <c r="AM668" s="28"/>
      <c r="AN668" s="28"/>
      <c r="AO668" s="28"/>
      <c r="AP668" s="28"/>
      <c r="AQ668" s="28"/>
      <c r="AR668" s="28"/>
      <c r="AS668" s="28"/>
      <c r="AT668" s="28"/>
      <c r="AU668" s="28"/>
      <c r="AV668" s="28"/>
      <c r="AW668" s="28"/>
      <c r="AX668" s="28"/>
      <c r="AY668" s="28"/>
      <c r="AZ668" s="28"/>
      <c r="BA668" s="28"/>
      <c r="BB668" s="28"/>
    </row>
    <row r="669" spans="1:54" ht="12.75" x14ac:dyDescent="0.2">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c r="AA669" s="28"/>
      <c r="AB669" s="28"/>
      <c r="AC669" s="28"/>
      <c r="AD669" s="28"/>
      <c r="AE669" s="28"/>
      <c r="AF669" s="28"/>
      <c r="AG669" s="28"/>
      <c r="AH669" s="28"/>
      <c r="AI669" s="28"/>
      <c r="AJ669" s="28"/>
      <c r="AK669" s="28"/>
      <c r="AL669" s="28"/>
      <c r="AM669" s="28"/>
      <c r="AN669" s="28"/>
      <c r="AO669" s="28"/>
      <c r="AP669" s="28"/>
      <c r="AQ669" s="28"/>
      <c r="AR669" s="28"/>
      <c r="AS669" s="28"/>
      <c r="AT669" s="28"/>
      <c r="AU669" s="28"/>
      <c r="AV669" s="28"/>
      <c r="AW669" s="28"/>
      <c r="AX669" s="28"/>
      <c r="AY669" s="28"/>
      <c r="AZ669" s="28"/>
      <c r="BA669" s="28"/>
      <c r="BB669" s="28"/>
    </row>
    <row r="670" spans="1:54" ht="12.75" x14ac:dyDescent="0.2">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c r="AA670" s="28"/>
      <c r="AB670" s="28"/>
      <c r="AC670" s="28"/>
      <c r="AD670" s="28"/>
      <c r="AE670" s="28"/>
      <c r="AF670" s="28"/>
      <c r="AG670" s="28"/>
      <c r="AH670" s="28"/>
      <c r="AI670" s="28"/>
      <c r="AJ670" s="28"/>
      <c r="AK670" s="28"/>
      <c r="AL670" s="28"/>
      <c r="AM670" s="28"/>
      <c r="AN670" s="28"/>
      <c r="AO670" s="28"/>
      <c r="AP670" s="28"/>
      <c r="AQ670" s="28"/>
      <c r="AR670" s="28"/>
      <c r="AS670" s="28"/>
      <c r="AT670" s="28"/>
      <c r="AU670" s="28"/>
      <c r="AV670" s="28"/>
      <c r="AW670" s="28"/>
      <c r="AX670" s="28"/>
      <c r="AY670" s="28"/>
      <c r="AZ670" s="28"/>
      <c r="BA670" s="28"/>
      <c r="BB670" s="28"/>
    </row>
    <row r="671" spans="1:54" ht="12.75" x14ac:dyDescent="0.2">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c r="AA671" s="28"/>
      <c r="AB671" s="28"/>
      <c r="AC671" s="28"/>
      <c r="AD671" s="28"/>
      <c r="AE671" s="28"/>
      <c r="AF671" s="28"/>
      <c r="AG671" s="28"/>
      <c r="AH671" s="28"/>
      <c r="AI671" s="28"/>
      <c r="AJ671" s="28"/>
      <c r="AK671" s="28"/>
      <c r="AL671" s="28"/>
      <c r="AM671" s="28"/>
      <c r="AN671" s="28"/>
      <c r="AO671" s="28"/>
      <c r="AP671" s="28"/>
      <c r="AQ671" s="28"/>
      <c r="AR671" s="28"/>
      <c r="AS671" s="28"/>
      <c r="AT671" s="28"/>
      <c r="AU671" s="28"/>
      <c r="AV671" s="28"/>
      <c r="AW671" s="28"/>
      <c r="AX671" s="28"/>
      <c r="AY671" s="28"/>
      <c r="AZ671" s="28"/>
      <c r="BA671" s="28"/>
      <c r="BB671" s="28"/>
    </row>
    <row r="672" spans="1:54" ht="12.75" x14ac:dyDescent="0.2">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c r="AA672" s="28"/>
      <c r="AB672" s="28"/>
      <c r="AC672" s="28"/>
      <c r="AD672" s="28"/>
      <c r="AE672" s="28"/>
      <c r="AF672" s="28"/>
      <c r="AG672" s="28"/>
      <c r="AH672" s="28"/>
      <c r="AI672" s="28"/>
      <c r="AJ672" s="28"/>
      <c r="AK672" s="28"/>
      <c r="AL672" s="28"/>
      <c r="AM672" s="28"/>
      <c r="AN672" s="28"/>
      <c r="AO672" s="28"/>
      <c r="AP672" s="28"/>
      <c r="AQ672" s="28"/>
      <c r="AR672" s="28"/>
      <c r="AS672" s="28"/>
      <c r="AT672" s="28"/>
      <c r="AU672" s="28"/>
      <c r="AV672" s="28"/>
      <c r="AW672" s="28"/>
      <c r="AX672" s="28"/>
      <c r="AY672" s="28"/>
      <c r="AZ672" s="28"/>
      <c r="BA672" s="28"/>
      <c r="BB672" s="28"/>
    </row>
    <row r="673" spans="1:54" ht="12.75" x14ac:dyDescent="0.2">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c r="AA673" s="28"/>
      <c r="AB673" s="28"/>
      <c r="AC673" s="28"/>
      <c r="AD673" s="28"/>
      <c r="AE673" s="28"/>
      <c r="AF673" s="28"/>
      <c r="AG673" s="28"/>
      <c r="AH673" s="28"/>
      <c r="AI673" s="28"/>
      <c r="AJ673" s="28"/>
      <c r="AK673" s="28"/>
      <c r="AL673" s="28"/>
      <c r="AM673" s="28"/>
      <c r="AN673" s="28"/>
      <c r="AO673" s="28"/>
      <c r="AP673" s="28"/>
      <c r="AQ673" s="28"/>
      <c r="AR673" s="28"/>
      <c r="AS673" s="28"/>
      <c r="AT673" s="28"/>
      <c r="AU673" s="28"/>
      <c r="AV673" s="28"/>
      <c r="AW673" s="28"/>
      <c r="AX673" s="28"/>
      <c r="AY673" s="28"/>
      <c r="AZ673" s="28"/>
      <c r="BA673" s="28"/>
      <c r="BB673" s="28"/>
    </row>
    <row r="674" spans="1:54" ht="12.75" x14ac:dyDescent="0.2">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c r="AA674" s="28"/>
      <c r="AB674" s="28"/>
      <c r="AC674" s="28"/>
      <c r="AD674" s="28"/>
      <c r="AE674" s="28"/>
      <c r="AF674" s="28"/>
      <c r="AG674" s="28"/>
      <c r="AH674" s="28"/>
      <c r="AI674" s="28"/>
      <c r="AJ674" s="28"/>
      <c r="AK674" s="28"/>
      <c r="AL674" s="28"/>
      <c r="AM674" s="28"/>
      <c r="AN674" s="28"/>
      <c r="AO674" s="28"/>
      <c r="AP674" s="28"/>
      <c r="AQ674" s="28"/>
      <c r="AR674" s="28"/>
      <c r="AS674" s="28"/>
      <c r="AT674" s="28"/>
      <c r="AU674" s="28"/>
      <c r="AV674" s="28"/>
      <c r="AW674" s="28"/>
      <c r="AX674" s="28"/>
      <c r="AY674" s="28"/>
      <c r="AZ674" s="28"/>
      <c r="BA674" s="28"/>
      <c r="BB674" s="28"/>
    </row>
    <row r="675" spans="1:54" ht="12.75" x14ac:dyDescent="0.2">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c r="AA675" s="28"/>
      <c r="AB675" s="28"/>
      <c r="AC675" s="28"/>
      <c r="AD675" s="28"/>
      <c r="AE675" s="28"/>
      <c r="AF675" s="28"/>
      <c r="AG675" s="28"/>
      <c r="AH675" s="28"/>
      <c r="AI675" s="28"/>
      <c r="AJ675" s="28"/>
      <c r="AK675" s="28"/>
      <c r="AL675" s="28"/>
      <c r="AM675" s="28"/>
      <c r="AN675" s="28"/>
      <c r="AO675" s="28"/>
      <c r="AP675" s="28"/>
      <c r="AQ675" s="28"/>
      <c r="AR675" s="28"/>
      <c r="AS675" s="28"/>
      <c r="AT675" s="28"/>
      <c r="AU675" s="28"/>
      <c r="AV675" s="28"/>
      <c r="AW675" s="28"/>
      <c r="AX675" s="28"/>
      <c r="AY675" s="28"/>
      <c r="AZ675" s="28"/>
      <c r="BA675" s="28"/>
      <c r="BB675" s="28"/>
    </row>
    <row r="676" spans="1:54" ht="12.75" x14ac:dyDescent="0.2">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c r="AA676" s="28"/>
      <c r="AB676" s="28"/>
      <c r="AC676" s="28"/>
      <c r="AD676" s="28"/>
      <c r="AE676" s="28"/>
      <c r="AF676" s="28"/>
      <c r="AG676" s="28"/>
      <c r="AH676" s="28"/>
      <c r="AI676" s="28"/>
      <c r="AJ676" s="28"/>
      <c r="AK676" s="28"/>
      <c r="AL676" s="28"/>
      <c r="AM676" s="28"/>
      <c r="AN676" s="28"/>
      <c r="AO676" s="28"/>
      <c r="AP676" s="28"/>
      <c r="AQ676" s="28"/>
      <c r="AR676" s="28"/>
      <c r="AS676" s="28"/>
      <c r="AT676" s="28"/>
      <c r="AU676" s="28"/>
      <c r="AV676" s="28"/>
      <c r="AW676" s="28"/>
      <c r="AX676" s="28"/>
      <c r="AY676" s="28"/>
      <c r="AZ676" s="28"/>
      <c r="BA676" s="28"/>
      <c r="BB676" s="28"/>
    </row>
    <row r="677" spans="1:54" ht="12.75" x14ac:dyDescent="0.2">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c r="AA677" s="28"/>
      <c r="AB677" s="28"/>
      <c r="AC677" s="28"/>
      <c r="AD677" s="28"/>
      <c r="AE677" s="28"/>
      <c r="AF677" s="28"/>
      <c r="AG677" s="28"/>
      <c r="AH677" s="28"/>
      <c r="AI677" s="28"/>
      <c r="AJ677" s="28"/>
      <c r="AK677" s="28"/>
      <c r="AL677" s="28"/>
      <c r="AM677" s="28"/>
      <c r="AN677" s="28"/>
      <c r="AO677" s="28"/>
      <c r="AP677" s="28"/>
      <c r="AQ677" s="28"/>
      <c r="AR677" s="28"/>
      <c r="AS677" s="28"/>
      <c r="AT677" s="28"/>
      <c r="AU677" s="28"/>
      <c r="AV677" s="28"/>
      <c r="AW677" s="28"/>
      <c r="AX677" s="28"/>
      <c r="AY677" s="28"/>
      <c r="AZ677" s="28"/>
      <c r="BA677" s="28"/>
      <c r="BB677" s="28"/>
    </row>
    <row r="678" spans="1:54" ht="12.75" x14ac:dyDescent="0.2">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c r="AA678" s="28"/>
      <c r="AB678" s="28"/>
      <c r="AC678" s="28"/>
      <c r="AD678" s="28"/>
      <c r="AE678" s="28"/>
      <c r="AF678" s="28"/>
      <c r="AG678" s="28"/>
      <c r="AH678" s="28"/>
      <c r="AI678" s="28"/>
      <c r="AJ678" s="28"/>
      <c r="AK678" s="28"/>
      <c r="AL678" s="28"/>
      <c r="AM678" s="28"/>
      <c r="AN678" s="28"/>
      <c r="AO678" s="28"/>
      <c r="AP678" s="28"/>
      <c r="AQ678" s="28"/>
      <c r="AR678" s="28"/>
      <c r="AS678" s="28"/>
      <c r="AT678" s="28"/>
      <c r="AU678" s="28"/>
      <c r="AV678" s="28"/>
      <c r="AW678" s="28"/>
      <c r="AX678" s="28"/>
      <c r="AY678" s="28"/>
      <c r="AZ678" s="28"/>
      <c r="BA678" s="28"/>
      <c r="BB678" s="28"/>
    </row>
    <row r="679" spans="1:54" ht="12.75" x14ac:dyDescent="0.2">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c r="AA679" s="28"/>
      <c r="AB679" s="28"/>
      <c r="AC679" s="28"/>
      <c r="AD679" s="28"/>
      <c r="AE679" s="28"/>
      <c r="AF679" s="28"/>
      <c r="AG679" s="28"/>
      <c r="AH679" s="28"/>
      <c r="AI679" s="28"/>
      <c r="AJ679" s="28"/>
      <c r="AK679" s="28"/>
      <c r="AL679" s="28"/>
      <c r="AM679" s="28"/>
      <c r="AN679" s="28"/>
      <c r="AO679" s="28"/>
      <c r="AP679" s="28"/>
      <c r="AQ679" s="28"/>
      <c r="AR679" s="28"/>
      <c r="AS679" s="28"/>
      <c r="AT679" s="28"/>
      <c r="AU679" s="28"/>
      <c r="AV679" s="28"/>
      <c r="AW679" s="28"/>
      <c r="AX679" s="28"/>
      <c r="AY679" s="28"/>
      <c r="AZ679" s="28"/>
      <c r="BA679" s="28"/>
      <c r="BB679" s="28"/>
    </row>
    <row r="680" spans="1:54" ht="12.75" x14ac:dyDescent="0.2">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c r="AA680" s="28"/>
      <c r="AB680" s="28"/>
      <c r="AC680" s="28"/>
      <c r="AD680" s="28"/>
      <c r="AE680" s="28"/>
      <c r="AF680" s="28"/>
      <c r="AG680" s="28"/>
      <c r="AH680" s="28"/>
      <c r="AI680" s="28"/>
      <c r="AJ680" s="28"/>
      <c r="AK680" s="28"/>
      <c r="AL680" s="28"/>
      <c r="AM680" s="28"/>
      <c r="AN680" s="28"/>
      <c r="AO680" s="28"/>
      <c r="AP680" s="28"/>
      <c r="AQ680" s="28"/>
      <c r="AR680" s="28"/>
      <c r="AS680" s="28"/>
      <c r="AT680" s="28"/>
      <c r="AU680" s="28"/>
      <c r="AV680" s="28"/>
      <c r="AW680" s="28"/>
      <c r="AX680" s="28"/>
      <c r="AY680" s="28"/>
      <c r="AZ680" s="28"/>
      <c r="BA680" s="28"/>
      <c r="BB680" s="28"/>
    </row>
    <row r="681" spans="1:54" ht="12.75" x14ac:dyDescent="0.2">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c r="AA681" s="28"/>
      <c r="AB681" s="28"/>
      <c r="AC681" s="28"/>
      <c r="AD681" s="28"/>
      <c r="AE681" s="28"/>
      <c r="AF681" s="28"/>
      <c r="AG681" s="28"/>
      <c r="AH681" s="28"/>
      <c r="AI681" s="28"/>
      <c r="AJ681" s="28"/>
      <c r="AK681" s="28"/>
      <c r="AL681" s="28"/>
      <c r="AM681" s="28"/>
      <c r="AN681" s="28"/>
      <c r="AO681" s="28"/>
      <c r="AP681" s="28"/>
      <c r="AQ681" s="28"/>
      <c r="AR681" s="28"/>
      <c r="AS681" s="28"/>
      <c r="AT681" s="28"/>
      <c r="AU681" s="28"/>
      <c r="AV681" s="28"/>
      <c r="AW681" s="28"/>
      <c r="AX681" s="28"/>
      <c r="AY681" s="28"/>
      <c r="AZ681" s="28"/>
      <c r="BA681" s="28"/>
      <c r="BB681" s="28"/>
    </row>
    <row r="682" spans="1:54" ht="12.75" x14ac:dyDescent="0.2">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c r="AA682" s="28"/>
      <c r="AB682" s="28"/>
      <c r="AC682" s="28"/>
      <c r="AD682" s="28"/>
      <c r="AE682" s="28"/>
      <c r="AF682" s="28"/>
      <c r="AG682" s="28"/>
      <c r="AH682" s="28"/>
      <c r="AI682" s="28"/>
      <c r="AJ682" s="28"/>
      <c r="AK682" s="28"/>
      <c r="AL682" s="28"/>
      <c r="AM682" s="28"/>
      <c r="AN682" s="28"/>
      <c r="AO682" s="28"/>
      <c r="AP682" s="28"/>
      <c r="AQ682" s="28"/>
      <c r="AR682" s="28"/>
      <c r="AS682" s="28"/>
      <c r="AT682" s="28"/>
      <c r="AU682" s="28"/>
      <c r="AV682" s="28"/>
      <c r="AW682" s="28"/>
      <c r="AX682" s="28"/>
      <c r="AY682" s="28"/>
      <c r="AZ682" s="28"/>
      <c r="BA682" s="28"/>
      <c r="BB682" s="28"/>
    </row>
    <row r="683" spans="1:54" ht="12.75" x14ac:dyDescent="0.2">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c r="AA683" s="28"/>
      <c r="AB683" s="28"/>
      <c r="AC683" s="28"/>
      <c r="AD683" s="28"/>
      <c r="AE683" s="28"/>
      <c r="AF683" s="28"/>
      <c r="AG683" s="28"/>
      <c r="AH683" s="28"/>
      <c r="AI683" s="28"/>
      <c r="AJ683" s="28"/>
      <c r="AK683" s="28"/>
      <c r="AL683" s="28"/>
      <c r="AM683" s="28"/>
      <c r="AN683" s="28"/>
      <c r="AO683" s="28"/>
      <c r="AP683" s="28"/>
      <c r="AQ683" s="28"/>
      <c r="AR683" s="28"/>
      <c r="AS683" s="28"/>
      <c r="AT683" s="28"/>
      <c r="AU683" s="28"/>
      <c r="AV683" s="28"/>
      <c r="AW683" s="28"/>
      <c r="AX683" s="28"/>
      <c r="AY683" s="28"/>
      <c r="AZ683" s="28"/>
      <c r="BA683" s="28"/>
      <c r="BB683" s="28"/>
    </row>
    <row r="684" spans="1:54" ht="12.75" x14ac:dyDescent="0.2">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c r="AA684" s="28"/>
      <c r="AB684" s="28"/>
      <c r="AC684" s="28"/>
      <c r="AD684" s="28"/>
      <c r="AE684" s="28"/>
      <c r="AF684" s="28"/>
      <c r="AG684" s="28"/>
      <c r="AH684" s="28"/>
      <c r="AI684" s="28"/>
      <c r="AJ684" s="28"/>
      <c r="AK684" s="28"/>
      <c r="AL684" s="28"/>
      <c r="AM684" s="28"/>
      <c r="AN684" s="28"/>
      <c r="AO684" s="28"/>
      <c r="AP684" s="28"/>
      <c r="AQ684" s="28"/>
      <c r="AR684" s="28"/>
      <c r="AS684" s="28"/>
      <c r="AT684" s="28"/>
      <c r="AU684" s="28"/>
      <c r="AV684" s="28"/>
      <c r="AW684" s="28"/>
      <c r="AX684" s="28"/>
      <c r="AY684" s="28"/>
      <c r="AZ684" s="28"/>
      <c r="BA684" s="28"/>
      <c r="BB684" s="28"/>
    </row>
    <row r="685" spans="1:54" ht="12.75" x14ac:dyDescent="0.2">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c r="AA685" s="28"/>
      <c r="AB685" s="28"/>
      <c r="AC685" s="28"/>
      <c r="AD685" s="28"/>
      <c r="AE685" s="28"/>
      <c r="AF685" s="28"/>
      <c r="AG685" s="28"/>
      <c r="AH685" s="28"/>
      <c r="AI685" s="28"/>
      <c r="AJ685" s="28"/>
      <c r="AK685" s="28"/>
      <c r="AL685" s="28"/>
      <c r="AM685" s="28"/>
      <c r="AN685" s="28"/>
      <c r="AO685" s="28"/>
      <c r="AP685" s="28"/>
      <c r="AQ685" s="28"/>
      <c r="AR685" s="28"/>
      <c r="AS685" s="28"/>
      <c r="AT685" s="28"/>
      <c r="AU685" s="28"/>
      <c r="AV685" s="28"/>
      <c r="AW685" s="28"/>
      <c r="AX685" s="28"/>
      <c r="AY685" s="28"/>
      <c r="AZ685" s="28"/>
      <c r="BA685" s="28"/>
      <c r="BB685" s="28"/>
    </row>
    <row r="686" spans="1:54" ht="12.75" x14ac:dyDescent="0.2">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c r="AA686" s="28"/>
      <c r="AB686" s="28"/>
      <c r="AC686" s="28"/>
      <c r="AD686" s="28"/>
      <c r="AE686" s="28"/>
      <c r="AF686" s="28"/>
      <c r="AG686" s="28"/>
      <c r="AH686" s="28"/>
      <c r="AI686" s="28"/>
      <c r="AJ686" s="28"/>
      <c r="AK686" s="28"/>
      <c r="AL686" s="28"/>
      <c r="AM686" s="28"/>
      <c r="AN686" s="28"/>
      <c r="AO686" s="28"/>
      <c r="AP686" s="28"/>
      <c r="AQ686" s="28"/>
      <c r="AR686" s="28"/>
      <c r="AS686" s="28"/>
      <c r="AT686" s="28"/>
      <c r="AU686" s="28"/>
      <c r="AV686" s="28"/>
      <c r="AW686" s="28"/>
      <c r="AX686" s="28"/>
      <c r="AY686" s="28"/>
      <c r="AZ686" s="28"/>
      <c r="BA686" s="28"/>
      <c r="BB686" s="28"/>
    </row>
    <row r="687" spans="1:54" ht="12.75" x14ac:dyDescent="0.2">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c r="AA687" s="28"/>
      <c r="AB687" s="28"/>
      <c r="AC687" s="28"/>
      <c r="AD687" s="28"/>
      <c r="AE687" s="28"/>
      <c r="AF687" s="28"/>
      <c r="AG687" s="28"/>
      <c r="AH687" s="28"/>
      <c r="AI687" s="28"/>
      <c r="AJ687" s="28"/>
      <c r="AK687" s="28"/>
      <c r="AL687" s="28"/>
      <c r="AM687" s="28"/>
      <c r="AN687" s="28"/>
      <c r="AO687" s="28"/>
      <c r="AP687" s="28"/>
      <c r="AQ687" s="28"/>
      <c r="AR687" s="28"/>
      <c r="AS687" s="28"/>
      <c r="AT687" s="28"/>
      <c r="AU687" s="28"/>
      <c r="AV687" s="28"/>
      <c r="AW687" s="28"/>
      <c r="AX687" s="28"/>
      <c r="AY687" s="28"/>
      <c r="AZ687" s="28"/>
      <c r="BA687" s="28"/>
      <c r="BB687" s="28"/>
    </row>
    <row r="688" spans="1:54" ht="12.75" x14ac:dyDescent="0.2">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c r="AA688" s="28"/>
      <c r="AB688" s="28"/>
      <c r="AC688" s="28"/>
      <c r="AD688" s="28"/>
      <c r="AE688" s="28"/>
      <c r="AF688" s="28"/>
      <c r="AG688" s="28"/>
      <c r="AH688" s="28"/>
      <c r="AI688" s="28"/>
      <c r="AJ688" s="28"/>
      <c r="AK688" s="28"/>
      <c r="AL688" s="28"/>
      <c r="AM688" s="28"/>
      <c r="AN688" s="28"/>
      <c r="AO688" s="28"/>
      <c r="AP688" s="28"/>
      <c r="AQ688" s="28"/>
      <c r="AR688" s="28"/>
      <c r="AS688" s="28"/>
      <c r="AT688" s="28"/>
      <c r="AU688" s="28"/>
      <c r="AV688" s="28"/>
      <c r="AW688" s="28"/>
      <c r="AX688" s="28"/>
      <c r="AY688" s="28"/>
      <c r="AZ688" s="28"/>
      <c r="BA688" s="28"/>
      <c r="BB688" s="28"/>
    </row>
    <row r="689" spans="1:54" ht="12.75" x14ac:dyDescent="0.2">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c r="AA689" s="28"/>
      <c r="AB689" s="28"/>
      <c r="AC689" s="28"/>
      <c r="AD689" s="28"/>
      <c r="AE689" s="28"/>
      <c r="AF689" s="28"/>
      <c r="AG689" s="28"/>
      <c r="AH689" s="28"/>
      <c r="AI689" s="28"/>
      <c r="AJ689" s="28"/>
      <c r="AK689" s="28"/>
      <c r="AL689" s="28"/>
      <c r="AM689" s="28"/>
      <c r="AN689" s="28"/>
      <c r="AO689" s="28"/>
      <c r="AP689" s="28"/>
      <c r="AQ689" s="28"/>
      <c r="AR689" s="28"/>
      <c r="AS689" s="28"/>
      <c r="AT689" s="28"/>
      <c r="AU689" s="28"/>
      <c r="AV689" s="28"/>
      <c r="AW689" s="28"/>
      <c r="AX689" s="28"/>
      <c r="AY689" s="28"/>
      <c r="AZ689" s="28"/>
      <c r="BA689" s="28"/>
      <c r="BB689" s="28"/>
    </row>
    <row r="690" spans="1:54" ht="12.75" x14ac:dyDescent="0.2">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c r="AA690" s="28"/>
      <c r="AB690" s="28"/>
      <c r="AC690" s="28"/>
      <c r="AD690" s="28"/>
      <c r="AE690" s="28"/>
      <c r="AF690" s="28"/>
      <c r="AG690" s="28"/>
      <c r="AH690" s="28"/>
      <c r="AI690" s="28"/>
      <c r="AJ690" s="28"/>
      <c r="AK690" s="28"/>
      <c r="AL690" s="28"/>
      <c r="AM690" s="28"/>
      <c r="AN690" s="28"/>
      <c r="AO690" s="28"/>
      <c r="AP690" s="28"/>
      <c r="AQ690" s="28"/>
      <c r="AR690" s="28"/>
      <c r="AS690" s="28"/>
      <c r="AT690" s="28"/>
      <c r="AU690" s="28"/>
      <c r="AV690" s="28"/>
      <c r="AW690" s="28"/>
      <c r="AX690" s="28"/>
      <c r="AY690" s="28"/>
      <c r="AZ690" s="28"/>
      <c r="BA690" s="28"/>
      <c r="BB690" s="28"/>
    </row>
    <row r="691" spans="1:54" ht="12.75" x14ac:dyDescent="0.2">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c r="AA691" s="28"/>
      <c r="AB691" s="28"/>
      <c r="AC691" s="28"/>
      <c r="AD691" s="28"/>
      <c r="AE691" s="28"/>
      <c r="AF691" s="28"/>
      <c r="AG691" s="28"/>
      <c r="AH691" s="28"/>
      <c r="AI691" s="28"/>
      <c r="AJ691" s="28"/>
      <c r="AK691" s="28"/>
      <c r="AL691" s="28"/>
      <c r="AM691" s="28"/>
      <c r="AN691" s="28"/>
      <c r="AO691" s="28"/>
      <c r="AP691" s="28"/>
      <c r="AQ691" s="28"/>
      <c r="AR691" s="28"/>
      <c r="AS691" s="28"/>
      <c r="AT691" s="28"/>
      <c r="AU691" s="28"/>
      <c r="AV691" s="28"/>
      <c r="AW691" s="28"/>
      <c r="AX691" s="28"/>
      <c r="AY691" s="28"/>
      <c r="AZ691" s="28"/>
      <c r="BA691" s="28"/>
      <c r="BB691" s="28"/>
    </row>
    <row r="692" spans="1:54" ht="12.75" x14ac:dyDescent="0.2">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c r="AA692" s="28"/>
      <c r="AB692" s="28"/>
      <c r="AC692" s="28"/>
      <c r="AD692" s="28"/>
      <c r="AE692" s="28"/>
      <c r="AF692" s="28"/>
      <c r="AG692" s="28"/>
      <c r="AH692" s="28"/>
      <c r="AI692" s="28"/>
      <c r="AJ692" s="28"/>
      <c r="AK692" s="28"/>
      <c r="AL692" s="28"/>
      <c r="AM692" s="28"/>
      <c r="AN692" s="28"/>
      <c r="AO692" s="28"/>
      <c r="AP692" s="28"/>
      <c r="AQ692" s="28"/>
      <c r="AR692" s="28"/>
      <c r="AS692" s="28"/>
      <c r="AT692" s="28"/>
      <c r="AU692" s="28"/>
      <c r="AV692" s="28"/>
      <c r="AW692" s="28"/>
      <c r="AX692" s="28"/>
      <c r="AY692" s="28"/>
      <c r="AZ692" s="28"/>
      <c r="BA692" s="28"/>
      <c r="BB692" s="28"/>
    </row>
    <row r="693" spans="1:54" ht="12.75" x14ac:dyDescent="0.2">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8"/>
      <c r="AJ693" s="28"/>
      <c r="AK693" s="28"/>
      <c r="AL693" s="28"/>
      <c r="AM693" s="28"/>
      <c r="AN693" s="28"/>
      <c r="AO693" s="28"/>
      <c r="AP693" s="28"/>
      <c r="AQ693" s="28"/>
      <c r="AR693" s="28"/>
      <c r="AS693" s="28"/>
      <c r="AT693" s="28"/>
      <c r="AU693" s="28"/>
      <c r="AV693" s="28"/>
      <c r="AW693" s="28"/>
      <c r="AX693" s="28"/>
      <c r="AY693" s="28"/>
      <c r="AZ693" s="28"/>
      <c r="BA693" s="28"/>
      <c r="BB693" s="28"/>
    </row>
    <row r="694" spans="1:54" ht="12.75" x14ac:dyDescent="0.2">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c r="AA694" s="28"/>
      <c r="AB694" s="28"/>
      <c r="AC694" s="28"/>
      <c r="AD694" s="28"/>
      <c r="AE694" s="28"/>
      <c r="AF694" s="28"/>
      <c r="AG694" s="28"/>
      <c r="AH694" s="28"/>
      <c r="AI694" s="28"/>
      <c r="AJ694" s="28"/>
      <c r="AK694" s="28"/>
      <c r="AL694" s="28"/>
      <c r="AM694" s="28"/>
      <c r="AN694" s="28"/>
      <c r="AO694" s="28"/>
      <c r="AP694" s="28"/>
      <c r="AQ694" s="28"/>
      <c r="AR694" s="28"/>
      <c r="AS694" s="28"/>
      <c r="AT694" s="28"/>
      <c r="AU694" s="28"/>
      <c r="AV694" s="28"/>
      <c r="AW694" s="28"/>
      <c r="AX694" s="28"/>
      <c r="AY694" s="28"/>
      <c r="AZ694" s="28"/>
      <c r="BA694" s="28"/>
      <c r="BB694" s="28"/>
    </row>
    <row r="695" spans="1:54" ht="12.75" x14ac:dyDescent="0.2">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c r="AA695" s="28"/>
      <c r="AB695" s="28"/>
      <c r="AC695" s="28"/>
      <c r="AD695" s="28"/>
      <c r="AE695" s="28"/>
      <c r="AF695" s="28"/>
      <c r="AG695" s="28"/>
      <c r="AH695" s="28"/>
      <c r="AI695" s="28"/>
      <c r="AJ695" s="28"/>
      <c r="AK695" s="28"/>
      <c r="AL695" s="28"/>
      <c r="AM695" s="28"/>
      <c r="AN695" s="28"/>
      <c r="AO695" s="28"/>
      <c r="AP695" s="28"/>
      <c r="AQ695" s="28"/>
      <c r="AR695" s="28"/>
      <c r="AS695" s="28"/>
      <c r="AT695" s="28"/>
      <c r="AU695" s="28"/>
      <c r="AV695" s="28"/>
      <c r="AW695" s="28"/>
      <c r="AX695" s="28"/>
      <c r="AY695" s="28"/>
      <c r="AZ695" s="28"/>
      <c r="BA695" s="28"/>
      <c r="BB695" s="28"/>
    </row>
    <row r="696" spans="1:54" ht="12.75" x14ac:dyDescent="0.2">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c r="AA696" s="28"/>
      <c r="AB696" s="28"/>
      <c r="AC696" s="28"/>
      <c r="AD696" s="28"/>
      <c r="AE696" s="28"/>
      <c r="AF696" s="28"/>
      <c r="AG696" s="28"/>
      <c r="AH696" s="28"/>
      <c r="AI696" s="28"/>
      <c r="AJ696" s="28"/>
      <c r="AK696" s="28"/>
      <c r="AL696" s="28"/>
      <c r="AM696" s="28"/>
      <c r="AN696" s="28"/>
      <c r="AO696" s="28"/>
      <c r="AP696" s="28"/>
      <c r="AQ696" s="28"/>
      <c r="AR696" s="28"/>
      <c r="AS696" s="28"/>
      <c r="AT696" s="28"/>
      <c r="AU696" s="28"/>
      <c r="AV696" s="28"/>
      <c r="AW696" s="28"/>
      <c r="AX696" s="28"/>
      <c r="AY696" s="28"/>
      <c r="AZ696" s="28"/>
      <c r="BA696" s="28"/>
      <c r="BB696" s="28"/>
    </row>
    <row r="697" spans="1:54" ht="12.75" x14ac:dyDescent="0.2">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c r="AA697" s="28"/>
      <c r="AB697" s="28"/>
      <c r="AC697" s="28"/>
      <c r="AD697" s="28"/>
      <c r="AE697" s="28"/>
      <c r="AF697" s="28"/>
      <c r="AG697" s="28"/>
      <c r="AH697" s="28"/>
      <c r="AI697" s="28"/>
      <c r="AJ697" s="28"/>
      <c r="AK697" s="28"/>
      <c r="AL697" s="28"/>
      <c r="AM697" s="28"/>
      <c r="AN697" s="28"/>
      <c r="AO697" s="28"/>
      <c r="AP697" s="28"/>
      <c r="AQ697" s="28"/>
      <c r="AR697" s="28"/>
      <c r="AS697" s="28"/>
      <c r="AT697" s="28"/>
      <c r="AU697" s="28"/>
      <c r="AV697" s="28"/>
      <c r="AW697" s="28"/>
      <c r="AX697" s="28"/>
      <c r="AY697" s="28"/>
      <c r="AZ697" s="28"/>
      <c r="BA697" s="28"/>
      <c r="BB697" s="28"/>
    </row>
    <row r="698" spans="1:54" ht="12.75" x14ac:dyDescent="0.2">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c r="AA698" s="28"/>
      <c r="AB698" s="28"/>
      <c r="AC698" s="28"/>
      <c r="AD698" s="28"/>
      <c r="AE698" s="28"/>
      <c r="AF698" s="28"/>
      <c r="AG698" s="28"/>
      <c r="AH698" s="28"/>
      <c r="AI698" s="28"/>
      <c r="AJ698" s="28"/>
      <c r="AK698" s="28"/>
      <c r="AL698" s="28"/>
      <c r="AM698" s="28"/>
      <c r="AN698" s="28"/>
      <c r="AO698" s="28"/>
      <c r="AP698" s="28"/>
      <c r="AQ698" s="28"/>
      <c r="AR698" s="28"/>
      <c r="AS698" s="28"/>
      <c r="AT698" s="28"/>
      <c r="AU698" s="28"/>
      <c r="AV698" s="28"/>
      <c r="AW698" s="28"/>
      <c r="AX698" s="28"/>
      <c r="AY698" s="28"/>
      <c r="AZ698" s="28"/>
      <c r="BA698" s="28"/>
      <c r="BB698" s="28"/>
    </row>
    <row r="699" spans="1:54" ht="12.75" x14ac:dyDescent="0.2">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c r="AA699" s="28"/>
      <c r="AB699" s="28"/>
      <c r="AC699" s="28"/>
      <c r="AD699" s="28"/>
      <c r="AE699" s="28"/>
      <c r="AF699" s="28"/>
      <c r="AG699" s="28"/>
      <c r="AH699" s="28"/>
      <c r="AI699" s="28"/>
      <c r="AJ699" s="28"/>
      <c r="AK699" s="28"/>
      <c r="AL699" s="28"/>
      <c r="AM699" s="28"/>
      <c r="AN699" s="28"/>
      <c r="AO699" s="28"/>
      <c r="AP699" s="28"/>
      <c r="AQ699" s="28"/>
      <c r="AR699" s="28"/>
      <c r="AS699" s="28"/>
      <c r="AT699" s="28"/>
      <c r="AU699" s="28"/>
      <c r="AV699" s="28"/>
      <c r="AW699" s="28"/>
      <c r="AX699" s="28"/>
      <c r="AY699" s="28"/>
      <c r="AZ699" s="28"/>
      <c r="BA699" s="28"/>
      <c r="BB699" s="28"/>
    </row>
    <row r="700" spans="1:54" ht="12.75" x14ac:dyDescent="0.2">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c r="AA700" s="28"/>
      <c r="AB700" s="28"/>
      <c r="AC700" s="28"/>
      <c r="AD700" s="28"/>
      <c r="AE700" s="28"/>
      <c r="AF700" s="28"/>
      <c r="AG700" s="28"/>
      <c r="AH700" s="28"/>
      <c r="AI700" s="28"/>
      <c r="AJ700" s="28"/>
      <c r="AK700" s="28"/>
      <c r="AL700" s="28"/>
      <c r="AM700" s="28"/>
      <c r="AN700" s="28"/>
      <c r="AO700" s="28"/>
      <c r="AP700" s="28"/>
      <c r="AQ700" s="28"/>
      <c r="AR700" s="28"/>
      <c r="AS700" s="28"/>
      <c r="AT700" s="28"/>
      <c r="AU700" s="28"/>
      <c r="AV700" s="28"/>
      <c r="AW700" s="28"/>
      <c r="AX700" s="28"/>
      <c r="AY700" s="28"/>
      <c r="AZ700" s="28"/>
      <c r="BA700" s="28"/>
      <c r="BB700" s="28"/>
    </row>
    <row r="701" spans="1:54" ht="12.75" x14ac:dyDescent="0.2">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c r="AA701" s="28"/>
      <c r="AB701" s="28"/>
      <c r="AC701" s="28"/>
      <c r="AD701" s="28"/>
      <c r="AE701" s="28"/>
      <c r="AF701" s="28"/>
      <c r="AG701" s="28"/>
      <c r="AH701" s="28"/>
      <c r="AI701" s="28"/>
      <c r="AJ701" s="28"/>
      <c r="AK701" s="28"/>
      <c r="AL701" s="28"/>
      <c r="AM701" s="28"/>
      <c r="AN701" s="28"/>
      <c r="AO701" s="28"/>
      <c r="AP701" s="28"/>
      <c r="AQ701" s="28"/>
      <c r="AR701" s="28"/>
      <c r="AS701" s="28"/>
      <c r="AT701" s="28"/>
      <c r="AU701" s="28"/>
      <c r="AV701" s="28"/>
      <c r="AW701" s="28"/>
      <c r="AX701" s="28"/>
      <c r="AY701" s="28"/>
      <c r="AZ701" s="28"/>
      <c r="BA701" s="28"/>
      <c r="BB701" s="28"/>
    </row>
    <row r="702" spans="1:54" ht="12.75" x14ac:dyDescent="0.2">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c r="AA702" s="28"/>
      <c r="AB702" s="28"/>
      <c r="AC702" s="28"/>
      <c r="AD702" s="28"/>
      <c r="AE702" s="28"/>
      <c r="AF702" s="28"/>
      <c r="AG702" s="28"/>
      <c r="AH702" s="28"/>
      <c r="AI702" s="28"/>
      <c r="AJ702" s="28"/>
      <c r="AK702" s="28"/>
      <c r="AL702" s="28"/>
      <c r="AM702" s="28"/>
      <c r="AN702" s="28"/>
      <c r="AO702" s="28"/>
      <c r="AP702" s="28"/>
      <c r="AQ702" s="28"/>
      <c r="AR702" s="28"/>
      <c r="AS702" s="28"/>
      <c r="AT702" s="28"/>
      <c r="AU702" s="28"/>
      <c r="AV702" s="28"/>
      <c r="AW702" s="28"/>
      <c r="AX702" s="28"/>
      <c r="AY702" s="28"/>
      <c r="AZ702" s="28"/>
      <c r="BA702" s="28"/>
      <c r="BB702" s="28"/>
    </row>
    <row r="703" spans="1:54" ht="12.75" x14ac:dyDescent="0.2">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c r="AA703" s="28"/>
      <c r="AB703" s="28"/>
      <c r="AC703" s="28"/>
      <c r="AD703" s="28"/>
      <c r="AE703" s="28"/>
      <c r="AF703" s="28"/>
      <c r="AG703" s="28"/>
      <c r="AH703" s="28"/>
      <c r="AI703" s="28"/>
      <c r="AJ703" s="28"/>
      <c r="AK703" s="28"/>
      <c r="AL703" s="28"/>
      <c r="AM703" s="28"/>
      <c r="AN703" s="28"/>
      <c r="AO703" s="28"/>
      <c r="AP703" s="28"/>
      <c r="AQ703" s="28"/>
      <c r="AR703" s="28"/>
      <c r="AS703" s="28"/>
      <c r="AT703" s="28"/>
      <c r="AU703" s="28"/>
      <c r="AV703" s="28"/>
      <c r="AW703" s="28"/>
      <c r="AX703" s="28"/>
      <c r="AY703" s="28"/>
      <c r="AZ703" s="28"/>
      <c r="BA703" s="28"/>
      <c r="BB703" s="28"/>
    </row>
    <row r="704" spans="1:54" ht="12.75" x14ac:dyDescent="0.2">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c r="AA704" s="28"/>
      <c r="AB704" s="28"/>
      <c r="AC704" s="28"/>
      <c r="AD704" s="28"/>
      <c r="AE704" s="28"/>
      <c r="AF704" s="28"/>
      <c r="AG704" s="28"/>
      <c r="AH704" s="28"/>
      <c r="AI704" s="28"/>
      <c r="AJ704" s="28"/>
      <c r="AK704" s="28"/>
      <c r="AL704" s="28"/>
      <c r="AM704" s="28"/>
      <c r="AN704" s="28"/>
      <c r="AO704" s="28"/>
      <c r="AP704" s="28"/>
      <c r="AQ704" s="28"/>
      <c r="AR704" s="28"/>
      <c r="AS704" s="28"/>
      <c r="AT704" s="28"/>
      <c r="AU704" s="28"/>
      <c r="AV704" s="28"/>
      <c r="AW704" s="28"/>
      <c r="AX704" s="28"/>
      <c r="AY704" s="28"/>
      <c r="AZ704" s="28"/>
      <c r="BA704" s="28"/>
      <c r="BB704" s="28"/>
    </row>
    <row r="705" spans="1:54" ht="12.75" x14ac:dyDescent="0.2">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c r="AA705" s="28"/>
      <c r="AB705" s="28"/>
      <c r="AC705" s="28"/>
      <c r="AD705" s="28"/>
      <c r="AE705" s="28"/>
      <c r="AF705" s="28"/>
      <c r="AG705" s="28"/>
      <c r="AH705" s="28"/>
      <c r="AI705" s="28"/>
      <c r="AJ705" s="28"/>
      <c r="AK705" s="28"/>
      <c r="AL705" s="28"/>
      <c r="AM705" s="28"/>
      <c r="AN705" s="28"/>
      <c r="AO705" s="28"/>
      <c r="AP705" s="28"/>
      <c r="AQ705" s="28"/>
      <c r="AR705" s="28"/>
      <c r="AS705" s="28"/>
      <c r="AT705" s="28"/>
      <c r="AU705" s="28"/>
      <c r="AV705" s="28"/>
      <c r="AW705" s="28"/>
      <c r="AX705" s="28"/>
      <c r="AY705" s="28"/>
      <c r="AZ705" s="28"/>
      <c r="BA705" s="28"/>
      <c r="BB705" s="28"/>
    </row>
    <row r="706" spans="1:54" ht="12.75" x14ac:dyDescent="0.2">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c r="AA706" s="28"/>
      <c r="AB706" s="28"/>
      <c r="AC706" s="28"/>
      <c r="AD706" s="28"/>
      <c r="AE706" s="28"/>
      <c r="AF706" s="28"/>
      <c r="AG706" s="28"/>
      <c r="AH706" s="28"/>
      <c r="AI706" s="28"/>
      <c r="AJ706" s="28"/>
      <c r="AK706" s="28"/>
      <c r="AL706" s="28"/>
      <c r="AM706" s="28"/>
      <c r="AN706" s="28"/>
      <c r="AO706" s="28"/>
      <c r="AP706" s="28"/>
      <c r="AQ706" s="28"/>
      <c r="AR706" s="28"/>
      <c r="AS706" s="28"/>
      <c r="AT706" s="28"/>
      <c r="AU706" s="28"/>
      <c r="AV706" s="28"/>
      <c r="AW706" s="28"/>
      <c r="AX706" s="28"/>
      <c r="AY706" s="28"/>
      <c r="AZ706" s="28"/>
      <c r="BA706" s="28"/>
      <c r="BB706" s="28"/>
    </row>
    <row r="707" spans="1:54" ht="12.75" x14ac:dyDescent="0.2">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c r="AA707" s="28"/>
      <c r="AB707" s="28"/>
      <c r="AC707" s="28"/>
      <c r="AD707" s="28"/>
      <c r="AE707" s="28"/>
      <c r="AF707" s="28"/>
      <c r="AG707" s="28"/>
      <c r="AH707" s="28"/>
      <c r="AI707" s="28"/>
      <c r="AJ707" s="28"/>
      <c r="AK707" s="28"/>
      <c r="AL707" s="28"/>
      <c r="AM707" s="28"/>
      <c r="AN707" s="28"/>
      <c r="AO707" s="28"/>
      <c r="AP707" s="28"/>
      <c r="AQ707" s="28"/>
      <c r="AR707" s="28"/>
      <c r="AS707" s="28"/>
      <c r="AT707" s="28"/>
      <c r="AU707" s="28"/>
      <c r="AV707" s="28"/>
      <c r="AW707" s="28"/>
      <c r="AX707" s="28"/>
      <c r="AY707" s="28"/>
      <c r="AZ707" s="28"/>
      <c r="BA707" s="28"/>
      <c r="BB707" s="28"/>
    </row>
    <row r="708" spans="1:54" ht="12.75" x14ac:dyDescent="0.2">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c r="AA708" s="28"/>
      <c r="AB708" s="28"/>
      <c r="AC708" s="28"/>
      <c r="AD708" s="28"/>
      <c r="AE708" s="28"/>
      <c r="AF708" s="28"/>
      <c r="AG708" s="28"/>
      <c r="AH708" s="28"/>
      <c r="AI708" s="28"/>
      <c r="AJ708" s="28"/>
      <c r="AK708" s="28"/>
      <c r="AL708" s="28"/>
      <c r="AM708" s="28"/>
      <c r="AN708" s="28"/>
      <c r="AO708" s="28"/>
      <c r="AP708" s="28"/>
      <c r="AQ708" s="28"/>
      <c r="AR708" s="28"/>
      <c r="AS708" s="28"/>
      <c r="AT708" s="28"/>
      <c r="AU708" s="28"/>
      <c r="AV708" s="28"/>
      <c r="AW708" s="28"/>
      <c r="AX708" s="28"/>
      <c r="AY708" s="28"/>
      <c r="AZ708" s="28"/>
      <c r="BA708" s="28"/>
      <c r="BB708" s="28"/>
    </row>
    <row r="709" spans="1:54" ht="12.75" x14ac:dyDescent="0.2">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c r="AA709" s="28"/>
      <c r="AB709" s="28"/>
      <c r="AC709" s="28"/>
      <c r="AD709" s="28"/>
      <c r="AE709" s="28"/>
      <c r="AF709" s="28"/>
      <c r="AG709" s="28"/>
      <c r="AH709" s="28"/>
      <c r="AI709" s="28"/>
      <c r="AJ709" s="28"/>
      <c r="AK709" s="28"/>
      <c r="AL709" s="28"/>
      <c r="AM709" s="28"/>
      <c r="AN709" s="28"/>
      <c r="AO709" s="28"/>
      <c r="AP709" s="28"/>
      <c r="AQ709" s="28"/>
      <c r="AR709" s="28"/>
      <c r="AS709" s="28"/>
      <c r="AT709" s="28"/>
      <c r="AU709" s="28"/>
      <c r="AV709" s="28"/>
      <c r="AW709" s="28"/>
      <c r="AX709" s="28"/>
      <c r="AY709" s="28"/>
      <c r="AZ709" s="28"/>
      <c r="BA709" s="28"/>
      <c r="BB709" s="28"/>
    </row>
    <row r="710" spans="1:54" ht="12.75" x14ac:dyDescent="0.2">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c r="AA710" s="28"/>
      <c r="AB710" s="28"/>
      <c r="AC710" s="28"/>
      <c r="AD710" s="28"/>
      <c r="AE710" s="28"/>
      <c r="AF710" s="28"/>
      <c r="AG710" s="28"/>
      <c r="AH710" s="28"/>
      <c r="AI710" s="28"/>
      <c r="AJ710" s="28"/>
      <c r="AK710" s="28"/>
      <c r="AL710" s="28"/>
      <c r="AM710" s="28"/>
      <c r="AN710" s="28"/>
      <c r="AO710" s="28"/>
      <c r="AP710" s="28"/>
      <c r="AQ710" s="28"/>
      <c r="AR710" s="28"/>
      <c r="AS710" s="28"/>
      <c r="AT710" s="28"/>
      <c r="AU710" s="28"/>
      <c r="AV710" s="28"/>
      <c r="AW710" s="28"/>
      <c r="AX710" s="28"/>
      <c r="AY710" s="28"/>
      <c r="AZ710" s="28"/>
      <c r="BA710" s="28"/>
      <c r="BB710" s="28"/>
    </row>
    <row r="711" spans="1:54" ht="12.75" x14ac:dyDescent="0.2">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c r="AA711" s="28"/>
      <c r="AB711" s="28"/>
      <c r="AC711" s="28"/>
      <c r="AD711" s="28"/>
      <c r="AE711" s="28"/>
      <c r="AF711" s="28"/>
      <c r="AG711" s="28"/>
      <c r="AH711" s="28"/>
      <c r="AI711" s="28"/>
      <c r="AJ711" s="28"/>
      <c r="AK711" s="28"/>
      <c r="AL711" s="28"/>
      <c r="AM711" s="28"/>
      <c r="AN711" s="28"/>
      <c r="AO711" s="28"/>
      <c r="AP711" s="28"/>
      <c r="AQ711" s="28"/>
      <c r="AR711" s="28"/>
      <c r="AS711" s="28"/>
      <c r="AT711" s="28"/>
      <c r="AU711" s="28"/>
      <c r="AV711" s="28"/>
      <c r="AW711" s="28"/>
      <c r="AX711" s="28"/>
      <c r="AY711" s="28"/>
      <c r="AZ711" s="28"/>
      <c r="BA711" s="28"/>
      <c r="BB711" s="28"/>
    </row>
    <row r="712" spans="1:54" ht="12.75" x14ac:dyDescent="0.2">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c r="AA712" s="28"/>
      <c r="AB712" s="28"/>
      <c r="AC712" s="28"/>
      <c r="AD712" s="28"/>
      <c r="AE712" s="28"/>
      <c r="AF712" s="28"/>
      <c r="AG712" s="28"/>
      <c r="AH712" s="28"/>
      <c r="AI712" s="28"/>
      <c r="AJ712" s="28"/>
      <c r="AK712" s="28"/>
      <c r="AL712" s="28"/>
      <c r="AM712" s="28"/>
      <c r="AN712" s="28"/>
      <c r="AO712" s="28"/>
      <c r="AP712" s="28"/>
      <c r="AQ712" s="28"/>
      <c r="AR712" s="28"/>
      <c r="AS712" s="28"/>
      <c r="AT712" s="28"/>
      <c r="AU712" s="28"/>
      <c r="AV712" s="28"/>
      <c r="AW712" s="28"/>
      <c r="AX712" s="28"/>
      <c r="AY712" s="28"/>
      <c r="AZ712" s="28"/>
      <c r="BA712" s="28"/>
      <c r="BB712" s="28"/>
    </row>
    <row r="713" spans="1:54" ht="12.75" x14ac:dyDescent="0.2">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c r="AA713" s="28"/>
      <c r="AB713" s="28"/>
      <c r="AC713" s="28"/>
      <c r="AD713" s="28"/>
      <c r="AE713" s="28"/>
      <c r="AF713" s="28"/>
      <c r="AG713" s="28"/>
      <c r="AH713" s="28"/>
      <c r="AI713" s="28"/>
      <c r="AJ713" s="28"/>
      <c r="AK713" s="28"/>
      <c r="AL713" s="28"/>
      <c r="AM713" s="28"/>
      <c r="AN713" s="28"/>
      <c r="AO713" s="28"/>
      <c r="AP713" s="28"/>
      <c r="AQ713" s="28"/>
      <c r="AR713" s="28"/>
      <c r="AS713" s="28"/>
      <c r="AT713" s="28"/>
      <c r="AU713" s="28"/>
      <c r="AV713" s="28"/>
      <c r="AW713" s="28"/>
      <c r="AX713" s="28"/>
      <c r="AY713" s="28"/>
      <c r="AZ713" s="28"/>
      <c r="BA713" s="28"/>
      <c r="BB713" s="28"/>
    </row>
    <row r="714" spans="1:54" ht="12.75" x14ac:dyDescent="0.2">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c r="AA714" s="28"/>
      <c r="AB714" s="28"/>
      <c r="AC714" s="28"/>
      <c r="AD714" s="28"/>
      <c r="AE714" s="28"/>
      <c r="AF714" s="28"/>
      <c r="AG714" s="28"/>
      <c r="AH714" s="28"/>
      <c r="AI714" s="28"/>
      <c r="AJ714" s="28"/>
      <c r="AK714" s="28"/>
      <c r="AL714" s="28"/>
      <c r="AM714" s="28"/>
      <c r="AN714" s="28"/>
      <c r="AO714" s="28"/>
      <c r="AP714" s="28"/>
      <c r="AQ714" s="28"/>
      <c r="AR714" s="28"/>
      <c r="AS714" s="28"/>
      <c r="AT714" s="28"/>
      <c r="AU714" s="28"/>
      <c r="AV714" s="28"/>
      <c r="AW714" s="28"/>
      <c r="AX714" s="28"/>
      <c r="AY714" s="28"/>
      <c r="AZ714" s="28"/>
      <c r="BA714" s="28"/>
      <c r="BB714" s="28"/>
    </row>
    <row r="715" spans="1:54" ht="12.75" x14ac:dyDescent="0.2">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c r="AA715" s="28"/>
      <c r="AB715" s="28"/>
      <c r="AC715" s="28"/>
      <c r="AD715" s="28"/>
      <c r="AE715" s="28"/>
      <c r="AF715" s="28"/>
      <c r="AG715" s="28"/>
      <c r="AH715" s="28"/>
      <c r="AI715" s="28"/>
      <c r="AJ715" s="28"/>
      <c r="AK715" s="28"/>
      <c r="AL715" s="28"/>
      <c r="AM715" s="28"/>
      <c r="AN715" s="28"/>
      <c r="AO715" s="28"/>
      <c r="AP715" s="28"/>
      <c r="AQ715" s="28"/>
      <c r="AR715" s="28"/>
      <c r="AS715" s="28"/>
      <c r="AT715" s="28"/>
      <c r="AU715" s="28"/>
      <c r="AV715" s="28"/>
      <c r="AW715" s="28"/>
      <c r="AX715" s="28"/>
      <c r="AY715" s="28"/>
      <c r="AZ715" s="28"/>
      <c r="BA715" s="28"/>
      <c r="BB715" s="28"/>
    </row>
    <row r="716" spans="1:54" ht="12.75" x14ac:dyDescent="0.2">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c r="AA716" s="28"/>
      <c r="AB716" s="28"/>
      <c r="AC716" s="28"/>
      <c r="AD716" s="28"/>
      <c r="AE716" s="28"/>
      <c r="AF716" s="28"/>
      <c r="AG716" s="28"/>
      <c r="AH716" s="28"/>
      <c r="AI716" s="28"/>
      <c r="AJ716" s="28"/>
      <c r="AK716" s="28"/>
      <c r="AL716" s="28"/>
      <c r="AM716" s="28"/>
      <c r="AN716" s="28"/>
      <c r="AO716" s="28"/>
      <c r="AP716" s="28"/>
      <c r="AQ716" s="28"/>
      <c r="AR716" s="28"/>
      <c r="AS716" s="28"/>
      <c r="AT716" s="28"/>
      <c r="AU716" s="28"/>
      <c r="AV716" s="28"/>
      <c r="AW716" s="28"/>
      <c r="AX716" s="28"/>
      <c r="AY716" s="28"/>
      <c r="AZ716" s="28"/>
      <c r="BA716" s="28"/>
      <c r="BB716" s="28"/>
    </row>
    <row r="717" spans="1:54" ht="12.75" x14ac:dyDescent="0.2">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c r="AA717" s="28"/>
      <c r="AB717" s="28"/>
      <c r="AC717" s="28"/>
      <c r="AD717" s="28"/>
      <c r="AE717" s="28"/>
      <c r="AF717" s="28"/>
      <c r="AG717" s="28"/>
      <c r="AH717" s="28"/>
      <c r="AI717" s="28"/>
      <c r="AJ717" s="28"/>
      <c r="AK717" s="28"/>
      <c r="AL717" s="28"/>
      <c r="AM717" s="28"/>
      <c r="AN717" s="28"/>
      <c r="AO717" s="28"/>
      <c r="AP717" s="28"/>
      <c r="AQ717" s="28"/>
      <c r="AR717" s="28"/>
      <c r="AS717" s="28"/>
      <c r="AT717" s="28"/>
      <c r="AU717" s="28"/>
      <c r="AV717" s="28"/>
      <c r="AW717" s="28"/>
      <c r="AX717" s="28"/>
      <c r="AY717" s="28"/>
      <c r="AZ717" s="28"/>
      <c r="BA717" s="28"/>
      <c r="BB717" s="28"/>
    </row>
    <row r="718" spans="1:54" ht="12.75" x14ac:dyDescent="0.2">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c r="AA718" s="28"/>
      <c r="AB718" s="28"/>
      <c r="AC718" s="28"/>
      <c r="AD718" s="28"/>
      <c r="AE718" s="28"/>
      <c r="AF718" s="28"/>
      <c r="AG718" s="28"/>
      <c r="AH718" s="28"/>
      <c r="AI718" s="28"/>
      <c r="AJ718" s="28"/>
      <c r="AK718" s="28"/>
      <c r="AL718" s="28"/>
      <c r="AM718" s="28"/>
      <c r="AN718" s="28"/>
      <c r="AO718" s="28"/>
      <c r="AP718" s="28"/>
      <c r="AQ718" s="28"/>
      <c r="AR718" s="28"/>
      <c r="AS718" s="28"/>
      <c r="AT718" s="28"/>
      <c r="AU718" s="28"/>
      <c r="AV718" s="28"/>
      <c r="AW718" s="28"/>
      <c r="AX718" s="28"/>
      <c r="AY718" s="28"/>
      <c r="AZ718" s="28"/>
      <c r="BA718" s="28"/>
      <c r="BB718" s="28"/>
    </row>
    <row r="719" spans="1:54" ht="12.75" x14ac:dyDescent="0.2">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c r="AA719" s="28"/>
      <c r="AB719" s="28"/>
      <c r="AC719" s="28"/>
      <c r="AD719" s="28"/>
      <c r="AE719" s="28"/>
      <c r="AF719" s="28"/>
      <c r="AG719" s="28"/>
      <c r="AH719" s="28"/>
      <c r="AI719" s="28"/>
      <c r="AJ719" s="28"/>
      <c r="AK719" s="28"/>
      <c r="AL719" s="28"/>
      <c r="AM719" s="28"/>
      <c r="AN719" s="28"/>
      <c r="AO719" s="28"/>
      <c r="AP719" s="28"/>
      <c r="AQ719" s="28"/>
      <c r="AR719" s="28"/>
      <c r="AS719" s="28"/>
      <c r="AT719" s="28"/>
      <c r="AU719" s="28"/>
      <c r="AV719" s="28"/>
      <c r="AW719" s="28"/>
      <c r="AX719" s="28"/>
      <c r="AY719" s="28"/>
      <c r="AZ719" s="28"/>
      <c r="BA719" s="28"/>
      <c r="BB719" s="28"/>
    </row>
    <row r="720" spans="1:54" ht="12.75" x14ac:dyDescent="0.2">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c r="AA720" s="28"/>
      <c r="AB720" s="28"/>
      <c r="AC720" s="28"/>
      <c r="AD720" s="28"/>
      <c r="AE720" s="28"/>
      <c r="AF720" s="28"/>
      <c r="AG720" s="28"/>
      <c r="AH720" s="28"/>
      <c r="AI720" s="28"/>
      <c r="AJ720" s="28"/>
      <c r="AK720" s="28"/>
      <c r="AL720" s="28"/>
      <c r="AM720" s="28"/>
      <c r="AN720" s="28"/>
      <c r="AO720" s="28"/>
      <c r="AP720" s="28"/>
      <c r="AQ720" s="28"/>
      <c r="AR720" s="28"/>
      <c r="AS720" s="28"/>
      <c r="AT720" s="28"/>
      <c r="AU720" s="28"/>
      <c r="AV720" s="28"/>
      <c r="AW720" s="28"/>
      <c r="AX720" s="28"/>
      <c r="AY720" s="28"/>
      <c r="AZ720" s="28"/>
      <c r="BA720" s="28"/>
      <c r="BB720" s="28"/>
    </row>
    <row r="721" spans="1:54" ht="12.75" x14ac:dyDescent="0.2">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c r="AA721" s="28"/>
      <c r="AB721" s="28"/>
      <c r="AC721" s="28"/>
      <c r="AD721" s="28"/>
      <c r="AE721" s="28"/>
      <c r="AF721" s="28"/>
      <c r="AG721" s="28"/>
      <c r="AH721" s="28"/>
      <c r="AI721" s="28"/>
      <c r="AJ721" s="28"/>
      <c r="AK721" s="28"/>
      <c r="AL721" s="28"/>
      <c r="AM721" s="28"/>
      <c r="AN721" s="28"/>
      <c r="AO721" s="28"/>
      <c r="AP721" s="28"/>
      <c r="AQ721" s="28"/>
      <c r="AR721" s="28"/>
      <c r="AS721" s="28"/>
      <c r="AT721" s="28"/>
      <c r="AU721" s="28"/>
      <c r="AV721" s="28"/>
      <c r="AW721" s="28"/>
      <c r="AX721" s="28"/>
      <c r="AY721" s="28"/>
      <c r="AZ721" s="28"/>
      <c r="BA721" s="28"/>
      <c r="BB721" s="28"/>
    </row>
    <row r="722" spans="1:54" ht="12.75" x14ac:dyDescent="0.2">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c r="AA722" s="28"/>
      <c r="AB722" s="28"/>
      <c r="AC722" s="28"/>
      <c r="AD722" s="28"/>
      <c r="AE722" s="28"/>
      <c r="AF722" s="28"/>
      <c r="AG722" s="28"/>
      <c r="AH722" s="28"/>
      <c r="AI722" s="28"/>
      <c r="AJ722" s="28"/>
      <c r="AK722" s="28"/>
      <c r="AL722" s="28"/>
      <c r="AM722" s="28"/>
      <c r="AN722" s="28"/>
      <c r="AO722" s="28"/>
      <c r="AP722" s="28"/>
      <c r="AQ722" s="28"/>
      <c r="AR722" s="28"/>
      <c r="AS722" s="28"/>
      <c r="AT722" s="28"/>
      <c r="AU722" s="28"/>
      <c r="AV722" s="28"/>
      <c r="AW722" s="28"/>
      <c r="AX722" s="28"/>
      <c r="AY722" s="28"/>
      <c r="AZ722" s="28"/>
      <c r="BA722" s="28"/>
      <c r="BB722" s="28"/>
    </row>
    <row r="723" spans="1:54" ht="12.75" x14ac:dyDescent="0.2">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c r="AA723" s="28"/>
      <c r="AB723" s="28"/>
      <c r="AC723" s="28"/>
      <c r="AD723" s="28"/>
      <c r="AE723" s="28"/>
      <c r="AF723" s="28"/>
      <c r="AG723" s="28"/>
      <c r="AH723" s="28"/>
      <c r="AI723" s="28"/>
      <c r="AJ723" s="28"/>
      <c r="AK723" s="28"/>
      <c r="AL723" s="28"/>
      <c r="AM723" s="28"/>
      <c r="AN723" s="28"/>
      <c r="AO723" s="28"/>
      <c r="AP723" s="28"/>
      <c r="AQ723" s="28"/>
      <c r="AR723" s="28"/>
      <c r="AS723" s="28"/>
      <c r="AT723" s="28"/>
      <c r="AU723" s="28"/>
      <c r="AV723" s="28"/>
      <c r="AW723" s="28"/>
      <c r="AX723" s="28"/>
      <c r="AY723" s="28"/>
      <c r="AZ723" s="28"/>
      <c r="BA723" s="28"/>
      <c r="BB723" s="28"/>
    </row>
    <row r="724" spans="1:54" ht="12.75" x14ac:dyDescent="0.2">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c r="AA724" s="28"/>
      <c r="AB724" s="28"/>
      <c r="AC724" s="28"/>
      <c r="AD724" s="28"/>
      <c r="AE724" s="28"/>
      <c r="AF724" s="28"/>
      <c r="AG724" s="28"/>
      <c r="AH724" s="28"/>
      <c r="AI724" s="28"/>
      <c r="AJ724" s="28"/>
      <c r="AK724" s="28"/>
      <c r="AL724" s="28"/>
      <c r="AM724" s="28"/>
      <c r="AN724" s="28"/>
      <c r="AO724" s="28"/>
      <c r="AP724" s="28"/>
      <c r="AQ724" s="28"/>
      <c r="AR724" s="28"/>
      <c r="AS724" s="28"/>
      <c r="AT724" s="28"/>
      <c r="AU724" s="28"/>
      <c r="AV724" s="28"/>
      <c r="AW724" s="28"/>
      <c r="AX724" s="28"/>
      <c r="AY724" s="28"/>
      <c r="AZ724" s="28"/>
      <c r="BA724" s="28"/>
      <c r="BB724" s="28"/>
    </row>
    <row r="725" spans="1:54" ht="12.75" x14ac:dyDescent="0.2">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c r="AA725" s="28"/>
      <c r="AB725" s="28"/>
      <c r="AC725" s="28"/>
      <c r="AD725" s="28"/>
      <c r="AE725" s="28"/>
      <c r="AF725" s="28"/>
      <c r="AG725" s="28"/>
      <c r="AH725" s="28"/>
      <c r="AI725" s="28"/>
      <c r="AJ725" s="28"/>
      <c r="AK725" s="28"/>
      <c r="AL725" s="28"/>
      <c r="AM725" s="28"/>
      <c r="AN725" s="28"/>
      <c r="AO725" s="28"/>
      <c r="AP725" s="28"/>
      <c r="AQ725" s="28"/>
      <c r="AR725" s="28"/>
      <c r="AS725" s="28"/>
      <c r="AT725" s="28"/>
      <c r="AU725" s="28"/>
      <c r="AV725" s="28"/>
      <c r="AW725" s="28"/>
      <c r="AX725" s="28"/>
      <c r="AY725" s="28"/>
      <c r="AZ725" s="28"/>
      <c r="BA725" s="28"/>
      <c r="BB725" s="28"/>
    </row>
    <row r="726" spans="1:54" ht="12.75" x14ac:dyDescent="0.2">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c r="AA726" s="28"/>
      <c r="AB726" s="28"/>
      <c r="AC726" s="28"/>
      <c r="AD726" s="28"/>
      <c r="AE726" s="28"/>
      <c r="AF726" s="28"/>
      <c r="AG726" s="28"/>
      <c r="AH726" s="28"/>
      <c r="AI726" s="28"/>
      <c r="AJ726" s="28"/>
      <c r="AK726" s="28"/>
      <c r="AL726" s="28"/>
      <c r="AM726" s="28"/>
      <c r="AN726" s="28"/>
      <c r="AO726" s="28"/>
      <c r="AP726" s="28"/>
      <c r="AQ726" s="28"/>
      <c r="AR726" s="28"/>
      <c r="AS726" s="28"/>
      <c r="AT726" s="28"/>
      <c r="AU726" s="28"/>
      <c r="AV726" s="28"/>
      <c r="AW726" s="28"/>
      <c r="AX726" s="28"/>
      <c r="AY726" s="28"/>
      <c r="AZ726" s="28"/>
      <c r="BA726" s="28"/>
      <c r="BB726" s="28"/>
    </row>
    <row r="727" spans="1:54" ht="12.75" x14ac:dyDescent="0.2">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c r="AA727" s="28"/>
      <c r="AB727" s="28"/>
      <c r="AC727" s="28"/>
      <c r="AD727" s="28"/>
      <c r="AE727" s="28"/>
      <c r="AF727" s="28"/>
      <c r="AG727" s="28"/>
      <c r="AH727" s="28"/>
      <c r="AI727" s="28"/>
      <c r="AJ727" s="28"/>
      <c r="AK727" s="28"/>
      <c r="AL727" s="28"/>
      <c r="AM727" s="28"/>
      <c r="AN727" s="28"/>
      <c r="AO727" s="28"/>
      <c r="AP727" s="28"/>
      <c r="AQ727" s="28"/>
      <c r="AR727" s="28"/>
      <c r="AS727" s="28"/>
      <c r="AT727" s="28"/>
      <c r="AU727" s="28"/>
      <c r="AV727" s="28"/>
      <c r="AW727" s="28"/>
      <c r="AX727" s="28"/>
      <c r="AY727" s="28"/>
      <c r="AZ727" s="28"/>
      <c r="BA727" s="28"/>
      <c r="BB727" s="28"/>
    </row>
    <row r="728" spans="1:54" ht="12.75" x14ac:dyDescent="0.2">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c r="AA728" s="28"/>
      <c r="AB728" s="28"/>
      <c r="AC728" s="28"/>
      <c r="AD728" s="28"/>
      <c r="AE728" s="28"/>
      <c r="AF728" s="28"/>
      <c r="AG728" s="28"/>
      <c r="AH728" s="28"/>
      <c r="AI728" s="28"/>
      <c r="AJ728" s="28"/>
      <c r="AK728" s="28"/>
      <c r="AL728" s="28"/>
      <c r="AM728" s="28"/>
      <c r="AN728" s="28"/>
      <c r="AO728" s="28"/>
      <c r="AP728" s="28"/>
      <c r="AQ728" s="28"/>
      <c r="AR728" s="28"/>
      <c r="AS728" s="28"/>
      <c r="AT728" s="28"/>
      <c r="AU728" s="28"/>
      <c r="AV728" s="28"/>
      <c r="AW728" s="28"/>
      <c r="AX728" s="28"/>
      <c r="AY728" s="28"/>
      <c r="AZ728" s="28"/>
      <c r="BA728" s="28"/>
      <c r="BB728" s="28"/>
    </row>
    <row r="729" spans="1:54" ht="12.75" x14ac:dyDescent="0.2">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c r="AA729" s="28"/>
      <c r="AB729" s="28"/>
      <c r="AC729" s="28"/>
      <c r="AD729" s="28"/>
      <c r="AE729" s="28"/>
      <c r="AF729" s="28"/>
      <c r="AG729" s="28"/>
      <c r="AH729" s="28"/>
      <c r="AI729" s="28"/>
      <c r="AJ729" s="28"/>
      <c r="AK729" s="28"/>
      <c r="AL729" s="28"/>
      <c r="AM729" s="28"/>
      <c r="AN729" s="28"/>
      <c r="AO729" s="28"/>
      <c r="AP729" s="28"/>
      <c r="AQ729" s="28"/>
      <c r="AR729" s="28"/>
      <c r="AS729" s="28"/>
      <c r="AT729" s="28"/>
      <c r="AU729" s="28"/>
      <c r="AV729" s="28"/>
      <c r="AW729" s="28"/>
      <c r="AX729" s="28"/>
      <c r="AY729" s="28"/>
      <c r="AZ729" s="28"/>
      <c r="BA729" s="28"/>
      <c r="BB729" s="28"/>
    </row>
    <row r="730" spans="1:54" ht="12.75" x14ac:dyDescent="0.2">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c r="AA730" s="28"/>
      <c r="AB730" s="28"/>
      <c r="AC730" s="28"/>
      <c r="AD730" s="28"/>
      <c r="AE730" s="28"/>
      <c r="AF730" s="28"/>
      <c r="AG730" s="28"/>
      <c r="AH730" s="28"/>
      <c r="AI730" s="28"/>
      <c r="AJ730" s="28"/>
      <c r="AK730" s="28"/>
      <c r="AL730" s="28"/>
      <c r="AM730" s="28"/>
      <c r="AN730" s="28"/>
      <c r="AO730" s="28"/>
      <c r="AP730" s="28"/>
      <c r="AQ730" s="28"/>
      <c r="AR730" s="28"/>
      <c r="AS730" s="28"/>
      <c r="AT730" s="28"/>
      <c r="AU730" s="28"/>
      <c r="AV730" s="28"/>
      <c r="AW730" s="28"/>
      <c r="AX730" s="28"/>
      <c r="AY730" s="28"/>
      <c r="AZ730" s="28"/>
      <c r="BA730" s="28"/>
      <c r="BB730" s="28"/>
    </row>
    <row r="731" spans="1:54" ht="12.75" x14ac:dyDescent="0.2">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c r="AA731" s="28"/>
      <c r="AB731" s="28"/>
      <c r="AC731" s="28"/>
      <c r="AD731" s="28"/>
      <c r="AE731" s="28"/>
      <c r="AF731" s="28"/>
      <c r="AG731" s="28"/>
      <c r="AH731" s="28"/>
      <c r="AI731" s="28"/>
      <c r="AJ731" s="28"/>
      <c r="AK731" s="28"/>
      <c r="AL731" s="28"/>
      <c r="AM731" s="28"/>
      <c r="AN731" s="28"/>
      <c r="AO731" s="28"/>
      <c r="AP731" s="28"/>
      <c r="AQ731" s="28"/>
      <c r="AR731" s="28"/>
      <c r="AS731" s="28"/>
      <c r="AT731" s="28"/>
      <c r="AU731" s="28"/>
      <c r="AV731" s="28"/>
      <c r="AW731" s="28"/>
      <c r="AX731" s="28"/>
      <c r="AY731" s="28"/>
      <c r="AZ731" s="28"/>
      <c r="BA731" s="28"/>
      <c r="BB731" s="28"/>
    </row>
    <row r="732" spans="1:54" ht="12.75" x14ac:dyDescent="0.2">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c r="AA732" s="28"/>
      <c r="AB732" s="28"/>
      <c r="AC732" s="28"/>
      <c r="AD732" s="28"/>
      <c r="AE732" s="28"/>
      <c r="AF732" s="28"/>
      <c r="AG732" s="28"/>
      <c r="AH732" s="28"/>
      <c r="AI732" s="28"/>
      <c r="AJ732" s="28"/>
      <c r="AK732" s="28"/>
      <c r="AL732" s="28"/>
      <c r="AM732" s="28"/>
      <c r="AN732" s="28"/>
      <c r="AO732" s="28"/>
      <c r="AP732" s="28"/>
      <c r="AQ732" s="28"/>
      <c r="AR732" s="28"/>
      <c r="AS732" s="28"/>
      <c r="AT732" s="28"/>
      <c r="AU732" s="28"/>
      <c r="AV732" s="28"/>
      <c r="AW732" s="28"/>
      <c r="AX732" s="28"/>
      <c r="AY732" s="28"/>
      <c r="AZ732" s="28"/>
      <c r="BA732" s="28"/>
      <c r="BB732" s="28"/>
    </row>
    <row r="733" spans="1:54" ht="12.75" x14ac:dyDescent="0.2">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c r="AA733" s="28"/>
      <c r="AB733" s="28"/>
      <c r="AC733" s="28"/>
      <c r="AD733" s="28"/>
      <c r="AE733" s="28"/>
      <c r="AF733" s="28"/>
      <c r="AG733" s="28"/>
      <c r="AH733" s="28"/>
      <c r="AI733" s="28"/>
      <c r="AJ733" s="28"/>
      <c r="AK733" s="28"/>
      <c r="AL733" s="28"/>
      <c r="AM733" s="28"/>
      <c r="AN733" s="28"/>
      <c r="AO733" s="28"/>
      <c r="AP733" s="28"/>
      <c r="AQ733" s="28"/>
      <c r="AR733" s="28"/>
      <c r="AS733" s="28"/>
      <c r="AT733" s="28"/>
      <c r="AU733" s="28"/>
      <c r="AV733" s="28"/>
      <c r="AW733" s="28"/>
      <c r="AX733" s="28"/>
      <c r="AY733" s="28"/>
      <c r="AZ733" s="28"/>
      <c r="BA733" s="28"/>
      <c r="BB733" s="28"/>
    </row>
    <row r="734" spans="1:54" ht="12.75" x14ac:dyDescent="0.2">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c r="AA734" s="28"/>
      <c r="AB734" s="28"/>
      <c r="AC734" s="28"/>
      <c r="AD734" s="28"/>
      <c r="AE734" s="28"/>
      <c r="AF734" s="28"/>
      <c r="AG734" s="28"/>
      <c r="AH734" s="28"/>
      <c r="AI734" s="28"/>
      <c r="AJ734" s="28"/>
      <c r="AK734" s="28"/>
      <c r="AL734" s="28"/>
      <c r="AM734" s="28"/>
      <c r="AN734" s="28"/>
      <c r="AO734" s="28"/>
      <c r="AP734" s="28"/>
      <c r="AQ734" s="28"/>
      <c r="AR734" s="28"/>
      <c r="AS734" s="28"/>
      <c r="AT734" s="28"/>
      <c r="AU734" s="28"/>
      <c r="AV734" s="28"/>
      <c r="AW734" s="28"/>
      <c r="AX734" s="28"/>
      <c r="AY734" s="28"/>
      <c r="AZ734" s="28"/>
      <c r="BA734" s="28"/>
      <c r="BB734" s="28"/>
    </row>
    <row r="735" spans="1:54" ht="12.75" x14ac:dyDescent="0.2">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c r="AA735" s="28"/>
      <c r="AB735" s="28"/>
      <c r="AC735" s="28"/>
      <c r="AD735" s="28"/>
      <c r="AE735" s="28"/>
      <c r="AF735" s="28"/>
      <c r="AG735" s="28"/>
      <c r="AH735" s="28"/>
      <c r="AI735" s="28"/>
      <c r="AJ735" s="28"/>
      <c r="AK735" s="28"/>
      <c r="AL735" s="28"/>
      <c r="AM735" s="28"/>
      <c r="AN735" s="28"/>
      <c r="AO735" s="28"/>
      <c r="AP735" s="28"/>
      <c r="AQ735" s="28"/>
      <c r="AR735" s="28"/>
      <c r="AS735" s="28"/>
      <c r="AT735" s="28"/>
      <c r="AU735" s="28"/>
      <c r="AV735" s="28"/>
      <c r="AW735" s="28"/>
      <c r="AX735" s="28"/>
      <c r="AY735" s="28"/>
      <c r="AZ735" s="28"/>
      <c r="BA735" s="28"/>
      <c r="BB735" s="28"/>
    </row>
    <row r="736" spans="1:54" ht="12.75" x14ac:dyDescent="0.2">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c r="AA736" s="28"/>
      <c r="AB736" s="28"/>
      <c r="AC736" s="28"/>
      <c r="AD736" s="28"/>
      <c r="AE736" s="28"/>
      <c r="AF736" s="28"/>
      <c r="AG736" s="28"/>
      <c r="AH736" s="28"/>
      <c r="AI736" s="28"/>
      <c r="AJ736" s="28"/>
      <c r="AK736" s="28"/>
      <c r="AL736" s="28"/>
      <c r="AM736" s="28"/>
      <c r="AN736" s="28"/>
      <c r="AO736" s="28"/>
      <c r="AP736" s="28"/>
      <c r="AQ736" s="28"/>
      <c r="AR736" s="28"/>
      <c r="AS736" s="28"/>
      <c r="AT736" s="28"/>
      <c r="AU736" s="28"/>
      <c r="AV736" s="28"/>
      <c r="AW736" s="28"/>
      <c r="AX736" s="28"/>
      <c r="AY736" s="28"/>
      <c r="AZ736" s="28"/>
      <c r="BA736" s="28"/>
      <c r="BB736" s="28"/>
    </row>
    <row r="737" spans="1:54" ht="12.75" x14ac:dyDescent="0.2">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c r="AA737" s="28"/>
      <c r="AB737" s="28"/>
      <c r="AC737" s="28"/>
      <c r="AD737" s="28"/>
      <c r="AE737" s="28"/>
      <c r="AF737" s="28"/>
      <c r="AG737" s="28"/>
      <c r="AH737" s="28"/>
      <c r="AI737" s="28"/>
      <c r="AJ737" s="28"/>
      <c r="AK737" s="28"/>
      <c r="AL737" s="28"/>
      <c r="AM737" s="28"/>
      <c r="AN737" s="28"/>
      <c r="AO737" s="28"/>
      <c r="AP737" s="28"/>
      <c r="AQ737" s="28"/>
      <c r="AR737" s="28"/>
      <c r="AS737" s="28"/>
      <c r="AT737" s="28"/>
      <c r="AU737" s="28"/>
      <c r="AV737" s="28"/>
      <c r="AW737" s="28"/>
      <c r="AX737" s="28"/>
      <c r="AY737" s="28"/>
      <c r="AZ737" s="28"/>
      <c r="BA737" s="28"/>
      <c r="BB737" s="28"/>
    </row>
    <row r="738" spans="1:54" ht="12.75" x14ac:dyDescent="0.2">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c r="AA738" s="28"/>
      <c r="AB738" s="28"/>
      <c r="AC738" s="28"/>
      <c r="AD738" s="28"/>
      <c r="AE738" s="28"/>
      <c r="AF738" s="28"/>
      <c r="AG738" s="28"/>
      <c r="AH738" s="28"/>
      <c r="AI738" s="28"/>
      <c r="AJ738" s="28"/>
      <c r="AK738" s="28"/>
      <c r="AL738" s="28"/>
      <c r="AM738" s="28"/>
      <c r="AN738" s="28"/>
      <c r="AO738" s="28"/>
      <c r="AP738" s="28"/>
      <c r="AQ738" s="28"/>
      <c r="AR738" s="28"/>
      <c r="AS738" s="28"/>
      <c r="AT738" s="28"/>
      <c r="AU738" s="28"/>
      <c r="AV738" s="28"/>
      <c r="AW738" s="28"/>
      <c r="AX738" s="28"/>
      <c r="AY738" s="28"/>
      <c r="AZ738" s="28"/>
      <c r="BA738" s="28"/>
      <c r="BB738" s="28"/>
    </row>
    <row r="739" spans="1:54" ht="12.75" x14ac:dyDescent="0.2">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c r="AA739" s="28"/>
      <c r="AB739" s="28"/>
      <c r="AC739" s="28"/>
      <c r="AD739" s="28"/>
      <c r="AE739" s="28"/>
      <c r="AF739" s="28"/>
      <c r="AG739" s="28"/>
      <c r="AH739" s="28"/>
      <c r="AI739" s="28"/>
      <c r="AJ739" s="28"/>
      <c r="AK739" s="28"/>
      <c r="AL739" s="28"/>
      <c r="AM739" s="28"/>
      <c r="AN739" s="28"/>
      <c r="AO739" s="28"/>
      <c r="AP739" s="28"/>
      <c r="AQ739" s="28"/>
      <c r="AR739" s="28"/>
      <c r="AS739" s="28"/>
      <c r="AT739" s="28"/>
      <c r="AU739" s="28"/>
      <c r="AV739" s="28"/>
      <c r="AW739" s="28"/>
      <c r="AX739" s="28"/>
      <c r="AY739" s="28"/>
      <c r="AZ739" s="28"/>
      <c r="BA739" s="28"/>
      <c r="BB739" s="28"/>
    </row>
    <row r="740" spans="1:54" ht="12.75" x14ac:dyDescent="0.2">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c r="AA740" s="28"/>
      <c r="AB740" s="28"/>
      <c r="AC740" s="28"/>
      <c r="AD740" s="28"/>
      <c r="AE740" s="28"/>
      <c r="AF740" s="28"/>
      <c r="AG740" s="28"/>
      <c r="AH740" s="28"/>
      <c r="AI740" s="28"/>
      <c r="AJ740" s="28"/>
      <c r="AK740" s="28"/>
      <c r="AL740" s="28"/>
      <c r="AM740" s="28"/>
      <c r="AN740" s="28"/>
      <c r="AO740" s="28"/>
      <c r="AP740" s="28"/>
      <c r="AQ740" s="28"/>
      <c r="AR740" s="28"/>
      <c r="AS740" s="28"/>
      <c r="AT740" s="28"/>
      <c r="AU740" s="28"/>
      <c r="AV740" s="28"/>
      <c r="AW740" s="28"/>
      <c r="AX740" s="28"/>
      <c r="AY740" s="28"/>
      <c r="AZ740" s="28"/>
      <c r="BA740" s="28"/>
      <c r="BB740" s="28"/>
    </row>
    <row r="741" spans="1:54" ht="12.75" x14ac:dyDescent="0.2">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c r="AA741" s="28"/>
      <c r="AB741" s="28"/>
      <c r="AC741" s="28"/>
      <c r="AD741" s="28"/>
      <c r="AE741" s="28"/>
      <c r="AF741" s="28"/>
      <c r="AG741" s="28"/>
      <c r="AH741" s="28"/>
      <c r="AI741" s="28"/>
      <c r="AJ741" s="28"/>
      <c r="AK741" s="28"/>
      <c r="AL741" s="28"/>
      <c r="AM741" s="28"/>
      <c r="AN741" s="28"/>
      <c r="AO741" s="28"/>
      <c r="AP741" s="28"/>
      <c r="AQ741" s="28"/>
      <c r="AR741" s="28"/>
      <c r="AS741" s="28"/>
      <c r="AT741" s="28"/>
      <c r="AU741" s="28"/>
      <c r="AV741" s="28"/>
      <c r="AW741" s="28"/>
      <c r="AX741" s="28"/>
      <c r="AY741" s="28"/>
      <c r="AZ741" s="28"/>
      <c r="BA741" s="28"/>
      <c r="BB741" s="28"/>
    </row>
    <row r="742" spans="1:54" ht="12.75" x14ac:dyDescent="0.2">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c r="AA742" s="28"/>
      <c r="AB742" s="28"/>
      <c r="AC742" s="28"/>
      <c r="AD742" s="28"/>
      <c r="AE742" s="28"/>
      <c r="AF742" s="28"/>
      <c r="AG742" s="28"/>
      <c r="AH742" s="28"/>
      <c r="AI742" s="28"/>
      <c r="AJ742" s="28"/>
      <c r="AK742" s="28"/>
      <c r="AL742" s="28"/>
      <c r="AM742" s="28"/>
      <c r="AN742" s="28"/>
      <c r="AO742" s="28"/>
      <c r="AP742" s="28"/>
      <c r="AQ742" s="28"/>
      <c r="AR742" s="28"/>
      <c r="AS742" s="28"/>
      <c r="AT742" s="28"/>
      <c r="AU742" s="28"/>
      <c r="AV742" s="28"/>
      <c r="AW742" s="28"/>
      <c r="AX742" s="28"/>
      <c r="AY742" s="28"/>
      <c r="AZ742" s="28"/>
      <c r="BA742" s="28"/>
      <c r="BB742" s="28"/>
    </row>
    <row r="743" spans="1:54" ht="12.75" x14ac:dyDescent="0.2">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c r="AA743" s="28"/>
      <c r="AB743" s="28"/>
      <c r="AC743" s="28"/>
      <c r="AD743" s="28"/>
      <c r="AE743" s="28"/>
      <c r="AF743" s="28"/>
      <c r="AG743" s="28"/>
      <c r="AH743" s="28"/>
      <c r="AI743" s="28"/>
      <c r="AJ743" s="28"/>
      <c r="AK743" s="28"/>
      <c r="AL743" s="28"/>
      <c r="AM743" s="28"/>
      <c r="AN743" s="28"/>
      <c r="AO743" s="28"/>
      <c r="AP743" s="28"/>
      <c r="AQ743" s="28"/>
      <c r="AR743" s="28"/>
      <c r="AS743" s="28"/>
      <c r="AT743" s="28"/>
      <c r="AU743" s="28"/>
      <c r="AV743" s="28"/>
      <c r="AW743" s="28"/>
      <c r="AX743" s="28"/>
      <c r="AY743" s="28"/>
      <c r="AZ743" s="28"/>
      <c r="BA743" s="28"/>
      <c r="BB743" s="28"/>
    </row>
    <row r="744" spans="1:54" ht="12.75" x14ac:dyDescent="0.2">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c r="AA744" s="28"/>
      <c r="AB744" s="28"/>
      <c r="AC744" s="28"/>
      <c r="AD744" s="28"/>
      <c r="AE744" s="28"/>
      <c r="AF744" s="28"/>
      <c r="AG744" s="28"/>
      <c r="AH744" s="28"/>
      <c r="AI744" s="28"/>
      <c r="AJ744" s="28"/>
      <c r="AK744" s="28"/>
      <c r="AL744" s="28"/>
      <c r="AM744" s="28"/>
      <c r="AN744" s="28"/>
      <c r="AO744" s="28"/>
      <c r="AP744" s="28"/>
      <c r="AQ744" s="28"/>
      <c r="AR744" s="28"/>
      <c r="AS744" s="28"/>
      <c r="AT744" s="28"/>
      <c r="AU744" s="28"/>
      <c r="AV744" s="28"/>
      <c r="AW744" s="28"/>
      <c r="AX744" s="28"/>
      <c r="AY744" s="28"/>
      <c r="AZ744" s="28"/>
      <c r="BA744" s="28"/>
      <c r="BB744" s="28"/>
    </row>
    <row r="745" spans="1:54" ht="12.75" x14ac:dyDescent="0.2">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c r="AA745" s="28"/>
      <c r="AB745" s="28"/>
      <c r="AC745" s="28"/>
      <c r="AD745" s="28"/>
      <c r="AE745" s="28"/>
      <c r="AF745" s="28"/>
      <c r="AG745" s="28"/>
      <c r="AH745" s="28"/>
      <c r="AI745" s="28"/>
      <c r="AJ745" s="28"/>
      <c r="AK745" s="28"/>
      <c r="AL745" s="28"/>
      <c r="AM745" s="28"/>
      <c r="AN745" s="28"/>
      <c r="AO745" s="28"/>
      <c r="AP745" s="28"/>
      <c r="AQ745" s="28"/>
      <c r="AR745" s="28"/>
      <c r="AS745" s="28"/>
      <c r="AT745" s="28"/>
      <c r="AU745" s="28"/>
      <c r="AV745" s="28"/>
      <c r="AW745" s="28"/>
      <c r="AX745" s="28"/>
      <c r="AY745" s="28"/>
      <c r="AZ745" s="28"/>
      <c r="BA745" s="28"/>
      <c r="BB745" s="28"/>
    </row>
    <row r="746" spans="1:54" ht="12.75" x14ac:dyDescent="0.2">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c r="AA746" s="28"/>
      <c r="AB746" s="28"/>
      <c r="AC746" s="28"/>
      <c r="AD746" s="28"/>
      <c r="AE746" s="28"/>
      <c r="AF746" s="28"/>
      <c r="AG746" s="28"/>
      <c r="AH746" s="28"/>
      <c r="AI746" s="28"/>
      <c r="AJ746" s="28"/>
      <c r="AK746" s="28"/>
      <c r="AL746" s="28"/>
      <c r="AM746" s="28"/>
      <c r="AN746" s="28"/>
      <c r="AO746" s="28"/>
      <c r="AP746" s="28"/>
      <c r="AQ746" s="28"/>
      <c r="AR746" s="28"/>
      <c r="AS746" s="28"/>
      <c r="AT746" s="28"/>
      <c r="AU746" s="28"/>
      <c r="AV746" s="28"/>
      <c r="AW746" s="28"/>
      <c r="AX746" s="28"/>
      <c r="AY746" s="28"/>
      <c r="AZ746" s="28"/>
      <c r="BA746" s="28"/>
      <c r="BB746" s="28"/>
    </row>
    <row r="747" spans="1:54" ht="12.75" x14ac:dyDescent="0.2">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c r="AA747" s="28"/>
      <c r="AB747" s="28"/>
      <c r="AC747" s="28"/>
      <c r="AD747" s="28"/>
      <c r="AE747" s="28"/>
      <c r="AF747" s="28"/>
      <c r="AG747" s="28"/>
      <c r="AH747" s="28"/>
      <c r="AI747" s="28"/>
      <c r="AJ747" s="28"/>
      <c r="AK747" s="28"/>
      <c r="AL747" s="28"/>
      <c r="AM747" s="28"/>
      <c r="AN747" s="28"/>
      <c r="AO747" s="28"/>
      <c r="AP747" s="28"/>
      <c r="AQ747" s="28"/>
      <c r="AR747" s="28"/>
      <c r="AS747" s="28"/>
      <c r="AT747" s="28"/>
      <c r="AU747" s="28"/>
      <c r="AV747" s="28"/>
      <c r="AW747" s="28"/>
      <c r="AX747" s="28"/>
      <c r="AY747" s="28"/>
      <c r="AZ747" s="28"/>
      <c r="BA747" s="28"/>
      <c r="BB747" s="28"/>
    </row>
    <row r="748" spans="1:54" ht="12.75" x14ac:dyDescent="0.2">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c r="AA748" s="28"/>
      <c r="AB748" s="28"/>
      <c r="AC748" s="28"/>
      <c r="AD748" s="28"/>
      <c r="AE748" s="28"/>
      <c r="AF748" s="28"/>
      <c r="AG748" s="28"/>
      <c r="AH748" s="28"/>
      <c r="AI748" s="28"/>
      <c r="AJ748" s="28"/>
      <c r="AK748" s="28"/>
      <c r="AL748" s="28"/>
      <c r="AM748" s="28"/>
      <c r="AN748" s="28"/>
      <c r="AO748" s="28"/>
      <c r="AP748" s="28"/>
      <c r="AQ748" s="28"/>
      <c r="AR748" s="28"/>
      <c r="AS748" s="28"/>
      <c r="AT748" s="28"/>
      <c r="AU748" s="28"/>
      <c r="AV748" s="28"/>
      <c r="AW748" s="28"/>
      <c r="AX748" s="28"/>
      <c r="AY748" s="28"/>
      <c r="AZ748" s="28"/>
      <c r="BA748" s="28"/>
      <c r="BB748" s="28"/>
    </row>
    <row r="749" spans="1:54" ht="12.75" x14ac:dyDescent="0.2">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c r="AA749" s="28"/>
      <c r="AB749" s="28"/>
      <c r="AC749" s="28"/>
      <c r="AD749" s="28"/>
      <c r="AE749" s="28"/>
      <c r="AF749" s="28"/>
      <c r="AG749" s="28"/>
      <c r="AH749" s="28"/>
      <c r="AI749" s="28"/>
      <c r="AJ749" s="28"/>
      <c r="AK749" s="28"/>
      <c r="AL749" s="28"/>
      <c r="AM749" s="28"/>
      <c r="AN749" s="28"/>
      <c r="AO749" s="28"/>
      <c r="AP749" s="28"/>
      <c r="AQ749" s="28"/>
      <c r="AR749" s="28"/>
      <c r="AS749" s="28"/>
      <c r="AT749" s="28"/>
      <c r="AU749" s="28"/>
      <c r="AV749" s="28"/>
      <c r="AW749" s="28"/>
      <c r="AX749" s="28"/>
      <c r="AY749" s="28"/>
      <c r="AZ749" s="28"/>
      <c r="BA749" s="28"/>
      <c r="BB749" s="28"/>
    </row>
    <row r="750" spans="1:54" ht="12.75" x14ac:dyDescent="0.2">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c r="AA750" s="28"/>
      <c r="AB750" s="28"/>
      <c r="AC750" s="28"/>
      <c r="AD750" s="28"/>
      <c r="AE750" s="28"/>
      <c r="AF750" s="28"/>
      <c r="AG750" s="28"/>
      <c r="AH750" s="28"/>
      <c r="AI750" s="28"/>
      <c r="AJ750" s="28"/>
      <c r="AK750" s="28"/>
      <c r="AL750" s="28"/>
      <c r="AM750" s="28"/>
      <c r="AN750" s="28"/>
      <c r="AO750" s="28"/>
      <c r="AP750" s="28"/>
      <c r="AQ750" s="28"/>
      <c r="AR750" s="28"/>
      <c r="AS750" s="28"/>
      <c r="AT750" s="28"/>
      <c r="AU750" s="28"/>
      <c r="AV750" s="28"/>
      <c r="AW750" s="28"/>
      <c r="AX750" s="28"/>
      <c r="AY750" s="28"/>
      <c r="AZ750" s="28"/>
      <c r="BA750" s="28"/>
      <c r="BB750" s="28"/>
    </row>
    <row r="751" spans="1:54" ht="12.75" x14ac:dyDescent="0.2">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c r="AA751" s="28"/>
      <c r="AB751" s="28"/>
      <c r="AC751" s="28"/>
      <c r="AD751" s="28"/>
      <c r="AE751" s="28"/>
      <c r="AF751" s="28"/>
      <c r="AG751" s="28"/>
      <c r="AH751" s="28"/>
      <c r="AI751" s="28"/>
      <c r="AJ751" s="28"/>
      <c r="AK751" s="28"/>
      <c r="AL751" s="28"/>
      <c r="AM751" s="28"/>
      <c r="AN751" s="28"/>
      <c r="AO751" s="28"/>
      <c r="AP751" s="28"/>
      <c r="AQ751" s="28"/>
      <c r="AR751" s="28"/>
      <c r="AS751" s="28"/>
      <c r="AT751" s="28"/>
      <c r="AU751" s="28"/>
      <c r="AV751" s="28"/>
      <c r="AW751" s="28"/>
      <c r="AX751" s="28"/>
      <c r="AY751" s="28"/>
      <c r="AZ751" s="28"/>
      <c r="BA751" s="28"/>
      <c r="BB751" s="28"/>
    </row>
    <row r="752" spans="1:54" ht="12.75" x14ac:dyDescent="0.2">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c r="AA752" s="28"/>
      <c r="AB752" s="28"/>
      <c r="AC752" s="28"/>
      <c r="AD752" s="28"/>
      <c r="AE752" s="28"/>
      <c r="AF752" s="28"/>
      <c r="AG752" s="28"/>
      <c r="AH752" s="28"/>
      <c r="AI752" s="28"/>
      <c r="AJ752" s="28"/>
      <c r="AK752" s="28"/>
      <c r="AL752" s="28"/>
      <c r="AM752" s="28"/>
      <c r="AN752" s="28"/>
      <c r="AO752" s="28"/>
      <c r="AP752" s="28"/>
      <c r="AQ752" s="28"/>
      <c r="AR752" s="28"/>
      <c r="AS752" s="28"/>
      <c r="AT752" s="28"/>
      <c r="AU752" s="28"/>
      <c r="AV752" s="28"/>
      <c r="AW752" s="28"/>
      <c r="AX752" s="28"/>
      <c r="AY752" s="28"/>
      <c r="AZ752" s="28"/>
      <c r="BA752" s="28"/>
      <c r="BB752" s="28"/>
    </row>
    <row r="753" spans="1:54" ht="12.75" x14ac:dyDescent="0.2">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c r="AA753" s="28"/>
      <c r="AB753" s="28"/>
      <c r="AC753" s="28"/>
      <c r="AD753" s="28"/>
      <c r="AE753" s="28"/>
      <c r="AF753" s="28"/>
      <c r="AG753" s="28"/>
      <c r="AH753" s="28"/>
      <c r="AI753" s="28"/>
      <c r="AJ753" s="28"/>
      <c r="AK753" s="28"/>
      <c r="AL753" s="28"/>
      <c r="AM753" s="28"/>
      <c r="AN753" s="28"/>
      <c r="AO753" s="28"/>
      <c r="AP753" s="28"/>
      <c r="AQ753" s="28"/>
      <c r="AR753" s="28"/>
      <c r="AS753" s="28"/>
      <c r="AT753" s="28"/>
      <c r="AU753" s="28"/>
      <c r="AV753" s="28"/>
      <c r="AW753" s="28"/>
      <c r="AX753" s="28"/>
      <c r="AY753" s="28"/>
      <c r="AZ753" s="28"/>
      <c r="BA753" s="28"/>
      <c r="BB753" s="28"/>
    </row>
    <row r="754" spans="1:54" ht="12.75" x14ac:dyDescent="0.2">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c r="AA754" s="28"/>
      <c r="AB754" s="28"/>
      <c r="AC754" s="28"/>
      <c r="AD754" s="28"/>
      <c r="AE754" s="28"/>
      <c r="AF754" s="28"/>
      <c r="AG754" s="28"/>
      <c r="AH754" s="28"/>
      <c r="AI754" s="28"/>
      <c r="AJ754" s="28"/>
      <c r="AK754" s="28"/>
      <c r="AL754" s="28"/>
      <c r="AM754" s="28"/>
      <c r="AN754" s="28"/>
      <c r="AO754" s="28"/>
      <c r="AP754" s="28"/>
      <c r="AQ754" s="28"/>
      <c r="AR754" s="28"/>
      <c r="AS754" s="28"/>
      <c r="AT754" s="28"/>
      <c r="AU754" s="28"/>
      <c r="AV754" s="28"/>
      <c r="AW754" s="28"/>
      <c r="AX754" s="28"/>
      <c r="AY754" s="28"/>
      <c r="AZ754" s="28"/>
      <c r="BA754" s="28"/>
      <c r="BB754" s="28"/>
    </row>
    <row r="755" spans="1:54" ht="12.75" x14ac:dyDescent="0.2">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c r="AA755" s="28"/>
      <c r="AB755" s="28"/>
      <c r="AC755" s="28"/>
      <c r="AD755" s="28"/>
      <c r="AE755" s="28"/>
      <c r="AF755" s="28"/>
      <c r="AG755" s="28"/>
      <c r="AH755" s="28"/>
      <c r="AI755" s="28"/>
      <c r="AJ755" s="28"/>
      <c r="AK755" s="28"/>
      <c r="AL755" s="28"/>
      <c r="AM755" s="28"/>
      <c r="AN755" s="28"/>
      <c r="AO755" s="28"/>
      <c r="AP755" s="28"/>
      <c r="AQ755" s="28"/>
      <c r="AR755" s="28"/>
      <c r="AS755" s="28"/>
      <c r="AT755" s="28"/>
      <c r="AU755" s="28"/>
      <c r="AV755" s="28"/>
      <c r="AW755" s="28"/>
      <c r="AX755" s="28"/>
      <c r="AY755" s="28"/>
      <c r="AZ755" s="28"/>
      <c r="BA755" s="28"/>
      <c r="BB755" s="28"/>
    </row>
    <row r="756" spans="1:54" ht="12.75" x14ac:dyDescent="0.2">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c r="AA756" s="28"/>
      <c r="AB756" s="28"/>
      <c r="AC756" s="28"/>
      <c r="AD756" s="28"/>
      <c r="AE756" s="28"/>
      <c r="AF756" s="28"/>
      <c r="AG756" s="28"/>
      <c r="AH756" s="28"/>
      <c r="AI756" s="28"/>
      <c r="AJ756" s="28"/>
      <c r="AK756" s="28"/>
      <c r="AL756" s="28"/>
      <c r="AM756" s="28"/>
      <c r="AN756" s="28"/>
      <c r="AO756" s="28"/>
      <c r="AP756" s="28"/>
      <c r="AQ756" s="28"/>
      <c r="AR756" s="28"/>
      <c r="AS756" s="28"/>
      <c r="AT756" s="28"/>
      <c r="AU756" s="28"/>
      <c r="AV756" s="28"/>
      <c r="AW756" s="28"/>
      <c r="AX756" s="28"/>
      <c r="AY756" s="28"/>
      <c r="AZ756" s="28"/>
      <c r="BA756" s="28"/>
      <c r="BB756" s="28"/>
    </row>
    <row r="757" spans="1:54" ht="12.75" x14ac:dyDescent="0.2">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c r="AA757" s="28"/>
      <c r="AB757" s="28"/>
      <c r="AC757" s="28"/>
      <c r="AD757" s="28"/>
      <c r="AE757" s="28"/>
      <c r="AF757" s="28"/>
      <c r="AG757" s="28"/>
      <c r="AH757" s="28"/>
      <c r="AI757" s="28"/>
      <c r="AJ757" s="28"/>
      <c r="AK757" s="28"/>
      <c r="AL757" s="28"/>
      <c r="AM757" s="28"/>
      <c r="AN757" s="28"/>
      <c r="AO757" s="28"/>
      <c r="AP757" s="28"/>
      <c r="AQ757" s="28"/>
      <c r="AR757" s="28"/>
      <c r="AS757" s="28"/>
      <c r="AT757" s="28"/>
      <c r="AU757" s="28"/>
      <c r="AV757" s="28"/>
      <c r="AW757" s="28"/>
      <c r="AX757" s="28"/>
      <c r="AY757" s="28"/>
      <c r="AZ757" s="28"/>
      <c r="BA757" s="28"/>
      <c r="BB757" s="28"/>
    </row>
    <row r="758" spans="1:54" ht="12.75" x14ac:dyDescent="0.2">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c r="AA758" s="28"/>
      <c r="AB758" s="28"/>
      <c r="AC758" s="28"/>
      <c r="AD758" s="28"/>
      <c r="AE758" s="28"/>
      <c r="AF758" s="28"/>
      <c r="AG758" s="28"/>
      <c r="AH758" s="28"/>
      <c r="AI758" s="28"/>
      <c r="AJ758" s="28"/>
      <c r="AK758" s="28"/>
      <c r="AL758" s="28"/>
      <c r="AM758" s="28"/>
      <c r="AN758" s="28"/>
      <c r="AO758" s="28"/>
      <c r="AP758" s="28"/>
      <c r="AQ758" s="28"/>
      <c r="AR758" s="28"/>
      <c r="AS758" s="28"/>
      <c r="AT758" s="28"/>
      <c r="AU758" s="28"/>
      <c r="AV758" s="28"/>
      <c r="AW758" s="28"/>
      <c r="AX758" s="28"/>
      <c r="AY758" s="28"/>
      <c r="AZ758" s="28"/>
      <c r="BA758" s="28"/>
      <c r="BB758" s="28"/>
    </row>
    <row r="759" spans="1:54" ht="12.75" x14ac:dyDescent="0.2">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c r="AA759" s="28"/>
      <c r="AB759" s="28"/>
      <c r="AC759" s="28"/>
      <c r="AD759" s="28"/>
      <c r="AE759" s="28"/>
      <c r="AF759" s="28"/>
      <c r="AG759" s="28"/>
      <c r="AH759" s="28"/>
      <c r="AI759" s="28"/>
      <c r="AJ759" s="28"/>
      <c r="AK759" s="28"/>
      <c r="AL759" s="28"/>
      <c r="AM759" s="28"/>
      <c r="AN759" s="28"/>
      <c r="AO759" s="28"/>
      <c r="AP759" s="28"/>
      <c r="AQ759" s="28"/>
      <c r="AR759" s="28"/>
      <c r="AS759" s="28"/>
      <c r="AT759" s="28"/>
      <c r="AU759" s="28"/>
      <c r="AV759" s="28"/>
      <c r="AW759" s="28"/>
      <c r="AX759" s="28"/>
      <c r="AY759" s="28"/>
      <c r="AZ759" s="28"/>
      <c r="BA759" s="28"/>
      <c r="BB759" s="28"/>
    </row>
    <row r="760" spans="1:54" ht="12.75" x14ac:dyDescent="0.2">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c r="AA760" s="28"/>
      <c r="AB760" s="28"/>
      <c r="AC760" s="28"/>
      <c r="AD760" s="28"/>
      <c r="AE760" s="28"/>
      <c r="AF760" s="28"/>
      <c r="AG760" s="28"/>
      <c r="AH760" s="28"/>
      <c r="AI760" s="28"/>
      <c r="AJ760" s="28"/>
      <c r="AK760" s="28"/>
      <c r="AL760" s="28"/>
      <c r="AM760" s="28"/>
      <c r="AN760" s="28"/>
      <c r="AO760" s="28"/>
      <c r="AP760" s="28"/>
      <c r="AQ760" s="28"/>
      <c r="AR760" s="28"/>
      <c r="AS760" s="28"/>
      <c r="AT760" s="28"/>
      <c r="AU760" s="28"/>
      <c r="AV760" s="28"/>
      <c r="AW760" s="28"/>
      <c r="AX760" s="28"/>
      <c r="AY760" s="28"/>
      <c r="AZ760" s="28"/>
      <c r="BA760" s="28"/>
      <c r="BB760" s="28"/>
    </row>
    <row r="761" spans="1:54" ht="12.75" x14ac:dyDescent="0.2">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c r="AA761" s="28"/>
      <c r="AB761" s="28"/>
      <c r="AC761" s="28"/>
      <c r="AD761" s="28"/>
      <c r="AE761" s="28"/>
      <c r="AF761" s="28"/>
      <c r="AG761" s="28"/>
      <c r="AH761" s="28"/>
      <c r="AI761" s="28"/>
      <c r="AJ761" s="28"/>
      <c r="AK761" s="28"/>
      <c r="AL761" s="28"/>
      <c r="AM761" s="28"/>
      <c r="AN761" s="28"/>
      <c r="AO761" s="28"/>
      <c r="AP761" s="28"/>
      <c r="AQ761" s="28"/>
      <c r="AR761" s="28"/>
      <c r="AS761" s="28"/>
      <c r="AT761" s="28"/>
      <c r="AU761" s="28"/>
      <c r="AV761" s="28"/>
      <c r="AW761" s="28"/>
      <c r="AX761" s="28"/>
      <c r="AY761" s="28"/>
      <c r="AZ761" s="28"/>
      <c r="BA761" s="28"/>
      <c r="BB761" s="28"/>
    </row>
    <row r="762" spans="1:54" ht="12.75" x14ac:dyDescent="0.2">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c r="AA762" s="28"/>
      <c r="AB762" s="28"/>
      <c r="AC762" s="28"/>
      <c r="AD762" s="28"/>
      <c r="AE762" s="28"/>
      <c r="AF762" s="28"/>
      <c r="AG762" s="28"/>
      <c r="AH762" s="28"/>
      <c r="AI762" s="28"/>
      <c r="AJ762" s="28"/>
      <c r="AK762" s="28"/>
      <c r="AL762" s="28"/>
      <c r="AM762" s="28"/>
      <c r="AN762" s="28"/>
      <c r="AO762" s="28"/>
      <c r="AP762" s="28"/>
      <c r="AQ762" s="28"/>
      <c r="AR762" s="28"/>
      <c r="AS762" s="28"/>
      <c r="AT762" s="28"/>
      <c r="AU762" s="28"/>
      <c r="AV762" s="28"/>
      <c r="AW762" s="28"/>
      <c r="AX762" s="28"/>
      <c r="AY762" s="28"/>
      <c r="AZ762" s="28"/>
      <c r="BA762" s="28"/>
      <c r="BB762" s="28"/>
    </row>
    <row r="763" spans="1:54" ht="12.75" x14ac:dyDescent="0.2">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c r="AA763" s="28"/>
      <c r="AB763" s="28"/>
      <c r="AC763" s="28"/>
      <c r="AD763" s="28"/>
      <c r="AE763" s="28"/>
      <c r="AF763" s="28"/>
      <c r="AG763" s="28"/>
      <c r="AH763" s="28"/>
      <c r="AI763" s="28"/>
      <c r="AJ763" s="28"/>
      <c r="AK763" s="28"/>
      <c r="AL763" s="28"/>
      <c r="AM763" s="28"/>
      <c r="AN763" s="28"/>
      <c r="AO763" s="28"/>
      <c r="AP763" s="28"/>
      <c r="AQ763" s="28"/>
      <c r="AR763" s="28"/>
      <c r="AS763" s="28"/>
      <c r="AT763" s="28"/>
      <c r="AU763" s="28"/>
      <c r="AV763" s="28"/>
      <c r="AW763" s="28"/>
      <c r="AX763" s="28"/>
      <c r="AY763" s="28"/>
      <c r="AZ763" s="28"/>
      <c r="BA763" s="28"/>
      <c r="BB763" s="28"/>
    </row>
    <row r="764" spans="1:54" ht="12.75" x14ac:dyDescent="0.2">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c r="AA764" s="28"/>
      <c r="AB764" s="28"/>
      <c r="AC764" s="28"/>
      <c r="AD764" s="28"/>
      <c r="AE764" s="28"/>
      <c r="AF764" s="28"/>
      <c r="AG764" s="28"/>
      <c r="AH764" s="28"/>
      <c r="AI764" s="28"/>
      <c r="AJ764" s="28"/>
      <c r="AK764" s="28"/>
      <c r="AL764" s="28"/>
      <c r="AM764" s="28"/>
      <c r="AN764" s="28"/>
      <c r="AO764" s="28"/>
      <c r="AP764" s="28"/>
      <c r="AQ764" s="28"/>
      <c r="AR764" s="28"/>
      <c r="AS764" s="28"/>
      <c r="AT764" s="28"/>
      <c r="AU764" s="28"/>
      <c r="AV764" s="28"/>
      <c r="AW764" s="28"/>
      <c r="AX764" s="28"/>
      <c r="AY764" s="28"/>
      <c r="AZ764" s="28"/>
      <c r="BA764" s="28"/>
      <c r="BB764" s="28"/>
    </row>
    <row r="765" spans="1:54" ht="12.75" x14ac:dyDescent="0.2">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c r="AA765" s="28"/>
      <c r="AB765" s="28"/>
      <c r="AC765" s="28"/>
      <c r="AD765" s="28"/>
      <c r="AE765" s="28"/>
      <c r="AF765" s="28"/>
      <c r="AG765" s="28"/>
      <c r="AH765" s="28"/>
      <c r="AI765" s="28"/>
      <c r="AJ765" s="28"/>
      <c r="AK765" s="28"/>
      <c r="AL765" s="28"/>
      <c r="AM765" s="28"/>
      <c r="AN765" s="28"/>
      <c r="AO765" s="28"/>
      <c r="AP765" s="28"/>
      <c r="AQ765" s="28"/>
      <c r="AR765" s="28"/>
      <c r="AS765" s="28"/>
      <c r="AT765" s="28"/>
      <c r="AU765" s="28"/>
      <c r="AV765" s="28"/>
      <c r="AW765" s="28"/>
      <c r="AX765" s="28"/>
      <c r="AY765" s="28"/>
      <c r="AZ765" s="28"/>
      <c r="BA765" s="28"/>
      <c r="BB765" s="28"/>
    </row>
    <row r="766" spans="1:54" ht="12.75" x14ac:dyDescent="0.2">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c r="AA766" s="28"/>
      <c r="AB766" s="28"/>
      <c r="AC766" s="28"/>
      <c r="AD766" s="28"/>
      <c r="AE766" s="28"/>
      <c r="AF766" s="28"/>
      <c r="AG766" s="28"/>
      <c r="AH766" s="28"/>
      <c r="AI766" s="28"/>
      <c r="AJ766" s="28"/>
      <c r="AK766" s="28"/>
      <c r="AL766" s="28"/>
      <c r="AM766" s="28"/>
      <c r="AN766" s="28"/>
      <c r="AO766" s="28"/>
      <c r="AP766" s="28"/>
      <c r="AQ766" s="28"/>
      <c r="AR766" s="28"/>
      <c r="AS766" s="28"/>
      <c r="AT766" s="28"/>
      <c r="AU766" s="28"/>
      <c r="AV766" s="28"/>
      <c r="AW766" s="28"/>
      <c r="AX766" s="28"/>
      <c r="AY766" s="28"/>
      <c r="AZ766" s="28"/>
      <c r="BA766" s="28"/>
      <c r="BB766" s="28"/>
    </row>
    <row r="767" spans="1:54" ht="12.75" x14ac:dyDescent="0.2">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c r="AA767" s="28"/>
      <c r="AB767" s="28"/>
      <c r="AC767" s="28"/>
      <c r="AD767" s="28"/>
      <c r="AE767" s="28"/>
      <c r="AF767" s="28"/>
      <c r="AG767" s="28"/>
      <c r="AH767" s="28"/>
      <c r="AI767" s="28"/>
      <c r="AJ767" s="28"/>
      <c r="AK767" s="28"/>
      <c r="AL767" s="28"/>
      <c r="AM767" s="28"/>
      <c r="AN767" s="28"/>
      <c r="AO767" s="28"/>
      <c r="AP767" s="28"/>
      <c r="AQ767" s="28"/>
      <c r="AR767" s="28"/>
      <c r="AS767" s="28"/>
      <c r="AT767" s="28"/>
      <c r="AU767" s="28"/>
      <c r="AV767" s="28"/>
      <c r="AW767" s="28"/>
      <c r="AX767" s="28"/>
      <c r="AY767" s="28"/>
      <c r="AZ767" s="28"/>
      <c r="BA767" s="28"/>
      <c r="BB767" s="28"/>
    </row>
    <row r="768" spans="1:54" ht="12.75" x14ac:dyDescent="0.2">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c r="AA768" s="28"/>
      <c r="AB768" s="28"/>
      <c r="AC768" s="28"/>
      <c r="AD768" s="28"/>
      <c r="AE768" s="28"/>
      <c r="AF768" s="28"/>
      <c r="AG768" s="28"/>
      <c r="AH768" s="28"/>
      <c r="AI768" s="28"/>
      <c r="AJ768" s="28"/>
      <c r="AK768" s="28"/>
      <c r="AL768" s="28"/>
      <c r="AM768" s="28"/>
      <c r="AN768" s="28"/>
      <c r="AO768" s="28"/>
      <c r="AP768" s="28"/>
      <c r="AQ768" s="28"/>
      <c r="AR768" s="28"/>
      <c r="AS768" s="28"/>
      <c r="AT768" s="28"/>
      <c r="AU768" s="28"/>
      <c r="AV768" s="28"/>
      <c r="AW768" s="28"/>
      <c r="AX768" s="28"/>
      <c r="AY768" s="28"/>
      <c r="AZ768" s="28"/>
      <c r="BA768" s="28"/>
      <c r="BB768" s="28"/>
    </row>
    <row r="769" spans="1:54" ht="12.75" x14ac:dyDescent="0.2">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c r="AA769" s="28"/>
      <c r="AB769" s="28"/>
      <c r="AC769" s="28"/>
      <c r="AD769" s="28"/>
      <c r="AE769" s="28"/>
      <c r="AF769" s="28"/>
      <c r="AG769" s="28"/>
      <c r="AH769" s="28"/>
      <c r="AI769" s="28"/>
      <c r="AJ769" s="28"/>
      <c r="AK769" s="28"/>
      <c r="AL769" s="28"/>
      <c r="AM769" s="28"/>
      <c r="AN769" s="28"/>
      <c r="AO769" s="28"/>
      <c r="AP769" s="28"/>
      <c r="AQ769" s="28"/>
      <c r="AR769" s="28"/>
      <c r="AS769" s="28"/>
      <c r="AT769" s="28"/>
      <c r="AU769" s="28"/>
      <c r="AV769" s="28"/>
      <c r="AW769" s="28"/>
      <c r="AX769" s="28"/>
      <c r="AY769" s="28"/>
      <c r="AZ769" s="28"/>
      <c r="BA769" s="28"/>
      <c r="BB769" s="28"/>
    </row>
    <row r="770" spans="1:54" ht="12.75" x14ac:dyDescent="0.2">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c r="AA770" s="28"/>
      <c r="AB770" s="28"/>
      <c r="AC770" s="28"/>
      <c r="AD770" s="28"/>
      <c r="AE770" s="28"/>
      <c r="AF770" s="28"/>
      <c r="AG770" s="28"/>
      <c r="AH770" s="28"/>
      <c r="AI770" s="28"/>
      <c r="AJ770" s="28"/>
      <c r="AK770" s="28"/>
      <c r="AL770" s="28"/>
      <c r="AM770" s="28"/>
      <c r="AN770" s="28"/>
      <c r="AO770" s="28"/>
      <c r="AP770" s="28"/>
      <c r="AQ770" s="28"/>
      <c r="AR770" s="28"/>
      <c r="AS770" s="28"/>
      <c r="AT770" s="28"/>
      <c r="AU770" s="28"/>
      <c r="AV770" s="28"/>
      <c r="AW770" s="28"/>
      <c r="AX770" s="28"/>
      <c r="AY770" s="28"/>
      <c r="AZ770" s="28"/>
      <c r="BA770" s="28"/>
      <c r="BB770" s="28"/>
    </row>
    <row r="771" spans="1:54" ht="12.75" x14ac:dyDescent="0.2">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c r="AA771" s="28"/>
      <c r="AB771" s="28"/>
      <c r="AC771" s="28"/>
      <c r="AD771" s="28"/>
      <c r="AE771" s="28"/>
      <c r="AF771" s="28"/>
      <c r="AG771" s="28"/>
      <c r="AH771" s="28"/>
      <c r="AI771" s="28"/>
      <c r="AJ771" s="28"/>
      <c r="AK771" s="28"/>
      <c r="AL771" s="28"/>
      <c r="AM771" s="28"/>
      <c r="AN771" s="28"/>
      <c r="AO771" s="28"/>
      <c r="AP771" s="28"/>
      <c r="AQ771" s="28"/>
      <c r="AR771" s="28"/>
      <c r="AS771" s="28"/>
      <c r="AT771" s="28"/>
      <c r="AU771" s="28"/>
      <c r="AV771" s="28"/>
      <c r="AW771" s="28"/>
      <c r="AX771" s="28"/>
      <c r="AY771" s="28"/>
      <c r="AZ771" s="28"/>
      <c r="BA771" s="28"/>
      <c r="BB771" s="28"/>
    </row>
    <row r="772" spans="1:54" ht="12.75" x14ac:dyDescent="0.2">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c r="AA772" s="28"/>
      <c r="AB772" s="28"/>
      <c r="AC772" s="28"/>
      <c r="AD772" s="28"/>
      <c r="AE772" s="28"/>
      <c r="AF772" s="28"/>
      <c r="AG772" s="28"/>
      <c r="AH772" s="28"/>
      <c r="AI772" s="28"/>
      <c r="AJ772" s="28"/>
      <c r="AK772" s="28"/>
      <c r="AL772" s="28"/>
      <c r="AM772" s="28"/>
      <c r="AN772" s="28"/>
      <c r="AO772" s="28"/>
      <c r="AP772" s="28"/>
      <c r="AQ772" s="28"/>
      <c r="AR772" s="28"/>
      <c r="AS772" s="28"/>
      <c r="AT772" s="28"/>
      <c r="AU772" s="28"/>
      <c r="AV772" s="28"/>
      <c r="AW772" s="28"/>
      <c r="AX772" s="28"/>
      <c r="AY772" s="28"/>
      <c r="AZ772" s="28"/>
      <c r="BA772" s="28"/>
      <c r="BB772" s="28"/>
    </row>
    <row r="773" spans="1:54" ht="12.75" x14ac:dyDescent="0.2">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c r="AA773" s="28"/>
      <c r="AB773" s="28"/>
      <c r="AC773" s="28"/>
      <c r="AD773" s="28"/>
      <c r="AE773" s="28"/>
      <c r="AF773" s="28"/>
      <c r="AG773" s="28"/>
      <c r="AH773" s="28"/>
      <c r="AI773" s="28"/>
      <c r="AJ773" s="28"/>
      <c r="AK773" s="28"/>
      <c r="AL773" s="28"/>
      <c r="AM773" s="28"/>
      <c r="AN773" s="28"/>
      <c r="AO773" s="28"/>
      <c r="AP773" s="28"/>
      <c r="AQ773" s="28"/>
      <c r="AR773" s="28"/>
      <c r="AS773" s="28"/>
      <c r="AT773" s="28"/>
      <c r="AU773" s="28"/>
      <c r="AV773" s="28"/>
      <c r="AW773" s="28"/>
      <c r="AX773" s="28"/>
      <c r="AY773" s="28"/>
      <c r="AZ773" s="28"/>
      <c r="BA773" s="28"/>
      <c r="BB773" s="28"/>
    </row>
    <row r="774" spans="1:54" ht="12.75" x14ac:dyDescent="0.2">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c r="AA774" s="28"/>
      <c r="AB774" s="28"/>
      <c r="AC774" s="28"/>
      <c r="AD774" s="28"/>
      <c r="AE774" s="28"/>
      <c r="AF774" s="28"/>
      <c r="AG774" s="28"/>
      <c r="AH774" s="28"/>
      <c r="AI774" s="28"/>
      <c r="AJ774" s="28"/>
      <c r="AK774" s="28"/>
      <c r="AL774" s="28"/>
      <c r="AM774" s="28"/>
      <c r="AN774" s="28"/>
      <c r="AO774" s="28"/>
      <c r="AP774" s="28"/>
      <c r="AQ774" s="28"/>
      <c r="AR774" s="28"/>
      <c r="AS774" s="28"/>
      <c r="AT774" s="28"/>
      <c r="AU774" s="28"/>
      <c r="AV774" s="28"/>
      <c r="AW774" s="28"/>
      <c r="AX774" s="28"/>
      <c r="AY774" s="28"/>
      <c r="AZ774" s="28"/>
      <c r="BA774" s="28"/>
      <c r="BB774" s="28"/>
    </row>
    <row r="775" spans="1:54" ht="12.75" x14ac:dyDescent="0.2">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c r="AA775" s="28"/>
      <c r="AB775" s="28"/>
      <c r="AC775" s="28"/>
      <c r="AD775" s="28"/>
      <c r="AE775" s="28"/>
      <c r="AF775" s="28"/>
      <c r="AG775" s="28"/>
      <c r="AH775" s="28"/>
      <c r="AI775" s="28"/>
      <c r="AJ775" s="28"/>
      <c r="AK775" s="28"/>
      <c r="AL775" s="28"/>
      <c r="AM775" s="28"/>
      <c r="AN775" s="28"/>
      <c r="AO775" s="28"/>
      <c r="AP775" s="28"/>
      <c r="AQ775" s="28"/>
      <c r="AR775" s="28"/>
      <c r="AS775" s="28"/>
      <c r="AT775" s="28"/>
      <c r="AU775" s="28"/>
      <c r="AV775" s="28"/>
      <c r="AW775" s="28"/>
      <c r="AX775" s="28"/>
      <c r="AY775" s="28"/>
      <c r="AZ775" s="28"/>
      <c r="BA775" s="28"/>
      <c r="BB775" s="28"/>
    </row>
    <row r="776" spans="1:54" ht="12.75" x14ac:dyDescent="0.2">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c r="AA776" s="28"/>
      <c r="AB776" s="28"/>
      <c r="AC776" s="28"/>
      <c r="AD776" s="28"/>
      <c r="AE776" s="28"/>
      <c r="AF776" s="28"/>
      <c r="AG776" s="28"/>
      <c r="AH776" s="28"/>
      <c r="AI776" s="28"/>
      <c r="AJ776" s="28"/>
      <c r="AK776" s="28"/>
      <c r="AL776" s="28"/>
      <c r="AM776" s="28"/>
      <c r="AN776" s="28"/>
      <c r="AO776" s="28"/>
      <c r="AP776" s="28"/>
      <c r="AQ776" s="28"/>
      <c r="AR776" s="28"/>
      <c r="AS776" s="28"/>
      <c r="AT776" s="28"/>
      <c r="AU776" s="28"/>
      <c r="AV776" s="28"/>
      <c r="AW776" s="28"/>
      <c r="AX776" s="28"/>
      <c r="AY776" s="28"/>
      <c r="AZ776" s="28"/>
      <c r="BA776" s="28"/>
      <c r="BB776" s="28"/>
    </row>
    <row r="777" spans="1:54" ht="12.75" x14ac:dyDescent="0.2">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c r="AA777" s="28"/>
      <c r="AB777" s="28"/>
      <c r="AC777" s="28"/>
      <c r="AD777" s="28"/>
      <c r="AE777" s="28"/>
      <c r="AF777" s="28"/>
      <c r="AG777" s="28"/>
      <c r="AH777" s="28"/>
      <c r="AI777" s="28"/>
      <c r="AJ777" s="28"/>
      <c r="AK777" s="28"/>
      <c r="AL777" s="28"/>
      <c r="AM777" s="28"/>
      <c r="AN777" s="28"/>
      <c r="AO777" s="28"/>
      <c r="AP777" s="28"/>
      <c r="AQ777" s="28"/>
      <c r="AR777" s="28"/>
      <c r="AS777" s="28"/>
      <c r="AT777" s="28"/>
      <c r="AU777" s="28"/>
      <c r="AV777" s="28"/>
      <c r="AW777" s="28"/>
      <c r="AX777" s="28"/>
      <c r="AY777" s="28"/>
      <c r="AZ777" s="28"/>
      <c r="BA777" s="28"/>
      <c r="BB777" s="28"/>
    </row>
    <row r="778" spans="1:54" ht="12.75" x14ac:dyDescent="0.2">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c r="AA778" s="28"/>
      <c r="AB778" s="28"/>
      <c r="AC778" s="28"/>
      <c r="AD778" s="28"/>
      <c r="AE778" s="28"/>
      <c r="AF778" s="28"/>
      <c r="AG778" s="28"/>
      <c r="AH778" s="28"/>
      <c r="AI778" s="28"/>
      <c r="AJ778" s="28"/>
      <c r="AK778" s="28"/>
      <c r="AL778" s="28"/>
      <c r="AM778" s="28"/>
      <c r="AN778" s="28"/>
      <c r="AO778" s="28"/>
      <c r="AP778" s="28"/>
      <c r="AQ778" s="28"/>
      <c r="AR778" s="28"/>
      <c r="AS778" s="28"/>
      <c r="AT778" s="28"/>
      <c r="AU778" s="28"/>
      <c r="AV778" s="28"/>
      <c r="AW778" s="28"/>
      <c r="AX778" s="28"/>
      <c r="AY778" s="28"/>
      <c r="AZ778" s="28"/>
      <c r="BA778" s="28"/>
      <c r="BB778" s="28"/>
    </row>
    <row r="779" spans="1:54" ht="12.75" x14ac:dyDescent="0.2">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c r="AA779" s="28"/>
      <c r="AB779" s="28"/>
      <c r="AC779" s="28"/>
      <c r="AD779" s="28"/>
      <c r="AE779" s="28"/>
      <c r="AF779" s="28"/>
      <c r="AG779" s="28"/>
      <c r="AH779" s="28"/>
      <c r="AI779" s="28"/>
      <c r="AJ779" s="28"/>
      <c r="AK779" s="28"/>
      <c r="AL779" s="28"/>
      <c r="AM779" s="28"/>
      <c r="AN779" s="28"/>
      <c r="AO779" s="28"/>
      <c r="AP779" s="28"/>
      <c r="AQ779" s="28"/>
      <c r="AR779" s="28"/>
      <c r="AS779" s="28"/>
      <c r="AT779" s="28"/>
      <c r="AU779" s="28"/>
      <c r="AV779" s="28"/>
      <c r="AW779" s="28"/>
      <c r="AX779" s="28"/>
      <c r="AY779" s="28"/>
      <c r="AZ779" s="28"/>
      <c r="BA779" s="28"/>
      <c r="BB779" s="28"/>
    </row>
    <row r="780" spans="1:54" ht="12.75" x14ac:dyDescent="0.2">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c r="AA780" s="28"/>
      <c r="AB780" s="28"/>
      <c r="AC780" s="28"/>
      <c r="AD780" s="28"/>
      <c r="AE780" s="28"/>
      <c r="AF780" s="28"/>
      <c r="AG780" s="28"/>
      <c r="AH780" s="28"/>
      <c r="AI780" s="28"/>
      <c r="AJ780" s="28"/>
      <c r="AK780" s="28"/>
      <c r="AL780" s="28"/>
      <c r="AM780" s="28"/>
      <c r="AN780" s="28"/>
      <c r="AO780" s="28"/>
      <c r="AP780" s="28"/>
      <c r="AQ780" s="28"/>
      <c r="AR780" s="28"/>
      <c r="AS780" s="28"/>
      <c r="AT780" s="28"/>
      <c r="AU780" s="28"/>
      <c r="AV780" s="28"/>
      <c r="AW780" s="28"/>
      <c r="AX780" s="28"/>
      <c r="AY780" s="28"/>
      <c r="AZ780" s="28"/>
      <c r="BA780" s="28"/>
      <c r="BB780" s="28"/>
    </row>
    <row r="781" spans="1:54" ht="12.75" x14ac:dyDescent="0.2">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c r="AA781" s="28"/>
      <c r="AB781" s="28"/>
      <c r="AC781" s="28"/>
      <c r="AD781" s="28"/>
      <c r="AE781" s="28"/>
      <c r="AF781" s="28"/>
      <c r="AG781" s="28"/>
      <c r="AH781" s="28"/>
      <c r="AI781" s="28"/>
      <c r="AJ781" s="28"/>
      <c r="AK781" s="28"/>
      <c r="AL781" s="28"/>
      <c r="AM781" s="28"/>
      <c r="AN781" s="28"/>
      <c r="AO781" s="28"/>
      <c r="AP781" s="28"/>
      <c r="AQ781" s="28"/>
      <c r="AR781" s="28"/>
      <c r="AS781" s="28"/>
      <c r="AT781" s="28"/>
      <c r="AU781" s="28"/>
      <c r="AV781" s="28"/>
      <c r="AW781" s="28"/>
      <c r="AX781" s="28"/>
      <c r="AY781" s="28"/>
      <c r="AZ781" s="28"/>
      <c r="BA781" s="28"/>
      <c r="BB781" s="28"/>
    </row>
    <row r="782" spans="1:54" ht="12.75" x14ac:dyDescent="0.2">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c r="AA782" s="28"/>
      <c r="AB782" s="28"/>
      <c r="AC782" s="28"/>
      <c r="AD782" s="28"/>
      <c r="AE782" s="28"/>
      <c r="AF782" s="28"/>
      <c r="AG782" s="28"/>
      <c r="AH782" s="28"/>
      <c r="AI782" s="28"/>
      <c r="AJ782" s="28"/>
      <c r="AK782" s="28"/>
      <c r="AL782" s="28"/>
      <c r="AM782" s="28"/>
      <c r="AN782" s="28"/>
      <c r="AO782" s="28"/>
      <c r="AP782" s="28"/>
      <c r="AQ782" s="28"/>
      <c r="AR782" s="28"/>
      <c r="AS782" s="28"/>
      <c r="AT782" s="28"/>
      <c r="AU782" s="28"/>
      <c r="AV782" s="28"/>
      <c r="AW782" s="28"/>
      <c r="AX782" s="28"/>
      <c r="AY782" s="28"/>
      <c r="AZ782" s="28"/>
      <c r="BA782" s="28"/>
      <c r="BB782" s="28"/>
    </row>
    <row r="783" spans="1:54" ht="12.75" x14ac:dyDescent="0.2">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c r="AA783" s="28"/>
      <c r="AB783" s="28"/>
      <c r="AC783" s="28"/>
      <c r="AD783" s="28"/>
      <c r="AE783" s="28"/>
      <c r="AF783" s="28"/>
      <c r="AG783" s="28"/>
      <c r="AH783" s="28"/>
      <c r="AI783" s="28"/>
      <c r="AJ783" s="28"/>
      <c r="AK783" s="28"/>
      <c r="AL783" s="28"/>
      <c r="AM783" s="28"/>
      <c r="AN783" s="28"/>
      <c r="AO783" s="28"/>
      <c r="AP783" s="28"/>
      <c r="AQ783" s="28"/>
      <c r="AR783" s="28"/>
      <c r="AS783" s="28"/>
      <c r="AT783" s="28"/>
      <c r="AU783" s="28"/>
      <c r="AV783" s="28"/>
      <c r="AW783" s="28"/>
      <c r="AX783" s="28"/>
      <c r="AY783" s="28"/>
      <c r="AZ783" s="28"/>
      <c r="BA783" s="28"/>
      <c r="BB783" s="28"/>
    </row>
    <row r="784" spans="1:54" ht="12.75" x14ac:dyDescent="0.2">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c r="AA784" s="28"/>
      <c r="AB784" s="28"/>
      <c r="AC784" s="28"/>
      <c r="AD784" s="28"/>
      <c r="AE784" s="28"/>
      <c r="AF784" s="28"/>
      <c r="AG784" s="28"/>
      <c r="AH784" s="28"/>
      <c r="AI784" s="28"/>
      <c r="AJ784" s="28"/>
      <c r="AK784" s="28"/>
      <c r="AL784" s="28"/>
      <c r="AM784" s="28"/>
      <c r="AN784" s="28"/>
      <c r="AO784" s="28"/>
      <c r="AP784" s="28"/>
      <c r="AQ784" s="28"/>
      <c r="AR784" s="28"/>
      <c r="AS784" s="28"/>
      <c r="AT784" s="28"/>
      <c r="AU784" s="28"/>
      <c r="AV784" s="28"/>
      <c r="AW784" s="28"/>
      <c r="AX784" s="28"/>
      <c r="AY784" s="28"/>
      <c r="AZ784" s="28"/>
      <c r="BA784" s="28"/>
      <c r="BB784" s="28"/>
    </row>
    <row r="785" spans="1:54" ht="12.75" x14ac:dyDescent="0.2">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c r="AA785" s="28"/>
      <c r="AB785" s="28"/>
      <c r="AC785" s="28"/>
      <c r="AD785" s="28"/>
      <c r="AE785" s="28"/>
      <c r="AF785" s="28"/>
      <c r="AG785" s="28"/>
      <c r="AH785" s="28"/>
      <c r="AI785" s="28"/>
      <c r="AJ785" s="28"/>
      <c r="AK785" s="28"/>
      <c r="AL785" s="28"/>
      <c r="AM785" s="28"/>
      <c r="AN785" s="28"/>
      <c r="AO785" s="28"/>
      <c r="AP785" s="28"/>
      <c r="AQ785" s="28"/>
      <c r="AR785" s="28"/>
      <c r="AS785" s="28"/>
      <c r="AT785" s="28"/>
      <c r="AU785" s="28"/>
      <c r="AV785" s="28"/>
      <c r="AW785" s="28"/>
      <c r="AX785" s="28"/>
      <c r="AY785" s="28"/>
      <c r="AZ785" s="28"/>
      <c r="BA785" s="28"/>
      <c r="BB785" s="28"/>
    </row>
    <row r="786" spans="1:54" ht="12.75" x14ac:dyDescent="0.2">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c r="AA786" s="28"/>
      <c r="AB786" s="28"/>
      <c r="AC786" s="28"/>
      <c r="AD786" s="28"/>
      <c r="AE786" s="28"/>
      <c r="AF786" s="28"/>
      <c r="AG786" s="28"/>
      <c r="AH786" s="28"/>
      <c r="AI786" s="28"/>
      <c r="AJ786" s="28"/>
      <c r="AK786" s="28"/>
      <c r="AL786" s="28"/>
      <c r="AM786" s="28"/>
      <c r="AN786" s="28"/>
      <c r="AO786" s="28"/>
      <c r="AP786" s="28"/>
      <c r="AQ786" s="28"/>
      <c r="AR786" s="28"/>
      <c r="AS786" s="28"/>
      <c r="AT786" s="28"/>
      <c r="AU786" s="28"/>
      <c r="AV786" s="28"/>
      <c r="AW786" s="28"/>
      <c r="AX786" s="28"/>
      <c r="AY786" s="28"/>
      <c r="AZ786" s="28"/>
      <c r="BA786" s="28"/>
      <c r="BB786" s="28"/>
    </row>
    <row r="787" spans="1:54" ht="12.75" x14ac:dyDescent="0.2">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c r="AA787" s="28"/>
      <c r="AB787" s="28"/>
      <c r="AC787" s="28"/>
      <c r="AD787" s="28"/>
      <c r="AE787" s="28"/>
      <c r="AF787" s="28"/>
      <c r="AG787" s="28"/>
      <c r="AH787" s="28"/>
      <c r="AI787" s="28"/>
      <c r="AJ787" s="28"/>
      <c r="AK787" s="28"/>
      <c r="AL787" s="28"/>
      <c r="AM787" s="28"/>
      <c r="AN787" s="28"/>
      <c r="AO787" s="28"/>
      <c r="AP787" s="28"/>
      <c r="AQ787" s="28"/>
      <c r="AR787" s="28"/>
      <c r="AS787" s="28"/>
      <c r="AT787" s="28"/>
      <c r="AU787" s="28"/>
      <c r="AV787" s="28"/>
      <c r="AW787" s="28"/>
      <c r="AX787" s="28"/>
      <c r="AY787" s="28"/>
      <c r="AZ787" s="28"/>
      <c r="BA787" s="28"/>
      <c r="BB787" s="28"/>
    </row>
    <row r="788" spans="1:54" ht="12.75" x14ac:dyDescent="0.2">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c r="AA788" s="28"/>
      <c r="AB788" s="28"/>
      <c r="AC788" s="28"/>
      <c r="AD788" s="28"/>
      <c r="AE788" s="28"/>
      <c r="AF788" s="28"/>
      <c r="AG788" s="28"/>
      <c r="AH788" s="28"/>
      <c r="AI788" s="28"/>
      <c r="AJ788" s="28"/>
      <c r="AK788" s="28"/>
      <c r="AL788" s="28"/>
      <c r="AM788" s="28"/>
      <c r="AN788" s="28"/>
      <c r="AO788" s="28"/>
      <c r="AP788" s="28"/>
      <c r="AQ788" s="28"/>
      <c r="AR788" s="28"/>
      <c r="AS788" s="28"/>
      <c r="AT788" s="28"/>
      <c r="AU788" s="28"/>
      <c r="AV788" s="28"/>
      <c r="AW788" s="28"/>
      <c r="AX788" s="28"/>
      <c r="AY788" s="28"/>
      <c r="AZ788" s="28"/>
      <c r="BA788" s="28"/>
      <c r="BB788" s="28"/>
    </row>
    <row r="789" spans="1:54" ht="12.75" x14ac:dyDescent="0.2">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c r="AA789" s="28"/>
      <c r="AB789" s="28"/>
      <c r="AC789" s="28"/>
      <c r="AD789" s="28"/>
      <c r="AE789" s="28"/>
      <c r="AF789" s="28"/>
      <c r="AG789" s="28"/>
      <c r="AH789" s="28"/>
      <c r="AI789" s="28"/>
      <c r="AJ789" s="28"/>
      <c r="AK789" s="28"/>
      <c r="AL789" s="28"/>
      <c r="AM789" s="28"/>
      <c r="AN789" s="28"/>
      <c r="AO789" s="28"/>
      <c r="AP789" s="28"/>
      <c r="AQ789" s="28"/>
      <c r="AR789" s="28"/>
      <c r="AS789" s="28"/>
      <c r="AT789" s="28"/>
      <c r="AU789" s="28"/>
      <c r="AV789" s="28"/>
      <c r="AW789" s="28"/>
      <c r="AX789" s="28"/>
      <c r="AY789" s="28"/>
      <c r="AZ789" s="28"/>
      <c r="BA789" s="28"/>
      <c r="BB789" s="28"/>
    </row>
    <row r="790" spans="1:54" ht="12.75" x14ac:dyDescent="0.2">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c r="AA790" s="28"/>
      <c r="AB790" s="28"/>
      <c r="AC790" s="28"/>
      <c r="AD790" s="28"/>
      <c r="AE790" s="28"/>
      <c r="AF790" s="28"/>
      <c r="AG790" s="28"/>
      <c r="AH790" s="28"/>
      <c r="AI790" s="28"/>
      <c r="AJ790" s="28"/>
      <c r="AK790" s="28"/>
      <c r="AL790" s="28"/>
      <c r="AM790" s="28"/>
      <c r="AN790" s="28"/>
      <c r="AO790" s="28"/>
      <c r="AP790" s="28"/>
      <c r="AQ790" s="28"/>
      <c r="AR790" s="28"/>
      <c r="AS790" s="28"/>
      <c r="AT790" s="28"/>
      <c r="AU790" s="28"/>
      <c r="AV790" s="28"/>
      <c r="AW790" s="28"/>
      <c r="AX790" s="28"/>
      <c r="AY790" s="28"/>
      <c r="AZ790" s="28"/>
      <c r="BA790" s="28"/>
      <c r="BB790" s="28"/>
    </row>
    <row r="791" spans="1:54" ht="12.75" x14ac:dyDescent="0.2">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c r="AA791" s="28"/>
      <c r="AB791" s="28"/>
      <c r="AC791" s="28"/>
      <c r="AD791" s="28"/>
      <c r="AE791" s="28"/>
      <c r="AF791" s="28"/>
      <c r="AG791" s="28"/>
      <c r="AH791" s="28"/>
      <c r="AI791" s="28"/>
      <c r="AJ791" s="28"/>
      <c r="AK791" s="28"/>
      <c r="AL791" s="28"/>
      <c r="AM791" s="28"/>
      <c r="AN791" s="28"/>
      <c r="AO791" s="28"/>
      <c r="AP791" s="28"/>
      <c r="AQ791" s="28"/>
      <c r="AR791" s="28"/>
      <c r="AS791" s="28"/>
      <c r="AT791" s="28"/>
      <c r="AU791" s="28"/>
      <c r="AV791" s="28"/>
      <c r="AW791" s="28"/>
      <c r="AX791" s="28"/>
      <c r="AY791" s="28"/>
      <c r="AZ791" s="28"/>
      <c r="BA791" s="28"/>
      <c r="BB791" s="28"/>
    </row>
    <row r="792" spans="1:54" ht="12.75" x14ac:dyDescent="0.2">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c r="AA792" s="28"/>
      <c r="AB792" s="28"/>
      <c r="AC792" s="28"/>
      <c r="AD792" s="28"/>
      <c r="AE792" s="28"/>
      <c r="AF792" s="28"/>
      <c r="AG792" s="28"/>
      <c r="AH792" s="28"/>
      <c r="AI792" s="28"/>
      <c r="AJ792" s="28"/>
      <c r="AK792" s="28"/>
      <c r="AL792" s="28"/>
      <c r="AM792" s="28"/>
      <c r="AN792" s="28"/>
      <c r="AO792" s="28"/>
      <c r="AP792" s="28"/>
      <c r="AQ792" s="28"/>
      <c r="AR792" s="28"/>
      <c r="AS792" s="28"/>
      <c r="AT792" s="28"/>
      <c r="AU792" s="28"/>
      <c r="AV792" s="28"/>
      <c r="AW792" s="28"/>
      <c r="AX792" s="28"/>
      <c r="AY792" s="28"/>
      <c r="AZ792" s="28"/>
      <c r="BA792" s="28"/>
      <c r="BB792" s="28"/>
    </row>
    <row r="793" spans="1:54" ht="12.75" x14ac:dyDescent="0.2">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c r="AA793" s="28"/>
      <c r="AB793" s="28"/>
      <c r="AC793" s="28"/>
      <c r="AD793" s="28"/>
      <c r="AE793" s="28"/>
      <c r="AF793" s="28"/>
      <c r="AG793" s="28"/>
      <c r="AH793" s="28"/>
      <c r="AI793" s="28"/>
      <c r="AJ793" s="28"/>
      <c r="AK793" s="28"/>
      <c r="AL793" s="28"/>
      <c r="AM793" s="28"/>
      <c r="AN793" s="28"/>
      <c r="AO793" s="28"/>
      <c r="AP793" s="28"/>
      <c r="AQ793" s="28"/>
      <c r="AR793" s="28"/>
      <c r="AS793" s="28"/>
      <c r="AT793" s="28"/>
      <c r="AU793" s="28"/>
      <c r="AV793" s="28"/>
      <c r="AW793" s="28"/>
      <c r="AX793" s="28"/>
      <c r="AY793" s="28"/>
      <c r="AZ793" s="28"/>
      <c r="BA793" s="28"/>
      <c r="BB793" s="28"/>
    </row>
    <row r="794" spans="1:54" ht="12.75" x14ac:dyDescent="0.2">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c r="AA794" s="28"/>
      <c r="AB794" s="28"/>
      <c r="AC794" s="28"/>
      <c r="AD794" s="28"/>
      <c r="AE794" s="28"/>
      <c r="AF794" s="28"/>
      <c r="AG794" s="28"/>
      <c r="AH794" s="28"/>
      <c r="AI794" s="28"/>
      <c r="AJ794" s="28"/>
      <c r="AK794" s="28"/>
      <c r="AL794" s="28"/>
      <c r="AM794" s="28"/>
      <c r="AN794" s="28"/>
      <c r="AO794" s="28"/>
      <c r="AP794" s="28"/>
      <c r="AQ794" s="28"/>
      <c r="AR794" s="28"/>
      <c r="AS794" s="28"/>
      <c r="AT794" s="28"/>
      <c r="AU794" s="28"/>
      <c r="AV794" s="28"/>
      <c r="AW794" s="28"/>
      <c r="AX794" s="28"/>
      <c r="AY794" s="28"/>
      <c r="AZ794" s="28"/>
      <c r="BA794" s="28"/>
      <c r="BB794" s="28"/>
    </row>
    <row r="795" spans="1:54" ht="12.75" x14ac:dyDescent="0.2">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c r="AA795" s="28"/>
      <c r="AB795" s="28"/>
      <c r="AC795" s="28"/>
      <c r="AD795" s="28"/>
      <c r="AE795" s="28"/>
      <c r="AF795" s="28"/>
      <c r="AG795" s="28"/>
      <c r="AH795" s="28"/>
      <c r="AI795" s="28"/>
      <c r="AJ795" s="28"/>
      <c r="AK795" s="28"/>
      <c r="AL795" s="28"/>
      <c r="AM795" s="28"/>
      <c r="AN795" s="28"/>
      <c r="AO795" s="28"/>
      <c r="AP795" s="28"/>
      <c r="AQ795" s="28"/>
      <c r="AR795" s="28"/>
      <c r="AS795" s="28"/>
      <c r="AT795" s="28"/>
      <c r="AU795" s="28"/>
      <c r="AV795" s="28"/>
      <c r="AW795" s="28"/>
      <c r="AX795" s="28"/>
      <c r="AY795" s="28"/>
      <c r="AZ795" s="28"/>
      <c r="BA795" s="28"/>
      <c r="BB795" s="28"/>
    </row>
    <row r="796" spans="1:54" ht="12.75" x14ac:dyDescent="0.2">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c r="AA796" s="28"/>
      <c r="AB796" s="28"/>
      <c r="AC796" s="28"/>
      <c r="AD796" s="28"/>
      <c r="AE796" s="28"/>
      <c r="AF796" s="28"/>
      <c r="AG796" s="28"/>
      <c r="AH796" s="28"/>
      <c r="AI796" s="28"/>
      <c r="AJ796" s="28"/>
      <c r="AK796" s="28"/>
      <c r="AL796" s="28"/>
      <c r="AM796" s="28"/>
      <c r="AN796" s="28"/>
      <c r="AO796" s="28"/>
      <c r="AP796" s="28"/>
      <c r="AQ796" s="28"/>
      <c r="AR796" s="28"/>
      <c r="AS796" s="28"/>
      <c r="AT796" s="28"/>
      <c r="AU796" s="28"/>
      <c r="AV796" s="28"/>
      <c r="AW796" s="28"/>
      <c r="AX796" s="28"/>
      <c r="AY796" s="28"/>
      <c r="AZ796" s="28"/>
      <c r="BA796" s="28"/>
      <c r="BB796" s="28"/>
    </row>
    <row r="797" spans="1:54" ht="12.75" x14ac:dyDescent="0.2">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c r="AA797" s="28"/>
      <c r="AB797" s="28"/>
      <c r="AC797" s="28"/>
      <c r="AD797" s="28"/>
      <c r="AE797" s="28"/>
      <c r="AF797" s="28"/>
      <c r="AG797" s="28"/>
      <c r="AH797" s="28"/>
      <c r="AI797" s="28"/>
      <c r="AJ797" s="28"/>
      <c r="AK797" s="28"/>
      <c r="AL797" s="28"/>
      <c r="AM797" s="28"/>
      <c r="AN797" s="28"/>
      <c r="AO797" s="28"/>
      <c r="AP797" s="28"/>
      <c r="AQ797" s="28"/>
      <c r="AR797" s="28"/>
      <c r="AS797" s="28"/>
      <c r="AT797" s="28"/>
      <c r="AU797" s="28"/>
      <c r="AV797" s="28"/>
      <c r="AW797" s="28"/>
      <c r="AX797" s="28"/>
      <c r="AY797" s="28"/>
      <c r="AZ797" s="28"/>
      <c r="BA797" s="28"/>
      <c r="BB797" s="28"/>
    </row>
    <row r="798" spans="1:54" ht="12.75" x14ac:dyDescent="0.2">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c r="AA798" s="28"/>
      <c r="AB798" s="28"/>
      <c r="AC798" s="28"/>
      <c r="AD798" s="28"/>
      <c r="AE798" s="28"/>
      <c r="AF798" s="28"/>
      <c r="AG798" s="28"/>
      <c r="AH798" s="28"/>
      <c r="AI798" s="28"/>
      <c r="AJ798" s="28"/>
      <c r="AK798" s="28"/>
      <c r="AL798" s="28"/>
      <c r="AM798" s="28"/>
      <c r="AN798" s="28"/>
      <c r="AO798" s="28"/>
      <c r="AP798" s="28"/>
      <c r="AQ798" s="28"/>
      <c r="AR798" s="28"/>
      <c r="AS798" s="28"/>
      <c r="AT798" s="28"/>
      <c r="AU798" s="28"/>
      <c r="AV798" s="28"/>
      <c r="AW798" s="28"/>
      <c r="AX798" s="28"/>
      <c r="AY798" s="28"/>
      <c r="AZ798" s="28"/>
      <c r="BA798" s="28"/>
      <c r="BB798" s="28"/>
    </row>
    <row r="799" spans="1:54" ht="12.75" x14ac:dyDescent="0.2">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c r="AA799" s="28"/>
      <c r="AB799" s="28"/>
      <c r="AC799" s="28"/>
      <c r="AD799" s="28"/>
      <c r="AE799" s="28"/>
      <c r="AF799" s="28"/>
      <c r="AG799" s="28"/>
      <c r="AH799" s="28"/>
      <c r="AI799" s="28"/>
      <c r="AJ799" s="28"/>
      <c r="AK799" s="28"/>
      <c r="AL799" s="28"/>
      <c r="AM799" s="28"/>
      <c r="AN799" s="28"/>
      <c r="AO799" s="28"/>
      <c r="AP799" s="28"/>
      <c r="AQ799" s="28"/>
      <c r="AR799" s="28"/>
      <c r="AS799" s="28"/>
      <c r="AT799" s="28"/>
      <c r="AU799" s="28"/>
      <c r="AV799" s="28"/>
      <c r="AW799" s="28"/>
      <c r="AX799" s="28"/>
      <c r="AY799" s="28"/>
      <c r="AZ799" s="28"/>
      <c r="BA799" s="28"/>
      <c r="BB799" s="28"/>
    </row>
    <row r="800" spans="1:54" ht="12.75" x14ac:dyDescent="0.2">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c r="AA800" s="28"/>
      <c r="AB800" s="28"/>
      <c r="AC800" s="28"/>
      <c r="AD800" s="28"/>
      <c r="AE800" s="28"/>
      <c r="AF800" s="28"/>
      <c r="AG800" s="28"/>
      <c r="AH800" s="28"/>
      <c r="AI800" s="28"/>
      <c r="AJ800" s="28"/>
      <c r="AK800" s="28"/>
      <c r="AL800" s="28"/>
      <c r="AM800" s="28"/>
      <c r="AN800" s="28"/>
      <c r="AO800" s="28"/>
      <c r="AP800" s="28"/>
      <c r="AQ800" s="28"/>
      <c r="AR800" s="28"/>
      <c r="AS800" s="28"/>
      <c r="AT800" s="28"/>
      <c r="AU800" s="28"/>
      <c r="AV800" s="28"/>
      <c r="AW800" s="28"/>
      <c r="AX800" s="28"/>
      <c r="AY800" s="28"/>
      <c r="AZ800" s="28"/>
      <c r="BA800" s="28"/>
      <c r="BB800" s="28"/>
    </row>
    <row r="801" spans="1:54" ht="12.75" x14ac:dyDescent="0.2">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c r="AA801" s="28"/>
      <c r="AB801" s="28"/>
      <c r="AC801" s="28"/>
      <c r="AD801" s="28"/>
      <c r="AE801" s="28"/>
      <c r="AF801" s="28"/>
      <c r="AG801" s="28"/>
      <c r="AH801" s="28"/>
      <c r="AI801" s="28"/>
      <c r="AJ801" s="28"/>
      <c r="AK801" s="28"/>
      <c r="AL801" s="28"/>
      <c r="AM801" s="28"/>
      <c r="AN801" s="28"/>
      <c r="AO801" s="28"/>
      <c r="AP801" s="28"/>
      <c r="AQ801" s="28"/>
      <c r="AR801" s="28"/>
      <c r="AS801" s="28"/>
      <c r="AT801" s="28"/>
      <c r="AU801" s="28"/>
      <c r="AV801" s="28"/>
      <c r="AW801" s="28"/>
      <c r="AX801" s="28"/>
      <c r="AY801" s="28"/>
      <c r="AZ801" s="28"/>
      <c r="BA801" s="28"/>
      <c r="BB801" s="28"/>
    </row>
    <row r="802" spans="1:54" ht="12.75" x14ac:dyDescent="0.2">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c r="AA802" s="28"/>
      <c r="AB802" s="28"/>
      <c r="AC802" s="28"/>
      <c r="AD802" s="28"/>
      <c r="AE802" s="28"/>
      <c r="AF802" s="28"/>
      <c r="AG802" s="28"/>
      <c r="AH802" s="28"/>
      <c r="AI802" s="28"/>
      <c r="AJ802" s="28"/>
      <c r="AK802" s="28"/>
      <c r="AL802" s="28"/>
      <c r="AM802" s="28"/>
      <c r="AN802" s="28"/>
      <c r="AO802" s="28"/>
      <c r="AP802" s="28"/>
      <c r="AQ802" s="28"/>
      <c r="AR802" s="28"/>
      <c r="AS802" s="28"/>
      <c r="AT802" s="28"/>
      <c r="AU802" s="28"/>
      <c r="AV802" s="28"/>
      <c r="AW802" s="28"/>
      <c r="AX802" s="28"/>
      <c r="AY802" s="28"/>
      <c r="AZ802" s="28"/>
      <c r="BA802" s="28"/>
      <c r="BB802" s="28"/>
    </row>
    <row r="803" spans="1:54" ht="12.75" x14ac:dyDescent="0.2">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c r="AA803" s="28"/>
      <c r="AB803" s="28"/>
      <c r="AC803" s="28"/>
      <c r="AD803" s="28"/>
      <c r="AE803" s="28"/>
      <c r="AF803" s="28"/>
      <c r="AG803" s="28"/>
      <c r="AH803" s="28"/>
      <c r="AI803" s="28"/>
      <c r="AJ803" s="28"/>
      <c r="AK803" s="28"/>
      <c r="AL803" s="28"/>
      <c r="AM803" s="28"/>
      <c r="AN803" s="28"/>
      <c r="AO803" s="28"/>
      <c r="AP803" s="28"/>
      <c r="AQ803" s="28"/>
      <c r="AR803" s="28"/>
      <c r="AS803" s="28"/>
      <c r="AT803" s="28"/>
      <c r="AU803" s="28"/>
      <c r="AV803" s="28"/>
      <c r="AW803" s="28"/>
      <c r="AX803" s="28"/>
      <c r="AY803" s="28"/>
      <c r="AZ803" s="28"/>
      <c r="BA803" s="28"/>
      <c r="BB803" s="28"/>
    </row>
    <row r="804" spans="1:54" ht="12.75" x14ac:dyDescent="0.2">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c r="AA804" s="28"/>
      <c r="AB804" s="28"/>
      <c r="AC804" s="28"/>
      <c r="AD804" s="28"/>
      <c r="AE804" s="28"/>
      <c r="AF804" s="28"/>
      <c r="AG804" s="28"/>
      <c r="AH804" s="28"/>
      <c r="AI804" s="28"/>
      <c r="AJ804" s="28"/>
      <c r="AK804" s="28"/>
      <c r="AL804" s="28"/>
      <c r="AM804" s="28"/>
      <c r="AN804" s="28"/>
      <c r="AO804" s="28"/>
      <c r="AP804" s="28"/>
      <c r="AQ804" s="28"/>
      <c r="AR804" s="28"/>
      <c r="AS804" s="28"/>
      <c r="AT804" s="28"/>
      <c r="AU804" s="28"/>
      <c r="AV804" s="28"/>
      <c r="AW804" s="28"/>
      <c r="AX804" s="28"/>
      <c r="AY804" s="28"/>
      <c r="AZ804" s="28"/>
      <c r="BA804" s="28"/>
      <c r="BB804" s="28"/>
    </row>
    <row r="805" spans="1:54" ht="12.75" x14ac:dyDescent="0.2">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8"/>
      <c r="AI805" s="28"/>
      <c r="AJ805" s="28"/>
      <c r="AK805" s="28"/>
      <c r="AL805" s="28"/>
      <c r="AM805" s="28"/>
      <c r="AN805" s="28"/>
      <c r="AO805" s="28"/>
      <c r="AP805" s="28"/>
      <c r="AQ805" s="28"/>
      <c r="AR805" s="28"/>
      <c r="AS805" s="28"/>
      <c r="AT805" s="28"/>
      <c r="AU805" s="28"/>
      <c r="AV805" s="28"/>
      <c r="AW805" s="28"/>
      <c r="AX805" s="28"/>
      <c r="AY805" s="28"/>
      <c r="AZ805" s="28"/>
      <c r="BA805" s="28"/>
      <c r="BB805" s="28"/>
    </row>
    <row r="806" spans="1:54" ht="12.75" x14ac:dyDescent="0.2">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c r="AA806" s="28"/>
      <c r="AB806" s="28"/>
      <c r="AC806" s="28"/>
      <c r="AD806" s="28"/>
      <c r="AE806" s="28"/>
      <c r="AF806" s="28"/>
      <c r="AG806" s="28"/>
      <c r="AH806" s="28"/>
      <c r="AI806" s="28"/>
      <c r="AJ806" s="28"/>
      <c r="AK806" s="28"/>
      <c r="AL806" s="28"/>
      <c r="AM806" s="28"/>
      <c r="AN806" s="28"/>
      <c r="AO806" s="28"/>
      <c r="AP806" s="28"/>
      <c r="AQ806" s="28"/>
      <c r="AR806" s="28"/>
      <c r="AS806" s="28"/>
      <c r="AT806" s="28"/>
      <c r="AU806" s="28"/>
      <c r="AV806" s="28"/>
      <c r="AW806" s="28"/>
      <c r="AX806" s="28"/>
      <c r="AY806" s="28"/>
      <c r="AZ806" s="28"/>
      <c r="BA806" s="28"/>
      <c r="BB806" s="28"/>
    </row>
    <row r="807" spans="1:54" ht="12.75" x14ac:dyDescent="0.2">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c r="AA807" s="28"/>
      <c r="AB807" s="28"/>
      <c r="AC807" s="28"/>
      <c r="AD807" s="28"/>
      <c r="AE807" s="28"/>
      <c r="AF807" s="28"/>
      <c r="AG807" s="28"/>
      <c r="AH807" s="28"/>
      <c r="AI807" s="28"/>
      <c r="AJ807" s="28"/>
      <c r="AK807" s="28"/>
      <c r="AL807" s="28"/>
      <c r="AM807" s="28"/>
      <c r="AN807" s="28"/>
      <c r="AO807" s="28"/>
      <c r="AP807" s="28"/>
      <c r="AQ807" s="28"/>
      <c r="AR807" s="28"/>
      <c r="AS807" s="28"/>
      <c r="AT807" s="28"/>
      <c r="AU807" s="28"/>
      <c r="AV807" s="28"/>
      <c r="AW807" s="28"/>
      <c r="AX807" s="28"/>
      <c r="AY807" s="28"/>
      <c r="AZ807" s="28"/>
      <c r="BA807" s="28"/>
      <c r="BB807" s="28"/>
    </row>
    <row r="808" spans="1:54" ht="12.75" x14ac:dyDescent="0.2">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c r="AA808" s="28"/>
      <c r="AB808" s="28"/>
      <c r="AC808" s="28"/>
      <c r="AD808" s="28"/>
      <c r="AE808" s="28"/>
      <c r="AF808" s="28"/>
      <c r="AG808" s="28"/>
      <c r="AH808" s="28"/>
      <c r="AI808" s="28"/>
      <c r="AJ808" s="28"/>
      <c r="AK808" s="28"/>
      <c r="AL808" s="28"/>
      <c r="AM808" s="28"/>
      <c r="AN808" s="28"/>
      <c r="AO808" s="28"/>
      <c r="AP808" s="28"/>
      <c r="AQ808" s="28"/>
      <c r="AR808" s="28"/>
      <c r="AS808" s="28"/>
      <c r="AT808" s="28"/>
      <c r="AU808" s="28"/>
      <c r="AV808" s="28"/>
      <c r="AW808" s="28"/>
      <c r="AX808" s="28"/>
      <c r="AY808" s="28"/>
      <c r="AZ808" s="28"/>
      <c r="BA808" s="28"/>
      <c r="BB808" s="28"/>
    </row>
    <row r="809" spans="1:54" ht="12.75" x14ac:dyDescent="0.2">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c r="AA809" s="28"/>
      <c r="AB809" s="28"/>
      <c r="AC809" s="28"/>
      <c r="AD809" s="28"/>
      <c r="AE809" s="28"/>
      <c r="AF809" s="28"/>
      <c r="AG809" s="28"/>
      <c r="AH809" s="28"/>
      <c r="AI809" s="28"/>
      <c r="AJ809" s="28"/>
      <c r="AK809" s="28"/>
      <c r="AL809" s="28"/>
      <c r="AM809" s="28"/>
      <c r="AN809" s="28"/>
      <c r="AO809" s="28"/>
      <c r="AP809" s="28"/>
      <c r="AQ809" s="28"/>
      <c r="AR809" s="28"/>
      <c r="AS809" s="28"/>
      <c r="AT809" s="28"/>
      <c r="AU809" s="28"/>
      <c r="AV809" s="28"/>
      <c r="AW809" s="28"/>
      <c r="AX809" s="28"/>
      <c r="AY809" s="28"/>
      <c r="AZ809" s="28"/>
      <c r="BA809" s="28"/>
      <c r="BB809" s="28"/>
    </row>
    <row r="810" spans="1:54" ht="12.75" x14ac:dyDescent="0.2">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c r="AA810" s="28"/>
      <c r="AB810" s="28"/>
      <c r="AC810" s="28"/>
      <c r="AD810" s="28"/>
      <c r="AE810" s="28"/>
      <c r="AF810" s="28"/>
      <c r="AG810" s="28"/>
      <c r="AH810" s="28"/>
      <c r="AI810" s="28"/>
      <c r="AJ810" s="28"/>
      <c r="AK810" s="28"/>
      <c r="AL810" s="28"/>
      <c r="AM810" s="28"/>
      <c r="AN810" s="28"/>
      <c r="AO810" s="28"/>
      <c r="AP810" s="28"/>
      <c r="AQ810" s="28"/>
      <c r="AR810" s="28"/>
      <c r="AS810" s="28"/>
      <c r="AT810" s="28"/>
      <c r="AU810" s="28"/>
      <c r="AV810" s="28"/>
      <c r="AW810" s="28"/>
      <c r="AX810" s="28"/>
      <c r="AY810" s="28"/>
      <c r="AZ810" s="28"/>
      <c r="BA810" s="28"/>
      <c r="BB810" s="28"/>
    </row>
    <row r="811" spans="1:54" ht="12.75" x14ac:dyDescent="0.2">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c r="AA811" s="28"/>
      <c r="AB811" s="28"/>
      <c r="AC811" s="28"/>
      <c r="AD811" s="28"/>
      <c r="AE811" s="28"/>
      <c r="AF811" s="28"/>
      <c r="AG811" s="28"/>
      <c r="AH811" s="28"/>
      <c r="AI811" s="28"/>
      <c r="AJ811" s="28"/>
      <c r="AK811" s="28"/>
      <c r="AL811" s="28"/>
      <c r="AM811" s="28"/>
      <c r="AN811" s="28"/>
      <c r="AO811" s="28"/>
      <c r="AP811" s="28"/>
      <c r="AQ811" s="28"/>
      <c r="AR811" s="28"/>
      <c r="AS811" s="28"/>
      <c r="AT811" s="28"/>
      <c r="AU811" s="28"/>
      <c r="AV811" s="28"/>
      <c r="AW811" s="28"/>
      <c r="AX811" s="28"/>
      <c r="AY811" s="28"/>
      <c r="AZ811" s="28"/>
      <c r="BA811" s="28"/>
      <c r="BB811" s="28"/>
    </row>
    <row r="812" spans="1:54" ht="12.75" x14ac:dyDescent="0.2">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c r="AA812" s="28"/>
      <c r="AB812" s="28"/>
      <c r="AC812" s="28"/>
      <c r="AD812" s="28"/>
      <c r="AE812" s="28"/>
      <c r="AF812" s="28"/>
      <c r="AG812" s="28"/>
      <c r="AH812" s="28"/>
      <c r="AI812" s="28"/>
      <c r="AJ812" s="28"/>
      <c r="AK812" s="28"/>
      <c r="AL812" s="28"/>
      <c r="AM812" s="28"/>
      <c r="AN812" s="28"/>
      <c r="AO812" s="28"/>
      <c r="AP812" s="28"/>
      <c r="AQ812" s="28"/>
      <c r="AR812" s="28"/>
      <c r="AS812" s="28"/>
      <c r="AT812" s="28"/>
      <c r="AU812" s="28"/>
      <c r="AV812" s="28"/>
      <c r="AW812" s="28"/>
      <c r="AX812" s="28"/>
      <c r="AY812" s="28"/>
      <c r="AZ812" s="28"/>
      <c r="BA812" s="28"/>
      <c r="BB812" s="28"/>
    </row>
    <row r="813" spans="1:54" ht="12.75" x14ac:dyDescent="0.2">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c r="AA813" s="28"/>
      <c r="AB813" s="28"/>
      <c r="AC813" s="28"/>
      <c r="AD813" s="28"/>
      <c r="AE813" s="28"/>
      <c r="AF813" s="28"/>
      <c r="AG813" s="28"/>
      <c r="AH813" s="28"/>
      <c r="AI813" s="28"/>
      <c r="AJ813" s="28"/>
      <c r="AK813" s="28"/>
      <c r="AL813" s="28"/>
      <c r="AM813" s="28"/>
      <c r="AN813" s="28"/>
      <c r="AO813" s="28"/>
      <c r="AP813" s="28"/>
      <c r="AQ813" s="28"/>
      <c r="AR813" s="28"/>
      <c r="AS813" s="28"/>
      <c r="AT813" s="28"/>
      <c r="AU813" s="28"/>
      <c r="AV813" s="28"/>
      <c r="AW813" s="28"/>
      <c r="AX813" s="28"/>
      <c r="AY813" s="28"/>
      <c r="AZ813" s="28"/>
      <c r="BA813" s="28"/>
      <c r="BB813" s="28"/>
    </row>
    <row r="814" spans="1:54" ht="12.75" x14ac:dyDescent="0.2">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c r="AA814" s="28"/>
      <c r="AB814" s="28"/>
      <c r="AC814" s="28"/>
      <c r="AD814" s="28"/>
      <c r="AE814" s="28"/>
      <c r="AF814" s="28"/>
      <c r="AG814" s="28"/>
      <c r="AH814" s="28"/>
      <c r="AI814" s="28"/>
      <c r="AJ814" s="28"/>
      <c r="AK814" s="28"/>
      <c r="AL814" s="28"/>
      <c r="AM814" s="28"/>
      <c r="AN814" s="28"/>
      <c r="AO814" s="28"/>
      <c r="AP814" s="28"/>
      <c r="AQ814" s="28"/>
      <c r="AR814" s="28"/>
      <c r="AS814" s="28"/>
      <c r="AT814" s="28"/>
      <c r="AU814" s="28"/>
      <c r="AV814" s="28"/>
      <c r="AW814" s="28"/>
      <c r="AX814" s="28"/>
      <c r="AY814" s="28"/>
      <c r="AZ814" s="28"/>
      <c r="BA814" s="28"/>
      <c r="BB814" s="28"/>
    </row>
    <row r="815" spans="1:54" ht="12.75" x14ac:dyDescent="0.2">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c r="AA815" s="28"/>
      <c r="AB815" s="28"/>
      <c r="AC815" s="28"/>
      <c r="AD815" s="28"/>
      <c r="AE815" s="28"/>
      <c r="AF815" s="28"/>
      <c r="AG815" s="28"/>
      <c r="AH815" s="28"/>
      <c r="AI815" s="28"/>
      <c r="AJ815" s="28"/>
      <c r="AK815" s="28"/>
      <c r="AL815" s="28"/>
      <c r="AM815" s="28"/>
      <c r="AN815" s="28"/>
      <c r="AO815" s="28"/>
      <c r="AP815" s="28"/>
      <c r="AQ815" s="28"/>
      <c r="AR815" s="28"/>
      <c r="AS815" s="28"/>
      <c r="AT815" s="28"/>
      <c r="AU815" s="28"/>
      <c r="AV815" s="28"/>
      <c r="AW815" s="28"/>
      <c r="AX815" s="28"/>
      <c r="AY815" s="28"/>
      <c r="AZ815" s="28"/>
      <c r="BA815" s="28"/>
      <c r="BB815" s="28"/>
    </row>
    <row r="816" spans="1:54" ht="12.75" x14ac:dyDescent="0.2">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c r="AA816" s="28"/>
      <c r="AB816" s="28"/>
      <c r="AC816" s="28"/>
      <c r="AD816" s="28"/>
      <c r="AE816" s="28"/>
      <c r="AF816" s="28"/>
      <c r="AG816" s="28"/>
      <c r="AH816" s="28"/>
      <c r="AI816" s="28"/>
      <c r="AJ816" s="28"/>
      <c r="AK816" s="28"/>
      <c r="AL816" s="28"/>
      <c r="AM816" s="28"/>
      <c r="AN816" s="28"/>
      <c r="AO816" s="28"/>
      <c r="AP816" s="28"/>
      <c r="AQ816" s="28"/>
      <c r="AR816" s="28"/>
      <c r="AS816" s="28"/>
      <c r="AT816" s="28"/>
      <c r="AU816" s="28"/>
      <c r="AV816" s="28"/>
      <c r="AW816" s="28"/>
      <c r="AX816" s="28"/>
      <c r="AY816" s="28"/>
      <c r="AZ816" s="28"/>
      <c r="BA816" s="28"/>
      <c r="BB816" s="28"/>
    </row>
    <row r="817" spans="1:54" ht="12.75" x14ac:dyDescent="0.2">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c r="AA817" s="28"/>
      <c r="AB817" s="28"/>
      <c r="AC817" s="28"/>
      <c r="AD817" s="28"/>
      <c r="AE817" s="28"/>
      <c r="AF817" s="28"/>
      <c r="AG817" s="28"/>
      <c r="AH817" s="28"/>
      <c r="AI817" s="28"/>
      <c r="AJ817" s="28"/>
      <c r="AK817" s="28"/>
      <c r="AL817" s="28"/>
      <c r="AM817" s="28"/>
      <c r="AN817" s="28"/>
      <c r="AO817" s="28"/>
      <c r="AP817" s="28"/>
      <c r="AQ817" s="28"/>
      <c r="AR817" s="28"/>
      <c r="AS817" s="28"/>
      <c r="AT817" s="28"/>
      <c r="AU817" s="28"/>
      <c r="AV817" s="28"/>
      <c r="AW817" s="28"/>
      <c r="AX817" s="28"/>
      <c r="AY817" s="28"/>
      <c r="AZ817" s="28"/>
      <c r="BA817" s="28"/>
      <c r="BB817" s="28"/>
    </row>
    <row r="818" spans="1:54" ht="12.75" x14ac:dyDescent="0.2">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c r="AA818" s="28"/>
      <c r="AB818" s="28"/>
      <c r="AC818" s="28"/>
      <c r="AD818" s="28"/>
      <c r="AE818" s="28"/>
      <c r="AF818" s="28"/>
      <c r="AG818" s="28"/>
      <c r="AH818" s="28"/>
      <c r="AI818" s="28"/>
      <c r="AJ818" s="28"/>
      <c r="AK818" s="28"/>
      <c r="AL818" s="28"/>
      <c r="AM818" s="28"/>
      <c r="AN818" s="28"/>
      <c r="AO818" s="28"/>
      <c r="AP818" s="28"/>
      <c r="AQ818" s="28"/>
      <c r="AR818" s="28"/>
      <c r="AS818" s="28"/>
      <c r="AT818" s="28"/>
      <c r="AU818" s="28"/>
      <c r="AV818" s="28"/>
      <c r="AW818" s="28"/>
      <c r="AX818" s="28"/>
      <c r="AY818" s="28"/>
      <c r="AZ818" s="28"/>
      <c r="BA818" s="28"/>
      <c r="BB818" s="28"/>
    </row>
    <row r="819" spans="1:54" ht="12.75" x14ac:dyDescent="0.2">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c r="AA819" s="28"/>
      <c r="AB819" s="28"/>
      <c r="AC819" s="28"/>
      <c r="AD819" s="28"/>
      <c r="AE819" s="28"/>
      <c r="AF819" s="28"/>
      <c r="AG819" s="28"/>
      <c r="AH819" s="28"/>
      <c r="AI819" s="28"/>
      <c r="AJ819" s="28"/>
      <c r="AK819" s="28"/>
      <c r="AL819" s="28"/>
      <c r="AM819" s="28"/>
      <c r="AN819" s="28"/>
      <c r="AO819" s="28"/>
      <c r="AP819" s="28"/>
      <c r="AQ819" s="28"/>
      <c r="AR819" s="28"/>
      <c r="AS819" s="28"/>
      <c r="AT819" s="28"/>
      <c r="AU819" s="28"/>
      <c r="AV819" s="28"/>
      <c r="AW819" s="28"/>
      <c r="AX819" s="28"/>
      <c r="AY819" s="28"/>
      <c r="AZ819" s="28"/>
      <c r="BA819" s="28"/>
      <c r="BB819" s="28"/>
    </row>
    <row r="820" spans="1:54" ht="12.75" x14ac:dyDescent="0.2">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c r="AA820" s="28"/>
      <c r="AB820" s="28"/>
      <c r="AC820" s="28"/>
      <c r="AD820" s="28"/>
      <c r="AE820" s="28"/>
      <c r="AF820" s="28"/>
      <c r="AG820" s="28"/>
      <c r="AH820" s="28"/>
      <c r="AI820" s="28"/>
      <c r="AJ820" s="28"/>
      <c r="AK820" s="28"/>
      <c r="AL820" s="28"/>
      <c r="AM820" s="28"/>
      <c r="AN820" s="28"/>
      <c r="AO820" s="28"/>
      <c r="AP820" s="28"/>
      <c r="AQ820" s="28"/>
      <c r="AR820" s="28"/>
      <c r="AS820" s="28"/>
      <c r="AT820" s="28"/>
      <c r="AU820" s="28"/>
      <c r="AV820" s="28"/>
      <c r="AW820" s="28"/>
      <c r="AX820" s="28"/>
      <c r="AY820" s="28"/>
      <c r="AZ820" s="28"/>
      <c r="BA820" s="28"/>
      <c r="BB820" s="28"/>
    </row>
    <row r="821" spans="1:54" ht="12.75" x14ac:dyDescent="0.2">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c r="AA821" s="28"/>
      <c r="AB821" s="28"/>
      <c r="AC821" s="28"/>
      <c r="AD821" s="28"/>
      <c r="AE821" s="28"/>
      <c r="AF821" s="28"/>
      <c r="AG821" s="28"/>
      <c r="AH821" s="28"/>
      <c r="AI821" s="28"/>
      <c r="AJ821" s="28"/>
      <c r="AK821" s="28"/>
      <c r="AL821" s="28"/>
      <c r="AM821" s="28"/>
      <c r="AN821" s="28"/>
      <c r="AO821" s="28"/>
      <c r="AP821" s="28"/>
      <c r="AQ821" s="28"/>
      <c r="AR821" s="28"/>
      <c r="AS821" s="28"/>
      <c r="AT821" s="28"/>
      <c r="AU821" s="28"/>
      <c r="AV821" s="28"/>
      <c r="AW821" s="28"/>
      <c r="AX821" s="28"/>
      <c r="AY821" s="28"/>
      <c r="AZ821" s="28"/>
      <c r="BA821" s="28"/>
      <c r="BB821" s="28"/>
    </row>
    <row r="822" spans="1:54" ht="12.75" x14ac:dyDescent="0.2">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c r="AA822" s="28"/>
      <c r="AB822" s="28"/>
      <c r="AC822" s="28"/>
      <c r="AD822" s="28"/>
      <c r="AE822" s="28"/>
      <c r="AF822" s="28"/>
      <c r="AG822" s="28"/>
      <c r="AH822" s="28"/>
      <c r="AI822" s="28"/>
      <c r="AJ822" s="28"/>
      <c r="AK822" s="28"/>
      <c r="AL822" s="28"/>
      <c r="AM822" s="28"/>
      <c r="AN822" s="28"/>
      <c r="AO822" s="28"/>
      <c r="AP822" s="28"/>
      <c r="AQ822" s="28"/>
      <c r="AR822" s="28"/>
      <c r="AS822" s="28"/>
      <c r="AT822" s="28"/>
      <c r="AU822" s="28"/>
      <c r="AV822" s="28"/>
      <c r="AW822" s="28"/>
      <c r="AX822" s="28"/>
      <c r="AY822" s="28"/>
      <c r="AZ822" s="28"/>
      <c r="BA822" s="28"/>
      <c r="BB822" s="28"/>
    </row>
    <row r="823" spans="1:54" ht="12.75" x14ac:dyDescent="0.2">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c r="AA823" s="28"/>
      <c r="AB823" s="28"/>
      <c r="AC823" s="28"/>
      <c r="AD823" s="28"/>
      <c r="AE823" s="28"/>
      <c r="AF823" s="28"/>
      <c r="AG823" s="28"/>
      <c r="AH823" s="28"/>
      <c r="AI823" s="28"/>
      <c r="AJ823" s="28"/>
      <c r="AK823" s="28"/>
      <c r="AL823" s="28"/>
      <c r="AM823" s="28"/>
      <c r="AN823" s="28"/>
      <c r="AO823" s="28"/>
      <c r="AP823" s="28"/>
      <c r="AQ823" s="28"/>
      <c r="AR823" s="28"/>
      <c r="AS823" s="28"/>
      <c r="AT823" s="28"/>
      <c r="AU823" s="28"/>
      <c r="AV823" s="28"/>
      <c r="AW823" s="28"/>
      <c r="AX823" s="28"/>
      <c r="AY823" s="28"/>
      <c r="AZ823" s="28"/>
      <c r="BA823" s="28"/>
      <c r="BB823" s="28"/>
    </row>
    <row r="824" spans="1:54" ht="12.75" x14ac:dyDescent="0.2">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c r="AA824" s="28"/>
      <c r="AB824" s="28"/>
      <c r="AC824" s="28"/>
      <c r="AD824" s="28"/>
      <c r="AE824" s="28"/>
      <c r="AF824" s="28"/>
      <c r="AG824" s="28"/>
      <c r="AH824" s="28"/>
      <c r="AI824" s="28"/>
      <c r="AJ824" s="28"/>
      <c r="AK824" s="28"/>
      <c r="AL824" s="28"/>
      <c r="AM824" s="28"/>
      <c r="AN824" s="28"/>
      <c r="AO824" s="28"/>
      <c r="AP824" s="28"/>
      <c r="AQ824" s="28"/>
      <c r="AR824" s="28"/>
      <c r="AS824" s="28"/>
      <c r="AT824" s="28"/>
      <c r="AU824" s="28"/>
      <c r="AV824" s="28"/>
      <c r="AW824" s="28"/>
      <c r="AX824" s="28"/>
      <c r="AY824" s="28"/>
      <c r="AZ824" s="28"/>
      <c r="BA824" s="28"/>
      <c r="BB824" s="28"/>
    </row>
    <row r="825" spans="1:54" ht="12.75" x14ac:dyDescent="0.2">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c r="AA825" s="28"/>
      <c r="AB825" s="28"/>
      <c r="AC825" s="28"/>
      <c r="AD825" s="28"/>
      <c r="AE825" s="28"/>
      <c r="AF825" s="28"/>
      <c r="AG825" s="28"/>
      <c r="AH825" s="28"/>
      <c r="AI825" s="28"/>
      <c r="AJ825" s="28"/>
      <c r="AK825" s="28"/>
      <c r="AL825" s="28"/>
      <c r="AM825" s="28"/>
      <c r="AN825" s="28"/>
      <c r="AO825" s="28"/>
      <c r="AP825" s="28"/>
      <c r="AQ825" s="28"/>
      <c r="AR825" s="28"/>
      <c r="AS825" s="28"/>
      <c r="AT825" s="28"/>
      <c r="AU825" s="28"/>
      <c r="AV825" s="28"/>
      <c r="AW825" s="28"/>
      <c r="AX825" s="28"/>
      <c r="AY825" s="28"/>
      <c r="AZ825" s="28"/>
      <c r="BA825" s="28"/>
      <c r="BB825" s="28"/>
    </row>
    <row r="826" spans="1:54" ht="12.75" x14ac:dyDescent="0.2">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c r="AA826" s="28"/>
      <c r="AB826" s="28"/>
      <c r="AC826" s="28"/>
      <c r="AD826" s="28"/>
      <c r="AE826" s="28"/>
      <c r="AF826" s="28"/>
      <c r="AG826" s="28"/>
      <c r="AH826" s="28"/>
      <c r="AI826" s="28"/>
      <c r="AJ826" s="28"/>
      <c r="AK826" s="28"/>
      <c r="AL826" s="28"/>
      <c r="AM826" s="28"/>
      <c r="AN826" s="28"/>
      <c r="AO826" s="28"/>
      <c r="AP826" s="28"/>
      <c r="AQ826" s="28"/>
      <c r="AR826" s="28"/>
      <c r="AS826" s="28"/>
      <c r="AT826" s="28"/>
      <c r="AU826" s="28"/>
      <c r="AV826" s="28"/>
      <c r="AW826" s="28"/>
      <c r="AX826" s="28"/>
      <c r="AY826" s="28"/>
      <c r="AZ826" s="28"/>
      <c r="BA826" s="28"/>
      <c r="BB826" s="28"/>
    </row>
    <row r="827" spans="1:54" ht="12.75" x14ac:dyDescent="0.2">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c r="AA827" s="28"/>
      <c r="AB827" s="28"/>
      <c r="AC827" s="28"/>
      <c r="AD827" s="28"/>
      <c r="AE827" s="28"/>
      <c r="AF827" s="28"/>
      <c r="AG827" s="28"/>
      <c r="AH827" s="28"/>
      <c r="AI827" s="28"/>
      <c r="AJ827" s="28"/>
      <c r="AK827" s="28"/>
      <c r="AL827" s="28"/>
      <c r="AM827" s="28"/>
      <c r="AN827" s="28"/>
      <c r="AO827" s="28"/>
      <c r="AP827" s="28"/>
      <c r="AQ827" s="28"/>
      <c r="AR827" s="28"/>
      <c r="AS827" s="28"/>
      <c r="AT827" s="28"/>
      <c r="AU827" s="28"/>
      <c r="AV827" s="28"/>
      <c r="AW827" s="28"/>
      <c r="AX827" s="28"/>
      <c r="AY827" s="28"/>
      <c r="AZ827" s="28"/>
      <c r="BA827" s="28"/>
      <c r="BB827" s="28"/>
    </row>
    <row r="828" spans="1:54" ht="12.75" x14ac:dyDescent="0.2">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c r="AA828" s="28"/>
      <c r="AB828" s="28"/>
      <c r="AC828" s="28"/>
      <c r="AD828" s="28"/>
      <c r="AE828" s="28"/>
      <c r="AF828" s="28"/>
      <c r="AG828" s="28"/>
      <c r="AH828" s="28"/>
      <c r="AI828" s="28"/>
      <c r="AJ828" s="28"/>
      <c r="AK828" s="28"/>
      <c r="AL828" s="28"/>
      <c r="AM828" s="28"/>
      <c r="AN828" s="28"/>
      <c r="AO828" s="28"/>
      <c r="AP828" s="28"/>
      <c r="AQ828" s="28"/>
      <c r="AR828" s="28"/>
      <c r="AS828" s="28"/>
      <c r="AT828" s="28"/>
      <c r="AU828" s="28"/>
      <c r="AV828" s="28"/>
      <c r="AW828" s="28"/>
      <c r="AX828" s="28"/>
      <c r="AY828" s="28"/>
      <c r="AZ828" s="28"/>
      <c r="BA828" s="28"/>
      <c r="BB828" s="28"/>
    </row>
    <row r="829" spans="1:54" ht="12.75" x14ac:dyDescent="0.2">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c r="AA829" s="28"/>
      <c r="AB829" s="28"/>
      <c r="AC829" s="28"/>
      <c r="AD829" s="28"/>
      <c r="AE829" s="28"/>
      <c r="AF829" s="28"/>
      <c r="AG829" s="28"/>
      <c r="AH829" s="28"/>
      <c r="AI829" s="28"/>
      <c r="AJ829" s="28"/>
      <c r="AK829" s="28"/>
      <c r="AL829" s="28"/>
      <c r="AM829" s="28"/>
      <c r="AN829" s="28"/>
      <c r="AO829" s="28"/>
      <c r="AP829" s="28"/>
      <c r="AQ829" s="28"/>
      <c r="AR829" s="28"/>
      <c r="AS829" s="28"/>
      <c r="AT829" s="28"/>
      <c r="AU829" s="28"/>
      <c r="AV829" s="28"/>
      <c r="AW829" s="28"/>
      <c r="AX829" s="28"/>
      <c r="AY829" s="28"/>
      <c r="AZ829" s="28"/>
      <c r="BA829" s="28"/>
      <c r="BB829" s="28"/>
    </row>
    <row r="830" spans="1:54" ht="12.75" x14ac:dyDescent="0.2">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c r="AA830" s="28"/>
      <c r="AB830" s="28"/>
      <c r="AC830" s="28"/>
      <c r="AD830" s="28"/>
      <c r="AE830" s="28"/>
      <c r="AF830" s="28"/>
      <c r="AG830" s="28"/>
      <c r="AH830" s="28"/>
      <c r="AI830" s="28"/>
      <c r="AJ830" s="28"/>
      <c r="AK830" s="28"/>
      <c r="AL830" s="28"/>
      <c r="AM830" s="28"/>
      <c r="AN830" s="28"/>
      <c r="AO830" s="28"/>
      <c r="AP830" s="28"/>
      <c r="AQ830" s="28"/>
      <c r="AR830" s="28"/>
      <c r="AS830" s="28"/>
      <c r="AT830" s="28"/>
      <c r="AU830" s="28"/>
      <c r="AV830" s="28"/>
      <c r="AW830" s="28"/>
      <c r="AX830" s="28"/>
      <c r="AY830" s="28"/>
      <c r="AZ830" s="28"/>
      <c r="BA830" s="28"/>
      <c r="BB830" s="28"/>
    </row>
    <row r="831" spans="1:54" ht="12.75" x14ac:dyDescent="0.2">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c r="AA831" s="28"/>
      <c r="AB831" s="28"/>
      <c r="AC831" s="28"/>
      <c r="AD831" s="28"/>
      <c r="AE831" s="28"/>
      <c r="AF831" s="28"/>
      <c r="AG831" s="28"/>
      <c r="AH831" s="28"/>
      <c r="AI831" s="28"/>
      <c r="AJ831" s="28"/>
      <c r="AK831" s="28"/>
      <c r="AL831" s="28"/>
      <c r="AM831" s="28"/>
      <c r="AN831" s="28"/>
      <c r="AO831" s="28"/>
      <c r="AP831" s="28"/>
      <c r="AQ831" s="28"/>
      <c r="AR831" s="28"/>
      <c r="AS831" s="28"/>
      <c r="AT831" s="28"/>
      <c r="AU831" s="28"/>
      <c r="AV831" s="28"/>
      <c r="AW831" s="28"/>
      <c r="AX831" s="28"/>
      <c r="AY831" s="28"/>
      <c r="AZ831" s="28"/>
      <c r="BA831" s="28"/>
      <c r="BB831" s="28"/>
    </row>
    <row r="832" spans="1:54" ht="12.75" x14ac:dyDescent="0.2">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c r="AA832" s="28"/>
      <c r="AB832" s="28"/>
      <c r="AC832" s="28"/>
      <c r="AD832" s="28"/>
      <c r="AE832" s="28"/>
      <c r="AF832" s="28"/>
      <c r="AG832" s="28"/>
      <c r="AH832" s="28"/>
      <c r="AI832" s="28"/>
      <c r="AJ832" s="28"/>
      <c r="AK832" s="28"/>
      <c r="AL832" s="28"/>
      <c r="AM832" s="28"/>
      <c r="AN832" s="28"/>
      <c r="AO832" s="28"/>
      <c r="AP832" s="28"/>
      <c r="AQ832" s="28"/>
      <c r="AR832" s="28"/>
      <c r="AS832" s="28"/>
      <c r="AT832" s="28"/>
      <c r="AU832" s="28"/>
      <c r="AV832" s="28"/>
      <c r="AW832" s="28"/>
      <c r="AX832" s="28"/>
      <c r="AY832" s="28"/>
      <c r="AZ832" s="28"/>
      <c r="BA832" s="28"/>
      <c r="BB832" s="28"/>
    </row>
    <row r="833" spans="1:54" ht="12.75" x14ac:dyDescent="0.2">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c r="AA833" s="28"/>
      <c r="AB833" s="28"/>
      <c r="AC833" s="28"/>
      <c r="AD833" s="28"/>
      <c r="AE833" s="28"/>
      <c r="AF833" s="28"/>
      <c r="AG833" s="28"/>
      <c r="AH833" s="28"/>
      <c r="AI833" s="28"/>
      <c r="AJ833" s="28"/>
      <c r="AK833" s="28"/>
      <c r="AL833" s="28"/>
      <c r="AM833" s="28"/>
      <c r="AN833" s="28"/>
      <c r="AO833" s="28"/>
      <c r="AP833" s="28"/>
      <c r="AQ833" s="28"/>
      <c r="AR833" s="28"/>
      <c r="AS833" s="28"/>
      <c r="AT833" s="28"/>
      <c r="AU833" s="28"/>
      <c r="AV833" s="28"/>
      <c r="AW833" s="28"/>
      <c r="AX833" s="28"/>
      <c r="AY833" s="28"/>
      <c r="AZ833" s="28"/>
      <c r="BA833" s="28"/>
      <c r="BB833" s="28"/>
    </row>
    <row r="834" spans="1:54" ht="12.75" x14ac:dyDescent="0.2">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c r="AA834" s="28"/>
      <c r="AB834" s="28"/>
      <c r="AC834" s="28"/>
      <c r="AD834" s="28"/>
      <c r="AE834" s="28"/>
      <c r="AF834" s="28"/>
      <c r="AG834" s="28"/>
      <c r="AH834" s="28"/>
      <c r="AI834" s="28"/>
      <c r="AJ834" s="28"/>
      <c r="AK834" s="28"/>
      <c r="AL834" s="28"/>
      <c r="AM834" s="28"/>
      <c r="AN834" s="28"/>
      <c r="AO834" s="28"/>
      <c r="AP834" s="28"/>
      <c r="AQ834" s="28"/>
      <c r="AR834" s="28"/>
      <c r="AS834" s="28"/>
      <c r="AT834" s="28"/>
      <c r="AU834" s="28"/>
      <c r="AV834" s="28"/>
      <c r="AW834" s="28"/>
      <c r="AX834" s="28"/>
      <c r="AY834" s="28"/>
      <c r="AZ834" s="28"/>
      <c r="BA834" s="28"/>
      <c r="BB834" s="28"/>
    </row>
    <row r="835" spans="1:54" ht="12.75" x14ac:dyDescent="0.2">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c r="AA835" s="28"/>
      <c r="AB835" s="28"/>
      <c r="AC835" s="28"/>
      <c r="AD835" s="28"/>
      <c r="AE835" s="28"/>
      <c r="AF835" s="28"/>
      <c r="AG835" s="28"/>
      <c r="AH835" s="28"/>
      <c r="AI835" s="28"/>
      <c r="AJ835" s="28"/>
      <c r="AK835" s="28"/>
      <c r="AL835" s="28"/>
      <c r="AM835" s="28"/>
      <c r="AN835" s="28"/>
      <c r="AO835" s="28"/>
      <c r="AP835" s="28"/>
      <c r="AQ835" s="28"/>
      <c r="AR835" s="28"/>
      <c r="AS835" s="28"/>
      <c r="AT835" s="28"/>
      <c r="AU835" s="28"/>
      <c r="AV835" s="28"/>
      <c r="AW835" s="28"/>
      <c r="AX835" s="28"/>
      <c r="AY835" s="28"/>
      <c r="AZ835" s="28"/>
      <c r="BA835" s="28"/>
      <c r="BB835" s="28"/>
    </row>
    <row r="836" spans="1:54" ht="12.75" x14ac:dyDescent="0.2">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c r="AA836" s="28"/>
      <c r="AB836" s="28"/>
      <c r="AC836" s="28"/>
      <c r="AD836" s="28"/>
      <c r="AE836" s="28"/>
      <c r="AF836" s="28"/>
      <c r="AG836" s="28"/>
      <c r="AH836" s="28"/>
      <c r="AI836" s="28"/>
      <c r="AJ836" s="28"/>
      <c r="AK836" s="28"/>
      <c r="AL836" s="28"/>
      <c r="AM836" s="28"/>
      <c r="AN836" s="28"/>
      <c r="AO836" s="28"/>
      <c r="AP836" s="28"/>
      <c r="AQ836" s="28"/>
      <c r="AR836" s="28"/>
      <c r="AS836" s="28"/>
      <c r="AT836" s="28"/>
      <c r="AU836" s="28"/>
      <c r="AV836" s="28"/>
      <c r="AW836" s="28"/>
      <c r="AX836" s="28"/>
      <c r="AY836" s="28"/>
      <c r="AZ836" s="28"/>
      <c r="BA836" s="28"/>
      <c r="BB836" s="28"/>
    </row>
    <row r="837" spans="1:54" ht="12.75" x14ac:dyDescent="0.2">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c r="AA837" s="28"/>
      <c r="AB837" s="28"/>
      <c r="AC837" s="28"/>
      <c r="AD837" s="28"/>
      <c r="AE837" s="28"/>
      <c r="AF837" s="28"/>
      <c r="AG837" s="28"/>
      <c r="AH837" s="28"/>
      <c r="AI837" s="28"/>
      <c r="AJ837" s="28"/>
      <c r="AK837" s="28"/>
      <c r="AL837" s="28"/>
      <c r="AM837" s="28"/>
      <c r="AN837" s="28"/>
      <c r="AO837" s="28"/>
      <c r="AP837" s="28"/>
      <c r="AQ837" s="28"/>
      <c r="AR837" s="28"/>
      <c r="AS837" s="28"/>
      <c r="AT837" s="28"/>
      <c r="AU837" s="28"/>
      <c r="AV837" s="28"/>
      <c r="AW837" s="28"/>
      <c r="AX837" s="28"/>
      <c r="AY837" s="28"/>
      <c r="AZ837" s="28"/>
      <c r="BA837" s="28"/>
      <c r="BB837" s="28"/>
    </row>
    <row r="838" spans="1:54" ht="12.75" x14ac:dyDescent="0.2">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c r="AA838" s="28"/>
      <c r="AB838" s="28"/>
      <c r="AC838" s="28"/>
      <c r="AD838" s="28"/>
      <c r="AE838" s="28"/>
      <c r="AF838" s="28"/>
      <c r="AG838" s="28"/>
      <c r="AH838" s="28"/>
      <c r="AI838" s="28"/>
      <c r="AJ838" s="28"/>
      <c r="AK838" s="28"/>
      <c r="AL838" s="28"/>
      <c r="AM838" s="28"/>
      <c r="AN838" s="28"/>
      <c r="AO838" s="28"/>
      <c r="AP838" s="28"/>
      <c r="AQ838" s="28"/>
      <c r="AR838" s="28"/>
      <c r="AS838" s="28"/>
      <c r="AT838" s="28"/>
      <c r="AU838" s="28"/>
      <c r="AV838" s="28"/>
      <c r="AW838" s="28"/>
      <c r="AX838" s="28"/>
      <c r="AY838" s="28"/>
      <c r="AZ838" s="28"/>
      <c r="BA838" s="28"/>
      <c r="BB838" s="28"/>
    </row>
    <row r="839" spans="1:54" ht="12.75" x14ac:dyDescent="0.2">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c r="AA839" s="28"/>
      <c r="AB839" s="28"/>
      <c r="AC839" s="28"/>
      <c r="AD839" s="28"/>
      <c r="AE839" s="28"/>
      <c r="AF839" s="28"/>
      <c r="AG839" s="28"/>
      <c r="AH839" s="28"/>
      <c r="AI839" s="28"/>
      <c r="AJ839" s="28"/>
      <c r="AK839" s="28"/>
      <c r="AL839" s="28"/>
      <c r="AM839" s="28"/>
      <c r="AN839" s="28"/>
      <c r="AO839" s="28"/>
      <c r="AP839" s="28"/>
      <c r="AQ839" s="28"/>
      <c r="AR839" s="28"/>
      <c r="AS839" s="28"/>
      <c r="AT839" s="28"/>
      <c r="AU839" s="28"/>
      <c r="AV839" s="28"/>
      <c r="AW839" s="28"/>
      <c r="AX839" s="28"/>
      <c r="AY839" s="28"/>
      <c r="AZ839" s="28"/>
      <c r="BA839" s="28"/>
      <c r="BB839" s="28"/>
    </row>
    <row r="840" spans="1:54" ht="12.75" x14ac:dyDescent="0.2">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c r="AA840" s="28"/>
      <c r="AB840" s="28"/>
      <c r="AC840" s="28"/>
      <c r="AD840" s="28"/>
      <c r="AE840" s="28"/>
      <c r="AF840" s="28"/>
      <c r="AG840" s="28"/>
      <c r="AH840" s="28"/>
      <c r="AI840" s="28"/>
      <c r="AJ840" s="28"/>
      <c r="AK840" s="28"/>
      <c r="AL840" s="28"/>
      <c r="AM840" s="28"/>
      <c r="AN840" s="28"/>
      <c r="AO840" s="28"/>
      <c r="AP840" s="28"/>
      <c r="AQ840" s="28"/>
      <c r="AR840" s="28"/>
      <c r="AS840" s="28"/>
      <c r="AT840" s="28"/>
      <c r="AU840" s="28"/>
      <c r="AV840" s="28"/>
      <c r="AW840" s="28"/>
      <c r="AX840" s="28"/>
      <c r="AY840" s="28"/>
      <c r="AZ840" s="28"/>
      <c r="BA840" s="28"/>
      <c r="BB840" s="28"/>
    </row>
    <row r="841" spans="1:54" ht="12.75" x14ac:dyDescent="0.2">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c r="AA841" s="28"/>
      <c r="AB841" s="28"/>
      <c r="AC841" s="28"/>
      <c r="AD841" s="28"/>
      <c r="AE841" s="28"/>
      <c r="AF841" s="28"/>
      <c r="AG841" s="28"/>
      <c r="AH841" s="28"/>
      <c r="AI841" s="28"/>
      <c r="AJ841" s="28"/>
      <c r="AK841" s="28"/>
      <c r="AL841" s="28"/>
      <c r="AM841" s="28"/>
      <c r="AN841" s="28"/>
      <c r="AO841" s="28"/>
      <c r="AP841" s="28"/>
      <c r="AQ841" s="28"/>
      <c r="AR841" s="28"/>
      <c r="AS841" s="28"/>
      <c r="AT841" s="28"/>
      <c r="AU841" s="28"/>
      <c r="AV841" s="28"/>
      <c r="AW841" s="28"/>
      <c r="AX841" s="28"/>
      <c r="AY841" s="28"/>
      <c r="AZ841" s="28"/>
      <c r="BA841" s="28"/>
      <c r="BB841" s="28"/>
    </row>
    <row r="842" spans="1:54" ht="12.75" x14ac:dyDescent="0.2">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c r="AA842" s="28"/>
      <c r="AB842" s="28"/>
      <c r="AC842" s="28"/>
      <c r="AD842" s="28"/>
      <c r="AE842" s="28"/>
      <c r="AF842" s="28"/>
      <c r="AG842" s="28"/>
      <c r="AH842" s="28"/>
      <c r="AI842" s="28"/>
      <c r="AJ842" s="28"/>
      <c r="AK842" s="28"/>
      <c r="AL842" s="28"/>
      <c r="AM842" s="28"/>
      <c r="AN842" s="28"/>
      <c r="AO842" s="28"/>
      <c r="AP842" s="28"/>
      <c r="AQ842" s="28"/>
      <c r="AR842" s="28"/>
      <c r="AS842" s="28"/>
      <c r="AT842" s="28"/>
      <c r="AU842" s="28"/>
      <c r="AV842" s="28"/>
      <c r="AW842" s="28"/>
      <c r="AX842" s="28"/>
      <c r="AY842" s="28"/>
      <c r="AZ842" s="28"/>
      <c r="BA842" s="28"/>
      <c r="BB842" s="28"/>
    </row>
    <row r="843" spans="1:54" ht="12.75" x14ac:dyDescent="0.2">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c r="AA843" s="28"/>
      <c r="AB843" s="28"/>
      <c r="AC843" s="28"/>
      <c r="AD843" s="28"/>
      <c r="AE843" s="28"/>
      <c r="AF843" s="28"/>
      <c r="AG843" s="28"/>
      <c r="AH843" s="28"/>
      <c r="AI843" s="28"/>
      <c r="AJ843" s="28"/>
      <c r="AK843" s="28"/>
      <c r="AL843" s="28"/>
      <c r="AM843" s="28"/>
      <c r="AN843" s="28"/>
      <c r="AO843" s="28"/>
      <c r="AP843" s="28"/>
      <c r="AQ843" s="28"/>
      <c r="AR843" s="28"/>
      <c r="AS843" s="28"/>
      <c r="AT843" s="28"/>
      <c r="AU843" s="28"/>
      <c r="AV843" s="28"/>
      <c r="AW843" s="28"/>
      <c r="AX843" s="28"/>
      <c r="AY843" s="28"/>
      <c r="AZ843" s="28"/>
      <c r="BA843" s="28"/>
      <c r="BB843" s="28"/>
    </row>
    <row r="844" spans="1:54" ht="12.75" x14ac:dyDescent="0.2">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c r="AA844" s="28"/>
      <c r="AB844" s="28"/>
      <c r="AC844" s="28"/>
      <c r="AD844" s="28"/>
      <c r="AE844" s="28"/>
      <c r="AF844" s="28"/>
      <c r="AG844" s="28"/>
      <c r="AH844" s="28"/>
      <c r="AI844" s="28"/>
      <c r="AJ844" s="28"/>
      <c r="AK844" s="28"/>
      <c r="AL844" s="28"/>
      <c r="AM844" s="28"/>
      <c r="AN844" s="28"/>
      <c r="AO844" s="28"/>
      <c r="AP844" s="28"/>
      <c r="AQ844" s="28"/>
      <c r="AR844" s="28"/>
      <c r="AS844" s="28"/>
      <c r="AT844" s="28"/>
      <c r="AU844" s="28"/>
      <c r="AV844" s="28"/>
      <c r="AW844" s="28"/>
      <c r="AX844" s="28"/>
      <c r="AY844" s="28"/>
      <c r="AZ844" s="28"/>
      <c r="BA844" s="28"/>
      <c r="BB844" s="28"/>
    </row>
    <row r="845" spans="1:54" ht="12.75" x14ac:dyDescent="0.2">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c r="AA845" s="28"/>
      <c r="AB845" s="28"/>
      <c r="AC845" s="28"/>
      <c r="AD845" s="28"/>
      <c r="AE845" s="28"/>
      <c r="AF845" s="28"/>
      <c r="AG845" s="28"/>
      <c r="AH845" s="28"/>
      <c r="AI845" s="28"/>
      <c r="AJ845" s="28"/>
      <c r="AK845" s="28"/>
      <c r="AL845" s="28"/>
      <c r="AM845" s="28"/>
      <c r="AN845" s="28"/>
      <c r="AO845" s="28"/>
      <c r="AP845" s="28"/>
      <c r="AQ845" s="28"/>
      <c r="AR845" s="28"/>
      <c r="AS845" s="28"/>
      <c r="AT845" s="28"/>
      <c r="AU845" s="28"/>
      <c r="AV845" s="28"/>
      <c r="AW845" s="28"/>
      <c r="AX845" s="28"/>
      <c r="AY845" s="28"/>
      <c r="AZ845" s="28"/>
      <c r="BA845" s="28"/>
      <c r="BB845" s="28"/>
    </row>
    <row r="846" spans="1:54" ht="12.75" x14ac:dyDescent="0.2">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c r="AA846" s="28"/>
      <c r="AB846" s="28"/>
      <c r="AC846" s="28"/>
      <c r="AD846" s="28"/>
      <c r="AE846" s="28"/>
      <c r="AF846" s="28"/>
      <c r="AG846" s="28"/>
      <c r="AH846" s="28"/>
      <c r="AI846" s="28"/>
      <c r="AJ846" s="28"/>
      <c r="AK846" s="28"/>
      <c r="AL846" s="28"/>
      <c r="AM846" s="28"/>
      <c r="AN846" s="28"/>
      <c r="AO846" s="28"/>
      <c r="AP846" s="28"/>
      <c r="AQ846" s="28"/>
      <c r="AR846" s="28"/>
      <c r="AS846" s="28"/>
      <c r="AT846" s="28"/>
      <c r="AU846" s="28"/>
      <c r="AV846" s="28"/>
      <c r="AW846" s="28"/>
      <c r="AX846" s="28"/>
      <c r="AY846" s="28"/>
      <c r="AZ846" s="28"/>
      <c r="BA846" s="28"/>
      <c r="BB846" s="28"/>
    </row>
    <row r="847" spans="1:54" ht="12.75" x14ac:dyDescent="0.2">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c r="AA847" s="28"/>
      <c r="AB847" s="28"/>
      <c r="AC847" s="28"/>
      <c r="AD847" s="28"/>
      <c r="AE847" s="28"/>
      <c r="AF847" s="28"/>
      <c r="AG847" s="28"/>
      <c r="AH847" s="28"/>
      <c r="AI847" s="28"/>
      <c r="AJ847" s="28"/>
      <c r="AK847" s="28"/>
      <c r="AL847" s="28"/>
      <c r="AM847" s="28"/>
      <c r="AN847" s="28"/>
      <c r="AO847" s="28"/>
      <c r="AP847" s="28"/>
      <c r="AQ847" s="28"/>
      <c r="AR847" s="28"/>
      <c r="AS847" s="28"/>
      <c r="AT847" s="28"/>
      <c r="AU847" s="28"/>
      <c r="AV847" s="28"/>
      <c r="AW847" s="28"/>
      <c r="AX847" s="28"/>
      <c r="AY847" s="28"/>
      <c r="AZ847" s="28"/>
      <c r="BA847" s="28"/>
      <c r="BB847" s="28"/>
    </row>
    <row r="848" spans="1:54" ht="12.75" x14ac:dyDescent="0.2">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c r="AA848" s="28"/>
      <c r="AB848" s="28"/>
      <c r="AC848" s="28"/>
      <c r="AD848" s="28"/>
      <c r="AE848" s="28"/>
      <c r="AF848" s="28"/>
      <c r="AG848" s="28"/>
      <c r="AH848" s="28"/>
      <c r="AI848" s="28"/>
      <c r="AJ848" s="28"/>
      <c r="AK848" s="28"/>
      <c r="AL848" s="28"/>
      <c r="AM848" s="28"/>
      <c r="AN848" s="28"/>
      <c r="AO848" s="28"/>
      <c r="AP848" s="28"/>
      <c r="AQ848" s="28"/>
      <c r="AR848" s="28"/>
      <c r="AS848" s="28"/>
      <c r="AT848" s="28"/>
      <c r="AU848" s="28"/>
      <c r="AV848" s="28"/>
      <c r="AW848" s="28"/>
      <c r="AX848" s="28"/>
      <c r="AY848" s="28"/>
      <c r="AZ848" s="28"/>
      <c r="BA848" s="28"/>
      <c r="BB848" s="28"/>
    </row>
    <row r="849" spans="1:54" ht="12.75" x14ac:dyDescent="0.2">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8"/>
      <c r="AE849" s="28"/>
      <c r="AF849" s="28"/>
      <c r="AG849" s="28"/>
      <c r="AH849" s="28"/>
      <c r="AI849" s="28"/>
      <c r="AJ849" s="28"/>
      <c r="AK849" s="28"/>
      <c r="AL849" s="28"/>
      <c r="AM849" s="28"/>
      <c r="AN849" s="28"/>
      <c r="AO849" s="28"/>
      <c r="AP849" s="28"/>
      <c r="AQ849" s="28"/>
      <c r="AR849" s="28"/>
      <c r="AS849" s="28"/>
      <c r="AT849" s="28"/>
      <c r="AU849" s="28"/>
      <c r="AV849" s="28"/>
      <c r="AW849" s="28"/>
      <c r="AX849" s="28"/>
      <c r="AY849" s="28"/>
      <c r="AZ849" s="28"/>
      <c r="BA849" s="28"/>
      <c r="BB849" s="28"/>
    </row>
    <row r="850" spans="1:54" ht="12.75" x14ac:dyDescent="0.2">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c r="AA850" s="28"/>
      <c r="AB850" s="28"/>
      <c r="AC850" s="28"/>
      <c r="AD850" s="28"/>
      <c r="AE850" s="28"/>
      <c r="AF850" s="28"/>
      <c r="AG850" s="28"/>
      <c r="AH850" s="28"/>
      <c r="AI850" s="28"/>
      <c r="AJ850" s="28"/>
      <c r="AK850" s="28"/>
      <c r="AL850" s="28"/>
      <c r="AM850" s="28"/>
      <c r="AN850" s="28"/>
      <c r="AO850" s="28"/>
      <c r="AP850" s="28"/>
      <c r="AQ850" s="28"/>
      <c r="AR850" s="28"/>
      <c r="AS850" s="28"/>
      <c r="AT850" s="28"/>
      <c r="AU850" s="28"/>
      <c r="AV850" s="28"/>
      <c r="AW850" s="28"/>
      <c r="AX850" s="28"/>
      <c r="AY850" s="28"/>
      <c r="AZ850" s="28"/>
      <c r="BA850" s="28"/>
      <c r="BB850" s="28"/>
    </row>
    <row r="851" spans="1:54" ht="12.75" x14ac:dyDescent="0.2">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c r="AA851" s="28"/>
      <c r="AB851" s="28"/>
      <c r="AC851" s="28"/>
      <c r="AD851" s="28"/>
      <c r="AE851" s="28"/>
      <c r="AF851" s="28"/>
      <c r="AG851" s="28"/>
      <c r="AH851" s="28"/>
      <c r="AI851" s="28"/>
      <c r="AJ851" s="28"/>
      <c r="AK851" s="28"/>
      <c r="AL851" s="28"/>
      <c r="AM851" s="28"/>
      <c r="AN851" s="28"/>
      <c r="AO851" s="28"/>
      <c r="AP851" s="28"/>
      <c r="AQ851" s="28"/>
      <c r="AR851" s="28"/>
      <c r="AS851" s="28"/>
      <c r="AT851" s="28"/>
      <c r="AU851" s="28"/>
      <c r="AV851" s="28"/>
      <c r="AW851" s="28"/>
      <c r="AX851" s="28"/>
      <c r="AY851" s="28"/>
      <c r="AZ851" s="28"/>
      <c r="BA851" s="28"/>
      <c r="BB851" s="28"/>
    </row>
    <row r="852" spans="1:54" ht="12.75" x14ac:dyDescent="0.2">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c r="AA852" s="28"/>
      <c r="AB852" s="28"/>
      <c r="AC852" s="28"/>
      <c r="AD852" s="28"/>
      <c r="AE852" s="28"/>
      <c r="AF852" s="28"/>
      <c r="AG852" s="28"/>
      <c r="AH852" s="28"/>
      <c r="AI852" s="28"/>
      <c r="AJ852" s="28"/>
      <c r="AK852" s="28"/>
      <c r="AL852" s="28"/>
      <c r="AM852" s="28"/>
      <c r="AN852" s="28"/>
      <c r="AO852" s="28"/>
      <c r="AP852" s="28"/>
      <c r="AQ852" s="28"/>
      <c r="AR852" s="28"/>
      <c r="AS852" s="28"/>
      <c r="AT852" s="28"/>
      <c r="AU852" s="28"/>
      <c r="AV852" s="28"/>
      <c r="AW852" s="28"/>
      <c r="AX852" s="28"/>
      <c r="AY852" s="28"/>
      <c r="AZ852" s="28"/>
      <c r="BA852" s="28"/>
      <c r="BB852" s="28"/>
    </row>
    <row r="853" spans="1:54" ht="12.75" x14ac:dyDescent="0.2">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c r="AA853" s="28"/>
      <c r="AB853" s="28"/>
      <c r="AC853" s="28"/>
      <c r="AD853" s="28"/>
      <c r="AE853" s="28"/>
      <c r="AF853" s="28"/>
      <c r="AG853" s="28"/>
      <c r="AH853" s="28"/>
      <c r="AI853" s="28"/>
      <c r="AJ853" s="28"/>
      <c r="AK853" s="28"/>
      <c r="AL853" s="28"/>
      <c r="AM853" s="28"/>
      <c r="AN853" s="28"/>
      <c r="AO853" s="28"/>
      <c r="AP853" s="28"/>
      <c r="AQ853" s="28"/>
      <c r="AR853" s="28"/>
      <c r="AS853" s="28"/>
      <c r="AT853" s="28"/>
      <c r="AU853" s="28"/>
      <c r="AV853" s="28"/>
      <c r="AW853" s="28"/>
      <c r="AX853" s="28"/>
      <c r="AY853" s="28"/>
      <c r="AZ853" s="28"/>
      <c r="BA853" s="28"/>
      <c r="BB853" s="28"/>
    </row>
    <row r="854" spans="1:54" ht="12.75" x14ac:dyDescent="0.2">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c r="AA854" s="28"/>
      <c r="AB854" s="28"/>
      <c r="AC854" s="28"/>
      <c r="AD854" s="28"/>
      <c r="AE854" s="28"/>
      <c r="AF854" s="28"/>
      <c r="AG854" s="28"/>
      <c r="AH854" s="28"/>
      <c r="AI854" s="28"/>
      <c r="AJ854" s="28"/>
      <c r="AK854" s="28"/>
      <c r="AL854" s="28"/>
      <c r="AM854" s="28"/>
      <c r="AN854" s="28"/>
      <c r="AO854" s="28"/>
      <c r="AP854" s="28"/>
      <c r="AQ854" s="28"/>
      <c r="AR854" s="28"/>
      <c r="AS854" s="28"/>
      <c r="AT854" s="28"/>
      <c r="AU854" s="28"/>
      <c r="AV854" s="28"/>
      <c r="AW854" s="28"/>
      <c r="AX854" s="28"/>
      <c r="AY854" s="28"/>
      <c r="AZ854" s="28"/>
      <c r="BA854" s="28"/>
      <c r="BB854" s="28"/>
    </row>
    <row r="855" spans="1:54" ht="12.75" x14ac:dyDescent="0.2">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c r="AA855" s="28"/>
      <c r="AB855" s="28"/>
      <c r="AC855" s="28"/>
      <c r="AD855" s="28"/>
      <c r="AE855" s="28"/>
      <c r="AF855" s="28"/>
      <c r="AG855" s="28"/>
      <c r="AH855" s="28"/>
      <c r="AI855" s="28"/>
      <c r="AJ855" s="28"/>
      <c r="AK855" s="28"/>
      <c r="AL855" s="28"/>
      <c r="AM855" s="28"/>
      <c r="AN855" s="28"/>
      <c r="AO855" s="28"/>
      <c r="AP855" s="28"/>
      <c r="AQ855" s="28"/>
      <c r="AR855" s="28"/>
      <c r="AS855" s="28"/>
      <c r="AT855" s="28"/>
      <c r="AU855" s="28"/>
      <c r="AV855" s="28"/>
      <c r="AW855" s="28"/>
      <c r="AX855" s="28"/>
      <c r="AY855" s="28"/>
      <c r="AZ855" s="28"/>
      <c r="BA855" s="28"/>
      <c r="BB855" s="28"/>
    </row>
    <row r="856" spans="1:54" ht="12.75" x14ac:dyDescent="0.2">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c r="AA856" s="28"/>
      <c r="AB856" s="28"/>
      <c r="AC856" s="28"/>
      <c r="AD856" s="28"/>
      <c r="AE856" s="28"/>
      <c r="AF856" s="28"/>
      <c r="AG856" s="28"/>
      <c r="AH856" s="28"/>
      <c r="AI856" s="28"/>
      <c r="AJ856" s="28"/>
      <c r="AK856" s="28"/>
      <c r="AL856" s="28"/>
      <c r="AM856" s="28"/>
      <c r="AN856" s="28"/>
      <c r="AO856" s="28"/>
      <c r="AP856" s="28"/>
      <c r="AQ856" s="28"/>
      <c r="AR856" s="28"/>
      <c r="AS856" s="28"/>
      <c r="AT856" s="28"/>
      <c r="AU856" s="28"/>
      <c r="AV856" s="28"/>
      <c r="AW856" s="28"/>
      <c r="AX856" s="28"/>
      <c r="AY856" s="28"/>
      <c r="AZ856" s="28"/>
      <c r="BA856" s="28"/>
      <c r="BB856" s="28"/>
    </row>
    <row r="857" spans="1:54" ht="12.75" x14ac:dyDescent="0.2">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c r="AA857" s="28"/>
      <c r="AB857" s="28"/>
      <c r="AC857" s="28"/>
      <c r="AD857" s="28"/>
      <c r="AE857" s="28"/>
      <c r="AF857" s="28"/>
      <c r="AG857" s="28"/>
      <c r="AH857" s="28"/>
      <c r="AI857" s="28"/>
      <c r="AJ857" s="28"/>
      <c r="AK857" s="28"/>
      <c r="AL857" s="28"/>
      <c r="AM857" s="28"/>
      <c r="AN857" s="28"/>
      <c r="AO857" s="28"/>
      <c r="AP857" s="28"/>
      <c r="AQ857" s="28"/>
      <c r="AR857" s="28"/>
      <c r="AS857" s="28"/>
      <c r="AT857" s="28"/>
      <c r="AU857" s="28"/>
      <c r="AV857" s="28"/>
      <c r="AW857" s="28"/>
      <c r="AX857" s="28"/>
      <c r="AY857" s="28"/>
      <c r="AZ857" s="28"/>
      <c r="BA857" s="28"/>
      <c r="BB857" s="28"/>
    </row>
    <row r="858" spans="1:54" ht="12.75" x14ac:dyDescent="0.2">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c r="AA858" s="28"/>
      <c r="AB858" s="28"/>
      <c r="AC858" s="28"/>
      <c r="AD858" s="28"/>
      <c r="AE858" s="28"/>
      <c r="AF858" s="28"/>
      <c r="AG858" s="28"/>
      <c r="AH858" s="28"/>
      <c r="AI858" s="28"/>
      <c r="AJ858" s="28"/>
      <c r="AK858" s="28"/>
      <c r="AL858" s="28"/>
      <c r="AM858" s="28"/>
      <c r="AN858" s="28"/>
      <c r="AO858" s="28"/>
      <c r="AP858" s="28"/>
      <c r="AQ858" s="28"/>
      <c r="AR858" s="28"/>
      <c r="AS858" s="28"/>
      <c r="AT858" s="28"/>
      <c r="AU858" s="28"/>
      <c r="AV858" s="28"/>
      <c r="AW858" s="28"/>
      <c r="AX858" s="28"/>
      <c r="AY858" s="28"/>
      <c r="AZ858" s="28"/>
      <c r="BA858" s="28"/>
      <c r="BB858" s="28"/>
    </row>
    <row r="859" spans="1:54" ht="12.75" x14ac:dyDescent="0.2">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c r="AA859" s="28"/>
      <c r="AB859" s="28"/>
      <c r="AC859" s="28"/>
      <c r="AD859" s="28"/>
      <c r="AE859" s="28"/>
      <c r="AF859" s="28"/>
      <c r="AG859" s="28"/>
      <c r="AH859" s="28"/>
      <c r="AI859" s="28"/>
      <c r="AJ859" s="28"/>
      <c r="AK859" s="28"/>
      <c r="AL859" s="28"/>
      <c r="AM859" s="28"/>
      <c r="AN859" s="28"/>
      <c r="AO859" s="28"/>
      <c r="AP859" s="28"/>
      <c r="AQ859" s="28"/>
      <c r="AR859" s="28"/>
      <c r="AS859" s="28"/>
      <c r="AT859" s="28"/>
      <c r="AU859" s="28"/>
      <c r="AV859" s="28"/>
      <c r="AW859" s="28"/>
      <c r="AX859" s="28"/>
      <c r="AY859" s="28"/>
      <c r="AZ859" s="28"/>
      <c r="BA859" s="28"/>
      <c r="BB859" s="28"/>
    </row>
    <row r="860" spans="1:54" ht="12.75" x14ac:dyDescent="0.2">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c r="AA860" s="28"/>
      <c r="AB860" s="28"/>
      <c r="AC860" s="28"/>
      <c r="AD860" s="28"/>
      <c r="AE860" s="28"/>
      <c r="AF860" s="28"/>
      <c r="AG860" s="28"/>
      <c r="AH860" s="28"/>
      <c r="AI860" s="28"/>
      <c r="AJ860" s="28"/>
      <c r="AK860" s="28"/>
      <c r="AL860" s="28"/>
      <c r="AM860" s="28"/>
      <c r="AN860" s="28"/>
      <c r="AO860" s="28"/>
      <c r="AP860" s="28"/>
      <c r="AQ860" s="28"/>
      <c r="AR860" s="28"/>
      <c r="AS860" s="28"/>
      <c r="AT860" s="28"/>
      <c r="AU860" s="28"/>
      <c r="AV860" s="28"/>
      <c r="AW860" s="28"/>
      <c r="AX860" s="28"/>
      <c r="AY860" s="28"/>
      <c r="AZ860" s="28"/>
      <c r="BA860" s="28"/>
      <c r="BB860" s="28"/>
    </row>
    <row r="861" spans="1:54" ht="12.75" x14ac:dyDescent="0.2">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c r="AA861" s="28"/>
      <c r="AB861" s="28"/>
      <c r="AC861" s="28"/>
      <c r="AD861" s="28"/>
      <c r="AE861" s="28"/>
      <c r="AF861" s="28"/>
      <c r="AG861" s="28"/>
      <c r="AH861" s="28"/>
      <c r="AI861" s="28"/>
      <c r="AJ861" s="28"/>
      <c r="AK861" s="28"/>
      <c r="AL861" s="28"/>
      <c r="AM861" s="28"/>
      <c r="AN861" s="28"/>
      <c r="AO861" s="28"/>
      <c r="AP861" s="28"/>
      <c r="AQ861" s="28"/>
      <c r="AR861" s="28"/>
      <c r="AS861" s="28"/>
      <c r="AT861" s="28"/>
      <c r="AU861" s="28"/>
      <c r="AV861" s="28"/>
      <c r="AW861" s="28"/>
      <c r="AX861" s="28"/>
      <c r="AY861" s="28"/>
      <c r="AZ861" s="28"/>
      <c r="BA861" s="28"/>
      <c r="BB861" s="28"/>
    </row>
    <row r="862" spans="1:54" ht="12.75" x14ac:dyDescent="0.2">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c r="AA862" s="28"/>
      <c r="AB862" s="28"/>
      <c r="AC862" s="28"/>
      <c r="AD862" s="28"/>
      <c r="AE862" s="28"/>
      <c r="AF862" s="28"/>
      <c r="AG862" s="28"/>
      <c r="AH862" s="28"/>
      <c r="AI862" s="28"/>
      <c r="AJ862" s="28"/>
      <c r="AK862" s="28"/>
      <c r="AL862" s="28"/>
      <c r="AM862" s="28"/>
      <c r="AN862" s="28"/>
      <c r="AO862" s="28"/>
      <c r="AP862" s="28"/>
      <c r="AQ862" s="28"/>
      <c r="AR862" s="28"/>
      <c r="AS862" s="28"/>
      <c r="AT862" s="28"/>
      <c r="AU862" s="28"/>
      <c r="AV862" s="28"/>
      <c r="AW862" s="28"/>
      <c r="AX862" s="28"/>
      <c r="AY862" s="28"/>
      <c r="AZ862" s="28"/>
      <c r="BA862" s="28"/>
      <c r="BB862" s="28"/>
    </row>
    <row r="863" spans="1:54" ht="12.75" x14ac:dyDescent="0.2">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c r="AA863" s="28"/>
      <c r="AB863" s="28"/>
      <c r="AC863" s="28"/>
      <c r="AD863" s="28"/>
      <c r="AE863" s="28"/>
      <c r="AF863" s="28"/>
      <c r="AG863" s="28"/>
      <c r="AH863" s="28"/>
      <c r="AI863" s="28"/>
      <c r="AJ863" s="28"/>
      <c r="AK863" s="28"/>
      <c r="AL863" s="28"/>
      <c r="AM863" s="28"/>
      <c r="AN863" s="28"/>
      <c r="AO863" s="28"/>
      <c r="AP863" s="28"/>
      <c r="AQ863" s="28"/>
      <c r="AR863" s="28"/>
      <c r="AS863" s="28"/>
      <c r="AT863" s="28"/>
      <c r="AU863" s="28"/>
      <c r="AV863" s="28"/>
      <c r="AW863" s="28"/>
      <c r="AX863" s="28"/>
      <c r="AY863" s="28"/>
      <c r="AZ863" s="28"/>
      <c r="BA863" s="28"/>
      <c r="BB863" s="28"/>
    </row>
    <row r="864" spans="1:54" ht="12.75" x14ac:dyDescent="0.2">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c r="AA864" s="28"/>
      <c r="AB864" s="28"/>
      <c r="AC864" s="28"/>
      <c r="AD864" s="28"/>
      <c r="AE864" s="28"/>
      <c r="AF864" s="28"/>
      <c r="AG864" s="28"/>
      <c r="AH864" s="28"/>
      <c r="AI864" s="28"/>
      <c r="AJ864" s="28"/>
      <c r="AK864" s="28"/>
      <c r="AL864" s="28"/>
      <c r="AM864" s="28"/>
      <c r="AN864" s="28"/>
      <c r="AO864" s="28"/>
      <c r="AP864" s="28"/>
      <c r="AQ864" s="28"/>
      <c r="AR864" s="28"/>
      <c r="AS864" s="28"/>
      <c r="AT864" s="28"/>
      <c r="AU864" s="28"/>
      <c r="AV864" s="28"/>
      <c r="AW864" s="28"/>
      <c r="AX864" s="28"/>
      <c r="AY864" s="28"/>
      <c r="AZ864" s="28"/>
      <c r="BA864" s="28"/>
      <c r="BB864" s="28"/>
    </row>
    <row r="865" spans="1:54" ht="12.75" x14ac:dyDescent="0.2">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c r="AA865" s="28"/>
      <c r="AB865" s="28"/>
      <c r="AC865" s="28"/>
      <c r="AD865" s="28"/>
      <c r="AE865" s="28"/>
      <c r="AF865" s="28"/>
      <c r="AG865" s="28"/>
      <c r="AH865" s="28"/>
      <c r="AI865" s="28"/>
      <c r="AJ865" s="28"/>
      <c r="AK865" s="28"/>
      <c r="AL865" s="28"/>
      <c r="AM865" s="28"/>
      <c r="AN865" s="28"/>
      <c r="AO865" s="28"/>
      <c r="AP865" s="28"/>
      <c r="AQ865" s="28"/>
      <c r="AR865" s="28"/>
      <c r="AS865" s="28"/>
      <c r="AT865" s="28"/>
      <c r="AU865" s="28"/>
      <c r="AV865" s="28"/>
      <c r="AW865" s="28"/>
      <c r="AX865" s="28"/>
      <c r="AY865" s="28"/>
      <c r="AZ865" s="28"/>
      <c r="BA865" s="28"/>
      <c r="BB865" s="28"/>
    </row>
    <row r="866" spans="1:54" ht="12.75" x14ac:dyDescent="0.2">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c r="AA866" s="28"/>
      <c r="AB866" s="28"/>
      <c r="AC866" s="28"/>
      <c r="AD866" s="28"/>
      <c r="AE866" s="28"/>
      <c r="AF866" s="28"/>
      <c r="AG866" s="28"/>
      <c r="AH866" s="28"/>
      <c r="AI866" s="28"/>
      <c r="AJ866" s="28"/>
      <c r="AK866" s="28"/>
      <c r="AL866" s="28"/>
      <c r="AM866" s="28"/>
      <c r="AN866" s="28"/>
      <c r="AO866" s="28"/>
      <c r="AP866" s="28"/>
      <c r="AQ866" s="28"/>
      <c r="AR866" s="28"/>
      <c r="AS866" s="28"/>
      <c r="AT866" s="28"/>
      <c r="AU866" s="28"/>
      <c r="AV866" s="28"/>
      <c r="AW866" s="28"/>
      <c r="AX866" s="28"/>
      <c r="AY866" s="28"/>
      <c r="AZ866" s="28"/>
      <c r="BA866" s="28"/>
      <c r="BB866" s="28"/>
    </row>
    <row r="867" spans="1:54" ht="12.75" x14ac:dyDescent="0.2">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c r="AA867" s="28"/>
      <c r="AB867" s="28"/>
      <c r="AC867" s="28"/>
      <c r="AD867" s="28"/>
      <c r="AE867" s="28"/>
      <c r="AF867" s="28"/>
      <c r="AG867" s="28"/>
      <c r="AH867" s="28"/>
      <c r="AI867" s="28"/>
      <c r="AJ867" s="28"/>
      <c r="AK867" s="28"/>
      <c r="AL867" s="28"/>
      <c r="AM867" s="28"/>
      <c r="AN867" s="28"/>
      <c r="AO867" s="28"/>
      <c r="AP867" s="28"/>
      <c r="AQ867" s="28"/>
      <c r="AR867" s="28"/>
      <c r="AS867" s="28"/>
      <c r="AT867" s="28"/>
      <c r="AU867" s="28"/>
      <c r="AV867" s="28"/>
      <c r="AW867" s="28"/>
      <c r="AX867" s="28"/>
      <c r="AY867" s="28"/>
      <c r="AZ867" s="28"/>
      <c r="BA867" s="28"/>
      <c r="BB867" s="28"/>
    </row>
    <row r="868" spans="1:54" ht="12.75" x14ac:dyDescent="0.2">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c r="AA868" s="28"/>
      <c r="AB868" s="28"/>
      <c r="AC868" s="28"/>
      <c r="AD868" s="28"/>
      <c r="AE868" s="28"/>
      <c r="AF868" s="28"/>
      <c r="AG868" s="28"/>
      <c r="AH868" s="28"/>
      <c r="AI868" s="28"/>
      <c r="AJ868" s="28"/>
      <c r="AK868" s="28"/>
      <c r="AL868" s="28"/>
      <c r="AM868" s="28"/>
      <c r="AN868" s="28"/>
      <c r="AO868" s="28"/>
      <c r="AP868" s="28"/>
      <c r="AQ868" s="28"/>
      <c r="AR868" s="28"/>
      <c r="AS868" s="28"/>
      <c r="AT868" s="28"/>
      <c r="AU868" s="28"/>
      <c r="AV868" s="28"/>
      <c r="AW868" s="28"/>
      <c r="AX868" s="28"/>
      <c r="AY868" s="28"/>
      <c r="AZ868" s="28"/>
      <c r="BA868" s="28"/>
      <c r="BB868" s="28"/>
    </row>
    <row r="869" spans="1:54" ht="12.75" x14ac:dyDescent="0.2">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c r="AA869" s="28"/>
      <c r="AB869" s="28"/>
      <c r="AC869" s="28"/>
      <c r="AD869" s="28"/>
      <c r="AE869" s="28"/>
      <c r="AF869" s="28"/>
      <c r="AG869" s="28"/>
      <c r="AH869" s="28"/>
      <c r="AI869" s="28"/>
      <c r="AJ869" s="28"/>
      <c r="AK869" s="28"/>
      <c r="AL869" s="28"/>
      <c r="AM869" s="28"/>
      <c r="AN869" s="28"/>
      <c r="AO869" s="28"/>
      <c r="AP869" s="28"/>
      <c r="AQ869" s="28"/>
      <c r="AR869" s="28"/>
      <c r="AS869" s="28"/>
      <c r="AT869" s="28"/>
      <c r="AU869" s="28"/>
      <c r="AV869" s="28"/>
      <c r="AW869" s="28"/>
      <c r="AX869" s="28"/>
      <c r="AY869" s="28"/>
      <c r="AZ869" s="28"/>
      <c r="BA869" s="28"/>
      <c r="BB869" s="28"/>
    </row>
    <row r="870" spans="1:54" ht="12.75" x14ac:dyDescent="0.2">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c r="AA870" s="28"/>
      <c r="AB870" s="28"/>
      <c r="AC870" s="28"/>
      <c r="AD870" s="28"/>
      <c r="AE870" s="28"/>
      <c r="AF870" s="28"/>
      <c r="AG870" s="28"/>
      <c r="AH870" s="28"/>
      <c r="AI870" s="28"/>
      <c r="AJ870" s="28"/>
      <c r="AK870" s="28"/>
      <c r="AL870" s="28"/>
      <c r="AM870" s="28"/>
      <c r="AN870" s="28"/>
      <c r="AO870" s="28"/>
      <c r="AP870" s="28"/>
      <c r="AQ870" s="28"/>
      <c r="AR870" s="28"/>
      <c r="AS870" s="28"/>
      <c r="AT870" s="28"/>
      <c r="AU870" s="28"/>
      <c r="AV870" s="28"/>
      <c r="AW870" s="28"/>
      <c r="AX870" s="28"/>
      <c r="AY870" s="28"/>
      <c r="AZ870" s="28"/>
      <c r="BA870" s="28"/>
      <c r="BB870" s="28"/>
    </row>
    <row r="871" spans="1:54" ht="12.75" x14ac:dyDescent="0.2">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c r="AA871" s="28"/>
      <c r="AB871" s="28"/>
      <c r="AC871" s="28"/>
      <c r="AD871" s="28"/>
      <c r="AE871" s="28"/>
      <c r="AF871" s="28"/>
      <c r="AG871" s="28"/>
      <c r="AH871" s="28"/>
      <c r="AI871" s="28"/>
      <c r="AJ871" s="28"/>
      <c r="AK871" s="28"/>
      <c r="AL871" s="28"/>
      <c r="AM871" s="28"/>
      <c r="AN871" s="28"/>
      <c r="AO871" s="28"/>
      <c r="AP871" s="28"/>
      <c r="AQ871" s="28"/>
      <c r="AR871" s="28"/>
      <c r="AS871" s="28"/>
      <c r="AT871" s="28"/>
      <c r="AU871" s="28"/>
      <c r="AV871" s="28"/>
      <c r="AW871" s="28"/>
      <c r="AX871" s="28"/>
      <c r="AY871" s="28"/>
      <c r="AZ871" s="28"/>
      <c r="BA871" s="28"/>
      <c r="BB871" s="28"/>
    </row>
    <row r="872" spans="1:54" ht="12.75" x14ac:dyDescent="0.2">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c r="AA872" s="28"/>
      <c r="AB872" s="28"/>
      <c r="AC872" s="28"/>
      <c r="AD872" s="28"/>
      <c r="AE872" s="28"/>
      <c r="AF872" s="28"/>
      <c r="AG872" s="28"/>
      <c r="AH872" s="28"/>
      <c r="AI872" s="28"/>
      <c r="AJ872" s="28"/>
      <c r="AK872" s="28"/>
      <c r="AL872" s="28"/>
      <c r="AM872" s="28"/>
      <c r="AN872" s="28"/>
      <c r="AO872" s="28"/>
      <c r="AP872" s="28"/>
      <c r="AQ872" s="28"/>
      <c r="AR872" s="28"/>
      <c r="AS872" s="28"/>
      <c r="AT872" s="28"/>
      <c r="AU872" s="28"/>
      <c r="AV872" s="28"/>
      <c r="AW872" s="28"/>
      <c r="AX872" s="28"/>
      <c r="AY872" s="28"/>
      <c r="AZ872" s="28"/>
      <c r="BA872" s="28"/>
      <c r="BB872" s="28"/>
    </row>
    <row r="873" spans="1:54" ht="12.75" x14ac:dyDescent="0.2">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c r="AA873" s="28"/>
      <c r="AB873" s="28"/>
      <c r="AC873" s="28"/>
      <c r="AD873" s="28"/>
      <c r="AE873" s="28"/>
      <c r="AF873" s="28"/>
      <c r="AG873" s="28"/>
      <c r="AH873" s="28"/>
      <c r="AI873" s="28"/>
      <c r="AJ873" s="28"/>
      <c r="AK873" s="28"/>
      <c r="AL873" s="28"/>
      <c r="AM873" s="28"/>
      <c r="AN873" s="28"/>
      <c r="AO873" s="28"/>
      <c r="AP873" s="28"/>
      <c r="AQ873" s="28"/>
      <c r="AR873" s="28"/>
      <c r="AS873" s="28"/>
      <c r="AT873" s="28"/>
      <c r="AU873" s="28"/>
      <c r="AV873" s="28"/>
      <c r="AW873" s="28"/>
      <c r="AX873" s="28"/>
      <c r="AY873" s="28"/>
      <c r="AZ873" s="28"/>
      <c r="BA873" s="28"/>
      <c r="BB873" s="28"/>
    </row>
    <row r="874" spans="1:54" ht="12.75" x14ac:dyDescent="0.2">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c r="AA874" s="28"/>
      <c r="AB874" s="28"/>
      <c r="AC874" s="28"/>
      <c r="AD874" s="28"/>
      <c r="AE874" s="28"/>
      <c r="AF874" s="28"/>
      <c r="AG874" s="28"/>
      <c r="AH874" s="28"/>
      <c r="AI874" s="28"/>
      <c r="AJ874" s="28"/>
      <c r="AK874" s="28"/>
      <c r="AL874" s="28"/>
      <c r="AM874" s="28"/>
      <c r="AN874" s="28"/>
      <c r="AO874" s="28"/>
      <c r="AP874" s="28"/>
      <c r="AQ874" s="28"/>
      <c r="AR874" s="28"/>
      <c r="AS874" s="28"/>
      <c r="AT874" s="28"/>
      <c r="AU874" s="28"/>
      <c r="AV874" s="28"/>
      <c r="AW874" s="28"/>
      <c r="AX874" s="28"/>
      <c r="AY874" s="28"/>
      <c r="AZ874" s="28"/>
      <c r="BA874" s="28"/>
      <c r="BB874" s="28"/>
    </row>
    <row r="875" spans="1:54" ht="12.75" x14ac:dyDescent="0.2">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c r="AA875" s="28"/>
      <c r="AB875" s="28"/>
      <c r="AC875" s="28"/>
      <c r="AD875" s="28"/>
      <c r="AE875" s="28"/>
      <c r="AF875" s="28"/>
      <c r="AG875" s="28"/>
      <c r="AH875" s="28"/>
      <c r="AI875" s="28"/>
      <c r="AJ875" s="28"/>
      <c r="AK875" s="28"/>
      <c r="AL875" s="28"/>
      <c r="AM875" s="28"/>
      <c r="AN875" s="28"/>
      <c r="AO875" s="28"/>
      <c r="AP875" s="28"/>
      <c r="AQ875" s="28"/>
      <c r="AR875" s="28"/>
      <c r="AS875" s="28"/>
      <c r="AT875" s="28"/>
      <c r="AU875" s="28"/>
      <c r="AV875" s="28"/>
      <c r="AW875" s="28"/>
      <c r="AX875" s="28"/>
      <c r="AY875" s="28"/>
      <c r="AZ875" s="28"/>
      <c r="BA875" s="28"/>
      <c r="BB875" s="28"/>
    </row>
    <row r="876" spans="1:54" ht="12.75" x14ac:dyDescent="0.2">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c r="AA876" s="28"/>
      <c r="AB876" s="28"/>
      <c r="AC876" s="28"/>
      <c r="AD876" s="28"/>
      <c r="AE876" s="28"/>
      <c r="AF876" s="28"/>
      <c r="AG876" s="28"/>
      <c r="AH876" s="28"/>
      <c r="AI876" s="28"/>
      <c r="AJ876" s="28"/>
      <c r="AK876" s="28"/>
      <c r="AL876" s="28"/>
      <c r="AM876" s="28"/>
      <c r="AN876" s="28"/>
      <c r="AO876" s="28"/>
      <c r="AP876" s="28"/>
      <c r="AQ876" s="28"/>
      <c r="AR876" s="28"/>
      <c r="AS876" s="28"/>
      <c r="AT876" s="28"/>
      <c r="AU876" s="28"/>
      <c r="AV876" s="28"/>
      <c r="AW876" s="28"/>
      <c r="AX876" s="28"/>
      <c r="AY876" s="28"/>
      <c r="AZ876" s="28"/>
      <c r="BA876" s="28"/>
      <c r="BB876" s="28"/>
    </row>
    <row r="877" spans="1:54" ht="12.75" x14ac:dyDescent="0.2">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c r="AA877" s="28"/>
      <c r="AB877" s="28"/>
      <c r="AC877" s="28"/>
      <c r="AD877" s="28"/>
      <c r="AE877" s="28"/>
      <c r="AF877" s="28"/>
      <c r="AG877" s="28"/>
      <c r="AH877" s="28"/>
      <c r="AI877" s="28"/>
      <c r="AJ877" s="28"/>
      <c r="AK877" s="28"/>
      <c r="AL877" s="28"/>
      <c r="AM877" s="28"/>
      <c r="AN877" s="28"/>
      <c r="AO877" s="28"/>
      <c r="AP877" s="28"/>
      <c r="AQ877" s="28"/>
      <c r="AR877" s="28"/>
      <c r="AS877" s="28"/>
      <c r="AT877" s="28"/>
      <c r="AU877" s="28"/>
      <c r="AV877" s="28"/>
      <c r="AW877" s="28"/>
      <c r="AX877" s="28"/>
      <c r="AY877" s="28"/>
      <c r="AZ877" s="28"/>
      <c r="BA877" s="28"/>
      <c r="BB877" s="28"/>
    </row>
    <row r="878" spans="1:54" ht="12.75" x14ac:dyDescent="0.2">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c r="AA878" s="28"/>
      <c r="AB878" s="28"/>
      <c r="AC878" s="28"/>
      <c r="AD878" s="28"/>
      <c r="AE878" s="28"/>
      <c r="AF878" s="28"/>
      <c r="AG878" s="28"/>
      <c r="AH878" s="28"/>
      <c r="AI878" s="28"/>
      <c r="AJ878" s="28"/>
      <c r="AK878" s="28"/>
      <c r="AL878" s="28"/>
      <c r="AM878" s="28"/>
      <c r="AN878" s="28"/>
      <c r="AO878" s="28"/>
      <c r="AP878" s="28"/>
      <c r="AQ878" s="28"/>
      <c r="AR878" s="28"/>
      <c r="AS878" s="28"/>
      <c r="AT878" s="28"/>
      <c r="AU878" s="28"/>
      <c r="AV878" s="28"/>
      <c r="AW878" s="28"/>
      <c r="AX878" s="28"/>
      <c r="AY878" s="28"/>
      <c r="AZ878" s="28"/>
      <c r="BA878" s="28"/>
      <c r="BB878" s="28"/>
    </row>
    <row r="879" spans="1:54" ht="12.75" x14ac:dyDescent="0.2">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c r="AA879" s="28"/>
      <c r="AB879" s="28"/>
      <c r="AC879" s="28"/>
      <c r="AD879" s="28"/>
      <c r="AE879" s="28"/>
      <c r="AF879" s="28"/>
      <c r="AG879" s="28"/>
      <c r="AH879" s="28"/>
      <c r="AI879" s="28"/>
      <c r="AJ879" s="28"/>
      <c r="AK879" s="28"/>
      <c r="AL879" s="28"/>
      <c r="AM879" s="28"/>
      <c r="AN879" s="28"/>
      <c r="AO879" s="28"/>
      <c r="AP879" s="28"/>
      <c r="AQ879" s="28"/>
      <c r="AR879" s="28"/>
      <c r="AS879" s="28"/>
      <c r="AT879" s="28"/>
      <c r="AU879" s="28"/>
      <c r="AV879" s="28"/>
      <c r="AW879" s="28"/>
      <c r="AX879" s="28"/>
      <c r="AY879" s="28"/>
      <c r="AZ879" s="28"/>
      <c r="BA879" s="28"/>
      <c r="BB879" s="28"/>
    </row>
    <row r="880" spans="1:54" ht="12.75" x14ac:dyDescent="0.2">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c r="AA880" s="28"/>
      <c r="AB880" s="28"/>
      <c r="AC880" s="28"/>
      <c r="AD880" s="28"/>
      <c r="AE880" s="28"/>
      <c r="AF880" s="28"/>
      <c r="AG880" s="28"/>
      <c r="AH880" s="28"/>
      <c r="AI880" s="28"/>
      <c r="AJ880" s="28"/>
      <c r="AK880" s="28"/>
      <c r="AL880" s="28"/>
      <c r="AM880" s="28"/>
      <c r="AN880" s="28"/>
      <c r="AO880" s="28"/>
      <c r="AP880" s="28"/>
      <c r="AQ880" s="28"/>
      <c r="AR880" s="28"/>
      <c r="AS880" s="28"/>
      <c r="AT880" s="28"/>
      <c r="AU880" s="28"/>
      <c r="AV880" s="28"/>
      <c r="AW880" s="28"/>
      <c r="AX880" s="28"/>
      <c r="AY880" s="28"/>
      <c r="AZ880" s="28"/>
      <c r="BA880" s="28"/>
      <c r="BB880" s="28"/>
    </row>
    <row r="881" spans="1:54" ht="12.75" x14ac:dyDescent="0.2">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c r="AA881" s="28"/>
      <c r="AB881" s="28"/>
      <c r="AC881" s="28"/>
      <c r="AD881" s="28"/>
      <c r="AE881" s="28"/>
      <c r="AF881" s="28"/>
      <c r="AG881" s="28"/>
      <c r="AH881" s="28"/>
      <c r="AI881" s="28"/>
      <c r="AJ881" s="28"/>
      <c r="AK881" s="28"/>
      <c r="AL881" s="28"/>
      <c r="AM881" s="28"/>
      <c r="AN881" s="28"/>
      <c r="AO881" s="28"/>
      <c r="AP881" s="28"/>
      <c r="AQ881" s="28"/>
      <c r="AR881" s="28"/>
      <c r="AS881" s="28"/>
      <c r="AT881" s="28"/>
      <c r="AU881" s="28"/>
      <c r="AV881" s="28"/>
      <c r="AW881" s="28"/>
      <c r="AX881" s="28"/>
      <c r="AY881" s="28"/>
      <c r="AZ881" s="28"/>
      <c r="BA881" s="28"/>
      <c r="BB881" s="28"/>
    </row>
    <row r="882" spans="1:54" ht="12.75" x14ac:dyDescent="0.2">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c r="AA882" s="28"/>
      <c r="AB882" s="28"/>
      <c r="AC882" s="28"/>
      <c r="AD882" s="28"/>
      <c r="AE882" s="28"/>
      <c r="AF882" s="28"/>
      <c r="AG882" s="28"/>
      <c r="AH882" s="28"/>
      <c r="AI882" s="28"/>
      <c r="AJ882" s="28"/>
      <c r="AK882" s="28"/>
      <c r="AL882" s="28"/>
      <c r="AM882" s="28"/>
      <c r="AN882" s="28"/>
      <c r="AO882" s="28"/>
      <c r="AP882" s="28"/>
      <c r="AQ882" s="28"/>
      <c r="AR882" s="28"/>
      <c r="AS882" s="28"/>
      <c r="AT882" s="28"/>
      <c r="AU882" s="28"/>
      <c r="AV882" s="28"/>
      <c r="AW882" s="28"/>
      <c r="AX882" s="28"/>
      <c r="AY882" s="28"/>
      <c r="AZ882" s="28"/>
      <c r="BA882" s="28"/>
      <c r="BB882" s="28"/>
    </row>
    <row r="883" spans="1:54" ht="12.75" x14ac:dyDescent="0.2">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c r="AA883" s="28"/>
      <c r="AB883" s="28"/>
      <c r="AC883" s="28"/>
      <c r="AD883" s="28"/>
      <c r="AE883" s="28"/>
      <c r="AF883" s="28"/>
      <c r="AG883" s="28"/>
      <c r="AH883" s="28"/>
      <c r="AI883" s="28"/>
      <c r="AJ883" s="28"/>
      <c r="AK883" s="28"/>
      <c r="AL883" s="28"/>
      <c r="AM883" s="28"/>
      <c r="AN883" s="28"/>
      <c r="AO883" s="28"/>
      <c r="AP883" s="28"/>
      <c r="AQ883" s="28"/>
      <c r="AR883" s="28"/>
      <c r="AS883" s="28"/>
      <c r="AT883" s="28"/>
      <c r="AU883" s="28"/>
      <c r="AV883" s="28"/>
      <c r="AW883" s="28"/>
      <c r="AX883" s="28"/>
      <c r="AY883" s="28"/>
      <c r="AZ883" s="28"/>
      <c r="BA883" s="28"/>
      <c r="BB883" s="28"/>
    </row>
    <row r="884" spans="1:54" ht="12.75" x14ac:dyDescent="0.2">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c r="AA884" s="28"/>
      <c r="AB884" s="28"/>
      <c r="AC884" s="28"/>
      <c r="AD884" s="28"/>
      <c r="AE884" s="28"/>
      <c r="AF884" s="28"/>
      <c r="AG884" s="28"/>
      <c r="AH884" s="28"/>
      <c r="AI884" s="28"/>
      <c r="AJ884" s="28"/>
      <c r="AK884" s="28"/>
      <c r="AL884" s="28"/>
      <c r="AM884" s="28"/>
      <c r="AN884" s="28"/>
      <c r="AO884" s="28"/>
      <c r="AP884" s="28"/>
      <c r="AQ884" s="28"/>
      <c r="AR884" s="28"/>
      <c r="AS884" s="28"/>
      <c r="AT884" s="28"/>
      <c r="AU884" s="28"/>
      <c r="AV884" s="28"/>
      <c r="AW884" s="28"/>
      <c r="AX884" s="28"/>
      <c r="AY884" s="28"/>
      <c r="AZ884" s="28"/>
      <c r="BA884" s="28"/>
      <c r="BB884" s="28"/>
    </row>
    <row r="885" spans="1:54" ht="12.75" x14ac:dyDescent="0.2">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c r="AA885" s="28"/>
      <c r="AB885" s="28"/>
      <c r="AC885" s="28"/>
      <c r="AD885" s="28"/>
      <c r="AE885" s="28"/>
      <c r="AF885" s="28"/>
      <c r="AG885" s="28"/>
      <c r="AH885" s="28"/>
      <c r="AI885" s="28"/>
      <c r="AJ885" s="28"/>
      <c r="AK885" s="28"/>
      <c r="AL885" s="28"/>
      <c r="AM885" s="28"/>
      <c r="AN885" s="28"/>
      <c r="AO885" s="28"/>
      <c r="AP885" s="28"/>
      <c r="AQ885" s="28"/>
      <c r="AR885" s="28"/>
      <c r="AS885" s="28"/>
      <c r="AT885" s="28"/>
      <c r="AU885" s="28"/>
      <c r="AV885" s="28"/>
      <c r="AW885" s="28"/>
      <c r="AX885" s="28"/>
      <c r="AY885" s="28"/>
      <c r="AZ885" s="28"/>
      <c r="BA885" s="28"/>
      <c r="BB885" s="28"/>
    </row>
    <row r="886" spans="1:54" ht="12.75" x14ac:dyDescent="0.2">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c r="AA886" s="28"/>
      <c r="AB886" s="28"/>
      <c r="AC886" s="28"/>
      <c r="AD886" s="28"/>
      <c r="AE886" s="28"/>
      <c r="AF886" s="28"/>
      <c r="AG886" s="28"/>
      <c r="AH886" s="28"/>
      <c r="AI886" s="28"/>
      <c r="AJ886" s="28"/>
      <c r="AK886" s="28"/>
      <c r="AL886" s="28"/>
      <c r="AM886" s="28"/>
      <c r="AN886" s="28"/>
      <c r="AO886" s="28"/>
      <c r="AP886" s="28"/>
      <c r="AQ886" s="28"/>
      <c r="AR886" s="28"/>
      <c r="AS886" s="28"/>
      <c r="AT886" s="28"/>
      <c r="AU886" s="28"/>
      <c r="AV886" s="28"/>
      <c r="AW886" s="28"/>
      <c r="AX886" s="28"/>
      <c r="AY886" s="28"/>
      <c r="AZ886" s="28"/>
      <c r="BA886" s="28"/>
      <c r="BB886" s="28"/>
    </row>
    <row r="887" spans="1:54" ht="12.75" x14ac:dyDescent="0.2">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c r="AA887" s="28"/>
      <c r="AB887" s="28"/>
      <c r="AC887" s="28"/>
      <c r="AD887" s="28"/>
      <c r="AE887" s="28"/>
      <c r="AF887" s="28"/>
      <c r="AG887" s="28"/>
      <c r="AH887" s="28"/>
      <c r="AI887" s="28"/>
      <c r="AJ887" s="28"/>
      <c r="AK887" s="28"/>
      <c r="AL887" s="28"/>
      <c r="AM887" s="28"/>
      <c r="AN887" s="28"/>
      <c r="AO887" s="28"/>
      <c r="AP887" s="28"/>
      <c r="AQ887" s="28"/>
      <c r="AR887" s="28"/>
      <c r="AS887" s="28"/>
      <c r="AT887" s="28"/>
      <c r="AU887" s="28"/>
      <c r="AV887" s="28"/>
      <c r="AW887" s="28"/>
      <c r="AX887" s="28"/>
      <c r="AY887" s="28"/>
      <c r="AZ887" s="28"/>
      <c r="BA887" s="28"/>
      <c r="BB887" s="28"/>
    </row>
    <row r="888" spans="1:54" ht="12.75" x14ac:dyDescent="0.2">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c r="AA888" s="28"/>
      <c r="AB888" s="28"/>
      <c r="AC888" s="28"/>
      <c r="AD888" s="28"/>
      <c r="AE888" s="28"/>
      <c r="AF888" s="28"/>
      <c r="AG888" s="28"/>
      <c r="AH888" s="28"/>
      <c r="AI888" s="28"/>
      <c r="AJ888" s="28"/>
      <c r="AK888" s="28"/>
      <c r="AL888" s="28"/>
      <c r="AM888" s="28"/>
      <c r="AN888" s="28"/>
      <c r="AO888" s="28"/>
      <c r="AP888" s="28"/>
      <c r="AQ888" s="28"/>
      <c r="AR888" s="28"/>
      <c r="AS888" s="28"/>
      <c r="AT888" s="28"/>
      <c r="AU888" s="28"/>
      <c r="AV888" s="28"/>
      <c r="AW888" s="28"/>
      <c r="AX888" s="28"/>
      <c r="AY888" s="28"/>
      <c r="AZ888" s="28"/>
      <c r="BA888" s="28"/>
      <c r="BB888" s="28"/>
    </row>
    <row r="889" spans="1:54" ht="12.75" x14ac:dyDescent="0.2">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c r="AA889" s="28"/>
      <c r="AB889" s="28"/>
      <c r="AC889" s="28"/>
      <c r="AD889" s="28"/>
      <c r="AE889" s="28"/>
      <c r="AF889" s="28"/>
      <c r="AG889" s="28"/>
      <c r="AH889" s="28"/>
      <c r="AI889" s="28"/>
      <c r="AJ889" s="28"/>
      <c r="AK889" s="28"/>
      <c r="AL889" s="28"/>
      <c r="AM889" s="28"/>
      <c r="AN889" s="28"/>
      <c r="AO889" s="28"/>
      <c r="AP889" s="28"/>
      <c r="AQ889" s="28"/>
      <c r="AR889" s="28"/>
      <c r="AS889" s="28"/>
      <c r="AT889" s="28"/>
      <c r="AU889" s="28"/>
      <c r="AV889" s="28"/>
      <c r="AW889" s="28"/>
      <c r="AX889" s="28"/>
      <c r="AY889" s="28"/>
      <c r="AZ889" s="28"/>
      <c r="BA889" s="28"/>
      <c r="BB889" s="28"/>
    </row>
    <row r="890" spans="1:54" ht="12.75" x14ac:dyDescent="0.2">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c r="AA890" s="28"/>
      <c r="AB890" s="28"/>
      <c r="AC890" s="28"/>
      <c r="AD890" s="28"/>
      <c r="AE890" s="28"/>
      <c r="AF890" s="28"/>
      <c r="AG890" s="28"/>
      <c r="AH890" s="28"/>
      <c r="AI890" s="28"/>
      <c r="AJ890" s="28"/>
      <c r="AK890" s="28"/>
      <c r="AL890" s="28"/>
      <c r="AM890" s="28"/>
      <c r="AN890" s="28"/>
      <c r="AO890" s="28"/>
      <c r="AP890" s="28"/>
      <c r="AQ890" s="28"/>
      <c r="AR890" s="28"/>
      <c r="AS890" s="28"/>
      <c r="AT890" s="28"/>
      <c r="AU890" s="28"/>
      <c r="AV890" s="28"/>
      <c r="AW890" s="28"/>
      <c r="AX890" s="28"/>
      <c r="AY890" s="28"/>
      <c r="AZ890" s="28"/>
      <c r="BA890" s="28"/>
      <c r="BB890" s="28"/>
    </row>
    <row r="891" spans="1:54" ht="12.75" x14ac:dyDescent="0.2">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c r="AA891" s="28"/>
      <c r="AB891" s="28"/>
      <c r="AC891" s="28"/>
      <c r="AD891" s="28"/>
      <c r="AE891" s="28"/>
      <c r="AF891" s="28"/>
      <c r="AG891" s="28"/>
      <c r="AH891" s="28"/>
      <c r="AI891" s="28"/>
      <c r="AJ891" s="28"/>
      <c r="AK891" s="28"/>
      <c r="AL891" s="28"/>
      <c r="AM891" s="28"/>
      <c r="AN891" s="28"/>
      <c r="AO891" s="28"/>
      <c r="AP891" s="28"/>
      <c r="AQ891" s="28"/>
      <c r="AR891" s="28"/>
      <c r="AS891" s="28"/>
      <c r="AT891" s="28"/>
      <c r="AU891" s="28"/>
      <c r="AV891" s="28"/>
      <c r="AW891" s="28"/>
      <c r="AX891" s="28"/>
      <c r="AY891" s="28"/>
      <c r="AZ891" s="28"/>
      <c r="BA891" s="28"/>
      <c r="BB891" s="28"/>
    </row>
    <row r="892" spans="1:54" ht="12.75" x14ac:dyDescent="0.2">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c r="AA892" s="28"/>
      <c r="AB892" s="28"/>
      <c r="AC892" s="28"/>
      <c r="AD892" s="28"/>
      <c r="AE892" s="28"/>
      <c r="AF892" s="28"/>
      <c r="AG892" s="28"/>
      <c r="AH892" s="28"/>
      <c r="AI892" s="28"/>
      <c r="AJ892" s="28"/>
      <c r="AK892" s="28"/>
      <c r="AL892" s="28"/>
      <c r="AM892" s="28"/>
      <c r="AN892" s="28"/>
      <c r="AO892" s="28"/>
      <c r="AP892" s="28"/>
      <c r="AQ892" s="28"/>
      <c r="AR892" s="28"/>
      <c r="AS892" s="28"/>
      <c r="AT892" s="28"/>
      <c r="AU892" s="28"/>
      <c r="AV892" s="28"/>
      <c r="AW892" s="28"/>
      <c r="AX892" s="28"/>
      <c r="AY892" s="28"/>
      <c r="AZ892" s="28"/>
      <c r="BA892" s="28"/>
      <c r="BB892" s="28"/>
    </row>
    <row r="893" spans="1:54" ht="12.75" x14ac:dyDescent="0.2">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c r="AA893" s="28"/>
      <c r="AB893" s="28"/>
      <c r="AC893" s="28"/>
      <c r="AD893" s="28"/>
      <c r="AE893" s="28"/>
      <c r="AF893" s="28"/>
      <c r="AG893" s="28"/>
      <c r="AH893" s="28"/>
      <c r="AI893" s="28"/>
      <c r="AJ893" s="28"/>
      <c r="AK893" s="28"/>
      <c r="AL893" s="28"/>
      <c r="AM893" s="28"/>
      <c r="AN893" s="28"/>
      <c r="AO893" s="28"/>
      <c r="AP893" s="28"/>
      <c r="AQ893" s="28"/>
      <c r="AR893" s="28"/>
      <c r="AS893" s="28"/>
      <c r="AT893" s="28"/>
      <c r="AU893" s="28"/>
      <c r="AV893" s="28"/>
      <c r="AW893" s="28"/>
      <c r="AX893" s="28"/>
      <c r="AY893" s="28"/>
      <c r="AZ893" s="28"/>
      <c r="BA893" s="28"/>
      <c r="BB893" s="28"/>
    </row>
    <row r="894" spans="1:54" ht="12.75" x14ac:dyDescent="0.2">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c r="AA894" s="28"/>
      <c r="AB894" s="28"/>
      <c r="AC894" s="28"/>
      <c r="AD894" s="28"/>
      <c r="AE894" s="28"/>
      <c r="AF894" s="28"/>
      <c r="AG894" s="28"/>
      <c r="AH894" s="28"/>
      <c r="AI894" s="28"/>
      <c r="AJ894" s="28"/>
      <c r="AK894" s="28"/>
      <c r="AL894" s="28"/>
      <c r="AM894" s="28"/>
      <c r="AN894" s="28"/>
      <c r="AO894" s="28"/>
      <c r="AP894" s="28"/>
      <c r="AQ894" s="28"/>
      <c r="AR894" s="28"/>
      <c r="AS894" s="28"/>
      <c r="AT894" s="28"/>
      <c r="AU894" s="28"/>
      <c r="AV894" s="28"/>
      <c r="AW894" s="28"/>
      <c r="AX894" s="28"/>
      <c r="AY894" s="28"/>
      <c r="AZ894" s="28"/>
      <c r="BA894" s="28"/>
      <c r="BB894" s="28"/>
    </row>
    <row r="895" spans="1:54" ht="12.75" x14ac:dyDescent="0.2">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c r="AA895" s="28"/>
      <c r="AB895" s="28"/>
      <c r="AC895" s="28"/>
      <c r="AD895" s="28"/>
      <c r="AE895" s="28"/>
      <c r="AF895" s="28"/>
      <c r="AG895" s="28"/>
      <c r="AH895" s="28"/>
      <c r="AI895" s="28"/>
      <c r="AJ895" s="28"/>
      <c r="AK895" s="28"/>
      <c r="AL895" s="28"/>
      <c r="AM895" s="28"/>
      <c r="AN895" s="28"/>
      <c r="AO895" s="28"/>
      <c r="AP895" s="28"/>
      <c r="AQ895" s="28"/>
      <c r="AR895" s="28"/>
      <c r="AS895" s="28"/>
      <c r="AT895" s="28"/>
      <c r="AU895" s="28"/>
      <c r="AV895" s="28"/>
      <c r="AW895" s="28"/>
      <c r="AX895" s="28"/>
      <c r="AY895" s="28"/>
      <c r="AZ895" s="28"/>
      <c r="BA895" s="28"/>
      <c r="BB895" s="28"/>
    </row>
    <row r="896" spans="1:54" ht="12.75" x14ac:dyDescent="0.2">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c r="AA896" s="28"/>
      <c r="AB896" s="28"/>
      <c r="AC896" s="28"/>
      <c r="AD896" s="28"/>
      <c r="AE896" s="28"/>
      <c r="AF896" s="28"/>
      <c r="AG896" s="28"/>
      <c r="AH896" s="28"/>
      <c r="AI896" s="28"/>
      <c r="AJ896" s="28"/>
      <c r="AK896" s="28"/>
      <c r="AL896" s="28"/>
      <c r="AM896" s="28"/>
      <c r="AN896" s="28"/>
      <c r="AO896" s="28"/>
      <c r="AP896" s="28"/>
      <c r="AQ896" s="28"/>
      <c r="AR896" s="28"/>
      <c r="AS896" s="28"/>
      <c r="AT896" s="28"/>
      <c r="AU896" s="28"/>
      <c r="AV896" s="28"/>
      <c r="AW896" s="28"/>
      <c r="AX896" s="28"/>
      <c r="AY896" s="28"/>
      <c r="AZ896" s="28"/>
      <c r="BA896" s="28"/>
      <c r="BB896" s="28"/>
    </row>
    <row r="897" spans="1:54" ht="12.75" x14ac:dyDescent="0.2">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c r="AA897" s="28"/>
      <c r="AB897" s="28"/>
      <c r="AC897" s="28"/>
      <c r="AD897" s="28"/>
      <c r="AE897" s="28"/>
      <c r="AF897" s="28"/>
      <c r="AG897" s="28"/>
      <c r="AH897" s="28"/>
      <c r="AI897" s="28"/>
      <c r="AJ897" s="28"/>
      <c r="AK897" s="28"/>
      <c r="AL897" s="28"/>
      <c r="AM897" s="28"/>
      <c r="AN897" s="28"/>
      <c r="AO897" s="28"/>
      <c r="AP897" s="28"/>
      <c r="AQ897" s="28"/>
      <c r="AR897" s="28"/>
      <c r="AS897" s="28"/>
      <c r="AT897" s="28"/>
      <c r="AU897" s="28"/>
      <c r="AV897" s="28"/>
      <c r="AW897" s="28"/>
      <c r="AX897" s="28"/>
      <c r="AY897" s="28"/>
      <c r="AZ897" s="28"/>
      <c r="BA897" s="28"/>
      <c r="BB897" s="28"/>
    </row>
    <row r="898" spans="1:54" ht="12.75" x14ac:dyDescent="0.2">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c r="AA898" s="28"/>
      <c r="AB898" s="28"/>
      <c r="AC898" s="28"/>
      <c r="AD898" s="28"/>
      <c r="AE898" s="28"/>
      <c r="AF898" s="28"/>
      <c r="AG898" s="28"/>
      <c r="AH898" s="28"/>
      <c r="AI898" s="28"/>
      <c r="AJ898" s="28"/>
      <c r="AK898" s="28"/>
      <c r="AL898" s="28"/>
      <c r="AM898" s="28"/>
      <c r="AN898" s="28"/>
      <c r="AO898" s="28"/>
      <c r="AP898" s="28"/>
      <c r="AQ898" s="28"/>
      <c r="AR898" s="28"/>
      <c r="AS898" s="28"/>
      <c r="AT898" s="28"/>
      <c r="AU898" s="28"/>
      <c r="AV898" s="28"/>
      <c r="AW898" s="28"/>
      <c r="AX898" s="28"/>
      <c r="AY898" s="28"/>
      <c r="AZ898" s="28"/>
      <c r="BA898" s="28"/>
      <c r="BB898" s="28"/>
    </row>
    <row r="899" spans="1:54" ht="12.75" x14ac:dyDescent="0.2">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c r="AA899" s="28"/>
      <c r="AB899" s="28"/>
      <c r="AC899" s="28"/>
      <c r="AD899" s="28"/>
      <c r="AE899" s="28"/>
      <c r="AF899" s="28"/>
      <c r="AG899" s="28"/>
      <c r="AH899" s="28"/>
      <c r="AI899" s="28"/>
      <c r="AJ899" s="28"/>
      <c r="AK899" s="28"/>
      <c r="AL899" s="28"/>
      <c r="AM899" s="28"/>
      <c r="AN899" s="28"/>
      <c r="AO899" s="28"/>
      <c r="AP899" s="28"/>
      <c r="AQ899" s="28"/>
      <c r="AR899" s="28"/>
      <c r="AS899" s="28"/>
      <c r="AT899" s="28"/>
      <c r="AU899" s="28"/>
      <c r="AV899" s="28"/>
      <c r="AW899" s="28"/>
      <c r="AX899" s="28"/>
      <c r="AY899" s="28"/>
      <c r="AZ899" s="28"/>
      <c r="BA899" s="28"/>
      <c r="BB899" s="28"/>
    </row>
    <row r="900" spans="1:54" ht="12.75" x14ac:dyDescent="0.2">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c r="AA900" s="28"/>
      <c r="AB900" s="28"/>
      <c r="AC900" s="28"/>
      <c r="AD900" s="28"/>
      <c r="AE900" s="28"/>
      <c r="AF900" s="28"/>
      <c r="AG900" s="28"/>
      <c r="AH900" s="28"/>
      <c r="AI900" s="28"/>
      <c r="AJ900" s="28"/>
      <c r="AK900" s="28"/>
      <c r="AL900" s="28"/>
      <c r="AM900" s="28"/>
      <c r="AN900" s="28"/>
      <c r="AO900" s="28"/>
      <c r="AP900" s="28"/>
      <c r="AQ900" s="28"/>
      <c r="AR900" s="28"/>
      <c r="AS900" s="28"/>
      <c r="AT900" s="28"/>
      <c r="AU900" s="28"/>
      <c r="AV900" s="28"/>
      <c r="AW900" s="28"/>
      <c r="AX900" s="28"/>
      <c r="AY900" s="28"/>
      <c r="AZ900" s="28"/>
      <c r="BA900" s="28"/>
      <c r="BB900" s="28"/>
    </row>
    <row r="901" spans="1:54" ht="12.75" x14ac:dyDescent="0.2">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c r="AA901" s="28"/>
      <c r="AB901" s="28"/>
      <c r="AC901" s="28"/>
      <c r="AD901" s="28"/>
      <c r="AE901" s="28"/>
      <c r="AF901" s="28"/>
      <c r="AG901" s="28"/>
      <c r="AH901" s="28"/>
      <c r="AI901" s="28"/>
      <c r="AJ901" s="28"/>
      <c r="AK901" s="28"/>
      <c r="AL901" s="28"/>
      <c r="AM901" s="28"/>
      <c r="AN901" s="28"/>
      <c r="AO901" s="28"/>
      <c r="AP901" s="28"/>
      <c r="AQ901" s="28"/>
      <c r="AR901" s="28"/>
      <c r="AS901" s="28"/>
      <c r="AT901" s="28"/>
      <c r="AU901" s="28"/>
      <c r="AV901" s="28"/>
      <c r="AW901" s="28"/>
      <c r="AX901" s="28"/>
      <c r="AY901" s="28"/>
      <c r="AZ901" s="28"/>
      <c r="BA901" s="28"/>
      <c r="BB901" s="28"/>
    </row>
    <row r="902" spans="1:54" ht="12.75" x14ac:dyDescent="0.2">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c r="AA902" s="28"/>
      <c r="AB902" s="28"/>
      <c r="AC902" s="28"/>
      <c r="AD902" s="28"/>
      <c r="AE902" s="28"/>
      <c r="AF902" s="28"/>
      <c r="AG902" s="28"/>
      <c r="AH902" s="28"/>
      <c r="AI902" s="28"/>
      <c r="AJ902" s="28"/>
      <c r="AK902" s="28"/>
      <c r="AL902" s="28"/>
      <c r="AM902" s="28"/>
      <c r="AN902" s="28"/>
      <c r="AO902" s="28"/>
      <c r="AP902" s="28"/>
      <c r="AQ902" s="28"/>
      <c r="AR902" s="28"/>
      <c r="AS902" s="28"/>
      <c r="AT902" s="28"/>
      <c r="AU902" s="28"/>
      <c r="AV902" s="28"/>
      <c r="AW902" s="28"/>
      <c r="AX902" s="28"/>
      <c r="AY902" s="28"/>
      <c r="AZ902" s="28"/>
      <c r="BA902" s="28"/>
      <c r="BB902" s="28"/>
    </row>
    <row r="903" spans="1:54" ht="12.75" x14ac:dyDescent="0.2">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c r="AA903" s="28"/>
      <c r="AB903" s="28"/>
      <c r="AC903" s="28"/>
      <c r="AD903" s="28"/>
      <c r="AE903" s="28"/>
      <c r="AF903" s="28"/>
      <c r="AG903" s="28"/>
      <c r="AH903" s="28"/>
      <c r="AI903" s="28"/>
      <c r="AJ903" s="28"/>
      <c r="AK903" s="28"/>
      <c r="AL903" s="28"/>
      <c r="AM903" s="28"/>
      <c r="AN903" s="28"/>
      <c r="AO903" s="28"/>
      <c r="AP903" s="28"/>
      <c r="AQ903" s="28"/>
      <c r="AR903" s="28"/>
      <c r="AS903" s="28"/>
      <c r="AT903" s="28"/>
      <c r="AU903" s="28"/>
      <c r="AV903" s="28"/>
      <c r="AW903" s="28"/>
      <c r="AX903" s="28"/>
      <c r="AY903" s="28"/>
      <c r="AZ903" s="28"/>
      <c r="BA903" s="28"/>
      <c r="BB903" s="28"/>
    </row>
    <row r="904" spans="1:54" ht="12.75" x14ac:dyDescent="0.2">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c r="AA904" s="28"/>
      <c r="AB904" s="28"/>
      <c r="AC904" s="28"/>
      <c r="AD904" s="28"/>
      <c r="AE904" s="28"/>
      <c r="AF904" s="28"/>
      <c r="AG904" s="28"/>
      <c r="AH904" s="28"/>
      <c r="AI904" s="28"/>
      <c r="AJ904" s="28"/>
      <c r="AK904" s="28"/>
      <c r="AL904" s="28"/>
      <c r="AM904" s="28"/>
      <c r="AN904" s="28"/>
      <c r="AO904" s="28"/>
      <c r="AP904" s="28"/>
      <c r="AQ904" s="28"/>
      <c r="AR904" s="28"/>
      <c r="AS904" s="28"/>
      <c r="AT904" s="28"/>
      <c r="AU904" s="28"/>
      <c r="AV904" s="28"/>
      <c r="AW904" s="28"/>
      <c r="AX904" s="28"/>
      <c r="AY904" s="28"/>
      <c r="AZ904" s="28"/>
      <c r="BA904" s="28"/>
      <c r="BB904" s="28"/>
    </row>
    <row r="905" spans="1:54" ht="12.75" x14ac:dyDescent="0.2">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c r="AA905" s="28"/>
      <c r="AB905" s="28"/>
      <c r="AC905" s="28"/>
      <c r="AD905" s="28"/>
      <c r="AE905" s="28"/>
      <c r="AF905" s="28"/>
      <c r="AG905" s="28"/>
      <c r="AH905" s="28"/>
      <c r="AI905" s="28"/>
      <c r="AJ905" s="28"/>
      <c r="AK905" s="28"/>
      <c r="AL905" s="28"/>
      <c r="AM905" s="28"/>
      <c r="AN905" s="28"/>
      <c r="AO905" s="28"/>
      <c r="AP905" s="28"/>
      <c r="AQ905" s="28"/>
      <c r="AR905" s="28"/>
      <c r="AS905" s="28"/>
      <c r="AT905" s="28"/>
      <c r="AU905" s="28"/>
      <c r="AV905" s="28"/>
      <c r="AW905" s="28"/>
      <c r="AX905" s="28"/>
      <c r="AY905" s="28"/>
      <c r="AZ905" s="28"/>
      <c r="BA905" s="28"/>
      <c r="BB905" s="28"/>
    </row>
    <row r="906" spans="1:54" ht="12.75" x14ac:dyDescent="0.2">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c r="AA906" s="28"/>
      <c r="AB906" s="28"/>
      <c r="AC906" s="28"/>
      <c r="AD906" s="28"/>
      <c r="AE906" s="28"/>
      <c r="AF906" s="28"/>
      <c r="AG906" s="28"/>
      <c r="AH906" s="28"/>
      <c r="AI906" s="28"/>
      <c r="AJ906" s="28"/>
      <c r="AK906" s="28"/>
      <c r="AL906" s="28"/>
      <c r="AM906" s="28"/>
      <c r="AN906" s="28"/>
      <c r="AO906" s="28"/>
      <c r="AP906" s="28"/>
      <c r="AQ906" s="28"/>
      <c r="AR906" s="28"/>
      <c r="AS906" s="28"/>
      <c r="AT906" s="28"/>
      <c r="AU906" s="28"/>
      <c r="AV906" s="28"/>
      <c r="AW906" s="28"/>
      <c r="AX906" s="28"/>
      <c r="AY906" s="28"/>
      <c r="AZ906" s="28"/>
      <c r="BA906" s="28"/>
      <c r="BB906" s="28"/>
    </row>
    <row r="907" spans="1:54" ht="12.75" x14ac:dyDescent="0.2">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8"/>
      <c r="AJ907" s="28"/>
      <c r="AK907" s="28"/>
      <c r="AL907" s="28"/>
      <c r="AM907" s="28"/>
      <c r="AN907" s="28"/>
      <c r="AO907" s="28"/>
      <c r="AP907" s="28"/>
      <c r="AQ907" s="28"/>
      <c r="AR907" s="28"/>
      <c r="AS907" s="28"/>
      <c r="AT907" s="28"/>
      <c r="AU907" s="28"/>
      <c r="AV907" s="28"/>
      <c r="AW907" s="28"/>
      <c r="AX907" s="28"/>
      <c r="AY907" s="28"/>
      <c r="AZ907" s="28"/>
      <c r="BA907" s="28"/>
      <c r="BB907" s="28"/>
    </row>
    <row r="908" spans="1:54" ht="12.75" x14ac:dyDescent="0.2">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c r="AA908" s="28"/>
      <c r="AB908" s="28"/>
      <c r="AC908" s="28"/>
      <c r="AD908" s="28"/>
      <c r="AE908" s="28"/>
      <c r="AF908" s="28"/>
      <c r="AG908" s="28"/>
      <c r="AH908" s="28"/>
      <c r="AI908" s="28"/>
      <c r="AJ908" s="28"/>
      <c r="AK908" s="28"/>
      <c r="AL908" s="28"/>
      <c r="AM908" s="28"/>
      <c r="AN908" s="28"/>
      <c r="AO908" s="28"/>
      <c r="AP908" s="28"/>
      <c r="AQ908" s="28"/>
      <c r="AR908" s="28"/>
      <c r="AS908" s="28"/>
      <c r="AT908" s="28"/>
      <c r="AU908" s="28"/>
      <c r="AV908" s="28"/>
      <c r="AW908" s="28"/>
      <c r="AX908" s="28"/>
      <c r="AY908" s="28"/>
      <c r="AZ908" s="28"/>
      <c r="BA908" s="28"/>
      <c r="BB908" s="28"/>
    </row>
    <row r="909" spans="1:54" ht="12.75" x14ac:dyDescent="0.2">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c r="AA909" s="28"/>
      <c r="AB909" s="28"/>
      <c r="AC909" s="28"/>
      <c r="AD909" s="28"/>
      <c r="AE909" s="28"/>
      <c r="AF909" s="28"/>
      <c r="AG909" s="28"/>
      <c r="AH909" s="28"/>
      <c r="AI909" s="28"/>
      <c r="AJ909" s="28"/>
      <c r="AK909" s="28"/>
      <c r="AL909" s="28"/>
      <c r="AM909" s="28"/>
      <c r="AN909" s="28"/>
      <c r="AO909" s="28"/>
      <c r="AP909" s="28"/>
      <c r="AQ909" s="28"/>
      <c r="AR909" s="28"/>
      <c r="AS909" s="28"/>
      <c r="AT909" s="28"/>
      <c r="AU909" s="28"/>
      <c r="AV909" s="28"/>
      <c r="AW909" s="28"/>
      <c r="AX909" s="28"/>
      <c r="AY909" s="28"/>
      <c r="AZ909" s="28"/>
      <c r="BA909" s="28"/>
      <c r="BB909" s="28"/>
    </row>
    <row r="910" spans="1:54" ht="12.75" x14ac:dyDescent="0.2">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c r="AA910" s="28"/>
      <c r="AB910" s="28"/>
      <c r="AC910" s="28"/>
      <c r="AD910" s="28"/>
      <c r="AE910" s="28"/>
      <c r="AF910" s="28"/>
      <c r="AG910" s="28"/>
      <c r="AH910" s="28"/>
      <c r="AI910" s="28"/>
      <c r="AJ910" s="28"/>
      <c r="AK910" s="28"/>
      <c r="AL910" s="28"/>
      <c r="AM910" s="28"/>
      <c r="AN910" s="28"/>
      <c r="AO910" s="28"/>
      <c r="AP910" s="28"/>
      <c r="AQ910" s="28"/>
      <c r="AR910" s="28"/>
      <c r="AS910" s="28"/>
      <c r="AT910" s="28"/>
      <c r="AU910" s="28"/>
      <c r="AV910" s="28"/>
      <c r="AW910" s="28"/>
      <c r="AX910" s="28"/>
      <c r="AY910" s="28"/>
      <c r="AZ910" s="28"/>
      <c r="BA910" s="28"/>
      <c r="BB910" s="28"/>
    </row>
    <row r="911" spans="1:54" ht="12.75" x14ac:dyDescent="0.2">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c r="AA911" s="28"/>
      <c r="AB911" s="28"/>
      <c r="AC911" s="28"/>
      <c r="AD911" s="28"/>
      <c r="AE911" s="28"/>
      <c r="AF911" s="28"/>
      <c r="AG911" s="28"/>
      <c r="AH911" s="28"/>
      <c r="AI911" s="28"/>
      <c r="AJ911" s="28"/>
      <c r="AK911" s="28"/>
      <c r="AL911" s="28"/>
      <c r="AM911" s="28"/>
      <c r="AN911" s="28"/>
      <c r="AO911" s="28"/>
      <c r="AP911" s="28"/>
      <c r="AQ911" s="28"/>
      <c r="AR911" s="28"/>
      <c r="AS911" s="28"/>
      <c r="AT911" s="28"/>
      <c r="AU911" s="28"/>
      <c r="AV911" s="28"/>
      <c r="AW911" s="28"/>
      <c r="AX911" s="28"/>
      <c r="AY911" s="28"/>
      <c r="AZ911" s="28"/>
      <c r="BA911" s="28"/>
      <c r="BB911" s="28"/>
    </row>
    <row r="912" spans="1:54" ht="12.75" x14ac:dyDescent="0.2">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c r="AA912" s="28"/>
      <c r="AB912" s="28"/>
      <c r="AC912" s="28"/>
      <c r="AD912" s="28"/>
      <c r="AE912" s="28"/>
      <c r="AF912" s="28"/>
      <c r="AG912" s="28"/>
      <c r="AH912" s="28"/>
      <c r="AI912" s="28"/>
      <c r="AJ912" s="28"/>
      <c r="AK912" s="28"/>
      <c r="AL912" s="28"/>
      <c r="AM912" s="28"/>
      <c r="AN912" s="28"/>
      <c r="AO912" s="28"/>
      <c r="AP912" s="28"/>
      <c r="AQ912" s="28"/>
      <c r="AR912" s="28"/>
      <c r="AS912" s="28"/>
      <c r="AT912" s="28"/>
      <c r="AU912" s="28"/>
      <c r="AV912" s="28"/>
      <c r="AW912" s="28"/>
      <c r="AX912" s="28"/>
      <c r="AY912" s="28"/>
      <c r="AZ912" s="28"/>
      <c r="BA912" s="28"/>
      <c r="BB912" s="28"/>
    </row>
    <row r="913" spans="1:54" ht="12.75" x14ac:dyDescent="0.2">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c r="AA913" s="28"/>
      <c r="AB913" s="28"/>
      <c r="AC913" s="28"/>
      <c r="AD913" s="28"/>
      <c r="AE913" s="28"/>
      <c r="AF913" s="28"/>
      <c r="AG913" s="28"/>
      <c r="AH913" s="28"/>
      <c r="AI913" s="28"/>
      <c r="AJ913" s="28"/>
      <c r="AK913" s="28"/>
      <c r="AL913" s="28"/>
      <c r="AM913" s="28"/>
      <c r="AN913" s="28"/>
      <c r="AO913" s="28"/>
      <c r="AP913" s="28"/>
      <c r="AQ913" s="28"/>
      <c r="AR913" s="28"/>
      <c r="AS913" s="28"/>
      <c r="AT913" s="28"/>
      <c r="AU913" s="28"/>
      <c r="AV913" s="28"/>
      <c r="AW913" s="28"/>
      <c r="AX913" s="28"/>
      <c r="AY913" s="28"/>
      <c r="AZ913" s="28"/>
      <c r="BA913" s="28"/>
      <c r="BB913" s="28"/>
    </row>
    <row r="914" spans="1:54" ht="12.75" x14ac:dyDescent="0.2">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c r="AA914" s="28"/>
      <c r="AB914" s="28"/>
      <c r="AC914" s="28"/>
      <c r="AD914" s="28"/>
      <c r="AE914" s="28"/>
      <c r="AF914" s="28"/>
      <c r="AG914" s="28"/>
      <c r="AH914" s="28"/>
      <c r="AI914" s="28"/>
      <c r="AJ914" s="28"/>
      <c r="AK914" s="28"/>
      <c r="AL914" s="28"/>
      <c r="AM914" s="28"/>
      <c r="AN914" s="28"/>
      <c r="AO914" s="28"/>
      <c r="AP914" s="28"/>
      <c r="AQ914" s="28"/>
      <c r="AR914" s="28"/>
      <c r="AS914" s="28"/>
      <c r="AT914" s="28"/>
      <c r="AU914" s="28"/>
      <c r="AV914" s="28"/>
      <c r="AW914" s="28"/>
      <c r="AX914" s="28"/>
      <c r="AY914" s="28"/>
      <c r="AZ914" s="28"/>
      <c r="BA914" s="28"/>
      <c r="BB914" s="28"/>
    </row>
    <row r="915" spans="1:54" ht="12.75" x14ac:dyDescent="0.2">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c r="AA915" s="28"/>
      <c r="AB915" s="28"/>
      <c r="AC915" s="28"/>
      <c r="AD915" s="28"/>
      <c r="AE915" s="28"/>
      <c r="AF915" s="28"/>
      <c r="AG915" s="28"/>
      <c r="AH915" s="28"/>
      <c r="AI915" s="28"/>
      <c r="AJ915" s="28"/>
      <c r="AK915" s="28"/>
      <c r="AL915" s="28"/>
      <c r="AM915" s="28"/>
      <c r="AN915" s="28"/>
      <c r="AO915" s="28"/>
      <c r="AP915" s="28"/>
      <c r="AQ915" s="28"/>
      <c r="AR915" s="28"/>
      <c r="AS915" s="28"/>
      <c r="AT915" s="28"/>
      <c r="AU915" s="28"/>
      <c r="AV915" s="28"/>
      <c r="AW915" s="28"/>
      <c r="AX915" s="28"/>
      <c r="AY915" s="28"/>
      <c r="AZ915" s="28"/>
      <c r="BA915" s="28"/>
      <c r="BB915" s="28"/>
    </row>
    <row r="916" spans="1:54" ht="12.75" x14ac:dyDescent="0.2">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c r="AA916" s="28"/>
      <c r="AB916" s="28"/>
      <c r="AC916" s="28"/>
      <c r="AD916" s="28"/>
      <c r="AE916" s="28"/>
      <c r="AF916" s="28"/>
      <c r="AG916" s="28"/>
      <c r="AH916" s="28"/>
      <c r="AI916" s="28"/>
      <c r="AJ916" s="28"/>
      <c r="AK916" s="28"/>
      <c r="AL916" s="28"/>
      <c r="AM916" s="28"/>
      <c r="AN916" s="28"/>
      <c r="AO916" s="28"/>
      <c r="AP916" s="28"/>
      <c r="AQ916" s="28"/>
      <c r="AR916" s="28"/>
      <c r="AS916" s="28"/>
      <c r="AT916" s="28"/>
      <c r="AU916" s="28"/>
      <c r="AV916" s="28"/>
      <c r="AW916" s="28"/>
      <c r="AX916" s="28"/>
      <c r="AY916" s="28"/>
      <c r="AZ916" s="28"/>
      <c r="BA916" s="28"/>
      <c r="BB916" s="28"/>
    </row>
    <row r="917" spans="1:54" ht="12.75" x14ac:dyDescent="0.2">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c r="AA917" s="28"/>
      <c r="AB917" s="28"/>
      <c r="AC917" s="28"/>
      <c r="AD917" s="28"/>
      <c r="AE917" s="28"/>
      <c r="AF917" s="28"/>
      <c r="AG917" s="28"/>
      <c r="AH917" s="28"/>
      <c r="AI917" s="28"/>
      <c r="AJ917" s="28"/>
      <c r="AK917" s="28"/>
      <c r="AL917" s="28"/>
      <c r="AM917" s="28"/>
      <c r="AN917" s="28"/>
      <c r="AO917" s="28"/>
      <c r="AP917" s="28"/>
      <c r="AQ917" s="28"/>
      <c r="AR917" s="28"/>
      <c r="AS917" s="28"/>
      <c r="AT917" s="28"/>
      <c r="AU917" s="28"/>
      <c r="AV917" s="28"/>
      <c r="AW917" s="28"/>
      <c r="AX917" s="28"/>
      <c r="AY917" s="28"/>
      <c r="AZ917" s="28"/>
      <c r="BA917" s="28"/>
      <c r="BB917" s="28"/>
    </row>
    <row r="918" spans="1:54" ht="12.75" x14ac:dyDescent="0.2">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c r="AA918" s="28"/>
      <c r="AB918" s="28"/>
      <c r="AC918" s="28"/>
      <c r="AD918" s="28"/>
      <c r="AE918" s="28"/>
      <c r="AF918" s="28"/>
      <c r="AG918" s="28"/>
      <c r="AH918" s="28"/>
      <c r="AI918" s="28"/>
      <c r="AJ918" s="28"/>
      <c r="AK918" s="28"/>
      <c r="AL918" s="28"/>
      <c r="AM918" s="28"/>
      <c r="AN918" s="28"/>
      <c r="AO918" s="28"/>
      <c r="AP918" s="28"/>
      <c r="AQ918" s="28"/>
      <c r="AR918" s="28"/>
      <c r="AS918" s="28"/>
      <c r="AT918" s="28"/>
      <c r="AU918" s="28"/>
      <c r="AV918" s="28"/>
      <c r="AW918" s="28"/>
      <c r="AX918" s="28"/>
      <c r="AY918" s="28"/>
      <c r="AZ918" s="28"/>
      <c r="BA918" s="28"/>
      <c r="BB918" s="28"/>
    </row>
    <row r="919" spans="1:54" ht="12.75" x14ac:dyDescent="0.2">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c r="AA919" s="28"/>
      <c r="AB919" s="28"/>
      <c r="AC919" s="28"/>
      <c r="AD919" s="28"/>
      <c r="AE919" s="28"/>
      <c r="AF919" s="28"/>
      <c r="AG919" s="28"/>
      <c r="AH919" s="28"/>
      <c r="AI919" s="28"/>
      <c r="AJ919" s="28"/>
      <c r="AK919" s="28"/>
      <c r="AL919" s="28"/>
      <c r="AM919" s="28"/>
      <c r="AN919" s="28"/>
      <c r="AO919" s="28"/>
      <c r="AP919" s="28"/>
      <c r="AQ919" s="28"/>
      <c r="AR919" s="28"/>
      <c r="AS919" s="28"/>
      <c r="AT919" s="28"/>
      <c r="AU919" s="28"/>
      <c r="AV919" s="28"/>
      <c r="AW919" s="28"/>
      <c r="AX919" s="28"/>
      <c r="AY919" s="28"/>
      <c r="AZ919" s="28"/>
      <c r="BA919" s="28"/>
      <c r="BB919" s="28"/>
    </row>
    <row r="920" spans="1:54" ht="12.75" x14ac:dyDescent="0.2">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c r="AA920" s="28"/>
      <c r="AB920" s="28"/>
      <c r="AC920" s="28"/>
      <c r="AD920" s="28"/>
      <c r="AE920" s="28"/>
      <c r="AF920" s="28"/>
      <c r="AG920" s="28"/>
      <c r="AH920" s="28"/>
      <c r="AI920" s="28"/>
      <c r="AJ920" s="28"/>
      <c r="AK920" s="28"/>
      <c r="AL920" s="28"/>
      <c r="AM920" s="28"/>
      <c r="AN920" s="28"/>
      <c r="AO920" s="28"/>
      <c r="AP920" s="28"/>
      <c r="AQ920" s="28"/>
      <c r="AR920" s="28"/>
      <c r="AS920" s="28"/>
      <c r="AT920" s="28"/>
      <c r="AU920" s="28"/>
      <c r="AV920" s="28"/>
      <c r="AW920" s="28"/>
      <c r="AX920" s="28"/>
      <c r="AY920" s="28"/>
      <c r="AZ920" s="28"/>
      <c r="BA920" s="28"/>
      <c r="BB920" s="28"/>
    </row>
    <row r="921" spans="1:54" ht="12.75" x14ac:dyDescent="0.2">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c r="AA921" s="28"/>
      <c r="AB921" s="28"/>
      <c r="AC921" s="28"/>
      <c r="AD921" s="28"/>
      <c r="AE921" s="28"/>
      <c r="AF921" s="28"/>
      <c r="AG921" s="28"/>
      <c r="AH921" s="28"/>
      <c r="AI921" s="28"/>
      <c r="AJ921" s="28"/>
      <c r="AK921" s="28"/>
      <c r="AL921" s="28"/>
      <c r="AM921" s="28"/>
      <c r="AN921" s="28"/>
      <c r="AO921" s="28"/>
      <c r="AP921" s="28"/>
      <c r="AQ921" s="28"/>
      <c r="AR921" s="28"/>
      <c r="AS921" s="28"/>
      <c r="AT921" s="28"/>
      <c r="AU921" s="28"/>
      <c r="AV921" s="28"/>
      <c r="AW921" s="28"/>
      <c r="AX921" s="28"/>
      <c r="AY921" s="28"/>
      <c r="AZ921" s="28"/>
      <c r="BA921" s="28"/>
      <c r="BB921" s="28"/>
    </row>
    <row r="922" spans="1:54" ht="12.75" x14ac:dyDescent="0.2">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c r="AA922" s="28"/>
      <c r="AB922" s="28"/>
      <c r="AC922" s="28"/>
      <c r="AD922" s="28"/>
      <c r="AE922" s="28"/>
      <c r="AF922" s="28"/>
      <c r="AG922" s="28"/>
      <c r="AH922" s="28"/>
      <c r="AI922" s="28"/>
      <c r="AJ922" s="28"/>
      <c r="AK922" s="28"/>
      <c r="AL922" s="28"/>
      <c r="AM922" s="28"/>
      <c r="AN922" s="28"/>
      <c r="AO922" s="28"/>
      <c r="AP922" s="28"/>
      <c r="AQ922" s="28"/>
      <c r="AR922" s="28"/>
      <c r="AS922" s="28"/>
      <c r="AT922" s="28"/>
      <c r="AU922" s="28"/>
      <c r="AV922" s="28"/>
      <c r="AW922" s="28"/>
      <c r="AX922" s="28"/>
      <c r="AY922" s="28"/>
      <c r="AZ922" s="28"/>
      <c r="BA922" s="28"/>
      <c r="BB922" s="28"/>
    </row>
    <row r="923" spans="1:54" ht="12.75" x14ac:dyDescent="0.2">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c r="AA923" s="28"/>
      <c r="AB923" s="28"/>
      <c r="AC923" s="28"/>
      <c r="AD923" s="28"/>
      <c r="AE923" s="28"/>
      <c r="AF923" s="28"/>
      <c r="AG923" s="28"/>
      <c r="AH923" s="28"/>
      <c r="AI923" s="28"/>
      <c r="AJ923" s="28"/>
      <c r="AK923" s="28"/>
      <c r="AL923" s="28"/>
      <c r="AM923" s="28"/>
      <c r="AN923" s="28"/>
      <c r="AO923" s="28"/>
      <c r="AP923" s="28"/>
      <c r="AQ923" s="28"/>
      <c r="AR923" s="28"/>
      <c r="AS923" s="28"/>
      <c r="AT923" s="28"/>
      <c r="AU923" s="28"/>
      <c r="AV923" s="28"/>
      <c r="AW923" s="28"/>
      <c r="AX923" s="28"/>
      <c r="AY923" s="28"/>
      <c r="AZ923" s="28"/>
      <c r="BA923" s="28"/>
      <c r="BB923" s="28"/>
    </row>
    <row r="924" spans="1:54" ht="12.75" x14ac:dyDescent="0.2">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8"/>
      <c r="AB924" s="28"/>
      <c r="AC924" s="28"/>
      <c r="AD924" s="28"/>
      <c r="AE924" s="28"/>
      <c r="AF924" s="28"/>
      <c r="AG924" s="28"/>
      <c r="AH924" s="28"/>
      <c r="AI924" s="28"/>
      <c r="AJ924" s="28"/>
      <c r="AK924" s="28"/>
      <c r="AL924" s="28"/>
      <c r="AM924" s="28"/>
      <c r="AN924" s="28"/>
      <c r="AO924" s="28"/>
      <c r="AP924" s="28"/>
      <c r="AQ924" s="28"/>
      <c r="AR924" s="28"/>
      <c r="AS924" s="28"/>
      <c r="AT924" s="28"/>
      <c r="AU924" s="28"/>
      <c r="AV924" s="28"/>
      <c r="AW924" s="28"/>
      <c r="AX924" s="28"/>
      <c r="AY924" s="28"/>
      <c r="AZ924" s="28"/>
      <c r="BA924" s="28"/>
      <c r="BB924" s="28"/>
    </row>
    <row r="925" spans="1:54" ht="12.75" x14ac:dyDescent="0.2">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c r="AA925" s="28"/>
      <c r="AB925" s="28"/>
      <c r="AC925" s="28"/>
      <c r="AD925" s="28"/>
      <c r="AE925" s="28"/>
      <c r="AF925" s="28"/>
      <c r="AG925" s="28"/>
      <c r="AH925" s="28"/>
      <c r="AI925" s="28"/>
      <c r="AJ925" s="28"/>
      <c r="AK925" s="28"/>
      <c r="AL925" s="28"/>
      <c r="AM925" s="28"/>
      <c r="AN925" s="28"/>
      <c r="AO925" s="28"/>
      <c r="AP925" s="28"/>
      <c r="AQ925" s="28"/>
      <c r="AR925" s="28"/>
      <c r="AS925" s="28"/>
      <c r="AT925" s="28"/>
      <c r="AU925" s="28"/>
      <c r="AV925" s="28"/>
      <c r="AW925" s="28"/>
      <c r="AX925" s="28"/>
      <c r="AY925" s="28"/>
      <c r="AZ925" s="28"/>
      <c r="BA925" s="28"/>
      <c r="BB925" s="28"/>
    </row>
    <row r="926" spans="1:54" ht="12.75" x14ac:dyDescent="0.2">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c r="AA926" s="28"/>
      <c r="AB926" s="28"/>
      <c r="AC926" s="28"/>
      <c r="AD926" s="28"/>
      <c r="AE926" s="28"/>
      <c r="AF926" s="28"/>
      <c r="AG926" s="28"/>
      <c r="AH926" s="28"/>
      <c r="AI926" s="28"/>
      <c r="AJ926" s="28"/>
      <c r="AK926" s="28"/>
      <c r="AL926" s="28"/>
      <c r="AM926" s="28"/>
      <c r="AN926" s="28"/>
      <c r="AO926" s="28"/>
      <c r="AP926" s="28"/>
      <c r="AQ926" s="28"/>
      <c r="AR926" s="28"/>
      <c r="AS926" s="28"/>
      <c r="AT926" s="28"/>
      <c r="AU926" s="28"/>
      <c r="AV926" s="28"/>
      <c r="AW926" s="28"/>
      <c r="AX926" s="28"/>
      <c r="AY926" s="28"/>
      <c r="AZ926" s="28"/>
      <c r="BA926" s="28"/>
      <c r="BB926" s="28"/>
    </row>
    <row r="927" spans="1:54" ht="12.75" x14ac:dyDescent="0.2">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c r="AA927" s="28"/>
      <c r="AB927" s="28"/>
      <c r="AC927" s="28"/>
      <c r="AD927" s="28"/>
      <c r="AE927" s="28"/>
      <c r="AF927" s="28"/>
      <c r="AG927" s="28"/>
      <c r="AH927" s="28"/>
      <c r="AI927" s="28"/>
      <c r="AJ927" s="28"/>
      <c r="AK927" s="28"/>
      <c r="AL927" s="28"/>
      <c r="AM927" s="28"/>
      <c r="AN927" s="28"/>
      <c r="AO927" s="28"/>
      <c r="AP927" s="28"/>
      <c r="AQ927" s="28"/>
      <c r="AR927" s="28"/>
      <c r="AS927" s="28"/>
      <c r="AT927" s="28"/>
      <c r="AU927" s="28"/>
      <c r="AV927" s="28"/>
      <c r="AW927" s="28"/>
      <c r="AX927" s="28"/>
      <c r="AY927" s="28"/>
      <c r="AZ927" s="28"/>
      <c r="BA927" s="28"/>
      <c r="BB927" s="28"/>
    </row>
    <row r="928" spans="1:54" ht="12.75" x14ac:dyDescent="0.2">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c r="AA928" s="28"/>
      <c r="AB928" s="28"/>
      <c r="AC928" s="28"/>
      <c r="AD928" s="28"/>
      <c r="AE928" s="28"/>
      <c r="AF928" s="28"/>
      <c r="AG928" s="28"/>
      <c r="AH928" s="28"/>
      <c r="AI928" s="28"/>
      <c r="AJ928" s="28"/>
      <c r="AK928" s="28"/>
      <c r="AL928" s="28"/>
      <c r="AM928" s="28"/>
      <c r="AN928" s="28"/>
      <c r="AO928" s="28"/>
      <c r="AP928" s="28"/>
      <c r="AQ928" s="28"/>
      <c r="AR928" s="28"/>
      <c r="AS928" s="28"/>
      <c r="AT928" s="28"/>
      <c r="AU928" s="28"/>
      <c r="AV928" s="28"/>
      <c r="AW928" s="28"/>
      <c r="AX928" s="28"/>
      <c r="AY928" s="28"/>
      <c r="AZ928" s="28"/>
      <c r="BA928" s="28"/>
      <c r="BB928" s="28"/>
    </row>
    <row r="929" spans="1:54" ht="12.75" x14ac:dyDescent="0.2">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c r="AA929" s="28"/>
      <c r="AB929" s="28"/>
      <c r="AC929" s="28"/>
      <c r="AD929" s="28"/>
      <c r="AE929" s="28"/>
      <c r="AF929" s="28"/>
      <c r="AG929" s="28"/>
      <c r="AH929" s="28"/>
      <c r="AI929" s="28"/>
      <c r="AJ929" s="28"/>
      <c r="AK929" s="28"/>
      <c r="AL929" s="28"/>
      <c r="AM929" s="28"/>
      <c r="AN929" s="28"/>
      <c r="AO929" s="28"/>
      <c r="AP929" s="28"/>
      <c r="AQ929" s="28"/>
      <c r="AR929" s="28"/>
      <c r="AS929" s="28"/>
      <c r="AT929" s="28"/>
      <c r="AU929" s="28"/>
      <c r="AV929" s="28"/>
      <c r="AW929" s="28"/>
      <c r="AX929" s="28"/>
      <c r="AY929" s="28"/>
      <c r="AZ929" s="28"/>
      <c r="BA929" s="28"/>
      <c r="BB929" s="28"/>
    </row>
    <row r="930" spans="1:54" ht="12.75" x14ac:dyDescent="0.2">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c r="AA930" s="28"/>
      <c r="AB930" s="28"/>
      <c r="AC930" s="28"/>
      <c r="AD930" s="28"/>
      <c r="AE930" s="28"/>
      <c r="AF930" s="28"/>
      <c r="AG930" s="28"/>
      <c r="AH930" s="28"/>
      <c r="AI930" s="28"/>
      <c r="AJ930" s="28"/>
      <c r="AK930" s="28"/>
      <c r="AL930" s="28"/>
      <c r="AM930" s="28"/>
      <c r="AN930" s="28"/>
      <c r="AO930" s="28"/>
      <c r="AP930" s="28"/>
      <c r="AQ930" s="28"/>
      <c r="AR930" s="28"/>
      <c r="AS930" s="28"/>
      <c r="AT930" s="28"/>
      <c r="AU930" s="28"/>
      <c r="AV930" s="28"/>
      <c r="AW930" s="28"/>
      <c r="AX930" s="28"/>
      <c r="AY930" s="28"/>
      <c r="AZ930" s="28"/>
      <c r="BA930" s="28"/>
      <c r="BB930" s="28"/>
    </row>
    <row r="931" spans="1:54" ht="12.75" x14ac:dyDescent="0.2">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c r="AA931" s="28"/>
      <c r="AB931" s="28"/>
      <c r="AC931" s="28"/>
      <c r="AD931" s="28"/>
      <c r="AE931" s="28"/>
      <c r="AF931" s="28"/>
      <c r="AG931" s="28"/>
      <c r="AH931" s="28"/>
      <c r="AI931" s="28"/>
      <c r="AJ931" s="28"/>
      <c r="AK931" s="28"/>
      <c r="AL931" s="28"/>
      <c r="AM931" s="28"/>
      <c r="AN931" s="28"/>
      <c r="AO931" s="28"/>
      <c r="AP931" s="28"/>
      <c r="AQ931" s="28"/>
      <c r="AR931" s="28"/>
      <c r="AS931" s="28"/>
      <c r="AT931" s="28"/>
      <c r="AU931" s="28"/>
      <c r="AV931" s="28"/>
      <c r="AW931" s="28"/>
      <c r="AX931" s="28"/>
      <c r="AY931" s="28"/>
      <c r="AZ931" s="28"/>
      <c r="BA931" s="28"/>
      <c r="BB931" s="28"/>
    </row>
    <row r="932" spans="1:54" ht="12.75" x14ac:dyDescent="0.2">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c r="AA932" s="28"/>
      <c r="AB932" s="28"/>
      <c r="AC932" s="28"/>
      <c r="AD932" s="28"/>
      <c r="AE932" s="28"/>
      <c r="AF932" s="28"/>
      <c r="AG932" s="28"/>
      <c r="AH932" s="28"/>
      <c r="AI932" s="28"/>
      <c r="AJ932" s="28"/>
      <c r="AK932" s="28"/>
      <c r="AL932" s="28"/>
      <c r="AM932" s="28"/>
      <c r="AN932" s="28"/>
      <c r="AO932" s="28"/>
      <c r="AP932" s="28"/>
      <c r="AQ932" s="28"/>
      <c r="AR932" s="28"/>
      <c r="AS932" s="28"/>
      <c r="AT932" s="28"/>
      <c r="AU932" s="28"/>
      <c r="AV932" s="28"/>
      <c r="AW932" s="28"/>
      <c r="AX932" s="28"/>
      <c r="AY932" s="28"/>
      <c r="AZ932" s="28"/>
      <c r="BA932" s="28"/>
      <c r="BB932" s="28"/>
    </row>
    <row r="933" spans="1:54" ht="12.75" x14ac:dyDescent="0.2">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c r="AA933" s="28"/>
      <c r="AB933" s="28"/>
      <c r="AC933" s="28"/>
      <c r="AD933" s="28"/>
      <c r="AE933" s="28"/>
      <c r="AF933" s="28"/>
      <c r="AG933" s="28"/>
      <c r="AH933" s="28"/>
      <c r="AI933" s="28"/>
      <c r="AJ933" s="28"/>
      <c r="AK933" s="28"/>
      <c r="AL933" s="28"/>
      <c r="AM933" s="28"/>
      <c r="AN933" s="28"/>
      <c r="AO933" s="28"/>
      <c r="AP933" s="28"/>
      <c r="AQ933" s="28"/>
      <c r="AR933" s="28"/>
      <c r="AS933" s="28"/>
      <c r="AT933" s="28"/>
      <c r="AU933" s="28"/>
      <c r="AV933" s="28"/>
      <c r="AW933" s="28"/>
      <c r="AX933" s="28"/>
      <c r="AY933" s="28"/>
      <c r="AZ933" s="28"/>
      <c r="BA933" s="28"/>
      <c r="BB933" s="28"/>
    </row>
    <row r="934" spans="1:54" ht="12.75" x14ac:dyDescent="0.2">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c r="AA934" s="28"/>
      <c r="AB934" s="28"/>
      <c r="AC934" s="28"/>
      <c r="AD934" s="28"/>
      <c r="AE934" s="28"/>
      <c r="AF934" s="28"/>
      <c r="AG934" s="28"/>
      <c r="AH934" s="28"/>
      <c r="AI934" s="28"/>
      <c r="AJ934" s="28"/>
      <c r="AK934" s="28"/>
      <c r="AL934" s="28"/>
      <c r="AM934" s="28"/>
      <c r="AN934" s="28"/>
      <c r="AO934" s="28"/>
      <c r="AP934" s="28"/>
      <c r="AQ934" s="28"/>
      <c r="AR934" s="28"/>
      <c r="AS934" s="28"/>
      <c r="AT934" s="28"/>
      <c r="AU934" s="28"/>
      <c r="AV934" s="28"/>
      <c r="AW934" s="28"/>
      <c r="AX934" s="28"/>
      <c r="AY934" s="28"/>
      <c r="AZ934" s="28"/>
      <c r="BA934" s="28"/>
      <c r="BB934" s="28"/>
    </row>
    <row r="935" spans="1:54" ht="12.75" x14ac:dyDescent="0.2">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c r="AA935" s="28"/>
      <c r="AB935" s="28"/>
      <c r="AC935" s="28"/>
      <c r="AD935" s="28"/>
      <c r="AE935" s="28"/>
      <c r="AF935" s="28"/>
      <c r="AG935" s="28"/>
      <c r="AH935" s="28"/>
      <c r="AI935" s="28"/>
      <c r="AJ935" s="28"/>
      <c r="AK935" s="28"/>
      <c r="AL935" s="28"/>
      <c r="AM935" s="28"/>
      <c r="AN935" s="28"/>
      <c r="AO935" s="28"/>
      <c r="AP935" s="28"/>
      <c r="AQ935" s="28"/>
      <c r="AR935" s="28"/>
      <c r="AS935" s="28"/>
      <c r="AT935" s="28"/>
      <c r="AU935" s="28"/>
      <c r="AV935" s="28"/>
      <c r="AW935" s="28"/>
      <c r="AX935" s="28"/>
      <c r="AY935" s="28"/>
      <c r="AZ935" s="28"/>
      <c r="BA935" s="28"/>
      <c r="BB935" s="28"/>
    </row>
    <row r="936" spans="1:54" ht="12.75" x14ac:dyDescent="0.2">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c r="AA936" s="28"/>
      <c r="AB936" s="28"/>
      <c r="AC936" s="28"/>
      <c r="AD936" s="28"/>
      <c r="AE936" s="28"/>
      <c r="AF936" s="28"/>
      <c r="AG936" s="28"/>
      <c r="AH936" s="28"/>
      <c r="AI936" s="28"/>
      <c r="AJ936" s="28"/>
      <c r="AK936" s="28"/>
      <c r="AL936" s="28"/>
      <c r="AM936" s="28"/>
      <c r="AN936" s="28"/>
      <c r="AO936" s="28"/>
      <c r="AP936" s="28"/>
      <c r="AQ936" s="28"/>
      <c r="AR936" s="28"/>
      <c r="AS936" s="28"/>
      <c r="AT936" s="28"/>
      <c r="AU936" s="28"/>
      <c r="AV936" s="28"/>
      <c r="AW936" s="28"/>
      <c r="AX936" s="28"/>
      <c r="AY936" s="28"/>
      <c r="AZ936" s="28"/>
      <c r="BA936" s="28"/>
      <c r="BB936" s="28"/>
    </row>
    <row r="937" spans="1:54" ht="12.75" x14ac:dyDescent="0.2">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c r="AA937" s="28"/>
      <c r="AB937" s="28"/>
      <c r="AC937" s="28"/>
      <c r="AD937" s="28"/>
      <c r="AE937" s="28"/>
      <c r="AF937" s="28"/>
      <c r="AG937" s="28"/>
      <c r="AH937" s="28"/>
      <c r="AI937" s="28"/>
      <c r="AJ937" s="28"/>
      <c r="AK937" s="28"/>
      <c r="AL937" s="28"/>
      <c r="AM937" s="28"/>
      <c r="AN937" s="28"/>
      <c r="AO937" s="28"/>
      <c r="AP937" s="28"/>
      <c r="AQ937" s="28"/>
      <c r="AR937" s="28"/>
      <c r="AS937" s="28"/>
      <c r="AT937" s="28"/>
      <c r="AU937" s="28"/>
      <c r="AV937" s="28"/>
      <c r="AW937" s="28"/>
      <c r="AX937" s="28"/>
      <c r="AY937" s="28"/>
      <c r="AZ937" s="28"/>
      <c r="BA937" s="28"/>
      <c r="BB937" s="28"/>
    </row>
    <row r="938" spans="1:54" ht="12.75" x14ac:dyDescent="0.2">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c r="AA938" s="28"/>
      <c r="AB938" s="28"/>
      <c r="AC938" s="28"/>
      <c r="AD938" s="28"/>
      <c r="AE938" s="28"/>
      <c r="AF938" s="28"/>
      <c r="AG938" s="28"/>
      <c r="AH938" s="28"/>
      <c r="AI938" s="28"/>
      <c r="AJ938" s="28"/>
      <c r="AK938" s="28"/>
      <c r="AL938" s="28"/>
      <c r="AM938" s="28"/>
      <c r="AN938" s="28"/>
      <c r="AO938" s="28"/>
      <c r="AP938" s="28"/>
      <c r="AQ938" s="28"/>
      <c r="AR938" s="28"/>
      <c r="AS938" s="28"/>
      <c r="AT938" s="28"/>
      <c r="AU938" s="28"/>
      <c r="AV938" s="28"/>
      <c r="AW938" s="28"/>
      <c r="AX938" s="28"/>
      <c r="AY938" s="28"/>
      <c r="AZ938" s="28"/>
      <c r="BA938" s="28"/>
      <c r="BB938" s="28"/>
    </row>
    <row r="939" spans="1:54" ht="12.75" x14ac:dyDescent="0.2">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c r="AA939" s="28"/>
      <c r="AB939" s="28"/>
      <c r="AC939" s="28"/>
      <c r="AD939" s="28"/>
      <c r="AE939" s="28"/>
      <c r="AF939" s="28"/>
      <c r="AG939" s="28"/>
      <c r="AH939" s="28"/>
      <c r="AI939" s="28"/>
      <c r="AJ939" s="28"/>
      <c r="AK939" s="28"/>
      <c r="AL939" s="28"/>
      <c r="AM939" s="28"/>
      <c r="AN939" s="28"/>
      <c r="AO939" s="28"/>
      <c r="AP939" s="28"/>
      <c r="AQ939" s="28"/>
      <c r="AR939" s="28"/>
      <c r="AS939" s="28"/>
      <c r="AT939" s="28"/>
      <c r="AU939" s="28"/>
      <c r="AV939" s="28"/>
      <c r="AW939" s="28"/>
      <c r="AX939" s="28"/>
      <c r="AY939" s="28"/>
      <c r="AZ939" s="28"/>
      <c r="BA939" s="28"/>
      <c r="BB939" s="28"/>
    </row>
    <row r="940" spans="1:54" ht="12.75" x14ac:dyDescent="0.2">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c r="AA940" s="28"/>
      <c r="AB940" s="28"/>
      <c r="AC940" s="28"/>
      <c r="AD940" s="28"/>
      <c r="AE940" s="28"/>
      <c r="AF940" s="28"/>
      <c r="AG940" s="28"/>
      <c r="AH940" s="28"/>
      <c r="AI940" s="28"/>
      <c r="AJ940" s="28"/>
      <c r="AK940" s="28"/>
      <c r="AL940" s="28"/>
      <c r="AM940" s="28"/>
      <c r="AN940" s="28"/>
      <c r="AO940" s="28"/>
      <c r="AP940" s="28"/>
      <c r="AQ940" s="28"/>
      <c r="AR940" s="28"/>
      <c r="AS940" s="28"/>
      <c r="AT940" s="28"/>
      <c r="AU940" s="28"/>
      <c r="AV940" s="28"/>
      <c r="AW940" s="28"/>
      <c r="AX940" s="28"/>
      <c r="AY940" s="28"/>
      <c r="AZ940" s="28"/>
      <c r="BA940" s="28"/>
      <c r="BB940" s="28"/>
    </row>
    <row r="941" spans="1:54" ht="12.75" x14ac:dyDescent="0.2">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c r="AA941" s="28"/>
      <c r="AB941" s="28"/>
      <c r="AC941" s="28"/>
      <c r="AD941" s="28"/>
      <c r="AE941" s="28"/>
      <c r="AF941" s="28"/>
      <c r="AG941" s="28"/>
      <c r="AH941" s="28"/>
      <c r="AI941" s="28"/>
      <c r="AJ941" s="28"/>
      <c r="AK941" s="28"/>
      <c r="AL941" s="28"/>
      <c r="AM941" s="28"/>
      <c r="AN941" s="28"/>
      <c r="AO941" s="28"/>
      <c r="AP941" s="28"/>
      <c r="AQ941" s="28"/>
      <c r="AR941" s="28"/>
      <c r="AS941" s="28"/>
      <c r="AT941" s="28"/>
      <c r="AU941" s="28"/>
      <c r="AV941" s="28"/>
      <c r="AW941" s="28"/>
      <c r="AX941" s="28"/>
      <c r="AY941" s="28"/>
      <c r="AZ941" s="28"/>
      <c r="BA941" s="28"/>
      <c r="BB941" s="28"/>
    </row>
    <row r="942" spans="1:54" ht="12.75" x14ac:dyDescent="0.2">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8"/>
      <c r="AO942" s="28"/>
      <c r="AP942" s="28"/>
      <c r="AQ942" s="28"/>
      <c r="AR942" s="28"/>
      <c r="AS942" s="28"/>
      <c r="AT942" s="28"/>
      <c r="AU942" s="28"/>
      <c r="AV942" s="28"/>
      <c r="AW942" s="28"/>
      <c r="AX942" s="28"/>
      <c r="AY942" s="28"/>
      <c r="AZ942" s="28"/>
      <c r="BA942" s="28"/>
      <c r="BB942" s="28"/>
    </row>
    <row r="943" spans="1:54" ht="12.75" x14ac:dyDescent="0.2">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c r="AA943" s="28"/>
      <c r="AB943" s="28"/>
      <c r="AC943" s="28"/>
      <c r="AD943" s="28"/>
      <c r="AE943" s="28"/>
      <c r="AF943" s="28"/>
      <c r="AG943" s="28"/>
      <c r="AH943" s="28"/>
      <c r="AI943" s="28"/>
      <c r="AJ943" s="28"/>
      <c r="AK943" s="28"/>
      <c r="AL943" s="28"/>
      <c r="AM943" s="28"/>
      <c r="AN943" s="28"/>
      <c r="AO943" s="28"/>
      <c r="AP943" s="28"/>
      <c r="AQ943" s="28"/>
      <c r="AR943" s="28"/>
      <c r="AS943" s="28"/>
      <c r="AT943" s="28"/>
      <c r="AU943" s="28"/>
      <c r="AV943" s="28"/>
      <c r="AW943" s="28"/>
      <c r="AX943" s="28"/>
      <c r="AY943" s="28"/>
      <c r="AZ943" s="28"/>
      <c r="BA943" s="28"/>
      <c r="BB943" s="28"/>
    </row>
    <row r="944" spans="1:54" ht="12.75" x14ac:dyDescent="0.2">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c r="AA944" s="28"/>
      <c r="AB944" s="28"/>
      <c r="AC944" s="28"/>
      <c r="AD944" s="28"/>
      <c r="AE944" s="28"/>
      <c r="AF944" s="28"/>
      <c r="AG944" s="28"/>
      <c r="AH944" s="28"/>
      <c r="AI944" s="28"/>
      <c r="AJ944" s="28"/>
      <c r="AK944" s="28"/>
      <c r="AL944" s="28"/>
      <c r="AM944" s="28"/>
      <c r="AN944" s="28"/>
      <c r="AO944" s="28"/>
      <c r="AP944" s="28"/>
      <c r="AQ944" s="28"/>
      <c r="AR944" s="28"/>
      <c r="AS944" s="28"/>
      <c r="AT944" s="28"/>
      <c r="AU944" s="28"/>
      <c r="AV944" s="28"/>
      <c r="AW944" s="28"/>
      <c r="AX944" s="28"/>
      <c r="AY944" s="28"/>
      <c r="AZ944" s="28"/>
      <c r="BA944" s="28"/>
      <c r="BB944" s="28"/>
    </row>
    <row r="945" spans="1:54" ht="12.75" x14ac:dyDescent="0.2">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c r="AA945" s="28"/>
      <c r="AB945" s="28"/>
      <c r="AC945" s="28"/>
      <c r="AD945" s="28"/>
      <c r="AE945" s="28"/>
      <c r="AF945" s="28"/>
      <c r="AG945" s="28"/>
      <c r="AH945" s="28"/>
      <c r="AI945" s="28"/>
      <c r="AJ945" s="28"/>
      <c r="AK945" s="28"/>
      <c r="AL945" s="28"/>
      <c r="AM945" s="28"/>
      <c r="AN945" s="28"/>
      <c r="AO945" s="28"/>
      <c r="AP945" s="28"/>
      <c r="AQ945" s="28"/>
      <c r="AR945" s="28"/>
      <c r="AS945" s="28"/>
      <c r="AT945" s="28"/>
      <c r="AU945" s="28"/>
      <c r="AV945" s="28"/>
      <c r="AW945" s="28"/>
      <c r="AX945" s="28"/>
      <c r="AY945" s="28"/>
      <c r="AZ945" s="28"/>
      <c r="BA945" s="28"/>
      <c r="BB945" s="28"/>
    </row>
    <row r="946" spans="1:54" ht="12.75" x14ac:dyDescent="0.2">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c r="AA946" s="28"/>
      <c r="AB946" s="28"/>
      <c r="AC946" s="28"/>
      <c r="AD946" s="28"/>
      <c r="AE946" s="28"/>
      <c r="AF946" s="28"/>
      <c r="AG946" s="28"/>
      <c r="AH946" s="28"/>
      <c r="AI946" s="28"/>
      <c r="AJ946" s="28"/>
      <c r="AK946" s="28"/>
      <c r="AL946" s="28"/>
      <c r="AM946" s="28"/>
      <c r="AN946" s="28"/>
      <c r="AO946" s="28"/>
      <c r="AP946" s="28"/>
      <c r="AQ946" s="28"/>
      <c r="AR946" s="28"/>
      <c r="AS946" s="28"/>
      <c r="AT946" s="28"/>
      <c r="AU946" s="28"/>
      <c r="AV946" s="28"/>
      <c r="AW946" s="28"/>
      <c r="AX946" s="28"/>
      <c r="AY946" s="28"/>
      <c r="AZ946" s="28"/>
      <c r="BA946" s="28"/>
      <c r="BB946" s="28"/>
    </row>
    <row r="947" spans="1:54" ht="12.75" x14ac:dyDescent="0.2">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c r="AA947" s="28"/>
      <c r="AB947" s="28"/>
      <c r="AC947" s="28"/>
      <c r="AD947" s="28"/>
      <c r="AE947" s="28"/>
      <c r="AF947" s="28"/>
      <c r="AG947" s="28"/>
      <c r="AH947" s="28"/>
      <c r="AI947" s="28"/>
      <c r="AJ947" s="28"/>
      <c r="AK947" s="28"/>
      <c r="AL947" s="28"/>
      <c r="AM947" s="28"/>
      <c r="AN947" s="28"/>
      <c r="AO947" s="28"/>
      <c r="AP947" s="28"/>
      <c r="AQ947" s="28"/>
      <c r="AR947" s="28"/>
      <c r="AS947" s="28"/>
      <c r="AT947" s="28"/>
      <c r="AU947" s="28"/>
      <c r="AV947" s="28"/>
      <c r="AW947" s="28"/>
      <c r="AX947" s="28"/>
      <c r="AY947" s="28"/>
      <c r="AZ947" s="28"/>
      <c r="BA947" s="28"/>
      <c r="BB947" s="28"/>
    </row>
    <row r="948" spans="1:54" ht="12.75" x14ac:dyDescent="0.2">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c r="AA948" s="28"/>
      <c r="AB948" s="28"/>
      <c r="AC948" s="28"/>
      <c r="AD948" s="28"/>
      <c r="AE948" s="28"/>
      <c r="AF948" s="28"/>
      <c r="AG948" s="28"/>
      <c r="AH948" s="28"/>
      <c r="AI948" s="28"/>
      <c r="AJ948" s="28"/>
      <c r="AK948" s="28"/>
      <c r="AL948" s="28"/>
      <c r="AM948" s="28"/>
      <c r="AN948" s="28"/>
      <c r="AO948" s="28"/>
      <c r="AP948" s="28"/>
      <c r="AQ948" s="28"/>
      <c r="AR948" s="28"/>
      <c r="AS948" s="28"/>
      <c r="AT948" s="28"/>
      <c r="AU948" s="28"/>
      <c r="AV948" s="28"/>
      <c r="AW948" s="28"/>
      <c r="AX948" s="28"/>
      <c r="AY948" s="28"/>
      <c r="AZ948" s="28"/>
      <c r="BA948" s="28"/>
      <c r="BB948" s="28"/>
    </row>
    <row r="949" spans="1:54" ht="12.75" x14ac:dyDescent="0.2">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c r="AA949" s="28"/>
      <c r="AB949" s="28"/>
      <c r="AC949" s="28"/>
      <c r="AD949" s="28"/>
      <c r="AE949" s="28"/>
      <c r="AF949" s="28"/>
      <c r="AG949" s="28"/>
      <c r="AH949" s="28"/>
      <c r="AI949" s="28"/>
      <c r="AJ949" s="28"/>
      <c r="AK949" s="28"/>
      <c r="AL949" s="28"/>
      <c r="AM949" s="28"/>
      <c r="AN949" s="28"/>
      <c r="AO949" s="28"/>
      <c r="AP949" s="28"/>
      <c r="AQ949" s="28"/>
      <c r="AR949" s="28"/>
      <c r="AS949" s="28"/>
      <c r="AT949" s="28"/>
      <c r="AU949" s="28"/>
      <c r="AV949" s="28"/>
      <c r="AW949" s="28"/>
      <c r="AX949" s="28"/>
      <c r="AY949" s="28"/>
      <c r="AZ949" s="28"/>
      <c r="BA949" s="28"/>
      <c r="BB949" s="28"/>
    </row>
    <row r="950" spans="1:54" ht="12.75" x14ac:dyDescent="0.2">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c r="AA950" s="28"/>
      <c r="AB950" s="28"/>
      <c r="AC950" s="28"/>
      <c r="AD950" s="28"/>
      <c r="AE950" s="28"/>
      <c r="AF950" s="28"/>
      <c r="AG950" s="28"/>
      <c r="AH950" s="28"/>
      <c r="AI950" s="28"/>
      <c r="AJ950" s="28"/>
      <c r="AK950" s="28"/>
      <c r="AL950" s="28"/>
      <c r="AM950" s="28"/>
      <c r="AN950" s="28"/>
      <c r="AO950" s="28"/>
      <c r="AP950" s="28"/>
      <c r="AQ950" s="28"/>
      <c r="AR950" s="28"/>
      <c r="AS950" s="28"/>
      <c r="AT950" s="28"/>
      <c r="AU950" s="28"/>
      <c r="AV950" s="28"/>
      <c r="AW950" s="28"/>
      <c r="AX950" s="28"/>
      <c r="AY950" s="28"/>
      <c r="AZ950" s="28"/>
      <c r="BA950" s="28"/>
      <c r="BB950" s="28"/>
    </row>
    <row r="951" spans="1:54" ht="12.75" x14ac:dyDescent="0.2">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c r="AA951" s="28"/>
      <c r="AB951" s="28"/>
      <c r="AC951" s="28"/>
      <c r="AD951" s="28"/>
      <c r="AE951" s="28"/>
      <c r="AF951" s="28"/>
      <c r="AG951" s="28"/>
      <c r="AH951" s="28"/>
      <c r="AI951" s="28"/>
      <c r="AJ951" s="28"/>
      <c r="AK951" s="28"/>
      <c r="AL951" s="28"/>
      <c r="AM951" s="28"/>
      <c r="AN951" s="28"/>
      <c r="AO951" s="28"/>
      <c r="AP951" s="28"/>
      <c r="AQ951" s="28"/>
      <c r="AR951" s="28"/>
      <c r="AS951" s="28"/>
      <c r="AT951" s="28"/>
      <c r="AU951" s="28"/>
      <c r="AV951" s="28"/>
      <c r="AW951" s="28"/>
      <c r="AX951" s="28"/>
      <c r="AY951" s="28"/>
      <c r="AZ951" s="28"/>
      <c r="BA951" s="28"/>
      <c r="BB951" s="28"/>
    </row>
    <row r="952" spans="1:54" ht="12.75" x14ac:dyDescent="0.2">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8"/>
      <c r="AJ952" s="28"/>
      <c r="AK952" s="28"/>
      <c r="AL952" s="28"/>
      <c r="AM952" s="28"/>
      <c r="AN952" s="28"/>
      <c r="AO952" s="28"/>
      <c r="AP952" s="28"/>
      <c r="AQ952" s="28"/>
      <c r="AR952" s="28"/>
      <c r="AS952" s="28"/>
      <c r="AT952" s="28"/>
      <c r="AU952" s="28"/>
      <c r="AV952" s="28"/>
      <c r="AW952" s="28"/>
      <c r="AX952" s="28"/>
      <c r="AY952" s="28"/>
      <c r="AZ952" s="28"/>
      <c r="BA952" s="28"/>
      <c r="BB952" s="28"/>
    </row>
    <row r="953" spans="1:54" ht="12.75" x14ac:dyDescent="0.2">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c r="AA953" s="28"/>
      <c r="AB953" s="28"/>
      <c r="AC953" s="28"/>
      <c r="AD953" s="28"/>
      <c r="AE953" s="28"/>
      <c r="AF953" s="28"/>
      <c r="AG953" s="28"/>
      <c r="AH953" s="28"/>
      <c r="AI953" s="28"/>
      <c r="AJ953" s="28"/>
      <c r="AK953" s="28"/>
      <c r="AL953" s="28"/>
      <c r="AM953" s="28"/>
      <c r="AN953" s="28"/>
      <c r="AO953" s="28"/>
      <c r="AP953" s="28"/>
      <c r="AQ953" s="28"/>
      <c r="AR953" s="28"/>
      <c r="AS953" s="28"/>
      <c r="AT953" s="28"/>
      <c r="AU953" s="28"/>
      <c r="AV953" s="28"/>
      <c r="AW953" s="28"/>
      <c r="AX953" s="28"/>
      <c r="AY953" s="28"/>
      <c r="AZ953" s="28"/>
      <c r="BA953" s="28"/>
      <c r="BB953" s="28"/>
    </row>
    <row r="954" spans="1:54" ht="12.75" x14ac:dyDescent="0.2">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c r="AA954" s="28"/>
      <c r="AB954" s="28"/>
      <c r="AC954" s="28"/>
      <c r="AD954" s="28"/>
      <c r="AE954" s="28"/>
      <c r="AF954" s="28"/>
      <c r="AG954" s="28"/>
      <c r="AH954" s="28"/>
      <c r="AI954" s="28"/>
      <c r="AJ954" s="28"/>
      <c r="AK954" s="28"/>
      <c r="AL954" s="28"/>
      <c r="AM954" s="28"/>
      <c r="AN954" s="28"/>
      <c r="AO954" s="28"/>
      <c r="AP954" s="28"/>
      <c r="AQ954" s="28"/>
      <c r="AR954" s="28"/>
      <c r="AS954" s="28"/>
      <c r="AT954" s="28"/>
      <c r="AU954" s="28"/>
      <c r="AV954" s="28"/>
      <c r="AW954" s="28"/>
      <c r="AX954" s="28"/>
      <c r="AY954" s="28"/>
      <c r="AZ954" s="28"/>
      <c r="BA954" s="28"/>
      <c r="BB954" s="28"/>
    </row>
    <row r="955" spans="1:54" ht="12.75" x14ac:dyDescent="0.2">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c r="AA955" s="28"/>
      <c r="AB955" s="28"/>
      <c r="AC955" s="28"/>
      <c r="AD955" s="28"/>
      <c r="AE955" s="28"/>
      <c r="AF955" s="28"/>
      <c r="AG955" s="28"/>
      <c r="AH955" s="28"/>
      <c r="AI955" s="28"/>
      <c r="AJ955" s="28"/>
      <c r="AK955" s="28"/>
      <c r="AL955" s="28"/>
      <c r="AM955" s="28"/>
      <c r="AN955" s="28"/>
      <c r="AO955" s="28"/>
      <c r="AP955" s="28"/>
      <c r="AQ955" s="28"/>
      <c r="AR955" s="28"/>
      <c r="AS955" s="28"/>
      <c r="AT955" s="28"/>
      <c r="AU955" s="28"/>
      <c r="AV955" s="28"/>
      <c r="AW955" s="28"/>
      <c r="AX955" s="28"/>
      <c r="AY955" s="28"/>
      <c r="AZ955" s="28"/>
      <c r="BA955" s="28"/>
      <c r="BB955" s="28"/>
    </row>
    <row r="956" spans="1:54" ht="12.75" x14ac:dyDescent="0.2">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c r="AA956" s="28"/>
      <c r="AB956" s="28"/>
      <c r="AC956" s="28"/>
      <c r="AD956" s="28"/>
      <c r="AE956" s="28"/>
      <c r="AF956" s="28"/>
      <c r="AG956" s="28"/>
      <c r="AH956" s="28"/>
      <c r="AI956" s="28"/>
      <c r="AJ956" s="28"/>
      <c r="AK956" s="28"/>
      <c r="AL956" s="28"/>
      <c r="AM956" s="28"/>
      <c r="AN956" s="28"/>
      <c r="AO956" s="28"/>
      <c r="AP956" s="28"/>
      <c r="AQ956" s="28"/>
      <c r="AR956" s="28"/>
      <c r="AS956" s="28"/>
      <c r="AT956" s="28"/>
      <c r="AU956" s="28"/>
      <c r="AV956" s="28"/>
      <c r="AW956" s="28"/>
      <c r="AX956" s="28"/>
      <c r="AY956" s="28"/>
      <c r="AZ956" s="28"/>
      <c r="BA956" s="28"/>
      <c r="BB956" s="28"/>
    </row>
    <row r="957" spans="1:54" ht="12.75" x14ac:dyDescent="0.2">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c r="AA957" s="28"/>
      <c r="AB957" s="28"/>
      <c r="AC957" s="28"/>
      <c r="AD957" s="28"/>
      <c r="AE957" s="28"/>
      <c r="AF957" s="28"/>
      <c r="AG957" s="28"/>
      <c r="AH957" s="28"/>
      <c r="AI957" s="28"/>
      <c r="AJ957" s="28"/>
      <c r="AK957" s="28"/>
      <c r="AL957" s="28"/>
      <c r="AM957" s="28"/>
      <c r="AN957" s="28"/>
      <c r="AO957" s="28"/>
      <c r="AP957" s="28"/>
      <c r="AQ957" s="28"/>
      <c r="AR957" s="28"/>
      <c r="AS957" s="28"/>
      <c r="AT957" s="28"/>
      <c r="AU957" s="28"/>
      <c r="AV957" s="28"/>
      <c r="AW957" s="28"/>
      <c r="AX957" s="28"/>
      <c r="AY957" s="28"/>
      <c r="AZ957" s="28"/>
      <c r="BA957" s="28"/>
      <c r="BB957" s="28"/>
    </row>
    <row r="958" spans="1:54" ht="12.75" x14ac:dyDescent="0.2">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c r="AA958" s="28"/>
      <c r="AB958" s="28"/>
      <c r="AC958" s="28"/>
      <c r="AD958" s="28"/>
      <c r="AE958" s="28"/>
      <c r="AF958" s="28"/>
      <c r="AG958" s="28"/>
      <c r="AH958" s="28"/>
      <c r="AI958" s="28"/>
      <c r="AJ958" s="28"/>
      <c r="AK958" s="28"/>
      <c r="AL958" s="28"/>
      <c r="AM958" s="28"/>
      <c r="AN958" s="28"/>
      <c r="AO958" s="28"/>
      <c r="AP958" s="28"/>
      <c r="AQ958" s="28"/>
      <c r="AR958" s="28"/>
      <c r="AS958" s="28"/>
      <c r="AT958" s="28"/>
      <c r="AU958" s="28"/>
      <c r="AV958" s="28"/>
      <c r="AW958" s="28"/>
      <c r="AX958" s="28"/>
      <c r="AY958" s="28"/>
      <c r="AZ958" s="28"/>
      <c r="BA958" s="28"/>
      <c r="BB958" s="28"/>
    </row>
    <row r="959" spans="1:54" ht="12.75" x14ac:dyDescent="0.2">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c r="AA959" s="28"/>
      <c r="AB959" s="28"/>
      <c r="AC959" s="28"/>
      <c r="AD959" s="28"/>
      <c r="AE959" s="28"/>
      <c r="AF959" s="28"/>
      <c r="AG959" s="28"/>
      <c r="AH959" s="28"/>
      <c r="AI959" s="28"/>
      <c r="AJ959" s="28"/>
      <c r="AK959" s="28"/>
      <c r="AL959" s="28"/>
      <c r="AM959" s="28"/>
      <c r="AN959" s="28"/>
      <c r="AO959" s="28"/>
      <c r="AP959" s="28"/>
      <c r="AQ959" s="28"/>
      <c r="AR959" s="28"/>
      <c r="AS959" s="28"/>
      <c r="AT959" s="28"/>
      <c r="AU959" s="28"/>
      <c r="AV959" s="28"/>
      <c r="AW959" s="28"/>
      <c r="AX959" s="28"/>
      <c r="AY959" s="28"/>
      <c r="AZ959" s="28"/>
      <c r="BA959" s="28"/>
      <c r="BB959" s="28"/>
    </row>
    <row r="960" spans="1:54" ht="12.75" x14ac:dyDescent="0.2">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c r="AA960" s="28"/>
      <c r="AB960" s="28"/>
      <c r="AC960" s="28"/>
      <c r="AD960" s="28"/>
      <c r="AE960" s="28"/>
      <c r="AF960" s="28"/>
      <c r="AG960" s="28"/>
      <c r="AH960" s="28"/>
      <c r="AI960" s="28"/>
      <c r="AJ960" s="28"/>
      <c r="AK960" s="28"/>
      <c r="AL960" s="28"/>
      <c r="AM960" s="28"/>
      <c r="AN960" s="28"/>
      <c r="AO960" s="28"/>
      <c r="AP960" s="28"/>
      <c r="AQ960" s="28"/>
      <c r="AR960" s="28"/>
      <c r="AS960" s="28"/>
      <c r="AT960" s="28"/>
      <c r="AU960" s="28"/>
      <c r="AV960" s="28"/>
      <c r="AW960" s="28"/>
      <c r="AX960" s="28"/>
      <c r="AY960" s="28"/>
      <c r="AZ960" s="28"/>
      <c r="BA960" s="28"/>
      <c r="BB960" s="28"/>
    </row>
    <row r="961" spans="1:54" ht="12.75" x14ac:dyDescent="0.2">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c r="AA961" s="28"/>
      <c r="AB961" s="28"/>
      <c r="AC961" s="28"/>
      <c r="AD961" s="28"/>
      <c r="AE961" s="28"/>
      <c r="AF961" s="28"/>
      <c r="AG961" s="28"/>
      <c r="AH961" s="28"/>
      <c r="AI961" s="28"/>
      <c r="AJ961" s="28"/>
      <c r="AK961" s="28"/>
      <c r="AL961" s="28"/>
      <c r="AM961" s="28"/>
      <c r="AN961" s="28"/>
      <c r="AO961" s="28"/>
      <c r="AP961" s="28"/>
      <c r="AQ961" s="28"/>
      <c r="AR961" s="28"/>
      <c r="AS961" s="28"/>
      <c r="AT961" s="28"/>
      <c r="AU961" s="28"/>
      <c r="AV961" s="28"/>
      <c r="AW961" s="28"/>
      <c r="AX961" s="28"/>
      <c r="AY961" s="28"/>
      <c r="AZ961" s="28"/>
      <c r="BA961" s="28"/>
      <c r="BB961" s="28"/>
    </row>
    <row r="962" spans="1:54" ht="12.75" x14ac:dyDescent="0.2">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c r="AA962" s="28"/>
      <c r="AB962" s="28"/>
      <c r="AC962" s="28"/>
      <c r="AD962" s="28"/>
      <c r="AE962" s="28"/>
      <c r="AF962" s="28"/>
      <c r="AG962" s="28"/>
      <c r="AH962" s="28"/>
      <c r="AI962" s="28"/>
      <c r="AJ962" s="28"/>
      <c r="AK962" s="28"/>
      <c r="AL962" s="28"/>
      <c r="AM962" s="28"/>
      <c r="AN962" s="28"/>
      <c r="AO962" s="28"/>
      <c r="AP962" s="28"/>
      <c r="AQ962" s="28"/>
      <c r="AR962" s="28"/>
      <c r="AS962" s="28"/>
      <c r="AT962" s="28"/>
      <c r="AU962" s="28"/>
      <c r="AV962" s="28"/>
      <c r="AW962" s="28"/>
      <c r="AX962" s="28"/>
      <c r="AY962" s="28"/>
      <c r="AZ962" s="28"/>
      <c r="BA962" s="28"/>
      <c r="BB962" s="28"/>
    </row>
    <row r="963" spans="1:54" ht="12.75" x14ac:dyDescent="0.2">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c r="AA963" s="28"/>
      <c r="AB963" s="28"/>
      <c r="AC963" s="28"/>
      <c r="AD963" s="28"/>
      <c r="AE963" s="28"/>
      <c r="AF963" s="28"/>
      <c r="AG963" s="28"/>
      <c r="AH963" s="28"/>
      <c r="AI963" s="28"/>
      <c r="AJ963" s="28"/>
      <c r="AK963" s="28"/>
      <c r="AL963" s="28"/>
      <c r="AM963" s="28"/>
      <c r="AN963" s="28"/>
      <c r="AO963" s="28"/>
      <c r="AP963" s="28"/>
      <c r="AQ963" s="28"/>
      <c r="AR963" s="28"/>
      <c r="AS963" s="28"/>
      <c r="AT963" s="28"/>
      <c r="AU963" s="28"/>
      <c r="AV963" s="28"/>
      <c r="AW963" s="28"/>
      <c r="AX963" s="28"/>
      <c r="AY963" s="28"/>
      <c r="AZ963" s="28"/>
      <c r="BA963" s="28"/>
      <c r="BB963" s="28"/>
    </row>
    <row r="964" spans="1:54" ht="12.75" x14ac:dyDescent="0.2">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c r="AA964" s="28"/>
      <c r="AB964" s="28"/>
      <c r="AC964" s="28"/>
      <c r="AD964" s="28"/>
      <c r="AE964" s="28"/>
      <c r="AF964" s="28"/>
      <c r="AG964" s="28"/>
      <c r="AH964" s="28"/>
      <c r="AI964" s="28"/>
      <c r="AJ964" s="28"/>
      <c r="AK964" s="28"/>
      <c r="AL964" s="28"/>
      <c r="AM964" s="28"/>
      <c r="AN964" s="28"/>
      <c r="AO964" s="28"/>
      <c r="AP964" s="28"/>
      <c r="AQ964" s="28"/>
      <c r="AR964" s="28"/>
      <c r="AS964" s="28"/>
      <c r="AT964" s="28"/>
      <c r="AU964" s="28"/>
      <c r="AV964" s="28"/>
      <c r="AW964" s="28"/>
      <c r="AX964" s="28"/>
      <c r="AY964" s="28"/>
      <c r="AZ964" s="28"/>
      <c r="BA964" s="28"/>
      <c r="BB964" s="28"/>
    </row>
    <row r="965" spans="1:54" ht="12.75" x14ac:dyDescent="0.2">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c r="AA965" s="28"/>
      <c r="AB965" s="28"/>
      <c r="AC965" s="28"/>
      <c r="AD965" s="28"/>
      <c r="AE965" s="28"/>
      <c r="AF965" s="28"/>
      <c r="AG965" s="28"/>
      <c r="AH965" s="28"/>
      <c r="AI965" s="28"/>
      <c r="AJ965" s="28"/>
      <c r="AK965" s="28"/>
      <c r="AL965" s="28"/>
      <c r="AM965" s="28"/>
      <c r="AN965" s="28"/>
      <c r="AO965" s="28"/>
      <c r="AP965" s="28"/>
      <c r="AQ965" s="28"/>
      <c r="AR965" s="28"/>
      <c r="AS965" s="28"/>
      <c r="AT965" s="28"/>
      <c r="AU965" s="28"/>
      <c r="AV965" s="28"/>
      <c r="AW965" s="28"/>
      <c r="AX965" s="28"/>
      <c r="AY965" s="28"/>
      <c r="AZ965" s="28"/>
      <c r="BA965" s="28"/>
      <c r="BB965" s="28"/>
    </row>
    <row r="966" spans="1:54" ht="12.75" x14ac:dyDescent="0.2">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c r="AA966" s="28"/>
      <c r="AB966" s="28"/>
      <c r="AC966" s="28"/>
      <c r="AD966" s="28"/>
      <c r="AE966" s="28"/>
      <c r="AF966" s="28"/>
      <c r="AG966" s="28"/>
      <c r="AH966" s="28"/>
      <c r="AI966" s="28"/>
      <c r="AJ966" s="28"/>
      <c r="AK966" s="28"/>
      <c r="AL966" s="28"/>
      <c r="AM966" s="28"/>
      <c r="AN966" s="28"/>
      <c r="AO966" s="28"/>
      <c r="AP966" s="28"/>
      <c r="AQ966" s="28"/>
      <c r="AR966" s="28"/>
      <c r="AS966" s="28"/>
      <c r="AT966" s="28"/>
      <c r="AU966" s="28"/>
      <c r="AV966" s="28"/>
      <c r="AW966" s="28"/>
      <c r="AX966" s="28"/>
      <c r="AY966" s="28"/>
      <c r="AZ966" s="28"/>
      <c r="BA966" s="28"/>
      <c r="BB966" s="28"/>
    </row>
    <row r="967" spans="1:54" ht="12.75" x14ac:dyDescent="0.2">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c r="AA967" s="28"/>
      <c r="AB967" s="28"/>
      <c r="AC967" s="28"/>
      <c r="AD967" s="28"/>
      <c r="AE967" s="28"/>
      <c r="AF967" s="28"/>
      <c r="AG967" s="28"/>
      <c r="AH967" s="28"/>
      <c r="AI967" s="28"/>
      <c r="AJ967" s="28"/>
      <c r="AK967" s="28"/>
      <c r="AL967" s="28"/>
      <c r="AM967" s="28"/>
      <c r="AN967" s="28"/>
      <c r="AO967" s="28"/>
      <c r="AP967" s="28"/>
      <c r="AQ967" s="28"/>
      <c r="AR967" s="28"/>
      <c r="AS967" s="28"/>
      <c r="AT967" s="28"/>
      <c r="AU967" s="28"/>
      <c r="AV967" s="28"/>
      <c r="AW967" s="28"/>
      <c r="AX967" s="28"/>
      <c r="AY967" s="28"/>
      <c r="AZ967" s="28"/>
      <c r="BA967" s="28"/>
      <c r="BB967" s="28"/>
    </row>
    <row r="968" spans="1:54" ht="12.75" x14ac:dyDescent="0.2">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c r="AA968" s="28"/>
      <c r="AB968" s="28"/>
      <c r="AC968" s="28"/>
      <c r="AD968" s="28"/>
      <c r="AE968" s="28"/>
      <c r="AF968" s="28"/>
      <c r="AG968" s="28"/>
      <c r="AH968" s="28"/>
      <c r="AI968" s="28"/>
      <c r="AJ968" s="28"/>
      <c r="AK968" s="28"/>
      <c r="AL968" s="28"/>
      <c r="AM968" s="28"/>
      <c r="AN968" s="28"/>
      <c r="AO968" s="28"/>
      <c r="AP968" s="28"/>
      <c r="AQ968" s="28"/>
      <c r="AR968" s="28"/>
      <c r="AS968" s="28"/>
      <c r="AT968" s="28"/>
      <c r="AU968" s="28"/>
      <c r="AV968" s="28"/>
      <c r="AW968" s="28"/>
      <c r="AX968" s="28"/>
      <c r="AY968" s="28"/>
      <c r="AZ968" s="28"/>
      <c r="BA968" s="28"/>
      <c r="BB968" s="28"/>
    </row>
    <row r="969" spans="1:54" ht="12.75" x14ac:dyDescent="0.2">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c r="AA969" s="28"/>
      <c r="AB969" s="28"/>
      <c r="AC969" s="28"/>
      <c r="AD969" s="28"/>
      <c r="AE969" s="28"/>
      <c r="AF969" s="28"/>
      <c r="AG969" s="28"/>
      <c r="AH969" s="28"/>
      <c r="AI969" s="28"/>
      <c r="AJ969" s="28"/>
      <c r="AK969" s="28"/>
      <c r="AL969" s="28"/>
      <c r="AM969" s="28"/>
      <c r="AN969" s="28"/>
      <c r="AO969" s="28"/>
      <c r="AP969" s="28"/>
      <c r="AQ969" s="28"/>
      <c r="AR969" s="28"/>
      <c r="AS969" s="28"/>
      <c r="AT969" s="28"/>
      <c r="AU969" s="28"/>
      <c r="AV969" s="28"/>
      <c r="AW969" s="28"/>
      <c r="AX969" s="28"/>
      <c r="AY969" s="28"/>
      <c r="AZ969" s="28"/>
      <c r="BA969" s="28"/>
      <c r="BB969" s="28"/>
    </row>
    <row r="970" spans="1:54" ht="12.75" x14ac:dyDescent="0.2">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c r="AA970" s="28"/>
      <c r="AB970" s="28"/>
      <c r="AC970" s="28"/>
      <c r="AD970" s="28"/>
      <c r="AE970" s="28"/>
      <c r="AF970" s="28"/>
      <c r="AG970" s="28"/>
      <c r="AH970" s="28"/>
      <c r="AI970" s="28"/>
      <c r="AJ970" s="28"/>
      <c r="AK970" s="28"/>
      <c r="AL970" s="28"/>
      <c r="AM970" s="28"/>
      <c r="AN970" s="28"/>
      <c r="AO970" s="28"/>
      <c r="AP970" s="28"/>
      <c r="AQ970" s="28"/>
      <c r="AR970" s="28"/>
      <c r="AS970" s="28"/>
      <c r="AT970" s="28"/>
      <c r="AU970" s="28"/>
      <c r="AV970" s="28"/>
      <c r="AW970" s="28"/>
      <c r="AX970" s="28"/>
      <c r="AY970" s="28"/>
      <c r="AZ970" s="28"/>
      <c r="BA970" s="28"/>
      <c r="BB970" s="28"/>
    </row>
    <row r="971" spans="1:54" ht="12.75" x14ac:dyDescent="0.2">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c r="AA971" s="28"/>
      <c r="AB971" s="28"/>
      <c r="AC971" s="28"/>
      <c r="AD971" s="28"/>
      <c r="AE971" s="28"/>
      <c r="AF971" s="28"/>
      <c r="AG971" s="28"/>
      <c r="AH971" s="28"/>
      <c r="AI971" s="28"/>
      <c r="AJ971" s="28"/>
      <c r="AK971" s="28"/>
      <c r="AL971" s="28"/>
      <c r="AM971" s="28"/>
      <c r="AN971" s="28"/>
      <c r="AO971" s="28"/>
      <c r="AP971" s="28"/>
      <c r="AQ971" s="28"/>
      <c r="AR971" s="28"/>
      <c r="AS971" s="28"/>
      <c r="AT971" s="28"/>
      <c r="AU971" s="28"/>
      <c r="AV971" s="28"/>
      <c r="AW971" s="28"/>
      <c r="AX971" s="28"/>
      <c r="AY971" s="28"/>
      <c r="AZ971" s="28"/>
      <c r="BA971" s="28"/>
      <c r="BB971" s="28"/>
    </row>
    <row r="972" spans="1:54" ht="12.75" x14ac:dyDescent="0.2">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c r="AA972" s="28"/>
      <c r="AB972" s="28"/>
      <c r="AC972" s="28"/>
      <c r="AD972" s="28"/>
      <c r="AE972" s="28"/>
      <c r="AF972" s="28"/>
      <c r="AG972" s="28"/>
      <c r="AH972" s="28"/>
      <c r="AI972" s="28"/>
      <c r="AJ972" s="28"/>
      <c r="AK972" s="28"/>
      <c r="AL972" s="28"/>
      <c r="AM972" s="28"/>
      <c r="AN972" s="28"/>
      <c r="AO972" s="28"/>
      <c r="AP972" s="28"/>
      <c r="AQ972" s="28"/>
      <c r="AR972" s="28"/>
      <c r="AS972" s="28"/>
      <c r="AT972" s="28"/>
      <c r="AU972" s="28"/>
      <c r="AV972" s="28"/>
      <c r="AW972" s="28"/>
      <c r="AX972" s="28"/>
      <c r="AY972" s="28"/>
      <c r="AZ972" s="28"/>
      <c r="BA972" s="28"/>
      <c r="BB972" s="28"/>
    </row>
    <row r="973" spans="1:54" ht="12.75" x14ac:dyDescent="0.2">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c r="AA973" s="28"/>
      <c r="AB973" s="28"/>
      <c r="AC973" s="28"/>
      <c r="AD973" s="28"/>
      <c r="AE973" s="28"/>
      <c r="AF973" s="28"/>
      <c r="AG973" s="28"/>
      <c r="AH973" s="28"/>
      <c r="AI973" s="28"/>
      <c r="AJ973" s="28"/>
      <c r="AK973" s="28"/>
      <c r="AL973" s="28"/>
      <c r="AM973" s="28"/>
      <c r="AN973" s="28"/>
      <c r="AO973" s="28"/>
      <c r="AP973" s="28"/>
      <c r="AQ973" s="28"/>
      <c r="AR973" s="28"/>
      <c r="AS973" s="28"/>
      <c r="AT973" s="28"/>
      <c r="AU973" s="28"/>
      <c r="AV973" s="28"/>
      <c r="AW973" s="28"/>
      <c r="AX973" s="28"/>
      <c r="AY973" s="28"/>
      <c r="AZ973" s="28"/>
      <c r="BA973" s="28"/>
      <c r="BB973" s="28"/>
    </row>
    <row r="974" spans="1:54" ht="12.75" x14ac:dyDescent="0.2">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c r="AA974" s="28"/>
      <c r="AB974" s="28"/>
      <c r="AC974" s="28"/>
      <c r="AD974" s="28"/>
      <c r="AE974" s="28"/>
      <c r="AF974" s="28"/>
      <c r="AG974" s="28"/>
      <c r="AH974" s="28"/>
      <c r="AI974" s="28"/>
      <c r="AJ974" s="28"/>
      <c r="AK974" s="28"/>
      <c r="AL974" s="28"/>
      <c r="AM974" s="28"/>
      <c r="AN974" s="28"/>
      <c r="AO974" s="28"/>
      <c r="AP974" s="28"/>
      <c r="AQ974" s="28"/>
      <c r="AR974" s="28"/>
      <c r="AS974" s="28"/>
      <c r="AT974" s="28"/>
      <c r="AU974" s="28"/>
      <c r="AV974" s="28"/>
      <c r="AW974" s="28"/>
      <c r="AX974" s="28"/>
      <c r="AY974" s="28"/>
      <c r="AZ974" s="28"/>
      <c r="BA974" s="28"/>
      <c r="BB974" s="28"/>
    </row>
    <row r="975" spans="1:54" ht="12.75" x14ac:dyDescent="0.2">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c r="AA975" s="28"/>
      <c r="AB975" s="28"/>
      <c r="AC975" s="28"/>
      <c r="AD975" s="28"/>
      <c r="AE975" s="28"/>
      <c r="AF975" s="28"/>
      <c r="AG975" s="28"/>
      <c r="AH975" s="28"/>
      <c r="AI975" s="28"/>
      <c r="AJ975" s="28"/>
      <c r="AK975" s="28"/>
      <c r="AL975" s="28"/>
      <c r="AM975" s="28"/>
      <c r="AN975" s="28"/>
      <c r="AO975" s="28"/>
      <c r="AP975" s="28"/>
      <c r="AQ975" s="28"/>
      <c r="AR975" s="28"/>
      <c r="AS975" s="28"/>
      <c r="AT975" s="28"/>
      <c r="AU975" s="28"/>
      <c r="AV975" s="28"/>
      <c r="AW975" s="28"/>
      <c r="AX975" s="28"/>
      <c r="AY975" s="28"/>
      <c r="AZ975" s="28"/>
      <c r="BA975" s="28"/>
      <c r="BB975" s="28"/>
    </row>
    <row r="976" spans="1:54" ht="12.75" x14ac:dyDescent="0.2">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c r="AA976" s="28"/>
      <c r="AB976" s="28"/>
      <c r="AC976" s="28"/>
      <c r="AD976" s="28"/>
      <c r="AE976" s="28"/>
      <c r="AF976" s="28"/>
      <c r="AG976" s="28"/>
      <c r="AH976" s="28"/>
      <c r="AI976" s="28"/>
      <c r="AJ976" s="28"/>
      <c r="AK976" s="28"/>
      <c r="AL976" s="28"/>
      <c r="AM976" s="28"/>
      <c r="AN976" s="28"/>
      <c r="AO976" s="28"/>
      <c r="AP976" s="28"/>
      <c r="AQ976" s="28"/>
      <c r="AR976" s="28"/>
      <c r="AS976" s="28"/>
      <c r="AT976" s="28"/>
      <c r="AU976" s="28"/>
      <c r="AV976" s="28"/>
      <c r="AW976" s="28"/>
      <c r="AX976" s="28"/>
      <c r="AY976" s="28"/>
      <c r="AZ976" s="28"/>
      <c r="BA976" s="28"/>
      <c r="BB976" s="28"/>
    </row>
    <row r="977" spans="1:54" ht="12.75" x14ac:dyDescent="0.2">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c r="AA977" s="28"/>
      <c r="AB977" s="28"/>
      <c r="AC977" s="28"/>
      <c r="AD977" s="28"/>
      <c r="AE977" s="28"/>
      <c r="AF977" s="28"/>
      <c r="AG977" s="28"/>
      <c r="AH977" s="28"/>
      <c r="AI977" s="28"/>
      <c r="AJ977" s="28"/>
      <c r="AK977" s="28"/>
      <c r="AL977" s="28"/>
      <c r="AM977" s="28"/>
      <c r="AN977" s="28"/>
      <c r="AO977" s="28"/>
      <c r="AP977" s="28"/>
      <c r="AQ977" s="28"/>
      <c r="AR977" s="28"/>
      <c r="AS977" s="28"/>
      <c r="AT977" s="28"/>
      <c r="AU977" s="28"/>
      <c r="AV977" s="28"/>
      <c r="AW977" s="28"/>
      <c r="AX977" s="28"/>
      <c r="AY977" s="28"/>
      <c r="AZ977" s="28"/>
      <c r="BA977" s="28"/>
      <c r="BB977" s="28"/>
    </row>
    <row r="978" spans="1:54" ht="12.75" x14ac:dyDescent="0.2">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c r="AA978" s="28"/>
      <c r="AB978" s="28"/>
      <c r="AC978" s="28"/>
      <c r="AD978" s="28"/>
      <c r="AE978" s="28"/>
      <c r="AF978" s="28"/>
      <c r="AG978" s="28"/>
      <c r="AH978" s="28"/>
      <c r="AI978" s="28"/>
      <c r="AJ978" s="28"/>
      <c r="AK978" s="28"/>
      <c r="AL978" s="28"/>
      <c r="AM978" s="28"/>
      <c r="AN978" s="28"/>
      <c r="AO978" s="28"/>
      <c r="AP978" s="28"/>
      <c r="AQ978" s="28"/>
      <c r="AR978" s="28"/>
      <c r="AS978" s="28"/>
      <c r="AT978" s="28"/>
      <c r="AU978" s="28"/>
      <c r="AV978" s="28"/>
      <c r="AW978" s="28"/>
      <c r="AX978" s="28"/>
      <c r="AY978" s="28"/>
      <c r="AZ978" s="28"/>
      <c r="BA978" s="28"/>
      <c r="BB978" s="28"/>
    </row>
    <row r="979" spans="1:54" ht="12.75" x14ac:dyDescent="0.2">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c r="AA979" s="28"/>
      <c r="AB979" s="28"/>
      <c r="AC979" s="28"/>
      <c r="AD979" s="28"/>
      <c r="AE979" s="28"/>
      <c r="AF979" s="28"/>
      <c r="AG979" s="28"/>
      <c r="AH979" s="28"/>
      <c r="AI979" s="28"/>
      <c r="AJ979" s="28"/>
      <c r="AK979" s="28"/>
      <c r="AL979" s="28"/>
      <c r="AM979" s="28"/>
      <c r="AN979" s="28"/>
      <c r="AO979" s="28"/>
      <c r="AP979" s="28"/>
      <c r="AQ979" s="28"/>
      <c r="AR979" s="28"/>
      <c r="AS979" s="28"/>
      <c r="AT979" s="28"/>
      <c r="AU979" s="28"/>
      <c r="AV979" s="28"/>
      <c r="AW979" s="28"/>
      <c r="AX979" s="28"/>
      <c r="AY979" s="28"/>
      <c r="AZ979" s="28"/>
      <c r="BA979" s="28"/>
      <c r="BB979" s="28"/>
    </row>
    <row r="980" spans="1:54" ht="12.75" x14ac:dyDescent="0.2">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c r="AA980" s="28"/>
      <c r="AB980" s="28"/>
      <c r="AC980" s="28"/>
      <c r="AD980" s="28"/>
      <c r="AE980" s="28"/>
      <c r="AF980" s="28"/>
      <c r="AG980" s="28"/>
      <c r="AH980" s="28"/>
      <c r="AI980" s="28"/>
      <c r="AJ980" s="28"/>
      <c r="AK980" s="28"/>
      <c r="AL980" s="28"/>
      <c r="AM980" s="28"/>
      <c r="AN980" s="28"/>
      <c r="AO980" s="28"/>
      <c r="AP980" s="28"/>
      <c r="AQ980" s="28"/>
      <c r="AR980" s="28"/>
      <c r="AS980" s="28"/>
      <c r="AT980" s="28"/>
      <c r="AU980" s="28"/>
      <c r="AV980" s="28"/>
      <c r="AW980" s="28"/>
      <c r="AX980" s="28"/>
      <c r="AY980" s="28"/>
      <c r="AZ980" s="28"/>
      <c r="BA980" s="28"/>
      <c r="BB980" s="28"/>
    </row>
    <row r="981" spans="1:54" ht="12.75" x14ac:dyDescent="0.2">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c r="AA981" s="28"/>
      <c r="AB981" s="28"/>
      <c r="AC981" s="28"/>
      <c r="AD981" s="28"/>
      <c r="AE981" s="28"/>
      <c r="AF981" s="28"/>
      <c r="AG981" s="28"/>
      <c r="AH981" s="28"/>
      <c r="AI981" s="28"/>
      <c r="AJ981" s="28"/>
      <c r="AK981" s="28"/>
      <c r="AL981" s="28"/>
      <c r="AM981" s="28"/>
      <c r="AN981" s="28"/>
      <c r="AO981" s="28"/>
      <c r="AP981" s="28"/>
      <c r="AQ981" s="28"/>
      <c r="AR981" s="28"/>
      <c r="AS981" s="28"/>
      <c r="AT981" s="28"/>
      <c r="AU981" s="28"/>
      <c r="AV981" s="28"/>
      <c r="AW981" s="28"/>
      <c r="AX981" s="28"/>
      <c r="AY981" s="28"/>
      <c r="AZ981" s="28"/>
      <c r="BA981" s="28"/>
      <c r="BB981" s="28"/>
    </row>
    <row r="982" spans="1:54" ht="12.75" x14ac:dyDescent="0.2">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c r="AA982" s="28"/>
      <c r="AB982" s="28"/>
      <c r="AC982" s="28"/>
      <c r="AD982" s="28"/>
      <c r="AE982" s="28"/>
      <c r="AF982" s="28"/>
      <c r="AG982" s="28"/>
      <c r="AH982" s="28"/>
      <c r="AI982" s="28"/>
      <c r="AJ982" s="28"/>
      <c r="AK982" s="28"/>
      <c r="AL982" s="28"/>
      <c r="AM982" s="28"/>
      <c r="AN982" s="28"/>
      <c r="AO982" s="28"/>
      <c r="AP982" s="28"/>
      <c r="AQ982" s="28"/>
      <c r="AR982" s="28"/>
      <c r="AS982" s="28"/>
      <c r="AT982" s="28"/>
      <c r="AU982" s="28"/>
      <c r="AV982" s="28"/>
      <c r="AW982" s="28"/>
      <c r="AX982" s="28"/>
      <c r="AY982" s="28"/>
      <c r="AZ982" s="28"/>
      <c r="BA982" s="28"/>
      <c r="BB982" s="28"/>
    </row>
    <row r="983" spans="1:54" ht="12.75" x14ac:dyDescent="0.2">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c r="AA983" s="28"/>
      <c r="AB983" s="28"/>
      <c r="AC983" s="28"/>
      <c r="AD983" s="28"/>
      <c r="AE983" s="28"/>
      <c r="AF983" s="28"/>
      <c r="AG983" s="28"/>
      <c r="AH983" s="28"/>
      <c r="AI983" s="28"/>
      <c r="AJ983" s="28"/>
      <c r="AK983" s="28"/>
      <c r="AL983" s="28"/>
      <c r="AM983" s="28"/>
      <c r="AN983" s="28"/>
      <c r="AO983" s="28"/>
      <c r="AP983" s="28"/>
      <c r="AQ983" s="28"/>
      <c r="AR983" s="28"/>
      <c r="AS983" s="28"/>
      <c r="AT983" s="28"/>
      <c r="AU983" s="28"/>
      <c r="AV983" s="28"/>
      <c r="AW983" s="28"/>
      <c r="AX983" s="28"/>
      <c r="AY983" s="28"/>
      <c r="AZ983" s="28"/>
      <c r="BA983" s="28"/>
      <c r="BB983" s="28"/>
    </row>
    <row r="984" spans="1:54" ht="12.75" x14ac:dyDescent="0.2">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c r="AA984" s="28"/>
      <c r="AB984" s="28"/>
      <c r="AC984" s="28"/>
      <c r="AD984" s="28"/>
      <c r="AE984" s="28"/>
      <c r="AF984" s="28"/>
      <c r="AG984" s="28"/>
      <c r="AH984" s="28"/>
      <c r="AI984" s="28"/>
      <c r="AJ984" s="28"/>
      <c r="AK984" s="28"/>
      <c r="AL984" s="28"/>
      <c r="AM984" s="28"/>
      <c r="AN984" s="28"/>
      <c r="AO984" s="28"/>
      <c r="AP984" s="28"/>
      <c r="AQ984" s="28"/>
      <c r="AR984" s="28"/>
      <c r="AS984" s="28"/>
      <c r="AT984" s="28"/>
      <c r="AU984" s="28"/>
      <c r="AV984" s="28"/>
      <c r="AW984" s="28"/>
      <c r="AX984" s="28"/>
      <c r="AY984" s="28"/>
      <c r="AZ984" s="28"/>
      <c r="BA984" s="28"/>
      <c r="BB984" s="28"/>
    </row>
    <row r="985" spans="1:54" ht="12.75" x14ac:dyDescent="0.2">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c r="AA985" s="28"/>
      <c r="AB985" s="28"/>
      <c r="AC985" s="28"/>
      <c r="AD985" s="28"/>
      <c r="AE985" s="28"/>
      <c r="AF985" s="28"/>
      <c r="AG985" s="28"/>
      <c r="AH985" s="28"/>
      <c r="AI985" s="28"/>
      <c r="AJ985" s="28"/>
      <c r="AK985" s="28"/>
      <c r="AL985" s="28"/>
      <c r="AM985" s="28"/>
      <c r="AN985" s="28"/>
      <c r="AO985" s="28"/>
      <c r="AP985" s="28"/>
      <c r="AQ985" s="28"/>
      <c r="AR985" s="28"/>
      <c r="AS985" s="28"/>
      <c r="AT985" s="28"/>
      <c r="AU985" s="28"/>
      <c r="AV985" s="28"/>
      <c r="AW985" s="28"/>
      <c r="AX985" s="28"/>
      <c r="AY985" s="28"/>
      <c r="AZ985" s="28"/>
      <c r="BA985" s="28"/>
      <c r="BB985" s="28"/>
    </row>
    <row r="986" spans="1:54" ht="12.75" x14ac:dyDescent="0.2">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c r="AA986" s="28"/>
      <c r="AB986" s="28"/>
      <c r="AC986" s="28"/>
      <c r="AD986" s="28"/>
      <c r="AE986" s="28"/>
      <c r="AF986" s="28"/>
      <c r="AG986" s="28"/>
      <c r="AH986" s="28"/>
      <c r="AI986" s="28"/>
      <c r="AJ986" s="28"/>
      <c r="AK986" s="28"/>
      <c r="AL986" s="28"/>
      <c r="AM986" s="28"/>
      <c r="AN986" s="28"/>
      <c r="AO986" s="28"/>
      <c r="AP986" s="28"/>
      <c r="AQ986" s="28"/>
      <c r="AR986" s="28"/>
      <c r="AS986" s="28"/>
      <c r="AT986" s="28"/>
      <c r="AU986" s="28"/>
      <c r="AV986" s="28"/>
      <c r="AW986" s="28"/>
      <c r="AX986" s="28"/>
      <c r="AY986" s="28"/>
      <c r="AZ986" s="28"/>
      <c r="BA986" s="28"/>
      <c r="BB986" s="28"/>
    </row>
    <row r="987" spans="1:54" ht="12.75" x14ac:dyDescent="0.2">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c r="AA987" s="28"/>
      <c r="AB987" s="28"/>
      <c r="AC987" s="28"/>
      <c r="AD987" s="28"/>
      <c r="AE987" s="28"/>
      <c r="AF987" s="28"/>
      <c r="AG987" s="28"/>
      <c r="AH987" s="28"/>
      <c r="AI987" s="28"/>
      <c r="AJ987" s="28"/>
      <c r="AK987" s="28"/>
      <c r="AL987" s="28"/>
      <c r="AM987" s="28"/>
      <c r="AN987" s="28"/>
      <c r="AO987" s="28"/>
      <c r="AP987" s="28"/>
      <c r="AQ987" s="28"/>
      <c r="AR987" s="28"/>
      <c r="AS987" s="28"/>
      <c r="AT987" s="28"/>
      <c r="AU987" s="28"/>
      <c r="AV987" s="28"/>
      <c r="AW987" s="28"/>
      <c r="AX987" s="28"/>
      <c r="AY987" s="28"/>
      <c r="AZ987" s="28"/>
      <c r="BA987" s="28"/>
      <c r="BB987" s="28"/>
    </row>
    <row r="988" spans="1:54" ht="12.75" x14ac:dyDescent="0.2">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c r="AA988" s="28"/>
      <c r="AB988" s="28"/>
      <c r="AC988" s="28"/>
      <c r="AD988" s="28"/>
      <c r="AE988" s="28"/>
      <c r="AF988" s="28"/>
      <c r="AG988" s="28"/>
      <c r="AH988" s="28"/>
      <c r="AI988" s="28"/>
      <c r="AJ988" s="28"/>
      <c r="AK988" s="28"/>
      <c r="AL988" s="28"/>
      <c r="AM988" s="28"/>
      <c r="AN988" s="28"/>
      <c r="AO988" s="28"/>
      <c r="AP988" s="28"/>
      <c r="AQ988" s="28"/>
      <c r="AR988" s="28"/>
      <c r="AS988" s="28"/>
      <c r="AT988" s="28"/>
      <c r="AU988" s="28"/>
      <c r="AV988" s="28"/>
      <c r="AW988" s="28"/>
      <c r="AX988" s="28"/>
      <c r="AY988" s="28"/>
      <c r="AZ988" s="28"/>
      <c r="BA988" s="28"/>
      <c r="BB988" s="28"/>
    </row>
    <row r="989" spans="1:54" ht="12.75" x14ac:dyDescent="0.2">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c r="AA989" s="28"/>
      <c r="AB989" s="28"/>
      <c r="AC989" s="28"/>
      <c r="AD989" s="28"/>
      <c r="AE989" s="28"/>
      <c r="AF989" s="28"/>
      <c r="AG989" s="28"/>
      <c r="AH989" s="28"/>
      <c r="AI989" s="28"/>
      <c r="AJ989" s="28"/>
      <c r="AK989" s="28"/>
      <c r="AL989" s="28"/>
      <c r="AM989" s="28"/>
      <c r="AN989" s="28"/>
      <c r="AO989" s="28"/>
      <c r="AP989" s="28"/>
      <c r="AQ989" s="28"/>
      <c r="AR989" s="28"/>
      <c r="AS989" s="28"/>
      <c r="AT989" s="28"/>
      <c r="AU989" s="28"/>
      <c r="AV989" s="28"/>
      <c r="AW989" s="28"/>
      <c r="AX989" s="28"/>
      <c r="AY989" s="28"/>
      <c r="AZ989" s="28"/>
      <c r="BA989" s="28"/>
      <c r="BB989" s="28"/>
    </row>
    <row r="990" spans="1:54" ht="12.75" x14ac:dyDescent="0.2">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c r="AA990" s="28"/>
      <c r="AB990" s="28"/>
      <c r="AC990" s="28"/>
      <c r="AD990" s="28"/>
      <c r="AE990" s="28"/>
      <c r="AF990" s="28"/>
      <c r="AG990" s="28"/>
      <c r="AH990" s="28"/>
      <c r="AI990" s="28"/>
      <c r="AJ990" s="28"/>
      <c r="AK990" s="28"/>
      <c r="AL990" s="28"/>
      <c r="AM990" s="28"/>
      <c r="AN990" s="28"/>
      <c r="AO990" s="28"/>
      <c r="AP990" s="28"/>
      <c r="AQ990" s="28"/>
      <c r="AR990" s="28"/>
      <c r="AS990" s="28"/>
      <c r="AT990" s="28"/>
      <c r="AU990" s="28"/>
      <c r="AV990" s="28"/>
      <c r="AW990" s="28"/>
      <c r="AX990" s="28"/>
      <c r="AY990" s="28"/>
      <c r="AZ990" s="28"/>
      <c r="BA990" s="28"/>
      <c r="BB990" s="28"/>
    </row>
    <row r="991" spans="1:54" ht="12.75" x14ac:dyDescent="0.2">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c r="AA991" s="28"/>
      <c r="AB991" s="28"/>
      <c r="AC991" s="28"/>
      <c r="AD991" s="28"/>
      <c r="AE991" s="28"/>
      <c r="AF991" s="28"/>
      <c r="AG991" s="28"/>
      <c r="AH991" s="28"/>
      <c r="AI991" s="28"/>
      <c r="AJ991" s="28"/>
      <c r="AK991" s="28"/>
      <c r="AL991" s="28"/>
      <c r="AM991" s="28"/>
      <c r="AN991" s="28"/>
      <c r="AO991" s="28"/>
      <c r="AP991" s="28"/>
      <c r="AQ991" s="28"/>
      <c r="AR991" s="28"/>
      <c r="AS991" s="28"/>
      <c r="AT991" s="28"/>
      <c r="AU991" s="28"/>
      <c r="AV991" s="28"/>
      <c r="AW991" s="28"/>
      <c r="AX991" s="28"/>
      <c r="AY991" s="28"/>
      <c r="AZ991" s="28"/>
      <c r="BA991" s="28"/>
      <c r="BB991" s="28"/>
    </row>
    <row r="992" spans="1:54" ht="12.75" x14ac:dyDescent="0.2">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c r="AA992" s="28"/>
      <c r="AB992" s="28"/>
      <c r="AC992" s="28"/>
      <c r="AD992" s="28"/>
      <c r="AE992" s="28"/>
      <c r="AF992" s="28"/>
      <c r="AG992" s="28"/>
      <c r="AH992" s="28"/>
      <c r="AI992" s="28"/>
      <c r="AJ992" s="28"/>
      <c r="AK992" s="28"/>
      <c r="AL992" s="28"/>
      <c r="AM992" s="28"/>
      <c r="AN992" s="28"/>
      <c r="AO992" s="28"/>
      <c r="AP992" s="28"/>
      <c r="AQ992" s="28"/>
      <c r="AR992" s="28"/>
      <c r="AS992" s="28"/>
      <c r="AT992" s="28"/>
      <c r="AU992" s="28"/>
      <c r="AV992" s="28"/>
      <c r="AW992" s="28"/>
      <c r="AX992" s="28"/>
      <c r="AY992" s="28"/>
      <c r="AZ992" s="28"/>
      <c r="BA992" s="28"/>
      <c r="BB992" s="28"/>
    </row>
    <row r="993" spans="1:54" ht="12.75" x14ac:dyDescent="0.2">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c r="AA993" s="28"/>
      <c r="AB993" s="28"/>
      <c r="AC993" s="28"/>
      <c r="AD993" s="28"/>
      <c r="AE993" s="28"/>
      <c r="AF993" s="28"/>
      <c r="AG993" s="28"/>
      <c r="AH993" s="28"/>
      <c r="AI993" s="28"/>
      <c r="AJ993" s="28"/>
      <c r="AK993" s="28"/>
      <c r="AL993" s="28"/>
      <c r="AM993" s="28"/>
      <c r="AN993" s="28"/>
      <c r="AO993" s="28"/>
      <c r="AP993" s="28"/>
      <c r="AQ993" s="28"/>
      <c r="AR993" s="28"/>
      <c r="AS993" s="28"/>
      <c r="AT993" s="28"/>
      <c r="AU993" s="28"/>
      <c r="AV993" s="28"/>
      <c r="AW993" s="28"/>
      <c r="AX993" s="28"/>
      <c r="AY993" s="28"/>
      <c r="AZ993" s="28"/>
      <c r="BA993" s="28"/>
      <c r="BB993" s="28"/>
    </row>
    <row r="994" spans="1:54" ht="12.75" x14ac:dyDescent="0.2">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c r="AA994" s="28"/>
      <c r="AB994" s="28"/>
      <c r="AC994" s="28"/>
      <c r="AD994" s="28"/>
      <c r="AE994" s="28"/>
      <c r="AF994" s="28"/>
      <c r="AG994" s="28"/>
      <c r="AH994" s="28"/>
      <c r="AI994" s="28"/>
      <c r="AJ994" s="28"/>
      <c r="AK994" s="28"/>
      <c r="AL994" s="28"/>
      <c r="AM994" s="28"/>
      <c r="AN994" s="28"/>
      <c r="AO994" s="28"/>
      <c r="AP994" s="28"/>
      <c r="AQ994" s="28"/>
      <c r="AR994" s="28"/>
      <c r="AS994" s="28"/>
      <c r="AT994" s="28"/>
      <c r="AU994" s="28"/>
      <c r="AV994" s="28"/>
      <c r="AW994" s="28"/>
      <c r="AX994" s="28"/>
      <c r="AY994" s="28"/>
      <c r="AZ994" s="28"/>
      <c r="BA994" s="28"/>
      <c r="BB994" s="28"/>
    </row>
    <row r="995" spans="1:54" ht="12.75" x14ac:dyDescent="0.2">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c r="AA995" s="28"/>
      <c r="AB995" s="28"/>
      <c r="AC995" s="28"/>
      <c r="AD995" s="28"/>
      <c r="AE995" s="28"/>
      <c r="AF995" s="28"/>
      <c r="AG995" s="28"/>
      <c r="AH995" s="28"/>
      <c r="AI995" s="28"/>
      <c r="AJ995" s="28"/>
      <c r="AK995" s="28"/>
      <c r="AL995" s="28"/>
      <c r="AM995" s="28"/>
      <c r="AN995" s="28"/>
      <c r="AO995" s="28"/>
      <c r="AP995" s="28"/>
      <c r="AQ995" s="28"/>
      <c r="AR995" s="28"/>
      <c r="AS995" s="28"/>
      <c r="AT995" s="28"/>
      <c r="AU995" s="28"/>
      <c r="AV995" s="28"/>
      <c r="AW995" s="28"/>
      <c r="AX995" s="28"/>
      <c r="AY995" s="28"/>
      <c r="AZ995" s="28"/>
      <c r="BA995" s="28"/>
      <c r="BB995" s="28"/>
    </row>
    <row r="996" spans="1:54" ht="12.75" x14ac:dyDescent="0.2">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c r="AA996" s="28"/>
      <c r="AB996" s="28"/>
      <c r="AC996" s="28"/>
      <c r="AD996" s="28"/>
      <c r="AE996" s="28"/>
      <c r="AF996" s="28"/>
      <c r="AG996" s="28"/>
      <c r="AH996" s="28"/>
      <c r="AI996" s="28"/>
      <c r="AJ996" s="28"/>
      <c r="AK996" s="28"/>
      <c r="AL996" s="28"/>
      <c r="AM996" s="28"/>
      <c r="AN996" s="28"/>
      <c r="AO996" s="28"/>
      <c r="AP996" s="28"/>
      <c r="AQ996" s="28"/>
      <c r="AR996" s="28"/>
      <c r="AS996" s="28"/>
      <c r="AT996" s="28"/>
      <c r="AU996" s="28"/>
      <c r="AV996" s="28"/>
      <c r="AW996" s="28"/>
      <c r="AX996" s="28"/>
      <c r="AY996" s="28"/>
      <c r="AZ996" s="28"/>
      <c r="BA996" s="28"/>
      <c r="BB996" s="28"/>
    </row>
    <row r="997" spans="1:54" ht="12.75" x14ac:dyDescent="0.2">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c r="AA997" s="28"/>
      <c r="AB997" s="28"/>
      <c r="AC997" s="28"/>
      <c r="AD997" s="28"/>
      <c r="AE997" s="28"/>
      <c r="AF997" s="28"/>
      <c r="AG997" s="28"/>
      <c r="AH997" s="28"/>
      <c r="AI997" s="28"/>
      <c r="AJ997" s="28"/>
      <c r="AK997" s="28"/>
      <c r="AL997" s="28"/>
      <c r="AM997" s="28"/>
      <c r="AN997" s="28"/>
      <c r="AO997" s="28"/>
      <c r="AP997" s="28"/>
      <c r="AQ997" s="28"/>
      <c r="AR997" s="28"/>
      <c r="AS997" s="28"/>
      <c r="AT997" s="28"/>
      <c r="AU997" s="28"/>
      <c r="AV997" s="28"/>
      <c r="AW997" s="28"/>
      <c r="AX997" s="28"/>
      <c r="AY997" s="28"/>
      <c r="AZ997" s="28"/>
      <c r="BA997" s="28"/>
      <c r="BB997" s="28"/>
    </row>
    <row r="998" spans="1:54" ht="12.75" x14ac:dyDescent="0.2">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8"/>
      <c r="AD998" s="28"/>
      <c r="AE998" s="28"/>
      <c r="AF998" s="28"/>
      <c r="AG998" s="28"/>
      <c r="AH998" s="28"/>
      <c r="AI998" s="28"/>
      <c r="AJ998" s="28"/>
      <c r="AK998" s="28"/>
      <c r="AL998" s="28"/>
      <c r="AM998" s="28"/>
      <c r="AN998" s="28"/>
      <c r="AO998" s="28"/>
      <c r="AP998" s="28"/>
      <c r="AQ998" s="28"/>
      <c r="AR998" s="28"/>
      <c r="AS998" s="28"/>
      <c r="AT998" s="28"/>
      <c r="AU998" s="28"/>
      <c r="AV998" s="28"/>
      <c r="AW998" s="28"/>
      <c r="AX998" s="28"/>
      <c r="AY998" s="28"/>
      <c r="AZ998" s="28"/>
      <c r="BA998" s="28"/>
      <c r="BB998" s="28"/>
    </row>
    <row r="999" spans="1:54" ht="12.75" x14ac:dyDescent="0.2">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c r="AA999" s="28"/>
      <c r="AB999" s="28"/>
      <c r="AC999" s="28"/>
      <c r="AD999" s="28"/>
      <c r="AE999" s="28"/>
      <c r="AF999" s="28"/>
      <c r="AG999" s="28"/>
      <c r="AH999" s="28"/>
      <c r="AI999" s="28"/>
      <c r="AJ999" s="28"/>
      <c r="AK999" s="28"/>
      <c r="AL999" s="28"/>
      <c r="AM999" s="28"/>
      <c r="AN999" s="28"/>
      <c r="AO999" s="28"/>
      <c r="AP999" s="28"/>
      <c r="AQ999" s="28"/>
      <c r="AR999" s="28"/>
      <c r="AS999" s="28"/>
      <c r="AT999" s="28"/>
      <c r="AU999" s="28"/>
      <c r="AV999" s="28"/>
      <c r="AW999" s="28"/>
      <c r="AX999" s="28"/>
      <c r="AY999" s="28"/>
      <c r="AZ999" s="28"/>
      <c r="BA999" s="28"/>
      <c r="BB999" s="28"/>
    </row>
    <row r="1000" spans="1:54" ht="12.75" x14ac:dyDescent="0.2">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c r="AA1000" s="28"/>
      <c r="AB1000" s="28"/>
      <c r="AC1000" s="28"/>
      <c r="AD1000" s="28"/>
      <c r="AE1000" s="28"/>
      <c r="AF1000" s="28"/>
      <c r="AG1000" s="28"/>
      <c r="AH1000" s="28"/>
      <c r="AI1000" s="28"/>
      <c r="AJ1000" s="28"/>
      <c r="AK1000" s="28"/>
      <c r="AL1000" s="28"/>
      <c r="AM1000" s="28"/>
      <c r="AN1000" s="28"/>
      <c r="AO1000" s="28"/>
      <c r="AP1000" s="28"/>
      <c r="AQ1000" s="28"/>
      <c r="AR1000" s="28"/>
      <c r="AS1000" s="28"/>
      <c r="AT1000" s="28"/>
      <c r="AU1000" s="28"/>
      <c r="AV1000" s="28"/>
      <c r="AW1000" s="28"/>
      <c r="AX1000" s="28"/>
      <c r="AY1000" s="28"/>
      <c r="AZ1000" s="28"/>
      <c r="BA1000" s="28"/>
      <c r="BB1000" s="28"/>
    </row>
    <row r="1001" spans="1:54" ht="12.75" x14ac:dyDescent="0.2">
      <c r="A1001" s="28"/>
      <c r="B1001" s="28"/>
      <c r="C1001" s="28"/>
      <c r="D1001" s="28"/>
      <c r="E1001" s="28"/>
      <c r="F1001" s="28"/>
      <c r="G1001" s="28"/>
      <c r="H1001" s="28"/>
      <c r="I1001" s="28"/>
      <c r="J1001" s="28"/>
      <c r="K1001" s="28"/>
      <c r="L1001" s="28"/>
      <c r="M1001" s="28"/>
      <c r="N1001" s="28"/>
      <c r="O1001" s="28"/>
      <c r="P1001" s="28"/>
      <c r="Q1001" s="28"/>
      <c r="R1001" s="28"/>
      <c r="S1001" s="28"/>
      <c r="T1001" s="28"/>
      <c r="U1001" s="28"/>
      <c r="V1001" s="28"/>
      <c r="W1001" s="28"/>
      <c r="X1001" s="28"/>
      <c r="Y1001" s="28"/>
      <c r="Z1001" s="28"/>
      <c r="AA1001" s="28"/>
      <c r="AB1001" s="28"/>
      <c r="AC1001" s="28"/>
      <c r="AD1001" s="28"/>
      <c r="AE1001" s="28"/>
      <c r="AF1001" s="28"/>
      <c r="AG1001" s="28"/>
      <c r="AH1001" s="28"/>
      <c r="AI1001" s="28"/>
      <c r="AJ1001" s="28"/>
      <c r="AK1001" s="28"/>
      <c r="AL1001" s="28"/>
      <c r="AM1001" s="28"/>
      <c r="AN1001" s="28"/>
      <c r="AO1001" s="28"/>
      <c r="AP1001" s="28"/>
      <c r="AQ1001" s="28"/>
      <c r="AR1001" s="28"/>
      <c r="AS1001" s="28"/>
      <c r="AT1001" s="28"/>
      <c r="AU1001" s="28"/>
      <c r="AV1001" s="28"/>
      <c r="AW1001" s="28"/>
      <c r="AX1001" s="28"/>
      <c r="AY1001" s="28"/>
      <c r="AZ1001" s="28"/>
      <c r="BA1001" s="28"/>
      <c r="BB1001" s="28"/>
    </row>
    <row r="1002" spans="1:54" ht="12.75" x14ac:dyDescent="0.2">
      <c r="A1002" s="28"/>
      <c r="B1002" s="28"/>
      <c r="C1002" s="28"/>
      <c r="D1002" s="28"/>
      <c r="E1002" s="28"/>
      <c r="F1002" s="28"/>
      <c r="G1002" s="28"/>
      <c r="H1002" s="28"/>
      <c r="I1002" s="28"/>
      <c r="J1002" s="28"/>
      <c r="K1002" s="28"/>
      <c r="L1002" s="28"/>
      <c r="M1002" s="28"/>
      <c r="N1002" s="28"/>
      <c r="O1002" s="28"/>
      <c r="P1002" s="28"/>
      <c r="Q1002" s="28"/>
      <c r="R1002" s="28"/>
      <c r="S1002" s="28"/>
      <c r="T1002" s="28"/>
      <c r="U1002" s="28"/>
      <c r="V1002" s="28"/>
      <c r="W1002" s="28"/>
      <c r="X1002" s="28"/>
      <c r="Y1002" s="28"/>
      <c r="Z1002" s="28"/>
      <c r="AA1002" s="28"/>
      <c r="AB1002" s="28"/>
      <c r="AC1002" s="28"/>
      <c r="AD1002" s="28"/>
      <c r="AE1002" s="28"/>
      <c r="AF1002" s="28"/>
      <c r="AG1002" s="28"/>
      <c r="AH1002" s="28"/>
      <c r="AI1002" s="28"/>
      <c r="AJ1002" s="28"/>
      <c r="AK1002" s="28"/>
      <c r="AL1002" s="28"/>
      <c r="AM1002" s="28"/>
      <c r="AN1002" s="28"/>
      <c r="AO1002" s="28"/>
      <c r="AP1002" s="28"/>
      <c r="AQ1002" s="28"/>
      <c r="AR1002" s="28"/>
      <c r="AS1002" s="28"/>
      <c r="AT1002" s="28"/>
      <c r="AU1002" s="28"/>
      <c r="AV1002" s="28"/>
      <c r="AW1002" s="28"/>
      <c r="AX1002" s="28"/>
      <c r="AY1002" s="28"/>
      <c r="AZ1002" s="28"/>
      <c r="BA1002" s="28"/>
      <c r="BB1002" s="28"/>
    </row>
    <row r="1003" spans="1:54" ht="12.75" x14ac:dyDescent="0.2">
      <c r="A1003" s="28"/>
      <c r="B1003" s="28"/>
      <c r="C1003" s="28"/>
      <c r="D1003" s="28"/>
      <c r="E1003" s="28"/>
      <c r="F1003" s="28"/>
      <c r="G1003" s="28"/>
      <c r="H1003" s="28"/>
      <c r="I1003" s="28"/>
      <c r="J1003" s="28"/>
      <c r="K1003" s="28"/>
      <c r="L1003" s="28"/>
      <c r="M1003" s="28"/>
      <c r="N1003" s="28"/>
      <c r="O1003" s="28"/>
      <c r="P1003" s="28"/>
      <c r="Q1003" s="28"/>
      <c r="R1003" s="28"/>
      <c r="S1003" s="28"/>
      <c r="T1003" s="28"/>
      <c r="U1003" s="28"/>
      <c r="V1003" s="28"/>
      <c r="W1003" s="28"/>
      <c r="X1003" s="28"/>
      <c r="Y1003" s="28"/>
      <c r="Z1003" s="28"/>
      <c r="AA1003" s="28"/>
      <c r="AB1003" s="28"/>
      <c r="AC1003" s="28"/>
      <c r="AD1003" s="28"/>
      <c r="AE1003" s="28"/>
      <c r="AF1003" s="28"/>
      <c r="AG1003" s="28"/>
      <c r="AH1003" s="28"/>
      <c r="AI1003" s="28"/>
      <c r="AJ1003" s="28"/>
      <c r="AK1003" s="28"/>
      <c r="AL1003" s="28"/>
      <c r="AM1003" s="28"/>
      <c r="AN1003" s="28"/>
      <c r="AO1003" s="28"/>
      <c r="AP1003" s="28"/>
      <c r="AQ1003" s="28"/>
      <c r="AR1003" s="28"/>
      <c r="AS1003" s="28"/>
      <c r="AT1003" s="28"/>
      <c r="AU1003" s="28"/>
      <c r="AV1003" s="28"/>
      <c r="AW1003" s="28"/>
      <c r="AX1003" s="28"/>
      <c r="AY1003" s="28"/>
      <c r="AZ1003" s="28"/>
      <c r="BA1003" s="28"/>
      <c r="BB1003" s="28"/>
    </row>
    <row r="1004" spans="1:54" ht="12.75" x14ac:dyDescent="0.2">
      <c r="A1004" s="28"/>
      <c r="B1004" s="28"/>
      <c r="C1004" s="28"/>
      <c r="D1004" s="28"/>
      <c r="E1004" s="28"/>
      <c r="F1004" s="28"/>
      <c r="G1004" s="28"/>
      <c r="H1004" s="28"/>
      <c r="I1004" s="28"/>
      <c r="J1004" s="28"/>
      <c r="K1004" s="28"/>
      <c r="L1004" s="28"/>
      <c r="M1004" s="28"/>
      <c r="N1004" s="28"/>
      <c r="O1004" s="28"/>
      <c r="P1004" s="28"/>
      <c r="Q1004" s="28"/>
      <c r="R1004" s="28"/>
      <c r="S1004" s="28"/>
      <c r="T1004" s="28"/>
      <c r="U1004" s="28"/>
      <c r="V1004" s="28"/>
      <c r="W1004" s="28"/>
      <c r="X1004" s="28"/>
      <c r="Y1004" s="28"/>
      <c r="Z1004" s="28"/>
      <c r="AA1004" s="28"/>
      <c r="AB1004" s="28"/>
      <c r="AC1004" s="28"/>
      <c r="AD1004" s="28"/>
      <c r="AE1004" s="28"/>
      <c r="AF1004" s="28"/>
      <c r="AG1004" s="28"/>
      <c r="AH1004" s="28"/>
      <c r="AI1004" s="28"/>
      <c r="AJ1004" s="28"/>
      <c r="AK1004" s="28"/>
      <c r="AL1004" s="28"/>
      <c r="AM1004" s="28"/>
      <c r="AN1004" s="28"/>
      <c r="AO1004" s="28"/>
      <c r="AP1004" s="28"/>
      <c r="AQ1004" s="28"/>
      <c r="AR1004" s="28"/>
      <c r="AS1004" s="28"/>
      <c r="AT1004" s="28"/>
      <c r="AU1004" s="28"/>
      <c r="AV1004" s="28"/>
      <c r="AW1004" s="28"/>
      <c r="AX1004" s="28"/>
      <c r="AY1004" s="28"/>
      <c r="AZ1004" s="28"/>
      <c r="BA1004" s="28"/>
      <c r="BB1004" s="28"/>
    </row>
    <row r="1005" spans="1:54" ht="12.75" x14ac:dyDescent="0.2">
      <c r="A1005" s="28"/>
      <c r="B1005" s="28"/>
      <c r="C1005" s="28"/>
      <c r="D1005" s="28"/>
      <c r="E1005" s="28"/>
      <c r="F1005" s="28"/>
      <c r="G1005" s="28"/>
      <c r="H1005" s="28"/>
      <c r="I1005" s="28"/>
      <c r="J1005" s="28"/>
      <c r="K1005" s="28"/>
      <c r="L1005" s="28"/>
      <c r="M1005" s="28"/>
      <c r="N1005" s="28"/>
      <c r="O1005" s="28"/>
      <c r="P1005" s="28"/>
      <c r="Q1005" s="28"/>
      <c r="R1005" s="28"/>
      <c r="S1005" s="28"/>
      <c r="T1005" s="28"/>
      <c r="U1005" s="28"/>
      <c r="V1005" s="28"/>
      <c r="W1005" s="28"/>
      <c r="X1005" s="28"/>
      <c r="Y1005" s="28"/>
      <c r="Z1005" s="28"/>
      <c r="AA1005" s="28"/>
      <c r="AB1005" s="28"/>
      <c r="AC1005" s="28"/>
      <c r="AD1005" s="28"/>
      <c r="AE1005" s="28"/>
      <c r="AF1005" s="28"/>
      <c r="AG1005" s="28"/>
      <c r="AH1005" s="28"/>
      <c r="AI1005" s="28"/>
      <c r="AJ1005" s="28"/>
      <c r="AK1005" s="28"/>
      <c r="AL1005" s="28"/>
      <c r="AM1005" s="28"/>
      <c r="AN1005" s="28"/>
      <c r="AO1005" s="28"/>
      <c r="AP1005" s="28"/>
      <c r="AQ1005" s="28"/>
      <c r="AR1005" s="28"/>
      <c r="AS1005" s="28"/>
      <c r="AT1005" s="28"/>
      <c r="AU1005" s="28"/>
      <c r="AV1005" s="28"/>
      <c r="AW1005" s="28"/>
      <c r="AX1005" s="28"/>
      <c r="AY1005" s="28"/>
      <c r="AZ1005" s="28"/>
      <c r="BA1005" s="28"/>
      <c r="BB1005" s="28"/>
    </row>
    <row r="1006" spans="1:54" ht="12.75" x14ac:dyDescent="0.2">
      <c r="A1006" s="28"/>
      <c r="B1006" s="28"/>
      <c r="C1006" s="28"/>
      <c r="D1006" s="28"/>
      <c r="E1006" s="28"/>
      <c r="F1006" s="28"/>
      <c r="G1006" s="28"/>
      <c r="H1006" s="28"/>
      <c r="I1006" s="28"/>
      <c r="J1006" s="28"/>
      <c r="K1006" s="28"/>
      <c r="L1006" s="28"/>
      <c r="M1006" s="28"/>
      <c r="N1006" s="28"/>
      <c r="O1006" s="28"/>
      <c r="P1006" s="28"/>
      <c r="Q1006" s="28"/>
      <c r="R1006" s="28"/>
      <c r="S1006" s="28"/>
      <c r="T1006" s="28"/>
      <c r="U1006" s="28"/>
      <c r="V1006" s="28"/>
      <c r="W1006" s="28"/>
      <c r="X1006" s="28"/>
      <c r="Y1006" s="28"/>
      <c r="Z1006" s="28"/>
      <c r="AA1006" s="28"/>
      <c r="AB1006" s="28"/>
      <c r="AC1006" s="28"/>
      <c r="AD1006" s="28"/>
      <c r="AE1006" s="28"/>
      <c r="AF1006" s="28"/>
      <c r="AG1006" s="28"/>
      <c r="AH1006" s="28"/>
      <c r="AI1006" s="28"/>
      <c r="AJ1006" s="28"/>
      <c r="AK1006" s="28"/>
      <c r="AL1006" s="28"/>
      <c r="AM1006" s="28"/>
      <c r="AN1006" s="28"/>
      <c r="AO1006" s="28"/>
      <c r="AP1006" s="28"/>
      <c r="AQ1006" s="28"/>
      <c r="AR1006" s="28"/>
      <c r="AS1006" s="28"/>
      <c r="AT1006" s="28"/>
      <c r="AU1006" s="28"/>
      <c r="AV1006" s="28"/>
      <c r="AW1006" s="28"/>
      <c r="AX1006" s="28"/>
      <c r="AY1006" s="28"/>
      <c r="AZ1006" s="28"/>
      <c r="BA1006" s="28"/>
      <c r="BB1006" s="28"/>
    </row>
    <row r="1007" spans="1:54" ht="12.75" x14ac:dyDescent="0.2">
      <c r="A1007" s="28"/>
      <c r="B1007" s="28"/>
      <c r="C1007" s="28"/>
      <c r="D1007" s="28"/>
      <c r="E1007" s="28"/>
      <c r="F1007" s="28"/>
      <c r="G1007" s="28"/>
      <c r="H1007" s="28"/>
      <c r="I1007" s="28"/>
      <c r="J1007" s="28"/>
      <c r="K1007" s="28"/>
      <c r="L1007" s="28"/>
      <c r="M1007" s="28"/>
      <c r="N1007" s="28"/>
      <c r="O1007" s="28"/>
      <c r="P1007" s="28"/>
      <c r="Q1007" s="28"/>
      <c r="R1007" s="28"/>
      <c r="S1007" s="28"/>
      <c r="T1007" s="28"/>
      <c r="U1007" s="28"/>
      <c r="V1007" s="28"/>
      <c r="W1007" s="28"/>
      <c r="X1007" s="28"/>
      <c r="Y1007" s="28"/>
      <c r="Z1007" s="28"/>
      <c r="AA1007" s="28"/>
      <c r="AB1007" s="28"/>
      <c r="AC1007" s="28"/>
      <c r="AD1007" s="28"/>
      <c r="AE1007" s="28"/>
      <c r="AF1007" s="28"/>
      <c r="AG1007" s="28"/>
      <c r="AH1007" s="28"/>
      <c r="AI1007" s="28"/>
      <c r="AJ1007" s="28"/>
      <c r="AK1007" s="28"/>
      <c r="AL1007" s="28"/>
      <c r="AM1007" s="28"/>
      <c r="AN1007" s="28"/>
      <c r="AO1007" s="28"/>
      <c r="AP1007" s="28"/>
      <c r="AQ1007" s="28"/>
      <c r="AR1007" s="28"/>
      <c r="AS1007" s="28"/>
      <c r="AT1007" s="28"/>
      <c r="AU1007" s="28"/>
      <c r="AV1007" s="28"/>
      <c r="AW1007" s="28"/>
      <c r="AX1007" s="28"/>
      <c r="AY1007" s="28"/>
      <c r="AZ1007" s="28"/>
      <c r="BA1007" s="28"/>
      <c r="BB1007" s="28"/>
    </row>
    <row r="1008" spans="1:54" ht="12.75" x14ac:dyDescent="0.2">
      <c r="A1008" s="28"/>
      <c r="B1008" s="28"/>
      <c r="C1008" s="28"/>
      <c r="D1008" s="28"/>
      <c r="E1008" s="28"/>
      <c r="F1008" s="28"/>
      <c r="G1008" s="28"/>
      <c r="H1008" s="28"/>
      <c r="I1008" s="28"/>
      <c r="J1008" s="28"/>
      <c r="K1008" s="28"/>
      <c r="L1008" s="28"/>
      <c r="M1008" s="28"/>
      <c r="N1008" s="28"/>
      <c r="O1008" s="28"/>
      <c r="P1008" s="28"/>
      <c r="Q1008" s="28"/>
      <c r="R1008" s="28"/>
      <c r="S1008" s="28"/>
      <c r="T1008" s="28"/>
      <c r="U1008" s="28"/>
      <c r="V1008" s="28"/>
      <c r="W1008" s="28"/>
      <c r="X1008" s="28"/>
      <c r="Y1008" s="28"/>
      <c r="Z1008" s="28"/>
      <c r="AA1008" s="28"/>
      <c r="AB1008" s="28"/>
      <c r="AC1008" s="28"/>
      <c r="AD1008" s="28"/>
      <c r="AE1008" s="28"/>
      <c r="AF1008" s="28"/>
      <c r="AG1008" s="28"/>
      <c r="AH1008" s="28"/>
      <c r="AI1008" s="28"/>
      <c r="AJ1008" s="28"/>
      <c r="AK1008" s="28"/>
      <c r="AL1008" s="28"/>
      <c r="AM1008" s="28"/>
      <c r="AN1008" s="28"/>
      <c r="AO1008" s="28"/>
      <c r="AP1008" s="28"/>
      <c r="AQ1008" s="28"/>
      <c r="AR1008" s="28"/>
      <c r="AS1008" s="28"/>
      <c r="AT1008" s="28"/>
      <c r="AU1008" s="28"/>
      <c r="AV1008" s="28"/>
      <c r="AW1008" s="28"/>
      <c r="AX1008" s="28"/>
      <c r="AY1008" s="28"/>
      <c r="AZ1008" s="28"/>
      <c r="BA1008" s="28"/>
      <c r="BB1008" s="28"/>
    </row>
    <row r="1009" spans="1:54" ht="12.75" x14ac:dyDescent="0.2">
      <c r="A1009" s="28"/>
      <c r="B1009" s="28"/>
      <c r="C1009" s="28"/>
      <c r="D1009" s="28"/>
      <c r="E1009" s="28"/>
      <c r="F1009" s="28"/>
      <c r="G1009" s="28"/>
      <c r="H1009" s="28"/>
      <c r="I1009" s="28"/>
      <c r="J1009" s="28"/>
      <c r="K1009" s="28"/>
      <c r="L1009" s="28"/>
      <c r="M1009" s="28"/>
      <c r="N1009" s="28"/>
      <c r="O1009" s="28"/>
      <c r="P1009" s="28"/>
      <c r="Q1009" s="28"/>
      <c r="R1009" s="28"/>
      <c r="S1009" s="28"/>
      <c r="T1009" s="28"/>
      <c r="U1009" s="28"/>
      <c r="V1009" s="28"/>
      <c r="W1009" s="28"/>
      <c r="X1009" s="28"/>
      <c r="Y1009" s="28"/>
      <c r="Z1009" s="28"/>
      <c r="AA1009" s="28"/>
      <c r="AB1009" s="28"/>
      <c r="AC1009" s="28"/>
      <c r="AD1009" s="28"/>
      <c r="AE1009" s="28"/>
      <c r="AF1009" s="28"/>
      <c r="AG1009" s="28"/>
      <c r="AH1009" s="28"/>
      <c r="AI1009" s="28"/>
      <c r="AJ1009" s="28"/>
      <c r="AK1009" s="28"/>
      <c r="AL1009" s="28"/>
      <c r="AM1009" s="28"/>
      <c r="AN1009" s="28"/>
      <c r="AO1009" s="28"/>
      <c r="AP1009" s="28"/>
      <c r="AQ1009" s="28"/>
      <c r="AR1009" s="28"/>
      <c r="AS1009" s="28"/>
      <c r="AT1009" s="28"/>
      <c r="AU1009" s="28"/>
      <c r="AV1009" s="28"/>
      <c r="AW1009" s="28"/>
      <c r="AX1009" s="28"/>
      <c r="AY1009" s="28"/>
      <c r="AZ1009" s="28"/>
      <c r="BA1009" s="28"/>
      <c r="BB1009" s="28"/>
    </row>
    <row r="1010" spans="1:54" ht="12.75" x14ac:dyDescent="0.2">
      <c r="A1010" s="28"/>
      <c r="B1010" s="28"/>
      <c r="C1010" s="28"/>
      <c r="D1010" s="28"/>
      <c r="E1010" s="28"/>
      <c r="F1010" s="28"/>
      <c r="G1010" s="28"/>
      <c r="H1010" s="28"/>
      <c r="I1010" s="28"/>
      <c r="J1010" s="28"/>
      <c r="K1010" s="28"/>
      <c r="L1010" s="28"/>
      <c r="M1010" s="28"/>
      <c r="N1010" s="28"/>
      <c r="O1010" s="28"/>
      <c r="P1010" s="28"/>
      <c r="Q1010" s="28"/>
      <c r="R1010" s="28"/>
      <c r="S1010" s="28"/>
      <c r="T1010" s="28"/>
      <c r="U1010" s="28"/>
      <c r="V1010" s="28"/>
      <c r="W1010" s="28"/>
      <c r="X1010" s="28"/>
      <c r="Y1010" s="28"/>
      <c r="Z1010" s="28"/>
      <c r="AA1010" s="28"/>
      <c r="AB1010" s="28"/>
      <c r="AC1010" s="28"/>
      <c r="AD1010" s="28"/>
      <c r="AE1010" s="28"/>
      <c r="AF1010" s="28"/>
      <c r="AG1010" s="28"/>
      <c r="AH1010" s="28"/>
      <c r="AI1010" s="28"/>
      <c r="AJ1010" s="28"/>
      <c r="AK1010" s="28"/>
      <c r="AL1010" s="28"/>
      <c r="AM1010" s="28"/>
      <c r="AN1010" s="28"/>
      <c r="AO1010" s="28"/>
      <c r="AP1010" s="28"/>
      <c r="AQ1010" s="28"/>
      <c r="AR1010" s="28"/>
      <c r="AS1010" s="28"/>
      <c r="AT1010" s="28"/>
      <c r="AU1010" s="28"/>
      <c r="AV1010" s="28"/>
      <c r="AW1010" s="28"/>
      <c r="AX1010" s="28"/>
      <c r="AY1010" s="28"/>
      <c r="AZ1010" s="28"/>
      <c r="BA1010" s="28"/>
      <c r="BB1010" s="28"/>
    </row>
    <row r="1011" spans="1:54" ht="12.75" x14ac:dyDescent="0.2">
      <c r="A1011" s="28"/>
      <c r="B1011" s="28"/>
      <c r="C1011" s="28"/>
      <c r="D1011" s="28"/>
      <c r="E1011" s="28"/>
      <c r="F1011" s="28"/>
      <c r="G1011" s="28"/>
      <c r="H1011" s="28"/>
      <c r="I1011" s="28"/>
      <c r="J1011" s="28"/>
      <c r="K1011" s="28"/>
      <c r="L1011" s="28"/>
      <c r="M1011" s="28"/>
      <c r="N1011" s="28"/>
      <c r="O1011" s="28"/>
      <c r="P1011" s="28"/>
      <c r="Q1011" s="28"/>
      <c r="R1011" s="28"/>
      <c r="S1011" s="28"/>
      <c r="T1011" s="28"/>
      <c r="U1011" s="28"/>
      <c r="V1011" s="28"/>
      <c r="W1011" s="28"/>
      <c r="X1011" s="28"/>
      <c r="Y1011" s="28"/>
      <c r="Z1011" s="28"/>
      <c r="AA1011" s="28"/>
      <c r="AB1011" s="28"/>
      <c r="AC1011" s="28"/>
      <c r="AD1011" s="28"/>
      <c r="AE1011" s="28"/>
      <c r="AF1011" s="28"/>
      <c r="AG1011" s="28"/>
      <c r="AH1011" s="28"/>
      <c r="AI1011" s="28"/>
      <c r="AJ1011" s="28"/>
      <c r="AK1011" s="28"/>
      <c r="AL1011" s="28"/>
      <c r="AM1011" s="28"/>
      <c r="AN1011" s="28"/>
      <c r="AO1011" s="28"/>
      <c r="AP1011" s="28"/>
      <c r="AQ1011" s="28"/>
      <c r="AR1011" s="28"/>
      <c r="AS1011" s="28"/>
      <c r="AT1011" s="28"/>
      <c r="AU1011" s="28"/>
      <c r="AV1011" s="28"/>
      <c r="AW1011" s="28"/>
      <c r="AX1011" s="28"/>
      <c r="AY1011" s="28"/>
      <c r="AZ1011" s="28"/>
      <c r="BA1011" s="28"/>
      <c r="BB1011" s="28"/>
    </row>
    <row r="1012" spans="1:54" ht="12.75" x14ac:dyDescent="0.2">
      <c r="A1012" s="28"/>
      <c r="B1012" s="28"/>
      <c r="C1012" s="28"/>
      <c r="D1012" s="28"/>
      <c r="E1012" s="28"/>
      <c r="F1012" s="28"/>
      <c r="G1012" s="28"/>
      <c r="H1012" s="28"/>
      <c r="I1012" s="28"/>
      <c r="J1012" s="28"/>
      <c r="K1012" s="28"/>
      <c r="L1012" s="28"/>
      <c r="M1012" s="28"/>
      <c r="N1012" s="28"/>
      <c r="O1012" s="28"/>
      <c r="P1012" s="28"/>
      <c r="Q1012" s="28"/>
      <c r="R1012" s="28"/>
      <c r="S1012" s="28"/>
      <c r="T1012" s="28"/>
      <c r="U1012" s="28"/>
      <c r="V1012" s="28"/>
      <c r="W1012" s="28"/>
      <c r="X1012" s="28"/>
      <c r="Y1012" s="28"/>
      <c r="Z1012" s="28"/>
      <c r="AA1012" s="28"/>
      <c r="AB1012" s="28"/>
      <c r="AC1012" s="28"/>
      <c r="AD1012" s="28"/>
      <c r="AE1012" s="28"/>
      <c r="AF1012" s="28"/>
      <c r="AG1012" s="28"/>
      <c r="AH1012" s="28"/>
      <c r="AI1012" s="28"/>
      <c r="AJ1012" s="28"/>
      <c r="AK1012" s="28"/>
      <c r="AL1012" s="28"/>
      <c r="AM1012" s="28"/>
      <c r="AN1012" s="28"/>
      <c r="AO1012" s="28"/>
      <c r="AP1012" s="28"/>
      <c r="AQ1012" s="28"/>
      <c r="AR1012" s="28"/>
      <c r="AS1012" s="28"/>
      <c r="AT1012" s="28"/>
      <c r="AU1012" s="28"/>
      <c r="AV1012" s="28"/>
      <c r="AW1012" s="28"/>
      <c r="AX1012" s="28"/>
      <c r="AY1012" s="28"/>
      <c r="AZ1012" s="28"/>
      <c r="BA1012" s="28"/>
      <c r="BB1012" s="28"/>
    </row>
    <row r="1013" spans="1:54" ht="12.75" x14ac:dyDescent="0.2">
      <c r="A1013" s="28"/>
      <c r="B1013" s="28"/>
      <c r="C1013" s="28"/>
      <c r="D1013" s="28"/>
      <c r="E1013" s="28"/>
      <c r="F1013" s="28"/>
      <c r="G1013" s="28"/>
      <c r="H1013" s="28"/>
      <c r="I1013" s="28"/>
      <c r="J1013" s="28"/>
      <c r="K1013" s="28"/>
      <c r="L1013" s="28"/>
      <c r="M1013" s="28"/>
      <c r="N1013" s="28"/>
      <c r="O1013" s="28"/>
      <c r="P1013" s="28"/>
      <c r="Q1013" s="28"/>
      <c r="R1013" s="28"/>
      <c r="S1013" s="28"/>
      <c r="T1013" s="28"/>
      <c r="U1013" s="28"/>
      <c r="V1013" s="28"/>
      <c r="W1013" s="28"/>
      <c r="X1013" s="28"/>
      <c r="Y1013" s="28"/>
      <c r="Z1013" s="28"/>
      <c r="AA1013" s="28"/>
      <c r="AB1013" s="28"/>
      <c r="AC1013" s="28"/>
      <c r="AD1013" s="28"/>
      <c r="AE1013" s="28"/>
      <c r="AF1013" s="28"/>
      <c r="AG1013" s="28"/>
      <c r="AH1013" s="28"/>
      <c r="AI1013" s="28"/>
      <c r="AJ1013" s="28"/>
      <c r="AK1013" s="28"/>
      <c r="AL1013" s="28"/>
      <c r="AM1013" s="28"/>
      <c r="AN1013" s="28"/>
      <c r="AO1013" s="28"/>
      <c r="AP1013" s="28"/>
      <c r="AQ1013" s="28"/>
      <c r="AR1013" s="28"/>
      <c r="AS1013" s="28"/>
      <c r="AT1013" s="28"/>
      <c r="AU1013" s="28"/>
      <c r="AV1013" s="28"/>
      <c r="AW1013" s="28"/>
      <c r="AX1013" s="28"/>
      <c r="AY1013" s="28"/>
      <c r="AZ1013" s="28"/>
      <c r="BA1013" s="28"/>
      <c r="BB1013" s="28"/>
    </row>
    <row r="1014" spans="1:54" ht="12.75" x14ac:dyDescent="0.2">
      <c r="A1014" s="28"/>
      <c r="B1014" s="28"/>
      <c r="C1014" s="28"/>
      <c r="D1014" s="28"/>
      <c r="E1014" s="28"/>
      <c r="F1014" s="28"/>
      <c r="G1014" s="28"/>
      <c r="H1014" s="28"/>
      <c r="I1014" s="28"/>
      <c r="J1014" s="28"/>
      <c r="K1014" s="28"/>
      <c r="L1014" s="28"/>
      <c r="M1014" s="28"/>
      <c r="N1014" s="28"/>
      <c r="O1014" s="28"/>
      <c r="P1014" s="28"/>
      <c r="Q1014" s="28"/>
      <c r="R1014" s="28"/>
      <c r="S1014" s="28"/>
      <c r="T1014" s="28"/>
      <c r="U1014" s="28"/>
      <c r="V1014" s="28"/>
      <c r="W1014" s="28"/>
      <c r="X1014" s="28"/>
      <c r="Y1014" s="28"/>
      <c r="Z1014" s="28"/>
      <c r="AA1014" s="28"/>
      <c r="AB1014" s="28"/>
      <c r="AC1014" s="28"/>
      <c r="AD1014" s="28"/>
      <c r="AE1014" s="28"/>
      <c r="AF1014" s="28"/>
      <c r="AG1014" s="28"/>
      <c r="AH1014" s="28"/>
      <c r="AI1014" s="28"/>
      <c r="AJ1014" s="28"/>
      <c r="AK1014" s="28"/>
      <c r="AL1014" s="28"/>
      <c r="AM1014" s="28"/>
      <c r="AN1014" s="28"/>
      <c r="AO1014" s="28"/>
      <c r="AP1014" s="28"/>
      <c r="AQ1014" s="28"/>
      <c r="AR1014" s="28"/>
      <c r="AS1014" s="28"/>
      <c r="AT1014" s="28"/>
      <c r="AU1014" s="28"/>
      <c r="AV1014" s="28"/>
      <c r="AW1014" s="28"/>
      <c r="AX1014" s="28"/>
      <c r="AY1014" s="28"/>
      <c r="AZ1014" s="28"/>
      <c r="BA1014" s="28"/>
      <c r="BB1014" s="28"/>
    </row>
    <row r="1015" spans="1:54" ht="12.75" x14ac:dyDescent="0.2">
      <c r="A1015" s="28"/>
      <c r="B1015" s="28"/>
      <c r="C1015" s="28"/>
      <c r="D1015" s="28"/>
      <c r="E1015" s="28"/>
      <c r="F1015" s="28"/>
      <c r="G1015" s="28"/>
      <c r="H1015" s="28"/>
      <c r="I1015" s="28"/>
      <c r="J1015" s="28"/>
      <c r="K1015" s="28"/>
      <c r="L1015" s="28"/>
      <c r="M1015" s="28"/>
      <c r="N1015" s="28"/>
      <c r="O1015" s="28"/>
      <c r="P1015" s="28"/>
      <c r="Q1015" s="28"/>
      <c r="R1015" s="28"/>
      <c r="S1015" s="28"/>
      <c r="T1015" s="28"/>
      <c r="U1015" s="28"/>
      <c r="V1015" s="28"/>
      <c r="W1015" s="28"/>
      <c r="X1015" s="28"/>
      <c r="Y1015" s="28"/>
      <c r="Z1015" s="28"/>
      <c r="AA1015" s="28"/>
      <c r="AB1015" s="28"/>
      <c r="AC1015" s="28"/>
      <c r="AD1015" s="28"/>
      <c r="AE1015" s="28"/>
      <c r="AF1015" s="28"/>
      <c r="AG1015" s="28"/>
      <c r="AH1015" s="28"/>
      <c r="AI1015" s="28"/>
      <c r="AJ1015" s="28"/>
      <c r="AK1015" s="28"/>
      <c r="AL1015" s="28"/>
      <c r="AM1015" s="28"/>
      <c r="AN1015" s="28"/>
      <c r="AO1015" s="28"/>
      <c r="AP1015" s="28"/>
      <c r="AQ1015" s="28"/>
      <c r="AR1015" s="28"/>
      <c r="AS1015" s="28"/>
      <c r="AT1015" s="28"/>
      <c r="AU1015" s="28"/>
      <c r="AV1015" s="28"/>
      <c r="AW1015" s="28"/>
      <c r="AX1015" s="28"/>
      <c r="AY1015" s="28"/>
      <c r="AZ1015" s="28"/>
      <c r="BA1015" s="28"/>
      <c r="BB1015" s="28"/>
    </row>
    <row r="1016" spans="1:54" ht="12.75" x14ac:dyDescent="0.2">
      <c r="A1016" s="28"/>
      <c r="B1016" s="28"/>
      <c r="C1016" s="28"/>
      <c r="D1016" s="28"/>
      <c r="E1016" s="28"/>
      <c r="F1016" s="28"/>
      <c r="G1016" s="28"/>
      <c r="H1016" s="28"/>
      <c r="I1016" s="28"/>
      <c r="J1016" s="28"/>
      <c r="K1016" s="28"/>
      <c r="L1016" s="28"/>
      <c r="M1016" s="28"/>
      <c r="N1016" s="28"/>
      <c r="O1016" s="28"/>
      <c r="P1016" s="28"/>
      <c r="Q1016" s="28"/>
      <c r="R1016" s="28"/>
      <c r="S1016" s="28"/>
      <c r="T1016" s="28"/>
      <c r="U1016" s="28"/>
      <c r="V1016" s="28"/>
      <c r="W1016" s="28"/>
      <c r="X1016" s="28"/>
      <c r="Y1016" s="28"/>
      <c r="Z1016" s="28"/>
      <c r="AA1016" s="28"/>
      <c r="AB1016" s="28"/>
      <c r="AC1016" s="28"/>
      <c r="AD1016" s="28"/>
      <c r="AE1016" s="28"/>
      <c r="AF1016" s="28"/>
      <c r="AG1016" s="28"/>
      <c r="AH1016" s="28"/>
      <c r="AI1016" s="28"/>
      <c r="AJ1016" s="28"/>
      <c r="AK1016" s="28"/>
      <c r="AL1016" s="28"/>
      <c r="AM1016" s="28"/>
      <c r="AN1016" s="28"/>
      <c r="AO1016" s="28"/>
      <c r="AP1016" s="28"/>
      <c r="AQ1016" s="28"/>
      <c r="AR1016" s="28"/>
      <c r="AS1016" s="28"/>
      <c r="AT1016" s="28"/>
      <c r="AU1016" s="28"/>
      <c r="AV1016" s="28"/>
      <c r="AW1016" s="28"/>
      <c r="AX1016" s="28"/>
      <c r="AY1016" s="28"/>
      <c r="AZ1016" s="28"/>
      <c r="BA1016" s="28"/>
      <c r="BB1016" s="28"/>
    </row>
    <row r="1017" spans="1:54" ht="12.75" x14ac:dyDescent="0.2">
      <c r="A1017" s="28"/>
      <c r="B1017" s="28"/>
      <c r="C1017" s="28"/>
      <c r="D1017" s="28"/>
      <c r="E1017" s="28"/>
      <c r="F1017" s="28"/>
      <c r="G1017" s="28"/>
      <c r="H1017" s="28"/>
      <c r="I1017" s="28"/>
      <c r="J1017" s="28"/>
      <c r="K1017" s="28"/>
      <c r="L1017" s="28"/>
      <c r="M1017" s="28"/>
      <c r="N1017" s="28"/>
      <c r="O1017" s="28"/>
      <c r="P1017" s="28"/>
      <c r="Q1017" s="28"/>
      <c r="R1017" s="28"/>
      <c r="S1017" s="28"/>
      <c r="T1017" s="28"/>
      <c r="U1017" s="28"/>
      <c r="V1017" s="28"/>
      <c r="W1017" s="28"/>
      <c r="X1017" s="28"/>
      <c r="Y1017" s="28"/>
      <c r="Z1017" s="28"/>
      <c r="AA1017" s="28"/>
      <c r="AB1017" s="28"/>
      <c r="AC1017" s="28"/>
      <c r="AD1017" s="28"/>
      <c r="AE1017" s="28"/>
      <c r="AF1017" s="28"/>
      <c r="AG1017" s="28"/>
      <c r="AH1017" s="28"/>
      <c r="AI1017" s="28"/>
      <c r="AJ1017" s="28"/>
      <c r="AK1017" s="28"/>
      <c r="AL1017" s="28"/>
      <c r="AM1017" s="28"/>
      <c r="AN1017" s="28"/>
      <c r="AO1017" s="28"/>
      <c r="AP1017" s="28"/>
      <c r="AQ1017" s="28"/>
      <c r="AR1017" s="28"/>
      <c r="AS1017" s="28"/>
      <c r="AT1017" s="28"/>
      <c r="AU1017" s="28"/>
      <c r="AV1017" s="28"/>
      <c r="AW1017" s="28"/>
      <c r="AX1017" s="28"/>
      <c r="AY1017" s="28"/>
      <c r="AZ1017" s="28"/>
      <c r="BA1017" s="28"/>
      <c r="BB1017" s="28"/>
    </row>
    <row r="1018" spans="1:54" ht="12.75" x14ac:dyDescent="0.2">
      <c r="A1018" s="28"/>
      <c r="B1018" s="28"/>
      <c r="C1018" s="28"/>
      <c r="D1018" s="28"/>
      <c r="E1018" s="28"/>
      <c r="F1018" s="28"/>
      <c r="G1018" s="28"/>
      <c r="H1018" s="28"/>
      <c r="I1018" s="28"/>
      <c r="J1018" s="28"/>
      <c r="K1018" s="28"/>
      <c r="L1018" s="28"/>
      <c r="M1018" s="28"/>
      <c r="N1018" s="28"/>
      <c r="O1018" s="28"/>
      <c r="P1018" s="28"/>
      <c r="Q1018" s="28"/>
      <c r="R1018" s="28"/>
      <c r="S1018" s="28"/>
      <c r="T1018" s="28"/>
      <c r="U1018" s="28"/>
      <c r="V1018" s="28"/>
      <c r="W1018" s="28"/>
      <c r="X1018" s="28"/>
      <c r="Y1018" s="28"/>
      <c r="Z1018" s="28"/>
      <c r="AA1018" s="28"/>
      <c r="AB1018" s="28"/>
      <c r="AC1018" s="28"/>
      <c r="AD1018" s="28"/>
      <c r="AE1018" s="28"/>
      <c r="AF1018" s="28"/>
      <c r="AG1018" s="28"/>
      <c r="AH1018" s="28"/>
      <c r="AI1018" s="28"/>
      <c r="AJ1018" s="28"/>
      <c r="AK1018" s="28"/>
      <c r="AL1018" s="28"/>
      <c r="AM1018" s="28"/>
      <c r="AN1018" s="28"/>
      <c r="AO1018" s="28"/>
      <c r="AP1018" s="28"/>
      <c r="AQ1018" s="28"/>
      <c r="AR1018" s="28"/>
      <c r="AS1018" s="28"/>
      <c r="AT1018" s="28"/>
      <c r="AU1018" s="28"/>
      <c r="AV1018" s="28"/>
      <c r="AW1018" s="28"/>
      <c r="AX1018" s="28"/>
      <c r="AY1018" s="28"/>
      <c r="AZ1018" s="28"/>
      <c r="BA1018" s="28"/>
      <c r="BB1018" s="28"/>
    </row>
    <row r="1019" spans="1:54" ht="12.75" x14ac:dyDescent="0.2">
      <c r="A1019" s="28"/>
      <c r="B1019" s="28"/>
      <c r="C1019" s="28"/>
      <c r="D1019" s="28"/>
      <c r="E1019" s="28"/>
      <c r="F1019" s="28"/>
      <c r="G1019" s="28"/>
      <c r="H1019" s="28"/>
      <c r="I1019" s="28"/>
      <c r="J1019" s="28"/>
      <c r="K1019" s="28"/>
      <c r="L1019" s="28"/>
      <c r="M1019" s="28"/>
      <c r="N1019" s="28"/>
      <c r="O1019" s="28"/>
      <c r="P1019" s="28"/>
      <c r="Q1019" s="28"/>
      <c r="R1019" s="28"/>
      <c r="S1019" s="28"/>
      <c r="T1019" s="28"/>
      <c r="U1019" s="28"/>
      <c r="V1019" s="28"/>
      <c r="W1019" s="28"/>
      <c r="X1019" s="28"/>
      <c r="Y1019" s="28"/>
      <c r="Z1019" s="28"/>
      <c r="AA1019" s="28"/>
      <c r="AB1019" s="28"/>
      <c r="AC1019" s="28"/>
      <c r="AD1019" s="28"/>
      <c r="AE1019" s="28"/>
      <c r="AF1019" s="28"/>
      <c r="AG1019" s="28"/>
      <c r="AH1019" s="28"/>
      <c r="AI1019" s="28"/>
      <c r="AJ1019" s="28"/>
      <c r="AK1019" s="28"/>
      <c r="AL1019" s="28"/>
      <c r="AM1019" s="28"/>
      <c r="AN1019" s="28"/>
      <c r="AO1019" s="28"/>
      <c r="AP1019" s="28"/>
      <c r="AQ1019" s="28"/>
      <c r="AR1019" s="28"/>
      <c r="AS1019" s="28"/>
      <c r="AT1019" s="28"/>
      <c r="AU1019" s="28"/>
      <c r="AV1019" s="28"/>
      <c r="AW1019" s="28"/>
      <c r="AX1019" s="28"/>
      <c r="AY1019" s="28"/>
      <c r="AZ1019" s="28"/>
      <c r="BA1019" s="28"/>
      <c r="BB1019" s="28"/>
    </row>
    <row r="1020" spans="1:54" ht="12.75" x14ac:dyDescent="0.2">
      <c r="A1020" s="28"/>
      <c r="B1020" s="28"/>
      <c r="C1020" s="28"/>
      <c r="D1020" s="28"/>
      <c r="E1020" s="28"/>
      <c r="F1020" s="28"/>
      <c r="G1020" s="28"/>
      <c r="H1020" s="28"/>
      <c r="I1020" s="28"/>
      <c r="J1020" s="28"/>
      <c r="K1020" s="28"/>
      <c r="L1020" s="28"/>
      <c r="M1020" s="28"/>
      <c r="N1020" s="28"/>
      <c r="O1020" s="28"/>
      <c r="P1020" s="28"/>
      <c r="Q1020" s="28"/>
      <c r="R1020" s="28"/>
      <c r="S1020" s="28"/>
      <c r="T1020" s="28"/>
      <c r="U1020" s="28"/>
      <c r="V1020" s="28"/>
      <c r="W1020" s="28"/>
      <c r="X1020" s="28"/>
      <c r="Y1020" s="28"/>
      <c r="Z1020" s="28"/>
      <c r="AA1020" s="28"/>
      <c r="AB1020" s="28"/>
      <c r="AC1020" s="28"/>
      <c r="AD1020" s="28"/>
      <c r="AE1020" s="28"/>
      <c r="AF1020" s="28"/>
      <c r="AG1020" s="28"/>
      <c r="AH1020" s="28"/>
      <c r="AI1020" s="28"/>
      <c r="AJ1020" s="28"/>
      <c r="AK1020" s="28"/>
      <c r="AL1020" s="28"/>
      <c r="AM1020" s="28"/>
      <c r="AN1020" s="28"/>
      <c r="AO1020" s="28"/>
      <c r="AP1020" s="28"/>
      <c r="AQ1020" s="28"/>
      <c r="AR1020" s="28"/>
      <c r="AS1020" s="28"/>
      <c r="AT1020" s="28"/>
      <c r="AU1020" s="28"/>
      <c r="AV1020" s="28"/>
      <c r="AW1020" s="28"/>
      <c r="AX1020" s="28"/>
      <c r="AY1020" s="28"/>
      <c r="AZ1020" s="28"/>
      <c r="BA1020" s="28"/>
      <c r="BB1020" s="28"/>
    </row>
    <row r="1021" spans="1:54" ht="12.75" x14ac:dyDescent="0.2">
      <c r="A1021" s="28"/>
      <c r="B1021" s="28"/>
      <c r="C1021" s="28"/>
      <c r="D1021" s="28"/>
      <c r="E1021" s="28"/>
      <c r="F1021" s="28"/>
      <c r="G1021" s="28"/>
      <c r="H1021" s="28"/>
      <c r="I1021" s="28"/>
      <c r="J1021" s="28"/>
      <c r="K1021" s="28"/>
      <c r="L1021" s="28"/>
      <c r="M1021" s="28"/>
      <c r="N1021" s="28"/>
      <c r="O1021" s="28"/>
      <c r="P1021" s="28"/>
      <c r="Q1021" s="28"/>
      <c r="R1021" s="28"/>
      <c r="S1021" s="28"/>
      <c r="T1021" s="28"/>
      <c r="U1021" s="28"/>
      <c r="V1021" s="28"/>
      <c r="W1021" s="28"/>
      <c r="X1021" s="28"/>
      <c r="Y1021" s="28"/>
      <c r="Z1021" s="28"/>
      <c r="AA1021" s="28"/>
      <c r="AB1021" s="28"/>
      <c r="AC1021" s="28"/>
      <c r="AD1021" s="28"/>
      <c r="AE1021" s="28"/>
      <c r="AF1021" s="28"/>
      <c r="AG1021" s="28"/>
      <c r="AH1021" s="28"/>
      <c r="AI1021" s="28"/>
      <c r="AJ1021" s="28"/>
      <c r="AK1021" s="28"/>
      <c r="AL1021" s="28"/>
      <c r="AM1021" s="28"/>
      <c r="AN1021" s="28"/>
      <c r="AO1021" s="28"/>
      <c r="AP1021" s="28"/>
      <c r="AQ1021" s="28"/>
      <c r="AR1021" s="28"/>
      <c r="AS1021" s="28"/>
      <c r="AT1021" s="28"/>
      <c r="AU1021" s="28"/>
      <c r="AV1021" s="28"/>
      <c r="AW1021" s="28"/>
      <c r="AX1021" s="28"/>
      <c r="AY1021" s="28"/>
      <c r="AZ1021" s="28"/>
      <c r="BA1021" s="28"/>
      <c r="BB1021" s="28"/>
    </row>
    <row r="1022" spans="1:54" ht="12.75" x14ac:dyDescent="0.2">
      <c r="A1022" s="28"/>
      <c r="B1022" s="28"/>
      <c r="C1022" s="28"/>
      <c r="D1022" s="28"/>
      <c r="E1022" s="28"/>
      <c r="F1022" s="28"/>
      <c r="G1022" s="28"/>
      <c r="H1022" s="28"/>
      <c r="I1022" s="28"/>
      <c r="J1022" s="28"/>
      <c r="K1022" s="28"/>
      <c r="L1022" s="28"/>
      <c r="M1022" s="28"/>
      <c r="N1022" s="28"/>
      <c r="O1022" s="28"/>
      <c r="P1022" s="28"/>
      <c r="Q1022" s="28"/>
      <c r="R1022" s="28"/>
      <c r="S1022" s="28"/>
      <c r="T1022" s="28"/>
      <c r="U1022" s="28"/>
      <c r="V1022" s="28"/>
      <c r="W1022" s="28"/>
      <c r="X1022" s="28"/>
      <c r="Y1022" s="28"/>
      <c r="Z1022" s="28"/>
      <c r="AA1022" s="28"/>
      <c r="AB1022" s="28"/>
      <c r="AC1022" s="28"/>
      <c r="AD1022" s="28"/>
      <c r="AE1022" s="28"/>
      <c r="AF1022" s="28"/>
      <c r="AG1022" s="28"/>
      <c r="AH1022" s="28"/>
      <c r="AI1022" s="28"/>
      <c r="AJ1022" s="28"/>
      <c r="AK1022" s="28"/>
      <c r="AL1022" s="28"/>
      <c r="AM1022" s="28"/>
      <c r="AN1022" s="28"/>
      <c r="AO1022" s="28"/>
      <c r="AP1022" s="28"/>
      <c r="AQ1022" s="28"/>
      <c r="AR1022" s="28"/>
      <c r="AS1022" s="28"/>
      <c r="AT1022" s="28"/>
      <c r="AU1022" s="28"/>
      <c r="AV1022" s="28"/>
      <c r="AW1022" s="28"/>
      <c r="AX1022" s="28"/>
      <c r="AY1022" s="28"/>
      <c r="AZ1022" s="28"/>
      <c r="BA1022" s="28"/>
      <c r="BB1022" s="28"/>
    </row>
    <row r="1023" spans="1:54" ht="12.75" x14ac:dyDescent="0.2">
      <c r="A1023" s="28"/>
      <c r="B1023" s="28"/>
      <c r="C1023" s="28"/>
      <c r="D1023" s="28"/>
      <c r="E1023" s="28"/>
      <c r="F1023" s="28"/>
      <c r="G1023" s="28"/>
      <c r="H1023" s="28"/>
      <c r="I1023" s="28"/>
      <c r="J1023" s="28"/>
      <c r="K1023" s="28"/>
      <c r="L1023" s="28"/>
      <c r="M1023" s="28"/>
      <c r="N1023" s="28"/>
      <c r="O1023" s="28"/>
      <c r="P1023" s="28"/>
      <c r="Q1023" s="28"/>
      <c r="R1023" s="28"/>
      <c r="S1023" s="28"/>
      <c r="T1023" s="28"/>
      <c r="U1023" s="28"/>
      <c r="V1023" s="28"/>
      <c r="W1023" s="28"/>
      <c r="X1023" s="28"/>
      <c r="Y1023" s="28"/>
      <c r="Z1023" s="28"/>
      <c r="AA1023" s="28"/>
      <c r="AB1023" s="28"/>
      <c r="AC1023" s="28"/>
      <c r="AD1023" s="28"/>
      <c r="AE1023" s="28"/>
      <c r="AF1023" s="28"/>
      <c r="AG1023" s="28"/>
      <c r="AH1023" s="28"/>
      <c r="AI1023" s="28"/>
      <c r="AJ1023" s="28"/>
      <c r="AK1023" s="28"/>
      <c r="AL1023" s="28"/>
      <c r="AM1023" s="28"/>
      <c r="AN1023" s="28"/>
      <c r="AO1023" s="28"/>
      <c r="AP1023" s="28"/>
      <c r="AQ1023" s="28"/>
      <c r="AR1023" s="28"/>
      <c r="AS1023" s="28"/>
      <c r="AT1023" s="28"/>
      <c r="AU1023" s="28"/>
      <c r="AV1023" s="28"/>
      <c r="AW1023" s="28"/>
      <c r="AX1023" s="28"/>
      <c r="AY1023" s="28"/>
      <c r="AZ1023" s="28"/>
      <c r="BA1023" s="28"/>
      <c r="BB1023" s="28"/>
    </row>
    <row r="1024" spans="1:54" ht="12.75" x14ac:dyDescent="0.2">
      <c r="A1024" s="28"/>
      <c r="B1024" s="28"/>
      <c r="C1024" s="28"/>
      <c r="D1024" s="28"/>
      <c r="E1024" s="28"/>
      <c r="F1024" s="28"/>
      <c r="G1024" s="28"/>
      <c r="H1024" s="28"/>
      <c r="I1024" s="28"/>
      <c r="J1024" s="28"/>
      <c r="K1024" s="28"/>
      <c r="L1024" s="28"/>
      <c r="M1024" s="28"/>
      <c r="N1024" s="28"/>
      <c r="O1024" s="28"/>
      <c r="P1024" s="28"/>
      <c r="Q1024" s="28"/>
      <c r="R1024" s="28"/>
      <c r="S1024" s="28"/>
      <c r="T1024" s="28"/>
      <c r="U1024" s="28"/>
      <c r="V1024" s="28"/>
      <c r="W1024" s="28"/>
      <c r="X1024" s="28"/>
      <c r="Y1024" s="28"/>
      <c r="Z1024" s="28"/>
      <c r="AA1024" s="28"/>
      <c r="AB1024" s="28"/>
      <c r="AC1024" s="28"/>
      <c r="AD1024" s="28"/>
      <c r="AE1024" s="28"/>
      <c r="AF1024" s="28"/>
      <c r="AG1024" s="28"/>
      <c r="AH1024" s="28"/>
      <c r="AI1024" s="28"/>
      <c r="AJ1024" s="28"/>
      <c r="AK1024" s="28"/>
      <c r="AL1024" s="28"/>
      <c r="AM1024" s="28"/>
      <c r="AN1024" s="28"/>
      <c r="AO1024" s="28"/>
      <c r="AP1024" s="28"/>
      <c r="AQ1024" s="28"/>
      <c r="AR1024" s="28"/>
      <c r="AS1024" s="28"/>
      <c r="AT1024" s="28"/>
      <c r="AU1024" s="28"/>
      <c r="AV1024" s="28"/>
      <c r="AW1024" s="28"/>
      <c r="AX1024" s="28"/>
      <c r="AY1024" s="28"/>
      <c r="AZ1024" s="28"/>
      <c r="BA1024" s="28"/>
      <c r="BB1024" s="28"/>
    </row>
    <row r="1025" spans="1:54" ht="12.75" x14ac:dyDescent="0.2">
      <c r="A1025" s="28"/>
      <c r="B1025" s="28"/>
      <c r="C1025" s="28"/>
      <c r="D1025" s="28"/>
      <c r="E1025" s="28"/>
      <c r="F1025" s="28"/>
      <c r="G1025" s="28"/>
      <c r="H1025" s="28"/>
      <c r="I1025" s="28"/>
      <c r="J1025" s="28"/>
      <c r="K1025" s="28"/>
      <c r="L1025" s="28"/>
      <c r="M1025" s="28"/>
      <c r="N1025" s="28"/>
      <c r="O1025" s="28"/>
      <c r="P1025" s="28"/>
      <c r="Q1025" s="28"/>
      <c r="R1025" s="28"/>
      <c r="S1025" s="28"/>
      <c r="T1025" s="28"/>
      <c r="U1025" s="28"/>
      <c r="V1025" s="28"/>
      <c r="W1025" s="28"/>
      <c r="X1025" s="28"/>
      <c r="Y1025" s="28"/>
      <c r="Z1025" s="28"/>
      <c r="AA1025" s="28"/>
      <c r="AB1025" s="28"/>
      <c r="AC1025" s="28"/>
      <c r="AD1025" s="28"/>
      <c r="AE1025" s="28"/>
      <c r="AF1025" s="28"/>
      <c r="AG1025" s="28"/>
      <c r="AH1025" s="28"/>
      <c r="AI1025" s="28"/>
      <c r="AJ1025" s="28"/>
      <c r="AK1025" s="28"/>
      <c r="AL1025" s="28"/>
      <c r="AM1025" s="28"/>
      <c r="AN1025" s="28"/>
      <c r="AO1025" s="28"/>
      <c r="AP1025" s="28"/>
      <c r="AQ1025" s="28"/>
      <c r="AR1025" s="28"/>
      <c r="AS1025" s="28"/>
      <c r="AT1025" s="28"/>
      <c r="AU1025" s="28"/>
      <c r="AV1025" s="28"/>
      <c r="AW1025" s="28"/>
      <c r="AX1025" s="28"/>
      <c r="AY1025" s="28"/>
      <c r="AZ1025" s="28"/>
      <c r="BA1025" s="28"/>
      <c r="BB1025" s="28"/>
    </row>
    <row r="1026" spans="1:54" ht="12.75" x14ac:dyDescent="0.2">
      <c r="A1026" s="28"/>
      <c r="B1026" s="28"/>
      <c r="C1026" s="28"/>
      <c r="D1026" s="28"/>
      <c r="E1026" s="28"/>
      <c r="F1026" s="28"/>
      <c r="G1026" s="28"/>
      <c r="H1026" s="28"/>
      <c r="I1026" s="28"/>
      <c r="J1026" s="28"/>
      <c r="K1026" s="28"/>
      <c r="L1026" s="28"/>
      <c r="M1026" s="28"/>
      <c r="N1026" s="28"/>
      <c r="O1026" s="28"/>
      <c r="P1026" s="28"/>
      <c r="Q1026" s="28"/>
      <c r="R1026" s="28"/>
      <c r="S1026" s="28"/>
      <c r="T1026" s="28"/>
      <c r="U1026" s="28"/>
      <c r="V1026" s="28"/>
      <c r="W1026" s="28"/>
      <c r="X1026" s="28"/>
      <c r="Y1026" s="28"/>
      <c r="Z1026" s="28"/>
      <c r="AA1026" s="28"/>
      <c r="AB1026" s="28"/>
      <c r="AC1026" s="28"/>
      <c r="AD1026" s="28"/>
      <c r="AE1026" s="28"/>
      <c r="AF1026" s="28"/>
      <c r="AG1026" s="28"/>
      <c r="AH1026" s="28"/>
      <c r="AI1026" s="28"/>
      <c r="AJ1026" s="28"/>
      <c r="AK1026" s="28"/>
      <c r="AL1026" s="28"/>
      <c r="AM1026" s="28"/>
      <c r="AN1026" s="28"/>
      <c r="AO1026" s="28"/>
      <c r="AP1026" s="28"/>
      <c r="AQ1026" s="28"/>
      <c r="AR1026" s="28"/>
      <c r="AS1026" s="28"/>
      <c r="AT1026" s="28"/>
      <c r="AU1026" s="28"/>
      <c r="AV1026" s="28"/>
      <c r="AW1026" s="28"/>
      <c r="AX1026" s="28"/>
      <c r="AY1026" s="28"/>
      <c r="AZ1026" s="28"/>
      <c r="BA1026" s="28"/>
      <c r="BB1026" s="28"/>
    </row>
    <row r="1027" spans="1:54" ht="12.75" x14ac:dyDescent="0.2">
      <c r="A1027" s="28"/>
      <c r="B1027" s="28"/>
      <c r="C1027" s="28"/>
      <c r="D1027" s="28"/>
      <c r="E1027" s="28"/>
      <c r="F1027" s="28"/>
      <c r="G1027" s="28"/>
      <c r="H1027" s="28"/>
      <c r="I1027" s="28"/>
      <c r="J1027" s="28"/>
      <c r="K1027" s="28"/>
      <c r="L1027" s="28"/>
      <c r="M1027" s="28"/>
      <c r="N1027" s="28"/>
      <c r="O1027" s="28"/>
      <c r="P1027" s="28"/>
      <c r="Q1027" s="28"/>
      <c r="R1027" s="28"/>
      <c r="S1027" s="28"/>
      <c r="T1027" s="28"/>
      <c r="U1027" s="28"/>
      <c r="V1027" s="28"/>
      <c r="W1027" s="28"/>
      <c r="X1027" s="28"/>
      <c r="Y1027" s="28"/>
      <c r="Z1027" s="28"/>
      <c r="AA1027" s="28"/>
      <c r="AB1027" s="28"/>
      <c r="AC1027" s="28"/>
      <c r="AD1027" s="28"/>
      <c r="AE1027" s="28"/>
      <c r="AF1027" s="28"/>
      <c r="AG1027" s="28"/>
      <c r="AH1027" s="28"/>
      <c r="AI1027" s="28"/>
      <c r="AJ1027" s="28"/>
      <c r="AK1027" s="28"/>
      <c r="AL1027" s="28"/>
      <c r="AM1027" s="28"/>
      <c r="AN1027" s="28"/>
      <c r="AO1027" s="28"/>
      <c r="AP1027" s="28"/>
      <c r="AQ1027" s="28"/>
      <c r="AR1027" s="28"/>
      <c r="AS1027" s="28"/>
      <c r="AT1027" s="28"/>
      <c r="AU1027" s="28"/>
      <c r="AV1027" s="28"/>
      <c r="AW1027" s="28"/>
      <c r="AX1027" s="28"/>
      <c r="AY1027" s="28"/>
      <c r="AZ1027" s="28"/>
      <c r="BA1027" s="28"/>
      <c r="BB1027" s="28"/>
    </row>
    <row r="1028" spans="1:54" ht="12.75" x14ac:dyDescent="0.2">
      <c r="A1028" s="28"/>
      <c r="B1028" s="28"/>
      <c r="C1028" s="28"/>
      <c r="D1028" s="28"/>
      <c r="E1028" s="28"/>
      <c r="F1028" s="28"/>
      <c r="G1028" s="28"/>
      <c r="H1028" s="28"/>
      <c r="I1028" s="28"/>
      <c r="J1028" s="28"/>
      <c r="K1028" s="28"/>
      <c r="L1028" s="28"/>
      <c r="M1028" s="28"/>
      <c r="N1028" s="28"/>
      <c r="O1028" s="28"/>
      <c r="P1028" s="28"/>
      <c r="Q1028" s="28"/>
      <c r="R1028" s="28"/>
      <c r="S1028" s="28"/>
      <c r="T1028" s="28"/>
      <c r="U1028" s="28"/>
      <c r="V1028" s="28"/>
      <c r="W1028" s="28"/>
      <c r="X1028" s="28"/>
      <c r="Y1028" s="28"/>
      <c r="Z1028" s="28"/>
      <c r="AA1028" s="28"/>
      <c r="AB1028" s="28"/>
      <c r="AC1028" s="28"/>
      <c r="AD1028" s="28"/>
      <c r="AE1028" s="28"/>
      <c r="AF1028" s="28"/>
      <c r="AG1028" s="28"/>
      <c r="AH1028" s="28"/>
      <c r="AI1028" s="28"/>
      <c r="AJ1028" s="28"/>
      <c r="AK1028" s="28"/>
      <c r="AL1028" s="28"/>
      <c r="AM1028" s="28"/>
      <c r="AN1028" s="28"/>
      <c r="AO1028" s="28"/>
      <c r="AP1028" s="28"/>
      <c r="AQ1028" s="28"/>
      <c r="AR1028" s="28"/>
      <c r="AS1028" s="28"/>
      <c r="AT1028" s="28"/>
      <c r="AU1028" s="28"/>
      <c r="AV1028" s="28"/>
      <c r="AW1028" s="28"/>
      <c r="AX1028" s="28"/>
      <c r="AY1028" s="28"/>
      <c r="AZ1028" s="28"/>
      <c r="BA1028" s="28"/>
      <c r="BB1028" s="28"/>
    </row>
    <row r="1029" spans="1:54" ht="12.75" x14ac:dyDescent="0.2">
      <c r="A1029" s="28"/>
      <c r="B1029" s="28"/>
      <c r="C1029" s="28"/>
      <c r="D1029" s="28"/>
      <c r="E1029" s="28"/>
      <c r="F1029" s="28"/>
      <c r="G1029" s="28"/>
      <c r="H1029" s="28"/>
      <c r="I1029" s="28"/>
      <c r="J1029" s="28"/>
      <c r="K1029" s="28"/>
      <c r="L1029" s="28"/>
      <c r="M1029" s="28"/>
      <c r="N1029" s="28"/>
      <c r="O1029" s="28"/>
      <c r="P1029" s="28"/>
      <c r="Q1029" s="28"/>
      <c r="R1029" s="28"/>
      <c r="S1029" s="28"/>
      <c r="T1029" s="28"/>
      <c r="U1029" s="28"/>
      <c r="V1029" s="28"/>
      <c r="W1029" s="28"/>
      <c r="X1029" s="28"/>
      <c r="Y1029" s="28"/>
      <c r="Z1029" s="28"/>
      <c r="AA1029" s="28"/>
      <c r="AB1029" s="28"/>
      <c r="AC1029" s="28"/>
      <c r="AD1029" s="28"/>
      <c r="AE1029" s="28"/>
      <c r="AF1029" s="28"/>
      <c r="AG1029" s="28"/>
      <c r="AH1029" s="28"/>
      <c r="AI1029" s="28"/>
      <c r="AJ1029" s="28"/>
      <c r="AK1029" s="28"/>
      <c r="AL1029" s="28"/>
      <c r="AM1029" s="28"/>
      <c r="AN1029" s="28"/>
      <c r="AO1029" s="28"/>
      <c r="AP1029" s="28"/>
      <c r="AQ1029" s="28"/>
      <c r="AR1029" s="28"/>
      <c r="AS1029" s="28"/>
      <c r="AT1029" s="28"/>
      <c r="AU1029" s="28"/>
      <c r="AV1029" s="28"/>
      <c r="AW1029" s="28"/>
      <c r="AX1029" s="28"/>
      <c r="AY1029" s="28"/>
      <c r="AZ1029" s="28"/>
      <c r="BA1029" s="28"/>
      <c r="BB1029" s="28"/>
    </row>
    <row r="1030" spans="1:54" ht="12.75" x14ac:dyDescent="0.2">
      <c r="A1030" s="28"/>
      <c r="B1030" s="28"/>
      <c r="C1030" s="28"/>
      <c r="D1030" s="28"/>
      <c r="E1030" s="28"/>
      <c r="F1030" s="28"/>
      <c r="G1030" s="28"/>
      <c r="H1030" s="28"/>
      <c r="I1030" s="28"/>
      <c r="J1030" s="28"/>
      <c r="K1030" s="28"/>
      <c r="L1030" s="28"/>
      <c r="M1030" s="28"/>
      <c r="N1030" s="28"/>
      <c r="O1030" s="28"/>
      <c r="P1030" s="28"/>
      <c r="Q1030" s="28"/>
      <c r="R1030" s="28"/>
      <c r="S1030" s="28"/>
      <c r="T1030" s="28"/>
      <c r="U1030" s="28"/>
      <c r="V1030" s="28"/>
      <c r="W1030" s="28"/>
      <c r="X1030" s="28"/>
      <c r="Y1030" s="28"/>
      <c r="Z1030" s="28"/>
      <c r="AA1030" s="28"/>
      <c r="AB1030" s="28"/>
      <c r="AC1030" s="28"/>
      <c r="AD1030" s="28"/>
      <c r="AE1030" s="28"/>
      <c r="AF1030" s="28"/>
      <c r="AG1030" s="28"/>
      <c r="AH1030" s="28"/>
      <c r="AI1030" s="28"/>
      <c r="AJ1030" s="28"/>
      <c r="AK1030" s="28"/>
      <c r="AL1030" s="28"/>
      <c r="AM1030" s="28"/>
      <c r="AN1030" s="28"/>
      <c r="AO1030" s="28"/>
      <c r="AP1030" s="28"/>
      <c r="AQ1030" s="28"/>
      <c r="AR1030" s="28"/>
      <c r="AS1030" s="28"/>
      <c r="AT1030" s="28"/>
      <c r="AU1030" s="28"/>
      <c r="AV1030" s="28"/>
      <c r="AW1030" s="28"/>
      <c r="AX1030" s="28"/>
      <c r="AY1030" s="28"/>
      <c r="AZ1030" s="28"/>
      <c r="BA1030" s="28"/>
      <c r="BB1030" s="28"/>
    </row>
    <row r="1031" spans="1:54" ht="12.75" x14ac:dyDescent="0.2">
      <c r="A1031" s="28"/>
      <c r="B1031" s="28"/>
      <c r="C1031" s="28"/>
      <c r="D1031" s="28"/>
      <c r="E1031" s="28"/>
      <c r="F1031" s="28"/>
      <c r="G1031" s="28"/>
      <c r="H1031" s="28"/>
      <c r="I1031" s="28"/>
      <c r="J1031" s="28"/>
      <c r="K1031" s="28"/>
      <c r="L1031" s="28"/>
      <c r="M1031" s="28"/>
      <c r="N1031" s="28"/>
      <c r="O1031" s="28"/>
      <c r="P1031" s="28"/>
      <c r="Q1031" s="28"/>
      <c r="R1031" s="28"/>
      <c r="S1031" s="28"/>
      <c r="T1031" s="28"/>
      <c r="U1031" s="28"/>
      <c r="V1031" s="28"/>
      <c r="W1031" s="28"/>
      <c r="X1031" s="28"/>
      <c r="Y1031" s="28"/>
      <c r="Z1031" s="28"/>
      <c r="AA1031" s="28"/>
      <c r="AB1031" s="28"/>
      <c r="AC1031" s="28"/>
      <c r="AD1031" s="28"/>
      <c r="AE1031" s="28"/>
      <c r="AF1031" s="28"/>
      <c r="AG1031" s="28"/>
      <c r="AH1031" s="28"/>
      <c r="AI1031" s="28"/>
      <c r="AJ1031" s="28"/>
      <c r="AK1031" s="28"/>
      <c r="AL1031" s="28"/>
      <c r="AM1031" s="28"/>
      <c r="AN1031" s="28"/>
      <c r="AO1031" s="28"/>
      <c r="AP1031" s="28"/>
      <c r="AQ1031" s="28"/>
      <c r="AR1031" s="28"/>
      <c r="AS1031" s="28"/>
      <c r="AT1031" s="28"/>
      <c r="AU1031" s="28"/>
      <c r="AV1031" s="28"/>
      <c r="AW1031" s="28"/>
      <c r="AX1031" s="28"/>
      <c r="AY1031" s="28"/>
      <c r="AZ1031" s="28"/>
      <c r="BA1031" s="28"/>
      <c r="BB1031" s="28"/>
    </row>
    <row r="1032" spans="1:54" ht="12.75" x14ac:dyDescent="0.2">
      <c r="A1032" s="28"/>
      <c r="B1032" s="28"/>
      <c r="C1032" s="28"/>
      <c r="D1032" s="28"/>
      <c r="E1032" s="28"/>
      <c r="F1032" s="28"/>
      <c r="G1032" s="28"/>
      <c r="H1032" s="28"/>
      <c r="I1032" s="28"/>
      <c r="J1032" s="28"/>
      <c r="K1032" s="28"/>
      <c r="L1032" s="28"/>
      <c r="M1032" s="28"/>
      <c r="N1032" s="28"/>
      <c r="O1032" s="28"/>
      <c r="P1032" s="28"/>
      <c r="Q1032" s="28"/>
      <c r="R1032" s="28"/>
      <c r="S1032" s="28"/>
      <c r="T1032" s="28"/>
      <c r="U1032" s="28"/>
      <c r="V1032" s="28"/>
      <c r="W1032" s="28"/>
      <c r="X1032" s="28"/>
      <c r="Y1032" s="28"/>
      <c r="Z1032" s="28"/>
      <c r="AA1032" s="28"/>
      <c r="AB1032" s="28"/>
      <c r="AC1032" s="28"/>
      <c r="AD1032" s="28"/>
      <c r="AE1032" s="28"/>
      <c r="AF1032" s="28"/>
      <c r="AG1032" s="28"/>
      <c r="AH1032" s="28"/>
      <c r="AI1032" s="28"/>
      <c r="AJ1032" s="28"/>
      <c r="AK1032" s="28"/>
      <c r="AL1032" s="28"/>
      <c r="AM1032" s="28"/>
      <c r="AN1032" s="28"/>
      <c r="AO1032" s="28"/>
      <c r="AP1032" s="28"/>
      <c r="AQ1032" s="28"/>
      <c r="AR1032" s="28"/>
      <c r="AS1032" s="28"/>
      <c r="AT1032" s="28"/>
      <c r="AU1032" s="28"/>
      <c r="AV1032" s="28"/>
      <c r="AW1032" s="28"/>
      <c r="AX1032" s="28"/>
      <c r="AY1032" s="28"/>
      <c r="AZ1032" s="28"/>
      <c r="BA1032" s="28"/>
      <c r="BB1032" s="28"/>
    </row>
    <row r="1033" spans="1:54" ht="12.75" x14ac:dyDescent="0.2">
      <c r="A1033" s="28"/>
      <c r="B1033" s="28"/>
      <c r="C1033" s="28"/>
      <c r="D1033" s="28"/>
      <c r="E1033" s="28"/>
      <c r="F1033" s="28"/>
      <c r="G1033" s="28"/>
      <c r="H1033" s="28"/>
      <c r="I1033" s="28"/>
      <c r="J1033" s="28"/>
      <c r="K1033" s="28"/>
      <c r="L1033" s="28"/>
      <c r="M1033" s="28"/>
      <c r="N1033" s="28"/>
      <c r="O1033" s="28"/>
      <c r="P1033" s="28"/>
      <c r="Q1033" s="28"/>
      <c r="R1033" s="28"/>
      <c r="S1033" s="28"/>
      <c r="T1033" s="28"/>
      <c r="U1033" s="28"/>
      <c r="V1033" s="28"/>
      <c r="W1033" s="28"/>
      <c r="X1033" s="28"/>
      <c r="Y1033" s="28"/>
      <c r="Z1033" s="28"/>
      <c r="AA1033" s="28"/>
      <c r="AB1033" s="28"/>
      <c r="AC1033" s="28"/>
      <c r="AD1033" s="28"/>
      <c r="AE1033" s="28"/>
      <c r="AF1033" s="28"/>
      <c r="AG1033" s="28"/>
      <c r="AH1033" s="28"/>
      <c r="AI1033" s="28"/>
      <c r="AJ1033" s="28"/>
      <c r="AK1033" s="28"/>
      <c r="AL1033" s="28"/>
      <c r="AM1033" s="28"/>
      <c r="AN1033" s="28"/>
      <c r="AO1033" s="28"/>
      <c r="AP1033" s="28"/>
      <c r="AQ1033" s="28"/>
      <c r="AR1033" s="28"/>
      <c r="AS1033" s="28"/>
      <c r="AT1033" s="28"/>
      <c r="AU1033" s="28"/>
      <c r="AV1033" s="28"/>
      <c r="AW1033" s="28"/>
      <c r="AX1033" s="28"/>
      <c r="AY1033" s="28"/>
      <c r="AZ1033" s="28"/>
      <c r="BA1033" s="28"/>
      <c r="BB1033" s="28"/>
    </row>
    <row r="1034" spans="1:54" ht="12.75" x14ac:dyDescent="0.2">
      <c r="A1034" s="28"/>
      <c r="B1034" s="28"/>
      <c r="C1034" s="28"/>
      <c r="D1034" s="28"/>
      <c r="E1034" s="28"/>
      <c r="F1034" s="28"/>
      <c r="G1034" s="28"/>
      <c r="H1034" s="28"/>
      <c r="I1034" s="28"/>
      <c r="J1034" s="28"/>
      <c r="K1034" s="28"/>
      <c r="L1034" s="28"/>
      <c r="M1034" s="28"/>
      <c r="N1034" s="28"/>
      <c r="O1034" s="28"/>
      <c r="P1034" s="28"/>
      <c r="Q1034" s="28"/>
      <c r="R1034" s="28"/>
      <c r="S1034" s="28"/>
      <c r="T1034" s="28"/>
      <c r="U1034" s="28"/>
      <c r="V1034" s="28"/>
      <c r="W1034" s="28"/>
      <c r="X1034" s="28"/>
      <c r="Y1034" s="28"/>
      <c r="Z1034" s="28"/>
      <c r="AA1034" s="28"/>
      <c r="AB1034" s="28"/>
      <c r="AC1034" s="28"/>
      <c r="AD1034" s="28"/>
      <c r="AE1034" s="28"/>
      <c r="AF1034" s="28"/>
      <c r="AG1034" s="28"/>
      <c r="AH1034" s="28"/>
      <c r="AI1034" s="28"/>
      <c r="AJ1034" s="28"/>
      <c r="AK1034" s="28"/>
      <c r="AL1034" s="28"/>
      <c r="AM1034" s="28"/>
      <c r="AN1034" s="28"/>
      <c r="AO1034" s="28"/>
      <c r="AP1034" s="28"/>
      <c r="AQ1034" s="28"/>
      <c r="AR1034" s="28"/>
      <c r="AS1034" s="28"/>
      <c r="AT1034" s="28"/>
      <c r="AU1034" s="28"/>
      <c r="AV1034" s="28"/>
      <c r="AW1034" s="28"/>
      <c r="AX1034" s="28"/>
      <c r="AY1034" s="28"/>
      <c r="AZ1034" s="28"/>
      <c r="BA1034" s="28"/>
      <c r="BB1034" s="28"/>
    </row>
    <row r="1035" spans="1:54" ht="12.75" x14ac:dyDescent="0.2">
      <c r="A1035" s="28"/>
      <c r="B1035" s="28"/>
      <c r="C1035" s="28"/>
      <c r="D1035" s="28"/>
      <c r="E1035" s="28"/>
      <c r="F1035" s="28"/>
      <c r="G1035" s="28"/>
      <c r="H1035" s="28"/>
      <c r="I1035" s="28"/>
      <c r="J1035" s="28"/>
      <c r="K1035" s="28"/>
      <c r="L1035" s="28"/>
      <c r="M1035" s="28"/>
      <c r="N1035" s="28"/>
      <c r="O1035" s="28"/>
      <c r="P1035" s="28"/>
      <c r="Q1035" s="28"/>
      <c r="R1035" s="28"/>
      <c r="S1035" s="28"/>
      <c r="T1035" s="28"/>
      <c r="U1035" s="28"/>
      <c r="V1035" s="28"/>
      <c r="W1035" s="28"/>
      <c r="X1035" s="28"/>
      <c r="Y1035" s="28"/>
      <c r="Z1035" s="28"/>
      <c r="AA1035" s="28"/>
      <c r="AB1035" s="28"/>
      <c r="AC1035" s="28"/>
      <c r="AD1035" s="28"/>
      <c r="AE1035" s="28"/>
      <c r="AF1035" s="28"/>
      <c r="AG1035" s="28"/>
      <c r="AH1035" s="28"/>
      <c r="AI1035" s="28"/>
      <c r="AJ1035" s="28"/>
      <c r="AK1035" s="28"/>
      <c r="AL1035" s="28"/>
      <c r="AM1035" s="28"/>
      <c r="AN1035" s="28"/>
      <c r="AO1035" s="28"/>
      <c r="AP1035" s="28"/>
      <c r="AQ1035" s="28"/>
      <c r="AR1035" s="28"/>
      <c r="AS1035" s="28"/>
      <c r="AT1035" s="28"/>
      <c r="AU1035" s="28"/>
      <c r="AV1035" s="28"/>
      <c r="AW1035" s="28"/>
      <c r="AX1035" s="28"/>
      <c r="AY1035" s="28"/>
      <c r="AZ1035" s="28"/>
      <c r="BA1035" s="28"/>
      <c r="BB1035" s="28"/>
    </row>
    <row r="1036" spans="1:54" ht="12.75" x14ac:dyDescent="0.2">
      <c r="A1036" s="28"/>
      <c r="B1036" s="28"/>
      <c r="C1036" s="28"/>
      <c r="D1036" s="28"/>
      <c r="E1036" s="28"/>
      <c r="F1036" s="28"/>
      <c r="G1036" s="28"/>
      <c r="H1036" s="28"/>
      <c r="I1036" s="28"/>
      <c r="J1036" s="28"/>
      <c r="K1036" s="28"/>
      <c r="L1036" s="28"/>
      <c r="M1036" s="28"/>
      <c r="N1036" s="28"/>
      <c r="O1036" s="28"/>
      <c r="P1036" s="28"/>
      <c r="Q1036" s="28"/>
      <c r="R1036" s="28"/>
      <c r="S1036" s="28"/>
      <c r="T1036" s="28"/>
      <c r="U1036" s="28"/>
      <c r="V1036" s="28"/>
      <c r="W1036" s="28"/>
      <c r="X1036" s="28"/>
      <c r="Y1036" s="28"/>
      <c r="Z1036" s="28"/>
      <c r="AA1036" s="28"/>
      <c r="AB1036" s="28"/>
      <c r="AC1036" s="28"/>
      <c r="AD1036" s="28"/>
      <c r="AE1036" s="28"/>
      <c r="AF1036" s="28"/>
      <c r="AG1036" s="28"/>
      <c r="AH1036" s="28"/>
      <c r="AI1036" s="28"/>
      <c r="AJ1036" s="28"/>
      <c r="AK1036" s="28"/>
      <c r="AL1036" s="28"/>
      <c r="AM1036" s="28"/>
      <c r="AN1036" s="28"/>
      <c r="AO1036" s="28"/>
      <c r="AP1036" s="28"/>
      <c r="AQ1036" s="28"/>
      <c r="AR1036" s="28"/>
      <c r="AS1036" s="28"/>
      <c r="AT1036" s="28"/>
      <c r="AU1036" s="28"/>
      <c r="AV1036" s="28"/>
      <c r="AW1036" s="28"/>
      <c r="AX1036" s="28"/>
      <c r="AY1036" s="28"/>
      <c r="AZ1036" s="28"/>
      <c r="BA1036" s="28"/>
      <c r="BB1036" s="28"/>
    </row>
    <row r="1037" spans="1:54" ht="12.75" x14ac:dyDescent="0.2">
      <c r="A1037" s="28"/>
      <c r="B1037" s="28"/>
      <c r="C1037" s="28"/>
      <c r="D1037" s="28"/>
      <c r="E1037" s="28"/>
      <c r="F1037" s="28"/>
      <c r="G1037" s="28"/>
      <c r="H1037" s="28"/>
      <c r="I1037" s="28"/>
      <c r="J1037" s="28"/>
      <c r="K1037" s="28"/>
      <c r="L1037" s="28"/>
      <c r="M1037" s="28"/>
      <c r="N1037" s="28"/>
      <c r="O1037" s="28"/>
      <c r="P1037" s="28"/>
      <c r="Q1037" s="28"/>
      <c r="R1037" s="28"/>
      <c r="S1037" s="28"/>
      <c r="T1037" s="28"/>
      <c r="U1037" s="28"/>
      <c r="V1037" s="28"/>
      <c r="W1037" s="28"/>
      <c r="X1037" s="28"/>
      <c r="Y1037" s="28"/>
      <c r="Z1037" s="28"/>
      <c r="AA1037" s="28"/>
      <c r="AB1037" s="28"/>
      <c r="AC1037" s="28"/>
      <c r="AD1037" s="28"/>
      <c r="AE1037" s="28"/>
      <c r="AF1037" s="28"/>
      <c r="AG1037" s="28"/>
      <c r="AH1037" s="28"/>
      <c r="AI1037" s="28"/>
      <c r="AJ1037" s="28"/>
      <c r="AK1037" s="28"/>
      <c r="AL1037" s="28"/>
      <c r="AM1037" s="28"/>
      <c r="AN1037" s="28"/>
      <c r="AO1037" s="28"/>
      <c r="AP1037" s="28"/>
      <c r="AQ1037" s="28"/>
      <c r="AR1037" s="28"/>
      <c r="AS1037" s="28"/>
      <c r="AT1037" s="28"/>
      <c r="AU1037" s="28"/>
      <c r="AV1037" s="28"/>
      <c r="AW1037" s="28"/>
      <c r="AX1037" s="28"/>
      <c r="AY1037" s="28"/>
      <c r="AZ1037" s="28"/>
      <c r="BA1037" s="28"/>
      <c r="BB1037" s="28"/>
    </row>
    <row r="1038" spans="1:54" ht="12.75" x14ac:dyDescent="0.2">
      <c r="A1038" s="28"/>
      <c r="B1038" s="28"/>
      <c r="C1038" s="28"/>
      <c r="D1038" s="28"/>
      <c r="E1038" s="28"/>
      <c r="F1038" s="28"/>
      <c r="G1038" s="28"/>
      <c r="H1038" s="28"/>
      <c r="I1038" s="28"/>
      <c r="J1038" s="28"/>
      <c r="K1038" s="28"/>
      <c r="L1038" s="28"/>
      <c r="M1038" s="28"/>
      <c r="N1038" s="28"/>
      <c r="O1038" s="28"/>
      <c r="P1038" s="28"/>
      <c r="Q1038" s="28"/>
      <c r="R1038" s="28"/>
      <c r="S1038" s="28"/>
      <c r="T1038" s="28"/>
      <c r="U1038" s="28"/>
      <c r="V1038" s="28"/>
      <c r="W1038" s="28"/>
      <c r="X1038" s="28"/>
      <c r="Y1038" s="28"/>
      <c r="Z1038" s="28"/>
      <c r="AA1038" s="28"/>
      <c r="AB1038" s="28"/>
      <c r="AC1038" s="28"/>
      <c r="AD1038" s="28"/>
      <c r="AE1038" s="28"/>
      <c r="AF1038" s="28"/>
      <c r="AG1038" s="28"/>
      <c r="AH1038" s="28"/>
      <c r="AI1038" s="28"/>
      <c r="AJ1038" s="28"/>
      <c r="AK1038" s="28"/>
      <c r="AL1038" s="28"/>
      <c r="AM1038" s="28"/>
      <c r="AN1038" s="28"/>
      <c r="AO1038" s="28"/>
      <c r="AP1038" s="28"/>
      <c r="AQ1038" s="28"/>
      <c r="AR1038" s="28"/>
      <c r="AS1038" s="28"/>
      <c r="AT1038" s="28"/>
      <c r="AU1038" s="28"/>
      <c r="AV1038" s="28"/>
      <c r="AW1038" s="28"/>
      <c r="AX1038" s="28"/>
      <c r="AY1038" s="28"/>
      <c r="AZ1038" s="28"/>
      <c r="BA1038" s="28"/>
      <c r="BB1038" s="28"/>
    </row>
    <row r="1039" spans="1:54" ht="12.75" x14ac:dyDescent="0.2">
      <c r="A1039" s="28"/>
      <c r="B1039" s="28"/>
      <c r="C1039" s="28"/>
      <c r="D1039" s="28"/>
      <c r="E1039" s="28"/>
      <c r="F1039" s="28"/>
      <c r="G1039" s="28"/>
      <c r="H1039" s="28"/>
      <c r="I1039" s="28"/>
      <c r="J1039" s="28"/>
      <c r="K1039" s="28"/>
      <c r="L1039" s="28"/>
      <c r="M1039" s="28"/>
      <c r="N1039" s="28"/>
      <c r="O1039" s="28"/>
      <c r="P1039" s="28"/>
      <c r="Q1039" s="28"/>
      <c r="R1039" s="28"/>
      <c r="S1039" s="28"/>
      <c r="T1039" s="28"/>
      <c r="U1039" s="28"/>
      <c r="V1039" s="28"/>
      <c r="W1039" s="28"/>
      <c r="X1039" s="28"/>
      <c r="Y1039" s="28"/>
      <c r="Z1039" s="28"/>
      <c r="AA1039" s="28"/>
      <c r="AB1039" s="28"/>
      <c r="AC1039" s="28"/>
      <c r="AD1039" s="28"/>
      <c r="AE1039" s="28"/>
      <c r="AF1039" s="28"/>
      <c r="AG1039" s="28"/>
      <c r="AH1039" s="28"/>
      <c r="AI1039" s="28"/>
      <c r="AJ1039" s="28"/>
      <c r="AK1039" s="28"/>
      <c r="AL1039" s="28"/>
      <c r="AM1039" s="28"/>
      <c r="AN1039" s="28"/>
      <c r="AO1039" s="28"/>
      <c r="AP1039" s="28"/>
      <c r="AQ1039" s="28"/>
      <c r="AR1039" s="28"/>
      <c r="AS1039" s="28"/>
      <c r="AT1039" s="28"/>
      <c r="AU1039" s="28"/>
      <c r="AV1039" s="28"/>
      <c r="AW1039" s="28"/>
      <c r="AX1039" s="28"/>
      <c r="AY1039" s="28"/>
      <c r="AZ1039" s="28"/>
      <c r="BA1039" s="28"/>
      <c r="BB1039" s="28"/>
    </row>
    <row r="1040" spans="1:54" ht="12.75" x14ac:dyDescent="0.2">
      <c r="A1040" s="28"/>
      <c r="B1040" s="28"/>
      <c r="C1040" s="28"/>
      <c r="D1040" s="28"/>
      <c r="E1040" s="28"/>
      <c r="F1040" s="28"/>
      <c r="G1040" s="28"/>
      <c r="H1040" s="28"/>
      <c r="I1040" s="28"/>
      <c r="J1040" s="28"/>
      <c r="K1040" s="28"/>
      <c r="L1040" s="28"/>
      <c r="M1040" s="28"/>
      <c r="N1040" s="28"/>
      <c r="O1040" s="28"/>
      <c r="P1040" s="28"/>
      <c r="Q1040" s="28"/>
      <c r="R1040" s="28"/>
      <c r="S1040" s="28"/>
      <c r="T1040" s="28"/>
      <c r="U1040" s="28"/>
      <c r="V1040" s="28"/>
      <c r="W1040" s="28"/>
      <c r="X1040" s="28"/>
      <c r="Y1040" s="28"/>
      <c r="Z1040" s="28"/>
      <c r="AA1040" s="28"/>
      <c r="AB1040" s="28"/>
      <c r="AC1040" s="28"/>
      <c r="AD1040" s="28"/>
      <c r="AE1040" s="28"/>
      <c r="AF1040" s="28"/>
      <c r="AG1040" s="28"/>
      <c r="AH1040" s="28"/>
      <c r="AI1040" s="28"/>
      <c r="AJ1040" s="28"/>
      <c r="AK1040" s="28"/>
      <c r="AL1040" s="28"/>
      <c r="AM1040" s="28"/>
      <c r="AN1040" s="28"/>
      <c r="AO1040" s="28"/>
      <c r="AP1040" s="28"/>
      <c r="AQ1040" s="28"/>
      <c r="AR1040" s="28"/>
      <c r="AS1040" s="28"/>
      <c r="AT1040" s="28"/>
      <c r="AU1040" s="28"/>
      <c r="AV1040" s="28"/>
      <c r="AW1040" s="28"/>
      <c r="AX1040" s="28"/>
      <c r="AY1040" s="28"/>
      <c r="AZ1040" s="28"/>
      <c r="BA1040" s="28"/>
      <c r="BB1040" s="28"/>
    </row>
    <row r="1041" spans="1:54" ht="12.75" x14ac:dyDescent="0.2">
      <c r="A1041" s="28"/>
      <c r="B1041" s="28"/>
      <c r="C1041" s="28"/>
      <c r="D1041" s="28"/>
      <c r="E1041" s="28"/>
      <c r="F1041" s="28"/>
      <c r="G1041" s="28"/>
      <c r="H1041" s="28"/>
      <c r="I1041" s="28"/>
      <c r="J1041" s="28"/>
      <c r="K1041" s="28"/>
      <c r="L1041" s="28"/>
      <c r="M1041" s="28"/>
      <c r="N1041" s="28"/>
      <c r="O1041" s="28"/>
      <c r="P1041" s="28"/>
      <c r="Q1041" s="28"/>
      <c r="R1041" s="28"/>
      <c r="S1041" s="28"/>
      <c r="T1041" s="28"/>
      <c r="U1041" s="28"/>
      <c r="V1041" s="28"/>
      <c r="W1041" s="28"/>
      <c r="X1041" s="28"/>
      <c r="Y1041" s="28"/>
      <c r="Z1041" s="28"/>
      <c r="AA1041" s="28"/>
      <c r="AB1041" s="28"/>
      <c r="AC1041" s="28"/>
      <c r="AD1041" s="28"/>
      <c r="AE1041" s="28"/>
      <c r="AF1041" s="28"/>
      <c r="AG1041" s="28"/>
      <c r="AH1041" s="28"/>
      <c r="AI1041" s="28"/>
      <c r="AJ1041" s="28"/>
      <c r="AK1041" s="28"/>
      <c r="AL1041" s="28"/>
      <c r="AM1041" s="28"/>
      <c r="AN1041" s="28"/>
      <c r="AO1041" s="28"/>
      <c r="AP1041" s="28"/>
      <c r="AQ1041" s="28"/>
      <c r="AR1041" s="28"/>
      <c r="AS1041" s="28"/>
      <c r="AT1041" s="28"/>
      <c r="AU1041" s="28"/>
      <c r="AV1041" s="28"/>
      <c r="AW1041" s="28"/>
      <c r="AX1041" s="28"/>
      <c r="AY1041" s="28"/>
      <c r="AZ1041" s="28"/>
      <c r="BA1041" s="28"/>
      <c r="BB1041" s="28"/>
    </row>
    <row r="1042" spans="1:54" ht="12.75" x14ac:dyDescent="0.2">
      <c r="A1042" s="28"/>
      <c r="B1042" s="28"/>
      <c r="C1042" s="28"/>
      <c r="D1042" s="28"/>
      <c r="E1042" s="28"/>
      <c r="F1042" s="28"/>
      <c r="G1042" s="28"/>
      <c r="H1042" s="28"/>
      <c r="I1042" s="28"/>
      <c r="J1042" s="28"/>
      <c r="K1042" s="28"/>
      <c r="L1042" s="28"/>
      <c r="M1042" s="28"/>
      <c r="N1042" s="28"/>
      <c r="O1042" s="28"/>
      <c r="P1042" s="28"/>
      <c r="Q1042" s="28"/>
      <c r="R1042" s="28"/>
      <c r="S1042" s="28"/>
      <c r="T1042" s="28"/>
      <c r="U1042" s="28"/>
      <c r="V1042" s="28"/>
      <c r="W1042" s="28"/>
      <c r="X1042" s="28"/>
      <c r="Y1042" s="28"/>
      <c r="Z1042" s="28"/>
      <c r="AA1042" s="28"/>
      <c r="AB1042" s="28"/>
      <c r="AC1042" s="28"/>
      <c r="AD1042" s="28"/>
      <c r="AE1042" s="28"/>
      <c r="AF1042" s="28"/>
      <c r="AG1042" s="28"/>
      <c r="AH1042" s="28"/>
      <c r="AI1042" s="28"/>
      <c r="AJ1042" s="28"/>
      <c r="AK1042" s="28"/>
      <c r="AL1042" s="28"/>
      <c r="AM1042" s="28"/>
      <c r="AN1042" s="28"/>
      <c r="AO1042" s="28"/>
      <c r="AP1042" s="28"/>
      <c r="AQ1042" s="28"/>
      <c r="AR1042" s="28"/>
      <c r="AS1042" s="28"/>
      <c r="AT1042" s="28"/>
      <c r="AU1042" s="28"/>
      <c r="AV1042" s="28"/>
      <c r="AW1042" s="28"/>
      <c r="AX1042" s="28"/>
      <c r="AY1042" s="28"/>
      <c r="AZ1042" s="28"/>
      <c r="BA1042" s="28"/>
      <c r="BB1042" s="28"/>
    </row>
    <row r="1043" spans="1:54" ht="12.75" x14ac:dyDescent="0.2">
      <c r="A1043" s="28"/>
      <c r="B1043" s="28"/>
      <c r="C1043" s="28"/>
      <c r="D1043" s="28"/>
      <c r="E1043" s="28"/>
      <c r="F1043" s="28"/>
      <c r="G1043" s="28"/>
      <c r="H1043" s="28"/>
      <c r="I1043" s="28"/>
      <c r="J1043" s="28"/>
      <c r="K1043" s="28"/>
      <c r="L1043" s="28"/>
      <c r="M1043" s="28"/>
      <c r="N1043" s="28"/>
      <c r="O1043" s="28"/>
      <c r="P1043" s="28"/>
      <c r="Q1043" s="28"/>
      <c r="R1043" s="28"/>
      <c r="S1043" s="28"/>
      <c r="T1043" s="28"/>
      <c r="U1043" s="28"/>
      <c r="V1043" s="28"/>
      <c r="W1043" s="28"/>
      <c r="X1043" s="28"/>
      <c r="Y1043" s="28"/>
      <c r="Z1043" s="28"/>
      <c r="AA1043" s="28"/>
      <c r="AB1043" s="28"/>
      <c r="AC1043" s="28"/>
      <c r="AD1043" s="28"/>
      <c r="AE1043" s="28"/>
      <c r="AF1043" s="28"/>
      <c r="AG1043" s="28"/>
      <c r="AH1043" s="28"/>
      <c r="AI1043" s="28"/>
      <c r="AJ1043" s="28"/>
      <c r="AK1043" s="28"/>
      <c r="AL1043" s="28"/>
      <c r="AM1043" s="28"/>
      <c r="AN1043" s="28"/>
      <c r="AO1043" s="28"/>
      <c r="AP1043" s="28"/>
      <c r="AQ1043" s="28"/>
      <c r="AR1043" s="28"/>
      <c r="AS1043" s="28"/>
      <c r="AT1043" s="28"/>
      <c r="AU1043" s="28"/>
      <c r="AV1043" s="28"/>
      <c r="AW1043" s="28"/>
      <c r="AX1043" s="28"/>
      <c r="AY1043" s="28"/>
      <c r="AZ1043" s="28"/>
      <c r="BA1043" s="28"/>
      <c r="BB1043" s="28"/>
    </row>
    <row r="1044" spans="1:54" ht="12.75" x14ac:dyDescent="0.2">
      <c r="A1044" s="28"/>
      <c r="B1044" s="28"/>
      <c r="C1044" s="28"/>
      <c r="D1044" s="28"/>
      <c r="E1044" s="28"/>
      <c r="F1044" s="28"/>
      <c r="G1044" s="28"/>
      <c r="H1044" s="28"/>
      <c r="I1044" s="28"/>
      <c r="J1044" s="28"/>
      <c r="K1044" s="28"/>
      <c r="L1044" s="28"/>
      <c r="M1044" s="28"/>
      <c r="N1044" s="28"/>
      <c r="O1044" s="28"/>
      <c r="P1044" s="28"/>
      <c r="Q1044" s="28"/>
      <c r="R1044" s="28"/>
      <c r="S1044" s="28"/>
      <c r="T1044" s="28"/>
      <c r="U1044" s="28"/>
      <c r="V1044" s="28"/>
      <c r="W1044" s="28"/>
      <c r="X1044" s="28"/>
      <c r="Y1044" s="28"/>
      <c r="Z1044" s="28"/>
      <c r="AA1044" s="28"/>
      <c r="AB1044" s="28"/>
      <c r="AC1044" s="28"/>
      <c r="AD1044" s="28"/>
      <c r="AE1044" s="28"/>
      <c r="AF1044" s="28"/>
      <c r="AG1044" s="28"/>
      <c r="AH1044" s="28"/>
      <c r="AI1044" s="28"/>
      <c r="AJ1044" s="28"/>
      <c r="AK1044" s="28"/>
      <c r="AL1044" s="28"/>
      <c r="AM1044" s="28"/>
      <c r="AN1044" s="28"/>
      <c r="AO1044" s="28"/>
      <c r="AP1044" s="28"/>
      <c r="AQ1044" s="28"/>
      <c r="AR1044" s="28"/>
      <c r="AS1044" s="28"/>
      <c r="AT1044" s="28"/>
      <c r="AU1044" s="28"/>
      <c r="AV1044" s="28"/>
      <c r="AW1044" s="28"/>
      <c r="AX1044" s="28"/>
      <c r="AY1044" s="28"/>
      <c r="AZ1044" s="28"/>
      <c r="BA1044" s="28"/>
      <c r="BB1044" s="28"/>
    </row>
    <row r="1045" spans="1:54" ht="12.75" x14ac:dyDescent="0.2">
      <c r="A1045" s="28"/>
      <c r="B1045" s="28"/>
      <c r="C1045" s="28"/>
      <c r="D1045" s="28"/>
      <c r="E1045" s="28"/>
      <c r="F1045" s="28"/>
      <c r="G1045" s="28"/>
      <c r="H1045" s="28"/>
      <c r="I1045" s="28"/>
      <c r="J1045" s="28"/>
      <c r="K1045" s="28"/>
      <c r="L1045" s="28"/>
      <c r="M1045" s="28"/>
      <c r="N1045" s="28"/>
      <c r="O1045" s="28"/>
      <c r="P1045" s="28"/>
      <c r="Q1045" s="28"/>
      <c r="R1045" s="28"/>
      <c r="S1045" s="28"/>
      <c r="T1045" s="28"/>
      <c r="U1045" s="28"/>
      <c r="V1045" s="28"/>
      <c r="W1045" s="28"/>
      <c r="X1045" s="28"/>
      <c r="Y1045" s="28"/>
      <c r="Z1045" s="28"/>
      <c r="AA1045" s="28"/>
      <c r="AB1045" s="28"/>
      <c r="AC1045" s="28"/>
      <c r="AD1045" s="28"/>
      <c r="AE1045" s="28"/>
      <c r="AF1045" s="28"/>
      <c r="AG1045" s="28"/>
      <c r="AH1045" s="28"/>
      <c r="AI1045" s="28"/>
      <c r="AJ1045" s="28"/>
      <c r="AK1045" s="28"/>
      <c r="AL1045" s="28"/>
      <c r="AM1045" s="28"/>
      <c r="AN1045" s="28"/>
      <c r="AO1045" s="28"/>
      <c r="AP1045" s="28"/>
      <c r="AQ1045" s="28"/>
      <c r="AR1045" s="28"/>
      <c r="AS1045" s="28"/>
      <c r="AT1045" s="28"/>
      <c r="AU1045" s="28"/>
      <c r="AV1045" s="28"/>
      <c r="AW1045" s="28"/>
      <c r="AX1045" s="28"/>
      <c r="AY1045" s="28"/>
      <c r="AZ1045" s="28"/>
      <c r="BA1045" s="28"/>
      <c r="BB1045" s="28"/>
    </row>
    <row r="1046" spans="1:54" ht="12.75" x14ac:dyDescent="0.2">
      <c r="A1046" s="28"/>
      <c r="B1046" s="28"/>
      <c r="C1046" s="28"/>
      <c r="D1046" s="28"/>
      <c r="E1046" s="28"/>
      <c r="F1046" s="28"/>
      <c r="G1046" s="28"/>
      <c r="H1046" s="28"/>
      <c r="I1046" s="28"/>
      <c r="J1046" s="28"/>
      <c r="K1046" s="28"/>
      <c r="L1046" s="28"/>
      <c r="M1046" s="28"/>
      <c r="N1046" s="28"/>
      <c r="O1046" s="28"/>
      <c r="P1046" s="28"/>
      <c r="Q1046" s="28"/>
      <c r="R1046" s="28"/>
      <c r="S1046" s="28"/>
      <c r="T1046" s="28"/>
      <c r="U1046" s="28"/>
      <c r="V1046" s="28"/>
      <c r="W1046" s="28"/>
      <c r="X1046" s="28"/>
      <c r="Y1046" s="28"/>
      <c r="Z1046" s="28"/>
      <c r="AA1046" s="28"/>
      <c r="AB1046" s="28"/>
      <c r="AC1046" s="28"/>
      <c r="AD1046" s="28"/>
      <c r="AE1046" s="28"/>
      <c r="AF1046" s="28"/>
      <c r="AG1046" s="28"/>
      <c r="AH1046" s="28"/>
      <c r="AI1046" s="28"/>
      <c r="AJ1046" s="28"/>
      <c r="AK1046" s="28"/>
      <c r="AL1046" s="28"/>
      <c r="AM1046" s="28"/>
      <c r="AN1046" s="28"/>
      <c r="AO1046" s="28"/>
      <c r="AP1046" s="28"/>
      <c r="AQ1046" s="28"/>
      <c r="AR1046" s="28"/>
      <c r="AS1046" s="28"/>
      <c r="AT1046" s="28"/>
      <c r="AU1046" s="28"/>
      <c r="AV1046" s="28"/>
      <c r="AW1046" s="28"/>
      <c r="AX1046" s="28"/>
      <c r="AY1046" s="28"/>
      <c r="AZ1046" s="28"/>
      <c r="BA1046" s="28"/>
      <c r="BB1046" s="28"/>
    </row>
    <row r="1047" spans="1:54" ht="12.75" x14ac:dyDescent="0.2">
      <c r="A1047" s="28"/>
      <c r="B1047" s="28"/>
      <c r="C1047" s="28"/>
      <c r="D1047" s="28"/>
      <c r="E1047" s="28"/>
      <c r="F1047" s="28"/>
      <c r="G1047" s="28"/>
      <c r="H1047" s="28"/>
      <c r="I1047" s="28"/>
      <c r="J1047" s="28"/>
      <c r="K1047" s="28"/>
      <c r="L1047" s="28"/>
      <c r="M1047" s="28"/>
      <c r="N1047" s="28"/>
      <c r="O1047" s="28"/>
      <c r="P1047" s="28"/>
      <c r="Q1047" s="28"/>
      <c r="R1047" s="28"/>
      <c r="S1047" s="28"/>
      <c r="T1047" s="28"/>
      <c r="U1047" s="28"/>
      <c r="V1047" s="28"/>
      <c r="W1047" s="28"/>
      <c r="X1047" s="28"/>
      <c r="Y1047" s="28"/>
      <c r="Z1047" s="28"/>
      <c r="AA1047" s="28"/>
      <c r="AB1047" s="28"/>
      <c r="AC1047" s="28"/>
      <c r="AD1047" s="28"/>
      <c r="AE1047" s="28"/>
      <c r="AF1047" s="28"/>
      <c r="AG1047" s="28"/>
      <c r="AH1047" s="28"/>
      <c r="AI1047" s="28"/>
      <c r="AJ1047" s="28"/>
      <c r="AK1047" s="28"/>
      <c r="AL1047" s="28"/>
      <c r="AM1047" s="28"/>
      <c r="AN1047" s="28"/>
      <c r="AO1047" s="28"/>
      <c r="AP1047" s="28"/>
      <c r="AQ1047" s="28"/>
      <c r="AR1047" s="28"/>
      <c r="AS1047" s="28"/>
      <c r="AT1047" s="28"/>
      <c r="AU1047" s="28"/>
      <c r="AV1047" s="28"/>
      <c r="AW1047" s="28"/>
      <c r="AX1047" s="28"/>
      <c r="AY1047" s="28"/>
      <c r="AZ1047" s="28"/>
      <c r="BA1047" s="28"/>
      <c r="BB1047" s="28"/>
    </row>
    <row r="1048" spans="1:54" ht="12.75" x14ac:dyDescent="0.2">
      <c r="A1048" s="28"/>
      <c r="B1048" s="28"/>
      <c r="C1048" s="28"/>
      <c r="D1048" s="28"/>
      <c r="E1048" s="28"/>
      <c r="F1048" s="28"/>
      <c r="G1048" s="28"/>
      <c r="H1048" s="28"/>
      <c r="I1048" s="28"/>
      <c r="J1048" s="28"/>
      <c r="K1048" s="28"/>
      <c r="L1048" s="28"/>
      <c r="M1048" s="28"/>
      <c r="N1048" s="28"/>
      <c r="O1048" s="28"/>
      <c r="P1048" s="28"/>
      <c r="Q1048" s="28"/>
      <c r="R1048" s="28"/>
      <c r="S1048" s="28"/>
      <c r="T1048" s="28"/>
      <c r="U1048" s="28"/>
      <c r="V1048" s="28"/>
      <c r="W1048" s="28"/>
      <c r="X1048" s="28"/>
      <c r="Y1048" s="28"/>
      <c r="Z1048" s="28"/>
      <c r="AA1048" s="28"/>
      <c r="AB1048" s="28"/>
      <c r="AC1048" s="28"/>
      <c r="AD1048" s="28"/>
      <c r="AE1048" s="28"/>
      <c r="AF1048" s="28"/>
      <c r="AG1048" s="28"/>
      <c r="AH1048" s="28"/>
      <c r="AI1048" s="28"/>
      <c r="AJ1048" s="28"/>
      <c r="AK1048" s="28"/>
      <c r="AL1048" s="28"/>
      <c r="AM1048" s="28"/>
      <c r="AN1048" s="28"/>
      <c r="AO1048" s="28"/>
      <c r="AP1048" s="28"/>
      <c r="AQ1048" s="28"/>
      <c r="AR1048" s="28"/>
      <c r="AS1048" s="28"/>
      <c r="AT1048" s="28"/>
      <c r="AU1048" s="28"/>
      <c r="AV1048" s="28"/>
      <c r="AW1048" s="28"/>
      <c r="AX1048" s="28"/>
      <c r="AY1048" s="28"/>
      <c r="AZ1048" s="28"/>
      <c r="BA1048" s="28"/>
      <c r="BB1048" s="28"/>
    </row>
    <row r="1049" spans="1:54" ht="12.75" x14ac:dyDescent="0.2">
      <c r="A1049" s="28"/>
      <c r="B1049" s="28"/>
      <c r="C1049" s="28"/>
      <c r="D1049" s="28"/>
      <c r="E1049" s="28"/>
      <c r="F1049" s="28"/>
      <c r="G1049" s="28"/>
      <c r="H1049" s="28"/>
      <c r="I1049" s="28"/>
      <c r="J1049" s="28"/>
      <c r="K1049" s="28"/>
      <c r="L1049" s="28"/>
      <c r="M1049" s="28"/>
      <c r="N1049" s="28"/>
      <c r="O1049" s="28"/>
      <c r="P1049" s="28"/>
      <c r="Q1049" s="28"/>
      <c r="R1049" s="28"/>
      <c r="S1049" s="28"/>
      <c r="T1049" s="28"/>
      <c r="U1049" s="28"/>
      <c r="V1049" s="28"/>
      <c r="W1049" s="28"/>
      <c r="X1049" s="28"/>
      <c r="Y1049" s="28"/>
      <c r="Z1049" s="28"/>
      <c r="AA1049" s="28"/>
      <c r="AB1049" s="28"/>
      <c r="AC1049" s="28"/>
      <c r="AD1049" s="28"/>
      <c r="AE1049" s="28"/>
      <c r="AF1049" s="28"/>
      <c r="AG1049" s="28"/>
      <c r="AH1049" s="28"/>
      <c r="AI1049" s="28"/>
      <c r="AJ1049" s="28"/>
      <c r="AK1049" s="28"/>
      <c r="AL1049" s="28"/>
      <c r="AM1049" s="28"/>
      <c r="AN1049" s="28"/>
      <c r="AO1049" s="28"/>
      <c r="AP1049" s="28"/>
      <c r="AQ1049" s="28"/>
      <c r="AR1049" s="28"/>
      <c r="AS1049" s="28"/>
      <c r="AT1049" s="28"/>
      <c r="AU1049" s="28"/>
      <c r="AV1049" s="28"/>
      <c r="AW1049" s="28"/>
      <c r="AX1049" s="28"/>
      <c r="AY1049" s="28"/>
      <c r="AZ1049" s="28"/>
      <c r="BA1049" s="28"/>
      <c r="BB1049" s="28"/>
    </row>
    <row r="1050" spans="1:54" ht="12.75" x14ac:dyDescent="0.2">
      <c r="A1050" s="28"/>
      <c r="B1050" s="28"/>
      <c r="C1050" s="28"/>
      <c r="D1050" s="28"/>
      <c r="E1050" s="28"/>
      <c r="F1050" s="28"/>
      <c r="G1050" s="28"/>
      <c r="H1050" s="28"/>
      <c r="I1050" s="28"/>
      <c r="J1050" s="28"/>
      <c r="K1050" s="28"/>
      <c r="L1050" s="28"/>
      <c r="M1050" s="28"/>
      <c r="N1050" s="28"/>
      <c r="O1050" s="28"/>
      <c r="P1050" s="28"/>
      <c r="Q1050" s="28"/>
      <c r="R1050" s="28"/>
      <c r="S1050" s="28"/>
      <c r="T1050" s="28"/>
      <c r="U1050" s="28"/>
      <c r="V1050" s="28"/>
      <c r="W1050" s="28"/>
      <c r="X1050" s="28"/>
      <c r="Y1050" s="28"/>
      <c r="Z1050" s="28"/>
      <c r="AA1050" s="28"/>
      <c r="AB1050" s="28"/>
      <c r="AC1050" s="28"/>
      <c r="AD1050" s="28"/>
      <c r="AE1050" s="28"/>
      <c r="AF1050" s="28"/>
      <c r="AG1050" s="28"/>
      <c r="AH1050" s="28"/>
      <c r="AI1050" s="28"/>
      <c r="AJ1050" s="28"/>
      <c r="AK1050" s="28"/>
      <c r="AL1050" s="28"/>
      <c r="AM1050" s="28"/>
      <c r="AN1050" s="28"/>
      <c r="AO1050" s="28"/>
      <c r="AP1050" s="28"/>
      <c r="AQ1050" s="28"/>
      <c r="AR1050" s="28"/>
      <c r="AS1050" s="28"/>
      <c r="AT1050" s="28"/>
      <c r="AU1050" s="28"/>
      <c r="AV1050" s="28"/>
      <c r="AW1050" s="28"/>
      <c r="AX1050" s="28"/>
      <c r="AY1050" s="28"/>
      <c r="AZ1050" s="28"/>
      <c r="BA1050" s="28"/>
      <c r="BB1050" s="28"/>
    </row>
    <row r="1051" spans="1:54" ht="12.75" x14ac:dyDescent="0.2">
      <c r="A1051" s="28"/>
      <c r="B1051" s="28"/>
      <c r="C1051" s="28"/>
      <c r="D1051" s="28"/>
      <c r="E1051" s="28"/>
      <c r="F1051" s="28"/>
      <c r="G1051" s="28"/>
      <c r="H1051" s="28"/>
      <c r="I1051" s="28"/>
      <c r="J1051" s="28"/>
      <c r="K1051" s="28"/>
      <c r="L1051" s="28"/>
      <c r="M1051" s="28"/>
      <c r="N1051" s="28"/>
      <c r="O1051" s="28"/>
      <c r="P1051" s="28"/>
      <c r="Q1051" s="28"/>
      <c r="R1051" s="28"/>
      <c r="S1051" s="28"/>
      <c r="T1051" s="28"/>
      <c r="U1051" s="28"/>
      <c r="V1051" s="28"/>
      <c r="W1051" s="28"/>
      <c r="X1051" s="28"/>
      <c r="Y1051" s="28"/>
      <c r="Z1051" s="28"/>
      <c r="AA1051" s="28"/>
      <c r="AB1051" s="28"/>
      <c r="AC1051" s="28"/>
      <c r="AD1051" s="28"/>
      <c r="AE1051" s="28"/>
      <c r="AF1051" s="28"/>
      <c r="AG1051" s="28"/>
      <c r="AH1051" s="28"/>
      <c r="AI1051" s="28"/>
      <c r="AJ1051" s="28"/>
      <c r="AK1051" s="28"/>
      <c r="AL1051" s="28"/>
      <c r="AM1051" s="28"/>
      <c r="AN1051" s="28"/>
      <c r="AO1051" s="28"/>
      <c r="AP1051" s="28"/>
      <c r="AQ1051" s="28"/>
      <c r="AR1051" s="28"/>
      <c r="AS1051" s="28"/>
      <c r="AT1051" s="28"/>
      <c r="AU1051" s="28"/>
      <c r="AV1051" s="28"/>
      <c r="AW1051" s="28"/>
      <c r="AX1051" s="28"/>
      <c r="AY1051" s="28"/>
      <c r="AZ1051" s="28"/>
      <c r="BA1051" s="28"/>
      <c r="BB1051" s="28"/>
    </row>
    <row r="1052" spans="1:54" ht="12.75" x14ac:dyDescent="0.2">
      <c r="A1052" s="28"/>
      <c r="B1052" s="28"/>
      <c r="C1052" s="28"/>
      <c r="D1052" s="28"/>
      <c r="E1052" s="28"/>
      <c r="F1052" s="28"/>
      <c r="G1052" s="28"/>
      <c r="H1052" s="28"/>
      <c r="I1052" s="28"/>
      <c r="J1052" s="28"/>
      <c r="K1052" s="28"/>
      <c r="L1052" s="28"/>
      <c r="M1052" s="28"/>
      <c r="N1052" s="28"/>
      <c r="O1052" s="28"/>
      <c r="P1052" s="28"/>
      <c r="Q1052" s="28"/>
      <c r="R1052" s="28"/>
      <c r="S1052" s="28"/>
      <c r="T1052" s="28"/>
      <c r="U1052" s="28"/>
      <c r="V1052" s="28"/>
      <c r="W1052" s="28"/>
      <c r="X1052" s="28"/>
      <c r="Y1052" s="28"/>
      <c r="Z1052" s="28"/>
      <c r="AA1052" s="28"/>
      <c r="AB1052" s="28"/>
      <c r="AC1052" s="28"/>
      <c r="AD1052" s="28"/>
      <c r="AE1052" s="28"/>
      <c r="AF1052" s="28"/>
      <c r="AG1052" s="28"/>
      <c r="AH1052" s="28"/>
      <c r="AI1052" s="28"/>
      <c r="AJ1052" s="28"/>
      <c r="AK1052" s="28"/>
      <c r="AL1052" s="28"/>
      <c r="AM1052" s="28"/>
      <c r="AN1052" s="28"/>
      <c r="AO1052" s="28"/>
      <c r="AP1052" s="28"/>
      <c r="AQ1052" s="28"/>
      <c r="AR1052" s="28"/>
      <c r="AS1052" s="28"/>
      <c r="AT1052" s="28"/>
      <c r="AU1052" s="28"/>
      <c r="AV1052" s="28"/>
      <c r="AW1052" s="28"/>
      <c r="AX1052" s="28"/>
      <c r="AY1052" s="28"/>
      <c r="AZ1052" s="28"/>
      <c r="BA1052" s="28"/>
      <c r="BB1052" s="28"/>
    </row>
    <row r="1053" spans="1:54" ht="12.75" x14ac:dyDescent="0.2">
      <c r="A1053" s="28"/>
      <c r="B1053" s="28"/>
      <c r="C1053" s="28"/>
      <c r="D1053" s="28"/>
      <c r="E1053" s="28"/>
      <c r="F1053" s="28"/>
      <c r="G1053" s="28"/>
      <c r="H1053" s="28"/>
      <c r="I1053" s="28"/>
      <c r="J1053" s="28"/>
      <c r="K1053" s="28"/>
      <c r="L1053" s="28"/>
      <c r="M1053" s="28"/>
      <c r="N1053" s="28"/>
      <c r="O1053" s="28"/>
      <c r="P1053" s="28"/>
      <c r="Q1053" s="28"/>
      <c r="R1053" s="28"/>
      <c r="S1053" s="28"/>
      <c r="T1053" s="28"/>
      <c r="U1053" s="28"/>
      <c r="V1053" s="28"/>
      <c r="W1053" s="28"/>
      <c r="X1053" s="28"/>
      <c r="Y1053" s="28"/>
      <c r="Z1053" s="28"/>
      <c r="AA1053" s="28"/>
      <c r="AB1053" s="28"/>
      <c r="AC1053" s="28"/>
      <c r="AD1053" s="28"/>
      <c r="AE1053" s="28"/>
      <c r="AF1053" s="28"/>
      <c r="AG1053" s="28"/>
      <c r="AH1053" s="28"/>
      <c r="AI1053" s="28"/>
      <c r="AJ1053" s="28"/>
      <c r="AK1053" s="28"/>
      <c r="AL1053" s="28"/>
      <c r="AM1053" s="28"/>
      <c r="AN1053" s="28"/>
      <c r="AO1053" s="28"/>
      <c r="AP1053" s="28"/>
      <c r="AQ1053" s="28"/>
      <c r="AR1053" s="28"/>
      <c r="AS1053" s="28"/>
      <c r="AT1053" s="28"/>
      <c r="AU1053" s="28"/>
      <c r="AV1053" s="28"/>
      <c r="AW1053" s="28"/>
      <c r="AX1053" s="28"/>
      <c r="AY1053" s="28"/>
      <c r="AZ1053" s="28"/>
      <c r="BA1053" s="28"/>
      <c r="BB1053" s="28"/>
    </row>
    <row r="1054" spans="1:54" ht="12.75" x14ac:dyDescent="0.2">
      <c r="A1054" s="28"/>
      <c r="B1054" s="28"/>
      <c r="C1054" s="28"/>
      <c r="D1054" s="28"/>
      <c r="E1054" s="28"/>
      <c r="F1054" s="28"/>
      <c r="G1054" s="28"/>
      <c r="H1054" s="28"/>
      <c r="I1054" s="28"/>
      <c r="J1054" s="28"/>
      <c r="K1054" s="28"/>
      <c r="L1054" s="28"/>
      <c r="M1054" s="28"/>
      <c r="N1054" s="28"/>
      <c r="O1054" s="28"/>
      <c r="P1054" s="28"/>
      <c r="Q1054" s="28"/>
      <c r="R1054" s="28"/>
      <c r="S1054" s="28"/>
      <c r="T1054" s="28"/>
      <c r="U1054" s="28"/>
      <c r="V1054" s="28"/>
      <c r="W1054" s="28"/>
      <c r="X1054" s="28"/>
      <c r="Y1054" s="28"/>
      <c r="Z1054" s="28"/>
      <c r="AA1054" s="28"/>
      <c r="AB1054" s="28"/>
      <c r="AC1054" s="28"/>
      <c r="AD1054" s="28"/>
      <c r="AE1054" s="28"/>
      <c r="AF1054" s="28"/>
      <c r="AG1054" s="28"/>
      <c r="AH1054" s="28"/>
      <c r="AI1054" s="28"/>
      <c r="AJ1054" s="28"/>
      <c r="AK1054" s="28"/>
      <c r="AL1054" s="28"/>
      <c r="AM1054" s="28"/>
      <c r="AN1054" s="28"/>
      <c r="AO1054" s="28"/>
      <c r="AP1054" s="28"/>
      <c r="AQ1054" s="28"/>
      <c r="AR1054" s="28"/>
      <c r="AS1054" s="28"/>
      <c r="AT1054" s="28"/>
      <c r="AU1054" s="28"/>
      <c r="AV1054" s="28"/>
      <c r="AW1054" s="28"/>
      <c r="AX1054" s="28"/>
      <c r="AY1054" s="28"/>
      <c r="AZ1054" s="28"/>
      <c r="BA1054" s="28"/>
      <c r="BB1054" s="28"/>
    </row>
    <row r="1055" spans="1:54" ht="12.75" x14ac:dyDescent="0.2">
      <c r="A1055" s="28"/>
      <c r="B1055" s="28"/>
      <c r="C1055" s="28"/>
      <c r="D1055" s="28"/>
      <c r="E1055" s="28"/>
      <c r="F1055" s="28"/>
      <c r="G1055" s="28"/>
      <c r="H1055" s="28"/>
      <c r="I1055" s="28"/>
      <c r="J1055" s="28"/>
      <c r="K1055" s="28"/>
      <c r="L1055" s="28"/>
      <c r="M1055" s="28"/>
      <c r="N1055" s="28"/>
      <c r="O1055" s="28"/>
      <c r="P1055" s="28"/>
      <c r="Q1055" s="28"/>
      <c r="R1055" s="28"/>
      <c r="S1055" s="28"/>
      <c r="T1055" s="28"/>
      <c r="U1055" s="28"/>
      <c r="V1055" s="28"/>
      <c r="W1055" s="28"/>
      <c r="X1055" s="28"/>
      <c r="Y1055" s="28"/>
      <c r="Z1055" s="28"/>
      <c r="AA1055" s="28"/>
      <c r="AB1055" s="28"/>
      <c r="AC1055" s="28"/>
      <c r="AD1055" s="28"/>
      <c r="AE1055" s="28"/>
      <c r="AF1055" s="28"/>
      <c r="AG1055" s="28"/>
      <c r="AH1055" s="28"/>
      <c r="AI1055" s="28"/>
      <c r="AJ1055" s="28"/>
      <c r="AK1055" s="28"/>
      <c r="AL1055" s="28"/>
      <c r="AM1055" s="28"/>
      <c r="AN1055" s="28"/>
      <c r="AO1055" s="28"/>
      <c r="AP1055" s="28"/>
      <c r="AQ1055" s="28"/>
      <c r="AR1055" s="28"/>
      <c r="AS1055" s="28"/>
      <c r="AT1055" s="28"/>
      <c r="AU1055" s="28"/>
      <c r="AV1055" s="28"/>
      <c r="AW1055" s="28"/>
      <c r="AX1055" s="28"/>
      <c r="AY1055" s="28"/>
      <c r="AZ1055" s="28"/>
      <c r="BA1055" s="28"/>
      <c r="BB1055" s="28"/>
    </row>
    <row r="1056" spans="1:54" ht="12.75" x14ac:dyDescent="0.2">
      <c r="A1056" s="28"/>
      <c r="B1056" s="28"/>
      <c r="C1056" s="28"/>
      <c r="D1056" s="28"/>
      <c r="E1056" s="28"/>
      <c r="F1056" s="28"/>
      <c r="G1056" s="28"/>
      <c r="H1056" s="28"/>
      <c r="I1056" s="28"/>
      <c r="J1056" s="28"/>
      <c r="K1056" s="28"/>
      <c r="L1056" s="28"/>
      <c r="M1056" s="28"/>
      <c r="N1056" s="28"/>
      <c r="O1056" s="28"/>
      <c r="P1056" s="28"/>
      <c r="Q1056" s="28"/>
      <c r="R1056" s="28"/>
      <c r="S1056" s="28"/>
      <c r="T1056" s="28"/>
      <c r="U1056" s="28"/>
      <c r="V1056" s="28"/>
      <c r="W1056" s="28"/>
      <c r="X1056" s="28"/>
      <c r="Y1056" s="28"/>
      <c r="Z1056" s="28"/>
      <c r="AA1056" s="28"/>
      <c r="AB1056" s="28"/>
      <c r="AC1056" s="28"/>
      <c r="AD1056" s="28"/>
      <c r="AE1056" s="28"/>
      <c r="AF1056" s="28"/>
      <c r="AG1056" s="28"/>
      <c r="AH1056" s="28"/>
      <c r="AI1056" s="28"/>
      <c r="AJ1056" s="28"/>
      <c r="AK1056" s="28"/>
      <c r="AL1056" s="28"/>
      <c r="AM1056" s="28"/>
      <c r="AN1056" s="28"/>
      <c r="AO1056" s="28"/>
      <c r="AP1056" s="28"/>
      <c r="AQ1056" s="28"/>
      <c r="AR1056" s="28"/>
      <c r="AS1056" s="28"/>
      <c r="AT1056" s="28"/>
      <c r="AU1056" s="28"/>
      <c r="AV1056" s="28"/>
      <c r="AW1056" s="28"/>
      <c r="AX1056" s="28"/>
      <c r="AY1056" s="28"/>
      <c r="AZ1056" s="28"/>
      <c r="BA1056" s="28"/>
      <c r="BB1056" s="28"/>
    </row>
    <row r="1057" spans="1:54" ht="12.75" x14ac:dyDescent="0.2">
      <c r="A1057" s="28"/>
      <c r="B1057" s="28"/>
      <c r="C1057" s="28"/>
      <c r="D1057" s="28"/>
      <c r="E1057" s="28"/>
      <c r="F1057" s="28"/>
      <c r="G1057" s="28"/>
      <c r="H1057" s="28"/>
      <c r="I1057" s="28"/>
      <c r="J1057" s="28"/>
      <c r="K1057" s="28"/>
      <c r="L1057" s="28"/>
      <c r="M1057" s="28"/>
      <c r="N1057" s="28"/>
      <c r="O1057" s="28"/>
      <c r="P1057" s="28"/>
      <c r="Q1057" s="28"/>
      <c r="R1057" s="28"/>
      <c r="S1057" s="28"/>
      <c r="T1057" s="28"/>
      <c r="U1057" s="28"/>
      <c r="V1057" s="28"/>
      <c r="W1057" s="28"/>
      <c r="X1057" s="28"/>
      <c r="Y1057" s="28"/>
      <c r="Z1057" s="28"/>
      <c r="AA1057" s="28"/>
      <c r="AB1057" s="28"/>
      <c r="AC1057" s="28"/>
      <c r="AD1057" s="28"/>
      <c r="AE1057" s="28"/>
      <c r="AF1057" s="28"/>
      <c r="AG1057" s="28"/>
      <c r="AH1057" s="28"/>
      <c r="AI1057" s="28"/>
      <c r="AJ1057" s="28"/>
      <c r="AK1057" s="28"/>
      <c r="AL1057" s="28"/>
      <c r="AM1057" s="28"/>
      <c r="AN1057" s="28"/>
      <c r="AO1057" s="28"/>
      <c r="AP1057" s="28"/>
      <c r="AQ1057" s="28"/>
      <c r="AR1057" s="28"/>
      <c r="AS1057" s="28"/>
      <c r="AT1057" s="28"/>
      <c r="AU1057" s="28"/>
      <c r="AV1057" s="28"/>
      <c r="AW1057" s="28"/>
      <c r="AX1057" s="28"/>
      <c r="AY1057" s="28"/>
      <c r="AZ1057" s="28"/>
      <c r="BA1057" s="28"/>
      <c r="BB1057" s="28"/>
    </row>
    <row r="1058" spans="1:54" ht="12.75" x14ac:dyDescent="0.2">
      <c r="A1058" s="28"/>
      <c r="B1058" s="28"/>
      <c r="C1058" s="28"/>
      <c r="D1058" s="28"/>
      <c r="E1058" s="28"/>
      <c r="F1058" s="28"/>
      <c r="G1058" s="28"/>
      <c r="H1058" s="28"/>
      <c r="I1058" s="28"/>
      <c r="J1058" s="28"/>
      <c r="K1058" s="28"/>
      <c r="L1058" s="28"/>
      <c r="M1058" s="28"/>
      <c r="N1058" s="28"/>
      <c r="O1058" s="28"/>
      <c r="P1058" s="28"/>
      <c r="Q1058" s="28"/>
      <c r="R1058" s="28"/>
      <c r="S1058" s="28"/>
      <c r="T1058" s="28"/>
      <c r="U1058" s="28"/>
      <c r="V1058" s="28"/>
      <c r="W1058" s="28"/>
      <c r="X1058" s="28"/>
      <c r="Y1058" s="28"/>
      <c r="Z1058" s="28"/>
      <c r="AA1058" s="28"/>
      <c r="AB1058" s="28"/>
      <c r="AC1058" s="28"/>
      <c r="AD1058" s="28"/>
      <c r="AE1058" s="28"/>
      <c r="AF1058" s="28"/>
      <c r="AG1058" s="28"/>
      <c r="AH1058" s="28"/>
      <c r="AI1058" s="28"/>
      <c r="AJ1058" s="28"/>
      <c r="AK1058" s="28"/>
      <c r="AL1058" s="28"/>
      <c r="AM1058" s="28"/>
      <c r="AN1058" s="28"/>
      <c r="AO1058" s="28"/>
      <c r="AP1058" s="28"/>
      <c r="AQ1058" s="28"/>
      <c r="AR1058" s="28"/>
      <c r="AS1058" s="28"/>
      <c r="AT1058" s="28"/>
      <c r="AU1058" s="28"/>
      <c r="AV1058" s="28"/>
      <c r="AW1058" s="28"/>
      <c r="AX1058" s="28"/>
      <c r="AY1058" s="28"/>
      <c r="AZ1058" s="28"/>
      <c r="BA1058" s="28"/>
      <c r="BB1058" s="28"/>
    </row>
    <row r="1059" spans="1:54" ht="12.75" x14ac:dyDescent="0.2">
      <c r="A1059" s="28"/>
      <c r="B1059" s="28"/>
      <c r="C1059" s="28"/>
      <c r="D1059" s="28"/>
      <c r="E1059" s="28"/>
      <c r="F1059" s="28"/>
      <c r="G1059" s="28"/>
      <c r="H1059" s="28"/>
      <c r="I1059" s="28"/>
      <c r="J1059" s="28"/>
      <c r="K1059" s="28"/>
      <c r="L1059" s="28"/>
      <c r="M1059" s="28"/>
      <c r="N1059" s="28"/>
      <c r="O1059" s="28"/>
      <c r="P1059" s="28"/>
      <c r="Q1059" s="28"/>
      <c r="R1059" s="28"/>
      <c r="S1059" s="28"/>
      <c r="T1059" s="28"/>
      <c r="U1059" s="28"/>
      <c r="V1059" s="28"/>
      <c r="W1059" s="28"/>
      <c r="X1059" s="28"/>
      <c r="Y1059" s="28"/>
      <c r="Z1059" s="28"/>
      <c r="AA1059" s="28"/>
      <c r="AB1059" s="28"/>
      <c r="AC1059" s="28"/>
      <c r="AD1059" s="28"/>
      <c r="AE1059" s="28"/>
      <c r="AF1059" s="28"/>
      <c r="AG1059" s="28"/>
      <c r="AH1059" s="28"/>
      <c r="AI1059" s="28"/>
      <c r="AJ1059" s="28"/>
      <c r="AK1059" s="28"/>
      <c r="AL1059" s="28"/>
      <c r="AM1059" s="28"/>
      <c r="AN1059" s="28"/>
      <c r="AO1059" s="28"/>
      <c r="AP1059" s="28"/>
      <c r="AQ1059" s="28"/>
      <c r="AR1059" s="28"/>
      <c r="AS1059" s="28"/>
      <c r="AT1059" s="28"/>
      <c r="AU1059" s="28"/>
      <c r="AV1059" s="28"/>
      <c r="AW1059" s="28"/>
      <c r="AX1059" s="28"/>
      <c r="AY1059" s="28"/>
      <c r="AZ1059" s="28"/>
      <c r="BA1059" s="28"/>
      <c r="BB1059" s="28"/>
    </row>
    <row r="1060" spans="1:54" ht="12.75" x14ac:dyDescent="0.2">
      <c r="A1060" s="28"/>
      <c r="B1060" s="28"/>
      <c r="C1060" s="28"/>
      <c r="D1060" s="28"/>
      <c r="E1060" s="28"/>
      <c r="F1060" s="28"/>
      <c r="G1060" s="28"/>
      <c r="H1060" s="28"/>
      <c r="I1060" s="28"/>
      <c r="J1060" s="28"/>
      <c r="K1060" s="28"/>
      <c r="L1060" s="28"/>
      <c r="M1060" s="28"/>
      <c r="N1060" s="28"/>
      <c r="O1060" s="28"/>
      <c r="P1060" s="28"/>
      <c r="Q1060" s="28"/>
      <c r="R1060" s="28"/>
      <c r="S1060" s="28"/>
      <c r="T1060" s="28"/>
      <c r="U1060" s="28"/>
      <c r="V1060" s="28"/>
      <c r="W1060" s="28"/>
      <c r="X1060" s="28"/>
      <c r="Y1060" s="28"/>
      <c r="Z1060" s="28"/>
      <c r="AA1060" s="28"/>
      <c r="AB1060" s="28"/>
      <c r="AC1060" s="28"/>
      <c r="AD1060" s="28"/>
      <c r="AE1060" s="28"/>
      <c r="AF1060" s="28"/>
      <c r="AG1060" s="28"/>
      <c r="AH1060" s="28"/>
      <c r="AI1060" s="28"/>
      <c r="AJ1060" s="28"/>
      <c r="AK1060" s="28"/>
      <c r="AL1060" s="28"/>
      <c r="AM1060" s="28"/>
      <c r="AN1060" s="28"/>
      <c r="AO1060" s="28"/>
      <c r="AP1060" s="28"/>
      <c r="AQ1060" s="28"/>
      <c r="AR1060" s="28"/>
      <c r="AS1060" s="28"/>
      <c r="AT1060" s="28"/>
      <c r="AU1060" s="28"/>
      <c r="AV1060" s="28"/>
      <c r="AW1060" s="28"/>
      <c r="AX1060" s="28"/>
      <c r="AY1060" s="28"/>
      <c r="AZ1060" s="28"/>
      <c r="BA1060" s="28"/>
      <c r="BB1060" s="28"/>
    </row>
    <row r="1061" spans="1:54" ht="12.75" x14ac:dyDescent="0.2">
      <c r="A1061" s="28"/>
      <c r="B1061" s="28"/>
      <c r="C1061" s="28"/>
      <c r="D1061" s="28"/>
      <c r="E1061" s="28"/>
      <c r="F1061" s="28"/>
      <c r="G1061" s="28"/>
      <c r="H1061" s="28"/>
      <c r="I1061" s="28"/>
      <c r="J1061" s="28"/>
      <c r="K1061" s="28"/>
      <c r="L1061" s="28"/>
      <c r="M1061" s="28"/>
      <c r="N1061" s="28"/>
      <c r="O1061" s="28"/>
      <c r="P1061" s="28"/>
      <c r="Q1061" s="28"/>
      <c r="R1061" s="28"/>
      <c r="S1061" s="28"/>
      <c r="T1061" s="28"/>
      <c r="U1061" s="28"/>
      <c r="V1061" s="28"/>
      <c r="W1061" s="28"/>
      <c r="X1061" s="28"/>
      <c r="Y1061" s="28"/>
      <c r="Z1061" s="28"/>
      <c r="AA1061" s="28"/>
      <c r="AB1061" s="28"/>
      <c r="AC1061" s="28"/>
      <c r="AD1061" s="28"/>
      <c r="AE1061" s="28"/>
      <c r="AF1061" s="28"/>
      <c r="AG1061" s="28"/>
      <c r="AH1061" s="28"/>
      <c r="AI1061" s="28"/>
      <c r="AJ1061" s="28"/>
      <c r="AK1061" s="28"/>
      <c r="AL1061" s="28"/>
      <c r="AM1061" s="28"/>
      <c r="AN1061" s="28"/>
      <c r="AO1061" s="28"/>
      <c r="AP1061" s="28"/>
      <c r="AQ1061" s="28"/>
      <c r="AR1061" s="28"/>
      <c r="AS1061" s="28"/>
      <c r="AT1061" s="28"/>
      <c r="AU1061" s="28"/>
      <c r="AV1061" s="28"/>
      <c r="AW1061" s="28"/>
      <c r="AX1061" s="28"/>
      <c r="AY1061" s="28"/>
      <c r="AZ1061" s="28"/>
      <c r="BA1061" s="28"/>
      <c r="BB1061" s="28"/>
    </row>
    <row r="1062" spans="1:54" ht="12.75" x14ac:dyDescent="0.2">
      <c r="A1062" s="28"/>
      <c r="B1062" s="28"/>
      <c r="C1062" s="28"/>
      <c r="D1062" s="28"/>
      <c r="E1062" s="28"/>
      <c r="F1062" s="28"/>
      <c r="G1062" s="28"/>
      <c r="H1062" s="28"/>
      <c r="I1062" s="28"/>
      <c r="J1062" s="28"/>
      <c r="K1062" s="28"/>
      <c r="L1062" s="28"/>
      <c r="M1062" s="28"/>
      <c r="N1062" s="28"/>
      <c r="O1062" s="28"/>
      <c r="P1062" s="28"/>
      <c r="Q1062" s="28"/>
      <c r="R1062" s="28"/>
      <c r="S1062" s="28"/>
      <c r="T1062" s="28"/>
      <c r="U1062" s="28"/>
      <c r="V1062" s="28"/>
      <c r="W1062" s="28"/>
      <c r="X1062" s="28"/>
      <c r="Y1062" s="28"/>
      <c r="Z1062" s="28"/>
      <c r="AA1062" s="28"/>
      <c r="AB1062" s="28"/>
      <c r="AC1062" s="28"/>
      <c r="AD1062" s="28"/>
      <c r="AE1062" s="28"/>
      <c r="AF1062" s="28"/>
      <c r="AG1062" s="28"/>
      <c r="AH1062" s="28"/>
      <c r="AI1062" s="28"/>
      <c r="AJ1062" s="28"/>
      <c r="AK1062" s="28"/>
      <c r="AL1062" s="28"/>
      <c r="AM1062" s="28"/>
      <c r="AN1062" s="28"/>
      <c r="AO1062" s="28"/>
      <c r="AP1062" s="28"/>
      <c r="AQ1062" s="28"/>
      <c r="AR1062" s="28"/>
      <c r="AS1062" s="28"/>
      <c r="AT1062" s="28"/>
      <c r="AU1062" s="28"/>
      <c r="AV1062" s="28"/>
      <c r="AW1062" s="28"/>
      <c r="AX1062" s="28"/>
      <c r="AY1062" s="28"/>
      <c r="AZ1062" s="28"/>
      <c r="BA1062" s="28"/>
      <c r="BB1062" s="28"/>
    </row>
    <row r="1063" spans="1:54" ht="12.75" x14ac:dyDescent="0.2">
      <c r="A1063" s="28"/>
      <c r="B1063" s="28"/>
      <c r="C1063" s="28"/>
      <c r="D1063" s="28"/>
      <c r="E1063" s="28"/>
      <c r="F1063" s="28"/>
      <c r="G1063" s="28"/>
      <c r="H1063" s="28"/>
      <c r="I1063" s="28"/>
      <c r="J1063" s="28"/>
      <c r="K1063" s="28"/>
      <c r="L1063" s="28"/>
      <c r="M1063" s="28"/>
      <c r="N1063" s="28"/>
      <c r="O1063" s="28"/>
      <c r="P1063" s="28"/>
      <c r="Q1063" s="28"/>
      <c r="R1063" s="28"/>
      <c r="S1063" s="28"/>
      <c r="T1063" s="28"/>
      <c r="U1063" s="28"/>
      <c r="V1063" s="28"/>
      <c r="W1063" s="28"/>
      <c r="X1063" s="28"/>
      <c r="Y1063" s="28"/>
      <c r="Z1063" s="28"/>
      <c r="AA1063" s="28"/>
      <c r="AB1063" s="28"/>
      <c r="AC1063" s="28"/>
      <c r="AD1063" s="28"/>
      <c r="AE1063" s="28"/>
      <c r="AF1063" s="28"/>
      <c r="AG1063" s="28"/>
      <c r="AH1063" s="28"/>
      <c r="AI1063" s="28"/>
      <c r="AJ1063" s="28"/>
      <c r="AK1063" s="28"/>
      <c r="AL1063" s="28"/>
      <c r="AM1063" s="28"/>
      <c r="AN1063" s="28"/>
      <c r="AO1063" s="28"/>
      <c r="AP1063" s="28"/>
      <c r="AQ1063" s="28"/>
      <c r="AR1063" s="28"/>
      <c r="AS1063" s="28"/>
      <c r="AT1063" s="28"/>
      <c r="AU1063" s="28"/>
      <c r="AV1063" s="28"/>
      <c r="AW1063" s="28"/>
      <c r="AX1063" s="28"/>
      <c r="AY1063" s="28"/>
      <c r="AZ1063" s="28"/>
      <c r="BA1063" s="28"/>
      <c r="BB1063" s="28"/>
    </row>
    <row r="1064" spans="1:54" ht="12.75" x14ac:dyDescent="0.2">
      <c r="A1064" s="28"/>
      <c r="B1064" s="28"/>
      <c r="C1064" s="28"/>
      <c r="D1064" s="28"/>
      <c r="E1064" s="28"/>
      <c r="F1064" s="28"/>
      <c r="G1064" s="28"/>
      <c r="H1064" s="28"/>
      <c r="I1064" s="28"/>
      <c r="J1064" s="28"/>
      <c r="K1064" s="28"/>
      <c r="L1064" s="28"/>
      <c r="M1064" s="28"/>
      <c r="N1064" s="28"/>
      <c r="O1064" s="28"/>
      <c r="P1064" s="28"/>
      <c r="Q1064" s="28"/>
      <c r="R1064" s="28"/>
      <c r="S1064" s="28"/>
      <c r="T1064" s="28"/>
      <c r="U1064" s="28"/>
      <c r="V1064" s="28"/>
      <c r="W1064" s="28"/>
      <c r="X1064" s="28"/>
      <c r="Y1064" s="28"/>
      <c r="Z1064" s="28"/>
      <c r="AA1064" s="28"/>
      <c r="AB1064" s="28"/>
      <c r="AC1064" s="28"/>
      <c r="AD1064" s="28"/>
      <c r="AE1064" s="28"/>
      <c r="AF1064" s="28"/>
      <c r="AG1064" s="28"/>
      <c r="AH1064" s="28"/>
      <c r="AI1064" s="28"/>
      <c r="AJ1064" s="28"/>
      <c r="AK1064" s="28"/>
      <c r="AL1064" s="28"/>
      <c r="AM1064" s="28"/>
      <c r="AN1064" s="28"/>
      <c r="AO1064" s="28"/>
      <c r="AP1064" s="28"/>
      <c r="AQ1064" s="28"/>
      <c r="AR1064" s="28"/>
      <c r="AS1064" s="28"/>
      <c r="AT1064" s="28"/>
      <c r="AU1064" s="28"/>
      <c r="AV1064" s="28"/>
      <c r="AW1064" s="28"/>
      <c r="AX1064" s="28"/>
      <c r="AY1064" s="28"/>
      <c r="AZ1064" s="28"/>
      <c r="BA1064" s="28"/>
      <c r="BB1064" s="28"/>
    </row>
    <row r="1065" spans="1:54" ht="12.75" x14ac:dyDescent="0.2">
      <c r="A1065" s="28"/>
      <c r="B1065" s="28"/>
      <c r="C1065" s="28"/>
      <c r="D1065" s="28"/>
      <c r="E1065" s="28"/>
      <c r="F1065" s="28"/>
      <c r="G1065" s="28"/>
      <c r="H1065" s="28"/>
      <c r="I1065" s="28"/>
      <c r="J1065" s="28"/>
      <c r="K1065" s="28"/>
      <c r="L1065" s="28"/>
      <c r="M1065" s="28"/>
      <c r="N1065" s="28"/>
      <c r="O1065" s="28"/>
      <c r="P1065" s="28"/>
      <c r="Q1065" s="28"/>
      <c r="R1065" s="28"/>
      <c r="S1065" s="28"/>
      <c r="T1065" s="28"/>
      <c r="U1065" s="28"/>
      <c r="V1065" s="28"/>
      <c r="W1065" s="28"/>
      <c r="X1065" s="28"/>
      <c r="Y1065" s="28"/>
      <c r="Z1065" s="28"/>
      <c r="AA1065" s="28"/>
      <c r="AB1065" s="28"/>
      <c r="AC1065" s="28"/>
      <c r="AD1065" s="28"/>
      <c r="AE1065" s="28"/>
      <c r="AF1065" s="28"/>
      <c r="AG1065" s="28"/>
      <c r="AH1065" s="28"/>
      <c r="AI1065" s="28"/>
      <c r="AJ1065" s="28"/>
      <c r="AK1065" s="28"/>
      <c r="AL1065" s="28"/>
      <c r="AM1065" s="28"/>
      <c r="AN1065" s="28"/>
      <c r="AO1065" s="28"/>
      <c r="AP1065" s="28"/>
      <c r="AQ1065" s="28"/>
      <c r="AR1065" s="28"/>
      <c r="AS1065" s="28"/>
      <c r="AT1065" s="28"/>
      <c r="AU1065" s="28"/>
      <c r="AV1065" s="28"/>
      <c r="AW1065" s="28"/>
      <c r="AX1065" s="28"/>
      <c r="AY1065" s="28"/>
      <c r="AZ1065" s="28"/>
      <c r="BA1065" s="28"/>
      <c r="BB1065" s="28"/>
    </row>
    <row r="1066" spans="1:54" ht="12.75" x14ac:dyDescent="0.2">
      <c r="A1066" s="28"/>
      <c r="B1066" s="28"/>
      <c r="C1066" s="28"/>
      <c r="D1066" s="28"/>
      <c r="E1066" s="28"/>
      <c r="F1066" s="28"/>
      <c r="G1066" s="28"/>
      <c r="H1066" s="28"/>
      <c r="I1066" s="28"/>
      <c r="J1066" s="28"/>
      <c r="K1066" s="28"/>
      <c r="L1066" s="28"/>
      <c r="M1066" s="28"/>
      <c r="N1066" s="28"/>
      <c r="O1066" s="28"/>
      <c r="P1066" s="28"/>
      <c r="Q1066" s="28"/>
      <c r="R1066" s="28"/>
      <c r="S1066" s="28"/>
      <c r="T1066" s="28"/>
      <c r="U1066" s="28"/>
      <c r="V1066" s="28"/>
      <c r="W1066" s="28"/>
      <c r="X1066" s="28"/>
      <c r="Y1066" s="28"/>
      <c r="Z1066" s="28"/>
      <c r="AA1066" s="28"/>
      <c r="AB1066" s="28"/>
      <c r="AC1066" s="28"/>
      <c r="AD1066" s="28"/>
      <c r="AE1066" s="28"/>
      <c r="AF1066" s="28"/>
      <c r="AG1066" s="28"/>
      <c r="AH1066" s="28"/>
      <c r="AI1066" s="28"/>
      <c r="AJ1066" s="28"/>
      <c r="AK1066" s="28"/>
      <c r="AL1066" s="28"/>
      <c r="AM1066" s="28"/>
      <c r="AN1066" s="28"/>
      <c r="AO1066" s="28"/>
      <c r="AP1066" s="28"/>
      <c r="AQ1066" s="28"/>
      <c r="AR1066" s="28"/>
      <c r="AS1066" s="28"/>
      <c r="AT1066" s="28"/>
      <c r="AU1066" s="28"/>
      <c r="AV1066" s="28"/>
      <c r="AW1066" s="28"/>
      <c r="AX1066" s="28"/>
      <c r="AY1066" s="28"/>
      <c r="AZ1066" s="28"/>
      <c r="BA1066" s="28"/>
      <c r="BB1066" s="28"/>
    </row>
    <row r="1067" spans="1:54" ht="12.75" x14ac:dyDescent="0.2">
      <c r="A1067" s="28"/>
      <c r="B1067" s="28"/>
      <c r="C1067" s="28"/>
      <c r="D1067" s="28"/>
      <c r="E1067" s="28"/>
      <c r="F1067" s="28"/>
      <c r="G1067" s="28"/>
      <c r="H1067" s="28"/>
      <c r="I1067" s="28"/>
      <c r="J1067" s="28"/>
      <c r="K1067" s="28"/>
      <c r="L1067" s="28"/>
      <c r="M1067" s="28"/>
      <c r="N1067" s="28"/>
      <c r="O1067" s="28"/>
      <c r="P1067" s="28"/>
      <c r="Q1067" s="28"/>
      <c r="R1067" s="28"/>
      <c r="S1067" s="28"/>
      <c r="T1067" s="28"/>
      <c r="U1067" s="28"/>
      <c r="V1067" s="28"/>
      <c r="W1067" s="28"/>
      <c r="X1067" s="28"/>
      <c r="Y1067" s="28"/>
      <c r="Z1067" s="28"/>
      <c r="AA1067" s="28"/>
      <c r="AB1067" s="28"/>
      <c r="AC1067" s="28"/>
      <c r="AD1067" s="28"/>
      <c r="AE1067" s="28"/>
      <c r="AF1067" s="28"/>
      <c r="AG1067" s="28"/>
      <c r="AH1067" s="28"/>
      <c r="AI1067" s="28"/>
      <c r="AJ1067" s="28"/>
      <c r="AK1067" s="28"/>
      <c r="AL1067" s="28"/>
      <c r="AM1067" s="28"/>
      <c r="AN1067" s="28"/>
      <c r="AO1067" s="28"/>
      <c r="AP1067" s="28"/>
      <c r="AQ1067" s="28"/>
      <c r="AR1067" s="28"/>
      <c r="AS1067" s="28"/>
      <c r="AT1067" s="28"/>
      <c r="AU1067" s="28"/>
      <c r="AV1067" s="28"/>
      <c r="AW1067" s="28"/>
      <c r="AX1067" s="28"/>
      <c r="AY1067" s="28"/>
      <c r="AZ1067" s="28"/>
      <c r="BA1067" s="28"/>
      <c r="BB1067" s="28"/>
    </row>
    <row r="1068" spans="1:54" ht="12.75" x14ac:dyDescent="0.2">
      <c r="A1068" s="28"/>
      <c r="B1068" s="28"/>
      <c r="C1068" s="28"/>
      <c r="D1068" s="28"/>
      <c r="E1068" s="28"/>
      <c r="F1068" s="28"/>
      <c r="G1068" s="28"/>
      <c r="H1068" s="28"/>
      <c r="I1068" s="28"/>
      <c r="J1068" s="28"/>
      <c r="K1068" s="28"/>
      <c r="L1068" s="28"/>
      <c r="M1068" s="28"/>
      <c r="N1068" s="28"/>
      <c r="O1068" s="28"/>
      <c r="P1068" s="28"/>
      <c r="Q1068" s="28"/>
      <c r="R1068" s="28"/>
      <c r="S1068" s="28"/>
      <c r="T1068" s="28"/>
      <c r="U1068" s="28"/>
      <c r="V1068" s="28"/>
      <c r="W1068" s="28"/>
      <c r="X1068" s="28"/>
      <c r="Y1068" s="28"/>
      <c r="Z1068" s="28"/>
      <c r="AA1068" s="28"/>
      <c r="AB1068" s="28"/>
      <c r="AC1068" s="28"/>
      <c r="AD1068" s="28"/>
      <c r="AE1068" s="28"/>
      <c r="AF1068" s="28"/>
      <c r="AG1068" s="28"/>
      <c r="AH1068" s="28"/>
      <c r="AI1068" s="28"/>
      <c r="AJ1068" s="28"/>
      <c r="AK1068" s="28"/>
      <c r="AL1068" s="28"/>
      <c r="AM1068" s="28"/>
      <c r="AN1068" s="28"/>
      <c r="AO1068" s="28"/>
      <c r="AP1068" s="28"/>
      <c r="AQ1068" s="28"/>
      <c r="AR1068" s="28"/>
      <c r="AS1068" s="28"/>
      <c r="AT1068" s="28"/>
      <c r="AU1068" s="28"/>
      <c r="AV1068" s="28"/>
      <c r="AW1068" s="28"/>
      <c r="AX1068" s="28"/>
      <c r="AY1068" s="28"/>
      <c r="AZ1068" s="28"/>
      <c r="BA1068" s="28"/>
      <c r="BB1068" s="28"/>
    </row>
    <row r="1069" spans="1:54" ht="12.75" x14ac:dyDescent="0.2">
      <c r="A1069" s="28"/>
      <c r="B1069" s="28"/>
      <c r="C1069" s="28"/>
      <c r="D1069" s="28"/>
      <c r="E1069" s="28"/>
      <c r="F1069" s="28"/>
      <c r="G1069" s="28"/>
      <c r="H1069" s="28"/>
      <c r="I1069" s="28"/>
      <c r="J1069" s="28"/>
      <c r="K1069" s="28"/>
      <c r="L1069" s="28"/>
      <c r="M1069" s="28"/>
      <c r="N1069" s="28"/>
      <c r="O1069" s="28"/>
      <c r="P1069" s="28"/>
      <c r="Q1069" s="28"/>
      <c r="R1069" s="28"/>
      <c r="S1069" s="28"/>
      <c r="T1069" s="28"/>
      <c r="U1069" s="28"/>
      <c r="V1069" s="28"/>
      <c r="W1069" s="28"/>
      <c r="X1069" s="28"/>
      <c r="Y1069" s="28"/>
      <c r="Z1069" s="28"/>
      <c r="AA1069" s="28"/>
      <c r="AB1069" s="28"/>
      <c r="AC1069" s="28"/>
      <c r="AD1069" s="28"/>
      <c r="AE1069" s="28"/>
      <c r="AF1069" s="28"/>
      <c r="AG1069" s="28"/>
      <c r="AH1069" s="28"/>
      <c r="AI1069" s="28"/>
      <c r="AJ1069" s="28"/>
      <c r="AK1069" s="28"/>
      <c r="AL1069" s="28"/>
      <c r="AM1069" s="28"/>
      <c r="AN1069" s="28"/>
      <c r="AO1069" s="28"/>
      <c r="AP1069" s="28"/>
      <c r="AQ1069" s="28"/>
      <c r="AR1069" s="28"/>
      <c r="AS1069" s="28"/>
      <c r="AT1069" s="28"/>
      <c r="AU1069" s="28"/>
      <c r="AV1069" s="28"/>
      <c r="AW1069" s="28"/>
      <c r="AX1069" s="28"/>
      <c r="AY1069" s="28"/>
      <c r="AZ1069" s="28"/>
      <c r="BA1069" s="28"/>
      <c r="BB1069" s="28"/>
    </row>
    <row r="1070" spans="1:54" ht="12.75" x14ac:dyDescent="0.2">
      <c r="A1070" s="28"/>
      <c r="B1070" s="28"/>
      <c r="C1070" s="28"/>
      <c r="D1070" s="28"/>
      <c r="E1070" s="28"/>
      <c r="F1070" s="28"/>
      <c r="G1070" s="28"/>
      <c r="H1070" s="28"/>
      <c r="I1070" s="28"/>
      <c r="J1070" s="28"/>
      <c r="K1070" s="28"/>
      <c r="L1070" s="28"/>
      <c r="M1070" s="28"/>
      <c r="N1070" s="28"/>
      <c r="O1070" s="28"/>
      <c r="P1070" s="28"/>
      <c r="Q1070" s="28"/>
      <c r="R1070" s="28"/>
      <c r="S1070" s="28"/>
      <c r="T1070" s="28"/>
      <c r="U1070" s="28"/>
      <c r="V1070" s="28"/>
      <c r="W1070" s="28"/>
      <c r="X1070" s="28"/>
      <c r="Y1070" s="28"/>
      <c r="Z1070" s="28"/>
      <c r="AA1070" s="28"/>
      <c r="AB1070" s="28"/>
      <c r="AC1070" s="28"/>
      <c r="AD1070" s="28"/>
      <c r="AE1070" s="28"/>
      <c r="AF1070" s="28"/>
      <c r="AG1070" s="28"/>
      <c r="AH1070" s="28"/>
      <c r="AI1070" s="28"/>
      <c r="AJ1070" s="28"/>
      <c r="AK1070" s="28"/>
      <c r="AL1070" s="28"/>
      <c r="AM1070" s="28"/>
      <c r="AN1070" s="28"/>
      <c r="AO1070" s="28"/>
      <c r="AP1070" s="28"/>
      <c r="AQ1070" s="28"/>
      <c r="AR1070" s="28"/>
      <c r="AS1070" s="28"/>
      <c r="AT1070" s="28"/>
      <c r="AU1070" s="28"/>
      <c r="AV1070" s="28"/>
      <c r="AW1070" s="28"/>
      <c r="AX1070" s="28"/>
      <c r="AY1070" s="28"/>
      <c r="AZ1070" s="28"/>
      <c r="BA1070" s="28"/>
      <c r="BB1070" s="28"/>
    </row>
    <row r="1071" spans="1:54" ht="12.75" x14ac:dyDescent="0.2">
      <c r="A1071" s="28"/>
      <c r="B1071" s="28"/>
      <c r="C1071" s="28"/>
      <c r="D1071" s="28"/>
      <c r="E1071" s="28"/>
      <c r="F1071" s="28"/>
      <c r="G1071" s="28"/>
      <c r="H1071" s="28"/>
      <c r="I1071" s="28"/>
      <c r="J1071" s="28"/>
      <c r="K1071" s="28"/>
      <c r="L1071" s="28"/>
      <c r="M1071" s="28"/>
      <c r="N1071" s="28"/>
      <c r="O1071" s="28"/>
      <c r="P1071" s="28"/>
      <c r="Q1071" s="28"/>
      <c r="R1071" s="28"/>
      <c r="S1071" s="28"/>
      <c r="T1071" s="28"/>
      <c r="U1071" s="28"/>
      <c r="V1071" s="28"/>
      <c r="W1071" s="28"/>
      <c r="X1071" s="28"/>
      <c r="Y1071" s="28"/>
      <c r="Z1071" s="28"/>
      <c r="AA1071" s="28"/>
      <c r="AB1071" s="28"/>
      <c r="AC1071" s="28"/>
      <c r="AD1071" s="28"/>
      <c r="AE1071" s="28"/>
      <c r="AF1071" s="28"/>
      <c r="AG1071" s="28"/>
      <c r="AH1071" s="28"/>
      <c r="AI1071" s="28"/>
      <c r="AJ1071" s="28"/>
      <c r="AK1071" s="28"/>
      <c r="AL1071" s="28"/>
      <c r="AM1071" s="28"/>
      <c r="AN1071" s="28"/>
      <c r="AO1071" s="28"/>
      <c r="AP1071" s="28"/>
      <c r="AQ1071" s="28"/>
      <c r="AR1071" s="28"/>
      <c r="AS1071" s="28"/>
      <c r="AT1071" s="28"/>
      <c r="AU1071" s="28"/>
      <c r="AV1071" s="28"/>
      <c r="AW1071" s="28"/>
      <c r="AX1071" s="28"/>
      <c r="AY1071" s="28"/>
      <c r="AZ1071" s="28"/>
      <c r="BA1071" s="28"/>
      <c r="BB1071" s="28"/>
    </row>
    <row r="1072" spans="1:54" ht="12.75" x14ac:dyDescent="0.2">
      <c r="A1072" s="28"/>
      <c r="B1072" s="28"/>
      <c r="C1072" s="28"/>
      <c r="D1072" s="28"/>
      <c r="E1072" s="28"/>
      <c r="F1072" s="28"/>
      <c r="G1072" s="28"/>
      <c r="H1072" s="28"/>
      <c r="I1072" s="28"/>
      <c r="J1072" s="28"/>
      <c r="K1072" s="28"/>
      <c r="L1072" s="28"/>
      <c r="M1072" s="28"/>
      <c r="N1072" s="28"/>
      <c r="O1072" s="28"/>
      <c r="P1072" s="28"/>
      <c r="Q1072" s="28"/>
      <c r="R1072" s="28"/>
      <c r="S1072" s="28"/>
      <c r="T1072" s="28"/>
      <c r="U1072" s="28"/>
      <c r="V1072" s="28"/>
      <c r="W1072" s="28"/>
      <c r="X1072" s="28"/>
      <c r="Y1072" s="28"/>
      <c r="Z1072" s="28"/>
      <c r="AA1072" s="28"/>
      <c r="AB1072" s="28"/>
      <c r="AC1072" s="28"/>
      <c r="AD1072" s="28"/>
      <c r="AE1072" s="28"/>
      <c r="AF1072" s="28"/>
      <c r="AG1072" s="28"/>
      <c r="AH1072" s="28"/>
      <c r="AI1072" s="28"/>
      <c r="AJ1072" s="28"/>
      <c r="AK1072" s="28"/>
      <c r="AL1072" s="28"/>
      <c r="AM1072" s="28"/>
      <c r="AN1072" s="28"/>
      <c r="AO1072" s="28"/>
      <c r="AP1072" s="28"/>
      <c r="AQ1072" s="28"/>
      <c r="AR1072" s="28"/>
      <c r="AS1072" s="28"/>
      <c r="AT1072" s="28"/>
      <c r="AU1072" s="28"/>
      <c r="AV1072" s="28"/>
      <c r="AW1072" s="28"/>
      <c r="AX1072" s="28"/>
      <c r="AY1072" s="28"/>
      <c r="AZ1072" s="28"/>
      <c r="BA1072" s="28"/>
      <c r="BB1072" s="28"/>
    </row>
    <row r="1073" spans="1:54" ht="12.75" x14ac:dyDescent="0.2">
      <c r="A1073" s="28"/>
      <c r="B1073" s="28"/>
      <c r="C1073" s="28"/>
      <c r="D1073" s="28"/>
      <c r="E1073" s="28"/>
      <c r="F1073" s="28"/>
      <c r="G1073" s="28"/>
      <c r="H1073" s="28"/>
      <c r="I1073" s="28"/>
      <c r="J1073" s="28"/>
      <c r="K1073" s="28"/>
      <c r="L1073" s="28"/>
      <c r="M1073" s="28"/>
      <c r="N1073" s="28"/>
      <c r="O1073" s="28"/>
      <c r="P1073" s="28"/>
      <c r="Q1073" s="28"/>
      <c r="R1073" s="28"/>
      <c r="S1073" s="28"/>
      <c r="T1073" s="28"/>
      <c r="U1073" s="28"/>
      <c r="V1073" s="28"/>
      <c r="W1073" s="28"/>
      <c r="X1073" s="28"/>
      <c r="Y1073" s="28"/>
      <c r="Z1073" s="28"/>
      <c r="AA1073" s="28"/>
      <c r="AB1073" s="28"/>
      <c r="AC1073" s="28"/>
      <c r="AD1073" s="28"/>
      <c r="AE1073" s="28"/>
      <c r="AF1073" s="28"/>
      <c r="AG1073" s="28"/>
      <c r="AH1073" s="28"/>
      <c r="AI1073" s="28"/>
      <c r="AJ1073" s="28"/>
      <c r="AK1073" s="28"/>
      <c r="AL1073" s="28"/>
      <c r="AM1073" s="28"/>
      <c r="AN1073" s="28"/>
      <c r="AO1073" s="28"/>
      <c r="AP1073" s="28"/>
      <c r="AQ1073" s="28"/>
      <c r="AR1073" s="28"/>
      <c r="AS1073" s="28"/>
      <c r="AT1073" s="28"/>
      <c r="AU1073" s="28"/>
      <c r="AV1073" s="28"/>
      <c r="AW1073" s="28"/>
      <c r="AX1073" s="28"/>
      <c r="AY1073" s="28"/>
      <c r="AZ1073" s="28"/>
      <c r="BA1073" s="28"/>
      <c r="BB1073" s="28"/>
    </row>
    <row r="1074" spans="1:54" ht="12.75" x14ac:dyDescent="0.2">
      <c r="A1074" s="28"/>
      <c r="B1074" s="28"/>
      <c r="C1074" s="28"/>
      <c r="D1074" s="28"/>
      <c r="E1074" s="28"/>
      <c r="F1074" s="28"/>
      <c r="G1074" s="28"/>
      <c r="H1074" s="28"/>
      <c r="I1074" s="28"/>
      <c r="J1074" s="28"/>
      <c r="K1074" s="28"/>
      <c r="L1074" s="28"/>
      <c r="M1074" s="28"/>
      <c r="N1074" s="28"/>
      <c r="O1074" s="28"/>
      <c r="P1074" s="28"/>
      <c r="Q1074" s="28"/>
      <c r="R1074" s="28"/>
      <c r="S1074" s="28"/>
      <c r="T1074" s="28"/>
      <c r="U1074" s="28"/>
      <c r="V1074" s="28"/>
      <c r="W1074" s="28"/>
      <c r="X1074" s="28"/>
      <c r="Y1074" s="28"/>
      <c r="Z1074" s="28"/>
      <c r="AA1074" s="28"/>
      <c r="AB1074" s="28"/>
      <c r="AC1074" s="28"/>
      <c r="AD1074" s="28"/>
      <c r="AE1074" s="28"/>
      <c r="AF1074" s="28"/>
      <c r="AG1074" s="28"/>
      <c r="AH1074" s="28"/>
      <c r="AI1074" s="28"/>
      <c r="AJ1074" s="28"/>
      <c r="AK1074" s="28"/>
      <c r="AL1074" s="28"/>
      <c r="AM1074" s="28"/>
      <c r="AN1074" s="28"/>
      <c r="AO1074" s="28"/>
      <c r="AP1074" s="28"/>
      <c r="AQ1074" s="28"/>
      <c r="AR1074" s="28"/>
      <c r="AS1074" s="28"/>
      <c r="AT1074" s="28"/>
      <c r="AU1074" s="28"/>
      <c r="AV1074" s="28"/>
      <c r="AW1074" s="28"/>
      <c r="AX1074" s="28"/>
      <c r="AY1074" s="28"/>
      <c r="AZ1074" s="28"/>
      <c r="BA1074" s="28"/>
      <c r="BB1074" s="28"/>
    </row>
    <row r="1075" spans="1:54" ht="12.75" x14ac:dyDescent="0.2">
      <c r="A1075" s="28"/>
      <c r="B1075" s="28"/>
      <c r="C1075" s="28"/>
      <c r="D1075" s="28"/>
      <c r="E1075" s="28"/>
      <c r="F1075" s="28"/>
      <c r="G1075" s="28"/>
      <c r="H1075" s="28"/>
      <c r="I1075" s="28"/>
      <c r="J1075" s="28"/>
      <c r="K1075" s="28"/>
      <c r="L1075" s="28"/>
      <c r="M1075" s="28"/>
      <c r="N1075" s="28"/>
      <c r="O1075" s="28"/>
      <c r="P1075" s="28"/>
      <c r="Q1075" s="28"/>
      <c r="R1075" s="28"/>
      <c r="S1075" s="28"/>
      <c r="T1075" s="28"/>
      <c r="U1075" s="28"/>
      <c r="V1075" s="28"/>
      <c r="W1075" s="28"/>
      <c r="X1075" s="28"/>
      <c r="Y1075" s="28"/>
      <c r="Z1075" s="28"/>
      <c r="AA1075" s="28"/>
      <c r="AB1075" s="28"/>
      <c r="AC1075" s="28"/>
      <c r="AD1075" s="28"/>
      <c r="AE1075" s="28"/>
      <c r="AF1075" s="28"/>
      <c r="AG1075" s="28"/>
      <c r="AH1075" s="28"/>
      <c r="AI1075" s="28"/>
      <c r="AJ1075" s="28"/>
      <c r="AK1075" s="28"/>
      <c r="AL1075" s="28"/>
      <c r="AM1075" s="28"/>
      <c r="AN1075" s="28"/>
      <c r="AO1075" s="28"/>
      <c r="AP1075" s="28"/>
      <c r="AQ1075" s="28"/>
      <c r="AR1075" s="28"/>
      <c r="AS1075" s="28"/>
      <c r="AT1075" s="28"/>
      <c r="AU1075" s="28"/>
      <c r="AV1075" s="28"/>
      <c r="AW1075" s="28"/>
      <c r="AX1075" s="28"/>
      <c r="AY1075" s="28"/>
      <c r="AZ1075" s="28"/>
      <c r="BA1075" s="28"/>
      <c r="BB1075" s="28"/>
    </row>
    <row r="1076" spans="1:54" ht="12.75" x14ac:dyDescent="0.2">
      <c r="A1076" s="28"/>
      <c r="B1076" s="28"/>
      <c r="C1076" s="28"/>
      <c r="D1076" s="28"/>
      <c r="E1076" s="28"/>
      <c r="F1076" s="28"/>
      <c r="G1076" s="28"/>
      <c r="H1076" s="28"/>
      <c r="I1076" s="28"/>
      <c r="J1076" s="28"/>
      <c r="K1076" s="28"/>
      <c r="L1076" s="28"/>
      <c r="M1076" s="28"/>
      <c r="N1076" s="28"/>
      <c r="O1076" s="28"/>
      <c r="P1076" s="28"/>
      <c r="Q1076" s="28"/>
      <c r="R1076" s="28"/>
      <c r="S1076" s="28"/>
      <c r="T1076" s="28"/>
      <c r="U1076" s="28"/>
      <c r="V1076" s="28"/>
      <c r="W1076" s="28"/>
      <c r="X1076" s="28"/>
      <c r="Y1076" s="28"/>
      <c r="Z1076" s="28"/>
      <c r="AA1076" s="28"/>
      <c r="AB1076" s="28"/>
      <c r="AC1076" s="28"/>
      <c r="AD1076" s="28"/>
      <c r="AE1076" s="28"/>
      <c r="AF1076" s="28"/>
      <c r="AG1076" s="28"/>
      <c r="AH1076" s="28"/>
      <c r="AI1076" s="28"/>
      <c r="AJ1076" s="28"/>
      <c r="AK1076" s="28"/>
      <c r="AL1076" s="28"/>
      <c r="AM1076" s="28"/>
      <c r="AN1076" s="28"/>
      <c r="AO1076" s="28"/>
      <c r="AP1076" s="28"/>
      <c r="AQ1076" s="28"/>
      <c r="AR1076" s="28"/>
      <c r="AS1076" s="28"/>
      <c r="AT1076" s="28"/>
      <c r="AU1076" s="28"/>
      <c r="AV1076" s="28"/>
      <c r="AW1076" s="28"/>
      <c r="AX1076" s="28"/>
      <c r="AY1076" s="28"/>
      <c r="AZ1076" s="28"/>
      <c r="BA1076" s="28"/>
      <c r="BB1076" s="28"/>
    </row>
    <row r="1077" spans="1:54" ht="12.75" x14ac:dyDescent="0.2">
      <c r="A1077" s="28"/>
      <c r="B1077" s="28"/>
      <c r="C1077" s="28"/>
      <c r="D1077" s="28"/>
      <c r="E1077" s="28"/>
      <c r="F1077" s="28"/>
      <c r="G1077" s="28"/>
      <c r="H1077" s="28"/>
      <c r="I1077" s="28"/>
      <c r="J1077" s="28"/>
      <c r="K1077" s="28"/>
      <c r="L1077" s="28"/>
      <c r="M1077" s="28"/>
      <c r="N1077" s="28"/>
      <c r="O1077" s="28"/>
      <c r="P1077" s="28"/>
      <c r="Q1077" s="28"/>
      <c r="R1077" s="28"/>
      <c r="S1077" s="28"/>
      <c r="T1077" s="28"/>
      <c r="U1077" s="28"/>
      <c r="V1077" s="28"/>
      <c r="W1077" s="28"/>
      <c r="X1077" s="28"/>
      <c r="Y1077" s="28"/>
      <c r="Z1077" s="28"/>
      <c r="AA1077" s="28"/>
      <c r="AB1077" s="28"/>
      <c r="AC1077" s="28"/>
      <c r="AD1077" s="28"/>
      <c r="AE1077" s="28"/>
      <c r="AF1077" s="28"/>
      <c r="AG1077" s="28"/>
      <c r="AH1077" s="28"/>
      <c r="AI1077" s="28"/>
      <c r="AJ1077" s="28"/>
      <c r="AK1077" s="28"/>
      <c r="AL1077" s="28"/>
      <c r="AM1077" s="28"/>
      <c r="AN1077" s="28"/>
      <c r="AO1077" s="28"/>
      <c r="AP1077" s="28"/>
      <c r="AQ1077" s="28"/>
      <c r="AR1077" s="28"/>
      <c r="AS1077" s="28"/>
      <c r="AT1077" s="28"/>
      <c r="AU1077" s="28"/>
      <c r="AV1077" s="28"/>
      <c r="AW1077" s="28"/>
      <c r="AX1077" s="28"/>
      <c r="AY1077" s="28"/>
      <c r="AZ1077" s="28"/>
      <c r="BA1077" s="28"/>
      <c r="BB1077" s="28"/>
    </row>
    <row r="1078" spans="1:54" ht="12.75" x14ac:dyDescent="0.2">
      <c r="A1078" s="28"/>
      <c r="B1078" s="28"/>
      <c r="C1078" s="28"/>
      <c r="D1078" s="28"/>
      <c r="E1078" s="28"/>
      <c r="F1078" s="28"/>
      <c r="G1078" s="28"/>
      <c r="H1078" s="28"/>
      <c r="I1078" s="28"/>
      <c r="J1078" s="28"/>
      <c r="K1078" s="28"/>
      <c r="L1078" s="28"/>
      <c r="M1078" s="28"/>
      <c r="N1078" s="28"/>
      <c r="O1078" s="28"/>
      <c r="P1078" s="28"/>
      <c r="Q1078" s="28"/>
      <c r="R1078" s="28"/>
      <c r="S1078" s="28"/>
      <c r="T1078" s="28"/>
      <c r="U1078" s="28"/>
      <c r="V1078" s="28"/>
      <c r="W1078" s="28"/>
      <c r="X1078" s="28"/>
      <c r="Y1078" s="28"/>
      <c r="Z1078" s="28"/>
      <c r="AA1078" s="28"/>
      <c r="AB1078" s="28"/>
      <c r="AC1078" s="28"/>
      <c r="AD1078" s="28"/>
      <c r="AE1078" s="28"/>
      <c r="AF1078" s="28"/>
      <c r="AG1078" s="28"/>
      <c r="AH1078" s="28"/>
      <c r="AI1078" s="28"/>
      <c r="AJ1078" s="28"/>
      <c r="AK1078" s="28"/>
      <c r="AL1078" s="28"/>
      <c r="AM1078" s="28"/>
      <c r="AN1078" s="28"/>
      <c r="AO1078" s="28"/>
      <c r="AP1078" s="28"/>
      <c r="AQ1078" s="28"/>
      <c r="AR1078" s="28"/>
      <c r="AS1078" s="28"/>
      <c r="AT1078" s="28"/>
      <c r="AU1078" s="28"/>
      <c r="AV1078" s="28"/>
      <c r="AW1078" s="28"/>
      <c r="AX1078" s="28"/>
      <c r="AY1078" s="28"/>
      <c r="AZ1078" s="28"/>
      <c r="BA1078" s="28"/>
      <c r="BB1078" s="28"/>
    </row>
    <row r="1079" spans="1:54" ht="12.75" x14ac:dyDescent="0.2">
      <c r="A1079" s="28"/>
      <c r="B1079" s="28"/>
      <c r="C1079" s="28"/>
      <c r="D1079" s="28"/>
      <c r="E1079" s="28"/>
      <c r="F1079" s="28"/>
      <c r="G1079" s="28"/>
      <c r="H1079" s="28"/>
      <c r="I1079" s="28"/>
      <c r="J1079" s="28"/>
      <c r="K1079" s="28"/>
      <c r="L1079" s="28"/>
      <c r="M1079" s="28"/>
      <c r="N1079" s="28"/>
      <c r="O1079" s="28"/>
      <c r="P1079" s="28"/>
      <c r="Q1079" s="28"/>
      <c r="R1079" s="28"/>
      <c r="S1079" s="28"/>
      <c r="T1079" s="28"/>
      <c r="U1079" s="28"/>
      <c r="V1079" s="28"/>
      <c r="W1079" s="28"/>
      <c r="X1079" s="28"/>
      <c r="Y1079" s="28"/>
      <c r="Z1079" s="28"/>
      <c r="AA1079" s="28"/>
      <c r="AB1079" s="28"/>
      <c r="AC1079" s="28"/>
      <c r="AD1079" s="28"/>
      <c r="AE1079" s="28"/>
      <c r="AF1079" s="28"/>
      <c r="AG1079" s="28"/>
      <c r="AH1079" s="28"/>
      <c r="AI1079" s="28"/>
      <c r="AJ1079" s="28"/>
      <c r="AK1079" s="28"/>
      <c r="AL1079" s="28"/>
      <c r="AM1079" s="28"/>
      <c r="AN1079" s="28"/>
      <c r="AO1079" s="28"/>
      <c r="AP1079" s="28"/>
      <c r="AQ1079" s="28"/>
      <c r="AR1079" s="28"/>
      <c r="AS1079" s="28"/>
      <c r="AT1079" s="28"/>
      <c r="AU1079" s="28"/>
      <c r="AV1079" s="28"/>
      <c r="AW1079" s="28"/>
      <c r="AX1079" s="28"/>
      <c r="AY1079" s="28"/>
      <c r="AZ1079" s="28"/>
      <c r="BA1079" s="28"/>
      <c r="BB1079" s="28"/>
    </row>
    <row r="1080" spans="1:54" ht="12.75" x14ac:dyDescent="0.2">
      <c r="A1080" s="28"/>
      <c r="B1080" s="28"/>
      <c r="C1080" s="28"/>
      <c r="D1080" s="28"/>
      <c r="E1080" s="28"/>
      <c r="F1080" s="28"/>
      <c r="G1080" s="28"/>
      <c r="H1080" s="28"/>
      <c r="I1080" s="28"/>
      <c r="J1080" s="28"/>
      <c r="K1080" s="28"/>
      <c r="L1080" s="28"/>
      <c r="M1080" s="28"/>
      <c r="N1080" s="28"/>
      <c r="O1080" s="28"/>
      <c r="P1080" s="28"/>
      <c r="Q1080" s="28"/>
      <c r="R1080" s="28"/>
      <c r="S1080" s="28"/>
      <c r="T1080" s="28"/>
      <c r="U1080" s="28"/>
      <c r="V1080" s="28"/>
      <c r="W1080" s="28"/>
      <c r="X1080" s="28"/>
      <c r="Y1080" s="28"/>
      <c r="Z1080" s="28"/>
      <c r="AA1080" s="28"/>
      <c r="AB1080" s="28"/>
      <c r="AC1080" s="28"/>
      <c r="AD1080" s="28"/>
      <c r="AE1080" s="28"/>
      <c r="AF1080" s="28"/>
      <c r="AG1080" s="28"/>
      <c r="AH1080" s="28"/>
      <c r="AI1080" s="28"/>
      <c r="AJ1080" s="28"/>
      <c r="AK1080" s="28"/>
      <c r="AL1080" s="28"/>
      <c r="AM1080" s="28"/>
      <c r="AN1080" s="28"/>
      <c r="AO1080" s="28"/>
      <c r="AP1080" s="28"/>
      <c r="AQ1080" s="28"/>
      <c r="AR1080" s="28"/>
      <c r="AS1080" s="28"/>
      <c r="AT1080" s="28"/>
      <c r="AU1080" s="28"/>
      <c r="AV1080" s="28"/>
      <c r="AW1080" s="28"/>
      <c r="AX1080" s="28"/>
      <c r="AY1080" s="28"/>
      <c r="AZ1080" s="28"/>
      <c r="BA1080" s="28"/>
      <c r="BB1080" s="28"/>
    </row>
    <row r="1081" spans="1:54" ht="12.75" x14ac:dyDescent="0.2">
      <c r="A1081" s="28"/>
      <c r="B1081" s="28"/>
      <c r="C1081" s="28"/>
      <c r="D1081" s="28"/>
      <c r="E1081" s="28"/>
      <c r="F1081" s="28"/>
      <c r="G1081" s="28"/>
      <c r="H1081" s="28"/>
      <c r="I1081" s="28"/>
      <c r="J1081" s="28"/>
      <c r="K1081" s="28"/>
      <c r="L1081" s="28"/>
      <c r="M1081" s="28"/>
      <c r="N1081" s="28"/>
      <c r="O1081" s="28"/>
      <c r="P1081" s="28"/>
      <c r="Q1081" s="28"/>
      <c r="R1081" s="28"/>
      <c r="S1081" s="28"/>
      <c r="T1081" s="28"/>
      <c r="U1081" s="28"/>
      <c r="V1081" s="28"/>
      <c r="W1081" s="28"/>
      <c r="X1081" s="28"/>
      <c r="Y1081" s="28"/>
      <c r="Z1081" s="28"/>
      <c r="AA1081" s="28"/>
      <c r="AB1081" s="28"/>
      <c r="AC1081" s="28"/>
      <c r="AD1081" s="28"/>
      <c r="AE1081" s="28"/>
      <c r="AF1081" s="28"/>
      <c r="AG1081" s="28"/>
      <c r="AH1081" s="28"/>
      <c r="AI1081" s="28"/>
      <c r="AJ1081" s="28"/>
      <c r="AK1081" s="28"/>
      <c r="AL1081" s="28"/>
      <c r="AM1081" s="28"/>
      <c r="AN1081" s="28"/>
      <c r="AO1081" s="28"/>
      <c r="AP1081" s="28"/>
      <c r="AQ1081" s="28"/>
      <c r="AR1081" s="28"/>
      <c r="AS1081" s="28"/>
      <c r="AT1081" s="28"/>
      <c r="AU1081" s="28"/>
      <c r="AV1081" s="28"/>
      <c r="AW1081" s="28"/>
      <c r="AX1081" s="28"/>
      <c r="AY1081" s="28"/>
      <c r="AZ1081" s="28"/>
      <c r="BA1081" s="28"/>
      <c r="BB1081" s="28"/>
    </row>
    <row r="1082" spans="1:54" ht="12.75" x14ac:dyDescent="0.2">
      <c r="A1082" s="28"/>
      <c r="B1082" s="28"/>
      <c r="C1082" s="28"/>
      <c r="D1082" s="28"/>
      <c r="E1082" s="28"/>
      <c r="F1082" s="28"/>
      <c r="G1082" s="28"/>
      <c r="H1082" s="28"/>
      <c r="I1082" s="28"/>
      <c r="J1082" s="28"/>
      <c r="K1082" s="28"/>
      <c r="L1082" s="28"/>
      <c r="M1082" s="28"/>
      <c r="N1082" s="28"/>
      <c r="O1082" s="28"/>
      <c r="P1082" s="28"/>
      <c r="Q1082" s="28"/>
      <c r="R1082" s="28"/>
      <c r="S1082" s="28"/>
      <c r="T1082" s="28"/>
      <c r="U1082" s="28"/>
      <c r="V1082" s="28"/>
      <c r="W1082" s="28"/>
      <c r="X1082" s="28"/>
      <c r="Y1082" s="28"/>
      <c r="Z1082" s="28"/>
      <c r="AA1082" s="28"/>
      <c r="AB1082" s="28"/>
      <c r="AC1082" s="28"/>
      <c r="AD1082" s="28"/>
      <c r="AE1082" s="28"/>
      <c r="AF1082" s="28"/>
      <c r="AG1082" s="28"/>
      <c r="AH1082" s="28"/>
      <c r="AI1082" s="28"/>
      <c r="AJ1082" s="28"/>
      <c r="AK1082" s="28"/>
      <c r="AL1082" s="28"/>
      <c r="AM1082" s="28"/>
      <c r="AN1082" s="28"/>
      <c r="AO1082" s="28"/>
      <c r="AP1082" s="28"/>
      <c r="AQ1082" s="28"/>
      <c r="AR1082" s="28"/>
      <c r="AS1082" s="28"/>
      <c r="AT1082" s="28"/>
      <c r="AU1082" s="28"/>
      <c r="AV1082" s="28"/>
      <c r="AW1082" s="28"/>
      <c r="AX1082" s="28"/>
      <c r="AY1082" s="28"/>
      <c r="AZ1082" s="28"/>
      <c r="BA1082" s="28"/>
      <c r="BB1082" s="28"/>
    </row>
    <row r="1083" spans="1:54" ht="12.75" x14ac:dyDescent="0.2">
      <c r="A1083" s="28"/>
      <c r="B1083" s="28"/>
      <c r="C1083" s="28"/>
      <c r="D1083" s="28"/>
      <c r="E1083" s="28"/>
      <c r="F1083" s="28"/>
      <c r="G1083" s="28"/>
      <c r="H1083" s="28"/>
      <c r="I1083" s="28"/>
      <c r="J1083" s="28"/>
      <c r="K1083" s="28"/>
      <c r="L1083" s="28"/>
      <c r="M1083" s="28"/>
      <c r="N1083" s="28"/>
      <c r="O1083" s="28"/>
      <c r="P1083" s="28"/>
      <c r="Q1083" s="28"/>
      <c r="R1083" s="28"/>
      <c r="S1083" s="28"/>
      <c r="T1083" s="28"/>
      <c r="U1083" s="28"/>
      <c r="V1083" s="28"/>
      <c r="W1083" s="28"/>
      <c r="X1083" s="28"/>
      <c r="Y1083" s="28"/>
      <c r="Z1083" s="28"/>
      <c r="AA1083" s="28"/>
      <c r="AB1083" s="28"/>
      <c r="AC1083" s="28"/>
      <c r="AD1083" s="28"/>
      <c r="AE1083" s="28"/>
      <c r="AF1083" s="28"/>
      <c r="AG1083" s="28"/>
      <c r="AH1083" s="28"/>
      <c r="AI1083" s="28"/>
      <c r="AJ1083" s="28"/>
      <c r="AK1083" s="28"/>
      <c r="AL1083" s="28"/>
      <c r="AM1083" s="28"/>
      <c r="AN1083" s="28"/>
      <c r="AO1083" s="28"/>
      <c r="AP1083" s="28"/>
      <c r="AQ1083" s="28"/>
      <c r="AR1083" s="28"/>
      <c r="AS1083" s="28"/>
      <c r="AT1083" s="28"/>
      <c r="AU1083" s="28"/>
      <c r="AV1083" s="28"/>
      <c r="AW1083" s="28"/>
      <c r="AX1083" s="28"/>
      <c r="AY1083" s="28"/>
      <c r="AZ1083" s="28"/>
      <c r="BA1083" s="28"/>
      <c r="BB1083" s="28"/>
    </row>
    <row r="1084" spans="1:54" ht="12.75" x14ac:dyDescent="0.2">
      <c r="A1084" s="28"/>
      <c r="B1084" s="28"/>
      <c r="C1084" s="28"/>
      <c r="D1084" s="28"/>
      <c r="E1084" s="28"/>
      <c r="F1084" s="28"/>
      <c r="G1084" s="28"/>
      <c r="H1084" s="28"/>
      <c r="I1084" s="28"/>
      <c r="J1084" s="28"/>
      <c r="K1084" s="28"/>
      <c r="L1084" s="28"/>
      <c r="M1084" s="28"/>
      <c r="N1084" s="28"/>
      <c r="O1084" s="28"/>
      <c r="P1084" s="28"/>
      <c r="Q1084" s="28"/>
      <c r="R1084" s="28"/>
      <c r="S1084" s="28"/>
      <c r="T1084" s="28"/>
      <c r="U1084" s="28"/>
      <c r="V1084" s="28"/>
      <c r="W1084" s="28"/>
      <c r="X1084" s="28"/>
      <c r="Y1084" s="28"/>
      <c r="Z1084" s="28"/>
      <c r="AA1084" s="28"/>
      <c r="AB1084" s="28"/>
      <c r="AC1084" s="28"/>
      <c r="AD1084" s="28"/>
      <c r="AE1084" s="28"/>
      <c r="AF1084" s="28"/>
      <c r="AG1084" s="28"/>
      <c r="AH1084" s="28"/>
      <c r="AI1084" s="28"/>
      <c r="AJ1084" s="28"/>
      <c r="AK1084" s="28"/>
      <c r="AL1084" s="28"/>
      <c r="AM1084" s="28"/>
      <c r="AN1084" s="28"/>
      <c r="AO1084" s="28"/>
      <c r="AP1084" s="28"/>
      <c r="AQ1084" s="28"/>
      <c r="AR1084" s="28"/>
      <c r="AS1084" s="28"/>
      <c r="AT1084" s="28"/>
      <c r="AU1084" s="28"/>
      <c r="AV1084" s="28"/>
      <c r="AW1084" s="28"/>
      <c r="AX1084" s="28"/>
      <c r="AY1084" s="28"/>
      <c r="AZ1084" s="28"/>
      <c r="BA1084" s="28"/>
      <c r="BB1084" s="28"/>
    </row>
    <row r="1085" spans="1:54" ht="12.75" x14ac:dyDescent="0.2">
      <c r="A1085" s="28"/>
      <c r="B1085" s="28"/>
      <c r="C1085" s="28"/>
      <c r="D1085" s="28"/>
      <c r="E1085" s="28"/>
      <c r="F1085" s="28"/>
      <c r="G1085" s="28"/>
      <c r="H1085" s="28"/>
      <c r="I1085" s="28"/>
      <c r="J1085" s="28"/>
      <c r="K1085" s="28"/>
      <c r="L1085" s="28"/>
      <c r="M1085" s="28"/>
      <c r="N1085" s="28"/>
      <c r="O1085" s="28"/>
      <c r="P1085" s="28"/>
      <c r="Q1085" s="28"/>
      <c r="R1085" s="28"/>
      <c r="S1085" s="28"/>
      <c r="T1085" s="28"/>
      <c r="U1085" s="28"/>
      <c r="V1085" s="28"/>
      <c r="W1085" s="28"/>
      <c r="X1085" s="28"/>
      <c r="Y1085" s="28"/>
      <c r="Z1085" s="28"/>
      <c r="AA1085" s="28"/>
      <c r="AB1085" s="28"/>
      <c r="AC1085" s="28"/>
      <c r="AD1085" s="28"/>
      <c r="AE1085" s="28"/>
      <c r="AF1085" s="28"/>
      <c r="AG1085" s="28"/>
      <c r="AH1085" s="28"/>
      <c r="AI1085" s="28"/>
      <c r="AJ1085" s="28"/>
      <c r="AK1085" s="28"/>
      <c r="AL1085" s="28"/>
      <c r="AM1085" s="28"/>
      <c r="AN1085" s="28"/>
      <c r="AO1085" s="28"/>
      <c r="AP1085" s="28"/>
      <c r="AQ1085" s="28"/>
      <c r="AR1085" s="28"/>
      <c r="AS1085" s="28"/>
      <c r="AT1085" s="28"/>
      <c r="AU1085" s="28"/>
      <c r="AV1085" s="28"/>
      <c r="AW1085" s="28"/>
      <c r="AX1085" s="28"/>
      <c r="AY1085" s="28"/>
      <c r="AZ1085" s="28"/>
      <c r="BA1085" s="28"/>
      <c r="BB1085" s="28"/>
    </row>
    <row r="1086" spans="1:54" ht="12.75" x14ac:dyDescent="0.2">
      <c r="A1086" s="28"/>
      <c r="B1086" s="28"/>
      <c r="C1086" s="28"/>
      <c r="D1086" s="28"/>
      <c r="E1086" s="28"/>
      <c r="F1086" s="28"/>
      <c r="G1086" s="28"/>
      <c r="H1086" s="28"/>
      <c r="I1086" s="28"/>
      <c r="J1086" s="28"/>
      <c r="K1086" s="28"/>
      <c r="L1086" s="28"/>
      <c r="M1086" s="28"/>
      <c r="N1086" s="28"/>
      <c r="O1086" s="28"/>
      <c r="P1086" s="28"/>
      <c r="Q1086" s="28"/>
      <c r="R1086" s="28"/>
      <c r="S1086" s="28"/>
      <c r="T1086" s="28"/>
      <c r="U1086" s="28"/>
      <c r="V1086" s="28"/>
      <c r="W1086" s="28"/>
      <c r="X1086" s="28"/>
      <c r="Y1086" s="28"/>
      <c r="Z1086" s="28"/>
      <c r="AA1086" s="28"/>
      <c r="AB1086" s="28"/>
      <c r="AC1086" s="28"/>
      <c r="AD1086" s="28"/>
      <c r="AE1086" s="28"/>
      <c r="AF1086" s="28"/>
      <c r="AG1086" s="28"/>
      <c r="AH1086" s="28"/>
      <c r="AI1086" s="28"/>
      <c r="AJ1086" s="28"/>
      <c r="AK1086" s="28"/>
      <c r="AL1086" s="28"/>
      <c r="AM1086" s="28"/>
      <c r="AN1086" s="28"/>
      <c r="AO1086" s="28"/>
      <c r="AP1086" s="28"/>
      <c r="AQ1086" s="28"/>
      <c r="AR1086" s="28"/>
      <c r="AS1086" s="28"/>
      <c r="AT1086" s="28"/>
      <c r="AU1086" s="28"/>
      <c r="AV1086" s="28"/>
      <c r="AW1086" s="28"/>
      <c r="AX1086" s="28"/>
      <c r="AY1086" s="28"/>
      <c r="AZ1086" s="28"/>
      <c r="BA1086" s="28"/>
      <c r="BB1086" s="28"/>
    </row>
    <row r="1087" spans="1:54" ht="12.75" x14ac:dyDescent="0.2">
      <c r="A1087" s="28"/>
      <c r="B1087" s="28"/>
      <c r="C1087" s="28"/>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8"/>
      <c r="AF1087" s="28"/>
      <c r="AG1087" s="28"/>
      <c r="AH1087" s="28"/>
      <c r="AI1087" s="28"/>
      <c r="AJ1087" s="28"/>
      <c r="AK1087" s="28"/>
      <c r="AL1087" s="28"/>
      <c r="AM1087" s="28"/>
      <c r="AN1087" s="28"/>
      <c r="AO1087" s="28"/>
      <c r="AP1087" s="28"/>
      <c r="AQ1087" s="28"/>
      <c r="AR1087" s="28"/>
      <c r="AS1087" s="28"/>
      <c r="AT1087" s="28"/>
      <c r="AU1087" s="28"/>
      <c r="AV1087" s="28"/>
      <c r="AW1087" s="28"/>
      <c r="AX1087" s="28"/>
      <c r="AY1087" s="28"/>
      <c r="AZ1087" s="28"/>
      <c r="BA1087" s="28"/>
      <c r="BB1087" s="28"/>
    </row>
    <row r="1088" spans="1:54" ht="12.75" x14ac:dyDescent="0.2">
      <c r="A1088" s="28"/>
      <c r="B1088" s="28"/>
      <c r="C1088" s="28"/>
      <c r="D1088" s="28"/>
      <c r="E1088" s="28"/>
      <c r="F1088" s="28"/>
      <c r="G1088" s="28"/>
      <c r="H1088" s="28"/>
      <c r="I1088" s="28"/>
      <c r="J1088" s="28"/>
      <c r="K1088" s="28"/>
      <c r="L1088" s="28"/>
      <c r="M1088" s="28"/>
      <c r="N1088" s="28"/>
      <c r="O1088" s="28"/>
      <c r="P1088" s="28"/>
      <c r="Q1088" s="28"/>
      <c r="R1088" s="28"/>
      <c r="S1088" s="28"/>
      <c r="T1088" s="28"/>
      <c r="U1088" s="28"/>
      <c r="V1088" s="28"/>
      <c r="W1088" s="28"/>
      <c r="X1088" s="28"/>
      <c r="Y1088" s="28"/>
      <c r="Z1088" s="28"/>
      <c r="AA1088" s="28"/>
      <c r="AB1088" s="28"/>
      <c r="AC1088" s="28"/>
      <c r="AD1088" s="28"/>
      <c r="AE1088" s="28"/>
      <c r="AF1088" s="28"/>
      <c r="AG1088" s="28"/>
      <c r="AH1088" s="28"/>
      <c r="AI1088" s="28"/>
      <c r="AJ1088" s="28"/>
      <c r="AK1088" s="28"/>
      <c r="AL1088" s="28"/>
      <c r="AM1088" s="28"/>
      <c r="AN1088" s="28"/>
      <c r="AO1088" s="28"/>
      <c r="AP1088" s="28"/>
      <c r="AQ1088" s="28"/>
      <c r="AR1088" s="28"/>
      <c r="AS1088" s="28"/>
      <c r="AT1088" s="28"/>
      <c r="AU1088" s="28"/>
      <c r="AV1088" s="28"/>
      <c r="AW1088" s="28"/>
      <c r="AX1088" s="28"/>
      <c r="AY1088" s="28"/>
      <c r="AZ1088" s="28"/>
      <c r="BA1088" s="28"/>
      <c r="BB1088" s="28"/>
    </row>
    <row r="1089" spans="1:54" ht="12.75" x14ac:dyDescent="0.2">
      <c r="A1089" s="28"/>
      <c r="B1089" s="28"/>
      <c r="C1089" s="28"/>
      <c r="D1089" s="28"/>
      <c r="E1089" s="28"/>
      <c r="F1089" s="28"/>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8"/>
      <c r="AF1089" s="28"/>
      <c r="AG1089" s="28"/>
      <c r="AH1089" s="28"/>
      <c r="AI1089" s="28"/>
      <c r="AJ1089" s="28"/>
      <c r="AK1089" s="28"/>
      <c r="AL1089" s="28"/>
      <c r="AM1089" s="28"/>
      <c r="AN1089" s="28"/>
      <c r="AO1089" s="28"/>
      <c r="AP1089" s="28"/>
      <c r="AQ1089" s="28"/>
      <c r="AR1089" s="28"/>
      <c r="AS1089" s="28"/>
      <c r="AT1089" s="28"/>
      <c r="AU1089" s="28"/>
      <c r="AV1089" s="28"/>
      <c r="AW1089" s="28"/>
      <c r="AX1089" s="28"/>
      <c r="AY1089" s="28"/>
      <c r="AZ1089" s="28"/>
      <c r="BA1089" s="28"/>
      <c r="BB1089" s="28"/>
    </row>
    <row r="1090" spans="1:54" ht="12.75" x14ac:dyDescent="0.2">
      <c r="A1090" s="28"/>
      <c r="B1090" s="28"/>
      <c r="C1090" s="28"/>
      <c r="D1090" s="28"/>
      <c r="E1090" s="28"/>
      <c r="F1090" s="28"/>
      <c r="G1090" s="28"/>
      <c r="H1090" s="28"/>
      <c r="I1090" s="28"/>
      <c r="J1090" s="28"/>
      <c r="K1090" s="28"/>
      <c r="L1090" s="28"/>
      <c r="M1090" s="28"/>
      <c r="N1090" s="28"/>
      <c r="O1090" s="28"/>
      <c r="P1090" s="28"/>
      <c r="Q1090" s="28"/>
      <c r="R1090" s="28"/>
      <c r="S1090" s="28"/>
      <c r="T1090" s="28"/>
      <c r="U1090" s="28"/>
      <c r="V1090" s="28"/>
      <c r="W1090" s="28"/>
      <c r="X1090" s="28"/>
      <c r="Y1090" s="28"/>
      <c r="Z1090" s="28"/>
      <c r="AA1090" s="28"/>
      <c r="AB1090" s="28"/>
      <c r="AC1090" s="28"/>
      <c r="AD1090" s="28"/>
      <c r="AE1090" s="28"/>
      <c r="AF1090" s="28"/>
      <c r="AG1090" s="28"/>
      <c r="AH1090" s="28"/>
      <c r="AI1090" s="28"/>
      <c r="AJ1090" s="28"/>
      <c r="AK1090" s="28"/>
      <c r="AL1090" s="28"/>
      <c r="AM1090" s="28"/>
      <c r="AN1090" s="28"/>
      <c r="AO1090" s="28"/>
      <c r="AP1090" s="28"/>
      <c r="AQ1090" s="28"/>
      <c r="AR1090" s="28"/>
      <c r="AS1090" s="28"/>
      <c r="AT1090" s="28"/>
      <c r="AU1090" s="28"/>
      <c r="AV1090" s="28"/>
      <c r="AW1090" s="28"/>
      <c r="AX1090" s="28"/>
      <c r="AY1090" s="28"/>
      <c r="AZ1090" s="28"/>
      <c r="BA1090" s="28"/>
      <c r="BB1090" s="28"/>
    </row>
    <row r="1091" spans="1:54" ht="12.75" x14ac:dyDescent="0.2">
      <c r="A1091" s="28"/>
      <c r="B1091" s="28"/>
      <c r="C1091" s="28"/>
      <c r="D1091" s="28"/>
      <c r="E1091" s="28"/>
      <c r="F1091" s="28"/>
      <c r="G1091" s="28"/>
      <c r="H1091" s="28"/>
      <c r="I1091" s="28"/>
      <c r="J1091" s="28"/>
      <c r="K1091" s="28"/>
      <c r="L1091" s="28"/>
      <c r="M1091" s="28"/>
      <c r="N1091" s="28"/>
      <c r="O1091" s="28"/>
      <c r="P1091" s="28"/>
      <c r="Q1091" s="28"/>
      <c r="R1091" s="28"/>
      <c r="S1091" s="28"/>
      <c r="T1091" s="28"/>
      <c r="U1091" s="28"/>
      <c r="V1091" s="28"/>
      <c r="W1091" s="28"/>
      <c r="X1091" s="28"/>
      <c r="Y1091" s="28"/>
      <c r="Z1091" s="28"/>
      <c r="AA1091" s="28"/>
      <c r="AB1091" s="28"/>
      <c r="AC1091" s="28"/>
      <c r="AD1091" s="28"/>
      <c r="AE1091" s="28"/>
      <c r="AF1091" s="28"/>
      <c r="AG1091" s="28"/>
      <c r="AH1091" s="28"/>
      <c r="AI1091" s="28"/>
      <c r="AJ1091" s="28"/>
      <c r="AK1091" s="28"/>
      <c r="AL1091" s="28"/>
      <c r="AM1091" s="28"/>
      <c r="AN1091" s="28"/>
      <c r="AO1091" s="28"/>
      <c r="AP1091" s="28"/>
      <c r="AQ1091" s="28"/>
      <c r="AR1091" s="28"/>
      <c r="AS1091" s="28"/>
      <c r="AT1091" s="28"/>
      <c r="AU1091" s="28"/>
      <c r="AV1091" s="28"/>
      <c r="AW1091" s="28"/>
      <c r="AX1091" s="28"/>
      <c r="AY1091" s="28"/>
      <c r="AZ1091" s="28"/>
      <c r="BA1091" s="28"/>
      <c r="BB1091" s="28"/>
    </row>
    <row r="1092" spans="1:54" ht="12.75" x14ac:dyDescent="0.2">
      <c r="A1092" s="28"/>
      <c r="B1092" s="28"/>
      <c r="C1092" s="28"/>
      <c r="D1092" s="28"/>
      <c r="E1092" s="28"/>
      <c r="F1092" s="28"/>
      <c r="G1092" s="28"/>
      <c r="H1092" s="28"/>
      <c r="I1092" s="28"/>
      <c r="J1092" s="28"/>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8"/>
      <c r="AJ1092" s="28"/>
      <c r="AK1092" s="28"/>
      <c r="AL1092" s="28"/>
      <c r="AM1092" s="28"/>
      <c r="AN1092" s="28"/>
      <c r="AO1092" s="28"/>
      <c r="AP1092" s="28"/>
      <c r="AQ1092" s="28"/>
      <c r="AR1092" s="28"/>
      <c r="AS1092" s="28"/>
      <c r="AT1092" s="28"/>
      <c r="AU1092" s="28"/>
      <c r="AV1092" s="28"/>
      <c r="AW1092" s="28"/>
      <c r="AX1092" s="28"/>
      <c r="AY1092" s="28"/>
      <c r="AZ1092" s="28"/>
      <c r="BA1092" s="28"/>
      <c r="BB1092" s="28"/>
    </row>
    <row r="1093" spans="1:54" ht="12.75" x14ac:dyDescent="0.2">
      <c r="A1093" s="28"/>
      <c r="B1093" s="28"/>
      <c r="C1093" s="28"/>
      <c r="D1093" s="28"/>
      <c r="E1093" s="28"/>
      <c r="F1093" s="28"/>
      <c r="G1093" s="28"/>
      <c r="H1093" s="28"/>
      <c r="I1093" s="28"/>
      <c r="J1093" s="28"/>
      <c r="K1093" s="28"/>
      <c r="L1093" s="28"/>
      <c r="M1093" s="28"/>
      <c r="N1093" s="28"/>
      <c r="O1093" s="28"/>
      <c r="P1093" s="28"/>
      <c r="Q1093" s="28"/>
      <c r="R1093" s="28"/>
      <c r="S1093" s="28"/>
      <c r="T1093" s="28"/>
      <c r="U1093" s="28"/>
      <c r="V1093" s="28"/>
      <c r="W1093" s="28"/>
      <c r="X1093" s="28"/>
      <c r="Y1093" s="28"/>
      <c r="Z1093" s="28"/>
      <c r="AA1093" s="28"/>
      <c r="AB1093" s="28"/>
      <c r="AC1093" s="28"/>
      <c r="AD1093" s="28"/>
      <c r="AE1093" s="28"/>
      <c r="AF1093" s="28"/>
      <c r="AG1093" s="28"/>
      <c r="AH1093" s="28"/>
      <c r="AI1093" s="28"/>
      <c r="AJ1093" s="28"/>
      <c r="AK1093" s="28"/>
      <c r="AL1093" s="28"/>
      <c r="AM1093" s="28"/>
      <c r="AN1093" s="28"/>
      <c r="AO1093" s="28"/>
      <c r="AP1093" s="28"/>
      <c r="AQ1093" s="28"/>
      <c r="AR1093" s="28"/>
      <c r="AS1093" s="28"/>
      <c r="AT1093" s="28"/>
      <c r="AU1093" s="28"/>
      <c r="AV1093" s="28"/>
      <c r="AW1093" s="28"/>
      <c r="AX1093" s="28"/>
      <c r="AY1093" s="28"/>
      <c r="AZ1093" s="28"/>
      <c r="BA1093" s="28"/>
      <c r="BB1093" s="28"/>
    </row>
    <row r="1094" spans="1:54" ht="12.75" x14ac:dyDescent="0.2">
      <c r="A1094" s="28"/>
      <c r="B1094" s="28"/>
      <c r="C1094" s="28"/>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8"/>
      <c r="AF1094" s="28"/>
      <c r="AG1094" s="28"/>
      <c r="AH1094" s="28"/>
      <c r="AI1094" s="28"/>
      <c r="AJ1094" s="28"/>
      <c r="AK1094" s="28"/>
      <c r="AL1094" s="28"/>
      <c r="AM1094" s="28"/>
      <c r="AN1094" s="28"/>
      <c r="AO1094" s="28"/>
      <c r="AP1094" s="28"/>
      <c r="AQ1094" s="28"/>
      <c r="AR1094" s="28"/>
      <c r="AS1094" s="28"/>
      <c r="AT1094" s="28"/>
      <c r="AU1094" s="28"/>
      <c r="AV1094" s="28"/>
      <c r="AW1094" s="28"/>
      <c r="AX1094" s="28"/>
      <c r="AY1094" s="28"/>
      <c r="AZ1094" s="28"/>
      <c r="BA1094" s="28"/>
      <c r="BB1094" s="28"/>
    </row>
    <row r="1095" spans="1:54" ht="12.75" x14ac:dyDescent="0.2">
      <c r="A1095" s="28"/>
      <c r="B1095" s="28"/>
      <c r="C1095" s="28"/>
      <c r="D1095" s="28"/>
      <c r="E1095" s="28"/>
      <c r="F1095" s="28"/>
      <c r="G1095" s="28"/>
      <c r="H1095" s="28"/>
      <c r="I1095" s="28"/>
      <c r="J1095" s="28"/>
      <c r="K1095" s="28"/>
      <c r="L1095" s="28"/>
      <c r="M1095" s="28"/>
      <c r="N1095" s="28"/>
      <c r="O1095" s="28"/>
      <c r="P1095" s="28"/>
      <c r="Q1095" s="28"/>
      <c r="R1095" s="28"/>
      <c r="S1095" s="28"/>
      <c r="T1095" s="28"/>
      <c r="U1095" s="28"/>
      <c r="V1095" s="28"/>
      <c r="W1095" s="28"/>
      <c r="X1095" s="28"/>
      <c r="Y1095" s="28"/>
      <c r="Z1095" s="28"/>
      <c r="AA1095" s="28"/>
      <c r="AB1095" s="28"/>
      <c r="AC1095" s="28"/>
      <c r="AD1095" s="28"/>
      <c r="AE1095" s="28"/>
      <c r="AF1095" s="28"/>
      <c r="AG1095" s="28"/>
      <c r="AH1095" s="28"/>
      <c r="AI1095" s="28"/>
      <c r="AJ1095" s="28"/>
      <c r="AK1095" s="28"/>
      <c r="AL1095" s="28"/>
      <c r="AM1095" s="28"/>
      <c r="AN1095" s="28"/>
      <c r="AO1095" s="28"/>
      <c r="AP1095" s="28"/>
      <c r="AQ1095" s="28"/>
      <c r="AR1095" s="28"/>
      <c r="AS1095" s="28"/>
      <c r="AT1095" s="28"/>
      <c r="AU1095" s="28"/>
      <c r="AV1095" s="28"/>
      <c r="AW1095" s="28"/>
      <c r="AX1095" s="28"/>
      <c r="AY1095" s="28"/>
      <c r="AZ1095" s="28"/>
      <c r="BA1095" s="28"/>
      <c r="BB1095" s="28"/>
    </row>
    <row r="1096" spans="1:54" ht="12.75" x14ac:dyDescent="0.2">
      <c r="A1096" s="28"/>
      <c r="B1096" s="28"/>
      <c r="C1096" s="28"/>
      <c r="D1096" s="28"/>
      <c r="E1096" s="28"/>
      <c r="F1096" s="28"/>
      <c r="G1096" s="28"/>
      <c r="H1096" s="28"/>
      <c r="I1096" s="28"/>
      <c r="J1096" s="28"/>
      <c r="K1096" s="28"/>
      <c r="L1096" s="28"/>
      <c r="M1096" s="28"/>
      <c r="N1096" s="28"/>
      <c r="O1096" s="28"/>
      <c r="P1096" s="28"/>
      <c r="Q1096" s="28"/>
      <c r="R1096" s="28"/>
      <c r="S1096" s="28"/>
      <c r="T1096" s="28"/>
      <c r="U1096" s="28"/>
      <c r="V1096" s="28"/>
      <c r="W1096" s="28"/>
      <c r="X1096" s="28"/>
      <c r="Y1096" s="28"/>
      <c r="Z1096" s="28"/>
      <c r="AA1096" s="28"/>
      <c r="AB1096" s="28"/>
      <c r="AC1096" s="28"/>
      <c r="AD1096" s="28"/>
      <c r="AE1096" s="28"/>
      <c r="AF1096" s="28"/>
      <c r="AG1096" s="28"/>
      <c r="AH1096" s="28"/>
      <c r="AI1096" s="28"/>
      <c r="AJ1096" s="28"/>
      <c r="AK1096" s="28"/>
      <c r="AL1096" s="28"/>
      <c r="AM1096" s="28"/>
      <c r="AN1096" s="28"/>
      <c r="AO1096" s="28"/>
      <c r="AP1096" s="28"/>
      <c r="AQ1096" s="28"/>
      <c r="AR1096" s="28"/>
      <c r="AS1096" s="28"/>
      <c r="AT1096" s="28"/>
      <c r="AU1096" s="28"/>
      <c r="AV1096" s="28"/>
      <c r="AW1096" s="28"/>
      <c r="AX1096" s="28"/>
      <c r="AY1096" s="28"/>
      <c r="AZ1096" s="28"/>
      <c r="BA1096" s="28"/>
      <c r="BB1096" s="28"/>
    </row>
    <row r="1097" spans="1:54" ht="12.75" x14ac:dyDescent="0.2">
      <c r="A1097" s="28"/>
      <c r="B1097" s="28"/>
      <c r="C1097" s="28"/>
      <c r="D1097" s="28"/>
      <c r="E1097" s="28"/>
      <c r="F1097" s="28"/>
      <c r="G1097" s="28"/>
      <c r="H1097" s="28"/>
      <c r="I1097" s="28"/>
      <c r="J1097" s="28"/>
      <c r="K1097" s="28"/>
      <c r="L1097" s="28"/>
      <c r="M1097" s="28"/>
      <c r="N1097" s="28"/>
      <c r="O1097" s="28"/>
      <c r="P1097" s="28"/>
      <c r="Q1097" s="28"/>
      <c r="R1097" s="28"/>
      <c r="S1097" s="28"/>
      <c r="T1097" s="28"/>
      <c r="U1097" s="28"/>
      <c r="V1097" s="28"/>
      <c r="W1097" s="28"/>
      <c r="X1097" s="28"/>
      <c r="Y1097" s="28"/>
      <c r="Z1097" s="28"/>
      <c r="AA1097" s="28"/>
      <c r="AB1097" s="28"/>
      <c r="AC1097" s="28"/>
      <c r="AD1097" s="28"/>
      <c r="AE1097" s="28"/>
      <c r="AF1097" s="28"/>
      <c r="AG1097" s="28"/>
      <c r="AH1097" s="28"/>
      <c r="AI1097" s="28"/>
      <c r="AJ1097" s="28"/>
      <c r="AK1097" s="28"/>
      <c r="AL1097" s="28"/>
      <c r="AM1097" s="28"/>
      <c r="AN1097" s="28"/>
      <c r="AO1097" s="28"/>
      <c r="AP1097" s="28"/>
      <c r="AQ1097" s="28"/>
      <c r="AR1097" s="28"/>
      <c r="AS1097" s="28"/>
      <c r="AT1097" s="28"/>
      <c r="AU1097" s="28"/>
      <c r="AV1097" s="28"/>
      <c r="AW1097" s="28"/>
      <c r="AX1097" s="28"/>
      <c r="AY1097" s="28"/>
      <c r="AZ1097" s="28"/>
      <c r="BA1097" s="28"/>
      <c r="BB1097" s="28"/>
    </row>
    <row r="1098" spans="1:54" ht="12.75" x14ac:dyDescent="0.2">
      <c r="A1098" s="28"/>
      <c r="B1098" s="28"/>
      <c r="C1098" s="28"/>
      <c r="D1098" s="28"/>
      <c r="E1098" s="28"/>
      <c r="F1098" s="28"/>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8"/>
      <c r="AF1098" s="28"/>
      <c r="AG1098" s="28"/>
      <c r="AH1098" s="28"/>
      <c r="AI1098" s="28"/>
      <c r="AJ1098" s="28"/>
      <c r="AK1098" s="28"/>
      <c r="AL1098" s="28"/>
      <c r="AM1098" s="28"/>
      <c r="AN1098" s="28"/>
      <c r="AO1098" s="28"/>
      <c r="AP1098" s="28"/>
      <c r="AQ1098" s="28"/>
      <c r="AR1098" s="28"/>
      <c r="AS1098" s="28"/>
      <c r="AT1098" s="28"/>
      <c r="AU1098" s="28"/>
      <c r="AV1098" s="28"/>
      <c r="AW1098" s="28"/>
      <c r="AX1098" s="28"/>
      <c r="AY1098" s="28"/>
      <c r="AZ1098" s="28"/>
      <c r="BA1098" s="28"/>
      <c r="BB1098" s="28"/>
    </row>
    <row r="1099" spans="1:54" ht="12.75" x14ac:dyDescent="0.2">
      <c r="A1099" s="28"/>
      <c r="B1099" s="28"/>
      <c r="C1099" s="28"/>
      <c r="D1099" s="28"/>
      <c r="E1099" s="28"/>
      <c r="F1099" s="28"/>
      <c r="G1099" s="28"/>
      <c r="H1099" s="28"/>
      <c r="I1099" s="28"/>
      <c r="J1099" s="28"/>
      <c r="K1099" s="28"/>
      <c r="L1099" s="28"/>
      <c r="M1099" s="28"/>
      <c r="N1099" s="28"/>
      <c r="O1099" s="28"/>
      <c r="P1099" s="28"/>
      <c r="Q1099" s="28"/>
      <c r="R1099" s="28"/>
      <c r="S1099" s="28"/>
      <c r="T1099" s="28"/>
      <c r="U1099" s="28"/>
      <c r="V1099" s="28"/>
      <c r="W1099" s="28"/>
      <c r="X1099" s="28"/>
      <c r="Y1099" s="28"/>
      <c r="Z1099" s="28"/>
      <c r="AA1099" s="28"/>
      <c r="AB1099" s="28"/>
      <c r="AC1099" s="28"/>
      <c r="AD1099" s="28"/>
      <c r="AE1099" s="28"/>
      <c r="AF1099" s="28"/>
      <c r="AG1099" s="28"/>
      <c r="AH1099" s="28"/>
      <c r="AI1099" s="28"/>
      <c r="AJ1099" s="28"/>
      <c r="AK1099" s="28"/>
      <c r="AL1099" s="28"/>
      <c r="AM1099" s="28"/>
      <c r="AN1099" s="28"/>
      <c r="AO1099" s="28"/>
      <c r="AP1099" s="28"/>
      <c r="AQ1099" s="28"/>
      <c r="AR1099" s="28"/>
      <c r="AS1099" s="28"/>
      <c r="AT1099" s="28"/>
      <c r="AU1099" s="28"/>
      <c r="AV1099" s="28"/>
      <c r="AW1099" s="28"/>
      <c r="AX1099" s="28"/>
      <c r="AY1099" s="28"/>
      <c r="AZ1099" s="28"/>
      <c r="BA1099" s="28"/>
      <c r="BB1099" s="28"/>
    </row>
    <row r="1100" spans="1:54" ht="12.75" x14ac:dyDescent="0.2">
      <c r="A1100" s="28"/>
      <c r="B1100" s="28"/>
      <c r="C1100" s="28"/>
      <c r="D1100" s="28"/>
      <c r="E1100" s="28"/>
      <c r="F1100" s="28"/>
      <c r="G1100" s="28"/>
      <c r="H1100" s="28"/>
      <c r="I1100" s="28"/>
      <c r="J1100" s="28"/>
      <c r="K1100" s="28"/>
      <c r="L1100" s="28"/>
      <c r="M1100" s="28"/>
      <c r="N1100" s="28"/>
      <c r="O1100" s="28"/>
      <c r="P1100" s="28"/>
      <c r="Q1100" s="28"/>
      <c r="R1100" s="28"/>
      <c r="S1100" s="28"/>
      <c r="T1100" s="28"/>
      <c r="U1100" s="28"/>
      <c r="V1100" s="28"/>
      <c r="W1100" s="28"/>
      <c r="X1100" s="28"/>
      <c r="Y1100" s="28"/>
      <c r="Z1100" s="28"/>
      <c r="AA1100" s="28"/>
      <c r="AB1100" s="28"/>
      <c r="AC1100" s="28"/>
      <c r="AD1100" s="28"/>
      <c r="AE1100" s="28"/>
      <c r="AF1100" s="28"/>
      <c r="AG1100" s="28"/>
      <c r="AH1100" s="28"/>
      <c r="AI1100" s="28"/>
      <c r="AJ1100" s="28"/>
      <c r="AK1100" s="28"/>
      <c r="AL1100" s="28"/>
      <c r="AM1100" s="28"/>
      <c r="AN1100" s="28"/>
      <c r="AO1100" s="28"/>
      <c r="AP1100" s="28"/>
      <c r="AQ1100" s="28"/>
      <c r="AR1100" s="28"/>
      <c r="AS1100" s="28"/>
      <c r="AT1100" s="28"/>
      <c r="AU1100" s="28"/>
      <c r="AV1100" s="28"/>
      <c r="AW1100" s="28"/>
      <c r="AX1100" s="28"/>
      <c r="AY1100" s="28"/>
      <c r="AZ1100" s="28"/>
      <c r="BA1100" s="28"/>
      <c r="BB1100" s="28"/>
    </row>
    <row r="1101" spans="1:54" ht="12.75" x14ac:dyDescent="0.2">
      <c r="A1101" s="28"/>
      <c r="B1101" s="28"/>
      <c r="C1101" s="28"/>
      <c r="D1101" s="28"/>
      <c r="E1101" s="28"/>
      <c r="F1101" s="28"/>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8"/>
      <c r="AF1101" s="28"/>
      <c r="AG1101" s="28"/>
      <c r="AH1101" s="28"/>
      <c r="AI1101" s="28"/>
      <c r="AJ1101" s="28"/>
      <c r="AK1101" s="28"/>
      <c r="AL1101" s="28"/>
      <c r="AM1101" s="28"/>
      <c r="AN1101" s="28"/>
      <c r="AO1101" s="28"/>
      <c r="AP1101" s="28"/>
      <c r="AQ1101" s="28"/>
      <c r="AR1101" s="28"/>
      <c r="AS1101" s="28"/>
      <c r="AT1101" s="28"/>
      <c r="AU1101" s="28"/>
      <c r="AV1101" s="28"/>
      <c r="AW1101" s="28"/>
      <c r="AX1101" s="28"/>
      <c r="AY1101" s="28"/>
      <c r="AZ1101" s="28"/>
      <c r="BA1101" s="28"/>
      <c r="BB1101" s="28"/>
    </row>
    <row r="1102" spans="1:54" ht="12.75" x14ac:dyDescent="0.2">
      <c r="A1102" s="28"/>
      <c r="B1102" s="28"/>
      <c r="C1102" s="28"/>
      <c r="D1102" s="28"/>
      <c r="E1102" s="28"/>
      <c r="F1102" s="28"/>
      <c r="G1102" s="28"/>
      <c r="H1102" s="28"/>
      <c r="I1102" s="28"/>
      <c r="J1102" s="28"/>
      <c r="K1102" s="28"/>
      <c r="L1102" s="28"/>
      <c r="M1102" s="28"/>
      <c r="N1102" s="28"/>
      <c r="O1102" s="28"/>
      <c r="P1102" s="28"/>
      <c r="Q1102" s="28"/>
      <c r="R1102" s="28"/>
      <c r="S1102" s="28"/>
      <c r="T1102" s="28"/>
      <c r="U1102" s="28"/>
      <c r="V1102" s="28"/>
      <c r="W1102" s="28"/>
      <c r="X1102" s="28"/>
      <c r="Y1102" s="28"/>
      <c r="Z1102" s="28"/>
      <c r="AA1102" s="28"/>
      <c r="AB1102" s="28"/>
      <c r="AC1102" s="28"/>
      <c r="AD1102" s="28"/>
      <c r="AE1102" s="28"/>
      <c r="AF1102" s="28"/>
      <c r="AG1102" s="28"/>
      <c r="AH1102" s="28"/>
      <c r="AI1102" s="28"/>
      <c r="AJ1102" s="28"/>
      <c r="AK1102" s="28"/>
      <c r="AL1102" s="28"/>
      <c r="AM1102" s="28"/>
      <c r="AN1102" s="28"/>
      <c r="AO1102" s="28"/>
      <c r="AP1102" s="28"/>
      <c r="AQ1102" s="28"/>
      <c r="AR1102" s="28"/>
      <c r="AS1102" s="28"/>
      <c r="AT1102" s="28"/>
      <c r="AU1102" s="28"/>
      <c r="AV1102" s="28"/>
      <c r="AW1102" s="28"/>
      <c r="AX1102" s="28"/>
      <c r="AY1102" s="28"/>
      <c r="AZ1102" s="28"/>
      <c r="BA1102" s="28"/>
      <c r="BB1102" s="28"/>
    </row>
    <row r="1103" spans="1:54" ht="12.75" x14ac:dyDescent="0.2">
      <c r="A1103" s="28"/>
      <c r="B1103" s="28"/>
      <c r="C1103" s="28"/>
      <c r="D1103" s="28"/>
      <c r="E1103" s="28"/>
      <c r="F1103" s="28"/>
      <c r="G1103" s="28"/>
      <c r="H1103" s="28"/>
      <c r="I1103" s="28"/>
      <c r="J1103" s="28"/>
      <c r="K1103" s="28"/>
      <c r="L1103" s="28"/>
      <c r="M1103" s="28"/>
      <c r="N1103" s="28"/>
      <c r="O1103" s="28"/>
      <c r="P1103" s="28"/>
      <c r="Q1103" s="28"/>
      <c r="R1103" s="28"/>
      <c r="S1103" s="28"/>
      <c r="T1103" s="28"/>
      <c r="U1103" s="28"/>
      <c r="V1103" s="28"/>
      <c r="W1103" s="28"/>
      <c r="X1103" s="28"/>
      <c r="Y1103" s="28"/>
      <c r="Z1103" s="28"/>
      <c r="AA1103" s="28"/>
      <c r="AB1103" s="28"/>
      <c r="AC1103" s="28"/>
      <c r="AD1103" s="28"/>
      <c r="AE1103" s="28"/>
      <c r="AF1103" s="28"/>
      <c r="AG1103" s="28"/>
      <c r="AH1103" s="28"/>
      <c r="AI1103" s="28"/>
      <c r="AJ1103" s="28"/>
      <c r="AK1103" s="28"/>
      <c r="AL1103" s="28"/>
      <c r="AM1103" s="28"/>
      <c r="AN1103" s="28"/>
      <c r="AO1103" s="28"/>
      <c r="AP1103" s="28"/>
      <c r="AQ1103" s="28"/>
      <c r="AR1103" s="28"/>
      <c r="AS1103" s="28"/>
      <c r="AT1103" s="28"/>
      <c r="AU1103" s="28"/>
      <c r="AV1103" s="28"/>
      <c r="AW1103" s="28"/>
      <c r="AX1103" s="28"/>
      <c r="AY1103" s="28"/>
      <c r="AZ1103" s="28"/>
      <c r="BA1103" s="28"/>
      <c r="BB1103" s="28"/>
    </row>
    <row r="1104" spans="1:54" ht="12.75" x14ac:dyDescent="0.2">
      <c r="A1104" s="28"/>
      <c r="B1104" s="28"/>
      <c r="C1104" s="28"/>
      <c r="D1104" s="28"/>
      <c r="E1104" s="28"/>
      <c r="F1104" s="28"/>
      <c r="G1104" s="28"/>
      <c r="H1104" s="28"/>
      <c r="I1104" s="28"/>
      <c r="J1104" s="28"/>
      <c r="K1104" s="28"/>
      <c r="L1104" s="28"/>
      <c r="M1104" s="28"/>
      <c r="N1104" s="28"/>
      <c r="O1104" s="28"/>
      <c r="P1104" s="28"/>
      <c r="Q1104" s="28"/>
      <c r="R1104" s="28"/>
      <c r="S1104" s="28"/>
      <c r="T1104" s="28"/>
      <c r="U1104" s="28"/>
      <c r="V1104" s="28"/>
      <c r="W1104" s="28"/>
      <c r="X1104" s="28"/>
      <c r="Y1104" s="28"/>
      <c r="Z1104" s="28"/>
      <c r="AA1104" s="28"/>
      <c r="AB1104" s="28"/>
      <c r="AC1104" s="28"/>
      <c r="AD1104" s="28"/>
      <c r="AE1104" s="28"/>
      <c r="AF1104" s="28"/>
      <c r="AG1104" s="28"/>
      <c r="AH1104" s="28"/>
      <c r="AI1104" s="28"/>
      <c r="AJ1104" s="28"/>
      <c r="AK1104" s="28"/>
      <c r="AL1104" s="28"/>
      <c r="AM1104" s="28"/>
      <c r="AN1104" s="28"/>
      <c r="AO1104" s="28"/>
      <c r="AP1104" s="28"/>
      <c r="AQ1104" s="28"/>
      <c r="AR1104" s="28"/>
      <c r="AS1104" s="28"/>
      <c r="AT1104" s="28"/>
      <c r="AU1104" s="28"/>
      <c r="AV1104" s="28"/>
      <c r="AW1104" s="28"/>
      <c r="AX1104" s="28"/>
      <c r="AY1104" s="28"/>
      <c r="AZ1104" s="28"/>
      <c r="BA1104" s="28"/>
      <c r="BB1104" s="28"/>
    </row>
    <row r="1105" spans="1:54" ht="12.75" x14ac:dyDescent="0.2">
      <c r="A1105" s="28"/>
      <c r="B1105" s="28"/>
      <c r="C1105" s="28"/>
      <c r="D1105" s="28"/>
      <c r="E1105" s="28"/>
      <c r="F1105" s="28"/>
      <c r="G1105" s="28"/>
      <c r="H1105" s="28"/>
      <c r="I1105" s="28"/>
      <c r="J1105" s="28"/>
      <c r="K1105" s="28"/>
      <c r="L1105" s="28"/>
      <c r="M1105" s="28"/>
      <c r="N1105" s="28"/>
      <c r="O1105" s="28"/>
      <c r="P1105" s="28"/>
      <c r="Q1105" s="28"/>
      <c r="R1105" s="28"/>
      <c r="S1105" s="28"/>
      <c r="T1105" s="28"/>
      <c r="U1105" s="28"/>
      <c r="V1105" s="28"/>
      <c r="W1105" s="28"/>
      <c r="X1105" s="28"/>
      <c r="Y1105" s="28"/>
      <c r="Z1105" s="28"/>
      <c r="AA1105" s="28"/>
      <c r="AB1105" s="28"/>
      <c r="AC1105" s="28"/>
      <c r="AD1105" s="28"/>
      <c r="AE1105" s="28"/>
      <c r="AF1105" s="28"/>
      <c r="AG1105" s="28"/>
      <c r="AH1105" s="28"/>
      <c r="AI1105" s="28"/>
      <c r="AJ1105" s="28"/>
      <c r="AK1105" s="28"/>
      <c r="AL1105" s="28"/>
      <c r="AM1105" s="28"/>
      <c r="AN1105" s="28"/>
      <c r="AO1105" s="28"/>
      <c r="AP1105" s="28"/>
      <c r="AQ1105" s="28"/>
      <c r="AR1105" s="28"/>
      <c r="AS1105" s="28"/>
      <c r="AT1105" s="28"/>
      <c r="AU1105" s="28"/>
      <c r="AV1105" s="28"/>
      <c r="AW1105" s="28"/>
      <c r="AX1105" s="28"/>
      <c r="AY1105" s="28"/>
      <c r="AZ1105" s="28"/>
      <c r="BA1105" s="28"/>
      <c r="BB1105" s="28"/>
    </row>
    <row r="1106" spans="1:54" ht="12.75" x14ac:dyDescent="0.2">
      <c r="A1106" s="28"/>
      <c r="B1106" s="28"/>
      <c r="C1106" s="28"/>
      <c r="D1106" s="28"/>
      <c r="E1106" s="28"/>
      <c r="F1106" s="28"/>
      <c r="G1106" s="28"/>
      <c r="H1106" s="28"/>
      <c r="I1106" s="28"/>
      <c r="J1106" s="28"/>
      <c r="K1106" s="28"/>
      <c r="L1106" s="28"/>
      <c r="M1106" s="28"/>
      <c r="N1106" s="28"/>
      <c r="O1106" s="28"/>
      <c r="P1106" s="28"/>
      <c r="Q1106" s="28"/>
      <c r="R1106" s="28"/>
      <c r="S1106" s="28"/>
      <c r="T1106" s="28"/>
      <c r="U1106" s="28"/>
      <c r="V1106" s="28"/>
      <c r="W1106" s="28"/>
      <c r="X1106" s="28"/>
      <c r="Y1106" s="28"/>
      <c r="Z1106" s="28"/>
      <c r="AA1106" s="28"/>
      <c r="AB1106" s="28"/>
      <c r="AC1106" s="28"/>
      <c r="AD1106" s="28"/>
      <c r="AE1106" s="28"/>
      <c r="AF1106" s="28"/>
      <c r="AG1106" s="28"/>
      <c r="AH1106" s="28"/>
      <c r="AI1106" s="28"/>
      <c r="AJ1106" s="28"/>
      <c r="AK1106" s="28"/>
      <c r="AL1106" s="28"/>
      <c r="AM1106" s="28"/>
      <c r="AN1106" s="28"/>
      <c r="AO1106" s="28"/>
      <c r="AP1106" s="28"/>
      <c r="AQ1106" s="28"/>
      <c r="AR1106" s="28"/>
      <c r="AS1106" s="28"/>
      <c r="AT1106" s="28"/>
      <c r="AU1106" s="28"/>
      <c r="AV1106" s="28"/>
      <c r="AW1106" s="28"/>
      <c r="AX1106" s="28"/>
      <c r="AY1106" s="28"/>
      <c r="AZ1106" s="28"/>
      <c r="BA1106" s="28"/>
      <c r="BB1106" s="28"/>
    </row>
    <row r="1107" spans="1:54" ht="12.75" x14ac:dyDescent="0.2">
      <c r="A1107" s="28"/>
      <c r="B1107" s="28"/>
      <c r="C1107" s="28"/>
      <c r="D1107" s="28"/>
      <c r="E1107" s="28"/>
      <c r="F1107" s="28"/>
      <c r="G1107" s="28"/>
      <c r="H1107" s="28"/>
      <c r="I1107" s="28"/>
      <c r="J1107" s="28"/>
      <c r="K1107" s="28"/>
      <c r="L1107" s="28"/>
      <c r="M1107" s="28"/>
      <c r="N1107" s="28"/>
      <c r="O1107" s="28"/>
      <c r="P1107" s="28"/>
      <c r="Q1107" s="28"/>
      <c r="R1107" s="28"/>
      <c r="S1107" s="28"/>
      <c r="T1107" s="28"/>
      <c r="U1107" s="28"/>
      <c r="V1107" s="28"/>
      <c r="W1107" s="28"/>
      <c r="X1107" s="28"/>
      <c r="Y1107" s="28"/>
      <c r="Z1107" s="28"/>
      <c r="AA1107" s="28"/>
      <c r="AB1107" s="28"/>
      <c r="AC1107" s="28"/>
      <c r="AD1107" s="28"/>
      <c r="AE1107" s="28"/>
      <c r="AF1107" s="28"/>
      <c r="AG1107" s="28"/>
      <c r="AH1107" s="28"/>
      <c r="AI1107" s="28"/>
      <c r="AJ1107" s="28"/>
      <c r="AK1107" s="28"/>
      <c r="AL1107" s="28"/>
      <c r="AM1107" s="28"/>
      <c r="AN1107" s="28"/>
      <c r="AO1107" s="28"/>
      <c r="AP1107" s="28"/>
      <c r="AQ1107" s="28"/>
      <c r="AR1107" s="28"/>
      <c r="AS1107" s="28"/>
      <c r="AT1107" s="28"/>
      <c r="AU1107" s="28"/>
      <c r="AV1107" s="28"/>
      <c r="AW1107" s="28"/>
      <c r="AX1107" s="28"/>
      <c r="AY1107" s="28"/>
      <c r="AZ1107" s="28"/>
      <c r="BA1107" s="28"/>
      <c r="BB1107" s="28"/>
    </row>
    <row r="1108" spans="1:54" ht="12.75" x14ac:dyDescent="0.2">
      <c r="A1108" s="28"/>
      <c r="B1108" s="28"/>
      <c r="C1108" s="28"/>
      <c r="D1108" s="28"/>
      <c r="E1108" s="28"/>
      <c r="F1108" s="28"/>
      <c r="G1108" s="28"/>
      <c r="H1108" s="28"/>
      <c r="I1108" s="28"/>
      <c r="J1108" s="28"/>
      <c r="K1108" s="28"/>
      <c r="L1108" s="28"/>
      <c r="M1108" s="28"/>
      <c r="N1108" s="28"/>
      <c r="O1108" s="28"/>
      <c r="P1108" s="28"/>
      <c r="Q1108" s="28"/>
      <c r="R1108" s="28"/>
      <c r="S1108" s="28"/>
      <c r="T1108" s="28"/>
      <c r="U1108" s="28"/>
      <c r="V1108" s="28"/>
      <c r="W1108" s="28"/>
      <c r="X1108" s="28"/>
      <c r="Y1108" s="28"/>
      <c r="Z1108" s="28"/>
      <c r="AA1108" s="28"/>
      <c r="AB1108" s="28"/>
      <c r="AC1108" s="28"/>
      <c r="AD1108" s="28"/>
      <c r="AE1108" s="28"/>
      <c r="AF1108" s="28"/>
      <c r="AG1108" s="28"/>
      <c r="AH1108" s="28"/>
      <c r="AI1108" s="28"/>
      <c r="AJ1108" s="28"/>
      <c r="AK1108" s="28"/>
      <c r="AL1108" s="28"/>
      <c r="AM1108" s="28"/>
      <c r="AN1108" s="28"/>
      <c r="AO1108" s="28"/>
      <c r="AP1108" s="28"/>
      <c r="AQ1108" s="28"/>
      <c r="AR1108" s="28"/>
      <c r="AS1108" s="28"/>
      <c r="AT1108" s="28"/>
      <c r="AU1108" s="28"/>
      <c r="AV1108" s="28"/>
      <c r="AW1108" s="28"/>
      <c r="AX1108" s="28"/>
      <c r="AY1108" s="28"/>
      <c r="AZ1108" s="28"/>
      <c r="BA1108" s="28"/>
      <c r="BB1108" s="28"/>
    </row>
    <row r="1109" spans="1:54" ht="12.75" x14ac:dyDescent="0.2">
      <c r="A1109" s="28"/>
      <c r="B1109" s="28"/>
      <c r="C1109" s="28"/>
      <c r="D1109" s="28"/>
      <c r="E1109" s="28"/>
      <c r="F1109" s="28"/>
      <c r="G1109" s="28"/>
      <c r="H1109" s="28"/>
      <c r="I1109" s="28"/>
      <c r="J1109" s="28"/>
      <c r="K1109" s="28"/>
      <c r="L1109" s="28"/>
      <c r="M1109" s="28"/>
      <c r="N1109" s="28"/>
      <c r="O1109" s="28"/>
      <c r="P1109" s="28"/>
      <c r="Q1109" s="28"/>
      <c r="R1109" s="28"/>
      <c r="S1109" s="28"/>
      <c r="T1109" s="28"/>
      <c r="U1109" s="28"/>
      <c r="V1109" s="28"/>
      <c r="W1109" s="28"/>
      <c r="X1109" s="28"/>
      <c r="Y1109" s="28"/>
      <c r="Z1109" s="28"/>
      <c r="AA1109" s="28"/>
      <c r="AB1109" s="28"/>
      <c r="AC1109" s="28"/>
      <c r="AD1109" s="28"/>
      <c r="AE1109" s="28"/>
      <c r="AF1109" s="28"/>
      <c r="AG1109" s="28"/>
      <c r="AH1109" s="28"/>
      <c r="AI1109" s="28"/>
      <c r="AJ1109" s="28"/>
      <c r="AK1109" s="28"/>
      <c r="AL1109" s="28"/>
      <c r="AM1109" s="28"/>
      <c r="AN1109" s="28"/>
      <c r="AO1109" s="28"/>
      <c r="AP1109" s="28"/>
      <c r="AQ1109" s="28"/>
      <c r="AR1109" s="28"/>
      <c r="AS1109" s="28"/>
      <c r="AT1109" s="28"/>
      <c r="AU1109" s="28"/>
      <c r="AV1109" s="28"/>
      <c r="AW1109" s="28"/>
      <c r="AX1109" s="28"/>
      <c r="AY1109" s="28"/>
      <c r="AZ1109" s="28"/>
      <c r="BA1109" s="28"/>
      <c r="BB1109" s="28"/>
    </row>
    <row r="1110" spans="1:54" ht="12.75" x14ac:dyDescent="0.2">
      <c r="A1110" s="28"/>
      <c r="B1110" s="28"/>
      <c r="C1110" s="28"/>
      <c r="D1110" s="28"/>
      <c r="E1110" s="28"/>
      <c r="F1110" s="28"/>
      <c r="G1110" s="28"/>
      <c r="H1110" s="28"/>
      <c r="I1110" s="28"/>
      <c r="J1110" s="28"/>
      <c r="K1110" s="28"/>
      <c r="L1110" s="28"/>
      <c r="M1110" s="28"/>
      <c r="N1110" s="28"/>
      <c r="O1110" s="28"/>
      <c r="P1110" s="28"/>
      <c r="Q1110" s="28"/>
      <c r="R1110" s="28"/>
      <c r="S1110" s="28"/>
      <c r="T1110" s="28"/>
      <c r="U1110" s="28"/>
      <c r="V1110" s="28"/>
      <c r="W1110" s="28"/>
      <c r="X1110" s="28"/>
      <c r="Y1110" s="28"/>
      <c r="Z1110" s="28"/>
      <c r="AA1110" s="28"/>
      <c r="AB1110" s="28"/>
      <c r="AC1110" s="28"/>
      <c r="AD1110" s="28"/>
      <c r="AE1110" s="28"/>
      <c r="AF1110" s="28"/>
      <c r="AG1110" s="28"/>
      <c r="AH1110" s="28"/>
      <c r="AI1110" s="28"/>
      <c r="AJ1110" s="28"/>
      <c r="AK1110" s="28"/>
      <c r="AL1110" s="28"/>
      <c r="AM1110" s="28"/>
      <c r="AN1110" s="28"/>
      <c r="AO1110" s="28"/>
      <c r="AP1110" s="28"/>
      <c r="AQ1110" s="28"/>
      <c r="AR1110" s="28"/>
      <c r="AS1110" s="28"/>
      <c r="AT1110" s="28"/>
      <c r="AU1110" s="28"/>
      <c r="AV1110" s="28"/>
      <c r="AW1110" s="28"/>
      <c r="AX1110" s="28"/>
      <c r="AY1110" s="28"/>
      <c r="AZ1110" s="28"/>
      <c r="BA1110" s="28"/>
      <c r="BB1110" s="28"/>
    </row>
    <row r="1111" spans="1:54" ht="12.75" x14ac:dyDescent="0.2">
      <c r="A1111" s="28"/>
      <c r="B1111" s="28"/>
      <c r="C1111" s="28"/>
      <c r="D1111" s="28"/>
      <c r="E1111" s="28"/>
      <c r="F1111" s="28"/>
      <c r="G1111" s="28"/>
      <c r="H1111" s="28"/>
      <c r="I1111" s="28"/>
      <c r="J1111" s="28"/>
      <c r="K1111" s="28"/>
      <c r="L1111" s="28"/>
      <c r="M1111" s="28"/>
      <c r="N1111" s="28"/>
      <c r="O1111" s="28"/>
      <c r="P1111" s="28"/>
      <c r="Q1111" s="28"/>
      <c r="R1111" s="28"/>
      <c r="S1111" s="28"/>
      <c r="T1111" s="28"/>
      <c r="U1111" s="28"/>
      <c r="V1111" s="28"/>
      <c r="W1111" s="28"/>
      <c r="X1111" s="28"/>
      <c r="Y1111" s="28"/>
      <c r="Z1111" s="28"/>
      <c r="AA1111" s="28"/>
      <c r="AB1111" s="28"/>
      <c r="AC1111" s="28"/>
      <c r="AD1111" s="28"/>
      <c r="AE1111" s="28"/>
      <c r="AF1111" s="28"/>
      <c r="AG1111" s="28"/>
      <c r="AH1111" s="28"/>
      <c r="AI1111" s="28"/>
      <c r="AJ1111" s="28"/>
      <c r="AK1111" s="28"/>
      <c r="AL1111" s="28"/>
      <c r="AM1111" s="28"/>
      <c r="AN1111" s="28"/>
      <c r="AO1111" s="28"/>
      <c r="AP1111" s="28"/>
      <c r="AQ1111" s="28"/>
      <c r="AR1111" s="28"/>
      <c r="AS1111" s="28"/>
      <c r="AT1111" s="28"/>
      <c r="AU1111" s="28"/>
      <c r="AV1111" s="28"/>
      <c r="AW1111" s="28"/>
      <c r="AX1111" s="28"/>
      <c r="AY1111" s="28"/>
      <c r="AZ1111" s="28"/>
      <c r="BA1111" s="28"/>
      <c r="BB1111" s="28"/>
    </row>
    <row r="1112" spans="1:54" ht="12.75" x14ac:dyDescent="0.2">
      <c r="A1112" s="28"/>
      <c r="B1112" s="28"/>
      <c r="C1112" s="28"/>
      <c r="D1112" s="28"/>
      <c r="E1112" s="28"/>
      <c r="F1112" s="28"/>
      <c r="G1112" s="28"/>
      <c r="H1112" s="28"/>
      <c r="I1112" s="28"/>
      <c r="J1112" s="28"/>
      <c r="K1112" s="28"/>
      <c r="L1112" s="28"/>
      <c r="M1112" s="28"/>
      <c r="N1112" s="28"/>
      <c r="O1112" s="28"/>
      <c r="P1112" s="28"/>
      <c r="Q1112" s="28"/>
      <c r="R1112" s="28"/>
      <c r="S1112" s="28"/>
      <c r="T1112" s="28"/>
      <c r="U1112" s="28"/>
      <c r="V1112" s="28"/>
      <c r="W1112" s="28"/>
      <c r="X1112" s="28"/>
      <c r="Y1112" s="28"/>
      <c r="Z1112" s="28"/>
      <c r="AA1112" s="28"/>
      <c r="AB1112" s="28"/>
      <c r="AC1112" s="28"/>
      <c r="AD1112" s="28"/>
      <c r="AE1112" s="28"/>
      <c r="AF1112" s="28"/>
      <c r="AG1112" s="28"/>
      <c r="AH1112" s="28"/>
      <c r="AI1112" s="28"/>
      <c r="AJ1112" s="28"/>
      <c r="AK1112" s="28"/>
      <c r="AL1112" s="28"/>
      <c r="AM1112" s="28"/>
      <c r="AN1112" s="28"/>
      <c r="AO1112" s="28"/>
      <c r="AP1112" s="28"/>
      <c r="AQ1112" s="28"/>
      <c r="AR1112" s="28"/>
      <c r="AS1112" s="28"/>
      <c r="AT1112" s="28"/>
      <c r="AU1112" s="28"/>
      <c r="AV1112" s="28"/>
      <c r="AW1112" s="28"/>
      <c r="AX1112" s="28"/>
      <c r="AY1112" s="28"/>
      <c r="AZ1112" s="28"/>
      <c r="BA1112" s="28"/>
      <c r="BB1112" s="28"/>
    </row>
    <row r="1113" spans="1:54" ht="12.75" x14ac:dyDescent="0.2">
      <c r="A1113" s="28"/>
      <c r="B1113" s="28"/>
      <c r="C1113" s="28"/>
      <c r="D1113" s="28"/>
      <c r="E1113" s="28"/>
      <c r="F1113" s="28"/>
      <c r="G1113" s="28"/>
      <c r="H1113" s="28"/>
      <c r="I1113" s="28"/>
      <c r="J1113" s="28"/>
      <c r="K1113" s="28"/>
      <c r="L1113" s="28"/>
      <c r="M1113" s="28"/>
      <c r="N1113" s="28"/>
      <c r="O1113" s="28"/>
      <c r="P1113" s="28"/>
      <c r="Q1113" s="28"/>
      <c r="R1113" s="28"/>
      <c r="S1113" s="28"/>
      <c r="T1113" s="28"/>
      <c r="U1113" s="28"/>
      <c r="V1113" s="28"/>
      <c r="W1113" s="28"/>
      <c r="X1113" s="28"/>
      <c r="Y1113" s="28"/>
      <c r="Z1113" s="28"/>
      <c r="AA1113" s="28"/>
      <c r="AB1113" s="28"/>
      <c r="AC1113" s="28"/>
      <c r="AD1113" s="28"/>
      <c r="AE1113" s="28"/>
      <c r="AF1113" s="28"/>
      <c r="AG1113" s="28"/>
      <c r="AH1113" s="28"/>
      <c r="AI1113" s="28"/>
      <c r="AJ1113" s="28"/>
      <c r="AK1113" s="28"/>
      <c r="AL1113" s="28"/>
      <c r="AM1113" s="28"/>
      <c r="AN1113" s="28"/>
      <c r="AO1113" s="28"/>
      <c r="AP1113" s="28"/>
      <c r="AQ1113" s="28"/>
      <c r="AR1113" s="28"/>
      <c r="AS1113" s="28"/>
      <c r="AT1113" s="28"/>
      <c r="AU1113" s="28"/>
      <c r="AV1113" s="28"/>
      <c r="AW1113" s="28"/>
      <c r="AX1113" s="28"/>
      <c r="AY1113" s="28"/>
      <c r="AZ1113" s="28"/>
      <c r="BA1113" s="28"/>
      <c r="BB1113" s="28"/>
    </row>
    <row r="1114" spans="1:54" ht="12.75" x14ac:dyDescent="0.2">
      <c r="A1114" s="28"/>
      <c r="B1114" s="28"/>
      <c r="C1114" s="28"/>
      <c r="D1114" s="28"/>
      <c r="E1114" s="28"/>
      <c r="F1114" s="28"/>
      <c r="G1114" s="28"/>
      <c r="H1114" s="28"/>
      <c r="I1114" s="28"/>
      <c r="J1114" s="28"/>
      <c r="K1114" s="28"/>
      <c r="L1114" s="28"/>
      <c r="M1114" s="28"/>
      <c r="N1114" s="28"/>
      <c r="O1114" s="28"/>
      <c r="P1114" s="28"/>
      <c r="Q1114" s="28"/>
      <c r="R1114" s="28"/>
      <c r="S1114" s="28"/>
      <c r="T1114" s="28"/>
      <c r="U1114" s="28"/>
      <c r="V1114" s="28"/>
      <c r="W1114" s="28"/>
      <c r="X1114" s="28"/>
      <c r="Y1114" s="28"/>
      <c r="Z1114" s="28"/>
      <c r="AA1114" s="28"/>
      <c r="AB1114" s="28"/>
      <c r="AC1114" s="28"/>
      <c r="AD1114" s="28"/>
      <c r="AE1114" s="28"/>
      <c r="AF1114" s="28"/>
      <c r="AG1114" s="28"/>
      <c r="AH1114" s="28"/>
      <c r="AI1114" s="28"/>
      <c r="AJ1114" s="28"/>
      <c r="AK1114" s="28"/>
      <c r="AL1114" s="28"/>
      <c r="AM1114" s="28"/>
      <c r="AN1114" s="28"/>
      <c r="AO1114" s="28"/>
      <c r="AP1114" s="28"/>
      <c r="AQ1114" s="28"/>
      <c r="AR1114" s="28"/>
      <c r="AS1114" s="28"/>
      <c r="AT1114" s="28"/>
      <c r="AU1114" s="28"/>
      <c r="AV1114" s="28"/>
      <c r="AW1114" s="28"/>
      <c r="AX1114" s="28"/>
      <c r="AY1114" s="28"/>
      <c r="AZ1114" s="28"/>
      <c r="BA1114" s="28"/>
      <c r="BB1114" s="28"/>
    </row>
    <row r="1115" spans="1:54" ht="12.75" x14ac:dyDescent="0.2">
      <c r="A1115" s="28"/>
      <c r="B1115" s="28"/>
      <c r="C1115" s="28"/>
      <c r="D1115" s="28"/>
      <c r="E1115" s="28"/>
      <c r="F1115" s="28"/>
      <c r="G1115" s="28"/>
      <c r="H1115" s="28"/>
      <c r="I1115" s="28"/>
      <c r="J1115" s="28"/>
      <c r="K1115" s="28"/>
      <c r="L1115" s="28"/>
      <c r="M1115" s="28"/>
      <c r="N1115" s="28"/>
      <c r="O1115" s="28"/>
      <c r="P1115" s="28"/>
      <c r="Q1115" s="28"/>
      <c r="R1115" s="28"/>
      <c r="S1115" s="28"/>
      <c r="T1115" s="28"/>
      <c r="U1115" s="28"/>
      <c r="V1115" s="28"/>
      <c r="W1115" s="28"/>
      <c r="X1115" s="28"/>
      <c r="Y1115" s="28"/>
      <c r="Z1115" s="28"/>
      <c r="AA1115" s="28"/>
      <c r="AB1115" s="28"/>
      <c r="AC1115" s="28"/>
      <c r="AD1115" s="28"/>
      <c r="AE1115" s="28"/>
      <c r="AF1115" s="28"/>
      <c r="AG1115" s="28"/>
      <c r="AH1115" s="28"/>
      <c r="AI1115" s="28"/>
      <c r="AJ1115" s="28"/>
      <c r="AK1115" s="28"/>
      <c r="AL1115" s="28"/>
      <c r="AM1115" s="28"/>
      <c r="AN1115" s="28"/>
      <c r="AO1115" s="28"/>
      <c r="AP1115" s="28"/>
      <c r="AQ1115" s="28"/>
      <c r="AR1115" s="28"/>
      <c r="AS1115" s="28"/>
      <c r="AT1115" s="28"/>
      <c r="AU1115" s="28"/>
      <c r="AV1115" s="28"/>
      <c r="AW1115" s="28"/>
      <c r="AX1115" s="28"/>
      <c r="AY1115" s="28"/>
      <c r="AZ1115" s="28"/>
      <c r="BA1115" s="28"/>
      <c r="BB1115" s="28"/>
    </row>
    <row r="1116" spans="1:54" ht="12.75" x14ac:dyDescent="0.2">
      <c r="A1116" s="28"/>
      <c r="B1116" s="28"/>
      <c r="C1116" s="28"/>
      <c r="D1116" s="28"/>
      <c r="E1116" s="28"/>
      <c r="F1116" s="28"/>
      <c r="G1116" s="28"/>
      <c r="H1116" s="28"/>
      <c r="I1116" s="28"/>
      <c r="J1116" s="28"/>
      <c r="K1116" s="28"/>
      <c r="L1116" s="28"/>
      <c r="M1116" s="28"/>
      <c r="N1116" s="28"/>
      <c r="O1116" s="28"/>
      <c r="P1116" s="28"/>
      <c r="Q1116" s="28"/>
      <c r="R1116" s="28"/>
      <c r="S1116" s="28"/>
      <c r="T1116" s="28"/>
      <c r="U1116" s="28"/>
      <c r="V1116" s="28"/>
      <c r="W1116" s="28"/>
      <c r="X1116" s="28"/>
      <c r="Y1116" s="28"/>
      <c r="Z1116" s="28"/>
      <c r="AA1116" s="28"/>
      <c r="AB1116" s="28"/>
      <c r="AC1116" s="28"/>
      <c r="AD1116" s="28"/>
      <c r="AE1116" s="28"/>
      <c r="AF1116" s="28"/>
      <c r="AG1116" s="28"/>
      <c r="AH1116" s="28"/>
      <c r="AI1116" s="28"/>
      <c r="AJ1116" s="28"/>
      <c r="AK1116" s="28"/>
      <c r="AL1116" s="28"/>
      <c r="AM1116" s="28"/>
      <c r="AN1116" s="28"/>
      <c r="AO1116" s="28"/>
      <c r="AP1116" s="28"/>
      <c r="AQ1116" s="28"/>
      <c r="AR1116" s="28"/>
      <c r="AS1116" s="28"/>
      <c r="AT1116" s="28"/>
      <c r="AU1116" s="28"/>
      <c r="AV1116" s="28"/>
      <c r="AW1116" s="28"/>
      <c r="AX1116" s="28"/>
      <c r="AY1116" s="28"/>
      <c r="AZ1116" s="28"/>
      <c r="BA1116" s="28"/>
      <c r="BB1116" s="28"/>
    </row>
    <row r="1117" spans="1:54" ht="12.75" x14ac:dyDescent="0.2">
      <c r="A1117" s="28"/>
      <c r="B1117" s="28"/>
      <c r="C1117" s="28"/>
      <c r="D1117" s="28"/>
      <c r="E1117" s="28"/>
      <c r="F1117" s="28"/>
      <c r="G1117" s="28"/>
      <c r="H1117" s="28"/>
      <c r="I1117" s="28"/>
      <c r="J1117" s="28"/>
      <c r="K1117" s="28"/>
      <c r="L1117" s="28"/>
      <c r="M1117" s="28"/>
      <c r="N1117" s="28"/>
      <c r="O1117" s="28"/>
      <c r="P1117" s="28"/>
      <c r="Q1117" s="28"/>
      <c r="R1117" s="28"/>
      <c r="S1117" s="28"/>
      <c r="T1117" s="28"/>
      <c r="U1117" s="28"/>
      <c r="V1117" s="28"/>
      <c r="W1117" s="28"/>
      <c r="X1117" s="28"/>
      <c r="Y1117" s="28"/>
      <c r="Z1117" s="28"/>
      <c r="AA1117" s="28"/>
      <c r="AB1117" s="28"/>
      <c r="AC1117" s="28"/>
      <c r="AD1117" s="28"/>
      <c r="AE1117" s="28"/>
      <c r="AF1117" s="28"/>
      <c r="AG1117" s="28"/>
      <c r="AH1117" s="28"/>
      <c r="AI1117" s="28"/>
      <c r="AJ1117" s="28"/>
      <c r="AK1117" s="28"/>
      <c r="AL1117" s="28"/>
      <c r="AM1117" s="28"/>
      <c r="AN1117" s="28"/>
      <c r="AO1117" s="28"/>
      <c r="AP1117" s="28"/>
      <c r="AQ1117" s="28"/>
      <c r="AR1117" s="28"/>
      <c r="AS1117" s="28"/>
      <c r="AT1117" s="28"/>
      <c r="AU1117" s="28"/>
      <c r="AV1117" s="28"/>
      <c r="AW1117" s="28"/>
      <c r="AX1117" s="28"/>
      <c r="AY1117" s="28"/>
      <c r="AZ1117" s="28"/>
      <c r="BA1117" s="28"/>
      <c r="BB1117" s="28"/>
    </row>
    <row r="1118" spans="1:54" ht="12.75" x14ac:dyDescent="0.2">
      <c r="A1118" s="28"/>
      <c r="B1118" s="28"/>
      <c r="C1118" s="28"/>
      <c r="D1118" s="28"/>
      <c r="E1118" s="28"/>
      <c r="F1118" s="28"/>
      <c r="G1118" s="28"/>
      <c r="H1118" s="28"/>
      <c r="I1118" s="28"/>
      <c r="J1118" s="28"/>
      <c r="K1118" s="28"/>
      <c r="L1118" s="28"/>
      <c r="M1118" s="28"/>
      <c r="N1118" s="28"/>
      <c r="O1118" s="28"/>
      <c r="P1118" s="28"/>
      <c r="Q1118" s="28"/>
      <c r="R1118" s="28"/>
      <c r="S1118" s="28"/>
      <c r="T1118" s="28"/>
      <c r="U1118" s="28"/>
      <c r="V1118" s="28"/>
      <c r="W1118" s="28"/>
      <c r="X1118" s="28"/>
      <c r="Y1118" s="28"/>
      <c r="Z1118" s="28"/>
      <c r="AA1118" s="28"/>
      <c r="AB1118" s="28"/>
      <c r="AC1118" s="28"/>
      <c r="AD1118" s="28"/>
      <c r="AE1118" s="28"/>
      <c r="AF1118" s="28"/>
      <c r="AG1118" s="28"/>
      <c r="AH1118" s="28"/>
      <c r="AI1118" s="28"/>
      <c r="AJ1118" s="28"/>
      <c r="AK1118" s="28"/>
      <c r="AL1118" s="28"/>
      <c r="AM1118" s="28"/>
      <c r="AN1118" s="28"/>
      <c r="AO1118" s="28"/>
      <c r="AP1118" s="28"/>
      <c r="AQ1118" s="28"/>
      <c r="AR1118" s="28"/>
      <c r="AS1118" s="28"/>
      <c r="AT1118" s="28"/>
      <c r="AU1118" s="28"/>
      <c r="AV1118" s="28"/>
      <c r="AW1118" s="28"/>
      <c r="AX1118" s="28"/>
      <c r="AY1118" s="28"/>
      <c r="AZ1118" s="28"/>
      <c r="BA1118" s="28"/>
      <c r="BB1118" s="28"/>
    </row>
    <row r="1119" spans="1:54" ht="12.75" x14ac:dyDescent="0.2">
      <c r="A1119" s="28"/>
      <c r="B1119" s="28"/>
      <c r="C1119" s="28"/>
      <c r="D1119" s="28"/>
      <c r="E1119" s="28"/>
      <c r="F1119" s="28"/>
      <c r="G1119" s="28"/>
      <c r="H1119" s="28"/>
      <c r="I1119" s="28"/>
      <c r="J1119" s="28"/>
      <c r="K1119" s="28"/>
      <c r="L1119" s="28"/>
      <c r="M1119" s="28"/>
      <c r="N1119" s="28"/>
      <c r="O1119" s="28"/>
      <c r="P1119" s="28"/>
      <c r="Q1119" s="28"/>
      <c r="R1119" s="28"/>
      <c r="S1119" s="28"/>
      <c r="T1119" s="28"/>
      <c r="U1119" s="28"/>
      <c r="V1119" s="28"/>
      <c r="W1119" s="28"/>
      <c r="X1119" s="28"/>
      <c r="Y1119" s="28"/>
      <c r="Z1119" s="28"/>
      <c r="AA1119" s="28"/>
      <c r="AB1119" s="28"/>
      <c r="AC1119" s="28"/>
      <c r="AD1119" s="28"/>
      <c r="AE1119" s="28"/>
      <c r="AF1119" s="28"/>
      <c r="AG1119" s="28"/>
      <c r="AH1119" s="28"/>
      <c r="AI1119" s="28"/>
      <c r="AJ1119" s="28"/>
      <c r="AK1119" s="28"/>
      <c r="AL1119" s="28"/>
      <c r="AM1119" s="28"/>
      <c r="AN1119" s="28"/>
      <c r="AO1119" s="28"/>
      <c r="AP1119" s="28"/>
      <c r="AQ1119" s="28"/>
      <c r="AR1119" s="28"/>
      <c r="AS1119" s="28"/>
      <c r="AT1119" s="28"/>
      <c r="AU1119" s="28"/>
      <c r="AV1119" s="28"/>
      <c r="AW1119" s="28"/>
      <c r="AX1119" s="28"/>
      <c r="AY1119" s="28"/>
      <c r="AZ1119" s="28"/>
      <c r="BA1119" s="28"/>
      <c r="BB1119" s="28"/>
    </row>
    <row r="1120" spans="1:54" ht="12.75" x14ac:dyDescent="0.2">
      <c r="A1120" s="28"/>
      <c r="B1120" s="28"/>
      <c r="C1120" s="28"/>
      <c r="D1120" s="28"/>
      <c r="E1120" s="28"/>
      <c r="F1120" s="28"/>
      <c r="G1120" s="28"/>
      <c r="H1120" s="28"/>
      <c r="I1120" s="28"/>
      <c r="J1120" s="28"/>
      <c r="K1120" s="28"/>
      <c r="L1120" s="28"/>
      <c r="M1120" s="28"/>
      <c r="N1120" s="28"/>
      <c r="O1120" s="28"/>
      <c r="P1120" s="28"/>
      <c r="Q1120" s="28"/>
      <c r="R1120" s="28"/>
      <c r="S1120" s="28"/>
      <c r="T1120" s="28"/>
      <c r="U1120" s="28"/>
      <c r="V1120" s="28"/>
      <c r="W1120" s="28"/>
      <c r="X1120" s="28"/>
      <c r="Y1120" s="28"/>
      <c r="Z1120" s="28"/>
      <c r="AA1120" s="28"/>
      <c r="AB1120" s="28"/>
      <c r="AC1120" s="28"/>
      <c r="AD1120" s="28"/>
      <c r="AE1120" s="28"/>
      <c r="AF1120" s="28"/>
      <c r="AG1120" s="28"/>
      <c r="AH1120" s="28"/>
      <c r="AI1120" s="28"/>
      <c r="AJ1120" s="28"/>
      <c r="AK1120" s="28"/>
      <c r="AL1120" s="28"/>
      <c r="AM1120" s="28"/>
      <c r="AN1120" s="28"/>
      <c r="AO1120" s="28"/>
      <c r="AP1120" s="28"/>
      <c r="AQ1120" s="28"/>
      <c r="AR1120" s="28"/>
      <c r="AS1120" s="28"/>
      <c r="AT1120" s="28"/>
      <c r="AU1120" s="28"/>
      <c r="AV1120" s="28"/>
      <c r="AW1120" s="28"/>
      <c r="AX1120" s="28"/>
      <c r="AY1120" s="28"/>
      <c r="AZ1120" s="28"/>
      <c r="BA1120" s="28"/>
      <c r="BB1120" s="28"/>
    </row>
    <row r="1121" spans="1:54" ht="12.75" x14ac:dyDescent="0.2">
      <c r="A1121" s="28"/>
      <c r="B1121" s="28"/>
      <c r="C1121" s="28"/>
      <c r="D1121" s="28"/>
      <c r="E1121" s="28"/>
      <c r="F1121" s="28"/>
      <c r="G1121" s="28"/>
      <c r="H1121" s="28"/>
      <c r="I1121" s="28"/>
      <c r="J1121" s="28"/>
      <c r="K1121" s="28"/>
      <c r="L1121" s="28"/>
      <c r="M1121" s="28"/>
      <c r="N1121" s="28"/>
      <c r="O1121" s="28"/>
      <c r="P1121" s="28"/>
      <c r="Q1121" s="28"/>
      <c r="R1121" s="28"/>
      <c r="S1121" s="28"/>
      <c r="T1121" s="28"/>
      <c r="U1121" s="28"/>
      <c r="V1121" s="28"/>
      <c r="W1121" s="28"/>
      <c r="X1121" s="28"/>
      <c r="Y1121" s="28"/>
      <c r="Z1121" s="28"/>
      <c r="AA1121" s="28"/>
      <c r="AB1121" s="28"/>
      <c r="AC1121" s="28"/>
      <c r="AD1121" s="28"/>
      <c r="AE1121" s="28"/>
      <c r="AF1121" s="28"/>
      <c r="AG1121" s="28"/>
      <c r="AH1121" s="28"/>
      <c r="AI1121" s="28"/>
      <c r="AJ1121" s="28"/>
      <c r="AK1121" s="28"/>
      <c r="AL1121" s="28"/>
      <c r="AM1121" s="28"/>
      <c r="AN1121" s="28"/>
      <c r="AO1121" s="28"/>
      <c r="AP1121" s="28"/>
      <c r="AQ1121" s="28"/>
      <c r="AR1121" s="28"/>
      <c r="AS1121" s="28"/>
      <c r="AT1121" s="28"/>
      <c r="AU1121" s="28"/>
      <c r="AV1121" s="28"/>
      <c r="AW1121" s="28"/>
      <c r="AX1121" s="28"/>
      <c r="AY1121" s="28"/>
      <c r="AZ1121" s="28"/>
      <c r="BA1121" s="28"/>
      <c r="BB1121" s="28"/>
    </row>
    <row r="1122" spans="1:54" ht="12.75" x14ac:dyDescent="0.2">
      <c r="A1122" s="28"/>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8"/>
      <c r="AG1122" s="28"/>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row>
    <row r="1123" spans="1:54" ht="12.75" x14ac:dyDescent="0.2">
      <c r="A1123" s="28"/>
      <c r="B1123" s="28"/>
      <c r="C1123" s="28"/>
      <c r="D1123" s="28"/>
      <c r="E1123" s="28"/>
      <c r="F1123" s="28"/>
      <c r="G1123" s="28"/>
      <c r="H1123" s="28"/>
      <c r="I1123" s="28"/>
      <c r="J1123" s="28"/>
      <c r="K1123" s="28"/>
      <c r="L1123" s="28"/>
      <c r="M1123" s="28"/>
      <c r="N1123" s="28"/>
      <c r="O1123" s="28"/>
      <c r="P1123" s="28"/>
      <c r="Q1123" s="28"/>
      <c r="R1123" s="28"/>
      <c r="S1123" s="28"/>
      <c r="T1123" s="28"/>
      <c r="U1123" s="28"/>
      <c r="V1123" s="28"/>
      <c r="W1123" s="28"/>
      <c r="X1123" s="28"/>
      <c r="Y1123" s="28"/>
      <c r="Z1123" s="28"/>
      <c r="AA1123" s="28"/>
      <c r="AB1123" s="28"/>
      <c r="AC1123" s="28"/>
      <c r="AD1123" s="28"/>
      <c r="AE1123" s="28"/>
      <c r="AF1123" s="28"/>
      <c r="AG1123" s="28"/>
      <c r="AH1123" s="28"/>
      <c r="AI1123" s="28"/>
      <c r="AJ1123" s="28"/>
      <c r="AK1123" s="28"/>
      <c r="AL1123" s="28"/>
      <c r="AM1123" s="28"/>
      <c r="AN1123" s="28"/>
      <c r="AO1123" s="28"/>
      <c r="AP1123" s="28"/>
      <c r="AQ1123" s="28"/>
      <c r="AR1123" s="28"/>
      <c r="AS1123" s="28"/>
      <c r="AT1123" s="28"/>
      <c r="AU1123" s="28"/>
      <c r="AV1123" s="28"/>
      <c r="AW1123" s="28"/>
      <c r="AX1123" s="28"/>
      <c r="AY1123" s="28"/>
      <c r="AZ1123" s="28"/>
      <c r="BA1123" s="28"/>
      <c r="BB1123" s="28"/>
    </row>
    <row r="1124" spans="1:54" ht="12.75" x14ac:dyDescent="0.2">
      <c r="A1124" s="28"/>
      <c r="B1124" s="28"/>
      <c r="C1124" s="28"/>
      <c r="D1124" s="28"/>
      <c r="E1124" s="28"/>
      <c r="F1124" s="28"/>
      <c r="G1124" s="28"/>
      <c r="H1124" s="28"/>
      <c r="I1124" s="28"/>
      <c r="J1124" s="28"/>
      <c r="K1124" s="28"/>
      <c r="L1124" s="28"/>
      <c r="M1124" s="28"/>
      <c r="N1124" s="28"/>
      <c r="O1124" s="28"/>
      <c r="P1124" s="28"/>
      <c r="Q1124" s="28"/>
      <c r="R1124" s="28"/>
      <c r="S1124" s="28"/>
      <c r="T1124" s="28"/>
      <c r="U1124" s="28"/>
      <c r="V1124" s="28"/>
      <c r="W1124" s="28"/>
      <c r="X1124" s="28"/>
      <c r="Y1124" s="28"/>
      <c r="Z1124" s="28"/>
      <c r="AA1124" s="28"/>
      <c r="AB1124" s="28"/>
      <c r="AC1124" s="28"/>
      <c r="AD1124" s="28"/>
      <c r="AE1124" s="28"/>
      <c r="AF1124" s="28"/>
      <c r="AG1124" s="28"/>
      <c r="AH1124" s="28"/>
      <c r="AI1124" s="28"/>
      <c r="AJ1124" s="28"/>
      <c r="AK1124" s="28"/>
      <c r="AL1124" s="28"/>
      <c r="AM1124" s="28"/>
      <c r="AN1124" s="28"/>
      <c r="AO1124" s="28"/>
      <c r="AP1124" s="28"/>
      <c r="AQ1124" s="28"/>
      <c r="AR1124" s="28"/>
      <c r="AS1124" s="28"/>
      <c r="AT1124" s="28"/>
      <c r="AU1124" s="28"/>
      <c r="AV1124" s="28"/>
      <c r="AW1124" s="28"/>
      <c r="AX1124" s="28"/>
      <c r="AY1124" s="28"/>
      <c r="AZ1124" s="28"/>
      <c r="BA1124" s="28"/>
      <c r="BB1124" s="28"/>
    </row>
    <row r="1125" spans="1:54" ht="12.75" x14ac:dyDescent="0.2">
      <c r="A1125" s="28"/>
      <c r="B1125" s="28"/>
      <c r="C1125" s="28"/>
      <c r="D1125" s="28"/>
      <c r="E1125" s="28"/>
      <c r="F1125" s="28"/>
      <c r="G1125" s="28"/>
      <c r="H1125" s="28"/>
      <c r="I1125" s="28"/>
      <c r="J1125" s="28"/>
      <c r="K1125" s="28"/>
      <c r="L1125" s="28"/>
      <c r="M1125" s="28"/>
      <c r="N1125" s="28"/>
      <c r="O1125" s="28"/>
      <c r="P1125" s="28"/>
      <c r="Q1125" s="28"/>
      <c r="R1125" s="28"/>
      <c r="S1125" s="28"/>
      <c r="T1125" s="28"/>
      <c r="U1125" s="28"/>
      <c r="V1125" s="28"/>
      <c r="W1125" s="28"/>
      <c r="X1125" s="28"/>
      <c r="Y1125" s="28"/>
      <c r="Z1125" s="28"/>
      <c r="AA1125" s="28"/>
      <c r="AB1125" s="28"/>
      <c r="AC1125" s="28"/>
      <c r="AD1125" s="28"/>
      <c r="AE1125" s="28"/>
      <c r="AF1125" s="28"/>
      <c r="AG1125" s="28"/>
      <c r="AH1125" s="28"/>
      <c r="AI1125" s="28"/>
      <c r="AJ1125" s="28"/>
      <c r="AK1125" s="28"/>
      <c r="AL1125" s="28"/>
      <c r="AM1125" s="28"/>
      <c r="AN1125" s="28"/>
      <c r="AO1125" s="28"/>
      <c r="AP1125" s="28"/>
      <c r="AQ1125" s="28"/>
      <c r="AR1125" s="28"/>
      <c r="AS1125" s="28"/>
      <c r="AT1125" s="28"/>
      <c r="AU1125" s="28"/>
      <c r="AV1125" s="28"/>
      <c r="AW1125" s="28"/>
      <c r="AX1125" s="28"/>
      <c r="AY1125" s="28"/>
      <c r="AZ1125" s="28"/>
      <c r="BA1125" s="28"/>
      <c r="BB1125" s="28"/>
    </row>
    <row r="1126" spans="1:54" ht="12.75" x14ac:dyDescent="0.2">
      <c r="A1126" s="28"/>
      <c r="B1126" s="28"/>
      <c r="C1126" s="28"/>
      <c r="D1126" s="28"/>
      <c r="E1126" s="28"/>
      <c r="F1126" s="28"/>
      <c r="G1126" s="28"/>
      <c r="H1126" s="28"/>
      <c r="I1126" s="28"/>
      <c r="J1126" s="28"/>
      <c r="K1126" s="28"/>
      <c r="L1126" s="28"/>
      <c r="M1126" s="28"/>
      <c r="N1126" s="28"/>
      <c r="O1126" s="28"/>
      <c r="P1126" s="28"/>
      <c r="Q1126" s="28"/>
      <c r="R1126" s="28"/>
      <c r="S1126" s="28"/>
      <c r="T1126" s="28"/>
      <c r="U1126" s="28"/>
      <c r="V1126" s="28"/>
      <c r="W1126" s="28"/>
      <c r="X1126" s="28"/>
      <c r="Y1126" s="28"/>
      <c r="Z1126" s="28"/>
      <c r="AA1126" s="28"/>
      <c r="AB1126" s="28"/>
      <c r="AC1126" s="28"/>
      <c r="AD1126" s="28"/>
      <c r="AE1126" s="28"/>
      <c r="AF1126" s="28"/>
      <c r="AG1126" s="28"/>
      <c r="AH1126" s="28"/>
      <c r="AI1126" s="28"/>
      <c r="AJ1126" s="28"/>
      <c r="AK1126" s="28"/>
      <c r="AL1126" s="28"/>
      <c r="AM1126" s="28"/>
      <c r="AN1126" s="28"/>
      <c r="AO1126" s="28"/>
      <c r="AP1126" s="28"/>
      <c r="AQ1126" s="28"/>
      <c r="AR1126" s="28"/>
      <c r="AS1126" s="28"/>
      <c r="AT1126" s="28"/>
      <c r="AU1126" s="28"/>
      <c r="AV1126" s="28"/>
      <c r="AW1126" s="28"/>
      <c r="AX1126" s="28"/>
      <c r="AY1126" s="28"/>
      <c r="AZ1126" s="28"/>
      <c r="BA1126" s="28"/>
      <c r="BB1126" s="28"/>
    </row>
    <row r="1127" spans="1:54" ht="12.75" x14ac:dyDescent="0.2">
      <c r="A1127" s="28"/>
      <c r="B1127" s="28"/>
      <c r="C1127" s="28"/>
      <c r="D1127" s="28"/>
      <c r="E1127" s="28"/>
      <c r="F1127" s="28"/>
      <c r="G1127" s="28"/>
      <c r="H1127" s="28"/>
      <c r="I1127" s="28"/>
      <c r="J1127" s="28"/>
      <c r="K1127" s="28"/>
      <c r="L1127" s="28"/>
      <c r="M1127" s="28"/>
      <c r="N1127" s="28"/>
      <c r="O1127" s="28"/>
      <c r="P1127" s="28"/>
      <c r="Q1127" s="28"/>
      <c r="R1127" s="28"/>
      <c r="S1127" s="28"/>
      <c r="T1127" s="28"/>
      <c r="U1127" s="28"/>
      <c r="V1127" s="28"/>
      <c r="W1127" s="28"/>
      <c r="X1127" s="28"/>
      <c r="Y1127" s="28"/>
      <c r="Z1127" s="28"/>
      <c r="AA1127" s="28"/>
      <c r="AB1127" s="28"/>
      <c r="AC1127" s="28"/>
      <c r="AD1127" s="28"/>
      <c r="AE1127" s="28"/>
      <c r="AF1127" s="28"/>
      <c r="AG1127" s="28"/>
      <c r="AH1127" s="28"/>
      <c r="AI1127" s="28"/>
      <c r="AJ1127" s="28"/>
      <c r="AK1127" s="28"/>
      <c r="AL1127" s="28"/>
      <c r="AM1127" s="28"/>
      <c r="AN1127" s="28"/>
      <c r="AO1127" s="28"/>
      <c r="AP1127" s="28"/>
      <c r="AQ1127" s="28"/>
      <c r="AR1127" s="28"/>
      <c r="AS1127" s="28"/>
      <c r="AT1127" s="28"/>
      <c r="AU1127" s="28"/>
      <c r="AV1127" s="28"/>
      <c r="AW1127" s="28"/>
      <c r="AX1127" s="28"/>
      <c r="AY1127" s="28"/>
      <c r="AZ1127" s="28"/>
      <c r="BA1127" s="28"/>
      <c r="BB1127" s="28"/>
    </row>
    <row r="1128" spans="1:54" ht="12.75" x14ac:dyDescent="0.2">
      <c r="A1128" s="28"/>
      <c r="B1128" s="28"/>
      <c r="C1128" s="28"/>
      <c r="D1128" s="28"/>
      <c r="E1128" s="28"/>
      <c r="F1128" s="28"/>
      <c r="G1128" s="28"/>
      <c r="H1128" s="28"/>
      <c r="I1128" s="28"/>
      <c r="J1128" s="28"/>
      <c r="K1128" s="28"/>
      <c r="L1128" s="28"/>
      <c r="M1128" s="28"/>
      <c r="N1128" s="28"/>
      <c r="O1128" s="28"/>
      <c r="P1128" s="28"/>
      <c r="Q1128" s="28"/>
      <c r="R1128" s="28"/>
      <c r="S1128" s="28"/>
      <c r="T1128" s="28"/>
      <c r="U1128" s="28"/>
      <c r="V1128" s="28"/>
      <c r="W1128" s="28"/>
      <c r="X1128" s="28"/>
      <c r="Y1128" s="28"/>
      <c r="Z1128" s="28"/>
      <c r="AA1128" s="28"/>
      <c r="AB1128" s="28"/>
      <c r="AC1128" s="28"/>
      <c r="AD1128" s="28"/>
      <c r="AE1128" s="28"/>
      <c r="AF1128" s="28"/>
      <c r="AG1128" s="28"/>
      <c r="AH1128" s="28"/>
      <c r="AI1128" s="28"/>
      <c r="AJ1128" s="28"/>
      <c r="AK1128" s="28"/>
      <c r="AL1128" s="28"/>
      <c r="AM1128" s="28"/>
      <c r="AN1128" s="28"/>
      <c r="AO1128" s="28"/>
      <c r="AP1128" s="28"/>
      <c r="AQ1128" s="28"/>
      <c r="AR1128" s="28"/>
      <c r="AS1128" s="28"/>
      <c r="AT1128" s="28"/>
      <c r="AU1128" s="28"/>
      <c r="AV1128" s="28"/>
      <c r="AW1128" s="28"/>
      <c r="AX1128" s="28"/>
      <c r="AY1128" s="28"/>
      <c r="AZ1128" s="28"/>
      <c r="BA1128" s="28"/>
      <c r="BB1128" s="28"/>
    </row>
    <row r="1129" spans="1:54" ht="12.75" x14ac:dyDescent="0.2">
      <c r="A1129" s="28"/>
      <c r="B1129" s="28"/>
      <c r="C1129" s="28"/>
      <c r="D1129" s="28"/>
      <c r="E1129" s="28"/>
      <c r="F1129" s="28"/>
      <c r="G1129" s="28"/>
      <c r="H1129" s="28"/>
      <c r="I1129" s="28"/>
      <c r="J1129" s="28"/>
      <c r="K1129" s="28"/>
      <c r="L1129" s="28"/>
      <c r="M1129" s="28"/>
      <c r="N1129" s="28"/>
      <c r="O1129" s="28"/>
      <c r="P1129" s="28"/>
      <c r="Q1129" s="28"/>
      <c r="R1129" s="28"/>
      <c r="S1129" s="28"/>
      <c r="T1129" s="28"/>
      <c r="U1129" s="28"/>
      <c r="V1129" s="28"/>
      <c r="W1129" s="28"/>
      <c r="X1129" s="28"/>
      <c r="Y1129" s="28"/>
      <c r="Z1129" s="28"/>
      <c r="AA1129" s="28"/>
      <c r="AB1129" s="28"/>
      <c r="AC1129" s="28"/>
      <c r="AD1129" s="28"/>
      <c r="AE1129" s="28"/>
      <c r="AF1129" s="28"/>
      <c r="AG1129" s="28"/>
      <c r="AH1129" s="28"/>
      <c r="AI1129" s="28"/>
      <c r="AJ1129" s="28"/>
      <c r="AK1129" s="28"/>
      <c r="AL1129" s="28"/>
      <c r="AM1129" s="28"/>
      <c r="AN1129" s="28"/>
      <c r="AO1129" s="28"/>
      <c r="AP1129" s="28"/>
      <c r="AQ1129" s="28"/>
      <c r="AR1129" s="28"/>
      <c r="AS1129" s="28"/>
      <c r="AT1129" s="28"/>
      <c r="AU1129" s="28"/>
      <c r="AV1129" s="28"/>
      <c r="AW1129" s="28"/>
      <c r="AX1129" s="28"/>
      <c r="AY1129" s="28"/>
      <c r="AZ1129" s="28"/>
      <c r="BA1129" s="28"/>
      <c r="BB1129" s="28"/>
    </row>
    <row r="1130" spans="1:54" ht="12.75" x14ac:dyDescent="0.2">
      <c r="A1130" s="28"/>
      <c r="B1130" s="28"/>
      <c r="C1130" s="28"/>
      <c r="D1130" s="28"/>
      <c r="E1130" s="28"/>
      <c r="F1130" s="28"/>
      <c r="G1130" s="28"/>
      <c r="H1130" s="28"/>
      <c r="I1130" s="28"/>
      <c r="J1130" s="28"/>
      <c r="K1130" s="28"/>
      <c r="L1130" s="28"/>
      <c r="M1130" s="28"/>
      <c r="N1130" s="28"/>
      <c r="O1130" s="28"/>
      <c r="P1130" s="28"/>
      <c r="Q1130" s="28"/>
      <c r="R1130" s="28"/>
      <c r="S1130" s="28"/>
      <c r="T1130" s="28"/>
      <c r="U1130" s="28"/>
      <c r="V1130" s="28"/>
      <c r="W1130" s="28"/>
      <c r="X1130" s="28"/>
      <c r="Y1130" s="28"/>
      <c r="Z1130" s="28"/>
      <c r="AA1130" s="28"/>
      <c r="AB1130" s="28"/>
      <c r="AC1130" s="28"/>
      <c r="AD1130" s="28"/>
      <c r="AE1130" s="28"/>
      <c r="AF1130" s="28"/>
      <c r="AG1130" s="28"/>
      <c r="AH1130" s="28"/>
      <c r="AI1130" s="28"/>
      <c r="AJ1130" s="28"/>
      <c r="AK1130" s="28"/>
      <c r="AL1130" s="28"/>
      <c r="AM1130" s="28"/>
      <c r="AN1130" s="28"/>
      <c r="AO1130" s="28"/>
      <c r="AP1130" s="28"/>
      <c r="AQ1130" s="28"/>
      <c r="AR1130" s="28"/>
      <c r="AS1130" s="28"/>
      <c r="AT1130" s="28"/>
      <c r="AU1130" s="28"/>
      <c r="AV1130" s="28"/>
      <c r="AW1130" s="28"/>
      <c r="AX1130" s="28"/>
      <c r="AY1130" s="28"/>
      <c r="AZ1130" s="28"/>
      <c r="BA1130" s="28"/>
      <c r="BB1130" s="28"/>
    </row>
    <row r="1131" spans="1:54" ht="12.75" x14ac:dyDescent="0.2">
      <c r="A1131" s="28"/>
      <c r="B1131" s="28"/>
      <c r="C1131" s="28"/>
      <c r="D1131" s="28"/>
      <c r="E1131" s="28"/>
      <c r="F1131" s="28"/>
      <c r="G1131" s="28"/>
      <c r="H1131" s="28"/>
      <c r="I1131" s="28"/>
      <c r="J1131" s="28"/>
      <c r="K1131" s="28"/>
      <c r="L1131" s="28"/>
      <c r="M1131" s="28"/>
      <c r="N1131" s="28"/>
      <c r="O1131" s="28"/>
      <c r="P1131" s="28"/>
      <c r="Q1131" s="28"/>
      <c r="R1131" s="28"/>
      <c r="S1131" s="28"/>
      <c r="T1131" s="28"/>
      <c r="U1131" s="28"/>
      <c r="V1131" s="28"/>
      <c r="W1131" s="28"/>
      <c r="X1131" s="28"/>
      <c r="Y1131" s="28"/>
      <c r="Z1131" s="28"/>
      <c r="AA1131" s="28"/>
      <c r="AB1131" s="28"/>
      <c r="AC1131" s="28"/>
      <c r="AD1131" s="28"/>
      <c r="AE1131" s="28"/>
      <c r="AF1131" s="28"/>
      <c r="AG1131" s="28"/>
      <c r="AH1131" s="28"/>
      <c r="AI1131" s="28"/>
      <c r="AJ1131" s="28"/>
      <c r="AK1131" s="28"/>
      <c r="AL1131" s="28"/>
      <c r="AM1131" s="28"/>
      <c r="AN1131" s="28"/>
      <c r="AO1131" s="28"/>
      <c r="AP1131" s="28"/>
      <c r="AQ1131" s="28"/>
      <c r="AR1131" s="28"/>
      <c r="AS1131" s="28"/>
      <c r="AT1131" s="28"/>
      <c r="AU1131" s="28"/>
      <c r="AV1131" s="28"/>
      <c r="AW1131" s="28"/>
      <c r="AX1131" s="28"/>
      <c r="AY1131" s="28"/>
      <c r="AZ1131" s="28"/>
      <c r="BA1131" s="28"/>
      <c r="BB1131" s="28"/>
    </row>
    <row r="1132" spans="1:54" ht="12.75" x14ac:dyDescent="0.2">
      <c r="A1132" s="28"/>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8"/>
      <c r="AG1132" s="28"/>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row>
    <row r="1133" spans="1:54" ht="12.75" x14ac:dyDescent="0.2">
      <c r="A1133" s="28"/>
      <c r="B1133" s="28"/>
      <c r="C1133" s="28"/>
      <c r="D1133" s="28"/>
      <c r="E1133" s="28"/>
      <c r="F1133" s="28"/>
      <c r="G1133" s="28"/>
      <c r="H1133" s="28"/>
      <c r="I1133" s="28"/>
      <c r="J1133" s="28"/>
      <c r="K1133" s="28"/>
      <c r="L1133" s="28"/>
      <c r="M1133" s="28"/>
      <c r="N1133" s="28"/>
      <c r="O1133" s="28"/>
      <c r="P1133" s="28"/>
      <c r="Q1133" s="28"/>
      <c r="R1133" s="28"/>
      <c r="S1133" s="28"/>
      <c r="T1133" s="28"/>
      <c r="U1133" s="28"/>
      <c r="V1133" s="28"/>
      <c r="W1133" s="28"/>
      <c r="X1133" s="28"/>
      <c r="Y1133" s="28"/>
      <c r="Z1133" s="28"/>
      <c r="AA1133" s="28"/>
      <c r="AB1133" s="28"/>
      <c r="AC1133" s="28"/>
      <c r="AD1133" s="28"/>
      <c r="AE1133" s="28"/>
      <c r="AF1133" s="28"/>
      <c r="AG1133" s="28"/>
      <c r="AH1133" s="28"/>
      <c r="AI1133" s="28"/>
      <c r="AJ1133" s="28"/>
      <c r="AK1133" s="28"/>
      <c r="AL1133" s="28"/>
      <c r="AM1133" s="28"/>
      <c r="AN1133" s="28"/>
      <c r="AO1133" s="28"/>
      <c r="AP1133" s="28"/>
      <c r="AQ1133" s="28"/>
      <c r="AR1133" s="28"/>
      <c r="AS1133" s="28"/>
      <c r="AT1133" s="28"/>
      <c r="AU1133" s="28"/>
      <c r="AV1133" s="28"/>
      <c r="AW1133" s="28"/>
      <c r="AX1133" s="28"/>
      <c r="AY1133" s="28"/>
      <c r="AZ1133" s="28"/>
      <c r="BA1133" s="28"/>
      <c r="BB1133" s="28"/>
    </row>
    <row r="1134" spans="1:54" ht="12.75" x14ac:dyDescent="0.2">
      <c r="A1134" s="28"/>
      <c r="B1134" s="28"/>
      <c r="C1134" s="28"/>
      <c r="D1134" s="28"/>
      <c r="E1134" s="28"/>
      <c r="F1134" s="28"/>
      <c r="G1134" s="28"/>
      <c r="H1134" s="28"/>
      <c r="I1134" s="28"/>
      <c r="J1134" s="28"/>
      <c r="K1134" s="28"/>
      <c r="L1134" s="28"/>
      <c r="M1134" s="28"/>
      <c r="N1134" s="28"/>
      <c r="O1134" s="28"/>
      <c r="P1134" s="28"/>
      <c r="Q1134" s="28"/>
      <c r="R1134" s="28"/>
      <c r="S1134" s="28"/>
      <c r="T1134" s="28"/>
      <c r="U1134" s="28"/>
      <c r="V1134" s="28"/>
      <c r="W1134" s="28"/>
      <c r="X1134" s="28"/>
      <c r="Y1134" s="28"/>
      <c r="Z1134" s="28"/>
      <c r="AA1134" s="28"/>
      <c r="AB1134" s="28"/>
      <c r="AC1134" s="28"/>
      <c r="AD1134" s="28"/>
      <c r="AE1134" s="28"/>
      <c r="AF1134" s="28"/>
      <c r="AG1134" s="28"/>
      <c r="AH1134" s="28"/>
      <c r="AI1134" s="28"/>
      <c r="AJ1134" s="28"/>
      <c r="AK1134" s="28"/>
      <c r="AL1134" s="28"/>
      <c r="AM1134" s="28"/>
      <c r="AN1134" s="28"/>
      <c r="AO1134" s="28"/>
      <c r="AP1134" s="28"/>
      <c r="AQ1134" s="28"/>
      <c r="AR1134" s="28"/>
      <c r="AS1134" s="28"/>
      <c r="AT1134" s="28"/>
      <c r="AU1134" s="28"/>
      <c r="AV1134" s="28"/>
      <c r="AW1134" s="28"/>
      <c r="AX1134" s="28"/>
      <c r="AY1134" s="28"/>
      <c r="AZ1134" s="28"/>
      <c r="BA1134" s="28"/>
      <c r="BB1134" s="28"/>
    </row>
    <row r="1135" spans="1:54" ht="12.75" x14ac:dyDescent="0.2">
      <c r="A1135" s="28"/>
      <c r="B1135" s="28"/>
      <c r="C1135" s="28"/>
      <c r="D1135" s="28"/>
      <c r="E1135" s="28"/>
      <c r="F1135" s="28"/>
      <c r="G1135" s="28"/>
      <c r="H1135" s="28"/>
      <c r="I1135" s="28"/>
      <c r="J1135" s="28"/>
      <c r="K1135" s="28"/>
      <c r="L1135" s="28"/>
      <c r="M1135" s="28"/>
      <c r="N1135" s="28"/>
      <c r="O1135" s="28"/>
      <c r="P1135" s="28"/>
      <c r="Q1135" s="28"/>
      <c r="R1135" s="28"/>
      <c r="S1135" s="28"/>
      <c r="T1135" s="28"/>
      <c r="U1135" s="28"/>
      <c r="V1135" s="28"/>
      <c r="W1135" s="28"/>
      <c r="X1135" s="28"/>
      <c r="Y1135" s="28"/>
      <c r="Z1135" s="28"/>
      <c r="AA1135" s="28"/>
      <c r="AB1135" s="28"/>
      <c r="AC1135" s="28"/>
      <c r="AD1135" s="28"/>
      <c r="AE1135" s="28"/>
      <c r="AF1135" s="28"/>
      <c r="AG1135" s="28"/>
      <c r="AH1135" s="28"/>
      <c r="AI1135" s="28"/>
      <c r="AJ1135" s="28"/>
      <c r="AK1135" s="28"/>
      <c r="AL1135" s="28"/>
      <c r="AM1135" s="28"/>
      <c r="AN1135" s="28"/>
      <c r="AO1135" s="28"/>
      <c r="AP1135" s="28"/>
      <c r="AQ1135" s="28"/>
      <c r="AR1135" s="28"/>
      <c r="AS1135" s="28"/>
      <c r="AT1135" s="28"/>
      <c r="AU1135" s="28"/>
      <c r="AV1135" s="28"/>
      <c r="AW1135" s="28"/>
      <c r="AX1135" s="28"/>
      <c r="AY1135" s="28"/>
      <c r="AZ1135" s="28"/>
      <c r="BA1135" s="28"/>
      <c r="BB1135" s="28"/>
    </row>
    <row r="1136" spans="1:54" ht="12.75" x14ac:dyDescent="0.2">
      <c r="A1136" s="28"/>
      <c r="B1136" s="28"/>
      <c r="C1136" s="28"/>
      <c r="D1136" s="28"/>
      <c r="E1136" s="28"/>
      <c r="F1136" s="28"/>
      <c r="G1136" s="28"/>
      <c r="H1136" s="28"/>
      <c r="I1136" s="28"/>
      <c r="J1136" s="28"/>
      <c r="K1136" s="28"/>
      <c r="L1136" s="28"/>
      <c r="M1136" s="28"/>
      <c r="N1136" s="28"/>
      <c r="O1136" s="28"/>
      <c r="P1136" s="28"/>
      <c r="Q1136" s="28"/>
      <c r="R1136" s="28"/>
      <c r="S1136" s="28"/>
      <c r="T1136" s="28"/>
      <c r="U1136" s="28"/>
      <c r="V1136" s="28"/>
      <c r="W1136" s="28"/>
      <c r="X1136" s="28"/>
      <c r="Y1136" s="28"/>
      <c r="Z1136" s="28"/>
      <c r="AA1136" s="28"/>
      <c r="AB1136" s="28"/>
      <c r="AC1136" s="28"/>
      <c r="AD1136" s="28"/>
      <c r="AE1136" s="28"/>
      <c r="AF1136" s="28"/>
      <c r="AG1136" s="28"/>
      <c r="AH1136" s="28"/>
      <c r="AI1136" s="28"/>
      <c r="AJ1136" s="28"/>
      <c r="AK1136" s="28"/>
      <c r="AL1136" s="28"/>
      <c r="AM1136" s="28"/>
      <c r="AN1136" s="28"/>
      <c r="AO1136" s="28"/>
      <c r="AP1136" s="28"/>
      <c r="AQ1136" s="28"/>
      <c r="AR1136" s="28"/>
      <c r="AS1136" s="28"/>
      <c r="AT1136" s="28"/>
      <c r="AU1136" s="28"/>
      <c r="AV1136" s="28"/>
      <c r="AW1136" s="28"/>
      <c r="AX1136" s="28"/>
      <c r="AY1136" s="28"/>
      <c r="AZ1136" s="28"/>
      <c r="BA1136" s="28"/>
      <c r="BB1136" s="28"/>
    </row>
    <row r="1137" spans="1:54" ht="12.75" x14ac:dyDescent="0.2">
      <c r="A1137" s="28"/>
      <c r="B1137" s="28"/>
      <c r="C1137" s="28"/>
      <c r="D1137" s="28"/>
      <c r="E1137" s="28"/>
      <c r="F1137" s="28"/>
      <c r="G1137" s="28"/>
      <c r="H1137" s="28"/>
      <c r="I1137" s="28"/>
      <c r="J1137" s="28"/>
      <c r="K1137" s="28"/>
      <c r="L1137" s="28"/>
      <c r="M1137" s="28"/>
      <c r="N1137" s="28"/>
      <c r="O1137" s="28"/>
      <c r="P1137" s="28"/>
      <c r="Q1137" s="28"/>
      <c r="R1137" s="28"/>
      <c r="S1137" s="28"/>
      <c r="T1137" s="28"/>
      <c r="U1137" s="28"/>
      <c r="V1137" s="28"/>
      <c r="W1137" s="28"/>
      <c r="X1137" s="28"/>
      <c r="Y1137" s="28"/>
      <c r="Z1137" s="28"/>
      <c r="AA1137" s="28"/>
      <c r="AB1137" s="28"/>
      <c r="AC1137" s="28"/>
      <c r="AD1137" s="28"/>
      <c r="AE1137" s="28"/>
      <c r="AF1137" s="28"/>
      <c r="AG1137" s="28"/>
      <c r="AH1137" s="28"/>
      <c r="AI1137" s="28"/>
      <c r="AJ1137" s="28"/>
      <c r="AK1137" s="28"/>
      <c r="AL1137" s="28"/>
      <c r="AM1137" s="28"/>
      <c r="AN1137" s="28"/>
      <c r="AO1137" s="28"/>
      <c r="AP1137" s="28"/>
      <c r="AQ1137" s="28"/>
      <c r="AR1137" s="28"/>
      <c r="AS1137" s="28"/>
      <c r="AT1137" s="28"/>
      <c r="AU1137" s="28"/>
      <c r="AV1137" s="28"/>
      <c r="AW1137" s="28"/>
      <c r="AX1137" s="28"/>
      <c r="AY1137" s="28"/>
      <c r="AZ1137" s="28"/>
      <c r="BA1137" s="28"/>
      <c r="BB1137" s="28"/>
    </row>
    <row r="1138" spans="1:54" ht="12.75" x14ac:dyDescent="0.2">
      <c r="A1138" s="28"/>
      <c r="B1138" s="28"/>
      <c r="C1138" s="28"/>
      <c r="D1138" s="28"/>
      <c r="E1138" s="28"/>
      <c r="F1138" s="28"/>
      <c r="G1138" s="28"/>
      <c r="H1138" s="28"/>
      <c r="I1138" s="28"/>
      <c r="J1138" s="28"/>
      <c r="K1138" s="28"/>
      <c r="L1138" s="28"/>
      <c r="M1138" s="28"/>
      <c r="N1138" s="28"/>
      <c r="O1138" s="28"/>
      <c r="P1138" s="28"/>
      <c r="Q1138" s="28"/>
      <c r="R1138" s="28"/>
      <c r="S1138" s="28"/>
      <c r="T1138" s="28"/>
      <c r="U1138" s="28"/>
      <c r="V1138" s="28"/>
      <c r="W1138" s="28"/>
      <c r="X1138" s="28"/>
      <c r="Y1138" s="28"/>
      <c r="Z1138" s="28"/>
      <c r="AA1138" s="28"/>
      <c r="AB1138" s="28"/>
      <c r="AC1138" s="28"/>
      <c r="AD1138" s="28"/>
      <c r="AE1138" s="28"/>
      <c r="AF1138" s="28"/>
      <c r="AG1138" s="28"/>
      <c r="AH1138" s="28"/>
      <c r="AI1138" s="28"/>
      <c r="AJ1138" s="28"/>
      <c r="AK1138" s="28"/>
      <c r="AL1138" s="28"/>
      <c r="AM1138" s="28"/>
      <c r="AN1138" s="28"/>
      <c r="AO1138" s="28"/>
      <c r="AP1138" s="28"/>
      <c r="AQ1138" s="28"/>
      <c r="AR1138" s="28"/>
      <c r="AS1138" s="28"/>
      <c r="AT1138" s="28"/>
      <c r="AU1138" s="28"/>
      <c r="AV1138" s="28"/>
      <c r="AW1138" s="28"/>
      <c r="AX1138" s="28"/>
      <c r="AY1138" s="28"/>
      <c r="AZ1138" s="28"/>
      <c r="BA1138" s="28"/>
      <c r="BB1138" s="28"/>
    </row>
    <row r="1139" spans="1:54" ht="12.75" x14ac:dyDescent="0.2">
      <c r="A1139" s="28"/>
      <c r="B1139" s="28"/>
      <c r="C1139" s="28"/>
      <c r="D1139" s="28"/>
      <c r="E1139" s="28"/>
      <c r="F1139" s="28"/>
      <c r="G1139" s="28"/>
      <c r="H1139" s="28"/>
      <c r="I1139" s="28"/>
      <c r="J1139" s="28"/>
      <c r="K1139" s="28"/>
      <c r="L1139" s="28"/>
      <c r="M1139" s="28"/>
      <c r="N1139" s="28"/>
      <c r="O1139" s="28"/>
      <c r="P1139" s="28"/>
      <c r="Q1139" s="28"/>
      <c r="R1139" s="28"/>
      <c r="S1139" s="28"/>
      <c r="T1139" s="28"/>
      <c r="U1139" s="28"/>
      <c r="V1139" s="28"/>
      <c r="W1139" s="28"/>
      <c r="X1139" s="28"/>
      <c r="Y1139" s="28"/>
      <c r="Z1139" s="28"/>
      <c r="AA1139" s="28"/>
      <c r="AB1139" s="28"/>
      <c r="AC1139" s="28"/>
      <c r="AD1139" s="28"/>
      <c r="AE1139" s="28"/>
      <c r="AF1139" s="28"/>
      <c r="AG1139" s="28"/>
      <c r="AH1139" s="28"/>
      <c r="AI1139" s="28"/>
      <c r="AJ1139" s="28"/>
      <c r="AK1139" s="28"/>
      <c r="AL1139" s="28"/>
      <c r="AM1139" s="28"/>
      <c r="AN1139" s="28"/>
      <c r="AO1139" s="28"/>
      <c r="AP1139" s="28"/>
      <c r="AQ1139" s="28"/>
      <c r="AR1139" s="28"/>
      <c r="AS1139" s="28"/>
      <c r="AT1139" s="28"/>
      <c r="AU1139" s="28"/>
      <c r="AV1139" s="28"/>
      <c r="AW1139" s="28"/>
      <c r="AX1139" s="28"/>
      <c r="AY1139" s="28"/>
      <c r="AZ1139" s="28"/>
      <c r="BA1139" s="28"/>
      <c r="BB1139" s="28"/>
    </row>
    <row r="1140" spans="1:54" ht="12.75" x14ac:dyDescent="0.2">
      <c r="A1140" s="28"/>
      <c r="B1140" s="28"/>
      <c r="C1140" s="28"/>
      <c r="D1140" s="28"/>
      <c r="E1140" s="28"/>
      <c r="F1140" s="28"/>
      <c r="G1140" s="28"/>
      <c r="H1140" s="28"/>
      <c r="I1140" s="28"/>
      <c r="J1140" s="28"/>
      <c r="K1140" s="28"/>
      <c r="L1140" s="28"/>
      <c r="M1140" s="28"/>
      <c r="N1140" s="28"/>
      <c r="O1140" s="28"/>
      <c r="P1140" s="28"/>
      <c r="Q1140" s="28"/>
      <c r="R1140" s="28"/>
      <c r="S1140" s="28"/>
      <c r="T1140" s="28"/>
      <c r="U1140" s="28"/>
      <c r="V1140" s="28"/>
      <c r="W1140" s="28"/>
      <c r="X1140" s="28"/>
      <c r="Y1140" s="28"/>
      <c r="Z1140" s="28"/>
      <c r="AA1140" s="28"/>
      <c r="AB1140" s="28"/>
      <c r="AC1140" s="28"/>
      <c r="AD1140" s="28"/>
      <c r="AE1140" s="28"/>
      <c r="AF1140" s="28"/>
      <c r="AG1140" s="28"/>
      <c r="AH1140" s="28"/>
      <c r="AI1140" s="28"/>
      <c r="AJ1140" s="28"/>
      <c r="AK1140" s="28"/>
      <c r="AL1140" s="28"/>
      <c r="AM1140" s="28"/>
      <c r="AN1140" s="28"/>
      <c r="AO1140" s="28"/>
      <c r="AP1140" s="28"/>
      <c r="AQ1140" s="28"/>
      <c r="AR1140" s="28"/>
      <c r="AS1140" s="28"/>
      <c r="AT1140" s="28"/>
      <c r="AU1140" s="28"/>
      <c r="AV1140" s="28"/>
      <c r="AW1140" s="28"/>
      <c r="AX1140" s="28"/>
      <c r="AY1140" s="28"/>
      <c r="AZ1140" s="28"/>
      <c r="BA1140" s="28"/>
      <c r="BB1140" s="28"/>
    </row>
    <row r="1141" spans="1:54" ht="12.75" x14ac:dyDescent="0.2">
      <c r="A1141" s="28"/>
      <c r="B1141" s="28"/>
      <c r="C1141" s="28"/>
      <c r="D1141" s="28"/>
      <c r="E1141" s="28"/>
      <c r="F1141" s="28"/>
      <c r="G1141" s="28"/>
      <c r="H1141" s="28"/>
      <c r="I1141" s="28"/>
      <c r="J1141" s="28"/>
      <c r="K1141" s="28"/>
      <c r="L1141" s="28"/>
      <c r="M1141" s="28"/>
      <c r="N1141" s="28"/>
      <c r="O1141" s="28"/>
      <c r="P1141" s="28"/>
      <c r="Q1141" s="28"/>
      <c r="R1141" s="28"/>
      <c r="S1141" s="28"/>
      <c r="T1141" s="28"/>
      <c r="U1141" s="28"/>
      <c r="V1141" s="28"/>
      <c r="W1141" s="28"/>
      <c r="X1141" s="28"/>
      <c r="Y1141" s="28"/>
      <c r="Z1141" s="28"/>
      <c r="AA1141" s="28"/>
      <c r="AB1141" s="28"/>
      <c r="AC1141" s="28"/>
      <c r="AD1141" s="28"/>
      <c r="AE1141" s="28"/>
      <c r="AF1141" s="28"/>
      <c r="AG1141" s="28"/>
      <c r="AH1141" s="28"/>
      <c r="AI1141" s="28"/>
      <c r="AJ1141" s="28"/>
      <c r="AK1141" s="28"/>
      <c r="AL1141" s="28"/>
      <c r="AM1141" s="28"/>
      <c r="AN1141" s="28"/>
      <c r="AO1141" s="28"/>
      <c r="AP1141" s="28"/>
      <c r="AQ1141" s="28"/>
      <c r="AR1141" s="28"/>
      <c r="AS1141" s="28"/>
      <c r="AT1141" s="28"/>
      <c r="AU1141" s="28"/>
      <c r="AV1141" s="28"/>
      <c r="AW1141" s="28"/>
      <c r="AX1141" s="28"/>
      <c r="AY1141" s="28"/>
      <c r="AZ1141" s="28"/>
      <c r="BA1141" s="28"/>
      <c r="BB1141" s="28"/>
    </row>
    <row r="1142" spans="1:54" ht="12.75" x14ac:dyDescent="0.2">
      <c r="A1142" s="28"/>
      <c r="B1142" s="28"/>
      <c r="C1142" s="28"/>
      <c r="D1142" s="28"/>
      <c r="E1142" s="28"/>
      <c r="F1142" s="28"/>
      <c r="G1142" s="28"/>
      <c r="H1142" s="28"/>
      <c r="I1142" s="28"/>
      <c r="J1142" s="28"/>
      <c r="K1142" s="28"/>
      <c r="L1142" s="28"/>
      <c r="M1142" s="28"/>
      <c r="N1142" s="28"/>
      <c r="O1142" s="28"/>
      <c r="P1142" s="28"/>
      <c r="Q1142" s="28"/>
      <c r="R1142" s="28"/>
      <c r="S1142" s="28"/>
      <c r="T1142" s="28"/>
      <c r="U1142" s="28"/>
      <c r="V1142" s="28"/>
      <c r="W1142" s="28"/>
      <c r="X1142" s="28"/>
      <c r="Y1142" s="28"/>
      <c r="Z1142" s="28"/>
      <c r="AA1142" s="28"/>
      <c r="AB1142" s="28"/>
      <c r="AC1142" s="28"/>
      <c r="AD1142" s="28"/>
      <c r="AE1142" s="28"/>
      <c r="AF1142" s="28"/>
      <c r="AG1142" s="28"/>
      <c r="AH1142" s="28"/>
      <c r="AI1142" s="28"/>
      <c r="AJ1142" s="28"/>
      <c r="AK1142" s="28"/>
      <c r="AL1142" s="28"/>
      <c r="AM1142" s="28"/>
      <c r="AN1142" s="28"/>
      <c r="AO1142" s="28"/>
      <c r="AP1142" s="28"/>
      <c r="AQ1142" s="28"/>
      <c r="AR1142" s="28"/>
      <c r="AS1142" s="28"/>
      <c r="AT1142" s="28"/>
      <c r="AU1142" s="28"/>
      <c r="AV1142" s="28"/>
      <c r="AW1142" s="28"/>
      <c r="AX1142" s="28"/>
      <c r="AY1142" s="28"/>
      <c r="AZ1142" s="28"/>
      <c r="BA1142" s="28"/>
      <c r="BB1142" s="28"/>
    </row>
    <row r="1143" spans="1:54" ht="12.75" x14ac:dyDescent="0.2">
      <c r="A1143" s="28"/>
      <c r="B1143" s="28"/>
      <c r="C1143" s="28"/>
      <c r="D1143" s="28"/>
      <c r="E1143" s="28"/>
      <c r="F1143" s="28"/>
      <c r="G1143" s="28"/>
      <c r="H1143" s="28"/>
      <c r="I1143" s="28"/>
      <c r="J1143" s="28"/>
      <c r="K1143" s="28"/>
      <c r="L1143" s="28"/>
      <c r="M1143" s="28"/>
      <c r="N1143" s="28"/>
      <c r="O1143" s="28"/>
      <c r="P1143" s="28"/>
      <c r="Q1143" s="28"/>
      <c r="R1143" s="28"/>
      <c r="S1143" s="28"/>
      <c r="T1143" s="28"/>
      <c r="U1143" s="28"/>
      <c r="V1143" s="28"/>
      <c r="W1143" s="28"/>
      <c r="X1143" s="28"/>
      <c r="Y1143" s="28"/>
      <c r="Z1143" s="28"/>
      <c r="AA1143" s="28"/>
      <c r="AB1143" s="28"/>
      <c r="AC1143" s="28"/>
      <c r="AD1143" s="28"/>
      <c r="AE1143" s="28"/>
      <c r="AF1143" s="28"/>
      <c r="AG1143" s="28"/>
      <c r="AH1143" s="28"/>
      <c r="AI1143" s="28"/>
      <c r="AJ1143" s="28"/>
      <c r="AK1143" s="28"/>
      <c r="AL1143" s="28"/>
      <c r="AM1143" s="28"/>
      <c r="AN1143" s="28"/>
      <c r="AO1143" s="28"/>
      <c r="AP1143" s="28"/>
      <c r="AQ1143" s="28"/>
      <c r="AR1143" s="28"/>
      <c r="AS1143" s="28"/>
      <c r="AT1143" s="28"/>
      <c r="AU1143" s="28"/>
      <c r="AV1143" s="28"/>
      <c r="AW1143" s="28"/>
      <c r="AX1143" s="28"/>
      <c r="AY1143" s="28"/>
      <c r="AZ1143" s="28"/>
      <c r="BA1143" s="28"/>
      <c r="BB1143" s="28"/>
    </row>
    <row r="1144" spans="1:54" ht="12.75" x14ac:dyDescent="0.2">
      <c r="A1144" s="28"/>
      <c r="B1144" s="28"/>
      <c r="C1144" s="28"/>
      <c r="D1144" s="28"/>
      <c r="E1144" s="28"/>
      <c r="F1144" s="28"/>
      <c r="G1144" s="28"/>
      <c r="H1144" s="28"/>
      <c r="I1144" s="28"/>
      <c r="J1144" s="28"/>
      <c r="K1144" s="28"/>
      <c r="L1144" s="28"/>
      <c r="M1144" s="28"/>
      <c r="N1144" s="28"/>
      <c r="O1144" s="28"/>
      <c r="P1144" s="28"/>
      <c r="Q1144" s="28"/>
      <c r="R1144" s="28"/>
      <c r="S1144" s="28"/>
      <c r="T1144" s="28"/>
      <c r="U1144" s="28"/>
      <c r="V1144" s="28"/>
      <c r="W1144" s="28"/>
      <c r="X1144" s="28"/>
      <c r="Y1144" s="28"/>
      <c r="Z1144" s="28"/>
      <c r="AA1144" s="28"/>
      <c r="AB1144" s="28"/>
      <c r="AC1144" s="28"/>
      <c r="AD1144" s="28"/>
      <c r="AE1144" s="28"/>
      <c r="AF1144" s="28"/>
      <c r="AG1144" s="28"/>
      <c r="AH1144" s="28"/>
      <c r="AI1144" s="28"/>
      <c r="AJ1144" s="28"/>
      <c r="AK1144" s="28"/>
      <c r="AL1144" s="28"/>
      <c r="AM1144" s="28"/>
      <c r="AN1144" s="28"/>
      <c r="AO1144" s="28"/>
      <c r="AP1144" s="28"/>
      <c r="AQ1144" s="28"/>
      <c r="AR1144" s="28"/>
      <c r="AS1144" s="28"/>
      <c r="AT1144" s="28"/>
      <c r="AU1144" s="28"/>
      <c r="AV1144" s="28"/>
      <c r="AW1144" s="28"/>
      <c r="AX1144" s="28"/>
      <c r="AY1144" s="28"/>
      <c r="AZ1144" s="28"/>
      <c r="BA1144" s="28"/>
      <c r="BB1144" s="28"/>
    </row>
    <row r="1145" spans="1:54" ht="12.75" x14ac:dyDescent="0.2">
      <c r="A1145" s="28"/>
      <c r="B1145" s="28"/>
      <c r="C1145" s="28"/>
      <c r="D1145" s="28"/>
      <c r="E1145" s="28"/>
      <c r="F1145" s="28"/>
      <c r="G1145" s="28"/>
      <c r="H1145" s="28"/>
      <c r="I1145" s="28"/>
      <c r="J1145" s="28"/>
      <c r="K1145" s="28"/>
      <c r="L1145" s="28"/>
      <c r="M1145" s="28"/>
      <c r="N1145" s="28"/>
      <c r="O1145" s="28"/>
      <c r="P1145" s="28"/>
      <c r="Q1145" s="28"/>
      <c r="R1145" s="28"/>
      <c r="S1145" s="28"/>
      <c r="T1145" s="28"/>
      <c r="U1145" s="28"/>
      <c r="V1145" s="28"/>
      <c r="W1145" s="28"/>
      <c r="X1145" s="28"/>
      <c r="Y1145" s="28"/>
      <c r="Z1145" s="28"/>
      <c r="AA1145" s="28"/>
      <c r="AB1145" s="28"/>
      <c r="AC1145" s="28"/>
      <c r="AD1145" s="28"/>
      <c r="AE1145" s="28"/>
      <c r="AF1145" s="28"/>
      <c r="AG1145" s="28"/>
      <c r="AH1145" s="28"/>
      <c r="AI1145" s="28"/>
      <c r="AJ1145" s="28"/>
      <c r="AK1145" s="28"/>
      <c r="AL1145" s="28"/>
      <c r="AM1145" s="28"/>
      <c r="AN1145" s="28"/>
      <c r="AO1145" s="28"/>
      <c r="AP1145" s="28"/>
      <c r="AQ1145" s="28"/>
      <c r="AR1145" s="28"/>
      <c r="AS1145" s="28"/>
      <c r="AT1145" s="28"/>
      <c r="AU1145" s="28"/>
      <c r="AV1145" s="28"/>
      <c r="AW1145" s="28"/>
      <c r="AX1145" s="28"/>
      <c r="AY1145" s="28"/>
      <c r="AZ1145" s="28"/>
      <c r="BA1145" s="28"/>
      <c r="BB1145" s="28"/>
    </row>
    <row r="1146" spans="1:54" ht="12.75" x14ac:dyDescent="0.2">
      <c r="A1146" s="28"/>
      <c r="B1146" s="28"/>
      <c r="C1146" s="28"/>
      <c r="D1146" s="28"/>
      <c r="E1146" s="28"/>
      <c r="F1146" s="28"/>
      <c r="G1146" s="28"/>
      <c r="H1146" s="28"/>
      <c r="I1146" s="28"/>
      <c r="J1146" s="28"/>
      <c r="K1146" s="28"/>
      <c r="L1146" s="28"/>
      <c r="M1146" s="28"/>
      <c r="N1146" s="28"/>
      <c r="O1146" s="28"/>
      <c r="P1146" s="28"/>
      <c r="Q1146" s="28"/>
      <c r="R1146" s="28"/>
      <c r="S1146" s="28"/>
      <c r="T1146" s="28"/>
      <c r="U1146" s="28"/>
      <c r="V1146" s="28"/>
      <c r="W1146" s="28"/>
      <c r="X1146" s="28"/>
      <c r="Y1146" s="28"/>
      <c r="Z1146" s="28"/>
      <c r="AA1146" s="28"/>
      <c r="AB1146" s="28"/>
      <c r="AC1146" s="28"/>
      <c r="AD1146" s="28"/>
      <c r="AE1146" s="28"/>
      <c r="AF1146" s="28"/>
      <c r="AG1146" s="28"/>
      <c r="AH1146" s="28"/>
      <c r="AI1146" s="28"/>
      <c r="AJ1146" s="28"/>
      <c r="AK1146" s="28"/>
      <c r="AL1146" s="28"/>
      <c r="AM1146" s="28"/>
      <c r="AN1146" s="28"/>
      <c r="AO1146" s="28"/>
      <c r="AP1146" s="28"/>
      <c r="AQ1146" s="28"/>
      <c r="AR1146" s="28"/>
      <c r="AS1146" s="28"/>
      <c r="AT1146" s="28"/>
      <c r="AU1146" s="28"/>
      <c r="AV1146" s="28"/>
      <c r="AW1146" s="28"/>
      <c r="AX1146" s="28"/>
      <c r="AY1146" s="28"/>
      <c r="AZ1146" s="28"/>
      <c r="BA1146" s="28"/>
      <c r="BB1146" s="28"/>
    </row>
    <row r="1147" spans="1:54" ht="12.75" x14ac:dyDescent="0.2">
      <c r="A1147" s="28"/>
      <c r="B1147" s="28"/>
      <c r="C1147" s="28"/>
      <c r="D1147" s="28"/>
      <c r="E1147" s="28"/>
      <c r="F1147" s="28"/>
      <c r="G1147" s="28"/>
      <c r="H1147" s="28"/>
      <c r="I1147" s="28"/>
      <c r="J1147" s="28"/>
      <c r="K1147" s="28"/>
      <c r="L1147" s="28"/>
      <c r="M1147" s="28"/>
      <c r="N1147" s="28"/>
      <c r="O1147" s="28"/>
      <c r="P1147" s="28"/>
      <c r="Q1147" s="28"/>
      <c r="R1147" s="28"/>
      <c r="S1147" s="28"/>
      <c r="T1147" s="28"/>
      <c r="U1147" s="28"/>
      <c r="V1147" s="28"/>
      <c r="W1147" s="28"/>
      <c r="X1147" s="28"/>
      <c r="Y1147" s="28"/>
      <c r="Z1147" s="28"/>
      <c r="AA1147" s="28"/>
      <c r="AB1147" s="28"/>
      <c r="AC1147" s="28"/>
      <c r="AD1147" s="28"/>
      <c r="AE1147" s="28"/>
      <c r="AF1147" s="28"/>
      <c r="AG1147" s="28"/>
      <c r="AH1147" s="28"/>
      <c r="AI1147" s="28"/>
      <c r="AJ1147" s="28"/>
      <c r="AK1147" s="28"/>
      <c r="AL1147" s="28"/>
      <c r="AM1147" s="28"/>
      <c r="AN1147" s="28"/>
      <c r="AO1147" s="28"/>
      <c r="AP1147" s="28"/>
      <c r="AQ1147" s="28"/>
      <c r="AR1147" s="28"/>
      <c r="AS1147" s="28"/>
      <c r="AT1147" s="28"/>
      <c r="AU1147" s="28"/>
      <c r="AV1147" s="28"/>
      <c r="AW1147" s="28"/>
      <c r="AX1147" s="28"/>
      <c r="AY1147" s="28"/>
      <c r="AZ1147" s="28"/>
      <c r="BA1147" s="28"/>
      <c r="BB1147" s="28"/>
    </row>
    <row r="1148" spans="1:54" ht="12.75" x14ac:dyDescent="0.2">
      <c r="A1148" s="28"/>
      <c r="B1148" s="28"/>
      <c r="C1148" s="28"/>
      <c r="D1148" s="28"/>
      <c r="E1148" s="28"/>
      <c r="F1148" s="28"/>
      <c r="G1148" s="28"/>
      <c r="H1148" s="28"/>
      <c r="I1148" s="28"/>
      <c r="J1148" s="28"/>
      <c r="K1148" s="28"/>
      <c r="L1148" s="28"/>
      <c r="M1148" s="28"/>
      <c r="N1148" s="28"/>
      <c r="O1148" s="28"/>
      <c r="P1148" s="28"/>
      <c r="Q1148" s="28"/>
      <c r="R1148" s="28"/>
      <c r="S1148" s="28"/>
      <c r="T1148" s="28"/>
      <c r="U1148" s="28"/>
      <c r="V1148" s="28"/>
      <c r="W1148" s="28"/>
      <c r="X1148" s="28"/>
      <c r="Y1148" s="28"/>
      <c r="Z1148" s="28"/>
      <c r="AA1148" s="28"/>
      <c r="AB1148" s="28"/>
      <c r="AC1148" s="28"/>
      <c r="AD1148" s="28"/>
      <c r="AE1148" s="28"/>
      <c r="AF1148" s="28"/>
      <c r="AG1148" s="28"/>
      <c r="AH1148" s="28"/>
      <c r="AI1148" s="28"/>
      <c r="AJ1148" s="28"/>
      <c r="AK1148" s="28"/>
      <c r="AL1148" s="28"/>
      <c r="AM1148" s="28"/>
      <c r="AN1148" s="28"/>
      <c r="AO1148" s="28"/>
      <c r="AP1148" s="28"/>
      <c r="AQ1148" s="28"/>
      <c r="AR1148" s="28"/>
      <c r="AS1148" s="28"/>
      <c r="AT1148" s="28"/>
      <c r="AU1148" s="28"/>
      <c r="AV1148" s="28"/>
      <c r="AW1148" s="28"/>
      <c r="AX1148" s="28"/>
      <c r="AY1148" s="28"/>
      <c r="AZ1148" s="28"/>
      <c r="BA1148" s="28"/>
      <c r="BB1148" s="28"/>
    </row>
    <row r="1149" spans="1:54" ht="12.75" x14ac:dyDescent="0.2">
      <c r="A1149" s="28"/>
      <c r="B1149" s="28"/>
      <c r="C1149" s="28"/>
      <c r="D1149" s="28"/>
      <c r="E1149" s="28"/>
      <c r="F1149" s="28"/>
      <c r="G1149" s="28"/>
      <c r="H1149" s="28"/>
      <c r="I1149" s="28"/>
      <c r="J1149" s="28"/>
      <c r="K1149" s="28"/>
      <c r="L1149" s="28"/>
      <c r="M1149" s="28"/>
      <c r="N1149" s="28"/>
      <c r="O1149" s="28"/>
      <c r="P1149" s="28"/>
      <c r="Q1149" s="28"/>
      <c r="R1149" s="28"/>
      <c r="S1149" s="28"/>
      <c r="T1149" s="28"/>
      <c r="U1149" s="28"/>
      <c r="V1149" s="28"/>
      <c r="W1149" s="28"/>
      <c r="X1149" s="28"/>
      <c r="Y1149" s="28"/>
      <c r="Z1149" s="28"/>
      <c r="AA1149" s="28"/>
      <c r="AB1149" s="28"/>
      <c r="AC1149" s="28"/>
      <c r="AD1149" s="28"/>
      <c r="AE1149" s="28"/>
      <c r="AF1149" s="28"/>
      <c r="AG1149" s="28"/>
      <c r="AH1149" s="28"/>
      <c r="AI1149" s="28"/>
      <c r="AJ1149" s="28"/>
      <c r="AK1149" s="28"/>
      <c r="AL1149" s="28"/>
      <c r="AM1149" s="28"/>
      <c r="AN1149" s="28"/>
      <c r="AO1149" s="28"/>
      <c r="AP1149" s="28"/>
      <c r="AQ1149" s="28"/>
      <c r="AR1149" s="28"/>
      <c r="AS1149" s="28"/>
      <c r="AT1149" s="28"/>
      <c r="AU1149" s="28"/>
      <c r="AV1149" s="28"/>
      <c r="AW1149" s="28"/>
      <c r="AX1149" s="28"/>
      <c r="AY1149" s="28"/>
      <c r="AZ1149" s="28"/>
      <c r="BA1149" s="28"/>
      <c r="BB1149" s="28"/>
    </row>
    <row r="1150" spans="1:54" ht="12.75" x14ac:dyDescent="0.2">
      <c r="A1150" s="28"/>
      <c r="B1150" s="28"/>
      <c r="C1150" s="28"/>
      <c r="D1150" s="28"/>
      <c r="E1150" s="28"/>
      <c r="F1150" s="28"/>
      <c r="G1150" s="28"/>
      <c r="H1150" s="28"/>
      <c r="I1150" s="28"/>
      <c r="J1150" s="28"/>
      <c r="K1150" s="28"/>
      <c r="L1150" s="28"/>
      <c r="M1150" s="28"/>
      <c r="N1150" s="28"/>
      <c r="O1150" s="28"/>
      <c r="P1150" s="28"/>
      <c r="Q1150" s="28"/>
      <c r="R1150" s="28"/>
      <c r="S1150" s="28"/>
      <c r="T1150" s="28"/>
      <c r="U1150" s="28"/>
      <c r="V1150" s="28"/>
      <c r="W1150" s="28"/>
      <c r="X1150" s="28"/>
      <c r="Y1150" s="28"/>
      <c r="Z1150" s="28"/>
      <c r="AA1150" s="28"/>
      <c r="AB1150" s="28"/>
      <c r="AC1150" s="28"/>
      <c r="AD1150" s="28"/>
      <c r="AE1150" s="28"/>
      <c r="AF1150" s="28"/>
      <c r="AG1150" s="28"/>
      <c r="AH1150" s="28"/>
      <c r="AI1150" s="28"/>
      <c r="AJ1150" s="28"/>
      <c r="AK1150" s="28"/>
      <c r="AL1150" s="28"/>
      <c r="AM1150" s="28"/>
      <c r="AN1150" s="28"/>
      <c r="AO1150" s="28"/>
      <c r="AP1150" s="28"/>
      <c r="AQ1150" s="28"/>
      <c r="AR1150" s="28"/>
      <c r="AS1150" s="28"/>
      <c r="AT1150" s="28"/>
      <c r="AU1150" s="28"/>
      <c r="AV1150" s="28"/>
      <c r="AW1150" s="28"/>
      <c r="AX1150" s="28"/>
      <c r="AY1150" s="28"/>
      <c r="AZ1150" s="28"/>
      <c r="BA1150" s="28"/>
      <c r="BB1150" s="28"/>
    </row>
    <row r="1151" spans="1:54" ht="12.75" x14ac:dyDescent="0.2">
      <c r="A1151" s="28"/>
      <c r="B1151" s="28"/>
      <c r="C1151" s="28"/>
      <c r="D1151" s="28"/>
      <c r="E1151" s="28"/>
      <c r="F1151" s="28"/>
      <c r="G1151" s="28"/>
      <c r="H1151" s="28"/>
      <c r="I1151" s="28"/>
      <c r="J1151" s="28"/>
      <c r="K1151" s="28"/>
      <c r="L1151" s="28"/>
      <c r="M1151" s="28"/>
      <c r="N1151" s="28"/>
      <c r="O1151" s="28"/>
      <c r="P1151" s="28"/>
      <c r="Q1151" s="28"/>
      <c r="R1151" s="28"/>
      <c r="S1151" s="28"/>
      <c r="T1151" s="28"/>
      <c r="U1151" s="28"/>
      <c r="V1151" s="28"/>
      <c r="W1151" s="28"/>
      <c r="X1151" s="28"/>
      <c r="Y1151" s="28"/>
      <c r="Z1151" s="28"/>
      <c r="AA1151" s="28"/>
      <c r="AB1151" s="28"/>
      <c r="AC1151" s="28"/>
      <c r="AD1151" s="28"/>
      <c r="AE1151" s="28"/>
      <c r="AF1151" s="28"/>
      <c r="AG1151" s="28"/>
      <c r="AH1151" s="28"/>
      <c r="AI1151" s="28"/>
      <c r="AJ1151" s="28"/>
      <c r="AK1151" s="28"/>
      <c r="AL1151" s="28"/>
      <c r="AM1151" s="28"/>
      <c r="AN1151" s="28"/>
      <c r="AO1151" s="28"/>
      <c r="AP1151" s="28"/>
      <c r="AQ1151" s="28"/>
      <c r="AR1151" s="28"/>
      <c r="AS1151" s="28"/>
      <c r="AT1151" s="28"/>
      <c r="AU1151" s="28"/>
      <c r="AV1151" s="28"/>
      <c r="AW1151" s="28"/>
      <c r="AX1151" s="28"/>
      <c r="AY1151" s="28"/>
      <c r="AZ1151" s="28"/>
      <c r="BA1151" s="28"/>
      <c r="BB1151" s="28"/>
    </row>
    <row r="1152" spans="1:54" ht="12.75" x14ac:dyDescent="0.2">
      <c r="A1152" s="28"/>
      <c r="B1152" s="28"/>
      <c r="C1152" s="28"/>
      <c r="D1152" s="28"/>
      <c r="E1152" s="28"/>
      <c r="F1152" s="28"/>
      <c r="G1152" s="28"/>
      <c r="H1152" s="28"/>
      <c r="I1152" s="28"/>
      <c r="J1152" s="28"/>
      <c r="K1152" s="28"/>
      <c r="L1152" s="28"/>
      <c r="M1152" s="28"/>
      <c r="N1152" s="28"/>
      <c r="O1152" s="28"/>
      <c r="P1152" s="28"/>
      <c r="Q1152" s="28"/>
      <c r="R1152" s="28"/>
      <c r="S1152" s="28"/>
      <c r="T1152" s="28"/>
      <c r="U1152" s="28"/>
      <c r="V1152" s="28"/>
      <c r="W1152" s="28"/>
      <c r="X1152" s="28"/>
      <c r="Y1152" s="28"/>
      <c r="Z1152" s="28"/>
      <c r="AA1152" s="28"/>
      <c r="AB1152" s="28"/>
      <c r="AC1152" s="28"/>
      <c r="AD1152" s="28"/>
      <c r="AE1152" s="28"/>
      <c r="AF1152" s="28"/>
      <c r="AG1152" s="28"/>
      <c r="AH1152" s="28"/>
      <c r="AI1152" s="28"/>
      <c r="AJ1152" s="28"/>
      <c r="AK1152" s="28"/>
      <c r="AL1152" s="28"/>
      <c r="AM1152" s="28"/>
      <c r="AN1152" s="28"/>
      <c r="AO1152" s="28"/>
      <c r="AP1152" s="28"/>
      <c r="AQ1152" s="28"/>
      <c r="AR1152" s="28"/>
      <c r="AS1152" s="28"/>
      <c r="AT1152" s="28"/>
      <c r="AU1152" s="28"/>
      <c r="AV1152" s="28"/>
      <c r="AW1152" s="28"/>
      <c r="AX1152" s="28"/>
      <c r="AY1152" s="28"/>
      <c r="AZ1152" s="28"/>
      <c r="BA1152" s="28"/>
      <c r="BB1152" s="28"/>
    </row>
    <row r="1153" spans="1:54" ht="12.75" x14ac:dyDescent="0.2">
      <c r="A1153" s="28"/>
      <c r="B1153" s="28"/>
      <c r="C1153" s="28"/>
      <c r="D1153" s="28"/>
      <c r="E1153" s="28"/>
      <c r="F1153" s="28"/>
      <c r="G1153" s="28"/>
      <c r="H1153" s="28"/>
      <c r="I1153" s="28"/>
      <c r="J1153" s="28"/>
      <c r="K1153" s="28"/>
      <c r="L1153" s="28"/>
      <c r="M1153" s="28"/>
      <c r="N1153" s="28"/>
      <c r="O1153" s="28"/>
      <c r="P1153" s="28"/>
      <c r="Q1153" s="28"/>
      <c r="R1153" s="28"/>
      <c r="S1153" s="28"/>
      <c r="T1153" s="28"/>
      <c r="U1153" s="28"/>
      <c r="V1153" s="28"/>
      <c r="W1153" s="28"/>
      <c r="X1153" s="28"/>
      <c r="Y1153" s="28"/>
      <c r="Z1153" s="28"/>
      <c r="AA1153" s="28"/>
      <c r="AB1153" s="28"/>
      <c r="AC1153" s="28"/>
      <c r="AD1153" s="28"/>
      <c r="AE1153" s="28"/>
      <c r="AF1153" s="28"/>
      <c r="AG1153" s="28"/>
      <c r="AH1153" s="28"/>
      <c r="AI1153" s="28"/>
      <c r="AJ1153" s="28"/>
      <c r="AK1153" s="28"/>
      <c r="AL1153" s="28"/>
      <c r="AM1153" s="28"/>
      <c r="AN1153" s="28"/>
      <c r="AO1153" s="28"/>
      <c r="AP1153" s="28"/>
      <c r="AQ1153" s="28"/>
      <c r="AR1153" s="28"/>
      <c r="AS1153" s="28"/>
      <c r="AT1153" s="28"/>
      <c r="AU1153" s="28"/>
      <c r="AV1153" s="28"/>
      <c r="AW1153" s="28"/>
      <c r="AX1153" s="28"/>
      <c r="AY1153" s="28"/>
      <c r="AZ1153" s="28"/>
      <c r="BA1153" s="28"/>
      <c r="BB1153" s="28"/>
    </row>
    <row r="1154" spans="1:54" ht="12.75" x14ac:dyDescent="0.2">
      <c r="A1154" s="28"/>
      <c r="B1154" s="28"/>
      <c r="C1154" s="28"/>
      <c r="D1154" s="28"/>
      <c r="E1154" s="28"/>
      <c r="F1154" s="28"/>
      <c r="G1154" s="28"/>
      <c r="H1154" s="28"/>
      <c r="I1154" s="28"/>
      <c r="J1154" s="28"/>
      <c r="K1154" s="28"/>
      <c r="L1154" s="28"/>
      <c r="M1154" s="28"/>
      <c r="N1154" s="28"/>
      <c r="O1154" s="28"/>
      <c r="P1154" s="28"/>
      <c r="Q1154" s="28"/>
      <c r="R1154" s="28"/>
      <c r="S1154" s="28"/>
      <c r="T1154" s="28"/>
      <c r="U1154" s="28"/>
      <c r="V1154" s="28"/>
      <c r="W1154" s="28"/>
      <c r="X1154" s="28"/>
      <c r="Y1154" s="28"/>
      <c r="Z1154" s="28"/>
      <c r="AA1154" s="28"/>
      <c r="AB1154" s="28"/>
      <c r="AC1154" s="28"/>
      <c r="AD1154" s="28"/>
      <c r="AE1154" s="28"/>
      <c r="AF1154" s="28"/>
      <c r="AG1154" s="28"/>
      <c r="AH1154" s="28"/>
      <c r="AI1154" s="28"/>
      <c r="AJ1154" s="28"/>
      <c r="AK1154" s="28"/>
      <c r="AL1154" s="28"/>
      <c r="AM1154" s="28"/>
      <c r="AN1154" s="28"/>
      <c r="AO1154" s="28"/>
      <c r="AP1154" s="28"/>
      <c r="AQ1154" s="28"/>
      <c r="AR1154" s="28"/>
      <c r="AS1154" s="28"/>
      <c r="AT1154" s="28"/>
      <c r="AU1154" s="28"/>
      <c r="AV1154" s="28"/>
      <c r="AW1154" s="28"/>
      <c r="AX1154" s="28"/>
      <c r="AY1154" s="28"/>
      <c r="AZ1154" s="28"/>
      <c r="BA1154" s="28"/>
      <c r="BB1154" s="28"/>
    </row>
    <row r="1155" spans="1:54" ht="12.75" x14ac:dyDescent="0.2">
      <c r="A1155" s="28"/>
      <c r="B1155" s="28"/>
      <c r="C1155" s="28"/>
      <c r="D1155" s="28"/>
      <c r="E1155" s="28"/>
      <c r="F1155" s="28"/>
      <c r="G1155" s="28"/>
      <c r="H1155" s="28"/>
      <c r="I1155" s="28"/>
      <c r="J1155" s="28"/>
      <c r="K1155" s="28"/>
      <c r="L1155" s="28"/>
      <c r="M1155" s="28"/>
      <c r="N1155" s="28"/>
      <c r="O1155" s="28"/>
      <c r="P1155" s="28"/>
      <c r="Q1155" s="28"/>
      <c r="R1155" s="28"/>
      <c r="S1155" s="28"/>
      <c r="T1155" s="28"/>
      <c r="U1155" s="28"/>
      <c r="V1155" s="28"/>
      <c r="W1155" s="28"/>
      <c r="X1155" s="28"/>
      <c r="Y1155" s="28"/>
      <c r="Z1155" s="28"/>
      <c r="AA1155" s="28"/>
      <c r="AB1155" s="28"/>
      <c r="AC1155" s="28"/>
      <c r="AD1155" s="28"/>
      <c r="AE1155" s="28"/>
      <c r="AF1155" s="28"/>
      <c r="AG1155" s="28"/>
      <c r="AH1155" s="28"/>
      <c r="AI1155" s="28"/>
      <c r="AJ1155" s="28"/>
      <c r="AK1155" s="28"/>
      <c r="AL1155" s="28"/>
      <c r="AM1155" s="28"/>
      <c r="AN1155" s="28"/>
      <c r="AO1155" s="28"/>
      <c r="AP1155" s="28"/>
      <c r="AQ1155" s="28"/>
      <c r="AR1155" s="28"/>
      <c r="AS1155" s="28"/>
      <c r="AT1155" s="28"/>
      <c r="AU1155" s="28"/>
      <c r="AV1155" s="28"/>
      <c r="AW1155" s="28"/>
      <c r="AX1155" s="28"/>
      <c r="AY1155" s="28"/>
      <c r="AZ1155" s="28"/>
      <c r="BA1155" s="28"/>
      <c r="BB1155" s="28"/>
    </row>
    <row r="1156" spans="1:54" ht="12.75" x14ac:dyDescent="0.2">
      <c r="A1156" s="28"/>
      <c r="B1156" s="28"/>
      <c r="C1156" s="28"/>
      <c r="D1156" s="28"/>
      <c r="E1156" s="28"/>
      <c r="F1156" s="28"/>
      <c r="G1156" s="28"/>
      <c r="H1156" s="28"/>
      <c r="I1156" s="28"/>
      <c r="J1156" s="28"/>
      <c r="K1156" s="28"/>
      <c r="L1156" s="28"/>
      <c r="M1156" s="28"/>
      <c r="N1156" s="28"/>
      <c r="O1156" s="28"/>
      <c r="P1156" s="28"/>
      <c r="Q1156" s="28"/>
      <c r="R1156" s="28"/>
      <c r="S1156" s="28"/>
      <c r="T1156" s="28"/>
      <c r="U1156" s="28"/>
      <c r="V1156" s="28"/>
      <c r="W1156" s="28"/>
      <c r="X1156" s="28"/>
      <c r="Y1156" s="28"/>
      <c r="Z1156" s="28"/>
      <c r="AA1156" s="28"/>
      <c r="AB1156" s="28"/>
      <c r="AC1156" s="28"/>
      <c r="AD1156" s="28"/>
      <c r="AE1156" s="28"/>
      <c r="AF1156" s="28"/>
      <c r="AG1156" s="28"/>
      <c r="AH1156" s="28"/>
      <c r="AI1156" s="28"/>
      <c r="AJ1156" s="28"/>
      <c r="AK1156" s="28"/>
      <c r="AL1156" s="28"/>
      <c r="AM1156" s="28"/>
      <c r="AN1156" s="28"/>
      <c r="AO1156" s="28"/>
      <c r="AP1156" s="28"/>
      <c r="AQ1156" s="28"/>
      <c r="AR1156" s="28"/>
      <c r="AS1156" s="28"/>
      <c r="AT1156" s="28"/>
      <c r="AU1156" s="28"/>
      <c r="AV1156" s="28"/>
      <c r="AW1156" s="28"/>
      <c r="AX1156" s="28"/>
      <c r="AY1156" s="28"/>
      <c r="AZ1156" s="28"/>
      <c r="BA1156" s="28"/>
      <c r="BB1156" s="28"/>
    </row>
    <row r="1157" spans="1:54" ht="12.75" x14ac:dyDescent="0.2">
      <c r="A1157" s="28"/>
      <c r="B1157" s="28"/>
      <c r="C1157" s="28"/>
      <c r="D1157" s="28"/>
      <c r="E1157" s="28"/>
      <c r="F1157" s="28"/>
      <c r="G1157" s="28"/>
      <c r="H1157" s="28"/>
      <c r="I1157" s="28"/>
      <c r="J1157" s="28"/>
      <c r="K1157" s="28"/>
      <c r="L1157" s="28"/>
      <c r="M1157" s="28"/>
      <c r="N1157" s="28"/>
      <c r="O1157" s="28"/>
      <c r="P1157" s="28"/>
      <c r="Q1157" s="28"/>
      <c r="R1157" s="28"/>
      <c r="S1157" s="28"/>
      <c r="T1157" s="28"/>
      <c r="U1157" s="28"/>
      <c r="V1157" s="28"/>
      <c r="W1157" s="28"/>
      <c r="X1157" s="28"/>
      <c r="Y1157" s="28"/>
      <c r="Z1157" s="28"/>
      <c r="AA1157" s="28"/>
      <c r="AB1157" s="28"/>
      <c r="AC1157" s="28"/>
      <c r="AD1157" s="28"/>
      <c r="AE1157" s="28"/>
      <c r="AF1157" s="28"/>
      <c r="AG1157" s="28"/>
      <c r="AH1157" s="28"/>
      <c r="AI1157" s="28"/>
      <c r="AJ1157" s="28"/>
      <c r="AK1157" s="28"/>
      <c r="AL1157" s="28"/>
      <c r="AM1157" s="28"/>
      <c r="AN1157" s="28"/>
      <c r="AO1157" s="28"/>
      <c r="AP1157" s="28"/>
      <c r="AQ1157" s="28"/>
      <c r="AR1157" s="28"/>
      <c r="AS1157" s="28"/>
      <c r="AT1157" s="28"/>
      <c r="AU1157" s="28"/>
      <c r="AV1157" s="28"/>
      <c r="AW1157" s="28"/>
      <c r="AX1157" s="28"/>
      <c r="AY1157" s="28"/>
      <c r="AZ1157" s="28"/>
      <c r="BA1157" s="28"/>
      <c r="BB1157" s="28"/>
    </row>
    <row r="1158" spans="1:54" ht="12.75" x14ac:dyDescent="0.2">
      <c r="A1158" s="28"/>
      <c r="B1158" s="28"/>
      <c r="C1158" s="28"/>
      <c r="D1158" s="28"/>
      <c r="E1158" s="28"/>
      <c r="F1158" s="28"/>
      <c r="G1158" s="28"/>
      <c r="H1158" s="28"/>
      <c r="I1158" s="28"/>
      <c r="J1158" s="28"/>
      <c r="K1158" s="28"/>
      <c r="L1158" s="28"/>
      <c r="M1158" s="28"/>
      <c r="N1158" s="28"/>
      <c r="O1158" s="28"/>
      <c r="P1158" s="28"/>
      <c r="Q1158" s="28"/>
      <c r="R1158" s="28"/>
      <c r="S1158" s="28"/>
      <c r="T1158" s="28"/>
      <c r="U1158" s="28"/>
      <c r="V1158" s="28"/>
      <c r="W1158" s="28"/>
      <c r="X1158" s="28"/>
      <c r="Y1158" s="28"/>
      <c r="Z1158" s="28"/>
      <c r="AA1158" s="28"/>
      <c r="AB1158" s="28"/>
      <c r="AC1158" s="28"/>
      <c r="AD1158" s="28"/>
      <c r="AE1158" s="28"/>
      <c r="AF1158" s="28"/>
      <c r="AG1158" s="28"/>
      <c r="AH1158" s="28"/>
      <c r="AI1158" s="28"/>
      <c r="AJ1158" s="28"/>
      <c r="AK1158" s="28"/>
      <c r="AL1158" s="28"/>
      <c r="AM1158" s="28"/>
      <c r="AN1158" s="28"/>
      <c r="AO1158" s="28"/>
      <c r="AP1158" s="28"/>
      <c r="AQ1158" s="28"/>
      <c r="AR1158" s="28"/>
      <c r="AS1158" s="28"/>
      <c r="AT1158" s="28"/>
      <c r="AU1158" s="28"/>
      <c r="AV1158" s="28"/>
      <c r="AW1158" s="28"/>
      <c r="AX1158" s="28"/>
      <c r="AY1158" s="28"/>
      <c r="AZ1158" s="28"/>
      <c r="BA1158" s="28"/>
      <c r="BB1158" s="28"/>
    </row>
    <row r="1159" spans="1:54" ht="12.75" x14ac:dyDescent="0.2">
      <c r="A1159" s="28"/>
      <c r="B1159" s="28"/>
      <c r="C1159" s="28"/>
      <c r="D1159" s="28"/>
      <c r="E1159" s="28"/>
      <c r="F1159" s="28"/>
      <c r="G1159" s="28"/>
      <c r="H1159" s="28"/>
      <c r="I1159" s="28"/>
      <c r="J1159" s="28"/>
      <c r="K1159" s="28"/>
      <c r="L1159" s="28"/>
      <c r="M1159" s="28"/>
      <c r="N1159" s="28"/>
      <c r="O1159" s="28"/>
      <c r="P1159" s="28"/>
      <c r="Q1159" s="28"/>
      <c r="R1159" s="28"/>
      <c r="S1159" s="28"/>
      <c r="T1159" s="28"/>
      <c r="U1159" s="28"/>
      <c r="V1159" s="28"/>
      <c r="W1159" s="28"/>
      <c r="X1159" s="28"/>
      <c r="Y1159" s="28"/>
      <c r="Z1159" s="28"/>
      <c r="AA1159" s="28"/>
      <c r="AB1159" s="28"/>
      <c r="AC1159" s="28"/>
      <c r="AD1159" s="28"/>
      <c r="AE1159" s="28"/>
      <c r="AF1159" s="28"/>
      <c r="AG1159" s="28"/>
      <c r="AH1159" s="28"/>
      <c r="AI1159" s="28"/>
      <c r="AJ1159" s="28"/>
      <c r="AK1159" s="28"/>
      <c r="AL1159" s="28"/>
      <c r="AM1159" s="28"/>
      <c r="AN1159" s="28"/>
      <c r="AO1159" s="28"/>
      <c r="AP1159" s="28"/>
      <c r="AQ1159" s="28"/>
      <c r="AR1159" s="28"/>
      <c r="AS1159" s="28"/>
      <c r="AT1159" s="28"/>
      <c r="AU1159" s="28"/>
      <c r="AV1159" s="28"/>
      <c r="AW1159" s="28"/>
      <c r="AX1159" s="28"/>
      <c r="AY1159" s="28"/>
      <c r="AZ1159" s="28"/>
      <c r="BA1159" s="28"/>
      <c r="BB1159" s="28"/>
    </row>
    <row r="1160" spans="1:54" ht="12.75" x14ac:dyDescent="0.2">
      <c r="A1160" s="28"/>
      <c r="B1160" s="28"/>
      <c r="C1160" s="28"/>
      <c r="D1160" s="28"/>
      <c r="E1160" s="28"/>
      <c r="F1160" s="28"/>
      <c r="G1160" s="28"/>
      <c r="H1160" s="28"/>
      <c r="I1160" s="28"/>
      <c r="J1160" s="28"/>
      <c r="K1160" s="28"/>
      <c r="L1160" s="28"/>
      <c r="M1160" s="28"/>
      <c r="N1160" s="28"/>
      <c r="O1160" s="28"/>
      <c r="P1160" s="28"/>
      <c r="Q1160" s="28"/>
      <c r="R1160" s="28"/>
      <c r="S1160" s="28"/>
      <c r="T1160" s="28"/>
      <c r="U1160" s="28"/>
      <c r="V1160" s="28"/>
      <c r="W1160" s="28"/>
      <c r="X1160" s="28"/>
      <c r="Y1160" s="28"/>
      <c r="Z1160" s="28"/>
      <c r="AA1160" s="28"/>
      <c r="AB1160" s="28"/>
      <c r="AC1160" s="28"/>
      <c r="AD1160" s="28"/>
      <c r="AE1160" s="28"/>
      <c r="AF1160" s="28"/>
      <c r="AG1160" s="28"/>
      <c r="AH1160" s="28"/>
      <c r="AI1160" s="28"/>
      <c r="AJ1160" s="28"/>
      <c r="AK1160" s="28"/>
      <c r="AL1160" s="28"/>
      <c r="AM1160" s="28"/>
      <c r="AN1160" s="28"/>
      <c r="AO1160" s="28"/>
      <c r="AP1160" s="28"/>
      <c r="AQ1160" s="28"/>
      <c r="AR1160" s="28"/>
      <c r="AS1160" s="28"/>
      <c r="AT1160" s="28"/>
      <c r="AU1160" s="28"/>
      <c r="AV1160" s="28"/>
      <c r="AW1160" s="28"/>
      <c r="AX1160" s="28"/>
      <c r="AY1160" s="28"/>
      <c r="AZ1160" s="28"/>
      <c r="BA1160" s="28"/>
      <c r="BB1160" s="28"/>
    </row>
    <row r="1161" spans="1:54" ht="12.75" x14ac:dyDescent="0.2">
      <c r="A1161" s="28"/>
      <c r="B1161" s="28"/>
      <c r="C1161" s="28"/>
      <c r="D1161" s="28"/>
      <c r="E1161" s="28"/>
      <c r="F1161" s="28"/>
      <c r="G1161" s="28"/>
      <c r="H1161" s="28"/>
      <c r="I1161" s="28"/>
      <c r="J1161" s="28"/>
      <c r="K1161" s="28"/>
      <c r="L1161" s="28"/>
      <c r="M1161" s="28"/>
      <c r="N1161" s="28"/>
      <c r="O1161" s="28"/>
      <c r="P1161" s="28"/>
      <c r="Q1161" s="28"/>
      <c r="R1161" s="28"/>
      <c r="S1161" s="28"/>
      <c r="T1161" s="28"/>
      <c r="U1161" s="28"/>
      <c r="V1161" s="28"/>
      <c r="W1161" s="28"/>
      <c r="X1161" s="28"/>
      <c r="Y1161" s="28"/>
      <c r="Z1161" s="28"/>
      <c r="AA1161" s="28"/>
      <c r="AB1161" s="28"/>
      <c r="AC1161" s="28"/>
      <c r="AD1161" s="28"/>
      <c r="AE1161" s="28"/>
      <c r="AF1161" s="28"/>
      <c r="AG1161" s="28"/>
      <c r="AH1161" s="28"/>
      <c r="AI1161" s="28"/>
      <c r="AJ1161" s="28"/>
      <c r="AK1161" s="28"/>
      <c r="AL1161" s="28"/>
      <c r="AM1161" s="28"/>
      <c r="AN1161" s="28"/>
      <c r="AO1161" s="28"/>
      <c r="AP1161" s="28"/>
      <c r="AQ1161" s="28"/>
      <c r="AR1161" s="28"/>
      <c r="AS1161" s="28"/>
      <c r="AT1161" s="28"/>
      <c r="AU1161" s="28"/>
      <c r="AV1161" s="28"/>
      <c r="AW1161" s="28"/>
      <c r="AX1161" s="28"/>
      <c r="AY1161" s="28"/>
      <c r="AZ1161" s="28"/>
      <c r="BA1161" s="28"/>
      <c r="BB1161" s="28"/>
    </row>
    <row r="1162" spans="1:54" ht="12.75" x14ac:dyDescent="0.2">
      <c r="A1162" s="28"/>
      <c r="B1162" s="28"/>
      <c r="C1162" s="28"/>
      <c r="D1162" s="28"/>
      <c r="E1162" s="28"/>
      <c r="F1162" s="28"/>
      <c r="G1162" s="28"/>
      <c r="H1162" s="28"/>
      <c r="I1162" s="28"/>
      <c r="J1162" s="28"/>
      <c r="K1162" s="28"/>
      <c r="L1162" s="28"/>
      <c r="M1162" s="28"/>
      <c r="N1162" s="28"/>
      <c r="O1162" s="28"/>
      <c r="P1162" s="28"/>
      <c r="Q1162" s="28"/>
      <c r="R1162" s="28"/>
      <c r="S1162" s="28"/>
      <c r="T1162" s="28"/>
      <c r="U1162" s="28"/>
      <c r="V1162" s="28"/>
      <c r="W1162" s="28"/>
      <c r="X1162" s="28"/>
      <c r="Y1162" s="28"/>
      <c r="Z1162" s="28"/>
      <c r="AA1162" s="28"/>
      <c r="AB1162" s="28"/>
      <c r="AC1162" s="28"/>
      <c r="AD1162" s="28"/>
      <c r="AE1162" s="28"/>
      <c r="AF1162" s="28"/>
      <c r="AG1162" s="28"/>
      <c r="AH1162" s="28"/>
      <c r="AI1162" s="28"/>
      <c r="AJ1162" s="28"/>
      <c r="AK1162" s="28"/>
      <c r="AL1162" s="28"/>
      <c r="AM1162" s="28"/>
      <c r="AN1162" s="28"/>
      <c r="AO1162" s="28"/>
      <c r="AP1162" s="28"/>
      <c r="AQ1162" s="28"/>
      <c r="AR1162" s="28"/>
      <c r="AS1162" s="28"/>
      <c r="AT1162" s="28"/>
      <c r="AU1162" s="28"/>
      <c r="AV1162" s="28"/>
      <c r="AW1162" s="28"/>
      <c r="AX1162" s="28"/>
      <c r="AY1162" s="28"/>
      <c r="AZ1162" s="28"/>
      <c r="BA1162" s="28"/>
      <c r="BB1162" s="28"/>
    </row>
    <row r="1163" spans="1:54" ht="12.75" x14ac:dyDescent="0.2">
      <c r="A1163" s="28"/>
      <c r="B1163" s="28"/>
      <c r="C1163" s="28"/>
      <c r="D1163" s="28"/>
      <c r="E1163" s="28"/>
      <c r="F1163" s="28"/>
      <c r="G1163" s="28"/>
      <c r="H1163" s="28"/>
      <c r="I1163" s="28"/>
      <c r="J1163" s="28"/>
      <c r="K1163" s="28"/>
      <c r="L1163" s="28"/>
      <c r="M1163" s="28"/>
      <c r="N1163" s="28"/>
      <c r="O1163" s="28"/>
      <c r="P1163" s="28"/>
      <c r="Q1163" s="28"/>
      <c r="R1163" s="28"/>
      <c r="S1163" s="28"/>
      <c r="T1163" s="28"/>
      <c r="U1163" s="28"/>
      <c r="V1163" s="28"/>
      <c r="W1163" s="28"/>
      <c r="X1163" s="28"/>
      <c r="Y1163" s="28"/>
      <c r="Z1163" s="28"/>
      <c r="AA1163" s="28"/>
      <c r="AB1163" s="28"/>
      <c r="AC1163" s="28"/>
      <c r="AD1163" s="28"/>
      <c r="AE1163" s="28"/>
      <c r="AF1163" s="28"/>
      <c r="AG1163" s="28"/>
      <c r="AH1163" s="28"/>
      <c r="AI1163" s="28"/>
      <c r="AJ1163" s="28"/>
      <c r="AK1163" s="28"/>
      <c r="AL1163" s="28"/>
      <c r="AM1163" s="28"/>
      <c r="AN1163" s="28"/>
      <c r="AO1163" s="28"/>
      <c r="AP1163" s="28"/>
      <c r="AQ1163" s="28"/>
      <c r="AR1163" s="28"/>
      <c r="AS1163" s="28"/>
      <c r="AT1163" s="28"/>
      <c r="AU1163" s="28"/>
      <c r="AV1163" s="28"/>
      <c r="AW1163" s="28"/>
      <c r="AX1163" s="28"/>
      <c r="AY1163" s="28"/>
      <c r="AZ1163" s="28"/>
      <c r="BA1163" s="28"/>
      <c r="BB1163" s="28"/>
    </row>
    <row r="1164" spans="1:54" ht="12.75" x14ac:dyDescent="0.2">
      <c r="A1164" s="28"/>
      <c r="B1164" s="28"/>
      <c r="C1164" s="28"/>
      <c r="D1164" s="28"/>
      <c r="E1164" s="28"/>
      <c r="F1164" s="28"/>
      <c r="G1164" s="28"/>
      <c r="H1164" s="28"/>
      <c r="I1164" s="28"/>
      <c r="J1164" s="28"/>
      <c r="K1164" s="28"/>
      <c r="L1164" s="28"/>
      <c r="M1164" s="28"/>
      <c r="N1164" s="28"/>
      <c r="O1164" s="28"/>
      <c r="P1164" s="28"/>
      <c r="Q1164" s="28"/>
      <c r="R1164" s="28"/>
      <c r="S1164" s="28"/>
      <c r="T1164" s="28"/>
      <c r="U1164" s="28"/>
      <c r="V1164" s="28"/>
      <c r="W1164" s="28"/>
      <c r="X1164" s="28"/>
      <c r="Y1164" s="28"/>
      <c r="Z1164" s="28"/>
      <c r="AA1164" s="28"/>
      <c r="AB1164" s="28"/>
      <c r="AC1164" s="28"/>
      <c r="AD1164" s="28"/>
      <c r="AE1164" s="28"/>
      <c r="AF1164" s="28"/>
      <c r="AG1164" s="28"/>
      <c r="AH1164" s="28"/>
      <c r="AI1164" s="28"/>
      <c r="AJ1164" s="28"/>
      <c r="AK1164" s="28"/>
      <c r="AL1164" s="28"/>
      <c r="AM1164" s="28"/>
      <c r="AN1164" s="28"/>
      <c r="AO1164" s="28"/>
      <c r="AP1164" s="28"/>
      <c r="AQ1164" s="28"/>
      <c r="AR1164" s="28"/>
      <c r="AS1164" s="28"/>
      <c r="AT1164" s="28"/>
      <c r="AU1164" s="28"/>
      <c r="AV1164" s="28"/>
      <c r="AW1164" s="28"/>
      <c r="AX1164" s="28"/>
      <c r="AY1164" s="28"/>
      <c r="AZ1164" s="28"/>
      <c r="BA1164" s="28"/>
      <c r="BB1164" s="28"/>
    </row>
    <row r="1165" spans="1:54" ht="12.75" x14ac:dyDescent="0.2">
      <c r="A1165" s="28"/>
      <c r="B1165" s="28"/>
      <c r="C1165" s="28"/>
      <c r="D1165" s="28"/>
      <c r="E1165" s="28"/>
      <c r="F1165" s="28"/>
      <c r="G1165" s="28"/>
      <c r="H1165" s="28"/>
      <c r="I1165" s="28"/>
      <c r="J1165" s="28"/>
      <c r="K1165" s="28"/>
      <c r="L1165" s="28"/>
      <c r="M1165" s="28"/>
      <c r="N1165" s="28"/>
      <c r="O1165" s="28"/>
      <c r="P1165" s="28"/>
      <c r="Q1165" s="28"/>
      <c r="R1165" s="28"/>
      <c r="S1165" s="28"/>
      <c r="T1165" s="28"/>
      <c r="U1165" s="28"/>
      <c r="V1165" s="28"/>
      <c r="W1165" s="28"/>
      <c r="X1165" s="28"/>
      <c r="Y1165" s="28"/>
      <c r="Z1165" s="28"/>
      <c r="AA1165" s="28"/>
      <c r="AB1165" s="28"/>
      <c r="AC1165" s="28"/>
      <c r="AD1165" s="28"/>
      <c r="AE1165" s="28"/>
      <c r="AF1165" s="28"/>
      <c r="AG1165" s="28"/>
      <c r="AH1165" s="28"/>
      <c r="AI1165" s="28"/>
      <c r="AJ1165" s="28"/>
      <c r="AK1165" s="28"/>
      <c r="AL1165" s="28"/>
      <c r="AM1165" s="28"/>
      <c r="AN1165" s="28"/>
      <c r="AO1165" s="28"/>
      <c r="AP1165" s="28"/>
      <c r="AQ1165" s="28"/>
      <c r="AR1165" s="28"/>
      <c r="AS1165" s="28"/>
      <c r="AT1165" s="28"/>
      <c r="AU1165" s="28"/>
      <c r="AV1165" s="28"/>
      <c r="AW1165" s="28"/>
      <c r="AX1165" s="28"/>
      <c r="AY1165" s="28"/>
      <c r="AZ1165" s="28"/>
      <c r="BA1165" s="28"/>
      <c r="BB1165" s="28"/>
    </row>
    <row r="1166" spans="1:54" ht="12.75" x14ac:dyDescent="0.2">
      <c r="A1166" s="28"/>
      <c r="B1166" s="28"/>
      <c r="C1166" s="28"/>
      <c r="D1166" s="28"/>
      <c r="E1166" s="28"/>
      <c r="F1166" s="28"/>
      <c r="G1166" s="28"/>
      <c r="H1166" s="28"/>
      <c r="I1166" s="28"/>
      <c r="J1166" s="28"/>
      <c r="K1166" s="28"/>
      <c r="L1166" s="28"/>
      <c r="M1166" s="28"/>
      <c r="N1166" s="28"/>
      <c r="O1166" s="28"/>
      <c r="P1166" s="28"/>
      <c r="Q1166" s="28"/>
      <c r="R1166" s="28"/>
      <c r="S1166" s="28"/>
      <c r="T1166" s="28"/>
      <c r="U1166" s="28"/>
      <c r="V1166" s="28"/>
      <c r="W1166" s="28"/>
      <c r="X1166" s="28"/>
      <c r="Y1166" s="28"/>
      <c r="Z1166" s="28"/>
      <c r="AA1166" s="28"/>
      <c r="AB1166" s="28"/>
      <c r="AC1166" s="28"/>
      <c r="AD1166" s="28"/>
      <c r="AE1166" s="28"/>
      <c r="AF1166" s="28"/>
      <c r="AG1166" s="28"/>
      <c r="AH1166" s="28"/>
      <c r="AI1166" s="28"/>
      <c r="AJ1166" s="28"/>
      <c r="AK1166" s="28"/>
      <c r="AL1166" s="28"/>
      <c r="AM1166" s="28"/>
      <c r="AN1166" s="28"/>
      <c r="AO1166" s="28"/>
      <c r="AP1166" s="28"/>
      <c r="AQ1166" s="28"/>
      <c r="AR1166" s="28"/>
      <c r="AS1166" s="28"/>
      <c r="AT1166" s="28"/>
      <c r="AU1166" s="28"/>
      <c r="AV1166" s="28"/>
      <c r="AW1166" s="28"/>
      <c r="AX1166" s="28"/>
      <c r="AY1166" s="28"/>
      <c r="AZ1166" s="28"/>
      <c r="BA1166" s="28"/>
      <c r="BB1166" s="28"/>
    </row>
    <row r="1167" spans="1:54" ht="12.75" x14ac:dyDescent="0.2">
      <c r="A1167" s="28"/>
      <c r="B1167" s="28"/>
      <c r="C1167" s="28"/>
      <c r="D1167" s="28"/>
      <c r="E1167" s="28"/>
      <c r="F1167" s="28"/>
      <c r="G1167" s="28"/>
      <c r="H1167" s="28"/>
      <c r="I1167" s="28"/>
      <c r="J1167" s="28"/>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8"/>
      <c r="AJ1167" s="28"/>
      <c r="AK1167" s="28"/>
      <c r="AL1167" s="28"/>
      <c r="AM1167" s="28"/>
      <c r="AN1167" s="28"/>
      <c r="AO1167" s="28"/>
      <c r="AP1167" s="28"/>
      <c r="AQ1167" s="28"/>
      <c r="AR1167" s="28"/>
      <c r="AS1167" s="28"/>
      <c r="AT1167" s="28"/>
      <c r="AU1167" s="28"/>
      <c r="AV1167" s="28"/>
      <c r="AW1167" s="28"/>
      <c r="AX1167" s="28"/>
      <c r="AY1167" s="28"/>
      <c r="AZ1167" s="28"/>
      <c r="BA1167" s="28"/>
      <c r="BB1167" s="28"/>
    </row>
    <row r="1168" spans="1:54" ht="12.75" x14ac:dyDescent="0.2">
      <c r="A1168" s="28"/>
      <c r="B1168" s="28"/>
      <c r="C1168" s="28"/>
      <c r="D1168" s="28"/>
      <c r="E1168" s="28"/>
      <c r="F1168" s="28"/>
      <c r="G1168" s="28"/>
      <c r="H1168" s="28"/>
      <c r="I1168" s="28"/>
      <c r="J1168" s="28"/>
      <c r="K1168" s="28"/>
      <c r="L1168" s="28"/>
      <c r="M1168" s="28"/>
      <c r="N1168" s="28"/>
      <c r="O1168" s="28"/>
      <c r="P1168" s="28"/>
      <c r="Q1168" s="28"/>
      <c r="R1168" s="28"/>
      <c r="S1168" s="28"/>
      <c r="T1168" s="28"/>
      <c r="U1168" s="28"/>
      <c r="V1168" s="28"/>
      <c r="W1168" s="28"/>
      <c r="X1168" s="28"/>
      <c r="Y1168" s="28"/>
      <c r="Z1168" s="28"/>
      <c r="AA1168" s="28"/>
      <c r="AB1168" s="28"/>
      <c r="AC1168" s="28"/>
      <c r="AD1168" s="28"/>
      <c r="AE1168" s="28"/>
      <c r="AF1168" s="28"/>
      <c r="AG1168" s="28"/>
      <c r="AH1168" s="28"/>
      <c r="AI1168" s="28"/>
      <c r="AJ1168" s="28"/>
      <c r="AK1168" s="28"/>
      <c r="AL1168" s="28"/>
      <c r="AM1168" s="28"/>
      <c r="AN1168" s="28"/>
      <c r="AO1168" s="28"/>
      <c r="AP1168" s="28"/>
      <c r="AQ1168" s="28"/>
      <c r="AR1168" s="28"/>
      <c r="AS1168" s="28"/>
      <c r="AT1168" s="28"/>
      <c r="AU1168" s="28"/>
      <c r="AV1168" s="28"/>
      <c r="AW1168" s="28"/>
      <c r="AX1168" s="28"/>
      <c r="AY1168" s="28"/>
      <c r="AZ1168" s="28"/>
      <c r="BA1168" s="28"/>
      <c r="BB1168" s="28"/>
    </row>
    <row r="1169" spans="1:54" ht="12.75" x14ac:dyDescent="0.2">
      <c r="A1169" s="28"/>
      <c r="B1169" s="28"/>
      <c r="C1169" s="28"/>
      <c r="D1169" s="28"/>
      <c r="E1169" s="28"/>
      <c r="F1169" s="28"/>
      <c r="G1169" s="28"/>
      <c r="H1169" s="28"/>
      <c r="I1169" s="28"/>
      <c r="J1169" s="28"/>
      <c r="K1169" s="28"/>
      <c r="L1169" s="28"/>
      <c r="M1169" s="28"/>
      <c r="N1169" s="28"/>
      <c r="O1169" s="28"/>
      <c r="P1169" s="28"/>
      <c r="Q1169" s="28"/>
      <c r="R1169" s="28"/>
      <c r="S1169" s="28"/>
      <c r="T1169" s="28"/>
      <c r="U1169" s="28"/>
      <c r="V1169" s="28"/>
      <c r="W1169" s="28"/>
      <c r="X1169" s="28"/>
      <c r="Y1169" s="28"/>
      <c r="Z1169" s="28"/>
      <c r="AA1169" s="28"/>
      <c r="AB1169" s="28"/>
      <c r="AC1169" s="28"/>
      <c r="AD1169" s="28"/>
      <c r="AE1169" s="28"/>
      <c r="AF1169" s="28"/>
      <c r="AG1169" s="28"/>
      <c r="AH1169" s="28"/>
      <c r="AI1169" s="28"/>
      <c r="AJ1169" s="28"/>
      <c r="AK1169" s="28"/>
      <c r="AL1169" s="28"/>
      <c r="AM1169" s="28"/>
      <c r="AN1169" s="28"/>
      <c r="AO1169" s="28"/>
      <c r="AP1169" s="28"/>
      <c r="AQ1169" s="28"/>
      <c r="AR1169" s="28"/>
      <c r="AS1169" s="28"/>
      <c r="AT1169" s="28"/>
      <c r="AU1169" s="28"/>
      <c r="AV1169" s="28"/>
      <c r="AW1169" s="28"/>
      <c r="AX1169" s="28"/>
      <c r="AY1169" s="28"/>
      <c r="AZ1169" s="28"/>
      <c r="BA1169" s="28"/>
      <c r="BB1169" s="28"/>
    </row>
    <row r="1170" spans="1:54" ht="12.75" x14ac:dyDescent="0.2">
      <c r="A1170" s="28"/>
      <c r="B1170" s="28"/>
      <c r="C1170" s="28"/>
      <c r="D1170" s="28"/>
      <c r="E1170" s="28"/>
      <c r="F1170" s="28"/>
      <c r="G1170" s="28"/>
      <c r="H1170" s="28"/>
      <c r="I1170" s="28"/>
      <c r="J1170" s="28"/>
      <c r="K1170" s="28"/>
      <c r="L1170" s="28"/>
      <c r="M1170" s="28"/>
      <c r="N1170" s="28"/>
      <c r="O1170" s="28"/>
      <c r="P1170" s="28"/>
      <c r="Q1170" s="28"/>
      <c r="R1170" s="28"/>
      <c r="S1170" s="28"/>
      <c r="T1170" s="28"/>
      <c r="U1170" s="28"/>
      <c r="V1170" s="28"/>
      <c r="W1170" s="28"/>
      <c r="X1170" s="28"/>
      <c r="Y1170" s="28"/>
      <c r="Z1170" s="28"/>
      <c r="AA1170" s="28"/>
      <c r="AB1170" s="28"/>
      <c r="AC1170" s="28"/>
      <c r="AD1170" s="28"/>
      <c r="AE1170" s="28"/>
      <c r="AF1170" s="28"/>
      <c r="AG1170" s="28"/>
      <c r="AH1170" s="28"/>
      <c r="AI1170" s="28"/>
      <c r="AJ1170" s="28"/>
      <c r="AK1170" s="28"/>
      <c r="AL1170" s="28"/>
      <c r="AM1170" s="28"/>
      <c r="AN1170" s="28"/>
      <c r="AO1170" s="28"/>
      <c r="AP1170" s="28"/>
      <c r="AQ1170" s="28"/>
      <c r="AR1170" s="28"/>
      <c r="AS1170" s="28"/>
      <c r="AT1170" s="28"/>
      <c r="AU1170" s="28"/>
      <c r="AV1170" s="28"/>
      <c r="AW1170" s="28"/>
      <c r="AX1170" s="28"/>
      <c r="AY1170" s="28"/>
      <c r="AZ1170" s="28"/>
      <c r="BA1170" s="28"/>
      <c r="BB1170" s="28"/>
    </row>
    <row r="1171" spans="1:54" ht="12.75" x14ac:dyDescent="0.2">
      <c r="A1171" s="28"/>
      <c r="B1171" s="28"/>
      <c r="C1171" s="28"/>
      <c r="D1171" s="28"/>
      <c r="E1171" s="28"/>
      <c r="F1171" s="28"/>
      <c r="G1171" s="28"/>
      <c r="H1171" s="28"/>
      <c r="I1171" s="28"/>
      <c r="J1171" s="28"/>
      <c r="K1171" s="28"/>
      <c r="L1171" s="28"/>
      <c r="M1171" s="28"/>
      <c r="N1171" s="28"/>
      <c r="O1171" s="28"/>
      <c r="P1171" s="28"/>
      <c r="Q1171" s="28"/>
      <c r="R1171" s="28"/>
      <c r="S1171" s="28"/>
      <c r="T1171" s="28"/>
      <c r="U1171" s="28"/>
      <c r="V1171" s="28"/>
      <c r="W1171" s="28"/>
      <c r="X1171" s="28"/>
      <c r="Y1171" s="28"/>
      <c r="Z1171" s="28"/>
      <c r="AA1171" s="28"/>
      <c r="AB1171" s="28"/>
      <c r="AC1171" s="28"/>
      <c r="AD1171" s="28"/>
      <c r="AE1171" s="28"/>
      <c r="AF1171" s="28"/>
      <c r="AG1171" s="28"/>
      <c r="AH1171" s="28"/>
      <c r="AI1171" s="28"/>
      <c r="AJ1171" s="28"/>
      <c r="AK1171" s="28"/>
      <c r="AL1171" s="28"/>
      <c r="AM1171" s="28"/>
      <c r="AN1171" s="28"/>
      <c r="AO1171" s="28"/>
      <c r="AP1171" s="28"/>
      <c r="AQ1171" s="28"/>
      <c r="AR1171" s="28"/>
      <c r="AS1171" s="28"/>
      <c r="AT1171" s="28"/>
      <c r="AU1171" s="28"/>
      <c r="AV1171" s="28"/>
      <c r="AW1171" s="28"/>
      <c r="AX1171" s="28"/>
      <c r="AY1171" s="28"/>
      <c r="AZ1171" s="28"/>
      <c r="BA1171" s="28"/>
      <c r="BB1171" s="28"/>
    </row>
    <row r="1172" spans="1:54" ht="12.75" x14ac:dyDescent="0.2">
      <c r="A1172" s="28"/>
      <c r="B1172" s="28"/>
      <c r="C1172" s="28"/>
      <c r="D1172" s="28"/>
      <c r="E1172" s="28"/>
      <c r="F1172" s="28"/>
      <c r="G1172" s="28"/>
      <c r="H1172" s="28"/>
      <c r="I1172" s="28"/>
      <c r="J1172" s="28"/>
      <c r="K1172" s="28"/>
      <c r="L1172" s="28"/>
      <c r="M1172" s="28"/>
      <c r="N1172" s="28"/>
      <c r="O1172" s="28"/>
      <c r="P1172" s="28"/>
      <c r="Q1172" s="28"/>
      <c r="R1172" s="28"/>
      <c r="S1172" s="28"/>
      <c r="T1172" s="28"/>
      <c r="U1172" s="28"/>
      <c r="V1172" s="28"/>
      <c r="W1172" s="28"/>
      <c r="X1172" s="28"/>
      <c r="Y1172" s="28"/>
      <c r="Z1172" s="28"/>
      <c r="AA1172" s="28"/>
      <c r="AB1172" s="28"/>
      <c r="AC1172" s="28"/>
      <c r="AD1172" s="28"/>
      <c r="AE1172" s="28"/>
      <c r="AF1172" s="28"/>
      <c r="AG1172" s="28"/>
      <c r="AH1172" s="28"/>
      <c r="AI1172" s="28"/>
      <c r="AJ1172" s="28"/>
      <c r="AK1172" s="28"/>
      <c r="AL1172" s="28"/>
      <c r="AM1172" s="28"/>
      <c r="AN1172" s="28"/>
      <c r="AO1172" s="28"/>
      <c r="AP1172" s="28"/>
      <c r="AQ1172" s="28"/>
      <c r="AR1172" s="28"/>
      <c r="AS1172" s="28"/>
      <c r="AT1172" s="28"/>
      <c r="AU1172" s="28"/>
      <c r="AV1172" s="28"/>
      <c r="AW1172" s="28"/>
      <c r="AX1172" s="28"/>
      <c r="AY1172" s="28"/>
      <c r="AZ1172" s="28"/>
      <c r="BA1172" s="28"/>
      <c r="BB1172" s="28"/>
    </row>
    <row r="1173" spans="1:54" ht="12.75" x14ac:dyDescent="0.2">
      <c r="A1173" s="28"/>
      <c r="B1173" s="28"/>
      <c r="C1173" s="28"/>
      <c r="D1173" s="28"/>
      <c r="E1173" s="28"/>
      <c r="F1173" s="28"/>
      <c r="G1173" s="28"/>
      <c r="H1173" s="28"/>
      <c r="I1173" s="28"/>
      <c r="J1173" s="28"/>
      <c r="K1173" s="28"/>
      <c r="L1173" s="28"/>
      <c r="M1173" s="28"/>
      <c r="N1173" s="28"/>
      <c r="O1173" s="28"/>
      <c r="P1173" s="28"/>
      <c r="Q1173" s="28"/>
      <c r="R1173" s="28"/>
      <c r="S1173" s="28"/>
      <c r="T1173" s="28"/>
      <c r="U1173" s="28"/>
      <c r="V1173" s="28"/>
      <c r="W1173" s="28"/>
      <c r="X1173" s="28"/>
      <c r="Y1173" s="28"/>
      <c r="Z1173" s="28"/>
      <c r="AA1173" s="28"/>
      <c r="AB1173" s="28"/>
      <c r="AC1173" s="28"/>
      <c r="AD1173" s="28"/>
      <c r="AE1173" s="28"/>
      <c r="AF1173" s="28"/>
      <c r="AG1173" s="28"/>
      <c r="AH1173" s="28"/>
      <c r="AI1173" s="28"/>
      <c r="AJ1173" s="28"/>
      <c r="AK1173" s="28"/>
      <c r="AL1173" s="28"/>
      <c r="AM1173" s="28"/>
      <c r="AN1173" s="28"/>
      <c r="AO1173" s="28"/>
      <c r="AP1173" s="28"/>
      <c r="AQ1173" s="28"/>
      <c r="AR1173" s="28"/>
      <c r="AS1173" s="28"/>
      <c r="AT1173" s="28"/>
      <c r="AU1173" s="28"/>
      <c r="AV1173" s="28"/>
      <c r="AW1173" s="28"/>
      <c r="AX1173" s="28"/>
      <c r="AY1173" s="28"/>
      <c r="AZ1173" s="28"/>
      <c r="BA1173" s="28"/>
      <c r="BB1173" s="28"/>
    </row>
    <row r="1174" spans="1:54" ht="12.75" x14ac:dyDescent="0.2">
      <c r="A1174" s="28"/>
      <c r="B1174" s="28"/>
      <c r="C1174" s="28"/>
      <c r="D1174" s="28"/>
      <c r="E1174" s="28"/>
      <c r="F1174" s="28"/>
      <c r="G1174" s="28"/>
      <c r="H1174" s="28"/>
      <c r="I1174" s="28"/>
      <c r="J1174" s="28"/>
      <c r="K1174" s="28"/>
      <c r="L1174" s="28"/>
      <c r="M1174" s="28"/>
      <c r="N1174" s="28"/>
      <c r="O1174" s="28"/>
      <c r="P1174" s="28"/>
      <c r="Q1174" s="28"/>
      <c r="R1174" s="28"/>
      <c r="S1174" s="28"/>
      <c r="T1174" s="28"/>
      <c r="U1174" s="28"/>
      <c r="V1174" s="28"/>
      <c r="W1174" s="28"/>
      <c r="X1174" s="28"/>
      <c r="Y1174" s="28"/>
      <c r="Z1174" s="28"/>
      <c r="AA1174" s="28"/>
      <c r="AB1174" s="28"/>
      <c r="AC1174" s="28"/>
      <c r="AD1174" s="28"/>
      <c r="AE1174" s="28"/>
      <c r="AF1174" s="28"/>
      <c r="AG1174" s="28"/>
      <c r="AH1174" s="28"/>
      <c r="AI1174" s="28"/>
      <c r="AJ1174" s="28"/>
      <c r="AK1174" s="28"/>
      <c r="AL1174" s="28"/>
      <c r="AM1174" s="28"/>
      <c r="AN1174" s="28"/>
      <c r="AO1174" s="28"/>
      <c r="AP1174" s="28"/>
      <c r="AQ1174" s="28"/>
      <c r="AR1174" s="28"/>
      <c r="AS1174" s="28"/>
      <c r="AT1174" s="28"/>
      <c r="AU1174" s="28"/>
      <c r="AV1174" s="28"/>
      <c r="AW1174" s="28"/>
      <c r="AX1174" s="28"/>
      <c r="AY1174" s="28"/>
      <c r="AZ1174" s="28"/>
      <c r="BA1174" s="28"/>
      <c r="BB1174" s="28"/>
    </row>
    <row r="1175" spans="1:54" ht="12.75" x14ac:dyDescent="0.2">
      <c r="A1175" s="28"/>
      <c r="B1175" s="28"/>
      <c r="C1175" s="28"/>
      <c r="D1175" s="28"/>
      <c r="E1175" s="28"/>
      <c r="F1175" s="28"/>
      <c r="G1175" s="28"/>
      <c r="H1175" s="28"/>
      <c r="I1175" s="28"/>
      <c r="J1175" s="28"/>
      <c r="K1175" s="28"/>
      <c r="L1175" s="28"/>
      <c r="M1175" s="28"/>
      <c r="N1175" s="28"/>
      <c r="O1175" s="28"/>
      <c r="P1175" s="28"/>
      <c r="Q1175" s="28"/>
      <c r="R1175" s="28"/>
      <c r="S1175" s="28"/>
      <c r="T1175" s="28"/>
      <c r="U1175" s="28"/>
      <c r="V1175" s="28"/>
      <c r="W1175" s="28"/>
      <c r="X1175" s="28"/>
      <c r="Y1175" s="28"/>
      <c r="Z1175" s="28"/>
      <c r="AA1175" s="28"/>
      <c r="AB1175" s="28"/>
      <c r="AC1175" s="28"/>
      <c r="AD1175" s="28"/>
      <c r="AE1175" s="28"/>
      <c r="AF1175" s="28"/>
      <c r="AG1175" s="28"/>
      <c r="AH1175" s="28"/>
      <c r="AI1175" s="28"/>
      <c r="AJ1175" s="28"/>
      <c r="AK1175" s="28"/>
      <c r="AL1175" s="28"/>
      <c r="AM1175" s="28"/>
      <c r="AN1175" s="28"/>
      <c r="AO1175" s="28"/>
      <c r="AP1175" s="28"/>
      <c r="AQ1175" s="28"/>
      <c r="AR1175" s="28"/>
      <c r="AS1175" s="28"/>
      <c r="AT1175" s="28"/>
      <c r="AU1175" s="28"/>
      <c r="AV1175" s="28"/>
      <c r="AW1175" s="28"/>
      <c r="AX1175" s="28"/>
      <c r="AY1175" s="28"/>
      <c r="AZ1175" s="28"/>
      <c r="BA1175" s="28"/>
      <c r="BB1175" s="28"/>
    </row>
    <row r="1176" spans="1:54" ht="12.75" x14ac:dyDescent="0.2">
      <c r="A1176" s="28"/>
      <c r="B1176" s="28"/>
      <c r="C1176" s="28"/>
      <c r="D1176" s="28"/>
      <c r="E1176" s="28"/>
      <c r="F1176" s="28"/>
      <c r="G1176" s="28"/>
      <c r="H1176" s="28"/>
      <c r="I1176" s="28"/>
      <c r="J1176" s="28"/>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8"/>
      <c r="AJ1176" s="28"/>
      <c r="AK1176" s="28"/>
      <c r="AL1176" s="28"/>
      <c r="AM1176" s="28"/>
      <c r="AN1176" s="28"/>
      <c r="AO1176" s="28"/>
      <c r="AP1176" s="28"/>
      <c r="AQ1176" s="28"/>
      <c r="AR1176" s="28"/>
      <c r="AS1176" s="28"/>
      <c r="AT1176" s="28"/>
      <c r="AU1176" s="28"/>
      <c r="AV1176" s="28"/>
      <c r="AW1176" s="28"/>
      <c r="AX1176" s="28"/>
      <c r="AY1176" s="28"/>
      <c r="AZ1176" s="28"/>
      <c r="BA1176" s="28"/>
      <c r="BB1176" s="28"/>
    </row>
    <row r="1177" spans="1:54" ht="12.75" x14ac:dyDescent="0.2">
      <c r="A1177" s="28"/>
      <c r="B1177" s="28"/>
      <c r="C1177" s="28"/>
      <c r="D1177" s="28"/>
      <c r="E1177" s="28"/>
      <c r="F1177" s="28"/>
      <c r="G1177" s="28"/>
      <c r="H1177" s="28"/>
      <c r="I1177" s="28"/>
      <c r="J1177" s="28"/>
      <c r="K1177" s="28"/>
      <c r="L1177" s="28"/>
      <c r="M1177" s="28"/>
      <c r="N1177" s="28"/>
      <c r="O1177" s="28"/>
      <c r="P1177" s="28"/>
      <c r="Q1177" s="28"/>
      <c r="R1177" s="28"/>
      <c r="S1177" s="28"/>
      <c r="T1177" s="28"/>
      <c r="U1177" s="28"/>
      <c r="V1177" s="28"/>
      <c r="W1177" s="28"/>
      <c r="X1177" s="28"/>
      <c r="Y1177" s="28"/>
      <c r="Z1177" s="28"/>
      <c r="AA1177" s="28"/>
      <c r="AB1177" s="28"/>
      <c r="AC1177" s="28"/>
      <c r="AD1177" s="28"/>
      <c r="AE1177" s="28"/>
      <c r="AF1177" s="28"/>
      <c r="AG1177" s="28"/>
      <c r="AH1177" s="28"/>
      <c r="AI1177" s="28"/>
      <c r="AJ1177" s="28"/>
      <c r="AK1177" s="28"/>
      <c r="AL1177" s="28"/>
      <c r="AM1177" s="28"/>
      <c r="AN1177" s="28"/>
      <c r="AO1177" s="28"/>
      <c r="AP1177" s="28"/>
      <c r="AQ1177" s="28"/>
      <c r="AR1177" s="28"/>
      <c r="AS1177" s="28"/>
      <c r="AT1177" s="28"/>
      <c r="AU1177" s="28"/>
      <c r="AV1177" s="28"/>
      <c r="AW1177" s="28"/>
      <c r="AX1177" s="28"/>
      <c r="AY1177" s="28"/>
      <c r="AZ1177" s="28"/>
      <c r="BA1177" s="28"/>
      <c r="BB1177" s="28"/>
    </row>
    <row r="1178" spans="1:54" ht="12.75" x14ac:dyDescent="0.2">
      <c r="A1178" s="28"/>
      <c r="B1178" s="28"/>
      <c r="C1178" s="28"/>
      <c r="D1178" s="28"/>
      <c r="E1178" s="28"/>
      <c r="F1178" s="28"/>
      <c r="G1178" s="28"/>
      <c r="H1178" s="28"/>
      <c r="I1178" s="28"/>
      <c r="J1178" s="28"/>
      <c r="K1178" s="28"/>
      <c r="L1178" s="28"/>
      <c r="M1178" s="28"/>
      <c r="N1178" s="28"/>
      <c r="O1178" s="28"/>
      <c r="P1178" s="28"/>
      <c r="Q1178" s="28"/>
      <c r="R1178" s="28"/>
      <c r="S1178" s="28"/>
      <c r="T1178" s="28"/>
      <c r="U1178" s="28"/>
      <c r="V1178" s="28"/>
      <c r="W1178" s="28"/>
      <c r="X1178" s="28"/>
      <c r="Y1178" s="28"/>
      <c r="Z1178" s="28"/>
      <c r="AA1178" s="28"/>
      <c r="AB1178" s="28"/>
      <c r="AC1178" s="28"/>
      <c r="AD1178" s="28"/>
      <c r="AE1178" s="28"/>
      <c r="AF1178" s="28"/>
      <c r="AG1178" s="28"/>
      <c r="AH1178" s="28"/>
      <c r="AI1178" s="28"/>
      <c r="AJ1178" s="28"/>
      <c r="AK1178" s="28"/>
      <c r="AL1178" s="28"/>
      <c r="AM1178" s="28"/>
      <c r="AN1178" s="28"/>
      <c r="AO1178" s="28"/>
      <c r="AP1178" s="28"/>
      <c r="AQ1178" s="28"/>
      <c r="AR1178" s="28"/>
      <c r="AS1178" s="28"/>
      <c r="AT1178" s="28"/>
      <c r="AU1178" s="28"/>
      <c r="AV1178" s="28"/>
      <c r="AW1178" s="28"/>
      <c r="AX1178" s="28"/>
      <c r="AY1178" s="28"/>
      <c r="AZ1178" s="28"/>
      <c r="BA1178" s="28"/>
      <c r="BB1178" s="28"/>
    </row>
    <row r="1179" spans="1:54" ht="12.75" x14ac:dyDescent="0.2">
      <c r="A1179" s="28"/>
      <c r="B1179" s="28"/>
      <c r="C1179" s="28"/>
      <c r="D1179" s="28"/>
      <c r="E1179" s="28"/>
      <c r="F1179" s="28"/>
      <c r="G1179" s="28"/>
      <c r="H1179" s="28"/>
      <c r="I1179" s="28"/>
      <c r="J1179" s="28"/>
      <c r="K1179" s="28"/>
      <c r="L1179" s="28"/>
      <c r="M1179" s="28"/>
      <c r="N1179" s="28"/>
      <c r="O1179" s="28"/>
      <c r="P1179" s="28"/>
      <c r="Q1179" s="28"/>
      <c r="R1179" s="28"/>
      <c r="S1179" s="28"/>
      <c r="T1179" s="28"/>
      <c r="U1179" s="28"/>
      <c r="V1179" s="28"/>
      <c r="W1179" s="28"/>
      <c r="X1179" s="28"/>
      <c r="Y1179" s="28"/>
      <c r="Z1179" s="28"/>
      <c r="AA1179" s="28"/>
      <c r="AB1179" s="28"/>
      <c r="AC1179" s="28"/>
      <c r="AD1179" s="28"/>
      <c r="AE1179" s="28"/>
      <c r="AF1179" s="28"/>
      <c r="AG1179" s="28"/>
      <c r="AH1179" s="28"/>
      <c r="AI1179" s="28"/>
      <c r="AJ1179" s="28"/>
      <c r="AK1179" s="28"/>
      <c r="AL1179" s="28"/>
      <c r="AM1179" s="28"/>
      <c r="AN1179" s="28"/>
      <c r="AO1179" s="28"/>
      <c r="AP1179" s="28"/>
      <c r="AQ1179" s="28"/>
      <c r="AR1179" s="28"/>
      <c r="AS1179" s="28"/>
      <c r="AT1179" s="28"/>
      <c r="AU1179" s="28"/>
      <c r="AV1179" s="28"/>
      <c r="AW1179" s="28"/>
      <c r="AX1179" s="28"/>
      <c r="AY1179" s="28"/>
      <c r="AZ1179" s="28"/>
      <c r="BA1179" s="28"/>
      <c r="BB1179" s="28"/>
    </row>
    <row r="1180" spans="1:54" ht="12.75" x14ac:dyDescent="0.2">
      <c r="A1180" s="28"/>
      <c r="B1180" s="28"/>
      <c r="C1180" s="28"/>
      <c r="D1180" s="28"/>
      <c r="E1180" s="28"/>
      <c r="F1180" s="28"/>
      <c r="G1180" s="28"/>
      <c r="H1180" s="28"/>
      <c r="I1180" s="28"/>
      <c r="J1180" s="28"/>
      <c r="K1180" s="28"/>
      <c r="L1180" s="28"/>
      <c r="M1180" s="28"/>
      <c r="N1180" s="28"/>
      <c r="O1180" s="28"/>
      <c r="P1180" s="28"/>
      <c r="Q1180" s="28"/>
      <c r="R1180" s="28"/>
      <c r="S1180" s="28"/>
      <c r="T1180" s="28"/>
      <c r="U1180" s="28"/>
      <c r="V1180" s="28"/>
      <c r="W1180" s="28"/>
      <c r="X1180" s="28"/>
      <c r="Y1180" s="28"/>
      <c r="Z1180" s="28"/>
      <c r="AA1180" s="28"/>
      <c r="AB1180" s="28"/>
      <c r="AC1180" s="28"/>
      <c r="AD1180" s="28"/>
      <c r="AE1180" s="28"/>
      <c r="AF1180" s="28"/>
      <c r="AG1180" s="28"/>
      <c r="AH1180" s="28"/>
      <c r="AI1180" s="28"/>
      <c r="AJ1180" s="28"/>
      <c r="AK1180" s="28"/>
      <c r="AL1180" s="28"/>
      <c r="AM1180" s="28"/>
      <c r="AN1180" s="28"/>
      <c r="AO1180" s="28"/>
      <c r="AP1180" s="28"/>
      <c r="AQ1180" s="28"/>
      <c r="AR1180" s="28"/>
      <c r="AS1180" s="28"/>
      <c r="AT1180" s="28"/>
      <c r="AU1180" s="28"/>
      <c r="AV1180" s="28"/>
      <c r="AW1180" s="28"/>
      <c r="AX1180" s="28"/>
      <c r="AY1180" s="28"/>
      <c r="AZ1180" s="28"/>
      <c r="BA1180" s="28"/>
      <c r="BB1180" s="28"/>
    </row>
    <row r="1181" spans="1:54" ht="12.75" x14ac:dyDescent="0.2">
      <c r="A1181" s="28"/>
      <c r="B1181" s="28"/>
      <c r="C1181" s="28"/>
      <c r="D1181" s="28"/>
      <c r="E1181" s="28"/>
      <c r="F1181" s="28"/>
      <c r="G1181" s="28"/>
      <c r="H1181" s="28"/>
      <c r="I1181" s="28"/>
      <c r="J1181" s="28"/>
      <c r="K1181" s="28"/>
      <c r="L1181" s="28"/>
      <c r="M1181" s="28"/>
      <c r="N1181" s="28"/>
      <c r="O1181" s="28"/>
      <c r="P1181" s="28"/>
      <c r="Q1181" s="28"/>
      <c r="R1181" s="28"/>
      <c r="S1181" s="28"/>
      <c r="T1181" s="28"/>
      <c r="U1181" s="28"/>
      <c r="V1181" s="28"/>
      <c r="W1181" s="28"/>
      <c r="X1181" s="28"/>
      <c r="Y1181" s="28"/>
      <c r="Z1181" s="28"/>
      <c r="AA1181" s="28"/>
      <c r="AB1181" s="28"/>
      <c r="AC1181" s="28"/>
      <c r="AD1181" s="28"/>
      <c r="AE1181" s="28"/>
      <c r="AF1181" s="28"/>
      <c r="AG1181" s="28"/>
      <c r="AH1181" s="28"/>
      <c r="AI1181" s="28"/>
      <c r="AJ1181" s="28"/>
      <c r="AK1181" s="28"/>
      <c r="AL1181" s="28"/>
      <c r="AM1181" s="28"/>
      <c r="AN1181" s="28"/>
      <c r="AO1181" s="28"/>
      <c r="AP1181" s="28"/>
      <c r="AQ1181" s="28"/>
      <c r="AR1181" s="28"/>
      <c r="AS1181" s="28"/>
      <c r="AT1181" s="28"/>
      <c r="AU1181" s="28"/>
      <c r="AV1181" s="28"/>
      <c r="AW1181" s="28"/>
      <c r="AX1181" s="28"/>
      <c r="AY1181" s="28"/>
      <c r="AZ1181" s="28"/>
      <c r="BA1181" s="28"/>
      <c r="BB1181" s="28"/>
    </row>
    <row r="1182" spans="1:54" ht="12.75" x14ac:dyDescent="0.2">
      <c r="A1182" s="28"/>
      <c r="B1182" s="28"/>
      <c r="C1182" s="28"/>
      <c r="D1182" s="28"/>
      <c r="E1182" s="28"/>
      <c r="F1182" s="28"/>
      <c r="G1182" s="28"/>
      <c r="H1182" s="28"/>
      <c r="I1182" s="28"/>
      <c r="J1182" s="28"/>
      <c r="K1182" s="28"/>
      <c r="L1182" s="28"/>
      <c r="M1182" s="28"/>
      <c r="N1182" s="28"/>
      <c r="O1182" s="28"/>
      <c r="P1182" s="28"/>
      <c r="Q1182" s="28"/>
      <c r="R1182" s="28"/>
      <c r="S1182" s="28"/>
      <c r="T1182" s="28"/>
      <c r="U1182" s="28"/>
      <c r="V1182" s="28"/>
      <c r="W1182" s="28"/>
      <c r="X1182" s="28"/>
      <c r="Y1182" s="28"/>
      <c r="Z1182" s="28"/>
      <c r="AA1182" s="28"/>
      <c r="AB1182" s="28"/>
      <c r="AC1182" s="28"/>
      <c r="AD1182" s="28"/>
      <c r="AE1182" s="28"/>
      <c r="AF1182" s="28"/>
      <c r="AG1182" s="28"/>
      <c r="AH1182" s="28"/>
      <c r="AI1182" s="28"/>
      <c r="AJ1182" s="28"/>
      <c r="AK1182" s="28"/>
      <c r="AL1182" s="28"/>
      <c r="AM1182" s="28"/>
      <c r="AN1182" s="28"/>
      <c r="AO1182" s="28"/>
      <c r="AP1182" s="28"/>
      <c r="AQ1182" s="28"/>
      <c r="AR1182" s="28"/>
      <c r="AS1182" s="28"/>
      <c r="AT1182" s="28"/>
      <c r="AU1182" s="28"/>
      <c r="AV1182" s="28"/>
      <c r="AW1182" s="28"/>
      <c r="AX1182" s="28"/>
      <c r="AY1182" s="28"/>
      <c r="AZ1182" s="28"/>
      <c r="BA1182" s="28"/>
      <c r="BB1182" s="28"/>
    </row>
    <row r="1183" spans="1:54" ht="12.75" x14ac:dyDescent="0.2">
      <c r="A1183" s="28"/>
      <c r="B1183" s="28"/>
      <c r="C1183" s="28"/>
      <c r="D1183" s="28"/>
      <c r="E1183" s="28"/>
      <c r="F1183" s="28"/>
      <c r="G1183" s="28"/>
      <c r="H1183" s="28"/>
      <c r="I1183" s="28"/>
      <c r="J1183" s="28"/>
      <c r="K1183" s="28"/>
      <c r="L1183" s="28"/>
      <c r="M1183" s="28"/>
      <c r="N1183" s="28"/>
      <c r="O1183" s="28"/>
      <c r="P1183" s="28"/>
      <c r="Q1183" s="28"/>
      <c r="R1183" s="28"/>
      <c r="S1183" s="28"/>
      <c r="T1183" s="28"/>
      <c r="U1183" s="28"/>
      <c r="V1183" s="28"/>
      <c r="W1183" s="28"/>
      <c r="X1183" s="28"/>
      <c r="Y1183" s="28"/>
      <c r="Z1183" s="28"/>
      <c r="AA1183" s="28"/>
      <c r="AB1183" s="28"/>
      <c r="AC1183" s="28"/>
      <c r="AD1183" s="28"/>
      <c r="AE1183" s="28"/>
      <c r="AF1183" s="28"/>
      <c r="AG1183" s="28"/>
      <c r="AH1183" s="28"/>
      <c r="AI1183" s="28"/>
      <c r="AJ1183" s="28"/>
      <c r="AK1183" s="28"/>
      <c r="AL1183" s="28"/>
      <c r="AM1183" s="28"/>
      <c r="AN1183" s="28"/>
      <c r="AO1183" s="28"/>
      <c r="AP1183" s="28"/>
      <c r="AQ1183" s="28"/>
      <c r="AR1183" s="28"/>
      <c r="AS1183" s="28"/>
      <c r="AT1183" s="28"/>
      <c r="AU1183" s="28"/>
      <c r="AV1183" s="28"/>
      <c r="AW1183" s="28"/>
      <c r="AX1183" s="28"/>
      <c r="AY1183" s="28"/>
      <c r="AZ1183" s="28"/>
      <c r="BA1183" s="28"/>
      <c r="BB1183" s="28"/>
    </row>
    <row r="1184" spans="1:54" ht="12.75" x14ac:dyDescent="0.2">
      <c r="A1184" s="28"/>
      <c r="B1184" s="28"/>
      <c r="C1184" s="28"/>
      <c r="D1184" s="28"/>
      <c r="E1184" s="28"/>
      <c r="F1184" s="28"/>
      <c r="G1184" s="28"/>
      <c r="H1184" s="28"/>
      <c r="I1184" s="28"/>
      <c r="J1184" s="28"/>
      <c r="K1184" s="28"/>
      <c r="L1184" s="28"/>
      <c r="M1184" s="28"/>
      <c r="N1184" s="28"/>
      <c r="O1184" s="28"/>
      <c r="P1184" s="28"/>
      <c r="Q1184" s="28"/>
      <c r="R1184" s="28"/>
      <c r="S1184" s="28"/>
      <c r="T1184" s="28"/>
      <c r="U1184" s="28"/>
      <c r="V1184" s="28"/>
      <c r="W1184" s="28"/>
      <c r="X1184" s="28"/>
      <c r="Y1184" s="28"/>
      <c r="Z1184" s="28"/>
      <c r="AA1184" s="28"/>
      <c r="AB1184" s="28"/>
      <c r="AC1184" s="28"/>
      <c r="AD1184" s="28"/>
      <c r="AE1184" s="28"/>
      <c r="AF1184" s="28"/>
      <c r="AG1184" s="28"/>
      <c r="AH1184" s="28"/>
      <c r="AI1184" s="28"/>
      <c r="AJ1184" s="28"/>
      <c r="AK1184" s="28"/>
      <c r="AL1184" s="28"/>
      <c r="AM1184" s="28"/>
      <c r="AN1184" s="28"/>
      <c r="AO1184" s="28"/>
      <c r="AP1184" s="28"/>
      <c r="AQ1184" s="28"/>
      <c r="AR1184" s="28"/>
      <c r="AS1184" s="28"/>
      <c r="AT1184" s="28"/>
      <c r="AU1184" s="28"/>
      <c r="AV1184" s="28"/>
      <c r="AW1184" s="28"/>
      <c r="AX1184" s="28"/>
      <c r="AY1184" s="28"/>
      <c r="AZ1184" s="28"/>
      <c r="BA1184" s="28"/>
      <c r="BB1184" s="28"/>
    </row>
    <row r="1185" spans="1:54" ht="12.75" x14ac:dyDescent="0.2">
      <c r="A1185" s="28"/>
      <c r="B1185" s="28"/>
      <c r="C1185" s="28"/>
      <c r="D1185" s="28"/>
      <c r="E1185" s="28"/>
      <c r="F1185" s="28"/>
      <c r="G1185" s="28"/>
      <c r="H1185" s="28"/>
      <c r="I1185" s="28"/>
      <c r="J1185" s="28"/>
      <c r="K1185" s="28"/>
      <c r="L1185" s="28"/>
      <c r="M1185" s="28"/>
      <c r="N1185" s="28"/>
      <c r="O1185" s="28"/>
      <c r="P1185" s="28"/>
      <c r="Q1185" s="28"/>
      <c r="R1185" s="28"/>
      <c r="S1185" s="28"/>
      <c r="T1185" s="28"/>
      <c r="U1185" s="28"/>
      <c r="V1185" s="28"/>
      <c r="W1185" s="28"/>
      <c r="X1185" s="28"/>
      <c r="Y1185" s="28"/>
      <c r="Z1185" s="28"/>
      <c r="AA1185" s="28"/>
      <c r="AB1185" s="28"/>
      <c r="AC1185" s="28"/>
      <c r="AD1185" s="28"/>
      <c r="AE1185" s="28"/>
      <c r="AF1185" s="28"/>
      <c r="AG1185" s="28"/>
      <c r="AH1185" s="28"/>
      <c r="AI1185" s="28"/>
      <c r="AJ1185" s="28"/>
      <c r="AK1185" s="28"/>
      <c r="AL1185" s="28"/>
      <c r="AM1185" s="28"/>
      <c r="AN1185" s="28"/>
      <c r="AO1185" s="28"/>
      <c r="AP1185" s="28"/>
      <c r="AQ1185" s="28"/>
      <c r="AR1185" s="28"/>
      <c r="AS1185" s="28"/>
      <c r="AT1185" s="28"/>
      <c r="AU1185" s="28"/>
      <c r="AV1185" s="28"/>
      <c r="AW1185" s="28"/>
      <c r="AX1185" s="28"/>
      <c r="AY1185" s="28"/>
      <c r="AZ1185" s="28"/>
      <c r="BA1185" s="28"/>
      <c r="BB1185" s="28"/>
    </row>
    <row r="1186" spans="1:54" ht="12.75" x14ac:dyDescent="0.2">
      <c r="A1186" s="28"/>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8"/>
      <c r="AC1186" s="28"/>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row>
    <row r="1187" spans="1:54" ht="12.75" x14ac:dyDescent="0.2">
      <c r="A1187" s="28"/>
      <c r="B1187" s="28"/>
      <c r="C1187" s="28"/>
      <c r="D1187" s="28"/>
      <c r="E1187" s="28"/>
      <c r="F1187" s="28"/>
      <c r="G1187" s="28"/>
      <c r="H1187" s="28"/>
      <c r="I1187" s="28"/>
      <c r="J1187" s="28"/>
      <c r="K1187" s="28"/>
      <c r="L1187" s="28"/>
      <c r="M1187" s="28"/>
      <c r="N1187" s="28"/>
      <c r="O1187" s="28"/>
      <c r="P1187" s="28"/>
      <c r="Q1187" s="28"/>
      <c r="R1187" s="28"/>
      <c r="S1187" s="28"/>
      <c r="T1187" s="28"/>
      <c r="U1187" s="28"/>
      <c r="V1187" s="28"/>
      <c r="W1187" s="28"/>
      <c r="X1187" s="28"/>
      <c r="Y1187" s="28"/>
      <c r="Z1187" s="28"/>
      <c r="AA1187" s="28"/>
      <c r="AB1187" s="28"/>
      <c r="AC1187" s="28"/>
      <c r="AD1187" s="28"/>
      <c r="AE1187" s="28"/>
      <c r="AF1187" s="28"/>
      <c r="AG1187" s="28"/>
      <c r="AH1187" s="28"/>
      <c r="AI1187" s="28"/>
      <c r="AJ1187" s="28"/>
      <c r="AK1187" s="28"/>
      <c r="AL1187" s="28"/>
      <c r="AM1187" s="28"/>
      <c r="AN1187" s="28"/>
      <c r="AO1187" s="28"/>
      <c r="AP1187" s="28"/>
      <c r="AQ1187" s="28"/>
      <c r="AR1187" s="28"/>
      <c r="AS1187" s="28"/>
      <c r="AT1187" s="28"/>
      <c r="AU1187" s="28"/>
      <c r="AV1187" s="28"/>
      <c r="AW1187" s="28"/>
      <c r="AX1187" s="28"/>
      <c r="AY1187" s="28"/>
      <c r="AZ1187" s="28"/>
      <c r="BA1187" s="28"/>
      <c r="BB1187" s="28"/>
    </row>
    <row r="1188" spans="1:54" ht="12.75" x14ac:dyDescent="0.2">
      <c r="A1188" s="28"/>
      <c r="B1188" s="28"/>
      <c r="C1188" s="28"/>
      <c r="D1188" s="28"/>
      <c r="E1188" s="28"/>
      <c r="F1188" s="28"/>
      <c r="G1188" s="28"/>
      <c r="H1188" s="28"/>
      <c r="I1188" s="28"/>
      <c r="J1188" s="28"/>
      <c r="K1188" s="28"/>
      <c r="L1188" s="28"/>
      <c r="M1188" s="28"/>
      <c r="N1188" s="28"/>
      <c r="O1188" s="28"/>
      <c r="P1188" s="28"/>
      <c r="Q1188" s="28"/>
      <c r="R1188" s="28"/>
      <c r="S1188" s="28"/>
      <c r="T1188" s="28"/>
      <c r="U1188" s="28"/>
      <c r="V1188" s="28"/>
      <c r="W1188" s="28"/>
      <c r="X1188" s="28"/>
      <c r="Y1188" s="28"/>
      <c r="Z1188" s="28"/>
      <c r="AA1188" s="28"/>
      <c r="AB1188" s="28"/>
      <c r="AC1188" s="28"/>
      <c r="AD1188" s="28"/>
      <c r="AE1188" s="28"/>
      <c r="AF1188" s="28"/>
      <c r="AG1188" s="28"/>
      <c r="AH1188" s="28"/>
      <c r="AI1188" s="28"/>
      <c r="AJ1188" s="28"/>
      <c r="AK1188" s="28"/>
      <c r="AL1188" s="28"/>
      <c r="AM1188" s="28"/>
      <c r="AN1188" s="28"/>
      <c r="AO1188" s="28"/>
      <c r="AP1188" s="28"/>
      <c r="AQ1188" s="28"/>
      <c r="AR1188" s="28"/>
      <c r="AS1188" s="28"/>
      <c r="AT1188" s="28"/>
      <c r="AU1188" s="28"/>
      <c r="AV1188" s="28"/>
      <c r="AW1188" s="28"/>
      <c r="AX1188" s="28"/>
      <c r="AY1188" s="28"/>
      <c r="AZ1188" s="28"/>
      <c r="BA1188" s="28"/>
      <c r="BB1188" s="28"/>
    </row>
    <row r="1189" spans="1:54" ht="12.75" x14ac:dyDescent="0.2">
      <c r="A1189" s="28"/>
      <c r="B1189" s="28"/>
      <c r="C1189" s="28"/>
      <c r="D1189" s="28"/>
      <c r="E1189" s="28"/>
      <c r="F1189" s="28"/>
      <c r="G1189" s="28"/>
      <c r="H1189" s="28"/>
      <c r="I1189" s="28"/>
      <c r="J1189" s="28"/>
      <c r="K1189" s="28"/>
      <c r="L1189" s="28"/>
      <c r="M1189" s="28"/>
      <c r="N1189" s="28"/>
      <c r="O1189" s="28"/>
      <c r="P1189" s="28"/>
      <c r="Q1189" s="28"/>
      <c r="R1189" s="28"/>
      <c r="S1189" s="28"/>
      <c r="T1189" s="28"/>
      <c r="U1189" s="28"/>
      <c r="V1189" s="28"/>
      <c r="W1189" s="28"/>
      <c r="X1189" s="28"/>
      <c r="Y1189" s="28"/>
      <c r="Z1189" s="28"/>
      <c r="AA1189" s="28"/>
      <c r="AB1189" s="28"/>
      <c r="AC1189" s="28"/>
      <c r="AD1189" s="28"/>
      <c r="AE1189" s="28"/>
      <c r="AF1189" s="28"/>
      <c r="AG1189" s="28"/>
      <c r="AH1189" s="28"/>
      <c r="AI1189" s="28"/>
      <c r="AJ1189" s="28"/>
      <c r="AK1189" s="28"/>
      <c r="AL1189" s="28"/>
      <c r="AM1189" s="28"/>
      <c r="AN1189" s="28"/>
      <c r="AO1189" s="28"/>
      <c r="AP1189" s="28"/>
      <c r="AQ1189" s="28"/>
      <c r="AR1189" s="28"/>
      <c r="AS1189" s="28"/>
      <c r="AT1189" s="28"/>
      <c r="AU1189" s="28"/>
      <c r="AV1189" s="28"/>
      <c r="AW1189" s="28"/>
      <c r="AX1189" s="28"/>
      <c r="AY1189" s="28"/>
      <c r="AZ1189" s="28"/>
      <c r="BA1189" s="28"/>
      <c r="BB1189" s="28"/>
    </row>
    <row r="1190" spans="1:54" ht="12.75" x14ac:dyDescent="0.2">
      <c r="A1190" s="28"/>
      <c r="B1190" s="28"/>
      <c r="C1190" s="28"/>
      <c r="D1190" s="28"/>
      <c r="E1190" s="28"/>
      <c r="F1190" s="28"/>
      <c r="G1190" s="28"/>
      <c r="H1190" s="28"/>
      <c r="I1190" s="28"/>
      <c r="J1190" s="28"/>
      <c r="K1190" s="28"/>
      <c r="L1190" s="28"/>
      <c r="M1190" s="28"/>
      <c r="N1190" s="28"/>
      <c r="O1190" s="28"/>
      <c r="P1190" s="28"/>
      <c r="Q1190" s="28"/>
      <c r="R1190" s="28"/>
      <c r="S1190" s="28"/>
      <c r="T1190" s="28"/>
      <c r="U1190" s="28"/>
      <c r="V1190" s="28"/>
      <c r="W1190" s="28"/>
      <c r="X1190" s="28"/>
      <c r="Y1190" s="28"/>
      <c r="Z1190" s="28"/>
      <c r="AA1190" s="28"/>
      <c r="AB1190" s="28"/>
      <c r="AC1190" s="28"/>
      <c r="AD1190" s="28"/>
      <c r="AE1190" s="28"/>
      <c r="AF1190" s="28"/>
      <c r="AG1190" s="28"/>
      <c r="AH1190" s="28"/>
      <c r="AI1190" s="28"/>
      <c r="AJ1190" s="28"/>
      <c r="AK1190" s="28"/>
      <c r="AL1190" s="28"/>
      <c r="AM1190" s="28"/>
      <c r="AN1190" s="28"/>
      <c r="AO1190" s="28"/>
      <c r="AP1190" s="28"/>
      <c r="AQ1190" s="28"/>
      <c r="AR1190" s="28"/>
      <c r="AS1190" s="28"/>
      <c r="AT1190" s="28"/>
      <c r="AU1190" s="28"/>
      <c r="AV1190" s="28"/>
      <c r="AW1190" s="28"/>
      <c r="AX1190" s="28"/>
      <c r="AY1190" s="28"/>
      <c r="AZ1190" s="28"/>
      <c r="BA1190" s="28"/>
      <c r="BB1190" s="28"/>
    </row>
    <row r="1191" spans="1:54" ht="12.75" x14ac:dyDescent="0.2">
      <c r="A1191" s="28"/>
      <c r="B1191" s="28"/>
      <c r="C1191" s="28"/>
      <c r="D1191" s="28"/>
      <c r="E1191" s="28"/>
      <c r="F1191" s="28"/>
      <c r="G1191" s="28"/>
      <c r="H1191" s="28"/>
      <c r="I1191" s="28"/>
      <c r="J1191" s="28"/>
      <c r="K1191" s="28"/>
      <c r="L1191" s="28"/>
      <c r="M1191" s="28"/>
      <c r="N1191" s="28"/>
      <c r="O1191" s="28"/>
      <c r="P1191" s="28"/>
      <c r="Q1191" s="28"/>
      <c r="R1191" s="28"/>
      <c r="S1191" s="28"/>
      <c r="T1191" s="28"/>
      <c r="U1191" s="28"/>
      <c r="V1191" s="28"/>
      <c r="W1191" s="28"/>
      <c r="X1191" s="28"/>
      <c r="Y1191" s="28"/>
      <c r="Z1191" s="28"/>
      <c r="AA1191" s="28"/>
      <c r="AB1191" s="28"/>
      <c r="AC1191" s="28"/>
      <c r="AD1191" s="28"/>
      <c r="AE1191" s="28"/>
      <c r="AF1191" s="28"/>
      <c r="AG1191" s="28"/>
      <c r="AH1191" s="28"/>
      <c r="AI1191" s="28"/>
      <c r="AJ1191" s="28"/>
      <c r="AK1191" s="28"/>
      <c r="AL1191" s="28"/>
      <c r="AM1191" s="28"/>
      <c r="AN1191" s="28"/>
      <c r="AO1191" s="28"/>
      <c r="AP1191" s="28"/>
      <c r="AQ1191" s="28"/>
      <c r="AR1191" s="28"/>
      <c r="AS1191" s="28"/>
      <c r="AT1191" s="28"/>
      <c r="AU1191" s="28"/>
      <c r="AV1191" s="28"/>
      <c r="AW1191" s="28"/>
      <c r="AX1191" s="28"/>
      <c r="AY1191" s="28"/>
      <c r="AZ1191" s="28"/>
      <c r="BA1191" s="28"/>
      <c r="BB1191" s="28"/>
    </row>
    <row r="1192" spans="1:54" ht="12.75" x14ac:dyDescent="0.2">
      <c r="A1192" s="28"/>
      <c r="B1192" s="28"/>
      <c r="C1192" s="28"/>
      <c r="D1192" s="28"/>
      <c r="E1192" s="28"/>
      <c r="F1192" s="28"/>
      <c r="G1192" s="28"/>
      <c r="H1192" s="28"/>
      <c r="I1192" s="28"/>
      <c r="J1192" s="28"/>
      <c r="K1192" s="28"/>
      <c r="L1192" s="28"/>
      <c r="M1192" s="28"/>
      <c r="N1192" s="28"/>
      <c r="O1192" s="28"/>
      <c r="P1192" s="28"/>
      <c r="Q1192" s="28"/>
      <c r="R1192" s="28"/>
      <c r="S1192" s="28"/>
      <c r="T1192" s="28"/>
      <c r="U1192" s="28"/>
      <c r="V1192" s="28"/>
      <c r="W1192" s="28"/>
      <c r="X1192" s="28"/>
      <c r="Y1192" s="28"/>
      <c r="Z1192" s="28"/>
      <c r="AA1192" s="28"/>
      <c r="AB1192" s="28"/>
      <c r="AC1192" s="28"/>
      <c r="AD1192" s="28"/>
      <c r="AE1192" s="28"/>
      <c r="AF1192" s="28"/>
      <c r="AG1192" s="28"/>
      <c r="AH1192" s="28"/>
      <c r="AI1192" s="28"/>
      <c r="AJ1192" s="28"/>
      <c r="AK1192" s="28"/>
      <c r="AL1192" s="28"/>
      <c r="AM1192" s="28"/>
      <c r="AN1192" s="28"/>
      <c r="AO1192" s="28"/>
      <c r="AP1192" s="28"/>
      <c r="AQ1192" s="28"/>
      <c r="AR1192" s="28"/>
      <c r="AS1192" s="28"/>
      <c r="AT1192" s="28"/>
      <c r="AU1192" s="28"/>
      <c r="AV1192" s="28"/>
      <c r="AW1192" s="28"/>
      <c r="AX1192" s="28"/>
      <c r="AY1192" s="28"/>
      <c r="AZ1192" s="28"/>
      <c r="BA1192" s="28"/>
      <c r="BB1192" s="28"/>
    </row>
    <row r="1193" spans="1:54" ht="12.75" x14ac:dyDescent="0.2">
      <c r="A1193" s="28"/>
      <c r="B1193" s="28"/>
      <c r="C1193" s="28"/>
      <c r="D1193" s="28"/>
      <c r="E1193" s="28"/>
      <c r="F1193" s="28"/>
      <c r="G1193" s="28"/>
      <c r="H1193" s="28"/>
      <c r="I1193" s="28"/>
      <c r="J1193" s="28"/>
      <c r="K1193" s="28"/>
      <c r="L1193" s="28"/>
      <c r="M1193" s="28"/>
      <c r="N1193" s="28"/>
      <c r="O1193" s="28"/>
      <c r="P1193" s="28"/>
      <c r="Q1193" s="28"/>
      <c r="R1193" s="28"/>
      <c r="S1193" s="28"/>
      <c r="T1193" s="28"/>
      <c r="U1193" s="28"/>
      <c r="V1193" s="28"/>
      <c r="W1193" s="28"/>
      <c r="X1193" s="28"/>
      <c r="Y1193" s="28"/>
      <c r="Z1193" s="28"/>
      <c r="AA1193" s="28"/>
      <c r="AB1193" s="28"/>
      <c r="AC1193" s="28"/>
      <c r="AD1193" s="28"/>
      <c r="AE1193" s="28"/>
      <c r="AF1193" s="28"/>
      <c r="AG1193" s="28"/>
      <c r="AH1193" s="28"/>
      <c r="AI1193" s="28"/>
      <c r="AJ1193" s="28"/>
      <c r="AK1193" s="28"/>
      <c r="AL1193" s="28"/>
      <c r="AM1193" s="28"/>
      <c r="AN1193" s="28"/>
      <c r="AO1193" s="28"/>
      <c r="AP1193" s="28"/>
      <c r="AQ1193" s="28"/>
      <c r="AR1193" s="28"/>
      <c r="AS1193" s="28"/>
      <c r="AT1193" s="28"/>
      <c r="AU1193" s="28"/>
      <c r="AV1193" s="28"/>
      <c r="AW1193" s="28"/>
      <c r="AX1193" s="28"/>
      <c r="AY1193" s="28"/>
      <c r="AZ1193" s="28"/>
      <c r="BA1193" s="28"/>
      <c r="BB1193" s="28"/>
    </row>
    <row r="1194" spans="1:54" ht="12.75" x14ac:dyDescent="0.2">
      <c r="A1194" s="28"/>
      <c r="B1194" s="28"/>
      <c r="C1194" s="28"/>
      <c r="D1194" s="28"/>
      <c r="E1194" s="28"/>
      <c r="F1194" s="28"/>
      <c r="G1194" s="28"/>
      <c r="H1194" s="28"/>
      <c r="I1194" s="28"/>
      <c r="J1194" s="28"/>
      <c r="K1194" s="28"/>
      <c r="L1194" s="28"/>
      <c r="M1194" s="28"/>
      <c r="N1194" s="28"/>
      <c r="O1194" s="28"/>
      <c r="P1194" s="28"/>
      <c r="Q1194" s="28"/>
      <c r="R1194" s="28"/>
      <c r="S1194" s="28"/>
      <c r="T1194" s="28"/>
      <c r="U1194" s="28"/>
      <c r="V1194" s="28"/>
      <c r="W1194" s="28"/>
      <c r="X1194" s="28"/>
      <c r="Y1194" s="28"/>
      <c r="Z1194" s="28"/>
      <c r="AA1194" s="28"/>
      <c r="AB1194" s="28"/>
      <c r="AC1194" s="28"/>
      <c r="AD1194" s="28"/>
      <c r="AE1194" s="28"/>
      <c r="AF1194" s="28"/>
      <c r="AG1194" s="28"/>
      <c r="AH1194" s="28"/>
      <c r="AI1194" s="28"/>
      <c r="AJ1194" s="28"/>
      <c r="AK1194" s="28"/>
      <c r="AL1194" s="28"/>
      <c r="AM1194" s="28"/>
      <c r="AN1194" s="28"/>
      <c r="AO1194" s="28"/>
      <c r="AP1194" s="28"/>
      <c r="AQ1194" s="28"/>
      <c r="AR1194" s="28"/>
      <c r="AS1194" s="28"/>
      <c r="AT1194" s="28"/>
      <c r="AU1194" s="28"/>
      <c r="AV1194" s="28"/>
      <c r="AW1194" s="28"/>
      <c r="AX1194" s="28"/>
      <c r="AY1194" s="28"/>
      <c r="AZ1194" s="28"/>
      <c r="BA1194" s="28"/>
      <c r="BB1194" s="28"/>
    </row>
    <row r="1195" spans="1:54" ht="12.75" x14ac:dyDescent="0.2">
      <c r="A1195" s="28"/>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8"/>
      <c r="AC1195" s="28"/>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row>
    <row r="1196" spans="1:54" ht="12.75" x14ac:dyDescent="0.2">
      <c r="A1196" s="28"/>
      <c r="B1196" s="28"/>
      <c r="C1196" s="28"/>
      <c r="D1196" s="28"/>
      <c r="E1196" s="28"/>
      <c r="F1196" s="28"/>
      <c r="G1196" s="28"/>
      <c r="H1196" s="28"/>
      <c r="I1196" s="28"/>
      <c r="J1196" s="28"/>
      <c r="K1196" s="28"/>
      <c r="L1196" s="28"/>
      <c r="M1196" s="28"/>
      <c r="N1196" s="28"/>
      <c r="O1196" s="28"/>
      <c r="P1196" s="28"/>
      <c r="Q1196" s="28"/>
      <c r="R1196" s="28"/>
      <c r="S1196" s="28"/>
      <c r="T1196" s="28"/>
      <c r="U1196" s="28"/>
      <c r="V1196" s="28"/>
      <c r="W1196" s="28"/>
      <c r="X1196" s="28"/>
      <c r="Y1196" s="28"/>
      <c r="Z1196" s="28"/>
      <c r="AA1196" s="28"/>
      <c r="AB1196" s="28"/>
      <c r="AC1196" s="28"/>
      <c r="AD1196" s="28"/>
      <c r="AE1196" s="28"/>
      <c r="AF1196" s="28"/>
      <c r="AG1196" s="28"/>
      <c r="AH1196" s="28"/>
      <c r="AI1196" s="28"/>
      <c r="AJ1196" s="28"/>
      <c r="AK1196" s="28"/>
      <c r="AL1196" s="28"/>
      <c r="AM1196" s="28"/>
      <c r="AN1196" s="28"/>
      <c r="AO1196" s="28"/>
      <c r="AP1196" s="28"/>
      <c r="AQ1196" s="28"/>
      <c r="AR1196" s="28"/>
      <c r="AS1196" s="28"/>
      <c r="AT1196" s="28"/>
      <c r="AU1196" s="28"/>
      <c r="AV1196" s="28"/>
      <c r="AW1196" s="28"/>
      <c r="AX1196" s="28"/>
      <c r="AY1196" s="28"/>
      <c r="AZ1196" s="28"/>
      <c r="BA1196" s="28"/>
      <c r="BB1196" s="28"/>
    </row>
    <row r="1197" spans="1:54" ht="12.75" x14ac:dyDescent="0.2">
      <c r="A1197" s="28"/>
      <c r="B1197" s="28"/>
      <c r="C1197" s="28"/>
      <c r="D1197" s="28"/>
      <c r="E1197" s="28"/>
      <c r="F1197" s="28"/>
      <c r="G1197" s="28"/>
      <c r="H1197" s="28"/>
      <c r="I1197" s="28"/>
      <c r="J1197" s="28"/>
      <c r="K1197" s="28"/>
      <c r="L1197" s="28"/>
      <c r="M1197" s="28"/>
      <c r="N1197" s="28"/>
      <c r="O1197" s="28"/>
      <c r="P1197" s="28"/>
      <c r="Q1197" s="28"/>
      <c r="R1197" s="28"/>
      <c r="S1197" s="28"/>
      <c r="T1197" s="28"/>
      <c r="U1197" s="28"/>
      <c r="V1197" s="28"/>
      <c r="W1197" s="28"/>
      <c r="X1197" s="28"/>
      <c r="Y1197" s="28"/>
      <c r="Z1197" s="28"/>
      <c r="AA1197" s="28"/>
      <c r="AB1197" s="28"/>
      <c r="AC1197" s="28"/>
      <c r="AD1197" s="28"/>
      <c r="AE1197" s="28"/>
      <c r="AF1197" s="28"/>
      <c r="AG1197" s="28"/>
      <c r="AH1197" s="28"/>
      <c r="AI1197" s="28"/>
      <c r="AJ1197" s="28"/>
      <c r="AK1197" s="28"/>
      <c r="AL1197" s="28"/>
      <c r="AM1197" s="28"/>
      <c r="AN1197" s="28"/>
      <c r="AO1197" s="28"/>
      <c r="AP1197" s="28"/>
      <c r="AQ1197" s="28"/>
      <c r="AR1197" s="28"/>
      <c r="AS1197" s="28"/>
      <c r="AT1197" s="28"/>
      <c r="AU1197" s="28"/>
      <c r="AV1197" s="28"/>
      <c r="AW1197" s="28"/>
      <c r="AX1197" s="28"/>
      <c r="AY1197" s="28"/>
      <c r="AZ1197" s="28"/>
      <c r="BA1197" s="28"/>
      <c r="BB1197" s="28"/>
    </row>
    <row r="1198" spans="1:54" ht="12.75" x14ac:dyDescent="0.2">
      <c r="A1198" s="28"/>
      <c r="B1198" s="28"/>
      <c r="C1198" s="28"/>
      <c r="D1198" s="28"/>
      <c r="E1198" s="28"/>
      <c r="F1198" s="28"/>
      <c r="G1198" s="28"/>
      <c r="H1198" s="28"/>
      <c r="I1198" s="28"/>
      <c r="J1198" s="28"/>
      <c r="K1198" s="28"/>
      <c r="L1198" s="28"/>
      <c r="M1198" s="28"/>
      <c r="N1198" s="28"/>
      <c r="O1198" s="28"/>
      <c r="P1198" s="28"/>
      <c r="Q1198" s="28"/>
      <c r="R1198" s="28"/>
      <c r="S1198" s="28"/>
      <c r="T1198" s="28"/>
      <c r="U1198" s="28"/>
      <c r="V1198" s="28"/>
      <c r="W1198" s="28"/>
      <c r="X1198" s="28"/>
      <c r="Y1198" s="28"/>
      <c r="Z1198" s="28"/>
      <c r="AA1198" s="28"/>
      <c r="AB1198" s="28"/>
      <c r="AC1198" s="28"/>
      <c r="AD1198" s="28"/>
      <c r="AE1198" s="28"/>
      <c r="AF1198" s="28"/>
      <c r="AG1198" s="28"/>
      <c r="AH1198" s="28"/>
      <c r="AI1198" s="28"/>
      <c r="AJ1198" s="28"/>
      <c r="AK1198" s="28"/>
      <c r="AL1198" s="28"/>
      <c r="AM1198" s="28"/>
      <c r="AN1198" s="28"/>
      <c r="AO1198" s="28"/>
      <c r="AP1198" s="28"/>
      <c r="AQ1198" s="28"/>
      <c r="AR1198" s="28"/>
      <c r="AS1198" s="28"/>
      <c r="AT1198" s="28"/>
      <c r="AU1198" s="28"/>
      <c r="AV1198" s="28"/>
      <c r="AW1198" s="28"/>
      <c r="AX1198" s="28"/>
      <c r="AY1198" s="28"/>
      <c r="AZ1198" s="28"/>
      <c r="BA1198" s="28"/>
      <c r="BB1198" s="28"/>
    </row>
    <row r="1199" spans="1:54" ht="12.75" x14ac:dyDescent="0.2">
      <c r="A1199" s="28"/>
      <c r="B1199" s="28"/>
      <c r="C1199" s="28"/>
      <c r="D1199" s="28"/>
      <c r="E1199" s="28"/>
      <c r="F1199" s="28"/>
      <c r="G1199" s="28"/>
      <c r="H1199" s="28"/>
      <c r="I1199" s="28"/>
      <c r="J1199" s="28"/>
      <c r="K1199" s="28"/>
      <c r="L1199" s="28"/>
      <c r="M1199" s="28"/>
      <c r="N1199" s="28"/>
      <c r="O1199" s="28"/>
      <c r="P1199" s="28"/>
      <c r="Q1199" s="28"/>
      <c r="R1199" s="28"/>
      <c r="S1199" s="28"/>
      <c r="T1199" s="28"/>
      <c r="U1199" s="28"/>
      <c r="V1199" s="28"/>
      <c r="W1199" s="28"/>
      <c r="X1199" s="28"/>
      <c r="Y1199" s="28"/>
      <c r="Z1199" s="28"/>
      <c r="AA1199" s="28"/>
      <c r="AB1199" s="28"/>
      <c r="AC1199" s="28"/>
      <c r="AD1199" s="28"/>
      <c r="AE1199" s="28"/>
      <c r="AF1199" s="28"/>
      <c r="AG1199" s="28"/>
      <c r="AH1199" s="28"/>
      <c r="AI1199" s="28"/>
      <c r="AJ1199" s="28"/>
      <c r="AK1199" s="28"/>
      <c r="AL1199" s="28"/>
      <c r="AM1199" s="28"/>
      <c r="AN1199" s="28"/>
      <c r="AO1199" s="28"/>
      <c r="AP1199" s="28"/>
      <c r="AQ1199" s="28"/>
      <c r="AR1199" s="28"/>
      <c r="AS1199" s="28"/>
      <c r="AT1199" s="28"/>
      <c r="AU1199" s="28"/>
      <c r="AV1199" s="28"/>
      <c r="AW1199" s="28"/>
      <c r="AX1199" s="28"/>
      <c r="AY1199" s="28"/>
      <c r="AZ1199" s="28"/>
      <c r="BA1199" s="28"/>
      <c r="BB1199" s="28"/>
    </row>
    <row r="1200" spans="1:54" ht="12.75" x14ac:dyDescent="0.2">
      <c r="A1200" s="28"/>
      <c r="B1200" s="28"/>
      <c r="C1200" s="28"/>
      <c r="D1200" s="28"/>
      <c r="E1200" s="28"/>
      <c r="F1200" s="28"/>
      <c r="G1200" s="28"/>
      <c r="H1200" s="28"/>
      <c r="I1200" s="28"/>
      <c r="J1200" s="28"/>
      <c r="K1200" s="28"/>
      <c r="L1200" s="28"/>
      <c r="M1200" s="28"/>
      <c r="N1200" s="28"/>
      <c r="O1200" s="28"/>
      <c r="P1200" s="28"/>
      <c r="Q1200" s="28"/>
      <c r="R1200" s="28"/>
      <c r="S1200" s="28"/>
      <c r="T1200" s="28"/>
      <c r="U1200" s="28"/>
      <c r="V1200" s="28"/>
      <c r="W1200" s="28"/>
      <c r="X1200" s="28"/>
      <c r="Y1200" s="28"/>
      <c r="Z1200" s="28"/>
      <c r="AA1200" s="28"/>
      <c r="AB1200" s="28"/>
      <c r="AC1200" s="28"/>
      <c r="AD1200" s="28"/>
      <c r="AE1200" s="28"/>
      <c r="AF1200" s="28"/>
      <c r="AG1200" s="28"/>
      <c r="AH1200" s="28"/>
      <c r="AI1200" s="28"/>
      <c r="AJ1200" s="28"/>
      <c r="AK1200" s="28"/>
      <c r="AL1200" s="28"/>
      <c r="AM1200" s="28"/>
      <c r="AN1200" s="28"/>
      <c r="AO1200" s="28"/>
      <c r="AP1200" s="28"/>
      <c r="AQ1200" s="28"/>
      <c r="AR1200" s="28"/>
      <c r="AS1200" s="28"/>
      <c r="AT1200" s="28"/>
      <c r="AU1200" s="28"/>
      <c r="AV1200" s="28"/>
      <c r="AW1200" s="28"/>
      <c r="AX1200" s="28"/>
      <c r="AY1200" s="28"/>
      <c r="AZ1200" s="28"/>
      <c r="BA1200" s="28"/>
      <c r="BB1200" s="28"/>
    </row>
    <row r="1201" spans="1:54" ht="12.75" x14ac:dyDescent="0.2">
      <c r="A1201" s="28"/>
      <c r="B1201" s="28"/>
      <c r="C1201" s="28"/>
      <c r="D1201" s="28"/>
      <c r="E1201" s="28"/>
      <c r="F1201" s="28"/>
      <c r="G1201" s="28"/>
      <c r="H1201" s="28"/>
      <c r="I1201" s="28"/>
      <c r="J1201" s="28"/>
      <c r="K1201" s="28"/>
      <c r="L1201" s="28"/>
      <c r="M1201" s="28"/>
      <c r="N1201" s="28"/>
      <c r="O1201" s="28"/>
      <c r="P1201" s="28"/>
      <c r="Q1201" s="28"/>
      <c r="R1201" s="28"/>
      <c r="S1201" s="28"/>
      <c r="T1201" s="28"/>
      <c r="U1201" s="28"/>
      <c r="V1201" s="28"/>
      <c r="W1201" s="28"/>
      <c r="X1201" s="28"/>
      <c r="Y1201" s="28"/>
      <c r="Z1201" s="28"/>
      <c r="AA1201" s="28"/>
      <c r="AB1201" s="28"/>
      <c r="AC1201" s="28"/>
      <c r="AD1201" s="28"/>
      <c r="AE1201" s="28"/>
      <c r="AF1201" s="28"/>
      <c r="AG1201" s="28"/>
      <c r="AH1201" s="28"/>
      <c r="AI1201" s="28"/>
      <c r="AJ1201" s="28"/>
      <c r="AK1201" s="28"/>
      <c r="AL1201" s="28"/>
      <c r="AM1201" s="28"/>
      <c r="AN1201" s="28"/>
      <c r="AO1201" s="28"/>
      <c r="AP1201" s="28"/>
      <c r="AQ1201" s="28"/>
      <c r="AR1201" s="28"/>
      <c r="AS1201" s="28"/>
      <c r="AT1201" s="28"/>
      <c r="AU1201" s="28"/>
      <c r="AV1201" s="28"/>
      <c r="AW1201" s="28"/>
      <c r="AX1201" s="28"/>
      <c r="AY1201" s="28"/>
      <c r="AZ1201" s="28"/>
      <c r="BA1201" s="28"/>
      <c r="BB1201" s="28"/>
    </row>
    <row r="1202" spans="1:54" ht="12.75" x14ac:dyDescent="0.2">
      <c r="A1202" s="28"/>
      <c r="B1202" s="28"/>
      <c r="C1202" s="28"/>
      <c r="D1202" s="28"/>
      <c r="E1202" s="28"/>
      <c r="F1202" s="28"/>
      <c r="G1202" s="28"/>
      <c r="H1202" s="28"/>
      <c r="I1202" s="28"/>
      <c r="J1202" s="28"/>
      <c r="K1202" s="28"/>
      <c r="L1202" s="28"/>
      <c r="M1202" s="28"/>
      <c r="N1202" s="28"/>
      <c r="O1202" s="28"/>
      <c r="P1202" s="28"/>
      <c r="Q1202" s="28"/>
      <c r="R1202" s="28"/>
      <c r="S1202" s="28"/>
      <c r="T1202" s="28"/>
      <c r="U1202" s="28"/>
      <c r="V1202" s="28"/>
      <c r="W1202" s="28"/>
      <c r="X1202" s="28"/>
      <c r="Y1202" s="28"/>
      <c r="Z1202" s="28"/>
      <c r="AA1202" s="28"/>
      <c r="AB1202" s="28"/>
      <c r="AC1202" s="28"/>
      <c r="AD1202" s="28"/>
      <c r="AE1202" s="28"/>
      <c r="AF1202" s="28"/>
      <c r="AG1202" s="28"/>
      <c r="AH1202" s="28"/>
      <c r="AI1202" s="28"/>
      <c r="AJ1202" s="28"/>
      <c r="AK1202" s="28"/>
      <c r="AL1202" s="28"/>
      <c r="AM1202" s="28"/>
      <c r="AN1202" s="28"/>
      <c r="AO1202" s="28"/>
      <c r="AP1202" s="28"/>
      <c r="AQ1202" s="28"/>
      <c r="AR1202" s="28"/>
      <c r="AS1202" s="28"/>
      <c r="AT1202" s="28"/>
      <c r="AU1202" s="28"/>
      <c r="AV1202" s="28"/>
      <c r="AW1202" s="28"/>
      <c r="AX1202" s="28"/>
      <c r="AY1202" s="28"/>
      <c r="AZ1202" s="28"/>
      <c r="BA1202" s="28"/>
      <c r="BB1202" s="28"/>
    </row>
    <row r="1203" spans="1:54" ht="12.75" x14ac:dyDescent="0.2">
      <c r="A1203" s="28"/>
      <c r="B1203" s="28"/>
      <c r="C1203" s="28"/>
      <c r="D1203" s="28"/>
      <c r="E1203" s="28"/>
      <c r="F1203" s="28"/>
      <c r="G1203" s="28"/>
      <c r="H1203" s="28"/>
      <c r="I1203" s="28"/>
      <c r="J1203" s="28"/>
      <c r="K1203" s="28"/>
      <c r="L1203" s="28"/>
      <c r="M1203" s="28"/>
      <c r="N1203" s="28"/>
      <c r="O1203" s="28"/>
      <c r="P1203" s="28"/>
      <c r="Q1203" s="28"/>
      <c r="R1203" s="28"/>
      <c r="S1203" s="28"/>
      <c r="T1203" s="28"/>
      <c r="U1203" s="28"/>
      <c r="V1203" s="28"/>
      <c r="W1203" s="28"/>
      <c r="X1203" s="28"/>
      <c r="Y1203" s="28"/>
      <c r="Z1203" s="28"/>
      <c r="AA1203" s="28"/>
      <c r="AB1203" s="28"/>
      <c r="AC1203" s="28"/>
      <c r="AD1203" s="28"/>
      <c r="AE1203" s="28"/>
      <c r="AF1203" s="28"/>
      <c r="AG1203" s="28"/>
      <c r="AH1203" s="28"/>
      <c r="AI1203" s="28"/>
      <c r="AJ1203" s="28"/>
      <c r="AK1203" s="28"/>
      <c r="AL1203" s="28"/>
      <c r="AM1203" s="28"/>
      <c r="AN1203" s="28"/>
      <c r="AO1203" s="28"/>
      <c r="AP1203" s="28"/>
      <c r="AQ1203" s="28"/>
      <c r="AR1203" s="28"/>
      <c r="AS1203" s="28"/>
      <c r="AT1203" s="28"/>
      <c r="AU1203" s="28"/>
      <c r="AV1203" s="28"/>
      <c r="AW1203" s="28"/>
      <c r="AX1203" s="28"/>
      <c r="AY1203" s="28"/>
      <c r="AZ1203" s="28"/>
      <c r="BA1203" s="28"/>
      <c r="BB1203" s="28"/>
    </row>
    <row r="1204" spans="1:54" ht="12.75" x14ac:dyDescent="0.2">
      <c r="A1204" s="28"/>
      <c r="B1204" s="28"/>
      <c r="C1204" s="28"/>
      <c r="D1204" s="28"/>
      <c r="E1204" s="28"/>
      <c r="F1204" s="28"/>
      <c r="G1204" s="28"/>
      <c r="H1204" s="28"/>
      <c r="I1204" s="28"/>
      <c r="J1204" s="28"/>
      <c r="K1204" s="28"/>
      <c r="L1204" s="28"/>
      <c r="M1204" s="28"/>
      <c r="N1204" s="28"/>
      <c r="O1204" s="28"/>
      <c r="P1204" s="28"/>
      <c r="Q1204" s="28"/>
      <c r="R1204" s="28"/>
      <c r="S1204" s="28"/>
      <c r="T1204" s="28"/>
      <c r="U1204" s="28"/>
      <c r="V1204" s="28"/>
      <c r="W1204" s="28"/>
      <c r="X1204" s="28"/>
      <c r="Y1204" s="28"/>
      <c r="Z1204" s="28"/>
      <c r="AA1204" s="28"/>
      <c r="AB1204" s="28"/>
      <c r="AC1204" s="28"/>
      <c r="AD1204" s="28"/>
      <c r="AE1204" s="28"/>
      <c r="AF1204" s="28"/>
      <c r="AG1204" s="28"/>
      <c r="AH1204" s="28"/>
      <c r="AI1204" s="28"/>
      <c r="AJ1204" s="28"/>
      <c r="AK1204" s="28"/>
      <c r="AL1204" s="28"/>
      <c r="AM1204" s="28"/>
      <c r="AN1204" s="28"/>
      <c r="AO1204" s="28"/>
      <c r="AP1204" s="28"/>
      <c r="AQ1204" s="28"/>
      <c r="AR1204" s="28"/>
      <c r="AS1204" s="28"/>
      <c r="AT1204" s="28"/>
      <c r="AU1204" s="28"/>
      <c r="AV1204" s="28"/>
      <c r="AW1204" s="28"/>
      <c r="AX1204" s="28"/>
      <c r="AY1204" s="28"/>
      <c r="AZ1204" s="28"/>
      <c r="BA1204" s="28"/>
      <c r="BB1204" s="28"/>
    </row>
    <row r="1205" spans="1:54" ht="12.75" x14ac:dyDescent="0.2">
      <c r="A1205" s="28"/>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8"/>
      <c r="AC1205" s="28"/>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row>
    <row r="1206" spans="1:54" ht="12.75" x14ac:dyDescent="0.2">
      <c r="A1206" s="28"/>
      <c r="B1206" s="28"/>
      <c r="C1206" s="28"/>
      <c r="D1206" s="28"/>
      <c r="E1206" s="28"/>
      <c r="F1206" s="28"/>
      <c r="G1206" s="28"/>
      <c r="H1206" s="28"/>
      <c r="I1206" s="28"/>
      <c r="J1206" s="28"/>
      <c r="K1206" s="28"/>
      <c r="L1206" s="28"/>
      <c r="M1206" s="28"/>
      <c r="N1206" s="28"/>
      <c r="O1206" s="28"/>
      <c r="P1206" s="28"/>
      <c r="Q1206" s="28"/>
      <c r="R1206" s="28"/>
      <c r="S1206" s="28"/>
      <c r="T1206" s="28"/>
      <c r="U1206" s="28"/>
      <c r="V1206" s="28"/>
      <c r="W1206" s="28"/>
      <c r="X1206" s="28"/>
      <c r="Y1206" s="28"/>
      <c r="Z1206" s="28"/>
      <c r="AA1206" s="28"/>
      <c r="AB1206" s="28"/>
      <c r="AC1206" s="28"/>
      <c r="AD1206" s="28"/>
      <c r="AE1206" s="28"/>
      <c r="AF1206" s="28"/>
      <c r="AG1206" s="28"/>
      <c r="AH1206" s="28"/>
      <c r="AI1206" s="28"/>
      <c r="AJ1206" s="28"/>
      <c r="AK1206" s="28"/>
      <c r="AL1206" s="28"/>
      <c r="AM1206" s="28"/>
      <c r="AN1206" s="28"/>
      <c r="AO1206" s="28"/>
      <c r="AP1206" s="28"/>
      <c r="AQ1206" s="28"/>
      <c r="AR1206" s="28"/>
      <c r="AS1206" s="28"/>
      <c r="AT1206" s="28"/>
      <c r="AU1206" s="28"/>
      <c r="AV1206" s="28"/>
      <c r="AW1206" s="28"/>
      <c r="AX1206" s="28"/>
      <c r="AY1206" s="28"/>
      <c r="AZ1206" s="28"/>
      <c r="BA1206" s="28"/>
      <c r="BB1206" s="28"/>
    </row>
    <row r="1207" spans="1:54" ht="12.75" x14ac:dyDescent="0.2">
      <c r="A1207" s="28"/>
      <c r="B1207" s="28"/>
      <c r="C1207" s="28"/>
      <c r="D1207" s="28"/>
      <c r="E1207" s="28"/>
      <c r="F1207" s="28"/>
      <c r="G1207" s="28"/>
      <c r="H1207" s="28"/>
      <c r="I1207" s="28"/>
      <c r="J1207" s="28"/>
      <c r="K1207" s="28"/>
      <c r="L1207" s="28"/>
      <c r="M1207" s="28"/>
      <c r="N1207" s="28"/>
      <c r="O1207" s="28"/>
      <c r="P1207" s="28"/>
      <c r="Q1207" s="28"/>
      <c r="R1207" s="28"/>
      <c r="S1207" s="28"/>
      <c r="T1207" s="28"/>
      <c r="U1207" s="28"/>
      <c r="V1207" s="28"/>
      <c r="W1207" s="28"/>
      <c r="X1207" s="28"/>
      <c r="Y1207" s="28"/>
      <c r="Z1207" s="28"/>
      <c r="AA1207" s="28"/>
      <c r="AB1207" s="28"/>
      <c r="AC1207" s="28"/>
      <c r="AD1207" s="28"/>
      <c r="AE1207" s="28"/>
      <c r="AF1207" s="28"/>
      <c r="AG1207" s="28"/>
      <c r="AH1207" s="28"/>
      <c r="AI1207" s="28"/>
      <c r="AJ1207" s="28"/>
      <c r="AK1207" s="28"/>
      <c r="AL1207" s="28"/>
      <c r="AM1207" s="28"/>
      <c r="AN1207" s="28"/>
      <c r="AO1207" s="28"/>
      <c r="AP1207" s="28"/>
      <c r="AQ1207" s="28"/>
      <c r="AR1207" s="28"/>
      <c r="AS1207" s="28"/>
      <c r="AT1207" s="28"/>
      <c r="AU1207" s="28"/>
      <c r="AV1207" s="28"/>
      <c r="AW1207" s="28"/>
      <c r="AX1207" s="28"/>
      <c r="AY1207" s="28"/>
      <c r="AZ1207" s="28"/>
      <c r="BA1207" s="28"/>
      <c r="BB1207" s="28"/>
    </row>
    <row r="1208" spans="1:54" ht="12.75" x14ac:dyDescent="0.2">
      <c r="A1208" s="28"/>
      <c r="B1208" s="28"/>
      <c r="C1208" s="28"/>
      <c r="D1208" s="28"/>
      <c r="E1208" s="28"/>
      <c r="F1208" s="28"/>
      <c r="G1208" s="28"/>
      <c r="H1208" s="28"/>
      <c r="I1208" s="28"/>
      <c r="J1208" s="28"/>
      <c r="K1208" s="28"/>
      <c r="L1208" s="28"/>
      <c r="M1208" s="28"/>
      <c r="N1208" s="28"/>
      <c r="O1208" s="28"/>
      <c r="P1208" s="28"/>
      <c r="Q1208" s="28"/>
      <c r="R1208" s="28"/>
      <c r="S1208" s="28"/>
      <c r="T1208" s="28"/>
      <c r="U1208" s="28"/>
      <c r="V1208" s="28"/>
      <c r="W1208" s="28"/>
      <c r="X1208" s="28"/>
      <c r="Y1208" s="28"/>
      <c r="Z1208" s="28"/>
      <c r="AA1208" s="28"/>
      <c r="AB1208" s="28"/>
      <c r="AC1208" s="28"/>
      <c r="AD1208" s="28"/>
      <c r="AE1208" s="28"/>
      <c r="AF1208" s="28"/>
      <c r="AG1208" s="28"/>
      <c r="AH1208" s="28"/>
      <c r="AI1208" s="28"/>
      <c r="AJ1208" s="28"/>
      <c r="AK1208" s="28"/>
      <c r="AL1208" s="28"/>
      <c r="AM1208" s="28"/>
      <c r="AN1208" s="28"/>
      <c r="AO1208" s="28"/>
      <c r="AP1208" s="28"/>
      <c r="AQ1208" s="28"/>
      <c r="AR1208" s="28"/>
      <c r="AS1208" s="28"/>
      <c r="AT1208" s="28"/>
      <c r="AU1208" s="28"/>
      <c r="AV1208" s="28"/>
      <c r="AW1208" s="28"/>
      <c r="AX1208" s="28"/>
      <c r="AY1208" s="28"/>
      <c r="AZ1208" s="28"/>
      <c r="BA1208" s="28"/>
      <c r="BB1208" s="28"/>
    </row>
    <row r="1209" spans="1:54" ht="12.75" x14ac:dyDescent="0.2">
      <c r="A1209" s="28"/>
      <c r="B1209" s="28"/>
      <c r="C1209" s="28"/>
      <c r="D1209" s="28"/>
      <c r="E1209" s="28"/>
      <c r="F1209" s="28"/>
      <c r="G1209" s="28"/>
      <c r="H1209" s="28"/>
      <c r="I1209" s="28"/>
      <c r="J1209" s="28"/>
      <c r="K1209" s="28"/>
      <c r="L1209" s="28"/>
      <c r="M1209" s="28"/>
      <c r="N1209" s="28"/>
      <c r="O1209" s="28"/>
      <c r="P1209" s="28"/>
      <c r="Q1209" s="28"/>
      <c r="R1209" s="28"/>
      <c r="S1209" s="28"/>
      <c r="T1209" s="28"/>
      <c r="U1209" s="28"/>
      <c r="V1209" s="28"/>
      <c r="W1209" s="28"/>
      <c r="X1209" s="28"/>
      <c r="Y1209" s="28"/>
      <c r="Z1209" s="28"/>
      <c r="AA1209" s="28"/>
      <c r="AB1209" s="28"/>
      <c r="AC1209" s="28"/>
      <c r="AD1209" s="28"/>
      <c r="AE1209" s="28"/>
      <c r="AF1209" s="28"/>
      <c r="AG1209" s="28"/>
      <c r="AH1209" s="28"/>
      <c r="AI1209" s="28"/>
      <c r="AJ1209" s="28"/>
      <c r="AK1209" s="28"/>
      <c r="AL1209" s="28"/>
      <c r="AM1209" s="28"/>
      <c r="AN1209" s="28"/>
      <c r="AO1209" s="28"/>
      <c r="AP1209" s="28"/>
      <c r="AQ1209" s="28"/>
      <c r="AR1209" s="28"/>
      <c r="AS1209" s="28"/>
      <c r="AT1209" s="28"/>
      <c r="AU1209" s="28"/>
      <c r="AV1209" s="28"/>
      <c r="AW1209" s="28"/>
      <c r="AX1209" s="28"/>
      <c r="AY1209" s="28"/>
      <c r="AZ1209" s="28"/>
      <c r="BA1209" s="28"/>
      <c r="BB1209" s="28"/>
    </row>
    <row r="1210" spans="1:54" ht="12.75" x14ac:dyDescent="0.2">
      <c r="A1210" s="28"/>
      <c r="B1210" s="28"/>
      <c r="C1210" s="28"/>
      <c r="D1210" s="28"/>
      <c r="E1210" s="28"/>
      <c r="F1210" s="28"/>
      <c r="G1210" s="28"/>
      <c r="H1210" s="28"/>
      <c r="I1210" s="28"/>
      <c r="J1210" s="28"/>
      <c r="K1210" s="28"/>
      <c r="L1210" s="28"/>
      <c r="M1210" s="28"/>
      <c r="N1210" s="28"/>
      <c r="O1210" s="28"/>
      <c r="P1210" s="28"/>
      <c r="Q1210" s="28"/>
      <c r="R1210" s="28"/>
      <c r="S1210" s="28"/>
      <c r="T1210" s="28"/>
      <c r="U1210" s="28"/>
      <c r="V1210" s="28"/>
      <c r="W1210" s="28"/>
      <c r="X1210" s="28"/>
      <c r="Y1210" s="28"/>
      <c r="Z1210" s="28"/>
      <c r="AA1210" s="28"/>
      <c r="AB1210" s="28"/>
      <c r="AC1210" s="28"/>
      <c r="AD1210" s="28"/>
      <c r="AE1210" s="28"/>
      <c r="AF1210" s="28"/>
      <c r="AG1210" s="28"/>
      <c r="AH1210" s="28"/>
      <c r="AI1210" s="28"/>
      <c r="AJ1210" s="28"/>
      <c r="AK1210" s="28"/>
      <c r="AL1210" s="28"/>
      <c r="AM1210" s="28"/>
      <c r="AN1210" s="28"/>
      <c r="AO1210" s="28"/>
      <c r="AP1210" s="28"/>
      <c r="AQ1210" s="28"/>
      <c r="AR1210" s="28"/>
      <c r="AS1210" s="28"/>
      <c r="AT1210" s="28"/>
      <c r="AU1210" s="28"/>
      <c r="AV1210" s="28"/>
      <c r="AW1210" s="28"/>
      <c r="AX1210" s="28"/>
      <c r="AY1210" s="28"/>
      <c r="AZ1210" s="28"/>
      <c r="BA1210" s="28"/>
      <c r="BB1210" s="28"/>
    </row>
    <row r="1211" spans="1:54" ht="12.75" x14ac:dyDescent="0.2">
      <c r="A1211" s="28"/>
      <c r="B1211" s="28"/>
      <c r="C1211" s="28"/>
      <c r="D1211" s="28"/>
      <c r="E1211" s="28"/>
      <c r="F1211" s="28"/>
      <c r="G1211" s="28"/>
      <c r="H1211" s="28"/>
      <c r="I1211" s="28"/>
      <c r="J1211" s="28"/>
      <c r="K1211" s="28"/>
      <c r="L1211" s="28"/>
      <c r="M1211" s="28"/>
      <c r="N1211" s="28"/>
      <c r="O1211" s="28"/>
      <c r="P1211" s="28"/>
      <c r="Q1211" s="28"/>
      <c r="R1211" s="28"/>
      <c r="S1211" s="28"/>
      <c r="T1211" s="28"/>
      <c r="U1211" s="28"/>
      <c r="V1211" s="28"/>
      <c r="W1211" s="28"/>
      <c r="X1211" s="28"/>
      <c r="Y1211" s="28"/>
      <c r="Z1211" s="28"/>
      <c r="AA1211" s="28"/>
      <c r="AB1211" s="28"/>
      <c r="AC1211" s="28"/>
      <c r="AD1211" s="28"/>
      <c r="AE1211" s="28"/>
      <c r="AF1211" s="28"/>
      <c r="AG1211" s="28"/>
      <c r="AH1211" s="28"/>
      <c r="AI1211" s="28"/>
      <c r="AJ1211" s="28"/>
      <c r="AK1211" s="28"/>
      <c r="AL1211" s="28"/>
      <c r="AM1211" s="28"/>
      <c r="AN1211" s="28"/>
      <c r="AO1211" s="28"/>
      <c r="AP1211" s="28"/>
      <c r="AQ1211" s="28"/>
      <c r="AR1211" s="28"/>
      <c r="AS1211" s="28"/>
      <c r="AT1211" s="28"/>
      <c r="AU1211" s="28"/>
      <c r="AV1211" s="28"/>
      <c r="AW1211" s="28"/>
      <c r="AX1211" s="28"/>
      <c r="AY1211" s="28"/>
      <c r="AZ1211" s="28"/>
      <c r="BA1211" s="28"/>
      <c r="BB1211" s="28"/>
    </row>
    <row r="1212" spans="1:54" ht="12.75" x14ac:dyDescent="0.2">
      <c r="A1212" s="28"/>
      <c r="B1212" s="28"/>
      <c r="C1212" s="28"/>
      <c r="D1212" s="28"/>
      <c r="E1212" s="28"/>
      <c r="F1212" s="28"/>
      <c r="G1212" s="28"/>
      <c r="H1212" s="28"/>
      <c r="I1212" s="28"/>
      <c r="J1212" s="28"/>
      <c r="K1212" s="28"/>
      <c r="L1212" s="28"/>
      <c r="M1212" s="28"/>
      <c r="N1212" s="28"/>
      <c r="O1212" s="28"/>
      <c r="P1212" s="28"/>
      <c r="Q1212" s="28"/>
      <c r="R1212" s="28"/>
      <c r="S1212" s="28"/>
      <c r="T1212" s="28"/>
      <c r="U1212" s="28"/>
      <c r="V1212" s="28"/>
      <c r="W1212" s="28"/>
      <c r="X1212" s="28"/>
      <c r="Y1212" s="28"/>
      <c r="Z1212" s="28"/>
      <c r="AA1212" s="28"/>
      <c r="AB1212" s="28"/>
      <c r="AC1212" s="28"/>
      <c r="AD1212" s="28"/>
      <c r="AE1212" s="28"/>
      <c r="AF1212" s="28"/>
      <c r="AG1212" s="28"/>
      <c r="AH1212" s="28"/>
      <c r="AI1212" s="28"/>
      <c r="AJ1212" s="28"/>
      <c r="AK1212" s="28"/>
      <c r="AL1212" s="28"/>
      <c r="AM1212" s="28"/>
      <c r="AN1212" s="28"/>
      <c r="AO1212" s="28"/>
      <c r="AP1212" s="28"/>
      <c r="AQ1212" s="28"/>
      <c r="AR1212" s="28"/>
      <c r="AS1212" s="28"/>
      <c r="AT1212" s="28"/>
      <c r="AU1212" s="28"/>
      <c r="AV1212" s="28"/>
      <c r="AW1212" s="28"/>
      <c r="AX1212" s="28"/>
      <c r="AY1212" s="28"/>
      <c r="AZ1212" s="28"/>
      <c r="BA1212" s="28"/>
      <c r="BB1212" s="28"/>
    </row>
    <row r="1213" spans="1:54" ht="12.75" x14ac:dyDescent="0.2">
      <c r="A1213" s="28"/>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8"/>
      <c r="AC1213" s="28"/>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row>
    <row r="1214" spans="1:54" ht="12.75" x14ac:dyDescent="0.2">
      <c r="A1214" s="28"/>
      <c r="B1214" s="28"/>
      <c r="C1214" s="28"/>
      <c r="D1214" s="28"/>
      <c r="E1214" s="28"/>
      <c r="F1214" s="28"/>
      <c r="G1214" s="28"/>
      <c r="H1214" s="28"/>
      <c r="I1214" s="28"/>
      <c r="J1214" s="28"/>
      <c r="K1214" s="28"/>
      <c r="L1214" s="28"/>
      <c r="M1214" s="28"/>
      <c r="N1214" s="28"/>
      <c r="O1214" s="28"/>
      <c r="P1214" s="28"/>
      <c r="Q1214" s="28"/>
      <c r="R1214" s="28"/>
      <c r="S1214" s="28"/>
      <c r="T1214" s="28"/>
      <c r="U1214" s="28"/>
      <c r="V1214" s="28"/>
      <c r="W1214" s="28"/>
      <c r="X1214" s="28"/>
      <c r="Y1214" s="28"/>
      <c r="Z1214" s="28"/>
      <c r="AA1214" s="28"/>
      <c r="AB1214" s="28"/>
      <c r="AC1214" s="28"/>
      <c r="AD1214" s="28"/>
      <c r="AE1214" s="28"/>
      <c r="AF1214" s="28"/>
      <c r="AG1214" s="28"/>
      <c r="AH1214" s="28"/>
      <c r="AI1214" s="28"/>
      <c r="AJ1214" s="28"/>
      <c r="AK1214" s="28"/>
      <c r="AL1214" s="28"/>
      <c r="AM1214" s="28"/>
      <c r="AN1214" s="28"/>
      <c r="AO1214" s="28"/>
      <c r="AP1214" s="28"/>
      <c r="AQ1214" s="28"/>
      <c r="AR1214" s="28"/>
      <c r="AS1214" s="28"/>
      <c r="AT1214" s="28"/>
      <c r="AU1214" s="28"/>
      <c r="AV1214" s="28"/>
      <c r="AW1214" s="28"/>
      <c r="AX1214" s="28"/>
      <c r="AY1214" s="28"/>
      <c r="AZ1214" s="28"/>
      <c r="BA1214" s="28"/>
      <c r="BB1214" s="28"/>
    </row>
    <row r="1215" spans="1:54" ht="12.75" x14ac:dyDescent="0.2">
      <c r="A1215" s="28"/>
      <c r="B1215" s="28"/>
      <c r="C1215" s="28"/>
      <c r="D1215" s="28"/>
      <c r="E1215" s="28"/>
      <c r="F1215" s="28"/>
      <c r="G1215" s="28"/>
      <c r="H1215" s="28"/>
      <c r="I1215" s="28"/>
      <c r="J1215" s="28"/>
      <c r="K1215" s="28"/>
      <c r="L1215" s="28"/>
      <c r="M1215" s="28"/>
      <c r="N1215" s="28"/>
      <c r="O1215" s="28"/>
      <c r="P1215" s="28"/>
      <c r="Q1215" s="28"/>
      <c r="R1215" s="28"/>
      <c r="S1215" s="28"/>
      <c r="T1215" s="28"/>
      <c r="U1215" s="28"/>
      <c r="V1215" s="28"/>
      <c r="W1215" s="28"/>
      <c r="X1215" s="28"/>
      <c r="Y1215" s="28"/>
      <c r="Z1215" s="28"/>
      <c r="AA1215" s="28"/>
      <c r="AB1215" s="28"/>
      <c r="AC1215" s="28"/>
      <c r="AD1215" s="28"/>
      <c r="AE1215" s="28"/>
      <c r="AF1215" s="28"/>
      <c r="AG1215" s="28"/>
      <c r="AH1215" s="28"/>
      <c r="AI1215" s="28"/>
      <c r="AJ1215" s="28"/>
      <c r="AK1215" s="28"/>
      <c r="AL1215" s="28"/>
      <c r="AM1215" s="28"/>
      <c r="AN1215" s="28"/>
      <c r="AO1215" s="28"/>
      <c r="AP1215" s="28"/>
      <c r="AQ1215" s="28"/>
      <c r="AR1215" s="28"/>
      <c r="AS1215" s="28"/>
      <c r="AT1215" s="28"/>
      <c r="AU1215" s="28"/>
      <c r="AV1215" s="28"/>
      <c r="AW1215" s="28"/>
      <c r="AX1215" s="28"/>
      <c r="AY1215" s="28"/>
      <c r="AZ1215" s="28"/>
      <c r="BA1215" s="28"/>
      <c r="BB1215" s="28"/>
    </row>
    <row r="1216" spans="1:54" ht="12.75" x14ac:dyDescent="0.2">
      <c r="A1216" s="28"/>
      <c r="B1216" s="28"/>
      <c r="C1216" s="28"/>
      <c r="D1216" s="28"/>
      <c r="E1216" s="28"/>
      <c r="F1216" s="28"/>
      <c r="G1216" s="28"/>
      <c r="H1216" s="28"/>
      <c r="I1216" s="28"/>
      <c r="J1216" s="28"/>
      <c r="K1216" s="28"/>
      <c r="L1216" s="28"/>
      <c r="M1216" s="28"/>
      <c r="N1216" s="28"/>
      <c r="O1216" s="28"/>
      <c r="P1216" s="28"/>
      <c r="Q1216" s="28"/>
      <c r="R1216" s="28"/>
      <c r="S1216" s="28"/>
      <c r="T1216" s="28"/>
      <c r="U1216" s="28"/>
      <c r="V1216" s="28"/>
      <c r="W1216" s="28"/>
      <c r="X1216" s="28"/>
      <c r="Y1216" s="28"/>
      <c r="Z1216" s="28"/>
      <c r="AA1216" s="28"/>
      <c r="AB1216" s="28"/>
      <c r="AC1216" s="28"/>
      <c r="AD1216" s="28"/>
      <c r="AE1216" s="28"/>
      <c r="AF1216" s="28"/>
      <c r="AG1216" s="28"/>
      <c r="AH1216" s="28"/>
      <c r="AI1216" s="28"/>
      <c r="AJ1216" s="28"/>
      <c r="AK1216" s="28"/>
      <c r="AL1216" s="28"/>
      <c r="AM1216" s="28"/>
      <c r="AN1216" s="28"/>
      <c r="AO1216" s="28"/>
      <c r="AP1216" s="28"/>
      <c r="AQ1216" s="28"/>
      <c r="AR1216" s="28"/>
      <c r="AS1216" s="28"/>
      <c r="AT1216" s="28"/>
      <c r="AU1216" s="28"/>
      <c r="AV1216" s="28"/>
      <c r="AW1216" s="28"/>
      <c r="AX1216" s="28"/>
      <c r="AY1216" s="28"/>
      <c r="AZ1216" s="28"/>
      <c r="BA1216" s="28"/>
      <c r="BB1216" s="28"/>
    </row>
    <row r="1217" spans="1:54" ht="12.75" x14ac:dyDescent="0.2">
      <c r="A1217" s="28"/>
      <c r="B1217" s="28"/>
      <c r="C1217" s="28"/>
      <c r="D1217" s="28"/>
      <c r="E1217" s="28"/>
      <c r="F1217" s="28"/>
      <c r="G1217" s="28"/>
      <c r="H1217" s="28"/>
      <c r="I1217" s="28"/>
      <c r="J1217" s="28"/>
      <c r="K1217" s="28"/>
      <c r="L1217" s="28"/>
      <c r="M1217" s="28"/>
      <c r="N1217" s="28"/>
      <c r="O1217" s="28"/>
      <c r="P1217" s="28"/>
      <c r="Q1217" s="28"/>
      <c r="R1217" s="28"/>
      <c r="S1217" s="28"/>
      <c r="T1217" s="28"/>
      <c r="U1217" s="28"/>
      <c r="V1217" s="28"/>
      <c r="W1217" s="28"/>
      <c r="X1217" s="28"/>
      <c r="Y1217" s="28"/>
      <c r="Z1217" s="28"/>
      <c r="AA1217" s="28"/>
      <c r="AB1217" s="28"/>
      <c r="AC1217" s="28"/>
      <c r="AD1217" s="28"/>
      <c r="AE1217" s="28"/>
      <c r="AF1217" s="28"/>
      <c r="AG1217" s="28"/>
      <c r="AH1217" s="28"/>
      <c r="AI1217" s="28"/>
      <c r="AJ1217" s="28"/>
      <c r="AK1217" s="28"/>
      <c r="AL1217" s="28"/>
      <c r="AM1217" s="28"/>
      <c r="AN1217" s="28"/>
      <c r="AO1217" s="28"/>
      <c r="AP1217" s="28"/>
      <c r="AQ1217" s="28"/>
      <c r="AR1217" s="28"/>
      <c r="AS1217" s="28"/>
      <c r="AT1217" s="28"/>
      <c r="AU1217" s="28"/>
      <c r="AV1217" s="28"/>
      <c r="AW1217" s="28"/>
      <c r="AX1217" s="28"/>
      <c r="AY1217" s="28"/>
      <c r="AZ1217" s="28"/>
      <c r="BA1217" s="28"/>
      <c r="BB1217" s="28"/>
    </row>
    <row r="1218" spans="1:54" ht="12.75" x14ac:dyDescent="0.2">
      <c r="A1218" s="28"/>
      <c r="B1218" s="28"/>
      <c r="C1218" s="28"/>
      <c r="D1218" s="28"/>
      <c r="E1218" s="28"/>
      <c r="F1218" s="28"/>
      <c r="G1218" s="28"/>
      <c r="H1218" s="28"/>
      <c r="I1218" s="28"/>
      <c r="J1218" s="28"/>
      <c r="K1218" s="28"/>
      <c r="L1218" s="28"/>
      <c r="M1218" s="28"/>
      <c r="N1218" s="28"/>
      <c r="O1218" s="28"/>
      <c r="P1218" s="28"/>
      <c r="Q1218" s="28"/>
      <c r="R1218" s="28"/>
      <c r="S1218" s="28"/>
      <c r="T1218" s="28"/>
      <c r="U1218" s="28"/>
      <c r="V1218" s="28"/>
      <c r="W1218" s="28"/>
      <c r="X1218" s="28"/>
      <c r="Y1218" s="28"/>
      <c r="Z1218" s="28"/>
      <c r="AA1218" s="28"/>
      <c r="AB1218" s="28"/>
      <c r="AC1218" s="28"/>
      <c r="AD1218" s="28"/>
      <c r="AE1218" s="28"/>
      <c r="AF1218" s="28"/>
      <c r="AG1218" s="28"/>
      <c r="AH1218" s="28"/>
      <c r="AI1218" s="28"/>
      <c r="AJ1218" s="28"/>
      <c r="AK1218" s="28"/>
      <c r="AL1218" s="28"/>
      <c r="AM1218" s="28"/>
      <c r="AN1218" s="28"/>
      <c r="AO1218" s="28"/>
      <c r="AP1218" s="28"/>
      <c r="AQ1218" s="28"/>
      <c r="AR1218" s="28"/>
      <c r="AS1218" s="28"/>
      <c r="AT1218" s="28"/>
      <c r="AU1218" s="28"/>
      <c r="AV1218" s="28"/>
      <c r="AW1218" s="28"/>
      <c r="AX1218" s="28"/>
      <c r="AY1218" s="28"/>
      <c r="AZ1218" s="28"/>
      <c r="BA1218" s="28"/>
      <c r="BB1218" s="28"/>
    </row>
    <row r="1219" spans="1:54" ht="12.75" x14ac:dyDescent="0.2">
      <c r="A1219" s="28"/>
      <c r="B1219" s="28"/>
      <c r="C1219" s="28"/>
      <c r="D1219" s="28"/>
      <c r="E1219" s="28"/>
      <c r="F1219" s="28"/>
      <c r="G1219" s="28"/>
      <c r="H1219" s="28"/>
      <c r="I1219" s="28"/>
      <c r="J1219" s="28"/>
      <c r="K1219" s="28"/>
      <c r="L1219" s="28"/>
      <c r="M1219" s="28"/>
      <c r="N1219" s="28"/>
      <c r="O1219" s="28"/>
      <c r="P1219" s="28"/>
      <c r="Q1219" s="28"/>
      <c r="R1219" s="28"/>
      <c r="S1219" s="28"/>
      <c r="T1219" s="28"/>
      <c r="U1219" s="28"/>
      <c r="V1219" s="28"/>
      <c r="W1219" s="28"/>
      <c r="X1219" s="28"/>
      <c r="Y1219" s="28"/>
      <c r="Z1219" s="28"/>
      <c r="AA1219" s="28"/>
      <c r="AB1219" s="28"/>
      <c r="AC1219" s="28"/>
      <c r="AD1219" s="28"/>
      <c r="AE1219" s="28"/>
      <c r="AF1219" s="28"/>
      <c r="AG1219" s="28"/>
      <c r="AH1219" s="28"/>
      <c r="AI1219" s="28"/>
      <c r="AJ1219" s="28"/>
      <c r="AK1219" s="28"/>
      <c r="AL1219" s="28"/>
      <c r="AM1219" s="28"/>
      <c r="AN1219" s="28"/>
      <c r="AO1219" s="28"/>
      <c r="AP1219" s="28"/>
      <c r="AQ1219" s="28"/>
      <c r="AR1219" s="28"/>
      <c r="AS1219" s="28"/>
      <c r="AT1219" s="28"/>
      <c r="AU1219" s="28"/>
      <c r="AV1219" s="28"/>
      <c r="AW1219" s="28"/>
      <c r="AX1219" s="28"/>
      <c r="AY1219" s="28"/>
      <c r="AZ1219" s="28"/>
      <c r="BA1219" s="28"/>
      <c r="BB1219" s="28"/>
    </row>
    <row r="1220" spans="1:54" ht="12.75" x14ac:dyDescent="0.2">
      <c r="A1220" s="28"/>
      <c r="B1220" s="28"/>
      <c r="C1220" s="28"/>
      <c r="D1220" s="28"/>
      <c r="E1220" s="28"/>
      <c r="F1220" s="28"/>
      <c r="G1220" s="28"/>
      <c r="H1220" s="28"/>
      <c r="I1220" s="28"/>
      <c r="J1220" s="28"/>
      <c r="K1220" s="28"/>
      <c r="L1220" s="28"/>
      <c r="M1220" s="28"/>
      <c r="N1220" s="28"/>
      <c r="O1220" s="28"/>
      <c r="P1220" s="28"/>
      <c r="Q1220" s="28"/>
      <c r="R1220" s="28"/>
      <c r="S1220" s="28"/>
      <c r="T1220" s="28"/>
      <c r="U1220" s="28"/>
      <c r="V1220" s="28"/>
      <c r="W1220" s="28"/>
      <c r="X1220" s="28"/>
      <c r="Y1220" s="28"/>
      <c r="Z1220" s="28"/>
      <c r="AA1220" s="28"/>
      <c r="AB1220" s="28"/>
      <c r="AC1220" s="28"/>
      <c r="AD1220" s="28"/>
      <c r="AE1220" s="28"/>
      <c r="AF1220" s="28"/>
      <c r="AG1220" s="28"/>
      <c r="AH1220" s="28"/>
      <c r="AI1220" s="28"/>
      <c r="AJ1220" s="28"/>
      <c r="AK1220" s="28"/>
      <c r="AL1220" s="28"/>
      <c r="AM1220" s="28"/>
      <c r="AN1220" s="28"/>
      <c r="AO1220" s="28"/>
      <c r="AP1220" s="28"/>
      <c r="AQ1220" s="28"/>
      <c r="AR1220" s="28"/>
      <c r="AS1220" s="28"/>
      <c r="AT1220" s="28"/>
      <c r="AU1220" s="28"/>
      <c r="AV1220" s="28"/>
      <c r="AW1220" s="28"/>
      <c r="AX1220" s="28"/>
      <c r="AY1220" s="28"/>
      <c r="AZ1220" s="28"/>
      <c r="BA1220" s="28"/>
      <c r="BB1220" s="28"/>
    </row>
    <row r="1221" spans="1:54" ht="12.75" x14ac:dyDescent="0.2">
      <c r="A1221" s="28"/>
      <c r="B1221" s="28"/>
      <c r="C1221" s="28"/>
      <c r="D1221" s="28"/>
      <c r="E1221" s="28"/>
      <c r="F1221" s="28"/>
      <c r="G1221" s="28"/>
      <c r="H1221" s="28"/>
      <c r="I1221" s="28"/>
      <c r="J1221" s="28"/>
      <c r="K1221" s="28"/>
      <c r="L1221" s="28"/>
      <c r="M1221" s="28"/>
      <c r="N1221" s="28"/>
      <c r="O1221" s="28"/>
      <c r="P1221" s="28"/>
      <c r="Q1221" s="28"/>
      <c r="R1221" s="28"/>
      <c r="S1221" s="28"/>
      <c r="T1221" s="28"/>
      <c r="U1221" s="28"/>
      <c r="V1221" s="28"/>
      <c r="W1221" s="28"/>
      <c r="X1221" s="28"/>
      <c r="Y1221" s="28"/>
      <c r="Z1221" s="28"/>
      <c r="AA1221" s="28"/>
      <c r="AB1221" s="28"/>
      <c r="AC1221" s="28"/>
      <c r="AD1221" s="28"/>
      <c r="AE1221" s="28"/>
      <c r="AF1221" s="28"/>
      <c r="AG1221" s="28"/>
      <c r="AH1221" s="28"/>
      <c r="AI1221" s="28"/>
      <c r="AJ1221" s="28"/>
      <c r="AK1221" s="28"/>
      <c r="AL1221" s="28"/>
      <c r="AM1221" s="28"/>
      <c r="AN1221" s="28"/>
      <c r="AO1221" s="28"/>
      <c r="AP1221" s="28"/>
      <c r="AQ1221" s="28"/>
      <c r="AR1221" s="28"/>
      <c r="AS1221" s="28"/>
      <c r="AT1221" s="28"/>
      <c r="AU1221" s="28"/>
      <c r="AV1221" s="28"/>
      <c r="AW1221" s="28"/>
      <c r="AX1221" s="28"/>
      <c r="AY1221" s="28"/>
      <c r="AZ1221" s="28"/>
      <c r="BA1221" s="28"/>
      <c r="BB1221" s="28"/>
    </row>
    <row r="1222" spans="1:54" ht="12.75" x14ac:dyDescent="0.2">
      <c r="A1222" s="28"/>
      <c r="B1222" s="28"/>
      <c r="C1222" s="28"/>
      <c r="D1222" s="28"/>
      <c r="E1222" s="28"/>
      <c r="F1222" s="28"/>
      <c r="G1222" s="28"/>
      <c r="H1222" s="28"/>
      <c r="I1222" s="28"/>
      <c r="J1222" s="28"/>
      <c r="K1222" s="28"/>
      <c r="L1222" s="28"/>
      <c r="M1222" s="28"/>
      <c r="N1222" s="28"/>
      <c r="O1222" s="28"/>
      <c r="P1222" s="28"/>
      <c r="Q1222" s="28"/>
      <c r="R1222" s="28"/>
      <c r="S1222" s="28"/>
      <c r="T1222" s="28"/>
      <c r="U1222" s="28"/>
      <c r="V1222" s="28"/>
      <c r="W1222" s="28"/>
      <c r="X1222" s="28"/>
      <c r="Y1222" s="28"/>
      <c r="Z1222" s="28"/>
      <c r="AA1222" s="28"/>
      <c r="AB1222" s="28"/>
      <c r="AC1222" s="28"/>
      <c r="AD1222" s="28"/>
      <c r="AE1222" s="28"/>
      <c r="AF1222" s="28"/>
      <c r="AG1222" s="28"/>
      <c r="AH1222" s="28"/>
      <c r="AI1222" s="28"/>
      <c r="AJ1222" s="28"/>
      <c r="AK1222" s="28"/>
      <c r="AL1222" s="28"/>
      <c r="AM1222" s="28"/>
      <c r="AN1222" s="28"/>
      <c r="AO1222" s="28"/>
      <c r="AP1222" s="28"/>
      <c r="AQ1222" s="28"/>
      <c r="AR1222" s="28"/>
      <c r="AS1222" s="28"/>
      <c r="AT1222" s="28"/>
      <c r="AU1222" s="28"/>
      <c r="AV1222" s="28"/>
      <c r="AW1222" s="28"/>
      <c r="AX1222" s="28"/>
      <c r="AY1222" s="28"/>
      <c r="AZ1222" s="28"/>
      <c r="BA1222" s="28"/>
      <c r="BB1222" s="28"/>
    </row>
    <row r="1223" spans="1:54" ht="12.75" x14ac:dyDescent="0.2">
      <c r="A1223" s="28"/>
      <c r="B1223" s="28"/>
      <c r="C1223" s="28"/>
      <c r="D1223" s="28"/>
      <c r="E1223" s="28"/>
      <c r="F1223" s="28"/>
      <c r="G1223" s="28"/>
      <c r="H1223" s="28"/>
      <c r="I1223" s="28"/>
      <c r="J1223" s="28"/>
      <c r="K1223" s="28"/>
      <c r="L1223" s="28"/>
      <c r="M1223" s="28"/>
      <c r="N1223" s="28"/>
      <c r="O1223" s="28"/>
      <c r="P1223" s="28"/>
      <c r="Q1223" s="28"/>
      <c r="R1223" s="28"/>
      <c r="S1223" s="28"/>
      <c r="T1223" s="28"/>
      <c r="U1223" s="28"/>
      <c r="V1223" s="28"/>
      <c r="W1223" s="28"/>
      <c r="X1223" s="28"/>
      <c r="Y1223" s="28"/>
      <c r="Z1223" s="28"/>
      <c r="AA1223" s="28"/>
      <c r="AB1223" s="28"/>
      <c r="AC1223" s="28"/>
      <c r="AD1223" s="28"/>
      <c r="AE1223" s="28"/>
      <c r="AF1223" s="28"/>
      <c r="AG1223" s="28"/>
      <c r="AH1223" s="28"/>
      <c r="AI1223" s="28"/>
      <c r="AJ1223" s="28"/>
      <c r="AK1223" s="28"/>
      <c r="AL1223" s="28"/>
      <c r="AM1223" s="28"/>
      <c r="AN1223" s="28"/>
      <c r="AO1223" s="28"/>
      <c r="AP1223" s="28"/>
      <c r="AQ1223" s="28"/>
      <c r="AR1223" s="28"/>
      <c r="AS1223" s="28"/>
      <c r="AT1223" s="28"/>
      <c r="AU1223" s="28"/>
      <c r="AV1223" s="28"/>
      <c r="AW1223" s="28"/>
      <c r="AX1223" s="28"/>
      <c r="AY1223" s="28"/>
      <c r="AZ1223" s="28"/>
      <c r="BA1223" s="28"/>
      <c r="BB1223" s="28"/>
    </row>
    <row r="1224" spans="1:54" ht="12.75" x14ac:dyDescent="0.2">
      <c r="A1224" s="28"/>
      <c r="B1224" s="28"/>
      <c r="C1224" s="28"/>
      <c r="D1224" s="28"/>
      <c r="E1224" s="28"/>
      <c r="F1224" s="28"/>
      <c r="G1224" s="28"/>
      <c r="H1224" s="28"/>
      <c r="I1224" s="28"/>
      <c r="J1224" s="28"/>
      <c r="K1224" s="28"/>
      <c r="L1224" s="28"/>
      <c r="M1224" s="28"/>
      <c r="N1224" s="28"/>
      <c r="O1224" s="28"/>
      <c r="P1224" s="28"/>
      <c r="Q1224" s="28"/>
      <c r="R1224" s="28"/>
      <c r="S1224" s="28"/>
      <c r="T1224" s="28"/>
      <c r="U1224" s="28"/>
      <c r="V1224" s="28"/>
      <c r="W1224" s="28"/>
      <c r="X1224" s="28"/>
      <c r="Y1224" s="28"/>
      <c r="Z1224" s="28"/>
      <c r="AA1224" s="28"/>
      <c r="AB1224" s="28"/>
      <c r="AC1224" s="28"/>
      <c r="AD1224" s="28"/>
      <c r="AE1224" s="28"/>
      <c r="AF1224" s="28"/>
      <c r="AG1224" s="28"/>
      <c r="AH1224" s="28"/>
      <c r="AI1224" s="28"/>
      <c r="AJ1224" s="28"/>
      <c r="AK1224" s="28"/>
      <c r="AL1224" s="28"/>
      <c r="AM1224" s="28"/>
      <c r="AN1224" s="28"/>
      <c r="AO1224" s="28"/>
      <c r="AP1224" s="28"/>
      <c r="AQ1224" s="28"/>
      <c r="AR1224" s="28"/>
      <c r="AS1224" s="28"/>
      <c r="AT1224" s="28"/>
      <c r="AU1224" s="28"/>
      <c r="AV1224" s="28"/>
      <c r="AW1224" s="28"/>
      <c r="AX1224" s="28"/>
      <c r="AY1224" s="28"/>
      <c r="AZ1224" s="28"/>
      <c r="BA1224" s="28"/>
      <c r="BB1224" s="28"/>
    </row>
    <row r="1225" spans="1:54" ht="12.75" x14ac:dyDescent="0.2">
      <c r="A1225" s="28"/>
      <c r="B1225" s="28"/>
      <c r="C1225" s="28"/>
      <c r="D1225" s="28"/>
      <c r="E1225" s="28"/>
      <c r="F1225" s="28"/>
      <c r="G1225" s="28"/>
      <c r="H1225" s="28"/>
      <c r="I1225" s="28"/>
      <c r="J1225" s="28"/>
      <c r="K1225" s="28"/>
      <c r="L1225" s="28"/>
      <c r="M1225" s="28"/>
      <c r="N1225" s="28"/>
      <c r="O1225" s="28"/>
      <c r="P1225" s="28"/>
      <c r="Q1225" s="28"/>
      <c r="R1225" s="28"/>
      <c r="S1225" s="28"/>
      <c r="T1225" s="28"/>
      <c r="U1225" s="28"/>
      <c r="V1225" s="28"/>
      <c r="W1225" s="28"/>
      <c r="X1225" s="28"/>
      <c r="Y1225" s="28"/>
      <c r="Z1225" s="28"/>
      <c r="AA1225" s="28"/>
      <c r="AB1225" s="28"/>
      <c r="AC1225" s="28"/>
      <c r="AD1225" s="28"/>
      <c r="AE1225" s="28"/>
      <c r="AF1225" s="28"/>
      <c r="AG1225" s="28"/>
      <c r="AH1225" s="28"/>
      <c r="AI1225" s="28"/>
      <c r="AJ1225" s="28"/>
      <c r="AK1225" s="28"/>
      <c r="AL1225" s="28"/>
      <c r="AM1225" s="28"/>
      <c r="AN1225" s="28"/>
      <c r="AO1225" s="28"/>
      <c r="AP1225" s="28"/>
      <c r="AQ1225" s="28"/>
      <c r="AR1225" s="28"/>
      <c r="AS1225" s="28"/>
      <c r="AT1225" s="28"/>
      <c r="AU1225" s="28"/>
      <c r="AV1225" s="28"/>
      <c r="AW1225" s="28"/>
      <c r="AX1225" s="28"/>
      <c r="AY1225" s="28"/>
      <c r="AZ1225" s="28"/>
      <c r="BA1225" s="28"/>
      <c r="BB1225" s="28"/>
    </row>
    <row r="1226" spans="1:54" ht="12.75" x14ac:dyDescent="0.2">
      <c r="A1226" s="28"/>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8"/>
      <c r="AC1226" s="28"/>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row>
    <row r="1227" spans="1:54" ht="12.75" x14ac:dyDescent="0.2">
      <c r="A1227" s="28"/>
      <c r="B1227" s="28"/>
      <c r="C1227" s="28"/>
      <c r="D1227" s="28"/>
      <c r="E1227" s="28"/>
      <c r="F1227" s="28"/>
      <c r="G1227" s="28"/>
      <c r="H1227" s="28"/>
      <c r="I1227" s="28"/>
      <c r="J1227" s="28"/>
      <c r="K1227" s="28"/>
      <c r="L1227" s="28"/>
      <c r="M1227" s="28"/>
      <c r="N1227" s="28"/>
      <c r="O1227" s="28"/>
      <c r="P1227" s="28"/>
      <c r="Q1227" s="28"/>
      <c r="R1227" s="28"/>
      <c r="S1227" s="28"/>
      <c r="T1227" s="28"/>
      <c r="U1227" s="28"/>
      <c r="V1227" s="28"/>
      <c r="W1227" s="28"/>
      <c r="X1227" s="28"/>
      <c r="Y1227" s="28"/>
      <c r="Z1227" s="28"/>
      <c r="AA1227" s="28"/>
      <c r="AB1227" s="28"/>
      <c r="AC1227" s="28"/>
      <c r="AD1227" s="28"/>
      <c r="AE1227" s="28"/>
      <c r="AF1227" s="28"/>
      <c r="AG1227" s="28"/>
      <c r="AH1227" s="28"/>
      <c r="AI1227" s="28"/>
      <c r="AJ1227" s="28"/>
      <c r="AK1227" s="28"/>
      <c r="AL1227" s="28"/>
      <c r="AM1227" s="28"/>
      <c r="AN1227" s="28"/>
      <c r="AO1227" s="28"/>
      <c r="AP1227" s="28"/>
      <c r="AQ1227" s="28"/>
      <c r="AR1227" s="28"/>
      <c r="AS1227" s="28"/>
      <c r="AT1227" s="28"/>
      <c r="AU1227" s="28"/>
      <c r="AV1227" s="28"/>
      <c r="AW1227" s="28"/>
      <c r="AX1227" s="28"/>
      <c r="AY1227" s="28"/>
      <c r="AZ1227" s="28"/>
      <c r="BA1227" s="28"/>
      <c r="BB1227" s="28"/>
    </row>
    <row r="1228" spans="1:54" ht="12.75" x14ac:dyDescent="0.2">
      <c r="A1228" s="28"/>
      <c r="B1228" s="28"/>
      <c r="C1228" s="28"/>
      <c r="D1228" s="28"/>
      <c r="E1228" s="28"/>
      <c r="F1228" s="28"/>
      <c r="G1228" s="28"/>
      <c r="H1228" s="28"/>
      <c r="I1228" s="28"/>
      <c r="J1228" s="28"/>
      <c r="K1228" s="28"/>
      <c r="L1228" s="28"/>
      <c r="M1228" s="28"/>
      <c r="N1228" s="28"/>
      <c r="O1228" s="28"/>
      <c r="P1228" s="28"/>
      <c r="Q1228" s="28"/>
      <c r="R1228" s="28"/>
      <c r="S1228" s="28"/>
      <c r="T1228" s="28"/>
      <c r="U1228" s="28"/>
      <c r="V1228" s="28"/>
      <c r="W1228" s="28"/>
      <c r="X1228" s="28"/>
      <c r="Y1228" s="28"/>
      <c r="Z1228" s="28"/>
      <c r="AA1228" s="28"/>
      <c r="AB1228" s="28"/>
      <c r="AC1228" s="28"/>
      <c r="AD1228" s="28"/>
      <c r="AE1228" s="28"/>
      <c r="AF1228" s="28"/>
      <c r="AG1228" s="28"/>
      <c r="AH1228" s="28"/>
      <c r="AI1228" s="28"/>
      <c r="AJ1228" s="28"/>
      <c r="AK1228" s="28"/>
      <c r="AL1228" s="28"/>
      <c r="AM1228" s="28"/>
      <c r="AN1228" s="28"/>
      <c r="AO1228" s="28"/>
      <c r="AP1228" s="28"/>
      <c r="AQ1228" s="28"/>
      <c r="AR1228" s="28"/>
      <c r="AS1228" s="28"/>
      <c r="AT1228" s="28"/>
      <c r="AU1228" s="28"/>
      <c r="AV1228" s="28"/>
      <c r="AW1228" s="28"/>
      <c r="AX1228" s="28"/>
      <c r="AY1228" s="28"/>
      <c r="AZ1228" s="28"/>
      <c r="BA1228" s="28"/>
      <c r="BB1228" s="28"/>
    </row>
    <row r="1229" spans="1:54" ht="12.75" x14ac:dyDescent="0.2">
      <c r="A1229" s="28"/>
      <c r="B1229" s="28"/>
      <c r="C1229" s="28"/>
      <c r="D1229" s="28"/>
      <c r="E1229" s="28"/>
      <c r="F1229" s="28"/>
      <c r="G1229" s="28"/>
      <c r="H1229" s="28"/>
      <c r="I1229" s="28"/>
      <c r="J1229" s="28"/>
      <c r="K1229" s="28"/>
      <c r="L1229" s="28"/>
      <c r="M1229" s="28"/>
      <c r="N1229" s="28"/>
      <c r="O1229" s="28"/>
      <c r="P1229" s="28"/>
      <c r="Q1229" s="28"/>
      <c r="R1229" s="28"/>
      <c r="S1229" s="28"/>
      <c r="T1229" s="28"/>
      <c r="U1229" s="28"/>
      <c r="V1229" s="28"/>
      <c r="W1229" s="28"/>
      <c r="X1229" s="28"/>
      <c r="Y1229" s="28"/>
      <c r="Z1229" s="28"/>
      <c r="AA1229" s="28"/>
      <c r="AB1229" s="28"/>
      <c r="AC1229" s="28"/>
      <c r="AD1229" s="28"/>
      <c r="AE1229" s="28"/>
      <c r="AF1229" s="28"/>
      <c r="AG1229" s="28"/>
      <c r="AH1229" s="28"/>
      <c r="AI1229" s="28"/>
      <c r="AJ1229" s="28"/>
      <c r="AK1229" s="28"/>
      <c r="AL1229" s="28"/>
      <c r="AM1229" s="28"/>
      <c r="AN1229" s="28"/>
      <c r="AO1229" s="28"/>
      <c r="AP1229" s="28"/>
      <c r="AQ1229" s="28"/>
      <c r="AR1229" s="28"/>
      <c r="AS1229" s="28"/>
      <c r="AT1229" s="28"/>
      <c r="AU1229" s="28"/>
      <c r="AV1229" s="28"/>
      <c r="AW1229" s="28"/>
      <c r="AX1229" s="28"/>
      <c r="AY1229" s="28"/>
      <c r="AZ1229" s="28"/>
      <c r="BA1229" s="28"/>
      <c r="BB1229" s="28"/>
    </row>
    <row r="1230" spans="1:54" ht="12.75" x14ac:dyDescent="0.2">
      <c r="A1230" s="28"/>
      <c r="B1230" s="28"/>
      <c r="C1230" s="28"/>
      <c r="D1230" s="28"/>
      <c r="E1230" s="28"/>
      <c r="F1230" s="28"/>
      <c r="G1230" s="28"/>
      <c r="H1230" s="28"/>
      <c r="I1230" s="28"/>
      <c r="J1230" s="28"/>
      <c r="K1230" s="28"/>
      <c r="L1230" s="28"/>
      <c r="M1230" s="28"/>
      <c r="N1230" s="28"/>
      <c r="O1230" s="28"/>
      <c r="P1230" s="28"/>
      <c r="Q1230" s="28"/>
      <c r="R1230" s="28"/>
      <c r="S1230" s="28"/>
      <c r="T1230" s="28"/>
      <c r="U1230" s="28"/>
      <c r="V1230" s="28"/>
      <c r="W1230" s="28"/>
      <c r="X1230" s="28"/>
      <c r="Y1230" s="28"/>
      <c r="Z1230" s="28"/>
      <c r="AA1230" s="28"/>
      <c r="AB1230" s="28"/>
      <c r="AC1230" s="28"/>
      <c r="AD1230" s="28"/>
      <c r="AE1230" s="28"/>
      <c r="AF1230" s="28"/>
      <c r="AG1230" s="28"/>
      <c r="AH1230" s="28"/>
      <c r="AI1230" s="28"/>
      <c r="AJ1230" s="28"/>
      <c r="AK1230" s="28"/>
      <c r="AL1230" s="28"/>
      <c r="AM1230" s="28"/>
      <c r="AN1230" s="28"/>
      <c r="AO1230" s="28"/>
      <c r="AP1230" s="28"/>
      <c r="AQ1230" s="28"/>
      <c r="AR1230" s="28"/>
      <c r="AS1230" s="28"/>
      <c r="AT1230" s="28"/>
      <c r="AU1230" s="28"/>
      <c r="AV1230" s="28"/>
      <c r="AW1230" s="28"/>
      <c r="AX1230" s="28"/>
      <c r="AY1230" s="28"/>
      <c r="AZ1230" s="28"/>
      <c r="BA1230" s="28"/>
      <c r="BB1230" s="28"/>
    </row>
    <row r="1231" spans="1:54" ht="12.75" x14ac:dyDescent="0.2">
      <c r="A1231" s="28"/>
      <c r="B1231" s="28"/>
      <c r="C1231" s="28"/>
      <c r="D1231" s="28"/>
      <c r="E1231" s="28"/>
      <c r="F1231" s="28"/>
      <c r="G1231" s="28"/>
      <c r="H1231" s="28"/>
      <c r="I1231" s="28"/>
      <c r="J1231" s="28"/>
      <c r="K1231" s="28"/>
      <c r="L1231" s="28"/>
      <c r="M1231" s="28"/>
      <c r="N1231" s="28"/>
      <c r="O1231" s="28"/>
      <c r="P1231" s="28"/>
      <c r="Q1231" s="28"/>
      <c r="R1231" s="28"/>
      <c r="S1231" s="28"/>
      <c r="T1231" s="28"/>
      <c r="U1231" s="28"/>
      <c r="V1231" s="28"/>
      <c r="W1231" s="28"/>
      <c r="X1231" s="28"/>
      <c r="Y1231" s="28"/>
      <c r="Z1231" s="28"/>
      <c r="AA1231" s="28"/>
      <c r="AB1231" s="28"/>
      <c r="AC1231" s="28"/>
      <c r="AD1231" s="28"/>
      <c r="AE1231" s="28"/>
      <c r="AF1231" s="28"/>
      <c r="AG1231" s="28"/>
      <c r="AH1231" s="28"/>
      <c r="AI1231" s="28"/>
      <c r="AJ1231" s="28"/>
      <c r="AK1231" s="28"/>
      <c r="AL1231" s="28"/>
      <c r="AM1231" s="28"/>
      <c r="AN1231" s="28"/>
      <c r="AO1231" s="28"/>
      <c r="AP1231" s="28"/>
      <c r="AQ1231" s="28"/>
      <c r="AR1231" s="28"/>
      <c r="AS1231" s="28"/>
      <c r="AT1231" s="28"/>
      <c r="AU1231" s="28"/>
      <c r="AV1231" s="28"/>
      <c r="AW1231" s="28"/>
      <c r="AX1231" s="28"/>
      <c r="AY1231" s="28"/>
      <c r="AZ1231" s="28"/>
      <c r="BA1231" s="28"/>
      <c r="BB1231" s="28"/>
    </row>
    <row r="1232" spans="1:54" ht="12.75" x14ac:dyDescent="0.2">
      <c r="A1232" s="28"/>
      <c r="B1232" s="28"/>
      <c r="C1232" s="28"/>
      <c r="D1232" s="28"/>
      <c r="E1232" s="28"/>
      <c r="F1232" s="28"/>
      <c r="G1232" s="28"/>
      <c r="H1232" s="28"/>
      <c r="I1232" s="28"/>
      <c r="J1232" s="28"/>
      <c r="K1232" s="28"/>
      <c r="L1232" s="28"/>
      <c r="M1232" s="28"/>
      <c r="N1232" s="28"/>
      <c r="O1232" s="28"/>
      <c r="P1232" s="28"/>
      <c r="Q1232" s="28"/>
      <c r="R1232" s="28"/>
      <c r="S1232" s="28"/>
      <c r="T1232" s="28"/>
      <c r="U1232" s="28"/>
      <c r="V1232" s="28"/>
      <c r="W1232" s="28"/>
      <c r="X1232" s="28"/>
      <c r="Y1232" s="28"/>
      <c r="Z1232" s="28"/>
      <c r="AA1232" s="28"/>
      <c r="AB1232" s="28"/>
      <c r="AC1232" s="28"/>
      <c r="AD1232" s="28"/>
      <c r="AE1232" s="28"/>
      <c r="AF1232" s="28"/>
      <c r="AG1232" s="28"/>
      <c r="AH1232" s="28"/>
      <c r="AI1232" s="28"/>
      <c r="AJ1232" s="28"/>
      <c r="AK1232" s="28"/>
      <c r="AL1232" s="28"/>
      <c r="AM1232" s="28"/>
      <c r="AN1232" s="28"/>
      <c r="AO1232" s="28"/>
      <c r="AP1232" s="28"/>
      <c r="AQ1232" s="28"/>
      <c r="AR1232" s="28"/>
      <c r="AS1232" s="28"/>
      <c r="AT1232" s="28"/>
      <c r="AU1232" s="28"/>
      <c r="AV1232" s="28"/>
      <c r="AW1232" s="28"/>
      <c r="AX1232" s="28"/>
      <c r="AY1232" s="28"/>
      <c r="AZ1232" s="28"/>
      <c r="BA1232" s="28"/>
      <c r="BB1232" s="28"/>
    </row>
    <row r="1233" spans="1:54" ht="12.75" x14ac:dyDescent="0.2">
      <c r="A1233" s="28"/>
      <c r="B1233" s="28"/>
      <c r="C1233" s="28"/>
      <c r="D1233" s="28"/>
      <c r="E1233" s="28"/>
      <c r="F1233" s="28"/>
      <c r="G1233" s="28"/>
      <c r="H1233" s="28"/>
      <c r="I1233" s="28"/>
      <c r="J1233" s="28"/>
      <c r="K1233" s="28"/>
      <c r="L1233" s="28"/>
      <c r="M1233" s="28"/>
      <c r="N1233" s="28"/>
      <c r="O1233" s="28"/>
      <c r="P1233" s="28"/>
      <c r="Q1233" s="28"/>
      <c r="R1233" s="28"/>
      <c r="S1233" s="28"/>
      <c r="T1233" s="28"/>
      <c r="U1233" s="28"/>
      <c r="V1233" s="28"/>
      <c r="W1233" s="28"/>
      <c r="X1233" s="28"/>
      <c r="Y1233" s="28"/>
      <c r="Z1233" s="28"/>
      <c r="AA1233" s="28"/>
      <c r="AB1233" s="28"/>
      <c r="AC1233" s="28"/>
      <c r="AD1233" s="28"/>
      <c r="AE1233" s="28"/>
      <c r="AF1233" s="28"/>
      <c r="AG1233" s="28"/>
      <c r="AH1233" s="28"/>
      <c r="AI1233" s="28"/>
      <c r="AJ1233" s="28"/>
      <c r="AK1233" s="28"/>
      <c r="AL1233" s="28"/>
      <c r="AM1233" s="28"/>
      <c r="AN1233" s="28"/>
      <c r="AO1233" s="28"/>
      <c r="AP1233" s="28"/>
      <c r="AQ1233" s="28"/>
      <c r="AR1233" s="28"/>
      <c r="AS1233" s="28"/>
      <c r="AT1233" s="28"/>
      <c r="AU1233" s="28"/>
      <c r="AV1233" s="28"/>
      <c r="AW1233" s="28"/>
      <c r="AX1233" s="28"/>
      <c r="AY1233" s="28"/>
      <c r="AZ1233" s="28"/>
      <c r="BA1233" s="28"/>
      <c r="BB1233" s="28"/>
    </row>
    <row r="1234" spans="1:54" ht="12.75" x14ac:dyDescent="0.2">
      <c r="A1234" s="28"/>
      <c r="B1234" s="28"/>
      <c r="C1234" s="28"/>
      <c r="D1234" s="28"/>
      <c r="E1234" s="28"/>
      <c r="F1234" s="28"/>
      <c r="G1234" s="28"/>
      <c r="H1234" s="28"/>
      <c r="I1234" s="28"/>
      <c r="J1234" s="28"/>
      <c r="K1234" s="28"/>
      <c r="L1234" s="28"/>
      <c r="M1234" s="28"/>
      <c r="N1234" s="28"/>
      <c r="O1234" s="28"/>
      <c r="P1234" s="28"/>
      <c r="Q1234" s="28"/>
      <c r="R1234" s="28"/>
      <c r="S1234" s="28"/>
      <c r="T1234" s="28"/>
      <c r="U1234" s="28"/>
      <c r="V1234" s="28"/>
      <c r="W1234" s="28"/>
      <c r="X1234" s="28"/>
      <c r="Y1234" s="28"/>
      <c r="Z1234" s="28"/>
      <c r="AA1234" s="28"/>
      <c r="AB1234" s="28"/>
      <c r="AC1234" s="28"/>
      <c r="AD1234" s="28"/>
      <c r="AE1234" s="28"/>
      <c r="AF1234" s="28"/>
      <c r="AG1234" s="28"/>
      <c r="AH1234" s="28"/>
      <c r="AI1234" s="28"/>
      <c r="AJ1234" s="28"/>
      <c r="AK1234" s="28"/>
      <c r="AL1234" s="28"/>
      <c r="AM1234" s="28"/>
      <c r="AN1234" s="28"/>
      <c r="AO1234" s="28"/>
      <c r="AP1234" s="28"/>
      <c r="AQ1234" s="28"/>
      <c r="AR1234" s="28"/>
      <c r="AS1234" s="28"/>
      <c r="AT1234" s="28"/>
      <c r="AU1234" s="28"/>
      <c r="AV1234" s="28"/>
      <c r="AW1234" s="28"/>
      <c r="AX1234" s="28"/>
      <c r="AY1234" s="28"/>
      <c r="AZ1234" s="28"/>
      <c r="BA1234" s="28"/>
      <c r="BB1234" s="28"/>
    </row>
    <row r="1235" spans="1:54" ht="12.75" x14ac:dyDescent="0.2">
      <c r="A1235" s="28"/>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8"/>
      <c r="AC1235" s="28"/>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row>
    <row r="1236" spans="1:54" ht="12.75" x14ac:dyDescent="0.2">
      <c r="A1236" s="28"/>
      <c r="B1236" s="28"/>
      <c r="C1236" s="28"/>
      <c r="D1236" s="28"/>
      <c r="E1236" s="28"/>
      <c r="F1236" s="28"/>
      <c r="G1236" s="28"/>
      <c r="H1236" s="28"/>
      <c r="I1236" s="28"/>
      <c r="J1236" s="28"/>
      <c r="K1236" s="28"/>
      <c r="L1236" s="28"/>
      <c r="M1236" s="28"/>
      <c r="N1236" s="28"/>
      <c r="O1236" s="28"/>
      <c r="P1236" s="28"/>
      <c r="Q1236" s="28"/>
      <c r="R1236" s="28"/>
      <c r="S1236" s="28"/>
      <c r="T1236" s="28"/>
      <c r="U1236" s="28"/>
      <c r="V1236" s="28"/>
      <c r="W1236" s="28"/>
      <c r="X1236" s="28"/>
      <c r="Y1236" s="28"/>
      <c r="Z1236" s="28"/>
      <c r="AA1236" s="28"/>
      <c r="AB1236" s="28"/>
      <c r="AC1236" s="28"/>
      <c r="AD1236" s="28"/>
      <c r="AE1236" s="28"/>
      <c r="AF1236" s="28"/>
      <c r="AG1236" s="28"/>
      <c r="AH1236" s="28"/>
      <c r="AI1236" s="28"/>
      <c r="AJ1236" s="28"/>
      <c r="AK1236" s="28"/>
      <c r="AL1236" s="28"/>
      <c r="AM1236" s="28"/>
      <c r="AN1236" s="28"/>
      <c r="AO1236" s="28"/>
      <c r="AP1236" s="28"/>
      <c r="AQ1236" s="28"/>
      <c r="AR1236" s="28"/>
      <c r="AS1236" s="28"/>
      <c r="AT1236" s="28"/>
      <c r="AU1236" s="28"/>
      <c r="AV1236" s="28"/>
      <c r="AW1236" s="28"/>
      <c r="AX1236" s="28"/>
      <c r="AY1236" s="28"/>
      <c r="AZ1236" s="28"/>
      <c r="BA1236" s="28"/>
      <c r="BB1236" s="28"/>
    </row>
    <row r="1237" spans="1:54" ht="12.75" x14ac:dyDescent="0.2">
      <c r="A1237" s="28"/>
      <c r="B1237" s="28"/>
      <c r="C1237" s="28"/>
      <c r="D1237" s="28"/>
      <c r="E1237" s="28"/>
      <c r="F1237" s="28"/>
      <c r="G1237" s="28"/>
      <c r="H1237" s="28"/>
      <c r="I1237" s="28"/>
      <c r="J1237" s="28"/>
      <c r="K1237" s="28"/>
      <c r="L1237" s="28"/>
      <c r="M1237" s="28"/>
      <c r="N1237" s="28"/>
      <c r="O1237" s="28"/>
      <c r="P1237" s="28"/>
      <c r="Q1237" s="28"/>
      <c r="R1237" s="28"/>
      <c r="S1237" s="28"/>
      <c r="T1237" s="28"/>
      <c r="U1237" s="28"/>
      <c r="V1237" s="28"/>
      <c r="W1237" s="28"/>
      <c r="X1237" s="28"/>
      <c r="Y1237" s="28"/>
      <c r="Z1237" s="28"/>
      <c r="AA1237" s="28"/>
      <c r="AB1237" s="28"/>
      <c r="AC1237" s="28"/>
      <c r="AD1237" s="28"/>
      <c r="AE1237" s="28"/>
      <c r="AF1237" s="28"/>
      <c r="AG1237" s="28"/>
      <c r="AH1237" s="28"/>
      <c r="AI1237" s="28"/>
      <c r="AJ1237" s="28"/>
      <c r="AK1237" s="28"/>
      <c r="AL1237" s="28"/>
      <c r="AM1237" s="28"/>
      <c r="AN1237" s="28"/>
      <c r="AO1237" s="28"/>
      <c r="AP1237" s="28"/>
      <c r="AQ1237" s="28"/>
      <c r="AR1237" s="28"/>
      <c r="AS1237" s="28"/>
      <c r="AT1237" s="28"/>
      <c r="AU1237" s="28"/>
      <c r="AV1237" s="28"/>
      <c r="AW1237" s="28"/>
      <c r="AX1237" s="28"/>
      <c r="AY1237" s="28"/>
      <c r="AZ1237" s="28"/>
      <c r="BA1237" s="28"/>
      <c r="BB1237" s="28"/>
    </row>
    <row r="1238" spans="1:54" ht="12.75" x14ac:dyDescent="0.2">
      <c r="A1238" s="28"/>
      <c r="B1238" s="28"/>
      <c r="C1238" s="28"/>
      <c r="D1238" s="28"/>
      <c r="E1238" s="28"/>
      <c r="F1238" s="28"/>
      <c r="G1238" s="28"/>
      <c r="H1238" s="28"/>
      <c r="I1238" s="28"/>
      <c r="J1238" s="28"/>
      <c r="K1238" s="28"/>
      <c r="L1238" s="28"/>
      <c r="M1238" s="28"/>
      <c r="N1238" s="28"/>
      <c r="O1238" s="28"/>
      <c r="P1238" s="28"/>
      <c r="Q1238" s="28"/>
      <c r="R1238" s="28"/>
      <c r="S1238" s="28"/>
      <c r="T1238" s="28"/>
      <c r="U1238" s="28"/>
      <c r="V1238" s="28"/>
      <c r="W1238" s="28"/>
      <c r="X1238" s="28"/>
      <c r="Y1238" s="28"/>
      <c r="Z1238" s="28"/>
      <c r="AA1238" s="28"/>
      <c r="AB1238" s="28"/>
      <c r="AC1238" s="28"/>
      <c r="AD1238" s="28"/>
      <c r="AE1238" s="28"/>
      <c r="AF1238" s="28"/>
      <c r="AG1238" s="28"/>
      <c r="AH1238" s="28"/>
      <c r="AI1238" s="28"/>
      <c r="AJ1238" s="28"/>
      <c r="AK1238" s="28"/>
      <c r="AL1238" s="28"/>
      <c r="AM1238" s="28"/>
      <c r="AN1238" s="28"/>
      <c r="AO1238" s="28"/>
      <c r="AP1238" s="28"/>
      <c r="AQ1238" s="28"/>
      <c r="AR1238" s="28"/>
      <c r="AS1238" s="28"/>
      <c r="AT1238" s="28"/>
      <c r="AU1238" s="28"/>
      <c r="AV1238" s="28"/>
      <c r="AW1238" s="28"/>
      <c r="AX1238" s="28"/>
      <c r="AY1238" s="28"/>
      <c r="AZ1238" s="28"/>
      <c r="BA1238" s="28"/>
      <c r="BB1238" s="28"/>
    </row>
    <row r="1239" spans="1:54" ht="12.75" x14ac:dyDescent="0.2">
      <c r="A1239" s="28"/>
      <c r="B1239" s="28"/>
      <c r="C1239" s="28"/>
      <c r="D1239" s="28"/>
      <c r="E1239" s="28"/>
      <c r="F1239" s="28"/>
      <c r="G1239" s="28"/>
      <c r="H1239" s="28"/>
      <c r="I1239" s="28"/>
      <c r="J1239" s="28"/>
      <c r="K1239" s="28"/>
      <c r="L1239" s="28"/>
      <c r="M1239" s="28"/>
      <c r="N1239" s="28"/>
      <c r="O1239" s="28"/>
      <c r="P1239" s="28"/>
      <c r="Q1239" s="28"/>
      <c r="R1239" s="28"/>
      <c r="S1239" s="28"/>
      <c r="T1239" s="28"/>
      <c r="U1239" s="28"/>
      <c r="V1239" s="28"/>
      <c r="W1239" s="28"/>
      <c r="X1239" s="28"/>
      <c r="Y1239" s="28"/>
      <c r="Z1239" s="28"/>
      <c r="AA1239" s="28"/>
      <c r="AB1239" s="28"/>
      <c r="AC1239" s="28"/>
      <c r="AD1239" s="28"/>
      <c r="AE1239" s="28"/>
      <c r="AF1239" s="28"/>
      <c r="AG1239" s="28"/>
      <c r="AH1239" s="28"/>
      <c r="AI1239" s="28"/>
      <c r="AJ1239" s="28"/>
      <c r="AK1239" s="28"/>
      <c r="AL1239" s="28"/>
      <c r="AM1239" s="28"/>
      <c r="AN1239" s="28"/>
      <c r="AO1239" s="28"/>
      <c r="AP1239" s="28"/>
      <c r="AQ1239" s="28"/>
      <c r="AR1239" s="28"/>
      <c r="AS1239" s="28"/>
      <c r="AT1239" s="28"/>
      <c r="AU1239" s="28"/>
      <c r="AV1239" s="28"/>
      <c r="AW1239" s="28"/>
      <c r="AX1239" s="28"/>
      <c r="AY1239" s="28"/>
      <c r="AZ1239" s="28"/>
      <c r="BA1239" s="28"/>
      <c r="BB1239" s="28"/>
    </row>
    <row r="1240" spans="1:54" ht="12.75" x14ac:dyDescent="0.2">
      <c r="A1240" s="28"/>
      <c r="B1240" s="28"/>
      <c r="C1240" s="28"/>
      <c r="D1240" s="28"/>
      <c r="E1240" s="28"/>
      <c r="F1240" s="28"/>
      <c r="G1240" s="28"/>
      <c r="H1240" s="28"/>
      <c r="I1240" s="28"/>
      <c r="J1240" s="28"/>
      <c r="K1240" s="28"/>
      <c r="L1240" s="28"/>
      <c r="M1240" s="28"/>
      <c r="N1240" s="28"/>
      <c r="O1240" s="28"/>
      <c r="P1240" s="28"/>
      <c r="Q1240" s="28"/>
      <c r="R1240" s="28"/>
      <c r="S1240" s="28"/>
      <c r="T1240" s="28"/>
      <c r="U1240" s="28"/>
      <c r="V1240" s="28"/>
      <c r="W1240" s="28"/>
      <c r="X1240" s="28"/>
      <c r="Y1240" s="28"/>
      <c r="Z1240" s="28"/>
      <c r="AA1240" s="28"/>
      <c r="AB1240" s="28"/>
      <c r="AC1240" s="28"/>
      <c r="AD1240" s="28"/>
      <c r="AE1240" s="28"/>
      <c r="AF1240" s="28"/>
      <c r="AG1240" s="28"/>
      <c r="AH1240" s="28"/>
      <c r="AI1240" s="28"/>
      <c r="AJ1240" s="28"/>
      <c r="AK1240" s="28"/>
      <c r="AL1240" s="28"/>
      <c r="AM1240" s="28"/>
      <c r="AN1240" s="28"/>
      <c r="AO1240" s="28"/>
      <c r="AP1240" s="28"/>
      <c r="AQ1240" s="28"/>
      <c r="AR1240" s="28"/>
      <c r="AS1240" s="28"/>
      <c r="AT1240" s="28"/>
      <c r="AU1240" s="28"/>
      <c r="AV1240" s="28"/>
      <c r="AW1240" s="28"/>
      <c r="AX1240" s="28"/>
      <c r="AY1240" s="28"/>
      <c r="AZ1240" s="28"/>
      <c r="BA1240" s="28"/>
      <c r="BB1240" s="28"/>
    </row>
    <row r="1241" spans="1:54" ht="12.75" x14ac:dyDescent="0.2">
      <c r="A1241" s="28"/>
      <c r="B1241" s="28"/>
      <c r="C1241" s="28"/>
      <c r="D1241" s="28"/>
      <c r="E1241" s="28"/>
      <c r="F1241" s="28"/>
      <c r="G1241" s="28"/>
      <c r="H1241" s="28"/>
      <c r="I1241" s="28"/>
      <c r="J1241" s="28"/>
      <c r="K1241" s="28"/>
      <c r="L1241" s="28"/>
      <c r="M1241" s="28"/>
      <c r="N1241" s="28"/>
      <c r="O1241" s="28"/>
      <c r="P1241" s="28"/>
      <c r="Q1241" s="28"/>
      <c r="R1241" s="28"/>
      <c r="S1241" s="28"/>
      <c r="T1241" s="28"/>
      <c r="U1241" s="28"/>
      <c r="V1241" s="28"/>
      <c r="W1241" s="28"/>
      <c r="X1241" s="28"/>
      <c r="Y1241" s="28"/>
      <c r="Z1241" s="28"/>
      <c r="AA1241" s="28"/>
      <c r="AB1241" s="28"/>
      <c r="AC1241" s="28"/>
      <c r="AD1241" s="28"/>
      <c r="AE1241" s="28"/>
      <c r="AF1241" s="28"/>
      <c r="AG1241" s="28"/>
      <c r="AH1241" s="28"/>
      <c r="AI1241" s="28"/>
      <c r="AJ1241" s="28"/>
      <c r="AK1241" s="28"/>
      <c r="AL1241" s="28"/>
      <c r="AM1241" s="28"/>
      <c r="AN1241" s="28"/>
      <c r="AO1241" s="28"/>
      <c r="AP1241" s="28"/>
      <c r="AQ1241" s="28"/>
      <c r="AR1241" s="28"/>
      <c r="AS1241" s="28"/>
      <c r="AT1241" s="28"/>
      <c r="AU1241" s="28"/>
      <c r="AV1241" s="28"/>
      <c r="AW1241" s="28"/>
      <c r="AX1241" s="28"/>
      <c r="AY1241" s="28"/>
      <c r="AZ1241" s="28"/>
      <c r="BA1241" s="28"/>
      <c r="BB1241" s="28"/>
    </row>
    <row r="1242" spans="1:54" ht="12.75" x14ac:dyDescent="0.2">
      <c r="A1242" s="28"/>
      <c r="B1242" s="28"/>
      <c r="C1242" s="28"/>
      <c r="D1242" s="28"/>
      <c r="E1242" s="28"/>
      <c r="F1242" s="28"/>
      <c r="G1242" s="28"/>
      <c r="H1242" s="28"/>
      <c r="I1242" s="28"/>
      <c r="J1242" s="28"/>
      <c r="K1242" s="28"/>
      <c r="L1242" s="28"/>
      <c r="M1242" s="28"/>
      <c r="N1242" s="28"/>
      <c r="O1242" s="28"/>
      <c r="P1242" s="28"/>
      <c r="Q1242" s="28"/>
      <c r="R1242" s="28"/>
      <c r="S1242" s="28"/>
      <c r="T1242" s="28"/>
      <c r="U1242" s="28"/>
      <c r="V1242" s="28"/>
      <c r="W1242" s="28"/>
      <c r="X1242" s="28"/>
      <c r="Y1242" s="28"/>
      <c r="Z1242" s="28"/>
      <c r="AA1242" s="28"/>
      <c r="AB1242" s="28"/>
      <c r="AC1242" s="28"/>
      <c r="AD1242" s="28"/>
      <c r="AE1242" s="28"/>
      <c r="AF1242" s="28"/>
      <c r="AG1242" s="28"/>
      <c r="AH1242" s="28"/>
      <c r="AI1242" s="28"/>
      <c r="AJ1242" s="28"/>
      <c r="AK1242" s="28"/>
      <c r="AL1242" s="28"/>
      <c r="AM1242" s="28"/>
      <c r="AN1242" s="28"/>
      <c r="AO1242" s="28"/>
      <c r="AP1242" s="28"/>
      <c r="AQ1242" s="28"/>
      <c r="AR1242" s="28"/>
      <c r="AS1242" s="28"/>
      <c r="AT1242" s="28"/>
      <c r="AU1242" s="28"/>
      <c r="AV1242" s="28"/>
      <c r="AW1242" s="28"/>
      <c r="AX1242" s="28"/>
      <c r="AY1242" s="28"/>
      <c r="AZ1242" s="28"/>
      <c r="BA1242" s="28"/>
      <c r="BB1242" s="28"/>
    </row>
    <row r="1243" spans="1:54" ht="12.75" x14ac:dyDescent="0.2">
      <c r="A1243" s="28"/>
      <c r="B1243" s="28"/>
      <c r="C1243" s="28"/>
      <c r="D1243" s="28"/>
      <c r="E1243" s="28"/>
      <c r="F1243" s="28"/>
      <c r="G1243" s="28"/>
      <c r="H1243" s="28"/>
      <c r="I1243" s="28"/>
      <c r="J1243" s="28"/>
      <c r="K1243" s="28"/>
      <c r="L1243" s="28"/>
      <c r="M1243" s="28"/>
      <c r="N1243" s="28"/>
      <c r="O1243" s="28"/>
      <c r="P1243" s="28"/>
      <c r="Q1243" s="28"/>
      <c r="R1243" s="28"/>
      <c r="S1243" s="28"/>
      <c r="T1243" s="28"/>
      <c r="U1243" s="28"/>
      <c r="V1243" s="28"/>
      <c r="W1243" s="28"/>
      <c r="X1243" s="28"/>
      <c r="Y1243" s="28"/>
      <c r="Z1243" s="28"/>
      <c r="AA1243" s="28"/>
      <c r="AB1243" s="28"/>
      <c r="AC1243" s="28"/>
      <c r="AD1243" s="28"/>
      <c r="AE1243" s="28"/>
      <c r="AF1243" s="28"/>
      <c r="AG1243" s="28"/>
      <c r="AH1243" s="28"/>
      <c r="AI1243" s="28"/>
      <c r="AJ1243" s="28"/>
      <c r="AK1243" s="28"/>
      <c r="AL1243" s="28"/>
      <c r="AM1243" s="28"/>
      <c r="AN1243" s="28"/>
      <c r="AO1243" s="28"/>
      <c r="AP1243" s="28"/>
      <c r="AQ1243" s="28"/>
      <c r="AR1243" s="28"/>
      <c r="AS1243" s="28"/>
      <c r="AT1243" s="28"/>
      <c r="AU1243" s="28"/>
      <c r="AV1243" s="28"/>
      <c r="AW1243" s="28"/>
      <c r="AX1243" s="28"/>
      <c r="AY1243" s="28"/>
      <c r="AZ1243" s="28"/>
      <c r="BA1243" s="28"/>
      <c r="BB1243" s="28"/>
    </row>
    <row r="1244" spans="1:54" ht="12.75" x14ac:dyDescent="0.2">
      <c r="A1244" s="28"/>
      <c r="B1244" s="28"/>
      <c r="C1244" s="28"/>
      <c r="D1244" s="28"/>
      <c r="E1244" s="28"/>
      <c r="F1244" s="28"/>
      <c r="G1244" s="28"/>
      <c r="H1244" s="28"/>
      <c r="I1244" s="28"/>
      <c r="J1244" s="28"/>
      <c r="K1244" s="28"/>
      <c r="L1244" s="28"/>
      <c r="M1244" s="28"/>
      <c r="N1244" s="28"/>
      <c r="O1244" s="28"/>
      <c r="P1244" s="28"/>
      <c r="Q1244" s="28"/>
      <c r="R1244" s="28"/>
      <c r="S1244" s="28"/>
      <c r="T1244" s="28"/>
      <c r="U1244" s="28"/>
      <c r="V1244" s="28"/>
      <c r="W1244" s="28"/>
      <c r="X1244" s="28"/>
      <c r="Y1244" s="28"/>
      <c r="Z1244" s="28"/>
      <c r="AA1244" s="28"/>
      <c r="AB1244" s="28"/>
      <c r="AC1244" s="28"/>
      <c r="AD1244" s="28"/>
      <c r="AE1244" s="28"/>
      <c r="AF1244" s="28"/>
      <c r="AG1244" s="28"/>
      <c r="AH1244" s="28"/>
      <c r="AI1244" s="28"/>
      <c r="AJ1244" s="28"/>
      <c r="AK1244" s="28"/>
      <c r="AL1244" s="28"/>
      <c r="AM1244" s="28"/>
      <c r="AN1244" s="28"/>
      <c r="AO1244" s="28"/>
      <c r="AP1244" s="28"/>
      <c r="AQ1244" s="28"/>
      <c r="AR1244" s="28"/>
      <c r="AS1244" s="28"/>
      <c r="AT1244" s="28"/>
      <c r="AU1244" s="28"/>
      <c r="AV1244" s="28"/>
      <c r="AW1244" s="28"/>
      <c r="AX1244" s="28"/>
      <c r="AY1244" s="28"/>
      <c r="AZ1244" s="28"/>
      <c r="BA1244" s="28"/>
      <c r="BB1244" s="28"/>
    </row>
    <row r="1245" spans="1:54" ht="12.75" x14ac:dyDescent="0.2">
      <c r="A1245" s="28"/>
      <c r="B1245" s="28"/>
      <c r="C1245" s="28"/>
      <c r="D1245" s="28"/>
      <c r="E1245" s="28"/>
      <c r="F1245" s="28"/>
      <c r="G1245" s="28"/>
      <c r="H1245" s="28"/>
      <c r="I1245" s="28"/>
      <c r="J1245" s="28"/>
      <c r="K1245" s="28"/>
      <c r="L1245" s="28"/>
      <c r="M1245" s="28"/>
      <c r="N1245" s="28"/>
      <c r="O1245" s="28"/>
      <c r="P1245" s="28"/>
      <c r="Q1245" s="28"/>
      <c r="R1245" s="28"/>
      <c r="S1245" s="28"/>
      <c r="T1245" s="28"/>
      <c r="U1245" s="28"/>
      <c r="V1245" s="28"/>
      <c r="W1245" s="28"/>
      <c r="X1245" s="28"/>
      <c r="Y1245" s="28"/>
      <c r="Z1245" s="28"/>
      <c r="AA1245" s="28"/>
      <c r="AB1245" s="28"/>
      <c r="AC1245" s="28"/>
      <c r="AD1245" s="28"/>
      <c r="AE1245" s="28"/>
      <c r="AF1245" s="28"/>
      <c r="AG1245" s="28"/>
      <c r="AH1245" s="28"/>
      <c r="AI1245" s="28"/>
      <c r="AJ1245" s="28"/>
      <c r="AK1245" s="28"/>
      <c r="AL1245" s="28"/>
      <c r="AM1245" s="28"/>
      <c r="AN1245" s="28"/>
      <c r="AO1245" s="28"/>
      <c r="AP1245" s="28"/>
      <c r="AQ1245" s="28"/>
      <c r="AR1245" s="28"/>
      <c r="AS1245" s="28"/>
      <c r="AT1245" s="28"/>
      <c r="AU1245" s="28"/>
      <c r="AV1245" s="28"/>
      <c r="AW1245" s="28"/>
      <c r="AX1245" s="28"/>
      <c r="AY1245" s="28"/>
      <c r="AZ1245" s="28"/>
      <c r="BA1245" s="28"/>
      <c r="BB1245" s="28"/>
    </row>
    <row r="1246" spans="1:54" ht="12.75" x14ac:dyDescent="0.2">
      <c r="A1246" s="28"/>
      <c r="B1246" s="28"/>
      <c r="C1246" s="28"/>
      <c r="D1246" s="28"/>
      <c r="E1246" s="28"/>
      <c r="F1246" s="28"/>
      <c r="G1246" s="28"/>
      <c r="H1246" s="28"/>
      <c r="I1246" s="28"/>
      <c r="J1246" s="28"/>
      <c r="K1246" s="28"/>
      <c r="L1246" s="28"/>
      <c r="M1246" s="28"/>
      <c r="N1246" s="28"/>
      <c r="O1246" s="28"/>
      <c r="P1246" s="28"/>
      <c r="Q1246" s="28"/>
      <c r="R1246" s="28"/>
      <c r="S1246" s="28"/>
      <c r="T1246" s="28"/>
      <c r="U1246" s="28"/>
      <c r="V1246" s="28"/>
      <c r="W1246" s="28"/>
      <c r="X1246" s="28"/>
      <c r="Y1246" s="28"/>
      <c r="Z1246" s="28"/>
      <c r="AA1246" s="28"/>
      <c r="AB1246" s="28"/>
      <c r="AC1246" s="28"/>
      <c r="AD1246" s="28"/>
      <c r="AE1246" s="28"/>
      <c r="AF1246" s="28"/>
      <c r="AG1246" s="28"/>
      <c r="AH1246" s="28"/>
      <c r="AI1246" s="28"/>
      <c r="AJ1246" s="28"/>
      <c r="AK1246" s="28"/>
      <c r="AL1246" s="28"/>
      <c r="AM1246" s="28"/>
      <c r="AN1246" s="28"/>
      <c r="AO1246" s="28"/>
      <c r="AP1246" s="28"/>
      <c r="AQ1246" s="28"/>
      <c r="AR1246" s="28"/>
      <c r="AS1246" s="28"/>
      <c r="AT1246" s="28"/>
      <c r="AU1246" s="28"/>
      <c r="AV1246" s="28"/>
      <c r="AW1246" s="28"/>
      <c r="AX1246" s="28"/>
      <c r="AY1246" s="28"/>
      <c r="AZ1246" s="28"/>
      <c r="BA1246" s="28"/>
      <c r="BB1246" s="28"/>
    </row>
    <row r="1247" spans="1:54" ht="12.75" x14ac:dyDescent="0.2">
      <c r="A1247" s="28"/>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8"/>
      <c r="AI1247" s="28"/>
      <c r="AJ1247" s="28"/>
      <c r="AK1247" s="28"/>
      <c r="AL1247" s="28"/>
      <c r="AM1247" s="28"/>
      <c r="AN1247" s="28"/>
      <c r="AO1247" s="28"/>
      <c r="AP1247" s="28"/>
      <c r="AQ1247" s="28"/>
      <c r="AR1247" s="28"/>
      <c r="AS1247" s="28"/>
      <c r="AT1247" s="28"/>
      <c r="AU1247" s="28"/>
      <c r="AV1247" s="28"/>
      <c r="AW1247" s="28"/>
      <c r="AX1247" s="28"/>
      <c r="AY1247" s="28"/>
      <c r="AZ1247" s="28"/>
      <c r="BA1247" s="28"/>
      <c r="BB1247" s="28"/>
    </row>
    <row r="1248" spans="1:54" ht="12.75" x14ac:dyDescent="0.2">
      <c r="A1248" s="28"/>
      <c r="B1248" s="28"/>
      <c r="C1248" s="28"/>
      <c r="D1248" s="28"/>
      <c r="E1248" s="28"/>
      <c r="F1248" s="28"/>
      <c r="G1248" s="28"/>
      <c r="H1248" s="28"/>
      <c r="I1248" s="28"/>
      <c r="J1248" s="28"/>
      <c r="K1248" s="28"/>
      <c r="L1248" s="28"/>
      <c r="M1248" s="28"/>
      <c r="N1248" s="28"/>
      <c r="O1248" s="28"/>
      <c r="P1248" s="28"/>
      <c r="Q1248" s="28"/>
      <c r="R1248" s="28"/>
      <c r="S1248" s="28"/>
      <c r="T1248" s="28"/>
      <c r="U1248" s="28"/>
      <c r="V1248" s="28"/>
      <c r="W1248" s="28"/>
      <c r="X1248" s="28"/>
      <c r="Y1248" s="28"/>
      <c r="Z1248" s="28"/>
      <c r="AA1248" s="28"/>
      <c r="AB1248" s="28"/>
      <c r="AC1248" s="28"/>
      <c r="AD1248" s="28"/>
      <c r="AE1248" s="28"/>
      <c r="AF1248" s="28"/>
      <c r="AG1248" s="28"/>
      <c r="AH1248" s="28"/>
      <c r="AI1248" s="28"/>
      <c r="AJ1248" s="28"/>
      <c r="AK1248" s="28"/>
      <c r="AL1248" s="28"/>
      <c r="AM1248" s="28"/>
      <c r="AN1248" s="28"/>
      <c r="AO1248" s="28"/>
      <c r="AP1248" s="28"/>
      <c r="AQ1248" s="28"/>
      <c r="AR1248" s="28"/>
      <c r="AS1248" s="28"/>
      <c r="AT1248" s="28"/>
      <c r="AU1248" s="28"/>
      <c r="AV1248" s="28"/>
      <c r="AW1248" s="28"/>
      <c r="AX1248" s="28"/>
      <c r="AY1248" s="28"/>
      <c r="AZ1248" s="28"/>
      <c r="BA1248" s="28"/>
      <c r="BB1248" s="28"/>
    </row>
    <row r="1249" spans="1:54" ht="12.75" x14ac:dyDescent="0.2">
      <c r="A1249" s="28"/>
      <c r="B1249" s="28"/>
      <c r="C1249" s="28"/>
      <c r="D1249" s="28"/>
      <c r="E1249" s="28"/>
      <c r="F1249" s="28"/>
      <c r="G1249" s="28"/>
      <c r="H1249" s="28"/>
      <c r="I1249" s="28"/>
      <c r="J1249" s="28"/>
      <c r="K1249" s="28"/>
      <c r="L1249" s="28"/>
      <c r="M1249" s="28"/>
      <c r="N1249" s="28"/>
      <c r="O1249" s="28"/>
      <c r="P1249" s="28"/>
      <c r="Q1249" s="28"/>
      <c r="R1249" s="28"/>
      <c r="S1249" s="28"/>
      <c r="T1249" s="28"/>
      <c r="U1249" s="28"/>
      <c r="V1249" s="28"/>
      <c r="W1249" s="28"/>
      <c r="X1249" s="28"/>
      <c r="Y1249" s="28"/>
      <c r="Z1249" s="28"/>
      <c r="AA1249" s="28"/>
      <c r="AB1249" s="28"/>
      <c r="AC1249" s="28"/>
      <c r="AD1249" s="28"/>
      <c r="AE1249" s="28"/>
      <c r="AF1249" s="28"/>
      <c r="AG1249" s="28"/>
      <c r="AH1249" s="28"/>
      <c r="AI1249" s="28"/>
      <c r="AJ1249" s="28"/>
      <c r="AK1249" s="28"/>
      <c r="AL1249" s="28"/>
      <c r="AM1249" s="28"/>
      <c r="AN1249" s="28"/>
      <c r="AO1249" s="28"/>
      <c r="AP1249" s="28"/>
      <c r="AQ1249" s="28"/>
      <c r="AR1249" s="28"/>
      <c r="AS1249" s="28"/>
      <c r="AT1249" s="28"/>
      <c r="AU1249" s="28"/>
      <c r="AV1249" s="28"/>
      <c r="AW1249" s="28"/>
      <c r="AX1249" s="28"/>
      <c r="AY1249" s="28"/>
      <c r="AZ1249" s="28"/>
      <c r="BA1249" s="28"/>
      <c r="BB1249" s="28"/>
    </row>
    <row r="1250" spans="1:54" ht="12.75" x14ac:dyDescent="0.2">
      <c r="A1250" s="28"/>
      <c r="B1250" s="28"/>
      <c r="C1250" s="28"/>
      <c r="D1250" s="28"/>
      <c r="E1250" s="28"/>
      <c r="F1250" s="28"/>
      <c r="G1250" s="28"/>
      <c r="H1250" s="28"/>
      <c r="I1250" s="28"/>
      <c r="J1250" s="28"/>
      <c r="K1250" s="28"/>
      <c r="L1250" s="28"/>
      <c r="M1250" s="28"/>
      <c r="N1250" s="28"/>
      <c r="O1250" s="28"/>
      <c r="P1250" s="28"/>
      <c r="Q1250" s="28"/>
      <c r="R1250" s="28"/>
      <c r="S1250" s="28"/>
      <c r="T1250" s="28"/>
      <c r="U1250" s="28"/>
      <c r="V1250" s="28"/>
      <c r="W1250" s="28"/>
      <c r="X1250" s="28"/>
      <c r="Y1250" s="28"/>
      <c r="Z1250" s="28"/>
      <c r="AA1250" s="28"/>
      <c r="AB1250" s="28"/>
      <c r="AC1250" s="28"/>
      <c r="AD1250" s="28"/>
      <c r="AE1250" s="28"/>
      <c r="AF1250" s="28"/>
      <c r="AG1250" s="28"/>
      <c r="AH1250" s="28"/>
      <c r="AI1250" s="28"/>
      <c r="AJ1250" s="28"/>
      <c r="AK1250" s="28"/>
      <c r="AL1250" s="28"/>
      <c r="AM1250" s="28"/>
      <c r="AN1250" s="28"/>
      <c r="AO1250" s="28"/>
      <c r="AP1250" s="28"/>
      <c r="AQ1250" s="28"/>
      <c r="AR1250" s="28"/>
      <c r="AS1250" s="28"/>
      <c r="AT1250" s="28"/>
      <c r="AU1250" s="28"/>
      <c r="AV1250" s="28"/>
      <c r="AW1250" s="28"/>
      <c r="AX1250" s="28"/>
      <c r="AY1250" s="28"/>
      <c r="AZ1250" s="28"/>
      <c r="BA1250" s="28"/>
      <c r="BB1250" s="28"/>
    </row>
    <row r="1251" spans="1:54" ht="12.75" x14ac:dyDescent="0.2">
      <c r="A1251" s="28"/>
      <c r="B1251" s="28"/>
      <c r="C1251" s="28"/>
      <c r="D1251" s="28"/>
      <c r="E1251" s="28"/>
      <c r="F1251" s="28"/>
      <c r="G1251" s="28"/>
      <c r="H1251" s="28"/>
      <c r="I1251" s="28"/>
      <c r="J1251" s="28"/>
      <c r="K1251" s="28"/>
      <c r="L1251" s="28"/>
      <c r="M1251" s="28"/>
      <c r="N1251" s="28"/>
      <c r="O1251" s="28"/>
      <c r="P1251" s="28"/>
      <c r="Q1251" s="28"/>
      <c r="R1251" s="28"/>
      <c r="S1251" s="28"/>
      <c r="T1251" s="28"/>
      <c r="U1251" s="28"/>
      <c r="V1251" s="28"/>
      <c r="W1251" s="28"/>
      <c r="X1251" s="28"/>
      <c r="Y1251" s="28"/>
      <c r="Z1251" s="28"/>
      <c r="AA1251" s="28"/>
      <c r="AB1251" s="28"/>
      <c r="AC1251" s="28"/>
      <c r="AD1251" s="28"/>
      <c r="AE1251" s="28"/>
      <c r="AF1251" s="28"/>
      <c r="AG1251" s="28"/>
      <c r="AH1251" s="28"/>
      <c r="AI1251" s="28"/>
      <c r="AJ1251" s="28"/>
      <c r="AK1251" s="28"/>
      <c r="AL1251" s="28"/>
      <c r="AM1251" s="28"/>
      <c r="AN1251" s="28"/>
      <c r="AO1251" s="28"/>
      <c r="AP1251" s="28"/>
      <c r="AQ1251" s="28"/>
      <c r="AR1251" s="28"/>
      <c r="AS1251" s="28"/>
      <c r="AT1251" s="28"/>
      <c r="AU1251" s="28"/>
      <c r="AV1251" s="28"/>
      <c r="AW1251" s="28"/>
      <c r="AX1251" s="28"/>
      <c r="AY1251" s="28"/>
      <c r="AZ1251" s="28"/>
      <c r="BA1251" s="28"/>
      <c r="BB1251" s="28"/>
    </row>
    <row r="1252" spans="1:54" ht="12.75" x14ac:dyDescent="0.2">
      <c r="A1252" s="28"/>
      <c r="B1252" s="28"/>
      <c r="C1252" s="28"/>
      <c r="D1252" s="28"/>
      <c r="E1252" s="28"/>
      <c r="F1252" s="28"/>
      <c r="G1252" s="28"/>
      <c r="H1252" s="28"/>
      <c r="I1252" s="28"/>
      <c r="J1252" s="28"/>
      <c r="K1252" s="28"/>
      <c r="L1252" s="28"/>
      <c r="M1252" s="28"/>
      <c r="N1252" s="28"/>
      <c r="O1252" s="28"/>
      <c r="P1252" s="28"/>
      <c r="Q1252" s="28"/>
      <c r="R1252" s="28"/>
      <c r="S1252" s="28"/>
      <c r="T1252" s="28"/>
      <c r="U1252" s="28"/>
      <c r="V1252" s="28"/>
      <c r="W1252" s="28"/>
      <c r="X1252" s="28"/>
      <c r="Y1252" s="28"/>
      <c r="Z1252" s="28"/>
      <c r="AA1252" s="28"/>
      <c r="AB1252" s="28"/>
      <c r="AC1252" s="28"/>
      <c r="AD1252" s="28"/>
      <c r="AE1252" s="28"/>
      <c r="AF1252" s="28"/>
      <c r="AG1252" s="28"/>
      <c r="AH1252" s="28"/>
      <c r="AI1252" s="28"/>
      <c r="AJ1252" s="28"/>
      <c r="AK1252" s="28"/>
      <c r="AL1252" s="28"/>
      <c r="AM1252" s="28"/>
      <c r="AN1252" s="28"/>
      <c r="AO1252" s="28"/>
      <c r="AP1252" s="28"/>
      <c r="AQ1252" s="28"/>
      <c r="AR1252" s="28"/>
      <c r="AS1252" s="28"/>
      <c r="AT1252" s="28"/>
      <c r="AU1252" s="28"/>
      <c r="AV1252" s="28"/>
      <c r="AW1252" s="28"/>
      <c r="AX1252" s="28"/>
      <c r="AY1252" s="28"/>
      <c r="AZ1252" s="28"/>
      <c r="BA1252" s="28"/>
      <c r="BB1252" s="28"/>
    </row>
    <row r="1253" spans="1:54" ht="12.75" x14ac:dyDescent="0.2">
      <c r="A1253" s="28"/>
      <c r="B1253" s="28"/>
      <c r="C1253" s="28"/>
      <c r="D1253" s="28"/>
      <c r="E1253" s="28"/>
      <c r="F1253" s="28"/>
      <c r="G1253" s="28"/>
      <c r="H1253" s="28"/>
      <c r="I1253" s="28"/>
      <c r="J1253" s="28"/>
      <c r="K1253" s="28"/>
      <c r="L1253" s="28"/>
      <c r="M1253" s="28"/>
      <c r="N1253" s="28"/>
      <c r="O1253" s="28"/>
      <c r="P1253" s="28"/>
      <c r="Q1253" s="28"/>
      <c r="R1253" s="28"/>
      <c r="S1253" s="28"/>
      <c r="T1253" s="28"/>
      <c r="U1253" s="28"/>
      <c r="V1253" s="28"/>
      <c r="W1253" s="28"/>
      <c r="X1253" s="28"/>
      <c r="Y1253" s="28"/>
      <c r="Z1253" s="28"/>
      <c r="AA1253" s="28"/>
      <c r="AB1253" s="28"/>
      <c r="AC1253" s="28"/>
      <c r="AD1253" s="28"/>
      <c r="AE1253" s="28"/>
      <c r="AF1253" s="28"/>
      <c r="AG1253" s="28"/>
      <c r="AH1253" s="28"/>
      <c r="AI1253" s="28"/>
      <c r="AJ1253" s="28"/>
      <c r="AK1253" s="28"/>
      <c r="AL1253" s="28"/>
      <c r="AM1253" s="28"/>
      <c r="AN1253" s="28"/>
      <c r="AO1253" s="28"/>
      <c r="AP1253" s="28"/>
      <c r="AQ1253" s="28"/>
      <c r="AR1253" s="28"/>
      <c r="AS1253" s="28"/>
      <c r="AT1253" s="28"/>
      <c r="AU1253" s="28"/>
      <c r="AV1253" s="28"/>
      <c r="AW1253" s="28"/>
      <c r="AX1253" s="28"/>
      <c r="AY1253" s="28"/>
      <c r="AZ1253" s="28"/>
      <c r="BA1253" s="28"/>
      <c r="BB1253" s="28"/>
    </row>
    <row r="1254" spans="1:54" ht="12.75" x14ac:dyDescent="0.2">
      <c r="A1254" s="28"/>
      <c r="B1254" s="28"/>
      <c r="C1254" s="28"/>
      <c r="D1254" s="28"/>
      <c r="E1254" s="28"/>
      <c r="F1254" s="28"/>
      <c r="G1254" s="28"/>
      <c r="H1254" s="28"/>
      <c r="I1254" s="28"/>
      <c r="J1254" s="28"/>
      <c r="K1254" s="28"/>
      <c r="L1254" s="28"/>
      <c r="M1254" s="28"/>
      <c r="N1254" s="28"/>
      <c r="O1254" s="28"/>
      <c r="P1254" s="28"/>
      <c r="Q1254" s="28"/>
      <c r="R1254" s="28"/>
      <c r="S1254" s="28"/>
      <c r="T1254" s="28"/>
      <c r="U1254" s="28"/>
      <c r="V1254" s="28"/>
      <c r="W1254" s="28"/>
      <c r="X1254" s="28"/>
      <c r="Y1254" s="28"/>
      <c r="Z1254" s="28"/>
      <c r="AA1254" s="28"/>
      <c r="AB1254" s="28"/>
      <c r="AC1254" s="28"/>
      <c r="AD1254" s="28"/>
      <c r="AE1254" s="28"/>
      <c r="AF1254" s="28"/>
      <c r="AG1254" s="28"/>
      <c r="AH1254" s="28"/>
      <c r="AI1254" s="28"/>
      <c r="AJ1254" s="28"/>
      <c r="AK1254" s="28"/>
      <c r="AL1254" s="28"/>
      <c r="AM1254" s="28"/>
      <c r="AN1254" s="28"/>
      <c r="AO1254" s="28"/>
      <c r="AP1254" s="28"/>
      <c r="AQ1254" s="28"/>
      <c r="AR1254" s="28"/>
      <c r="AS1254" s="28"/>
      <c r="AT1254" s="28"/>
      <c r="AU1254" s="28"/>
      <c r="AV1254" s="28"/>
      <c r="AW1254" s="28"/>
      <c r="AX1254" s="28"/>
      <c r="AY1254" s="28"/>
      <c r="AZ1254" s="28"/>
      <c r="BA1254" s="28"/>
      <c r="BB1254" s="28"/>
    </row>
    <row r="1255" spans="1:54" ht="12.75" x14ac:dyDescent="0.2">
      <c r="A1255" s="28"/>
      <c r="B1255" s="28"/>
      <c r="C1255" s="28"/>
      <c r="D1255" s="28"/>
      <c r="E1255" s="28"/>
      <c r="F1255" s="28"/>
      <c r="G1255" s="28"/>
      <c r="H1255" s="28"/>
      <c r="I1255" s="28"/>
      <c r="J1255" s="28"/>
      <c r="K1255" s="28"/>
      <c r="L1255" s="28"/>
      <c r="M1255" s="28"/>
      <c r="N1255" s="28"/>
      <c r="O1255" s="28"/>
      <c r="P1255" s="28"/>
      <c r="Q1255" s="28"/>
      <c r="R1255" s="28"/>
      <c r="S1255" s="28"/>
      <c r="T1255" s="28"/>
      <c r="U1255" s="28"/>
      <c r="V1255" s="28"/>
      <c r="W1255" s="28"/>
      <c r="X1255" s="28"/>
      <c r="Y1255" s="28"/>
      <c r="Z1255" s="28"/>
      <c r="AA1255" s="28"/>
      <c r="AB1255" s="28"/>
      <c r="AC1255" s="28"/>
      <c r="AD1255" s="28"/>
      <c r="AE1255" s="28"/>
      <c r="AF1255" s="28"/>
      <c r="AG1255" s="28"/>
      <c r="AH1255" s="28"/>
      <c r="AI1255" s="28"/>
      <c r="AJ1255" s="28"/>
      <c r="AK1255" s="28"/>
      <c r="AL1255" s="28"/>
      <c r="AM1255" s="28"/>
      <c r="AN1255" s="28"/>
      <c r="AO1255" s="28"/>
      <c r="AP1255" s="28"/>
      <c r="AQ1255" s="28"/>
      <c r="AR1255" s="28"/>
      <c r="AS1255" s="28"/>
      <c r="AT1255" s="28"/>
      <c r="AU1255" s="28"/>
      <c r="AV1255" s="28"/>
      <c r="AW1255" s="28"/>
      <c r="AX1255" s="28"/>
      <c r="AY1255" s="28"/>
      <c r="AZ1255" s="28"/>
      <c r="BA1255" s="28"/>
      <c r="BB1255" s="28"/>
    </row>
    <row r="1256" spans="1:54" ht="12.75" x14ac:dyDescent="0.2">
      <c r="A1256" s="28"/>
      <c r="B1256" s="28"/>
      <c r="C1256" s="28"/>
      <c r="D1256" s="28"/>
      <c r="E1256" s="28"/>
      <c r="F1256" s="28"/>
      <c r="G1256" s="28"/>
      <c r="H1256" s="28"/>
      <c r="I1256" s="28"/>
      <c r="J1256" s="28"/>
      <c r="K1256" s="28"/>
      <c r="L1256" s="28"/>
      <c r="M1256" s="28"/>
      <c r="N1256" s="28"/>
      <c r="O1256" s="28"/>
      <c r="P1256" s="28"/>
      <c r="Q1256" s="28"/>
      <c r="R1256" s="28"/>
      <c r="S1256" s="28"/>
      <c r="T1256" s="28"/>
      <c r="U1256" s="28"/>
      <c r="V1256" s="28"/>
      <c r="W1256" s="28"/>
      <c r="X1256" s="28"/>
      <c r="Y1256" s="28"/>
      <c r="Z1256" s="28"/>
      <c r="AA1256" s="28"/>
      <c r="AB1256" s="28"/>
      <c r="AC1256" s="28"/>
      <c r="AD1256" s="28"/>
      <c r="AE1256" s="28"/>
      <c r="AF1256" s="28"/>
      <c r="AG1256" s="28"/>
      <c r="AH1256" s="28"/>
      <c r="AI1256" s="28"/>
      <c r="AJ1256" s="28"/>
      <c r="AK1256" s="28"/>
      <c r="AL1256" s="28"/>
      <c r="AM1256" s="28"/>
      <c r="AN1256" s="28"/>
      <c r="AO1256" s="28"/>
      <c r="AP1256" s="28"/>
      <c r="AQ1256" s="28"/>
      <c r="AR1256" s="28"/>
      <c r="AS1256" s="28"/>
      <c r="AT1256" s="28"/>
      <c r="AU1256" s="28"/>
      <c r="AV1256" s="28"/>
      <c r="AW1256" s="28"/>
      <c r="AX1256" s="28"/>
      <c r="AY1256" s="28"/>
      <c r="AZ1256" s="28"/>
      <c r="BA1256" s="28"/>
      <c r="BB1256" s="28"/>
    </row>
    <row r="1257" spans="1:54" ht="12.75" x14ac:dyDescent="0.2">
      <c r="A1257" s="28"/>
      <c r="B1257" s="28"/>
      <c r="C1257" s="28"/>
      <c r="D1257" s="28"/>
      <c r="E1257" s="28"/>
      <c r="F1257" s="28"/>
      <c r="G1257" s="28"/>
      <c r="H1257" s="28"/>
      <c r="I1257" s="28"/>
      <c r="J1257" s="28"/>
      <c r="K1257" s="28"/>
      <c r="L1257" s="28"/>
      <c r="M1257" s="28"/>
      <c r="N1257" s="28"/>
      <c r="O1257" s="28"/>
      <c r="P1257" s="28"/>
      <c r="Q1257" s="28"/>
      <c r="R1257" s="28"/>
      <c r="S1257" s="28"/>
      <c r="T1257" s="28"/>
      <c r="U1257" s="28"/>
      <c r="V1257" s="28"/>
      <c r="W1257" s="28"/>
      <c r="X1257" s="28"/>
      <c r="Y1257" s="28"/>
      <c r="Z1257" s="28"/>
      <c r="AA1257" s="28"/>
      <c r="AB1257" s="28"/>
      <c r="AC1257" s="28"/>
      <c r="AD1257" s="28"/>
      <c r="AE1257" s="28"/>
      <c r="AF1257" s="28"/>
      <c r="AG1257" s="28"/>
      <c r="AH1257" s="28"/>
      <c r="AI1257" s="28"/>
      <c r="AJ1257" s="28"/>
      <c r="AK1257" s="28"/>
      <c r="AL1257" s="28"/>
      <c r="AM1257" s="28"/>
      <c r="AN1257" s="28"/>
      <c r="AO1257" s="28"/>
      <c r="AP1257" s="28"/>
      <c r="AQ1257" s="28"/>
      <c r="AR1257" s="28"/>
      <c r="AS1257" s="28"/>
      <c r="AT1257" s="28"/>
      <c r="AU1257" s="28"/>
      <c r="AV1257" s="28"/>
      <c r="AW1257" s="28"/>
      <c r="AX1257" s="28"/>
      <c r="AY1257" s="28"/>
      <c r="AZ1257" s="28"/>
      <c r="BA1257" s="28"/>
      <c r="BB1257" s="28"/>
    </row>
    <row r="1258" spans="1:54" ht="12.75" x14ac:dyDescent="0.2">
      <c r="A1258" s="28"/>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8"/>
      <c r="AI1258" s="28"/>
      <c r="AJ1258" s="28"/>
      <c r="AK1258" s="28"/>
      <c r="AL1258" s="28"/>
      <c r="AM1258" s="28"/>
      <c r="AN1258" s="28"/>
      <c r="AO1258" s="28"/>
      <c r="AP1258" s="28"/>
      <c r="AQ1258" s="28"/>
      <c r="AR1258" s="28"/>
      <c r="AS1258" s="28"/>
      <c r="AT1258" s="28"/>
      <c r="AU1258" s="28"/>
      <c r="AV1258" s="28"/>
      <c r="AW1258" s="28"/>
      <c r="AX1258" s="28"/>
      <c r="AY1258" s="28"/>
      <c r="AZ1258" s="28"/>
      <c r="BA1258" s="28"/>
      <c r="BB1258" s="28"/>
    </row>
    <row r="1259" spans="1:54" ht="12.75" x14ac:dyDescent="0.2">
      <c r="A1259" s="28"/>
      <c r="B1259" s="28"/>
      <c r="C1259" s="28"/>
      <c r="D1259" s="28"/>
      <c r="E1259" s="28"/>
      <c r="F1259" s="28"/>
      <c r="G1259" s="28"/>
      <c r="H1259" s="28"/>
      <c r="I1259" s="28"/>
      <c r="J1259" s="28"/>
      <c r="K1259" s="28"/>
      <c r="L1259" s="28"/>
      <c r="M1259" s="28"/>
      <c r="N1259" s="28"/>
      <c r="O1259" s="28"/>
      <c r="P1259" s="28"/>
      <c r="Q1259" s="28"/>
      <c r="R1259" s="28"/>
      <c r="S1259" s="28"/>
      <c r="T1259" s="28"/>
      <c r="U1259" s="28"/>
      <c r="V1259" s="28"/>
      <c r="W1259" s="28"/>
      <c r="X1259" s="28"/>
      <c r="Y1259" s="28"/>
      <c r="Z1259" s="28"/>
      <c r="AA1259" s="28"/>
      <c r="AB1259" s="28"/>
      <c r="AC1259" s="28"/>
      <c r="AD1259" s="28"/>
      <c r="AE1259" s="28"/>
      <c r="AF1259" s="28"/>
      <c r="AG1259" s="28"/>
      <c r="AH1259" s="28"/>
      <c r="AI1259" s="28"/>
      <c r="AJ1259" s="28"/>
      <c r="AK1259" s="28"/>
      <c r="AL1259" s="28"/>
      <c r="AM1259" s="28"/>
      <c r="AN1259" s="28"/>
      <c r="AO1259" s="28"/>
      <c r="AP1259" s="28"/>
      <c r="AQ1259" s="28"/>
      <c r="AR1259" s="28"/>
      <c r="AS1259" s="28"/>
      <c r="AT1259" s="28"/>
      <c r="AU1259" s="28"/>
      <c r="AV1259" s="28"/>
      <c r="AW1259" s="28"/>
      <c r="AX1259" s="28"/>
      <c r="AY1259" s="28"/>
      <c r="AZ1259" s="28"/>
      <c r="BA1259" s="28"/>
      <c r="BB1259" s="28"/>
    </row>
    <row r="1260" spans="1:54" ht="12.75" x14ac:dyDescent="0.2">
      <c r="A1260" s="28"/>
      <c r="B1260" s="28"/>
      <c r="C1260" s="28"/>
      <c r="D1260" s="28"/>
      <c r="E1260" s="28"/>
      <c r="F1260" s="28"/>
      <c r="G1260" s="28"/>
      <c r="H1260" s="28"/>
      <c r="I1260" s="28"/>
      <c r="J1260" s="28"/>
      <c r="K1260" s="28"/>
      <c r="L1260" s="28"/>
      <c r="M1260" s="28"/>
      <c r="N1260" s="28"/>
      <c r="O1260" s="28"/>
      <c r="P1260" s="28"/>
      <c r="Q1260" s="28"/>
      <c r="R1260" s="28"/>
      <c r="S1260" s="28"/>
      <c r="T1260" s="28"/>
      <c r="U1260" s="28"/>
      <c r="V1260" s="28"/>
      <c r="W1260" s="28"/>
      <c r="X1260" s="28"/>
      <c r="Y1260" s="28"/>
      <c r="Z1260" s="28"/>
      <c r="AA1260" s="28"/>
      <c r="AB1260" s="28"/>
      <c r="AC1260" s="28"/>
      <c r="AD1260" s="28"/>
      <c r="AE1260" s="28"/>
      <c r="AF1260" s="28"/>
      <c r="AG1260" s="28"/>
      <c r="AH1260" s="28"/>
      <c r="AI1260" s="28"/>
      <c r="AJ1260" s="28"/>
      <c r="AK1260" s="28"/>
      <c r="AL1260" s="28"/>
      <c r="AM1260" s="28"/>
      <c r="AN1260" s="28"/>
      <c r="AO1260" s="28"/>
      <c r="AP1260" s="28"/>
      <c r="AQ1260" s="28"/>
      <c r="AR1260" s="28"/>
      <c r="AS1260" s="28"/>
      <c r="AT1260" s="28"/>
      <c r="AU1260" s="28"/>
      <c r="AV1260" s="28"/>
      <c r="AW1260" s="28"/>
      <c r="AX1260" s="28"/>
      <c r="AY1260" s="28"/>
      <c r="AZ1260" s="28"/>
      <c r="BA1260" s="28"/>
      <c r="BB1260" s="28"/>
    </row>
    <row r="1261" spans="1:54" ht="12.75" x14ac:dyDescent="0.2">
      <c r="A1261" s="28"/>
      <c r="B1261" s="28"/>
      <c r="C1261" s="28"/>
      <c r="D1261" s="28"/>
      <c r="E1261" s="28"/>
      <c r="F1261" s="28"/>
      <c r="G1261" s="28"/>
      <c r="H1261" s="28"/>
      <c r="I1261" s="28"/>
      <c r="J1261" s="28"/>
      <c r="K1261" s="28"/>
      <c r="L1261" s="28"/>
      <c r="M1261" s="28"/>
      <c r="N1261" s="28"/>
      <c r="O1261" s="28"/>
      <c r="P1261" s="28"/>
      <c r="Q1261" s="28"/>
      <c r="R1261" s="28"/>
      <c r="S1261" s="28"/>
      <c r="T1261" s="28"/>
      <c r="U1261" s="28"/>
      <c r="V1261" s="28"/>
      <c r="W1261" s="28"/>
      <c r="X1261" s="28"/>
      <c r="Y1261" s="28"/>
      <c r="Z1261" s="28"/>
      <c r="AA1261" s="28"/>
      <c r="AB1261" s="28"/>
      <c r="AC1261" s="28"/>
      <c r="AD1261" s="28"/>
      <c r="AE1261" s="28"/>
      <c r="AF1261" s="28"/>
      <c r="AG1261" s="28"/>
      <c r="AH1261" s="28"/>
      <c r="AI1261" s="28"/>
      <c r="AJ1261" s="28"/>
      <c r="AK1261" s="28"/>
      <c r="AL1261" s="28"/>
      <c r="AM1261" s="28"/>
      <c r="AN1261" s="28"/>
      <c r="AO1261" s="28"/>
      <c r="AP1261" s="28"/>
      <c r="AQ1261" s="28"/>
      <c r="AR1261" s="28"/>
      <c r="AS1261" s="28"/>
      <c r="AT1261" s="28"/>
      <c r="AU1261" s="28"/>
      <c r="AV1261" s="28"/>
      <c r="AW1261" s="28"/>
      <c r="AX1261" s="28"/>
      <c r="AY1261" s="28"/>
      <c r="AZ1261" s="28"/>
      <c r="BA1261" s="28"/>
      <c r="BB1261" s="28"/>
    </row>
    <row r="1262" spans="1:54" ht="12.75" x14ac:dyDescent="0.2">
      <c r="A1262" s="28"/>
      <c r="B1262" s="28"/>
      <c r="C1262" s="28"/>
      <c r="D1262" s="28"/>
      <c r="E1262" s="28"/>
      <c r="F1262" s="28"/>
      <c r="G1262" s="28"/>
      <c r="H1262" s="28"/>
      <c r="I1262" s="28"/>
      <c r="J1262" s="28"/>
      <c r="K1262" s="28"/>
      <c r="L1262" s="28"/>
      <c r="M1262" s="28"/>
      <c r="N1262" s="28"/>
      <c r="O1262" s="28"/>
      <c r="P1262" s="28"/>
      <c r="Q1262" s="28"/>
      <c r="R1262" s="28"/>
      <c r="S1262" s="28"/>
      <c r="T1262" s="28"/>
      <c r="U1262" s="28"/>
      <c r="V1262" s="28"/>
      <c r="W1262" s="28"/>
      <c r="X1262" s="28"/>
      <c r="Y1262" s="28"/>
      <c r="Z1262" s="28"/>
      <c r="AA1262" s="28"/>
      <c r="AB1262" s="28"/>
      <c r="AC1262" s="28"/>
      <c r="AD1262" s="28"/>
      <c r="AE1262" s="28"/>
      <c r="AF1262" s="28"/>
      <c r="AG1262" s="28"/>
      <c r="AH1262" s="28"/>
      <c r="AI1262" s="28"/>
      <c r="AJ1262" s="28"/>
      <c r="AK1262" s="28"/>
      <c r="AL1262" s="28"/>
      <c r="AM1262" s="28"/>
      <c r="AN1262" s="28"/>
      <c r="AO1262" s="28"/>
      <c r="AP1262" s="28"/>
      <c r="AQ1262" s="28"/>
      <c r="AR1262" s="28"/>
      <c r="AS1262" s="28"/>
      <c r="AT1262" s="28"/>
      <c r="AU1262" s="28"/>
      <c r="AV1262" s="28"/>
      <c r="AW1262" s="28"/>
      <c r="AX1262" s="28"/>
      <c r="AY1262" s="28"/>
      <c r="AZ1262" s="28"/>
      <c r="BA1262" s="28"/>
      <c r="BB1262" s="28"/>
    </row>
    <row r="1263" spans="1:54" ht="12.75" x14ac:dyDescent="0.2">
      <c r="A1263" s="28"/>
      <c r="B1263" s="28"/>
      <c r="C1263" s="28"/>
      <c r="D1263" s="28"/>
      <c r="E1263" s="28"/>
      <c r="F1263" s="28"/>
      <c r="G1263" s="28"/>
      <c r="H1263" s="28"/>
      <c r="I1263" s="28"/>
      <c r="J1263" s="28"/>
      <c r="K1263" s="28"/>
      <c r="L1263" s="28"/>
      <c r="M1263" s="28"/>
      <c r="N1263" s="28"/>
      <c r="O1263" s="28"/>
      <c r="P1263" s="28"/>
      <c r="Q1263" s="28"/>
      <c r="R1263" s="28"/>
      <c r="S1263" s="28"/>
      <c r="T1263" s="28"/>
      <c r="U1263" s="28"/>
      <c r="V1263" s="28"/>
      <c r="W1263" s="28"/>
      <c r="X1263" s="28"/>
      <c r="Y1263" s="28"/>
      <c r="Z1263" s="28"/>
      <c r="AA1263" s="28"/>
      <c r="AB1263" s="28"/>
      <c r="AC1263" s="28"/>
      <c r="AD1263" s="28"/>
      <c r="AE1263" s="28"/>
      <c r="AF1263" s="28"/>
      <c r="AG1263" s="28"/>
      <c r="AH1263" s="28"/>
      <c r="AI1263" s="28"/>
      <c r="AJ1263" s="28"/>
      <c r="AK1263" s="28"/>
      <c r="AL1263" s="28"/>
      <c r="AM1263" s="28"/>
      <c r="AN1263" s="28"/>
      <c r="AO1263" s="28"/>
      <c r="AP1263" s="28"/>
      <c r="AQ1263" s="28"/>
      <c r="AR1263" s="28"/>
      <c r="AS1263" s="28"/>
      <c r="AT1263" s="28"/>
      <c r="AU1263" s="28"/>
      <c r="AV1263" s="28"/>
      <c r="AW1263" s="28"/>
      <c r="AX1263" s="28"/>
      <c r="AY1263" s="28"/>
      <c r="AZ1263" s="28"/>
      <c r="BA1263" s="28"/>
      <c r="BB1263" s="28"/>
    </row>
    <row r="1264" spans="1:54" ht="12.75" x14ac:dyDescent="0.2">
      <c r="A1264" s="28"/>
      <c r="B1264" s="28"/>
      <c r="C1264" s="28"/>
      <c r="D1264" s="28"/>
      <c r="E1264" s="28"/>
      <c r="F1264" s="28"/>
      <c r="G1264" s="28"/>
      <c r="H1264" s="28"/>
      <c r="I1264" s="28"/>
      <c r="J1264" s="28"/>
      <c r="K1264" s="28"/>
      <c r="L1264" s="28"/>
      <c r="M1264" s="28"/>
      <c r="N1264" s="28"/>
      <c r="O1264" s="28"/>
      <c r="P1264" s="28"/>
      <c r="Q1264" s="28"/>
      <c r="R1264" s="28"/>
      <c r="S1264" s="28"/>
      <c r="T1264" s="28"/>
      <c r="U1264" s="28"/>
      <c r="V1264" s="28"/>
      <c r="W1264" s="28"/>
      <c r="X1264" s="28"/>
      <c r="Y1264" s="28"/>
      <c r="Z1264" s="28"/>
      <c r="AA1264" s="28"/>
      <c r="AB1264" s="28"/>
      <c r="AC1264" s="28"/>
      <c r="AD1264" s="28"/>
      <c r="AE1264" s="28"/>
      <c r="AF1264" s="28"/>
      <c r="AG1264" s="28"/>
      <c r="AH1264" s="28"/>
      <c r="AI1264" s="28"/>
      <c r="AJ1264" s="28"/>
      <c r="AK1264" s="28"/>
      <c r="AL1264" s="28"/>
      <c r="AM1264" s="28"/>
      <c r="AN1264" s="28"/>
      <c r="AO1264" s="28"/>
      <c r="AP1264" s="28"/>
      <c r="AQ1264" s="28"/>
      <c r="AR1264" s="28"/>
      <c r="AS1264" s="28"/>
      <c r="AT1264" s="28"/>
      <c r="AU1264" s="28"/>
      <c r="AV1264" s="28"/>
      <c r="AW1264" s="28"/>
      <c r="AX1264" s="28"/>
      <c r="AY1264" s="28"/>
      <c r="AZ1264" s="28"/>
      <c r="BA1264" s="28"/>
      <c r="BB1264" s="28"/>
    </row>
    <row r="1265" spans="1:54" ht="12.75" x14ac:dyDescent="0.2">
      <c r="A1265" s="28"/>
      <c r="B1265" s="28"/>
      <c r="C1265" s="28"/>
      <c r="D1265" s="28"/>
      <c r="E1265" s="28"/>
      <c r="F1265" s="28"/>
      <c r="G1265" s="28"/>
      <c r="H1265" s="28"/>
      <c r="I1265" s="28"/>
      <c r="J1265" s="28"/>
      <c r="K1265" s="28"/>
      <c r="L1265" s="28"/>
      <c r="M1265" s="28"/>
      <c r="N1265" s="28"/>
      <c r="O1265" s="28"/>
      <c r="P1265" s="28"/>
      <c r="Q1265" s="28"/>
      <c r="R1265" s="28"/>
      <c r="S1265" s="28"/>
      <c r="T1265" s="28"/>
      <c r="U1265" s="28"/>
      <c r="V1265" s="28"/>
      <c r="W1265" s="28"/>
      <c r="X1265" s="28"/>
      <c r="Y1265" s="28"/>
      <c r="Z1265" s="28"/>
      <c r="AA1265" s="28"/>
      <c r="AB1265" s="28"/>
      <c r="AC1265" s="28"/>
      <c r="AD1265" s="28"/>
      <c r="AE1265" s="28"/>
      <c r="AF1265" s="28"/>
      <c r="AG1265" s="28"/>
      <c r="AH1265" s="28"/>
      <c r="AI1265" s="28"/>
      <c r="AJ1265" s="28"/>
      <c r="AK1265" s="28"/>
      <c r="AL1265" s="28"/>
      <c r="AM1265" s="28"/>
      <c r="AN1265" s="28"/>
      <c r="AO1265" s="28"/>
      <c r="AP1265" s="28"/>
      <c r="AQ1265" s="28"/>
      <c r="AR1265" s="28"/>
      <c r="AS1265" s="28"/>
      <c r="AT1265" s="28"/>
      <c r="AU1265" s="28"/>
      <c r="AV1265" s="28"/>
      <c r="AW1265" s="28"/>
      <c r="AX1265" s="28"/>
      <c r="AY1265" s="28"/>
      <c r="AZ1265" s="28"/>
      <c r="BA1265" s="28"/>
      <c r="BB1265" s="28"/>
    </row>
    <row r="1266" spans="1:54" ht="12.75" x14ac:dyDescent="0.2">
      <c r="A1266" s="28"/>
      <c r="B1266" s="28"/>
      <c r="C1266" s="28"/>
      <c r="D1266" s="28"/>
      <c r="E1266" s="28"/>
      <c r="F1266" s="28"/>
      <c r="G1266" s="28"/>
      <c r="H1266" s="28"/>
      <c r="I1266" s="28"/>
      <c r="J1266" s="28"/>
      <c r="K1266" s="28"/>
      <c r="L1266" s="28"/>
      <c r="M1266" s="28"/>
      <c r="N1266" s="28"/>
      <c r="O1266" s="28"/>
      <c r="P1266" s="28"/>
      <c r="Q1266" s="28"/>
      <c r="R1266" s="28"/>
      <c r="S1266" s="28"/>
      <c r="T1266" s="28"/>
      <c r="U1266" s="28"/>
      <c r="V1266" s="28"/>
      <c r="W1266" s="28"/>
      <c r="X1266" s="28"/>
      <c r="Y1266" s="28"/>
      <c r="Z1266" s="28"/>
      <c r="AA1266" s="28"/>
      <c r="AB1266" s="28"/>
      <c r="AC1266" s="28"/>
      <c r="AD1266" s="28"/>
      <c r="AE1266" s="28"/>
      <c r="AF1266" s="28"/>
      <c r="AG1266" s="28"/>
      <c r="AH1266" s="28"/>
      <c r="AI1266" s="28"/>
      <c r="AJ1266" s="28"/>
      <c r="AK1266" s="28"/>
      <c r="AL1266" s="28"/>
      <c r="AM1266" s="28"/>
      <c r="AN1266" s="28"/>
      <c r="AO1266" s="28"/>
      <c r="AP1266" s="28"/>
      <c r="AQ1266" s="28"/>
      <c r="AR1266" s="28"/>
      <c r="AS1266" s="28"/>
      <c r="AT1266" s="28"/>
      <c r="AU1266" s="28"/>
      <c r="AV1266" s="28"/>
      <c r="AW1266" s="28"/>
      <c r="AX1266" s="28"/>
      <c r="AY1266" s="28"/>
      <c r="AZ1266" s="28"/>
      <c r="BA1266" s="28"/>
      <c r="BB1266" s="28"/>
    </row>
    <row r="1267" spans="1:54" ht="12.75" x14ac:dyDescent="0.2">
      <c r="A1267" s="28"/>
      <c r="B1267" s="28"/>
      <c r="C1267" s="28"/>
      <c r="D1267" s="28"/>
      <c r="E1267" s="28"/>
      <c r="F1267" s="28"/>
      <c r="G1267" s="28"/>
      <c r="H1267" s="28"/>
      <c r="I1267" s="28"/>
      <c r="J1267" s="28"/>
      <c r="K1267" s="28"/>
      <c r="L1267" s="28"/>
      <c r="M1267" s="28"/>
      <c r="N1267" s="28"/>
      <c r="O1267" s="28"/>
      <c r="P1267" s="28"/>
      <c r="Q1267" s="28"/>
      <c r="R1267" s="28"/>
      <c r="S1267" s="28"/>
      <c r="T1267" s="28"/>
      <c r="U1267" s="28"/>
      <c r="V1267" s="28"/>
      <c r="W1267" s="28"/>
      <c r="X1267" s="28"/>
      <c r="Y1267" s="28"/>
      <c r="Z1267" s="28"/>
      <c r="AA1267" s="28"/>
      <c r="AB1267" s="28"/>
      <c r="AC1267" s="28"/>
      <c r="AD1267" s="28"/>
      <c r="AE1267" s="28"/>
      <c r="AF1267" s="28"/>
      <c r="AG1267" s="28"/>
      <c r="AH1267" s="28"/>
      <c r="AI1267" s="28"/>
      <c r="AJ1267" s="28"/>
      <c r="AK1267" s="28"/>
      <c r="AL1267" s="28"/>
      <c r="AM1267" s="28"/>
      <c r="AN1267" s="28"/>
      <c r="AO1267" s="28"/>
      <c r="AP1267" s="28"/>
      <c r="AQ1267" s="28"/>
      <c r="AR1267" s="28"/>
      <c r="AS1267" s="28"/>
      <c r="AT1267" s="28"/>
      <c r="AU1267" s="28"/>
      <c r="AV1267" s="28"/>
      <c r="AW1267" s="28"/>
      <c r="AX1267" s="28"/>
      <c r="AY1267" s="28"/>
      <c r="AZ1267" s="28"/>
      <c r="BA1267" s="28"/>
      <c r="BB1267" s="28"/>
    </row>
    <row r="1268" spans="1:54" ht="12.75" x14ac:dyDescent="0.2">
      <c r="A1268" s="28"/>
      <c r="B1268" s="28"/>
      <c r="C1268" s="28"/>
      <c r="D1268" s="28"/>
      <c r="E1268" s="28"/>
      <c r="F1268" s="28"/>
      <c r="G1268" s="28"/>
      <c r="H1268" s="28"/>
      <c r="I1268" s="28"/>
      <c r="J1268" s="28"/>
      <c r="K1268" s="28"/>
      <c r="L1268" s="28"/>
      <c r="M1268" s="28"/>
      <c r="N1268" s="28"/>
      <c r="O1268" s="28"/>
      <c r="P1268" s="28"/>
      <c r="Q1268" s="28"/>
      <c r="R1268" s="28"/>
      <c r="S1268" s="28"/>
      <c r="T1268" s="28"/>
      <c r="U1268" s="28"/>
      <c r="V1268" s="28"/>
      <c r="W1268" s="28"/>
      <c r="X1268" s="28"/>
      <c r="Y1268" s="28"/>
      <c r="Z1268" s="28"/>
      <c r="AA1268" s="28"/>
      <c r="AB1268" s="28"/>
      <c r="AC1268" s="28"/>
      <c r="AD1268" s="28"/>
      <c r="AE1268" s="28"/>
      <c r="AF1268" s="28"/>
      <c r="AG1268" s="28"/>
      <c r="AH1268" s="28"/>
      <c r="AI1268" s="28"/>
      <c r="AJ1268" s="28"/>
      <c r="AK1268" s="28"/>
      <c r="AL1268" s="28"/>
      <c r="AM1268" s="28"/>
      <c r="AN1268" s="28"/>
      <c r="AO1268" s="28"/>
      <c r="AP1268" s="28"/>
      <c r="AQ1268" s="28"/>
      <c r="AR1268" s="28"/>
      <c r="AS1268" s="28"/>
      <c r="AT1268" s="28"/>
      <c r="AU1268" s="28"/>
      <c r="AV1268" s="28"/>
      <c r="AW1268" s="28"/>
      <c r="AX1268" s="28"/>
      <c r="AY1268" s="28"/>
      <c r="AZ1268" s="28"/>
      <c r="BA1268" s="28"/>
      <c r="BB1268" s="28"/>
    </row>
    <row r="1269" spans="1:54" ht="12.75" x14ac:dyDescent="0.2">
      <c r="A1269" s="28"/>
      <c r="B1269" s="28"/>
      <c r="C1269" s="28"/>
      <c r="D1269" s="28"/>
      <c r="E1269" s="28"/>
      <c r="F1269" s="28"/>
      <c r="G1269" s="28"/>
      <c r="H1269" s="28"/>
      <c r="I1269" s="28"/>
      <c r="J1269" s="28"/>
      <c r="K1269" s="28"/>
      <c r="L1269" s="28"/>
      <c r="M1269" s="28"/>
      <c r="N1269" s="28"/>
      <c r="O1269" s="28"/>
      <c r="P1269" s="28"/>
      <c r="Q1269" s="28"/>
      <c r="R1269" s="28"/>
      <c r="S1269" s="28"/>
      <c r="T1269" s="28"/>
      <c r="U1269" s="28"/>
      <c r="V1269" s="28"/>
      <c r="W1269" s="28"/>
      <c r="X1269" s="28"/>
      <c r="Y1269" s="28"/>
      <c r="Z1269" s="28"/>
      <c r="AA1269" s="28"/>
      <c r="AB1269" s="28"/>
      <c r="AC1269" s="28"/>
      <c r="AD1269" s="28"/>
      <c r="AE1269" s="28"/>
      <c r="AF1269" s="28"/>
      <c r="AG1269" s="28"/>
      <c r="AH1269" s="28"/>
      <c r="AI1269" s="28"/>
      <c r="AJ1269" s="28"/>
      <c r="AK1269" s="28"/>
      <c r="AL1269" s="28"/>
      <c r="AM1269" s="28"/>
      <c r="AN1269" s="28"/>
      <c r="AO1269" s="28"/>
      <c r="AP1269" s="28"/>
      <c r="AQ1269" s="28"/>
      <c r="AR1269" s="28"/>
      <c r="AS1269" s="28"/>
      <c r="AT1269" s="28"/>
      <c r="AU1269" s="28"/>
      <c r="AV1269" s="28"/>
      <c r="AW1269" s="28"/>
      <c r="AX1269" s="28"/>
      <c r="AY1269" s="28"/>
      <c r="AZ1269" s="28"/>
      <c r="BA1269" s="28"/>
      <c r="BB1269" s="28"/>
    </row>
    <row r="1270" spans="1:54" ht="12.75" x14ac:dyDescent="0.2">
      <c r="A1270" s="28"/>
      <c r="B1270" s="28"/>
      <c r="C1270" s="28"/>
      <c r="D1270" s="28"/>
      <c r="E1270" s="28"/>
      <c r="F1270" s="28"/>
      <c r="G1270" s="28"/>
      <c r="H1270" s="28"/>
      <c r="I1270" s="28"/>
      <c r="J1270" s="28"/>
      <c r="K1270" s="28"/>
      <c r="L1270" s="28"/>
      <c r="M1270" s="28"/>
      <c r="N1270" s="28"/>
      <c r="O1270" s="28"/>
      <c r="P1270" s="28"/>
      <c r="Q1270" s="28"/>
      <c r="R1270" s="28"/>
      <c r="S1270" s="28"/>
      <c r="T1270" s="28"/>
      <c r="U1270" s="28"/>
      <c r="V1270" s="28"/>
      <c r="W1270" s="28"/>
      <c r="X1270" s="28"/>
      <c r="Y1270" s="28"/>
      <c r="Z1270" s="28"/>
      <c r="AA1270" s="28"/>
      <c r="AB1270" s="28"/>
      <c r="AC1270" s="28"/>
      <c r="AD1270" s="28"/>
      <c r="AE1270" s="28"/>
      <c r="AF1270" s="28"/>
      <c r="AG1270" s="28"/>
      <c r="AH1270" s="28"/>
      <c r="AI1270" s="28"/>
      <c r="AJ1270" s="28"/>
      <c r="AK1270" s="28"/>
      <c r="AL1270" s="28"/>
      <c r="AM1270" s="28"/>
      <c r="AN1270" s="28"/>
      <c r="AO1270" s="28"/>
      <c r="AP1270" s="28"/>
      <c r="AQ1270" s="28"/>
      <c r="AR1270" s="28"/>
      <c r="AS1270" s="28"/>
      <c r="AT1270" s="28"/>
      <c r="AU1270" s="28"/>
      <c r="AV1270" s="28"/>
      <c r="AW1270" s="28"/>
      <c r="AX1270" s="28"/>
      <c r="AY1270" s="28"/>
      <c r="AZ1270" s="28"/>
      <c r="BA1270" s="28"/>
      <c r="BB1270" s="28"/>
    </row>
    <row r="1271" spans="1:54" ht="12.75" x14ac:dyDescent="0.2">
      <c r="A1271" s="28"/>
      <c r="B1271" s="28"/>
      <c r="C1271" s="28"/>
      <c r="D1271" s="28"/>
      <c r="E1271" s="28"/>
      <c r="F1271" s="28"/>
      <c r="G1271" s="28"/>
      <c r="H1271" s="28"/>
      <c r="I1271" s="28"/>
      <c r="J1271" s="28"/>
      <c r="K1271" s="28"/>
      <c r="L1271" s="28"/>
      <c r="M1271" s="28"/>
      <c r="N1271" s="28"/>
      <c r="O1271" s="28"/>
      <c r="P1271" s="28"/>
      <c r="Q1271" s="28"/>
      <c r="R1271" s="28"/>
      <c r="S1271" s="28"/>
      <c r="T1271" s="28"/>
      <c r="U1271" s="28"/>
      <c r="V1271" s="28"/>
      <c r="W1271" s="28"/>
      <c r="X1271" s="28"/>
      <c r="Y1271" s="28"/>
      <c r="Z1271" s="28"/>
      <c r="AA1271" s="28"/>
      <c r="AB1271" s="28"/>
      <c r="AC1271" s="28"/>
      <c r="AD1271" s="28"/>
      <c r="AE1271" s="28"/>
      <c r="AF1271" s="28"/>
      <c r="AG1271" s="28"/>
      <c r="AH1271" s="28"/>
      <c r="AI1271" s="28"/>
      <c r="AJ1271" s="28"/>
      <c r="AK1271" s="28"/>
      <c r="AL1271" s="28"/>
      <c r="AM1271" s="28"/>
      <c r="AN1271" s="28"/>
      <c r="AO1271" s="28"/>
      <c r="AP1271" s="28"/>
      <c r="AQ1271" s="28"/>
      <c r="AR1271" s="28"/>
      <c r="AS1271" s="28"/>
      <c r="AT1271" s="28"/>
      <c r="AU1271" s="28"/>
      <c r="AV1271" s="28"/>
      <c r="AW1271" s="28"/>
      <c r="AX1271" s="28"/>
      <c r="AY1271" s="28"/>
      <c r="AZ1271" s="28"/>
      <c r="BA1271" s="28"/>
      <c r="BB1271" s="28"/>
    </row>
    <row r="1272" spans="1:54" ht="12.75" x14ac:dyDescent="0.2">
      <c r="A1272" s="28"/>
      <c r="B1272" s="28"/>
      <c r="C1272" s="28"/>
      <c r="D1272" s="28"/>
      <c r="E1272" s="28"/>
      <c r="F1272" s="28"/>
      <c r="G1272" s="28"/>
      <c r="H1272" s="28"/>
      <c r="I1272" s="28"/>
      <c r="J1272" s="28"/>
      <c r="K1272" s="28"/>
      <c r="L1272" s="28"/>
      <c r="M1272" s="28"/>
      <c r="N1272" s="28"/>
      <c r="O1272" s="28"/>
      <c r="P1272" s="28"/>
      <c r="Q1272" s="28"/>
      <c r="R1272" s="28"/>
      <c r="S1272" s="28"/>
      <c r="T1272" s="28"/>
      <c r="U1272" s="28"/>
      <c r="V1272" s="28"/>
      <c r="W1272" s="28"/>
      <c r="X1272" s="28"/>
      <c r="Y1272" s="28"/>
      <c r="Z1272" s="28"/>
      <c r="AA1272" s="28"/>
      <c r="AB1272" s="28"/>
      <c r="AC1272" s="28"/>
      <c r="AD1272" s="28"/>
      <c r="AE1272" s="28"/>
      <c r="AF1272" s="28"/>
      <c r="AG1272" s="28"/>
      <c r="AH1272" s="28"/>
      <c r="AI1272" s="28"/>
      <c r="AJ1272" s="28"/>
      <c r="AK1272" s="28"/>
      <c r="AL1272" s="28"/>
      <c r="AM1272" s="28"/>
      <c r="AN1272" s="28"/>
      <c r="AO1272" s="28"/>
      <c r="AP1272" s="28"/>
      <c r="AQ1272" s="28"/>
      <c r="AR1272" s="28"/>
      <c r="AS1272" s="28"/>
      <c r="AT1272" s="28"/>
      <c r="AU1272" s="28"/>
      <c r="AV1272" s="28"/>
      <c r="AW1272" s="28"/>
      <c r="AX1272" s="28"/>
      <c r="AY1272" s="28"/>
      <c r="AZ1272" s="28"/>
      <c r="BA1272" s="28"/>
      <c r="BB1272" s="28"/>
    </row>
    <row r="1273" spans="1:54" ht="12.75" x14ac:dyDescent="0.2">
      <c r="A1273" s="28"/>
      <c r="B1273" s="28"/>
      <c r="C1273" s="28"/>
      <c r="D1273" s="28"/>
      <c r="E1273" s="28"/>
      <c r="F1273" s="28"/>
      <c r="G1273" s="28"/>
      <c r="H1273" s="28"/>
      <c r="I1273" s="28"/>
      <c r="J1273" s="28"/>
      <c r="K1273" s="28"/>
      <c r="L1273" s="28"/>
      <c r="M1273" s="28"/>
      <c r="N1273" s="28"/>
      <c r="O1273" s="28"/>
      <c r="P1273" s="28"/>
      <c r="Q1273" s="28"/>
      <c r="R1273" s="28"/>
      <c r="S1273" s="28"/>
      <c r="T1273" s="28"/>
      <c r="U1273" s="28"/>
      <c r="V1273" s="28"/>
      <c r="W1273" s="28"/>
      <c r="X1273" s="28"/>
      <c r="Y1273" s="28"/>
      <c r="Z1273" s="28"/>
      <c r="AA1273" s="28"/>
      <c r="AB1273" s="28"/>
      <c r="AC1273" s="28"/>
      <c r="AD1273" s="28"/>
      <c r="AE1273" s="28"/>
      <c r="AF1273" s="28"/>
      <c r="AG1273" s="28"/>
      <c r="AH1273" s="28"/>
      <c r="AI1273" s="28"/>
      <c r="AJ1273" s="28"/>
      <c r="AK1273" s="28"/>
      <c r="AL1273" s="28"/>
      <c r="AM1273" s="28"/>
      <c r="AN1273" s="28"/>
      <c r="AO1273" s="28"/>
      <c r="AP1273" s="28"/>
      <c r="AQ1273" s="28"/>
      <c r="AR1273" s="28"/>
      <c r="AS1273" s="28"/>
      <c r="AT1273" s="28"/>
      <c r="AU1273" s="28"/>
      <c r="AV1273" s="28"/>
      <c r="AW1273" s="28"/>
      <c r="AX1273" s="28"/>
      <c r="AY1273" s="28"/>
      <c r="AZ1273" s="28"/>
      <c r="BA1273" s="28"/>
      <c r="BB1273" s="28"/>
    </row>
    <row r="1274" spans="1:54" ht="12.75" x14ac:dyDescent="0.2">
      <c r="A1274" s="28"/>
      <c r="B1274" s="28"/>
      <c r="C1274" s="28"/>
      <c r="D1274" s="28"/>
      <c r="E1274" s="28"/>
      <c r="F1274" s="28"/>
      <c r="G1274" s="28"/>
      <c r="H1274" s="28"/>
      <c r="I1274" s="28"/>
      <c r="J1274" s="28"/>
      <c r="K1274" s="28"/>
      <c r="L1274" s="28"/>
      <c r="M1274" s="28"/>
      <c r="N1274" s="28"/>
      <c r="O1274" s="28"/>
      <c r="P1274" s="28"/>
      <c r="Q1274" s="28"/>
      <c r="R1274" s="28"/>
      <c r="S1274" s="28"/>
      <c r="T1274" s="28"/>
      <c r="U1274" s="28"/>
      <c r="V1274" s="28"/>
      <c r="W1274" s="28"/>
      <c r="X1274" s="28"/>
      <c r="Y1274" s="28"/>
      <c r="Z1274" s="28"/>
      <c r="AA1274" s="28"/>
      <c r="AB1274" s="28"/>
      <c r="AC1274" s="28"/>
      <c r="AD1274" s="28"/>
      <c r="AE1274" s="28"/>
      <c r="AF1274" s="28"/>
      <c r="AG1274" s="28"/>
      <c r="AH1274" s="28"/>
      <c r="AI1274" s="28"/>
      <c r="AJ1274" s="28"/>
      <c r="AK1274" s="28"/>
      <c r="AL1274" s="28"/>
      <c r="AM1274" s="28"/>
      <c r="AN1274" s="28"/>
      <c r="AO1274" s="28"/>
      <c r="AP1274" s="28"/>
      <c r="AQ1274" s="28"/>
      <c r="AR1274" s="28"/>
      <c r="AS1274" s="28"/>
      <c r="AT1274" s="28"/>
      <c r="AU1274" s="28"/>
      <c r="AV1274" s="28"/>
      <c r="AW1274" s="28"/>
      <c r="AX1274" s="28"/>
      <c r="AY1274" s="28"/>
      <c r="AZ1274" s="28"/>
      <c r="BA1274" s="28"/>
      <c r="BB1274" s="28"/>
    </row>
    <row r="1275" spans="1:54" ht="12.75" x14ac:dyDescent="0.2">
      <c r="A1275" s="28"/>
      <c r="B1275" s="28"/>
      <c r="C1275" s="28"/>
      <c r="D1275" s="28"/>
      <c r="E1275" s="28"/>
      <c r="F1275" s="28"/>
      <c r="G1275" s="28"/>
      <c r="H1275" s="28"/>
      <c r="I1275" s="28"/>
      <c r="J1275" s="28"/>
      <c r="K1275" s="28"/>
      <c r="L1275" s="28"/>
      <c r="M1275" s="28"/>
      <c r="N1275" s="28"/>
      <c r="O1275" s="28"/>
      <c r="P1275" s="28"/>
      <c r="Q1275" s="28"/>
      <c r="R1275" s="28"/>
      <c r="S1275" s="28"/>
      <c r="T1275" s="28"/>
      <c r="U1275" s="28"/>
      <c r="V1275" s="28"/>
      <c r="W1275" s="28"/>
      <c r="X1275" s="28"/>
      <c r="Y1275" s="28"/>
      <c r="Z1275" s="28"/>
      <c r="AA1275" s="28"/>
      <c r="AB1275" s="28"/>
      <c r="AC1275" s="28"/>
      <c r="AD1275" s="28"/>
      <c r="AE1275" s="28"/>
      <c r="AF1275" s="28"/>
      <c r="AG1275" s="28"/>
      <c r="AH1275" s="28"/>
      <c r="AI1275" s="28"/>
      <c r="AJ1275" s="28"/>
      <c r="AK1275" s="28"/>
      <c r="AL1275" s="28"/>
      <c r="AM1275" s="28"/>
      <c r="AN1275" s="28"/>
      <c r="AO1275" s="28"/>
      <c r="AP1275" s="28"/>
      <c r="AQ1275" s="28"/>
      <c r="AR1275" s="28"/>
      <c r="AS1275" s="28"/>
      <c r="AT1275" s="28"/>
      <c r="AU1275" s="28"/>
      <c r="AV1275" s="28"/>
      <c r="AW1275" s="28"/>
      <c r="AX1275" s="28"/>
      <c r="AY1275" s="28"/>
      <c r="AZ1275" s="28"/>
      <c r="BA1275" s="28"/>
      <c r="BB1275" s="28"/>
    </row>
    <row r="1276" spans="1:54" ht="12.75" x14ac:dyDescent="0.2">
      <c r="A1276" s="28"/>
      <c r="B1276" s="28"/>
      <c r="C1276" s="28"/>
      <c r="D1276" s="28"/>
      <c r="E1276" s="28"/>
      <c r="F1276" s="28"/>
      <c r="G1276" s="28"/>
      <c r="H1276" s="28"/>
      <c r="I1276" s="28"/>
      <c r="J1276" s="28"/>
      <c r="K1276" s="28"/>
      <c r="L1276" s="28"/>
      <c r="M1276" s="28"/>
      <c r="N1276" s="28"/>
      <c r="O1276" s="28"/>
      <c r="P1276" s="28"/>
      <c r="Q1276" s="28"/>
      <c r="R1276" s="28"/>
      <c r="S1276" s="28"/>
      <c r="T1276" s="28"/>
      <c r="U1276" s="28"/>
      <c r="V1276" s="28"/>
      <c r="W1276" s="28"/>
      <c r="X1276" s="28"/>
      <c r="Y1276" s="28"/>
      <c r="Z1276" s="28"/>
      <c r="AA1276" s="28"/>
      <c r="AB1276" s="28"/>
      <c r="AC1276" s="28"/>
      <c r="AD1276" s="28"/>
      <c r="AE1276" s="28"/>
      <c r="AF1276" s="28"/>
      <c r="AG1276" s="28"/>
      <c r="AH1276" s="28"/>
      <c r="AI1276" s="28"/>
      <c r="AJ1276" s="28"/>
      <c r="AK1276" s="28"/>
      <c r="AL1276" s="28"/>
      <c r="AM1276" s="28"/>
      <c r="AN1276" s="28"/>
      <c r="AO1276" s="28"/>
      <c r="AP1276" s="28"/>
      <c r="AQ1276" s="28"/>
      <c r="AR1276" s="28"/>
      <c r="AS1276" s="28"/>
      <c r="AT1276" s="28"/>
      <c r="AU1276" s="28"/>
      <c r="AV1276" s="28"/>
      <c r="AW1276" s="28"/>
      <c r="AX1276" s="28"/>
      <c r="AY1276" s="28"/>
      <c r="AZ1276" s="28"/>
      <c r="BA1276" s="28"/>
      <c r="BB1276" s="28"/>
    </row>
    <row r="1277" spans="1:54" ht="12.75" x14ac:dyDescent="0.2">
      <c r="A1277" s="28"/>
      <c r="B1277" s="28"/>
      <c r="C1277" s="28"/>
      <c r="D1277" s="28"/>
      <c r="E1277" s="28"/>
      <c r="F1277" s="28"/>
      <c r="G1277" s="28"/>
      <c r="H1277" s="28"/>
      <c r="I1277" s="28"/>
      <c r="J1277" s="28"/>
      <c r="K1277" s="28"/>
      <c r="L1277" s="28"/>
      <c r="M1277" s="28"/>
      <c r="N1277" s="28"/>
      <c r="O1277" s="28"/>
      <c r="P1277" s="28"/>
      <c r="Q1277" s="28"/>
      <c r="R1277" s="28"/>
      <c r="S1277" s="28"/>
      <c r="T1277" s="28"/>
      <c r="U1277" s="28"/>
      <c r="V1277" s="28"/>
      <c r="W1277" s="28"/>
      <c r="X1277" s="28"/>
      <c r="Y1277" s="28"/>
      <c r="Z1277" s="28"/>
      <c r="AA1277" s="28"/>
      <c r="AB1277" s="28"/>
      <c r="AC1277" s="28"/>
      <c r="AD1277" s="28"/>
      <c r="AE1277" s="28"/>
      <c r="AF1277" s="28"/>
      <c r="AG1277" s="28"/>
      <c r="AH1277" s="28"/>
      <c r="AI1277" s="28"/>
      <c r="AJ1277" s="28"/>
      <c r="AK1277" s="28"/>
      <c r="AL1277" s="28"/>
      <c r="AM1277" s="28"/>
      <c r="AN1277" s="28"/>
      <c r="AO1277" s="28"/>
      <c r="AP1277" s="28"/>
      <c r="AQ1277" s="28"/>
      <c r="AR1277" s="28"/>
      <c r="AS1277" s="28"/>
      <c r="AT1277" s="28"/>
      <c r="AU1277" s="28"/>
      <c r="AV1277" s="28"/>
      <c r="AW1277" s="28"/>
      <c r="AX1277" s="28"/>
      <c r="AY1277" s="28"/>
      <c r="AZ1277" s="28"/>
      <c r="BA1277" s="28"/>
      <c r="BB1277" s="28"/>
    </row>
    <row r="1278" spans="1:54" ht="12.75" x14ac:dyDescent="0.2">
      <c r="A1278" s="28"/>
      <c r="B1278" s="28"/>
      <c r="C1278" s="28"/>
      <c r="D1278" s="28"/>
      <c r="E1278" s="28"/>
      <c r="F1278" s="28"/>
      <c r="G1278" s="28"/>
      <c r="H1278" s="28"/>
      <c r="I1278" s="28"/>
      <c r="J1278" s="28"/>
      <c r="K1278" s="28"/>
      <c r="L1278" s="28"/>
      <c r="M1278" s="28"/>
      <c r="N1278" s="28"/>
      <c r="O1278" s="28"/>
      <c r="P1278" s="28"/>
      <c r="Q1278" s="28"/>
      <c r="R1278" s="28"/>
      <c r="S1278" s="28"/>
      <c r="T1278" s="28"/>
      <c r="U1278" s="28"/>
      <c r="V1278" s="28"/>
      <c r="W1278" s="28"/>
      <c r="X1278" s="28"/>
      <c r="Y1278" s="28"/>
      <c r="Z1278" s="28"/>
      <c r="AA1278" s="28"/>
      <c r="AB1278" s="28"/>
      <c r="AC1278" s="28"/>
      <c r="AD1278" s="28"/>
      <c r="AE1278" s="28"/>
      <c r="AF1278" s="28"/>
      <c r="AG1278" s="28"/>
      <c r="AH1278" s="28"/>
      <c r="AI1278" s="28"/>
      <c r="AJ1278" s="28"/>
      <c r="AK1278" s="28"/>
      <c r="AL1278" s="28"/>
      <c r="AM1278" s="28"/>
      <c r="AN1278" s="28"/>
      <c r="AO1278" s="28"/>
      <c r="AP1278" s="28"/>
      <c r="AQ1278" s="28"/>
      <c r="AR1278" s="28"/>
      <c r="AS1278" s="28"/>
      <c r="AT1278" s="28"/>
      <c r="AU1278" s="28"/>
      <c r="AV1278" s="28"/>
      <c r="AW1278" s="28"/>
      <c r="AX1278" s="28"/>
      <c r="AY1278" s="28"/>
      <c r="AZ1278" s="28"/>
      <c r="BA1278" s="28"/>
      <c r="BB1278" s="28"/>
    </row>
    <row r="1279" spans="1:54" ht="12.75" x14ac:dyDescent="0.2">
      <c r="A1279" s="28"/>
      <c r="B1279" s="28"/>
      <c r="C1279" s="28"/>
      <c r="D1279" s="28"/>
      <c r="E1279" s="28"/>
      <c r="F1279" s="28"/>
      <c r="G1279" s="28"/>
      <c r="H1279" s="28"/>
      <c r="I1279" s="28"/>
      <c r="J1279" s="28"/>
      <c r="K1279" s="28"/>
      <c r="L1279" s="28"/>
      <c r="M1279" s="28"/>
      <c r="N1279" s="28"/>
      <c r="O1279" s="28"/>
      <c r="P1279" s="28"/>
      <c r="Q1279" s="28"/>
      <c r="R1279" s="28"/>
      <c r="S1279" s="28"/>
      <c r="T1279" s="28"/>
      <c r="U1279" s="28"/>
      <c r="V1279" s="28"/>
      <c r="W1279" s="28"/>
      <c r="X1279" s="28"/>
      <c r="Y1279" s="28"/>
      <c r="Z1279" s="28"/>
      <c r="AA1279" s="28"/>
      <c r="AB1279" s="28"/>
      <c r="AC1279" s="28"/>
      <c r="AD1279" s="28"/>
      <c r="AE1279" s="28"/>
      <c r="AF1279" s="28"/>
      <c r="AG1279" s="28"/>
      <c r="AH1279" s="28"/>
      <c r="AI1279" s="28"/>
      <c r="AJ1279" s="28"/>
      <c r="AK1279" s="28"/>
      <c r="AL1279" s="28"/>
      <c r="AM1279" s="28"/>
      <c r="AN1279" s="28"/>
      <c r="AO1279" s="28"/>
      <c r="AP1279" s="28"/>
      <c r="AQ1279" s="28"/>
      <c r="AR1279" s="28"/>
      <c r="AS1279" s="28"/>
      <c r="AT1279" s="28"/>
      <c r="AU1279" s="28"/>
      <c r="AV1279" s="28"/>
      <c r="AW1279" s="28"/>
      <c r="AX1279" s="28"/>
      <c r="AY1279" s="28"/>
      <c r="AZ1279" s="28"/>
      <c r="BA1279" s="28"/>
      <c r="BB1279" s="28"/>
    </row>
    <row r="1280" spans="1:54" ht="12.75" x14ac:dyDescent="0.2">
      <c r="A1280" s="28"/>
      <c r="B1280" s="28"/>
      <c r="C1280" s="28"/>
      <c r="D1280" s="28"/>
      <c r="E1280" s="28"/>
      <c r="F1280" s="28"/>
      <c r="G1280" s="28"/>
      <c r="H1280" s="28"/>
      <c r="I1280" s="28"/>
      <c r="J1280" s="28"/>
      <c r="K1280" s="28"/>
      <c r="L1280" s="28"/>
      <c r="M1280" s="28"/>
      <c r="N1280" s="28"/>
      <c r="O1280" s="28"/>
      <c r="P1280" s="28"/>
      <c r="Q1280" s="28"/>
      <c r="R1280" s="28"/>
      <c r="S1280" s="28"/>
      <c r="T1280" s="28"/>
      <c r="U1280" s="28"/>
      <c r="V1280" s="28"/>
      <c r="W1280" s="28"/>
      <c r="X1280" s="28"/>
      <c r="Y1280" s="28"/>
      <c r="Z1280" s="28"/>
      <c r="AA1280" s="28"/>
      <c r="AB1280" s="28"/>
      <c r="AC1280" s="28"/>
      <c r="AD1280" s="28"/>
      <c r="AE1280" s="28"/>
      <c r="AF1280" s="28"/>
      <c r="AG1280" s="28"/>
      <c r="AH1280" s="28"/>
      <c r="AI1280" s="28"/>
      <c r="AJ1280" s="28"/>
      <c r="AK1280" s="28"/>
      <c r="AL1280" s="28"/>
      <c r="AM1280" s="28"/>
      <c r="AN1280" s="28"/>
      <c r="AO1280" s="28"/>
      <c r="AP1280" s="28"/>
      <c r="AQ1280" s="28"/>
      <c r="AR1280" s="28"/>
      <c r="AS1280" s="28"/>
      <c r="AT1280" s="28"/>
      <c r="AU1280" s="28"/>
      <c r="AV1280" s="28"/>
      <c r="AW1280" s="28"/>
      <c r="AX1280" s="28"/>
      <c r="AY1280" s="28"/>
      <c r="AZ1280" s="28"/>
      <c r="BA1280" s="28"/>
      <c r="BB1280" s="28"/>
    </row>
    <row r="1281" spans="1:54" ht="12.75" x14ac:dyDescent="0.2">
      <c r="A1281" s="28"/>
      <c r="B1281" s="28"/>
      <c r="C1281" s="28"/>
      <c r="D1281" s="28"/>
      <c r="E1281" s="28"/>
      <c r="F1281" s="28"/>
      <c r="G1281" s="28"/>
      <c r="H1281" s="28"/>
      <c r="I1281" s="28"/>
      <c r="J1281" s="28"/>
      <c r="K1281" s="28"/>
      <c r="L1281" s="28"/>
      <c r="M1281" s="28"/>
      <c r="N1281" s="28"/>
      <c r="O1281" s="28"/>
      <c r="P1281" s="28"/>
      <c r="Q1281" s="28"/>
      <c r="R1281" s="28"/>
      <c r="S1281" s="28"/>
      <c r="T1281" s="28"/>
      <c r="U1281" s="28"/>
      <c r="V1281" s="28"/>
      <c r="W1281" s="28"/>
      <c r="X1281" s="28"/>
      <c r="Y1281" s="28"/>
      <c r="Z1281" s="28"/>
      <c r="AA1281" s="28"/>
      <c r="AB1281" s="28"/>
      <c r="AC1281" s="28"/>
      <c r="AD1281" s="28"/>
      <c r="AE1281" s="28"/>
      <c r="AF1281" s="28"/>
      <c r="AG1281" s="28"/>
      <c r="AH1281" s="28"/>
      <c r="AI1281" s="28"/>
      <c r="AJ1281" s="28"/>
      <c r="AK1281" s="28"/>
      <c r="AL1281" s="28"/>
      <c r="AM1281" s="28"/>
      <c r="AN1281" s="28"/>
      <c r="AO1281" s="28"/>
      <c r="AP1281" s="28"/>
      <c r="AQ1281" s="28"/>
      <c r="AR1281" s="28"/>
      <c r="AS1281" s="28"/>
      <c r="AT1281" s="28"/>
      <c r="AU1281" s="28"/>
      <c r="AV1281" s="28"/>
      <c r="AW1281" s="28"/>
      <c r="AX1281" s="28"/>
      <c r="AY1281" s="28"/>
      <c r="AZ1281" s="28"/>
      <c r="BA1281" s="28"/>
      <c r="BB1281" s="28"/>
    </row>
    <row r="1282" spans="1:54" ht="12.75" x14ac:dyDescent="0.2">
      <c r="A1282" s="28"/>
      <c r="B1282" s="28"/>
      <c r="C1282" s="28"/>
      <c r="D1282" s="28"/>
      <c r="E1282" s="28"/>
      <c r="F1282" s="28"/>
      <c r="G1282" s="28"/>
      <c r="H1282" s="28"/>
      <c r="I1282" s="28"/>
      <c r="J1282" s="28"/>
      <c r="K1282" s="28"/>
      <c r="L1282" s="28"/>
      <c r="M1282" s="28"/>
      <c r="N1282" s="28"/>
      <c r="O1282" s="28"/>
      <c r="P1282" s="28"/>
      <c r="Q1282" s="28"/>
      <c r="R1282" s="28"/>
      <c r="S1282" s="28"/>
      <c r="T1282" s="28"/>
      <c r="U1282" s="28"/>
      <c r="V1282" s="28"/>
      <c r="W1282" s="28"/>
      <c r="X1282" s="28"/>
      <c r="Y1282" s="28"/>
      <c r="Z1282" s="28"/>
      <c r="AA1282" s="28"/>
      <c r="AB1282" s="28"/>
      <c r="AC1282" s="28"/>
      <c r="AD1282" s="28"/>
      <c r="AE1282" s="28"/>
      <c r="AF1282" s="28"/>
      <c r="AG1282" s="28"/>
      <c r="AH1282" s="28"/>
      <c r="AI1282" s="28"/>
      <c r="AJ1282" s="28"/>
      <c r="AK1282" s="28"/>
      <c r="AL1282" s="28"/>
      <c r="AM1282" s="28"/>
      <c r="AN1282" s="28"/>
      <c r="AO1282" s="28"/>
      <c r="AP1282" s="28"/>
      <c r="AQ1282" s="28"/>
      <c r="AR1282" s="28"/>
      <c r="AS1282" s="28"/>
      <c r="AT1282" s="28"/>
      <c r="AU1282" s="28"/>
      <c r="AV1282" s="28"/>
      <c r="AW1282" s="28"/>
      <c r="AX1282" s="28"/>
      <c r="AY1282" s="28"/>
      <c r="AZ1282" s="28"/>
      <c r="BA1282" s="28"/>
      <c r="BB1282" s="28"/>
    </row>
    <row r="1283" spans="1:54" ht="12.75" x14ac:dyDescent="0.2">
      <c r="A1283" s="28"/>
      <c r="B1283" s="28"/>
      <c r="C1283" s="28"/>
      <c r="D1283" s="28"/>
      <c r="E1283" s="28"/>
      <c r="F1283" s="28"/>
      <c r="G1283" s="28"/>
      <c r="H1283" s="28"/>
      <c r="I1283" s="28"/>
      <c r="J1283" s="28"/>
      <c r="K1283" s="28"/>
      <c r="L1283" s="28"/>
      <c r="M1283" s="28"/>
      <c r="N1283" s="28"/>
      <c r="O1283" s="28"/>
      <c r="P1283" s="28"/>
      <c r="Q1283" s="28"/>
      <c r="R1283" s="28"/>
      <c r="S1283" s="28"/>
      <c r="T1283" s="28"/>
      <c r="U1283" s="28"/>
      <c r="V1283" s="28"/>
      <c r="W1283" s="28"/>
      <c r="X1283" s="28"/>
      <c r="Y1283" s="28"/>
      <c r="Z1283" s="28"/>
      <c r="AA1283" s="28"/>
      <c r="AB1283" s="28"/>
      <c r="AC1283" s="28"/>
      <c r="AD1283" s="28"/>
      <c r="AE1283" s="28"/>
      <c r="AF1283" s="28"/>
      <c r="AG1283" s="28"/>
      <c r="AH1283" s="28"/>
      <c r="AI1283" s="28"/>
      <c r="AJ1283" s="28"/>
      <c r="AK1283" s="28"/>
      <c r="AL1283" s="28"/>
      <c r="AM1283" s="28"/>
      <c r="AN1283" s="28"/>
      <c r="AO1283" s="28"/>
      <c r="AP1283" s="28"/>
      <c r="AQ1283" s="28"/>
      <c r="AR1283" s="28"/>
      <c r="AS1283" s="28"/>
      <c r="AT1283" s="28"/>
      <c r="AU1283" s="28"/>
      <c r="AV1283" s="28"/>
      <c r="AW1283" s="28"/>
      <c r="AX1283" s="28"/>
      <c r="AY1283" s="28"/>
      <c r="AZ1283" s="28"/>
      <c r="BA1283" s="28"/>
      <c r="BB1283" s="28"/>
    </row>
    <row r="1284" spans="1:54" ht="12.75" x14ac:dyDescent="0.2">
      <c r="A1284" s="28"/>
      <c r="B1284" s="28"/>
      <c r="C1284" s="28"/>
      <c r="D1284" s="28"/>
      <c r="E1284" s="28"/>
      <c r="F1284" s="28"/>
      <c r="G1284" s="28"/>
      <c r="H1284" s="28"/>
      <c r="I1284" s="28"/>
      <c r="J1284" s="28"/>
      <c r="K1284" s="28"/>
      <c r="L1284" s="28"/>
      <c r="M1284" s="28"/>
      <c r="N1284" s="28"/>
      <c r="O1284" s="28"/>
      <c r="P1284" s="28"/>
      <c r="Q1284" s="28"/>
      <c r="R1284" s="28"/>
      <c r="S1284" s="28"/>
      <c r="T1284" s="28"/>
      <c r="U1284" s="28"/>
      <c r="V1284" s="28"/>
      <c r="W1284" s="28"/>
      <c r="X1284" s="28"/>
      <c r="Y1284" s="28"/>
      <c r="Z1284" s="28"/>
      <c r="AA1284" s="28"/>
      <c r="AB1284" s="28"/>
      <c r="AC1284" s="28"/>
      <c r="AD1284" s="28"/>
      <c r="AE1284" s="28"/>
      <c r="AF1284" s="28"/>
      <c r="AG1284" s="28"/>
      <c r="AH1284" s="28"/>
      <c r="AI1284" s="28"/>
      <c r="AJ1284" s="28"/>
      <c r="AK1284" s="28"/>
      <c r="AL1284" s="28"/>
      <c r="AM1284" s="28"/>
      <c r="AN1284" s="28"/>
      <c r="AO1284" s="28"/>
      <c r="AP1284" s="28"/>
      <c r="AQ1284" s="28"/>
      <c r="AR1284" s="28"/>
      <c r="AS1284" s="28"/>
      <c r="AT1284" s="28"/>
      <c r="AU1284" s="28"/>
      <c r="AV1284" s="28"/>
      <c r="AW1284" s="28"/>
      <c r="AX1284" s="28"/>
      <c r="AY1284" s="28"/>
      <c r="AZ1284" s="28"/>
      <c r="BA1284" s="28"/>
      <c r="BB1284" s="28"/>
    </row>
    <row r="1285" spans="1:54" ht="12.75" x14ac:dyDescent="0.2">
      <c r="A1285" s="28"/>
      <c r="B1285" s="28"/>
      <c r="C1285" s="28"/>
      <c r="D1285" s="28"/>
      <c r="E1285" s="28"/>
      <c r="F1285" s="28"/>
      <c r="G1285" s="28"/>
      <c r="H1285" s="28"/>
      <c r="I1285" s="28"/>
      <c r="J1285" s="28"/>
      <c r="K1285" s="28"/>
      <c r="L1285" s="28"/>
      <c r="M1285" s="28"/>
      <c r="N1285" s="28"/>
      <c r="O1285" s="28"/>
      <c r="P1285" s="28"/>
      <c r="Q1285" s="28"/>
      <c r="R1285" s="28"/>
      <c r="S1285" s="28"/>
      <c r="T1285" s="28"/>
      <c r="U1285" s="28"/>
      <c r="V1285" s="28"/>
      <c r="W1285" s="28"/>
      <c r="X1285" s="28"/>
      <c r="Y1285" s="28"/>
      <c r="Z1285" s="28"/>
      <c r="AA1285" s="28"/>
      <c r="AB1285" s="28"/>
      <c r="AC1285" s="28"/>
      <c r="AD1285" s="28"/>
      <c r="AE1285" s="28"/>
      <c r="AF1285" s="28"/>
      <c r="AG1285" s="28"/>
      <c r="AH1285" s="28"/>
      <c r="AI1285" s="28"/>
      <c r="AJ1285" s="28"/>
      <c r="AK1285" s="28"/>
      <c r="AL1285" s="28"/>
      <c r="AM1285" s="28"/>
      <c r="AN1285" s="28"/>
      <c r="AO1285" s="28"/>
      <c r="AP1285" s="28"/>
      <c r="AQ1285" s="28"/>
      <c r="AR1285" s="28"/>
      <c r="AS1285" s="28"/>
      <c r="AT1285" s="28"/>
      <c r="AU1285" s="28"/>
      <c r="AV1285" s="28"/>
      <c r="AW1285" s="28"/>
      <c r="AX1285" s="28"/>
      <c r="AY1285" s="28"/>
      <c r="AZ1285" s="28"/>
      <c r="BA1285" s="28"/>
      <c r="BB1285" s="28"/>
    </row>
    <row r="1286" spans="1:54" ht="12.75" x14ac:dyDescent="0.2">
      <c r="A1286" s="28"/>
      <c r="B1286" s="28"/>
      <c r="C1286" s="28"/>
      <c r="D1286" s="28"/>
      <c r="E1286" s="28"/>
      <c r="F1286" s="28"/>
      <c r="G1286" s="28"/>
      <c r="H1286" s="28"/>
      <c r="I1286" s="28"/>
      <c r="J1286" s="28"/>
      <c r="K1286" s="28"/>
      <c r="L1286" s="28"/>
      <c r="M1286" s="28"/>
      <c r="N1286" s="28"/>
      <c r="O1286" s="28"/>
      <c r="P1286" s="28"/>
      <c r="Q1286" s="28"/>
      <c r="R1286" s="28"/>
      <c r="S1286" s="28"/>
      <c r="T1286" s="28"/>
      <c r="U1286" s="28"/>
      <c r="V1286" s="28"/>
      <c r="W1286" s="28"/>
      <c r="X1286" s="28"/>
      <c r="Y1286" s="28"/>
      <c r="Z1286" s="28"/>
      <c r="AA1286" s="28"/>
      <c r="AB1286" s="28"/>
      <c r="AC1286" s="28"/>
      <c r="AD1286" s="28"/>
      <c r="AE1286" s="28"/>
      <c r="AF1286" s="28"/>
      <c r="AG1286" s="28"/>
      <c r="AH1286" s="28"/>
      <c r="AI1286" s="28"/>
      <c r="AJ1286" s="28"/>
      <c r="AK1286" s="28"/>
      <c r="AL1286" s="28"/>
      <c r="AM1286" s="28"/>
      <c r="AN1286" s="28"/>
      <c r="AO1286" s="28"/>
      <c r="AP1286" s="28"/>
      <c r="AQ1286" s="28"/>
      <c r="AR1286" s="28"/>
      <c r="AS1286" s="28"/>
      <c r="AT1286" s="28"/>
      <c r="AU1286" s="28"/>
      <c r="AV1286" s="28"/>
      <c r="AW1286" s="28"/>
      <c r="AX1286" s="28"/>
      <c r="AY1286" s="28"/>
      <c r="AZ1286" s="28"/>
      <c r="BA1286" s="28"/>
      <c r="BB1286" s="28"/>
    </row>
    <row r="1287" spans="1:54" ht="12.75" x14ac:dyDescent="0.2">
      <c r="A1287" s="28"/>
      <c r="B1287" s="28"/>
      <c r="C1287" s="28"/>
      <c r="D1287" s="28"/>
      <c r="E1287" s="28"/>
      <c r="F1287" s="28"/>
      <c r="G1287" s="28"/>
      <c r="H1287" s="28"/>
      <c r="I1287" s="28"/>
      <c r="J1287" s="28"/>
      <c r="K1287" s="28"/>
      <c r="L1287" s="28"/>
      <c r="M1287" s="28"/>
      <c r="N1287" s="28"/>
      <c r="O1287" s="28"/>
      <c r="P1287" s="28"/>
      <c r="Q1287" s="28"/>
      <c r="R1287" s="28"/>
      <c r="S1287" s="28"/>
      <c r="T1287" s="28"/>
      <c r="U1287" s="28"/>
      <c r="V1287" s="28"/>
      <c r="W1287" s="28"/>
      <c r="X1287" s="28"/>
      <c r="Y1287" s="28"/>
      <c r="Z1287" s="28"/>
      <c r="AA1287" s="28"/>
      <c r="AB1287" s="28"/>
      <c r="AC1287" s="28"/>
      <c r="AD1287" s="28"/>
      <c r="AE1287" s="28"/>
      <c r="AF1287" s="28"/>
      <c r="AG1287" s="28"/>
      <c r="AH1287" s="28"/>
      <c r="AI1287" s="28"/>
      <c r="AJ1287" s="28"/>
      <c r="AK1287" s="28"/>
      <c r="AL1287" s="28"/>
      <c r="AM1287" s="28"/>
      <c r="AN1287" s="28"/>
      <c r="AO1287" s="28"/>
      <c r="AP1287" s="28"/>
      <c r="AQ1287" s="28"/>
      <c r="AR1287" s="28"/>
      <c r="AS1287" s="28"/>
      <c r="AT1287" s="28"/>
      <c r="AU1287" s="28"/>
      <c r="AV1287" s="28"/>
      <c r="AW1287" s="28"/>
      <c r="AX1287" s="28"/>
      <c r="AY1287" s="28"/>
      <c r="AZ1287" s="28"/>
      <c r="BA1287" s="28"/>
      <c r="BB1287" s="28"/>
    </row>
    <row r="1288" spans="1:54" ht="12.75" x14ac:dyDescent="0.2">
      <c r="A1288" s="28"/>
      <c r="B1288" s="28"/>
      <c r="C1288" s="28"/>
      <c r="D1288" s="28"/>
      <c r="E1288" s="28"/>
      <c r="F1288" s="28"/>
      <c r="G1288" s="28"/>
      <c r="H1288" s="28"/>
      <c r="I1288" s="28"/>
      <c r="J1288" s="28"/>
      <c r="K1288" s="28"/>
      <c r="L1288" s="28"/>
      <c r="M1288" s="28"/>
      <c r="N1288" s="28"/>
      <c r="O1288" s="28"/>
      <c r="P1288" s="28"/>
      <c r="Q1288" s="28"/>
      <c r="R1288" s="28"/>
      <c r="S1288" s="28"/>
      <c r="T1288" s="28"/>
      <c r="U1288" s="28"/>
      <c r="V1288" s="28"/>
      <c r="W1288" s="28"/>
      <c r="X1288" s="28"/>
      <c r="Y1288" s="28"/>
      <c r="Z1288" s="28"/>
      <c r="AA1288" s="28"/>
      <c r="AB1288" s="28"/>
      <c r="AC1288" s="28"/>
      <c r="AD1288" s="28"/>
      <c r="AE1288" s="28"/>
      <c r="AF1288" s="28"/>
      <c r="AG1288" s="28"/>
      <c r="AH1288" s="28"/>
      <c r="AI1288" s="28"/>
      <c r="AJ1288" s="28"/>
      <c r="AK1288" s="28"/>
      <c r="AL1288" s="28"/>
      <c r="AM1288" s="28"/>
      <c r="AN1288" s="28"/>
      <c r="AO1288" s="28"/>
      <c r="AP1288" s="28"/>
      <c r="AQ1288" s="28"/>
      <c r="AR1288" s="28"/>
      <c r="AS1288" s="28"/>
      <c r="AT1288" s="28"/>
      <c r="AU1288" s="28"/>
      <c r="AV1288" s="28"/>
      <c r="AW1288" s="28"/>
      <c r="AX1288" s="28"/>
      <c r="AY1288" s="28"/>
      <c r="AZ1288" s="28"/>
      <c r="BA1288" s="28"/>
      <c r="BB1288" s="28"/>
    </row>
    <row r="1289" spans="1:54" ht="12.75" x14ac:dyDescent="0.2">
      <c r="A1289" s="28"/>
      <c r="B1289" s="28"/>
      <c r="C1289" s="28"/>
      <c r="D1289" s="28"/>
      <c r="E1289" s="28"/>
      <c r="F1289" s="28"/>
      <c r="G1289" s="28"/>
      <c r="H1289" s="28"/>
      <c r="I1289" s="28"/>
      <c r="J1289" s="28"/>
      <c r="K1289" s="28"/>
      <c r="L1289" s="28"/>
      <c r="M1289" s="28"/>
      <c r="N1289" s="28"/>
      <c r="O1289" s="28"/>
      <c r="P1289" s="28"/>
      <c r="Q1289" s="28"/>
      <c r="R1289" s="28"/>
      <c r="S1289" s="28"/>
      <c r="T1289" s="28"/>
      <c r="U1289" s="28"/>
      <c r="V1289" s="28"/>
      <c r="W1289" s="28"/>
      <c r="X1289" s="28"/>
      <c r="Y1289" s="28"/>
      <c r="Z1289" s="28"/>
      <c r="AA1289" s="28"/>
      <c r="AB1289" s="28"/>
      <c r="AC1289" s="28"/>
      <c r="AD1289" s="28"/>
      <c r="AE1289" s="28"/>
      <c r="AF1289" s="28"/>
      <c r="AG1289" s="28"/>
      <c r="AH1289" s="28"/>
      <c r="AI1289" s="28"/>
      <c r="AJ1289" s="28"/>
      <c r="AK1289" s="28"/>
      <c r="AL1289" s="28"/>
      <c r="AM1289" s="28"/>
      <c r="AN1289" s="28"/>
      <c r="AO1289" s="28"/>
      <c r="AP1289" s="28"/>
      <c r="AQ1289" s="28"/>
      <c r="AR1289" s="28"/>
      <c r="AS1289" s="28"/>
      <c r="AT1289" s="28"/>
      <c r="AU1289" s="28"/>
      <c r="AV1289" s="28"/>
      <c r="AW1289" s="28"/>
      <c r="AX1289" s="28"/>
      <c r="AY1289" s="28"/>
      <c r="AZ1289" s="28"/>
      <c r="BA1289" s="28"/>
      <c r="BB1289" s="28"/>
    </row>
    <row r="1290" spans="1:54" ht="12.75" x14ac:dyDescent="0.2">
      <c r="A1290" s="28"/>
      <c r="B1290" s="28"/>
      <c r="C1290" s="28"/>
      <c r="D1290" s="28"/>
      <c r="E1290" s="28"/>
      <c r="F1290" s="28"/>
      <c r="G1290" s="28"/>
      <c r="H1290" s="28"/>
      <c r="I1290" s="28"/>
      <c r="J1290" s="28"/>
      <c r="K1290" s="28"/>
      <c r="L1290" s="28"/>
      <c r="M1290" s="28"/>
      <c r="N1290" s="28"/>
      <c r="O1290" s="28"/>
      <c r="P1290" s="28"/>
      <c r="Q1290" s="28"/>
      <c r="R1290" s="28"/>
      <c r="S1290" s="28"/>
      <c r="T1290" s="28"/>
      <c r="U1290" s="28"/>
      <c r="V1290" s="28"/>
      <c r="W1290" s="28"/>
      <c r="X1290" s="28"/>
      <c r="Y1290" s="28"/>
      <c r="Z1290" s="28"/>
      <c r="AA1290" s="28"/>
      <c r="AB1290" s="28"/>
      <c r="AC1290" s="28"/>
      <c r="AD1290" s="28"/>
      <c r="AE1290" s="28"/>
      <c r="AF1290" s="28"/>
      <c r="AG1290" s="28"/>
      <c r="AH1290" s="28"/>
      <c r="AI1290" s="28"/>
      <c r="AJ1290" s="28"/>
      <c r="AK1290" s="28"/>
      <c r="AL1290" s="28"/>
      <c r="AM1290" s="28"/>
      <c r="AN1290" s="28"/>
      <c r="AO1290" s="28"/>
      <c r="AP1290" s="28"/>
      <c r="AQ1290" s="28"/>
      <c r="AR1290" s="28"/>
      <c r="AS1290" s="28"/>
      <c r="AT1290" s="28"/>
      <c r="AU1290" s="28"/>
      <c r="AV1290" s="28"/>
      <c r="AW1290" s="28"/>
      <c r="AX1290" s="28"/>
      <c r="AY1290" s="28"/>
      <c r="AZ1290" s="28"/>
      <c r="BA1290" s="28"/>
      <c r="BB1290" s="28"/>
    </row>
    <row r="1291" spans="1:54" ht="12.75" x14ac:dyDescent="0.2">
      <c r="A1291" s="28"/>
      <c r="B1291" s="28"/>
      <c r="C1291" s="28"/>
      <c r="D1291" s="28"/>
      <c r="E1291" s="28"/>
      <c r="F1291" s="28"/>
      <c r="G1291" s="28"/>
      <c r="H1291" s="28"/>
      <c r="I1291" s="28"/>
      <c r="J1291" s="28"/>
      <c r="K1291" s="28"/>
      <c r="L1291" s="28"/>
      <c r="M1291" s="28"/>
      <c r="N1291" s="28"/>
      <c r="O1291" s="28"/>
      <c r="P1291" s="28"/>
      <c r="Q1291" s="28"/>
      <c r="R1291" s="28"/>
      <c r="S1291" s="28"/>
      <c r="T1291" s="28"/>
      <c r="U1291" s="28"/>
      <c r="V1291" s="28"/>
      <c r="W1291" s="28"/>
      <c r="X1291" s="28"/>
      <c r="Y1291" s="28"/>
      <c r="Z1291" s="28"/>
      <c r="AA1291" s="28"/>
      <c r="AB1291" s="28"/>
      <c r="AC1291" s="28"/>
      <c r="AD1291" s="28"/>
      <c r="AE1291" s="28"/>
      <c r="AF1291" s="28"/>
      <c r="AG1291" s="28"/>
      <c r="AH1291" s="28"/>
      <c r="AI1291" s="28"/>
      <c r="AJ1291" s="28"/>
      <c r="AK1291" s="28"/>
      <c r="AL1291" s="28"/>
      <c r="AM1291" s="28"/>
      <c r="AN1291" s="28"/>
      <c r="AO1291" s="28"/>
      <c r="AP1291" s="28"/>
      <c r="AQ1291" s="28"/>
      <c r="AR1291" s="28"/>
      <c r="AS1291" s="28"/>
      <c r="AT1291" s="28"/>
      <c r="AU1291" s="28"/>
      <c r="AV1291" s="28"/>
      <c r="AW1291" s="28"/>
      <c r="AX1291" s="28"/>
      <c r="AY1291" s="28"/>
      <c r="AZ1291" s="28"/>
      <c r="BA1291" s="28"/>
      <c r="BB1291" s="28"/>
    </row>
    <row r="1292" spans="1:54" ht="12.75" x14ac:dyDescent="0.2">
      <c r="A1292" s="28"/>
      <c r="B1292" s="28"/>
      <c r="C1292" s="28"/>
      <c r="D1292" s="28"/>
      <c r="E1292" s="28"/>
      <c r="F1292" s="28"/>
      <c r="G1292" s="28"/>
      <c r="H1292" s="28"/>
      <c r="I1292" s="28"/>
      <c r="J1292" s="28"/>
      <c r="K1292" s="28"/>
      <c r="L1292" s="28"/>
      <c r="M1292" s="28"/>
      <c r="N1292" s="28"/>
      <c r="O1292" s="28"/>
      <c r="P1292" s="28"/>
      <c r="Q1292" s="28"/>
      <c r="R1292" s="28"/>
      <c r="S1292" s="28"/>
      <c r="T1292" s="28"/>
      <c r="U1292" s="28"/>
      <c r="V1292" s="28"/>
      <c r="W1292" s="28"/>
      <c r="X1292" s="28"/>
      <c r="Y1292" s="28"/>
      <c r="Z1292" s="28"/>
      <c r="AA1292" s="28"/>
      <c r="AB1292" s="28"/>
      <c r="AC1292" s="28"/>
      <c r="AD1292" s="28"/>
      <c r="AE1292" s="28"/>
      <c r="AF1292" s="28"/>
      <c r="AG1292" s="28"/>
      <c r="AH1292" s="28"/>
      <c r="AI1292" s="28"/>
      <c r="AJ1292" s="28"/>
      <c r="AK1292" s="28"/>
      <c r="AL1292" s="28"/>
      <c r="AM1292" s="28"/>
      <c r="AN1292" s="28"/>
      <c r="AO1292" s="28"/>
      <c r="AP1292" s="28"/>
      <c r="AQ1292" s="28"/>
      <c r="AR1292" s="28"/>
      <c r="AS1292" s="28"/>
      <c r="AT1292" s="28"/>
      <c r="AU1292" s="28"/>
      <c r="AV1292" s="28"/>
      <c r="AW1292" s="28"/>
      <c r="AX1292" s="28"/>
      <c r="AY1292" s="28"/>
      <c r="AZ1292" s="28"/>
      <c r="BA1292" s="28"/>
      <c r="BB1292" s="28"/>
    </row>
    <row r="1293" spans="1:54" ht="12.75" x14ac:dyDescent="0.2">
      <c r="A1293" s="28"/>
      <c r="B1293" s="28"/>
      <c r="C1293" s="28"/>
      <c r="D1293" s="28"/>
      <c r="E1293" s="28"/>
      <c r="F1293" s="28"/>
      <c r="G1293" s="28"/>
      <c r="H1293" s="28"/>
      <c r="I1293" s="28"/>
      <c r="J1293" s="28"/>
      <c r="K1293" s="28"/>
      <c r="L1293" s="28"/>
      <c r="M1293" s="28"/>
      <c r="N1293" s="28"/>
      <c r="O1293" s="28"/>
      <c r="P1293" s="28"/>
      <c r="Q1293" s="28"/>
      <c r="R1293" s="28"/>
      <c r="S1293" s="28"/>
      <c r="T1293" s="28"/>
      <c r="U1293" s="28"/>
      <c r="V1293" s="28"/>
      <c r="W1293" s="28"/>
      <c r="X1293" s="28"/>
      <c r="Y1293" s="28"/>
      <c r="Z1293" s="28"/>
      <c r="AA1293" s="28"/>
      <c r="AB1293" s="28"/>
      <c r="AC1293" s="28"/>
      <c r="AD1293" s="28"/>
      <c r="AE1293" s="28"/>
      <c r="AF1293" s="28"/>
      <c r="AG1293" s="28"/>
      <c r="AH1293" s="28"/>
      <c r="AI1293" s="28"/>
      <c r="AJ1293" s="28"/>
      <c r="AK1293" s="28"/>
      <c r="AL1293" s="28"/>
      <c r="AM1293" s="28"/>
      <c r="AN1293" s="28"/>
      <c r="AO1293" s="28"/>
      <c r="AP1293" s="28"/>
      <c r="AQ1293" s="28"/>
      <c r="AR1293" s="28"/>
      <c r="AS1293" s="28"/>
      <c r="AT1293" s="28"/>
      <c r="AU1293" s="28"/>
      <c r="AV1293" s="28"/>
      <c r="AW1293" s="28"/>
      <c r="AX1293" s="28"/>
      <c r="AY1293" s="28"/>
      <c r="AZ1293" s="28"/>
      <c r="BA1293" s="28"/>
      <c r="BB1293" s="28"/>
    </row>
    <row r="1294" spans="1:54" ht="12.75" x14ac:dyDescent="0.2">
      <c r="A1294" s="28"/>
      <c r="B1294" s="28"/>
      <c r="C1294" s="28"/>
      <c r="D1294" s="28"/>
      <c r="E1294" s="28"/>
      <c r="F1294" s="28"/>
      <c r="G1294" s="28"/>
      <c r="H1294" s="28"/>
      <c r="I1294" s="28"/>
      <c r="J1294" s="28"/>
      <c r="K1294" s="28"/>
      <c r="L1294" s="28"/>
      <c r="M1294" s="28"/>
      <c r="N1294" s="28"/>
      <c r="O1294" s="28"/>
      <c r="P1294" s="28"/>
      <c r="Q1294" s="28"/>
      <c r="R1294" s="28"/>
      <c r="S1294" s="28"/>
      <c r="T1294" s="28"/>
      <c r="U1294" s="28"/>
      <c r="V1294" s="28"/>
      <c r="W1294" s="28"/>
      <c r="X1294" s="28"/>
      <c r="Y1294" s="28"/>
      <c r="Z1294" s="28"/>
      <c r="AA1294" s="28"/>
      <c r="AB1294" s="28"/>
      <c r="AC1294" s="28"/>
      <c r="AD1294" s="28"/>
      <c r="AE1294" s="28"/>
      <c r="AF1294" s="28"/>
      <c r="AG1294" s="28"/>
      <c r="AH1294" s="28"/>
      <c r="AI1294" s="28"/>
      <c r="AJ1294" s="28"/>
      <c r="AK1294" s="28"/>
      <c r="AL1294" s="28"/>
      <c r="AM1294" s="28"/>
      <c r="AN1294" s="28"/>
      <c r="AO1294" s="28"/>
      <c r="AP1294" s="28"/>
      <c r="AQ1294" s="28"/>
      <c r="AR1294" s="28"/>
      <c r="AS1294" s="28"/>
      <c r="AT1294" s="28"/>
      <c r="AU1294" s="28"/>
      <c r="AV1294" s="28"/>
      <c r="AW1294" s="28"/>
      <c r="AX1294" s="28"/>
      <c r="AY1294" s="28"/>
      <c r="AZ1294" s="28"/>
      <c r="BA1294" s="28"/>
      <c r="BB1294" s="28"/>
    </row>
    <row r="1295" spans="1:54" ht="12.75" x14ac:dyDescent="0.2">
      <c r="A1295" s="28"/>
      <c r="B1295" s="28"/>
      <c r="C1295" s="28"/>
      <c r="D1295" s="28"/>
      <c r="E1295" s="28"/>
      <c r="F1295" s="28"/>
      <c r="G1295" s="28"/>
      <c r="H1295" s="28"/>
      <c r="I1295" s="28"/>
      <c r="J1295" s="28"/>
      <c r="K1295" s="28"/>
      <c r="L1295" s="28"/>
      <c r="M1295" s="28"/>
      <c r="N1295" s="28"/>
      <c r="O1295" s="28"/>
      <c r="P1295" s="28"/>
      <c r="Q1295" s="28"/>
      <c r="R1295" s="28"/>
      <c r="S1295" s="28"/>
      <c r="T1295" s="28"/>
      <c r="U1295" s="28"/>
      <c r="V1295" s="28"/>
      <c r="W1295" s="28"/>
      <c r="X1295" s="28"/>
      <c r="Y1295" s="28"/>
      <c r="Z1295" s="28"/>
      <c r="AA1295" s="28"/>
      <c r="AB1295" s="28"/>
      <c r="AC1295" s="28"/>
      <c r="AD1295" s="28"/>
      <c r="AE1295" s="28"/>
      <c r="AF1295" s="28"/>
      <c r="AG1295" s="28"/>
      <c r="AH1295" s="28"/>
      <c r="AI1295" s="28"/>
      <c r="AJ1295" s="28"/>
      <c r="AK1295" s="28"/>
      <c r="AL1295" s="28"/>
      <c r="AM1295" s="28"/>
      <c r="AN1295" s="28"/>
      <c r="AO1295" s="28"/>
      <c r="AP1295" s="28"/>
      <c r="AQ1295" s="28"/>
      <c r="AR1295" s="28"/>
      <c r="AS1295" s="28"/>
      <c r="AT1295" s="28"/>
      <c r="AU1295" s="28"/>
      <c r="AV1295" s="28"/>
      <c r="AW1295" s="28"/>
      <c r="AX1295" s="28"/>
      <c r="AY1295" s="28"/>
      <c r="AZ1295" s="28"/>
      <c r="BA1295" s="28"/>
      <c r="BB1295" s="28"/>
    </row>
    <row r="1296" spans="1:54" ht="12.75" x14ac:dyDescent="0.2">
      <c r="A1296" s="28"/>
      <c r="B1296" s="28"/>
      <c r="C1296" s="28"/>
      <c r="D1296" s="28"/>
      <c r="E1296" s="28"/>
      <c r="F1296" s="28"/>
      <c r="G1296" s="28"/>
      <c r="H1296" s="28"/>
      <c r="I1296" s="28"/>
      <c r="J1296" s="28"/>
      <c r="K1296" s="28"/>
      <c r="L1296" s="28"/>
      <c r="M1296" s="28"/>
      <c r="N1296" s="28"/>
      <c r="O1296" s="28"/>
      <c r="P1296" s="28"/>
      <c r="Q1296" s="28"/>
      <c r="R1296" s="28"/>
      <c r="S1296" s="28"/>
      <c r="T1296" s="28"/>
      <c r="U1296" s="28"/>
      <c r="V1296" s="28"/>
      <c r="W1296" s="28"/>
      <c r="X1296" s="28"/>
      <c r="Y1296" s="28"/>
      <c r="Z1296" s="28"/>
      <c r="AA1296" s="28"/>
      <c r="AB1296" s="28"/>
      <c r="AC1296" s="28"/>
      <c r="AD1296" s="28"/>
      <c r="AE1296" s="28"/>
      <c r="AF1296" s="28"/>
      <c r="AG1296" s="28"/>
      <c r="AH1296" s="28"/>
      <c r="AI1296" s="28"/>
      <c r="AJ1296" s="28"/>
      <c r="AK1296" s="28"/>
      <c r="AL1296" s="28"/>
      <c r="AM1296" s="28"/>
      <c r="AN1296" s="28"/>
      <c r="AO1296" s="28"/>
      <c r="AP1296" s="28"/>
      <c r="AQ1296" s="28"/>
      <c r="AR1296" s="28"/>
      <c r="AS1296" s="28"/>
      <c r="AT1296" s="28"/>
      <c r="AU1296" s="28"/>
      <c r="AV1296" s="28"/>
      <c r="AW1296" s="28"/>
      <c r="AX1296" s="28"/>
      <c r="AY1296" s="28"/>
      <c r="AZ1296" s="28"/>
      <c r="BA1296" s="28"/>
      <c r="BB1296" s="28"/>
    </row>
    <row r="1297" spans="1:54" ht="12.75" x14ac:dyDescent="0.2">
      <c r="A1297" s="28"/>
      <c r="B1297" s="28"/>
      <c r="C1297" s="28"/>
      <c r="D1297" s="28"/>
      <c r="E1297" s="28"/>
      <c r="F1297" s="28"/>
      <c r="G1297" s="28"/>
      <c r="H1297" s="28"/>
      <c r="I1297" s="28"/>
      <c r="J1297" s="28"/>
      <c r="K1297" s="28"/>
      <c r="L1297" s="28"/>
      <c r="M1297" s="28"/>
      <c r="N1297" s="28"/>
      <c r="O1297" s="28"/>
      <c r="P1297" s="28"/>
      <c r="Q1297" s="28"/>
      <c r="R1297" s="28"/>
      <c r="S1297" s="28"/>
      <c r="T1297" s="28"/>
      <c r="U1297" s="28"/>
      <c r="V1297" s="28"/>
      <c r="W1297" s="28"/>
      <c r="X1297" s="28"/>
      <c r="Y1297" s="28"/>
      <c r="Z1297" s="28"/>
      <c r="AA1297" s="28"/>
      <c r="AB1297" s="28"/>
      <c r="AC1297" s="28"/>
      <c r="AD1297" s="28"/>
      <c r="AE1297" s="28"/>
      <c r="AF1297" s="28"/>
      <c r="AG1297" s="28"/>
      <c r="AH1297" s="28"/>
      <c r="AI1297" s="28"/>
      <c r="AJ1297" s="28"/>
      <c r="AK1297" s="28"/>
      <c r="AL1297" s="28"/>
      <c r="AM1297" s="28"/>
      <c r="AN1297" s="28"/>
      <c r="AO1297" s="28"/>
      <c r="AP1297" s="28"/>
      <c r="AQ1297" s="28"/>
      <c r="AR1297" s="28"/>
      <c r="AS1297" s="28"/>
      <c r="AT1297" s="28"/>
      <c r="AU1297" s="28"/>
      <c r="AV1297" s="28"/>
      <c r="AW1297" s="28"/>
      <c r="AX1297" s="28"/>
      <c r="AY1297" s="28"/>
      <c r="AZ1297" s="28"/>
      <c r="BA1297" s="28"/>
      <c r="BB1297" s="28"/>
    </row>
    <row r="1298" spans="1:54" ht="12.75" x14ac:dyDescent="0.2">
      <c r="A1298" s="28"/>
      <c r="B1298" s="28"/>
      <c r="C1298" s="28"/>
      <c r="D1298" s="28"/>
      <c r="E1298" s="28"/>
      <c r="F1298" s="28"/>
      <c r="G1298" s="28"/>
      <c r="H1298" s="28"/>
      <c r="I1298" s="28"/>
      <c r="J1298" s="28"/>
      <c r="K1298" s="28"/>
      <c r="L1298" s="28"/>
      <c r="M1298" s="28"/>
      <c r="N1298" s="28"/>
      <c r="O1298" s="28"/>
      <c r="P1298" s="28"/>
      <c r="Q1298" s="28"/>
      <c r="R1298" s="28"/>
      <c r="S1298" s="28"/>
      <c r="T1298" s="28"/>
      <c r="U1298" s="28"/>
      <c r="V1298" s="28"/>
      <c r="W1298" s="28"/>
      <c r="X1298" s="28"/>
      <c r="Y1298" s="28"/>
      <c r="Z1298" s="28"/>
      <c r="AA1298" s="28"/>
      <c r="AB1298" s="28"/>
      <c r="AC1298" s="28"/>
      <c r="AD1298" s="28"/>
      <c r="AE1298" s="28"/>
      <c r="AF1298" s="28"/>
      <c r="AG1298" s="28"/>
      <c r="AH1298" s="28"/>
      <c r="AI1298" s="28"/>
      <c r="AJ1298" s="28"/>
      <c r="AK1298" s="28"/>
      <c r="AL1298" s="28"/>
      <c r="AM1298" s="28"/>
      <c r="AN1298" s="28"/>
      <c r="AO1298" s="28"/>
      <c r="AP1298" s="28"/>
      <c r="AQ1298" s="28"/>
      <c r="AR1298" s="28"/>
      <c r="AS1298" s="28"/>
      <c r="AT1298" s="28"/>
      <c r="AU1298" s="28"/>
      <c r="AV1298" s="28"/>
      <c r="AW1298" s="28"/>
      <c r="AX1298" s="28"/>
      <c r="AY1298" s="28"/>
      <c r="AZ1298" s="28"/>
      <c r="BA1298" s="28"/>
      <c r="BB1298" s="28"/>
    </row>
    <row r="1299" spans="1:54" ht="12.75" x14ac:dyDescent="0.2">
      <c r="A1299" s="28"/>
      <c r="B1299" s="28"/>
      <c r="C1299" s="28"/>
      <c r="D1299" s="28"/>
      <c r="E1299" s="28"/>
      <c r="F1299" s="28"/>
      <c r="G1299" s="28"/>
      <c r="H1299" s="28"/>
      <c r="I1299" s="28"/>
      <c r="J1299" s="28"/>
      <c r="K1299" s="28"/>
      <c r="L1299" s="28"/>
      <c r="M1299" s="28"/>
      <c r="N1299" s="28"/>
      <c r="O1299" s="28"/>
      <c r="P1299" s="28"/>
      <c r="Q1299" s="28"/>
      <c r="R1299" s="28"/>
      <c r="S1299" s="28"/>
      <c r="T1299" s="28"/>
      <c r="U1299" s="28"/>
      <c r="V1299" s="28"/>
      <c r="W1299" s="28"/>
      <c r="X1299" s="28"/>
      <c r="Y1299" s="28"/>
      <c r="Z1299" s="28"/>
      <c r="AA1299" s="28"/>
      <c r="AB1299" s="28"/>
      <c r="AC1299" s="28"/>
      <c r="AD1299" s="28"/>
      <c r="AE1299" s="28"/>
      <c r="AF1299" s="28"/>
      <c r="AG1299" s="28"/>
      <c r="AH1299" s="28"/>
      <c r="AI1299" s="28"/>
      <c r="AJ1299" s="28"/>
      <c r="AK1299" s="28"/>
      <c r="AL1299" s="28"/>
      <c r="AM1299" s="28"/>
      <c r="AN1299" s="28"/>
      <c r="AO1299" s="28"/>
      <c r="AP1299" s="28"/>
      <c r="AQ1299" s="28"/>
      <c r="AR1299" s="28"/>
      <c r="AS1299" s="28"/>
      <c r="AT1299" s="28"/>
      <c r="AU1299" s="28"/>
      <c r="AV1299" s="28"/>
      <c r="AW1299" s="28"/>
      <c r="AX1299" s="28"/>
      <c r="AY1299" s="28"/>
      <c r="AZ1299" s="28"/>
      <c r="BA1299" s="28"/>
      <c r="BB1299" s="28"/>
    </row>
    <row r="1300" spans="1:54" ht="12.75" x14ac:dyDescent="0.2">
      <c r="A1300" s="28"/>
      <c r="B1300" s="28"/>
      <c r="C1300" s="28"/>
      <c r="D1300" s="28"/>
      <c r="E1300" s="28"/>
      <c r="F1300" s="28"/>
      <c r="G1300" s="28"/>
      <c r="H1300" s="28"/>
      <c r="I1300" s="28"/>
      <c r="J1300" s="28"/>
      <c r="K1300" s="28"/>
      <c r="L1300" s="28"/>
      <c r="M1300" s="28"/>
      <c r="N1300" s="28"/>
      <c r="O1300" s="28"/>
      <c r="P1300" s="28"/>
      <c r="Q1300" s="28"/>
      <c r="R1300" s="28"/>
      <c r="S1300" s="28"/>
      <c r="T1300" s="28"/>
      <c r="U1300" s="28"/>
      <c r="V1300" s="28"/>
      <c r="W1300" s="28"/>
      <c r="X1300" s="28"/>
      <c r="Y1300" s="28"/>
      <c r="Z1300" s="28"/>
      <c r="AA1300" s="28"/>
      <c r="AB1300" s="28"/>
      <c r="AC1300" s="28"/>
      <c r="AD1300" s="28"/>
      <c r="AE1300" s="28"/>
      <c r="AF1300" s="28"/>
      <c r="AG1300" s="28"/>
      <c r="AH1300" s="28"/>
      <c r="AI1300" s="28"/>
      <c r="AJ1300" s="28"/>
      <c r="AK1300" s="28"/>
      <c r="AL1300" s="28"/>
      <c r="AM1300" s="28"/>
      <c r="AN1300" s="28"/>
      <c r="AO1300" s="28"/>
      <c r="AP1300" s="28"/>
      <c r="AQ1300" s="28"/>
      <c r="AR1300" s="28"/>
      <c r="AS1300" s="28"/>
      <c r="AT1300" s="28"/>
      <c r="AU1300" s="28"/>
      <c r="AV1300" s="28"/>
      <c r="AW1300" s="28"/>
      <c r="AX1300" s="28"/>
      <c r="AY1300" s="28"/>
      <c r="AZ1300" s="28"/>
      <c r="BA1300" s="28"/>
      <c r="BB1300" s="28"/>
    </row>
    <row r="1301" spans="1:54" ht="12.75" x14ac:dyDescent="0.2">
      <c r="A1301" s="28"/>
      <c r="B1301" s="28"/>
      <c r="C1301" s="28"/>
      <c r="D1301" s="28"/>
      <c r="E1301" s="28"/>
      <c r="F1301" s="28"/>
      <c r="G1301" s="28"/>
      <c r="H1301" s="28"/>
      <c r="I1301" s="28"/>
      <c r="J1301" s="28"/>
      <c r="K1301" s="28"/>
      <c r="L1301" s="28"/>
      <c r="M1301" s="28"/>
      <c r="N1301" s="28"/>
      <c r="O1301" s="28"/>
      <c r="P1301" s="28"/>
      <c r="Q1301" s="28"/>
      <c r="R1301" s="28"/>
      <c r="S1301" s="28"/>
      <c r="T1301" s="28"/>
      <c r="U1301" s="28"/>
      <c r="V1301" s="28"/>
      <c r="W1301" s="28"/>
      <c r="X1301" s="28"/>
      <c r="Y1301" s="28"/>
      <c r="Z1301" s="28"/>
      <c r="AA1301" s="28"/>
      <c r="AB1301" s="28"/>
      <c r="AC1301" s="28"/>
      <c r="AD1301" s="28"/>
      <c r="AE1301" s="28"/>
      <c r="AF1301" s="28"/>
      <c r="AG1301" s="28"/>
      <c r="AH1301" s="28"/>
      <c r="AI1301" s="28"/>
      <c r="AJ1301" s="28"/>
      <c r="AK1301" s="28"/>
      <c r="AL1301" s="28"/>
      <c r="AM1301" s="28"/>
      <c r="AN1301" s="28"/>
      <c r="AO1301" s="28"/>
      <c r="AP1301" s="28"/>
      <c r="AQ1301" s="28"/>
      <c r="AR1301" s="28"/>
      <c r="AS1301" s="28"/>
      <c r="AT1301" s="28"/>
      <c r="AU1301" s="28"/>
      <c r="AV1301" s="28"/>
      <c r="AW1301" s="28"/>
      <c r="AX1301" s="28"/>
      <c r="AY1301" s="28"/>
      <c r="AZ1301" s="28"/>
      <c r="BA1301" s="28"/>
      <c r="BB1301" s="28"/>
    </row>
    <row r="1302" spans="1:54" ht="12.75" x14ac:dyDescent="0.2">
      <c r="A1302" s="28"/>
      <c r="B1302" s="28"/>
      <c r="C1302" s="28"/>
      <c r="D1302" s="28"/>
      <c r="E1302" s="28"/>
      <c r="F1302" s="28"/>
      <c r="G1302" s="28"/>
      <c r="H1302" s="28"/>
      <c r="I1302" s="28"/>
      <c r="J1302" s="28"/>
      <c r="K1302" s="28"/>
      <c r="L1302" s="28"/>
      <c r="M1302" s="28"/>
      <c r="N1302" s="28"/>
      <c r="O1302" s="28"/>
      <c r="P1302" s="28"/>
      <c r="Q1302" s="28"/>
      <c r="R1302" s="28"/>
      <c r="S1302" s="28"/>
      <c r="T1302" s="28"/>
      <c r="U1302" s="28"/>
      <c r="V1302" s="28"/>
      <c r="W1302" s="28"/>
      <c r="X1302" s="28"/>
      <c r="Y1302" s="28"/>
      <c r="Z1302" s="28"/>
      <c r="AA1302" s="28"/>
      <c r="AB1302" s="28"/>
      <c r="AC1302" s="28"/>
      <c r="AD1302" s="28"/>
      <c r="AE1302" s="28"/>
      <c r="AF1302" s="28"/>
      <c r="AG1302" s="28"/>
      <c r="AH1302" s="28"/>
      <c r="AI1302" s="28"/>
      <c r="AJ1302" s="28"/>
      <c r="AK1302" s="28"/>
      <c r="AL1302" s="28"/>
      <c r="AM1302" s="28"/>
      <c r="AN1302" s="28"/>
      <c r="AO1302" s="28"/>
      <c r="AP1302" s="28"/>
      <c r="AQ1302" s="28"/>
      <c r="AR1302" s="28"/>
      <c r="AS1302" s="28"/>
      <c r="AT1302" s="28"/>
      <c r="AU1302" s="28"/>
      <c r="AV1302" s="28"/>
      <c r="AW1302" s="28"/>
      <c r="AX1302" s="28"/>
      <c r="AY1302" s="28"/>
      <c r="AZ1302" s="28"/>
      <c r="BA1302" s="28"/>
      <c r="BB1302" s="28"/>
    </row>
    <row r="1303" spans="1:54" ht="12.75" x14ac:dyDescent="0.2">
      <c r="A1303" s="28"/>
      <c r="B1303" s="28"/>
      <c r="C1303" s="28"/>
      <c r="D1303" s="28"/>
      <c r="E1303" s="28"/>
      <c r="F1303" s="28"/>
      <c r="G1303" s="28"/>
      <c r="H1303" s="28"/>
      <c r="I1303" s="28"/>
      <c r="J1303" s="28"/>
      <c r="K1303" s="28"/>
      <c r="L1303" s="28"/>
      <c r="M1303" s="28"/>
      <c r="N1303" s="28"/>
      <c r="O1303" s="28"/>
      <c r="P1303" s="28"/>
      <c r="Q1303" s="28"/>
      <c r="R1303" s="28"/>
      <c r="S1303" s="28"/>
      <c r="T1303" s="28"/>
      <c r="U1303" s="28"/>
      <c r="V1303" s="28"/>
      <c r="W1303" s="28"/>
      <c r="X1303" s="28"/>
      <c r="Y1303" s="28"/>
      <c r="Z1303" s="28"/>
      <c r="AA1303" s="28"/>
      <c r="AB1303" s="28"/>
      <c r="AC1303" s="28"/>
      <c r="AD1303" s="28"/>
      <c r="AE1303" s="28"/>
      <c r="AF1303" s="28"/>
      <c r="AG1303" s="28"/>
      <c r="AH1303" s="28"/>
      <c r="AI1303" s="28"/>
      <c r="AJ1303" s="28"/>
      <c r="AK1303" s="28"/>
      <c r="AL1303" s="28"/>
      <c r="AM1303" s="28"/>
      <c r="AN1303" s="28"/>
      <c r="AO1303" s="28"/>
      <c r="AP1303" s="28"/>
      <c r="AQ1303" s="28"/>
      <c r="AR1303" s="28"/>
      <c r="AS1303" s="28"/>
      <c r="AT1303" s="28"/>
      <c r="AU1303" s="28"/>
      <c r="AV1303" s="28"/>
      <c r="AW1303" s="28"/>
      <c r="AX1303" s="28"/>
      <c r="AY1303" s="28"/>
      <c r="AZ1303" s="28"/>
      <c r="BA1303" s="28"/>
      <c r="BB1303" s="28"/>
    </row>
    <row r="1304" spans="1:54" ht="12.75" x14ac:dyDescent="0.2">
      <c r="A1304" s="28"/>
      <c r="B1304" s="28"/>
      <c r="C1304" s="28"/>
      <c r="D1304" s="28"/>
      <c r="E1304" s="28"/>
      <c r="F1304" s="28"/>
      <c r="G1304" s="28"/>
      <c r="H1304" s="28"/>
      <c r="I1304" s="28"/>
      <c r="J1304" s="28"/>
      <c r="K1304" s="28"/>
      <c r="L1304" s="28"/>
      <c r="M1304" s="28"/>
      <c r="N1304" s="28"/>
      <c r="O1304" s="28"/>
      <c r="P1304" s="28"/>
      <c r="Q1304" s="28"/>
      <c r="R1304" s="28"/>
      <c r="S1304" s="28"/>
      <c r="T1304" s="28"/>
      <c r="U1304" s="28"/>
      <c r="V1304" s="28"/>
      <c r="W1304" s="28"/>
      <c r="X1304" s="28"/>
      <c r="Y1304" s="28"/>
      <c r="Z1304" s="28"/>
      <c r="AA1304" s="28"/>
      <c r="AB1304" s="28"/>
      <c r="AC1304" s="28"/>
      <c r="AD1304" s="28"/>
      <c r="AE1304" s="28"/>
      <c r="AF1304" s="28"/>
      <c r="AG1304" s="28"/>
      <c r="AH1304" s="28"/>
      <c r="AI1304" s="28"/>
      <c r="AJ1304" s="28"/>
      <c r="AK1304" s="28"/>
      <c r="AL1304" s="28"/>
      <c r="AM1304" s="28"/>
      <c r="AN1304" s="28"/>
      <c r="AO1304" s="28"/>
      <c r="AP1304" s="28"/>
      <c r="AQ1304" s="28"/>
      <c r="AR1304" s="28"/>
      <c r="AS1304" s="28"/>
      <c r="AT1304" s="28"/>
      <c r="AU1304" s="28"/>
      <c r="AV1304" s="28"/>
      <c r="AW1304" s="28"/>
      <c r="AX1304" s="28"/>
      <c r="AY1304" s="28"/>
      <c r="AZ1304" s="28"/>
      <c r="BA1304" s="28"/>
      <c r="BB1304" s="28"/>
    </row>
    <row r="1305" spans="1:54" ht="12.75" x14ac:dyDescent="0.2">
      <c r="A1305" s="28"/>
      <c r="B1305" s="28"/>
      <c r="C1305" s="28"/>
      <c r="D1305" s="28"/>
      <c r="E1305" s="28"/>
      <c r="F1305" s="28"/>
      <c r="G1305" s="28"/>
      <c r="H1305" s="28"/>
      <c r="I1305" s="28"/>
      <c r="J1305" s="28"/>
      <c r="K1305" s="28"/>
      <c r="L1305" s="28"/>
      <c r="M1305" s="28"/>
      <c r="N1305" s="28"/>
      <c r="O1305" s="28"/>
      <c r="P1305" s="28"/>
      <c r="Q1305" s="28"/>
      <c r="R1305" s="28"/>
      <c r="S1305" s="28"/>
      <c r="T1305" s="28"/>
      <c r="U1305" s="28"/>
      <c r="V1305" s="28"/>
      <c r="W1305" s="28"/>
      <c r="X1305" s="28"/>
      <c r="Y1305" s="28"/>
      <c r="Z1305" s="28"/>
      <c r="AA1305" s="28"/>
      <c r="AB1305" s="28"/>
      <c r="AC1305" s="28"/>
      <c r="AD1305" s="28"/>
      <c r="AE1305" s="28"/>
      <c r="AF1305" s="28"/>
      <c r="AG1305" s="28"/>
      <c r="AH1305" s="28"/>
      <c r="AI1305" s="28"/>
      <c r="AJ1305" s="28"/>
      <c r="AK1305" s="28"/>
      <c r="AL1305" s="28"/>
      <c r="AM1305" s="28"/>
      <c r="AN1305" s="28"/>
      <c r="AO1305" s="28"/>
      <c r="AP1305" s="28"/>
      <c r="AQ1305" s="28"/>
      <c r="AR1305" s="28"/>
      <c r="AS1305" s="28"/>
      <c r="AT1305" s="28"/>
      <c r="AU1305" s="28"/>
      <c r="AV1305" s="28"/>
      <c r="AW1305" s="28"/>
      <c r="AX1305" s="28"/>
      <c r="AY1305" s="28"/>
      <c r="AZ1305" s="28"/>
      <c r="BA1305" s="28"/>
      <c r="BB1305" s="28"/>
    </row>
    <row r="1306" spans="1:54" ht="12.75" x14ac:dyDescent="0.2">
      <c r="A1306" s="28"/>
      <c r="B1306" s="28"/>
      <c r="C1306" s="28"/>
      <c r="D1306" s="28"/>
      <c r="E1306" s="28"/>
      <c r="F1306" s="28"/>
      <c r="G1306" s="28"/>
      <c r="H1306" s="28"/>
      <c r="I1306" s="28"/>
      <c r="J1306" s="28"/>
      <c r="K1306" s="28"/>
      <c r="L1306" s="28"/>
      <c r="M1306" s="28"/>
      <c r="N1306" s="28"/>
      <c r="O1306" s="28"/>
      <c r="P1306" s="28"/>
      <c r="Q1306" s="28"/>
      <c r="R1306" s="28"/>
      <c r="S1306" s="28"/>
      <c r="T1306" s="28"/>
      <c r="U1306" s="28"/>
      <c r="V1306" s="28"/>
      <c r="W1306" s="28"/>
      <c r="X1306" s="28"/>
      <c r="Y1306" s="28"/>
      <c r="Z1306" s="28"/>
      <c r="AA1306" s="28"/>
      <c r="AB1306" s="28"/>
      <c r="AC1306" s="28"/>
      <c r="AD1306" s="28"/>
      <c r="AE1306" s="28"/>
      <c r="AF1306" s="28"/>
      <c r="AG1306" s="28"/>
      <c r="AH1306" s="28"/>
      <c r="AI1306" s="28"/>
      <c r="AJ1306" s="28"/>
      <c r="AK1306" s="28"/>
      <c r="AL1306" s="28"/>
      <c r="AM1306" s="28"/>
      <c r="AN1306" s="28"/>
      <c r="AO1306" s="28"/>
      <c r="AP1306" s="28"/>
      <c r="AQ1306" s="28"/>
      <c r="AR1306" s="28"/>
      <c r="AS1306" s="28"/>
      <c r="AT1306" s="28"/>
      <c r="AU1306" s="28"/>
      <c r="AV1306" s="28"/>
      <c r="AW1306" s="28"/>
      <c r="AX1306" s="28"/>
      <c r="AY1306" s="28"/>
      <c r="AZ1306" s="28"/>
      <c r="BA1306" s="28"/>
      <c r="BB1306" s="28"/>
    </row>
    <row r="1307" spans="1:54" ht="12.75" x14ac:dyDescent="0.2">
      <c r="A1307" s="28"/>
      <c r="B1307" s="28"/>
      <c r="C1307" s="28"/>
      <c r="D1307" s="28"/>
      <c r="E1307" s="28"/>
      <c r="F1307" s="28"/>
      <c r="G1307" s="28"/>
      <c r="H1307" s="28"/>
      <c r="I1307" s="28"/>
      <c r="J1307" s="28"/>
      <c r="K1307" s="28"/>
      <c r="L1307" s="28"/>
      <c r="M1307" s="28"/>
      <c r="N1307" s="28"/>
      <c r="O1307" s="28"/>
      <c r="P1307" s="28"/>
      <c r="Q1307" s="28"/>
      <c r="R1307" s="28"/>
      <c r="S1307" s="28"/>
      <c r="T1307" s="28"/>
      <c r="U1307" s="28"/>
      <c r="V1307" s="28"/>
      <c r="W1307" s="28"/>
      <c r="X1307" s="28"/>
      <c r="Y1307" s="28"/>
      <c r="Z1307" s="28"/>
      <c r="AA1307" s="28"/>
      <c r="AB1307" s="28"/>
      <c r="AC1307" s="28"/>
      <c r="AD1307" s="28"/>
      <c r="AE1307" s="28"/>
      <c r="AF1307" s="28"/>
      <c r="AG1307" s="28"/>
      <c r="AH1307" s="28"/>
      <c r="AI1307" s="28"/>
      <c r="AJ1307" s="28"/>
      <c r="AK1307" s="28"/>
      <c r="AL1307" s="28"/>
      <c r="AM1307" s="28"/>
      <c r="AN1307" s="28"/>
      <c r="AO1307" s="28"/>
      <c r="AP1307" s="28"/>
      <c r="AQ1307" s="28"/>
      <c r="AR1307" s="28"/>
      <c r="AS1307" s="28"/>
      <c r="AT1307" s="28"/>
      <c r="AU1307" s="28"/>
      <c r="AV1307" s="28"/>
      <c r="AW1307" s="28"/>
      <c r="AX1307" s="28"/>
      <c r="AY1307" s="28"/>
      <c r="AZ1307" s="28"/>
      <c r="BA1307" s="28"/>
      <c r="BB1307" s="28"/>
    </row>
    <row r="1308" spans="1:54" ht="12.75" x14ac:dyDescent="0.2">
      <c r="A1308" s="28"/>
      <c r="B1308" s="28"/>
      <c r="C1308" s="28"/>
      <c r="D1308" s="28"/>
      <c r="E1308" s="28"/>
      <c r="F1308" s="28"/>
      <c r="G1308" s="28"/>
      <c r="H1308" s="28"/>
      <c r="I1308" s="28"/>
      <c r="J1308" s="28"/>
      <c r="K1308" s="28"/>
      <c r="L1308" s="28"/>
      <c r="M1308" s="28"/>
      <c r="N1308" s="28"/>
      <c r="O1308" s="28"/>
      <c r="P1308" s="28"/>
      <c r="Q1308" s="28"/>
      <c r="R1308" s="28"/>
      <c r="S1308" s="28"/>
      <c r="T1308" s="28"/>
      <c r="U1308" s="28"/>
      <c r="V1308" s="28"/>
      <c r="W1308" s="28"/>
      <c r="X1308" s="28"/>
      <c r="Y1308" s="28"/>
      <c r="Z1308" s="28"/>
      <c r="AA1308" s="28"/>
      <c r="AB1308" s="28"/>
      <c r="AC1308" s="28"/>
      <c r="AD1308" s="28"/>
      <c r="AE1308" s="28"/>
      <c r="AF1308" s="28"/>
      <c r="AG1308" s="28"/>
      <c r="AH1308" s="28"/>
      <c r="AI1308" s="28"/>
      <c r="AJ1308" s="28"/>
      <c r="AK1308" s="28"/>
      <c r="AL1308" s="28"/>
      <c r="AM1308" s="28"/>
      <c r="AN1308" s="28"/>
      <c r="AO1308" s="28"/>
      <c r="AP1308" s="28"/>
      <c r="AQ1308" s="28"/>
      <c r="AR1308" s="28"/>
      <c r="AS1308" s="28"/>
      <c r="AT1308" s="28"/>
      <c r="AU1308" s="28"/>
      <c r="AV1308" s="28"/>
      <c r="AW1308" s="28"/>
      <c r="AX1308" s="28"/>
      <c r="AY1308" s="28"/>
      <c r="AZ1308" s="28"/>
      <c r="BA1308" s="28"/>
      <c r="BB1308" s="28"/>
    </row>
    <row r="1309" spans="1:54" ht="12.75" x14ac:dyDescent="0.2">
      <c r="A1309" s="28"/>
      <c r="B1309" s="28"/>
      <c r="C1309" s="28"/>
      <c r="D1309" s="28"/>
      <c r="E1309" s="28"/>
      <c r="F1309" s="28"/>
      <c r="G1309" s="28"/>
      <c r="H1309" s="28"/>
      <c r="I1309" s="28"/>
      <c r="J1309" s="28"/>
      <c r="K1309" s="28"/>
      <c r="L1309" s="28"/>
      <c r="M1309" s="28"/>
      <c r="N1309" s="28"/>
      <c r="O1309" s="28"/>
      <c r="P1309" s="28"/>
      <c r="Q1309" s="28"/>
      <c r="R1309" s="28"/>
      <c r="S1309" s="28"/>
      <c r="T1309" s="28"/>
      <c r="U1309" s="28"/>
      <c r="V1309" s="28"/>
      <c r="W1309" s="28"/>
      <c r="X1309" s="28"/>
      <c r="Y1309" s="28"/>
      <c r="Z1309" s="28"/>
      <c r="AA1309" s="28"/>
      <c r="AB1309" s="28"/>
      <c r="AC1309" s="28"/>
      <c r="AD1309" s="28"/>
      <c r="AE1309" s="28"/>
      <c r="AF1309" s="28"/>
      <c r="AG1309" s="28"/>
      <c r="AH1309" s="28"/>
      <c r="AI1309" s="28"/>
      <c r="AJ1309" s="28"/>
      <c r="AK1309" s="28"/>
      <c r="AL1309" s="28"/>
      <c r="AM1309" s="28"/>
      <c r="AN1309" s="28"/>
      <c r="AO1309" s="28"/>
      <c r="AP1309" s="28"/>
      <c r="AQ1309" s="28"/>
      <c r="AR1309" s="28"/>
      <c r="AS1309" s="28"/>
      <c r="AT1309" s="28"/>
      <c r="AU1309" s="28"/>
      <c r="AV1309" s="28"/>
      <c r="AW1309" s="28"/>
      <c r="AX1309" s="28"/>
      <c r="AY1309" s="28"/>
      <c r="AZ1309" s="28"/>
      <c r="BA1309" s="28"/>
      <c r="BB1309" s="28"/>
    </row>
    <row r="1310" spans="1:54" ht="12.75" x14ac:dyDescent="0.2">
      <c r="A1310" s="28"/>
      <c r="B1310" s="28"/>
      <c r="C1310" s="28"/>
      <c r="D1310" s="28"/>
      <c r="E1310" s="28"/>
      <c r="F1310" s="28"/>
      <c r="G1310" s="28"/>
      <c r="H1310" s="28"/>
      <c r="I1310" s="28"/>
      <c r="J1310" s="28"/>
      <c r="K1310" s="28"/>
      <c r="L1310" s="28"/>
      <c r="M1310" s="28"/>
      <c r="N1310" s="28"/>
      <c r="O1310" s="28"/>
      <c r="P1310" s="28"/>
      <c r="Q1310" s="28"/>
      <c r="R1310" s="28"/>
      <c r="S1310" s="28"/>
      <c r="T1310" s="28"/>
      <c r="U1310" s="28"/>
      <c r="V1310" s="28"/>
      <c r="W1310" s="28"/>
      <c r="X1310" s="28"/>
      <c r="Y1310" s="28"/>
      <c r="Z1310" s="28"/>
      <c r="AA1310" s="28"/>
      <c r="AB1310" s="28"/>
      <c r="AC1310" s="28"/>
      <c r="AD1310" s="28"/>
      <c r="AE1310" s="28"/>
      <c r="AF1310" s="28"/>
      <c r="AG1310" s="28"/>
      <c r="AH1310" s="28"/>
      <c r="AI1310" s="28"/>
      <c r="AJ1310" s="28"/>
      <c r="AK1310" s="28"/>
      <c r="AL1310" s="28"/>
      <c r="AM1310" s="28"/>
      <c r="AN1310" s="28"/>
      <c r="AO1310" s="28"/>
      <c r="AP1310" s="28"/>
      <c r="AQ1310" s="28"/>
      <c r="AR1310" s="28"/>
      <c r="AS1310" s="28"/>
      <c r="AT1310" s="28"/>
      <c r="AU1310" s="28"/>
      <c r="AV1310" s="28"/>
      <c r="AW1310" s="28"/>
      <c r="AX1310" s="28"/>
      <c r="AY1310" s="28"/>
      <c r="AZ1310" s="28"/>
      <c r="BA1310" s="28"/>
      <c r="BB1310" s="28"/>
    </row>
    <row r="1311" spans="1:54" ht="12.75" x14ac:dyDescent="0.2">
      <c r="A1311" s="28"/>
      <c r="B1311" s="28"/>
      <c r="C1311" s="28"/>
      <c r="D1311" s="28"/>
      <c r="E1311" s="28"/>
      <c r="F1311" s="28"/>
      <c r="G1311" s="28"/>
      <c r="H1311" s="28"/>
      <c r="I1311" s="28"/>
      <c r="J1311" s="28"/>
      <c r="K1311" s="28"/>
      <c r="L1311" s="28"/>
      <c r="M1311" s="28"/>
      <c r="N1311" s="28"/>
      <c r="O1311" s="28"/>
      <c r="P1311" s="28"/>
      <c r="Q1311" s="28"/>
      <c r="R1311" s="28"/>
      <c r="S1311" s="28"/>
      <c r="T1311" s="28"/>
      <c r="U1311" s="28"/>
      <c r="V1311" s="28"/>
      <c r="W1311" s="28"/>
      <c r="X1311" s="28"/>
      <c r="Y1311" s="28"/>
      <c r="Z1311" s="28"/>
      <c r="AA1311" s="28"/>
      <c r="AB1311" s="28"/>
      <c r="AC1311" s="28"/>
      <c r="AD1311" s="28"/>
      <c r="AE1311" s="28"/>
      <c r="AF1311" s="28"/>
      <c r="AG1311" s="28"/>
      <c r="AH1311" s="28"/>
      <c r="AI1311" s="28"/>
      <c r="AJ1311" s="28"/>
      <c r="AK1311" s="28"/>
      <c r="AL1311" s="28"/>
      <c r="AM1311" s="28"/>
      <c r="AN1311" s="28"/>
      <c r="AO1311" s="28"/>
      <c r="AP1311" s="28"/>
      <c r="AQ1311" s="28"/>
      <c r="AR1311" s="28"/>
      <c r="AS1311" s="28"/>
      <c r="AT1311" s="28"/>
      <c r="AU1311" s="28"/>
      <c r="AV1311" s="28"/>
      <c r="AW1311" s="28"/>
      <c r="AX1311" s="28"/>
      <c r="AY1311" s="28"/>
      <c r="AZ1311" s="28"/>
      <c r="BA1311" s="28"/>
      <c r="BB1311" s="28"/>
    </row>
    <row r="1312" spans="1:54" ht="12.75" x14ac:dyDescent="0.2">
      <c r="A1312" s="28"/>
      <c r="B1312" s="28"/>
      <c r="C1312" s="28"/>
      <c r="D1312" s="28"/>
      <c r="E1312" s="28"/>
      <c r="F1312" s="28"/>
      <c r="G1312" s="28"/>
      <c r="H1312" s="28"/>
      <c r="I1312" s="28"/>
      <c r="J1312" s="28"/>
      <c r="K1312" s="28"/>
      <c r="L1312" s="28"/>
      <c r="M1312" s="28"/>
      <c r="N1312" s="28"/>
      <c r="O1312" s="28"/>
      <c r="P1312" s="28"/>
      <c r="Q1312" s="28"/>
      <c r="R1312" s="28"/>
      <c r="S1312" s="28"/>
      <c r="T1312" s="28"/>
      <c r="U1312" s="28"/>
      <c r="V1312" s="28"/>
      <c r="W1312" s="28"/>
      <c r="X1312" s="28"/>
      <c r="Y1312" s="28"/>
      <c r="Z1312" s="28"/>
      <c r="AA1312" s="28"/>
      <c r="AB1312" s="28"/>
      <c r="AC1312" s="28"/>
      <c r="AD1312" s="28"/>
      <c r="AE1312" s="28"/>
      <c r="AF1312" s="28"/>
      <c r="AG1312" s="28"/>
      <c r="AH1312" s="28"/>
      <c r="AI1312" s="28"/>
      <c r="AJ1312" s="28"/>
      <c r="AK1312" s="28"/>
      <c r="AL1312" s="28"/>
      <c r="AM1312" s="28"/>
      <c r="AN1312" s="28"/>
      <c r="AO1312" s="28"/>
      <c r="AP1312" s="28"/>
      <c r="AQ1312" s="28"/>
      <c r="AR1312" s="28"/>
      <c r="AS1312" s="28"/>
      <c r="AT1312" s="28"/>
      <c r="AU1312" s="28"/>
      <c r="AV1312" s="28"/>
      <c r="AW1312" s="28"/>
      <c r="AX1312" s="28"/>
      <c r="AY1312" s="28"/>
      <c r="AZ1312" s="28"/>
      <c r="BA1312" s="28"/>
      <c r="BB1312" s="28"/>
    </row>
    <row r="1313" spans="1:54" ht="12.75" x14ac:dyDescent="0.2">
      <c r="A1313" s="28"/>
      <c r="B1313" s="28"/>
      <c r="C1313" s="28"/>
      <c r="D1313" s="28"/>
      <c r="E1313" s="28"/>
      <c r="F1313" s="28"/>
      <c r="G1313" s="28"/>
      <c r="H1313" s="28"/>
      <c r="I1313" s="28"/>
      <c r="J1313" s="28"/>
      <c r="K1313" s="28"/>
      <c r="L1313" s="28"/>
      <c r="M1313" s="28"/>
      <c r="N1313" s="28"/>
      <c r="O1313" s="28"/>
      <c r="P1313" s="28"/>
      <c r="Q1313" s="28"/>
      <c r="R1313" s="28"/>
      <c r="S1313" s="28"/>
      <c r="T1313" s="28"/>
      <c r="U1313" s="28"/>
      <c r="V1313" s="28"/>
      <c r="W1313" s="28"/>
      <c r="X1313" s="28"/>
      <c r="Y1313" s="28"/>
      <c r="Z1313" s="28"/>
      <c r="AA1313" s="28"/>
      <c r="AB1313" s="28"/>
      <c r="AC1313" s="28"/>
      <c r="AD1313" s="28"/>
      <c r="AE1313" s="28"/>
      <c r="AF1313" s="28"/>
      <c r="AG1313" s="28"/>
      <c r="AH1313" s="28"/>
      <c r="AI1313" s="28"/>
      <c r="AJ1313" s="28"/>
      <c r="AK1313" s="28"/>
      <c r="AL1313" s="28"/>
      <c r="AM1313" s="28"/>
      <c r="AN1313" s="28"/>
      <c r="AO1313" s="28"/>
      <c r="AP1313" s="28"/>
      <c r="AQ1313" s="28"/>
      <c r="AR1313" s="28"/>
      <c r="AS1313" s="28"/>
      <c r="AT1313" s="28"/>
      <c r="AU1313" s="28"/>
      <c r="AV1313" s="28"/>
      <c r="AW1313" s="28"/>
      <c r="AX1313" s="28"/>
      <c r="AY1313" s="28"/>
      <c r="AZ1313" s="28"/>
      <c r="BA1313" s="28"/>
      <c r="BB1313" s="28"/>
    </row>
    <row r="1314" spans="1:54" ht="12.75" x14ac:dyDescent="0.2">
      <c r="A1314" s="28"/>
      <c r="B1314" s="28"/>
      <c r="C1314" s="28"/>
      <c r="D1314" s="28"/>
      <c r="E1314" s="28"/>
      <c r="F1314" s="28"/>
      <c r="G1314" s="28"/>
      <c r="H1314" s="28"/>
      <c r="I1314" s="28"/>
      <c r="J1314" s="28"/>
      <c r="K1314" s="28"/>
      <c r="L1314" s="28"/>
      <c r="M1314" s="28"/>
      <c r="N1314" s="28"/>
      <c r="O1314" s="28"/>
      <c r="P1314" s="28"/>
      <c r="Q1314" s="28"/>
      <c r="R1314" s="28"/>
      <c r="S1314" s="28"/>
      <c r="T1314" s="28"/>
      <c r="U1314" s="28"/>
      <c r="V1314" s="28"/>
      <c r="W1314" s="28"/>
      <c r="X1314" s="28"/>
      <c r="Y1314" s="28"/>
      <c r="Z1314" s="28"/>
      <c r="AA1314" s="28"/>
      <c r="AB1314" s="28"/>
      <c r="AC1314" s="28"/>
      <c r="AD1314" s="28"/>
      <c r="AE1314" s="28"/>
      <c r="AF1314" s="28"/>
      <c r="AG1314" s="28"/>
      <c r="AH1314" s="28"/>
      <c r="AI1314" s="28"/>
      <c r="AJ1314" s="28"/>
      <c r="AK1314" s="28"/>
      <c r="AL1314" s="28"/>
      <c r="AM1314" s="28"/>
      <c r="AN1314" s="28"/>
      <c r="AO1314" s="28"/>
      <c r="AP1314" s="28"/>
      <c r="AQ1314" s="28"/>
      <c r="AR1314" s="28"/>
      <c r="AS1314" s="28"/>
      <c r="AT1314" s="28"/>
      <c r="AU1314" s="28"/>
      <c r="AV1314" s="28"/>
      <c r="AW1314" s="28"/>
      <c r="AX1314" s="28"/>
      <c r="AY1314" s="28"/>
      <c r="AZ1314" s="28"/>
      <c r="BA1314" s="28"/>
      <c r="BB1314" s="28"/>
    </row>
    <row r="1315" spans="1:54" ht="12.75" x14ac:dyDescent="0.2">
      <c r="A1315" s="28"/>
      <c r="B1315" s="28"/>
      <c r="C1315" s="28"/>
      <c r="D1315" s="28"/>
      <c r="E1315" s="28"/>
      <c r="F1315" s="28"/>
      <c r="G1315" s="28"/>
      <c r="H1315" s="28"/>
      <c r="I1315" s="28"/>
      <c r="J1315" s="28"/>
      <c r="K1315" s="28"/>
      <c r="L1315" s="28"/>
      <c r="M1315" s="28"/>
      <c r="N1315" s="28"/>
      <c r="O1315" s="28"/>
      <c r="P1315" s="28"/>
      <c r="Q1315" s="28"/>
      <c r="R1315" s="28"/>
      <c r="S1315" s="28"/>
      <c r="T1315" s="28"/>
      <c r="U1315" s="28"/>
      <c r="V1315" s="28"/>
      <c r="W1315" s="28"/>
      <c r="X1315" s="28"/>
      <c r="Y1315" s="28"/>
      <c r="Z1315" s="28"/>
      <c r="AA1315" s="28"/>
      <c r="AB1315" s="28"/>
      <c r="AC1315" s="28"/>
      <c r="AD1315" s="28"/>
      <c r="AE1315" s="28"/>
      <c r="AF1315" s="28"/>
      <c r="AG1315" s="28"/>
      <c r="AH1315" s="28"/>
      <c r="AI1315" s="28"/>
      <c r="AJ1315" s="28"/>
      <c r="AK1315" s="28"/>
      <c r="AL1315" s="28"/>
      <c r="AM1315" s="28"/>
      <c r="AN1315" s="28"/>
      <c r="AO1315" s="28"/>
      <c r="AP1315" s="28"/>
      <c r="AQ1315" s="28"/>
      <c r="AR1315" s="28"/>
      <c r="AS1315" s="28"/>
      <c r="AT1315" s="28"/>
      <c r="AU1315" s="28"/>
      <c r="AV1315" s="28"/>
      <c r="AW1315" s="28"/>
      <c r="AX1315" s="28"/>
      <c r="AY1315" s="28"/>
      <c r="AZ1315" s="28"/>
      <c r="BA1315" s="28"/>
      <c r="BB1315" s="28"/>
    </row>
    <row r="1316" spans="1:54" ht="12.75" x14ac:dyDescent="0.2">
      <c r="A1316" s="28"/>
      <c r="B1316" s="28"/>
      <c r="C1316" s="28"/>
      <c r="D1316" s="28"/>
      <c r="E1316" s="28"/>
      <c r="F1316" s="28"/>
      <c r="G1316" s="28"/>
      <c r="H1316" s="28"/>
      <c r="I1316" s="28"/>
      <c r="J1316" s="28"/>
      <c r="K1316" s="28"/>
      <c r="L1316" s="28"/>
      <c r="M1316" s="28"/>
      <c r="N1316" s="28"/>
      <c r="O1316" s="28"/>
      <c r="P1316" s="28"/>
      <c r="Q1316" s="28"/>
      <c r="R1316" s="28"/>
      <c r="S1316" s="28"/>
      <c r="T1316" s="28"/>
      <c r="U1316" s="28"/>
      <c r="V1316" s="28"/>
      <c r="W1316" s="28"/>
      <c r="X1316" s="28"/>
      <c r="Y1316" s="28"/>
      <c r="Z1316" s="28"/>
      <c r="AA1316" s="28"/>
      <c r="AB1316" s="28"/>
      <c r="AC1316" s="28"/>
      <c r="AD1316" s="28"/>
      <c r="AE1316" s="28"/>
      <c r="AF1316" s="28"/>
      <c r="AG1316" s="28"/>
      <c r="AH1316" s="28"/>
      <c r="AI1316" s="28"/>
      <c r="AJ1316" s="28"/>
      <c r="AK1316" s="28"/>
      <c r="AL1316" s="28"/>
      <c r="AM1316" s="28"/>
      <c r="AN1316" s="28"/>
      <c r="AO1316" s="28"/>
      <c r="AP1316" s="28"/>
      <c r="AQ1316" s="28"/>
      <c r="AR1316" s="28"/>
      <c r="AS1316" s="28"/>
      <c r="AT1316" s="28"/>
      <c r="AU1316" s="28"/>
      <c r="AV1316" s="28"/>
      <c r="AW1316" s="28"/>
      <c r="AX1316" s="28"/>
      <c r="AY1316" s="28"/>
      <c r="AZ1316" s="28"/>
      <c r="BA1316" s="28"/>
      <c r="BB1316" s="28"/>
    </row>
    <row r="1317" spans="1:54" ht="12.75" x14ac:dyDescent="0.2">
      <c r="A1317" s="28"/>
      <c r="B1317" s="28"/>
      <c r="C1317" s="28"/>
      <c r="D1317" s="28"/>
      <c r="E1317" s="28"/>
      <c r="F1317" s="28"/>
      <c r="G1317" s="28"/>
      <c r="H1317" s="28"/>
      <c r="I1317" s="28"/>
      <c r="J1317" s="28"/>
      <c r="K1317" s="28"/>
      <c r="L1317" s="28"/>
      <c r="M1317" s="28"/>
      <c r="N1317" s="28"/>
      <c r="O1317" s="28"/>
      <c r="P1317" s="28"/>
      <c r="Q1317" s="28"/>
      <c r="R1317" s="28"/>
      <c r="S1317" s="28"/>
      <c r="T1317" s="28"/>
      <c r="U1317" s="28"/>
      <c r="V1317" s="28"/>
      <c r="W1317" s="28"/>
      <c r="X1317" s="28"/>
      <c r="Y1317" s="28"/>
      <c r="Z1317" s="28"/>
      <c r="AA1317" s="28"/>
      <c r="AB1317" s="28"/>
      <c r="AC1317" s="28"/>
      <c r="AD1317" s="28"/>
      <c r="AE1317" s="28"/>
      <c r="AF1317" s="28"/>
      <c r="AG1317" s="28"/>
      <c r="AH1317" s="28"/>
      <c r="AI1317" s="28"/>
      <c r="AJ1317" s="28"/>
      <c r="AK1317" s="28"/>
      <c r="AL1317" s="28"/>
      <c r="AM1317" s="28"/>
      <c r="AN1317" s="28"/>
      <c r="AO1317" s="28"/>
      <c r="AP1317" s="28"/>
      <c r="AQ1317" s="28"/>
      <c r="AR1317" s="28"/>
      <c r="AS1317" s="28"/>
      <c r="AT1317" s="28"/>
      <c r="AU1317" s="28"/>
      <c r="AV1317" s="28"/>
      <c r="AW1317" s="28"/>
      <c r="AX1317" s="28"/>
      <c r="AY1317" s="28"/>
      <c r="AZ1317" s="28"/>
      <c r="BA1317" s="28"/>
      <c r="BB1317" s="28"/>
    </row>
    <row r="1318" spans="1:54" ht="12.75" x14ac:dyDescent="0.2">
      <c r="A1318" s="28"/>
      <c r="B1318" s="28"/>
      <c r="C1318" s="28"/>
      <c r="D1318" s="28"/>
      <c r="E1318" s="28"/>
      <c r="F1318" s="28"/>
      <c r="G1318" s="28"/>
      <c r="H1318" s="28"/>
      <c r="I1318" s="28"/>
      <c r="J1318" s="28"/>
      <c r="K1318" s="28"/>
      <c r="L1318" s="28"/>
      <c r="M1318" s="28"/>
      <c r="N1318" s="28"/>
      <c r="O1318" s="28"/>
      <c r="P1318" s="28"/>
      <c r="Q1318" s="28"/>
      <c r="R1318" s="28"/>
      <c r="S1318" s="28"/>
      <c r="T1318" s="28"/>
      <c r="U1318" s="28"/>
      <c r="V1318" s="28"/>
      <c r="W1318" s="28"/>
      <c r="X1318" s="28"/>
      <c r="Y1318" s="28"/>
      <c r="Z1318" s="28"/>
      <c r="AA1318" s="28"/>
      <c r="AB1318" s="28"/>
      <c r="AC1318" s="28"/>
      <c r="AD1318" s="28"/>
      <c r="AE1318" s="28"/>
      <c r="AF1318" s="28"/>
      <c r="AG1318" s="28"/>
      <c r="AH1318" s="28"/>
      <c r="AI1318" s="28"/>
      <c r="AJ1318" s="28"/>
      <c r="AK1318" s="28"/>
      <c r="AL1318" s="28"/>
      <c r="AM1318" s="28"/>
      <c r="AN1318" s="28"/>
      <c r="AO1318" s="28"/>
      <c r="AP1318" s="28"/>
      <c r="AQ1318" s="28"/>
      <c r="AR1318" s="28"/>
      <c r="AS1318" s="28"/>
      <c r="AT1318" s="28"/>
      <c r="AU1318" s="28"/>
      <c r="AV1318" s="28"/>
      <c r="AW1318" s="28"/>
      <c r="AX1318" s="28"/>
      <c r="AY1318" s="28"/>
      <c r="AZ1318" s="28"/>
      <c r="BA1318" s="28"/>
      <c r="BB1318" s="28"/>
    </row>
    <row r="1319" spans="1:54" ht="12.75" x14ac:dyDescent="0.2">
      <c r="A1319" s="28"/>
      <c r="B1319" s="28"/>
      <c r="C1319" s="28"/>
      <c r="D1319" s="28"/>
      <c r="E1319" s="28"/>
      <c r="F1319" s="28"/>
      <c r="G1319" s="28"/>
      <c r="H1319" s="28"/>
      <c r="I1319" s="28"/>
      <c r="J1319" s="28"/>
      <c r="K1319" s="28"/>
      <c r="L1319" s="28"/>
      <c r="M1319" s="28"/>
      <c r="N1319" s="28"/>
      <c r="O1319" s="28"/>
      <c r="P1319" s="28"/>
      <c r="Q1319" s="28"/>
      <c r="R1319" s="28"/>
      <c r="S1319" s="28"/>
      <c r="T1319" s="28"/>
      <c r="U1319" s="28"/>
      <c r="V1319" s="28"/>
      <c r="W1319" s="28"/>
      <c r="X1319" s="28"/>
      <c r="Y1319" s="28"/>
      <c r="Z1319" s="28"/>
      <c r="AA1319" s="28"/>
      <c r="AB1319" s="28"/>
      <c r="AC1319" s="28"/>
      <c r="AD1319" s="28"/>
      <c r="AE1319" s="28"/>
      <c r="AF1319" s="28"/>
      <c r="AG1319" s="28"/>
      <c r="AH1319" s="28"/>
      <c r="AI1319" s="28"/>
      <c r="AJ1319" s="28"/>
      <c r="AK1319" s="28"/>
      <c r="AL1319" s="28"/>
      <c r="AM1319" s="28"/>
      <c r="AN1319" s="28"/>
      <c r="AO1319" s="28"/>
      <c r="AP1319" s="28"/>
      <c r="AQ1319" s="28"/>
      <c r="AR1319" s="28"/>
      <c r="AS1319" s="28"/>
      <c r="AT1319" s="28"/>
      <c r="AU1319" s="28"/>
      <c r="AV1319" s="28"/>
      <c r="AW1319" s="28"/>
      <c r="AX1319" s="28"/>
      <c r="AY1319" s="28"/>
      <c r="AZ1319" s="28"/>
      <c r="BA1319" s="28"/>
      <c r="BB1319" s="28"/>
    </row>
    <row r="1320" spans="1:54" ht="12.75" x14ac:dyDescent="0.2">
      <c r="A1320" s="28"/>
      <c r="B1320" s="28"/>
      <c r="C1320" s="28"/>
      <c r="D1320" s="28"/>
      <c r="E1320" s="28"/>
      <c r="F1320" s="28"/>
      <c r="G1320" s="28"/>
      <c r="H1320" s="28"/>
      <c r="I1320" s="28"/>
      <c r="J1320" s="28"/>
      <c r="K1320" s="28"/>
      <c r="L1320" s="28"/>
      <c r="M1320" s="28"/>
      <c r="N1320" s="28"/>
      <c r="O1320" s="28"/>
      <c r="P1320" s="28"/>
      <c r="Q1320" s="28"/>
      <c r="R1320" s="28"/>
      <c r="S1320" s="28"/>
      <c r="T1320" s="28"/>
      <c r="U1320" s="28"/>
      <c r="V1320" s="28"/>
      <c r="W1320" s="28"/>
      <c r="X1320" s="28"/>
      <c r="Y1320" s="28"/>
      <c r="Z1320" s="28"/>
      <c r="AA1320" s="28"/>
      <c r="AB1320" s="28"/>
      <c r="AC1320" s="28"/>
      <c r="AD1320" s="28"/>
      <c r="AE1320" s="28"/>
      <c r="AF1320" s="28"/>
      <c r="AG1320" s="28"/>
      <c r="AH1320" s="28"/>
      <c r="AI1320" s="28"/>
      <c r="AJ1320" s="28"/>
      <c r="AK1320" s="28"/>
      <c r="AL1320" s="28"/>
      <c r="AM1320" s="28"/>
      <c r="AN1320" s="28"/>
      <c r="AO1320" s="28"/>
      <c r="AP1320" s="28"/>
      <c r="AQ1320" s="28"/>
      <c r="AR1320" s="28"/>
      <c r="AS1320" s="28"/>
      <c r="AT1320" s="28"/>
      <c r="AU1320" s="28"/>
      <c r="AV1320" s="28"/>
      <c r="AW1320" s="28"/>
      <c r="AX1320" s="28"/>
      <c r="AY1320" s="28"/>
      <c r="AZ1320" s="28"/>
      <c r="BA1320" s="28"/>
      <c r="BB1320" s="28"/>
    </row>
    <row r="1321" spans="1:54" ht="12.75" x14ac:dyDescent="0.2">
      <c r="A1321" s="28"/>
      <c r="B1321" s="28"/>
      <c r="C1321" s="28"/>
      <c r="D1321" s="28"/>
      <c r="E1321" s="28"/>
      <c r="F1321" s="28"/>
      <c r="G1321" s="28"/>
      <c r="H1321" s="28"/>
      <c r="I1321" s="28"/>
      <c r="J1321" s="28"/>
      <c r="K1321" s="28"/>
      <c r="L1321" s="28"/>
      <c r="M1321" s="28"/>
      <c r="N1321" s="28"/>
      <c r="O1321" s="28"/>
      <c r="P1321" s="28"/>
      <c r="Q1321" s="28"/>
      <c r="R1321" s="28"/>
      <c r="S1321" s="28"/>
      <c r="T1321" s="28"/>
      <c r="U1321" s="28"/>
      <c r="V1321" s="28"/>
      <c r="W1321" s="28"/>
      <c r="X1321" s="28"/>
      <c r="Y1321" s="28"/>
      <c r="Z1321" s="28"/>
      <c r="AA1321" s="28"/>
      <c r="AB1321" s="28"/>
      <c r="AC1321" s="28"/>
      <c r="AD1321" s="28"/>
      <c r="AE1321" s="28"/>
      <c r="AF1321" s="28"/>
      <c r="AG1321" s="28"/>
      <c r="AH1321" s="28"/>
      <c r="AI1321" s="28"/>
      <c r="AJ1321" s="28"/>
      <c r="AK1321" s="28"/>
      <c r="AL1321" s="28"/>
      <c r="AM1321" s="28"/>
      <c r="AN1321" s="28"/>
      <c r="AO1321" s="28"/>
      <c r="AP1321" s="28"/>
      <c r="AQ1321" s="28"/>
      <c r="AR1321" s="28"/>
      <c r="AS1321" s="28"/>
      <c r="AT1321" s="28"/>
      <c r="AU1321" s="28"/>
      <c r="AV1321" s="28"/>
      <c r="AW1321" s="28"/>
      <c r="AX1321" s="28"/>
      <c r="AY1321" s="28"/>
      <c r="AZ1321" s="28"/>
      <c r="BA1321" s="28"/>
      <c r="BB1321" s="28"/>
    </row>
    <row r="1322" spans="1:54" ht="12.75" x14ac:dyDescent="0.2">
      <c r="A1322" s="28"/>
      <c r="B1322" s="28"/>
      <c r="C1322" s="28"/>
      <c r="D1322" s="28"/>
      <c r="E1322" s="28"/>
      <c r="F1322" s="28"/>
      <c r="G1322" s="28"/>
      <c r="H1322" s="28"/>
      <c r="I1322" s="28"/>
      <c r="J1322" s="28"/>
      <c r="K1322" s="28"/>
      <c r="L1322" s="28"/>
      <c r="M1322" s="28"/>
      <c r="N1322" s="28"/>
      <c r="O1322" s="28"/>
      <c r="P1322" s="28"/>
      <c r="Q1322" s="28"/>
      <c r="R1322" s="28"/>
      <c r="S1322" s="28"/>
      <c r="T1322" s="28"/>
      <c r="U1322" s="28"/>
      <c r="V1322" s="28"/>
      <c r="W1322" s="28"/>
      <c r="X1322" s="28"/>
      <c r="Y1322" s="28"/>
      <c r="Z1322" s="28"/>
      <c r="AA1322" s="28"/>
      <c r="AB1322" s="28"/>
      <c r="AC1322" s="28"/>
      <c r="AD1322" s="28"/>
      <c r="AE1322" s="28"/>
      <c r="AF1322" s="28"/>
      <c r="AG1322" s="28"/>
      <c r="AH1322" s="28"/>
      <c r="AI1322" s="28"/>
      <c r="AJ1322" s="28"/>
      <c r="AK1322" s="28"/>
      <c r="AL1322" s="28"/>
      <c r="AM1322" s="28"/>
      <c r="AN1322" s="28"/>
      <c r="AO1322" s="28"/>
      <c r="AP1322" s="28"/>
      <c r="AQ1322" s="28"/>
      <c r="AR1322" s="28"/>
      <c r="AS1322" s="28"/>
      <c r="AT1322" s="28"/>
      <c r="AU1322" s="28"/>
      <c r="AV1322" s="28"/>
      <c r="AW1322" s="28"/>
      <c r="AX1322" s="28"/>
      <c r="AY1322" s="28"/>
      <c r="AZ1322" s="28"/>
      <c r="BA1322" s="28"/>
      <c r="BB1322" s="28"/>
    </row>
    <row r="1323" spans="1:54" ht="12.75" x14ac:dyDescent="0.2">
      <c r="A1323" s="28"/>
      <c r="B1323" s="28"/>
      <c r="C1323" s="28"/>
      <c r="D1323" s="28"/>
      <c r="E1323" s="28"/>
      <c r="F1323" s="28"/>
      <c r="G1323" s="28"/>
      <c r="H1323" s="28"/>
      <c r="I1323" s="28"/>
      <c r="J1323" s="28"/>
      <c r="K1323" s="28"/>
      <c r="L1323" s="28"/>
      <c r="M1323" s="28"/>
      <c r="N1323" s="28"/>
      <c r="O1323" s="28"/>
      <c r="P1323" s="28"/>
      <c r="Q1323" s="28"/>
      <c r="R1323" s="28"/>
      <c r="S1323" s="28"/>
      <c r="T1323" s="28"/>
      <c r="U1323" s="28"/>
      <c r="V1323" s="28"/>
      <c r="W1323" s="28"/>
      <c r="X1323" s="28"/>
      <c r="Y1323" s="28"/>
      <c r="Z1323" s="28"/>
      <c r="AA1323" s="28"/>
      <c r="AB1323" s="28"/>
      <c r="AC1323" s="28"/>
      <c r="AD1323" s="28"/>
      <c r="AE1323" s="28"/>
      <c r="AF1323" s="28"/>
      <c r="AG1323" s="28"/>
      <c r="AH1323" s="28"/>
      <c r="AI1323" s="28"/>
      <c r="AJ1323" s="28"/>
      <c r="AK1323" s="28"/>
      <c r="AL1323" s="28"/>
      <c r="AM1323" s="28"/>
      <c r="AN1323" s="28"/>
      <c r="AO1323" s="28"/>
      <c r="AP1323" s="28"/>
      <c r="AQ1323" s="28"/>
      <c r="AR1323" s="28"/>
      <c r="AS1323" s="28"/>
      <c r="AT1323" s="28"/>
      <c r="AU1323" s="28"/>
      <c r="AV1323" s="28"/>
      <c r="AW1323" s="28"/>
      <c r="AX1323" s="28"/>
      <c r="AY1323" s="28"/>
      <c r="AZ1323" s="28"/>
      <c r="BA1323" s="28"/>
      <c r="BB1323" s="28"/>
    </row>
    <row r="1324" spans="1:54" ht="12.75" x14ac:dyDescent="0.2">
      <c r="A1324" s="28"/>
      <c r="B1324" s="28"/>
      <c r="C1324" s="28"/>
      <c r="D1324" s="28"/>
      <c r="E1324" s="28"/>
      <c r="F1324" s="28"/>
      <c r="G1324" s="28"/>
      <c r="H1324" s="28"/>
      <c r="I1324" s="28"/>
      <c r="J1324" s="28"/>
      <c r="K1324" s="28"/>
      <c r="L1324" s="28"/>
      <c r="M1324" s="28"/>
      <c r="N1324" s="28"/>
      <c r="O1324" s="28"/>
      <c r="P1324" s="28"/>
      <c r="Q1324" s="28"/>
      <c r="R1324" s="28"/>
      <c r="S1324" s="28"/>
      <c r="T1324" s="28"/>
      <c r="U1324" s="28"/>
      <c r="V1324" s="28"/>
      <c r="W1324" s="28"/>
      <c r="X1324" s="28"/>
      <c r="Y1324" s="28"/>
      <c r="Z1324" s="28"/>
      <c r="AA1324" s="28"/>
      <c r="AB1324" s="28"/>
      <c r="AC1324" s="28"/>
      <c r="AD1324" s="28"/>
      <c r="AE1324" s="28"/>
      <c r="AF1324" s="28"/>
      <c r="AG1324" s="28"/>
      <c r="AH1324" s="28"/>
      <c r="AI1324" s="28"/>
      <c r="AJ1324" s="28"/>
      <c r="AK1324" s="28"/>
      <c r="AL1324" s="28"/>
      <c r="AM1324" s="28"/>
      <c r="AN1324" s="28"/>
      <c r="AO1324" s="28"/>
      <c r="AP1324" s="28"/>
      <c r="AQ1324" s="28"/>
      <c r="AR1324" s="28"/>
      <c r="AS1324" s="28"/>
      <c r="AT1324" s="28"/>
      <c r="AU1324" s="28"/>
      <c r="AV1324" s="28"/>
      <c r="AW1324" s="28"/>
      <c r="AX1324" s="28"/>
      <c r="AY1324" s="28"/>
      <c r="AZ1324" s="28"/>
      <c r="BA1324" s="28"/>
      <c r="BB1324" s="28"/>
    </row>
    <row r="1325" spans="1:54" ht="12.75" x14ac:dyDescent="0.2">
      <c r="A1325" s="28"/>
      <c r="B1325" s="28"/>
      <c r="C1325" s="28"/>
      <c r="D1325" s="28"/>
      <c r="E1325" s="28"/>
      <c r="F1325" s="28"/>
      <c r="G1325" s="28"/>
      <c r="H1325" s="28"/>
      <c r="I1325" s="28"/>
      <c r="J1325" s="28"/>
      <c r="K1325" s="28"/>
      <c r="L1325" s="28"/>
      <c r="M1325" s="28"/>
      <c r="N1325" s="28"/>
      <c r="O1325" s="28"/>
      <c r="P1325" s="28"/>
      <c r="Q1325" s="28"/>
      <c r="R1325" s="28"/>
      <c r="S1325" s="28"/>
      <c r="T1325" s="28"/>
      <c r="U1325" s="28"/>
      <c r="V1325" s="28"/>
      <c r="W1325" s="28"/>
      <c r="X1325" s="28"/>
      <c r="Y1325" s="28"/>
      <c r="Z1325" s="28"/>
      <c r="AA1325" s="28"/>
      <c r="AB1325" s="28"/>
      <c r="AC1325" s="28"/>
      <c r="AD1325" s="28"/>
      <c r="AE1325" s="28"/>
      <c r="AF1325" s="28"/>
      <c r="AG1325" s="28"/>
      <c r="AH1325" s="28"/>
      <c r="AI1325" s="28"/>
      <c r="AJ1325" s="28"/>
      <c r="AK1325" s="28"/>
      <c r="AL1325" s="28"/>
      <c r="AM1325" s="28"/>
      <c r="AN1325" s="28"/>
      <c r="AO1325" s="28"/>
      <c r="AP1325" s="28"/>
      <c r="AQ1325" s="28"/>
      <c r="AR1325" s="28"/>
      <c r="AS1325" s="28"/>
      <c r="AT1325" s="28"/>
      <c r="AU1325" s="28"/>
      <c r="AV1325" s="28"/>
      <c r="AW1325" s="28"/>
      <c r="AX1325" s="28"/>
      <c r="AY1325" s="28"/>
      <c r="AZ1325" s="28"/>
      <c r="BA1325" s="28"/>
      <c r="BB1325" s="28"/>
    </row>
    <row r="1326" spans="1:54" ht="12.75" x14ac:dyDescent="0.2">
      <c r="A1326" s="28"/>
      <c r="B1326" s="28"/>
      <c r="C1326" s="28"/>
      <c r="D1326" s="28"/>
      <c r="E1326" s="28"/>
      <c r="F1326" s="28"/>
      <c r="G1326" s="28"/>
      <c r="H1326" s="28"/>
      <c r="I1326" s="28"/>
      <c r="J1326" s="28"/>
      <c r="K1326" s="28"/>
      <c r="L1326" s="28"/>
      <c r="M1326" s="28"/>
      <c r="N1326" s="28"/>
      <c r="O1326" s="28"/>
      <c r="P1326" s="28"/>
      <c r="Q1326" s="28"/>
      <c r="R1326" s="28"/>
      <c r="S1326" s="28"/>
      <c r="T1326" s="28"/>
      <c r="U1326" s="28"/>
      <c r="V1326" s="28"/>
      <c r="W1326" s="28"/>
      <c r="X1326" s="28"/>
      <c r="Y1326" s="28"/>
      <c r="Z1326" s="28"/>
      <c r="AA1326" s="28"/>
      <c r="AB1326" s="28"/>
      <c r="AC1326" s="28"/>
      <c r="AD1326" s="28"/>
      <c r="AE1326" s="28"/>
      <c r="AF1326" s="28"/>
      <c r="AG1326" s="28"/>
      <c r="AH1326" s="28"/>
      <c r="AI1326" s="28"/>
      <c r="AJ1326" s="28"/>
      <c r="AK1326" s="28"/>
      <c r="AL1326" s="28"/>
      <c r="AM1326" s="28"/>
      <c r="AN1326" s="28"/>
      <c r="AO1326" s="28"/>
      <c r="AP1326" s="28"/>
      <c r="AQ1326" s="28"/>
      <c r="AR1326" s="28"/>
      <c r="AS1326" s="28"/>
      <c r="AT1326" s="28"/>
      <c r="AU1326" s="28"/>
      <c r="AV1326" s="28"/>
      <c r="AW1326" s="28"/>
      <c r="AX1326" s="28"/>
      <c r="AY1326" s="28"/>
      <c r="AZ1326" s="28"/>
      <c r="BA1326" s="28"/>
      <c r="BB1326" s="28"/>
    </row>
    <row r="1327" spans="1:54" ht="12.75" x14ac:dyDescent="0.2">
      <c r="A1327" s="28"/>
      <c r="B1327" s="28"/>
      <c r="C1327" s="28"/>
      <c r="D1327" s="28"/>
      <c r="E1327" s="28"/>
      <c r="F1327" s="28"/>
      <c r="G1327" s="28"/>
      <c r="H1327" s="28"/>
      <c r="I1327" s="28"/>
      <c r="J1327" s="28"/>
      <c r="K1327" s="28"/>
      <c r="L1327" s="28"/>
      <c r="M1327" s="28"/>
      <c r="N1327" s="28"/>
      <c r="O1327" s="28"/>
      <c r="P1327" s="28"/>
      <c r="Q1327" s="28"/>
      <c r="R1327" s="28"/>
      <c r="S1327" s="28"/>
      <c r="T1327" s="28"/>
      <c r="U1327" s="28"/>
      <c r="V1327" s="28"/>
      <c r="W1327" s="28"/>
      <c r="X1327" s="28"/>
      <c r="Y1327" s="28"/>
      <c r="Z1327" s="28"/>
      <c r="AA1327" s="28"/>
      <c r="AB1327" s="28"/>
      <c r="AC1327" s="28"/>
      <c r="AD1327" s="28"/>
      <c r="AE1327" s="28"/>
      <c r="AF1327" s="28"/>
      <c r="AG1327" s="28"/>
      <c r="AH1327" s="28"/>
      <c r="AI1327" s="28"/>
      <c r="AJ1327" s="28"/>
      <c r="AK1327" s="28"/>
      <c r="AL1327" s="28"/>
      <c r="AM1327" s="28"/>
      <c r="AN1327" s="28"/>
      <c r="AO1327" s="28"/>
      <c r="AP1327" s="28"/>
      <c r="AQ1327" s="28"/>
      <c r="AR1327" s="28"/>
      <c r="AS1327" s="28"/>
      <c r="AT1327" s="28"/>
      <c r="AU1327" s="28"/>
      <c r="AV1327" s="28"/>
      <c r="AW1327" s="28"/>
      <c r="AX1327" s="28"/>
      <c r="AY1327" s="28"/>
      <c r="AZ1327" s="28"/>
      <c r="BA1327" s="28"/>
      <c r="BB1327" s="28"/>
    </row>
    <row r="1328" spans="1:54" ht="12.75" x14ac:dyDescent="0.2">
      <c r="A1328" s="28"/>
      <c r="B1328" s="28"/>
      <c r="C1328" s="28"/>
      <c r="D1328" s="28"/>
      <c r="E1328" s="28"/>
      <c r="F1328" s="28"/>
      <c r="G1328" s="28"/>
      <c r="H1328" s="28"/>
      <c r="I1328" s="28"/>
      <c r="J1328" s="28"/>
      <c r="K1328" s="28"/>
      <c r="L1328" s="28"/>
      <c r="M1328" s="28"/>
      <c r="N1328" s="28"/>
      <c r="O1328" s="28"/>
      <c r="P1328" s="28"/>
      <c r="Q1328" s="28"/>
      <c r="R1328" s="28"/>
      <c r="S1328" s="28"/>
      <c r="T1328" s="28"/>
      <c r="U1328" s="28"/>
      <c r="V1328" s="28"/>
      <c r="W1328" s="28"/>
      <c r="X1328" s="28"/>
      <c r="Y1328" s="28"/>
      <c r="Z1328" s="28"/>
      <c r="AA1328" s="28"/>
      <c r="AB1328" s="28"/>
      <c r="AC1328" s="28"/>
      <c r="AD1328" s="28"/>
      <c r="AE1328" s="28"/>
      <c r="AF1328" s="28"/>
      <c r="AG1328" s="28"/>
      <c r="AH1328" s="28"/>
      <c r="AI1328" s="28"/>
      <c r="AJ1328" s="28"/>
      <c r="AK1328" s="28"/>
      <c r="AL1328" s="28"/>
      <c r="AM1328" s="28"/>
      <c r="AN1328" s="28"/>
      <c r="AO1328" s="28"/>
      <c r="AP1328" s="28"/>
      <c r="AQ1328" s="28"/>
      <c r="AR1328" s="28"/>
      <c r="AS1328" s="28"/>
      <c r="AT1328" s="28"/>
      <c r="AU1328" s="28"/>
      <c r="AV1328" s="28"/>
      <c r="AW1328" s="28"/>
      <c r="AX1328" s="28"/>
      <c r="AY1328" s="28"/>
      <c r="AZ1328" s="28"/>
      <c r="BA1328" s="28"/>
      <c r="BB1328" s="28"/>
    </row>
    <row r="1329" spans="1:54" ht="12.75" x14ac:dyDescent="0.2">
      <c r="A1329" s="28"/>
      <c r="B1329" s="28"/>
      <c r="C1329" s="28"/>
      <c r="D1329" s="28"/>
      <c r="E1329" s="28"/>
      <c r="F1329" s="28"/>
      <c r="G1329" s="28"/>
      <c r="H1329" s="28"/>
      <c r="I1329" s="28"/>
      <c r="J1329" s="28"/>
      <c r="K1329" s="28"/>
      <c r="L1329" s="28"/>
      <c r="M1329" s="28"/>
      <c r="N1329" s="28"/>
      <c r="O1329" s="28"/>
      <c r="P1329" s="28"/>
      <c r="Q1329" s="28"/>
      <c r="R1329" s="28"/>
      <c r="S1329" s="28"/>
      <c r="T1329" s="28"/>
      <c r="U1329" s="28"/>
      <c r="V1329" s="28"/>
      <c r="W1329" s="28"/>
      <c r="X1329" s="28"/>
      <c r="Y1329" s="28"/>
      <c r="Z1329" s="28"/>
      <c r="AA1329" s="28"/>
      <c r="AB1329" s="28"/>
      <c r="AC1329" s="28"/>
      <c r="AD1329" s="28"/>
      <c r="AE1329" s="28"/>
      <c r="AF1329" s="28"/>
      <c r="AG1329" s="28"/>
      <c r="AH1329" s="28"/>
      <c r="AI1329" s="28"/>
      <c r="AJ1329" s="28"/>
      <c r="AK1329" s="28"/>
      <c r="AL1329" s="28"/>
      <c r="AM1329" s="28"/>
      <c r="AN1329" s="28"/>
      <c r="AO1329" s="28"/>
      <c r="AP1329" s="28"/>
      <c r="AQ1329" s="28"/>
      <c r="AR1329" s="28"/>
      <c r="AS1329" s="28"/>
      <c r="AT1329" s="28"/>
      <c r="AU1329" s="28"/>
      <c r="AV1329" s="28"/>
      <c r="AW1329" s="28"/>
      <c r="AX1329" s="28"/>
      <c r="AY1329" s="28"/>
      <c r="AZ1329" s="28"/>
      <c r="BA1329" s="28"/>
      <c r="BB1329" s="28"/>
    </row>
    <row r="1330" spans="1:54" ht="12.75" x14ac:dyDescent="0.2">
      <c r="A1330" s="28"/>
      <c r="B1330" s="28"/>
      <c r="C1330" s="28"/>
      <c r="D1330" s="28"/>
      <c r="E1330" s="28"/>
      <c r="F1330" s="28"/>
      <c r="G1330" s="28"/>
      <c r="H1330" s="28"/>
      <c r="I1330" s="28"/>
      <c r="J1330" s="28"/>
      <c r="K1330" s="28"/>
      <c r="L1330" s="28"/>
      <c r="M1330" s="28"/>
      <c r="N1330" s="28"/>
      <c r="O1330" s="28"/>
      <c r="P1330" s="28"/>
      <c r="Q1330" s="28"/>
      <c r="R1330" s="28"/>
      <c r="S1330" s="28"/>
      <c r="T1330" s="28"/>
      <c r="U1330" s="28"/>
      <c r="V1330" s="28"/>
      <c r="W1330" s="28"/>
      <c r="X1330" s="28"/>
      <c r="Y1330" s="28"/>
      <c r="Z1330" s="28"/>
      <c r="AA1330" s="28"/>
      <c r="AB1330" s="28"/>
      <c r="AC1330" s="28"/>
      <c r="AD1330" s="28"/>
      <c r="AE1330" s="28"/>
      <c r="AF1330" s="28"/>
      <c r="AG1330" s="28"/>
      <c r="AH1330" s="28"/>
      <c r="AI1330" s="28"/>
      <c r="AJ1330" s="28"/>
      <c r="AK1330" s="28"/>
      <c r="AL1330" s="28"/>
      <c r="AM1330" s="28"/>
      <c r="AN1330" s="28"/>
      <c r="AO1330" s="28"/>
      <c r="AP1330" s="28"/>
      <c r="AQ1330" s="28"/>
      <c r="AR1330" s="28"/>
      <c r="AS1330" s="28"/>
      <c r="AT1330" s="28"/>
      <c r="AU1330" s="28"/>
      <c r="AV1330" s="28"/>
      <c r="AW1330" s="28"/>
      <c r="AX1330" s="28"/>
      <c r="AY1330" s="28"/>
      <c r="AZ1330" s="28"/>
      <c r="BA1330" s="28"/>
      <c r="BB1330" s="28"/>
    </row>
    <row r="1331" spans="1:54" ht="12.75" x14ac:dyDescent="0.2">
      <c r="A1331" s="28"/>
      <c r="B1331" s="28"/>
      <c r="C1331" s="28"/>
      <c r="D1331" s="28"/>
      <c r="E1331" s="28"/>
      <c r="F1331" s="28"/>
      <c r="G1331" s="28"/>
      <c r="H1331" s="28"/>
      <c r="I1331" s="28"/>
      <c r="J1331" s="28"/>
      <c r="K1331" s="28"/>
      <c r="L1331" s="28"/>
      <c r="M1331" s="28"/>
      <c r="N1331" s="28"/>
      <c r="O1331" s="28"/>
      <c r="P1331" s="28"/>
      <c r="Q1331" s="28"/>
      <c r="R1331" s="28"/>
      <c r="S1331" s="28"/>
      <c r="T1331" s="28"/>
      <c r="U1331" s="28"/>
      <c r="V1331" s="28"/>
      <c r="W1331" s="28"/>
      <c r="X1331" s="28"/>
      <c r="Y1331" s="28"/>
      <c r="Z1331" s="28"/>
      <c r="AA1331" s="28"/>
      <c r="AB1331" s="28"/>
      <c r="AC1331" s="28"/>
      <c r="AD1331" s="28"/>
      <c r="AE1331" s="28"/>
      <c r="AF1331" s="28"/>
      <c r="AG1331" s="28"/>
      <c r="AH1331" s="28"/>
      <c r="AI1331" s="28"/>
      <c r="AJ1331" s="28"/>
      <c r="AK1331" s="28"/>
      <c r="AL1331" s="28"/>
      <c r="AM1331" s="28"/>
      <c r="AN1331" s="28"/>
      <c r="AO1331" s="28"/>
      <c r="AP1331" s="28"/>
      <c r="AQ1331" s="28"/>
      <c r="AR1331" s="28"/>
      <c r="AS1331" s="28"/>
      <c r="AT1331" s="28"/>
      <c r="AU1331" s="28"/>
      <c r="AV1331" s="28"/>
      <c r="AW1331" s="28"/>
      <c r="AX1331" s="28"/>
      <c r="AY1331" s="28"/>
      <c r="AZ1331" s="28"/>
      <c r="BA1331" s="28"/>
      <c r="BB1331" s="28"/>
    </row>
    <row r="1332" spans="1:54" ht="12.75" x14ac:dyDescent="0.2">
      <c r="A1332" s="28"/>
      <c r="B1332" s="28"/>
      <c r="C1332" s="28"/>
      <c r="D1332" s="28"/>
      <c r="E1332" s="28"/>
      <c r="F1332" s="28"/>
      <c r="G1332" s="28"/>
      <c r="H1332" s="28"/>
      <c r="I1332" s="28"/>
      <c r="J1332" s="28"/>
      <c r="K1332" s="28"/>
      <c r="L1332" s="28"/>
      <c r="M1332" s="28"/>
      <c r="N1332" s="28"/>
      <c r="O1332" s="28"/>
      <c r="P1332" s="28"/>
      <c r="Q1332" s="28"/>
      <c r="R1332" s="28"/>
      <c r="S1332" s="28"/>
      <c r="T1332" s="28"/>
      <c r="U1332" s="28"/>
      <c r="V1332" s="28"/>
      <c r="W1332" s="28"/>
      <c r="X1332" s="28"/>
      <c r="Y1332" s="28"/>
      <c r="Z1332" s="28"/>
      <c r="AA1332" s="28"/>
      <c r="AB1332" s="28"/>
      <c r="AC1332" s="28"/>
      <c r="AD1332" s="28"/>
      <c r="AE1332" s="28"/>
      <c r="AF1332" s="28"/>
      <c r="AG1332" s="28"/>
      <c r="AH1332" s="28"/>
      <c r="AI1332" s="28"/>
      <c r="AJ1332" s="28"/>
      <c r="AK1332" s="28"/>
      <c r="AL1332" s="28"/>
      <c r="AM1332" s="28"/>
      <c r="AN1332" s="28"/>
      <c r="AO1332" s="28"/>
      <c r="AP1332" s="28"/>
      <c r="AQ1332" s="28"/>
      <c r="AR1332" s="28"/>
      <c r="AS1332" s="28"/>
      <c r="AT1332" s="28"/>
      <c r="AU1332" s="28"/>
      <c r="AV1332" s="28"/>
      <c r="AW1332" s="28"/>
      <c r="AX1332" s="28"/>
      <c r="AY1332" s="28"/>
      <c r="AZ1332" s="28"/>
      <c r="BA1332" s="28"/>
      <c r="BB1332" s="28"/>
    </row>
    <row r="1333" spans="1:54" ht="12.75" x14ac:dyDescent="0.2">
      <c r="A1333" s="28"/>
      <c r="B1333" s="28"/>
      <c r="C1333" s="28"/>
      <c r="D1333" s="28"/>
      <c r="E1333" s="28"/>
      <c r="F1333" s="28"/>
      <c r="G1333" s="28"/>
      <c r="H1333" s="28"/>
      <c r="I1333" s="28"/>
      <c r="J1333" s="28"/>
      <c r="K1333" s="28"/>
      <c r="L1333" s="28"/>
      <c r="M1333" s="28"/>
      <c r="N1333" s="28"/>
      <c r="O1333" s="28"/>
      <c r="P1333" s="28"/>
      <c r="Q1333" s="28"/>
      <c r="R1333" s="28"/>
      <c r="S1333" s="28"/>
      <c r="T1333" s="28"/>
      <c r="U1333" s="28"/>
      <c r="V1333" s="28"/>
      <c r="W1333" s="28"/>
      <c r="X1333" s="28"/>
      <c r="Y1333" s="28"/>
      <c r="Z1333" s="28"/>
      <c r="AA1333" s="28"/>
      <c r="AB1333" s="28"/>
      <c r="AC1333" s="28"/>
      <c r="AD1333" s="28"/>
      <c r="AE1333" s="28"/>
      <c r="AF1333" s="28"/>
      <c r="AG1333" s="28"/>
      <c r="AH1333" s="28"/>
      <c r="AI1333" s="28"/>
      <c r="AJ1333" s="28"/>
      <c r="AK1333" s="28"/>
      <c r="AL1333" s="28"/>
      <c r="AM1333" s="28"/>
      <c r="AN1333" s="28"/>
      <c r="AO1333" s="28"/>
      <c r="AP1333" s="28"/>
      <c r="AQ1333" s="28"/>
      <c r="AR1333" s="28"/>
      <c r="AS1333" s="28"/>
      <c r="AT1333" s="28"/>
      <c r="AU1333" s="28"/>
      <c r="AV1333" s="28"/>
      <c r="AW1333" s="28"/>
      <c r="AX1333" s="28"/>
      <c r="AY1333" s="28"/>
      <c r="AZ1333" s="28"/>
      <c r="BA1333" s="28"/>
      <c r="BB1333" s="28"/>
    </row>
    <row r="1334" spans="1:54" ht="12.75" x14ac:dyDescent="0.2">
      <c r="A1334" s="28"/>
      <c r="B1334" s="28"/>
      <c r="C1334" s="28"/>
      <c r="D1334" s="28"/>
      <c r="E1334" s="28"/>
      <c r="F1334" s="28"/>
      <c r="G1334" s="28"/>
      <c r="H1334" s="28"/>
      <c r="I1334" s="28"/>
      <c r="J1334" s="28"/>
      <c r="K1334" s="28"/>
      <c r="L1334" s="28"/>
      <c r="M1334" s="28"/>
      <c r="N1334" s="28"/>
      <c r="O1334" s="28"/>
      <c r="P1334" s="28"/>
      <c r="Q1334" s="28"/>
      <c r="R1334" s="28"/>
      <c r="S1334" s="28"/>
      <c r="T1334" s="28"/>
      <c r="U1334" s="28"/>
      <c r="V1334" s="28"/>
      <c r="W1334" s="28"/>
      <c r="X1334" s="28"/>
      <c r="Y1334" s="28"/>
      <c r="Z1334" s="28"/>
      <c r="AA1334" s="28"/>
      <c r="AB1334" s="28"/>
      <c r="AC1334" s="28"/>
      <c r="AD1334" s="28"/>
      <c r="AE1334" s="28"/>
      <c r="AF1334" s="28"/>
      <c r="AG1334" s="28"/>
      <c r="AH1334" s="28"/>
      <c r="AI1334" s="28"/>
      <c r="AJ1334" s="28"/>
      <c r="AK1334" s="28"/>
      <c r="AL1334" s="28"/>
      <c r="AM1334" s="28"/>
      <c r="AN1334" s="28"/>
      <c r="AO1334" s="28"/>
      <c r="AP1334" s="28"/>
      <c r="AQ1334" s="28"/>
      <c r="AR1334" s="28"/>
      <c r="AS1334" s="28"/>
      <c r="AT1334" s="28"/>
      <c r="AU1334" s="28"/>
      <c r="AV1334" s="28"/>
      <c r="AW1334" s="28"/>
      <c r="AX1334" s="28"/>
      <c r="AY1334" s="28"/>
      <c r="AZ1334" s="28"/>
      <c r="BA1334" s="28"/>
      <c r="BB1334" s="28"/>
    </row>
    <row r="1335" spans="1:54" ht="12.75" x14ac:dyDescent="0.2">
      <c r="A1335" s="28"/>
      <c r="B1335" s="28"/>
      <c r="C1335" s="28"/>
      <c r="D1335" s="28"/>
      <c r="E1335" s="28"/>
      <c r="F1335" s="28"/>
      <c r="G1335" s="28"/>
      <c r="H1335" s="28"/>
      <c r="I1335" s="28"/>
      <c r="J1335" s="28"/>
      <c r="K1335" s="28"/>
      <c r="L1335" s="28"/>
      <c r="M1335" s="28"/>
      <c r="N1335" s="28"/>
      <c r="O1335" s="28"/>
      <c r="P1335" s="28"/>
      <c r="Q1335" s="28"/>
      <c r="R1335" s="28"/>
      <c r="S1335" s="28"/>
      <c r="T1335" s="28"/>
      <c r="U1335" s="28"/>
      <c r="V1335" s="28"/>
      <c r="W1335" s="28"/>
      <c r="X1335" s="28"/>
      <c r="Y1335" s="28"/>
      <c r="Z1335" s="28"/>
      <c r="AA1335" s="28"/>
      <c r="AB1335" s="28"/>
      <c r="AC1335" s="28"/>
      <c r="AD1335" s="28"/>
      <c r="AE1335" s="28"/>
      <c r="AF1335" s="28"/>
      <c r="AG1335" s="28"/>
      <c r="AH1335" s="28"/>
      <c r="AI1335" s="28"/>
      <c r="AJ1335" s="28"/>
      <c r="AK1335" s="28"/>
      <c r="AL1335" s="28"/>
      <c r="AM1335" s="28"/>
      <c r="AN1335" s="28"/>
      <c r="AO1335" s="28"/>
      <c r="AP1335" s="28"/>
      <c r="AQ1335" s="28"/>
      <c r="AR1335" s="28"/>
      <c r="AS1335" s="28"/>
      <c r="AT1335" s="28"/>
      <c r="AU1335" s="28"/>
      <c r="AV1335" s="28"/>
      <c r="AW1335" s="28"/>
      <c r="AX1335" s="28"/>
      <c r="AY1335" s="28"/>
      <c r="AZ1335" s="28"/>
      <c r="BA1335" s="28"/>
      <c r="BB1335" s="28"/>
    </row>
    <row r="1336" spans="1:54" ht="12.75" x14ac:dyDescent="0.2">
      <c r="A1336" s="28"/>
      <c r="B1336" s="28"/>
      <c r="C1336" s="28"/>
      <c r="D1336" s="28"/>
      <c r="E1336" s="28"/>
      <c r="F1336" s="28"/>
      <c r="G1336" s="28"/>
      <c r="H1336" s="28"/>
      <c r="I1336" s="28"/>
      <c r="J1336" s="28"/>
      <c r="K1336" s="28"/>
      <c r="L1336" s="28"/>
      <c r="M1336" s="28"/>
      <c r="N1336" s="28"/>
      <c r="O1336" s="28"/>
      <c r="P1336" s="28"/>
      <c r="Q1336" s="28"/>
      <c r="R1336" s="28"/>
      <c r="S1336" s="28"/>
      <c r="T1336" s="28"/>
      <c r="U1336" s="28"/>
      <c r="V1336" s="28"/>
      <c r="W1336" s="28"/>
      <c r="X1336" s="28"/>
      <c r="Y1336" s="28"/>
      <c r="Z1336" s="28"/>
      <c r="AA1336" s="28"/>
      <c r="AB1336" s="28"/>
      <c r="AC1336" s="28"/>
      <c r="AD1336" s="28"/>
      <c r="AE1336" s="28"/>
      <c r="AF1336" s="28"/>
      <c r="AG1336" s="28"/>
      <c r="AH1336" s="28"/>
      <c r="AI1336" s="28"/>
      <c r="AJ1336" s="28"/>
      <c r="AK1336" s="28"/>
      <c r="AL1336" s="28"/>
      <c r="AM1336" s="28"/>
      <c r="AN1336" s="28"/>
      <c r="AO1336" s="28"/>
      <c r="AP1336" s="28"/>
      <c r="AQ1336" s="28"/>
      <c r="AR1336" s="28"/>
      <c r="AS1336" s="28"/>
      <c r="AT1336" s="28"/>
      <c r="AU1336" s="28"/>
      <c r="AV1336" s="28"/>
      <c r="AW1336" s="28"/>
      <c r="AX1336" s="28"/>
      <c r="AY1336" s="28"/>
      <c r="AZ1336" s="28"/>
      <c r="BA1336" s="28"/>
      <c r="BB1336" s="28"/>
    </row>
    <row r="1337" spans="1:54" ht="12.75" x14ac:dyDescent="0.2">
      <c r="A1337" s="28"/>
      <c r="B1337" s="28"/>
      <c r="C1337" s="28"/>
      <c r="D1337" s="28"/>
      <c r="E1337" s="28"/>
      <c r="F1337" s="28"/>
      <c r="G1337" s="28"/>
      <c r="H1337" s="28"/>
      <c r="I1337" s="28"/>
      <c r="J1337" s="28"/>
      <c r="K1337" s="28"/>
      <c r="L1337" s="28"/>
      <c r="M1337" s="28"/>
      <c r="N1337" s="28"/>
      <c r="O1337" s="28"/>
      <c r="P1337" s="28"/>
      <c r="Q1337" s="28"/>
      <c r="R1337" s="28"/>
      <c r="S1337" s="28"/>
      <c r="T1337" s="28"/>
      <c r="U1337" s="28"/>
      <c r="V1337" s="28"/>
      <c r="W1337" s="28"/>
      <c r="X1337" s="28"/>
      <c r="Y1337" s="28"/>
      <c r="Z1337" s="28"/>
      <c r="AA1337" s="28"/>
      <c r="AB1337" s="28"/>
      <c r="AC1337" s="28"/>
      <c r="AD1337" s="28"/>
      <c r="AE1337" s="28"/>
      <c r="AF1337" s="28"/>
      <c r="AG1337" s="28"/>
      <c r="AH1337" s="28"/>
      <c r="AI1337" s="28"/>
      <c r="AJ1337" s="28"/>
      <c r="AK1337" s="28"/>
      <c r="AL1337" s="28"/>
      <c r="AM1337" s="28"/>
      <c r="AN1337" s="28"/>
      <c r="AO1337" s="28"/>
      <c r="AP1337" s="28"/>
      <c r="AQ1337" s="28"/>
      <c r="AR1337" s="28"/>
      <c r="AS1337" s="28"/>
      <c r="AT1337" s="28"/>
      <c r="AU1337" s="28"/>
      <c r="AV1337" s="28"/>
      <c r="AW1337" s="28"/>
      <c r="AX1337" s="28"/>
      <c r="AY1337" s="28"/>
      <c r="AZ1337" s="28"/>
      <c r="BA1337" s="28"/>
      <c r="BB1337" s="28"/>
    </row>
    <row r="1338" spans="1:54" ht="12.75" x14ac:dyDescent="0.2">
      <c r="A1338" s="28"/>
      <c r="B1338" s="28"/>
      <c r="C1338" s="28"/>
      <c r="D1338" s="28"/>
      <c r="E1338" s="28"/>
      <c r="F1338" s="28"/>
      <c r="G1338" s="28"/>
      <c r="H1338" s="28"/>
      <c r="I1338" s="28"/>
      <c r="J1338" s="28"/>
      <c r="K1338" s="28"/>
      <c r="L1338" s="28"/>
      <c r="M1338" s="28"/>
      <c r="N1338" s="28"/>
      <c r="O1338" s="28"/>
      <c r="P1338" s="28"/>
      <c r="Q1338" s="28"/>
      <c r="R1338" s="28"/>
      <c r="S1338" s="28"/>
      <c r="T1338" s="28"/>
      <c r="U1338" s="28"/>
      <c r="V1338" s="28"/>
      <c r="W1338" s="28"/>
      <c r="X1338" s="28"/>
      <c r="Y1338" s="28"/>
      <c r="Z1338" s="28"/>
      <c r="AA1338" s="28"/>
      <c r="AB1338" s="28"/>
      <c r="AC1338" s="28"/>
      <c r="AD1338" s="28"/>
      <c r="AE1338" s="28"/>
      <c r="AF1338" s="28"/>
      <c r="AG1338" s="28"/>
      <c r="AH1338" s="28"/>
      <c r="AI1338" s="28"/>
      <c r="AJ1338" s="28"/>
      <c r="AK1338" s="28"/>
      <c r="AL1338" s="28"/>
      <c r="AM1338" s="28"/>
      <c r="AN1338" s="28"/>
      <c r="AO1338" s="28"/>
      <c r="AP1338" s="28"/>
      <c r="AQ1338" s="28"/>
      <c r="AR1338" s="28"/>
      <c r="AS1338" s="28"/>
      <c r="AT1338" s="28"/>
      <c r="AU1338" s="28"/>
      <c r="AV1338" s="28"/>
      <c r="AW1338" s="28"/>
      <c r="AX1338" s="28"/>
      <c r="AY1338" s="28"/>
      <c r="AZ1338" s="28"/>
      <c r="BA1338" s="28"/>
      <c r="BB1338" s="28"/>
    </row>
    <row r="1339" spans="1:54" ht="12.75" x14ac:dyDescent="0.2">
      <c r="A1339" s="28"/>
      <c r="B1339" s="28"/>
      <c r="C1339" s="28"/>
      <c r="D1339" s="28"/>
      <c r="E1339" s="28"/>
      <c r="F1339" s="28"/>
      <c r="G1339" s="28"/>
      <c r="H1339" s="28"/>
      <c r="I1339" s="28"/>
      <c r="J1339" s="28"/>
      <c r="K1339" s="28"/>
      <c r="L1339" s="28"/>
      <c r="M1339" s="28"/>
      <c r="N1339" s="28"/>
      <c r="O1339" s="28"/>
      <c r="P1339" s="28"/>
      <c r="Q1339" s="28"/>
      <c r="R1339" s="28"/>
      <c r="S1339" s="28"/>
      <c r="T1339" s="28"/>
      <c r="U1339" s="28"/>
      <c r="V1339" s="28"/>
      <c r="W1339" s="28"/>
      <c r="X1339" s="28"/>
      <c r="Y1339" s="28"/>
      <c r="Z1339" s="28"/>
      <c r="AA1339" s="28"/>
      <c r="AB1339" s="28"/>
      <c r="AC1339" s="28"/>
      <c r="AD1339" s="28"/>
      <c r="AE1339" s="28"/>
      <c r="AF1339" s="28"/>
      <c r="AG1339" s="28"/>
      <c r="AH1339" s="28"/>
      <c r="AI1339" s="28"/>
      <c r="AJ1339" s="28"/>
      <c r="AK1339" s="28"/>
      <c r="AL1339" s="28"/>
      <c r="AM1339" s="28"/>
      <c r="AN1339" s="28"/>
      <c r="AO1339" s="28"/>
      <c r="AP1339" s="28"/>
      <c r="AQ1339" s="28"/>
      <c r="AR1339" s="28"/>
      <c r="AS1339" s="28"/>
      <c r="AT1339" s="28"/>
      <c r="AU1339" s="28"/>
      <c r="AV1339" s="28"/>
      <c r="AW1339" s="28"/>
      <c r="AX1339" s="28"/>
      <c r="AY1339" s="28"/>
      <c r="AZ1339" s="28"/>
      <c r="BA1339" s="28"/>
      <c r="BB1339" s="28"/>
    </row>
    <row r="1340" spans="1:54" ht="12.75" x14ac:dyDescent="0.2">
      <c r="A1340" s="28"/>
      <c r="B1340" s="28"/>
      <c r="C1340" s="28"/>
      <c r="D1340" s="28"/>
      <c r="E1340" s="28"/>
      <c r="F1340" s="28"/>
      <c r="G1340" s="28"/>
      <c r="H1340" s="28"/>
      <c r="I1340" s="28"/>
      <c r="J1340" s="28"/>
      <c r="K1340" s="28"/>
      <c r="L1340" s="28"/>
      <c r="M1340" s="28"/>
      <c r="N1340" s="28"/>
      <c r="O1340" s="28"/>
      <c r="P1340" s="28"/>
      <c r="Q1340" s="28"/>
      <c r="R1340" s="28"/>
      <c r="S1340" s="28"/>
      <c r="T1340" s="28"/>
      <c r="U1340" s="28"/>
      <c r="V1340" s="28"/>
      <c r="W1340" s="28"/>
      <c r="X1340" s="28"/>
      <c r="Y1340" s="28"/>
      <c r="Z1340" s="28"/>
      <c r="AA1340" s="28"/>
      <c r="AB1340" s="28"/>
      <c r="AC1340" s="28"/>
      <c r="AD1340" s="28"/>
      <c r="AE1340" s="28"/>
      <c r="AF1340" s="28"/>
      <c r="AG1340" s="28"/>
      <c r="AH1340" s="28"/>
      <c r="AI1340" s="28"/>
      <c r="AJ1340" s="28"/>
      <c r="AK1340" s="28"/>
      <c r="AL1340" s="28"/>
      <c r="AM1340" s="28"/>
      <c r="AN1340" s="28"/>
      <c r="AO1340" s="28"/>
      <c r="AP1340" s="28"/>
      <c r="AQ1340" s="28"/>
      <c r="AR1340" s="28"/>
      <c r="AS1340" s="28"/>
      <c r="AT1340" s="28"/>
      <c r="AU1340" s="28"/>
      <c r="AV1340" s="28"/>
      <c r="AW1340" s="28"/>
      <c r="AX1340" s="28"/>
      <c r="AY1340" s="28"/>
      <c r="AZ1340" s="28"/>
      <c r="BA1340" s="28"/>
      <c r="BB1340" s="28"/>
    </row>
    <row r="1341" spans="1:54" ht="12.75" x14ac:dyDescent="0.2">
      <c r="A1341" s="28"/>
      <c r="B1341" s="28"/>
      <c r="C1341" s="28"/>
      <c r="D1341" s="28"/>
      <c r="E1341" s="28"/>
      <c r="F1341" s="28"/>
      <c r="G1341" s="28"/>
      <c r="H1341" s="28"/>
      <c r="I1341" s="28"/>
      <c r="J1341" s="28"/>
      <c r="K1341" s="28"/>
      <c r="L1341" s="28"/>
      <c r="M1341" s="28"/>
      <c r="N1341" s="28"/>
      <c r="O1341" s="28"/>
      <c r="P1341" s="28"/>
      <c r="Q1341" s="28"/>
      <c r="R1341" s="28"/>
      <c r="S1341" s="28"/>
      <c r="T1341" s="28"/>
      <c r="U1341" s="28"/>
      <c r="V1341" s="28"/>
      <c r="W1341" s="28"/>
      <c r="X1341" s="28"/>
      <c r="Y1341" s="28"/>
      <c r="Z1341" s="28"/>
      <c r="AA1341" s="28"/>
      <c r="AB1341" s="28"/>
      <c r="AC1341" s="28"/>
      <c r="AD1341" s="28"/>
      <c r="AE1341" s="28"/>
      <c r="AF1341" s="28"/>
      <c r="AG1341" s="28"/>
      <c r="AH1341" s="28"/>
      <c r="AI1341" s="28"/>
      <c r="AJ1341" s="28"/>
      <c r="AK1341" s="28"/>
      <c r="AL1341" s="28"/>
      <c r="AM1341" s="28"/>
      <c r="AN1341" s="28"/>
      <c r="AO1341" s="28"/>
      <c r="AP1341" s="28"/>
      <c r="AQ1341" s="28"/>
      <c r="AR1341" s="28"/>
      <c r="AS1341" s="28"/>
      <c r="AT1341" s="28"/>
      <c r="AU1341" s="28"/>
      <c r="AV1341" s="28"/>
      <c r="AW1341" s="28"/>
      <c r="AX1341" s="28"/>
      <c r="AY1341" s="28"/>
      <c r="AZ1341" s="28"/>
      <c r="BA1341" s="28"/>
      <c r="BB1341" s="28"/>
    </row>
    <row r="1342" spans="1:54" ht="12.75" x14ac:dyDescent="0.2">
      <c r="A1342" s="28"/>
      <c r="B1342" s="28"/>
      <c r="C1342" s="28"/>
      <c r="D1342" s="28"/>
      <c r="E1342" s="28"/>
      <c r="F1342" s="28"/>
      <c r="G1342" s="28"/>
      <c r="H1342" s="28"/>
      <c r="I1342" s="28"/>
      <c r="J1342" s="28"/>
      <c r="K1342" s="28"/>
      <c r="L1342" s="28"/>
      <c r="M1342" s="28"/>
      <c r="N1342" s="28"/>
      <c r="O1342" s="28"/>
      <c r="P1342" s="28"/>
      <c r="Q1342" s="28"/>
      <c r="R1342" s="28"/>
      <c r="S1342" s="28"/>
      <c r="T1342" s="28"/>
      <c r="U1342" s="28"/>
      <c r="V1342" s="28"/>
      <c r="W1342" s="28"/>
      <c r="X1342" s="28"/>
      <c r="Y1342" s="28"/>
      <c r="Z1342" s="28"/>
      <c r="AA1342" s="28"/>
      <c r="AB1342" s="28"/>
      <c r="AC1342" s="28"/>
      <c r="AD1342" s="28"/>
      <c r="AE1342" s="28"/>
      <c r="AF1342" s="28"/>
      <c r="AG1342" s="28"/>
      <c r="AH1342" s="28"/>
      <c r="AI1342" s="28"/>
      <c r="AJ1342" s="28"/>
      <c r="AK1342" s="28"/>
      <c r="AL1342" s="28"/>
      <c r="AM1342" s="28"/>
      <c r="AN1342" s="28"/>
      <c r="AO1342" s="28"/>
      <c r="AP1342" s="28"/>
      <c r="AQ1342" s="28"/>
      <c r="AR1342" s="28"/>
      <c r="AS1342" s="28"/>
      <c r="AT1342" s="28"/>
      <c r="AU1342" s="28"/>
      <c r="AV1342" s="28"/>
      <c r="AW1342" s="28"/>
      <c r="AX1342" s="28"/>
      <c r="AY1342" s="28"/>
      <c r="AZ1342" s="28"/>
      <c r="BA1342" s="28"/>
      <c r="BB1342" s="28"/>
    </row>
    <row r="1343" spans="1:54" ht="12.75" x14ac:dyDescent="0.2">
      <c r="A1343" s="28"/>
      <c r="B1343" s="28"/>
      <c r="C1343" s="28"/>
      <c r="D1343" s="28"/>
      <c r="E1343" s="28"/>
      <c r="F1343" s="28"/>
      <c r="G1343" s="28"/>
      <c r="H1343" s="28"/>
      <c r="I1343" s="28"/>
      <c r="J1343" s="28"/>
      <c r="K1343" s="28"/>
      <c r="L1343" s="28"/>
      <c r="M1343" s="28"/>
      <c r="N1343" s="28"/>
      <c r="O1343" s="28"/>
      <c r="P1343" s="28"/>
      <c r="Q1343" s="28"/>
      <c r="R1343" s="28"/>
      <c r="S1343" s="28"/>
      <c r="T1343" s="28"/>
      <c r="U1343" s="28"/>
      <c r="V1343" s="28"/>
      <c r="W1343" s="28"/>
      <c r="X1343" s="28"/>
      <c r="Y1343" s="28"/>
      <c r="Z1343" s="28"/>
      <c r="AA1343" s="28"/>
      <c r="AB1343" s="28"/>
      <c r="AC1343" s="28"/>
      <c r="AD1343" s="28"/>
      <c r="AE1343" s="28"/>
      <c r="AF1343" s="28"/>
      <c r="AG1343" s="28"/>
      <c r="AH1343" s="28"/>
      <c r="AI1343" s="28"/>
      <c r="AJ1343" s="28"/>
      <c r="AK1343" s="28"/>
      <c r="AL1343" s="28"/>
      <c r="AM1343" s="28"/>
      <c r="AN1343" s="28"/>
      <c r="AO1343" s="28"/>
      <c r="AP1343" s="28"/>
      <c r="AQ1343" s="28"/>
      <c r="AR1343" s="28"/>
      <c r="AS1343" s="28"/>
      <c r="AT1343" s="28"/>
      <c r="AU1343" s="28"/>
      <c r="AV1343" s="28"/>
      <c r="AW1343" s="28"/>
      <c r="AX1343" s="28"/>
      <c r="AY1343" s="28"/>
      <c r="AZ1343" s="28"/>
      <c r="BA1343" s="28"/>
      <c r="BB1343" s="28"/>
    </row>
    <row r="1344" spans="1:54" ht="12.75" x14ac:dyDescent="0.2">
      <c r="A1344" s="28"/>
      <c r="B1344" s="28"/>
      <c r="C1344" s="28"/>
      <c r="D1344" s="28"/>
      <c r="E1344" s="28"/>
      <c r="F1344" s="28"/>
      <c r="G1344" s="28"/>
      <c r="H1344" s="28"/>
      <c r="I1344" s="28"/>
      <c r="J1344" s="28"/>
      <c r="K1344" s="28"/>
      <c r="L1344" s="28"/>
      <c r="M1344" s="28"/>
      <c r="N1344" s="28"/>
      <c r="O1344" s="28"/>
      <c r="P1344" s="28"/>
      <c r="Q1344" s="28"/>
      <c r="R1344" s="28"/>
      <c r="S1344" s="28"/>
      <c r="T1344" s="28"/>
      <c r="U1344" s="28"/>
      <c r="V1344" s="28"/>
      <c r="W1344" s="28"/>
      <c r="X1344" s="28"/>
      <c r="Y1344" s="28"/>
      <c r="Z1344" s="28"/>
      <c r="AA1344" s="28"/>
      <c r="AB1344" s="28"/>
      <c r="AC1344" s="28"/>
      <c r="AD1344" s="28"/>
      <c r="AE1344" s="28"/>
      <c r="AF1344" s="28"/>
      <c r="AG1344" s="28"/>
      <c r="AH1344" s="28"/>
      <c r="AI1344" s="28"/>
      <c r="AJ1344" s="28"/>
      <c r="AK1344" s="28"/>
      <c r="AL1344" s="28"/>
      <c r="AM1344" s="28"/>
      <c r="AN1344" s="28"/>
      <c r="AO1344" s="28"/>
      <c r="AP1344" s="28"/>
      <c r="AQ1344" s="28"/>
      <c r="AR1344" s="28"/>
      <c r="AS1344" s="28"/>
      <c r="AT1344" s="28"/>
      <c r="AU1344" s="28"/>
      <c r="AV1344" s="28"/>
      <c r="AW1344" s="28"/>
      <c r="AX1344" s="28"/>
      <c r="AY1344" s="28"/>
      <c r="AZ1344" s="28"/>
      <c r="BA1344" s="28"/>
      <c r="BB1344" s="28"/>
    </row>
    <row r="1345" spans="1:54" ht="12.75" x14ac:dyDescent="0.2">
      <c r="A1345" s="28"/>
      <c r="B1345" s="28"/>
      <c r="C1345" s="28"/>
      <c r="D1345" s="28"/>
      <c r="E1345" s="28"/>
      <c r="F1345" s="28"/>
      <c r="G1345" s="28"/>
      <c r="H1345" s="28"/>
      <c r="I1345" s="28"/>
      <c r="J1345" s="28"/>
      <c r="K1345" s="28"/>
      <c r="L1345" s="28"/>
      <c r="M1345" s="28"/>
      <c r="N1345" s="28"/>
      <c r="O1345" s="28"/>
      <c r="P1345" s="28"/>
      <c r="Q1345" s="28"/>
      <c r="R1345" s="28"/>
      <c r="S1345" s="28"/>
      <c r="T1345" s="28"/>
      <c r="U1345" s="28"/>
      <c r="V1345" s="28"/>
      <c r="W1345" s="28"/>
      <c r="X1345" s="28"/>
      <c r="Y1345" s="28"/>
      <c r="Z1345" s="28"/>
      <c r="AA1345" s="28"/>
      <c r="AB1345" s="28"/>
      <c r="AC1345" s="28"/>
      <c r="AD1345" s="28"/>
      <c r="AE1345" s="28"/>
      <c r="AF1345" s="28"/>
      <c r="AG1345" s="28"/>
      <c r="AH1345" s="28"/>
      <c r="AI1345" s="28"/>
      <c r="AJ1345" s="28"/>
      <c r="AK1345" s="28"/>
      <c r="AL1345" s="28"/>
      <c r="AM1345" s="28"/>
      <c r="AN1345" s="28"/>
      <c r="AO1345" s="28"/>
      <c r="AP1345" s="28"/>
      <c r="AQ1345" s="28"/>
      <c r="AR1345" s="28"/>
      <c r="AS1345" s="28"/>
      <c r="AT1345" s="28"/>
      <c r="AU1345" s="28"/>
      <c r="AV1345" s="28"/>
      <c r="AW1345" s="28"/>
      <c r="AX1345" s="28"/>
      <c r="AY1345" s="28"/>
      <c r="AZ1345" s="28"/>
      <c r="BA1345" s="28"/>
      <c r="BB1345" s="28"/>
    </row>
    <row r="1346" spans="1:54" ht="12.75" x14ac:dyDescent="0.2">
      <c r="A1346" s="28"/>
      <c r="B1346" s="28"/>
      <c r="C1346" s="28"/>
      <c r="D1346" s="28"/>
      <c r="E1346" s="28"/>
      <c r="F1346" s="28"/>
      <c r="G1346" s="28"/>
      <c r="H1346" s="28"/>
      <c r="I1346" s="28"/>
      <c r="J1346" s="28"/>
      <c r="K1346" s="28"/>
      <c r="L1346" s="28"/>
      <c r="M1346" s="28"/>
      <c r="N1346" s="28"/>
      <c r="O1346" s="28"/>
      <c r="P1346" s="28"/>
      <c r="Q1346" s="28"/>
      <c r="R1346" s="28"/>
      <c r="S1346" s="28"/>
      <c r="T1346" s="28"/>
      <c r="U1346" s="28"/>
      <c r="V1346" s="28"/>
      <c r="W1346" s="28"/>
      <c r="X1346" s="28"/>
      <c r="Y1346" s="28"/>
      <c r="Z1346" s="28"/>
      <c r="AA1346" s="28"/>
      <c r="AB1346" s="28"/>
      <c r="AC1346" s="28"/>
      <c r="AD1346" s="28"/>
      <c r="AE1346" s="28"/>
      <c r="AF1346" s="28"/>
      <c r="AG1346" s="28"/>
      <c r="AH1346" s="28"/>
      <c r="AI1346" s="28"/>
      <c r="AJ1346" s="28"/>
      <c r="AK1346" s="28"/>
      <c r="AL1346" s="28"/>
      <c r="AM1346" s="28"/>
      <c r="AN1346" s="28"/>
      <c r="AO1346" s="28"/>
      <c r="AP1346" s="28"/>
      <c r="AQ1346" s="28"/>
      <c r="AR1346" s="28"/>
      <c r="AS1346" s="28"/>
      <c r="AT1346" s="28"/>
      <c r="AU1346" s="28"/>
      <c r="AV1346" s="28"/>
      <c r="AW1346" s="28"/>
      <c r="AX1346" s="28"/>
      <c r="AY1346" s="28"/>
      <c r="AZ1346" s="28"/>
      <c r="BA1346" s="28"/>
      <c r="BB1346" s="28"/>
    </row>
    <row r="1347" spans="1:54" ht="12.75" x14ac:dyDescent="0.2">
      <c r="A1347" s="28"/>
      <c r="B1347" s="28"/>
      <c r="C1347" s="28"/>
      <c r="D1347" s="28"/>
      <c r="E1347" s="28"/>
      <c r="F1347" s="28"/>
      <c r="G1347" s="28"/>
      <c r="H1347" s="28"/>
      <c r="I1347" s="28"/>
      <c r="J1347" s="28"/>
      <c r="K1347" s="28"/>
      <c r="L1347" s="28"/>
      <c r="M1347" s="28"/>
      <c r="N1347" s="28"/>
      <c r="O1347" s="28"/>
      <c r="P1347" s="28"/>
      <c r="Q1347" s="28"/>
      <c r="R1347" s="28"/>
      <c r="S1347" s="28"/>
      <c r="T1347" s="28"/>
      <c r="U1347" s="28"/>
      <c r="V1347" s="28"/>
      <c r="W1347" s="28"/>
      <c r="X1347" s="28"/>
      <c r="Y1347" s="28"/>
      <c r="Z1347" s="28"/>
      <c r="AA1347" s="28"/>
      <c r="AB1347" s="28"/>
      <c r="AC1347" s="28"/>
      <c r="AD1347" s="28"/>
      <c r="AE1347" s="28"/>
      <c r="AF1347" s="28"/>
      <c r="AG1347" s="28"/>
      <c r="AH1347" s="28"/>
      <c r="AI1347" s="28"/>
      <c r="AJ1347" s="28"/>
      <c r="AK1347" s="28"/>
      <c r="AL1347" s="28"/>
      <c r="AM1347" s="28"/>
      <c r="AN1347" s="28"/>
      <c r="AO1347" s="28"/>
      <c r="AP1347" s="28"/>
      <c r="AQ1347" s="28"/>
      <c r="AR1347" s="28"/>
      <c r="AS1347" s="28"/>
      <c r="AT1347" s="28"/>
      <c r="AU1347" s="28"/>
      <c r="AV1347" s="28"/>
      <c r="AW1347" s="28"/>
      <c r="AX1347" s="28"/>
      <c r="AY1347" s="28"/>
      <c r="AZ1347" s="28"/>
      <c r="BA1347" s="28"/>
      <c r="BB1347" s="28"/>
    </row>
    <row r="1348" spans="1:54" ht="12.75" x14ac:dyDescent="0.2">
      <c r="A1348" s="28"/>
      <c r="B1348" s="28"/>
      <c r="C1348" s="28"/>
      <c r="D1348" s="28"/>
      <c r="E1348" s="28"/>
      <c r="F1348" s="28"/>
      <c r="G1348" s="28"/>
      <c r="H1348" s="28"/>
      <c r="I1348" s="28"/>
      <c r="J1348" s="28"/>
      <c r="K1348" s="28"/>
      <c r="L1348" s="28"/>
      <c r="M1348" s="28"/>
      <c r="N1348" s="28"/>
      <c r="O1348" s="28"/>
      <c r="P1348" s="28"/>
      <c r="Q1348" s="28"/>
      <c r="R1348" s="28"/>
      <c r="S1348" s="28"/>
      <c r="T1348" s="28"/>
      <c r="U1348" s="28"/>
      <c r="V1348" s="28"/>
      <c r="W1348" s="28"/>
      <c r="X1348" s="28"/>
      <c r="Y1348" s="28"/>
      <c r="Z1348" s="28"/>
      <c r="AA1348" s="28"/>
      <c r="AB1348" s="28"/>
      <c r="AC1348" s="28"/>
      <c r="AD1348" s="28"/>
      <c r="AE1348" s="28"/>
      <c r="AF1348" s="28"/>
      <c r="AG1348" s="28"/>
      <c r="AH1348" s="28"/>
      <c r="AI1348" s="28"/>
      <c r="AJ1348" s="28"/>
      <c r="AK1348" s="28"/>
      <c r="AL1348" s="28"/>
      <c r="AM1348" s="28"/>
      <c r="AN1348" s="28"/>
      <c r="AO1348" s="28"/>
      <c r="AP1348" s="28"/>
      <c r="AQ1348" s="28"/>
      <c r="AR1348" s="28"/>
      <c r="AS1348" s="28"/>
      <c r="AT1348" s="28"/>
      <c r="AU1348" s="28"/>
      <c r="AV1348" s="28"/>
      <c r="AW1348" s="28"/>
      <c r="AX1348" s="28"/>
      <c r="AY1348" s="28"/>
      <c r="AZ1348" s="28"/>
      <c r="BA1348" s="28"/>
      <c r="BB1348" s="28"/>
    </row>
    <row r="1349" spans="1:54" ht="12.75" x14ac:dyDescent="0.2">
      <c r="A1349" s="28"/>
      <c r="B1349" s="28"/>
      <c r="C1349" s="28"/>
      <c r="D1349" s="28"/>
      <c r="E1349" s="28"/>
      <c r="F1349" s="28"/>
      <c r="G1349" s="28"/>
      <c r="H1349" s="28"/>
      <c r="I1349" s="28"/>
      <c r="J1349" s="28"/>
      <c r="K1349" s="28"/>
      <c r="L1349" s="28"/>
      <c r="M1349" s="28"/>
      <c r="N1349" s="28"/>
      <c r="O1349" s="28"/>
      <c r="P1349" s="28"/>
      <c r="Q1349" s="28"/>
      <c r="R1349" s="28"/>
      <c r="S1349" s="28"/>
      <c r="T1349" s="28"/>
      <c r="U1349" s="28"/>
      <c r="V1349" s="28"/>
      <c r="W1349" s="28"/>
      <c r="X1349" s="28"/>
      <c r="Y1349" s="28"/>
      <c r="Z1349" s="28"/>
      <c r="AA1349" s="28"/>
      <c r="AB1349" s="28"/>
      <c r="AC1349" s="28"/>
      <c r="AD1349" s="28"/>
      <c r="AE1349" s="28"/>
      <c r="AF1349" s="28"/>
      <c r="AG1349" s="28"/>
      <c r="AH1349" s="28"/>
      <c r="AI1349" s="28"/>
      <c r="AJ1349" s="28"/>
      <c r="AK1349" s="28"/>
      <c r="AL1349" s="28"/>
      <c r="AM1349" s="28"/>
      <c r="AN1349" s="28"/>
      <c r="AO1349" s="28"/>
      <c r="AP1349" s="28"/>
      <c r="AQ1349" s="28"/>
      <c r="AR1349" s="28"/>
      <c r="AS1349" s="28"/>
      <c r="AT1349" s="28"/>
      <c r="AU1349" s="28"/>
      <c r="AV1349" s="28"/>
      <c r="AW1349" s="28"/>
      <c r="AX1349" s="28"/>
      <c r="AY1349" s="28"/>
      <c r="AZ1349" s="28"/>
      <c r="BA1349" s="28"/>
      <c r="BB1349" s="28"/>
    </row>
    <row r="1350" spans="1:54" ht="12.75" x14ac:dyDescent="0.2">
      <c r="A1350" s="28"/>
      <c r="B1350" s="28"/>
      <c r="C1350" s="28"/>
      <c r="D1350" s="28"/>
      <c r="E1350" s="28"/>
      <c r="F1350" s="28"/>
      <c r="G1350" s="28"/>
      <c r="H1350" s="28"/>
      <c r="I1350" s="28"/>
      <c r="J1350" s="28"/>
      <c r="K1350" s="28"/>
      <c r="L1350" s="28"/>
      <c r="M1350" s="28"/>
      <c r="N1350" s="28"/>
      <c r="O1350" s="28"/>
      <c r="P1350" s="28"/>
      <c r="Q1350" s="28"/>
      <c r="R1350" s="28"/>
      <c r="S1350" s="28"/>
      <c r="T1350" s="28"/>
      <c r="U1350" s="28"/>
      <c r="V1350" s="28"/>
      <c r="W1350" s="28"/>
      <c r="X1350" s="28"/>
      <c r="Y1350" s="28"/>
      <c r="Z1350" s="28"/>
      <c r="AA1350" s="28"/>
      <c r="AB1350" s="28"/>
      <c r="AC1350" s="28"/>
      <c r="AD1350" s="28"/>
      <c r="AE1350" s="28"/>
      <c r="AF1350" s="28"/>
      <c r="AG1350" s="28"/>
      <c r="AH1350" s="28"/>
      <c r="AI1350" s="28"/>
      <c r="AJ1350" s="28"/>
      <c r="AK1350" s="28"/>
      <c r="AL1350" s="28"/>
      <c r="AM1350" s="28"/>
      <c r="AN1350" s="28"/>
      <c r="AO1350" s="28"/>
      <c r="AP1350" s="28"/>
      <c r="AQ1350" s="28"/>
      <c r="AR1350" s="28"/>
      <c r="AS1350" s="28"/>
      <c r="AT1350" s="28"/>
      <c r="AU1350" s="28"/>
      <c r="AV1350" s="28"/>
      <c r="AW1350" s="28"/>
      <c r="AX1350" s="28"/>
      <c r="AY1350" s="28"/>
      <c r="AZ1350" s="28"/>
      <c r="BA1350" s="28"/>
      <c r="BB1350" s="28"/>
    </row>
    <row r="1351" spans="1:54" ht="12.75" x14ac:dyDescent="0.2">
      <c r="A1351" s="28"/>
      <c r="B1351" s="28"/>
      <c r="C1351" s="28"/>
      <c r="D1351" s="28"/>
      <c r="E1351" s="28"/>
      <c r="F1351" s="28"/>
      <c r="G1351" s="28"/>
      <c r="H1351" s="28"/>
      <c r="I1351" s="28"/>
      <c r="J1351" s="28"/>
      <c r="K1351" s="28"/>
      <c r="L1351" s="28"/>
      <c r="M1351" s="28"/>
      <c r="N1351" s="28"/>
      <c r="O1351" s="28"/>
      <c r="P1351" s="28"/>
      <c r="Q1351" s="28"/>
      <c r="R1351" s="28"/>
      <c r="S1351" s="28"/>
      <c r="T1351" s="28"/>
      <c r="U1351" s="28"/>
      <c r="V1351" s="28"/>
      <c r="W1351" s="28"/>
      <c r="X1351" s="28"/>
      <c r="Y1351" s="28"/>
      <c r="Z1351" s="28"/>
      <c r="AA1351" s="28"/>
      <c r="AB1351" s="28"/>
      <c r="AC1351" s="28"/>
      <c r="AD1351" s="28"/>
      <c r="AE1351" s="28"/>
      <c r="AF1351" s="28"/>
      <c r="AG1351" s="28"/>
      <c r="AH1351" s="28"/>
      <c r="AI1351" s="28"/>
      <c r="AJ1351" s="28"/>
      <c r="AK1351" s="28"/>
      <c r="AL1351" s="28"/>
      <c r="AM1351" s="28"/>
      <c r="AN1351" s="28"/>
      <c r="AO1351" s="28"/>
      <c r="AP1351" s="28"/>
      <c r="AQ1351" s="28"/>
      <c r="AR1351" s="28"/>
      <c r="AS1351" s="28"/>
      <c r="AT1351" s="28"/>
      <c r="AU1351" s="28"/>
      <c r="AV1351" s="28"/>
      <c r="AW1351" s="28"/>
      <c r="AX1351" s="28"/>
      <c r="AY1351" s="28"/>
      <c r="AZ1351" s="28"/>
      <c r="BA1351" s="28"/>
      <c r="BB1351" s="28"/>
    </row>
    <row r="1352" spans="1:54" ht="12.75" x14ac:dyDescent="0.2">
      <c r="A1352" s="28"/>
      <c r="B1352" s="28"/>
      <c r="C1352" s="28"/>
      <c r="D1352" s="28"/>
      <c r="E1352" s="28"/>
      <c r="F1352" s="28"/>
      <c r="G1352" s="28"/>
      <c r="H1352" s="28"/>
      <c r="I1352" s="28"/>
      <c r="J1352" s="28"/>
      <c r="K1352" s="28"/>
      <c r="L1352" s="28"/>
      <c r="M1352" s="28"/>
      <c r="N1352" s="28"/>
      <c r="O1352" s="28"/>
      <c r="P1352" s="28"/>
      <c r="Q1352" s="28"/>
      <c r="R1352" s="28"/>
      <c r="S1352" s="28"/>
      <c r="T1352" s="28"/>
      <c r="U1352" s="28"/>
      <c r="V1352" s="28"/>
      <c r="W1352" s="28"/>
      <c r="X1352" s="28"/>
      <c r="Y1352" s="28"/>
      <c r="Z1352" s="28"/>
      <c r="AA1352" s="28"/>
      <c r="AB1352" s="28"/>
      <c r="AC1352" s="28"/>
      <c r="AD1352" s="28"/>
      <c r="AE1352" s="28"/>
      <c r="AF1352" s="28"/>
      <c r="AG1352" s="28"/>
      <c r="AH1352" s="28"/>
      <c r="AI1352" s="28"/>
      <c r="AJ1352" s="28"/>
      <c r="AK1352" s="28"/>
      <c r="AL1352" s="28"/>
      <c r="AM1352" s="28"/>
      <c r="AN1352" s="28"/>
      <c r="AO1352" s="28"/>
      <c r="AP1352" s="28"/>
      <c r="AQ1352" s="28"/>
      <c r="AR1352" s="28"/>
      <c r="AS1352" s="28"/>
      <c r="AT1352" s="28"/>
      <c r="AU1352" s="28"/>
      <c r="AV1352" s="28"/>
      <c r="AW1352" s="28"/>
      <c r="AX1352" s="28"/>
      <c r="AY1352" s="28"/>
      <c r="AZ1352" s="28"/>
      <c r="BA1352" s="28"/>
      <c r="BB1352" s="28"/>
    </row>
    <row r="1353" spans="1:54" ht="12.75" x14ac:dyDescent="0.2">
      <c r="A1353" s="28"/>
      <c r="B1353" s="28"/>
      <c r="C1353" s="28"/>
      <c r="D1353" s="28"/>
      <c r="E1353" s="28"/>
      <c r="F1353" s="28"/>
      <c r="G1353" s="28"/>
      <c r="H1353" s="28"/>
      <c r="I1353" s="28"/>
      <c r="J1353" s="28"/>
      <c r="K1353" s="28"/>
      <c r="L1353" s="28"/>
      <c r="M1353" s="28"/>
      <c r="N1353" s="28"/>
      <c r="O1353" s="28"/>
      <c r="P1353" s="28"/>
      <c r="Q1353" s="28"/>
      <c r="R1353" s="28"/>
      <c r="S1353" s="28"/>
      <c r="T1353" s="28"/>
      <c r="U1353" s="28"/>
      <c r="V1353" s="28"/>
      <c r="W1353" s="28"/>
      <c r="X1353" s="28"/>
      <c r="Y1353" s="28"/>
      <c r="Z1353" s="28"/>
      <c r="AA1353" s="28"/>
      <c r="AB1353" s="28"/>
      <c r="AC1353" s="28"/>
      <c r="AD1353" s="28"/>
      <c r="AE1353" s="28"/>
      <c r="AF1353" s="28"/>
      <c r="AG1353" s="28"/>
      <c r="AH1353" s="28"/>
      <c r="AI1353" s="28"/>
      <c r="AJ1353" s="28"/>
      <c r="AK1353" s="28"/>
      <c r="AL1353" s="28"/>
      <c r="AM1353" s="28"/>
      <c r="AN1353" s="28"/>
      <c r="AO1353" s="28"/>
      <c r="AP1353" s="28"/>
      <c r="AQ1353" s="28"/>
      <c r="AR1353" s="28"/>
      <c r="AS1353" s="28"/>
      <c r="AT1353" s="28"/>
      <c r="AU1353" s="28"/>
      <c r="AV1353" s="28"/>
      <c r="AW1353" s="28"/>
      <c r="AX1353" s="28"/>
      <c r="AY1353" s="28"/>
      <c r="AZ1353" s="28"/>
      <c r="BA1353" s="28"/>
      <c r="BB1353" s="28"/>
    </row>
    <row r="1354" spans="1:54" ht="12.75" x14ac:dyDescent="0.2">
      <c r="A1354" s="28"/>
      <c r="B1354" s="28"/>
      <c r="C1354" s="28"/>
      <c r="D1354" s="28"/>
      <c r="E1354" s="28"/>
      <c r="F1354" s="28"/>
      <c r="G1354" s="28"/>
      <c r="H1354" s="28"/>
      <c r="I1354" s="28"/>
      <c r="J1354" s="28"/>
      <c r="K1354" s="28"/>
      <c r="L1354" s="28"/>
      <c r="M1354" s="28"/>
      <c r="N1354" s="28"/>
      <c r="O1354" s="28"/>
      <c r="P1354" s="28"/>
      <c r="Q1354" s="28"/>
      <c r="R1354" s="28"/>
      <c r="S1354" s="28"/>
      <c r="T1354" s="28"/>
      <c r="U1354" s="28"/>
      <c r="V1354" s="28"/>
      <c r="W1354" s="28"/>
      <c r="X1354" s="28"/>
      <c r="Y1354" s="28"/>
      <c r="Z1354" s="28"/>
      <c r="AA1354" s="28"/>
      <c r="AB1354" s="28"/>
      <c r="AC1354" s="28"/>
      <c r="AD1354" s="28"/>
      <c r="AE1354" s="28"/>
      <c r="AF1354" s="28"/>
      <c r="AG1354" s="28"/>
      <c r="AH1354" s="28"/>
      <c r="AI1354" s="28"/>
      <c r="AJ1354" s="28"/>
      <c r="AK1354" s="28"/>
      <c r="AL1354" s="28"/>
      <c r="AM1354" s="28"/>
      <c r="AN1354" s="28"/>
      <c r="AO1354" s="28"/>
      <c r="AP1354" s="28"/>
      <c r="AQ1354" s="28"/>
      <c r="AR1354" s="28"/>
      <c r="AS1354" s="28"/>
      <c r="AT1354" s="28"/>
      <c r="AU1354" s="28"/>
      <c r="AV1354" s="28"/>
      <c r="AW1354" s="28"/>
      <c r="AX1354" s="28"/>
      <c r="AY1354" s="28"/>
      <c r="AZ1354" s="28"/>
      <c r="BA1354" s="28"/>
      <c r="BB1354" s="28"/>
    </row>
    <row r="1355" spans="1:54" ht="12.75" x14ac:dyDescent="0.2">
      <c r="A1355" s="28"/>
      <c r="B1355" s="28"/>
      <c r="C1355" s="28"/>
      <c r="D1355" s="28"/>
      <c r="E1355" s="28"/>
      <c r="F1355" s="28"/>
      <c r="G1355" s="28"/>
      <c r="H1355" s="28"/>
      <c r="I1355" s="28"/>
      <c r="J1355" s="28"/>
      <c r="K1355" s="28"/>
      <c r="L1355" s="28"/>
      <c r="M1355" s="28"/>
      <c r="N1355" s="28"/>
      <c r="O1355" s="28"/>
      <c r="P1355" s="28"/>
      <c r="Q1355" s="28"/>
      <c r="R1355" s="28"/>
      <c r="S1355" s="28"/>
      <c r="T1355" s="28"/>
      <c r="U1355" s="28"/>
      <c r="V1355" s="28"/>
      <c r="W1355" s="28"/>
      <c r="X1355" s="28"/>
      <c r="Y1355" s="28"/>
      <c r="Z1355" s="28"/>
      <c r="AA1355" s="28"/>
      <c r="AB1355" s="28"/>
      <c r="AC1355" s="28"/>
      <c r="AD1355" s="28"/>
      <c r="AE1355" s="28"/>
      <c r="AF1355" s="28"/>
      <c r="AG1355" s="28"/>
      <c r="AH1355" s="28"/>
      <c r="AI1355" s="28"/>
      <c r="AJ1355" s="28"/>
      <c r="AK1355" s="28"/>
      <c r="AL1355" s="28"/>
      <c r="AM1355" s="28"/>
      <c r="AN1355" s="28"/>
      <c r="AO1355" s="28"/>
      <c r="AP1355" s="28"/>
      <c r="AQ1355" s="28"/>
      <c r="AR1355" s="28"/>
      <c r="AS1355" s="28"/>
      <c r="AT1355" s="28"/>
      <c r="AU1355" s="28"/>
      <c r="AV1355" s="28"/>
      <c r="AW1355" s="28"/>
      <c r="AX1355" s="28"/>
      <c r="AY1355" s="28"/>
      <c r="AZ1355" s="28"/>
      <c r="BA1355" s="28"/>
      <c r="BB1355" s="28"/>
    </row>
    <row r="1356" spans="1:54" ht="12.75" x14ac:dyDescent="0.2">
      <c r="A1356" s="28"/>
      <c r="B1356" s="28"/>
      <c r="C1356" s="28"/>
      <c r="D1356" s="28"/>
      <c r="E1356" s="28"/>
      <c r="F1356" s="28"/>
      <c r="G1356" s="28"/>
      <c r="H1356" s="28"/>
      <c r="I1356" s="28"/>
      <c r="J1356" s="28"/>
      <c r="K1356" s="28"/>
      <c r="L1356" s="28"/>
      <c r="M1356" s="28"/>
      <c r="N1356" s="28"/>
      <c r="O1356" s="28"/>
      <c r="P1356" s="28"/>
      <c r="Q1356" s="28"/>
      <c r="R1356" s="28"/>
      <c r="S1356" s="28"/>
      <c r="T1356" s="28"/>
      <c r="U1356" s="28"/>
      <c r="V1356" s="28"/>
      <c r="W1356" s="28"/>
      <c r="X1356" s="28"/>
      <c r="Y1356" s="28"/>
      <c r="Z1356" s="28"/>
      <c r="AA1356" s="28"/>
      <c r="AB1356" s="28"/>
      <c r="AC1356" s="28"/>
      <c r="AD1356" s="28"/>
      <c r="AE1356" s="28"/>
      <c r="AF1356" s="28"/>
      <c r="AG1356" s="28"/>
      <c r="AH1356" s="28"/>
      <c r="AI1356" s="28"/>
      <c r="AJ1356" s="28"/>
      <c r="AK1356" s="28"/>
      <c r="AL1356" s="28"/>
      <c r="AM1356" s="28"/>
      <c r="AN1356" s="28"/>
      <c r="AO1356" s="28"/>
      <c r="AP1356" s="28"/>
      <c r="AQ1356" s="28"/>
      <c r="AR1356" s="28"/>
      <c r="AS1356" s="28"/>
      <c r="AT1356" s="28"/>
      <c r="AU1356" s="28"/>
      <c r="AV1356" s="28"/>
      <c r="AW1356" s="28"/>
      <c r="AX1356" s="28"/>
      <c r="AY1356" s="28"/>
      <c r="AZ1356" s="28"/>
      <c r="BA1356" s="28"/>
      <c r="BB1356" s="28"/>
    </row>
    <row r="1357" spans="1:54" ht="12.75" x14ac:dyDescent="0.2">
      <c r="A1357" s="28"/>
      <c r="B1357" s="28"/>
      <c r="C1357" s="28"/>
      <c r="D1357" s="28"/>
      <c r="E1357" s="28"/>
      <c r="F1357" s="28"/>
      <c r="G1357" s="28"/>
      <c r="H1357" s="28"/>
      <c r="I1357" s="28"/>
      <c r="J1357" s="28"/>
      <c r="K1357" s="28"/>
      <c r="L1357" s="28"/>
      <c r="M1357" s="28"/>
      <c r="N1357" s="28"/>
      <c r="O1357" s="28"/>
      <c r="P1357" s="28"/>
      <c r="Q1357" s="28"/>
      <c r="R1357" s="28"/>
      <c r="S1357" s="28"/>
      <c r="T1357" s="28"/>
      <c r="U1357" s="28"/>
      <c r="V1357" s="28"/>
      <c r="W1357" s="28"/>
      <c r="X1357" s="28"/>
      <c r="Y1357" s="28"/>
      <c r="Z1357" s="28"/>
      <c r="AA1357" s="28"/>
      <c r="AB1357" s="28"/>
      <c r="AC1357" s="28"/>
      <c r="AD1357" s="28"/>
      <c r="AE1357" s="28"/>
      <c r="AF1357" s="28"/>
      <c r="AG1357" s="28"/>
      <c r="AH1357" s="28"/>
      <c r="AI1357" s="28"/>
      <c r="AJ1357" s="28"/>
      <c r="AK1357" s="28"/>
      <c r="AL1357" s="28"/>
      <c r="AM1357" s="28"/>
      <c r="AN1357" s="28"/>
      <c r="AO1357" s="28"/>
      <c r="AP1357" s="28"/>
      <c r="AQ1357" s="28"/>
      <c r="AR1357" s="28"/>
      <c r="AS1357" s="28"/>
      <c r="AT1357" s="28"/>
      <c r="AU1357" s="28"/>
      <c r="AV1357" s="28"/>
      <c r="AW1357" s="28"/>
      <c r="AX1357" s="28"/>
      <c r="AY1357" s="28"/>
      <c r="AZ1357" s="28"/>
      <c r="BA1357" s="28"/>
      <c r="BB1357" s="28"/>
    </row>
    <row r="1358" spans="1:54" ht="12.75" x14ac:dyDescent="0.2">
      <c r="A1358" s="28"/>
      <c r="B1358" s="28"/>
      <c r="C1358" s="28"/>
      <c r="D1358" s="28"/>
      <c r="E1358" s="28"/>
      <c r="F1358" s="28"/>
      <c r="G1358" s="28"/>
      <c r="H1358" s="28"/>
      <c r="I1358" s="28"/>
      <c r="J1358" s="28"/>
      <c r="K1358" s="28"/>
      <c r="L1358" s="28"/>
      <c r="M1358" s="28"/>
      <c r="N1358" s="28"/>
      <c r="O1358" s="28"/>
      <c r="P1358" s="28"/>
      <c r="Q1358" s="28"/>
      <c r="R1358" s="28"/>
      <c r="S1358" s="28"/>
      <c r="T1358" s="28"/>
      <c r="U1358" s="28"/>
      <c r="V1358" s="28"/>
      <c r="W1358" s="28"/>
      <c r="X1358" s="28"/>
      <c r="Y1358" s="28"/>
      <c r="Z1358" s="28"/>
      <c r="AA1358" s="28"/>
      <c r="AB1358" s="28"/>
      <c r="AC1358" s="28"/>
      <c r="AD1358" s="28"/>
      <c r="AE1358" s="28"/>
      <c r="AF1358" s="28"/>
      <c r="AG1358" s="28"/>
      <c r="AH1358" s="28"/>
      <c r="AI1358" s="28"/>
      <c r="AJ1358" s="28"/>
      <c r="AK1358" s="28"/>
      <c r="AL1358" s="28"/>
      <c r="AM1358" s="28"/>
      <c r="AN1358" s="28"/>
      <c r="AO1358" s="28"/>
      <c r="AP1358" s="28"/>
      <c r="AQ1358" s="28"/>
      <c r="AR1358" s="28"/>
      <c r="AS1358" s="28"/>
      <c r="AT1358" s="28"/>
      <c r="AU1358" s="28"/>
      <c r="AV1358" s="28"/>
      <c r="AW1358" s="28"/>
      <c r="AX1358" s="28"/>
      <c r="AY1358" s="28"/>
      <c r="AZ1358" s="28"/>
      <c r="BA1358" s="28"/>
      <c r="BB1358" s="28"/>
    </row>
    <row r="1359" spans="1:54" ht="12.75" x14ac:dyDescent="0.2">
      <c r="A1359" s="28"/>
      <c r="B1359" s="28"/>
      <c r="C1359" s="28"/>
      <c r="D1359" s="28"/>
      <c r="E1359" s="28"/>
      <c r="F1359" s="28"/>
      <c r="G1359" s="28"/>
      <c r="H1359" s="28"/>
      <c r="I1359" s="28"/>
      <c r="J1359" s="28"/>
      <c r="K1359" s="28"/>
      <c r="L1359" s="28"/>
      <c r="M1359" s="28"/>
      <c r="N1359" s="28"/>
      <c r="O1359" s="28"/>
      <c r="P1359" s="28"/>
      <c r="Q1359" s="28"/>
      <c r="R1359" s="28"/>
      <c r="S1359" s="28"/>
      <c r="T1359" s="28"/>
      <c r="U1359" s="28"/>
      <c r="V1359" s="28"/>
      <c r="W1359" s="28"/>
      <c r="X1359" s="28"/>
      <c r="Y1359" s="28"/>
      <c r="Z1359" s="28"/>
      <c r="AA1359" s="28"/>
      <c r="AB1359" s="28"/>
      <c r="AC1359" s="28"/>
      <c r="AD1359" s="28"/>
      <c r="AE1359" s="28"/>
      <c r="AF1359" s="28"/>
      <c r="AG1359" s="28"/>
      <c r="AH1359" s="28"/>
      <c r="AI1359" s="28"/>
      <c r="AJ1359" s="28"/>
      <c r="AK1359" s="28"/>
      <c r="AL1359" s="28"/>
      <c r="AM1359" s="28"/>
      <c r="AN1359" s="28"/>
      <c r="AO1359" s="28"/>
      <c r="AP1359" s="28"/>
      <c r="AQ1359" s="28"/>
      <c r="AR1359" s="28"/>
      <c r="AS1359" s="28"/>
      <c r="AT1359" s="28"/>
      <c r="AU1359" s="28"/>
      <c r="AV1359" s="28"/>
      <c r="AW1359" s="28"/>
      <c r="AX1359" s="28"/>
      <c r="AY1359" s="28"/>
      <c r="AZ1359" s="28"/>
      <c r="BA1359" s="28"/>
      <c r="BB1359" s="28"/>
    </row>
    <row r="1360" spans="1:54" ht="12.75" x14ac:dyDescent="0.2">
      <c r="A1360" s="28"/>
      <c r="B1360" s="28"/>
      <c r="C1360" s="28"/>
      <c r="D1360" s="28"/>
      <c r="E1360" s="28"/>
      <c r="F1360" s="28"/>
      <c r="G1360" s="28"/>
      <c r="H1360" s="28"/>
      <c r="I1360" s="28"/>
      <c r="J1360" s="28"/>
      <c r="K1360" s="28"/>
      <c r="L1360" s="28"/>
      <c r="M1360" s="28"/>
      <c r="N1360" s="28"/>
      <c r="O1360" s="28"/>
      <c r="P1360" s="28"/>
      <c r="Q1360" s="28"/>
      <c r="R1360" s="28"/>
      <c r="S1360" s="28"/>
      <c r="T1360" s="28"/>
      <c r="U1360" s="28"/>
      <c r="V1360" s="28"/>
      <c r="W1360" s="28"/>
      <c r="X1360" s="28"/>
      <c r="Y1360" s="28"/>
      <c r="Z1360" s="28"/>
      <c r="AA1360" s="28"/>
      <c r="AB1360" s="28"/>
      <c r="AC1360" s="28"/>
      <c r="AD1360" s="28"/>
      <c r="AE1360" s="28"/>
      <c r="AF1360" s="28"/>
      <c r="AG1360" s="28"/>
      <c r="AH1360" s="28"/>
      <c r="AI1360" s="28"/>
      <c r="AJ1360" s="28"/>
      <c r="AK1360" s="28"/>
      <c r="AL1360" s="28"/>
      <c r="AM1360" s="28"/>
      <c r="AN1360" s="28"/>
      <c r="AO1360" s="28"/>
      <c r="AP1360" s="28"/>
      <c r="AQ1360" s="28"/>
      <c r="AR1360" s="28"/>
      <c r="AS1360" s="28"/>
      <c r="AT1360" s="28"/>
      <c r="AU1360" s="28"/>
      <c r="AV1360" s="28"/>
      <c r="AW1360" s="28"/>
      <c r="AX1360" s="28"/>
      <c r="AY1360" s="28"/>
      <c r="AZ1360" s="28"/>
      <c r="BA1360" s="28"/>
      <c r="BB1360" s="28"/>
    </row>
    <row r="1361" spans="1:54" ht="12.75" x14ac:dyDescent="0.2">
      <c r="A1361" s="28"/>
      <c r="B1361" s="28"/>
      <c r="C1361" s="28"/>
      <c r="D1361" s="28"/>
      <c r="E1361" s="28"/>
      <c r="F1361" s="28"/>
      <c r="G1361" s="28"/>
      <c r="H1361" s="28"/>
      <c r="I1361" s="28"/>
      <c r="J1361" s="28"/>
      <c r="K1361" s="28"/>
      <c r="L1361" s="28"/>
      <c r="M1361" s="28"/>
      <c r="N1361" s="28"/>
      <c r="O1361" s="28"/>
      <c r="P1361" s="28"/>
      <c r="Q1361" s="28"/>
      <c r="R1361" s="28"/>
      <c r="S1361" s="28"/>
      <c r="T1361" s="28"/>
      <c r="U1361" s="28"/>
      <c r="V1361" s="28"/>
      <c r="W1361" s="28"/>
      <c r="X1361" s="28"/>
      <c r="Y1361" s="28"/>
      <c r="Z1361" s="28"/>
      <c r="AA1361" s="28"/>
      <c r="AB1361" s="28"/>
      <c r="AC1361" s="28"/>
      <c r="AD1361" s="28"/>
      <c r="AE1361" s="28"/>
      <c r="AF1361" s="28"/>
      <c r="AG1361" s="28"/>
      <c r="AH1361" s="28"/>
      <c r="AI1361" s="28"/>
      <c r="AJ1361" s="28"/>
      <c r="AK1361" s="28"/>
      <c r="AL1361" s="28"/>
      <c r="AM1361" s="28"/>
      <c r="AN1361" s="28"/>
      <c r="AO1361" s="28"/>
      <c r="AP1361" s="28"/>
      <c r="AQ1361" s="28"/>
      <c r="AR1361" s="28"/>
      <c r="AS1361" s="28"/>
      <c r="AT1361" s="28"/>
      <c r="AU1361" s="28"/>
      <c r="AV1361" s="28"/>
      <c r="AW1361" s="28"/>
      <c r="AX1361" s="28"/>
      <c r="AY1361" s="28"/>
      <c r="AZ1361" s="28"/>
      <c r="BA1361" s="28"/>
      <c r="BB1361" s="28"/>
    </row>
    <row r="1362" spans="1:54" ht="12.75" x14ac:dyDescent="0.2">
      <c r="A1362" s="28"/>
      <c r="B1362" s="28"/>
      <c r="C1362" s="28"/>
      <c r="D1362" s="28"/>
      <c r="E1362" s="28"/>
      <c r="F1362" s="28"/>
      <c r="G1362" s="28"/>
      <c r="H1362" s="28"/>
      <c r="I1362" s="28"/>
      <c r="J1362" s="28"/>
      <c r="K1362" s="28"/>
      <c r="L1362" s="28"/>
      <c r="M1362" s="28"/>
      <c r="N1362" s="28"/>
      <c r="O1362" s="28"/>
      <c r="P1362" s="28"/>
      <c r="Q1362" s="28"/>
      <c r="R1362" s="28"/>
      <c r="S1362" s="28"/>
      <c r="T1362" s="28"/>
      <c r="U1362" s="28"/>
      <c r="V1362" s="28"/>
      <c r="W1362" s="28"/>
      <c r="X1362" s="28"/>
      <c r="Y1362" s="28"/>
      <c r="Z1362" s="28"/>
      <c r="AA1362" s="28"/>
      <c r="AB1362" s="28"/>
      <c r="AC1362" s="28"/>
      <c r="AD1362" s="28"/>
      <c r="AE1362" s="28"/>
      <c r="AF1362" s="28"/>
      <c r="AG1362" s="28"/>
      <c r="AH1362" s="28"/>
      <c r="AI1362" s="28"/>
      <c r="AJ1362" s="28"/>
      <c r="AK1362" s="28"/>
      <c r="AL1362" s="28"/>
      <c r="AM1362" s="28"/>
      <c r="AN1362" s="28"/>
      <c r="AO1362" s="28"/>
      <c r="AP1362" s="28"/>
      <c r="AQ1362" s="28"/>
      <c r="AR1362" s="28"/>
      <c r="AS1362" s="28"/>
      <c r="AT1362" s="28"/>
      <c r="AU1362" s="28"/>
      <c r="AV1362" s="28"/>
      <c r="AW1362" s="28"/>
      <c r="AX1362" s="28"/>
      <c r="AY1362" s="28"/>
      <c r="AZ1362" s="28"/>
      <c r="BA1362" s="28"/>
      <c r="BB1362" s="28"/>
    </row>
    <row r="1363" spans="1:54" ht="12.75" x14ac:dyDescent="0.2">
      <c r="A1363" s="28"/>
      <c r="B1363" s="28"/>
      <c r="C1363" s="28"/>
      <c r="D1363" s="28"/>
      <c r="E1363" s="28"/>
      <c r="F1363" s="28"/>
      <c r="G1363" s="28"/>
      <c r="H1363" s="28"/>
      <c r="I1363" s="28"/>
      <c r="J1363" s="28"/>
      <c r="K1363" s="28"/>
      <c r="L1363" s="28"/>
      <c r="M1363" s="28"/>
      <c r="N1363" s="28"/>
      <c r="O1363" s="28"/>
      <c r="P1363" s="28"/>
      <c r="Q1363" s="28"/>
      <c r="R1363" s="28"/>
      <c r="S1363" s="28"/>
      <c r="T1363" s="28"/>
      <c r="U1363" s="28"/>
      <c r="V1363" s="28"/>
      <c r="W1363" s="28"/>
      <c r="X1363" s="28"/>
      <c r="Y1363" s="28"/>
      <c r="Z1363" s="28"/>
      <c r="AA1363" s="28"/>
      <c r="AB1363" s="28"/>
      <c r="AC1363" s="28"/>
      <c r="AD1363" s="28"/>
      <c r="AE1363" s="28"/>
      <c r="AF1363" s="28"/>
      <c r="AG1363" s="28"/>
      <c r="AH1363" s="28"/>
      <c r="AI1363" s="28"/>
      <c r="AJ1363" s="28"/>
      <c r="AK1363" s="28"/>
      <c r="AL1363" s="28"/>
      <c r="AM1363" s="28"/>
      <c r="AN1363" s="28"/>
      <c r="AO1363" s="28"/>
      <c r="AP1363" s="28"/>
      <c r="AQ1363" s="28"/>
      <c r="AR1363" s="28"/>
      <c r="AS1363" s="28"/>
      <c r="AT1363" s="28"/>
      <c r="AU1363" s="28"/>
      <c r="AV1363" s="28"/>
      <c r="AW1363" s="28"/>
      <c r="AX1363" s="28"/>
      <c r="AY1363" s="28"/>
      <c r="AZ1363" s="28"/>
      <c r="BA1363" s="28"/>
      <c r="BB1363" s="28"/>
    </row>
    <row r="1364" spans="1:54" ht="12.75" x14ac:dyDescent="0.2">
      <c r="A1364" s="28"/>
      <c r="B1364" s="28"/>
      <c r="C1364" s="28"/>
      <c r="D1364" s="28"/>
      <c r="E1364" s="28"/>
      <c r="F1364" s="28"/>
      <c r="G1364" s="28"/>
      <c r="H1364" s="28"/>
      <c r="I1364" s="28"/>
      <c r="J1364" s="28"/>
      <c r="K1364" s="28"/>
      <c r="L1364" s="28"/>
      <c r="M1364" s="28"/>
      <c r="N1364" s="28"/>
      <c r="O1364" s="28"/>
      <c r="P1364" s="28"/>
      <c r="Q1364" s="28"/>
      <c r="R1364" s="28"/>
      <c r="S1364" s="28"/>
      <c r="T1364" s="28"/>
      <c r="U1364" s="28"/>
      <c r="V1364" s="28"/>
      <c r="W1364" s="28"/>
      <c r="X1364" s="28"/>
      <c r="Y1364" s="28"/>
      <c r="Z1364" s="28"/>
      <c r="AA1364" s="28"/>
      <c r="AB1364" s="28"/>
      <c r="AC1364" s="28"/>
      <c r="AD1364" s="28"/>
      <c r="AE1364" s="28"/>
      <c r="AF1364" s="28"/>
      <c r="AG1364" s="28"/>
      <c r="AH1364" s="28"/>
      <c r="AI1364" s="28"/>
      <c r="AJ1364" s="28"/>
      <c r="AK1364" s="28"/>
      <c r="AL1364" s="28"/>
      <c r="AM1364" s="28"/>
      <c r="AN1364" s="28"/>
      <c r="AO1364" s="28"/>
      <c r="AP1364" s="28"/>
      <c r="AQ1364" s="28"/>
      <c r="AR1364" s="28"/>
      <c r="AS1364" s="28"/>
      <c r="AT1364" s="28"/>
      <c r="AU1364" s="28"/>
      <c r="AV1364" s="28"/>
      <c r="AW1364" s="28"/>
      <c r="AX1364" s="28"/>
      <c r="AY1364" s="28"/>
      <c r="AZ1364" s="28"/>
      <c r="BA1364" s="28"/>
      <c r="BB1364" s="28"/>
    </row>
    <row r="1365" spans="1:54" ht="12.75" x14ac:dyDescent="0.2">
      <c r="A1365" s="28"/>
      <c r="B1365" s="28"/>
      <c r="C1365" s="28"/>
      <c r="D1365" s="28"/>
      <c r="E1365" s="28"/>
      <c r="F1365" s="28"/>
      <c r="G1365" s="28"/>
      <c r="H1365" s="28"/>
      <c r="I1365" s="28"/>
      <c r="J1365" s="28"/>
      <c r="K1365" s="28"/>
      <c r="L1365" s="28"/>
      <c r="M1365" s="28"/>
      <c r="N1365" s="28"/>
      <c r="O1365" s="28"/>
      <c r="P1365" s="28"/>
      <c r="Q1365" s="28"/>
      <c r="R1365" s="28"/>
      <c r="S1365" s="28"/>
      <c r="T1365" s="28"/>
      <c r="U1365" s="28"/>
      <c r="V1365" s="28"/>
      <c r="W1365" s="28"/>
      <c r="X1365" s="28"/>
      <c r="Y1365" s="28"/>
      <c r="Z1365" s="28"/>
      <c r="AA1365" s="28"/>
      <c r="AB1365" s="28"/>
      <c r="AC1365" s="28"/>
      <c r="AD1365" s="28"/>
      <c r="AE1365" s="28"/>
      <c r="AF1365" s="28"/>
      <c r="AG1365" s="28"/>
      <c r="AH1365" s="28"/>
      <c r="AI1365" s="28"/>
      <c r="AJ1365" s="28"/>
      <c r="AK1365" s="28"/>
      <c r="AL1365" s="28"/>
      <c r="AM1365" s="28"/>
      <c r="AN1365" s="28"/>
      <c r="AO1365" s="28"/>
      <c r="AP1365" s="28"/>
      <c r="AQ1365" s="28"/>
      <c r="AR1365" s="28"/>
      <c r="AS1365" s="28"/>
      <c r="AT1365" s="28"/>
      <c r="AU1365" s="28"/>
      <c r="AV1365" s="28"/>
      <c r="AW1365" s="28"/>
      <c r="AX1365" s="28"/>
      <c r="AY1365" s="28"/>
      <c r="AZ1365" s="28"/>
      <c r="BA1365" s="28"/>
      <c r="BB1365" s="28"/>
    </row>
    <row r="1366" spans="1:54" ht="12.75" x14ac:dyDescent="0.2">
      <c r="A1366" s="28"/>
      <c r="B1366" s="28"/>
      <c r="C1366" s="28"/>
      <c r="D1366" s="28"/>
      <c r="E1366" s="28"/>
      <c r="F1366" s="28"/>
      <c r="G1366" s="28"/>
      <c r="H1366" s="28"/>
      <c r="I1366" s="28"/>
      <c r="J1366" s="28"/>
      <c r="K1366" s="28"/>
      <c r="L1366" s="28"/>
      <c r="M1366" s="28"/>
      <c r="N1366" s="28"/>
      <c r="O1366" s="28"/>
      <c r="P1366" s="28"/>
      <c r="Q1366" s="28"/>
      <c r="R1366" s="28"/>
      <c r="S1366" s="28"/>
      <c r="T1366" s="28"/>
      <c r="U1366" s="28"/>
      <c r="V1366" s="28"/>
      <c r="W1366" s="28"/>
      <c r="X1366" s="28"/>
      <c r="Y1366" s="28"/>
      <c r="Z1366" s="28"/>
      <c r="AA1366" s="28"/>
      <c r="AB1366" s="28"/>
      <c r="AC1366" s="28"/>
      <c r="AD1366" s="28"/>
      <c r="AE1366" s="28"/>
      <c r="AF1366" s="28"/>
      <c r="AG1366" s="28"/>
      <c r="AH1366" s="28"/>
      <c r="AI1366" s="28"/>
      <c r="AJ1366" s="28"/>
      <c r="AK1366" s="28"/>
      <c r="AL1366" s="28"/>
      <c r="AM1366" s="28"/>
      <c r="AN1366" s="28"/>
      <c r="AO1366" s="28"/>
      <c r="AP1366" s="28"/>
      <c r="AQ1366" s="28"/>
      <c r="AR1366" s="28"/>
      <c r="AS1366" s="28"/>
      <c r="AT1366" s="28"/>
      <c r="AU1366" s="28"/>
      <c r="AV1366" s="28"/>
      <c r="AW1366" s="28"/>
      <c r="AX1366" s="28"/>
      <c r="AY1366" s="28"/>
      <c r="AZ1366" s="28"/>
      <c r="BA1366" s="28"/>
      <c r="BB1366" s="28"/>
    </row>
    <row r="1367" spans="1:54" ht="12.75" x14ac:dyDescent="0.2">
      <c r="A1367" s="28"/>
      <c r="B1367" s="28"/>
      <c r="C1367" s="28"/>
      <c r="D1367" s="28"/>
      <c r="E1367" s="28"/>
      <c r="F1367" s="28"/>
      <c r="G1367" s="28"/>
      <c r="H1367" s="28"/>
      <c r="I1367" s="28"/>
      <c r="J1367" s="28"/>
      <c r="K1367" s="28"/>
      <c r="L1367" s="28"/>
      <c r="M1367" s="28"/>
      <c r="N1367" s="28"/>
      <c r="O1367" s="28"/>
      <c r="P1367" s="28"/>
      <c r="Q1367" s="28"/>
      <c r="R1367" s="28"/>
      <c r="S1367" s="28"/>
      <c r="T1367" s="28"/>
      <c r="U1367" s="28"/>
      <c r="V1367" s="28"/>
      <c r="W1367" s="28"/>
      <c r="X1367" s="28"/>
      <c r="Y1367" s="28"/>
      <c r="Z1367" s="28"/>
      <c r="AA1367" s="28"/>
      <c r="AB1367" s="28"/>
      <c r="AC1367" s="28"/>
      <c r="AD1367" s="28"/>
      <c r="AE1367" s="28"/>
      <c r="AF1367" s="28"/>
      <c r="AG1367" s="28"/>
      <c r="AH1367" s="28"/>
      <c r="AI1367" s="28"/>
      <c r="AJ1367" s="28"/>
      <c r="AK1367" s="28"/>
      <c r="AL1367" s="28"/>
      <c r="AM1367" s="28"/>
      <c r="AN1367" s="28"/>
      <c r="AO1367" s="28"/>
      <c r="AP1367" s="28"/>
      <c r="AQ1367" s="28"/>
      <c r="AR1367" s="28"/>
      <c r="AS1367" s="28"/>
      <c r="AT1367" s="28"/>
      <c r="AU1367" s="28"/>
      <c r="AV1367" s="28"/>
      <c r="AW1367" s="28"/>
      <c r="AX1367" s="28"/>
      <c r="AY1367" s="28"/>
      <c r="AZ1367" s="28"/>
      <c r="BA1367" s="28"/>
      <c r="BB1367" s="28"/>
    </row>
    <row r="1368" spans="1:54" ht="12.75" x14ac:dyDescent="0.2">
      <c r="A1368" s="28"/>
      <c r="B1368" s="28"/>
      <c r="C1368" s="28"/>
      <c r="D1368" s="28"/>
      <c r="E1368" s="28"/>
      <c r="F1368" s="28"/>
      <c r="G1368" s="28"/>
      <c r="H1368" s="28"/>
      <c r="I1368" s="28"/>
      <c r="J1368" s="28"/>
      <c r="K1368" s="28"/>
      <c r="L1368" s="28"/>
      <c r="M1368" s="28"/>
      <c r="N1368" s="28"/>
      <c r="O1368" s="28"/>
      <c r="P1368" s="28"/>
      <c r="Q1368" s="28"/>
      <c r="R1368" s="28"/>
      <c r="S1368" s="28"/>
      <c r="T1368" s="28"/>
      <c r="U1368" s="28"/>
      <c r="V1368" s="28"/>
      <c r="W1368" s="28"/>
      <c r="X1368" s="28"/>
      <c r="Y1368" s="28"/>
      <c r="Z1368" s="28"/>
      <c r="AA1368" s="28"/>
      <c r="AB1368" s="28"/>
      <c r="AC1368" s="28"/>
      <c r="AD1368" s="28"/>
      <c r="AE1368" s="28"/>
      <c r="AF1368" s="28"/>
      <c r="AG1368" s="28"/>
      <c r="AH1368" s="28"/>
      <c r="AI1368" s="28"/>
      <c r="AJ1368" s="28"/>
      <c r="AK1368" s="28"/>
      <c r="AL1368" s="28"/>
      <c r="AM1368" s="28"/>
      <c r="AN1368" s="28"/>
      <c r="AO1368" s="28"/>
      <c r="AP1368" s="28"/>
      <c r="AQ1368" s="28"/>
      <c r="AR1368" s="28"/>
      <c r="AS1368" s="28"/>
      <c r="AT1368" s="28"/>
      <c r="AU1368" s="28"/>
      <c r="AV1368" s="28"/>
      <c r="AW1368" s="28"/>
      <c r="AX1368" s="28"/>
      <c r="AY1368" s="28"/>
      <c r="AZ1368" s="28"/>
      <c r="BA1368" s="28"/>
      <c r="BB1368" s="28"/>
    </row>
    <row r="1369" spans="1:54" ht="12.75" x14ac:dyDescent="0.2">
      <c r="A1369" s="28"/>
      <c r="B1369" s="28"/>
      <c r="C1369" s="28"/>
      <c r="D1369" s="28"/>
      <c r="E1369" s="28"/>
      <c r="F1369" s="28"/>
      <c r="G1369" s="28"/>
      <c r="H1369" s="28"/>
      <c r="I1369" s="28"/>
      <c r="J1369" s="28"/>
      <c r="K1369" s="28"/>
      <c r="L1369" s="28"/>
      <c r="M1369" s="28"/>
      <c r="N1369" s="28"/>
      <c r="O1369" s="28"/>
      <c r="P1369" s="28"/>
      <c r="Q1369" s="28"/>
      <c r="R1369" s="28"/>
      <c r="S1369" s="28"/>
      <c r="T1369" s="28"/>
      <c r="U1369" s="28"/>
      <c r="V1369" s="28"/>
      <c r="W1369" s="28"/>
      <c r="X1369" s="28"/>
      <c r="Y1369" s="28"/>
      <c r="Z1369" s="28"/>
      <c r="AA1369" s="28"/>
      <c r="AB1369" s="28"/>
      <c r="AC1369" s="28"/>
      <c r="AD1369" s="28"/>
      <c r="AE1369" s="28"/>
      <c r="AF1369" s="28"/>
      <c r="AG1369" s="28"/>
      <c r="AH1369" s="28"/>
      <c r="AI1369" s="28"/>
      <c r="AJ1369" s="28"/>
      <c r="AK1369" s="28"/>
      <c r="AL1369" s="28"/>
      <c r="AM1369" s="28"/>
      <c r="AN1369" s="28"/>
      <c r="AO1369" s="28"/>
      <c r="AP1369" s="28"/>
      <c r="AQ1369" s="28"/>
      <c r="AR1369" s="28"/>
      <c r="AS1369" s="28"/>
      <c r="AT1369" s="28"/>
      <c r="AU1369" s="28"/>
      <c r="AV1369" s="28"/>
      <c r="AW1369" s="28"/>
      <c r="AX1369" s="28"/>
      <c r="AY1369" s="28"/>
      <c r="AZ1369" s="28"/>
      <c r="BA1369" s="28"/>
      <c r="BB1369" s="28"/>
    </row>
    <row r="1370" spans="1:54" ht="12.75" x14ac:dyDescent="0.2">
      <c r="A1370" s="28"/>
      <c r="B1370" s="28"/>
      <c r="C1370" s="28"/>
      <c r="D1370" s="28"/>
      <c r="E1370" s="28"/>
      <c r="F1370" s="28"/>
      <c r="G1370" s="28"/>
      <c r="H1370" s="28"/>
      <c r="I1370" s="28"/>
      <c r="J1370" s="28"/>
      <c r="K1370" s="28"/>
      <c r="L1370" s="28"/>
      <c r="M1370" s="28"/>
      <c r="N1370" s="28"/>
      <c r="O1370" s="28"/>
      <c r="P1370" s="28"/>
      <c r="Q1370" s="28"/>
      <c r="R1370" s="28"/>
      <c r="S1370" s="28"/>
      <c r="T1370" s="28"/>
      <c r="U1370" s="28"/>
      <c r="V1370" s="28"/>
      <c r="W1370" s="28"/>
      <c r="X1370" s="28"/>
      <c r="Y1370" s="28"/>
      <c r="Z1370" s="28"/>
      <c r="AA1370" s="28"/>
      <c r="AB1370" s="28"/>
      <c r="AC1370" s="28"/>
      <c r="AD1370" s="28"/>
      <c r="AE1370" s="28"/>
      <c r="AF1370" s="28"/>
      <c r="AG1370" s="28"/>
      <c r="AH1370" s="28"/>
      <c r="AI1370" s="28"/>
      <c r="AJ1370" s="28"/>
      <c r="AK1370" s="28"/>
      <c r="AL1370" s="28"/>
      <c r="AM1370" s="28"/>
      <c r="AN1370" s="28"/>
      <c r="AO1370" s="28"/>
      <c r="AP1370" s="28"/>
      <c r="AQ1370" s="28"/>
      <c r="AR1370" s="28"/>
      <c r="AS1370" s="28"/>
      <c r="AT1370" s="28"/>
      <c r="AU1370" s="28"/>
      <c r="AV1370" s="28"/>
      <c r="AW1370" s="28"/>
      <c r="AX1370" s="28"/>
      <c r="AY1370" s="28"/>
      <c r="AZ1370" s="28"/>
      <c r="BA1370" s="28"/>
      <c r="BB1370" s="28"/>
    </row>
    <row r="1371" spans="1:54" ht="12.75" x14ac:dyDescent="0.2">
      <c r="A1371" s="28"/>
      <c r="B1371" s="28"/>
      <c r="C1371" s="28"/>
      <c r="D1371" s="28"/>
      <c r="E1371" s="28"/>
      <c r="F1371" s="28"/>
      <c r="G1371" s="28"/>
      <c r="H1371" s="28"/>
      <c r="I1371" s="28"/>
      <c r="J1371" s="28"/>
      <c r="K1371" s="28"/>
      <c r="L1371" s="28"/>
      <c r="M1371" s="28"/>
      <c r="N1371" s="28"/>
      <c r="O1371" s="28"/>
      <c r="P1371" s="28"/>
      <c r="Q1371" s="28"/>
      <c r="R1371" s="28"/>
      <c r="S1371" s="28"/>
      <c r="T1371" s="28"/>
      <c r="U1371" s="28"/>
      <c r="V1371" s="28"/>
      <c r="W1371" s="28"/>
      <c r="X1371" s="28"/>
      <c r="Y1371" s="28"/>
      <c r="Z1371" s="28"/>
      <c r="AA1371" s="28"/>
      <c r="AB1371" s="28"/>
      <c r="AC1371" s="28"/>
      <c r="AD1371" s="28"/>
      <c r="AE1371" s="28"/>
      <c r="AF1371" s="28"/>
      <c r="AG1371" s="28"/>
      <c r="AH1371" s="28"/>
      <c r="AI1371" s="28"/>
      <c r="AJ1371" s="28"/>
      <c r="AK1371" s="28"/>
      <c r="AL1371" s="28"/>
      <c r="AM1371" s="28"/>
      <c r="AN1371" s="28"/>
      <c r="AO1371" s="28"/>
      <c r="AP1371" s="28"/>
      <c r="AQ1371" s="28"/>
      <c r="AR1371" s="28"/>
      <c r="AS1371" s="28"/>
      <c r="AT1371" s="28"/>
      <c r="AU1371" s="28"/>
      <c r="AV1371" s="28"/>
      <c r="AW1371" s="28"/>
      <c r="AX1371" s="28"/>
      <c r="AY1371" s="28"/>
      <c r="AZ1371" s="28"/>
      <c r="BA1371" s="28"/>
      <c r="BB1371" s="28"/>
    </row>
    <row r="1372" spans="1:54" ht="12.75" x14ac:dyDescent="0.2">
      <c r="A1372" s="28"/>
      <c r="B1372" s="28"/>
      <c r="C1372" s="28"/>
      <c r="D1372" s="28"/>
      <c r="E1372" s="28"/>
      <c r="F1372" s="28"/>
      <c r="G1372" s="28"/>
      <c r="H1372" s="28"/>
      <c r="I1372" s="28"/>
      <c r="J1372" s="28"/>
      <c r="K1372" s="28"/>
      <c r="L1372" s="28"/>
      <c r="M1372" s="28"/>
      <c r="N1372" s="28"/>
      <c r="O1372" s="28"/>
      <c r="P1372" s="28"/>
      <c r="Q1372" s="28"/>
      <c r="R1372" s="28"/>
      <c r="S1372" s="28"/>
      <c r="T1372" s="28"/>
      <c r="U1372" s="28"/>
      <c r="V1372" s="28"/>
      <c r="W1372" s="28"/>
      <c r="X1372" s="28"/>
      <c r="Y1372" s="28"/>
      <c r="Z1372" s="28"/>
      <c r="AA1372" s="28"/>
      <c r="AB1372" s="28"/>
      <c r="AC1372" s="28"/>
      <c r="AD1372" s="28"/>
      <c r="AE1372" s="28"/>
      <c r="AF1372" s="28"/>
      <c r="AG1372" s="28"/>
      <c r="AH1372" s="28"/>
      <c r="AI1372" s="28"/>
      <c r="AJ1372" s="28"/>
      <c r="AK1372" s="28"/>
      <c r="AL1372" s="28"/>
      <c r="AM1372" s="28"/>
      <c r="AN1372" s="28"/>
      <c r="AO1372" s="28"/>
      <c r="AP1372" s="28"/>
      <c r="AQ1372" s="28"/>
      <c r="AR1372" s="28"/>
      <c r="AS1372" s="28"/>
      <c r="AT1372" s="28"/>
      <c r="AU1372" s="28"/>
      <c r="AV1372" s="28"/>
      <c r="AW1372" s="28"/>
      <c r="AX1372" s="28"/>
      <c r="AY1372" s="28"/>
      <c r="AZ1372" s="28"/>
      <c r="BA1372" s="28"/>
      <c r="BB1372" s="28"/>
    </row>
    <row r="1373" spans="1:54" ht="12.75" x14ac:dyDescent="0.2">
      <c r="A1373" s="28"/>
      <c r="B1373" s="28"/>
      <c r="C1373" s="28"/>
      <c r="D1373" s="28"/>
      <c r="E1373" s="28"/>
      <c r="F1373" s="28"/>
      <c r="G1373" s="28"/>
      <c r="H1373" s="28"/>
      <c r="I1373" s="28"/>
      <c r="J1373" s="28"/>
      <c r="K1373" s="28"/>
      <c r="L1373" s="28"/>
      <c r="M1373" s="28"/>
      <c r="N1373" s="28"/>
      <c r="O1373" s="28"/>
      <c r="P1373" s="28"/>
      <c r="Q1373" s="28"/>
      <c r="R1373" s="28"/>
      <c r="S1373" s="28"/>
      <c r="T1373" s="28"/>
      <c r="U1373" s="28"/>
      <c r="V1373" s="28"/>
      <c r="W1373" s="28"/>
      <c r="X1373" s="28"/>
      <c r="Y1373" s="28"/>
      <c r="Z1373" s="28"/>
      <c r="AA1373" s="28"/>
      <c r="AB1373" s="28"/>
      <c r="AC1373" s="28"/>
      <c r="AD1373" s="28"/>
      <c r="AE1373" s="28"/>
      <c r="AF1373" s="28"/>
      <c r="AG1373" s="28"/>
      <c r="AH1373" s="28"/>
      <c r="AI1373" s="28"/>
      <c r="AJ1373" s="28"/>
      <c r="AK1373" s="28"/>
      <c r="AL1373" s="28"/>
      <c r="AM1373" s="28"/>
      <c r="AN1373" s="28"/>
      <c r="AO1373" s="28"/>
      <c r="AP1373" s="28"/>
      <c r="AQ1373" s="28"/>
      <c r="AR1373" s="28"/>
      <c r="AS1373" s="28"/>
      <c r="AT1373" s="28"/>
      <c r="AU1373" s="28"/>
      <c r="AV1373" s="28"/>
      <c r="AW1373" s="28"/>
      <c r="AX1373" s="28"/>
      <c r="AY1373" s="28"/>
      <c r="AZ1373" s="28"/>
      <c r="BA1373" s="28"/>
      <c r="BB1373" s="28"/>
    </row>
    <row r="1374" spans="1:54" ht="12.75" x14ac:dyDescent="0.2">
      <c r="A1374" s="28"/>
      <c r="B1374" s="28"/>
      <c r="C1374" s="28"/>
      <c r="D1374" s="28"/>
      <c r="E1374" s="28"/>
      <c r="F1374" s="28"/>
      <c r="G1374" s="28"/>
      <c r="H1374" s="28"/>
      <c r="I1374" s="28"/>
      <c r="J1374" s="28"/>
      <c r="K1374" s="28"/>
      <c r="L1374" s="28"/>
      <c r="M1374" s="28"/>
      <c r="N1374" s="28"/>
      <c r="O1374" s="28"/>
      <c r="P1374" s="28"/>
      <c r="Q1374" s="28"/>
      <c r="R1374" s="28"/>
      <c r="S1374" s="28"/>
      <c r="T1374" s="28"/>
      <c r="U1374" s="28"/>
      <c r="V1374" s="28"/>
      <c r="W1374" s="28"/>
      <c r="X1374" s="28"/>
      <c r="Y1374" s="28"/>
      <c r="Z1374" s="28"/>
      <c r="AA1374" s="28"/>
      <c r="AB1374" s="28"/>
      <c r="AC1374" s="28"/>
      <c r="AD1374" s="28"/>
      <c r="AE1374" s="28"/>
      <c r="AF1374" s="28"/>
      <c r="AG1374" s="28"/>
      <c r="AH1374" s="28"/>
      <c r="AI1374" s="28"/>
      <c r="AJ1374" s="28"/>
      <c r="AK1374" s="28"/>
      <c r="AL1374" s="28"/>
      <c r="AM1374" s="28"/>
      <c r="AN1374" s="28"/>
      <c r="AO1374" s="28"/>
      <c r="AP1374" s="28"/>
      <c r="AQ1374" s="28"/>
      <c r="AR1374" s="28"/>
      <c r="AS1374" s="28"/>
      <c r="AT1374" s="28"/>
      <c r="AU1374" s="28"/>
      <c r="AV1374" s="28"/>
      <c r="AW1374" s="28"/>
      <c r="AX1374" s="28"/>
      <c r="AY1374" s="28"/>
      <c r="AZ1374" s="28"/>
      <c r="BA1374" s="28"/>
      <c r="BB1374" s="28"/>
    </row>
    <row r="1375" spans="1:54" ht="12.75" x14ac:dyDescent="0.2">
      <c r="A1375" s="28"/>
      <c r="B1375" s="28"/>
      <c r="C1375" s="28"/>
      <c r="D1375" s="28"/>
      <c r="E1375" s="28"/>
      <c r="F1375" s="28"/>
      <c r="G1375" s="28"/>
      <c r="H1375" s="28"/>
      <c r="I1375" s="28"/>
      <c r="J1375" s="28"/>
      <c r="K1375" s="28"/>
      <c r="L1375" s="28"/>
      <c r="M1375" s="28"/>
      <c r="N1375" s="28"/>
      <c r="O1375" s="28"/>
      <c r="P1375" s="28"/>
      <c r="Q1375" s="28"/>
      <c r="R1375" s="28"/>
      <c r="S1375" s="28"/>
      <c r="T1375" s="28"/>
      <c r="U1375" s="28"/>
      <c r="V1375" s="28"/>
      <c r="W1375" s="28"/>
      <c r="X1375" s="28"/>
      <c r="Y1375" s="28"/>
      <c r="Z1375" s="28"/>
      <c r="AA1375" s="28"/>
      <c r="AB1375" s="28"/>
      <c r="AC1375" s="28"/>
      <c r="AD1375" s="28"/>
      <c r="AE1375" s="28"/>
      <c r="AF1375" s="28"/>
      <c r="AG1375" s="28"/>
      <c r="AH1375" s="28"/>
      <c r="AI1375" s="28"/>
      <c r="AJ1375" s="28"/>
      <c r="AK1375" s="28"/>
      <c r="AL1375" s="28"/>
      <c r="AM1375" s="28"/>
      <c r="AN1375" s="28"/>
      <c r="AO1375" s="28"/>
      <c r="AP1375" s="28"/>
      <c r="AQ1375" s="28"/>
      <c r="AR1375" s="28"/>
      <c r="AS1375" s="28"/>
      <c r="AT1375" s="28"/>
      <c r="AU1375" s="28"/>
      <c r="AV1375" s="28"/>
      <c r="AW1375" s="28"/>
      <c r="AX1375" s="28"/>
      <c r="AY1375" s="28"/>
      <c r="AZ1375" s="28"/>
      <c r="BA1375" s="28"/>
      <c r="BB1375" s="28"/>
    </row>
    <row r="1376" spans="1:54" ht="12.75" x14ac:dyDescent="0.2">
      <c r="A1376" s="28"/>
      <c r="B1376" s="28"/>
      <c r="C1376" s="28"/>
      <c r="D1376" s="28"/>
      <c r="E1376" s="28"/>
      <c r="F1376" s="28"/>
      <c r="G1376" s="28"/>
      <c r="H1376" s="28"/>
      <c r="I1376" s="28"/>
      <c r="J1376" s="28"/>
      <c r="K1376" s="28"/>
      <c r="L1376" s="28"/>
      <c r="M1376" s="28"/>
      <c r="N1376" s="28"/>
      <c r="O1376" s="28"/>
      <c r="P1376" s="28"/>
      <c r="Q1376" s="28"/>
      <c r="R1376" s="28"/>
      <c r="S1376" s="28"/>
      <c r="T1376" s="28"/>
      <c r="U1376" s="28"/>
      <c r="V1376" s="28"/>
      <c r="W1376" s="28"/>
      <c r="X1376" s="28"/>
      <c r="Y1376" s="28"/>
      <c r="Z1376" s="28"/>
      <c r="AA1376" s="28"/>
      <c r="AB1376" s="28"/>
      <c r="AC1376" s="28"/>
      <c r="AD1376" s="28"/>
      <c r="AE1376" s="28"/>
      <c r="AF1376" s="28"/>
      <c r="AG1376" s="28"/>
      <c r="AH1376" s="28"/>
      <c r="AI1376" s="28"/>
      <c r="AJ1376" s="28"/>
      <c r="AK1376" s="28"/>
      <c r="AL1376" s="28"/>
      <c r="AM1376" s="28"/>
      <c r="AN1376" s="28"/>
      <c r="AO1376" s="28"/>
      <c r="AP1376" s="28"/>
      <c r="AQ1376" s="28"/>
      <c r="AR1376" s="28"/>
      <c r="AS1376" s="28"/>
      <c r="AT1376" s="28"/>
      <c r="AU1376" s="28"/>
      <c r="AV1376" s="28"/>
      <c r="AW1376" s="28"/>
      <c r="AX1376" s="28"/>
      <c r="AY1376" s="28"/>
      <c r="AZ1376" s="28"/>
      <c r="BA1376" s="28"/>
      <c r="BB1376" s="28"/>
    </row>
    <row r="1377" spans="1:54" ht="12.75" x14ac:dyDescent="0.2">
      <c r="A1377" s="28"/>
      <c r="B1377" s="28"/>
      <c r="C1377" s="28"/>
      <c r="D1377" s="28"/>
      <c r="E1377" s="28"/>
      <c r="F1377" s="28"/>
      <c r="G1377" s="28"/>
      <c r="H1377" s="28"/>
      <c r="I1377" s="28"/>
      <c r="J1377" s="28"/>
      <c r="K1377" s="28"/>
      <c r="L1377" s="28"/>
      <c r="M1377" s="28"/>
      <c r="N1377" s="28"/>
      <c r="O1377" s="28"/>
      <c r="P1377" s="28"/>
      <c r="Q1377" s="28"/>
      <c r="R1377" s="28"/>
      <c r="S1377" s="28"/>
      <c r="T1377" s="28"/>
      <c r="U1377" s="28"/>
      <c r="V1377" s="28"/>
      <c r="W1377" s="28"/>
      <c r="X1377" s="28"/>
      <c r="Y1377" s="28"/>
      <c r="Z1377" s="28"/>
      <c r="AA1377" s="28"/>
      <c r="AB1377" s="28"/>
      <c r="AC1377" s="28"/>
      <c r="AD1377" s="28"/>
      <c r="AE1377" s="28"/>
      <c r="AF1377" s="28"/>
      <c r="AG1377" s="28"/>
      <c r="AH1377" s="28"/>
      <c r="AI1377" s="28"/>
      <c r="AJ1377" s="28"/>
      <c r="AK1377" s="28"/>
      <c r="AL1377" s="28"/>
      <c r="AM1377" s="28"/>
      <c r="AN1377" s="28"/>
      <c r="AO1377" s="28"/>
      <c r="AP1377" s="28"/>
      <c r="AQ1377" s="28"/>
      <c r="AR1377" s="28"/>
      <c r="AS1377" s="28"/>
      <c r="AT1377" s="28"/>
      <c r="AU1377" s="28"/>
      <c r="AV1377" s="28"/>
      <c r="AW1377" s="28"/>
      <c r="AX1377" s="28"/>
      <c r="AY1377" s="28"/>
      <c r="AZ1377" s="28"/>
      <c r="BA1377" s="28"/>
      <c r="BB1377" s="28"/>
    </row>
    <row r="1378" spans="1:54" ht="12.75" x14ac:dyDescent="0.2">
      <c r="A1378" s="28"/>
      <c r="B1378" s="28"/>
      <c r="C1378" s="28"/>
      <c r="D1378" s="28"/>
      <c r="E1378" s="28"/>
      <c r="F1378" s="28"/>
      <c r="G1378" s="28"/>
      <c r="H1378" s="28"/>
      <c r="I1378" s="28"/>
      <c r="J1378" s="28"/>
      <c r="K1378" s="28"/>
      <c r="L1378" s="28"/>
      <c r="M1378" s="28"/>
      <c r="N1378" s="28"/>
      <c r="O1378" s="28"/>
      <c r="P1378" s="28"/>
      <c r="Q1378" s="28"/>
      <c r="R1378" s="28"/>
      <c r="S1378" s="28"/>
      <c r="T1378" s="28"/>
      <c r="U1378" s="28"/>
      <c r="V1378" s="28"/>
      <c r="W1378" s="28"/>
      <c r="X1378" s="28"/>
      <c r="Y1378" s="28"/>
      <c r="Z1378" s="28"/>
      <c r="AA1378" s="28"/>
      <c r="AB1378" s="28"/>
      <c r="AC1378" s="28"/>
      <c r="AD1378" s="28"/>
      <c r="AE1378" s="28"/>
      <c r="AF1378" s="28"/>
      <c r="AG1378" s="28"/>
      <c r="AH1378" s="28"/>
      <c r="AI1378" s="28"/>
      <c r="AJ1378" s="28"/>
      <c r="AK1378" s="28"/>
      <c r="AL1378" s="28"/>
      <c r="AM1378" s="28"/>
      <c r="AN1378" s="28"/>
      <c r="AO1378" s="28"/>
      <c r="AP1378" s="28"/>
      <c r="AQ1378" s="28"/>
      <c r="AR1378" s="28"/>
      <c r="AS1378" s="28"/>
      <c r="AT1378" s="28"/>
      <c r="AU1378" s="28"/>
      <c r="AV1378" s="28"/>
      <c r="AW1378" s="28"/>
      <c r="AX1378" s="28"/>
      <c r="AY1378" s="28"/>
      <c r="AZ1378" s="28"/>
      <c r="BA1378" s="28"/>
      <c r="BB1378" s="28"/>
    </row>
    <row r="1379" spans="1:54" ht="12.75" x14ac:dyDescent="0.2">
      <c r="A1379" s="28"/>
      <c r="B1379" s="28"/>
      <c r="C1379" s="28"/>
      <c r="D1379" s="28"/>
      <c r="E1379" s="28"/>
      <c r="F1379" s="28"/>
      <c r="G1379" s="28"/>
      <c r="H1379" s="28"/>
      <c r="I1379" s="28"/>
      <c r="J1379" s="28"/>
      <c r="K1379" s="28"/>
      <c r="L1379" s="28"/>
      <c r="M1379" s="28"/>
      <c r="N1379" s="28"/>
      <c r="O1379" s="28"/>
      <c r="P1379" s="28"/>
      <c r="Q1379" s="28"/>
      <c r="R1379" s="28"/>
      <c r="S1379" s="28"/>
      <c r="T1379" s="28"/>
      <c r="U1379" s="28"/>
      <c r="V1379" s="28"/>
      <c r="W1379" s="28"/>
      <c r="X1379" s="28"/>
      <c r="Y1379" s="28"/>
      <c r="Z1379" s="28"/>
      <c r="AA1379" s="28"/>
      <c r="AB1379" s="28"/>
      <c r="AC1379" s="28"/>
      <c r="AD1379" s="28"/>
      <c r="AE1379" s="28"/>
      <c r="AF1379" s="28"/>
      <c r="AG1379" s="28"/>
      <c r="AH1379" s="28"/>
      <c r="AI1379" s="28"/>
      <c r="AJ1379" s="28"/>
      <c r="AK1379" s="28"/>
      <c r="AL1379" s="28"/>
      <c r="AM1379" s="28"/>
      <c r="AN1379" s="28"/>
      <c r="AO1379" s="28"/>
      <c r="AP1379" s="28"/>
      <c r="AQ1379" s="28"/>
      <c r="AR1379" s="28"/>
      <c r="AS1379" s="28"/>
      <c r="AT1379" s="28"/>
      <c r="AU1379" s="28"/>
      <c r="AV1379" s="28"/>
      <c r="AW1379" s="28"/>
      <c r="AX1379" s="28"/>
      <c r="AY1379" s="28"/>
      <c r="AZ1379" s="28"/>
      <c r="BA1379" s="28"/>
      <c r="BB1379" s="28"/>
    </row>
    <row r="1380" spans="1:54" ht="12.75" x14ac:dyDescent="0.2">
      <c r="A1380" s="28"/>
      <c r="B1380" s="28"/>
      <c r="C1380" s="28"/>
      <c r="D1380" s="28"/>
      <c r="E1380" s="28"/>
      <c r="F1380" s="28"/>
      <c r="G1380" s="28"/>
      <c r="H1380" s="28"/>
      <c r="I1380" s="28"/>
      <c r="J1380" s="28"/>
      <c r="K1380" s="28"/>
      <c r="L1380" s="28"/>
      <c r="M1380" s="28"/>
      <c r="N1380" s="28"/>
      <c r="O1380" s="28"/>
      <c r="P1380" s="28"/>
      <c r="Q1380" s="28"/>
      <c r="R1380" s="28"/>
      <c r="S1380" s="28"/>
      <c r="T1380" s="28"/>
      <c r="U1380" s="28"/>
      <c r="V1380" s="28"/>
      <c r="W1380" s="28"/>
      <c r="X1380" s="28"/>
      <c r="Y1380" s="28"/>
      <c r="Z1380" s="28"/>
      <c r="AA1380" s="28"/>
      <c r="AB1380" s="28"/>
      <c r="AC1380" s="28"/>
      <c r="AD1380" s="28"/>
      <c r="AE1380" s="28"/>
      <c r="AF1380" s="28"/>
      <c r="AG1380" s="28"/>
      <c r="AH1380" s="28"/>
      <c r="AI1380" s="28"/>
      <c r="AJ1380" s="28"/>
      <c r="AK1380" s="28"/>
      <c r="AL1380" s="28"/>
      <c r="AM1380" s="28"/>
      <c r="AN1380" s="28"/>
      <c r="AO1380" s="28"/>
      <c r="AP1380" s="28"/>
      <c r="AQ1380" s="28"/>
      <c r="AR1380" s="28"/>
      <c r="AS1380" s="28"/>
      <c r="AT1380" s="28"/>
      <c r="AU1380" s="28"/>
      <c r="AV1380" s="28"/>
      <c r="AW1380" s="28"/>
      <c r="AX1380" s="28"/>
      <c r="AY1380" s="28"/>
      <c r="AZ1380" s="28"/>
      <c r="BA1380" s="28"/>
      <c r="BB1380" s="28"/>
    </row>
    <row r="1381" spans="1:54" ht="12.75" x14ac:dyDescent="0.2">
      <c r="A1381" s="28"/>
      <c r="B1381" s="28"/>
      <c r="C1381" s="28"/>
      <c r="D1381" s="28"/>
      <c r="E1381" s="28"/>
      <c r="F1381" s="28"/>
      <c r="G1381" s="28"/>
      <c r="H1381" s="28"/>
      <c r="I1381" s="28"/>
      <c r="J1381" s="28"/>
      <c r="K1381" s="28"/>
      <c r="L1381" s="28"/>
      <c r="M1381" s="28"/>
      <c r="N1381" s="28"/>
      <c r="O1381" s="28"/>
      <c r="P1381" s="28"/>
      <c r="Q1381" s="28"/>
      <c r="R1381" s="28"/>
      <c r="S1381" s="28"/>
      <c r="T1381" s="28"/>
      <c r="U1381" s="28"/>
      <c r="V1381" s="28"/>
      <c r="W1381" s="28"/>
      <c r="X1381" s="28"/>
      <c r="Y1381" s="28"/>
      <c r="Z1381" s="28"/>
      <c r="AA1381" s="28"/>
      <c r="AB1381" s="28"/>
      <c r="AC1381" s="28"/>
      <c r="AD1381" s="28"/>
      <c r="AE1381" s="28"/>
      <c r="AF1381" s="28"/>
      <c r="AG1381" s="28"/>
      <c r="AH1381" s="28"/>
      <c r="AI1381" s="28"/>
      <c r="AJ1381" s="28"/>
      <c r="AK1381" s="28"/>
      <c r="AL1381" s="28"/>
      <c r="AM1381" s="28"/>
      <c r="AN1381" s="28"/>
      <c r="AO1381" s="28"/>
      <c r="AP1381" s="28"/>
      <c r="AQ1381" s="28"/>
      <c r="AR1381" s="28"/>
      <c r="AS1381" s="28"/>
      <c r="AT1381" s="28"/>
      <c r="AU1381" s="28"/>
      <c r="AV1381" s="28"/>
      <c r="AW1381" s="28"/>
      <c r="AX1381" s="28"/>
      <c r="AY1381" s="28"/>
      <c r="AZ1381" s="28"/>
      <c r="BA1381" s="28"/>
      <c r="BB1381" s="28"/>
    </row>
    <row r="1382" spans="1:54" ht="12.75" x14ac:dyDescent="0.2">
      <c r="A1382" s="28"/>
      <c r="B1382" s="28"/>
      <c r="C1382" s="28"/>
      <c r="D1382" s="28"/>
      <c r="E1382" s="28"/>
      <c r="F1382" s="28"/>
      <c r="G1382" s="28"/>
      <c r="H1382" s="28"/>
      <c r="I1382" s="28"/>
      <c r="J1382" s="28"/>
      <c r="K1382" s="28"/>
      <c r="L1382" s="28"/>
      <c r="M1382" s="28"/>
      <c r="N1382" s="28"/>
      <c r="O1382" s="28"/>
      <c r="P1382" s="28"/>
      <c r="Q1382" s="28"/>
      <c r="R1382" s="28"/>
      <c r="S1382" s="28"/>
      <c r="T1382" s="28"/>
      <c r="U1382" s="28"/>
      <c r="V1382" s="28"/>
      <c r="W1382" s="28"/>
      <c r="X1382" s="28"/>
      <c r="Y1382" s="28"/>
      <c r="Z1382" s="28"/>
      <c r="AA1382" s="28"/>
      <c r="AB1382" s="28"/>
      <c r="AC1382" s="28"/>
      <c r="AD1382" s="28"/>
      <c r="AE1382" s="28"/>
      <c r="AF1382" s="28"/>
      <c r="AG1382" s="28"/>
      <c r="AH1382" s="28"/>
      <c r="AI1382" s="28"/>
      <c r="AJ1382" s="28"/>
      <c r="AK1382" s="28"/>
      <c r="AL1382" s="28"/>
      <c r="AM1382" s="28"/>
      <c r="AN1382" s="28"/>
      <c r="AO1382" s="28"/>
      <c r="AP1382" s="28"/>
      <c r="AQ1382" s="28"/>
      <c r="AR1382" s="28"/>
      <c r="AS1382" s="28"/>
      <c r="AT1382" s="28"/>
      <c r="AU1382" s="28"/>
      <c r="AV1382" s="28"/>
      <c r="AW1382" s="28"/>
      <c r="AX1382" s="28"/>
      <c r="AY1382" s="28"/>
      <c r="AZ1382" s="28"/>
      <c r="BA1382" s="28"/>
      <c r="BB1382" s="28"/>
    </row>
    <row r="1383" spans="1:54" ht="12.75" x14ac:dyDescent="0.2">
      <c r="A1383" s="28"/>
      <c r="B1383" s="28"/>
      <c r="C1383" s="28"/>
      <c r="D1383" s="28"/>
      <c r="E1383" s="28"/>
      <c r="F1383" s="28"/>
      <c r="G1383" s="28"/>
      <c r="H1383" s="28"/>
      <c r="I1383" s="28"/>
      <c r="J1383" s="28"/>
      <c r="K1383" s="28"/>
      <c r="L1383" s="28"/>
      <c r="M1383" s="28"/>
      <c r="N1383" s="28"/>
      <c r="O1383" s="28"/>
      <c r="P1383" s="28"/>
      <c r="Q1383" s="28"/>
      <c r="R1383" s="28"/>
      <c r="S1383" s="28"/>
      <c r="T1383" s="28"/>
      <c r="U1383" s="28"/>
      <c r="V1383" s="28"/>
      <c r="W1383" s="28"/>
      <c r="X1383" s="28"/>
      <c r="Y1383" s="28"/>
      <c r="Z1383" s="28"/>
      <c r="AA1383" s="28"/>
      <c r="AB1383" s="28"/>
      <c r="AC1383" s="28"/>
      <c r="AD1383" s="28"/>
      <c r="AE1383" s="28"/>
      <c r="AF1383" s="28"/>
      <c r="AG1383" s="28"/>
      <c r="AH1383" s="28"/>
      <c r="AI1383" s="28"/>
      <c r="AJ1383" s="28"/>
      <c r="AK1383" s="28"/>
      <c r="AL1383" s="28"/>
      <c r="AM1383" s="28"/>
      <c r="AN1383" s="28"/>
      <c r="AO1383" s="28"/>
      <c r="AP1383" s="28"/>
      <c r="AQ1383" s="28"/>
      <c r="AR1383" s="28"/>
      <c r="AS1383" s="28"/>
      <c r="AT1383" s="28"/>
      <c r="AU1383" s="28"/>
      <c r="AV1383" s="28"/>
      <c r="AW1383" s="28"/>
      <c r="AX1383" s="28"/>
      <c r="AY1383" s="28"/>
      <c r="AZ1383" s="28"/>
      <c r="BA1383" s="28"/>
      <c r="BB1383" s="28"/>
    </row>
    <row r="1384" spans="1:54" ht="12.75" x14ac:dyDescent="0.2">
      <c r="A1384" s="28"/>
      <c r="B1384" s="28"/>
      <c r="C1384" s="28"/>
      <c r="D1384" s="28"/>
      <c r="E1384" s="28"/>
      <c r="F1384" s="28"/>
      <c r="G1384" s="28"/>
      <c r="H1384" s="28"/>
      <c r="I1384" s="28"/>
      <c r="J1384" s="28"/>
      <c r="K1384" s="28"/>
      <c r="L1384" s="28"/>
      <c r="M1384" s="28"/>
      <c r="N1384" s="28"/>
      <c r="O1384" s="28"/>
      <c r="P1384" s="28"/>
      <c r="Q1384" s="28"/>
      <c r="R1384" s="28"/>
      <c r="S1384" s="28"/>
      <c r="T1384" s="28"/>
      <c r="U1384" s="28"/>
      <c r="V1384" s="28"/>
      <c r="W1384" s="28"/>
      <c r="X1384" s="28"/>
      <c r="Y1384" s="28"/>
      <c r="Z1384" s="28"/>
      <c r="AA1384" s="28"/>
      <c r="AB1384" s="28"/>
      <c r="AC1384" s="28"/>
      <c r="AD1384" s="28"/>
      <c r="AE1384" s="28"/>
      <c r="AF1384" s="28"/>
      <c r="AG1384" s="28"/>
      <c r="AH1384" s="28"/>
      <c r="AI1384" s="28"/>
      <c r="AJ1384" s="28"/>
      <c r="AK1384" s="28"/>
      <c r="AL1384" s="28"/>
      <c r="AM1384" s="28"/>
      <c r="AN1384" s="28"/>
      <c r="AO1384" s="28"/>
      <c r="AP1384" s="28"/>
      <c r="AQ1384" s="28"/>
      <c r="AR1384" s="28"/>
      <c r="AS1384" s="28"/>
      <c r="AT1384" s="28"/>
      <c r="AU1384" s="28"/>
      <c r="AV1384" s="28"/>
      <c r="AW1384" s="28"/>
      <c r="AX1384" s="28"/>
      <c r="AY1384" s="28"/>
      <c r="AZ1384" s="28"/>
      <c r="BA1384" s="28"/>
      <c r="BB1384" s="28"/>
    </row>
    <row r="1385" spans="1:54" ht="12.75" x14ac:dyDescent="0.2">
      <c r="A1385" s="28"/>
      <c r="B1385" s="28"/>
      <c r="C1385" s="28"/>
      <c r="D1385" s="28"/>
      <c r="E1385" s="28"/>
      <c r="F1385" s="28"/>
      <c r="G1385" s="28"/>
      <c r="H1385" s="28"/>
      <c r="I1385" s="28"/>
      <c r="J1385" s="28"/>
      <c r="K1385" s="28"/>
      <c r="L1385" s="28"/>
      <c r="M1385" s="28"/>
      <c r="N1385" s="28"/>
      <c r="O1385" s="28"/>
      <c r="P1385" s="28"/>
      <c r="Q1385" s="28"/>
      <c r="R1385" s="28"/>
      <c r="S1385" s="28"/>
      <c r="T1385" s="28"/>
      <c r="U1385" s="28"/>
      <c r="V1385" s="28"/>
      <c r="W1385" s="28"/>
      <c r="X1385" s="28"/>
      <c r="Y1385" s="28"/>
      <c r="Z1385" s="28"/>
      <c r="AA1385" s="28"/>
      <c r="AB1385" s="28"/>
      <c r="AC1385" s="28"/>
      <c r="AD1385" s="28"/>
      <c r="AE1385" s="28"/>
      <c r="AF1385" s="28"/>
      <c r="AG1385" s="28"/>
      <c r="AH1385" s="28"/>
      <c r="AI1385" s="28"/>
      <c r="AJ1385" s="28"/>
      <c r="AK1385" s="28"/>
      <c r="AL1385" s="28"/>
      <c r="AM1385" s="28"/>
      <c r="AN1385" s="28"/>
      <c r="AO1385" s="28"/>
      <c r="AP1385" s="28"/>
      <c r="AQ1385" s="28"/>
      <c r="AR1385" s="28"/>
      <c r="AS1385" s="28"/>
      <c r="AT1385" s="28"/>
      <c r="AU1385" s="28"/>
      <c r="AV1385" s="28"/>
      <c r="AW1385" s="28"/>
      <c r="AX1385" s="28"/>
      <c r="AY1385" s="28"/>
      <c r="AZ1385" s="28"/>
      <c r="BA1385" s="28"/>
      <c r="BB1385" s="28"/>
    </row>
    <row r="1386" spans="1:54" ht="12.75" x14ac:dyDescent="0.2">
      <c r="A1386" s="28"/>
      <c r="B1386" s="28"/>
      <c r="C1386" s="28"/>
      <c r="D1386" s="28"/>
      <c r="E1386" s="28"/>
      <c r="F1386" s="28"/>
      <c r="G1386" s="28"/>
      <c r="H1386" s="28"/>
      <c r="I1386" s="28"/>
      <c r="J1386" s="28"/>
      <c r="K1386" s="28"/>
      <c r="L1386" s="28"/>
      <c r="M1386" s="28"/>
      <c r="N1386" s="28"/>
      <c r="O1386" s="28"/>
      <c r="P1386" s="28"/>
      <c r="Q1386" s="28"/>
      <c r="R1386" s="28"/>
      <c r="S1386" s="28"/>
      <c r="T1386" s="28"/>
      <c r="U1386" s="28"/>
      <c r="V1386" s="28"/>
      <c r="W1386" s="28"/>
      <c r="X1386" s="28"/>
      <c r="Y1386" s="28"/>
      <c r="Z1386" s="28"/>
      <c r="AA1386" s="28"/>
      <c r="AB1386" s="28"/>
      <c r="AC1386" s="28"/>
      <c r="AD1386" s="28"/>
      <c r="AE1386" s="28"/>
      <c r="AF1386" s="28"/>
      <c r="AG1386" s="28"/>
      <c r="AH1386" s="28"/>
      <c r="AI1386" s="28"/>
      <c r="AJ1386" s="28"/>
      <c r="AK1386" s="28"/>
      <c r="AL1386" s="28"/>
      <c r="AM1386" s="28"/>
      <c r="AN1386" s="28"/>
      <c r="AO1386" s="28"/>
      <c r="AP1386" s="28"/>
      <c r="AQ1386" s="28"/>
      <c r="AR1386" s="28"/>
      <c r="AS1386" s="28"/>
      <c r="AT1386" s="28"/>
      <c r="AU1386" s="28"/>
      <c r="AV1386" s="28"/>
      <c r="AW1386" s="28"/>
      <c r="AX1386" s="28"/>
      <c r="AY1386" s="28"/>
      <c r="AZ1386" s="28"/>
      <c r="BA1386" s="28"/>
      <c r="BB1386" s="28"/>
    </row>
    <row r="1387" spans="1:54" ht="12.75" x14ac:dyDescent="0.2">
      <c r="A1387" s="28"/>
      <c r="B1387" s="28"/>
      <c r="C1387" s="28"/>
      <c r="D1387" s="28"/>
      <c r="E1387" s="28"/>
      <c r="F1387" s="28"/>
      <c r="G1387" s="28"/>
      <c r="H1387" s="28"/>
      <c r="I1387" s="28"/>
      <c r="J1387" s="28"/>
      <c r="K1387" s="28"/>
      <c r="L1387" s="28"/>
      <c r="M1387" s="28"/>
      <c r="N1387" s="28"/>
      <c r="O1387" s="28"/>
      <c r="P1387" s="28"/>
      <c r="Q1387" s="28"/>
      <c r="R1387" s="28"/>
      <c r="S1387" s="28"/>
      <c r="T1387" s="28"/>
      <c r="U1387" s="28"/>
      <c r="V1387" s="28"/>
      <c r="W1387" s="28"/>
      <c r="X1387" s="28"/>
      <c r="Y1387" s="28"/>
      <c r="Z1387" s="28"/>
      <c r="AA1387" s="28"/>
      <c r="AB1387" s="28"/>
      <c r="AC1387" s="28"/>
      <c r="AD1387" s="28"/>
      <c r="AE1387" s="28"/>
      <c r="AF1387" s="28"/>
      <c r="AG1387" s="28"/>
      <c r="AH1387" s="28"/>
      <c r="AI1387" s="28"/>
      <c r="AJ1387" s="28"/>
      <c r="AK1387" s="28"/>
      <c r="AL1387" s="28"/>
      <c r="AM1387" s="28"/>
      <c r="AN1387" s="28"/>
      <c r="AO1387" s="28"/>
      <c r="AP1387" s="28"/>
      <c r="AQ1387" s="28"/>
      <c r="AR1387" s="28"/>
      <c r="AS1387" s="28"/>
      <c r="AT1387" s="28"/>
      <c r="AU1387" s="28"/>
      <c r="AV1387" s="28"/>
      <c r="AW1387" s="28"/>
      <c r="AX1387" s="28"/>
      <c r="AY1387" s="28"/>
      <c r="AZ1387" s="28"/>
      <c r="BA1387" s="28"/>
      <c r="BB1387" s="28"/>
    </row>
    <row r="1388" spans="1:54" ht="12.75" x14ac:dyDescent="0.2">
      <c r="A1388" s="28"/>
      <c r="B1388" s="28"/>
      <c r="C1388" s="28"/>
      <c r="D1388" s="28"/>
      <c r="E1388" s="28"/>
      <c r="F1388" s="28"/>
      <c r="G1388" s="28"/>
      <c r="H1388" s="28"/>
      <c r="I1388" s="28"/>
      <c r="J1388" s="28"/>
      <c r="K1388" s="28"/>
      <c r="L1388" s="28"/>
      <c r="M1388" s="28"/>
      <c r="N1388" s="28"/>
      <c r="O1388" s="28"/>
      <c r="P1388" s="28"/>
      <c r="Q1388" s="28"/>
      <c r="R1388" s="28"/>
      <c r="S1388" s="28"/>
      <c r="T1388" s="28"/>
      <c r="U1388" s="28"/>
      <c r="V1388" s="28"/>
      <c r="W1388" s="28"/>
      <c r="X1388" s="28"/>
      <c r="Y1388" s="28"/>
      <c r="Z1388" s="28"/>
      <c r="AA1388" s="28"/>
      <c r="AB1388" s="28"/>
      <c r="AC1388" s="28"/>
      <c r="AD1388" s="28"/>
      <c r="AE1388" s="28"/>
      <c r="AF1388" s="28"/>
      <c r="AG1388" s="28"/>
      <c r="AH1388" s="28"/>
      <c r="AI1388" s="28"/>
      <c r="AJ1388" s="28"/>
      <c r="AK1388" s="28"/>
      <c r="AL1388" s="28"/>
      <c r="AM1388" s="28"/>
      <c r="AN1388" s="28"/>
      <c r="AO1388" s="28"/>
      <c r="AP1388" s="28"/>
      <c r="AQ1388" s="28"/>
      <c r="AR1388" s="28"/>
      <c r="AS1388" s="28"/>
      <c r="AT1388" s="28"/>
      <c r="AU1388" s="28"/>
      <c r="AV1388" s="28"/>
      <c r="AW1388" s="28"/>
      <c r="AX1388" s="28"/>
      <c r="AY1388" s="28"/>
      <c r="AZ1388" s="28"/>
      <c r="BA1388" s="28"/>
      <c r="BB1388" s="28"/>
    </row>
    <row r="1389" spans="1:54" ht="12.75" x14ac:dyDescent="0.2">
      <c r="A1389" s="28"/>
      <c r="B1389" s="28"/>
      <c r="C1389" s="28"/>
      <c r="D1389" s="28"/>
      <c r="E1389" s="28"/>
      <c r="F1389" s="28"/>
      <c r="G1389" s="28"/>
      <c r="H1389" s="28"/>
      <c r="I1389" s="28"/>
      <c r="J1389" s="28"/>
      <c r="K1389" s="28"/>
      <c r="L1389" s="28"/>
      <c r="M1389" s="28"/>
      <c r="N1389" s="28"/>
      <c r="O1389" s="28"/>
      <c r="P1389" s="28"/>
      <c r="Q1389" s="28"/>
      <c r="R1389" s="28"/>
      <c r="S1389" s="28"/>
      <c r="T1389" s="28"/>
      <c r="U1389" s="28"/>
      <c r="V1389" s="28"/>
      <c r="W1389" s="28"/>
      <c r="X1389" s="28"/>
      <c r="Y1389" s="28"/>
      <c r="Z1389" s="28"/>
      <c r="AA1389" s="28"/>
      <c r="AB1389" s="28"/>
      <c r="AC1389" s="28"/>
      <c r="AD1389" s="28"/>
      <c r="AE1389" s="28"/>
      <c r="AF1389" s="28"/>
      <c r="AG1389" s="28"/>
      <c r="AH1389" s="28"/>
      <c r="AI1389" s="28"/>
      <c r="AJ1389" s="28"/>
      <c r="AK1389" s="28"/>
      <c r="AL1389" s="28"/>
      <c r="AM1389" s="28"/>
      <c r="AN1389" s="28"/>
      <c r="AO1389" s="28"/>
      <c r="AP1389" s="28"/>
      <c r="AQ1389" s="28"/>
      <c r="AR1389" s="28"/>
      <c r="AS1389" s="28"/>
      <c r="AT1389" s="28"/>
      <c r="AU1389" s="28"/>
      <c r="AV1389" s="28"/>
      <c r="AW1389" s="28"/>
      <c r="AX1389" s="28"/>
      <c r="AY1389" s="28"/>
      <c r="AZ1389" s="28"/>
      <c r="BA1389" s="28"/>
      <c r="BB1389" s="28"/>
    </row>
    <row r="1390" spans="1:54" ht="12.75" x14ac:dyDescent="0.2">
      <c r="A1390" s="28"/>
      <c r="B1390" s="28"/>
      <c r="C1390" s="28"/>
      <c r="D1390" s="28"/>
      <c r="E1390" s="28"/>
      <c r="F1390" s="28"/>
      <c r="G1390" s="28"/>
      <c r="H1390" s="28"/>
      <c r="I1390" s="28"/>
      <c r="J1390" s="28"/>
      <c r="K1390" s="28"/>
      <c r="L1390" s="28"/>
      <c r="M1390" s="28"/>
      <c r="N1390" s="28"/>
      <c r="O1390" s="28"/>
      <c r="P1390" s="28"/>
      <c r="Q1390" s="28"/>
      <c r="R1390" s="28"/>
      <c r="S1390" s="28"/>
      <c r="T1390" s="28"/>
      <c r="U1390" s="28"/>
      <c r="V1390" s="28"/>
      <c r="W1390" s="28"/>
      <c r="X1390" s="28"/>
      <c r="Y1390" s="28"/>
      <c r="Z1390" s="28"/>
      <c r="AA1390" s="28"/>
      <c r="AB1390" s="28"/>
      <c r="AC1390" s="28"/>
      <c r="AD1390" s="28"/>
      <c r="AE1390" s="28"/>
      <c r="AF1390" s="28"/>
      <c r="AG1390" s="28"/>
      <c r="AH1390" s="28"/>
      <c r="AI1390" s="28"/>
      <c r="AJ1390" s="28"/>
      <c r="AK1390" s="28"/>
      <c r="AL1390" s="28"/>
      <c r="AM1390" s="28"/>
      <c r="AN1390" s="28"/>
      <c r="AO1390" s="28"/>
      <c r="AP1390" s="28"/>
      <c r="AQ1390" s="28"/>
      <c r="AR1390" s="28"/>
      <c r="AS1390" s="28"/>
      <c r="AT1390" s="28"/>
      <c r="AU1390" s="28"/>
      <c r="AV1390" s="28"/>
      <c r="AW1390" s="28"/>
      <c r="AX1390" s="28"/>
      <c r="AY1390" s="28"/>
      <c r="AZ1390" s="28"/>
      <c r="BA1390" s="28"/>
      <c r="BB1390" s="28"/>
    </row>
    <row r="1391" spans="1:54" ht="12.75" x14ac:dyDescent="0.2">
      <c r="A1391" s="28"/>
      <c r="B1391" s="28"/>
      <c r="C1391" s="28"/>
      <c r="D1391" s="28"/>
      <c r="E1391" s="28"/>
      <c r="F1391" s="28"/>
      <c r="G1391" s="28"/>
      <c r="H1391" s="28"/>
      <c r="I1391" s="28"/>
      <c r="J1391" s="28"/>
      <c r="K1391" s="28"/>
      <c r="L1391" s="28"/>
      <c r="M1391" s="28"/>
      <c r="N1391" s="28"/>
      <c r="O1391" s="28"/>
      <c r="P1391" s="28"/>
      <c r="Q1391" s="28"/>
      <c r="R1391" s="28"/>
      <c r="S1391" s="28"/>
      <c r="T1391" s="28"/>
      <c r="U1391" s="28"/>
      <c r="V1391" s="28"/>
      <c r="W1391" s="28"/>
      <c r="X1391" s="28"/>
      <c r="Y1391" s="28"/>
      <c r="Z1391" s="28"/>
      <c r="AA1391" s="28"/>
      <c r="AB1391" s="28"/>
      <c r="AC1391" s="28"/>
      <c r="AD1391" s="28"/>
      <c r="AE1391" s="28"/>
      <c r="AF1391" s="28"/>
      <c r="AG1391" s="28"/>
      <c r="AH1391" s="28"/>
      <c r="AI1391" s="28"/>
      <c r="AJ1391" s="28"/>
      <c r="AK1391" s="28"/>
      <c r="AL1391" s="28"/>
      <c r="AM1391" s="28"/>
      <c r="AN1391" s="28"/>
      <c r="AO1391" s="28"/>
      <c r="AP1391" s="28"/>
      <c r="AQ1391" s="28"/>
      <c r="AR1391" s="28"/>
      <c r="AS1391" s="28"/>
      <c r="AT1391" s="28"/>
      <c r="AU1391" s="28"/>
      <c r="AV1391" s="28"/>
      <c r="AW1391" s="28"/>
      <c r="AX1391" s="28"/>
      <c r="AY1391" s="28"/>
      <c r="AZ1391" s="28"/>
      <c r="BA1391" s="28"/>
      <c r="BB1391" s="28"/>
    </row>
    <row r="1392" spans="1:54" ht="12.75" x14ac:dyDescent="0.2">
      <c r="A1392" s="28"/>
      <c r="B1392" s="28"/>
      <c r="C1392" s="28"/>
      <c r="D1392" s="28"/>
      <c r="E1392" s="28"/>
      <c r="F1392" s="28"/>
      <c r="G1392" s="28"/>
      <c r="H1392" s="28"/>
      <c r="I1392" s="28"/>
      <c r="J1392" s="28"/>
      <c r="K1392" s="28"/>
      <c r="L1392" s="28"/>
      <c r="M1392" s="28"/>
      <c r="N1392" s="28"/>
      <c r="O1392" s="28"/>
      <c r="P1392" s="28"/>
      <c r="Q1392" s="28"/>
      <c r="R1392" s="28"/>
      <c r="S1392" s="28"/>
      <c r="T1392" s="28"/>
      <c r="U1392" s="28"/>
      <c r="V1392" s="28"/>
      <c r="W1392" s="28"/>
      <c r="X1392" s="28"/>
      <c r="Y1392" s="28"/>
      <c r="Z1392" s="28"/>
      <c r="AA1392" s="28"/>
      <c r="AB1392" s="28"/>
      <c r="AC1392" s="28"/>
      <c r="AD1392" s="28"/>
      <c r="AE1392" s="28"/>
      <c r="AF1392" s="28"/>
      <c r="AG1392" s="28"/>
      <c r="AH1392" s="28"/>
      <c r="AI1392" s="28"/>
      <c r="AJ1392" s="28"/>
      <c r="AK1392" s="28"/>
      <c r="AL1392" s="28"/>
      <c r="AM1392" s="28"/>
      <c r="AN1392" s="28"/>
      <c r="AO1392" s="28"/>
      <c r="AP1392" s="28"/>
      <c r="AQ1392" s="28"/>
      <c r="AR1392" s="28"/>
      <c r="AS1392" s="28"/>
      <c r="AT1392" s="28"/>
      <c r="AU1392" s="28"/>
      <c r="AV1392" s="28"/>
      <c r="AW1392" s="28"/>
      <c r="AX1392" s="28"/>
      <c r="AY1392" s="28"/>
      <c r="AZ1392" s="28"/>
      <c r="BA1392" s="28"/>
      <c r="BB1392" s="28"/>
    </row>
    <row r="1393" spans="1:54" ht="12.75" x14ac:dyDescent="0.2">
      <c r="A1393" s="28"/>
      <c r="B1393" s="28"/>
      <c r="C1393" s="28"/>
      <c r="D1393" s="28"/>
      <c r="E1393" s="28"/>
      <c r="F1393" s="28"/>
      <c r="G1393" s="28"/>
      <c r="H1393" s="28"/>
      <c r="I1393" s="28"/>
      <c r="J1393" s="28"/>
      <c r="K1393" s="28"/>
      <c r="L1393" s="28"/>
      <c r="M1393" s="28"/>
      <c r="N1393" s="28"/>
      <c r="O1393" s="28"/>
      <c r="P1393" s="28"/>
      <c r="Q1393" s="28"/>
      <c r="R1393" s="28"/>
      <c r="S1393" s="28"/>
      <c r="T1393" s="28"/>
      <c r="U1393" s="28"/>
      <c r="V1393" s="28"/>
      <c r="W1393" s="28"/>
      <c r="X1393" s="28"/>
      <c r="Y1393" s="28"/>
      <c r="Z1393" s="28"/>
      <c r="AA1393" s="28"/>
      <c r="AB1393" s="28"/>
      <c r="AC1393" s="28"/>
      <c r="AD1393" s="28"/>
      <c r="AE1393" s="28"/>
      <c r="AF1393" s="28"/>
      <c r="AG1393" s="28"/>
      <c r="AH1393" s="28"/>
      <c r="AI1393" s="28"/>
      <c r="AJ1393" s="28"/>
      <c r="AK1393" s="28"/>
      <c r="AL1393" s="28"/>
      <c r="AM1393" s="28"/>
      <c r="AN1393" s="28"/>
      <c r="AO1393" s="28"/>
      <c r="AP1393" s="28"/>
      <c r="AQ1393" s="28"/>
      <c r="AR1393" s="28"/>
      <c r="AS1393" s="28"/>
      <c r="AT1393" s="28"/>
      <c r="AU1393" s="28"/>
      <c r="AV1393" s="28"/>
      <c r="AW1393" s="28"/>
      <c r="AX1393" s="28"/>
      <c r="AY1393" s="28"/>
      <c r="AZ1393" s="28"/>
      <c r="BA1393" s="28"/>
      <c r="BB1393" s="28"/>
    </row>
    <row r="1394" spans="1:54" ht="12.75" x14ac:dyDescent="0.2">
      <c r="A1394" s="28"/>
      <c r="B1394" s="28"/>
      <c r="C1394" s="28"/>
      <c r="D1394" s="28"/>
      <c r="E1394" s="28"/>
      <c r="F1394" s="28"/>
      <c r="G1394" s="28"/>
      <c r="H1394" s="28"/>
      <c r="I1394" s="28"/>
      <c r="J1394" s="28"/>
      <c r="K1394" s="28"/>
      <c r="L1394" s="28"/>
      <c r="M1394" s="28"/>
      <c r="N1394" s="28"/>
      <c r="O1394" s="28"/>
      <c r="P1394" s="28"/>
      <c r="Q1394" s="28"/>
      <c r="R1394" s="28"/>
      <c r="S1394" s="28"/>
      <c r="T1394" s="28"/>
      <c r="U1394" s="28"/>
      <c r="V1394" s="28"/>
      <c r="W1394" s="28"/>
      <c r="X1394" s="28"/>
      <c r="Y1394" s="28"/>
      <c r="Z1394" s="28"/>
      <c r="AA1394" s="28"/>
      <c r="AB1394" s="28"/>
      <c r="AC1394" s="28"/>
      <c r="AD1394" s="28"/>
      <c r="AE1394" s="28"/>
      <c r="AF1394" s="28"/>
      <c r="AG1394" s="28"/>
      <c r="AH1394" s="28"/>
      <c r="AI1394" s="28"/>
      <c r="AJ1394" s="28"/>
      <c r="AK1394" s="28"/>
      <c r="AL1394" s="28"/>
      <c r="AM1394" s="28"/>
      <c r="AN1394" s="28"/>
      <c r="AO1394" s="28"/>
      <c r="AP1394" s="28"/>
      <c r="AQ1394" s="28"/>
      <c r="AR1394" s="28"/>
      <c r="AS1394" s="28"/>
      <c r="AT1394" s="28"/>
      <c r="AU1394" s="28"/>
      <c r="AV1394" s="28"/>
      <c r="AW1394" s="28"/>
      <c r="AX1394" s="28"/>
      <c r="AY1394" s="28"/>
      <c r="AZ1394" s="28"/>
      <c r="BA1394" s="28"/>
      <c r="BB1394" s="28"/>
    </row>
    <row r="1395" spans="1:54" ht="12.75" x14ac:dyDescent="0.2">
      <c r="A1395" s="28"/>
      <c r="B1395" s="28"/>
      <c r="C1395" s="28"/>
      <c r="D1395" s="28"/>
      <c r="E1395" s="28"/>
      <c r="F1395" s="28"/>
      <c r="G1395" s="28"/>
      <c r="H1395" s="28"/>
      <c r="I1395" s="28"/>
      <c r="J1395" s="28"/>
      <c r="K1395" s="28"/>
      <c r="L1395" s="28"/>
      <c r="M1395" s="28"/>
      <c r="N1395" s="28"/>
      <c r="O1395" s="28"/>
      <c r="P1395" s="28"/>
      <c r="Q1395" s="28"/>
      <c r="R1395" s="28"/>
      <c r="S1395" s="28"/>
      <c r="T1395" s="28"/>
      <c r="U1395" s="28"/>
      <c r="V1395" s="28"/>
      <c r="W1395" s="28"/>
      <c r="X1395" s="28"/>
      <c r="Y1395" s="28"/>
      <c r="Z1395" s="28"/>
      <c r="AA1395" s="28"/>
      <c r="AB1395" s="28"/>
      <c r="AC1395" s="28"/>
      <c r="AD1395" s="28"/>
      <c r="AE1395" s="28"/>
      <c r="AF1395" s="28"/>
      <c r="AG1395" s="28"/>
      <c r="AH1395" s="28"/>
      <c r="AI1395" s="28"/>
      <c r="AJ1395" s="28"/>
      <c r="AK1395" s="28"/>
      <c r="AL1395" s="28"/>
      <c r="AM1395" s="28"/>
      <c r="AN1395" s="28"/>
      <c r="AO1395" s="28"/>
      <c r="AP1395" s="28"/>
      <c r="AQ1395" s="28"/>
      <c r="AR1395" s="28"/>
      <c r="AS1395" s="28"/>
      <c r="AT1395" s="28"/>
      <c r="AU1395" s="28"/>
      <c r="AV1395" s="28"/>
      <c r="AW1395" s="28"/>
      <c r="AX1395" s="28"/>
      <c r="AY1395" s="28"/>
      <c r="AZ1395" s="28"/>
      <c r="BA1395" s="28"/>
      <c r="BB1395" s="28"/>
    </row>
    <row r="1396" spans="1:54" ht="12.75" x14ac:dyDescent="0.2">
      <c r="A1396" s="28"/>
      <c r="B1396" s="28"/>
      <c r="C1396" s="28"/>
      <c r="D1396" s="28"/>
      <c r="E1396" s="28"/>
      <c r="F1396" s="28"/>
      <c r="G1396" s="28"/>
      <c r="H1396" s="28"/>
      <c r="I1396" s="28"/>
      <c r="J1396" s="28"/>
      <c r="K1396" s="28"/>
      <c r="L1396" s="28"/>
      <c r="M1396" s="28"/>
      <c r="N1396" s="28"/>
      <c r="O1396" s="28"/>
      <c r="P1396" s="28"/>
      <c r="Q1396" s="28"/>
      <c r="R1396" s="28"/>
      <c r="S1396" s="28"/>
      <c r="T1396" s="28"/>
      <c r="U1396" s="28"/>
      <c r="V1396" s="28"/>
      <c r="W1396" s="28"/>
      <c r="X1396" s="28"/>
      <c r="Y1396" s="28"/>
      <c r="Z1396" s="28"/>
      <c r="AA1396" s="28"/>
      <c r="AB1396" s="28"/>
      <c r="AC1396" s="28"/>
      <c r="AD1396" s="28"/>
      <c r="AE1396" s="28"/>
      <c r="AF1396" s="28"/>
      <c r="AG1396" s="28"/>
      <c r="AH1396" s="28"/>
      <c r="AI1396" s="28"/>
      <c r="AJ1396" s="28"/>
      <c r="AK1396" s="28"/>
      <c r="AL1396" s="28"/>
      <c r="AM1396" s="28"/>
      <c r="AN1396" s="28"/>
      <c r="AO1396" s="28"/>
      <c r="AP1396" s="28"/>
      <c r="AQ1396" s="28"/>
      <c r="AR1396" s="28"/>
      <c r="AS1396" s="28"/>
      <c r="AT1396" s="28"/>
      <c r="AU1396" s="28"/>
      <c r="AV1396" s="28"/>
      <c r="AW1396" s="28"/>
      <c r="AX1396" s="28"/>
      <c r="AY1396" s="28"/>
      <c r="AZ1396" s="28"/>
      <c r="BA1396" s="28"/>
      <c r="BB1396" s="28"/>
    </row>
    <row r="1397" spans="1:54" ht="12.75" x14ac:dyDescent="0.2">
      <c r="A1397" s="28"/>
      <c r="B1397" s="28"/>
      <c r="C1397" s="28"/>
      <c r="D1397" s="28"/>
      <c r="E1397" s="28"/>
      <c r="F1397" s="28"/>
      <c r="G1397" s="28"/>
      <c r="H1397" s="28"/>
      <c r="I1397" s="28"/>
      <c r="J1397" s="28"/>
      <c r="K1397" s="28"/>
      <c r="L1397" s="28"/>
      <c r="M1397" s="28"/>
      <c r="N1397" s="28"/>
      <c r="O1397" s="28"/>
      <c r="P1397" s="28"/>
      <c r="Q1397" s="28"/>
      <c r="R1397" s="28"/>
      <c r="S1397" s="28"/>
      <c r="T1397" s="28"/>
      <c r="U1397" s="28"/>
      <c r="V1397" s="28"/>
      <c r="W1397" s="28"/>
      <c r="X1397" s="28"/>
      <c r="Y1397" s="28"/>
      <c r="Z1397" s="28"/>
      <c r="AA1397" s="28"/>
      <c r="AB1397" s="28"/>
      <c r="AC1397" s="28"/>
      <c r="AD1397" s="28"/>
      <c r="AE1397" s="28"/>
      <c r="AF1397" s="28"/>
      <c r="AG1397" s="28"/>
      <c r="AH1397" s="28"/>
      <c r="AI1397" s="28"/>
      <c r="AJ1397" s="28"/>
      <c r="AK1397" s="28"/>
      <c r="AL1397" s="28"/>
      <c r="AM1397" s="28"/>
      <c r="AN1397" s="28"/>
      <c r="AO1397" s="28"/>
      <c r="AP1397" s="28"/>
      <c r="AQ1397" s="28"/>
      <c r="AR1397" s="28"/>
      <c r="AS1397" s="28"/>
      <c r="AT1397" s="28"/>
      <c r="AU1397" s="28"/>
      <c r="AV1397" s="28"/>
      <c r="AW1397" s="28"/>
      <c r="AX1397" s="28"/>
      <c r="AY1397" s="28"/>
      <c r="AZ1397" s="28"/>
      <c r="BA1397" s="28"/>
      <c r="BB1397" s="28"/>
    </row>
    <row r="1398" spans="1:54" ht="12.75" x14ac:dyDescent="0.2">
      <c r="A1398" s="28"/>
      <c r="B1398" s="28"/>
      <c r="C1398" s="28"/>
      <c r="D1398" s="28"/>
      <c r="E1398" s="28"/>
      <c r="F1398" s="28"/>
      <c r="G1398" s="28"/>
      <c r="H1398" s="28"/>
      <c r="I1398" s="28"/>
      <c r="J1398" s="28"/>
      <c r="K1398" s="28"/>
      <c r="L1398" s="28"/>
      <c r="M1398" s="28"/>
      <c r="N1398" s="28"/>
      <c r="O1398" s="28"/>
      <c r="P1398" s="28"/>
      <c r="Q1398" s="28"/>
      <c r="R1398" s="28"/>
      <c r="S1398" s="28"/>
      <c r="T1398" s="28"/>
      <c r="U1398" s="28"/>
      <c r="V1398" s="28"/>
      <c r="W1398" s="28"/>
      <c r="X1398" s="28"/>
      <c r="Y1398" s="28"/>
      <c r="Z1398" s="28"/>
      <c r="AA1398" s="28"/>
      <c r="AB1398" s="28"/>
      <c r="AC1398" s="28"/>
      <c r="AD1398" s="28"/>
      <c r="AE1398" s="28"/>
      <c r="AF1398" s="28"/>
      <c r="AG1398" s="28"/>
      <c r="AH1398" s="28"/>
      <c r="AI1398" s="28"/>
      <c r="AJ1398" s="28"/>
      <c r="AK1398" s="28"/>
      <c r="AL1398" s="28"/>
      <c r="AM1398" s="28"/>
      <c r="AN1398" s="28"/>
      <c r="AO1398" s="28"/>
      <c r="AP1398" s="28"/>
      <c r="AQ1398" s="28"/>
      <c r="AR1398" s="28"/>
      <c r="AS1398" s="28"/>
      <c r="AT1398" s="28"/>
      <c r="AU1398" s="28"/>
      <c r="AV1398" s="28"/>
      <c r="AW1398" s="28"/>
      <c r="AX1398" s="28"/>
      <c r="AY1398" s="28"/>
      <c r="AZ1398" s="28"/>
      <c r="BA1398" s="28"/>
      <c r="BB1398" s="28"/>
    </row>
    <row r="1399" spans="1:54" ht="12.75" x14ac:dyDescent="0.2">
      <c r="A1399" s="28"/>
      <c r="B1399" s="28"/>
      <c r="C1399" s="28"/>
      <c r="D1399" s="28"/>
      <c r="E1399" s="28"/>
      <c r="F1399" s="28"/>
      <c r="G1399" s="28"/>
      <c r="H1399" s="28"/>
      <c r="I1399" s="28"/>
      <c r="J1399" s="28"/>
      <c r="K1399" s="28"/>
      <c r="L1399" s="28"/>
      <c r="M1399" s="28"/>
      <c r="N1399" s="28"/>
      <c r="O1399" s="28"/>
      <c r="P1399" s="28"/>
      <c r="Q1399" s="28"/>
      <c r="R1399" s="28"/>
      <c r="S1399" s="28"/>
      <c r="T1399" s="28"/>
      <c r="U1399" s="28"/>
      <c r="V1399" s="28"/>
      <c r="W1399" s="28"/>
      <c r="X1399" s="28"/>
      <c r="Y1399" s="28"/>
      <c r="Z1399" s="28"/>
      <c r="AA1399" s="28"/>
      <c r="AB1399" s="28"/>
      <c r="AC1399" s="28"/>
      <c r="AD1399" s="28"/>
      <c r="AE1399" s="28"/>
      <c r="AF1399" s="28"/>
      <c r="AG1399" s="28"/>
      <c r="AH1399" s="28"/>
      <c r="AI1399" s="28"/>
      <c r="AJ1399" s="28"/>
      <c r="AK1399" s="28"/>
      <c r="AL1399" s="28"/>
      <c r="AM1399" s="28"/>
      <c r="AN1399" s="28"/>
      <c r="AO1399" s="28"/>
      <c r="AP1399" s="28"/>
      <c r="AQ1399" s="28"/>
      <c r="AR1399" s="28"/>
      <c r="AS1399" s="28"/>
      <c r="AT1399" s="28"/>
      <c r="AU1399" s="28"/>
      <c r="AV1399" s="28"/>
      <c r="AW1399" s="28"/>
      <c r="AX1399" s="28"/>
      <c r="AY1399" s="28"/>
      <c r="AZ1399" s="28"/>
      <c r="BA1399" s="28"/>
      <c r="BB1399" s="28"/>
    </row>
    <row r="1400" spans="1:54" ht="12.75" x14ac:dyDescent="0.2">
      <c r="A1400" s="28"/>
      <c r="B1400" s="28"/>
      <c r="C1400" s="28"/>
      <c r="D1400" s="28"/>
      <c r="E1400" s="28"/>
      <c r="F1400" s="28"/>
      <c r="G1400" s="28"/>
      <c r="H1400" s="28"/>
      <c r="I1400" s="28"/>
      <c r="J1400" s="28"/>
      <c r="K1400" s="28"/>
      <c r="L1400" s="28"/>
      <c r="M1400" s="28"/>
      <c r="N1400" s="28"/>
      <c r="O1400" s="28"/>
      <c r="P1400" s="28"/>
      <c r="Q1400" s="28"/>
      <c r="R1400" s="28"/>
      <c r="S1400" s="28"/>
      <c r="T1400" s="28"/>
      <c r="U1400" s="28"/>
      <c r="V1400" s="28"/>
      <c r="W1400" s="28"/>
      <c r="X1400" s="28"/>
      <c r="Y1400" s="28"/>
      <c r="Z1400" s="28"/>
      <c r="AA1400" s="28"/>
      <c r="AB1400" s="28"/>
      <c r="AC1400" s="28"/>
      <c r="AD1400" s="28"/>
      <c r="AE1400" s="28"/>
      <c r="AF1400" s="28"/>
      <c r="AG1400" s="28"/>
      <c r="AH1400" s="28"/>
      <c r="AI1400" s="28"/>
      <c r="AJ1400" s="28"/>
      <c r="AK1400" s="28"/>
      <c r="AL1400" s="28"/>
      <c r="AM1400" s="28"/>
      <c r="AN1400" s="28"/>
      <c r="AO1400" s="28"/>
      <c r="AP1400" s="28"/>
      <c r="AQ1400" s="28"/>
      <c r="AR1400" s="28"/>
      <c r="AS1400" s="28"/>
      <c r="AT1400" s="28"/>
      <c r="AU1400" s="28"/>
      <c r="AV1400" s="28"/>
      <c r="AW1400" s="28"/>
      <c r="AX1400" s="28"/>
      <c r="AY1400" s="28"/>
      <c r="AZ1400" s="28"/>
      <c r="BA1400" s="28"/>
      <c r="BB1400" s="28"/>
    </row>
    <row r="1401" spans="1:54" ht="12.75" x14ac:dyDescent="0.2">
      <c r="A1401" s="28"/>
      <c r="B1401" s="28"/>
      <c r="C1401" s="28"/>
      <c r="D1401" s="28"/>
      <c r="E1401" s="28"/>
      <c r="F1401" s="28"/>
      <c r="G1401" s="28"/>
      <c r="H1401" s="28"/>
      <c r="I1401" s="28"/>
      <c r="J1401" s="28"/>
      <c r="K1401" s="28"/>
      <c r="L1401" s="28"/>
      <c r="M1401" s="28"/>
      <c r="N1401" s="28"/>
      <c r="O1401" s="28"/>
      <c r="P1401" s="28"/>
      <c r="Q1401" s="28"/>
      <c r="R1401" s="28"/>
      <c r="S1401" s="28"/>
      <c r="T1401" s="28"/>
      <c r="U1401" s="28"/>
      <c r="V1401" s="28"/>
      <c r="W1401" s="28"/>
      <c r="X1401" s="28"/>
      <c r="Y1401" s="28"/>
      <c r="Z1401" s="28"/>
      <c r="AA1401" s="28"/>
      <c r="AB1401" s="28"/>
      <c r="AC1401" s="28"/>
      <c r="AD1401" s="28"/>
      <c r="AE1401" s="28"/>
      <c r="AF1401" s="28"/>
      <c r="AG1401" s="28"/>
      <c r="AH1401" s="28"/>
      <c r="AI1401" s="28"/>
      <c r="AJ1401" s="28"/>
      <c r="AK1401" s="28"/>
      <c r="AL1401" s="28"/>
      <c r="AM1401" s="28"/>
      <c r="AN1401" s="28"/>
      <c r="AO1401" s="28"/>
      <c r="AP1401" s="28"/>
      <c r="AQ1401" s="28"/>
      <c r="AR1401" s="28"/>
      <c r="AS1401" s="28"/>
      <c r="AT1401" s="28"/>
      <c r="AU1401" s="28"/>
      <c r="AV1401" s="28"/>
      <c r="AW1401" s="28"/>
      <c r="AX1401" s="28"/>
      <c r="AY1401" s="28"/>
      <c r="AZ1401" s="28"/>
      <c r="BA1401" s="28"/>
      <c r="BB1401" s="28"/>
    </row>
    <row r="1402" spans="1:54" ht="12.75" x14ac:dyDescent="0.2">
      <c r="A1402" s="28"/>
      <c r="B1402" s="28"/>
      <c r="C1402" s="28"/>
      <c r="D1402" s="28"/>
      <c r="E1402" s="28"/>
      <c r="F1402" s="28"/>
      <c r="G1402" s="28"/>
      <c r="H1402" s="28"/>
      <c r="I1402" s="28"/>
      <c r="J1402" s="28"/>
      <c r="K1402" s="28"/>
      <c r="L1402" s="28"/>
      <c r="M1402" s="28"/>
      <c r="N1402" s="28"/>
      <c r="O1402" s="28"/>
      <c r="P1402" s="28"/>
      <c r="Q1402" s="28"/>
      <c r="R1402" s="28"/>
      <c r="S1402" s="28"/>
      <c r="T1402" s="28"/>
      <c r="U1402" s="28"/>
      <c r="V1402" s="28"/>
      <c r="W1402" s="28"/>
      <c r="X1402" s="28"/>
      <c r="Y1402" s="28"/>
      <c r="Z1402" s="28"/>
      <c r="AA1402" s="28"/>
      <c r="AB1402" s="28"/>
      <c r="AC1402" s="28"/>
      <c r="AD1402" s="28"/>
      <c r="AE1402" s="28"/>
      <c r="AF1402" s="28"/>
      <c r="AG1402" s="28"/>
      <c r="AH1402" s="28"/>
      <c r="AI1402" s="28"/>
      <c r="AJ1402" s="28"/>
      <c r="AK1402" s="28"/>
      <c r="AL1402" s="28"/>
      <c r="AM1402" s="28"/>
      <c r="AN1402" s="28"/>
      <c r="AO1402" s="28"/>
      <c r="AP1402" s="28"/>
      <c r="AQ1402" s="28"/>
      <c r="AR1402" s="28"/>
      <c r="AS1402" s="28"/>
      <c r="AT1402" s="28"/>
      <c r="AU1402" s="28"/>
      <c r="AV1402" s="28"/>
      <c r="AW1402" s="28"/>
      <c r="AX1402" s="28"/>
      <c r="AY1402" s="28"/>
      <c r="AZ1402" s="28"/>
      <c r="BA1402" s="28"/>
      <c r="BB1402" s="28"/>
    </row>
    <row r="1403" spans="1:54" ht="12.75" x14ac:dyDescent="0.2">
      <c r="A1403" s="28"/>
      <c r="B1403" s="28"/>
      <c r="C1403" s="28"/>
      <c r="D1403" s="28"/>
      <c r="E1403" s="28"/>
      <c r="F1403" s="28"/>
      <c r="G1403" s="28"/>
      <c r="H1403" s="28"/>
      <c r="I1403" s="28"/>
      <c r="J1403" s="28"/>
      <c r="K1403" s="28"/>
      <c r="L1403" s="28"/>
      <c r="M1403" s="28"/>
      <c r="N1403" s="28"/>
      <c r="O1403" s="28"/>
      <c r="P1403" s="28"/>
      <c r="Q1403" s="28"/>
      <c r="R1403" s="28"/>
      <c r="S1403" s="28"/>
      <c r="T1403" s="28"/>
      <c r="U1403" s="28"/>
      <c r="V1403" s="28"/>
      <c r="W1403" s="28"/>
      <c r="X1403" s="28"/>
      <c r="Y1403" s="28"/>
      <c r="Z1403" s="28"/>
      <c r="AA1403" s="28"/>
      <c r="AB1403" s="28"/>
      <c r="AC1403" s="28"/>
      <c r="AD1403" s="28"/>
      <c r="AE1403" s="28"/>
      <c r="AF1403" s="28"/>
      <c r="AG1403" s="28"/>
      <c r="AH1403" s="28"/>
      <c r="AI1403" s="28"/>
      <c r="AJ1403" s="28"/>
      <c r="AK1403" s="28"/>
      <c r="AL1403" s="28"/>
      <c r="AM1403" s="28"/>
      <c r="AN1403" s="28"/>
      <c r="AO1403" s="28"/>
      <c r="AP1403" s="28"/>
      <c r="AQ1403" s="28"/>
      <c r="AR1403" s="28"/>
      <c r="AS1403" s="28"/>
      <c r="AT1403" s="28"/>
      <c r="AU1403" s="28"/>
      <c r="AV1403" s="28"/>
      <c r="AW1403" s="28"/>
      <c r="AX1403" s="28"/>
      <c r="AY1403" s="28"/>
      <c r="AZ1403" s="28"/>
      <c r="BA1403" s="28"/>
      <c r="BB1403" s="28"/>
    </row>
    <row r="1404" spans="1:54" ht="12.75" x14ac:dyDescent="0.2">
      <c r="A1404" s="28"/>
      <c r="B1404" s="28"/>
      <c r="C1404" s="28"/>
      <c r="D1404" s="28"/>
      <c r="E1404" s="28"/>
      <c r="F1404" s="28"/>
      <c r="G1404" s="28"/>
      <c r="H1404" s="28"/>
      <c r="I1404" s="28"/>
      <c r="J1404" s="28"/>
      <c r="K1404" s="28"/>
      <c r="L1404" s="28"/>
      <c r="M1404" s="28"/>
      <c r="N1404" s="28"/>
      <c r="O1404" s="28"/>
      <c r="P1404" s="28"/>
      <c r="Q1404" s="28"/>
      <c r="R1404" s="28"/>
      <c r="S1404" s="28"/>
      <c r="T1404" s="28"/>
      <c r="U1404" s="28"/>
      <c r="V1404" s="28"/>
      <c r="W1404" s="28"/>
      <c r="X1404" s="28"/>
      <c r="Y1404" s="28"/>
      <c r="Z1404" s="28"/>
      <c r="AA1404" s="28"/>
      <c r="AB1404" s="28"/>
      <c r="AC1404" s="28"/>
      <c r="AD1404" s="28"/>
      <c r="AE1404" s="28"/>
      <c r="AF1404" s="28"/>
      <c r="AG1404" s="28"/>
      <c r="AH1404" s="28"/>
      <c r="AI1404" s="28"/>
      <c r="AJ1404" s="28"/>
      <c r="AK1404" s="28"/>
      <c r="AL1404" s="28"/>
      <c r="AM1404" s="28"/>
      <c r="AN1404" s="28"/>
      <c r="AO1404" s="28"/>
      <c r="AP1404" s="28"/>
      <c r="AQ1404" s="28"/>
      <c r="AR1404" s="28"/>
      <c r="AS1404" s="28"/>
      <c r="AT1404" s="28"/>
      <c r="AU1404" s="28"/>
      <c r="AV1404" s="28"/>
      <c r="AW1404" s="28"/>
      <c r="AX1404" s="28"/>
      <c r="AY1404" s="28"/>
      <c r="AZ1404" s="28"/>
      <c r="BA1404" s="28"/>
      <c r="BB1404" s="28"/>
    </row>
    <row r="1405" spans="1:54" ht="12.75" x14ac:dyDescent="0.2">
      <c r="A1405" s="28"/>
      <c r="B1405" s="28"/>
      <c r="C1405" s="28"/>
      <c r="D1405" s="28"/>
      <c r="E1405" s="28"/>
      <c r="F1405" s="28"/>
      <c r="G1405" s="28"/>
      <c r="H1405" s="28"/>
      <c r="I1405" s="28"/>
      <c r="J1405" s="28"/>
      <c r="K1405" s="28"/>
      <c r="L1405" s="28"/>
      <c r="M1405" s="28"/>
      <c r="N1405" s="28"/>
      <c r="O1405" s="28"/>
      <c r="P1405" s="28"/>
      <c r="Q1405" s="28"/>
      <c r="R1405" s="28"/>
      <c r="S1405" s="28"/>
      <c r="T1405" s="28"/>
      <c r="U1405" s="28"/>
      <c r="V1405" s="28"/>
      <c r="W1405" s="28"/>
      <c r="X1405" s="28"/>
      <c r="Y1405" s="28"/>
      <c r="Z1405" s="28"/>
      <c r="AA1405" s="28"/>
      <c r="AB1405" s="28"/>
      <c r="AC1405" s="28"/>
      <c r="AD1405" s="28"/>
      <c r="AE1405" s="28"/>
      <c r="AF1405" s="28"/>
      <c r="AG1405" s="28"/>
      <c r="AH1405" s="28"/>
      <c r="AI1405" s="28"/>
      <c r="AJ1405" s="28"/>
      <c r="AK1405" s="28"/>
      <c r="AL1405" s="28"/>
      <c r="AM1405" s="28"/>
      <c r="AN1405" s="28"/>
      <c r="AO1405" s="28"/>
      <c r="AP1405" s="28"/>
      <c r="AQ1405" s="28"/>
      <c r="AR1405" s="28"/>
      <c r="AS1405" s="28"/>
      <c r="AT1405" s="28"/>
      <c r="AU1405" s="28"/>
      <c r="AV1405" s="28"/>
      <c r="AW1405" s="28"/>
      <c r="AX1405" s="28"/>
      <c r="AY1405" s="28"/>
      <c r="AZ1405" s="28"/>
      <c r="BA1405" s="28"/>
      <c r="BB1405" s="28"/>
    </row>
    <row r="1406" spans="1:54" ht="12.75" x14ac:dyDescent="0.2">
      <c r="A1406" s="28"/>
      <c r="B1406" s="28"/>
      <c r="C1406" s="28"/>
      <c r="D1406" s="28"/>
      <c r="E1406" s="28"/>
      <c r="F1406" s="28"/>
      <c r="G1406" s="28"/>
      <c r="H1406" s="28"/>
      <c r="I1406" s="28"/>
      <c r="J1406" s="28"/>
      <c r="K1406" s="28"/>
      <c r="L1406" s="28"/>
      <c r="M1406" s="28"/>
      <c r="N1406" s="28"/>
      <c r="O1406" s="28"/>
      <c r="P1406" s="28"/>
      <c r="Q1406" s="28"/>
      <c r="R1406" s="28"/>
      <c r="S1406" s="28"/>
      <c r="T1406" s="28"/>
      <c r="U1406" s="28"/>
      <c r="V1406" s="28"/>
      <c r="W1406" s="28"/>
      <c r="X1406" s="28"/>
      <c r="Y1406" s="28"/>
      <c r="Z1406" s="28"/>
      <c r="AA1406" s="28"/>
      <c r="AB1406" s="28"/>
      <c r="AC1406" s="28"/>
      <c r="AD1406" s="28"/>
      <c r="AE1406" s="28"/>
      <c r="AF1406" s="28"/>
      <c r="AG1406" s="28"/>
      <c r="AH1406" s="28"/>
      <c r="AI1406" s="28"/>
      <c r="AJ1406" s="28"/>
      <c r="AK1406" s="28"/>
      <c r="AL1406" s="28"/>
      <c r="AM1406" s="28"/>
      <c r="AN1406" s="28"/>
      <c r="AO1406" s="28"/>
      <c r="AP1406" s="28"/>
      <c r="AQ1406" s="28"/>
      <c r="AR1406" s="28"/>
      <c r="AS1406" s="28"/>
      <c r="AT1406" s="28"/>
      <c r="AU1406" s="28"/>
      <c r="AV1406" s="28"/>
      <c r="AW1406" s="28"/>
      <c r="AX1406" s="28"/>
      <c r="AY1406" s="28"/>
      <c r="AZ1406" s="28"/>
      <c r="BA1406" s="28"/>
      <c r="BB1406" s="28"/>
    </row>
    <row r="1407" spans="1:54" ht="12.75" x14ac:dyDescent="0.2">
      <c r="A1407" s="28"/>
      <c r="B1407" s="28"/>
      <c r="C1407" s="28"/>
      <c r="D1407" s="28"/>
      <c r="E1407" s="28"/>
      <c r="F1407" s="28"/>
      <c r="G1407" s="28"/>
      <c r="H1407" s="28"/>
      <c r="I1407" s="28"/>
      <c r="J1407" s="28"/>
      <c r="K1407" s="28"/>
      <c r="L1407" s="28"/>
      <c r="M1407" s="28"/>
      <c r="N1407" s="28"/>
      <c r="O1407" s="28"/>
      <c r="P1407" s="28"/>
      <c r="Q1407" s="28"/>
      <c r="R1407" s="28"/>
      <c r="S1407" s="28"/>
      <c r="T1407" s="28"/>
      <c r="U1407" s="28"/>
      <c r="V1407" s="28"/>
      <c r="W1407" s="28"/>
      <c r="X1407" s="28"/>
      <c r="Y1407" s="28"/>
      <c r="Z1407" s="28"/>
      <c r="AA1407" s="28"/>
      <c r="AB1407" s="28"/>
      <c r="AC1407" s="28"/>
      <c r="AD1407" s="28"/>
      <c r="AE1407" s="28"/>
      <c r="AF1407" s="28"/>
      <c r="AG1407" s="28"/>
      <c r="AH1407" s="28"/>
      <c r="AI1407" s="28"/>
      <c r="AJ1407" s="28"/>
      <c r="AK1407" s="28"/>
      <c r="AL1407" s="28"/>
      <c r="AM1407" s="28"/>
      <c r="AN1407" s="28"/>
      <c r="AO1407" s="28"/>
      <c r="AP1407" s="28"/>
      <c r="AQ1407" s="28"/>
      <c r="AR1407" s="28"/>
      <c r="AS1407" s="28"/>
      <c r="AT1407" s="28"/>
      <c r="AU1407" s="28"/>
      <c r="AV1407" s="28"/>
      <c r="AW1407" s="28"/>
      <c r="AX1407" s="28"/>
      <c r="AY1407" s="28"/>
      <c r="AZ1407" s="28"/>
      <c r="BA1407" s="28"/>
      <c r="BB1407" s="28"/>
    </row>
    <row r="1408" spans="1:54" ht="12.75" x14ac:dyDescent="0.2">
      <c r="A1408" s="28"/>
      <c r="B1408" s="28"/>
      <c r="C1408" s="28"/>
      <c r="D1408" s="28"/>
      <c r="E1408" s="28"/>
      <c r="F1408" s="28"/>
      <c r="G1408" s="28"/>
      <c r="H1408" s="28"/>
      <c r="I1408" s="28"/>
      <c r="J1408" s="28"/>
      <c r="K1408" s="28"/>
      <c r="L1408" s="28"/>
      <c r="M1408" s="28"/>
      <c r="N1408" s="28"/>
      <c r="O1408" s="28"/>
      <c r="P1408" s="28"/>
      <c r="Q1408" s="28"/>
      <c r="R1408" s="28"/>
      <c r="S1408" s="28"/>
      <c r="T1408" s="28"/>
      <c r="U1408" s="28"/>
      <c r="V1408" s="28"/>
      <c r="W1408" s="28"/>
      <c r="X1408" s="28"/>
      <c r="Y1408" s="28"/>
      <c r="Z1408" s="28"/>
      <c r="AA1408" s="28"/>
      <c r="AB1408" s="28"/>
      <c r="AC1408" s="28"/>
      <c r="AD1408" s="28"/>
      <c r="AE1408" s="28"/>
      <c r="AF1408" s="28"/>
      <c r="AG1408" s="28"/>
      <c r="AH1408" s="28"/>
      <c r="AI1408" s="28"/>
      <c r="AJ1408" s="28"/>
      <c r="AK1408" s="28"/>
      <c r="AL1408" s="28"/>
      <c r="AM1408" s="28"/>
      <c r="AN1408" s="28"/>
      <c r="AO1408" s="28"/>
      <c r="AP1408" s="28"/>
      <c r="AQ1408" s="28"/>
      <c r="AR1408" s="28"/>
      <c r="AS1408" s="28"/>
      <c r="AT1408" s="28"/>
      <c r="AU1408" s="28"/>
      <c r="AV1408" s="28"/>
      <c r="AW1408" s="28"/>
      <c r="AX1408" s="28"/>
      <c r="AY1408" s="28"/>
      <c r="AZ1408" s="28"/>
      <c r="BA1408" s="28"/>
      <c r="BB1408" s="28"/>
    </row>
    <row r="1409" spans="1:54" ht="12.75" x14ac:dyDescent="0.2">
      <c r="A1409" s="28"/>
      <c r="B1409" s="28"/>
      <c r="C1409" s="28"/>
      <c r="D1409" s="28"/>
      <c r="E1409" s="28"/>
      <c r="F1409" s="28"/>
      <c r="G1409" s="28"/>
      <c r="H1409" s="28"/>
      <c r="I1409" s="28"/>
      <c r="J1409" s="28"/>
      <c r="K1409" s="28"/>
      <c r="L1409" s="28"/>
      <c r="M1409" s="28"/>
      <c r="N1409" s="28"/>
      <c r="O1409" s="28"/>
      <c r="P1409" s="28"/>
      <c r="Q1409" s="28"/>
      <c r="R1409" s="28"/>
      <c r="S1409" s="28"/>
      <c r="T1409" s="28"/>
      <c r="U1409" s="28"/>
      <c r="V1409" s="28"/>
      <c r="W1409" s="28"/>
      <c r="X1409" s="28"/>
      <c r="Y1409" s="28"/>
      <c r="Z1409" s="28"/>
      <c r="AA1409" s="28"/>
      <c r="AB1409" s="28"/>
      <c r="AC1409" s="28"/>
      <c r="AD1409" s="28"/>
      <c r="AE1409" s="28"/>
      <c r="AF1409" s="28"/>
      <c r="AG1409" s="28"/>
      <c r="AH1409" s="28"/>
      <c r="AI1409" s="28"/>
      <c r="AJ1409" s="28"/>
      <c r="AK1409" s="28"/>
      <c r="AL1409" s="28"/>
      <c r="AM1409" s="28"/>
      <c r="AN1409" s="28"/>
      <c r="AO1409" s="28"/>
      <c r="AP1409" s="28"/>
      <c r="AQ1409" s="28"/>
      <c r="AR1409" s="28"/>
      <c r="AS1409" s="28"/>
      <c r="AT1409" s="28"/>
      <c r="AU1409" s="28"/>
      <c r="AV1409" s="28"/>
      <c r="AW1409" s="28"/>
      <c r="AX1409" s="28"/>
      <c r="AY1409" s="28"/>
      <c r="AZ1409" s="28"/>
      <c r="BA1409" s="28"/>
      <c r="BB1409" s="28"/>
    </row>
    <row r="1410" spans="1:54" ht="12.75" x14ac:dyDescent="0.2">
      <c r="A1410" s="28"/>
      <c r="B1410" s="28"/>
      <c r="C1410" s="28"/>
      <c r="D1410" s="28"/>
      <c r="E1410" s="28"/>
      <c r="F1410" s="28"/>
      <c r="G1410" s="28"/>
      <c r="H1410" s="28"/>
      <c r="I1410" s="28"/>
      <c r="J1410" s="28"/>
      <c r="K1410" s="28"/>
      <c r="L1410" s="28"/>
      <c r="M1410" s="28"/>
      <c r="N1410" s="28"/>
      <c r="O1410" s="28"/>
      <c r="P1410" s="28"/>
      <c r="Q1410" s="28"/>
      <c r="R1410" s="28"/>
      <c r="S1410" s="28"/>
      <c r="T1410" s="28"/>
      <c r="U1410" s="28"/>
      <c r="V1410" s="28"/>
      <c r="W1410" s="28"/>
      <c r="X1410" s="28"/>
      <c r="Y1410" s="28"/>
      <c r="Z1410" s="28"/>
      <c r="AA1410" s="28"/>
      <c r="AB1410" s="28"/>
      <c r="AC1410" s="28"/>
      <c r="AD1410" s="28"/>
      <c r="AE1410" s="28"/>
      <c r="AF1410" s="28"/>
      <c r="AG1410" s="28"/>
      <c r="AH1410" s="28"/>
      <c r="AI1410" s="28"/>
      <c r="AJ1410" s="28"/>
      <c r="AK1410" s="28"/>
      <c r="AL1410" s="28"/>
      <c r="AM1410" s="28"/>
      <c r="AN1410" s="28"/>
      <c r="AO1410" s="28"/>
      <c r="AP1410" s="28"/>
      <c r="AQ1410" s="28"/>
      <c r="AR1410" s="28"/>
      <c r="AS1410" s="28"/>
      <c r="AT1410" s="28"/>
      <c r="AU1410" s="28"/>
      <c r="AV1410" s="28"/>
      <c r="AW1410" s="28"/>
      <c r="AX1410" s="28"/>
      <c r="AY1410" s="28"/>
      <c r="AZ1410" s="28"/>
      <c r="BA1410" s="28"/>
      <c r="BB1410" s="28"/>
    </row>
    <row r="1411" spans="1:54" ht="12.75" x14ac:dyDescent="0.2">
      <c r="A1411" s="28"/>
      <c r="B1411" s="28"/>
      <c r="C1411" s="28"/>
      <c r="D1411" s="28"/>
      <c r="E1411" s="28"/>
      <c r="F1411" s="28"/>
      <c r="G1411" s="28"/>
      <c r="H1411" s="28"/>
      <c r="I1411" s="28"/>
      <c r="J1411" s="28"/>
      <c r="K1411" s="28"/>
      <c r="L1411" s="28"/>
      <c r="M1411" s="28"/>
      <c r="N1411" s="28"/>
      <c r="O1411" s="28"/>
      <c r="P1411" s="28"/>
      <c r="Q1411" s="28"/>
      <c r="R1411" s="28"/>
      <c r="S1411" s="28"/>
      <c r="T1411" s="28"/>
      <c r="U1411" s="28"/>
      <c r="V1411" s="28"/>
      <c r="W1411" s="28"/>
      <c r="X1411" s="28"/>
      <c r="Y1411" s="28"/>
      <c r="Z1411" s="28"/>
      <c r="AA1411" s="28"/>
      <c r="AB1411" s="28"/>
      <c r="AC1411" s="28"/>
      <c r="AD1411" s="28"/>
      <c r="AE1411" s="28"/>
      <c r="AF1411" s="28"/>
      <c r="AG1411" s="28"/>
      <c r="AH1411" s="28"/>
      <c r="AI1411" s="28"/>
      <c r="AJ1411" s="28"/>
      <c r="AK1411" s="28"/>
      <c r="AL1411" s="28"/>
      <c r="AM1411" s="28"/>
      <c r="AN1411" s="28"/>
      <c r="AO1411" s="28"/>
      <c r="AP1411" s="28"/>
      <c r="AQ1411" s="28"/>
      <c r="AR1411" s="28"/>
      <c r="AS1411" s="28"/>
      <c r="AT1411" s="28"/>
      <c r="AU1411" s="28"/>
      <c r="AV1411" s="28"/>
      <c r="AW1411" s="28"/>
      <c r="AX1411" s="28"/>
      <c r="AY1411" s="28"/>
      <c r="AZ1411" s="28"/>
      <c r="BA1411" s="28"/>
      <c r="BB1411" s="28"/>
    </row>
    <row r="1412" spans="1:54" ht="12.75" x14ac:dyDescent="0.2">
      <c r="A1412" s="28"/>
      <c r="B1412" s="28"/>
      <c r="C1412" s="28"/>
      <c r="D1412" s="28"/>
      <c r="E1412" s="28"/>
      <c r="F1412" s="28"/>
      <c r="G1412" s="28"/>
      <c r="H1412" s="28"/>
      <c r="I1412" s="28"/>
      <c r="J1412" s="28"/>
      <c r="K1412" s="28"/>
      <c r="L1412" s="28"/>
      <c r="M1412" s="28"/>
      <c r="N1412" s="28"/>
      <c r="O1412" s="28"/>
      <c r="P1412" s="28"/>
      <c r="Q1412" s="28"/>
      <c r="R1412" s="28"/>
      <c r="S1412" s="28"/>
      <c r="T1412" s="28"/>
      <c r="U1412" s="28"/>
      <c r="V1412" s="28"/>
      <c r="W1412" s="28"/>
      <c r="X1412" s="28"/>
      <c r="Y1412" s="28"/>
      <c r="Z1412" s="28"/>
      <c r="AA1412" s="28"/>
      <c r="AB1412" s="28"/>
      <c r="AC1412" s="28"/>
      <c r="AD1412" s="28"/>
      <c r="AE1412" s="28"/>
      <c r="AF1412" s="28"/>
      <c r="AG1412" s="28"/>
      <c r="AH1412" s="28"/>
      <c r="AI1412" s="28"/>
      <c r="AJ1412" s="28"/>
      <c r="AK1412" s="28"/>
      <c r="AL1412" s="28"/>
      <c r="AM1412" s="28"/>
      <c r="AN1412" s="28"/>
      <c r="AO1412" s="28"/>
      <c r="AP1412" s="28"/>
      <c r="AQ1412" s="28"/>
      <c r="AR1412" s="28"/>
      <c r="AS1412" s="28"/>
      <c r="AT1412" s="28"/>
      <c r="AU1412" s="28"/>
      <c r="AV1412" s="28"/>
      <c r="AW1412" s="28"/>
      <c r="AX1412" s="28"/>
      <c r="AY1412" s="28"/>
      <c r="AZ1412" s="28"/>
      <c r="BA1412" s="28"/>
      <c r="BB1412" s="28"/>
    </row>
    <row r="1413" spans="1:54" ht="12.75" x14ac:dyDescent="0.2">
      <c r="A1413" s="28"/>
      <c r="B1413" s="28"/>
      <c r="C1413" s="28"/>
      <c r="D1413" s="28"/>
      <c r="E1413" s="28"/>
      <c r="F1413" s="28"/>
      <c r="G1413" s="28"/>
      <c r="H1413" s="28"/>
      <c r="I1413" s="28"/>
      <c r="J1413" s="28"/>
      <c r="K1413" s="28"/>
      <c r="L1413" s="28"/>
      <c r="M1413" s="28"/>
      <c r="N1413" s="28"/>
      <c r="O1413" s="28"/>
      <c r="P1413" s="28"/>
      <c r="Q1413" s="28"/>
      <c r="R1413" s="28"/>
      <c r="S1413" s="28"/>
      <c r="T1413" s="28"/>
      <c r="U1413" s="28"/>
      <c r="V1413" s="28"/>
      <c r="W1413" s="28"/>
      <c r="X1413" s="28"/>
      <c r="Y1413" s="28"/>
      <c r="Z1413" s="28"/>
      <c r="AA1413" s="28"/>
      <c r="AB1413" s="28"/>
      <c r="AC1413" s="28"/>
      <c r="AD1413" s="28"/>
      <c r="AE1413" s="28"/>
      <c r="AF1413" s="28"/>
      <c r="AG1413" s="28"/>
      <c r="AH1413" s="28"/>
      <c r="AI1413" s="28"/>
      <c r="AJ1413" s="28"/>
      <c r="AK1413" s="28"/>
      <c r="AL1413" s="28"/>
      <c r="AM1413" s="28"/>
      <c r="AN1413" s="28"/>
      <c r="AO1413" s="28"/>
      <c r="AP1413" s="28"/>
      <c r="AQ1413" s="28"/>
      <c r="AR1413" s="28"/>
      <c r="AS1413" s="28"/>
      <c r="AT1413" s="28"/>
      <c r="AU1413" s="28"/>
      <c r="AV1413" s="28"/>
      <c r="AW1413" s="28"/>
      <c r="AX1413" s="28"/>
      <c r="AY1413" s="28"/>
      <c r="AZ1413" s="28"/>
      <c r="BA1413" s="28"/>
      <c r="BB1413" s="28"/>
    </row>
    <row r="1414" spans="1:54" ht="12.75" x14ac:dyDescent="0.2">
      <c r="A1414" s="28"/>
      <c r="B1414" s="28"/>
      <c r="C1414" s="28"/>
      <c r="D1414" s="28"/>
      <c r="E1414" s="28"/>
      <c r="F1414" s="28"/>
      <c r="G1414" s="28"/>
      <c r="H1414" s="28"/>
      <c r="I1414" s="28"/>
      <c r="J1414" s="28"/>
      <c r="K1414" s="28"/>
      <c r="L1414" s="28"/>
      <c r="M1414" s="28"/>
      <c r="N1414" s="28"/>
      <c r="O1414" s="28"/>
      <c r="P1414" s="28"/>
      <c r="Q1414" s="28"/>
      <c r="R1414" s="28"/>
      <c r="S1414" s="28"/>
      <c r="T1414" s="28"/>
      <c r="U1414" s="28"/>
      <c r="V1414" s="28"/>
      <c r="W1414" s="28"/>
      <c r="X1414" s="28"/>
      <c r="Y1414" s="28"/>
      <c r="Z1414" s="28"/>
      <c r="AA1414" s="28"/>
      <c r="AB1414" s="28"/>
      <c r="AC1414" s="28"/>
      <c r="AD1414" s="28"/>
      <c r="AE1414" s="28"/>
      <c r="AF1414" s="28"/>
      <c r="AG1414" s="28"/>
      <c r="AH1414" s="28"/>
      <c r="AI1414" s="28"/>
      <c r="AJ1414" s="28"/>
      <c r="AK1414" s="28"/>
      <c r="AL1414" s="28"/>
      <c r="AM1414" s="28"/>
      <c r="AN1414" s="28"/>
      <c r="AO1414" s="28"/>
      <c r="AP1414" s="28"/>
      <c r="AQ1414" s="28"/>
      <c r="AR1414" s="28"/>
      <c r="AS1414" s="28"/>
      <c r="AT1414" s="28"/>
      <c r="AU1414" s="28"/>
      <c r="AV1414" s="28"/>
      <c r="AW1414" s="28"/>
      <c r="AX1414" s="28"/>
      <c r="AY1414" s="28"/>
      <c r="AZ1414" s="28"/>
      <c r="BA1414" s="28"/>
      <c r="BB1414" s="28"/>
    </row>
    <row r="1415" spans="1:54" ht="12.75" x14ac:dyDescent="0.2">
      <c r="A1415" s="28"/>
      <c r="B1415" s="28"/>
      <c r="C1415" s="28"/>
      <c r="D1415" s="28"/>
      <c r="E1415" s="28"/>
      <c r="F1415" s="28"/>
      <c r="G1415" s="28"/>
      <c r="H1415" s="28"/>
      <c r="I1415" s="28"/>
      <c r="J1415" s="28"/>
      <c r="K1415" s="28"/>
      <c r="L1415" s="28"/>
      <c r="M1415" s="28"/>
      <c r="N1415" s="28"/>
      <c r="O1415" s="28"/>
      <c r="P1415" s="28"/>
      <c r="Q1415" s="28"/>
      <c r="R1415" s="28"/>
      <c r="S1415" s="28"/>
      <c r="T1415" s="28"/>
      <c r="U1415" s="28"/>
      <c r="V1415" s="28"/>
      <c r="W1415" s="28"/>
      <c r="X1415" s="28"/>
      <c r="Y1415" s="28"/>
      <c r="Z1415" s="28"/>
      <c r="AA1415" s="28"/>
      <c r="AB1415" s="28"/>
      <c r="AC1415" s="28"/>
      <c r="AD1415" s="28"/>
      <c r="AE1415" s="28"/>
      <c r="AF1415" s="28"/>
      <c r="AG1415" s="28"/>
      <c r="AH1415" s="28"/>
      <c r="AI1415" s="28"/>
      <c r="AJ1415" s="28"/>
      <c r="AK1415" s="28"/>
      <c r="AL1415" s="28"/>
      <c r="AM1415" s="28"/>
      <c r="AN1415" s="28"/>
      <c r="AO1415" s="28"/>
      <c r="AP1415" s="28"/>
      <c r="AQ1415" s="28"/>
      <c r="AR1415" s="28"/>
      <c r="AS1415" s="28"/>
      <c r="AT1415" s="28"/>
      <c r="AU1415" s="28"/>
      <c r="AV1415" s="28"/>
      <c r="AW1415" s="28"/>
      <c r="AX1415" s="28"/>
      <c r="AY1415" s="28"/>
      <c r="AZ1415" s="28"/>
      <c r="BA1415" s="28"/>
      <c r="BB1415" s="28"/>
    </row>
    <row r="1416" spans="1:54" ht="12.75" x14ac:dyDescent="0.2">
      <c r="A1416" s="28"/>
      <c r="B1416" s="28"/>
      <c r="C1416" s="28"/>
      <c r="D1416" s="28"/>
      <c r="E1416" s="28"/>
      <c r="F1416" s="28"/>
      <c r="G1416" s="28"/>
      <c r="H1416" s="28"/>
      <c r="I1416" s="28"/>
      <c r="J1416" s="28"/>
      <c r="K1416" s="28"/>
      <c r="L1416" s="28"/>
      <c r="M1416" s="28"/>
      <c r="N1416" s="28"/>
      <c r="O1416" s="28"/>
      <c r="P1416" s="28"/>
      <c r="Q1416" s="28"/>
      <c r="R1416" s="28"/>
      <c r="S1416" s="28"/>
      <c r="T1416" s="28"/>
      <c r="U1416" s="28"/>
      <c r="V1416" s="28"/>
      <c r="W1416" s="28"/>
      <c r="X1416" s="28"/>
      <c r="Y1416" s="28"/>
      <c r="Z1416" s="28"/>
      <c r="AA1416" s="28"/>
      <c r="AB1416" s="28"/>
      <c r="AC1416" s="28"/>
      <c r="AD1416" s="28"/>
      <c r="AE1416" s="28"/>
      <c r="AF1416" s="28"/>
      <c r="AG1416" s="28"/>
      <c r="AH1416" s="28"/>
      <c r="AI1416" s="28"/>
      <c r="AJ1416" s="28"/>
      <c r="AK1416" s="28"/>
      <c r="AL1416" s="28"/>
      <c r="AM1416" s="28"/>
      <c r="AN1416" s="28"/>
      <c r="AO1416" s="28"/>
      <c r="AP1416" s="28"/>
      <c r="AQ1416" s="28"/>
      <c r="AR1416" s="28"/>
      <c r="AS1416" s="28"/>
      <c r="AT1416" s="28"/>
      <c r="AU1416" s="28"/>
      <c r="AV1416" s="28"/>
      <c r="AW1416" s="28"/>
      <c r="AX1416" s="28"/>
      <c r="AY1416" s="28"/>
      <c r="AZ1416" s="28"/>
      <c r="BA1416" s="28"/>
      <c r="BB1416" s="28"/>
    </row>
    <row r="1417" spans="1:54" ht="12.75" x14ac:dyDescent="0.2">
      <c r="A1417" s="28"/>
      <c r="B1417" s="28"/>
      <c r="C1417" s="28"/>
      <c r="D1417" s="28"/>
      <c r="E1417" s="28"/>
      <c r="F1417" s="28"/>
      <c r="G1417" s="28"/>
      <c r="H1417" s="28"/>
      <c r="I1417" s="28"/>
      <c r="J1417" s="28"/>
      <c r="K1417" s="28"/>
      <c r="L1417" s="28"/>
      <c r="M1417" s="28"/>
      <c r="N1417" s="28"/>
      <c r="O1417" s="28"/>
      <c r="P1417" s="28"/>
      <c r="Q1417" s="28"/>
      <c r="R1417" s="28"/>
      <c r="S1417" s="28"/>
      <c r="T1417" s="28"/>
      <c r="U1417" s="28"/>
      <c r="V1417" s="28"/>
      <c r="W1417" s="28"/>
      <c r="X1417" s="28"/>
      <c r="Y1417" s="28"/>
      <c r="Z1417" s="28"/>
      <c r="AA1417" s="28"/>
      <c r="AB1417" s="28"/>
      <c r="AC1417" s="28"/>
      <c r="AD1417" s="28"/>
      <c r="AE1417" s="28"/>
      <c r="AF1417" s="28"/>
      <c r="AG1417" s="28"/>
      <c r="AH1417" s="28"/>
      <c r="AI1417" s="28"/>
      <c r="AJ1417" s="28"/>
      <c r="AK1417" s="28"/>
      <c r="AL1417" s="28"/>
      <c r="AM1417" s="28"/>
      <c r="AN1417" s="28"/>
      <c r="AO1417" s="28"/>
      <c r="AP1417" s="28"/>
      <c r="AQ1417" s="28"/>
      <c r="AR1417" s="28"/>
      <c r="AS1417" s="28"/>
      <c r="AT1417" s="28"/>
      <c r="AU1417" s="28"/>
      <c r="AV1417" s="28"/>
      <c r="AW1417" s="28"/>
      <c r="AX1417" s="28"/>
      <c r="AY1417" s="28"/>
      <c r="AZ1417" s="28"/>
      <c r="BA1417" s="28"/>
      <c r="BB1417" s="28"/>
    </row>
    <row r="1418" spans="1:54" ht="12.75" x14ac:dyDescent="0.2">
      <c r="A1418" s="28"/>
      <c r="B1418" s="28"/>
      <c r="C1418" s="28"/>
      <c r="D1418" s="28"/>
      <c r="E1418" s="28"/>
      <c r="F1418" s="28"/>
      <c r="G1418" s="28"/>
      <c r="H1418" s="28"/>
      <c r="I1418" s="28"/>
      <c r="J1418" s="28"/>
      <c r="K1418" s="28"/>
      <c r="L1418" s="28"/>
      <c r="M1418" s="28"/>
      <c r="N1418" s="28"/>
      <c r="O1418" s="28"/>
      <c r="P1418" s="28"/>
      <c r="Q1418" s="28"/>
      <c r="R1418" s="28"/>
      <c r="S1418" s="28"/>
      <c r="T1418" s="28"/>
      <c r="U1418" s="28"/>
      <c r="V1418" s="28"/>
      <c r="W1418" s="28"/>
      <c r="X1418" s="28"/>
      <c r="Y1418" s="28"/>
      <c r="Z1418" s="28"/>
      <c r="AA1418" s="28"/>
      <c r="AB1418" s="28"/>
      <c r="AC1418" s="28"/>
      <c r="AD1418" s="28"/>
      <c r="AE1418" s="28"/>
      <c r="AF1418" s="28"/>
      <c r="AG1418" s="28"/>
      <c r="AH1418" s="28"/>
      <c r="AI1418" s="28"/>
      <c r="AJ1418" s="28"/>
      <c r="AK1418" s="28"/>
      <c r="AL1418" s="28"/>
      <c r="AM1418" s="28"/>
      <c r="AN1418" s="28"/>
      <c r="AO1418" s="28"/>
      <c r="AP1418" s="28"/>
      <c r="AQ1418" s="28"/>
      <c r="AR1418" s="28"/>
      <c r="AS1418" s="28"/>
      <c r="AT1418" s="28"/>
      <c r="AU1418" s="28"/>
      <c r="AV1418" s="28"/>
      <c r="AW1418" s="28"/>
      <c r="AX1418" s="28"/>
      <c r="AY1418" s="28"/>
      <c r="AZ1418" s="28"/>
      <c r="BA1418" s="28"/>
      <c r="BB1418" s="28"/>
    </row>
    <row r="1419" spans="1:54" ht="12.75" x14ac:dyDescent="0.2">
      <c r="A1419" s="28"/>
      <c r="B1419" s="28"/>
      <c r="C1419" s="28"/>
      <c r="D1419" s="28"/>
      <c r="E1419" s="28"/>
      <c r="F1419" s="28"/>
      <c r="G1419" s="28"/>
      <c r="H1419" s="28"/>
      <c r="I1419" s="28"/>
      <c r="J1419" s="28"/>
      <c r="K1419" s="28"/>
      <c r="L1419" s="28"/>
      <c r="M1419" s="28"/>
      <c r="N1419" s="28"/>
      <c r="O1419" s="28"/>
      <c r="P1419" s="28"/>
      <c r="Q1419" s="28"/>
      <c r="R1419" s="28"/>
      <c r="S1419" s="28"/>
      <c r="T1419" s="28"/>
      <c r="U1419" s="28"/>
      <c r="V1419" s="28"/>
      <c r="W1419" s="28"/>
      <c r="X1419" s="28"/>
      <c r="Y1419" s="28"/>
      <c r="Z1419" s="28"/>
      <c r="AA1419" s="28"/>
      <c r="AB1419" s="28"/>
      <c r="AC1419" s="28"/>
      <c r="AD1419" s="28"/>
      <c r="AE1419" s="28"/>
      <c r="AF1419" s="28"/>
      <c r="AG1419" s="28"/>
      <c r="AH1419" s="28"/>
      <c r="AI1419" s="28"/>
      <c r="AJ1419" s="28"/>
      <c r="AK1419" s="28"/>
      <c r="AL1419" s="28"/>
      <c r="AM1419" s="28"/>
      <c r="AN1419" s="28"/>
      <c r="AO1419" s="28"/>
      <c r="AP1419" s="28"/>
      <c r="AQ1419" s="28"/>
      <c r="AR1419" s="28"/>
      <c r="AS1419" s="28"/>
      <c r="AT1419" s="28"/>
      <c r="AU1419" s="28"/>
      <c r="AV1419" s="28"/>
      <c r="AW1419" s="28"/>
      <c r="AX1419" s="28"/>
      <c r="AY1419" s="28"/>
      <c r="AZ1419" s="28"/>
      <c r="BA1419" s="28"/>
      <c r="BB1419" s="28"/>
    </row>
    <row r="1420" spans="1:54" ht="12.75" x14ac:dyDescent="0.2">
      <c r="A1420" s="28"/>
      <c r="B1420" s="28"/>
      <c r="C1420" s="28"/>
      <c r="D1420" s="28"/>
      <c r="E1420" s="28"/>
      <c r="F1420" s="28"/>
      <c r="G1420" s="28"/>
      <c r="H1420" s="28"/>
      <c r="I1420" s="28"/>
      <c r="J1420" s="28"/>
      <c r="K1420" s="28"/>
      <c r="L1420" s="28"/>
      <c r="M1420" s="28"/>
      <c r="N1420" s="28"/>
      <c r="O1420" s="28"/>
      <c r="P1420" s="28"/>
      <c r="Q1420" s="28"/>
      <c r="R1420" s="28"/>
      <c r="S1420" s="28"/>
      <c r="T1420" s="28"/>
      <c r="U1420" s="28"/>
      <c r="V1420" s="28"/>
      <c r="W1420" s="28"/>
      <c r="X1420" s="28"/>
      <c r="Y1420" s="28"/>
      <c r="Z1420" s="28"/>
      <c r="AA1420" s="28"/>
      <c r="AB1420" s="28"/>
      <c r="AC1420" s="28"/>
      <c r="AD1420" s="28"/>
      <c r="AE1420" s="28"/>
      <c r="AF1420" s="28"/>
      <c r="AG1420" s="28"/>
      <c r="AH1420" s="28"/>
      <c r="AI1420" s="28"/>
      <c r="AJ1420" s="28"/>
      <c r="AK1420" s="28"/>
      <c r="AL1420" s="28"/>
      <c r="AM1420" s="28"/>
      <c r="AN1420" s="28"/>
      <c r="AO1420" s="28"/>
      <c r="AP1420" s="28"/>
      <c r="AQ1420" s="28"/>
      <c r="AR1420" s="28"/>
      <c r="AS1420" s="28"/>
      <c r="AT1420" s="28"/>
      <c r="AU1420" s="28"/>
      <c r="AV1420" s="28"/>
      <c r="AW1420" s="28"/>
      <c r="AX1420" s="28"/>
      <c r="AY1420" s="28"/>
      <c r="AZ1420" s="28"/>
      <c r="BA1420" s="28"/>
      <c r="BB1420" s="28"/>
    </row>
    <row r="1421" spans="1:54" ht="12.75" x14ac:dyDescent="0.2">
      <c r="A1421" s="28"/>
      <c r="B1421" s="28"/>
      <c r="C1421" s="28"/>
      <c r="D1421" s="28"/>
      <c r="E1421" s="28"/>
      <c r="F1421" s="28"/>
      <c r="G1421" s="28"/>
      <c r="H1421" s="28"/>
      <c r="I1421" s="28"/>
      <c r="J1421" s="28"/>
      <c r="K1421" s="28"/>
      <c r="L1421" s="28"/>
      <c r="M1421" s="28"/>
      <c r="N1421" s="28"/>
      <c r="O1421" s="28"/>
      <c r="P1421" s="28"/>
      <c r="Q1421" s="28"/>
      <c r="R1421" s="28"/>
      <c r="S1421" s="28"/>
      <c r="T1421" s="28"/>
      <c r="U1421" s="28"/>
      <c r="V1421" s="28"/>
      <c r="W1421" s="28"/>
      <c r="X1421" s="28"/>
      <c r="Y1421" s="28"/>
      <c r="Z1421" s="28"/>
      <c r="AA1421" s="28"/>
      <c r="AB1421" s="28"/>
      <c r="AC1421" s="28"/>
      <c r="AD1421" s="28"/>
      <c r="AE1421" s="28"/>
      <c r="AF1421" s="28"/>
      <c r="AG1421" s="28"/>
      <c r="AH1421" s="28"/>
      <c r="AI1421" s="28"/>
      <c r="AJ1421" s="28"/>
      <c r="AK1421" s="28"/>
      <c r="AL1421" s="28"/>
      <c r="AM1421" s="28"/>
      <c r="AN1421" s="28"/>
      <c r="AO1421" s="28"/>
      <c r="AP1421" s="28"/>
      <c r="AQ1421" s="28"/>
      <c r="AR1421" s="28"/>
      <c r="AS1421" s="28"/>
      <c r="AT1421" s="28"/>
      <c r="AU1421" s="28"/>
      <c r="AV1421" s="28"/>
      <c r="AW1421" s="28"/>
      <c r="AX1421" s="28"/>
      <c r="AY1421" s="28"/>
      <c r="AZ1421" s="28"/>
      <c r="BA1421" s="28"/>
      <c r="BB1421" s="28"/>
    </row>
    <row r="1422" spans="1:54" ht="12.75" x14ac:dyDescent="0.2">
      <c r="A1422" s="28"/>
      <c r="B1422" s="28"/>
      <c r="C1422" s="28"/>
      <c r="D1422" s="28"/>
      <c r="E1422" s="28"/>
      <c r="F1422" s="28"/>
      <c r="G1422" s="28"/>
      <c r="H1422" s="28"/>
      <c r="I1422" s="28"/>
      <c r="J1422" s="28"/>
      <c r="K1422" s="28"/>
      <c r="L1422" s="28"/>
      <c r="M1422" s="28"/>
      <c r="N1422" s="28"/>
      <c r="O1422" s="28"/>
      <c r="P1422" s="28"/>
      <c r="Q1422" s="28"/>
      <c r="R1422" s="28"/>
      <c r="S1422" s="28"/>
      <c r="T1422" s="28"/>
      <c r="U1422" s="28"/>
      <c r="V1422" s="28"/>
      <c r="W1422" s="28"/>
      <c r="X1422" s="28"/>
      <c r="Y1422" s="28"/>
      <c r="Z1422" s="28"/>
      <c r="AA1422" s="28"/>
      <c r="AB1422" s="28"/>
      <c r="AC1422" s="28"/>
      <c r="AD1422" s="28"/>
      <c r="AE1422" s="28"/>
      <c r="AF1422" s="28"/>
      <c r="AG1422" s="28"/>
      <c r="AH1422" s="28"/>
      <c r="AI1422" s="28"/>
      <c r="AJ1422" s="28"/>
      <c r="AK1422" s="28"/>
      <c r="AL1422" s="28"/>
      <c r="AM1422" s="28"/>
      <c r="AN1422" s="28"/>
      <c r="AO1422" s="28"/>
      <c r="AP1422" s="28"/>
      <c r="AQ1422" s="28"/>
      <c r="AR1422" s="28"/>
      <c r="AS1422" s="28"/>
      <c r="AT1422" s="28"/>
      <c r="AU1422" s="28"/>
      <c r="AV1422" s="28"/>
      <c r="AW1422" s="28"/>
      <c r="AX1422" s="28"/>
      <c r="AY1422" s="28"/>
      <c r="AZ1422" s="28"/>
      <c r="BA1422" s="28"/>
      <c r="BB1422" s="28"/>
    </row>
    <row r="1423" spans="1:54" ht="12.75" x14ac:dyDescent="0.2">
      <c r="A1423" s="28"/>
      <c r="B1423" s="28"/>
      <c r="C1423" s="28"/>
      <c r="D1423" s="28"/>
      <c r="E1423" s="28"/>
      <c r="F1423" s="28"/>
      <c r="G1423" s="28"/>
      <c r="H1423" s="28"/>
      <c r="I1423" s="28"/>
      <c r="J1423" s="28"/>
      <c r="K1423" s="28"/>
      <c r="L1423" s="28"/>
      <c r="M1423" s="28"/>
      <c r="N1423" s="28"/>
      <c r="O1423" s="28"/>
      <c r="P1423" s="28"/>
      <c r="Q1423" s="28"/>
      <c r="R1423" s="28"/>
      <c r="S1423" s="28"/>
      <c r="T1423" s="28"/>
      <c r="U1423" s="28"/>
      <c r="V1423" s="28"/>
      <c r="W1423" s="28"/>
      <c r="X1423" s="28"/>
      <c r="Y1423" s="28"/>
      <c r="Z1423" s="28"/>
      <c r="AA1423" s="28"/>
      <c r="AB1423" s="28"/>
      <c r="AC1423" s="28"/>
      <c r="AD1423" s="28"/>
      <c r="AE1423" s="28"/>
      <c r="AF1423" s="28"/>
      <c r="AG1423" s="28"/>
      <c r="AH1423" s="28"/>
      <c r="AI1423" s="28"/>
      <c r="AJ1423" s="28"/>
      <c r="AK1423" s="28"/>
      <c r="AL1423" s="28"/>
      <c r="AM1423" s="28"/>
      <c r="AN1423" s="28"/>
      <c r="AO1423" s="28"/>
      <c r="AP1423" s="28"/>
      <c r="AQ1423" s="28"/>
      <c r="AR1423" s="28"/>
      <c r="AS1423" s="28"/>
      <c r="AT1423" s="28"/>
      <c r="AU1423" s="28"/>
      <c r="AV1423" s="28"/>
      <c r="AW1423" s="28"/>
      <c r="AX1423" s="28"/>
      <c r="AY1423" s="28"/>
      <c r="AZ1423" s="28"/>
      <c r="BA1423" s="28"/>
      <c r="BB1423" s="28"/>
    </row>
    <row r="1424" spans="1:54" ht="12.75" x14ac:dyDescent="0.2">
      <c r="A1424" s="28"/>
      <c r="B1424" s="28"/>
      <c r="C1424" s="28"/>
      <c r="D1424" s="28"/>
      <c r="E1424" s="28"/>
      <c r="F1424" s="28"/>
      <c r="G1424" s="28"/>
      <c r="H1424" s="28"/>
      <c r="I1424" s="28"/>
      <c r="J1424" s="28"/>
      <c r="K1424" s="28"/>
      <c r="L1424" s="28"/>
      <c r="M1424" s="28"/>
      <c r="N1424" s="28"/>
      <c r="O1424" s="28"/>
      <c r="P1424" s="28"/>
      <c r="Q1424" s="28"/>
      <c r="R1424" s="28"/>
      <c r="S1424" s="28"/>
      <c r="T1424" s="28"/>
      <c r="U1424" s="28"/>
      <c r="V1424" s="28"/>
      <c r="W1424" s="28"/>
      <c r="X1424" s="28"/>
      <c r="Y1424" s="28"/>
      <c r="Z1424" s="28"/>
      <c r="AA1424" s="28"/>
      <c r="AB1424" s="28"/>
      <c r="AC1424" s="28"/>
      <c r="AD1424" s="28"/>
      <c r="AE1424" s="28"/>
      <c r="AF1424" s="28"/>
      <c r="AG1424" s="28"/>
      <c r="AH1424" s="28"/>
      <c r="AI1424" s="28"/>
      <c r="AJ1424" s="28"/>
      <c r="AK1424" s="28"/>
      <c r="AL1424" s="28"/>
      <c r="AM1424" s="28"/>
      <c r="AN1424" s="28"/>
      <c r="AO1424" s="28"/>
      <c r="AP1424" s="28"/>
      <c r="AQ1424" s="28"/>
      <c r="AR1424" s="28"/>
      <c r="AS1424" s="28"/>
      <c r="AT1424" s="28"/>
      <c r="AU1424" s="28"/>
      <c r="AV1424" s="28"/>
      <c r="AW1424" s="28"/>
      <c r="AX1424" s="28"/>
      <c r="AY1424" s="28"/>
      <c r="AZ1424" s="28"/>
      <c r="BA1424" s="28"/>
      <c r="BB1424" s="28"/>
    </row>
    <row r="1425" spans="1:54" ht="12.75" x14ac:dyDescent="0.2">
      <c r="A1425" s="28"/>
      <c r="B1425" s="28"/>
      <c r="C1425" s="28"/>
      <c r="D1425" s="28"/>
      <c r="E1425" s="28"/>
      <c r="F1425" s="28"/>
      <c r="G1425" s="28"/>
      <c r="H1425" s="28"/>
      <c r="I1425" s="28"/>
      <c r="J1425" s="28"/>
      <c r="K1425" s="28"/>
      <c r="L1425" s="28"/>
      <c r="M1425" s="28"/>
      <c r="N1425" s="28"/>
      <c r="O1425" s="28"/>
      <c r="P1425" s="28"/>
      <c r="Q1425" s="28"/>
      <c r="R1425" s="28"/>
      <c r="S1425" s="28"/>
      <c r="T1425" s="28"/>
      <c r="U1425" s="28"/>
      <c r="V1425" s="28"/>
      <c r="W1425" s="28"/>
      <c r="X1425" s="28"/>
      <c r="Y1425" s="28"/>
      <c r="Z1425" s="28"/>
      <c r="AA1425" s="28"/>
      <c r="AB1425" s="28"/>
      <c r="AC1425" s="28"/>
      <c r="AD1425" s="28"/>
      <c r="AE1425" s="28"/>
      <c r="AF1425" s="28"/>
      <c r="AG1425" s="28"/>
      <c r="AH1425" s="28"/>
      <c r="AI1425" s="28"/>
      <c r="AJ1425" s="28"/>
      <c r="AK1425" s="28"/>
      <c r="AL1425" s="28"/>
      <c r="AM1425" s="28"/>
      <c r="AN1425" s="28"/>
      <c r="AO1425" s="28"/>
      <c r="AP1425" s="28"/>
      <c r="AQ1425" s="28"/>
      <c r="AR1425" s="28"/>
      <c r="AS1425" s="28"/>
      <c r="AT1425" s="28"/>
      <c r="AU1425" s="28"/>
      <c r="AV1425" s="28"/>
      <c r="AW1425" s="28"/>
      <c r="AX1425" s="28"/>
      <c r="AY1425" s="28"/>
      <c r="AZ1425" s="28"/>
      <c r="BA1425" s="28"/>
      <c r="BB1425" s="28"/>
    </row>
    <row r="1426" spans="1:54" ht="12.75" x14ac:dyDescent="0.2">
      <c r="A1426" s="28"/>
      <c r="B1426" s="28"/>
      <c r="C1426" s="28"/>
      <c r="D1426" s="28"/>
      <c r="E1426" s="28"/>
      <c r="F1426" s="28"/>
      <c r="G1426" s="28"/>
      <c r="H1426" s="28"/>
      <c r="I1426" s="28"/>
      <c r="J1426" s="28"/>
      <c r="K1426" s="28"/>
      <c r="L1426" s="28"/>
      <c r="M1426" s="28"/>
      <c r="N1426" s="28"/>
      <c r="O1426" s="28"/>
      <c r="P1426" s="28"/>
      <c r="Q1426" s="28"/>
      <c r="R1426" s="28"/>
      <c r="S1426" s="28"/>
      <c r="T1426" s="28"/>
      <c r="U1426" s="28"/>
      <c r="V1426" s="28"/>
      <c r="W1426" s="28"/>
      <c r="X1426" s="28"/>
      <c r="Y1426" s="28"/>
      <c r="Z1426" s="28"/>
      <c r="AA1426" s="28"/>
      <c r="AB1426" s="28"/>
      <c r="AC1426" s="28"/>
      <c r="AD1426" s="28"/>
      <c r="AE1426" s="28"/>
      <c r="AF1426" s="28"/>
      <c r="AG1426" s="28"/>
      <c r="AH1426" s="28"/>
      <c r="AI1426" s="28"/>
      <c r="AJ1426" s="28"/>
      <c r="AK1426" s="28"/>
      <c r="AL1426" s="28"/>
      <c r="AM1426" s="28"/>
      <c r="AN1426" s="28"/>
      <c r="AO1426" s="28"/>
      <c r="AP1426" s="28"/>
      <c r="AQ1426" s="28"/>
      <c r="AR1426" s="28"/>
      <c r="AS1426" s="28"/>
      <c r="AT1426" s="28"/>
      <c r="AU1426" s="28"/>
      <c r="AV1426" s="28"/>
      <c r="AW1426" s="28"/>
      <c r="AX1426" s="28"/>
      <c r="AY1426" s="28"/>
      <c r="AZ1426" s="28"/>
      <c r="BA1426" s="28"/>
      <c r="BB1426" s="28"/>
    </row>
    <row r="1427" spans="1:54" ht="12.75" x14ac:dyDescent="0.2">
      <c r="A1427" s="28"/>
      <c r="B1427" s="28"/>
      <c r="C1427" s="28"/>
      <c r="D1427" s="28"/>
      <c r="E1427" s="28"/>
      <c r="F1427" s="28"/>
      <c r="G1427" s="28"/>
      <c r="H1427" s="28"/>
      <c r="I1427" s="28"/>
      <c r="J1427" s="28"/>
      <c r="K1427" s="28"/>
      <c r="L1427" s="28"/>
      <c r="M1427" s="28"/>
      <c r="N1427" s="28"/>
      <c r="O1427" s="28"/>
      <c r="P1427" s="28"/>
      <c r="Q1427" s="28"/>
      <c r="R1427" s="28"/>
      <c r="S1427" s="28"/>
      <c r="T1427" s="28"/>
      <c r="U1427" s="28"/>
      <c r="V1427" s="28"/>
      <c r="W1427" s="28"/>
      <c r="X1427" s="28"/>
      <c r="Y1427" s="28"/>
      <c r="Z1427" s="28"/>
      <c r="AA1427" s="28"/>
      <c r="AB1427" s="28"/>
      <c r="AC1427" s="28"/>
      <c r="AD1427" s="28"/>
      <c r="AE1427" s="28"/>
      <c r="AF1427" s="28"/>
      <c r="AG1427" s="28"/>
      <c r="AH1427" s="28"/>
      <c r="AI1427" s="28"/>
      <c r="AJ1427" s="28"/>
      <c r="AK1427" s="28"/>
      <c r="AL1427" s="28"/>
      <c r="AM1427" s="28"/>
      <c r="AN1427" s="28"/>
      <c r="AO1427" s="28"/>
      <c r="AP1427" s="28"/>
      <c r="AQ1427" s="28"/>
      <c r="AR1427" s="28"/>
      <c r="AS1427" s="28"/>
      <c r="AT1427" s="28"/>
      <c r="AU1427" s="28"/>
      <c r="AV1427" s="28"/>
      <c r="AW1427" s="28"/>
      <c r="AX1427" s="28"/>
      <c r="AY1427" s="28"/>
      <c r="AZ1427" s="28"/>
      <c r="BA1427" s="28"/>
      <c r="BB1427" s="28"/>
    </row>
    <row r="1428" spans="1:54" ht="12.75" x14ac:dyDescent="0.2">
      <c r="A1428" s="28"/>
      <c r="B1428" s="28"/>
      <c r="C1428" s="28"/>
      <c r="D1428" s="28"/>
      <c r="E1428" s="28"/>
      <c r="F1428" s="28"/>
      <c r="G1428" s="28"/>
      <c r="H1428" s="28"/>
      <c r="I1428" s="28"/>
      <c r="J1428" s="28"/>
      <c r="K1428" s="28"/>
      <c r="L1428" s="28"/>
      <c r="M1428" s="28"/>
      <c r="N1428" s="28"/>
      <c r="O1428" s="28"/>
      <c r="P1428" s="28"/>
      <c r="Q1428" s="28"/>
      <c r="R1428" s="28"/>
      <c r="S1428" s="28"/>
      <c r="T1428" s="28"/>
      <c r="U1428" s="28"/>
      <c r="V1428" s="28"/>
      <c r="W1428" s="28"/>
      <c r="X1428" s="28"/>
      <c r="Y1428" s="28"/>
      <c r="Z1428" s="28"/>
      <c r="AA1428" s="28"/>
      <c r="AB1428" s="28"/>
      <c r="AC1428" s="28"/>
      <c r="AD1428" s="28"/>
      <c r="AE1428" s="28"/>
      <c r="AF1428" s="28"/>
      <c r="AG1428" s="28"/>
      <c r="AH1428" s="28"/>
      <c r="AI1428" s="28"/>
      <c r="AJ1428" s="28"/>
      <c r="AK1428" s="28"/>
      <c r="AL1428" s="28"/>
      <c r="AM1428" s="28"/>
      <c r="AN1428" s="28"/>
      <c r="AO1428" s="28"/>
      <c r="AP1428" s="28"/>
      <c r="AQ1428" s="28"/>
      <c r="AR1428" s="28"/>
      <c r="AS1428" s="28"/>
      <c r="AT1428" s="28"/>
      <c r="AU1428" s="28"/>
      <c r="AV1428" s="28"/>
      <c r="AW1428" s="28"/>
      <c r="AX1428" s="28"/>
      <c r="AY1428" s="28"/>
      <c r="AZ1428" s="28"/>
      <c r="BA1428" s="28"/>
      <c r="BB1428" s="28"/>
    </row>
    <row r="1429" spans="1:54" ht="12.75" x14ac:dyDescent="0.2">
      <c r="A1429" s="28"/>
      <c r="B1429" s="28"/>
      <c r="C1429" s="28"/>
      <c r="D1429" s="28"/>
      <c r="E1429" s="28"/>
      <c r="F1429" s="28"/>
      <c r="G1429" s="28"/>
      <c r="H1429" s="28"/>
      <c r="I1429" s="28"/>
      <c r="J1429" s="28"/>
      <c r="K1429" s="28"/>
      <c r="L1429" s="28"/>
      <c r="M1429" s="28"/>
      <c r="N1429" s="28"/>
      <c r="O1429" s="28"/>
      <c r="P1429" s="28"/>
      <c r="Q1429" s="28"/>
      <c r="R1429" s="28"/>
      <c r="S1429" s="28"/>
      <c r="T1429" s="28"/>
      <c r="U1429" s="28"/>
      <c r="V1429" s="28"/>
      <c r="W1429" s="28"/>
      <c r="X1429" s="28"/>
      <c r="Y1429" s="28"/>
      <c r="Z1429" s="28"/>
      <c r="AA1429" s="28"/>
      <c r="AB1429" s="28"/>
      <c r="AC1429" s="28"/>
      <c r="AD1429" s="28"/>
      <c r="AE1429" s="28"/>
      <c r="AF1429" s="28"/>
      <c r="AG1429" s="28"/>
      <c r="AH1429" s="28"/>
      <c r="AI1429" s="28"/>
      <c r="AJ1429" s="28"/>
      <c r="AK1429" s="28"/>
      <c r="AL1429" s="28"/>
      <c r="AM1429" s="28"/>
      <c r="AN1429" s="28"/>
      <c r="AO1429" s="28"/>
      <c r="AP1429" s="28"/>
      <c r="AQ1429" s="28"/>
      <c r="AR1429" s="28"/>
      <c r="AS1429" s="28"/>
      <c r="AT1429" s="28"/>
      <c r="AU1429" s="28"/>
      <c r="AV1429" s="28"/>
      <c r="AW1429" s="28"/>
      <c r="AX1429" s="28"/>
      <c r="AY1429" s="28"/>
      <c r="AZ1429" s="28"/>
      <c r="BA1429" s="28"/>
      <c r="BB1429" s="28"/>
    </row>
    <row r="1430" spans="1:54" ht="12.75" x14ac:dyDescent="0.2">
      <c r="A1430" s="28"/>
      <c r="B1430" s="28"/>
      <c r="C1430" s="28"/>
      <c r="D1430" s="28"/>
      <c r="E1430" s="28"/>
      <c r="F1430" s="28"/>
      <c r="G1430" s="28"/>
      <c r="H1430" s="28"/>
      <c r="I1430" s="28"/>
      <c r="J1430" s="28"/>
      <c r="K1430" s="28"/>
      <c r="L1430" s="28"/>
      <c r="M1430" s="28"/>
      <c r="N1430" s="28"/>
      <c r="O1430" s="28"/>
      <c r="P1430" s="28"/>
      <c r="Q1430" s="28"/>
      <c r="R1430" s="28"/>
      <c r="S1430" s="28"/>
      <c r="T1430" s="28"/>
      <c r="U1430" s="28"/>
      <c r="V1430" s="28"/>
      <c r="W1430" s="28"/>
      <c r="X1430" s="28"/>
      <c r="Y1430" s="28"/>
      <c r="Z1430" s="28"/>
      <c r="AA1430" s="28"/>
      <c r="AB1430" s="28"/>
      <c r="AC1430" s="28"/>
      <c r="AD1430" s="28"/>
      <c r="AE1430" s="28"/>
      <c r="AF1430" s="28"/>
      <c r="AG1430" s="28"/>
      <c r="AH1430" s="28"/>
      <c r="AI1430" s="28"/>
      <c r="AJ1430" s="28"/>
      <c r="AK1430" s="28"/>
      <c r="AL1430" s="28"/>
      <c r="AM1430" s="28"/>
      <c r="AN1430" s="28"/>
      <c r="AO1430" s="28"/>
      <c r="AP1430" s="28"/>
      <c r="AQ1430" s="28"/>
      <c r="AR1430" s="28"/>
      <c r="AS1430" s="28"/>
      <c r="AT1430" s="28"/>
      <c r="AU1430" s="28"/>
      <c r="AV1430" s="28"/>
      <c r="AW1430" s="28"/>
      <c r="AX1430" s="28"/>
      <c r="AY1430" s="28"/>
      <c r="AZ1430" s="28"/>
      <c r="BA1430" s="28"/>
      <c r="BB1430" s="28"/>
    </row>
    <row r="1431" spans="1:54" ht="12.75" x14ac:dyDescent="0.2">
      <c r="A1431" s="28"/>
      <c r="B1431" s="28"/>
      <c r="C1431" s="28"/>
      <c r="D1431" s="28"/>
      <c r="E1431" s="28"/>
      <c r="F1431" s="28"/>
      <c r="G1431" s="28"/>
      <c r="H1431" s="28"/>
      <c r="I1431" s="28"/>
      <c r="J1431" s="28"/>
      <c r="K1431" s="28"/>
      <c r="L1431" s="28"/>
      <c r="M1431" s="28"/>
      <c r="N1431" s="28"/>
      <c r="O1431" s="28"/>
      <c r="P1431" s="28"/>
      <c r="Q1431" s="28"/>
      <c r="R1431" s="28"/>
      <c r="S1431" s="28"/>
      <c r="T1431" s="28"/>
      <c r="U1431" s="28"/>
      <c r="V1431" s="28"/>
      <c r="W1431" s="28"/>
      <c r="X1431" s="28"/>
      <c r="Y1431" s="28"/>
      <c r="Z1431" s="28"/>
      <c r="AA1431" s="28"/>
      <c r="AB1431" s="28"/>
      <c r="AC1431" s="28"/>
      <c r="AD1431" s="28"/>
      <c r="AE1431" s="28"/>
      <c r="AF1431" s="28"/>
      <c r="AG1431" s="28"/>
      <c r="AH1431" s="28"/>
      <c r="AI1431" s="28"/>
      <c r="AJ1431" s="28"/>
      <c r="AK1431" s="28"/>
      <c r="AL1431" s="28"/>
      <c r="AM1431" s="28"/>
      <c r="AN1431" s="28"/>
      <c r="AO1431" s="28"/>
      <c r="AP1431" s="28"/>
      <c r="AQ1431" s="28"/>
      <c r="AR1431" s="28"/>
      <c r="AS1431" s="28"/>
      <c r="AT1431" s="28"/>
      <c r="AU1431" s="28"/>
      <c r="AV1431" s="28"/>
      <c r="AW1431" s="28"/>
      <c r="AX1431" s="28"/>
      <c r="AY1431" s="28"/>
      <c r="AZ1431" s="28"/>
      <c r="BA1431" s="28"/>
      <c r="BB1431" s="28"/>
    </row>
    <row r="1432" spans="1:54" ht="12.75" x14ac:dyDescent="0.2">
      <c r="A1432" s="28"/>
      <c r="B1432" s="28"/>
      <c r="C1432" s="28"/>
      <c r="D1432" s="28"/>
      <c r="E1432" s="28"/>
      <c r="F1432" s="28"/>
      <c r="G1432" s="28"/>
      <c r="H1432" s="28"/>
      <c r="I1432" s="28"/>
      <c r="J1432" s="28"/>
      <c r="K1432" s="28"/>
      <c r="L1432" s="28"/>
      <c r="M1432" s="28"/>
      <c r="N1432" s="28"/>
      <c r="O1432" s="28"/>
      <c r="P1432" s="28"/>
      <c r="Q1432" s="28"/>
      <c r="R1432" s="28"/>
      <c r="S1432" s="28"/>
      <c r="T1432" s="28"/>
      <c r="U1432" s="28"/>
      <c r="V1432" s="28"/>
      <c r="W1432" s="28"/>
      <c r="X1432" s="28"/>
      <c r="Y1432" s="28"/>
      <c r="Z1432" s="28"/>
      <c r="AA1432" s="28"/>
      <c r="AB1432" s="28"/>
      <c r="AC1432" s="28"/>
      <c r="AD1432" s="28"/>
      <c r="AE1432" s="28"/>
      <c r="AF1432" s="28"/>
      <c r="AG1432" s="28"/>
      <c r="AH1432" s="28"/>
      <c r="AI1432" s="28"/>
      <c r="AJ1432" s="28"/>
      <c r="AK1432" s="28"/>
      <c r="AL1432" s="28"/>
      <c r="AM1432" s="28"/>
      <c r="AN1432" s="28"/>
      <c r="AO1432" s="28"/>
      <c r="AP1432" s="28"/>
      <c r="AQ1432" s="28"/>
      <c r="AR1432" s="28"/>
      <c r="AS1432" s="28"/>
      <c r="AT1432" s="28"/>
      <c r="AU1432" s="28"/>
      <c r="AV1432" s="28"/>
      <c r="AW1432" s="28"/>
      <c r="AX1432" s="28"/>
      <c r="AY1432" s="28"/>
      <c r="AZ1432" s="28"/>
      <c r="BA1432" s="28"/>
      <c r="BB1432" s="28"/>
    </row>
    <row r="1433" spans="1:54" ht="12.75" x14ac:dyDescent="0.2">
      <c r="A1433" s="28"/>
      <c r="B1433" s="28"/>
      <c r="C1433" s="28"/>
      <c r="D1433" s="28"/>
      <c r="E1433" s="28"/>
      <c r="F1433" s="28"/>
      <c r="G1433" s="28"/>
      <c r="H1433" s="28"/>
      <c r="I1433" s="28"/>
      <c r="J1433" s="28"/>
      <c r="K1433" s="28"/>
      <c r="L1433" s="28"/>
      <c r="M1433" s="28"/>
      <c r="N1433" s="28"/>
      <c r="O1433" s="28"/>
      <c r="P1433" s="28"/>
      <c r="Q1433" s="28"/>
      <c r="R1433" s="28"/>
      <c r="S1433" s="28"/>
      <c r="T1433" s="28"/>
      <c r="U1433" s="28"/>
      <c r="V1433" s="28"/>
      <c r="W1433" s="28"/>
      <c r="X1433" s="28"/>
      <c r="Y1433" s="28"/>
      <c r="Z1433" s="28"/>
      <c r="AA1433" s="28"/>
      <c r="AB1433" s="28"/>
      <c r="AC1433" s="28"/>
      <c r="AD1433" s="28"/>
      <c r="AE1433" s="28"/>
      <c r="AF1433" s="28"/>
      <c r="AG1433" s="28"/>
      <c r="AH1433" s="28"/>
      <c r="AI1433" s="28"/>
      <c r="AJ1433" s="28"/>
      <c r="AK1433" s="28"/>
      <c r="AL1433" s="28"/>
      <c r="AM1433" s="28"/>
      <c r="AN1433" s="28"/>
      <c r="AO1433" s="28"/>
      <c r="AP1433" s="28"/>
      <c r="AQ1433" s="28"/>
      <c r="AR1433" s="28"/>
      <c r="AS1433" s="28"/>
      <c r="AT1433" s="28"/>
      <c r="AU1433" s="28"/>
      <c r="AV1433" s="28"/>
      <c r="AW1433" s="28"/>
      <c r="AX1433" s="28"/>
      <c r="AY1433" s="28"/>
      <c r="AZ1433" s="28"/>
      <c r="BA1433" s="28"/>
      <c r="BB1433" s="28"/>
    </row>
    <row r="1434" spans="1:54" ht="12.75" x14ac:dyDescent="0.2">
      <c r="A1434" s="28"/>
      <c r="B1434" s="28"/>
      <c r="C1434" s="28"/>
      <c r="D1434" s="28"/>
      <c r="E1434" s="28"/>
      <c r="F1434" s="28"/>
      <c r="G1434" s="28"/>
      <c r="H1434" s="28"/>
      <c r="I1434" s="28"/>
      <c r="J1434" s="28"/>
      <c r="K1434" s="28"/>
      <c r="L1434" s="28"/>
      <c r="M1434" s="28"/>
      <c r="N1434" s="28"/>
      <c r="O1434" s="28"/>
      <c r="P1434" s="28"/>
      <c r="Q1434" s="28"/>
      <c r="R1434" s="28"/>
      <c r="S1434" s="28"/>
      <c r="T1434" s="28"/>
      <c r="U1434" s="28"/>
      <c r="V1434" s="28"/>
      <c r="W1434" s="28"/>
      <c r="X1434" s="28"/>
      <c r="Y1434" s="28"/>
      <c r="Z1434" s="28"/>
      <c r="AA1434" s="28"/>
      <c r="AB1434" s="28"/>
      <c r="AC1434" s="28"/>
      <c r="AD1434" s="28"/>
      <c r="AE1434" s="28"/>
      <c r="AF1434" s="28"/>
      <c r="AG1434" s="28"/>
      <c r="AH1434" s="28"/>
      <c r="AI1434" s="28"/>
      <c r="AJ1434" s="28"/>
      <c r="AK1434" s="28"/>
      <c r="AL1434" s="28"/>
      <c r="AM1434" s="28"/>
      <c r="AN1434" s="28"/>
      <c r="AO1434" s="28"/>
      <c r="AP1434" s="28"/>
      <c r="AQ1434" s="28"/>
      <c r="AR1434" s="28"/>
      <c r="AS1434" s="28"/>
      <c r="AT1434" s="28"/>
      <c r="AU1434" s="28"/>
      <c r="AV1434" s="28"/>
      <c r="AW1434" s="28"/>
      <c r="AX1434" s="28"/>
      <c r="AY1434" s="28"/>
      <c r="AZ1434" s="28"/>
      <c r="BA1434" s="28"/>
      <c r="BB1434" s="28"/>
    </row>
    <row r="1435" spans="1:54" ht="12.75" x14ac:dyDescent="0.2">
      <c r="A1435" s="28"/>
      <c r="B1435" s="28"/>
      <c r="C1435" s="28"/>
      <c r="D1435" s="28"/>
      <c r="E1435" s="28"/>
      <c r="F1435" s="28"/>
      <c r="G1435" s="28"/>
      <c r="H1435" s="28"/>
      <c r="I1435" s="28"/>
      <c r="J1435" s="28"/>
      <c r="K1435" s="28"/>
      <c r="L1435" s="28"/>
      <c r="M1435" s="28"/>
      <c r="N1435" s="28"/>
      <c r="O1435" s="28"/>
      <c r="P1435" s="28"/>
      <c r="Q1435" s="28"/>
      <c r="R1435" s="28"/>
      <c r="S1435" s="28"/>
      <c r="T1435" s="28"/>
      <c r="U1435" s="28"/>
      <c r="V1435" s="28"/>
      <c r="W1435" s="28"/>
      <c r="X1435" s="28"/>
      <c r="Y1435" s="28"/>
      <c r="Z1435" s="28"/>
      <c r="AA1435" s="28"/>
      <c r="AB1435" s="28"/>
      <c r="AC1435" s="28"/>
      <c r="AD1435" s="28"/>
      <c r="AE1435" s="28"/>
      <c r="AF1435" s="28"/>
      <c r="AG1435" s="28"/>
      <c r="AH1435" s="28"/>
      <c r="AI1435" s="28"/>
      <c r="AJ1435" s="28"/>
      <c r="AK1435" s="28"/>
      <c r="AL1435" s="28"/>
      <c r="AM1435" s="28"/>
      <c r="AN1435" s="28"/>
      <c r="AO1435" s="28"/>
      <c r="AP1435" s="28"/>
      <c r="AQ1435" s="28"/>
      <c r="AR1435" s="28"/>
      <c r="AS1435" s="28"/>
      <c r="AT1435" s="28"/>
      <c r="AU1435" s="28"/>
      <c r="AV1435" s="28"/>
      <c r="AW1435" s="28"/>
      <c r="AX1435" s="28"/>
      <c r="AY1435" s="28"/>
      <c r="AZ1435" s="28"/>
      <c r="BA1435" s="28"/>
      <c r="BB1435" s="28"/>
    </row>
    <row r="1436" spans="1:54" ht="12.75" x14ac:dyDescent="0.2">
      <c r="A1436" s="28"/>
      <c r="B1436" s="28"/>
      <c r="C1436" s="28"/>
      <c r="D1436" s="28"/>
      <c r="E1436" s="28"/>
      <c r="F1436" s="28"/>
      <c r="G1436" s="28"/>
      <c r="H1436" s="28"/>
      <c r="I1436" s="28"/>
      <c r="J1436" s="28"/>
      <c r="K1436" s="28"/>
      <c r="L1436" s="28"/>
      <c r="M1436" s="28"/>
      <c r="N1436" s="28"/>
      <c r="O1436" s="28"/>
      <c r="P1436" s="28"/>
      <c r="Q1436" s="28"/>
      <c r="R1436" s="28"/>
      <c r="S1436" s="28"/>
      <c r="T1436" s="28"/>
      <c r="U1436" s="28"/>
      <c r="V1436" s="28"/>
      <c r="W1436" s="28"/>
      <c r="X1436" s="28"/>
      <c r="Y1436" s="28"/>
      <c r="Z1436" s="28"/>
      <c r="AA1436" s="28"/>
      <c r="AB1436" s="28"/>
      <c r="AC1436" s="28"/>
      <c r="AD1436" s="28"/>
      <c r="AE1436" s="28"/>
      <c r="AF1436" s="28"/>
      <c r="AG1436" s="28"/>
      <c r="AH1436" s="28"/>
      <c r="AI1436" s="28"/>
      <c r="AJ1436" s="28"/>
      <c r="AK1436" s="28"/>
      <c r="AL1436" s="28"/>
      <c r="AM1436" s="28"/>
      <c r="AN1436" s="28"/>
      <c r="AO1436" s="28"/>
      <c r="AP1436" s="28"/>
      <c r="AQ1436" s="28"/>
      <c r="AR1436" s="28"/>
      <c r="AS1436" s="28"/>
      <c r="AT1436" s="28"/>
      <c r="AU1436" s="28"/>
      <c r="AV1436" s="28"/>
      <c r="AW1436" s="28"/>
      <c r="AX1436" s="28"/>
      <c r="AY1436" s="28"/>
      <c r="AZ1436" s="28"/>
      <c r="BA1436" s="28"/>
      <c r="BB1436" s="28"/>
    </row>
    <row r="1437" spans="1:54" ht="12.75" x14ac:dyDescent="0.2">
      <c r="A1437" s="28"/>
      <c r="B1437" s="28"/>
      <c r="C1437" s="28"/>
      <c r="D1437" s="28"/>
      <c r="E1437" s="28"/>
      <c r="F1437" s="28"/>
      <c r="G1437" s="28"/>
      <c r="H1437" s="28"/>
      <c r="I1437" s="28"/>
      <c r="J1437" s="28"/>
      <c r="K1437" s="28"/>
      <c r="L1437" s="28"/>
      <c r="M1437" s="28"/>
      <c r="N1437" s="28"/>
      <c r="O1437" s="28"/>
      <c r="P1437" s="28"/>
      <c r="Q1437" s="28"/>
      <c r="R1437" s="28"/>
      <c r="S1437" s="28"/>
      <c r="T1437" s="28"/>
      <c r="U1437" s="28"/>
      <c r="V1437" s="28"/>
      <c r="W1437" s="28"/>
      <c r="X1437" s="28"/>
      <c r="Y1437" s="28"/>
      <c r="Z1437" s="28"/>
      <c r="AA1437" s="28"/>
      <c r="AB1437" s="28"/>
      <c r="AC1437" s="28"/>
      <c r="AD1437" s="28"/>
      <c r="AE1437" s="28"/>
      <c r="AF1437" s="28"/>
      <c r="AG1437" s="28"/>
      <c r="AH1437" s="28"/>
      <c r="AI1437" s="28"/>
      <c r="AJ1437" s="28"/>
      <c r="AK1437" s="28"/>
      <c r="AL1437" s="28"/>
      <c r="AM1437" s="28"/>
      <c r="AN1437" s="28"/>
      <c r="AO1437" s="28"/>
      <c r="AP1437" s="28"/>
      <c r="AQ1437" s="28"/>
      <c r="AR1437" s="28"/>
      <c r="AS1437" s="28"/>
      <c r="AT1437" s="28"/>
      <c r="AU1437" s="28"/>
      <c r="AV1437" s="28"/>
      <c r="AW1437" s="28"/>
      <c r="AX1437" s="28"/>
      <c r="AY1437" s="28"/>
      <c r="AZ1437" s="28"/>
      <c r="BA1437" s="28"/>
      <c r="BB1437" s="28"/>
    </row>
    <row r="1438" spans="1:54" ht="12.75" x14ac:dyDescent="0.2">
      <c r="A1438" s="28"/>
      <c r="B1438" s="28"/>
      <c r="C1438" s="28"/>
      <c r="D1438" s="28"/>
      <c r="E1438" s="28"/>
      <c r="F1438" s="28"/>
      <c r="G1438" s="28"/>
      <c r="H1438" s="28"/>
      <c r="I1438" s="28"/>
      <c r="J1438" s="28"/>
      <c r="K1438" s="28"/>
      <c r="L1438" s="28"/>
      <c r="M1438" s="28"/>
      <c r="N1438" s="28"/>
      <c r="O1438" s="28"/>
      <c r="P1438" s="28"/>
      <c r="Q1438" s="28"/>
      <c r="R1438" s="28"/>
      <c r="S1438" s="28"/>
      <c r="T1438" s="28"/>
      <c r="U1438" s="28"/>
      <c r="V1438" s="28"/>
      <c r="W1438" s="28"/>
      <c r="X1438" s="28"/>
      <c r="Y1438" s="28"/>
      <c r="Z1438" s="28"/>
      <c r="AA1438" s="28"/>
      <c r="AB1438" s="28"/>
      <c r="AC1438" s="28"/>
      <c r="AD1438" s="28"/>
      <c r="AE1438" s="28"/>
      <c r="AF1438" s="28"/>
      <c r="AG1438" s="28"/>
      <c r="AH1438" s="28"/>
      <c r="AI1438" s="28"/>
      <c r="AJ1438" s="28"/>
      <c r="AK1438" s="28"/>
      <c r="AL1438" s="28"/>
      <c r="AM1438" s="28"/>
      <c r="AN1438" s="28"/>
      <c r="AO1438" s="28"/>
      <c r="AP1438" s="28"/>
      <c r="AQ1438" s="28"/>
      <c r="AR1438" s="28"/>
      <c r="AS1438" s="28"/>
      <c r="AT1438" s="28"/>
      <c r="AU1438" s="28"/>
      <c r="AV1438" s="28"/>
      <c r="AW1438" s="28"/>
      <c r="AX1438" s="28"/>
      <c r="AY1438" s="28"/>
      <c r="AZ1438" s="28"/>
      <c r="BA1438" s="28"/>
      <c r="BB1438" s="28"/>
    </row>
    <row r="1439" spans="1:54" ht="12.75" x14ac:dyDescent="0.2">
      <c r="A1439" s="28"/>
      <c r="B1439" s="28"/>
      <c r="C1439" s="28"/>
      <c r="D1439" s="28"/>
      <c r="E1439" s="28"/>
      <c r="F1439" s="28"/>
      <c r="G1439" s="28"/>
      <c r="H1439" s="28"/>
      <c r="I1439" s="28"/>
      <c r="J1439" s="28"/>
      <c r="K1439" s="28"/>
      <c r="L1439" s="28"/>
      <c r="M1439" s="28"/>
      <c r="N1439" s="28"/>
      <c r="O1439" s="28"/>
      <c r="P1439" s="28"/>
      <c r="Q1439" s="28"/>
      <c r="R1439" s="28"/>
      <c r="S1439" s="28"/>
      <c r="T1439" s="28"/>
      <c r="U1439" s="28"/>
      <c r="V1439" s="28"/>
      <c r="W1439" s="28"/>
      <c r="X1439" s="28"/>
      <c r="Y1439" s="28"/>
      <c r="Z1439" s="28"/>
      <c r="AA1439" s="28"/>
      <c r="AB1439" s="28"/>
      <c r="AC1439" s="28"/>
      <c r="AD1439" s="28"/>
      <c r="AE1439" s="28"/>
      <c r="AF1439" s="28"/>
      <c r="AG1439" s="28"/>
      <c r="AH1439" s="28"/>
      <c r="AI1439" s="28"/>
      <c r="AJ1439" s="28"/>
      <c r="AK1439" s="28"/>
      <c r="AL1439" s="28"/>
      <c r="AM1439" s="28"/>
      <c r="AN1439" s="28"/>
      <c r="AO1439" s="28"/>
      <c r="AP1439" s="28"/>
      <c r="AQ1439" s="28"/>
      <c r="AR1439" s="28"/>
      <c r="AS1439" s="28"/>
      <c r="AT1439" s="28"/>
      <c r="AU1439" s="28"/>
      <c r="AV1439" s="28"/>
      <c r="AW1439" s="28"/>
      <c r="AX1439" s="28"/>
      <c r="AY1439" s="28"/>
      <c r="AZ1439" s="28"/>
      <c r="BA1439" s="28"/>
      <c r="BB1439" s="28"/>
    </row>
    <row r="1440" spans="1:54" ht="12.75" x14ac:dyDescent="0.2">
      <c r="A1440" s="28"/>
      <c r="B1440" s="28"/>
      <c r="C1440" s="28"/>
      <c r="D1440" s="28"/>
      <c r="E1440" s="28"/>
      <c r="F1440" s="28"/>
      <c r="G1440" s="28"/>
      <c r="H1440" s="28"/>
      <c r="I1440" s="28"/>
      <c r="J1440" s="28"/>
      <c r="K1440" s="28"/>
      <c r="L1440" s="28"/>
      <c r="M1440" s="28"/>
      <c r="N1440" s="28"/>
      <c r="O1440" s="28"/>
      <c r="P1440" s="28"/>
      <c r="Q1440" s="28"/>
      <c r="R1440" s="28"/>
      <c r="S1440" s="28"/>
      <c r="T1440" s="28"/>
      <c r="U1440" s="28"/>
      <c r="V1440" s="28"/>
      <c r="W1440" s="28"/>
      <c r="X1440" s="28"/>
      <c r="Y1440" s="28"/>
      <c r="Z1440" s="28"/>
      <c r="AA1440" s="28"/>
      <c r="AB1440" s="28"/>
      <c r="AC1440" s="28"/>
      <c r="AD1440" s="28"/>
      <c r="AE1440" s="28"/>
      <c r="AF1440" s="28"/>
      <c r="AG1440" s="28"/>
      <c r="AH1440" s="28"/>
      <c r="AI1440" s="28"/>
      <c r="AJ1440" s="28"/>
      <c r="AK1440" s="28"/>
      <c r="AL1440" s="28"/>
      <c r="AM1440" s="28"/>
      <c r="AN1440" s="28"/>
      <c r="AO1440" s="28"/>
      <c r="AP1440" s="28"/>
      <c r="AQ1440" s="28"/>
      <c r="AR1440" s="28"/>
      <c r="AS1440" s="28"/>
      <c r="AT1440" s="28"/>
      <c r="AU1440" s="28"/>
      <c r="AV1440" s="28"/>
      <c r="AW1440" s="28"/>
      <c r="AX1440" s="28"/>
      <c r="AY1440" s="28"/>
      <c r="AZ1440" s="28"/>
      <c r="BA1440" s="28"/>
      <c r="BB1440" s="28"/>
    </row>
    <row r="1441" spans="1:54" ht="12.75" x14ac:dyDescent="0.2">
      <c r="A1441" s="28"/>
      <c r="B1441" s="28"/>
      <c r="C1441" s="28"/>
      <c r="D1441" s="28"/>
      <c r="E1441" s="28"/>
      <c r="F1441" s="28"/>
      <c r="G1441" s="28"/>
      <c r="H1441" s="28"/>
      <c r="I1441" s="28"/>
      <c r="J1441" s="28"/>
      <c r="K1441" s="28"/>
      <c r="L1441" s="28"/>
      <c r="M1441" s="28"/>
      <c r="N1441" s="28"/>
      <c r="O1441" s="28"/>
      <c r="P1441" s="28"/>
      <c r="Q1441" s="28"/>
      <c r="R1441" s="28"/>
      <c r="S1441" s="28"/>
      <c r="T1441" s="28"/>
      <c r="U1441" s="28"/>
      <c r="V1441" s="28"/>
      <c r="W1441" s="28"/>
      <c r="X1441" s="28"/>
      <c r="Y1441" s="28"/>
      <c r="Z1441" s="28"/>
      <c r="AA1441" s="28"/>
      <c r="AB1441" s="28"/>
      <c r="AC1441" s="28"/>
      <c r="AD1441" s="28"/>
      <c r="AE1441" s="28"/>
      <c r="AF1441" s="28"/>
      <c r="AG1441" s="28"/>
      <c r="AH1441" s="28"/>
      <c r="AI1441" s="28"/>
      <c r="AJ1441" s="28"/>
      <c r="AK1441" s="28"/>
      <c r="AL1441" s="28"/>
      <c r="AM1441" s="28"/>
      <c r="AN1441" s="28"/>
      <c r="AO1441" s="28"/>
      <c r="AP1441" s="28"/>
      <c r="AQ1441" s="28"/>
      <c r="AR1441" s="28"/>
      <c r="AS1441" s="28"/>
      <c r="AT1441" s="28"/>
      <c r="AU1441" s="28"/>
      <c r="AV1441" s="28"/>
      <c r="AW1441" s="28"/>
      <c r="AX1441" s="28"/>
      <c r="AY1441" s="28"/>
      <c r="AZ1441" s="28"/>
      <c r="BA1441" s="28"/>
      <c r="BB1441" s="28"/>
    </row>
    <row r="1442" spans="1:54" ht="12.75" x14ac:dyDescent="0.2">
      <c r="A1442" s="28"/>
      <c r="B1442" s="28"/>
      <c r="C1442" s="28"/>
      <c r="D1442" s="28"/>
      <c r="E1442" s="28"/>
      <c r="F1442" s="28"/>
      <c r="G1442" s="28"/>
      <c r="H1442" s="28"/>
      <c r="I1442" s="28"/>
      <c r="J1442" s="28"/>
      <c r="K1442" s="28"/>
      <c r="L1442" s="28"/>
      <c r="M1442" s="28"/>
      <c r="N1442" s="28"/>
      <c r="O1442" s="28"/>
      <c r="P1442" s="28"/>
      <c r="Q1442" s="28"/>
      <c r="R1442" s="28"/>
      <c r="S1442" s="28"/>
      <c r="T1442" s="28"/>
      <c r="U1442" s="28"/>
      <c r="V1442" s="28"/>
      <c r="W1442" s="28"/>
      <c r="X1442" s="28"/>
      <c r="Y1442" s="28"/>
      <c r="Z1442" s="28"/>
      <c r="AA1442" s="28"/>
      <c r="AB1442" s="28"/>
      <c r="AC1442" s="28"/>
      <c r="AD1442" s="28"/>
      <c r="AE1442" s="28"/>
      <c r="AF1442" s="28"/>
      <c r="AG1442" s="28"/>
      <c r="AH1442" s="28"/>
      <c r="AI1442" s="28"/>
      <c r="AJ1442" s="28"/>
      <c r="AK1442" s="28"/>
      <c r="AL1442" s="28"/>
      <c r="AM1442" s="28"/>
      <c r="AN1442" s="28"/>
      <c r="AO1442" s="28"/>
      <c r="AP1442" s="28"/>
      <c r="AQ1442" s="28"/>
      <c r="AR1442" s="28"/>
      <c r="AS1442" s="28"/>
      <c r="AT1442" s="28"/>
      <c r="AU1442" s="28"/>
      <c r="AV1442" s="28"/>
      <c r="AW1442" s="28"/>
      <c r="AX1442" s="28"/>
      <c r="AY1442" s="28"/>
      <c r="AZ1442" s="28"/>
      <c r="BA1442" s="28"/>
      <c r="BB1442" s="28"/>
    </row>
    <row r="1443" spans="1:54" ht="12.75" x14ac:dyDescent="0.2">
      <c r="A1443" s="28"/>
      <c r="B1443" s="28"/>
      <c r="C1443" s="28"/>
      <c r="D1443" s="28"/>
      <c r="E1443" s="28"/>
      <c r="F1443" s="28"/>
      <c r="G1443" s="28"/>
      <c r="H1443" s="28"/>
      <c r="I1443" s="28"/>
      <c r="J1443" s="28"/>
      <c r="K1443" s="28"/>
      <c r="L1443" s="28"/>
      <c r="M1443" s="28"/>
      <c r="N1443" s="28"/>
      <c r="O1443" s="28"/>
      <c r="P1443" s="28"/>
      <c r="Q1443" s="28"/>
      <c r="R1443" s="28"/>
      <c r="S1443" s="28"/>
      <c r="T1443" s="28"/>
      <c r="U1443" s="28"/>
      <c r="V1443" s="28"/>
      <c r="W1443" s="28"/>
      <c r="X1443" s="28"/>
      <c r="Y1443" s="28"/>
      <c r="Z1443" s="28"/>
      <c r="AA1443" s="28"/>
      <c r="AB1443" s="28"/>
      <c r="AC1443" s="28"/>
      <c r="AD1443" s="28"/>
      <c r="AE1443" s="28"/>
      <c r="AF1443" s="28"/>
      <c r="AG1443" s="28"/>
      <c r="AH1443" s="28"/>
      <c r="AI1443" s="28"/>
      <c r="AJ1443" s="28"/>
      <c r="AK1443" s="28"/>
      <c r="AL1443" s="28"/>
      <c r="AM1443" s="28"/>
      <c r="AN1443" s="28"/>
      <c r="AO1443" s="28"/>
      <c r="AP1443" s="28"/>
      <c r="AQ1443" s="28"/>
      <c r="AR1443" s="28"/>
      <c r="AS1443" s="28"/>
      <c r="AT1443" s="28"/>
      <c r="AU1443" s="28"/>
      <c r="AV1443" s="28"/>
      <c r="AW1443" s="28"/>
      <c r="AX1443" s="28"/>
      <c r="AY1443" s="28"/>
      <c r="AZ1443" s="28"/>
      <c r="BA1443" s="28"/>
      <c r="BB1443" s="28"/>
    </row>
    <row r="1444" spans="1:54" ht="12.75" x14ac:dyDescent="0.2">
      <c r="A1444" s="28"/>
      <c r="B1444" s="28"/>
      <c r="C1444" s="28"/>
      <c r="D1444" s="28"/>
      <c r="E1444" s="28"/>
      <c r="F1444" s="28"/>
      <c r="G1444" s="28"/>
      <c r="H1444" s="28"/>
      <c r="I1444" s="28"/>
      <c r="J1444" s="28"/>
      <c r="K1444" s="28"/>
      <c r="L1444" s="28"/>
      <c r="M1444" s="28"/>
      <c r="N1444" s="28"/>
      <c r="O1444" s="28"/>
      <c r="P1444" s="28"/>
      <c r="Q1444" s="28"/>
      <c r="R1444" s="28"/>
      <c r="S1444" s="28"/>
      <c r="T1444" s="28"/>
      <c r="U1444" s="28"/>
      <c r="V1444" s="28"/>
      <c r="W1444" s="28"/>
      <c r="X1444" s="28"/>
      <c r="Y1444" s="28"/>
      <c r="Z1444" s="28"/>
      <c r="AA1444" s="28"/>
      <c r="AB1444" s="28"/>
      <c r="AC1444" s="28"/>
      <c r="AD1444" s="28"/>
      <c r="AE1444" s="28"/>
      <c r="AF1444" s="28"/>
      <c r="AG1444" s="28"/>
      <c r="AH1444" s="28"/>
      <c r="AI1444" s="28"/>
      <c r="AJ1444" s="28"/>
      <c r="AK1444" s="28"/>
      <c r="AL1444" s="28"/>
      <c r="AM1444" s="28"/>
      <c r="AN1444" s="28"/>
      <c r="AO1444" s="28"/>
      <c r="AP1444" s="28"/>
      <c r="AQ1444" s="28"/>
      <c r="AR1444" s="28"/>
      <c r="AS1444" s="28"/>
      <c r="AT1444" s="28"/>
      <c r="AU1444" s="28"/>
      <c r="AV1444" s="28"/>
      <c r="AW1444" s="28"/>
      <c r="AX1444" s="28"/>
      <c r="AY1444" s="28"/>
      <c r="AZ1444" s="28"/>
      <c r="BA1444" s="28"/>
      <c r="BB1444" s="28"/>
    </row>
    <row r="1445" spans="1:54" ht="12.75" x14ac:dyDescent="0.2">
      <c r="A1445" s="28"/>
      <c r="B1445" s="28"/>
      <c r="C1445" s="28"/>
      <c r="D1445" s="28"/>
      <c r="E1445" s="28"/>
      <c r="F1445" s="28"/>
      <c r="G1445" s="28"/>
      <c r="H1445" s="28"/>
      <c r="I1445" s="28"/>
      <c r="J1445" s="28"/>
      <c r="K1445" s="28"/>
      <c r="L1445" s="28"/>
      <c r="M1445" s="28"/>
      <c r="N1445" s="28"/>
      <c r="O1445" s="28"/>
      <c r="P1445" s="28"/>
      <c r="Q1445" s="28"/>
      <c r="R1445" s="28"/>
      <c r="S1445" s="28"/>
      <c r="T1445" s="28"/>
      <c r="U1445" s="28"/>
      <c r="V1445" s="28"/>
      <c r="W1445" s="28"/>
      <c r="X1445" s="28"/>
      <c r="Y1445" s="28"/>
      <c r="Z1445" s="28"/>
      <c r="AA1445" s="28"/>
      <c r="AB1445" s="28"/>
      <c r="AC1445" s="28"/>
      <c r="AD1445" s="28"/>
      <c r="AE1445" s="28"/>
      <c r="AF1445" s="28"/>
      <c r="AG1445" s="28"/>
      <c r="AH1445" s="28"/>
      <c r="AI1445" s="28"/>
      <c r="AJ1445" s="28"/>
      <c r="AK1445" s="28"/>
      <c r="AL1445" s="28"/>
      <c r="AM1445" s="28"/>
      <c r="AN1445" s="28"/>
      <c r="AO1445" s="28"/>
      <c r="AP1445" s="28"/>
      <c r="AQ1445" s="28"/>
      <c r="AR1445" s="28"/>
      <c r="AS1445" s="28"/>
      <c r="AT1445" s="28"/>
      <c r="AU1445" s="28"/>
      <c r="AV1445" s="28"/>
      <c r="AW1445" s="28"/>
      <c r="AX1445" s="28"/>
      <c r="AY1445" s="28"/>
      <c r="AZ1445" s="28"/>
      <c r="BA1445" s="28"/>
      <c r="BB1445" s="28"/>
    </row>
    <row r="1446" spans="1:54" ht="12.75" x14ac:dyDescent="0.2">
      <c r="A1446" s="28"/>
      <c r="B1446" s="28"/>
      <c r="C1446" s="28"/>
      <c r="D1446" s="28"/>
      <c r="E1446" s="28"/>
      <c r="F1446" s="28"/>
      <c r="G1446" s="28"/>
      <c r="H1446" s="28"/>
      <c r="I1446" s="28"/>
      <c r="J1446" s="28"/>
      <c r="K1446" s="28"/>
      <c r="L1446" s="28"/>
      <c r="M1446" s="28"/>
      <c r="N1446" s="28"/>
      <c r="O1446" s="28"/>
      <c r="P1446" s="28"/>
      <c r="Q1446" s="28"/>
      <c r="R1446" s="28"/>
      <c r="S1446" s="28"/>
      <c r="T1446" s="28"/>
      <c r="U1446" s="28"/>
      <c r="V1446" s="28"/>
      <c r="W1446" s="28"/>
      <c r="X1446" s="28"/>
      <c r="Y1446" s="28"/>
      <c r="Z1446" s="28"/>
      <c r="AA1446" s="28"/>
      <c r="AB1446" s="28"/>
      <c r="AC1446" s="28"/>
      <c r="AD1446" s="28"/>
      <c r="AE1446" s="28"/>
      <c r="AF1446" s="28"/>
      <c r="AG1446" s="28"/>
      <c r="AH1446" s="28"/>
      <c r="AI1446" s="28"/>
      <c r="AJ1446" s="28"/>
      <c r="AK1446" s="28"/>
      <c r="AL1446" s="28"/>
      <c r="AM1446" s="28"/>
      <c r="AN1446" s="28"/>
      <c r="AO1446" s="28"/>
      <c r="AP1446" s="28"/>
      <c r="AQ1446" s="28"/>
      <c r="AR1446" s="28"/>
      <c r="AS1446" s="28"/>
      <c r="AT1446" s="28"/>
      <c r="AU1446" s="28"/>
      <c r="AV1446" s="28"/>
      <c r="AW1446" s="28"/>
      <c r="AX1446" s="28"/>
      <c r="AY1446" s="28"/>
      <c r="AZ1446" s="28"/>
      <c r="BA1446" s="28"/>
      <c r="BB1446" s="28"/>
    </row>
    <row r="1447" spans="1:54" ht="12.75" x14ac:dyDescent="0.2">
      <c r="A1447" s="28"/>
      <c r="B1447" s="28"/>
      <c r="C1447" s="28"/>
      <c r="D1447" s="28"/>
      <c r="E1447" s="28"/>
      <c r="F1447" s="28"/>
      <c r="G1447" s="28"/>
      <c r="H1447" s="28"/>
      <c r="I1447" s="28"/>
      <c r="J1447" s="28"/>
      <c r="K1447" s="28"/>
      <c r="L1447" s="28"/>
      <c r="M1447" s="28"/>
      <c r="N1447" s="28"/>
      <c r="O1447" s="28"/>
      <c r="P1447" s="28"/>
      <c r="Q1447" s="28"/>
      <c r="R1447" s="28"/>
      <c r="S1447" s="28"/>
      <c r="T1447" s="28"/>
      <c r="U1447" s="28"/>
      <c r="V1447" s="28"/>
      <c r="W1447" s="28"/>
      <c r="X1447" s="28"/>
      <c r="Y1447" s="28"/>
      <c r="Z1447" s="28"/>
      <c r="AA1447" s="28"/>
      <c r="AB1447" s="28"/>
      <c r="AC1447" s="28"/>
      <c r="AD1447" s="28"/>
      <c r="AE1447" s="28"/>
      <c r="AF1447" s="28"/>
      <c r="AG1447" s="28"/>
      <c r="AH1447" s="28"/>
      <c r="AI1447" s="28"/>
      <c r="AJ1447" s="28"/>
      <c r="AK1447" s="28"/>
      <c r="AL1447" s="28"/>
      <c r="AM1447" s="28"/>
      <c r="AN1447" s="28"/>
      <c r="AO1447" s="28"/>
      <c r="AP1447" s="28"/>
      <c r="AQ1447" s="28"/>
      <c r="AR1447" s="28"/>
      <c r="AS1447" s="28"/>
      <c r="AT1447" s="28"/>
      <c r="AU1447" s="28"/>
      <c r="AV1447" s="28"/>
      <c r="AW1447" s="28"/>
      <c r="AX1447" s="28"/>
      <c r="AY1447" s="28"/>
      <c r="AZ1447" s="28"/>
      <c r="BA1447" s="28"/>
      <c r="BB1447" s="28"/>
    </row>
    <row r="1448" spans="1:54" ht="12.75" x14ac:dyDescent="0.2">
      <c r="A1448" s="28"/>
      <c r="B1448" s="28"/>
      <c r="C1448" s="28"/>
      <c r="D1448" s="28"/>
      <c r="E1448" s="28"/>
      <c r="F1448" s="28"/>
      <c r="G1448" s="28"/>
      <c r="H1448" s="28"/>
      <c r="I1448" s="28"/>
      <c r="J1448" s="28"/>
      <c r="K1448" s="28"/>
      <c r="L1448" s="28"/>
      <c r="M1448" s="28"/>
      <c r="N1448" s="28"/>
      <c r="O1448" s="28"/>
      <c r="P1448" s="28"/>
      <c r="Q1448" s="28"/>
      <c r="R1448" s="28"/>
      <c r="S1448" s="28"/>
      <c r="T1448" s="28"/>
      <c r="U1448" s="28"/>
      <c r="V1448" s="28"/>
      <c r="W1448" s="28"/>
      <c r="X1448" s="28"/>
      <c r="Y1448" s="28"/>
      <c r="Z1448" s="28"/>
      <c r="AA1448" s="28"/>
      <c r="AB1448" s="28"/>
      <c r="AC1448" s="28"/>
      <c r="AD1448" s="28"/>
      <c r="AE1448" s="28"/>
      <c r="AF1448" s="28"/>
      <c r="AG1448" s="28"/>
      <c r="AH1448" s="28"/>
      <c r="AI1448" s="28"/>
      <c r="AJ1448" s="28"/>
      <c r="AK1448" s="28"/>
      <c r="AL1448" s="28"/>
      <c r="AM1448" s="28"/>
      <c r="AN1448" s="28"/>
      <c r="AO1448" s="28"/>
      <c r="AP1448" s="28"/>
      <c r="AQ1448" s="28"/>
      <c r="AR1448" s="28"/>
      <c r="AS1448" s="28"/>
      <c r="AT1448" s="28"/>
      <c r="AU1448" s="28"/>
      <c r="AV1448" s="28"/>
      <c r="AW1448" s="28"/>
      <c r="AX1448" s="28"/>
      <c r="AY1448" s="28"/>
      <c r="AZ1448" s="28"/>
      <c r="BA1448" s="28"/>
      <c r="BB1448" s="28"/>
    </row>
    <row r="1449" spans="1:54" ht="12.75" x14ac:dyDescent="0.2">
      <c r="A1449" s="28"/>
      <c r="B1449" s="28"/>
      <c r="C1449" s="28"/>
      <c r="D1449" s="28"/>
      <c r="E1449" s="28"/>
      <c r="F1449" s="28"/>
      <c r="G1449" s="28"/>
      <c r="H1449" s="28"/>
      <c r="I1449" s="28"/>
      <c r="J1449" s="28"/>
      <c r="K1449" s="28"/>
      <c r="L1449" s="28"/>
      <c r="M1449" s="28"/>
      <c r="N1449" s="28"/>
      <c r="O1449" s="28"/>
      <c r="P1449" s="28"/>
      <c r="Q1449" s="28"/>
      <c r="R1449" s="28"/>
      <c r="S1449" s="28"/>
      <c r="T1449" s="28"/>
      <c r="U1449" s="28"/>
      <c r="V1449" s="28"/>
      <c r="W1449" s="28"/>
      <c r="X1449" s="28"/>
      <c r="Y1449" s="28"/>
      <c r="Z1449" s="28"/>
      <c r="AA1449" s="28"/>
      <c r="AB1449" s="28"/>
      <c r="AC1449" s="28"/>
      <c r="AD1449" s="28"/>
      <c r="AE1449" s="28"/>
      <c r="AF1449" s="28"/>
      <c r="AG1449" s="28"/>
      <c r="AH1449" s="28"/>
      <c r="AI1449" s="28"/>
      <c r="AJ1449" s="28"/>
      <c r="AK1449" s="28"/>
      <c r="AL1449" s="28"/>
      <c r="AM1449" s="28"/>
      <c r="AN1449" s="28"/>
      <c r="AO1449" s="28"/>
      <c r="AP1449" s="28"/>
      <c r="AQ1449" s="28"/>
      <c r="AR1449" s="28"/>
      <c r="AS1449" s="28"/>
      <c r="AT1449" s="28"/>
      <c r="AU1449" s="28"/>
      <c r="AV1449" s="28"/>
      <c r="AW1449" s="28"/>
      <c r="AX1449" s="28"/>
      <c r="AY1449" s="28"/>
      <c r="AZ1449" s="28"/>
      <c r="BA1449" s="28"/>
      <c r="BB1449" s="28"/>
    </row>
    <row r="1450" spans="1:54" ht="12.75" x14ac:dyDescent="0.2">
      <c r="A1450" s="28"/>
      <c r="B1450" s="28"/>
      <c r="C1450" s="28"/>
      <c r="D1450" s="28"/>
      <c r="E1450" s="28"/>
      <c r="F1450" s="28"/>
      <c r="G1450" s="28"/>
      <c r="H1450" s="28"/>
      <c r="I1450" s="28"/>
      <c r="J1450" s="28"/>
      <c r="K1450" s="28"/>
      <c r="L1450" s="28"/>
      <c r="M1450" s="28"/>
      <c r="N1450" s="28"/>
      <c r="O1450" s="28"/>
      <c r="P1450" s="28"/>
      <c r="Q1450" s="28"/>
      <c r="R1450" s="28"/>
      <c r="S1450" s="28"/>
      <c r="T1450" s="28"/>
      <c r="U1450" s="28"/>
      <c r="V1450" s="28"/>
      <c r="W1450" s="28"/>
      <c r="X1450" s="28"/>
      <c r="Y1450" s="28"/>
      <c r="Z1450" s="28"/>
      <c r="AA1450" s="28"/>
      <c r="AB1450" s="28"/>
      <c r="AC1450" s="28"/>
      <c r="AD1450" s="28"/>
      <c r="AE1450" s="28"/>
      <c r="AF1450" s="28"/>
      <c r="AG1450" s="28"/>
      <c r="AH1450" s="28"/>
      <c r="AI1450" s="28"/>
      <c r="AJ1450" s="28"/>
      <c r="AK1450" s="28"/>
      <c r="AL1450" s="28"/>
      <c r="AM1450" s="28"/>
      <c r="AN1450" s="28"/>
      <c r="AO1450" s="28"/>
      <c r="AP1450" s="28"/>
      <c r="AQ1450" s="28"/>
      <c r="AR1450" s="28"/>
      <c r="AS1450" s="28"/>
      <c r="AT1450" s="28"/>
      <c r="AU1450" s="28"/>
      <c r="AV1450" s="28"/>
      <c r="AW1450" s="28"/>
      <c r="AX1450" s="28"/>
      <c r="AY1450" s="28"/>
      <c r="AZ1450" s="28"/>
      <c r="BA1450" s="28"/>
      <c r="BB1450" s="28"/>
    </row>
    <row r="1451" spans="1:54" ht="12.75" x14ac:dyDescent="0.2">
      <c r="A1451" s="28"/>
      <c r="B1451" s="28"/>
      <c r="C1451" s="28"/>
      <c r="D1451" s="28"/>
      <c r="E1451" s="28"/>
      <c r="F1451" s="28"/>
      <c r="G1451" s="28"/>
      <c r="H1451" s="28"/>
      <c r="I1451" s="28"/>
      <c r="J1451" s="28"/>
      <c r="K1451" s="28"/>
      <c r="L1451" s="28"/>
      <c r="M1451" s="28"/>
      <c r="N1451" s="28"/>
      <c r="O1451" s="28"/>
      <c r="P1451" s="28"/>
      <c r="Q1451" s="28"/>
      <c r="R1451" s="28"/>
      <c r="S1451" s="28"/>
      <c r="T1451" s="28"/>
      <c r="U1451" s="28"/>
      <c r="V1451" s="28"/>
      <c r="W1451" s="28"/>
      <c r="X1451" s="28"/>
      <c r="Y1451" s="28"/>
      <c r="Z1451" s="28"/>
      <c r="AA1451" s="28"/>
      <c r="AB1451" s="28"/>
      <c r="AC1451" s="28"/>
      <c r="AD1451" s="28"/>
      <c r="AE1451" s="28"/>
      <c r="AF1451" s="28"/>
      <c r="AG1451" s="28"/>
      <c r="AH1451" s="28"/>
      <c r="AI1451" s="28"/>
      <c r="AJ1451" s="28"/>
      <c r="AK1451" s="28"/>
      <c r="AL1451" s="28"/>
      <c r="AM1451" s="28"/>
      <c r="AN1451" s="28"/>
      <c r="AO1451" s="28"/>
      <c r="AP1451" s="28"/>
      <c r="AQ1451" s="28"/>
      <c r="AR1451" s="28"/>
      <c r="AS1451" s="28"/>
      <c r="AT1451" s="28"/>
      <c r="AU1451" s="28"/>
      <c r="AV1451" s="28"/>
      <c r="AW1451" s="28"/>
      <c r="AX1451" s="28"/>
      <c r="AY1451" s="28"/>
      <c r="AZ1451" s="28"/>
      <c r="BA1451" s="28"/>
      <c r="BB1451" s="28"/>
    </row>
    <row r="1452" spans="1:54" ht="12.75" x14ac:dyDescent="0.2">
      <c r="A1452" s="28"/>
      <c r="B1452" s="28"/>
      <c r="C1452" s="28"/>
      <c r="D1452" s="28"/>
      <c r="E1452" s="28"/>
      <c r="F1452" s="28"/>
      <c r="G1452" s="28"/>
      <c r="H1452" s="28"/>
      <c r="I1452" s="28"/>
      <c r="J1452" s="28"/>
      <c r="K1452" s="28"/>
      <c r="L1452" s="28"/>
      <c r="M1452" s="28"/>
      <c r="N1452" s="28"/>
      <c r="O1452" s="28"/>
      <c r="P1452" s="28"/>
      <c r="Q1452" s="28"/>
      <c r="R1452" s="28"/>
      <c r="S1452" s="28"/>
      <c r="T1452" s="28"/>
      <c r="U1452" s="28"/>
      <c r="V1452" s="28"/>
      <c r="W1452" s="28"/>
      <c r="X1452" s="28"/>
      <c r="Y1452" s="28"/>
      <c r="Z1452" s="28"/>
      <c r="AA1452" s="28"/>
      <c r="AB1452" s="28"/>
      <c r="AC1452" s="28"/>
      <c r="AD1452" s="28"/>
      <c r="AE1452" s="28"/>
      <c r="AF1452" s="28"/>
      <c r="AG1452" s="28"/>
      <c r="AH1452" s="28"/>
      <c r="AI1452" s="28"/>
      <c r="AJ1452" s="28"/>
      <c r="AK1452" s="28"/>
      <c r="AL1452" s="28"/>
      <c r="AM1452" s="28"/>
      <c r="AN1452" s="28"/>
      <c r="AO1452" s="28"/>
      <c r="AP1452" s="28"/>
      <c r="AQ1452" s="28"/>
      <c r="AR1452" s="28"/>
      <c r="AS1452" s="28"/>
      <c r="AT1452" s="28"/>
      <c r="AU1452" s="28"/>
      <c r="AV1452" s="28"/>
      <c r="AW1452" s="28"/>
      <c r="AX1452" s="28"/>
      <c r="AY1452" s="28"/>
      <c r="AZ1452" s="28"/>
      <c r="BA1452" s="28"/>
      <c r="BB1452" s="28"/>
    </row>
    <row r="1453" spans="1:54" ht="12.75" x14ac:dyDescent="0.2">
      <c r="A1453" s="28"/>
      <c r="B1453" s="28"/>
      <c r="C1453" s="28"/>
      <c r="D1453" s="28"/>
      <c r="E1453" s="28"/>
      <c r="F1453" s="28"/>
      <c r="G1453" s="28"/>
      <c r="H1453" s="28"/>
      <c r="I1453" s="28"/>
      <c r="J1453" s="28"/>
      <c r="K1453" s="28"/>
      <c r="L1453" s="28"/>
      <c r="M1453" s="28"/>
      <c r="N1453" s="28"/>
      <c r="O1453" s="28"/>
      <c r="P1453" s="28"/>
      <c r="Q1453" s="28"/>
      <c r="R1453" s="28"/>
      <c r="S1453" s="28"/>
      <c r="T1453" s="28"/>
      <c r="U1453" s="28"/>
      <c r="V1453" s="28"/>
      <c r="W1453" s="28"/>
      <c r="X1453" s="28"/>
      <c r="Y1453" s="28"/>
      <c r="Z1453" s="28"/>
      <c r="AA1453" s="28"/>
      <c r="AB1453" s="28"/>
      <c r="AC1453" s="28"/>
      <c r="AD1453" s="28"/>
      <c r="AE1453" s="28"/>
      <c r="AF1453" s="28"/>
      <c r="AG1453" s="28"/>
      <c r="AH1453" s="28"/>
      <c r="AI1453" s="28"/>
      <c r="AJ1453" s="28"/>
      <c r="AK1453" s="28"/>
      <c r="AL1453" s="28"/>
      <c r="AM1453" s="28"/>
      <c r="AN1453" s="28"/>
      <c r="AO1453" s="28"/>
      <c r="AP1453" s="28"/>
      <c r="AQ1453" s="28"/>
      <c r="AR1453" s="28"/>
      <c r="AS1453" s="28"/>
      <c r="AT1453" s="28"/>
      <c r="AU1453" s="28"/>
      <c r="AV1453" s="28"/>
      <c r="AW1453" s="28"/>
      <c r="AX1453" s="28"/>
      <c r="AY1453" s="28"/>
      <c r="AZ1453" s="28"/>
      <c r="BA1453" s="28"/>
      <c r="BB1453" s="28"/>
    </row>
    <row r="1454" spans="1:54" ht="12.75" x14ac:dyDescent="0.2">
      <c r="A1454" s="28"/>
      <c r="B1454" s="28"/>
      <c r="C1454" s="28"/>
      <c r="D1454" s="28"/>
      <c r="E1454" s="28"/>
      <c r="F1454" s="28"/>
      <c r="G1454" s="28"/>
      <c r="H1454" s="28"/>
      <c r="I1454" s="28"/>
      <c r="J1454" s="28"/>
      <c r="K1454" s="28"/>
      <c r="L1454" s="28"/>
      <c r="M1454" s="28"/>
      <c r="N1454" s="28"/>
      <c r="O1454" s="28"/>
      <c r="P1454" s="28"/>
      <c r="Q1454" s="28"/>
      <c r="R1454" s="28"/>
      <c r="S1454" s="28"/>
      <c r="T1454" s="28"/>
      <c r="U1454" s="28"/>
      <c r="V1454" s="28"/>
      <c r="W1454" s="28"/>
      <c r="X1454" s="28"/>
      <c r="Y1454" s="28"/>
      <c r="Z1454" s="28"/>
      <c r="AA1454" s="28"/>
      <c r="AB1454" s="28"/>
      <c r="AC1454" s="28"/>
      <c r="AD1454" s="28"/>
      <c r="AE1454" s="28"/>
      <c r="AF1454" s="28"/>
      <c r="AG1454" s="28"/>
      <c r="AH1454" s="28"/>
      <c r="AI1454" s="28"/>
      <c r="AJ1454" s="28"/>
      <c r="AK1454" s="28"/>
      <c r="AL1454" s="28"/>
      <c r="AM1454" s="28"/>
      <c r="AN1454" s="28"/>
      <c r="AO1454" s="28"/>
      <c r="AP1454" s="28"/>
      <c r="AQ1454" s="28"/>
      <c r="AR1454" s="28"/>
      <c r="AS1454" s="28"/>
      <c r="AT1454" s="28"/>
      <c r="AU1454" s="28"/>
      <c r="AV1454" s="28"/>
      <c r="AW1454" s="28"/>
      <c r="AX1454" s="28"/>
      <c r="AY1454" s="28"/>
      <c r="AZ1454" s="28"/>
      <c r="BA1454" s="28"/>
      <c r="BB1454" s="28"/>
    </row>
    <row r="1455" spans="1:54" ht="12.75" x14ac:dyDescent="0.2">
      <c r="A1455" s="28"/>
      <c r="B1455" s="28"/>
      <c r="C1455" s="28"/>
      <c r="D1455" s="28"/>
      <c r="E1455" s="28"/>
      <c r="F1455" s="28"/>
      <c r="G1455" s="28"/>
      <c r="H1455" s="28"/>
      <c r="I1455" s="28"/>
      <c r="J1455" s="28"/>
      <c r="K1455" s="28"/>
      <c r="L1455" s="28"/>
      <c r="M1455" s="28"/>
      <c r="N1455" s="28"/>
      <c r="O1455" s="28"/>
      <c r="P1455" s="28"/>
      <c r="Q1455" s="28"/>
      <c r="R1455" s="28"/>
      <c r="S1455" s="28"/>
      <c r="T1455" s="28"/>
      <c r="U1455" s="28"/>
      <c r="V1455" s="28"/>
      <c r="W1455" s="28"/>
      <c r="X1455" s="28"/>
      <c r="Y1455" s="28"/>
      <c r="Z1455" s="28"/>
      <c r="AA1455" s="28"/>
      <c r="AB1455" s="28"/>
      <c r="AC1455" s="28"/>
      <c r="AD1455" s="28"/>
      <c r="AE1455" s="28"/>
      <c r="AF1455" s="28"/>
      <c r="AG1455" s="28"/>
      <c r="AH1455" s="28"/>
      <c r="AI1455" s="28"/>
      <c r="AJ1455" s="28"/>
      <c r="AK1455" s="28"/>
      <c r="AL1455" s="28"/>
      <c r="AM1455" s="28"/>
      <c r="AN1455" s="28"/>
      <c r="AO1455" s="28"/>
      <c r="AP1455" s="28"/>
      <c r="AQ1455" s="28"/>
      <c r="AR1455" s="28"/>
      <c r="AS1455" s="28"/>
      <c r="AT1455" s="28"/>
      <c r="AU1455" s="28"/>
      <c r="AV1455" s="28"/>
      <c r="AW1455" s="28"/>
      <c r="AX1455" s="28"/>
      <c r="AY1455" s="28"/>
      <c r="AZ1455" s="28"/>
      <c r="BA1455" s="28"/>
      <c r="BB1455" s="28"/>
    </row>
    <row r="1456" spans="1:54" ht="12.75" x14ac:dyDescent="0.2">
      <c r="A1456" s="28"/>
      <c r="B1456" s="28"/>
      <c r="C1456" s="28"/>
      <c r="D1456" s="28"/>
      <c r="E1456" s="28"/>
      <c r="F1456" s="28"/>
      <c r="G1456" s="28"/>
      <c r="H1456" s="28"/>
      <c r="I1456" s="28"/>
      <c r="J1456" s="28"/>
      <c r="K1456" s="28"/>
      <c r="L1456" s="28"/>
      <c r="M1456" s="28"/>
      <c r="N1456" s="28"/>
      <c r="O1456" s="28"/>
      <c r="P1456" s="28"/>
      <c r="Q1456" s="28"/>
      <c r="R1456" s="28"/>
      <c r="S1456" s="28"/>
      <c r="T1456" s="28"/>
      <c r="U1456" s="28"/>
      <c r="V1456" s="28"/>
      <c r="W1456" s="28"/>
      <c r="X1456" s="28"/>
      <c r="Y1456" s="28"/>
      <c r="Z1456" s="28"/>
      <c r="AA1456" s="28"/>
      <c r="AB1456" s="28"/>
      <c r="AC1456" s="28"/>
      <c r="AD1456" s="28"/>
      <c r="AE1456" s="28"/>
      <c r="AF1456" s="28"/>
      <c r="AG1456" s="28"/>
      <c r="AH1456" s="28"/>
      <c r="AI1456" s="28"/>
      <c r="AJ1456" s="28"/>
      <c r="AK1456" s="28"/>
      <c r="AL1456" s="28"/>
      <c r="AM1456" s="28"/>
      <c r="AN1456" s="28"/>
      <c r="AO1456" s="28"/>
      <c r="AP1456" s="28"/>
      <c r="AQ1456" s="28"/>
      <c r="AR1456" s="28"/>
      <c r="AS1456" s="28"/>
      <c r="AT1456" s="28"/>
      <c r="AU1456" s="28"/>
      <c r="AV1456" s="28"/>
      <c r="AW1456" s="28"/>
      <c r="AX1456" s="28"/>
      <c r="AY1456" s="28"/>
      <c r="AZ1456" s="28"/>
      <c r="BA1456" s="28"/>
      <c r="BB1456" s="28"/>
    </row>
    <row r="1457" spans="1:54" ht="12.75" x14ac:dyDescent="0.2">
      <c r="A1457" s="28"/>
      <c r="B1457" s="28"/>
      <c r="C1457" s="28"/>
      <c r="D1457" s="28"/>
      <c r="E1457" s="28"/>
      <c r="F1457" s="28"/>
      <c r="G1457" s="28"/>
      <c r="H1457" s="28"/>
      <c r="I1457" s="28"/>
      <c r="J1457" s="28"/>
      <c r="K1457" s="28"/>
      <c r="L1457" s="28"/>
      <c r="M1457" s="28"/>
      <c r="N1457" s="28"/>
      <c r="O1457" s="28"/>
      <c r="P1457" s="28"/>
      <c r="Q1457" s="28"/>
      <c r="R1457" s="28"/>
      <c r="S1457" s="28"/>
      <c r="T1457" s="28"/>
      <c r="U1457" s="28"/>
      <c r="V1457" s="28"/>
      <c r="W1457" s="28"/>
      <c r="X1457" s="28"/>
      <c r="Y1457" s="28"/>
      <c r="Z1457" s="28"/>
      <c r="AA1457" s="28"/>
      <c r="AB1457" s="28"/>
      <c r="AC1457" s="28"/>
      <c r="AD1457" s="28"/>
      <c r="AE1457" s="28"/>
      <c r="AF1457" s="28"/>
      <c r="AG1457" s="28"/>
      <c r="AH1457" s="28"/>
      <c r="AI1457" s="28"/>
      <c r="AJ1457" s="28"/>
      <c r="AK1457" s="28"/>
      <c r="AL1457" s="28"/>
      <c r="AM1457" s="28"/>
      <c r="AN1457" s="28"/>
      <c r="AO1457" s="28"/>
      <c r="AP1457" s="28"/>
      <c r="AQ1457" s="28"/>
      <c r="AR1457" s="28"/>
      <c r="AS1457" s="28"/>
      <c r="AT1457" s="28"/>
      <c r="AU1457" s="28"/>
      <c r="AV1457" s="28"/>
      <c r="AW1457" s="28"/>
      <c r="AX1457" s="28"/>
      <c r="AY1457" s="28"/>
      <c r="AZ1457" s="28"/>
      <c r="BA1457" s="28"/>
      <c r="BB1457" s="28"/>
    </row>
    <row r="1458" spans="1:54" ht="12.75" x14ac:dyDescent="0.2">
      <c r="A1458" s="28"/>
      <c r="B1458" s="28"/>
      <c r="C1458" s="28"/>
      <c r="D1458" s="28"/>
      <c r="E1458" s="28"/>
      <c r="F1458" s="28"/>
      <c r="G1458" s="28"/>
      <c r="H1458" s="28"/>
      <c r="I1458" s="28"/>
      <c r="J1458" s="28"/>
      <c r="K1458" s="28"/>
      <c r="L1458" s="28"/>
      <c r="M1458" s="28"/>
      <c r="N1458" s="28"/>
      <c r="O1458" s="28"/>
      <c r="P1458" s="28"/>
      <c r="Q1458" s="28"/>
      <c r="R1458" s="28"/>
      <c r="S1458" s="28"/>
      <c r="T1458" s="28"/>
      <c r="U1458" s="28"/>
      <c r="V1458" s="28"/>
      <c r="W1458" s="28"/>
      <c r="X1458" s="28"/>
      <c r="Y1458" s="28"/>
      <c r="Z1458" s="28"/>
      <c r="AA1458" s="28"/>
      <c r="AB1458" s="28"/>
      <c r="AC1458" s="28"/>
      <c r="AD1458" s="28"/>
      <c r="AE1458" s="28"/>
      <c r="AF1458" s="28"/>
      <c r="AG1458" s="28"/>
      <c r="AH1458" s="28"/>
      <c r="AI1458" s="28"/>
      <c r="AJ1458" s="28"/>
      <c r="AK1458" s="28"/>
      <c r="AL1458" s="28"/>
      <c r="AM1458" s="28"/>
      <c r="AN1458" s="28"/>
      <c r="AO1458" s="28"/>
      <c r="AP1458" s="28"/>
      <c r="AQ1458" s="28"/>
      <c r="AR1458" s="28"/>
      <c r="AS1458" s="28"/>
      <c r="AT1458" s="28"/>
      <c r="AU1458" s="28"/>
      <c r="AV1458" s="28"/>
      <c r="AW1458" s="28"/>
      <c r="AX1458" s="28"/>
      <c r="AY1458" s="28"/>
      <c r="AZ1458" s="28"/>
      <c r="BA1458" s="28"/>
      <c r="BB1458" s="28"/>
    </row>
    <row r="1459" spans="1:54" ht="12.75" x14ac:dyDescent="0.2">
      <c r="A1459" s="28"/>
      <c r="B1459" s="28"/>
      <c r="C1459" s="28"/>
      <c r="D1459" s="28"/>
      <c r="E1459" s="28"/>
      <c r="F1459" s="28"/>
      <c r="G1459" s="28"/>
      <c r="H1459" s="28"/>
      <c r="I1459" s="28"/>
      <c r="J1459" s="28"/>
      <c r="K1459" s="28"/>
      <c r="L1459" s="28"/>
      <c r="M1459" s="28"/>
      <c r="N1459" s="28"/>
      <c r="O1459" s="28"/>
      <c r="P1459" s="28"/>
      <c r="Q1459" s="28"/>
      <c r="R1459" s="28"/>
      <c r="S1459" s="28"/>
      <c r="T1459" s="28"/>
      <c r="U1459" s="28"/>
      <c r="V1459" s="28"/>
      <c r="W1459" s="28"/>
      <c r="X1459" s="28"/>
      <c r="Y1459" s="28"/>
      <c r="Z1459" s="28"/>
      <c r="AA1459" s="28"/>
      <c r="AB1459" s="28"/>
      <c r="AC1459" s="28"/>
      <c r="AD1459" s="28"/>
      <c r="AE1459" s="28"/>
      <c r="AF1459" s="28"/>
      <c r="AG1459" s="28"/>
      <c r="AH1459" s="28"/>
      <c r="AI1459" s="28"/>
      <c r="AJ1459" s="28"/>
      <c r="AK1459" s="28"/>
      <c r="AL1459" s="28"/>
      <c r="AM1459" s="28"/>
      <c r="AN1459" s="28"/>
      <c r="AO1459" s="28"/>
      <c r="AP1459" s="28"/>
      <c r="AQ1459" s="28"/>
      <c r="AR1459" s="28"/>
      <c r="AS1459" s="28"/>
      <c r="AT1459" s="28"/>
      <c r="AU1459" s="28"/>
      <c r="AV1459" s="28"/>
      <c r="AW1459" s="28"/>
      <c r="AX1459" s="28"/>
      <c r="AY1459" s="28"/>
      <c r="AZ1459" s="28"/>
      <c r="BA1459" s="28"/>
      <c r="BB1459" s="28"/>
    </row>
    <row r="1460" spans="1:54" ht="12.75" x14ac:dyDescent="0.2">
      <c r="A1460" s="28"/>
      <c r="B1460" s="28"/>
      <c r="C1460" s="28"/>
      <c r="D1460" s="28"/>
      <c r="E1460" s="28"/>
      <c r="F1460" s="28"/>
      <c r="G1460" s="28"/>
      <c r="H1460" s="28"/>
      <c r="I1460" s="28"/>
      <c r="J1460" s="28"/>
      <c r="K1460" s="28"/>
      <c r="L1460" s="28"/>
      <c r="M1460" s="28"/>
      <c r="N1460" s="28"/>
      <c r="O1460" s="28"/>
      <c r="P1460" s="28"/>
      <c r="Q1460" s="28"/>
      <c r="R1460" s="28"/>
      <c r="S1460" s="28"/>
      <c r="T1460" s="28"/>
      <c r="U1460" s="28"/>
      <c r="V1460" s="28"/>
      <c r="W1460" s="28"/>
      <c r="X1460" s="28"/>
      <c r="Y1460" s="28"/>
      <c r="Z1460" s="28"/>
      <c r="AA1460" s="28"/>
      <c r="AB1460" s="28"/>
      <c r="AC1460" s="28"/>
      <c r="AD1460" s="28"/>
      <c r="AE1460" s="28"/>
      <c r="AF1460" s="28"/>
      <c r="AG1460" s="28"/>
      <c r="AH1460" s="28"/>
      <c r="AI1460" s="28"/>
      <c r="AJ1460" s="28"/>
      <c r="AK1460" s="28"/>
      <c r="AL1460" s="28"/>
      <c r="AM1460" s="28"/>
      <c r="AN1460" s="28"/>
      <c r="AO1460" s="28"/>
      <c r="AP1460" s="28"/>
      <c r="AQ1460" s="28"/>
      <c r="AR1460" s="28"/>
      <c r="AS1460" s="28"/>
      <c r="AT1460" s="28"/>
      <c r="AU1460" s="28"/>
      <c r="AV1460" s="28"/>
      <c r="AW1460" s="28"/>
      <c r="AX1460" s="28"/>
      <c r="AY1460" s="28"/>
      <c r="AZ1460" s="28"/>
      <c r="BA1460" s="28"/>
      <c r="BB1460" s="28"/>
    </row>
    <row r="1461" spans="1:54" ht="12.75" x14ac:dyDescent="0.2">
      <c r="A1461" s="28"/>
      <c r="B1461" s="28"/>
      <c r="C1461" s="28"/>
      <c r="D1461" s="28"/>
      <c r="E1461" s="28"/>
      <c r="F1461" s="28"/>
      <c r="G1461" s="28"/>
      <c r="H1461" s="28"/>
      <c r="I1461" s="28"/>
      <c r="J1461" s="28"/>
      <c r="K1461" s="28"/>
      <c r="L1461" s="28"/>
      <c r="M1461" s="28"/>
      <c r="N1461" s="28"/>
      <c r="O1461" s="28"/>
      <c r="P1461" s="28"/>
      <c r="Q1461" s="28"/>
      <c r="R1461" s="28"/>
      <c r="S1461" s="28"/>
      <c r="T1461" s="28"/>
      <c r="U1461" s="28"/>
      <c r="V1461" s="28"/>
      <c r="W1461" s="28"/>
      <c r="X1461" s="28"/>
      <c r="Y1461" s="28"/>
      <c r="Z1461" s="28"/>
      <c r="AA1461" s="28"/>
      <c r="AB1461" s="28"/>
      <c r="AC1461" s="28"/>
      <c r="AD1461" s="28"/>
      <c r="AE1461" s="28"/>
      <c r="AF1461" s="28"/>
      <c r="AG1461" s="28"/>
      <c r="AH1461" s="28"/>
      <c r="AI1461" s="28"/>
      <c r="AJ1461" s="28"/>
      <c r="AK1461" s="28"/>
      <c r="AL1461" s="28"/>
      <c r="AM1461" s="28"/>
      <c r="AN1461" s="28"/>
      <c r="AO1461" s="28"/>
      <c r="AP1461" s="28"/>
      <c r="AQ1461" s="28"/>
      <c r="AR1461" s="28"/>
      <c r="AS1461" s="28"/>
      <c r="AT1461" s="28"/>
      <c r="AU1461" s="28"/>
      <c r="AV1461" s="28"/>
      <c r="AW1461" s="28"/>
      <c r="AX1461" s="28"/>
      <c r="AY1461" s="28"/>
      <c r="AZ1461" s="28"/>
      <c r="BA1461" s="28"/>
      <c r="BB1461" s="28"/>
    </row>
    <row r="1462" spans="1:54" ht="12.75" x14ac:dyDescent="0.2">
      <c r="A1462" s="28"/>
      <c r="B1462" s="28"/>
      <c r="C1462" s="28"/>
      <c r="D1462" s="28"/>
      <c r="E1462" s="28"/>
      <c r="F1462" s="28"/>
      <c r="G1462" s="28"/>
      <c r="H1462" s="28"/>
      <c r="I1462" s="28"/>
      <c r="J1462" s="28"/>
      <c r="K1462" s="28"/>
      <c r="L1462" s="28"/>
      <c r="M1462" s="28"/>
      <c r="N1462" s="28"/>
      <c r="O1462" s="28"/>
      <c r="P1462" s="28"/>
      <c r="Q1462" s="28"/>
      <c r="R1462" s="28"/>
      <c r="S1462" s="28"/>
      <c r="T1462" s="28"/>
      <c r="U1462" s="28"/>
      <c r="V1462" s="28"/>
      <c r="W1462" s="28"/>
      <c r="X1462" s="28"/>
      <c r="Y1462" s="28"/>
      <c r="Z1462" s="28"/>
      <c r="AA1462" s="28"/>
      <c r="AB1462" s="28"/>
      <c r="AC1462" s="28"/>
      <c r="AD1462" s="28"/>
      <c r="AE1462" s="28"/>
      <c r="AF1462" s="28"/>
      <c r="AG1462" s="28"/>
      <c r="AH1462" s="28"/>
      <c r="AI1462" s="28"/>
      <c r="AJ1462" s="28"/>
      <c r="AK1462" s="28"/>
      <c r="AL1462" s="28"/>
      <c r="AM1462" s="28"/>
      <c r="AN1462" s="28"/>
      <c r="AO1462" s="28"/>
      <c r="AP1462" s="28"/>
      <c r="AQ1462" s="28"/>
      <c r="AR1462" s="28"/>
      <c r="AS1462" s="28"/>
      <c r="AT1462" s="28"/>
      <c r="AU1462" s="28"/>
      <c r="AV1462" s="28"/>
      <c r="AW1462" s="28"/>
      <c r="AX1462" s="28"/>
      <c r="AY1462" s="28"/>
      <c r="AZ1462" s="28"/>
      <c r="BA1462" s="28"/>
      <c r="BB1462" s="28"/>
    </row>
    <row r="1463" spans="1:54" ht="12.75" x14ac:dyDescent="0.2">
      <c r="A1463" s="28"/>
      <c r="B1463" s="28"/>
      <c r="C1463" s="28"/>
      <c r="D1463" s="28"/>
      <c r="E1463" s="28"/>
      <c r="F1463" s="28"/>
      <c r="G1463" s="28"/>
      <c r="H1463" s="28"/>
      <c r="I1463" s="28"/>
      <c r="J1463" s="28"/>
      <c r="K1463" s="28"/>
      <c r="L1463" s="28"/>
      <c r="M1463" s="28"/>
      <c r="N1463" s="28"/>
      <c r="O1463" s="28"/>
      <c r="P1463" s="28"/>
      <c r="Q1463" s="28"/>
      <c r="R1463" s="28"/>
      <c r="S1463" s="28"/>
      <c r="T1463" s="28"/>
      <c r="U1463" s="28"/>
      <c r="V1463" s="28"/>
      <c r="W1463" s="28"/>
      <c r="X1463" s="28"/>
      <c r="Y1463" s="28"/>
      <c r="Z1463" s="28"/>
      <c r="AA1463" s="28"/>
      <c r="AB1463" s="28"/>
      <c r="AC1463" s="28"/>
      <c r="AD1463" s="28"/>
      <c r="AE1463" s="28"/>
      <c r="AF1463" s="28"/>
      <c r="AG1463" s="28"/>
      <c r="AH1463" s="28"/>
      <c r="AI1463" s="28"/>
      <c r="AJ1463" s="28"/>
      <c r="AK1463" s="28"/>
      <c r="AL1463" s="28"/>
      <c r="AM1463" s="28"/>
      <c r="AN1463" s="28"/>
      <c r="AO1463" s="28"/>
      <c r="AP1463" s="28"/>
      <c r="AQ1463" s="28"/>
      <c r="AR1463" s="28"/>
      <c r="AS1463" s="28"/>
      <c r="AT1463" s="28"/>
      <c r="AU1463" s="28"/>
      <c r="AV1463" s="28"/>
      <c r="AW1463" s="28"/>
      <c r="AX1463" s="28"/>
      <c r="AY1463" s="28"/>
      <c r="AZ1463" s="28"/>
      <c r="BA1463" s="28"/>
      <c r="BB1463" s="28"/>
    </row>
    <row r="1464" spans="1:54" ht="12.75" x14ac:dyDescent="0.2">
      <c r="A1464" s="28"/>
      <c r="B1464" s="28"/>
      <c r="C1464" s="28"/>
      <c r="D1464" s="28"/>
      <c r="E1464" s="28"/>
      <c r="F1464" s="28"/>
      <c r="G1464" s="28"/>
      <c r="H1464" s="28"/>
      <c r="I1464" s="28"/>
      <c r="J1464" s="28"/>
      <c r="K1464" s="28"/>
      <c r="L1464" s="28"/>
      <c r="M1464" s="28"/>
      <c r="N1464" s="28"/>
      <c r="O1464" s="28"/>
      <c r="P1464" s="28"/>
      <c r="Q1464" s="28"/>
      <c r="R1464" s="28"/>
      <c r="S1464" s="28"/>
      <c r="T1464" s="28"/>
      <c r="U1464" s="28"/>
      <c r="V1464" s="28"/>
      <c r="W1464" s="28"/>
      <c r="X1464" s="28"/>
      <c r="Y1464" s="28"/>
      <c r="Z1464" s="28"/>
      <c r="AA1464" s="28"/>
      <c r="AB1464" s="28"/>
      <c r="AC1464" s="28"/>
      <c r="AD1464" s="28"/>
      <c r="AE1464" s="28"/>
      <c r="AF1464" s="28"/>
      <c r="AG1464" s="28"/>
      <c r="AH1464" s="28"/>
      <c r="AI1464" s="28"/>
      <c r="AJ1464" s="28"/>
      <c r="AK1464" s="28"/>
      <c r="AL1464" s="28"/>
      <c r="AM1464" s="28"/>
      <c r="AN1464" s="28"/>
      <c r="AO1464" s="28"/>
      <c r="AP1464" s="28"/>
      <c r="AQ1464" s="28"/>
      <c r="AR1464" s="28"/>
      <c r="AS1464" s="28"/>
      <c r="AT1464" s="28"/>
      <c r="AU1464" s="28"/>
      <c r="AV1464" s="28"/>
      <c r="AW1464" s="28"/>
      <c r="AX1464" s="28"/>
      <c r="AY1464" s="28"/>
      <c r="AZ1464" s="28"/>
      <c r="BA1464" s="28"/>
      <c r="BB1464" s="28"/>
    </row>
    <row r="1465" spans="1:54" ht="12.75" x14ac:dyDescent="0.2">
      <c r="A1465" s="28"/>
      <c r="B1465" s="28"/>
      <c r="C1465" s="28"/>
      <c r="D1465" s="28"/>
      <c r="E1465" s="28"/>
      <c r="F1465" s="28"/>
      <c r="G1465" s="28"/>
      <c r="H1465" s="28"/>
      <c r="I1465" s="28"/>
      <c r="J1465" s="28"/>
      <c r="K1465" s="28"/>
      <c r="L1465" s="28"/>
      <c r="M1465" s="28"/>
      <c r="N1465" s="28"/>
      <c r="O1465" s="28"/>
      <c r="P1465" s="28"/>
      <c r="Q1465" s="28"/>
      <c r="R1465" s="28"/>
      <c r="S1465" s="28"/>
      <c r="T1465" s="28"/>
      <c r="U1465" s="28"/>
      <c r="V1465" s="28"/>
      <c r="W1465" s="28"/>
      <c r="X1465" s="28"/>
      <c r="Y1465" s="28"/>
      <c r="Z1465" s="28"/>
      <c r="AA1465" s="28"/>
      <c r="AB1465" s="28"/>
      <c r="AC1465" s="28"/>
      <c r="AD1465" s="28"/>
      <c r="AE1465" s="28"/>
      <c r="AF1465" s="28"/>
      <c r="AG1465" s="28"/>
      <c r="AH1465" s="28"/>
      <c r="AI1465" s="28"/>
      <c r="AJ1465" s="28"/>
      <c r="AK1465" s="28"/>
      <c r="AL1465" s="28"/>
      <c r="AM1465" s="28"/>
      <c r="AN1465" s="28"/>
      <c r="AO1465" s="28"/>
      <c r="AP1465" s="28"/>
      <c r="AQ1465" s="28"/>
      <c r="AR1465" s="28"/>
      <c r="AS1465" s="28"/>
      <c r="AT1465" s="28"/>
      <c r="AU1465" s="28"/>
      <c r="AV1465" s="28"/>
      <c r="AW1465" s="28"/>
      <c r="AX1465" s="28"/>
      <c r="AY1465" s="28"/>
      <c r="AZ1465" s="28"/>
      <c r="BA1465" s="28"/>
      <c r="BB1465" s="28"/>
    </row>
    <row r="1466" spans="1:54" ht="12.75" x14ac:dyDescent="0.2">
      <c r="A1466" s="28"/>
      <c r="B1466" s="28"/>
      <c r="C1466" s="28"/>
      <c r="D1466" s="28"/>
      <c r="E1466" s="28"/>
      <c r="F1466" s="28"/>
      <c r="G1466" s="28"/>
      <c r="H1466" s="28"/>
      <c r="I1466" s="28"/>
      <c r="J1466" s="28"/>
      <c r="K1466" s="28"/>
      <c r="L1466" s="28"/>
      <c r="M1466" s="28"/>
      <c r="N1466" s="28"/>
      <c r="O1466" s="28"/>
      <c r="P1466" s="28"/>
      <c r="Q1466" s="28"/>
      <c r="R1466" s="28"/>
      <c r="S1466" s="28"/>
      <c r="T1466" s="28"/>
      <c r="U1466" s="28"/>
      <c r="V1466" s="28"/>
      <c r="W1466" s="28"/>
      <c r="X1466" s="28"/>
      <c r="Y1466" s="28"/>
      <c r="Z1466" s="28"/>
      <c r="AA1466" s="28"/>
      <c r="AB1466" s="28"/>
      <c r="AC1466" s="28"/>
      <c r="AD1466" s="28"/>
      <c r="AE1466" s="28"/>
      <c r="AF1466" s="28"/>
      <c r="AG1466" s="28"/>
      <c r="AH1466" s="28"/>
      <c r="AI1466" s="28"/>
      <c r="AJ1466" s="28"/>
      <c r="AK1466" s="28"/>
      <c r="AL1466" s="28"/>
      <c r="AM1466" s="28"/>
      <c r="AN1466" s="28"/>
      <c r="AO1466" s="28"/>
      <c r="AP1466" s="28"/>
      <c r="AQ1466" s="28"/>
      <c r="AR1466" s="28"/>
      <c r="AS1466" s="28"/>
      <c r="AT1466" s="28"/>
      <c r="AU1466" s="28"/>
      <c r="AV1466" s="28"/>
      <c r="AW1466" s="28"/>
      <c r="AX1466" s="28"/>
      <c r="AY1466" s="28"/>
      <c r="AZ1466" s="28"/>
      <c r="BA1466" s="28"/>
      <c r="BB1466" s="28"/>
    </row>
    <row r="1467" spans="1:54" ht="12.75" x14ac:dyDescent="0.2">
      <c r="A1467" s="28"/>
      <c r="B1467" s="28"/>
      <c r="C1467" s="28"/>
      <c r="D1467" s="28"/>
      <c r="E1467" s="28"/>
      <c r="F1467" s="28"/>
      <c r="G1467" s="28"/>
      <c r="H1467" s="28"/>
      <c r="I1467" s="28"/>
      <c r="J1467" s="28"/>
      <c r="K1467" s="28"/>
      <c r="L1467" s="28"/>
      <c r="M1467" s="28"/>
      <c r="N1467" s="28"/>
      <c r="O1467" s="28"/>
      <c r="P1467" s="28"/>
      <c r="Q1467" s="28"/>
      <c r="R1467" s="28"/>
      <c r="S1467" s="28"/>
      <c r="T1467" s="28"/>
      <c r="U1467" s="28"/>
      <c r="V1467" s="28"/>
      <c r="W1467" s="28"/>
      <c r="X1467" s="28"/>
      <c r="Y1467" s="28"/>
      <c r="Z1467" s="28"/>
      <c r="AA1467" s="28"/>
      <c r="AB1467" s="28"/>
      <c r="AC1467" s="28"/>
      <c r="AD1467" s="28"/>
      <c r="AE1467" s="28"/>
      <c r="AF1467" s="28"/>
      <c r="AG1467" s="28"/>
      <c r="AH1467" s="28"/>
      <c r="AI1467" s="28"/>
      <c r="AJ1467" s="28"/>
      <c r="AK1467" s="28"/>
      <c r="AL1467" s="28"/>
      <c r="AM1467" s="28"/>
      <c r="AN1467" s="28"/>
      <c r="AO1467" s="28"/>
      <c r="AP1467" s="28"/>
      <c r="AQ1467" s="28"/>
      <c r="AR1467" s="28"/>
      <c r="AS1467" s="28"/>
      <c r="AT1467" s="28"/>
      <c r="AU1467" s="28"/>
      <c r="AV1467" s="28"/>
      <c r="AW1467" s="28"/>
      <c r="AX1467" s="28"/>
      <c r="AY1467" s="28"/>
      <c r="AZ1467" s="28"/>
      <c r="BA1467" s="28"/>
      <c r="BB1467" s="28"/>
    </row>
    <row r="1468" spans="1:54" ht="12.75" x14ac:dyDescent="0.2">
      <c r="A1468" s="28"/>
      <c r="B1468" s="28"/>
      <c r="C1468" s="28"/>
      <c r="D1468" s="28"/>
      <c r="E1468" s="28"/>
      <c r="F1468" s="28"/>
      <c r="G1468" s="28"/>
      <c r="H1468" s="28"/>
      <c r="I1468" s="28"/>
      <c r="J1468" s="28"/>
      <c r="K1468" s="28"/>
      <c r="L1468" s="28"/>
      <c r="M1468" s="28"/>
      <c r="N1468" s="28"/>
      <c r="O1468" s="28"/>
      <c r="P1468" s="28"/>
      <c r="Q1468" s="28"/>
      <c r="R1468" s="28"/>
      <c r="S1468" s="28"/>
      <c r="T1468" s="28"/>
      <c r="U1468" s="28"/>
      <c r="V1468" s="28"/>
      <c r="W1468" s="28"/>
      <c r="X1468" s="28"/>
      <c r="Y1468" s="28"/>
      <c r="Z1468" s="28"/>
      <c r="AA1468" s="28"/>
      <c r="AB1468" s="28"/>
      <c r="AC1468" s="28"/>
      <c r="AD1468" s="28"/>
      <c r="AE1468" s="28"/>
      <c r="AF1468" s="28"/>
      <c r="AG1468" s="28"/>
      <c r="AH1468" s="28"/>
      <c r="AI1468" s="28"/>
      <c r="AJ1468" s="28"/>
      <c r="AK1468" s="28"/>
      <c r="AL1468" s="28"/>
      <c r="AM1468" s="28"/>
      <c r="AN1468" s="28"/>
      <c r="AO1468" s="28"/>
      <c r="AP1468" s="28"/>
      <c r="AQ1468" s="28"/>
      <c r="AR1468" s="28"/>
      <c r="AS1468" s="28"/>
      <c r="AT1468" s="28"/>
      <c r="AU1468" s="28"/>
      <c r="AV1468" s="28"/>
      <c r="AW1468" s="28"/>
      <c r="AX1468" s="28"/>
      <c r="AY1468" s="28"/>
      <c r="AZ1468" s="28"/>
      <c r="BA1468" s="28"/>
      <c r="BB1468" s="28"/>
    </row>
    <row r="1469" spans="1:54" ht="12.75" x14ac:dyDescent="0.2">
      <c r="A1469" s="28"/>
      <c r="B1469" s="28"/>
      <c r="C1469" s="28"/>
      <c r="D1469" s="28"/>
      <c r="E1469" s="28"/>
      <c r="F1469" s="28"/>
      <c r="G1469" s="28"/>
      <c r="H1469" s="28"/>
      <c r="I1469" s="28"/>
      <c r="J1469" s="28"/>
      <c r="K1469" s="28"/>
      <c r="L1469" s="28"/>
      <c r="M1469" s="28"/>
      <c r="N1469" s="28"/>
      <c r="O1469" s="28"/>
      <c r="P1469" s="28"/>
      <c r="Q1469" s="28"/>
      <c r="R1469" s="28"/>
      <c r="S1469" s="28"/>
      <c r="T1469" s="28"/>
      <c r="U1469" s="28"/>
      <c r="V1469" s="28"/>
      <c r="W1469" s="28"/>
      <c r="X1469" s="28"/>
      <c r="Y1469" s="28"/>
      <c r="Z1469" s="28"/>
      <c r="AA1469" s="28"/>
      <c r="AB1469" s="28"/>
      <c r="AC1469" s="28"/>
      <c r="AD1469" s="28"/>
      <c r="AE1469" s="28"/>
      <c r="AF1469" s="28"/>
      <c r="AG1469" s="28"/>
      <c r="AH1469" s="28"/>
      <c r="AI1469" s="28"/>
      <c r="AJ1469" s="28"/>
      <c r="AK1469" s="28"/>
      <c r="AL1469" s="28"/>
      <c r="AM1469" s="28"/>
      <c r="AN1469" s="28"/>
      <c r="AO1469" s="28"/>
      <c r="AP1469" s="28"/>
      <c r="AQ1469" s="28"/>
      <c r="AR1469" s="28"/>
      <c r="AS1469" s="28"/>
      <c r="AT1469" s="28"/>
      <c r="AU1469" s="28"/>
      <c r="AV1469" s="28"/>
      <c r="AW1469" s="28"/>
      <c r="AX1469" s="28"/>
      <c r="AY1469" s="28"/>
      <c r="AZ1469" s="28"/>
      <c r="BA1469" s="28"/>
      <c r="BB1469" s="28"/>
    </row>
    <row r="1470" spans="1:54" ht="12.75" x14ac:dyDescent="0.2">
      <c r="A1470" s="28"/>
      <c r="B1470" s="28"/>
      <c r="C1470" s="28"/>
      <c r="D1470" s="28"/>
      <c r="E1470" s="28"/>
      <c r="F1470" s="28"/>
      <c r="G1470" s="28"/>
      <c r="H1470" s="28"/>
      <c r="I1470" s="28"/>
      <c r="J1470" s="28"/>
      <c r="K1470" s="28"/>
      <c r="L1470" s="28"/>
      <c r="M1470" s="28"/>
      <c r="N1470" s="28"/>
      <c r="O1470" s="28"/>
      <c r="P1470" s="28"/>
      <c r="Q1470" s="28"/>
      <c r="R1470" s="28"/>
      <c r="S1470" s="28"/>
      <c r="T1470" s="28"/>
      <c r="U1470" s="28"/>
      <c r="V1470" s="28"/>
      <c r="W1470" s="28"/>
      <c r="X1470" s="28"/>
      <c r="Y1470" s="28"/>
      <c r="Z1470" s="28"/>
      <c r="AA1470" s="28"/>
      <c r="AB1470" s="28"/>
      <c r="AC1470" s="28"/>
      <c r="AD1470" s="28"/>
      <c r="AE1470" s="28"/>
      <c r="AF1470" s="28"/>
      <c r="AG1470" s="28"/>
      <c r="AH1470" s="28"/>
      <c r="AI1470" s="28"/>
      <c r="AJ1470" s="28"/>
      <c r="AK1470" s="28"/>
      <c r="AL1470" s="28"/>
      <c r="AM1470" s="28"/>
      <c r="AN1470" s="28"/>
      <c r="AO1470" s="28"/>
      <c r="AP1470" s="28"/>
      <c r="AQ1470" s="28"/>
      <c r="AR1470" s="28"/>
      <c r="AS1470" s="28"/>
      <c r="AT1470" s="28"/>
      <c r="AU1470" s="28"/>
      <c r="AV1470" s="28"/>
      <c r="AW1470" s="28"/>
      <c r="AX1470" s="28"/>
      <c r="AY1470" s="28"/>
      <c r="AZ1470" s="28"/>
      <c r="BA1470" s="28"/>
      <c r="BB1470" s="28"/>
    </row>
    <row r="1471" spans="1:54" ht="12.75" x14ac:dyDescent="0.2">
      <c r="A1471" s="28"/>
      <c r="B1471" s="28"/>
      <c r="C1471" s="28"/>
      <c r="D1471" s="28"/>
      <c r="E1471" s="28"/>
      <c r="F1471" s="28"/>
      <c r="G1471" s="28"/>
      <c r="H1471" s="28"/>
      <c r="I1471" s="28"/>
      <c r="J1471" s="28"/>
      <c r="K1471" s="28"/>
      <c r="L1471" s="28"/>
      <c r="M1471" s="28"/>
      <c r="N1471" s="28"/>
      <c r="O1471" s="28"/>
      <c r="P1471" s="28"/>
      <c r="Q1471" s="28"/>
      <c r="R1471" s="28"/>
      <c r="S1471" s="28"/>
      <c r="T1471" s="28"/>
      <c r="U1471" s="28"/>
      <c r="V1471" s="28"/>
      <c r="W1471" s="28"/>
      <c r="X1471" s="28"/>
      <c r="Y1471" s="28"/>
      <c r="Z1471" s="28"/>
      <c r="AA1471" s="28"/>
      <c r="AB1471" s="28"/>
      <c r="AC1471" s="28"/>
      <c r="AD1471" s="28"/>
      <c r="AE1471" s="28"/>
      <c r="AF1471" s="28"/>
      <c r="AG1471" s="28"/>
      <c r="AH1471" s="28"/>
      <c r="AI1471" s="28"/>
      <c r="AJ1471" s="28"/>
      <c r="AK1471" s="28"/>
      <c r="AL1471" s="28"/>
      <c r="AM1471" s="28"/>
      <c r="AN1471" s="28"/>
      <c r="AO1471" s="28"/>
      <c r="AP1471" s="28"/>
      <c r="AQ1471" s="28"/>
      <c r="AR1471" s="28"/>
      <c r="AS1471" s="28"/>
      <c r="AT1471" s="28"/>
      <c r="AU1471" s="28"/>
      <c r="AV1471" s="28"/>
      <c r="AW1471" s="28"/>
      <c r="AX1471" s="28"/>
      <c r="AY1471" s="28"/>
      <c r="AZ1471" s="28"/>
      <c r="BA1471" s="28"/>
      <c r="BB1471" s="28"/>
    </row>
    <row r="1472" spans="1:54" ht="12.75" x14ac:dyDescent="0.2">
      <c r="A1472" s="28"/>
      <c r="B1472" s="28"/>
      <c r="C1472" s="28"/>
      <c r="D1472" s="28"/>
      <c r="E1472" s="28"/>
      <c r="F1472" s="28"/>
      <c r="G1472" s="28"/>
      <c r="H1472" s="28"/>
      <c r="I1472" s="28"/>
      <c r="J1472" s="28"/>
      <c r="K1472" s="28"/>
      <c r="L1472" s="28"/>
      <c r="M1472" s="28"/>
      <c r="N1472" s="28"/>
      <c r="O1472" s="28"/>
      <c r="P1472" s="28"/>
      <c r="Q1472" s="28"/>
      <c r="R1472" s="28"/>
      <c r="S1472" s="28"/>
      <c r="T1472" s="28"/>
      <c r="U1472" s="28"/>
      <c r="V1472" s="28"/>
      <c r="W1472" s="28"/>
      <c r="X1472" s="28"/>
      <c r="Y1472" s="28"/>
      <c r="Z1472" s="28"/>
      <c r="AA1472" s="28"/>
      <c r="AB1472" s="28"/>
      <c r="AC1472" s="28"/>
      <c r="AD1472" s="28"/>
      <c r="AE1472" s="28"/>
      <c r="AF1472" s="28"/>
      <c r="AG1472" s="28"/>
      <c r="AH1472" s="28"/>
      <c r="AI1472" s="28"/>
      <c r="AJ1472" s="28"/>
      <c r="AK1472" s="28"/>
      <c r="AL1472" s="28"/>
      <c r="AM1472" s="28"/>
      <c r="AN1472" s="28"/>
      <c r="AO1472" s="28"/>
      <c r="AP1472" s="28"/>
      <c r="AQ1472" s="28"/>
      <c r="AR1472" s="28"/>
      <c r="AS1472" s="28"/>
      <c r="AT1472" s="28"/>
      <c r="AU1472" s="28"/>
      <c r="AV1472" s="28"/>
      <c r="AW1472" s="28"/>
      <c r="AX1472" s="28"/>
      <c r="AY1472" s="28"/>
      <c r="AZ1472" s="28"/>
      <c r="BA1472" s="28"/>
      <c r="BB1472" s="28"/>
    </row>
    <row r="1473" spans="1:54" ht="12.75" x14ac:dyDescent="0.2">
      <c r="A1473" s="28"/>
      <c r="B1473" s="28"/>
      <c r="C1473" s="28"/>
      <c r="D1473" s="28"/>
      <c r="E1473" s="28"/>
      <c r="F1473" s="28"/>
      <c r="G1473" s="28"/>
      <c r="H1473" s="28"/>
      <c r="I1473" s="28"/>
      <c r="J1473" s="28"/>
      <c r="K1473" s="28"/>
      <c r="L1473" s="28"/>
      <c r="M1473" s="28"/>
      <c r="N1473" s="28"/>
      <c r="O1473" s="28"/>
      <c r="P1473" s="28"/>
      <c r="Q1473" s="28"/>
      <c r="R1473" s="28"/>
      <c r="S1473" s="28"/>
      <c r="T1473" s="28"/>
      <c r="U1473" s="28"/>
      <c r="V1473" s="28"/>
      <c r="W1473" s="28"/>
      <c r="X1473" s="28"/>
      <c r="Y1473" s="28"/>
      <c r="Z1473" s="28"/>
      <c r="AA1473" s="28"/>
      <c r="AB1473" s="28"/>
      <c r="AC1473" s="28"/>
      <c r="AD1473" s="28"/>
      <c r="AE1473" s="28"/>
      <c r="AF1473" s="28"/>
      <c r="AG1473" s="28"/>
      <c r="AH1473" s="28"/>
      <c r="AI1473" s="28"/>
      <c r="AJ1473" s="28"/>
      <c r="AK1473" s="28"/>
      <c r="AL1473" s="28"/>
      <c r="AM1473" s="28"/>
      <c r="AN1473" s="28"/>
      <c r="AO1473" s="28"/>
      <c r="AP1473" s="28"/>
      <c r="AQ1473" s="28"/>
      <c r="AR1473" s="28"/>
      <c r="AS1473" s="28"/>
      <c r="AT1473" s="28"/>
      <c r="AU1473" s="28"/>
      <c r="AV1473" s="28"/>
      <c r="AW1473" s="28"/>
      <c r="AX1473" s="28"/>
      <c r="AY1473" s="28"/>
      <c r="AZ1473" s="28"/>
      <c r="BA1473" s="28"/>
      <c r="BB1473" s="28"/>
    </row>
    <row r="1474" spans="1:54" ht="12.75" x14ac:dyDescent="0.2">
      <c r="A1474" s="28"/>
      <c r="B1474" s="28"/>
      <c r="C1474" s="28"/>
      <c r="D1474" s="28"/>
      <c r="E1474" s="28"/>
      <c r="F1474" s="28"/>
      <c r="G1474" s="28"/>
      <c r="H1474" s="28"/>
      <c r="I1474" s="28"/>
      <c r="J1474" s="28"/>
      <c r="K1474" s="28"/>
      <c r="L1474" s="28"/>
      <c r="M1474" s="28"/>
      <c r="N1474" s="28"/>
      <c r="O1474" s="28"/>
      <c r="P1474" s="28"/>
      <c r="Q1474" s="28"/>
      <c r="R1474" s="28"/>
      <c r="S1474" s="28"/>
      <c r="T1474" s="28"/>
      <c r="U1474" s="28"/>
      <c r="V1474" s="28"/>
      <c r="W1474" s="28"/>
      <c r="X1474" s="28"/>
      <c r="Y1474" s="28"/>
      <c r="Z1474" s="28"/>
      <c r="AA1474" s="28"/>
      <c r="AB1474" s="28"/>
      <c r="AC1474" s="28"/>
      <c r="AD1474" s="28"/>
      <c r="AE1474" s="28"/>
      <c r="AF1474" s="28"/>
      <c r="AG1474" s="28"/>
      <c r="AH1474" s="28"/>
      <c r="AI1474" s="28"/>
      <c r="AJ1474" s="28"/>
      <c r="AK1474" s="28"/>
      <c r="AL1474" s="28"/>
      <c r="AM1474" s="28"/>
      <c r="AN1474" s="28"/>
      <c r="AO1474" s="28"/>
      <c r="AP1474" s="28"/>
      <c r="AQ1474" s="28"/>
      <c r="AR1474" s="28"/>
      <c r="AS1474" s="28"/>
      <c r="AT1474" s="28"/>
      <c r="AU1474" s="28"/>
      <c r="AV1474" s="28"/>
      <c r="AW1474" s="28"/>
      <c r="AX1474" s="28"/>
      <c r="AY1474" s="28"/>
      <c r="AZ1474" s="28"/>
      <c r="BA1474" s="28"/>
      <c r="BB1474" s="28"/>
    </row>
    <row r="1475" spans="1:54" ht="12.75" x14ac:dyDescent="0.2">
      <c r="A1475" s="28"/>
      <c r="B1475" s="28"/>
      <c r="C1475" s="28"/>
      <c r="D1475" s="28"/>
      <c r="E1475" s="28"/>
      <c r="F1475" s="28"/>
      <c r="G1475" s="28"/>
      <c r="H1475" s="28"/>
      <c r="I1475" s="28"/>
      <c r="J1475" s="28"/>
      <c r="K1475" s="28"/>
      <c r="L1475" s="28"/>
      <c r="M1475" s="28"/>
      <c r="N1475" s="28"/>
      <c r="O1475" s="28"/>
      <c r="P1475" s="28"/>
      <c r="Q1475" s="28"/>
      <c r="R1475" s="28"/>
      <c r="S1475" s="28"/>
      <c r="T1475" s="28"/>
      <c r="U1475" s="28"/>
      <c r="V1475" s="28"/>
      <c r="W1475" s="28"/>
      <c r="X1475" s="28"/>
      <c r="Y1475" s="28"/>
      <c r="Z1475" s="28"/>
      <c r="AA1475" s="28"/>
      <c r="AB1475" s="28"/>
      <c r="AC1475" s="28"/>
      <c r="AD1475" s="28"/>
      <c r="AE1475" s="28"/>
      <c r="AF1475" s="28"/>
      <c r="AG1475" s="28"/>
      <c r="AH1475" s="28"/>
      <c r="AI1475" s="28"/>
      <c r="AJ1475" s="28"/>
      <c r="AK1475" s="28"/>
      <c r="AL1475" s="28"/>
      <c r="AM1475" s="28"/>
      <c r="AN1475" s="28"/>
      <c r="AO1475" s="28"/>
      <c r="AP1475" s="28"/>
      <c r="AQ1475" s="28"/>
      <c r="AR1475" s="28"/>
      <c r="AS1475" s="28"/>
      <c r="AT1475" s="28"/>
      <c r="AU1475" s="28"/>
      <c r="AV1475" s="28"/>
      <c r="AW1475" s="28"/>
      <c r="AX1475" s="28"/>
      <c r="AY1475" s="28"/>
      <c r="AZ1475" s="28"/>
      <c r="BA1475" s="28"/>
      <c r="BB1475" s="28"/>
    </row>
    <row r="1476" spans="1:54" ht="12.75" x14ac:dyDescent="0.2">
      <c r="A1476" s="28"/>
      <c r="B1476" s="28"/>
      <c r="C1476" s="28"/>
      <c r="D1476" s="28"/>
      <c r="E1476" s="28"/>
      <c r="F1476" s="28"/>
      <c r="G1476" s="28"/>
      <c r="H1476" s="28"/>
      <c r="I1476" s="28"/>
      <c r="J1476" s="28"/>
      <c r="K1476" s="28"/>
      <c r="L1476" s="28"/>
      <c r="M1476" s="28"/>
      <c r="N1476" s="28"/>
      <c r="O1476" s="28"/>
      <c r="P1476" s="28"/>
      <c r="Q1476" s="28"/>
      <c r="R1476" s="28"/>
      <c r="S1476" s="28"/>
      <c r="T1476" s="28"/>
      <c r="U1476" s="28"/>
      <c r="V1476" s="28"/>
      <c r="W1476" s="28"/>
      <c r="X1476" s="28"/>
      <c r="Y1476" s="28"/>
      <c r="Z1476" s="28"/>
      <c r="AA1476" s="28"/>
      <c r="AB1476" s="28"/>
      <c r="AC1476" s="28"/>
      <c r="AD1476" s="28"/>
      <c r="AE1476" s="28"/>
      <c r="AF1476" s="28"/>
      <c r="AG1476" s="28"/>
      <c r="AH1476" s="28"/>
      <c r="AI1476" s="28"/>
      <c r="AJ1476" s="28"/>
      <c r="AK1476" s="28"/>
      <c r="AL1476" s="28"/>
      <c r="AM1476" s="28"/>
      <c r="AN1476" s="28"/>
      <c r="AO1476" s="28"/>
      <c r="AP1476" s="28"/>
      <c r="AQ1476" s="28"/>
      <c r="AR1476" s="28"/>
      <c r="AS1476" s="28"/>
      <c r="AT1476" s="28"/>
      <c r="AU1476" s="28"/>
      <c r="AV1476" s="28"/>
      <c r="AW1476" s="28"/>
      <c r="AX1476" s="28"/>
      <c r="AY1476" s="28"/>
      <c r="AZ1476" s="28"/>
      <c r="BA1476" s="28"/>
      <c r="BB1476" s="28"/>
    </row>
    <row r="1477" spans="1:54" ht="12.75" x14ac:dyDescent="0.2">
      <c r="A1477" s="28"/>
      <c r="B1477" s="28"/>
      <c r="C1477" s="28"/>
      <c r="D1477" s="28"/>
      <c r="E1477" s="28"/>
      <c r="F1477" s="28"/>
      <c r="G1477" s="28"/>
      <c r="H1477" s="28"/>
      <c r="I1477" s="28"/>
      <c r="J1477" s="28"/>
      <c r="K1477" s="28"/>
      <c r="L1477" s="28"/>
      <c r="M1477" s="28"/>
      <c r="N1477" s="28"/>
      <c r="O1477" s="28"/>
      <c r="P1477" s="28"/>
      <c r="Q1477" s="28"/>
      <c r="R1477" s="28"/>
      <c r="S1477" s="28"/>
      <c r="T1477" s="28"/>
      <c r="U1477" s="28"/>
      <c r="V1477" s="28"/>
      <c r="W1477" s="28"/>
      <c r="X1477" s="28"/>
      <c r="Y1477" s="28"/>
      <c r="Z1477" s="28"/>
      <c r="AA1477" s="28"/>
      <c r="AB1477" s="28"/>
      <c r="AC1477" s="28"/>
      <c r="AD1477" s="28"/>
      <c r="AE1477" s="28"/>
      <c r="AF1477" s="28"/>
      <c r="AG1477" s="28"/>
      <c r="AH1477" s="28"/>
      <c r="AI1477" s="28"/>
      <c r="AJ1477" s="28"/>
      <c r="AK1477" s="28"/>
      <c r="AL1477" s="28"/>
      <c r="AM1477" s="28"/>
      <c r="AN1477" s="28"/>
      <c r="AO1477" s="28"/>
      <c r="AP1477" s="28"/>
      <c r="AQ1477" s="28"/>
      <c r="AR1477" s="28"/>
      <c r="AS1477" s="28"/>
      <c r="AT1477" s="28"/>
      <c r="AU1477" s="28"/>
      <c r="AV1477" s="28"/>
      <c r="AW1477" s="28"/>
      <c r="AX1477" s="28"/>
      <c r="AY1477" s="28"/>
      <c r="AZ1477" s="28"/>
      <c r="BA1477" s="28"/>
      <c r="BB1477" s="28"/>
    </row>
    <row r="1478" spans="1:54" ht="12.75" x14ac:dyDescent="0.2">
      <c r="A1478" s="28"/>
      <c r="B1478" s="28"/>
      <c r="C1478" s="28"/>
      <c r="D1478" s="28"/>
      <c r="E1478" s="28"/>
      <c r="F1478" s="28"/>
      <c r="G1478" s="28"/>
      <c r="H1478" s="28"/>
      <c r="I1478" s="28"/>
      <c r="J1478" s="28"/>
      <c r="K1478" s="28"/>
      <c r="L1478" s="28"/>
      <c r="M1478" s="28"/>
      <c r="N1478" s="28"/>
      <c r="O1478" s="28"/>
      <c r="P1478" s="28"/>
      <c r="Q1478" s="28"/>
      <c r="R1478" s="28"/>
      <c r="S1478" s="28"/>
      <c r="T1478" s="28"/>
      <c r="U1478" s="28"/>
      <c r="V1478" s="28"/>
      <c r="W1478" s="28"/>
      <c r="X1478" s="28"/>
      <c r="Y1478" s="28"/>
      <c r="Z1478" s="28"/>
      <c r="AA1478" s="28"/>
      <c r="AB1478" s="28"/>
      <c r="AC1478" s="28"/>
      <c r="AD1478" s="28"/>
      <c r="AE1478" s="28"/>
      <c r="AF1478" s="28"/>
      <c r="AG1478" s="28"/>
      <c r="AH1478" s="28"/>
      <c r="AI1478" s="28"/>
      <c r="AJ1478" s="28"/>
      <c r="AK1478" s="28"/>
      <c r="AL1478" s="28"/>
      <c r="AM1478" s="28"/>
      <c r="AN1478" s="28"/>
      <c r="AO1478" s="28"/>
      <c r="AP1478" s="28"/>
      <c r="AQ1478" s="28"/>
      <c r="AR1478" s="28"/>
      <c r="AS1478" s="28"/>
      <c r="AT1478" s="28"/>
      <c r="AU1478" s="28"/>
      <c r="AV1478" s="28"/>
      <c r="AW1478" s="28"/>
      <c r="AX1478" s="28"/>
      <c r="AY1478" s="28"/>
      <c r="AZ1478" s="28"/>
      <c r="BA1478" s="28"/>
      <c r="BB1478" s="28"/>
    </row>
    <row r="1479" spans="1:54" ht="12.75" x14ac:dyDescent="0.2">
      <c r="A1479" s="28"/>
      <c r="B1479" s="28"/>
      <c r="C1479" s="28"/>
      <c r="D1479" s="28"/>
      <c r="E1479" s="28"/>
      <c r="F1479" s="28"/>
      <c r="G1479" s="28"/>
      <c r="H1479" s="28"/>
      <c r="I1479" s="28"/>
      <c r="J1479" s="28"/>
      <c r="K1479" s="28"/>
      <c r="L1479" s="28"/>
      <c r="M1479" s="28"/>
      <c r="N1479" s="28"/>
      <c r="O1479" s="28"/>
      <c r="P1479" s="28"/>
      <c r="Q1479" s="28"/>
      <c r="R1479" s="28"/>
      <c r="S1479" s="28"/>
      <c r="T1479" s="28"/>
      <c r="U1479" s="28"/>
      <c r="V1479" s="28"/>
      <c r="W1479" s="28"/>
      <c r="X1479" s="28"/>
      <c r="Y1479" s="28"/>
      <c r="Z1479" s="28"/>
      <c r="AA1479" s="28"/>
      <c r="AB1479" s="28"/>
      <c r="AC1479" s="28"/>
      <c r="AD1479" s="28"/>
      <c r="AE1479" s="28"/>
      <c r="AF1479" s="28"/>
      <c r="AG1479" s="28"/>
      <c r="AH1479" s="28"/>
      <c r="AI1479" s="28"/>
      <c r="AJ1479" s="28"/>
      <c r="AK1479" s="28"/>
      <c r="AL1479" s="28"/>
      <c r="AM1479" s="28"/>
      <c r="AN1479" s="28"/>
      <c r="AO1479" s="28"/>
      <c r="AP1479" s="28"/>
      <c r="AQ1479" s="28"/>
      <c r="AR1479" s="28"/>
      <c r="AS1479" s="28"/>
      <c r="AT1479" s="28"/>
      <c r="AU1479" s="28"/>
      <c r="AV1479" s="28"/>
      <c r="AW1479" s="28"/>
      <c r="AX1479" s="28"/>
      <c r="AY1479" s="28"/>
      <c r="AZ1479" s="28"/>
      <c r="BA1479" s="28"/>
      <c r="BB1479" s="28"/>
    </row>
    <row r="1480" spans="1:54" ht="12.75" x14ac:dyDescent="0.2">
      <c r="A1480" s="28"/>
      <c r="B1480" s="28"/>
      <c r="C1480" s="28"/>
      <c r="D1480" s="28"/>
      <c r="E1480" s="28"/>
      <c r="F1480" s="28"/>
      <c r="G1480" s="28"/>
      <c r="H1480" s="28"/>
      <c r="I1480" s="28"/>
      <c r="J1480" s="28"/>
      <c r="K1480" s="28"/>
      <c r="L1480" s="28"/>
      <c r="M1480" s="28"/>
      <c r="N1480" s="28"/>
      <c r="O1480" s="28"/>
      <c r="P1480" s="28"/>
      <c r="Q1480" s="28"/>
      <c r="R1480" s="28"/>
      <c r="S1480" s="28"/>
      <c r="T1480" s="28"/>
      <c r="U1480" s="28"/>
      <c r="V1480" s="28"/>
      <c r="W1480" s="28"/>
      <c r="X1480" s="28"/>
      <c r="Y1480" s="28"/>
      <c r="Z1480" s="28"/>
      <c r="AA1480" s="28"/>
      <c r="AB1480" s="28"/>
      <c r="AC1480" s="28"/>
      <c r="AD1480" s="28"/>
      <c r="AE1480" s="28"/>
      <c r="AF1480" s="28"/>
      <c r="AG1480" s="28"/>
      <c r="AH1480" s="28"/>
      <c r="AI1480" s="28"/>
      <c r="AJ1480" s="28"/>
      <c r="AK1480" s="28"/>
      <c r="AL1480" s="28"/>
      <c r="AM1480" s="28"/>
      <c r="AN1480" s="28"/>
      <c r="AO1480" s="28"/>
      <c r="AP1480" s="28"/>
      <c r="AQ1480" s="28"/>
      <c r="AR1480" s="28"/>
      <c r="AS1480" s="28"/>
      <c r="AT1480" s="28"/>
      <c r="AU1480" s="28"/>
      <c r="AV1480" s="28"/>
      <c r="AW1480" s="28"/>
      <c r="AX1480" s="28"/>
      <c r="AY1480" s="28"/>
      <c r="AZ1480" s="28"/>
      <c r="BA1480" s="28"/>
      <c r="BB1480" s="28"/>
    </row>
    <row r="1481" spans="1:54" ht="12.75" x14ac:dyDescent="0.2">
      <c r="A1481" s="28"/>
      <c r="B1481" s="28"/>
      <c r="C1481" s="28"/>
      <c r="D1481" s="28"/>
      <c r="E1481" s="28"/>
      <c r="F1481" s="28"/>
      <c r="G1481" s="28"/>
      <c r="H1481" s="28"/>
      <c r="I1481" s="28"/>
      <c r="J1481" s="28"/>
      <c r="K1481" s="28"/>
      <c r="L1481" s="28"/>
      <c r="M1481" s="28"/>
      <c r="N1481" s="28"/>
      <c r="O1481" s="28"/>
      <c r="P1481" s="28"/>
      <c r="Q1481" s="28"/>
      <c r="R1481" s="28"/>
      <c r="S1481" s="28"/>
      <c r="T1481" s="28"/>
      <c r="U1481" s="28"/>
      <c r="V1481" s="28"/>
      <c r="W1481" s="28"/>
      <c r="X1481" s="28"/>
      <c r="Y1481" s="28"/>
      <c r="Z1481" s="28"/>
      <c r="AA1481" s="28"/>
      <c r="AB1481" s="28"/>
      <c r="AC1481" s="28"/>
      <c r="AD1481" s="28"/>
      <c r="AE1481" s="28"/>
      <c r="AF1481" s="28"/>
      <c r="AG1481" s="28"/>
      <c r="AH1481" s="28"/>
      <c r="AI1481" s="28"/>
      <c r="AJ1481" s="28"/>
      <c r="AK1481" s="28"/>
      <c r="AL1481" s="28"/>
      <c r="AM1481" s="28"/>
      <c r="AN1481" s="28"/>
      <c r="AO1481" s="28"/>
      <c r="AP1481" s="28"/>
      <c r="AQ1481" s="28"/>
      <c r="AR1481" s="28"/>
      <c r="AS1481" s="28"/>
      <c r="AT1481" s="28"/>
      <c r="AU1481" s="28"/>
      <c r="AV1481" s="28"/>
      <c r="AW1481" s="28"/>
      <c r="AX1481" s="28"/>
      <c r="AY1481" s="28"/>
      <c r="AZ1481" s="28"/>
      <c r="BA1481" s="28"/>
      <c r="BB1481" s="28"/>
    </row>
    <row r="1482" spans="1:54" ht="12.75" x14ac:dyDescent="0.2">
      <c r="A1482" s="28"/>
      <c r="B1482" s="28"/>
      <c r="C1482" s="28"/>
      <c r="D1482" s="28"/>
      <c r="E1482" s="28"/>
      <c r="F1482" s="28"/>
      <c r="G1482" s="28"/>
      <c r="H1482" s="28"/>
      <c r="I1482" s="28"/>
      <c r="J1482" s="28"/>
      <c r="K1482" s="28"/>
      <c r="L1482" s="28"/>
      <c r="M1482" s="28"/>
      <c r="N1482" s="28"/>
      <c r="O1482" s="28"/>
      <c r="P1482" s="28"/>
      <c r="Q1482" s="28"/>
      <c r="R1482" s="28"/>
      <c r="S1482" s="28"/>
      <c r="T1482" s="28"/>
      <c r="U1482" s="28"/>
      <c r="V1482" s="28"/>
      <c r="W1482" s="28"/>
      <c r="X1482" s="28"/>
      <c r="Y1482" s="28"/>
      <c r="Z1482" s="28"/>
      <c r="AA1482" s="28"/>
      <c r="AB1482" s="28"/>
      <c r="AC1482" s="28"/>
      <c r="AD1482" s="28"/>
      <c r="AE1482" s="28"/>
      <c r="AF1482" s="28"/>
      <c r="AG1482" s="28"/>
      <c r="AH1482" s="28"/>
      <c r="AI1482" s="28"/>
      <c r="AJ1482" s="28"/>
      <c r="AK1482" s="28"/>
      <c r="AL1482" s="28"/>
      <c r="AM1482" s="28"/>
      <c r="AN1482" s="28"/>
      <c r="AO1482" s="28"/>
      <c r="AP1482" s="28"/>
      <c r="AQ1482" s="28"/>
      <c r="AR1482" s="28"/>
      <c r="AS1482" s="28"/>
      <c r="AT1482" s="28"/>
      <c r="AU1482" s="28"/>
      <c r="AV1482" s="28"/>
      <c r="AW1482" s="28"/>
      <c r="AX1482" s="28"/>
      <c r="AY1482" s="28"/>
      <c r="AZ1482" s="28"/>
      <c r="BA1482" s="28"/>
      <c r="BB1482" s="28"/>
    </row>
    <row r="1483" spans="1:54" ht="12.75" x14ac:dyDescent="0.2">
      <c r="A1483" s="28"/>
      <c r="B1483" s="28"/>
      <c r="C1483" s="28"/>
      <c r="D1483" s="28"/>
      <c r="E1483" s="28"/>
      <c r="F1483" s="28"/>
      <c r="G1483" s="28"/>
      <c r="H1483" s="28"/>
      <c r="I1483" s="28"/>
      <c r="J1483" s="28"/>
      <c r="K1483" s="28"/>
      <c r="L1483" s="28"/>
      <c r="M1483" s="28"/>
      <c r="N1483" s="28"/>
      <c r="O1483" s="28"/>
      <c r="P1483" s="28"/>
      <c r="Q1483" s="28"/>
      <c r="R1483" s="28"/>
      <c r="S1483" s="28"/>
      <c r="T1483" s="28"/>
      <c r="U1483" s="28"/>
      <c r="V1483" s="28"/>
      <c r="W1483" s="28"/>
      <c r="X1483" s="28"/>
      <c r="Y1483" s="28"/>
      <c r="Z1483" s="28"/>
      <c r="AA1483" s="28"/>
      <c r="AB1483" s="28"/>
      <c r="AC1483" s="28"/>
      <c r="AD1483" s="28"/>
      <c r="AE1483" s="28"/>
      <c r="AF1483" s="28"/>
      <c r="AG1483" s="28"/>
      <c r="AH1483" s="28"/>
      <c r="AI1483" s="28"/>
      <c r="AJ1483" s="28"/>
      <c r="AK1483" s="28"/>
      <c r="AL1483" s="28"/>
      <c r="AM1483" s="28"/>
      <c r="AN1483" s="28"/>
      <c r="AO1483" s="28"/>
      <c r="AP1483" s="28"/>
      <c r="AQ1483" s="28"/>
      <c r="AR1483" s="28"/>
      <c r="AS1483" s="28"/>
      <c r="AT1483" s="28"/>
      <c r="AU1483" s="28"/>
      <c r="AV1483" s="28"/>
      <c r="AW1483" s="28"/>
      <c r="AX1483" s="28"/>
      <c r="AY1483" s="28"/>
      <c r="AZ1483" s="28"/>
      <c r="BA1483" s="28"/>
      <c r="BB1483" s="28"/>
    </row>
    <row r="1484" spans="1:54" ht="12.75" x14ac:dyDescent="0.2">
      <c r="A1484" s="28"/>
      <c r="B1484" s="28"/>
      <c r="C1484" s="28"/>
      <c r="D1484" s="28"/>
      <c r="E1484" s="28"/>
      <c r="F1484" s="28"/>
      <c r="G1484" s="28"/>
      <c r="H1484" s="28"/>
      <c r="I1484" s="28"/>
      <c r="J1484" s="28"/>
      <c r="K1484" s="28"/>
      <c r="L1484" s="28"/>
      <c r="M1484" s="28"/>
      <c r="N1484" s="28"/>
      <c r="O1484" s="28"/>
      <c r="P1484" s="28"/>
      <c r="Q1484" s="28"/>
      <c r="R1484" s="28"/>
      <c r="S1484" s="28"/>
      <c r="T1484" s="28"/>
      <c r="U1484" s="28"/>
      <c r="V1484" s="28"/>
      <c r="W1484" s="28"/>
      <c r="X1484" s="28"/>
      <c r="Y1484" s="28"/>
      <c r="Z1484" s="28"/>
      <c r="AA1484" s="28"/>
      <c r="AB1484" s="28"/>
      <c r="AC1484" s="28"/>
      <c r="AD1484" s="28"/>
      <c r="AE1484" s="28"/>
      <c r="AF1484" s="28"/>
      <c r="AG1484" s="28"/>
      <c r="AH1484" s="28"/>
      <c r="AI1484" s="28"/>
      <c r="AJ1484" s="28"/>
      <c r="AK1484" s="28"/>
      <c r="AL1484" s="28"/>
      <c r="AM1484" s="28"/>
      <c r="AN1484" s="28"/>
      <c r="AO1484" s="28"/>
      <c r="AP1484" s="28"/>
      <c r="AQ1484" s="28"/>
      <c r="AR1484" s="28"/>
      <c r="AS1484" s="28"/>
      <c r="AT1484" s="28"/>
      <c r="AU1484" s="28"/>
      <c r="AV1484" s="28"/>
      <c r="AW1484" s="28"/>
      <c r="AX1484" s="28"/>
      <c r="AY1484" s="28"/>
      <c r="AZ1484" s="28"/>
      <c r="BA1484" s="28"/>
      <c r="BB1484" s="28"/>
    </row>
    <row r="1485" spans="1:54" ht="12.75" x14ac:dyDescent="0.2">
      <c r="A1485" s="28"/>
      <c r="B1485" s="28"/>
      <c r="C1485" s="28"/>
      <c r="D1485" s="28"/>
      <c r="E1485" s="28"/>
      <c r="F1485" s="28"/>
      <c r="G1485" s="28"/>
      <c r="H1485" s="28"/>
      <c r="I1485" s="28"/>
      <c r="J1485" s="28"/>
      <c r="K1485" s="28"/>
      <c r="L1485" s="28"/>
      <c r="M1485" s="28"/>
      <c r="N1485" s="28"/>
      <c r="O1485" s="28"/>
      <c r="P1485" s="28"/>
      <c r="Q1485" s="28"/>
      <c r="R1485" s="28"/>
      <c r="S1485" s="28"/>
      <c r="T1485" s="28"/>
      <c r="U1485" s="28"/>
      <c r="V1485" s="28"/>
      <c r="W1485" s="28"/>
      <c r="X1485" s="28"/>
      <c r="Y1485" s="28"/>
      <c r="Z1485" s="28"/>
      <c r="AA1485" s="28"/>
      <c r="AB1485" s="28"/>
      <c r="AC1485" s="28"/>
      <c r="AD1485" s="28"/>
      <c r="AE1485" s="28"/>
      <c r="AF1485" s="28"/>
      <c r="AG1485" s="28"/>
      <c r="AH1485" s="28"/>
      <c r="AI1485" s="28"/>
      <c r="AJ1485" s="28"/>
      <c r="AK1485" s="28"/>
      <c r="AL1485" s="28"/>
      <c r="AM1485" s="28"/>
      <c r="AN1485" s="28"/>
      <c r="AO1485" s="28"/>
      <c r="AP1485" s="28"/>
      <c r="AQ1485" s="28"/>
      <c r="AR1485" s="28"/>
      <c r="AS1485" s="28"/>
      <c r="AT1485" s="28"/>
      <c r="AU1485" s="28"/>
      <c r="AV1485" s="28"/>
      <c r="AW1485" s="28"/>
      <c r="AX1485" s="28"/>
      <c r="AY1485" s="28"/>
      <c r="AZ1485" s="28"/>
      <c r="BA1485" s="28"/>
      <c r="BB1485" s="28"/>
    </row>
    <row r="1486" spans="1:54" ht="12.75" x14ac:dyDescent="0.2">
      <c r="A1486" s="28"/>
      <c r="B1486" s="28"/>
      <c r="C1486" s="28"/>
      <c r="D1486" s="28"/>
      <c r="E1486" s="28"/>
      <c r="F1486" s="28"/>
      <c r="G1486" s="28"/>
      <c r="H1486" s="28"/>
      <c r="I1486" s="28"/>
      <c r="J1486" s="28"/>
      <c r="K1486" s="28"/>
      <c r="L1486" s="28"/>
      <c r="M1486" s="28"/>
      <c r="N1486" s="28"/>
      <c r="O1486" s="28"/>
      <c r="P1486" s="28"/>
      <c r="Q1486" s="28"/>
      <c r="R1486" s="28"/>
      <c r="S1486" s="28"/>
      <c r="T1486" s="28"/>
      <c r="U1486" s="28"/>
      <c r="V1486" s="28"/>
      <c r="W1486" s="28"/>
      <c r="X1486" s="28"/>
      <c r="Y1486" s="28"/>
      <c r="Z1486" s="28"/>
      <c r="AA1486" s="28"/>
      <c r="AB1486" s="28"/>
      <c r="AC1486" s="28"/>
      <c r="AD1486" s="28"/>
      <c r="AE1486" s="28"/>
      <c r="AF1486" s="28"/>
      <c r="AG1486" s="28"/>
      <c r="AH1486" s="28"/>
      <c r="AI1486" s="28"/>
      <c r="AJ1486" s="28"/>
      <c r="AK1486" s="28"/>
      <c r="AL1486" s="28"/>
      <c r="AM1486" s="28"/>
      <c r="AN1486" s="28"/>
      <c r="AO1486" s="28"/>
      <c r="AP1486" s="28"/>
      <c r="AQ1486" s="28"/>
      <c r="AR1486" s="28"/>
      <c r="AS1486" s="28"/>
      <c r="AT1486" s="28"/>
      <c r="AU1486" s="28"/>
      <c r="AV1486" s="28"/>
      <c r="AW1486" s="28"/>
      <c r="AX1486" s="28"/>
      <c r="AY1486" s="28"/>
      <c r="AZ1486" s="28"/>
      <c r="BA1486" s="28"/>
      <c r="BB1486" s="28"/>
    </row>
    <row r="1487" spans="1:54" ht="12.75" x14ac:dyDescent="0.2">
      <c r="A1487" s="28"/>
      <c r="B1487" s="28"/>
      <c r="C1487" s="28"/>
      <c r="D1487" s="28"/>
      <c r="E1487" s="28"/>
      <c r="F1487" s="28"/>
      <c r="G1487" s="28"/>
      <c r="H1487" s="28"/>
      <c r="I1487" s="28"/>
      <c r="J1487" s="28"/>
      <c r="K1487" s="28"/>
      <c r="L1487" s="28"/>
      <c r="M1487" s="28"/>
      <c r="N1487" s="28"/>
      <c r="O1487" s="28"/>
      <c r="P1487" s="28"/>
      <c r="Q1487" s="28"/>
      <c r="R1487" s="28"/>
      <c r="S1487" s="28"/>
      <c r="T1487" s="28"/>
      <c r="U1487" s="28"/>
      <c r="V1487" s="28"/>
      <c r="W1487" s="28"/>
      <c r="X1487" s="28"/>
      <c r="Y1487" s="28"/>
      <c r="Z1487" s="28"/>
      <c r="AA1487" s="28"/>
      <c r="AB1487" s="28"/>
      <c r="AC1487" s="28"/>
      <c r="AD1487" s="28"/>
      <c r="AE1487" s="28"/>
      <c r="AF1487" s="28"/>
      <c r="AG1487" s="28"/>
      <c r="AH1487" s="28"/>
      <c r="AI1487" s="28"/>
      <c r="AJ1487" s="28"/>
      <c r="AK1487" s="28"/>
      <c r="AL1487" s="28"/>
      <c r="AM1487" s="28"/>
      <c r="AN1487" s="28"/>
      <c r="AO1487" s="28"/>
      <c r="AP1487" s="28"/>
      <c r="AQ1487" s="28"/>
      <c r="AR1487" s="28"/>
      <c r="AS1487" s="28"/>
      <c r="AT1487" s="28"/>
      <c r="AU1487" s="28"/>
      <c r="AV1487" s="28"/>
      <c r="AW1487" s="28"/>
      <c r="AX1487" s="28"/>
      <c r="AY1487" s="28"/>
      <c r="AZ1487" s="28"/>
      <c r="BA1487" s="28"/>
      <c r="BB1487" s="28"/>
    </row>
    <row r="1488" spans="1:54" ht="12.75" x14ac:dyDescent="0.2">
      <c r="A1488" s="28"/>
      <c r="B1488" s="28"/>
      <c r="C1488" s="28"/>
      <c r="D1488" s="28"/>
      <c r="E1488" s="28"/>
      <c r="F1488" s="28"/>
      <c r="G1488" s="28"/>
      <c r="H1488" s="28"/>
      <c r="I1488" s="28"/>
      <c r="J1488" s="28"/>
      <c r="K1488" s="28"/>
      <c r="L1488" s="28"/>
      <c r="M1488" s="28"/>
      <c r="N1488" s="28"/>
      <c r="O1488" s="28"/>
      <c r="P1488" s="28"/>
      <c r="Q1488" s="28"/>
      <c r="R1488" s="28"/>
      <c r="S1488" s="28"/>
      <c r="T1488" s="28"/>
      <c r="U1488" s="28"/>
      <c r="V1488" s="28"/>
      <c r="W1488" s="28"/>
      <c r="X1488" s="28"/>
      <c r="Y1488" s="28"/>
      <c r="Z1488" s="28"/>
      <c r="AA1488" s="28"/>
      <c r="AB1488" s="28"/>
      <c r="AC1488" s="28"/>
      <c r="AD1488" s="28"/>
      <c r="AE1488" s="28"/>
      <c r="AF1488" s="28"/>
      <c r="AG1488" s="28"/>
      <c r="AH1488" s="28"/>
      <c r="AI1488" s="28"/>
      <c r="AJ1488" s="28"/>
      <c r="AK1488" s="28"/>
      <c r="AL1488" s="28"/>
      <c r="AM1488" s="28"/>
      <c r="AN1488" s="28"/>
      <c r="AO1488" s="28"/>
      <c r="AP1488" s="28"/>
      <c r="AQ1488" s="28"/>
      <c r="AR1488" s="28"/>
      <c r="AS1488" s="28"/>
      <c r="AT1488" s="28"/>
      <c r="AU1488" s="28"/>
      <c r="AV1488" s="28"/>
      <c r="AW1488" s="28"/>
      <c r="AX1488" s="28"/>
      <c r="AY1488" s="28"/>
      <c r="AZ1488" s="28"/>
      <c r="BA1488" s="28"/>
      <c r="BB1488" s="28"/>
    </row>
    <row r="1489" spans="1:54" ht="12.75" x14ac:dyDescent="0.2">
      <c r="A1489" s="28"/>
      <c r="B1489" s="28"/>
      <c r="C1489" s="28"/>
      <c r="D1489" s="28"/>
      <c r="E1489" s="28"/>
      <c r="F1489" s="28"/>
      <c r="G1489" s="28"/>
      <c r="H1489" s="28"/>
      <c r="I1489" s="28"/>
      <c r="J1489" s="28"/>
      <c r="K1489" s="28"/>
      <c r="L1489" s="28"/>
      <c r="M1489" s="28"/>
      <c r="N1489" s="28"/>
      <c r="O1489" s="28"/>
      <c r="P1489" s="28"/>
      <c r="Q1489" s="28"/>
      <c r="R1489" s="28"/>
      <c r="S1489" s="28"/>
      <c r="T1489" s="28"/>
      <c r="U1489" s="28"/>
      <c r="V1489" s="28"/>
      <c r="W1489" s="28"/>
      <c r="X1489" s="28"/>
      <c r="Y1489" s="28"/>
      <c r="Z1489" s="28"/>
      <c r="AA1489" s="28"/>
      <c r="AB1489" s="28"/>
      <c r="AC1489" s="28"/>
      <c r="AD1489" s="28"/>
      <c r="AE1489" s="28"/>
      <c r="AF1489" s="28"/>
      <c r="AG1489" s="28"/>
      <c r="AH1489" s="28"/>
      <c r="AI1489" s="28"/>
      <c r="AJ1489" s="28"/>
      <c r="AK1489" s="28"/>
      <c r="AL1489" s="28"/>
      <c r="AM1489" s="28"/>
      <c r="AN1489" s="28"/>
      <c r="AO1489" s="28"/>
      <c r="AP1489" s="28"/>
      <c r="AQ1489" s="28"/>
      <c r="AR1489" s="28"/>
      <c r="AS1489" s="28"/>
      <c r="AT1489" s="28"/>
      <c r="AU1489" s="28"/>
      <c r="AV1489" s="28"/>
      <c r="AW1489" s="28"/>
      <c r="AX1489" s="28"/>
      <c r="AY1489" s="28"/>
      <c r="AZ1489" s="28"/>
      <c r="BA1489" s="28"/>
      <c r="BB1489" s="28"/>
    </row>
    <row r="1490" spans="1:54" ht="12.75" x14ac:dyDescent="0.2">
      <c r="A1490" s="28"/>
      <c r="B1490" s="28"/>
      <c r="C1490" s="28"/>
      <c r="D1490" s="28"/>
      <c r="E1490" s="28"/>
      <c r="F1490" s="28"/>
      <c r="G1490" s="28"/>
      <c r="H1490" s="28"/>
      <c r="I1490" s="28"/>
      <c r="J1490" s="28"/>
      <c r="K1490" s="28"/>
      <c r="L1490" s="28"/>
      <c r="M1490" s="28"/>
      <c r="N1490" s="28"/>
      <c r="O1490" s="28"/>
      <c r="P1490" s="28"/>
      <c r="Q1490" s="28"/>
      <c r="R1490" s="28"/>
      <c r="S1490" s="28"/>
      <c r="T1490" s="28"/>
      <c r="U1490" s="28"/>
      <c r="V1490" s="28"/>
      <c r="W1490" s="28"/>
      <c r="X1490" s="28"/>
      <c r="Y1490" s="28"/>
      <c r="Z1490" s="28"/>
      <c r="AA1490" s="28"/>
      <c r="AB1490" s="28"/>
      <c r="AC1490" s="28"/>
      <c r="AD1490" s="28"/>
      <c r="AE1490" s="28"/>
      <c r="AF1490" s="28"/>
      <c r="AG1490" s="28"/>
      <c r="AH1490" s="28"/>
      <c r="AI1490" s="28"/>
      <c r="AJ1490" s="28"/>
      <c r="AK1490" s="28"/>
      <c r="AL1490" s="28"/>
      <c r="AM1490" s="28"/>
      <c r="AN1490" s="28"/>
      <c r="AO1490" s="28"/>
      <c r="AP1490" s="28"/>
      <c r="AQ1490" s="28"/>
      <c r="AR1490" s="28"/>
      <c r="AS1490" s="28"/>
      <c r="AT1490" s="28"/>
      <c r="AU1490" s="28"/>
      <c r="AV1490" s="28"/>
      <c r="AW1490" s="28"/>
      <c r="AX1490" s="28"/>
      <c r="AY1490" s="28"/>
      <c r="AZ1490" s="28"/>
      <c r="BA1490" s="28"/>
      <c r="BB1490" s="28"/>
    </row>
    <row r="1491" spans="1:54" ht="12.75" x14ac:dyDescent="0.2">
      <c r="A1491" s="28"/>
      <c r="B1491" s="28"/>
      <c r="C1491" s="28"/>
      <c r="D1491" s="28"/>
      <c r="E1491" s="28"/>
      <c r="F1491" s="28"/>
      <c r="G1491" s="28"/>
      <c r="H1491" s="28"/>
      <c r="I1491" s="28"/>
      <c r="J1491" s="28"/>
      <c r="K1491" s="28"/>
      <c r="L1491" s="28"/>
      <c r="M1491" s="28"/>
      <c r="N1491" s="28"/>
      <c r="O1491" s="28"/>
      <c r="P1491" s="28"/>
      <c r="Q1491" s="28"/>
      <c r="R1491" s="28"/>
      <c r="S1491" s="28"/>
      <c r="T1491" s="28"/>
      <c r="U1491" s="28"/>
      <c r="V1491" s="28"/>
      <c r="W1491" s="28"/>
      <c r="X1491" s="28"/>
      <c r="Y1491" s="28"/>
      <c r="Z1491" s="28"/>
      <c r="AA1491" s="28"/>
      <c r="AB1491" s="28"/>
      <c r="AC1491" s="28"/>
      <c r="AD1491" s="28"/>
      <c r="AE1491" s="28"/>
      <c r="AF1491" s="28"/>
      <c r="AG1491" s="28"/>
      <c r="AH1491" s="28"/>
      <c r="AI1491" s="28"/>
      <c r="AJ1491" s="28"/>
      <c r="AK1491" s="28"/>
      <c r="AL1491" s="28"/>
      <c r="AM1491" s="28"/>
      <c r="AN1491" s="28"/>
      <c r="AO1491" s="28"/>
      <c r="AP1491" s="28"/>
      <c r="AQ1491" s="28"/>
      <c r="AR1491" s="28"/>
      <c r="AS1491" s="28"/>
      <c r="AT1491" s="28"/>
      <c r="AU1491" s="28"/>
      <c r="AV1491" s="28"/>
      <c r="AW1491" s="28"/>
      <c r="AX1491" s="28"/>
      <c r="AY1491" s="28"/>
      <c r="AZ1491" s="28"/>
      <c r="BA1491" s="28"/>
      <c r="BB1491" s="28"/>
    </row>
    <row r="1492" spans="1:54" ht="12.75" x14ac:dyDescent="0.2">
      <c r="A1492" s="28"/>
      <c r="B1492" s="28"/>
      <c r="C1492" s="28"/>
      <c r="D1492" s="28"/>
      <c r="E1492" s="28"/>
      <c r="F1492" s="28"/>
      <c r="G1492" s="28"/>
      <c r="H1492" s="28"/>
      <c r="I1492" s="28"/>
      <c r="J1492" s="28"/>
      <c r="K1492" s="28"/>
      <c r="L1492" s="28"/>
      <c r="M1492" s="28"/>
      <c r="N1492" s="28"/>
      <c r="O1492" s="28"/>
      <c r="P1492" s="28"/>
      <c r="Q1492" s="28"/>
      <c r="R1492" s="28"/>
      <c r="S1492" s="28"/>
      <c r="T1492" s="28"/>
      <c r="U1492" s="28"/>
      <c r="V1492" s="28"/>
      <c r="W1492" s="28"/>
      <c r="X1492" s="28"/>
      <c r="Y1492" s="28"/>
      <c r="Z1492" s="28"/>
      <c r="AA1492" s="28"/>
      <c r="AB1492" s="28"/>
      <c r="AC1492" s="28"/>
      <c r="AD1492" s="28"/>
      <c r="AE1492" s="28"/>
      <c r="AF1492" s="28"/>
      <c r="AG1492" s="28"/>
      <c r="AH1492" s="28"/>
      <c r="AI1492" s="28"/>
      <c r="AJ1492" s="28"/>
      <c r="AK1492" s="28"/>
      <c r="AL1492" s="28"/>
      <c r="AM1492" s="28"/>
      <c r="AN1492" s="28"/>
      <c r="AO1492" s="28"/>
      <c r="AP1492" s="28"/>
      <c r="AQ1492" s="28"/>
      <c r="AR1492" s="28"/>
      <c r="AS1492" s="28"/>
      <c r="AT1492" s="28"/>
      <c r="AU1492" s="28"/>
      <c r="AV1492" s="28"/>
      <c r="AW1492" s="28"/>
      <c r="AX1492" s="28"/>
      <c r="AY1492" s="28"/>
      <c r="AZ1492" s="28"/>
      <c r="BA1492" s="28"/>
      <c r="BB1492" s="28"/>
    </row>
    <row r="1493" spans="1:54" ht="12.75" x14ac:dyDescent="0.2">
      <c r="A1493" s="28"/>
      <c r="B1493" s="28"/>
      <c r="C1493" s="28"/>
      <c r="D1493" s="28"/>
      <c r="E1493" s="28"/>
      <c r="F1493" s="28"/>
      <c r="G1493" s="28"/>
      <c r="H1493" s="28"/>
      <c r="I1493" s="28"/>
      <c r="J1493" s="28"/>
      <c r="K1493" s="28"/>
      <c r="L1493" s="28"/>
      <c r="M1493" s="28"/>
      <c r="N1493" s="28"/>
      <c r="O1493" s="28"/>
      <c r="P1493" s="28"/>
      <c r="Q1493" s="28"/>
      <c r="R1493" s="28"/>
      <c r="S1493" s="28"/>
      <c r="T1493" s="28"/>
      <c r="U1493" s="28"/>
      <c r="V1493" s="28"/>
      <c r="W1493" s="28"/>
      <c r="X1493" s="28"/>
      <c r="Y1493" s="28"/>
      <c r="Z1493" s="28"/>
      <c r="AA1493" s="28"/>
      <c r="AB1493" s="28"/>
      <c r="AC1493" s="28"/>
      <c r="AD1493" s="28"/>
      <c r="AE1493" s="28"/>
      <c r="AF1493" s="28"/>
      <c r="AG1493" s="28"/>
      <c r="AH1493" s="28"/>
      <c r="AI1493" s="28"/>
      <c r="AJ1493" s="28"/>
      <c r="AK1493" s="28"/>
      <c r="AL1493" s="28"/>
      <c r="AM1493" s="28"/>
      <c r="AN1493" s="28"/>
      <c r="AO1493" s="28"/>
      <c r="AP1493" s="28"/>
      <c r="AQ1493" s="28"/>
      <c r="AR1493" s="28"/>
      <c r="AS1493" s="28"/>
      <c r="AT1493" s="28"/>
      <c r="AU1493" s="28"/>
      <c r="AV1493" s="28"/>
      <c r="AW1493" s="28"/>
      <c r="AX1493" s="28"/>
      <c r="AY1493" s="28"/>
      <c r="AZ1493" s="28"/>
      <c r="BA1493" s="28"/>
      <c r="BB1493" s="28"/>
    </row>
    <row r="1494" spans="1:54" ht="12.75" x14ac:dyDescent="0.2">
      <c r="A1494" s="28"/>
      <c r="B1494" s="28"/>
      <c r="C1494" s="28"/>
      <c r="D1494" s="28"/>
      <c r="E1494" s="28"/>
      <c r="F1494" s="28"/>
      <c r="G1494" s="28"/>
      <c r="H1494" s="28"/>
      <c r="I1494" s="28"/>
      <c r="J1494" s="28"/>
      <c r="K1494" s="28"/>
      <c r="L1494" s="28"/>
      <c r="M1494" s="28"/>
      <c r="N1494" s="28"/>
      <c r="O1494" s="28"/>
      <c r="P1494" s="28"/>
      <c r="Q1494" s="28"/>
      <c r="R1494" s="28"/>
      <c r="S1494" s="28"/>
      <c r="T1494" s="28"/>
      <c r="U1494" s="28"/>
      <c r="V1494" s="28"/>
      <c r="W1494" s="28"/>
      <c r="X1494" s="28"/>
      <c r="Y1494" s="28"/>
      <c r="Z1494" s="28"/>
      <c r="AA1494" s="28"/>
      <c r="AB1494" s="28"/>
      <c r="AC1494" s="28"/>
      <c r="AD1494" s="28"/>
      <c r="AE1494" s="28"/>
      <c r="AF1494" s="28"/>
      <c r="AG1494" s="28"/>
      <c r="AH1494" s="28"/>
      <c r="AI1494" s="28"/>
      <c r="AJ1494" s="28"/>
      <c r="AK1494" s="28"/>
      <c r="AL1494" s="28"/>
      <c r="AM1494" s="28"/>
      <c r="AN1494" s="28"/>
      <c r="AO1494" s="28"/>
      <c r="AP1494" s="28"/>
      <c r="AQ1494" s="28"/>
      <c r="AR1494" s="28"/>
      <c r="AS1494" s="28"/>
      <c r="AT1494" s="28"/>
      <c r="AU1494" s="28"/>
      <c r="AV1494" s="28"/>
      <c r="AW1494" s="28"/>
      <c r="AX1494" s="28"/>
      <c r="AY1494" s="28"/>
      <c r="AZ1494" s="28"/>
      <c r="BA1494" s="28"/>
      <c r="BB1494" s="28"/>
    </row>
    <row r="1495" spans="1:54" ht="12.75" x14ac:dyDescent="0.2">
      <c r="A1495" s="28"/>
      <c r="B1495" s="28"/>
      <c r="C1495" s="28"/>
      <c r="D1495" s="28"/>
      <c r="E1495" s="28"/>
      <c r="F1495" s="28"/>
      <c r="G1495" s="28"/>
      <c r="H1495" s="28"/>
      <c r="I1495" s="28"/>
      <c r="J1495" s="28"/>
      <c r="K1495" s="28"/>
      <c r="L1495" s="28"/>
      <c r="M1495" s="28"/>
      <c r="N1495" s="28"/>
      <c r="O1495" s="28"/>
      <c r="P1495" s="28"/>
      <c r="Q1495" s="28"/>
      <c r="R1495" s="28"/>
      <c r="S1495" s="28"/>
      <c r="T1495" s="28"/>
      <c r="U1495" s="28"/>
      <c r="V1495" s="28"/>
      <c r="W1495" s="28"/>
      <c r="X1495" s="28"/>
      <c r="Y1495" s="28"/>
      <c r="Z1495" s="28"/>
      <c r="AA1495" s="28"/>
      <c r="AB1495" s="28"/>
      <c r="AC1495" s="28"/>
      <c r="AD1495" s="28"/>
      <c r="AE1495" s="28"/>
      <c r="AF1495" s="28"/>
      <c r="AG1495" s="28"/>
      <c r="AH1495" s="28"/>
      <c r="AI1495" s="28"/>
      <c r="AJ1495" s="28"/>
      <c r="AK1495" s="28"/>
      <c r="AL1495" s="28"/>
      <c r="AM1495" s="28"/>
      <c r="AN1495" s="28"/>
      <c r="AO1495" s="28"/>
      <c r="AP1495" s="28"/>
      <c r="AQ1495" s="28"/>
      <c r="AR1495" s="28"/>
      <c r="AS1495" s="28"/>
      <c r="AT1495" s="28"/>
      <c r="AU1495" s="28"/>
      <c r="AV1495" s="28"/>
      <c r="AW1495" s="28"/>
      <c r="AX1495" s="28"/>
      <c r="AY1495" s="28"/>
      <c r="AZ1495" s="28"/>
      <c r="BA1495" s="28"/>
      <c r="BB1495" s="28"/>
    </row>
    <row r="1496" spans="1:54" ht="12.75" x14ac:dyDescent="0.2">
      <c r="A1496" s="28"/>
      <c r="B1496" s="28"/>
      <c r="C1496" s="28"/>
      <c r="D1496" s="28"/>
      <c r="E1496" s="28"/>
      <c r="F1496" s="28"/>
      <c r="G1496" s="28"/>
      <c r="H1496" s="28"/>
      <c r="I1496" s="28"/>
      <c r="J1496" s="28"/>
      <c r="K1496" s="28"/>
      <c r="L1496" s="28"/>
      <c r="M1496" s="28"/>
      <c r="N1496" s="28"/>
      <c r="O1496" s="28"/>
      <c r="P1496" s="28"/>
      <c r="Q1496" s="28"/>
      <c r="R1496" s="28"/>
      <c r="S1496" s="28"/>
      <c r="T1496" s="28"/>
      <c r="U1496" s="28"/>
      <c r="V1496" s="28"/>
      <c r="W1496" s="28"/>
      <c r="X1496" s="28"/>
      <c r="Y1496" s="28"/>
      <c r="Z1496" s="28"/>
      <c r="AA1496" s="28"/>
      <c r="AB1496" s="28"/>
      <c r="AC1496" s="28"/>
      <c r="AD1496" s="28"/>
      <c r="AE1496" s="28"/>
      <c r="AF1496" s="28"/>
      <c r="AG1496" s="28"/>
      <c r="AH1496" s="28"/>
      <c r="AI1496" s="28"/>
      <c r="AJ1496" s="28"/>
      <c r="AK1496" s="28"/>
      <c r="AL1496" s="28"/>
      <c r="AM1496" s="28"/>
      <c r="AN1496" s="28"/>
      <c r="AO1496" s="28"/>
      <c r="AP1496" s="28"/>
      <c r="AQ1496" s="28"/>
      <c r="AR1496" s="28"/>
      <c r="AS1496" s="28"/>
      <c r="AT1496" s="28"/>
      <c r="AU1496" s="28"/>
      <c r="AV1496" s="28"/>
      <c r="AW1496" s="28"/>
      <c r="AX1496" s="28"/>
      <c r="AY1496" s="28"/>
      <c r="AZ1496" s="28"/>
      <c r="BA1496" s="28"/>
      <c r="BB1496" s="28"/>
    </row>
    <row r="1497" spans="1:54" ht="12.75" x14ac:dyDescent="0.2">
      <c r="A1497" s="28"/>
      <c r="B1497" s="28"/>
      <c r="C1497" s="28"/>
      <c r="D1497" s="28"/>
      <c r="E1497" s="28"/>
      <c r="F1497" s="28"/>
      <c r="G1497" s="28"/>
      <c r="H1497" s="28"/>
      <c r="I1497" s="28"/>
      <c r="J1497" s="28"/>
      <c r="K1497" s="28"/>
      <c r="L1497" s="28"/>
      <c r="M1497" s="28"/>
      <c r="N1497" s="28"/>
      <c r="O1497" s="28"/>
      <c r="P1497" s="28"/>
      <c r="Q1497" s="28"/>
      <c r="R1497" s="28"/>
      <c r="S1497" s="28"/>
      <c r="T1497" s="28"/>
      <c r="U1497" s="28"/>
      <c r="V1497" s="28"/>
      <c r="W1497" s="28"/>
      <c r="X1497" s="28"/>
      <c r="Y1497" s="28"/>
      <c r="Z1497" s="28"/>
      <c r="AA1497" s="28"/>
      <c r="AB1497" s="28"/>
      <c r="AC1497" s="28"/>
      <c r="AD1497" s="28"/>
      <c r="AE1497" s="28"/>
      <c r="AF1497" s="28"/>
      <c r="AG1497" s="28"/>
      <c r="AH1497" s="28"/>
      <c r="AI1497" s="28"/>
      <c r="AJ1497" s="28"/>
      <c r="AK1497" s="28"/>
      <c r="AL1497" s="28"/>
      <c r="AM1497" s="28"/>
      <c r="AN1497" s="28"/>
      <c r="AO1497" s="28"/>
      <c r="AP1497" s="28"/>
      <c r="AQ1497" s="28"/>
      <c r="AR1497" s="28"/>
      <c r="AS1497" s="28"/>
      <c r="AT1497" s="28"/>
      <c r="AU1497" s="28"/>
      <c r="AV1497" s="28"/>
      <c r="AW1497" s="28"/>
      <c r="AX1497" s="28"/>
      <c r="AY1497" s="28"/>
      <c r="AZ1497" s="28"/>
      <c r="BA1497" s="28"/>
      <c r="BB1497" s="28"/>
    </row>
    <row r="1498" spans="1:54" ht="12.75" x14ac:dyDescent="0.2">
      <c r="A1498" s="28"/>
      <c r="B1498" s="28"/>
      <c r="C1498" s="28"/>
      <c r="D1498" s="28"/>
      <c r="E1498" s="28"/>
      <c r="F1498" s="28"/>
      <c r="G1498" s="28"/>
      <c r="H1498" s="28"/>
      <c r="I1498" s="28"/>
      <c r="J1498" s="28"/>
      <c r="K1498" s="28"/>
      <c r="L1498" s="28"/>
      <c r="M1498" s="28"/>
      <c r="N1498" s="28"/>
      <c r="O1498" s="28"/>
      <c r="P1498" s="28"/>
      <c r="Q1498" s="28"/>
      <c r="R1498" s="28"/>
      <c r="S1498" s="28"/>
      <c r="T1498" s="28"/>
      <c r="U1498" s="28"/>
      <c r="V1498" s="28"/>
      <c r="W1498" s="28"/>
      <c r="X1498" s="28"/>
      <c r="Y1498" s="28"/>
      <c r="Z1498" s="28"/>
      <c r="AA1498" s="28"/>
      <c r="AB1498" s="28"/>
      <c r="AC1498" s="28"/>
      <c r="AD1498" s="28"/>
      <c r="AE1498" s="28"/>
      <c r="AF1498" s="28"/>
      <c r="AG1498" s="28"/>
      <c r="AH1498" s="28"/>
      <c r="AI1498" s="28"/>
      <c r="AJ1498" s="28"/>
      <c r="AK1498" s="28"/>
      <c r="AL1498" s="28"/>
      <c r="AM1498" s="28"/>
      <c r="AN1498" s="28"/>
      <c r="AO1498" s="28"/>
      <c r="AP1498" s="28"/>
      <c r="AQ1498" s="28"/>
      <c r="AR1498" s="28"/>
      <c r="AS1498" s="28"/>
      <c r="AT1498" s="28"/>
      <c r="AU1498" s="28"/>
      <c r="AV1498" s="28"/>
      <c r="AW1498" s="28"/>
      <c r="AX1498" s="28"/>
      <c r="AY1498" s="28"/>
      <c r="AZ1498" s="28"/>
      <c r="BA1498" s="28"/>
      <c r="BB1498" s="28"/>
    </row>
    <row r="1499" spans="1:54" ht="12.75" x14ac:dyDescent="0.2">
      <c r="A1499" s="28"/>
      <c r="B1499" s="28"/>
      <c r="C1499" s="28"/>
      <c r="D1499" s="28"/>
      <c r="E1499" s="28"/>
      <c r="F1499" s="28"/>
      <c r="G1499" s="28"/>
      <c r="H1499" s="28"/>
      <c r="I1499" s="28"/>
      <c r="J1499" s="28"/>
      <c r="K1499" s="28"/>
      <c r="L1499" s="28"/>
      <c r="M1499" s="28"/>
      <c r="N1499" s="28"/>
      <c r="O1499" s="28"/>
      <c r="P1499" s="28"/>
      <c r="Q1499" s="28"/>
      <c r="R1499" s="28"/>
      <c r="S1499" s="28"/>
      <c r="T1499" s="28"/>
      <c r="U1499" s="28"/>
      <c r="V1499" s="28"/>
      <c r="W1499" s="28"/>
      <c r="X1499" s="28"/>
      <c r="Y1499" s="28"/>
      <c r="Z1499" s="28"/>
      <c r="AA1499" s="28"/>
      <c r="AB1499" s="28"/>
      <c r="AC1499" s="28"/>
      <c r="AD1499" s="28"/>
      <c r="AE1499" s="28"/>
      <c r="AF1499" s="28"/>
      <c r="AG1499" s="28"/>
      <c r="AH1499" s="28"/>
      <c r="AI1499" s="28"/>
      <c r="AJ1499" s="28"/>
      <c r="AK1499" s="28"/>
      <c r="AL1499" s="28"/>
      <c r="AM1499" s="28"/>
      <c r="AN1499" s="28"/>
      <c r="AO1499" s="28"/>
      <c r="AP1499" s="28"/>
      <c r="AQ1499" s="28"/>
      <c r="AR1499" s="28"/>
      <c r="AS1499" s="28"/>
      <c r="AT1499" s="28"/>
      <c r="AU1499" s="28"/>
      <c r="AV1499" s="28"/>
      <c r="AW1499" s="28"/>
      <c r="AX1499" s="28"/>
      <c r="AY1499" s="28"/>
      <c r="AZ1499" s="28"/>
      <c r="BA1499" s="28"/>
      <c r="BB1499" s="28"/>
    </row>
    <row r="1500" spans="1:54" ht="12.75" x14ac:dyDescent="0.2">
      <c r="A1500" s="28"/>
      <c r="B1500" s="28"/>
      <c r="C1500" s="28"/>
      <c r="D1500" s="28"/>
      <c r="E1500" s="28"/>
      <c r="F1500" s="28"/>
      <c r="G1500" s="28"/>
      <c r="H1500" s="28"/>
      <c r="I1500" s="28"/>
      <c r="J1500" s="28"/>
      <c r="K1500" s="28"/>
      <c r="L1500" s="28"/>
      <c r="M1500" s="28"/>
      <c r="N1500" s="28"/>
      <c r="O1500" s="28"/>
      <c r="P1500" s="28"/>
      <c r="Q1500" s="28"/>
      <c r="R1500" s="28"/>
      <c r="S1500" s="28"/>
      <c r="T1500" s="28"/>
      <c r="U1500" s="28"/>
      <c r="V1500" s="28"/>
      <c r="W1500" s="28"/>
      <c r="X1500" s="28"/>
      <c r="Y1500" s="28"/>
      <c r="Z1500" s="28"/>
      <c r="AA1500" s="28"/>
      <c r="AB1500" s="28"/>
      <c r="AC1500" s="28"/>
      <c r="AD1500" s="28"/>
      <c r="AE1500" s="28"/>
      <c r="AF1500" s="28"/>
      <c r="AG1500" s="28"/>
      <c r="AH1500" s="28"/>
      <c r="AI1500" s="28"/>
      <c r="AJ1500" s="28"/>
      <c r="AK1500" s="28"/>
      <c r="AL1500" s="28"/>
      <c r="AM1500" s="28"/>
      <c r="AN1500" s="28"/>
      <c r="AO1500" s="28"/>
      <c r="AP1500" s="28"/>
      <c r="AQ1500" s="28"/>
      <c r="AR1500" s="28"/>
      <c r="AS1500" s="28"/>
      <c r="AT1500" s="28"/>
      <c r="AU1500" s="28"/>
      <c r="AV1500" s="28"/>
      <c r="AW1500" s="28"/>
      <c r="AX1500" s="28"/>
      <c r="AY1500" s="28"/>
      <c r="AZ1500" s="28"/>
      <c r="BA1500" s="28"/>
      <c r="BB1500" s="28"/>
    </row>
    <row r="1501" spans="1:54" ht="12.75" x14ac:dyDescent="0.2">
      <c r="A1501" s="28"/>
      <c r="B1501" s="28"/>
      <c r="C1501" s="28"/>
      <c r="D1501" s="28"/>
      <c r="E1501" s="28"/>
      <c r="F1501" s="28"/>
      <c r="G1501" s="28"/>
      <c r="H1501" s="28"/>
      <c r="I1501" s="28"/>
      <c r="J1501" s="28"/>
      <c r="K1501" s="28"/>
      <c r="L1501" s="28"/>
      <c r="M1501" s="28"/>
      <c r="N1501" s="28"/>
      <c r="O1501" s="28"/>
      <c r="P1501" s="28"/>
      <c r="Q1501" s="28"/>
      <c r="R1501" s="28"/>
      <c r="S1501" s="28"/>
      <c r="T1501" s="28"/>
      <c r="U1501" s="28"/>
      <c r="V1501" s="28"/>
      <c r="W1501" s="28"/>
      <c r="X1501" s="28"/>
      <c r="Y1501" s="28"/>
      <c r="Z1501" s="28"/>
      <c r="AA1501" s="28"/>
      <c r="AB1501" s="28"/>
      <c r="AC1501" s="28"/>
      <c r="AD1501" s="28"/>
      <c r="AE1501" s="28"/>
      <c r="AF1501" s="28"/>
      <c r="AG1501" s="28"/>
      <c r="AH1501" s="28"/>
      <c r="AI1501" s="28"/>
      <c r="AJ1501" s="28"/>
      <c r="AK1501" s="28"/>
      <c r="AL1501" s="28"/>
      <c r="AM1501" s="28"/>
      <c r="AN1501" s="28"/>
      <c r="AO1501" s="28"/>
      <c r="AP1501" s="28"/>
      <c r="AQ1501" s="28"/>
      <c r="AR1501" s="28"/>
      <c r="AS1501" s="28"/>
      <c r="AT1501" s="28"/>
      <c r="AU1501" s="28"/>
      <c r="AV1501" s="28"/>
      <c r="AW1501" s="28"/>
      <c r="AX1501" s="28"/>
      <c r="AY1501" s="28"/>
      <c r="AZ1501" s="28"/>
      <c r="BA1501" s="28"/>
      <c r="BB1501" s="28"/>
    </row>
    <row r="1502" spans="1:54" ht="12.75" x14ac:dyDescent="0.2">
      <c r="A1502" s="28"/>
      <c r="B1502" s="28"/>
      <c r="C1502" s="28"/>
      <c r="D1502" s="28"/>
      <c r="E1502" s="28"/>
      <c r="F1502" s="28"/>
      <c r="G1502" s="28"/>
      <c r="H1502" s="28"/>
      <c r="I1502" s="28"/>
      <c r="J1502" s="28"/>
      <c r="K1502" s="28"/>
      <c r="L1502" s="28"/>
      <c r="M1502" s="28"/>
      <c r="N1502" s="28"/>
      <c r="O1502" s="28"/>
      <c r="P1502" s="28"/>
      <c r="Q1502" s="28"/>
      <c r="R1502" s="28"/>
      <c r="S1502" s="28"/>
      <c r="T1502" s="28"/>
      <c r="U1502" s="28"/>
      <c r="V1502" s="28"/>
      <c r="W1502" s="28"/>
      <c r="X1502" s="28"/>
      <c r="Y1502" s="28"/>
      <c r="Z1502" s="28"/>
      <c r="AA1502" s="28"/>
      <c r="AB1502" s="28"/>
      <c r="AC1502" s="28"/>
      <c r="AD1502" s="28"/>
      <c r="AE1502" s="28"/>
      <c r="AF1502" s="28"/>
      <c r="AG1502" s="28"/>
      <c r="AH1502" s="28"/>
      <c r="AI1502" s="28"/>
      <c r="AJ1502" s="28"/>
      <c r="AK1502" s="28"/>
      <c r="AL1502" s="28"/>
      <c r="AM1502" s="28"/>
      <c r="AN1502" s="28"/>
      <c r="AO1502" s="28"/>
      <c r="AP1502" s="28"/>
      <c r="AQ1502" s="28"/>
      <c r="AR1502" s="28"/>
      <c r="AS1502" s="28"/>
      <c r="AT1502" s="28"/>
      <c r="AU1502" s="28"/>
      <c r="AV1502" s="28"/>
      <c r="AW1502" s="28"/>
      <c r="AX1502" s="28"/>
      <c r="AY1502" s="28"/>
      <c r="AZ1502" s="28"/>
      <c r="BA1502" s="28"/>
      <c r="BB1502" s="28"/>
    </row>
    <row r="1503" spans="1:54" ht="12.75" x14ac:dyDescent="0.2">
      <c r="A1503" s="28"/>
      <c r="B1503" s="28"/>
      <c r="C1503" s="28"/>
      <c r="D1503" s="28"/>
      <c r="E1503" s="28"/>
      <c r="F1503" s="28"/>
      <c r="G1503" s="28"/>
      <c r="H1503" s="28"/>
      <c r="I1503" s="28"/>
      <c r="J1503" s="28"/>
      <c r="K1503" s="28"/>
      <c r="L1503" s="28"/>
      <c r="M1503" s="28"/>
      <c r="N1503" s="28"/>
      <c r="O1503" s="28"/>
      <c r="P1503" s="28"/>
      <c r="Q1503" s="28"/>
      <c r="R1503" s="28"/>
      <c r="S1503" s="28"/>
      <c r="T1503" s="28"/>
      <c r="U1503" s="28"/>
      <c r="V1503" s="28"/>
      <c r="W1503" s="28"/>
      <c r="X1503" s="28"/>
      <c r="Y1503" s="28"/>
      <c r="Z1503" s="28"/>
      <c r="AA1503" s="28"/>
      <c r="AB1503" s="28"/>
      <c r="AC1503" s="28"/>
      <c r="AD1503" s="28"/>
      <c r="AE1503" s="28"/>
      <c r="AF1503" s="28"/>
      <c r="AG1503" s="28"/>
      <c r="AH1503" s="28"/>
      <c r="AI1503" s="28"/>
      <c r="AJ1503" s="28"/>
      <c r="AK1503" s="28"/>
      <c r="AL1503" s="28"/>
      <c r="AM1503" s="28"/>
      <c r="AN1503" s="28"/>
      <c r="AO1503" s="28"/>
      <c r="AP1503" s="28"/>
      <c r="AQ1503" s="28"/>
      <c r="AR1503" s="28"/>
      <c r="AS1503" s="28"/>
      <c r="AT1503" s="28"/>
      <c r="AU1503" s="28"/>
      <c r="AV1503" s="28"/>
      <c r="AW1503" s="28"/>
      <c r="AX1503" s="28"/>
      <c r="AY1503" s="28"/>
      <c r="AZ1503" s="28"/>
      <c r="BA1503" s="28"/>
      <c r="BB1503" s="28"/>
    </row>
    <row r="1504" spans="1:54" ht="12.75" x14ac:dyDescent="0.2">
      <c r="A1504" s="28"/>
      <c r="B1504" s="28"/>
      <c r="C1504" s="28"/>
      <c r="D1504" s="28"/>
      <c r="E1504" s="28"/>
      <c r="F1504" s="28"/>
      <c r="G1504" s="28"/>
      <c r="H1504" s="28"/>
      <c r="I1504" s="28"/>
      <c r="J1504" s="28"/>
      <c r="K1504" s="28"/>
      <c r="L1504" s="28"/>
      <c r="M1504" s="28"/>
      <c r="N1504" s="28"/>
      <c r="O1504" s="28"/>
      <c r="P1504" s="28"/>
      <c r="Q1504" s="28"/>
      <c r="R1504" s="28"/>
      <c r="S1504" s="28"/>
      <c r="T1504" s="28"/>
      <c r="U1504" s="28"/>
      <c r="V1504" s="28"/>
      <c r="W1504" s="28"/>
      <c r="X1504" s="28"/>
      <c r="Y1504" s="28"/>
      <c r="Z1504" s="28"/>
      <c r="AA1504" s="28"/>
      <c r="AB1504" s="28"/>
      <c r="AC1504" s="28"/>
      <c r="AD1504" s="28"/>
      <c r="AE1504" s="28"/>
      <c r="AF1504" s="28"/>
      <c r="AG1504" s="28"/>
      <c r="AH1504" s="28"/>
      <c r="AI1504" s="28"/>
      <c r="AJ1504" s="28"/>
      <c r="AK1504" s="28"/>
      <c r="AL1504" s="28"/>
      <c r="AM1504" s="28"/>
      <c r="AN1504" s="28"/>
      <c r="AO1504" s="28"/>
      <c r="AP1504" s="28"/>
      <c r="AQ1504" s="28"/>
      <c r="AR1504" s="28"/>
      <c r="AS1504" s="28"/>
      <c r="AT1504" s="28"/>
      <c r="AU1504" s="28"/>
      <c r="AV1504" s="28"/>
      <c r="AW1504" s="28"/>
      <c r="AX1504" s="28"/>
      <c r="AY1504" s="28"/>
      <c r="AZ1504" s="28"/>
      <c r="BA1504" s="28"/>
      <c r="BB1504" s="28"/>
    </row>
    <row r="1505" spans="1:54" ht="12.75" x14ac:dyDescent="0.2">
      <c r="A1505" s="28"/>
      <c r="B1505" s="28"/>
      <c r="C1505" s="28"/>
      <c r="D1505" s="28"/>
      <c r="E1505" s="28"/>
      <c r="F1505" s="28"/>
      <c r="G1505" s="28"/>
      <c r="H1505" s="28"/>
      <c r="I1505" s="28"/>
      <c r="J1505" s="28"/>
      <c r="K1505" s="28"/>
      <c r="L1505" s="28"/>
      <c r="M1505" s="28"/>
      <c r="N1505" s="28"/>
      <c r="O1505" s="28"/>
      <c r="P1505" s="28"/>
      <c r="Q1505" s="28"/>
      <c r="R1505" s="28"/>
      <c r="S1505" s="28"/>
      <c r="T1505" s="28"/>
      <c r="U1505" s="28"/>
      <c r="V1505" s="28"/>
      <c r="W1505" s="28"/>
      <c r="X1505" s="28"/>
      <c r="Y1505" s="28"/>
      <c r="Z1505" s="28"/>
      <c r="AA1505" s="28"/>
      <c r="AB1505" s="28"/>
      <c r="AC1505" s="28"/>
      <c r="AD1505" s="28"/>
      <c r="AE1505" s="28"/>
      <c r="AF1505" s="28"/>
      <c r="AG1505" s="28"/>
      <c r="AH1505" s="28"/>
      <c r="AI1505" s="28"/>
      <c r="AJ1505" s="28"/>
      <c r="AK1505" s="28"/>
      <c r="AL1505" s="28"/>
      <c r="AM1505" s="28"/>
      <c r="AN1505" s="28"/>
      <c r="AO1505" s="28"/>
      <c r="AP1505" s="28"/>
      <c r="AQ1505" s="28"/>
      <c r="AR1505" s="28"/>
      <c r="AS1505" s="28"/>
      <c r="AT1505" s="28"/>
      <c r="AU1505" s="28"/>
      <c r="AV1505" s="28"/>
      <c r="AW1505" s="28"/>
      <c r="AX1505" s="28"/>
      <c r="AY1505" s="28"/>
      <c r="AZ1505" s="28"/>
      <c r="BA1505" s="28"/>
      <c r="BB1505" s="28"/>
    </row>
    <row r="1506" spans="1:54" ht="12.75" x14ac:dyDescent="0.2">
      <c r="A1506" s="28"/>
      <c r="B1506" s="28"/>
      <c r="C1506" s="28"/>
      <c r="D1506" s="28"/>
      <c r="E1506" s="28"/>
      <c r="F1506" s="28"/>
      <c r="G1506" s="28"/>
      <c r="H1506" s="28"/>
      <c r="I1506" s="28"/>
      <c r="J1506" s="28"/>
      <c r="K1506" s="28"/>
      <c r="L1506" s="28"/>
      <c r="M1506" s="28"/>
      <c r="N1506" s="28"/>
      <c r="O1506" s="28"/>
      <c r="P1506" s="28"/>
      <c r="Q1506" s="28"/>
      <c r="R1506" s="28"/>
      <c r="S1506" s="28"/>
      <c r="T1506" s="28"/>
      <c r="U1506" s="28"/>
      <c r="V1506" s="28"/>
      <c r="W1506" s="28"/>
      <c r="X1506" s="28"/>
      <c r="Y1506" s="28"/>
      <c r="Z1506" s="28"/>
      <c r="AA1506" s="28"/>
      <c r="AB1506" s="28"/>
      <c r="AC1506" s="28"/>
      <c r="AD1506" s="28"/>
      <c r="AE1506" s="28"/>
      <c r="AF1506" s="28"/>
      <c r="AG1506" s="28"/>
      <c r="AH1506" s="28"/>
      <c r="AI1506" s="28"/>
      <c r="AJ1506" s="28"/>
      <c r="AK1506" s="28"/>
      <c r="AL1506" s="28"/>
      <c r="AM1506" s="28"/>
      <c r="AN1506" s="28"/>
      <c r="AO1506" s="28"/>
      <c r="AP1506" s="28"/>
      <c r="AQ1506" s="28"/>
      <c r="AR1506" s="28"/>
      <c r="AS1506" s="28"/>
      <c r="AT1506" s="28"/>
      <c r="AU1506" s="28"/>
      <c r="AV1506" s="28"/>
      <c r="AW1506" s="28"/>
      <c r="AX1506" s="28"/>
      <c r="AY1506" s="28"/>
      <c r="AZ1506" s="28"/>
      <c r="BA1506" s="28"/>
      <c r="BB1506" s="28"/>
    </row>
    <row r="1507" spans="1:54" ht="12.75" x14ac:dyDescent="0.2">
      <c r="A1507" s="28"/>
      <c r="B1507" s="28"/>
      <c r="C1507" s="28"/>
      <c r="D1507" s="28"/>
      <c r="E1507" s="28"/>
      <c r="F1507" s="28"/>
      <c r="G1507" s="28"/>
      <c r="H1507" s="28"/>
      <c r="I1507" s="28"/>
      <c r="J1507" s="28"/>
      <c r="K1507" s="28"/>
      <c r="L1507" s="28"/>
      <c r="M1507" s="28"/>
      <c r="N1507" s="28"/>
      <c r="O1507" s="28"/>
      <c r="P1507" s="28"/>
      <c r="Q1507" s="28"/>
      <c r="R1507" s="28"/>
      <c r="S1507" s="28"/>
      <c r="T1507" s="28"/>
      <c r="U1507" s="28"/>
      <c r="V1507" s="28"/>
      <c r="W1507" s="28"/>
      <c r="X1507" s="28"/>
      <c r="Y1507" s="28"/>
      <c r="Z1507" s="28"/>
      <c r="AA1507" s="28"/>
      <c r="AB1507" s="28"/>
      <c r="AC1507" s="28"/>
      <c r="AD1507" s="28"/>
      <c r="AE1507" s="28"/>
      <c r="AF1507" s="28"/>
      <c r="AG1507" s="28"/>
      <c r="AH1507" s="28"/>
      <c r="AI1507" s="28"/>
      <c r="AJ1507" s="28"/>
      <c r="AK1507" s="28"/>
      <c r="AL1507" s="28"/>
      <c r="AM1507" s="28"/>
      <c r="AN1507" s="28"/>
      <c r="AO1507" s="28"/>
      <c r="AP1507" s="28"/>
      <c r="AQ1507" s="28"/>
      <c r="AR1507" s="28"/>
      <c r="AS1507" s="28"/>
      <c r="AT1507" s="28"/>
      <c r="AU1507" s="28"/>
      <c r="AV1507" s="28"/>
      <c r="AW1507" s="28"/>
      <c r="AX1507" s="28"/>
      <c r="AY1507" s="28"/>
      <c r="AZ1507" s="28"/>
      <c r="BA1507" s="28"/>
      <c r="BB1507" s="28"/>
    </row>
    <row r="1508" spans="1:54" ht="12.75" x14ac:dyDescent="0.2">
      <c r="A1508" s="28"/>
      <c r="B1508" s="28"/>
      <c r="C1508" s="28"/>
      <c r="D1508" s="28"/>
      <c r="E1508" s="28"/>
      <c r="F1508" s="28"/>
      <c r="G1508" s="28"/>
      <c r="H1508" s="28"/>
      <c r="I1508" s="28"/>
      <c r="J1508" s="28"/>
      <c r="K1508" s="28"/>
      <c r="L1508" s="28"/>
      <c r="M1508" s="28"/>
      <c r="N1508" s="28"/>
      <c r="O1508" s="28"/>
      <c r="P1508" s="28"/>
      <c r="Q1508" s="28"/>
      <c r="R1508" s="28"/>
      <c r="S1508" s="28"/>
      <c r="T1508" s="28"/>
      <c r="U1508" s="28"/>
      <c r="V1508" s="28"/>
      <c r="W1508" s="28"/>
      <c r="X1508" s="28"/>
      <c r="Y1508" s="28"/>
      <c r="Z1508" s="28"/>
      <c r="AA1508" s="28"/>
      <c r="AB1508" s="28"/>
      <c r="AC1508" s="28"/>
      <c r="AD1508" s="28"/>
      <c r="AE1508" s="28"/>
      <c r="AF1508" s="28"/>
      <c r="AG1508" s="28"/>
      <c r="AH1508" s="28"/>
      <c r="AI1508" s="28"/>
      <c r="AJ1508" s="28"/>
      <c r="AK1508" s="28"/>
      <c r="AL1508" s="28"/>
      <c r="AM1508" s="28"/>
      <c r="AN1508" s="28"/>
      <c r="AO1508" s="28"/>
      <c r="AP1508" s="28"/>
      <c r="AQ1508" s="28"/>
      <c r="AR1508" s="28"/>
      <c r="AS1508" s="28"/>
      <c r="AT1508" s="28"/>
      <c r="AU1508" s="28"/>
      <c r="AV1508" s="28"/>
      <c r="AW1508" s="28"/>
      <c r="AX1508" s="28"/>
      <c r="AY1508" s="28"/>
      <c r="AZ1508" s="28"/>
      <c r="BA1508" s="28"/>
      <c r="BB1508" s="28"/>
    </row>
    <row r="1509" spans="1:54" ht="12.75" x14ac:dyDescent="0.2">
      <c r="A1509" s="28"/>
      <c r="B1509" s="28"/>
      <c r="C1509" s="28"/>
      <c r="D1509" s="28"/>
      <c r="E1509" s="28"/>
      <c r="F1509" s="28"/>
      <c r="G1509" s="28"/>
      <c r="H1509" s="28"/>
      <c r="I1509" s="28"/>
      <c r="J1509" s="28"/>
      <c r="K1509" s="28"/>
      <c r="L1509" s="28"/>
      <c r="M1509" s="28"/>
      <c r="N1509" s="28"/>
      <c r="O1509" s="28"/>
      <c r="P1509" s="28"/>
      <c r="Q1509" s="28"/>
      <c r="R1509" s="28"/>
      <c r="S1509" s="28"/>
      <c r="T1509" s="28"/>
      <c r="U1509" s="28"/>
      <c r="V1509" s="28"/>
      <c r="W1509" s="28"/>
      <c r="X1509" s="28"/>
      <c r="Y1509" s="28"/>
      <c r="Z1509" s="28"/>
      <c r="AA1509" s="28"/>
      <c r="AB1509" s="28"/>
      <c r="AC1509" s="28"/>
      <c r="AD1509" s="28"/>
      <c r="AE1509" s="28"/>
      <c r="AF1509" s="28"/>
      <c r="AG1509" s="28"/>
      <c r="AH1509" s="28"/>
      <c r="AI1509" s="28"/>
      <c r="AJ1509" s="28"/>
      <c r="AK1509" s="28"/>
      <c r="AL1509" s="28"/>
      <c r="AM1509" s="28"/>
      <c r="AN1509" s="28"/>
      <c r="AO1509" s="28"/>
      <c r="AP1509" s="28"/>
      <c r="AQ1509" s="28"/>
      <c r="AR1509" s="28"/>
      <c r="AS1509" s="28"/>
      <c r="AT1509" s="28"/>
      <c r="AU1509" s="28"/>
      <c r="AV1509" s="28"/>
      <c r="AW1509" s="28"/>
      <c r="AX1509" s="28"/>
      <c r="AY1509" s="28"/>
      <c r="AZ1509" s="28"/>
      <c r="BA1509" s="28"/>
      <c r="BB1509" s="28"/>
    </row>
    <row r="1510" spans="1:54" ht="12.75" x14ac:dyDescent="0.2">
      <c r="A1510" s="28"/>
      <c r="B1510" s="28"/>
      <c r="C1510" s="28"/>
      <c r="D1510" s="28"/>
      <c r="E1510" s="28"/>
      <c r="F1510" s="28"/>
      <c r="G1510" s="28"/>
      <c r="H1510" s="28"/>
      <c r="I1510" s="28"/>
      <c r="J1510" s="28"/>
      <c r="K1510" s="28"/>
      <c r="L1510" s="28"/>
      <c r="M1510" s="28"/>
      <c r="N1510" s="28"/>
      <c r="O1510" s="28"/>
      <c r="P1510" s="28"/>
      <c r="Q1510" s="28"/>
      <c r="R1510" s="28"/>
      <c r="S1510" s="28"/>
      <c r="T1510" s="28"/>
      <c r="U1510" s="28"/>
      <c r="V1510" s="28"/>
      <c r="W1510" s="28"/>
      <c r="X1510" s="28"/>
      <c r="Y1510" s="28"/>
      <c r="Z1510" s="28"/>
      <c r="AA1510" s="28"/>
      <c r="AB1510" s="28"/>
      <c r="AC1510" s="28"/>
      <c r="AD1510" s="28"/>
      <c r="AE1510" s="28"/>
      <c r="AF1510" s="28"/>
      <c r="AG1510" s="28"/>
      <c r="AH1510" s="28"/>
      <c r="AI1510" s="28"/>
      <c r="AJ1510" s="28"/>
      <c r="AK1510" s="28"/>
      <c r="AL1510" s="28"/>
      <c r="AM1510" s="28"/>
      <c r="AN1510" s="28"/>
      <c r="AO1510" s="28"/>
      <c r="AP1510" s="28"/>
      <c r="AQ1510" s="28"/>
      <c r="AR1510" s="28"/>
      <c r="AS1510" s="28"/>
      <c r="AT1510" s="28"/>
      <c r="AU1510" s="28"/>
      <c r="AV1510" s="28"/>
      <c r="AW1510" s="28"/>
      <c r="AX1510" s="28"/>
      <c r="AY1510" s="28"/>
      <c r="AZ1510" s="28"/>
      <c r="BA1510" s="28"/>
      <c r="BB1510" s="28"/>
    </row>
    <row r="1511" spans="1:54" ht="12.75" x14ac:dyDescent="0.2">
      <c r="A1511" s="28"/>
      <c r="B1511" s="28"/>
      <c r="C1511" s="28"/>
      <c r="D1511" s="28"/>
      <c r="E1511" s="28"/>
      <c r="F1511" s="28"/>
      <c r="G1511" s="28"/>
      <c r="H1511" s="28"/>
      <c r="I1511" s="28"/>
      <c r="J1511" s="28"/>
      <c r="K1511" s="28"/>
      <c r="L1511" s="28"/>
      <c r="M1511" s="28"/>
      <c r="N1511" s="28"/>
      <c r="O1511" s="28"/>
      <c r="P1511" s="28"/>
      <c r="Q1511" s="28"/>
      <c r="R1511" s="28"/>
      <c r="S1511" s="28"/>
      <c r="T1511" s="28"/>
      <c r="U1511" s="28"/>
      <c r="V1511" s="28"/>
      <c r="W1511" s="28"/>
      <c r="X1511" s="28"/>
      <c r="Y1511" s="28"/>
      <c r="Z1511" s="28"/>
      <c r="AA1511" s="28"/>
      <c r="AB1511" s="28"/>
      <c r="AC1511" s="28"/>
      <c r="AD1511" s="28"/>
      <c r="AE1511" s="28"/>
      <c r="AF1511" s="28"/>
      <c r="AG1511" s="28"/>
      <c r="AH1511" s="28"/>
      <c r="AI1511" s="28"/>
      <c r="AJ1511" s="28"/>
      <c r="AK1511" s="28"/>
      <c r="AL1511" s="28"/>
      <c r="AM1511" s="28"/>
      <c r="AN1511" s="28"/>
      <c r="AO1511" s="28"/>
      <c r="AP1511" s="28"/>
      <c r="AQ1511" s="28"/>
      <c r="AR1511" s="28"/>
      <c r="AS1511" s="28"/>
      <c r="AT1511" s="28"/>
      <c r="AU1511" s="28"/>
      <c r="AV1511" s="28"/>
      <c r="AW1511" s="28"/>
      <c r="AX1511" s="28"/>
      <c r="AY1511" s="28"/>
      <c r="AZ1511" s="28"/>
      <c r="BA1511" s="28"/>
      <c r="BB1511" s="28"/>
    </row>
    <row r="1512" spans="1:54" ht="12.75" x14ac:dyDescent="0.2">
      <c r="A1512" s="28"/>
      <c r="B1512" s="28"/>
      <c r="C1512" s="28"/>
      <c r="D1512" s="28"/>
      <c r="E1512" s="28"/>
      <c r="F1512" s="28"/>
      <c r="G1512" s="28"/>
      <c r="H1512" s="28"/>
      <c r="I1512" s="28"/>
      <c r="J1512" s="28"/>
      <c r="K1512" s="28"/>
      <c r="L1512" s="28"/>
      <c r="M1512" s="28"/>
      <c r="N1512" s="28"/>
      <c r="O1512" s="28"/>
      <c r="P1512" s="28"/>
      <c r="Q1512" s="28"/>
      <c r="R1512" s="28"/>
      <c r="S1512" s="28"/>
      <c r="T1512" s="28"/>
      <c r="U1512" s="28"/>
      <c r="V1512" s="28"/>
      <c r="W1512" s="28"/>
      <c r="X1512" s="28"/>
      <c r="Y1512" s="28"/>
      <c r="Z1512" s="28"/>
      <c r="AA1512" s="28"/>
      <c r="AB1512" s="28"/>
      <c r="AC1512" s="28"/>
      <c r="AD1512" s="28"/>
      <c r="AE1512" s="28"/>
      <c r="AF1512" s="28"/>
      <c r="AG1512" s="28"/>
      <c r="AH1512" s="28"/>
      <c r="AI1512" s="28"/>
      <c r="AJ1512" s="28"/>
      <c r="AK1512" s="28"/>
      <c r="AL1512" s="28"/>
      <c r="AM1512" s="28"/>
      <c r="AN1512" s="28"/>
      <c r="AO1512" s="28"/>
      <c r="AP1512" s="28"/>
      <c r="AQ1512" s="28"/>
      <c r="AR1512" s="28"/>
      <c r="AS1512" s="28"/>
      <c r="AT1512" s="28"/>
      <c r="AU1512" s="28"/>
      <c r="AV1512" s="28"/>
      <c r="AW1512" s="28"/>
      <c r="AX1512" s="28"/>
      <c r="AY1512" s="28"/>
      <c r="AZ1512" s="28"/>
      <c r="BA1512" s="28"/>
      <c r="BB1512" s="28"/>
    </row>
    <row r="1513" spans="1:54" ht="12.75" x14ac:dyDescent="0.2">
      <c r="A1513" s="28"/>
      <c r="B1513" s="28"/>
      <c r="C1513" s="28"/>
      <c r="D1513" s="28"/>
      <c r="E1513" s="28"/>
      <c r="F1513" s="28"/>
      <c r="G1513" s="28"/>
      <c r="H1513" s="28"/>
      <c r="I1513" s="28"/>
      <c r="J1513" s="28"/>
      <c r="K1513" s="28"/>
      <c r="L1513" s="28"/>
      <c r="M1513" s="28"/>
      <c r="N1513" s="28"/>
      <c r="O1513" s="28"/>
      <c r="P1513" s="28"/>
      <c r="Q1513" s="28"/>
      <c r="R1513" s="28"/>
      <c r="S1513" s="28"/>
      <c r="T1513" s="28"/>
      <c r="U1513" s="28"/>
      <c r="V1513" s="28"/>
      <c r="W1513" s="28"/>
      <c r="X1513" s="28"/>
      <c r="Y1513" s="28"/>
      <c r="Z1513" s="28"/>
      <c r="AA1513" s="28"/>
      <c r="AB1513" s="28"/>
      <c r="AC1513" s="28"/>
      <c r="AD1513" s="28"/>
      <c r="AE1513" s="28"/>
      <c r="AF1513" s="28"/>
      <c r="AG1513" s="28"/>
      <c r="AH1513" s="28"/>
      <c r="AI1513" s="28"/>
      <c r="AJ1513" s="28"/>
      <c r="AK1513" s="28"/>
      <c r="AL1513" s="28"/>
      <c r="AM1513" s="28"/>
      <c r="AN1513" s="28"/>
      <c r="AO1513" s="28"/>
      <c r="AP1513" s="28"/>
      <c r="AQ1513" s="28"/>
      <c r="AR1513" s="28"/>
      <c r="AS1513" s="28"/>
      <c r="AT1513" s="28"/>
      <c r="AU1513" s="28"/>
      <c r="AV1513" s="28"/>
      <c r="AW1513" s="28"/>
      <c r="AX1513" s="28"/>
      <c r="AY1513" s="28"/>
      <c r="AZ1513" s="28"/>
      <c r="BA1513" s="28"/>
      <c r="BB1513" s="28"/>
    </row>
    <row r="1514" spans="1:54" ht="12.75" x14ac:dyDescent="0.2">
      <c r="A1514" s="28"/>
      <c r="B1514" s="28"/>
      <c r="C1514" s="28"/>
      <c r="D1514" s="28"/>
      <c r="E1514" s="28"/>
      <c r="F1514" s="28"/>
      <c r="G1514" s="28"/>
      <c r="H1514" s="28"/>
      <c r="I1514" s="28"/>
      <c r="J1514" s="28"/>
      <c r="K1514" s="28"/>
      <c r="L1514" s="28"/>
      <c r="M1514" s="28"/>
      <c r="N1514" s="28"/>
      <c r="O1514" s="28"/>
      <c r="P1514" s="28"/>
      <c r="Q1514" s="28"/>
      <c r="R1514" s="28"/>
      <c r="S1514" s="28"/>
      <c r="T1514" s="28"/>
      <c r="U1514" s="28"/>
      <c r="V1514" s="28"/>
      <c r="W1514" s="28"/>
      <c r="X1514" s="28"/>
      <c r="Y1514" s="28"/>
      <c r="Z1514" s="28"/>
      <c r="AA1514" s="28"/>
      <c r="AB1514" s="28"/>
      <c r="AC1514" s="28"/>
      <c r="AD1514" s="28"/>
      <c r="AE1514" s="28"/>
      <c r="AF1514" s="28"/>
      <c r="AG1514" s="28"/>
      <c r="AH1514" s="28"/>
      <c r="AI1514" s="28"/>
      <c r="AJ1514" s="28"/>
      <c r="AK1514" s="28"/>
      <c r="AL1514" s="28"/>
      <c r="AM1514" s="28"/>
      <c r="AN1514" s="28"/>
      <c r="AO1514" s="28"/>
      <c r="AP1514" s="28"/>
      <c r="AQ1514" s="28"/>
      <c r="AR1514" s="28"/>
      <c r="AS1514" s="28"/>
      <c r="AT1514" s="28"/>
      <c r="AU1514" s="28"/>
      <c r="AV1514" s="28"/>
      <c r="AW1514" s="28"/>
      <c r="AX1514" s="28"/>
      <c r="AY1514" s="28"/>
      <c r="AZ1514" s="28"/>
      <c r="BA1514" s="28"/>
      <c r="BB1514" s="28"/>
    </row>
    <row r="1515" spans="1:54" ht="12.75" x14ac:dyDescent="0.2">
      <c r="A1515" s="28"/>
      <c r="B1515" s="28"/>
      <c r="C1515" s="28"/>
      <c r="D1515" s="28"/>
      <c r="E1515" s="28"/>
      <c r="F1515" s="28"/>
      <c r="G1515" s="28"/>
      <c r="H1515" s="28"/>
      <c r="I1515" s="28"/>
      <c r="J1515" s="28"/>
      <c r="K1515" s="28"/>
      <c r="L1515" s="28"/>
      <c r="M1515" s="28"/>
      <c r="N1515" s="28"/>
      <c r="O1515" s="28"/>
      <c r="P1515" s="28"/>
      <c r="Q1515" s="28"/>
      <c r="R1515" s="28"/>
      <c r="S1515" s="28"/>
      <c r="T1515" s="28"/>
      <c r="U1515" s="28"/>
      <c r="V1515" s="28"/>
      <c r="W1515" s="28"/>
      <c r="X1515" s="28"/>
      <c r="Y1515" s="28"/>
      <c r="Z1515" s="28"/>
      <c r="AA1515" s="28"/>
      <c r="AB1515" s="28"/>
      <c r="AC1515" s="28"/>
      <c r="AD1515" s="28"/>
      <c r="AE1515" s="28"/>
      <c r="AF1515" s="28"/>
      <c r="AG1515" s="28"/>
      <c r="AH1515" s="28"/>
      <c r="AI1515" s="28"/>
      <c r="AJ1515" s="28"/>
      <c r="AK1515" s="28"/>
      <c r="AL1515" s="28"/>
      <c r="AM1515" s="28"/>
      <c r="AN1515" s="28"/>
      <c r="AO1515" s="28"/>
      <c r="AP1515" s="28"/>
      <c r="AQ1515" s="28"/>
      <c r="AR1515" s="28"/>
      <c r="AS1515" s="28"/>
      <c r="AT1515" s="28"/>
      <c r="AU1515" s="28"/>
      <c r="AV1515" s="28"/>
      <c r="AW1515" s="28"/>
      <c r="AX1515" s="28"/>
      <c r="AY1515" s="28"/>
      <c r="AZ1515" s="28"/>
      <c r="BA1515" s="28"/>
      <c r="BB1515" s="28"/>
    </row>
    <row r="1516" spans="1:54" ht="12.75" x14ac:dyDescent="0.2">
      <c r="A1516" s="28"/>
      <c r="B1516" s="28"/>
      <c r="C1516" s="28"/>
      <c r="D1516" s="28"/>
      <c r="E1516" s="28"/>
      <c r="F1516" s="28"/>
      <c r="G1516" s="28"/>
      <c r="H1516" s="28"/>
      <c r="I1516" s="28"/>
      <c r="J1516" s="28"/>
      <c r="K1516" s="28"/>
      <c r="L1516" s="28"/>
      <c r="M1516" s="28"/>
      <c r="N1516" s="28"/>
      <c r="O1516" s="28"/>
      <c r="P1516" s="28"/>
      <c r="Q1516" s="28"/>
      <c r="R1516" s="28"/>
      <c r="S1516" s="28"/>
      <c r="T1516" s="28"/>
      <c r="U1516" s="28"/>
      <c r="V1516" s="28"/>
      <c r="W1516" s="28"/>
      <c r="X1516" s="28"/>
      <c r="Y1516" s="28"/>
      <c r="Z1516" s="28"/>
      <c r="AA1516" s="28"/>
      <c r="AB1516" s="28"/>
      <c r="AC1516" s="28"/>
      <c r="AD1516" s="28"/>
      <c r="AE1516" s="28"/>
      <c r="AF1516" s="28"/>
      <c r="AG1516" s="28"/>
      <c r="AH1516" s="28"/>
      <c r="AI1516" s="28"/>
      <c r="AJ1516" s="28"/>
      <c r="AK1516" s="28"/>
      <c r="AL1516" s="28"/>
      <c r="AM1516" s="28"/>
      <c r="AN1516" s="28"/>
      <c r="AO1516" s="28"/>
      <c r="AP1516" s="28"/>
      <c r="AQ1516" s="28"/>
      <c r="AR1516" s="28"/>
      <c r="AS1516" s="28"/>
      <c r="AT1516" s="28"/>
      <c r="AU1516" s="28"/>
      <c r="AV1516" s="28"/>
      <c r="AW1516" s="28"/>
      <c r="AX1516" s="28"/>
      <c r="AY1516" s="28"/>
      <c r="AZ1516" s="28"/>
      <c r="BA1516" s="28"/>
      <c r="BB1516" s="28"/>
    </row>
    <row r="1517" spans="1:54" ht="12.75" x14ac:dyDescent="0.2">
      <c r="A1517" s="28"/>
      <c r="B1517" s="28"/>
      <c r="C1517" s="28"/>
      <c r="D1517" s="28"/>
      <c r="E1517" s="28"/>
      <c r="F1517" s="28"/>
      <c r="G1517" s="28"/>
      <c r="H1517" s="28"/>
      <c r="I1517" s="28"/>
      <c r="J1517" s="28"/>
      <c r="K1517" s="28"/>
      <c r="L1517" s="28"/>
      <c r="M1517" s="28"/>
      <c r="N1517" s="28"/>
      <c r="O1517" s="28"/>
      <c r="P1517" s="28"/>
      <c r="Q1517" s="28"/>
      <c r="R1517" s="28"/>
      <c r="S1517" s="28"/>
      <c r="T1517" s="28"/>
      <c r="U1517" s="28"/>
      <c r="V1517" s="28"/>
      <c r="W1517" s="28"/>
      <c r="X1517" s="28"/>
      <c r="Y1517" s="28"/>
      <c r="Z1517" s="28"/>
      <c r="AA1517" s="28"/>
      <c r="AB1517" s="28"/>
      <c r="AC1517" s="28"/>
      <c r="AD1517" s="28"/>
      <c r="AE1517" s="28"/>
      <c r="AF1517" s="28"/>
      <c r="AG1517" s="28"/>
      <c r="AH1517" s="28"/>
      <c r="AI1517" s="28"/>
      <c r="AJ1517" s="28"/>
      <c r="AK1517" s="28"/>
      <c r="AL1517" s="28"/>
      <c r="AM1517" s="28"/>
      <c r="AN1517" s="28"/>
      <c r="AO1517" s="28"/>
      <c r="AP1517" s="28"/>
      <c r="AQ1517" s="28"/>
      <c r="AR1517" s="28"/>
      <c r="AS1517" s="28"/>
      <c r="AT1517" s="28"/>
      <c r="AU1517" s="28"/>
      <c r="AV1517" s="28"/>
      <c r="AW1517" s="28"/>
      <c r="AX1517" s="28"/>
      <c r="AY1517" s="28"/>
      <c r="AZ1517" s="28"/>
      <c r="BA1517" s="28"/>
      <c r="BB1517" s="28"/>
    </row>
    <row r="1518" spans="1:54" ht="12.75" x14ac:dyDescent="0.2">
      <c r="A1518" s="28"/>
      <c r="B1518" s="28"/>
      <c r="C1518" s="28"/>
      <c r="D1518" s="28"/>
      <c r="E1518" s="28"/>
      <c r="F1518" s="28"/>
      <c r="G1518" s="28"/>
      <c r="H1518" s="28"/>
      <c r="I1518" s="28"/>
      <c r="J1518" s="28"/>
      <c r="K1518" s="28"/>
      <c r="L1518" s="28"/>
      <c r="M1518" s="28"/>
      <c r="N1518" s="28"/>
      <c r="O1518" s="28"/>
      <c r="P1518" s="28"/>
      <c r="Q1518" s="28"/>
      <c r="R1518" s="28"/>
      <c r="S1518" s="28"/>
      <c r="T1518" s="28"/>
      <c r="U1518" s="28"/>
      <c r="V1518" s="28"/>
      <c r="W1518" s="28"/>
      <c r="X1518" s="28"/>
      <c r="Y1518" s="28"/>
      <c r="Z1518" s="28"/>
      <c r="AA1518" s="28"/>
      <c r="AB1518" s="28"/>
      <c r="AC1518" s="28"/>
      <c r="AD1518" s="28"/>
      <c r="AE1518" s="28"/>
      <c r="AF1518" s="28"/>
      <c r="AG1518" s="28"/>
      <c r="AH1518" s="28"/>
      <c r="AI1518" s="28"/>
      <c r="AJ1518" s="28"/>
      <c r="AK1518" s="28"/>
      <c r="AL1518" s="28"/>
      <c r="AM1518" s="28"/>
      <c r="AN1518" s="28"/>
      <c r="AO1518" s="28"/>
      <c r="AP1518" s="28"/>
      <c r="AQ1518" s="28"/>
      <c r="AR1518" s="28"/>
      <c r="AS1518" s="28"/>
      <c r="AT1518" s="28"/>
      <c r="AU1518" s="28"/>
      <c r="AV1518" s="28"/>
      <c r="AW1518" s="28"/>
      <c r="AX1518" s="28"/>
      <c r="AY1518" s="28"/>
      <c r="AZ1518" s="28"/>
      <c r="BA1518" s="28"/>
      <c r="BB1518" s="28"/>
    </row>
    <row r="1519" spans="1:54" ht="12.75" x14ac:dyDescent="0.2">
      <c r="A1519" s="28"/>
      <c r="B1519" s="28"/>
      <c r="C1519" s="28"/>
      <c r="D1519" s="28"/>
      <c r="E1519" s="28"/>
      <c r="F1519" s="28"/>
      <c r="G1519" s="28"/>
      <c r="H1519" s="28"/>
      <c r="I1519" s="28"/>
      <c r="J1519" s="28"/>
      <c r="K1519" s="28"/>
      <c r="L1519" s="28"/>
      <c r="M1519" s="28"/>
      <c r="N1519" s="28"/>
      <c r="O1519" s="28"/>
      <c r="P1519" s="28"/>
      <c r="Q1519" s="28"/>
      <c r="R1519" s="28"/>
      <c r="S1519" s="28"/>
      <c r="T1519" s="28"/>
      <c r="U1519" s="28"/>
      <c r="V1519" s="28"/>
      <c r="W1519" s="28"/>
      <c r="X1519" s="28"/>
      <c r="Y1519" s="28"/>
      <c r="Z1519" s="28"/>
      <c r="AA1519" s="28"/>
      <c r="AB1519" s="28"/>
      <c r="AC1519" s="28"/>
      <c r="AD1519" s="28"/>
      <c r="AE1519" s="28"/>
      <c r="AF1519" s="28"/>
      <c r="AG1519" s="28"/>
      <c r="AH1519" s="28"/>
      <c r="AI1519" s="28"/>
      <c r="AJ1519" s="28"/>
      <c r="AK1519" s="28"/>
      <c r="AL1519" s="28"/>
      <c r="AM1519" s="28"/>
      <c r="AN1519" s="28"/>
      <c r="AO1519" s="28"/>
      <c r="AP1519" s="28"/>
      <c r="AQ1519" s="28"/>
      <c r="AR1519" s="28"/>
      <c r="AS1519" s="28"/>
      <c r="AT1519" s="28"/>
      <c r="AU1519" s="28"/>
      <c r="AV1519" s="28"/>
      <c r="AW1519" s="28"/>
      <c r="AX1519" s="28"/>
      <c r="AY1519" s="28"/>
      <c r="AZ1519" s="28"/>
      <c r="BA1519" s="28"/>
      <c r="BB1519" s="28"/>
    </row>
    <row r="1520" spans="1:54" ht="12.75" x14ac:dyDescent="0.2">
      <c r="A1520" s="28"/>
      <c r="B1520" s="28"/>
      <c r="C1520" s="28"/>
      <c r="D1520" s="28"/>
      <c r="E1520" s="28"/>
      <c r="F1520" s="28"/>
      <c r="G1520" s="28"/>
      <c r="H1520" s="28"/>
      <c r="I1520" s="28"/>
      <c r="J1520" s="28"/>
      <c r="K1520" s="28"/>
      <c r="L1520" s="28"/>
      <c r="M1520" s="28"/>
      <c r="N1520" s="28"/>
      <c r="O1520" s="28"/>
      <c r="P1520" s="28"/>
      <c r="Q1520" s="28"/>
      <c r="R1520" s="28"/>
      <c r="S1520" s="28"/>
      <c r="T1520" s="28"/>
      <c r="U1520" s="28"/>
      <c r="V1520" s="28"/>
      <c r="W1520" s="28"/>
      <c r="X1520" s="28"/>
      <c r="Y1520" s="28"/>
      <c r="Z1520" s="28"/>
      <c r="AA1520" s="28"/>
      <c r="AB1520" s="28"/>
      <c r="AC1520" s="28"/>
      <c r="AD1520" s="28"/>
      <c r="AE1520" s="28"/>
      <c r="AF1520" s="28"/>
      <c r="AG1520" s="28"/>
      <c r="AH1520" s="28"/>
      <c r="AI1520" s="28"/>
      <c r="AJ1520" s="28"/>
      <c r="AK1520" s="28"/>
      <c r="AL1520" s="28"/>
      <c r="AM1520" s="28"/>
      <c r="AN1520" s="28"/>
      <c r="AO1520" s="28"/>
      <c r="AP1520" s="28"/>
      <c r="AQ1520" s="28"/>
      <c r="AR1520" s="28"/>
      <c r="AS1520" s="28"/>
      <c r="AT1520" s="28"/>
      <c r="AU1520" s="28"/>
      <c r="AV1520" s="28"/>
      <c r="AW1520" s="28"/>
      <c r="AX1520" s="28"/>
      <c r="AY1520" s="28"/>
      <c r="AZ1520" s="28"/>
      <c r="BA1520" s="28"/>
      <c r="BB1520" s="28"/>
    </row>
    <row r="1521" spans="1:54" ht="12.75" x14ac:dyDescent="0.2">
      <c r="A1521" s="28"/>
      <c r="B1521" s="28"/>
      <c r="C1521" s="28"/>
      <c r="D1521" s="28"/>
      <c r="E1521" s="28"/>
      <c r="F1521" s="28"/>
      <c r="G1521" s="28"/>
      <c r="H1521" s="28"/>
      <c r="I1521" s="28"/>
      <c r="J1521" s="28"/>
      <c r="K1521" s="28"/>
      <c r="L1521" s="28"/>
      <c r="M1521" s="28"/>
      <c r="N1521" s="28"/>
      <c r="O1521" s="28"/>
      <c r="P1521" s="28"/>
      <c r="Q1521" s="28"/>
      <c r="R1521" s="28"/>
      <c r="S1521" s="28"/>
      <c r="T1521" s="28"/>
      <c r="U1521" s="28"/>
      <c r="V1521" s="28"/>
      <c r="W1521" s="28"/>
      <c r="X1521" s="28"/>
      <c r="Y1521" s="28"/>
      <c r="Z1521" s="28"/>
      <c r="AA1521" s="28"/>
      <c r="AB1521" s="28"/>
      <c r="AC1521" s="28"/>
      <c r="AD1521" s="28"/>
      <c r="AE1521" s="28"/>
      <c r="AF1521" s="28"/>
      <c r="AG1521" s="28"/>
      <c r="AH1521" s="28"/>
      <c r="AI1521" s="28"/>
      <c r="AJ1521" s="28"/>
      <c r="AK1521" s="28"/>
      <c r="AL1521" s="28"/>
      <c r="AM1521" s="28"/>
      <c r="AN1521" s="28"/>
      <c r="AO1521" s="28"/>
      <c r="AP1521" s="28"/>
      <c r="AQ1521" s="28"/>
      <c r="AR1521" s="28"/>
      <c r="AS1521" s="28"/>
      <c r="AT1521" s="28"/>
      <c r="AU1521" s="28"/>
      <c r="AV1521" s="28"/>
      <c r="AW1521" s="28"/>
      <c r="AX1521" s="28"/>
      <c r="AY1521" s="28"/>
      <c r="AZ1521" s="28"/>
      <c r="BA1521" s="28"/>
      <c r="BB1521" s="28"/>
    </row>
    <row r="1522" spans="1:54" ht="12.75" x14ac:dyDescent="0.2">
      <c r="A1522" s="28"/>
      <c r="B1522" s="28"/>
      <c r="C1522" s="28"/>
      <c r="D1522" s="28"/>
      <c r="E1522" s="28"/>
      <c r="F1522" s="28"/>
      <c r="G1522" s="28"/>
      <c r="H1522" s="28"/>
      <c r="I1522" s="28"/>
      <c r="J1522" s="28"/>
      <c r="K1522" s="28"/>
      <c r="L1522" s="28"/>
      <c r="M1522" s="28"/>
      <c r="N1522" s="28"/>
      <c r="O1522" s="28"/>
      <c r="P1522" s="28"/>
      <c r="Q1522" s="28"/>
      <c r="R1522" s="28"/>
      <c r="S1522" s="28"/>
      <c r="T1522" s="28"/>
      <c r="U1522" s="28"/>
      <c r="V1522" s="28"/>
      <c r="W1522" s="28"/>
      <c r="X1522" s="28"/>
      <c r="Y1522" s="28"/>
      <c r="Z1522" s="28"/>
      <c r="AA1522" s="28"/>
      <c r="AB1522" s="28"/>
      <c r="AC1522" s="28"/>
      <c r="AD1522" s="28"/>
      <c r="AE1522" s="28"/>
      <c r="AF1522" s="28"/>
      <c r="AG1522" s="28"/>
      <c r="AH1522" s="28"/>
      <c r="AI1522" s="28"/>
      <c r="AJ1522" s="28"/>
      <c r="AK1522" s="28"/>
      <c r="AL1522" s="28"/>
      <c r="AM1522" s="28"/>
      <c r="AN1522" s="28"/>
      <c r="AO1522" s="28"/>
      <c r="AP1522" s="28"/>
      <c r="AQ1522" s="28"/>
      <c r="AR1522" s="28"/>
      <c r="AS1522" s="28"/>
      <c r="AT1522" s="28"/>
      <c r="AU1522" s="28"/>
      <c r="AV1522" s="28"/>
      <c r="AW1522" s="28"/>
      <c r="AX1522" s="28"/>
      <c r="AY1522" s="28"/>
      <c r="AZ1522" s="28"/>
      <c r="BA1522" s="28"/>
      <c r="BB1522" s="28"/>
    </row>
    <row r="1523" spans="1:54" ht="12.75" x14ac:dyDescent="0.2">
      <c r="A1523" s="28"/>
      <c r="B1523" s="28"/>
      <c r="C1523" s="28"/>
      <c r="D1523" s="28"/>
      <c r="E1523" s="28"/>
      <c r="F1523" s="28"/>
      <c r="G1523" s="28"/>
      <c r="H1523" s="28"/>
      <c r="I1523" s="28"/>
      <c r="J1523" s="28"/>
      <c r="K1523" s="28"/>
      <c r="L1523" s="28"/>
      <c r="M1523" s="28"/>
      <c r="N1523" s="28"/>
      <c r="O1523" s="28"/>
      <c r="P1523" s="28"/>
      <c r="Q1523" s="28"/>
      <c r="R1523" s="28"/>
      <c r="S1523" s="28"/>
      <c r="T1523" s="28"/>
      <c r="U1523" s="28"/>
      <c r="V1523" s="28"/>
      <c r="W1523" s="28"/>
      <c r="X1523" s="28"/>
      <c r="Y1523" s="28"/>
      <c r="Z1523" s="28"/>
      <c r="AA1523" s="28"/>
      <c r="AB1523" s="28"/>
      <c r="AC1523" s="28"/>
      <c r="AD1523" s="28"/>
      <c r="AE1523" s="28"/>
      <c r="AF1523" s="28"/>
      <c r="AG1523" s="28"/>
      <c r="AH1523" s="28"/>
      <c r="AI1523" s="28"/>
      <c r="AJ1523" s="28"/>
      <c r="AK1523" s="28"/>
      <c r="AL1523" s="28"/>
      <c r="AM1523" s="28"/>
      <c r="AN1523" s="28"/>
      <c r="AO1523" s="28"/>
      <c r="AP1523" s="28"/>
      <c r="AQ1523" s="28"/>
      <c r="AR1523" s="28"/>
      <c r="AS1523" s="28"/>
      <c r="AT1523" s="28"/>
      <c r="AU1523" s="28"/>
      <c r="AV1523" s="28"/>
      <c r="AW1523" s="28"/>
      <c r="AX1523" s="28"/>
      <c r="AY1523" s="28"/>
      <c r="AZ1523" s="28"/>
      <c r="BA1523" s="28"/>
      <c r="BB1523" s="28"/>
    </row>
    <row r="1524" spans="1:54" ht="12.75" x14ac:dyDescent="0.2">
      <c r="A1524" s="28"/>
      <c r="B1524" s="28"/>
      <c r="C1524" s="28"/>
      <c r="D1524" s="28"/>
      <c r="E1524" s="28"/>
      <c r="F1524" s="28"/>
      <c r="G1524" s="28"/>
      <c r="H1524" s="28"/>
      <c r="I1524" s="28"/>
      <c r="J1524" s="28"/>
      <c r="K1524" s="28"/>
      <c r="L1524" s="28"/>
      <c r="M1524" s="28"/>
      <c r="N1524" s="28"/>
      <c r="O1524" s="28"/>
      <c r="P1524" s="28"/>
      <c r="Q1524" s="28"/>
      <c r="R1524" s="28"/>
      <c r="S1524" s="28"/>
      <c r="T1524" s="28"/>
      <c r="U1524" s="28"/>
      <c r="V1524" s="28"/>
      <c r="W1524" s="28"/>
      <c r="X1524" s="28"/>
      <c r="Y1524" s="28"/>
      <c r="Z1524" s="28"/>
      <c r="AA1524" s="28"/>
      <c r="AB1524" s="28"/>
      <c r="AC1524" s="28"/>
      <c r="AD1524" s="28"/>
      <c r="AE1524" s="28"/>
      <c r="AF1524" s="28"/>
      <c r="AG1524" s="28"/>
      <c r="AH1524" s="28"/>
      <c r="AI1524" s="28"/>
      <c r="AJ1524" s="28"/>
      <c r="AK1524" s="28"/>
      <c r="AL1524" s="28"/>
      <c r="AM1524" s="28"/>
      <c r="AN1524" s="28"/>
      <c r="AO1524" s="28"/>
      <c r="AP1524" s="28"/>
      <c r="AQ1524" s="28"/>
      <c r="AR1524" s="28"/>
      <c r="AS1524" s="28"/>
      <c r="AT1524" s="28"/>
      <c r="AU1524" s="28"/>
      <c r="AV1524" s="28"/>
      <c r="AW1524" s="28"/>
      <c r="AX1524" s="28"/>
      <c r="AY1524" s="28"/>
      <c r="AZ1524" s="28"/>
      <c r="BA1524" s="28"/>
      <c r="BB1524" s="28"/>
    </row>
    <row r="1525" spans="1:54" ht="12.75" x14ac:dyDescent="0.2">
      <c r="A1525" s="28"/>
      <c r="B1525" s="28"/>
      <c r="C1525" s="28"/>
      <c r="D1525" s="28"/>
      <c r="E1525" s="28"/>
      <c r="F1525" s="28"/>
      <c r="G1525" s="28"/>
      <c r="H1525" s="28"/>
      <c r="I1525" s="28"/>
      <c r="J1525" s="28"/>
      <c r="K1525" s="28"/>
      <c r="L1525" s="28"/>
      <c r="M1525" s="28"/>
      <c r="N1525" s="28"/>
      <c r="O1525" s="28"/>
      <c r="P1525" s="28"/>
      <c r="Q1525" s="28"/>
      <c r="R1525" s="28"/>
      <c r="S1525" s="28"/>
      <c r="T1525" s="28"/>
      <c r="U1525" s="28"/>
      <c r="V1525" s="28"/>
      <c r="W1525" s="28"/>
      <c r="X1525" s="28"/>
      <c r="Y1525" s="28"/>
      <c r="Z1525" s="28"/>
      <c r="AA1525" s="28"/>
      <c r="AB1525" s="28"/>
      <c r="AC1525" s="28"/>
      <c r="AD1525" s="28"/>
      <c r="AE1525" s="28"/>
      <c r="AF1525" s="28"/>
      <c r="AG1525" s="28"/>
      <c r="AH1525" s="28"/>
      <c r="AI1525" s="28"/>
      <c r="AJ1525" s="28"/>
      <c r="AK1525" s="28"/>
      <c r="AL1525" s="28"/>
      <c r="AM1525" s="28"/>
      <c r="AN1525" s="28"/>
      <c r="AO1525" s="28"/>
      <c r="AP1525" s="28"/>
      <c r="AQ1525" s="28"/>
      <c r="AR1525" s="28"/>
      <c r="AS1525" s="28"/>
      <c r="AT1525" s="28"/>
      <c r="AU1525" s="28"/>
      <c r="AV1525" s="28"/>
      <c r="AW1525" s="28"/>
      <c r="AX1525" s="28"/>
      <c r="AY1525" s="28"/>
      <c r="AZ1525" s="28"/>
      <c r="BA1525" s="28"/>
      <c r="BB1525" s="28"/>
    </row>
    <row r="1526" spans="1:54" ht="12.75" x14ac:dyDescent="0.2">
      <c r="A1526" s="28"/>
      <c r="B1526" s="28"/>
      <c r="C1526" s="28"/>
      <c r="D1526" s="28"/>
      <c r="E1526" s="28"/>
      <c r="F1526" s="28"/>
      <c r="G1526" s="28"/>
      <c r="H1526" s="28"/>
      <c r="I1526" s="28"/>
      <c r="J1526" s="28"/>
      <c r="K1526" s="28"/>
      <c r="L1526" s="28"/>
      <c r="M1526" s="28"/>
      <c r="N1526" s="28"/>
      <c r="O1526" s="28"/>
      <c r="P1526" s="28"/>
      <c r="Q1526" s="28"/>
      <c r="R1526" s="28"/>
      <c r="S1526" s="28"/>
      <c r="T1526" s="28"/>
      <c r="U1526" s="28"/>
      <c r="V1526" s="28"/>
      <c r="W1526" s="28"/>
      <c r="X1526" s="28"/>
      <c r="Y1526" s="28"/>
      <c r="Z1526" s="28"/>
      <c r="AA1526" s="28"/>
      <c r="AB1526" s="28"/>
      <c r="AC1526" s="28"/>
      <c r="AD1526" s="28"/>
      <c r="AE1526" s="28"/>
      <c r="AF1526" s="28"/>
      <c r="AG1526" s="28"/>
      <c r="AH1526" s="28"/>
      <c r="AI1526" s="28"/>
      <c r="AJ1526" s="28"/>
      <c r="AK1526" s="28"/>
      <c r="AL1526" s="28"/>
      <c r="AM1526" s="28"/>
      <c r="AN1526" s="28"/>
      <c r="AO1526" s="28"/>
      <c r="AP1526" s="28"/>
      <c r="AQ1526" s="28"/>
      <c r="AR1526" s="28"/>
      <c r="AS1526" s="28"/>
      <c r="AT1526" s="28"/>
      <c r="AU1526" s="28"/>
      <c r="AV1526" s="28"/>
      <c r="AW1526" s="28"/>
      <c r="AX1526" s="28"/>
      <c r="AY1526" s="28"/>
      <c r="AZ1526" s="28"/>
      <c r="BA1526" s="28"/>
      <c r="BB1526" s="28"/>
    </row>
    <row r="1527" spans="1:54" ht="12.75" x14ac:dyDescent="0.2">
      <c r="A1527" s="28"/>
      <c r="B1527" s="28"/>
      <c r="C1527" s="28"/>
      <c r="D1527" s="28"/>
      <c r="E1527" s="28"/>
      <c r="F1527" s="28"/>
      <c r="G1527" s="28"/>
      <c r="H1527" s="28"/>
      <c r="I1527" s="28"/>
      <c r="J1527" s="28"/>
      <c r="K1527" s="28"/>
      <c r="L1527" s="28"/>
      <c r="M1527" s="28"/>
      <c r="N1527" s="28"/>
      <c r="O1527" s="28"/>
      <c r="P1527" s="28"/>
      <c r="Q1527" s="28"/>
      <c r="R1527" s="28"/>
      <c r="S1527" s="28"/>
      <c r="T1527" s="28"/>
      <c r="U1527" s="28"/>
      <c r="V1527" s="28"/>
      <c r="W1527" s="28"/>
      <c r="X1527" s="28"/>
      <c r="Y1527" s="28"/>
      <c r="Z1527" s="28"/>
      <c r="AA1527" s="28"/>
      <c r="AB1527" s="28"/>
      <c r="AC1527" s="28"/>
      <c r="AD1527" s="28"/>
      <c r="AE1527" s="28"/>
      <c r="AF1527" s="28"/>
      <c r="AG1527" s="28"/>
      <c r="AH1527" s="28"/>
      <c r="AI1527" s="28"/>
      <c r="AJ1527" s="28"/>
      <c r="AK1527" s="28"/>
      <c r="AL1527" s="28"/>
      <c r="AM1527" s="28"/>
      <c r="AN1527" s="28"/>
      <c r="AO1527" s="28"/>
      <c r="AP1527" s="28"/>
      <c r="AQ1527" s="28"/>
      <c r="AR1527" s="28"/>
      <c r="AS1527" s="28"/>
      <c r="AT1527" s="28"/>
      <c r="AU1527" s="28"/>
      <c r="AV1527" s="28"/>
      <c r="AW1527" s="28"/>
      <c r="AX1527" s="28"/>
      <c r="AY1527" s="28"/>
      <c r="AZ1527" s="28"/>
      <c r="BA1527" s="28"/>
      <c r="BB1527" s="28"/>
    </row>
    <row r="1528" spans="1:54" ht="12.75" x14ac:dyDescent="0.2">
      <c r="A1528" s="28"/>
      <c r="B1528" s="28"/>
      <c r="C1528" s="28"/>
      <c r="D1528" s="28"/>
      <c r="E1528" s="28"/>
      <c r="F1528" s="28"/>
      <c r="G1528" s="28"/>
      <c r="H1528" s="28"/>
      <c r="I1528" s="28"/>
      <c r="J1528" s="28"/>
      <c r="K1528" s="28"/>
      <c r="L1528" s="28"/>
      <c r="M1528" s="28"/>
      <c r="N1528" s="28"/>
      <c r="O1528" s="28"/>
      <c r="P1528" s="28"/>
      <c r="Q1528" s="28"/>
      <c r="R1528" s="28"/>
      <c r="S1528" s="28"/>
      <c r="T1528" s="28"/>
      <c r="U1528" s="28"/>
      <c r="V1528" s="28"/>
      <c r="W1528" s="28"/>
      <c r="X1528" s="28"/>
      <c r="Y1528" s="28"/>
      <c r="Z1528" s="28"/>
      <c r="AA1528" s="28"/>
      <c r="AB1528" s="28"/>
      <c r="AC1528" s="28"/>
      <c r="AD1528" s="28"/>
      <c r="AE1528" s="28"/>
      <c r="AF1528" s="28"/>
      <c r="AG1528" s="28"/>
      <c r="AH1528" s="28"/>
      <c r="AI1528" s="28"/>
      <c r="AJ1528" s="28"/>
      <c r="AK1528" s="28"/>
      <c r="AL1528" s="28"/>
      <c r="AM1528" s="28"/>
      <c r="AN1528" s="28"/>
      <c r="AO1528" s="28"/>
      <c r="AP1528" s="28"/>
      <c r="AQ1528" s="28"/>
      <c r="AR1528" s="28"/>
      <c r="AS1528" s="28"/>
      <c r="AT1528" s="28"/>
      <c r="AU1528" s="28"/>
      <c r="AV1528" s="28"/>
      <c r="AW1528" s="28"/>
      <c r="AX1528" s="28"/>
      <c r="AY1528" s="28"/>
      <c r="AZ1528" s="28"/>
      <c r="BA1528" s="28"/>
      <c r="BB1528" s="28"/>
    </row>
    <row r="1529" spans="1:54" ht="12.75" x14ac:dyDescent="0.2">
      <c r="A1529" s="28"/>
      <c r="B1529" s="28"/>
      <c r="C1529" s="28"/>
      <c r="D1529" s="28"/>
      <c r="E1529" s="28"/>
      <c r="F1529" s="28"/>
      <c r="G1529" s="28"/>
      <c r="H1529" s="28"/>
      <c r="I1529" s="28"/>
      <c r="J1529" s="28"/>
      <c r="K1529" s="28"/>
      <c r="L1529" s="28"/>
      <c r="M1529" s="28"/>
      <c r="N1529" s="28"/>
      <c r="O1529" s="28"/>
      <c r="P1529" s="28"/>
      <c r="Q1529" s="28"/>
      <c r="R1529" s="28"/>
      <c r="S1529" s="28"/>
      <c r="T1529" s="28"/>
      <c r="U1529" s="28"/>
      <c r="V1529" s="28"/>
      <c r="W1529" s="28"/>
      <c r="X1529" s="28"/>
      <c r="Y1529" s="28"/>
      <c r="Z1529" s="28"/>
      <c r="AA1529" s="28"/>
      <c r="AB1529" s="28"/>
      <c r="AC1529" s="28"/>
      <c r="AD1529" s="28"/>
      <c r="AE1529" s="28"/>
      <c r="AF1529" s="28"/>
      <c r="AG1529" s="28"/>
      <c r="AH1529" s="28"/>
      <c r="AI1529" s="28"/>
      <c r="AJ1529" s="28"/>
      <c r="AK1529" s="28"/>
      <c r="AL1529" s="28"/>
      <c r="AM1529" s="28"/>
      <c r="AN1529" s="28"/>
      <c r="AO1529" s="28"/>
      <c r="AP1529" s="28"/>
      <c r="AQ1529" s="28"/>
      <c r="AR1529" s="28"/>
      <c r="AS1529" s="28"/>
      <c r="AT1529" s="28"/>
      <c r="AU1529" s="28"/>
      <c r="AV1529" s="28"/>
      <c r="AW1529" s="28"/>
      <c r="AX1529" s="28"/>
      <c r="AY1529" s="28"/>
      <c r="AZ1529" s="28"/>
      <c r="BA1529" s="28"/>
      <c r="BB1529" s="28"/>
    </row>
    <row r="1530" spans="1:54" ht="12.75" x14ac:dyDescent="0.2">
      <c r="A1530" s="28"/>
      <c r="B1530" s="28"/>
      <c r="C1530" s="28"/>
      <c r="D1530" s="28"/>
      <c r="E1530" s="28"/>
      <c r="F1530" s="28"/>
      <c r="G1530" s="28"/>
      <c r="H1530" s="28"/>
      <c r="I1530" s="28"/>
      <c r="J1530" s="28"/>
      <c r="K1530" s="28"/>
      <c r="L1530" s="28"/>
      <c r="M1530" s="28"/>
      <c r="N1530" s="28"/>
      <c r="O1530" s="28"/>
      <c r="P1530" s="28"/>
      <c r="Q1530" s="28"/>
      <c r="R1530" s="28"/>
      <c r="S1530" s="28"/>
      <c r="T1530" s="28"/>
      <c r="U1530" s="28"/>
      <c r="V1530" s="28"/>
      <c r="W1530" s="28"/>
      <c r="X1530" s="28"/>
      <c r="Y1530" s="28"/>
      <c r="Z1530" s="28"/>
      <c r="AA1530" s="28"/>
      <c r="AB1530" s="28"/>
      <c r="AC1530" s="28"/>
      <c r="AD1530" s="28"/>
      <c r="AE1530" s="28"/>
      <c r="AF1530" s="28"/>
      <c r="AG1530" s="28"/>
      <c r="AH1530" s="28"/>
      <c r="AI1530" s="28"/>
      <c r="AJ1530" s="28"/>
      <c r="AK1530" s="28"/>
      <c r="AL1530" s="28"/>
      <c r="AM1530" s="28"/>
      <c r="AN1530" s="28"/>
      <c r="AO1530" s="28"/>
      <c r="AP1530" s="28"/>
      <c r="AQ1530" s="28"/>
      <c r="AR1530" s="28"/>
      <c r="AS1530" s="28"/>
      <c r="AT1530" s="28"/>
      <c r="AU1530" s="28"/>
      <c r="AV1530" s="28"/>
      <c r="AW1530" s="28"/>
      <c r="AX1530" s="28"/>
      <c r="AY1530" s="28"/>
      <c r="AZ1530" s="28"/>
      <c r="BA1530" s="28"/>
      <c r="BB1530" s="28"/>
    </row>
    <row r="1531" spans="1:54" ht="12.75" x14ac:dyDescent="0.2">
      <c r="A1531" s="28"/>
      <c r="B1531" s="28"/>
      <c r="C1531" s="28"/>
      <c r="D1531" s="28"/>
      <c r="E1531" s="28"/>
      <c r="F1531" s="28"/>
      <c r="G1531" s="28"/>
      <c r="H1531" s="28"/>
      <c r="I1531" s="28"/>
      <c r="J1531" s="28"/>
      <c r="K1531" s="28"/>
      <c r="L1531" s="28"/>
      <c r="M1531" s="28"/>
      <c r="N1531" s="28"/>
      <c r="O1531" s="28"/>
      <c r="P1531" s="28"/>
      <c r="Q1531" s="28"/>
      <c r="R1531" s="28"/>
      <c r="S1531" s="28"/>
      <c r="T1531" s="28"/>
      <c r="U1531" s="28"/>
      <c r="V1531" s="28"/>
      <c r="W1531" s="28"/>
      <c r="X1531" s="28"/>
      <c r="Y1531" s="28"/>
      <c r="Z1531" s="28"/>
      <c r="AA1531" s="28"/>
      <c r="AB1531" s="28"/>
      <c r="AC1531" s="28"/>
      <c r="AD1531" s="28"/>
      <c r="AE1531" s="28"/>
      <c r="AF1531" s="28"/>
      <c r="AG1531" s="28"/>
      <c r="AH1531" s="28"/>
      <c r="AI1531" s="28"/>
      <c r="AJ1531" s="28"/>
      <c r="AK1531" s="28"/>
      <c r="AL1531" s="28"/>
      <c r="AM1531" s="28"/>
      <c r="AN1531" s="28"/>
      <c r="AO1531" s="28"/>
      <c r="AP1531" s="28"/>
      <c r="AQ1531" s="28"/>
      <c r="AR1531" s="28"/>
      <c r="AS1531" s="28"/>
      <c r="AT1531" s="28"/>
      <c r="AU1531" s="28"/>
      <c r="AV1531" s="28"/>
      <c r="AW1531" s="28"/>
      <c r="AX1531" s="28"/>
      <c r="AY1531" s="28"/>
      <c r="AZ1531" s="28"/>
      <c r="BA1531" s="28"/>
      <c r="BB1531" s="28"/>
    </row>
    <row r="1532" spans="1:54" ht="12.75" x14ac:dyDescent="0.2">
      <c r="A1532" s="28"/>
      <c r="B1532" s="28"/>
      <c r="C1532" s="28"/>
      <c r="D1532" s="28"/>
      <c r="E1532" s="28"/>
      <c r="F1532" s="28"/>
      <c r="G1532" s="28"/>
      <c r="H1532" s="28"/>
      <c r="I1532" s="28"/>
      <c r="J1532" s="28"/>
      <c r="K1532" s="28"/>
      <c r="L1532" s="28"/>
      <c r="M1532" s="28"/>
      <c r="N1532" s="28"/>
      <c r="O1532" s="28"/>
      <c r="P1532" s="28"/>
      <c r="Q1532" s="28"/>
      <c r="R1532" s="28"/>
      <c r="S1532" s="28"/>
      <c r="T1532" s="28"/>
      <c r="U1532" s="28"/>
      <c r="V1532" s="28"/>
      <c r="W1532" s="28"/>
      <c r="X1532" s="28"/>
      <c r="Y1532" s="28"/>
      <c r="Z1532" s="28"/>
      <c r="AA1532" s="28"/>
      <c r="AB1532" s="28"/>
      <c r="AC1532" s="28"/>
      <c r="AD1532" s="28"/>
      <c r="AE1532" s="28"/>
      <c r="AF1532" s="28"/>
      <c r="AG1532" s="28"/>
      <c r="AH1532" s="28"/>
      <c r="AI1532" s="28"/>
      <c r="AJ1532" s="28"/>
      <c r="AK1532" s="28"/>
      <c r="AL1532" s="28"/>
      <c r="AM1532" s="28"/>
      <c r="AN1532" s="28"/>
      <c r="AO1532" s="28"/>
      <c r="AP1532" s="28"/>
      <c r="AQ1532" s="28"/>
      <c r="AR1532" s="28"/>
      <c r="AS1532" s="28"/>
      <c r="AT1532" s="28"/>
      <c r="AU1532" s="28"/>
      <c r="AV1532" s="28"/>
      <c r="AW1532" s="28"/>
      <c r="AX1532" s="28"/>
      <c r="AY1532" s="28"/>
      <c r="AZ1532" s="28"/>
      <c r="BA1532" s="28"/>
      <c r="BB1532" s="28"/>
    </row>
    <row r="1533" spans="1:54" ht="12.75" x14ac:dyDescent="0.2">
      <c r="A1533" s="28"/>
      <c r="B1533" s="28"/>
      <c r="C1533" s="28"/>
      <c r="D1533" s="28"/>
      <c r="E1533" s="28"/>
      <c r="F1533" s="28"/>
      <c r="G1533" s="28"/>
      <c r="H1533" s="28"/>
      <c r="I1533" s="28"/>
      <c r="J1533" s="28"/>
      <c r="K1533" s="28"/>
      <c r="L1533" s="28"/>
      <c r="M1533" s="28"/>
      <c r="N1533" s="28"/>
      <c r="O1533" s="28"/>
      <c r="P1533" s="28"/>
      <c r="Q1533" s="28"/>
      <c r="R1533" s="28"/>
      <c r="S1533" s="28"/>
      <c r="T1533" s="28"/>
      <c r="U1533" s="28"/>
      <c r="V1533" s="28"/>
      <c r="W1533" s="28"/>
      <c r="X1533" s="28"/>
      <c r="Y1533" s="28"/>
      <c r="Z1533" s="28"/>
      <c r="AA1533" s="28"/>
      <c r="AB1533" s="28"/>
      <c r="AC1533" s="28"/>
      <c r="AD1533" s="28"/>
      <c r="AE1533" s="28"/>
      <c r="AF1533" s="28"/>
      <c r="AG1533" s="28"/>
      <c r="AH1533" s="28"/>
      <c r="AI1533" s="28"/>
      <c r="AJ1533" s="28"/>
      <c r="AK1533" s="28"/>
      <c r="AL1533" s="28"/>
      <c r="AM1533" s="28"/>
      <c r="AN1533" s="28"/>
      <c r="AO1533" s="28"/>
      <c r="AP1533" s="28"/>
      <c r="AQ1533" s="28"/>
      <c r="AR1533" s="28"/>
      <c r="AS1533" s="28"/>
      <c r="AT1533" s="28"/>
      <c r="AU1533" s="28"/>
      <c r="AV1533" s="28"/>
      <c r="AW1533" s="28"/>
      <c r="AX1533" s="28"/>
      <c r="AY1533" s="28"/>
      <c r="AZ1533" s="28"/>
      <c r="BA1533" s="28"/>
      <c r="BB1533" s="28"/>
    </row>
    <row r="1534" spans="1:54" ht="12.75" x14ac:dyDescent="0.2">
      <c r="A1534" s="28"/>
      <c r="B1534" s="28"/>
      <c r="C1534" s="28"/>
      <c r="D1534" s="28"/>
      <c r="E1534" s="28"/>
      <c r="F1534" s="28"/>
      <c r="G1534" s="28"/>
      <c r="H1534" s="28"/>
      <c r="I1534" s="28"/>
      <c r="J1534" s="28"/>
      <c r="K1534" s="28"/>
      <c r="L1534" s="28"/>
      <c r="M1534" s="28"/>
      <c r="N1534" s="28"/>
      <c r="O1534" s="28"/>
      <c r="P1534" s="28"/>
      <c r="Q1534" s="28"/>
      <c r="R1534" s="28"/>
      <c r="S1534" s="28"/>
      <c r="T1534" s="28"/>
      <c r="U1534" s="28"/>
      <c r="V1534" s="28"/>
      <c r="W1534" s="28"/>
      <c r="X1534" s="28"/>
      <c r="Y1534" s="28"/>
      <c r="Z1534" s="28"/>
      <c r="AA1534" s="28"/>
      <c r="AB1534" s="28"/>
      <c r="AC1534" s="28"/>
      <c r="AD1534" s="28"/>
      <c r="AE1534" s="28"/>
      <c r="AF1534" s="28"/>
      <c r="AG1534" s="28"/>
      <c r="AH1534" s="28"/>
      <c r="AI1534" s="28"/>
      <c r="AJ1534" s="28"/>
      <c r="AK1534" s="28"/>
      <c r="AL1534" s="28"/>
      <c r="AM1534" s="28"/>
      <c r="AN1534" s="28"/>
      <c r="AO1534" s="28"/>
      <c r="AP1534" s="28"/>
      <c r="AQ1534" s="28"/>
      <c r="AR1534" s="28"/>
      <c r="AS1534" s="28"/>
      <c r="AT1534" s="28"/>
      <c r="AU1534" s="28"/>
      <c r="AV1534" s="28"/>
      <c r="AW1534" s="28"/>
      <c r="AX1534" s="28"/>
      <c r="AY1534" s="28"/>
      <c r="AZ1534" s="28"/>
      <c r="BA1534" s="28"/>
      <c r="BB1534" s="28"/>
    </row>
    <row r="1535" spans="1:54" ht="12.75" x14ac:dyDescent="0.2">
      <c r="A1535" s="28"/>
      <c r="B1535" s="28"/>
      <c r="C1535" s="28"/>
      <c r="D1535" s="28"/>
      <c r="E1535" s="28"/>
      <c r="F1535" s="28"/>
      <c r="G1535" s="28"/>
      <c r="H1535" s="28"/>
      <c r="I1535" s="28"/>
      <c r="J1535" s="28"/>
      <c r="K1535" s="28"/>
      <c r="L1535" s="28"/>
      <c r="M1535" s="28"/>
      <c r="N1535" s="28"/>
      <c r="O1535" s="28"/>
      <c r="P1535" s="28"/>
      <c r="Q1535" s="28"/>
      <c r="R1535" s="28"/>
      <c r="S1535" s="28"/>
      <c r="T1535" s="28"/>
      <c r="U1535" s="28"/>
      <c r="V1535" s="28"/>
      <c r="W1535" s="28"/>
      <c r="X1535" s="28"/>
      <c r="Y1535" s="28"/>
      <c r="Z1535" s="28"/>
      <c r="AA1535" s="28"/>
      <c r="AB1535" s="28"/>
      <c r="AC1535" s="28"/>
      <c r="AD1535" s="28"/>
      <c r="AE1535" s="28"/>
      <c r="AF1535" s="28"/>
      <c r="AG1535" s="28"/>
      <c r="AH1535" s="28"/>
      <c r="AI1535" s="28"/>
      <c r="AJ1535" s="28"/>
      <c r="AK1535" s="28"/>
      <c r="AL1535" s="28"/>
      <c r="AM1535" s="28"/>
      <c r="AN1535" s="28"/>
      <c r="AO1535" s="28"/>
      <c r="AP1535" s="28"/>
      <c r="AQ1535" s="28"/>
      <c r="AR1535" s="28"/>
      <c r="AS1535" s="28"/>
      <c r="AT1535" s="28"/>
      <c r="AU1535" s="28"/>
      <c r="AV1535" s="28"/>
      <c r="AW1535" s="28"/>
      <c r="AX1535" s="28"/>
      <c r="AY1535" s="28"/>
      <c r="AZ1535" s="28"/>
      <c r="BA1535" s="28"/>
      <c r="BB1535" s="28"/>
    </row>
    <row r="1536" spans="1:54" ht="12.75" x14ac:dyDescent="0.2">
      <c r="A1536" s="28"/>
      <c r="B1536" s="28"/>
      <c r="C1536" s="28"/>
      <c r="D1536" s="28"/>
      <c r="E1536" s="28"/>
      <c r="F1536" s="28"/>
      <c r="G1536" s="28"/>
      <c r="H1536" s="28"/>
      <c r="I1536" s="28"/>
      <c r="J1536" s="28"/>
      <c r="K1536" s="28"/>
      <c r="L1536" s="28"/>
      <c r="M1536" s="28"/>
      <c r="N1536" s="28"/>
      <c r="O1536" s="28"/>
      <c r="P1536" s="28"/>
      <c r="Q1536" s="28"/>
      <c r="R1536" s="28"/>
      <c r="S1536" s="28"/>
      <c r="T1536" s="28"/>
      <c r="U1536" s="28"/>
      <c r="V1536" s="28"/>
      <c r="W1536" s="28"/>
      <c r="X1536" s="28"/>
      <c r="Y1536" s="28"/>
      <c r="Z1536" s="28"/>
      <c r="AA1536" s="28"/>
      <c r="AB1536" s="28"/>
      <c r="AC1536" s="28"/>
      <c r="AD1536" s="28"/>
      <c r="AE1536" s="28"/>
      <c r="AF1536" s="28"/>
      <c r="AG1536" s="28"/>
      <c r="AH1536" s="28"/>
      <c r="AI1536" s="28"/>
      <c r="AJ1536" s="28"/>
      <c r="AK1536" s="28"/>
      <c r="AL1536" s="28"/>
      <c r="AM1536" s="28"/>
      <c r="AN1536" s="28"/>
      <c r="AO1536" s="28"/>
      <c r="AP1536" s="28"/>
      <c r="AQ1536" s="28"/>
      <c r="AR1536" s="28"/>
      <c r="AS1536" s="28"/>
      <c r="AT1536" s="28"/>
      <c r="AU1536" s="28"/>
      <c r="AV1536" s="28"/>
      <c r="AW1536" s="28"/>
      <c r="AX1536" s="28"/>
      <c r="AY1536" s="28"/>
      <c r="AZ1536" s="28"/>
      <c r="BA1536" s="28"/>
      <c r="BB1536" s="28"/>
    </row>
    <row r="1537" spans="1:54" ht="12.75" x14ac:dyDescent="0.2">
      <c r="A1537" s="28"/>
      <c r="B1537" s="28"/>
      <c r="C1537" s="28"/>
      <c r="D1537" s="28"/>
      <c r="E1537" s="28"/>
      <c r="F1537" s="28"/>
      <c r="G1537" s="28"/>
      <c r="H1537" s="28"/>
      <c r="I1537" s="28"/>
      <c r="J1537" s="28"/>
      <c r="K1537" s="28"/>
      <c r="L1537" s="28"/>
      <c r="M1537" s="28"/>
      <c r="N1537" s="28"/>
      <c r="O1537" s="28"/>
      <c r="P1537" s="28"/>
      <c r="Q1537" s="28"/>
      <c r="R1537" s="28"/>
      <c r="S1537" s="28"/>
      <c r="T1537" s="28"/>
      <c r="U1537" s="28"/>
      <c r="V1537" s="28"/>
      <c r="W1537" s="28"/>
      <c r="X1537" s="28"/>
      <c r="Y1537" s="28"/>
      <c r="Z1537" s="28"/>
      <c r="AA1537" s="28"/>
      <c r="AB1537" s="28"/>
      <c r="AC1537" s="28"/>
      <c r="AD1537" s="28"/>
      <c r="AE1537" s="28"/>
      <c r="AF1537" s="28"/>
      <c r="AG1537" s="28"/>
      <c r="AH1537" s="28"/>
      <c r="AI1537" s="28"/>
      <c r="AJ1537" s="28"/>
      <c r="AK1537" s="28"/>
      <c r="AL1537" s="28"/>
      <c r="AM1537" s="28"/>
      <c r="AN1537" s="28"/>
      <c r="AO1537" s="28"/>
      <c r="AP1537" s="28"/>
      <c r="AQ1537" s="28"/>
      <c r="AR1537" s="28"/>
      <c r="AS1537" s="28"/>
      <c r="AT1537" s="28"/>
      <c r="AU1537" s="28"/>
      <c r="AV1537" s="28"/>
      <c r="AW1537" s="28"/>
      <c r="AX1537" s="28"/>
      <c r="AY1537" s="28"/>
      <c r="AZ1537" s="28"/>
      <c r="BA1537" s="28"/>
      <c r="BB1537" s="28"/>
    </row>
    <row r="1538" spans="1:54" ht="12.75" x14ac:dyDescent="0.2">
      <c r="A1538" s="28"/>
      <c r="B1538" s="28"/>
      <c r="C1538" s="28"/>
      <c r="D1538" s="28"/>
      <c r="E1538" s="28"/>
      <c r="F1538" s="28"/>
      <c r="G1538" s="28"/>
      <c r="H1538" s="28"/>
      <c r="I1538" s="28"/>
      <c r="J1538" s="28"/>
      <c r="K1538" s="28"/>
      <c r="L1538" s="28"/>
      <c r="M1538" s="28"/>
      <c r="N1538" s="28"/>
      <c r="O1538" s="28"/>
      <c r="P1538" s="28"/>
      <c r="Q1538" s="28"/>
      <c r="R1538" s="28"/>
      <c r="S1538" s="28"/>
      <c r="T1538" s="28"/>
      <c r="U1538" s="28"/>
      <c r="V1538" s="28"/>
      <c r="W1538" s="28"/>
      <c r="X1538" s="28"/>
      <c r="Y1538" s="28"/>
      <c r="Z1538" s="28"/>
      <c r="AA1538" s="28"/>
      <c r="AB1538" s="28"/>
      <c r="AC1538" s="28"/>
      <c r="AD1538" s="28"/>
      <c r="AE1538" s="28"/>
      <c r="AF1538" s="28"/>
      <c r="AG1538" s="28"/>
      <c r="AH1538" s="28"/>
      <c r="AI1538" s="28"/>
      <c r="AJ1538" s="28"/>
      <c r="AK1538" s="28"/>
      <c r="AL1538" s="28"/>
      <c r="AM1538" s="28"/>
      <c r="AN1538" s="28"/>
      <c r="AO1538" s="28"/>
      <c r="AP1538" s="28"/>
      <c r="AQ1538" s="28"/>
      <c r="AR1538" s="28"/>
      <c r="AS1538" s="28"/>
      <c r="AT1538" s="28"/>
      <c r="AU1538" s="28"/>
      <c r="AV1538" s="28"/>
      <c r="AW1538" s="28"/>
      <c r="AX1538" s="28"/>
      <c r="AY1538" s="28"/>
      <c r="AZ1538" s="28"/>
      <c r="BA1538" s="28"/>
      <c r="BB1538" s="28"/>
    </row>
    <row r="1539" spans="1:54" ht="12.75" x14ac:dyDescent="0.2">
      <c r="A1539" s="28"/>
      <c r="B1539" s="28"/>
      <c r="C1539" s="28"/>
      <c r="D1539" s="28"/>
      <c r="E1539" s="28"/>
      <c r="F1539" s="28"/>
      <c r="G1539" s="28"/>
      <c r="H1539" s="28"/>
      <c r="I1539" s="28"/>
      <c r="J1539" s="28"/>
      <c r="K1539" s="28"/>
      <c r="L1539" s="28"/>
      <c r="M1539" s="28"/>
      <c r="N1539" s="28"/>
      <c r="O1539" s="28"/>
      <c r="P1539" s="28"/>
      <c r="Q1539" s="28"/>
      <c r="R1539" s="28"/>
      <c r="S1539" s="28"/>
      <c r="T1539" s="28"/>
      <c r="U1539" s="28"/>
      <c r="V1539" s="28"/>
      <c r="W1539" s="28"/>
      <c r="X1539" s="28"/>
      <c r="Y1539" s="28"/>
      <c r="Z1539" s="28"/>
      <c r="AA1539" s="28"/>
      <c r="AB1539" s="28"/>
      <c r="AC1539" s="28"/>
      <c r="AD1539" s="28"/>
      <c r="AE1539" s="28"/>
      <c r="AF1539" s="28"/>
      <c r="AG1539" s="28"/>
      <c r="AH1539" s="28"/>
      <c r="AI1539" s="28"/>
      <c r="AJ1539" s="28"/>
      <c r="AK1539" s="28"/>
      <c r="AL1539" s="28"/>
      <c r="AM1539" s="28"/>
      <c r="AN1539" s="28"/>
      <c r="AO1539" s="28"/>
      <c r="AP1539" s="28"/>
      <c r="AQ1539" s="28"/>
      <c r="AR1539" s="28"/>
      <c r="AS1539" s="28"/>
      <c r="AT1539" s="28"/>
      <c r="AU1539" s="28"/>
      <c r="AV1539" s="28"/>
      <c r="AW1539" s="28"/>
      <c r="AX1539" s="28"/>
      <c r="AY1539" s="28"/>
      <c r="AZ1539" s="28"/>
      <c r="BA1539" s="28"/>
      <c r="BB1539" s="28"/>
    </row>
    <row r="1540" spans="1:54" ht="12.75" x14ac:dyDescent="0.2">
      <c r="A1540" s="28"/>
      <c r="B1540" s="28"/>
      <c r="C1540" s="28"/>
      <c r="D1540" s="28"/>
      <c r="E1540" s="28"/>
      <c r="F1540" s="28"/>
      <c r="G1540" s="28"/>
      <c r="H1540" s="28"/>
      <c r="I1540" s="28"/>
      <c r="J1540" s="28"/>
      <c r="K1540" s="28"/>
      <c r="L1540" s="28"/>
      <c r="M1540" s="28"/>
      <c r="N1540" s="28"/>
      <c r="O1540" s="28"/>
      <c r="P1540" s="28"/>
      <c r="Q1540" s="28"/>
      <c r="R1540" s="28"/>
      <c r="S1540" s="28"/>
      <c r="T1540" s="28"/>
      <c r="U1540" s="28"/>
      <c r="V1540" s="28"/>
      <c r="W1540" s="28"/>
      <c r="X1540" s="28"/>
      <c r="Y1540" s="28"/>
      <c r="Z1540" s="28"/>
      <c r="AA1540" s="28"/>
      <c r="AB1540" s="28"/>
      <c r="AC1540" s="28"/>
      <c r="AD1540" s="28"/>
      <c r="AE1540" s="28"/>
      <c r="AF1540" s="28"/>
      <c r="AG1540" s="28"/>
      <c r="AH1540" s="28"/>
      <c r="AI1540" s="28"/>
      <c r="AJ1540" s="28"/>
      <c r="AK1540" s="28"/>
      <c r="AL1540" s="28"/>
      <c r="AM1540" s="28"/>
      <c r="AN1540" s="28"/>
      <c r="AO1540" s="28"/>
      <c r="AP1540" s="28"/>
      <c r="AQ1540" s="28"/>
      <c r="AR1540" s="28"/>
      <c r="AS1540" s="28"/>
      <c r="AT1540" s="28"/>
      <c r="AU1540" s="28"/>
      <c r="AV1540" s="28"/>
      <c r="AW1540" s="28"/>
      <c r="AX1540" s="28"/>
      <c r="AY1540" s="28"/>
      <c r="AZ1540" s="28"/>
      <c r="BA1540" s="28"/>
      <c r="BB1540" s="28"/>
    </row>
    <row r="1541" spans="1:54" ht="12.75" x14ac:dyDescent="0.2">
      <c r="A1541" s="28"/>
      <c r="B1541" s="28"/>
      <c r="C1541" s="28"/>
      <c r="D1541" s="28"/>
      <c r="E1541" s="28"/>
      <c r="F1541" s="28"/>
      <c r="G1541" s="28"/>
      <c r="H1541" s="28"/>
      <c r="I1541" s="28"/>
      <c r="J1541" s="28"/>
      <c r="K1541" s="28"/>
      <c r="L1541" s="28"/>
      <c r="M1541" s="28"/>
      <c r="N1541" s="28"/>
      <c r="O1541" s="28"/>
      <c r="P1541" s="28"/>
      <c r="Q1541" s="28"/>
      <c r="R1541" s="28"/>
      <c r="S1541" s="28"/>
      <c r="T1541" s="28"/>
      <c r="U1541" s="28"/>
      <c r="V1541" s="28"/>
      <c r="W1541" s="28"/>
      <c r="X1541" s="28"/>
      <c r="Y1541" s="28"/>
      <c r="Z1541" s="28"/>
      <c r="AA1541" s="28"/>
      <c r="AB1541" s="28"/>
      <c r="AC1541" s="28"/>
      <c r="AD1541" s="28"/>
      <c r="AE1541" s="28"/>
      <c r="AF1541" s="28"/>
      <c r="AG1541" s="28"/>
      <c r="AH1541" s="28"/>
      <c r="AI1541" s="28"/>
      <c r="AJ1541" s="28"/>
      <c r="AK1541" s="28"/>
      <c r="AL1541" s="28"/>
      <c r="AM1541" s="28"/>
      <c r="AN1541" s="28"/>
      <c r="AO1541" s="28"/>
      <c r="AP1541" s="28"/>
      <c r="AQ1541" s="28"/>
      <c r="AR1541" s="28"/>
      <c r="AS1541" s="28"/>
      <c r="AT1541" s="28"/>
      <c r="AU1541" s="28"/>
      <c r="AV1541" s="28"/>
      <c r="AW1541" s="28"/>
      <c r="AX1541" s="28"/>
      <c r="AY1541" s="28"/>
      <c r="AZ1541" s="28"/>
      <c r="BA1541" s="28"/>
      <c r="BB1541" s="28"/>
    </row>
    <row r="1542" spans="1:54" ht="12.75" x14ac:dyDescent="0.2">
      <c r="A1542" s="28"/>
      <c r="B1542" s="28"/>
      <c r="C1542" s="28"/>
      <c r="D1542" s="28"/>
      <c r="E1542" s="28"/>
      <c r="F1542" s="28"/>
      <c r="G1542" s="28"/>
      <c r="H1542" s="28"/>
      <c r="I1542" s="28"/>
      <c r="J1542" s="28"/>
      <c r="K1542" s="28"/>
      <c r="L1542" s="28"/>
      <c r="M1542" s="28"/>
      <c r="N1542" s="28"/>
      <c r="O1542" s="28"/>
      <c r="P1542" s="28"/>
      <c r="Q1542" s="28"/>
      <c r="R1542" s="28"/>
      <c r="S1542" s="28"/>
      <c r="T1542" s="28"/>
      <c r="U1542" s="28"/>
      <c r="V1542" s="28"/>
      <c r="W1542" s="28"/>
      <c r="X1542" s="28"/>
      <c r="Y1542" s="28"/>
      <c r="Z1542" s="28"/>
      <c r="AA1542" s="28"/>
      <c r="AB1542" s="28"/>
      <c r="AC1542" s="28"/>
      <c r="AD1542" s="28"/>
      <c r="AE1542" s="28"/>
      <c r="AF1542" s="28"/>
      <c r="AG1542" s="28"/>
      <c r="AH1542" s="28"/>
      <c r="AI1542" s="28"/>
      <c r="AJ1542" s="28"/>
      <c r="AK1542" s="28"/>
      <c r="AL1542" s="28"/>
      <c r="AM1542" s="28"/>
      <c r="AN1542" s="28"/>
      <c r="AO1542" s="28"/>
      <c r="AP1542" s="28"/>
      <c r="AQ1542" s="28"/>
      <c r="AR1542" s="28"/>
      <c r="AS1542" s="28"/>
      <c r="AT1542" s="28"/>
      <c r="AU1542" s="28"/>
      <c r="AV1542" s="28"/>
      <c r="AW1542" s="28"/>
      <c r="AX1542" s="28"/>
      <c r="AY1542" s="28"/>
      <c r="AZ1542" s="28"/>
      <c r="BA1542" s="28"/>
      <c r="BB1542" s="28"/>
    </row>
    <row r="1543" spans="1:54" ht="12.75" x14ac:dyDescent="0.2">
      <c r="A1543" s="28"/>
      <c r="B1543" s="28"/>
      <c r="C1543" s="28"/>
      <c r="D1543" s="28"/>
      <c r="E1543" s="28"/>
      <c r="F1543" s="28"/>
      <c r="G1543" s="28"/>
      <c r="H1543" s="28"/>
      <c r="I1543" s="28"/>
      <c r="J1543" s="28"/>
      <c r="K1543" s="28"/>
      <c r="L1543" s="28"/>
      <c r="M1543" s="28"/>
      <c r="N1543" s="28"/>
      <c r="O1543" s="28"/>
      <c r="P1543" s="28"/>
      <c r="Q1543" s="28"/>
      <c r="R1543" s="28"/>
      <c r="S1543" s="28"/>
      <c r="T1543" s="28"/>
      <c r="U1543" s="28"/>
      <c r="V1543" s="28"/>
      <c r="W1543" s="28"/>
      <c r="X1543" s="28"/>
      <c r="Y1543" s="28"/>
      <c r="Z1543" s="28"/>
      <c r="AA1543" s="28"/>
      <c r="AB1543" s="28"/>
      <c r="AC1543" s="28"/>
      <c r="AD1543" s="28"/>
      <c r="AE1543" s="28"/>
      <c r="AF1543" s="28"/>
      <c r="AG1543" s="28"/>
      <c r="AH1543" s="28"/>
      <c r="AI1543" s="28"/>
      <c r="AJ1543" s="28"/>
      <c r="AK1543" s="28"/>
      <c r="AL1543" s="28"/>
      <c r="AM1543" s="28"/>
      <c r="AN1543" s="28"/>
      <c r="AO1543" s="28"/>
      <c r="AP1543" s="28"/>
      <c r="AQ1543" s="28"/>
      <c r="AR1543" s="28"/>
      <c r="AS1543" s="28"/>
      <c r="AT1543" s="28"/>
      <c r="AU1543" s="28"/>
      <c r="AV1543" s="28"/>
      <c r="AW1543" s="28"/>
      <c r="AX1543" s="28"/>
      <c r="AY1543" s="28"/>
      <c r="AZ1543" s="28"/>
      <c r="BA1543" s="28"/>
      <c r="BB1543" s="28"/>
    </row>
    <row r="1544" spans="1:54" ht="12.75" x14ac:dyDescent="0.2">
      <c r="A1544" s="28"/>
      <c r="B1544" s="28"/>
      <c r="C1544" s="28"/>
      <c r="D1544" s="28"/>
      <c r="E1544" s="28"/>
      <c r="F1544" s="28"/>
      <c r="G1544" s="28"/>
      <c r="H1544" s="28"/>
      <c r="I1544" s="28"/>
      <c r="J1544" s="28"/>
      <c r="K1544" s="28"/>
      <c r="L1544" s="28"/>
      <c r="M1544" s="28"/>
      <c r="N1544" s="28"/>
      <c r="O1544" s="28"/>
      <c r="P1544" s="28"/>
      <c r="Q1544" s="28"/>
      <c r="R1544" s="28"/>
      <c r="S1544" s="28"/>
      <c r="T1544" s="28"/>
      <c r="U1544" s="28"/>
      <c r="V1544" s="28"/>
      <c r="W1544" s="28"/>
      <c r="X1544" s="28"/>
      <c r="Y1544" s="28"/>
      <c r="Z1544" s="28"/>
      <c r="AA1544" s="28"/>
      <c r="AB1544" s="28"/>
      <c r="AC1544" s="28"/>
      <c r="AD1544" s="28"/>
      <c r="AE1544" s="28"/>
      <c r="AF1544" s="28"/>
      <c r="AG1544" s="28"/>
      <c r="AH1544" s="28"/>
      <c r="AI1544" s="28"/>
      <c r="AJ1544" s="28"/>
      <c r="AK1544" s="28"/>
      <c r="AL1544" s="28"/>
      <c r="AM1544" s="28"/>
      <c r="AN1544" s="28"/>
      <c r="AO1544" s="28"/>
      <c r="AP1544" s="28"/>
      <c r="AQ1544" s="28"/>
      <c r="AR1544" s="28"/>
      <c r="AS1544" s="28"/>
      <c r="AT1544" s="28"/>
      <c r="AU1544" s="28"/>
      <c r="AV1544" s="28"/>
      <c r="AW1544" s="28"/>
      <c r="AX1544" s="28"/>
      <c r="AY1544" s="28"/>
      <c r="AZ1544" s="28"/>
      <c r="BA1544" s="28"/>
      <c r="BB1544" s="28"/>
    </row>
    <row r="1545" spans="1:54" ht="12.75" x14ac:dyDescent="0.2">
      <c r="A1545" s="28"/>
      <c r="B1545" s="28"/>
      <c r="C1545" s="28"/>
      <c r="D1545" s="28"/>
      <c r="E1545" s="28"/>
      <c r="F1545" s="28"/>
      <c r="G1545" s="28"/>
      <c r="H1545" s="28"/>
      <c r="I1545" s="28"/>
      <c r="J1545" s="28"/>
      <c r="K1545" s="28"/>
      <c r="L1545" s="28"/>
      <c r="M1545" s="28"/>
      <c r="N1545" s="28"/>
      <c r="O1545" s="28"/>
      <c r="P1545" s="28"/>
      <c r="Q1545" s="28"/>
      <c r="R1545" s="28"/>
      <c r="S1545" s="28"/>
      <c r="T1545" s="28"/>
      <c r="U1545" s="28"/>
      <c r="V1545" s="28"/>
      <c r="W1545" s="28"/>
      <c r="X1545" s="28"/>
      <c r="Y1545" s="28"/>
      <c r="Z1545" s="28"/>
      <c r="AA1545" s="28"/>
      <c r="AB1545" s="28"/>
      <c r="AC1545" s="28"/>
      <c r="AD1545" s="28"/>
      <c r="AE1545" s="28"/>
      <c r="AF1545" s="28"/>
      <c r="AG1545" s="28"/>
      <c r="AH1545" s="28"/>
      <c r="AI1545" s="28"/>
      <c r="AJ1545" s="28"/>
      <c r="AK1545" s="28"/>
      <c r="AL1545" s="28"/>
      <c r="AM1545" s="28"/>
      <c r="AN1545" s="28"/>
      <c r="AO1545" s="28"/>
      <c r="AP1545" s="28"/>
      <c r="AQ1545" s="28"/>
      <c r="AR1545" s="28"/>
      <c r="AS1545" s="28"/>
      <c r="AT1545" s="28"/>
      <c r="AU1545" s="28"/>
      <c r="AV1545" s="28"/>
      <c r="AW1545" s="28"/>
      <c r="AX1545" s="28"/>
      <c r="AY1545" s="28"/>
      <c r="AZ1545" s="28"/>
      <c r="BA1545" s="28"/>
      <c r="BB1545" s="28"/>
    </row>
    <row r="1546" spans="1:54" ht="12.75" x14ac:dyDescent="0.2">
      <c r="A1546" s="28"/>
      <c r="B1546" s="28"/>
      <c r="C1546" s="28"/>
      <c r="D1546" s="28"/>
      <c r="E1546" s="28"/>
      <c r="F1546" s="28"/>
      <c r="G1546" s="28"/>
      <c r="H1546" s="28"/>
      <c r="I1546" s="28"/>
      <c r="J1546" s="28"/>
      <c r="K1546" s="28"/>
      <c r="L1546" s="28"/>
      <c r="M1546" s="28"/>
      <c r="N1546" s="28"/>
      <c r="O1546" s="28"/>
      <c r="P1546" s="28"/>
      <c r="Q1546" s="28"/>
      <c r="R1546" s="28"/>
      <c r="S1546" s="28"/>
      <c r="T1546" s="28"/>
      <c r="U1546" s="28"/>
      <c r="V1546" s="28"/>
      <c r="W1546" s="28"/>
      <c r="X1546" s="28"/>
      <c r="Y1546" s="28"/>
      <c r="Z1546" s="28"/>
      <c r="AA1546" s="28"/>
      <c r="AB1546" s="28"/>
      <c r="AC1546" s="28"/>
      <c r="AD1546" s="28"/>
      <c r="AE1546" s="28"/>
      <c r="AF1546" s="28"/>
      <c r="AG1546" s="28"/>
      <c r="AH1546" s="28"/>
      <c r="AI1546" s="28"/>
      <c r="AJ1546" s="28"/>
      <c r="AK1546" s="28"/>
      <c r="AL1546" s="28"/>
      <c r="AM1546" s="28"/>
      <c r="AN1546" s="28"/>
      <c r="AO1546" s="28"/>
      <c r="AP1546" s="28"/>
      <c r="AQ1546" s="28"/>
      <c r="AR1546" s="28"/>
      <c r="AS1546" s="28"/>
      <c r="AT1546" s="28"/>
      <c r="AU1546" s="28"/>
      <c r="AV1546" s="28"/>
      <c r="AW1546" s="28"/>
      <c r="AX1546" s="28"/>
      <c r="AY1546" s="28"/>
      <c r="AZ1546" s="28"/>
      <c r="BA1546" s="28"/>
      <c r="BB1546" s="28"/>
    </row>
    <row r="1547" spans="1:54" ht="12.75" x14ac:dyDescent="0.2">
      <c r="A1547" s="28"/>
      <c r="B1547" s="28"/>
      <c r="C1547" s="28"/>
      <c r="D1547" s="28"/>
      <c r="E1547" s="28"/>
      <c r="F1547" s="28"/>
      <c r="G1547" s="28"/>
      <c r="H1547" s="28"/>
      <c r="I1547" s="28"/>
      <c r="J1547" s="28"/>
      <c r="K1547" s="28"/>
      <c r="L1547" s="28"/>
      <c r="M1547" s="28"/>
      <c r="N1547" s="28"/>
      <c r="O1547" s="28"/>
      <c r="P1547" s="28"/>
      <c r="Q1547" s="28"/>
      <c r="R1547" s="28"/>
      <c r="S1547" s="28"/>
      <c r="T1547" s="28"/>
      <c r="U1547" s="28"/>
      <c r="V1547" s="28"/>
      <c r="W1547" s="28"/>
      <c r="X1547" s="28"/>
      <c r="Y1547" s="28"/>
      <c r="Z1547" s="28"/>
      <c r="AA1547" s="28"/>
      <c r="AB1547" s="28"/>
      <c r="AC1547" s="28"/>
      <c r="AD1547" s="28"/>
      <c r="AE1547" s="28"/>
      <c r="AF1547" s="28"/>
      <c r="AG1547" s="28"/>
      <c r="AH1547" s="28"/>
      <c r="AI1547" s="28"/>
      <c r="AJ1547" s="28"/>
      <c r="AK1547" s="28"/>
      <c r="AL1547" s="28"/>
      <c r="AM1547" s="28"/>
      <c r="AN1547" s="28"/>
      <c r="AO1547" s="28"/>
      <c r="AP1547" s="28"/>
      <c r="AQ1547" s="28"/>
      <c r="AR1547" s="28"/>
      <c r="AS1547" s="28"/>
      <c r="AT1547" s="28"/>
      <c r="AU1547" s="28"/>
      <c r="AV1547" s="28"/>
      <c r="AW1547" s="28"/>
      <c r="AX1547" s="28"/>
      <c r="AY1547" s="28"/>
      <c r="AZ1547" s="28"/>
      <c r="BA1547" s="28"/>
      <c r="BB1547" s="28"/>
    </row>
    <row r="1548" spans="1:54" ht="12.75" x14ac:dyDescent="0.2">
      <c r="A1548" s="28"/>
      <c r="B1548" s="28"/>
      <c r="C1548" s="28"/>
      <c r="D1548" s="28"/>
      <c r="E1548" s="28"/>
      <c r="F1548" s="28"/>
      <c r="G1548" s="28"/>
      <c r="H1548" s="28"/>
      <c r="I1548" s="28"/>
      <c r="J1548" s="28"/>
      <c r="K1548" s="28"/>
      <c r="L1548" s="28"/>
      <c r="M1548" s="28"/>
      <c r="N1548" s="28"/>
      <c r="O1548" s="28"/>
      <c r="P1548" s="28"/>
      <c r="Q1548" s="28"/>
      <c r="R1548" s="28"/>
      <c r="S1548" s="28"/>
      <c r="T1548" s="28"/>
      <c r="U1548" s="28"/>
      <c r="V1548" s="28"/>
      <c r="W1548" s="28"/>
      <c r="X1548" s="28"/>
      <c r="Y1548" s="28"/>
      <c r="Z1548" s="28"/>
      <c r="AA1548" s="28"/>
      <c r="AB1548" s="28"/>
      <c r="AC1548" s="28"/>
      <c r="AD1548" s="28"/>
      <c r="AE1548" s="28"/>
      <c r="AF1548" s="28"/>
      <c r="AG1548" s="28"/>
      <c r="AH1548" s="28"/>
      <c r="AI1548" s="28"/>
      <c r="AJ1548" s="28"/>
      <c r="AK1548" s="28"/>
      <c r="AL1548" s="28"/>
      <c r="AM1548" s="28"/>
      <c r="AN1548" s="28"/>
      <c r="AO1548" s="28"/>
      <c r="AP1548" s="28"/>
      <c r="AQ1548" s="28"/>
      <c r="AR1548" s="28"/>
      <c r="AS1548" s="28"/>
      <c r="AT1548" s="28"/>
      <c r="AU1548" s="28"/>
      <c r="AV1548" s="28"/>
      <c r="AW1548" s="28"/>
      <c r="AX1548" s="28"/>
      <c r="AY1548" s="28"/>
      <c r="AZ1548" s="28"/>
      <c r="BA1548" s="28"/>
      <c r="BB1548" s="28"/>
    </row>
    <row r="1549" spans="1:54" ht="12.75" x14ac:dyDescent="0.2">
      <c r="A1549" s="28"/>
      <c r="B1549" s="28"/>
      <c r="C1549" s="28"/>
      <c r="D1549" s="28"/>
      <c r="E1549" s="28"/>
      <c r="F1549" s="28"/>
      <c r="G1549" s="28"/>
      <c r="H1549" s="28"/>
      <c r="I1549" s="28"/>
      <c r="J1549" s="28"/>
      <c r="K1549" s="28"/>
      <c r="L1549" s="28"/>
      <c r="M1549" s="28"/>
      <c r="N1549" s="28"/>
      <c r="O1549" s="28"/>
      <c r="P1549" s="28"/>
      <c r="Q1549" s="28"/>
      <c r="R1549" s="28"/>
      <c r="S1549" s="28"/>
      <c r="T1549" s="28"/>
      <c r="U1549" s="28"/>
      <c r="V1549" s="28"/>
      <c r="W1549" s="28"/>
      <c r="X1549" s="28"/>
      <c r="Y1549" s="28"/>
      <c r="Z1549" s="28"/>
      <c r="AA1549" s="28"/>
      <c r="AB1549" s="28"/>
      <c r="AC1549" s="28"/>
      <c r="AD1549" s="28"/>
      <c r="AE1549" s="28"/>
      <c r="AF1549" s="28"/>
      <c r="AG1549" s="28"/>
      <c r="AH1549" s="28"/>
      <c r="AI1549" s="28"/>
      <c r="AJ1549" s="28"/>
      <c r="AK1549" s="28"/>
      <c r="AL1549" s="28"/>
      <c r="AM1549" s="28"/>
      <c r="AN1549" s="28"/>
      <c r="AO1549" s="28"/>
      <c r="AP1549" s="28"/>
      <c r="AQ1549" s="28"/>
      <c r="AR1549" s="28"/>
      <c r="AS1549" s="28"/>
      <c r="AT1549" s="28"/>
      <c r="AU1549" s="28"/>
      <c r="AV1549" s="28"/>
      <c r="AW1549" s="28"/>
      <c r="AX1549" s="28"/>
      <c r="AY1549" s="28"/>
      <c r="AZ1549" s="28"/>
      <c r="BA1549" s="28"/>
      <c r="BB1549" s="28"/>
    </row>
    <row r="1550" spans="1:54" ht="12.75" x14ac:dyDescent="0.2">
      <c r="A1550" s="28"/>
      <c r="B1550" s="28"/>
      <c r="C1550" s="28"/>
      <c r="D1550" s="28"/>
      <c r="E1550" s="28"/>
      <c r="F1550" s="28"/>
      <c r="G1550" s="28"/>
      <c r="H1550" s="28"/>
      <c r="I1550" s="28"/>
      <c r="J1550" s="28"/>
      <c r="K1550" s="28"/>
      <c r="L1550" s="28"/>
      <c r="M1550" s="28"/>
      <c r="N1550" s="28"/>
      <c r="O1550" s="28"/>
      <c r="P1550" s="28"/>
      <c r="Q1550" s="28"/>
      <c r="R1550" s="28"/>
      <c r="S1550" s="28"/>
      <c r="T1550" s="28"/>
      <c r="U1550" s="28"/>
      <c r="V1550" s="28"/>
      <c r="W1550" s="28"/>
      <c r="X1550" s="28"/>
      <c r="Y1550" s="28"/>
      <c r="Z1550" s="28"/>
      <c r="AA1550" s="28"/>
      <c r="AB1550" s="28"/>
      <c r="AC1550" s="28"/>
      <c r="AD1550" s="28"/>
      <c r="AE1550" s="28"/>
      <c r="AF1550" s="28"/>
      <c r="AG1550" s="28"/>
      <c r="AH1550" s="28"/>
      <c r="AI1550" s="28"/>
      <c r="AJ1550" s="28"/>
      <c r="AK1550" s="28"/>
      <c r="AL1550" s="28"/>
      <c r="AM1550" s="28"/>
      <c r="AN1550" s="28"/>
      <c r="AO1550" s="28"/>
      <c r="AP1550" s="28"/>
      <c r="AQ1550" s="28"/>
      <c r="AR1550" s="28"/>
      <c r="AS1550" s="28"/>
      <c r="AT1550" s="28"/>
      <c r="AU1550" s="28"/>
      <c r="AV1550" s="28"/>
      <c r="AW1550" s="28"/>
      <c r="AX1550" s="28"/>
      <c r="AY1550" s="28"/>
      <c r="AZ1550" s="28"/>
      <c r="BA1550" s="28"/>
      <c r="BB1550" s="28"/>
    </row>
    <row r="1551" spans="1:54" ht="12.75" x14ac:dyDescent="0.2">
      <c r="A1551" s="28"/>
      <c r="B1551" s="28"/>
      <c r="C1551" s="28"/>
      <c r="D1551" s="28"/>
      <c r="E1551" s="28"/>
      <c r="F1551" s="28"/>
      <c r="G1551" s="28"/>
      <c r="H1551" s="28"/>
      <c r="I1551" s="28"/>
      <c r="J1551" s="28"/>
      <c r="K1551" s="28"/>
      <c r="L1551" s="28"/>
      <c r="M1551" s="28"/>
      <c r="N1551" s="28"/>
      <c r="O1551" s="28"/>
      <c r="P1551" s="28"/>
      <c r="Q1551" s="28"/>
      <c r="R1551" s="28"/>
      <c r="S1551" s="28"/>
      <c r="T1551" s="28"/>
      <c r="U1551" s="28"/>
      <c r="V1551" s="28"/>
      <c r="W1551" s="28"/>
      <c r="X1551" s="28"/>
      <c r="Y1551" s="28"/>
      <c r="Z1551" s="28"/>
      <c r="AA1551" s="28"/>
      <c r="AB1551" s="28"/>
      <c r="AC1551" s="28"/>
      <c r="AD1551" s="28"/>
      <c r="AE1551" s="28"/>
      <c r="AF1551" s="28"/>
      <c r="AG1551" s="28"/>
      <c r="AH1551" s="28"/>
      <c r="AI1551" s="28"/>
      <c r="AJ1551" s="28"/>
      <c r="AK1551" s="28"/>
      <c r="AL1551" s="28"/>
      <c r="AM1551" s="28"/>
      <c r="AN1551" s="28"/>
      <c r="AO1551" s="28"/>
      <c r="AP1551" s="28"/>
      <c r="AQ1551" s="28"/>
      <c r="AR1551" s="28"/>
      <c r="AS1551" s="28"/>
      <c r="AT1551" s="28"/>
      <c r="AU1551" s="28"/>
      <c r="AV1551" s="28"/>
      <c r="AW1551" s="28"/>
      <c r="AX1551" s="28"/>
      <c r="AY1551" s="28"/>
      <c r="AZ1551" s="28"/>
      <c r="BA1551" s="28"/>
      <c r="BB1551" s="28"/>
    </row>
    <row r="1552" spans="1:54" ht="12.75" x14ac:dyDescent="0.2">
      <c r="A1552" s="28"/>
      <c r="B1552" s="28"/>
      <c r="C1552" s="28"/>
      <c r="D1552" s="28"/>
      <c r="E1552" s="28"/>
      <c r="F1552" s="28"/>
      <c r="G1552" s="28"/>
      <c r="H1552" s="28"/>
      <c r="I1552" s="28"/>
      <c r="J1552" s="28"/>
      <c r="K1552" s="28"/>
      <c r="L1552" s="28"/>
      <c r="M1552" s="28"/>
      <c r="N1552" s="28"/>
      <c r="O1552" s="28"/>
      <c r="P1552" s="28"/>
      <c r="Q1552" s="28"/>
      <c r="R1552" s="28"/>
      <c r="S1552" s="28"/>
      <c r="T1552" s="28"/>
      <c r="U1552" s="28"/>
      <c r="V1552" s="28"/>
      <c r="W1552" s="28"/>
      <c r="X1552" s="28"/>
      <c r="Y1552" s="28"/>
      <c r="Z1552" s="28"/>
      <c r="AA1552" s="28"/>
      <c r="AB1552" s="28"/>
      <c r="AC1552" s="28"/>
      <c r="AD1552" s="28"/>
      <c r="AE1552" s="28"/>
      <c r="AF1552" s="28"/>
      <c r="AG1552" s="28"/>
      <c r="AH1552" s="28"/>
      <c r="AI1552" s="28"/>
      <c r="AJ1552" s="28"/>
      <c r="AK1552" s="28"/>
      <c r="AL1552" s="28"/>
      <c r="AM1552" s="28"/>
      <c r="AN1552" s="28"/>
      <c r="AO1552" s="28"/>
      <c r="AP1552" s="28"/>
      <c r="AQ1552" s="28"/>
      <c r="AR1552" s="28"/>
      <c r="AS1552" s="28"/>
      <c r="AT1552" s="28"/>
      <c r="AU1552" s="28"/>
      <c r="AV1552" s="28"/>
      <c r="AW1552" s="28"/>
      <c r="AX1552" s="28"/>
      <c r="AY1552" s="28"/>
      <c r="AZ1552" s="28"/>
      <c r="BA1552" s="28"/>
      <c r="BB1552" s="28"/>
    </row>
    <row r="1553" spans="1:54" ht="12.75" x14ac:dyDescent="0.2">
      <c r="A1553" s="28"/>
      <c r="B1553" s="28"/>
      <c r="C1553" s="28"/>
      <c r="D1553" s="28"/>
      <c r="E1553" s="28"/>
      <c r="F1553" s="28"/>
      <c r="G1553" s="28"/>
      <c r="H1553" s="28"/>
      <c r="I1553" s="28"/>
      <c r="J1553" s="28"/>
      <c r="K1553" s="28"/>
      <c r="L1553" s="28"/>
      <c r="M1553" s="28"/>
      <c r="N1553" s="28"/>
      <c r="O1553" s="28"/>
      <c r="P1553" s="28"/>
      <c r="Q1553" s="28"/>
      <c r="R1553" s="28"/>
      <c r="S1553" s="28"/>
      <c r="T1553" s="28"/>
      <c r="U1553" s="28"/>
      <c r="V1553" s="28"/>
      <c r="W1553" s="28"/>
      <c r="X1553" s="28"/>
      <c r="Y1553" s="28"/>
      <c r="Z1553" s="28"/>
      <c r="AA1553" s="28"/>
      <c r="AB1553" s="28"/>
      <c r="AC1553" s="28"/>
      <c r="AD1553" s="28"/>
      <c r="AE1553" s="28"/>
      <c r="AF1553" s="28"/>
      <c r="AG1553" s="28"/>
      <c r="AH1553" s="28"/>
      <c r="AI1553" s="28"/>
      <c r="AJ1553" s="28"/>
      <c r="AK1553" s="28"/>
      <c r="AL1553" s="28"/>
      <c r="AM1553" s="28"/>
      <c r="AN1553" s="28"/>
      <c r="AO1553" s="28"/>
      <c r="AP1553" s="28"/>
      <c r="AQ1553" s="28"/>
      <c r="AR1553" s="28"/>
      <c r="AS1553" s="28"/>
      <c r="AT1553" s="28"/>
      <c r="AU1553" s="28"/>
      <c r="AV1553" s="28"/>
      <c r="AW1553" s="28"/>
      <c r="AX1553" s="28"/>
      <c r="AY1553" s="28"/>
      <c r="AZ1553" s="28"/>
      <c r="BA1553" s="28"/>
      <c r="BB1553" s="28"/>
    </row>
    <row r="1554" spans="1:54" ht="12.75" x14ac:dyDescent="0.2">
      <c r="A1554" s="28"/>
      <c r="B1554" s="28"/>
      <c r="C1554" s="28"/>
      <c r="D1554" s="28"/>
      <c r="E1554" s="28"/>
      <c r="F1554" s="28"/>
      <c r="G1554" s="28"/>
      <c r="H1554" s="28"/>
      <c r="I1554" s="28"/>
      <c r="J1554" s="28"/>
      <c r="K1554" s="28"/>
      <c r="L1554" s="28"/>
      <c r="M1554" s="28"/>
      <c r="N1554" s="28"/>
      <c r="O1554" s="28"/>
      <c r="P1554" s="28"/>
      <c r="Q1554" s="28"/>
      <c r="R1554" s="28"/>
      <c r="S1554" s="28"/>
      <c r="T1554" s="28"/>
      <c r="U1554" s="28"/>
      <c r="V1554" s="28"/>
      <c r="W1554" s="28"/>
      <c r="X1554" s="28"/>
      <c r="Y1554" s="28"/>
      <c r="Z1554" s="28"/>
      <c r="AA1554" s="28"/>
      <c r="AB1554" s="28"/>
      <c r="AC1554" s="28"/>
      <c r="AD1554" s="28"/>
      <c r="AE1554" s="28"/>
      <c r="AF1554" s="28"/>
      <c r="AG1554" s="28"/>
      <c r="AH1554" s="28"/>
      <c r="AI1554" s="28"/>
      <c r="AJ1554" s="28"/>
      <c r="AK1554" s="28"/>
      <c r="AL1554" s="28"/>
      <c r="AM1554" s="28"/>
      <c r="AN1554" s="28"/>
      <c r="AO1554" s="28"/>
      <c r="AP1554" s="28"/>
      <c r="AQ1554" s="28"/>
      <c r="AR1554" s="28"/>
      <c r="AS1554" s="28"/>
      <c r="AT1554" s="28"/>
      <c r="AU1554" s="28"/>
      <c r="AV1554" s="28"/>
      <c r="AW1554" s="28"/>
      <c r="AX1554" s="28"/>
      <c r="AY1554" s="28"/>
      <c r="AZ1554" s="28"/>
      <c r="BA1554" s="28"/>
      <c r="BB1554" s="28"/>
    </row>
    <row r="1555" spans="1:54" ht="12.75" x14ac:dyDescent="0.2">
      <c r="A1555" s="28"/>
      <c r="B1555" s="28"/>
      <c r="C1555" s="28"/>
      <c r="D1555" s="28"/>
      <c r="E1555" s="28"/>
      <c r="F1555" s="28"/>
      <c r="G1555" s="28"/>
      <c r="H1555" s="28"/>
      <c r="I1555" s="28"/>
      <c r="J1555" s="28"/>
      <c r="K1555" s="28"/>
      <c r="L1555" s="28"/>
      <c r="M1555" s="28"/>
      <c r="N1555" s="28"/>
      <c r="O1555" s="28"/>
      <c r="P1555" s="28"/>
      <c r="Q1555" s="28"/>
      <c r="R1555" s="28"/>
      <c r="S1555" s="28"/>
      <c r="T1555" s="28"/>
      <c r="U1555" s="28"/>
      <c r="V1555" s="28"/>
      <c r="W1555" s="28"/>
      <c r="X1555" s="28"/>
      <c r="Y1555" s="28"/>
      <c r="Z1555" s="28"/>
      <c r="AA1555" s="28"/>
      <c r="AB1555" s="28"/>
      <c r="AC1555" s="28"/>
      <c r="AD1555" s="28"/>
      <c r="AE1555" s="28"/>
      <c r="AF1555" s="28"/>
      <c r="AG1555" s="28"/>
      <c r="AH1555" s="28"/>
      <c r="AI1555" s="28"/>
      <c r="AJ1555" s="28"/>
      <c r="AK1555" s="28"/>
      <c r="AL1555" s="28"/>
      <c r="AM1555" s="28"/>
      <c r="AN1555" s="28"/>
      <c r="AO1555" s="28"/>
      <c r="AP1555" s="28"/>
      <c r="AQ1555" s="28"/>
      <c r="AR1555" s="28"/>
      <c r="AS1555" s="28"/>
      <c r="AT1555" s="28"/>
      <c r="AU1555" s="28"/>
      <c r="AV1555" s="28"/>
      <c r="AW1555" s="28"/>
      <c r="AX1555" s="28"/>
      <c r="AY1555" s="28"/>
      <c r="AZ1555" s="28"/>
      <c r="BA1555" s="28"/>
      <c r="BB1555" s="28"/>
    </row>
    <row r="1556" spans="1:54" ht="12.75" x14ac:dyDescent="0.2">
      <c r="A1556" s="28"/>
      <c r="B1556" s="28"/>
      <c r="C1556" s="28"/>
      <c r="D1556" s="28"/>
      <c r="E1556" s="28"/>
      <c r="F1556" s="28"/>
      <c r="G1556" s="28"/>
      <c r="H1556" s="28"/>
      <c r="I1556" s="28"/>
      <c r="J1556" s="28"/>
      <c r="K1556" s="28"/>
      <c r="L1556" s="28"/>
      <c r="M1556" s="28"/>
      <c r="N1556" s="28"/>
      <c r="O1556" s="28"/>
      <c r="P1556" s="28"/>
      <c r="Q1556" s="28"/>
      <c r="R1556" s="28"/>
      <c r="S1556" s="28"/>
      <c r="T1556" s="28"/>
      <c r="U1556" s="28"/>
      <c r="V1556" s="28"/>
      <c r="W1556" s="28"/>
      <c r="X1556" s="28"/>
      <c r="Y1556" s="28"/>
      <c r="Z1556" s="28"/>
      <c r="AA1556" s="28"/>
      <c r="AB1556" s="28"/>
      <c r="AC1556" s="28"/>
      <c r="AD1556" s="28"/>
      <c r="AE1556" s="28"/>
      <c r="AF1556" s="28"/>
      <c r="AG1556" s="28"/>
      <c r="AH1556" s="28"/>
      <c r="AI1556" s="28"/>
      <c r="AJ1556" s="28"/>
      <c r="AK1556" s="28"/>
      <c r="AL1556" s="28"/>
      <c r="AM1556" s="28"/>
      <c r="AN1556" s="28"/>
      <c r="AO1556" s="28"/>
      <c r="AP1556" s="28"/>
      <c r="AQ1556" s="28"/>
      <c r="AR1556" s="28"/>
      <c r="AS1556" s="28"/>
      <c r="AT1556" s="28"/>
      <c r="AU1556" s="28"/>
      <c r="AV1556" s="28"/>
      <c r="AW1556" s="28"/>
      <c r="AX1556" s="28"/>
      <c r="AY1556" s="28"/>
      <c r="AZ1556" s="28"/>
      <c r="BA1556" s="28"/>
      <c r="BB1556" s="28"/>
    </row>
    <row r="1557" spans="1:54" ht="12.75" x14ac:dyDescent="0.2">
      <c r="A1557" s="28"/>
      <c r="B1557" s="28"/>
      <c r="C1557" s="28"/>
      <c r="D1557" s="28"/>
      <c r="E1557" s="28"/>
      <c r="F1557" s="28"/>
      <c r="G1557" s="28"/>
      <c r="H1557" s="28"/>
      <c r="I1557" s="28"/>
      <c r="J1557" s="28"/>
      <c r="K1557" s="28"/>
      <c r="L1557" s="28"/>
      <c r="M1557" s="28"/>
      <c r="N1557" s="28"/>
      <c r="O1557" s="28"/>
      <c r="P1557" s="28"/>
      <c r="Q1557" s="28"/>
      <c r="R1557" s="28"/>
      <c r="S1557" s="28"/>
      <c r="T1557" s="28"/>
      <c r="U1557" s="28"/>
      <c r="V1557" s="28"/>
      <c r="W1557" s="28"/>
      <c r="X1557" s="28"/>
      <c r="Y1557" s="28"/>
      <c r="Z1557" s="28"/>
      <c r="AA1557" s="28"/>
      <c r="AB1557" s="28"/>
      <c r="AC1557" s="28"/>
      <c r="AD1557" s="28"/>
      <c r="AE1557" s="28"/>
      <c r="AF1557" s="28"/>
      <c r="AG1557" s="28"/>
      <c r="AH1557" s="28"/>
      <c r="AI1557" s="28"/>
      <c r="AJ1557" s="28"/>
      <c r="AK1557" s="28"/>
      <c r="AL1557" s="28"/>
      <c r="AM1557" s="28"/>
      <c r="AN1557" s="28"/>
      <c r="AO1557" s="28"/>
      <c r="AP1557" s="28"/>
      <c r="AQ1557" s="28"/>
      <c r="AR1557" s="28"/>
      <c r="AS1557" s="28"/>
      <c r="AT1557" s="28"/>
      <c r="AU1557" s="28"/>
      <c r="AV1557" s="28"/>
      <c r="AW1557" s="28"/>
      <c r="AX1557" s="28"/>
      <c r="AY1557" s="28"/>
      <c r="AZ1557" s="28"/>
      <c r="BA1557" s="28"/>
      <c r="BB1557" s="28"/>
    </row>
    <row r="1558" spans="1:54" ht="12.75" x14ac:dyDescent="0.2">
      <c r="A1558" s="28"/>
      <c r="B1558" s="28"/>
      <c r="C1558" s="28"/>
      <c r="D1558" s="28"/>
      <c r="E1558" s="28"/>
      <c r="F1558" s="28"/>
      <c r="G1558" s="28"/>
      <c r="H1558" s="28"/>
      <c r="I1558" s="28"/>
      <c r="J1558" s="28"/>
      <c r="K1558" s="28"/>
      <c r="L1558" s="28"/>
      <c r="M1558" s="28"/>
      <c r="N1558" s="28"/>
      <c r="O1558" s="28"/>
      <c r="P1558" s="28"/>
      <c r="Q1558" s="28"/>
      <c r="R1558" s="28"/>
      <c r="S1558" s="28"/>
      <c r="T1558" s="28"/>
      <c r="U1558" s="28"/>
      <c r="V1558" s="28"/>
      <c r="W1558" s="28"/>
      <c r="X1558" s="28"/>
      <c r="Y1558" s="28"/>
      <c r="Z1558" s="28"/>
      <c r="AA1558" s="28"/>
      <c r="AB1558" s="28"/>
      <c r="AC1558" s="28"/>
      <c r="AD1558" s="28"/>
      <c r="AE1558" s="28"/>
      <c r="AF1558" s="28"/>
      <c r="AG1558" s="28"/>
      <c r="AH1558" s="28"/>
      <c r="AI1558" s="28"/>
      <c r="AJ1558" s="28"/>
      <c r="AK1558" s="28"/>
      <c r="AL1558" s="28"/>
      <c r="AM1558" s="28"/>
      <c r="AN1558" s="28"/>
      <c r="AO1558" s="28"/>
      <c r="AP1558" s="28"/>
      <c r="AQ1558" s="28"/>
      <c r="AR1558" s="28"/>
      <c r="AS1558" s="28"/>
      <c r="AT1558" s="28"/>
      <c r="AU1558" s="28"/>
      <c r="AV1558" s="28"/>
      <c r="AW1558" s="28"/>
      <c r="AX1558" s="28"/>
      <c r="AY1558" s="28"/>
      <c r="AZ1558" s="28"/>
      <c r="BA1558" s="28"/>
      <c r="BB1558" s="28"/>
    </row>
    <row r="1559" spans="1:54" ht="12.75" x14ac:dyDescent="0.2">
      <c r="A1559" s="28"/>
      <c r="B1559" s="28"/>
      <c r="C1559" s="28"/>
      <c r="D1559" s="28"/>
      <c r="E1559" s="28"/>
      <c r="F1559" s="28"/>
      <c r="G1559" s="28"/>
      <c r="H1559" s="28"/>
      <c r="I1559" s="28"/>
      <c r="J1559" s="28"/>
      <c r="K1559" s="28"/>
      <c r="L1559" s="28"/>
      <c r="M1559" s="28"/>
      <c r="N1559" s="28"/>
      <c r="O1559" s="28"/>
      <c r="P1559" s="28"/>
      <c r="Q1559" s="28"/>
      <c r="R1559" s="28"/>
      <c r="S1559" s="28"/>
      <c r="T1559" s="28"/>
      <c r="U1559" s="28"/>
      <c r="V1559" s="28"/>
      <c r="W1559" s="28"/>
      <c r="X1559" s="28"/>
      <c r="Y1559" s="28"/>
      <c r="Z1559" s="28"/>
      <c r="AA1559" s="28"/>
      <c r="AB1559" s="28"/>
      <c r="AC1559" s="28"/>
      <c r="AD1559" s="28"/>
      <c r="AE1559" s="28"/>
      <c r="AF1559" s="28"/>
      <c r="AG1559" s="28"/>
      <c r="AH1559" s="28"/>
      <c r="AI1559" s="28"/>
      <c r="AJ1559" s="28"/>
      <c r="AK1559" s="28"/>
      <c r="AL1559" s="28"/>
      <c r="AM1559" s="28"/>
      <c r="AN1559" s="28"/>
      <c r="AO1559" s="28"/>
      <c r="AP1559" s="28"/>
      <c r="AQ1559" s="28"/>
      <c r="AR1559" s="28"/>
      <c r="AS1559" s="28"/>
      <c r="AT1559" s="28"/>
      <c r="AU1559" s="28"/>
      <c r="AV1559" s="28"/>
      <c r="AW1559" s="28"/>
      <c r="AX1559" s="28"/>
      <c r="AY1559" s="28"/>
      <c r="AZ1559" s="28"/>
      <c r="BA1559" s="28"/>
      <c r="BB1559" s="28"/>
    </row>
    <row r="1560" spans="1:54" ht="12.75" x14ac:dyDescent="0.2">
      <c r="A1560" s="28"/>
      <c r="B1560" s="28"/>
      <c r="C1560" s="28"/>
      <c r="D1560" s="28"/>
      <c r="E1560" s="28"/>
      <c r="F1560" s="28"/>
      <c r="G1560" s="28"/>
      <c r="H1560" s="28"/>
      <c r="I1560" s="28"/>
      <c r="J1560" s="28"/>
      <c r="K1560" s="28"/>
      <c r="L1560" s="28"/>
      <c r="M1560" s="28"/>
      <c r="N1560" s="28"/>
      <c r="O1560" s="28"/>
      <c r="P1560" s="28"/>
      <c r="Q1560" s="28"/>
      <c r="R1560" s="28"/>
      <c r="S1560" s="28"/>
      <c r="T1560" s="28"/>
      <c r="U1560" s="28"/>
      <c r="V1560" s="28"/>
      <c r="W1560" s="28"/>
      <c r="X1560" s="28"/>
      <c r="Y1560" s="28"/>
      <c r="Z1560" s="28"/>
      <c r="AA1560" s="28"/>
      <c r="AB1560" s="28"/>
      <c r="AC1560" s="28"/>
      <c r="AD1560" s="28"/>
      <c r="AE1560" s="28"/>
      <c r="AF1560" s="28"/>
      <c r="AG1560" s="28"/>
      <c r="AH1560" s="28"/>
      <c r="AI1560" s="28"/>
      <c r="AJ1560" s="28"/>
      <c r="AK1560" s="28"/>
      <c r="AL1560" s="28"/>
      <c r="AM1560" s="28"/>
      <c r="AN1560" s="28"/>
      <c r="AO1560" s="28"/>
      <c r="AP1560" s="28"/>
      <c r="AQ1560" s="28"/>
      <c r="AR1560" s="28"/>
      <c r="AS1560" s="28"/>
      <c r="AT1560" s="28"/>
      <c r="AU1560" s="28"/>
      <c r="AV1560" s="28"/>
      <c r="AW1560" s="28"/>
      <c r="AX1560" s="28"/>
      <c r="AY1560" s="28"/>
      <c r="AZ1560" s="28"/>
      <c r="BA1560" s="28"/>
      <c r="BB1560" s="28"/>
    </row>
    <row r="1561" spans="1:54" ht="12.75" x14ac:dyDescent="0.2">
      <c r="A1561" s="28"/>
      <c r="B1561" s="28"/>
      <c r="C1561" s="28"/>
      <c r="D1561" s="28"/>
      <c r="E1561" s="28"/>
      <c r="F1561" s="28"/>
      <c r="G1561" s="28"/>
      <c r="H1561" s="28"/>
      <c r="I1561" s="28"/>
      <c r="J1561" s="28"/>
      <c r="K1561" s="28"/>
      <c r="L1561" s="28"/>
      <c r="M1561" s="28"/>
      <c r="N1561" s="28"/>
      <c r="O1561" s="28"/>
      <c r="P1561" s="28"/>
      <c r="Q1561" s="28"/>
      <c r="R1561" s="28"/>
      <c r="S1561" s="28"/>
      <c r="T1561" s="28"/>
      <c r="U1561" s="28"/>
      <c r="V1561" s="28"/>
      <c r="W1561" s="28"/>
      <c r="X1561" s="28"/>
      <c r="Y1561" s="28"/>
      <c r="Z1561" s="28"/>
      <c r="AA1561" s="28"/>
      <c r="AB1561" s="28"/>
      <c r="AC1561" s="28"/>
      <c r="AD1561" s="28"/>
      <c r="AE1561" s="28"/>
      <c r="AF1561" s="28"/>
      <c r="AG1561" s="28"/>
      <c r="AH1561" s="28"/>
      <c r="AI1561" s="28"/>
      <c r="AJ1561" s="28"/>
      <c r="AK1561" s="28"/>
      <c r="AL1561" s="28"/>
      <c r="AM1561" s="28"/>
      <c r="AN1561" s="28"/>
      <c r="AO1561" s="28"/>
      <c r="AP1561" s="28"/>
      <c r="AQ1561" s="28"/>
      <c r="AR1561" s="28"/>
      <c r="AS1561" s="28"/>
      <c r="AT1561" s="28"/>
      <c r="AU1561" s="28"/>
      <c r="AV1561" s="28"/>
      <c r="AW1561" s="28"/>
      <c r="AX1561" s="28"/>
      <c r="AY1561" s="28"/>
      <c r="AZ1561" s="28"/>
      <c r="BA1561" s="28"/>
      <c r="BB1561" s="28"/>
    </row>
    <row r="1562" spans="1:54" ht="12.75" x14ac:dyDescent="0.2">
      <c r="A1562" s="28"/>
      <c r="B1562" s="28"/>
      <c r="C1562" s="28"/>
      <c r="D1562" s="28"/>
      <c r="E1562" s="28"/>
      <c r="F1562" s="28"/>
      <c r="G1562" s="28"/>
      <c r="H1562" s="28"/>
      <c r="I1562" s="28"/>
      <c r="J1562" s="28"/>
      <c r="K1562" s="28"/>
      <c r="L1562" s="28"/>
      <c r="M1562" s="28"/>
      <c r="N1562" s="28"/>
      <c r="O1562" s="28"/>
      <c r="P1562" s="28"/>
      <c r="Q1562" s="28"/>
      <c r="R1562" s="28"/>
      <c r="S1562" s="28"/>
      <c r="T1562" s="28"/>
      <c r="U1562" s="28"/>
      <c r="V1562" s="28"/>
      <c r="W1562" s="28"/>
      <c r="X1562" s="28"/>
      <c r="Y1562" s="28"/>
      <c r="Z1562" s="28"/>
      <c r="AA1562" s="28"/>
      <c r="AB1562" s="28"/>
      <c r="AC1562" s="28"/>
      <c r="AD1562" s="28"/>
      <c r="AE1562" s="28"/>
      <c r="AF1562" s="28"/>
      <c r="AG1562" s="28"/>
      <c r="AH1562" s="28"/>
      <c r="AI1562" s="28"/>
      <c r="AJ1562" s="28"/>
      <c r="AK1562" s="28"/>
      <c r="AL1562" s="28"/>
      <c r="AM1562" s="28"/>
      <c r="AN1562" s="28"/>
      <c r="AO1562" s="28"/>
      <c r="AP1562" s="28"/>
      <c r="AQ1562" s="28"/>
      <c r="AR1562" s="28"/>
      <c r="AS1562" s="28"/>
      <c r="AT1562" s="28"/>
      <c r="AU1562" s="28"/>
      <c r="AV1562" s="28"/>
      <c r="AW1562" s="28"/>
      <c r="AX1562" s="28"/>
      <c r="AY1562" s="28"/>
      <c r="AZ1562" s="28"/>
      <c r="BA1562" s="28"/>
      <c r="BB1562" s="28"/>
    </row>
    <row r="1563" spans="1:54" ht="12.75" x14ac:dyDescent="0.2">
      <c r="A1563" s="28"/>
      <c r="B1563" s="28"/>
      <c r="C1563" s="28"/>
      <c r="D1563" s="28"/>
      <c r="E1563" s="28"/>
      <c r="F1563" s="28"/>
      <c r="G1563" s="28"/>
      <c r="H1563" s="28"/>
      <c r="I1563" s="28"/>
      <c r="J1563" s="28"/>
      <c r="K1563" s="28"/>
      <c r="L1563" s="28"/>
      <c r="M1563" s="28"/>
      <c r="N1563" s="28"/>
      <c r="O1563" s="28"/>
      <c r="P1563" s="28"/>
      <c r="Q1563" s="28"/>
      <c r="R1563" s="28"/>
      <c r="S1563" s="28"/>
      <c r="T1563" s="28"/>
      <c r="U1563" s="28"/>
      <c r="V1563" s="28"/>
      <c r="W1563" s="28"/>
      <c r="X1563" s="28"/>
      <c r="Y1563" s="28"/>
      <c r="Z1563" s="28"/>
      <c r="AA1563" s="28"/>
      <c r="AB1563" s="28"/>
      <c r="AC1563" s="28"/>
      <c r="AD1563" s="28"/>
      <c r="AE1563" s="28"/>
      <c r="AF1563" s="28"/>
      <c r="AG1563" s="28"/>
      <c r="AH1563" s="28"/>
      <c r="AI1563" s="28"/>
      <c r="AJ1563" s="28"/>
      <c r="AK1563" s="28"/>
      <c r="AL1563" s="28"/>
      <c r="AM1563" s="28"/>
      <c r="AN1563" s="28"/>
      <c r="AO1563" s="28"/>
      <c r="AP1563" s="28"/>
      <c r="AQ1563" s="28"/>
      <c r="AR1563" s="28"/>
      <c r="AS1563" s="28"/>
      <c r="AT1563" s="28"/>
      <c r="AU1563" s="28"/>
      <c r="AV1563" s="28"/>
      <c r="AW1563" s="28"/>
      <c r="AX1563" s="28"/>
      <c r="AY1563" s="28"/>
      <c r="AZ1563" s="28"/>
      <c r="BA1563" s="28"/>
      <c r="BB1563" s="28"/>
    </row>
    <row r="1564" spans="1:54" ht="12.75" x14ac:dyDescent="0.2">
      <c r="A1564" s="28"/>
      <c r="B1564" s="28"/>
      <c r="C1564" s="28"/>
      <c r="D1564" s="28"/>
      <c r="E1564" s="28"/>
      <c r="F1564" s="28"/>
      <c r="G1564" s="28"/>
      <c r="H1564" s="28"/>
      <c r="I1564" s="28"/>
      <c r="J1564" s="28"/>
      <c r="K1564" s="28"/>
      <c r="L1564" s="28"/>
      <c r="M1564" s="28"/>
      <c r="N1564" s="28"/>
      <c r="O1564" s="28"/>
      <c r="P1564" s="28"/>
      <c r="Q1564" s="28"/>
      <c r="R1564" s="28"/>
      <c r="S1564" s="28"/>
      <c r="T1564" s="28"/>
      <c r="U1564" s="28"/>
      <c r="V1564" s="28"/>
      <c r="W1564" s="28"/>
      <c r="X1564" s="28"/>
      <c r="Y1564" s="28"/>
      <c r="Z1564" s="28"/>
      <c r="AA1564" s="28"/>
      <c r="AB1564" s="28"/>
      <c r="AC1564" s="28"/>
      <c r="AD1564" s="28"/>
      <c r="AE1564" s="28"/>
      <c r="AF1564" s="28"/>
      <c r="AG1564" s="28"/>
      <c r="AH1564" s="28"/>
      <c r="AI1564" s="28"/>
      <c r="AJ1564" s="28"/>
      <c r="AK1564" s="28"/>
      <c r="AL1564" s="28"/>
      <c r="AM1564" s="28"/>
      <c r="AN1564" s="28"/>
      <c r="AO1564" s="28"/>
      <c r="AP1564" s="28"/>
      <c r="AQ1564" s="28"/>
      <c r="AR1564" s="28"/>
      <c r="AS1564" s="28"/>
      <c r="AT1564" s="28"/>
      <c r="AU1564" s="28"/>
      <c r="AV1564" s="28"/>
      <c r="AW1564" s="28"/>
      <c r="AX1564" s="28"/>
      <c r="AY1564" s="28"/>
      <c r="AZ1564" s="28"/>
      <c r="BA1564" s="28"/>
      <c r="BB1564" s="28"/>
    </row>
    <row r="1565" spans="1:54" ht="12.75" x14ac:dyDescent="0.2">
      <c r="A1565" s="28"/>
      <c r="B1565" s="28"/>
      <c r="C1565" s="28"/>
      <c r="D1565" s="28"/>
      <c r="E1565" s="28"/>
      <c r="F1565" s="28"/>
      <c r="G1565" s="28"/>
      <c r="H1565" s="28"/>
      <c r="I1565" s="28"/>
      <c r="J1565" s="28"/>
      <c r="K1565" s="28"/>
      <c r="L1565" s="28"/>
      <c r="M1565" s="28"/>
      <c r="N1565" s="28"/>
      <c r="O1565" s="28"/>
      <c r="P1565" s="28"/>
      <c r="Q1565" s="28"/>
      <c r="R1565" s="28"/>
      <c r="S1565" s="28"/>
      <c r="T1565" s="28"/>
      <c r="U1565" s="28"/>
      <c r="V1565" s="28"/>
      <c r="W1565" s="28"/>
      <c r="X1565" s="28"/>
      <c r="Y1565" s="28"/>
      <c r="Z1565" s="28"/>
      <c r="AA1565" s="28"/>
      <c r="AB1565" s="28"/>
      <c r="AC1565" s="28"/>
      <c r="AD1565" s="28"/>
      <c r="AE1565" s="28"/>
      <c r="AF1565" s="28"/>
      <c r="AG1565" s="28"/>
      <c r="AH1565" s="28"/>
      <c r="AI1565" s="28"/>
      <c r="AJ1565" s="28"/>
      <c r="AK1565" s="28"/>
      <c r="AL1565" s="28"/>
      <c r="AM1565" s="28"/>
      <c r="AN1565" s="28"/>
      <c r="AO1565" s="28"/>
      <c r="AP1565" s="28"/>
      <c r="AQ1565" s="28"/>
      <c r="AR1565" s="28"/>
      <c r="AS1565" s="28"/>
      <c r="AT1565" s="28"/>
      <c r="AU1565" s="28"/>
      <c r="AV1565" s="28"/>
      <c r="AW1565" s="28"/>
      <c r="AX1565" s="28"/>
      <c r="AY1565" s="28"/>
      <c r="AZ1565" s="28"/>
      <c r="BA1565" s="28"/>
      <c r="BB1565" s="28"/>
    </row>
    <row r="1566" spans="1:54" ht="12.75" x14ac:dyDescent="0.2">
      <c r="A1566" s="28"/>
      <c r="B1566" s="28"/>
      <c r="C1566" s="28"/>
      <c r="D1566" s="28"/>
      <c r="E1566" s="28"/>
      <c r="F1566" s="28"/>
      <c r="G1566" s="28"/>
      <c r="H1566" s="28"/>
      <c r="I1566" s="28"/>
      <c r="J1566" s="28"/>
      <c r="K1566" s="28"/>
      <c r="L1566" s="28"/>
      <c r="M1566" s="28"/>
      <c r="N1566" s="28"/>
      <c r="O1566" s="28"/>
      <c r="P1566" s="28"/>
      <c r="Q1566" s="28"/>
      <c r="R1566" s="28"/>
      <c r="S1566" s="28"/>
      <c r="T1566" s="28"/>
      <c r="U1566" s="28"/>
      <c r="V1566" s="28"/>
      <c r="W1566" s="28"/>
      <c r="X1566" s="28"/>
      <c r="Y1566" s="28"/>
      <c r="Z1566" s="28"/>
      <c r="AA1566" s="28"/>
      <c r="AB1566" s="28"/>
      <c r="AC1566" s="28"/>
      <c r="AD1566" s="28"/>
      <c r="AE1566" s="28"/>
      <c r="AF1566" s="28"/>
      <c r="AG1566" s="28"/>
      <c r="AH1566" s="28"/>
      <c r="AI1566" s="28"/>
      <c r="AJ1566" s="28"/>
      <c r="AK1566" s="28"/>
      <c r="AL1566" s="28"/>
      <c r="AM1566" s="28"/>
      <c r="AN1566" s="28"/>
      <c r="AO1566" s="28"/>
      <c r="AP1566" s="28"/>
      <c r="AQ1566" s="28"/>
      <c r="AR1566" s="28"/>
      <c r="AS1566" s="28"/>
      <c r="AT1566" s="28"/>
      <c r="AU1566" s="28"/>
      <c r="AV1566" s="28"/>
      <c r="AW1566" s="28"/>
      <c r="AX1566" s="28"/>
      <c r="AY1566" s="28"/>
      <c r="AZ1566" s="28"/>
      <c r="BA1566" s="28"/>
      <c r="BB1566" s="28"/>
    </row>
    <row r="1567" spans="1:54" ht="12.75" x14ac:dyDescent="0.2">
      <c r="A1567" s="28"/>
      <c r="B1567" s="28"/>
      <c r="C1567" s="28"/>
      <c r="D1567" s="28"/>
      <c r="E1567" s="28"/>
      <c r="F1567" s="28"/>
      <c r="G1567" s="28"/>
      <c r="H1567" s="28"/>
      <c r="I1567" s="28"/>
      <c r="J1567" s="28"/>
      <c r="K1567" s="28"/>
      <c r="L1567" s="28"/>
      <c r="M1567" s="28"/>
      <c r="N1567" s="28"/>
      <c r="O1567" s="28"/>
      <c r="P1567" s="28"/>
      <c r="Q1567" s="28"/>
      <c r="R1567" s="28"/>
      <c r="S1567" s="28"/>
      <c r="T1567" s="28"/>
      <c r="U1567" s="28"/>
      <c r="V1567" s="28"/>
      <c r="W1567" s="28"/>
      <c r="X1567" s="28"/>
      <c r="Y1567" s="28"/>
      <c r="Z1567" s="28"/>
      <c r="AA1567" s="28"/>
      <c r="AB1567" s="28"/>
      <c r="AC1567" s="28"/>
      <c r="AD1567" s="28"/>
      <c r="AE1567" s="28"/>
      <c r="AF1567" s="28"/>
      <c r="AG1567" s="28"/>
      <c r="AH1567" s="28"/>
      <c r="AI1567" s="28"/>
      <c r="AJ1567" s="28"/>
      <c r="AK1567" s="28"/>
      <c r="AL1567" s="28"/>
      <c r="AM1567" s="28"/>
      <c r="AN1567" s="28"/>
      <c r="AO1567" s="28"/>
      <c r="AP1567" s="28"/>
      <c r="AQ1567" s="28"/>
      <c r="AR1567" s="28"/>
      <c r="AS1567" s="28"/>
      <c r="AT1567" s="28"/>
      <c r="AU1567" s="28"/>
      <c r="AV1567" s="28"/>
      <c r="AW1567" s="28"/>
      <c r="AX1567" s="28"/>
      <c r="AY1567" s="28"/>
      <c r="AZ1567" s="28"/>
      <c r="BA1567" s="28"/>
      <c r="BB1567" s="28"/>
    </row>
    <row r="1568" spans="1:54" ht="12.75" x14ac:dyDescent="0.2">
      <c r="A1568" s="28"/>
      <c r="B1568" s="28"/>
      <c r="C1568" s="28"/>
      <c r="D1568" s="28"/>
      <c r="E1568" s="28"/>
      <c r="F1568" s="28"/>
      <c r="G1568" s="28"/>
      <c r="H1568" s="28"/>
      <c r="I1568" s="28"/>
      <c r="J1568" s="28"/>
      <c r="K1568" s="28"/>
      <c r="L1568" s="28"/>
      <c r="M1568" s="28"/>
      <c r="N1568" s="28"/>
      <c r="O1568" s="28"/>
      <c r="P1568" s="28"/>
      <c r="Q1568" s="28"/>
      <c r="R1568" s="28"/>
      <c r="S1568" s="28"/>
      <c r="T1568" s="28"/>
      <c r="U1568" s="28"/>
      <c r="V1568" s="28"/>
      <c r="W1568" s="28"/>
      <c r="X1568" s="28"/>
      <c r="Y1568" s="28"/>
      <c r="Z1568" s="28"/>
      <c r="AA1568" s="28"/>
      <c r="AB1568" s="28"/>
      <c r="AC1568" s="28"/>
      <c r="AD1568" s="28"/>
      <c r="AE1568" s="28"/>
      <c r="AF1568" s="28"/>
      <c r="AG1568" s="28"/>
      <c r="AH1568" s="28"/>
      <c r="AI1568" s="28"/>
      <c r="AJ1568" s="28"/>
      <c r="AK1568" s="28"/>
      <c r="AL1568" s="28"/>
      <c r="AM1568" s="28"/>
      <c r="AN1568" s="28"/>
      <c r="AO1568" s="28"/>
      <c r="AP1568" s="28"/>
      <c r="AQ1568" s="28"/>
      <c r="AR1568" s="28"/>
      <c r="AS1568" s="28"/>
      <c r="AT1568" s="28"/>
      <c r="AU1568" s="28"/>
      <c r="AV1568" s="28"/>
      <c r="AW1568" s="28"/>
      <c r="AX1568" s="28"/>
      <c r="AY1568" s="28"/>
      <c r="AZ1568" s="28"/>
      <c r="BA1568" s="28"/>
      <c r="BB1568" s="28"/>
    </row>
    <row r="1569" spans="1:54" ht="12.75" x14ac:dyDescent="0.2">
      <c r="A1569" s="28"/>
      <c r="B1569" s="28"/>
      <c r="C1569" s="28"/>
      <c r="D1569" s="28"/>
      <c r="E1569" s="28"/>
      <c r="F1569" s="28"/>
      <c r="G1569" s="28"/>
      <c r="H1569" s="28"/>
      <c r="I1569" s="28"/>
      <c r="J1569" s="28"/>
      <c r="K1569" s="28"/>
      <c r="L1569" s="28"/>
      <c r="M1569" s="28"/>
      <c r="N1569" s="28"/>
      <c r="O1569" s="28"/>
      <c r="P1569" s="28"/>
      <c r="Q1569" s="28"/>
      <c r="R1569" s="28"/>
      <c r="S1569" s="28"/>
      <c r="T1569" s="28"/>
      <c r="U1569" s="28"/>
      <c r="V1569" s="28"/>
      <c r="W1569" s="28"/>
      <c r="X1569" s="28"/>
      <c r="Y1569" s="28"/>
      <c r="Z1569" s="28"/>
      <c r="AA1569" s="28"/>
      <c r="AB1569" s="28"/>
      <c r="AC1569" s="28"/>
      <c r="AD1569" s="28"/>
      <c r="AE1569" s="28"/>
      <c r="AF1569" s="28"/>
      <c r="AG1569" s="28"/>
      <c r="AH1569" s="28"/>
      <c r="AI1569" s="28"/>
      <c r="AJ1569" s="28"/>
      <c r="AK1569" s="28"/>
      <c r="AL1569" s="28"/>
      <c r="AM1569" s="28"/>
      <c r="AN1569" s="28"/>
      <c r="AO1569" s="28"/>
      <c r="AP1569" s="28"/>
      <c r="AQ1569" s="28"/>
      <c r="AR1569" s="28"/>
      <c r="AS1569" s="28"/>
      <c r="AT1569" s="28"/>
      <c r="AU1569" s="28"/>
      <c r="AV1569" s="28"/>
      <c r="AW1569" s="28"/>
      <c r="AX1569" s="28"/>
      <c r="AY1569" s="28"/>
      <c r="AZ1569" s="28"/>
      <c r="BA1569" s="28"/>
      <c r="BB1569" s="28"/>
    </row>
    <row r="1570" spans="1:54" ht="12.75" x14ac:dyDescent="0.2">
      <c r="A1570" s="28"/>
      <c r="B1570" s="28"/>
      <c r="C1570" s="28"/>
      <c r="D1570" s="28"/>
      <c r="E1570" s="28"/>
      <c r="F1570" s="28"/>
      <c r="G1570" s="28"/>
      <c r="H1570" s="28"/>
      <c r="I1570" s="28"/>
      <c r="J1570" s="28"/>
      <c r="K1570" s="28"/>
      <c r="L1570" s="28"/>
      <c r="M1570" s="28"/>
      <c r="N1570" s="28"/>
      <c r="O1570" s="28"/>
      <c r="P1570" s="28"/>
      <c r="Q1570" s="28"/>
      <c r="R1570" s="28"/>
      <c r="S1570" s="28"/>
      <c r="T1570" s="28"/>
      <c r="U1570" s="28"/>
      <c r="V1570" s="28"/>
      <c r="W1570" s="28"/>
      <c r="X1570" s="28"/>
      <c r="Y1570" s="28"/>
      <c r="Z1570" s="28"/>
      <c r="AA1570" s="28"/>
      <c r="AB1570" s="28"/>
      <c r="AC1570" s="28"/>
      <c r="AD1570" s="28"/>
      <c r="AE1570" s="28"/>
      <c r="AF1570" s="28"/>
      <c r="AG1570" s="28"/>
      <c r="AH1570" s="28"/>
      <c r="AI1570" s="28"/>
      <c r="AJ1570" s="28"/>
      <c r="AK1570" s="28"/>
      <c r="AL1570" s="28"/>
      <c r="AM1570" s="28"/>
      <c r="AN1570" s="28"/>
      <c r="AO1570" s="28"/>
      <c r="AP1570" s="28"/>
      <c r="AQ1570" s="28"/>
      <c r="AR1570" s="28"/>
      <c r="AS1570" s="28"/>
      <c r="AT1570" s="28"/>
      <c r="AU1570" s="28"/>
      <c r="AV1570" s="28"/>
      <c r="AW1570" s="28"/>
      <c r="AX1570" s="28"/>
      <c r="AY1570" s="28"/>
      <c r="AZ1570" s="28"/>
      <c r="BA1570" s="28"/>
      <c r="BB1570" s="28"/>
    </row>
    <row r="1571" spans="1:54" ht="12.75" x14ac:dyDescent="0.2">
      <c r="A1571" s="28"/>
      <c r="B1571" s="28"/>
      <c r="C1571" s="28"/>
      <c r="D1571" s="28"/>
      <c r="E1571" s="28"/>
      <c r="F1571" s="28"/>
      <c r="G1571" s="28"/>
      <c r="H1571" s="28"/>
      <c r="I1571" s="28"/>
      <c r="J1571" s="28"/>
      <c r="K1571" s="28"/>
      <c r="L1571" s="28"/>
      <c r="M1571" s="28"/>
      <c r="N1571" s="28"/>
      <c r="O1571" s="28"/>
      <c r="P1571" s="28"/>
      <c r="Q1571" s="28"/>
      <c r="R1571" s="28"/>
      <c r="S1571" s="28"/>
      <c r="T1571" s="28"/>
      <c r="U1571" s="28"/>
      <c r="V1571" s="28"/>
      <c r="W1571" s="28"/>
      <c r="X1571" s="28"/>
      <c r="Y1571" s="28"/>
      <c r="Z1571" s="28"/>
      <c r="AA1571" s="28"/>
      <c r="AB1571" s="28"/>
      <c r="AC1571" s="28"/>
      <c r="AD1571" s="28"/>
      <c r="AE1571" s="28"/>
      <c r="AF1571" s="28"/>
      <c r="AG1571" s="28"/>
      <c r="AH1571" s="28"/>
      <c r="AI1571" s="28"/>
      <c r="AJ1571" s="28"/>
      <c r="AK1571" s="28"/>
      <c r="AL1571" s="28"/>
      <c r="AM1571" s="28"/>
      <c r="AN1571" s="28"/>
      <c r="AO1571" s="28"/>
      <c r="AP1571" s="28"/>
      <c r="AQ1571" s="28"/>
      <c r="AR1571" s="28"/>
      <c r="AS1571" s="28"/>
      <c r="AT1571" s="28"/>
      <c r="AU1571" s="28"/>
      <c r="AV1571" s="28"/>
      <c r="AW1571" s="28"/>
      <c r="AX1571" s="28"/>
      <c r="AY1571" s="28"/>
      <c r="AZ1571" s="28"/>
      <c r="BA1571" s="28"/>
      <c r="BB1571" s="28"/>
    </row>
    <row r="1572" spans="1:54" ht="12.75" x14ac:dyDescent="0.2">
      <c r="A1572" s="28"/>
      <c r="B1572" s="28"/>
      <c r="C1572" s="28"/>
      <c r="D1572" s="28"/>
      <c r="E1572" s="28"/>
      <c r="F1572" s="28"/>
      <c r="G1572" s="28"/>
      <c r="H1572" s="28"/>
      <c r="I1572" s="28"/>
      <c r="J1572" s="28"/>
      <c r="K1572" s="28"/>
      <c r="L1572" s="28"/>
      <c r="M1572" s="28"/>
      <c r="N1572" s="28"/>
      <c r="O1572" s="28"/>
      <c r="P1572" s="28"/>
      <c r="Q1572" s="28"/>
      <c r="R1572" s="28"/>
      <c r="S1572" s="28"/>
      <c r="T1572" s="28"/>
      <c r="U1572" s="28"/>
      <c r="V1572" s="28"/>
      <c r="W1572" s="28"/>
      <c r="X1572" s="28"/>
      <c r="Y1572" s="28"/>
      <c r="Z1572" s="28"/>
      <c r="AA1572" s="28"/>
      <c r="AB1572" s="28"/>
      <c r="AC1572" s="28"/>
      <c r="AD1572" s="28"/>
      <c r="AE1572" s="28"/>
      <c r="AF1572" s="28"/>
      <c r="AG1572" s="28"/>
      <c r="AH1572" s="28"/>
      <c r="AI1572" s="28"/>
      <c r="AJ1572" s="28"/>
      <c r="AK1572" s="28"/>
      <c r="AL1572" s="28"/>
      <c r="AM1572" s="28"/>
      <c r="AN1572" s="28"/>
      <c r="AO1572" s="28"/>
      <c r="AP1572" s="28"/>
      <c r="AQ1572" s="28"/>
      <c r="AR1572" s="28"/>
      <c r="AS1572" s="28"/>
      <c r="AT1572" s="28"/>
      <c r="AU1572" s="28"/>
      <c r="AV1572" s="28"/>
      <c r="AW1572" s="28"/>
      <c r="AX1572" s="28"/>
      <c r="AY1572" s="28"/>
      <c r="AZ1572" s="28"/>
      <c r="BA1572" s="28"/>
      <c r="BB1572" s="28"/>
    </row>
    <row r="1573" spans="1:54" ht="12.75" x14ac:dyDescent="0.2">
      <c r="A1573" s="28"/>
      <c r="B1573" s="28"/>
      <c r="C1573" s="28"/>
      <c r="D1573" s="28"/>
      <c r="E1573" s="28"/>
      <c r="F1573" s="28"/>
      <c r="G1573" s="28"/>
      <c r="H1573" s="28"/>
      <c r="I1573" s="28"/>
      <c r="J1573" s="28"/>
      <c r="K1573" s="28"/>
      <c r="L1573" s="28"/>
      <c r="M1573" s="28"/>
      <c r="N1573" s="28"/>
      <c r="O1573" s="28"/>
      <c r="P1573" s="28"/>
      <c r="Q1573" s="28"/>
      <c r="R1573" s="28"/>
      <c r="S1573" s="28"/>
      <c r="T1573" s="28"/>
      <c r="U1573" s="28"/>
      <c r="V1573" s="28"/>
      <c r="W1573" s="28"/>
      <c r="X1573" s="28"/>
      <c r="Y1573" s="28"/>
      <c r="Z1573" s="28"/>
      <c r="AA1573" s="28"/>
      <c r="AB1573" s="28"/>
      <c r="AC1573" s="28"/>
      <c r="AD1573" s="28"/>
      <c r="AE1573" s="28"/>
      <c r="AF1573" s="28"/>
      <c r="AG1573" s="28"/>
      <c r="AH1573" s="28"/>
      <c r="AI1573" s="28"/>
      <c r="AJ1573" s="28"/>
      <c r="AK1573" s="28"/>
      <c r="AL1573" s="28"/>
      <c r="AM1573" s="28"/>
      <c r="AN1573" s="28"/>
      <c r="AO1573" s="28"/>
      <c r="AP1573" s="28"/>
      <c r="AQ1573" s="28"/>
      <c r="AR1573" s="28"/>
      <c r="AS1573" s="28"/>
      <c r="AT1573" s="28"/>
      <c r="AU1573" s="28"/>
      <c r="AV1573" s="28"/>
      <c r="AW1573" s="28"/>
      <c r="AX1573" s="28"/>
      <c r="AY1573" s="28"/>
      <c r="AZ1573" s="28"/>
      <c r="BA1573" s="28"/>
      <c r="BB1573" s="28"/>
    </row>
    <row r="1574" spans="1:54" ht="12.75" x14ac:dyDescent="0.2">
      <c r="A1574" s="28"/>
      <c r="B1574" s="28"/>
      <c r="C1574" s="28"/>
      <c r="D1574" s="28"/>
      <c r="E1574" s="28"/>
      <c r="F1574" s="28"/>
      <c r="G1574" s="28"/>
      <c r="H1574" s="28"/>
      <c r="I1574" s="28"/>
      <c r="J1574" s="28"/>
      <c r="K1574" s="28"/>
      <c r="L1574" s="28"/>
      <c r="M1574" s="28"/>
      <c r="N1574" s="28"/>
      <c r="O1574" s="28"/>
      <c r="P1574" s="28"/>
      <c r="Q1574" s="28"/>
      <c r="R1574" s="28"/>
      <c r="S1574" s="28"/>
      <c r="T1574" s="28"/>
      <c r="U1574" s="28"/>
      <c r="V1574" s="28"/>
      <c r="W1574" s="28"/>
      <c r="X1574" s="28"/>
      <c r="Y1574" s="28"/>
      <c r="Z1574" s="28"/>
      <c r="AA1574" s="28"/>
      <c r="AB1574" s="28"/>
      <c r="AC1574" s="28"/>
      <c r="AD1574" s="28"/>
      <c r="AE1574" s="28"/>
      <c r="AF1574" s="28"/>
      <c r="AG1574" s="28"/>
      <c r="AH1574" s="28"/>
      <c r="AI1574" s="28"/>
      <c r="AJ1574" s="28"/>
      <c r="AK1574" s="28"/>
      <c r="AL1574" s="28"/>
      <c r="AM1574" s="28"/>
      <c r="AN1574" s="28"/>
      <c r="AO1574" s="28"/>
      <c r="AP1574" s="28"/>
      <c r="AQ1574" s="28"/>
      <c r="AR1574" s="28"/>
      <c r="AS1574" s="28"/>
      <c r="AT1574" s="28"/>
      <c r="AU1574" s="28"/>
      <c r="AV1574" s="28"/>
      <c r="AW1574" s="28"/>
      <c r="AX1574" s="28"/>
      <c r="AY1574" s="28"/>
      <c r="AZ1574" s="28"/>
      <c r="BA1574" s="28"/>
      <c r="BB1574" s="28"/>
    </row>
    <row r="1575" spans="1:54" ht="12.75" x14ac:dyDescent="0.2">
      <c r="A1575" s="28"/>
      <c r="B1575" s="28"/>
      <c r="C1575" s="28"/>
      <c r="D1575" s="28"/>
      <c r="E1575" s="28"/>
      <c r="F1575" s="28"/>
      <c r="G1575" s="28"/>
      <c r="H1575" s="28"/>
      <c r="I1575" s="28"/>
      <c r="J1575" s="28"/>
      <c r="K1575" s="28"/>
      <c r="L1575" s="28"/>
      <c r="M1575" s="28"/>
      <c r="N1575" s="28"/>
      <c r="O1575" s="28"/>
      <c r="P1575" s="28"/>
      <c r="Q1575" s="28"/>
      <c r="R1575" s="28"/>
      <c r="S1575" s="28"/>
      <c r="T1575" s="28"/>
      <c r="U1575" s="28"/>
      <c r="V1575" s="28"/>
      <c r="W1575" s="28"/>
      <c r="X1575" s="28"/>
      <c r="Y1575" s="28"/>
      <c r="Z1575" s="28"/>
      <c r="AA1575" s="28"/>
      <c r="AB1575" s="28"/>
      <c r="AC1575" s="28"/>
      <c r="AD1575" s="28"/>
      <c r="AE1575" s="28"/>
      <c r="AF1575" s="28"/>
      <c r="AG1575" s="28"/>
      <c r="AH1575" s="28"/>
      <c r="AI1575" s="28"/>
      <c r="AJ1575" s="28"/>
      <c r="AK1575" s="28"/>
      <c r="AL1575" s="28"/>
      <c r="AM1575" s="28"/>
      <c r="AN1575" s="28"/>
      <c r="AO1575" s="28"/>
      <c r="AP1575" s="28"/>
      <c r="AQ1575" s="28"/>
      <c r="AR1575" s="28"/>
      <c r="AS1575" s="28"/>
      <c r="AT1575" s="28"/>
      <c r="AU1575" s="28"/>
      <c r="AV1575" s="28"/>
      <c r="AW1575" s="28"/>
      <c r="AX1575" s="28"/>
      <c r="AY1575" s="28"/>
      <c r="AZ1575" s="28"/>
      <c r="BA1575" s="28"/>
      <c r="BB1575" s="28"/>
    </row>
    <row r="1576" spans="1:54" ht="12.75" x14ac:dyDescent="0.2">
      <c r="A1576" s="28"/>
      <c r="B1576" s="28"/>
      <c r="C1576" s="28"/>
      <c r="D1576" s="28"/>
      <c r="E1576" s="28"/>
      <c r="F1576" s="28"/>
      <c r="G1576" s="28"/>
      <c r="H1576" s="28"/>
      <c r="I1576" s="28"/>
      <c r="J1576" s="28"/>
      <c r="K1576" s="28"/>
      <c r="L1576" s="28"/>
      <c r="M1576" s="28"/>
      <c r="N1576" s="28"/>
      <c r="O1576" s="28"/>
      <c r="P1576" s="28"/>
      <c r="Q1576" s="28"/>
      <c r="R1576" s="28"/>
      <c r="S1576" s="28"/>
      <c r="T1576" s="28"/>
      <c r="U1576" s="28"/>
      <c r="V1576" s="28"/>
      <c r="W1576" s="28"/>
      <c r="X1576" s="28"/>
      <c r="Y1576" s="28"/>
      <c r="Z1576" s="28"/>
      <c r="AA1576" s="28"/>
      <c r="AB1576" s="28"/>
      <c r="AC1576" s="28"/>
      <c r="AD1576" s="28"/>
      <c r="AE1576" s="28"/>
      <c r="AF1576" s="28"/>
      <c r="AG1576" s="28"/>
      <c r="AH1576" s="28"/>
      <c r="AI1576" s="28"/>
      <c r="AJ1576" s="28"/>
      <c r="AK1576" s="28"/>
      <c r="AL1576" s="28"/>
      <c r="AM1576" s="28"/>
      <c r="AN1576" s="28"/>
      <c r="AO1576" s="28"/>
      <c r="AP1576" s="28"/>
      <c r="AQ1576" s="28"/>
      <c r="AR1576" s="28"/>
      <c r="AS1576" s="28"/>
      <c r="AT1576" s="28"/>
      <c r="AU1576" s="28"/>
      <c r="AV1576" s="28"/>
      <c r="AW1576" s="28"/>
      <c r="AX1576" s="28"/>
      <c r="AY1576" s="28"/>
      <c r="AZ1576" s="28"/>
      <c r="BA1576" s="28"/>
      <c r="BB1576" s="28"/>
    </row>
    <row r="1577" spans="1:54" ht="12.75" x14ac:dyDescent="0.2">
      <c r="A1577" s="28"/>
      <c r="B1577" s="28"/>
      <c r="C1577" s="28"/>
      <c r="D1577" s="28"/>
      <c r="E1577" s="28"/>
      <c r="F1577" s="28"/>
      <c r="G1577" s="28"/>
      <c r="H1577" s="28"/>
      <c r="I1577" s="28"/>
      <c r="J1577" s="28"/>
      <c r="K1577" s="28"/>
      <c r="L1577" s="28"/>
      <c r="M1577" s="28"/>
      <c r="N1577" s="28"/>
      <c r="O1577" s="28"/>
      <c r="P1577" s="28"/>
      <c r="Q1577" s="28"/>
      <c r="R1577" s="28"/>
      <c r="S1577" s="28"/>
      <c r="T1577" s="28"/>
      <c r="U1577" s="28"/>
      <c r="V1577" s="28"/>
      <c r="W1577" s="28"/>
      <c r="X1577" s="28"/>
      <c r="Y1577" s="28"/>
      <c r="Z1577" s="28"/>
      <c r="AA1577" s="28"/>
      <c r="AB1577" s="28"/>
      <c r="AC1577" s="28"/>
      <c r="AD1577" s="28"/>
      <c r="AE1577" s="28"/>
      <c r="AF1577" s="28"/>
      <c r="AG1577" s="28"/>
      <c r="AH1577" s="28"/>
      <c r="AI1577" s="28"/>
      <c r="AJ1577" s="28"/>
      <c r="AK1577" s="28"/>
      <c r="AL1577" s="28"/>
      <c r="AM1577" s="28"/>
      <c r="AN1577" s="28"/>
      <c r="AO1577" s="28"/>
      <c r="AP1577" s="28"/>
      <c r="AQ1577" s="28"/>
      <c r="AR1577" s="28"/>
      <c r="AS1577" s="28"/>
      <c r="AT1577" s="28"/>
      <c r="AU1577" s="28"/>
      <c r="AV1577" s="28"/>
      <c r="AW1577" s="28"/>
      <c r="AX1577" s="28"/>
      <c r="AY1577" s="28"/>
      <c r="AZ1577" s="28"/>
      <c r="BA1577" s="28"/>
      <c r="BB1577" s="28"/>
    </row>
    <row r="1578" spans="1:54" ht="12.75" x14ac:dyDescent="0.2">
      <c r="A1578" s="28"/>
      <c r="B1578" s="28"/>
      <c r="C1578" s="28"/>
      <c r="D1578" s="28"/>
      <c r="E1578" s="28"/>
      <c r="F1578" s="28"/>
      <c r="G1578" s="28"/>
      <c r="H1578" s="28"/>
      <c r="I1578" s="28"/>
      <c r="J1578" s="28"/>
      <c r="K1578" s="28"/>
      <c r="L1578" s="28"/>
      <c r="M1578" s="28"/>
      <c r="N1578" s="28"/>
      <c r="O1578" s="28"/>
      <c r="P1578" s="28"/>
      <c r="Q1578" s="28"/>
      <c r="R1578" s="28"/>
      <c r="S1578" s="28"/>
      <c r="T1578" s="28"/>
      <c r="U1578" s="28"/>
      <c r="V1578" s="28"/>
      <c r="W1578" s="28"/>
      <c r="X1578" s="28"/>
      <c r="Y1578" s="28"/>
      <c r="Z1578" s="28"/>
      <c r="AA1578" s="28"/>
      <c r="AB1578" s="28"/>
      <c r="AC1578" s="28"/>
      <c r="AD1578" s="28"/>
      <c r="AE1578" s="28"/>
      <c r="AF1578" s="28"/>
      <c r="AG1578" s="28"/>
      <c r="AH1578" s="28"/>
      <c r="AI1578" s="28"/>
      <c r="AJ1578" s="28"/>
      <c r="AK1578" s="28"/>
      <c r="AL1578" s="28"/>
      <c r="AM1578" s="28"/>
      <c r="AN1578" s="28"/>
      <c r="AO1578" s="28"/>
      <c r="AP1578" s="28"/>
      <c r="AQ1578" s="28"/>
      <c r="AR1578" s="28"/>
      <c r="AS1578" s="28"/>
      <c r="AT1578" s="28"/>
      <c r="AU1578" s="28"/>
      <c r="AV1578" s="28"/>
      <c r="AW1578" s="28"/>
      <c r="AX1578" s="28"/>
      <c r="AY1578" s="28"/>
      <c r="AZ1578" s="28"/>
      <c r="BA1578" s="28"/>
      <c r="BB1578" s="28"/>
    </row>
    <row r="1579" spans="1:54" ht="12.75" x14ac:dyDescent="0.2">
      <c r="A1579" s="28"/>
      <c r="B1579" s="28"/>
      <c r="C1579" s="28"/>
      <c r="D1579" s="28"/>
      <c r="E1579" s="28"/>
      <c r="F1579" s="28"/>
      <c r="G1579" s="28"/>
      <c r="H1579" s="28"/>
      <c r="I1579" s="28"/>
      <c r="J1579" s="28"/>
      <c r="K1579" s="28"/>
      <c r="L1579" s="28"/>
      <c r="M1579" s="28"/>
      <c r="N1579" s="28"/>
      <c r="O1579" s="28"/>
      <c r="P1579" s="28"/>
      <c r="Q1579" s="28"/>
      <c r="R1579" s="28"/>
      <c r="S1579" s="28"/>
      <c r="T1579" s="28"/>
      <c r="U1579" s="28"/>
      <c r="V1579" s="28"/>
      <c r="W1579" s="28"/>
      <c r="X1579" s="28"/>
      <c r="Y1579" s="28"/>
      <c r="Z1579" s="28"/>
      <c r="AA1579" s="28"/>
      <c r="AB1579" s="28"/>
      <c r="AC1579" s="28"/>
      <c r="AD1579" s="28"/>
      <c r="AE1579" s="28"/>
      <c r="AF1579" s="28"/>
      <c r="AG1579" s="28"/>
      <c r="AH1579" s="28"/>
      <c r="AI1579" s="28"/>
      <c r="AJ1579" s="28"/>
      <c r="AK1579" s="28"/>
      <c r="AL1579" s="28"/>
      <c r="AM1579" s="28"/>
      <c r="AN1579" s="28"/>
      <c r="AO1579" s="28"/>
      <c r="AP1579" s="28"/>
      <c r="AQ1579" s="28"/>
      <c r="AR1579" s="28"/>
      <c r="AS1579" s="28"/>
      <c r="AT1579" s="28"/>
      <c r="AU1579" s="28"/>
      <c r="AV1579" s="28"/>
      <c r="AW1579" s="28"/>
      <c r="AX1579" s="28"/>
      <c r="AY1579" s="28"/>
      <c r="AZ1579" s="28"/>
      <c r="BA1579" s="28"/>
      <c r="BB1579" s="28"/>
    </row>
    <row r="1580" spans="1:54" ht="12.75" x14ac:dyDescent="0.2">
      <c r="A1580" s="28"/>
      <c r="B1580" s="28"/>
      <c r="C1580" s="28"/>
      <c r="D1580" s="28"/>
      <c r="E1580" s="28"/>
      <c r="F1580" s="28"/>
      <c r="G1580" s="28"/>
      <c r="H1580" s="28"/>
      <c r="I1580" s="28"/>
      <c r="J1580" s="28"/>
      <c r="K1580" s="28"/>
      <c r="L1580" s="28"/>
      <c r="M1580" s="28"/>
      <c r="N1580" s="28"/>
      <c r="O1580" s="28"/>
      <c r="P1580" s="28"/>
      <c r="Q1580" s="28"/>
      <c r="R1580" s="28"/>
      <c r="S1580" s="28"/>
      <c r="T1580" s="28"/>
      <c r="U1580" s="28"/>
      <c r="V1580" s="28"/>
      <c r="W1580" s="28"/>
      <c r="X1580" s="28"/>
      <c r="Y1580" s="28"/>
      <c r="Z1580" s="28"/>
      <c r="AA1580" s="28"/>
      <c r="AB1580" s="28"/>
      <c r="AC1580" s="28"/>
      <c r="AD1580" s="28"/>
      <c r="AE1580" s="28"/>
      <c r="AF1580" s="28"/>
      <c r="AG1580" s="28"/>
      <c r="AH1580" s="28"/>
      <c r="AI1580" s="28"/>
      <c r="AJ1580" s="28"/>
      <c r="AK1580" s="28"/>
      <c r="AL1580" s="28"/>
      <c r="AM1580" s="28"/>
      <c r="AN1580" s="28"/>
      <c r="AO1580" s="28"/>
      <c r="AP1580" s="28"/>
      <c r="AQ1580" s="28"/>
      <c r="AR1580" s="28"/>
      <c r="AS1580" s="28"/>
      <c r="AT1580" s="28"/>
      <c r="AU1580" s="28"/>
      <c r="AV1580" s="28"/>
      <c r="AW1580" s="28"/>
      <c r="AX1580" s="28"/>
      <c r="AY1580" s="28"/>
      <c r="AZ1580" s="28"/>
      <c r="BA1580" s="28"/>
      <c r="BB1580" s="28"/>
    </row>
    <row r="1581" spans="1:54" ht="12.75" x14ac:dyDescent="0.2">
      <c r="A1581" s="28"/>
      <c r="B1581" s="28"/>
      <c r="C1581" s="28"/>
      <c r="D1581" s="28"/>
      <c r="E1581" s="28"/>
      <c r="F1581" s="28"/>
      <c r="G1581" s="28"/>
      <c r="H1581" s="28"/>
      <c r="I1581" s="28"/>
      <c r="J1581" s="28"/>
      <c r="K1581" s="28"/>
      <c r="L1581" s="28"/>
      <c r="M1581" s="28"/>
      <c r="N1581" s="28"/>
      <c r="O1581" s="28"/>
      <c r="P1581" s="28"/>
      <c r="Q1581" s="28"/>
      <c r="R1581" s="28"/>
      <c r="S1581" s="28"/>
      <c r="T1581" s="28"/>
      <c r="U1581" s="28"/>
      <c r="V1581" s="28"/>
      <c r="W1581" s="28"/>
      <c r="X1581" s="28"/>
      <c r="Y1581" s="28"/>
      <c r="Z1581" s="28"/>
      <c r="AA1581" s="28"/>
      <c r="AB1581" s="28"/>
      <c r="AC1581" s="28"/>
      <c r="AD1581" s="28"/>
      <c r="AE1581" s="28"/>
      <c r="AF1581" s="28"/>
      <c r="AG1581" s="28"/>
      <c r="AH1581" s="28"/>
      <c r="AI1581" s="28"/>
      <c r="AJ1581" s="28"/>
      <c r="AK1581" s="28"/>
      <c r="AL1581" s="28"/>
      <c r="AM1581" s="28"/>
      <c r="AN1581" s="28"/>
      <c r="AO1581" s="28"/>
      <c r="AP1581" s="28"/>
      <c r="AQ1581" s="28"/>
      <c r="AR1581" s="28"/>
      <c r="AS1581" s="28"/>
      <c r="AT1581" s="28"/>
      <c r="AU1581" s="28"/>
      <c r="AV1581" s="28"/>
      <c r="AW1581" s="28"/>
      <c r="AX1581" s="28"/>
      <c r="AY1581" s="28"/>
      <c r="AZ1581" s="28"/>
      <c r="BA1581" s="28"/>
      <c r="BB1581" s="28"/>
    </row>
    <row r="1582" spans="1:54" ht="12.75" x14ac:dyDescent="0.2">
      <c r="A1582" s="28"/>
      <c r="B1582" s="28"/>
      <c r="C1582" s="28"/>
      <c r="D1582" s="28"/>
      <c r="E1582" s="28"/>
      <c r="F1582" s="28"/>
      <c r="G1582" s="28"/>
      <c r="H1582" s="28"/>
      <c r="I1582" s="28"/>
      <c r="J1582" s="28"/>
      <c r="K1582" s="28"/>
      <c r="L1582" s="28"/>
      <c r="M1582" s="28"/>
      <c r="N1582" s="28"/>
      <c r="O1582" s="28"/>
      <c r="P1582" s="28"/>
      <c r="Q1582" s="28"/>
      <c r="R1582" s="28"/>
      <c r="S1582" s="28"/>
      <c r="T1582" s="28"/>
      <c r="U1582" s="28"/>
      <c r="V1582" s="28"/>
      <c r="W1582" s="28"/>
      <c r="X1582" s="28"/>
      <c r="Y1582" s="28"/>
      <c r="Z1582" s="28"/>
      <c r="AA1582" s="28"/>
      <c r="AB1582" s="28"/>
      <c r="AC1582" s="28"/>
      <c r="AD1582" s="28"/>
      <c r="AE1582" s="28"/>
      <c r="AF1582" s="28"/>
      <c r="AG1582" s="28"/>
      <c r="AH1582" s="28"/>
      <c r="AI1582" s="28"/>
      <c r="AJ1582" s="28"/>
      <c r="AK1582" s="28"/>
      <c r="AL1582" s="28"/>
      <c r="AM1582" s="28"/>
      <c r="AN1582" s="28"/>
      <c r="AO1582" s="28"/>
      <c r="AP1582" s="28"/>
      <c r="AQ1582" s="28"/>
      <c r="AR1582" s="28"/>
      <c r="AS1582" s="28"/>
      <c r="AT1582" s="28"/>
      <c r="AU1582" s="28"/>
      <c r="AV1582" s="28"/>
      <c r="AW1582" s="28"/>
      <c r="AX1582" s="28"/>
      <c r="AY1582" s="28"/>
      <c r="AZ1582" s="28"/>
      <c r="BA1582" s="28"/>
      <c r="BB1582" s="28"/>
    </row>
    <row r="1583" spans="1:54" ht="12.75" x14ac:dyDescent="0.2">
      <c r="A1583" s="28"/>
      <c r="B1583" s="28"/>
      <c r="C1583" s="28"/>
      <c r="D1583" s="28"/>
      <c r="E1583" s="28"/>
      <c r="F1583" s="28"/>
      <c r="G1583" s="28"/>
      <c r="H1583" s="28"/>
      <c r="I1583" s="28"/>
      <c r="J1583" s="28"/>
      <c r="K1583" s="28"/>
      <c r="L1583" s="28"/>
      <c r="M1583" s="28"/>
      <c r="N1583" s="28"/>
      <c r="O1583" s="28"/>
      <c r="P1583" s="28"/>
      <c r="Q1583" s="28"/>
      <c r="R1583" s="28"/>
      <c r="S1583" s="28"/>
      <c r="T1583" s="28"/>
      <c r="U1583" s="28"/>
      <c r="V1583" s="28"/>
      <c r="W1583" s="28"/>
      <c r="X1583" s="28"/>
      <c r="Y1583" s="28"/>
      <c r="Z1583" s="28"/>
      <c r="AA1583" s="28"/>
      <c r="AB1583" s="28"/>
      <c r="AC1583" s="28"/>
      <c r="AD1583" s="28"/>
      <c r="AE1583" s="28"/>
      <c r="AF1583" s="28"/>
      <c r="AG1583" s="28"/>
      <c r="AH1583" s="28"/>
      <c r="AI1583" s="28"/>
      <c r="AJ1583" s="28"/>
      <c r="AK1583" s="28"/>
      <c r="AL1583" s="28"/>
      <c r="AM1583" s="28"/>
      <c r="AN1583" s="28"/>
      <c r="AO1583" s="28"/>
      <c r="AP1583" s="28"/>
      <c r="AQ1583" s="28"/>
      <c r="AR1583" s="28"/>
      <c r="AS1583" s="28"/>
      <c r="AT1583" s="28"/>
      <c r="AU1583" s="28"/>
      <c r="AV1583" s="28"/>
      <c r="AW1583" s="28"/>
      <c r="AX1583" s="28"/>
      <c r="AY1583" s="28"/>
      <c r="AZ1583" s="28"/>
      <c r="BA1583" s="28"/>
      <c r="BB1583" s="28"/>
    </row>
    <row r="1584" spans="1:54" ht="12.75" x14ac:dyDescent="0.2">
      <c r="A1584" s="28"/>
      <c r="B1584" s="28"/>
      <c r="C1584" s="28"/>
      <c r="D1584" s="28"/>
      <c r="E1584" s="28"/>
      <c r="F1584" s="28"/>
      <c r="G1584" s="28"/>
      <c r="H1584" s="28"/>
      <c r="I1584" s="28"/>
      <c r="J1584" s="28"/>
      <c r="K1584" s="28"/>
      <c r="L1584" s="28"/>
      <c r="M1584" s="28"/>
      <c r="N1584" s="28"/>
      <c r="O1584" s="28"/>
      <c r="P1584" s="28"/>
      <c r="Q1584" s="28"/>
      <c r="R1584" s="28"/>
      <c r="S1584" s="28"/>
      <c r="T1584" s="28"/>
      <c r="U1584" s="28"/>
      <c r="V1584" s="28"/>
      <c r="W1584" s="28"/>
      <c r="X1584" s="28"/>
      <c r="Y1584" s="28"/>
      <c r="Z1584" s="28"/>
      <c r="AA1584" s="28"/>
      <c r="AB1584" s="28"/>
      <c r="AC1584" s="28"/>
      <c r="AD1584" s="28"/>
      <c r="AE1584" s="28"/>
      <c r="AF1584" s="28"/>
      <c r="AG1584" s="28"/>
      <c r="AH1584" s="28"/>
      <c r="AI1584" s="28"/>
      <c r="AJ1584" s="28"/>
      <c r="AK1584" s="28"/>
      <c r="AL1584" s="28"/>
      <c r="AM1584" s="28"/>
      <c r="AN1584" s="28"/>
      <c r="AO1584" s="28"/>
      <c r="AP1584" s="28"/>
      <c r="AQ1584" s="28"/>
      <c r="AR1584" s="28"/>
      <c r="AS1584" s="28"/>
      <c r="AT1584" s="28"/>
      <c r="AU1584" s="28"/>
      <c r="AV1584" s="28"/>
      <c r="AW1584" s="28"/>
      <c r="AX1584" s="28"/>
      <c r="AY1584" s="28"/>
      <c r="AZ1584" s="28"/>
      <c r="BA1584" s="28"/>
      <c r="BB1584" s="28"/>
    </row>
    <row r="1585" spans="1:54" ht="12.75" x14ac:dyDescent="0.2">
      <c r="A1585" s="28"/>
      <c r="B1585" s="28"/>
      <c r="C1585" s="28"/>
      <c r="D1585" s="28"/>
      <c r="E1585" s="28"/>
      <c r="F1585" s="28"/>
      <c r="G1585" s="28"/>
      <c r="H1585" s="28"/>
      <c r="I1585" s="28"/>
      <c r="J1585" s="28"/>
      <c r="K1585" s="28"/>
      <c r="L1585" s="28"/>
      <c r="M1585" s="28"/>
      <c r="N1585" s="28"/>
      <c r="O1585" s="28"/>
      <c r="P1585" s="28"/>
      <c r="Q1585" s="28"/>
      <c r="R1585" s="28"/>
      <c r="S1585" s="28"/>
      <c r="T1585" s="28"/>
      <c r="U1585" s="28"/>
      <c r="V1585" s="28"/>
      <c r="W1585" s="28"/>
      <c r="X1585" s="28"/>
      <c r="Y1585" s="28"/>
      <c r="Z1585" s="28"/>
      <c r="AA1585" s="28"/>
      <c r="AB1585" s="28"/>
      <c r="AC1585" s="28"/>
      <c r="AD1585" s="28"/>
      <c r="AE1585" s="28"/>
      <c r="AF1585" s="28"/>
      <c r="AG1585" s="28"/>
      <c r="AH1585" s="28"/>
      <c r="AI1585" s="28"/>
      <c r="AJ1585" s="28"/>
      <c r="AK1585" s="28"/>
      <c r="AL1585" s="28"/>
      <c r="AM1585" s="28"/>
      <c r="AN1585" s="28"/>
      <c r="AO1585" s="28"/>
      <c r="AP1585" s="28"/>
      <c r="AQ1585" s="28"/>
      <c r="AR1585" s="28"/>
      <c r="AS1585" s="28"/>
      <c r="AT1585" s="28"/>
      <c r="AU1585" s="28"/>
      <c r="AV1585" s="28"/>
      <c r="AW1585" s="28"/>
      <c r="AX1585" s="28"/>
      <c r="AY1585" s="28"/>
      <c r="AZ1585" s="28"/>
      <c r="BA1585" s="28"/>
      <c r="BB1585" s="28"/>
    </row>
    <row r="1586" spans="1:54" ht="12.75" x14ac:dyDescent="0.2">
      <c r="A1586" s="28"/>
      <c r="B1586" s="28"/>
      <c r="C1586" s="28"/>
      <c r="D1586" s="28"/>
      <c r="E1586" s="28"/>
      <c r="F1586" s="28"/>
      <c r="G1586" s="28"/>
      <c r="H1586" s="28"/>
      <c r="I1586" s="28"/>
      <c r="J1586" s="28"/>
      <c r="K1586" s="28"/>
      <c r="L1586" s="28"/>
      <c r="M1586" s="28"/>
      <c r="N1586" s="28"/>
      <c r="O1586" s="28"/>
      <c r="P1586" s="28"/>
      <c r="Q1586" s="28"/>
      <c r="R1586" s="28"/>
      <c r="S1586" s="28"/>
      <c r="T1586" s="28"/>
      <c r="U1586" s="28"/>
      <c r="V1586" s="28"/>
      <c r="W1586" s="28"/>
      <c r="X1586" s="28"/>
      <c r="Y1586" s="28"/>
      <c r="Z1586" s="28"/>
      <c r="AA1586" s="28"/>
      <c r="AB1586" s="28"/>
      <c r="AC1586" s="28"/>
      <c r="AD1586" s="28"/>
      <c r="AE1586" s="28"/>
      <c r="AF1586" s="28"/>
      <c r="AG1586" s="28"/>
      <c r="AH1586" s="28"/>
      <c r="AI1586" s="28"/>
      <c r="AJ1586" s="28"/>
      <c r="AK1586" s="28"/>
      <c r="AL1586" s="28"/>
      <c r="AM1586" s="28"/>
      <c r="AN1586" s="28"/>
      <c r="AO1586" s="28"/>
      <c r="AP1586" s="28"/>
      <c r="AQ1586" s="28"/>
      <c r="AR1586" s="28"/>
      <c r="AS1586" s="28"/>
      <c r="AT1586" s="28"/>
      <c r="AU1586" s="28"/>
      <c r="AV1586" s="28"/>
      <c r="AW1586" s="28"/>
      <c r="AX1586" s="28"/>
      <c r="AY1586" s="28"/>
      <c r="AZ1586" s="28"/>
      <c r="BA1586" s="28"/>
      <c r="BB1586" s="28"/>
    </row>
    <row r="1587" spans="1:54" ht="12.75" x14ac:dyDescent="0.2">
      <c r="A1587" s="28"/>
      <c r="B1587" s="28"/>
      <c r="C1587" s="28"/>
      <c r="D1587" s="28"/>
      <c r="E1587" s="28"/>
      <c r="F1587" s="28"/>
      <c r="G1587" s="28"/>
      <c r="H1587" s="28"/>
      <c r="I1587" s="28"/>
      <c r="J1587" s="28"/>
      <c r="K1587" s="28"/>
      <c r="L1587" s="28"/>
      <c r="M1587" s="28"/>
      <c r="N1587" s="28"/>
      <c r="O1587" s="28"/>
      <c r="P1587" s="28"/>
      <c r="Q1587" s="28"/>
      <c r="R1587" s="28"/>
      <c r="S1587" s="28"/>
      <c r="T1587" s="28"/>
      <c r="U1587" s="28"/>
      <c r="V1587" s="28"/>
      <c r="W1587" s="28"/>
      <c r="X1587" s="28"/>
      <c r="Y1587" s="28"/>
      <c r="Z1587" s="28"/>
      <c r="AA1587" s="28"/>
      <c r="AB1587" s="28"/>
      <c r="AC1587" s="28"/>
      <c r="AD1587" s="28"/>
      <c r="AE1587" s="28"/>
      <c r="AF1587" s="28"/>
      <c r="AG1587" s="28"/>
      <c r="AH1587" s="28"/>
      <c r="AI1587" s="28"/>
      <c r="AJ1587" s="28"/>
      <c r="AK1587" s="28"/>
      <c r="AL1587" s="28"/>
      <c r="AM1587" s="28"/>
      <c r="AN1587" s="28"/>
      <c r="AO1587" s="28"/>
      <c r="AP1587" s="28"/>
      <c r="AQ1587" s="28"/>
      <c r="AR1587" s="28"/>
      <c r="AS1587" s="28"/>
      <c r="AT1587" s="28"/>
      <c r="AU1587" s="28"/>
      <c r="AV1587" s="28"/>
      <c r="AW1587" s="28"/>
      <c r="AX1587" s="28"/>
      <c r="AY1587" s="28"/>
      <c r="AZ1587" s="28"/>
      <c r="BA1587" s="28"/>
      <c r="BB1587" s="28"/>
    </row>
    <row r="1588" spans="1:54" ht="12.75" x14ac:dyDescent="0.2">
      <c r="A1588" s="28"/>
      <c r="B1588" s="28"/>
      <c r="C1588" s="28"/>
      <c r="D1588" s="28"/>
      <c r="E1588" s="28"/>
      <c r="F1588" s="28"/>
      <c r="G1588" s="28"/>
      <c r="H1588" s="28"/>
      <c r="I1588" s="28"/>
      <c r="J1588" s="28"/>
      <c r="K1588" s="28"/>
      <c r="L1588" s="28"/>
      <c r="M1588" s="28"/>
      <c r="N1588" s="28"/>
      <c r="O1588" s="28"/>
      <c r="P1588" s="28"/>
      <c r="Q1588" s="28"/>
      <c r="R1588" s="28"/>
      <c r="S1588" s="28"/>
      <c r="T1588" s="28"/>
      <c r="U1588" s="28"/>
      <c r="V1588" s="28"/>
      <c r="W1588" s="28"/>
      <c r="X1588" s="28"/>
      <c r="Y1588" s="28"/>
      <c r="Z1588" s="28"/>
      <c r="AA1588" s="28"/>
      <c r="AB1588" s="28"/>
      <c r="AC1588" s="28"/>
      <c r="AD1588" s="28"/>
      <c r="AE1588" s="28"/>
      <c r="AF1588" s="28"/>
      <c r="AG1588" s="28"/>
      <c r="AH1588" s="28"/>
      <c r="AI1588" s="28"/>
      <c r="AJ1588" s="28"/>
      <c r="AK1588" s="28"/>
      <c r="AL1588" s="28"/>
      <c r="AM1588" s="28"/>
      <c r="AN1588" s="28"/>
      <c r="AO1588" s="28"/>
      <c r="AP1588" s="28"/>
      <c r="AQ1588" s="28"/>
      <c r="AR1588" s="28"/>
      <c r="AS1588" s="28"/>
      <c r="AT1588" s="28"/>
      <c r="AU1588" s="28"/>
      <c r="AV1588" s="28"/>
      <c r="AW1588" s="28"/>
      <c r="AX1588" s="28"/>
      <c r="AY1588" s="28"/>
      <c r="AZ1588" s="28"/>
      <c r="BA1588" s="28"/>
      <c r="BB1588" s="28"/>
    </row>
    <row r="1589" spans="1:54" ht="12.75" x14ac:dyDescent="0.2">
      <c r="A1589" s="28"/>
      <c r="B1589" s="28"/>
      <c r="C1589" s="28"/>
      <c r="D1589" s="28"/>
      <c r="E1589" s="28"/>
      <c r="F1589" s="28"/>
      <c r="G1589" s="28"/>
      <c r="H1589" s="28"/>
      <c r="I1589" s="28"/>
      <c r="J1589" s="28"/>
      <c r="K1589" s="28"/>
      <c r="L1589" s="28"/>
      <c r="M1589" s="28"/>
      <c r="N1589" s="28"/>
      <c r="O1589" s="28"/>
      <c r="P1589" s="28"/>
      <c r="Q1589" s="28"/>
      <c r="R1589" s="28"/>
      <c r="S1589" s="28"/>
      <c r="T1589" s="28"/>
      <c r="U1589" s="28"/>
      <c r="V1589" s="28"/>
      <c r="W1589" s="28"/>
      <c r="X1589" s="28"/>
      <c r="Y1589" s="28"/>
      <c r="Z1589" s="28"/>
      <c r="AA1589" s="28"/>
      <c r="AB1589" s="28"/>
      <c r="AC1589" s="28"/>
      <c r="AD1589" s="28"/>
      <c r="AE1589" s="28"/>
      <c r="AF1589" s="28"/>
      <c r="AG1589" s="28"/>
      <c r="AH1589" s="28"/>
      <c r="AI1589" s="28"/>
      <c r="AJ1589" s="28"/>
      <c r="AK1589" s="28"/>
      <c r="AL1589" s="28"/>
      <c r="AM1589" s="28"/>
      <c r="AN1589" s="28"/>
      <c r="AO1589" s="28"/>
      <c r="AP1589" s="28"/>
      <c r="AQ1589" s="28"/>
      <c r="AR1589" s="28"/>
      <c r="AS1589" s="28"/>
      <c r="AT1589" s="28"/>
      <c r="AU1589" s="28"/>
      <c r="AV1589" s="28"/>
      <c r="AW1589" s="28"/>
      <c r="AX1589" s="28"/>
      <c r="AY1589" s="28"/>
      <c r="AZ1589" s="28"/>
      <c r="BA1589" s="28"/>
      <c r="BB1589" s="28"/>
    </row>
    <row r="1590" spans="1:54" ht="12.75" x14ac:dyDescent="0.2">
      <c r="A1590" s="28"/>
      <c r="B1590" s="28"/>
      <c r="C1590" s="28"/>
      <c r="D1590" s="28"/>
      <c r="E1590" s="28"/>
      <c r="F1590" s="28"/>
      <c r="G1590" s="28"/>
      <c r="H1590" s="28"/>
      <c r="I1590" s="28"/>
      <c r="J1590" s="28"/>
      <c r="K1590" s="28"/>
      <c r="L1590" s="28"/>
      <c r="M1590" s="28"/>
      <c r="N1590" s="28"/>
      <c r="O1590" s="28"/>
      <c r="P1590" s="28"/>
      <c r="Q1590" s="28"/>
      <c r="R1590" s="28"/>
      <c r="S1590" s="28"/>
      <c r="T1590" s="28"/>
      <c r="U1590" s="28"/>
      <c r="V1590" s="28"/>
      <c r="W1590" s="28"/>
      <c r="X1590" s="28"/>
      <c r="Y1590" s="28"/>
      <c r="Z1590" s="28"/>
      <c r="AA1590" s="28"/>
      <c r="AB1590" s="28"/>
      <c r="AC1590" s="28"/>
      <c r="AD1590" s="28"/>
      <c r="AE1590" s="28"/>
      <c r="AF1590" s="28"/>
      <c r="AG1590" s="28"/>
      <c r="AH1590" s="28"/>
      <c r="AI1590" s="28"/>
      <c r="AJ1590" s="28"/>
      <c r="AK1590" s="28"/>
      <c r="AL1590" s="28"/>
      <c r="AM1590" s="28"/>
      <c r="AN1590" s="28"/>
      <c r="AO1590" s="28"/>
      <c r="AP1590" s="28"/>
      <c r="AQ1590" s="28"/>
      <c r="AR1590" s="28"/>
      <c r="AS1590" s="28"/>
      <c r="AT1590" s="28"/>
      <c r="AU1590" s="28"/>
      <c r="AV1590" s="28"/>
      <c r="AW1590" s="28"/>
      <c r="AX1590" s="28"/>
      <c r="AY1590" s="28"/>
      <c r="AZ1590" s="28"/>
      <c r="BA1590" s="28"/>
      <c r="BB1590" s="28"/>
    </row>
    <row r="1591" spans="1:54" ht="12.75" x14ac:dyDescent="0.2">
      <c r="A1591" s="28"/>
      <c r="B1591" s="28"/>
      <c r="C1591" s="28"/>
      <c r="D1591" s="28"/>
      <c r="E1591" s="28"/>
      <c r="F1591" s="28"/>
      <c r="G1591" s="28"/>
      <c r="H1591" s="28"/>
      <c r="I1591" s="28"/>
      <c r="J1591" s="28"/>
      <c r="K1591" s="28"/>
      <c r="L1591" s="28"/>
      <c r="M1591" s="28"/>
      <c r="N1591" s="28"/>
      <c r="O1591" s="28"/>
      <c r="P1591" s="28"/>
      <c r="Q1591" s="28"/>
      <c r="R1591" s="28"/>
      <c r="S1591" s="28"/>
      <c r="T1591" s="28"/>
      <c r="U1591" s="28"/>
      <c r="V1591" s="28"/>
      <c r="W1591" s="28"/>
      <c r="X1591" s="28"/>
      <c r="Y1591" s="28"/>
      <c r="Z1591" s="28"/>
      <c r="AA1591" s="28"/>
      <c r="AB1591" s="28"/>
      <c r="AC1591" s="28"/>
      <c r="AD1591" s="28"/>
      <c r="AE1591" s="28"/>
      <c r="AF1591" s="28"/>
      <c r="AG1591" s="28"/>
      <c r="AH1591" s="28"/>
      <c r="AI1591" s="28"/>
      <c r="AJ1591" s="28"/>
      <c r="AK1591" s="28"/>
      <c r="AL1591" s="28"/>
      <c r="AM1591" s="28"/>
      <c r="AN1591" s="28"/>
      <c r="AO1591" s="28"/>
      <c r="AP1591" s="28"/>
      <c r="AQ1591" s="28"/>
      <c r="AR1591" s="28"/>
      <c r="AS1591" s="28"/>
      <c r="AT1591" s="28"/>
      <c r="AU1591" s="28"/>
      <c r="AV1591" s="28"/>
      <c r="AW1591" s="28"/>
      <c r="AX1591" s="28"/>
      <c r="AY1591" s="28"/>
      <c r="AZ1591" s="28"/>
      <c r="BA1591" s="28"/>
      <c r="BB1591" s="28"/>
    </row>
    <row r="1592" spans="1:54" ht="12.75" x14ac:dyDescent="0.2">
      <c r="A1592" s="28"/>
      <c r="B1592" s="28"/>
      <c r="C1592" s="28"/>
      <c r="D1592" s="28"/>
      <c r="E1592" s="28"/>
      <c r="F1592" s="28"/>
      <c r="G1592" s="28"/>
      <c r="H1592" s="28"/>
      <c r="I1592" s="28"/>
      <c r="J1592" s="28"/>
      <c r="K1592" s="28"/>
      <c r="L1592" s="28"/>
      <c r="M1592" s="28"/>
      <c r="N1592" s="28"/>
      <c r="O1592" s="28"/>
      <c r="P1592" s="28"/>
      <c r="Q1592" s="28"/>
      <c r="R1592" s="28"/>
      <c r="S1592" s="28"/>
      <c r="T1592" s="28"/>
      <c r="U1592" s="28"/>
      <c r="V1592" s="28"/>
      <c r="W1592" s="28"/>
      <c r="X1592" s="28"/>
      <c r="Y1592" s="28"/>
      <c r="Z1592" s="28"/>
      <c r="AA1592" s="28"/>
      <c r="AB1592" s="28"/>
      <c r="AC1592" s="28"/>
      <c r="AD1592" s="28"/>
      <c r="AE1592" s="28"/>
      <c r="AF1592" s="28"/>
      <c r="AG1592" s="28"/>
      <c r="AH1592" s="28"/>
      <c r="AI1592" s="28"/>
      <c r="AJ1592" s="28"/>
      <c r="AK1592" s="28"/>
      <c r="AL1592" s="28"/>
      <c r="AM1592" s="28"/>
      <c r="AN1592" s="28"/>
      <c r="AO1592" s="28"/>
      <c r="AP1592" s="28"/>
      <c r="AQ1592" s="28"/>
      <c r="AR1592" s="28"/>
      <c r="AS1592" s="28"/>
      <c r="AT1592" s="28"/>
      <c r="AU1592" s="28"/>
      <c r="AV1592" s="28"/>
      <c r="AW1592" s="28"/>
      <c r="AX1592" s="28"/>
      <c r="AY1592" s="28"/>
      <c r="AZ1592" s="28"/>
      <c r="BA1592" s="28"/>
      <c r="BB1592" s="28"/>
    </row>
    <row r="1593" spans="1:54" ht="12.75" x14ac:dyDescent="0.2">
      <c r="A1593" s="28"/>
      <c r="B1593" s="28"/>
      <c r="C1593" s="28"/>
      <c r="D1593" s="28"/>
      <c r="E1593" s="28"/>
      <c r="F1593" s="28"/>
      <c r="G1593" s="28"/>
      <c r="H1593" s="28"/>
      <c r="I1593" s="28"/>
      <c r="J1593" s="28"/>
      <c r="K1593" s="28"/>
      <c r="L1593" s="28"/>
      <c r="M1593" s="28"/>
      <c r="N1593" s="28"/>
      <c r="O1593" s="28"/>
      <c r="P1593" s="28"/>
      <c r="Q1593" s="28"/>
      <c r="R1593" s="28"/>
      <c r="S1593" s="28"/>
      <c r="T1593" s="28"/>
      <c r="U1593" s="28"/>
      <c r="V1593" s="28"/>
      <c r="W1593" s="28"/>
      <c r="X1593" s="28"/>
      <c r="Y1593" s="28"/>
      <c r="Z1593" s="28"/>
      <c r="AA1593" s="28"/>
      <c r="AB1593" s="28"/>
      <c r="AC1593" s="28"/>
      <c r="AD1593" s="28"/>
      <c r="AE1593" s="28"/>
      <c r="AF1593" s="28"/>
      <c r="AG1593" s="28"/>
      <c r="AH1593" s="28"/>
      <c r="AI1593" s="28"/>
      <c r="AJ1593" s="28"/>
      <c r="AK1593" s="28"/>
      <c r="AL1593" s="28"/>
      <c r="AM1593" s="28"/>
      <c r="AN1593" s="28"/>
      <c r="AO1593" s="28"/>
      <c r="AP1593" s="28"/>
      <c r="AQ1593" s="28"/>
      <c r="AR1593" s="28"/>
      <c r="AS1593" s="28"/>
      <c r="AT1593" s="28"/>
      <c r="AU1593" s="28"/>
      <c r="AV1593" s="28"/>
      <c r="AW1593" s="28"/>
      <c r="AX1593" s="28"/>
      <c r="AY1593" s="28"/>
      <c r="AZ1593" s="28"/>
      <c r="BA1593" s="28"/>
      <c r="BB1593" s="28"/>
    </row>
    <row r="1594" spans="1:54" ht="12.75" x14ac:dyDescent="0.2">
      <c r="A1594" s="28"/>
      <c r="B1594" s="28"/>
      <c r="C1594" s="28"/>
      <c r="D1594" s="28"/>
      <c r="E1594" s="28"/>
      <c r="F1594" s="28"/>
      <c r="G1594" s="28"/>
      <c r="H1594" s="28"/>
      <c r="I1594" s="28"/>
      <c r="J1594" s="28"/>
      <c r="K1594" s="28"/>
      <c r="L1594" s="28"/>
      <c r="M1594" s="28"/>
      <c r="N1594" s="28"/>
      <c r="O1594" s="28"/>
      <c r="P1594" s="28"/>
      <c r="Q1594" s="28"/>
      <c r="R1594" s="28"/>
      <c r="S1594" s="28"/>
      <c r="T1594" s="28"/>
      <c r="U1594" s="28"/>
      <c r="V1594" s="28"/>
      <c r="W1594" s="28"/>
      <c r="X1594" s="28"/>
      <c r="Y1594" s="28"/>
      <c r="Z1594" s="28"/>
      <c r="AA1594" s="28"/>
      <c r="AB1594" s="28"/>
      <c r="AC1594" s="28"/>
      <c r="AD1594" s="28"/>
      <c r="AE1594" s="28"/>
      <c r="AF1594" s="28"/>
      <c r="AG1594" s="28"/>
      <c r="AH1594" s="28"/>
      <c r="AI1594" s="28"/>
      <c r="AJ1594" s="28"/>
      <c r="AK1594" s="28"/>
      <c r="AL1594" s="28"/>
      <c r="AM1594" s="28"/>
      <c r="AN1594" s="28"/>
      <c r="AO1594" s="28"/>
      <c r="AP1594" s="28"/>
      <c r="AQ1594" s="28"/>
      <c r="AR1594" s="28"/>
      <c r="AS1594" s="28"/>
      <c r="AT1594" s="28"/>
      <c r="AU1594" s="28"/>
      <c r="AV1594" s="28"/>
      <c r="AW1594" s="28"/>
      <c r="AX1594" s="28"/>
      <c r="AY1594" s="28"/>
      <c r="AZ1594" s="28"/>
      <c r="BA1594" s="28"/>
      <c r="BB1594" s="28"/>
    </row>
    <row r="1595" spans="1:54" ht="12.75" x14ac:dyDescent="0.2">
      <c r="A1595" s="28"/>
      <c r="B1595" s="28"/>
      <c r="C1595" s="28"/>
      <c r="D1595" s="28"/>
      <c r="E1595" s="28"/>
      <c r="F1595" s="28"/>
      <c r="G1595" s="28"/>
      <c r="H1595" s="28"/>
      <c r="I1595" s="28"/>
      <c r="J1595" s="28"/>
      <c r="K1595" s="28"/>
      <c r="L1595" s="28"/>
      <c r="M1595" s="28"/>
      <c r="N1595" s="28"/>
      <c r="O1595" s="28"/>
      <c r="P1595" s="28"/>
      <c r="Q1595" s="28"/>
      <c r="R1595" s="28"/>
      <c r="S1595" s="28"/>
      <c r="T1595" s="28"/>
      <c r="U1595" s="28"/>
      <c r="V1595" s="28"/>
      <c r="W1595" s="28"/>
      <c r="X1595" s="28"/>
      <c r="Y1595" s="28"/>
      <c r="Z1595" s="28"/>
      <c r="AA1595" s="28"/>
      <c r="AB1595" s="28"/>
      <c r="AC1595" s="28"/>
      <c r="AD1595" s="28"/>
      <c r="AE1595" s="28"/>
      <c r="AF1595" s="28"/>
      <c r="AG1595" s="28"/>
      <c r="AH1595" s="28"/>
      <c r="AI1595" s="28"/>
      <c r="AJ1595" s="28"/>
      <c r="AK1595" s="28"/>
      <c r="AL1595" s="28"/>
      <c r="AM1595" s="28"/>
      <c r="AN1595" s="28"/>
      <c r="AO1595" s="28"/>
      <c r="AP1595" s="28"/>
      <c r="AQ1595" s="28"/>
      <c r="AR1595" s="28"/>
      <c r="AS1595" s="28"/>
      <c r="AT1595" s="28"/>
      <c r="AU1595" s="28"/>
      <c r="AV1595" s="28"/>
      <c r="AW1595" s="28"/>
      <c r="AX1595" s="28"/>
      <c r="AY1595" s="28"/>
      <c r="AZ1595" s="28"/>
      <c r="BA1595" s="28"/>
      <c r="BB1595" s="28"/>
    </row>
    <row r="1596" spans="1:54" ht="12.75" x14ac:dyDescent="0.2">
      <c r="A1596" s="28"/>
      <c r="B1596" s="28"/>
      <c r="C1596" s="28"/>
      <c r="D1596" s="28"/>
      <c r="E1596" s="28"/>
      <c r="F1596" s="28"/>
      <c r="G1596" s="28"/>
      <c r="H1596" s="28"/>
      <c r="I1596" s="28"/>
      <c r="J1596" s="28"/>
      <c r="K1596" s="28"/>
      <c r="L1596" s="28"/>
      <c r="M1596" s="28"/>
      <c r="N1596" s="28"/>
      <c r="O1596" s="28"/>
      <c r="P1596" s="28"/>
      <c r="Q1596" s="28"/>
      <c r="R1596" s="28"/>
      <c r="S1596" s="28"/>
      <c r="T1596" s="28"/>
      <c r="U1596" s="28"/>
      <c r="V1596" s="28"/>
      <c r="W1596" s="28"/>
      <c r="X1596" s="28"/>
      <c r="Y1596" s="28"/>
      <c r="Z1596" s="28"/>
      <c r="AA1596" s="28"/>
      <c r="AB1596" s="28"/>
      <c r="AC1596" s="28"/>
      <c r="AD1596" s="28"/>
      <c r="AE1596" s="28"/>
      <c r="AF1596" s="28"/>
      <c r="AG1596" s="28"/>
      <c r="AH1596" s="28"/>
      <c r="AI1596" s="28"/>
      <c r="AJ1596" s="28"/>
      <c r="AK1596" s="28"/>
      <c r="AL1596" s="28"/>
      <c r="AM1596" s="28"/>
      <c r="AN1596" s="28"/>
      <c r="AO1596" s="28"/>
      <c r="AP1596" s="28"/>
      <c r="AQ1596" s="28"/>
      <c r="AR1596" s="28"/>
      <c r="AS1596" s="28"/>
      <c r="AT1596" s="28"/>
      <c r="AU1596" s="28"/>
      <c r="AV1596" s="28"/>
      <c r="AW1596" s="28"/>
      <c r="AX1596" s="28"/>
      <c r="AY1596" s="28"/>
      <c r="AZ1596" s="28"/>
      <c r="BA1596" s="28"/>
      <c r="BB1596" s="28"/>
    </row>
    <row r="1597" spans="1:54" ht="12.75" x14ac:dyDescent="0.2">
      <c r="A1597" s="28"/>
      <c r="B1597" s="28"/>
      <c r="C1597" s="28"/>
      <c r="D1597" s="28"/>
      <c r="E1597" s="28"/>
      <c r="F1597" s="28"/>
      <c r="G1597" s="28"/>
      <c r="H1597" s="28"/>
      <c r="I1597" s="28"/>
      <c r="J1597" s="28"/>
      <c r="K1597" s="28"/>
      <c r="L1597" s="28"/>
      <c r="M1597" s="28"/>
      <c r="N1597" s="28"/>
      <c r="O1597" s="28"/>
      <c r="P1597" s="28"/>
      <c r="Q1597" s="28"/>
      <c r="R1597" s="28"/>
      <c r="S1597" s="28"/>
      <c r="T1597" s="28"/>
      <c r="U1597" s="28"/>
      <c r="V1597" s="28"/>
      <c r="W1597" s="28"/>
      <c r="X1597" s="28"/>
      <c r="Y1597" s="28"/>
      <c r="Z1597" s="28"/>
      <c r="AA1597" s="28"/>
      <c r="AB1597" s="28"/>
      <c r="AC1597" s="28"/>
      <c r="AD1597" s="28"/>
      <c r="AE1597" s="28"/>
      <c r="AF1597" s="28"/>
      <c r="AG1597" s="28"/>
      <c r="AH1597" s="28"/>
      <c r="AI1597" s="28"/>
      <c r="AJ1597" s="28"/>
      <c r="AK1597" s="28"/>
      <c r="AL1597" s="28"/>
      <c r="AM1597" s="28"/>
      <c r="AN1597" s="28"/>
      <c r="AO1597" s="28"/>
      <c r="AP1597" s="28"/>
      <c r="AQ1597" s="28"/>
      <c r="AR1597" s="28"/>
      <c r="AS1597" s="28"/>
      <c r="AT1597" s="28"/>
      <c r="AU1597" s="28"/>
      <c r="AV1597" s="28"/>
      <c r="AW1597" s="28"/>
      <c r="AX1597" s="28"/>
      <c r="AY1597" s="28"/>
      <c r="AZ1597" s="28"/>
      <c r="BA1597" s="28"/>
      <c r="BB1597" s="28"/>
    </row>
    <row r="1598" spans="1:54" ht="12.75" x14ac:dyDescent="0.2">
      <c r="A1598" s="28"/>
      <c r="B1598" s="28"/>
      <c r="C1598" s="28"/>
      <c r="D1598" s="28"/>
      <c r="E1598" s="28"/>
      <c r="F1598" s="28"/>
      <c r="G1598" s="28"/>
      <c r="H1598" s="28"/>
      <c r="I1598" s="28"/>
      <c r="J1598" s="28"/>
      <c r="K1598" s="28"/>
      <c r="L1598" s="28"/>
      <c r="M1598" s="28"/>
      <c r="N1598" s="28"/>
      <c r="O1598" s="28"/>
      <c r="P1598" s="28"/>
      <c r="Q1598" s="28"/>
      <c r="R1598" s="28"/>
      <c r="S1598" s="28"/>
      <c r="T1598" s="28"/>
      <c r="U1598" s="28"/>
      <c r="V1598" s="28"/>
      <c r="W1598" s="28"/>
      <c r="X1598" s="28"/>
      <c r="Y1598" s="28"/>
      <c r="Z1598" s="28"/>
      <c r="AA1598" s="28"/>
      <c r="AB1598" s="28"/>
      <c r="AC1598" s="28"/>
      <c r="AD1598" s="28"/>
      <c r="AE1598" s="28"/>
      <c r="AF1598" s="28"/>
      <c r="AG1598" s="28"/>
      <c r="AH1598" s="28"/>
      <c r="AI1598" s="28"/>
      <c r="AJ1598" s="28"/>
      <c r="AK1598" s="28"/>
      <c r="AL1598" s="28"/>
      <c r="AM1598" s="28"/>
      <c r="AN1598" s="28"/>
      <c r="AO1598" s="28"/>
      <c r="AP1598" s="28"/>
      <c r="AQ1598" s="28"/>
      <c r="AR1598" s="28"/>
      <c r="AS1598" s="28"/>
      <c r="AT1598" s="28"/>
      <c r="AU1598" s="28"/>
      <c r="AV1598" s="28"/>
      <c r="AW1598" s="28"/>
      <c r="AX1598" s="28"/>
      <c r="AY1598" s="28"/>
      <c r="AZ1598" s="28"/>
      <c r="BA1598" s="28"/>
      <c r="BB1598" s="28"/>
    </row>
    <row r="1599" spans="1:54" ht="12.75" x14ac:dyDescent="0.2">
      <c r="A1599" s="28"/>
      <c r="B1599" s="28"/>
      <c r="C1599" s="28"/>
      <c r="D1599" s="28"/>
      <c r="E1599" s="28"/>
      <c r="F1599" s="28"/>
      <c r="G1599" s="28"/>
      <c r="H1599" s="28"/>
      <c r="I1599" s="28"/>
      <c r="J1599" s="28"/>
      <c r="K1599" s="28"/>
      <c r="L1599" s="28"/>
      <c r="M1599" s="28"/>
      <c r="N1599" s="28"/>
      <c r="O1599" s="28"/>
      <c r="P1599" s="28"/>
      <c r="Q1599" s="28"/>
      <c r="R1599" s="28"/>
      <c r="S1599" s="28"/>
      <c r="T1599" s="28"/>
      <c r="U1599" s="28"/>
      <c r="V1599" s="28"/>
      <c r="W1599" s="28"/>
      <c r="X1599" s="28"/>
      <c r="Y1599" s="28"/>
      <c r="Z1599" s="28"/>
      <c r="AA1599" s="28"/>
      <c r="AB1599" s="28"/>
      <c r="AC1599" s="28"/>
      <c r="AD1599" s="28"/>
      <c r="AE1599" s="28"/>
      <c r="AF1599" s="28"/>
      <c r="AG1599" s="28"/>
      <c r="AH1599" s="28"/>
      <c r="AI1599" s="28"/>
      <c r="AJ1599" s="28"/>
      <c r="AK1599" s="28"/>
      <c r="AL1599" s="28"/>
      <c r="AM1599" s="28"/>
      <c r="AN1599" s="28"/>
      <c r="AO1599" s="28"/>
      <c r="AP1599" s="28"/>
      <c r="AQ1599" s="28"/>
      <c r="AR1599" s="28"/>
      <c r="AS1599" s="28"/>
      <c r="AT1599" s="28"/>
      <c r="AU1599" s="28"/>
      <c r="AV1599" s="28"/>
      <c r="AW1599" s="28"/>
      <c r="AX1599" s="28"/>
      <c r="AY1599" s="28"/>
      <c r="AZ1599" s="28"/>
      <c r="BA1599" s="28"/>
      <c r="BB1599" s="28"/>
    </row>
    <row r="1600" spans="1:54" ht="12.75" x14ac:dyDescent="0.2">
      <c r="A1600" s="28"/>
      <c r="B1600" s="28"/>
      <c r="C1600" s="28"/>
      <c r="D1600" s="28"/>
      <c r="E1600" s="28"/>
      <c r="F1600" s="28"/>
      <c r="G1600" s="28"/>
      <c r="H1600" s="28"/>
      <c r="I1600" s="28"/>
      <c r="J1600" s="28"/>
      <c r="K1600" s="28"/>
      <c r="L1600" s="28"/>
      <c r="M1600" s="28"/>
      <c r="N1600" s="28"/>
      <c r="O1600" s="28"/>
      <c r="P1600" s="28"/>
      <c r="Q1600" s="28"/>
      <c r="R1600" s="28"/>
      <c r="S1600" s="28"/>
      <c r="T1600" s="28"/>
      <c r="U1600" s="28"/>
      <c r="V1600" s="28"/>
      <c r="W1600" s="28"/>
      <c r="X1600" s="28"/>
      <c r="Y1600" s="28"/>
      <c r="Z1600" s="28"/>
      <c r="AA1600" s="28"/>
      <c r="AB1600" s="28"/>
      <c r="AC1600" s="28"/>
      <c r="AD1600" s="28"/>
      <c r="AE1600" s="28"/>
      <c r="AF1600" s="28"/>
      <c r="AG1600" s="28"/>
      <c r="AH1600" s="28"/>
      <c r="AI1600" s="28"/>
      <c r="AJ1600" s="28"/>
      <c r="AK1600" s="28"/>
      <c r="AL1600" s="28"/>
      <c r="AM1600" s="28"/>
      <c r="AN1600" s="28"/>
      <c r="AO1600" s="28"/>
      <c r="AP1600" s="28"/>
      <c r="AQ1600" s="28"/>
      <c r="AR1600" s="28"/>
      <c r="AS1600" s="28"/>
      <c r="AT1600" s="28"/>
      <c r="AU1600" s="28"/>
      <c r="AV1600" s="28"/>
      <c r="AW1600" s="28"/>
      <c r="AX1600" s="28"/>
      <c r="AY1600" s="28"/>
      <c r="AZ1600" s="28"/>
      <c r="BA1600" s="28"/>
      <c r="BB1600" s="28"/>
    </row>
    <row r="1601" spans="1:54" ht="12.75" x14ac:dyDescent="0.2">
      <c r="A1601" s="28"/>
      <c r="B1601" s="28"/>
      <c r="C1601" s="28"/>
      <c r="D1601" s="28"/>
      <c r="E1601" s="28"/>
      <c r="F1601" s="28"/>
      <c r="G1601" s="28"/>
      <c r="H1601" s="28"/>
      <c r="I1601" s="28"/>
      <c r="J1601" s="28"/>
      <c r="K1601" s="28"/>
      <c r="L1601" s="28"/>
      <c r="M1601" s="28"/>
      <c r="N1601" s="28"/>
      <c r="O1601" s="28"/>
      <c r="P1601" s="28"/>
      <c r="Q1601" s="28"/>
      <c r="R1601" s="28"/>
      <c r="S1601" s="28"/>
      <c r="T1601" s="28"/>
      <c r="U1601" s="28"/>
      <c r="V1601" s="28"/>
      <c r="W1601" s="28"/>
      <c r="X1601" s="28"/>
      <c r="Y1601" s="28"/>
      <c r="Z1601" s="28"/>
      <c r="AA1601" s="28"/>
      <c r="AB1601" s="28"/>
      <c r="AC1601" s="28"/>
      <c r="AD1601" s="28"/>
      <c r="AE1601" s="28"/>
      <c r="AF1601" s="28"/>
      <c r="AG1601" s="28"/>
      <c r="AH1601" s="28"/>
      <c r="AI1601" s="28"/>
      <c r="AJ1601" s="28"/>
      <c r="AK1601" s="28"/>
      <c r="AL1601" s="28"/>
      <c r="AM1601" s="28"/>
      <c r="AN1601" s="28"/>
      <c r="AO1601" s="28"/>
      <c r="AP1601" s="28"/>
      <c r="AQ1601" s="28"/>
      <c r="AR1601" s="28"/>
      <c r="AS1601" s="28"/>
      <c r="AT1601" s="28"/>
      <c r="AU1601" s="28"/>
      <c r="AV1601" s="28"/>
      <c r="AW1601" s="28"/>
      <c r="AX1601" s="28"/>
      <c r="AY1601" s="28"/>
      <c r="AZ1601" s="28"/>
      <c r="BA1601" s="28"/>
      <c r="BB1601" s="28"/>
    </row>
    <row r="1602" spans="1:54" ht="12.75" x14ac:dyDescent="0.2">
      <c r="A1602" s="28"/>
      <c r="B1602" s="28"/>
      <c r="C1602" s="28"/>
      <c r="D1602" s="28"/>
      <c r="E1602" s="28"/>
      <c r="F1602" s="28"/>
      <c r="G1602" s="28"/>
      <c r="H1602" s="28"/>
      <c r="I1602" s="28"/>
      <c r="J1602" s="28"/>
      <c r="K1602" s="28"/>
      <c r="L1602" s="28"/>
      <c r="M1602" s="28"/>
      <c r="N1602" s="28"/>
      <c r="O1602" s="28"/>
      <c r="P1602" s="28"/>
      <c r="Q1602" s="28"/>
      <c r="R1602" s="28"/>
      <c r="S1602" s="28"/>
      <c r="T1602" s="28"/>
      <c r="U1602" s="28"/>
      <c r="V1602" s="28"/>
      <c r="W1602" s="28"/>
      <c r="X1602" s="28"/>
      <c r="Y1602" s="28"/>
      <c r="Z1602" s="28"/>
      <c r="AA1602" s="28"/>
      <c r="AB1602" s="28"/>
      <c r="AC1602" s="28"/>
      <c r="AD1602" s="28"/>
      <c r="AE1602" s="28"/>
      <c r="AF1602" s="28"/>
      <c r="AG1602" s="28"/>
      <c r="AH1602" s="28"/>
      <c r="AI1602" s="28"/>
      <c r="AJ1602" s="28"/>
      <c r="AK1602" s="28"/>
      <c r="AL1602" s="28"/>
      <c r="AM1602" s="28"/>
      <c r="AN1602" s="28"/>
      <c r="AO1602" s="28"/>
      <c r="AP1602" s="28"/>
      <c r="AQ1602" s="28"/>
      <c r="AR1602" s="28"/>
      <c r="AS1602" s="28"/>
      <c r="AT1602" s="28"/>
      <c r="AU1602" s="28"/>
      <c r="AV1602" s="28"/>
      <c r="AW1602" s="28"/>
      <c r="AX1602" s="28"/>
      <c r="AY1602" s="28"/>
      <c r="AZ1602" s="28"/>
      <c r="BA1602" s="28"/>
      <c r="BB1602" s="28"/>
    </row>
    <row r="1603" spans="1:54" ht="12.75" x14ac:dyDescent="0.2">
      <c r="A1603" s="28"/>
      <c r="B1603" s="28"/>
      <c r="C1603" s="28"/>
      <c r="D1603" s="28"/>
      <c r="E1603" s="28"/>
      <c r="F1603" s="28"/>
      <c r="G1603" s="28"/>
      <c r="H1603" s="28"/>
      <c r="I1603" s="28"/>
      <c r="J1603" s="28"/>
      <c r="K1603" s="28"/>
      <c r="L1603" s="28"/>
      <c r="M1603" s="28"/>
      <c r="N1603" s="28"/>
      <c r="O1603" s="28"/>
      <c r="P1603" s="28"/>
      <c r="Q1603" s="28"/>
      <c r="R1603" s="28"/>
      <c r="S1603" s="28"/>
      <c r="T1603" s="28"/>
      <c r="U1603" s="28"/>
      <c r="V1603" s="28"/>
      <c r="W1603" s="28"/>
      <c r="X1603" s="28"/>
      <c r="Y1603" s="28"/>
      <c r="Z1603" s="28"/>
      <c r="AA1603" s="28"/>
      <c r="AB1603" s="28"/>
      <c r="AC1603" s="28"/>
      <c r="AD1603" s="28"/>
      <c r="AE1603" s="28"/>
      <c r="AF1603" s="28"/>
      <c r="AG1603" s="28"/>
      <c r="AH1603" s="28"/>
      <c r="AI1603" s="28"/>
      <c r="AJ1603" s="28"/>
      <c r="AK1603" s="28"/>
      <c r="AL1603" s="28"/>
      <c r="AM1603" s="28"/>
      <c r="AN1603" s="28"/>
      <c r="AO1603" s="28"/>
      <c r="AP1603" s="28"/>
      <c r="AQ1603" s="28"/>
      <c r="AR1603" s="28"/>
      <c r="AS1603" s="28"/>
      <c r="AT1603" s="28"/>
      <c r="AU1603" s="28"/>
      <c r="AV1603" s="28"/>
      <c r="AW1603" s="28"/>
      <c r="AX1603" s="28"/>
      <c r="AY1603" s="28"/>
      <c r="AZ1603" s="28"/>
      <c r="BA1603" s="28"/>
      <c r="BB1603" s="28"/>
    </row>
    <row r="1604" spans="1:54" ht="12.75" x14ac:dyDescent="0.2">
      <c r="A1604" s="28"/>
      <c r="B1604" s="28"/>
      <c r="C1604" s="28"/>
      <c r="D1604" s="28"/>
      <c r="E1604" s="28"/>
      <c r="F1604" s="28"/>
      <c r="G1604" s="28"/>
      <c r="H1604" s="28"/>
      <c r="I1604" s="28"/>
      <c r="J1604" s="28"/>
      <c r="K1604" s="28"/>
      <c r="L1604" s="28"/>
      <c r="M1604" s="28"/>
      <c r="N1604" s="28"/>
      <c r="O1604" s="28"/>
      <c r="P1604" s="28"/>
      <c r="Q1604" s="28"/>
      <c r="R1604" s="28"/>
      <c r="S1604" s="28"/>
      <c r="T1604" s="28"/>
      <c r="U1604" s="28"/>
      <c r="V1604" s="28"/>
      <c r="W1604" s="28"/>
      <c r="X1604" s="28"/>
      <c r="Y1604" s="28"/>
      <c r="Z1604" s="28"/>
      <c r="AA1604" s="28"/>
      <c r="AB1604" s="28"/>
      <c r="AC1604" s="28"/>
      <c r="AD1604" s="28"/>
      <c r="AE1604" s="28"/>
      <c r="AF1604" s="28"/>
      <c r="AG1604" s="28"/>
      <c r="AH1604" s="28"/>
      <c r="AI1604" s="28"/>
      <c r="AJ1604" s="28"/>
      <c r="AK1604" s="28"/>
      <c r="AL1604" s="28"/>
      <c r="AM1604" s="28"/>
      <c r="AN1604" s="28"/>
      <c r="AO1604" s="28"/>
      <c r="AP1604" s="28"/>
      <c r="AQ1604" s="28"/>
      <c r="AR1604" s="28"/>
      <c r="AS1604" s="28"/>
      <c r="AT1604" s="28"/>
      <c r="AU1604" s="28"/>
      <c r="AV1604" s="28"/>
      <c r="AW1604" s="28"/>
      <c r="AX1604" s="28"/>
      <c r="AY1604" s="28"/>
      <c r="AZ1604" s="28"/>
      <c r="BA1604" s="28"/>
      <c r="BB1604" s="28"/>
    </row>
    <row r="1605" spans="1:54" ht="12.75" x14ac:dyDescent="0.2">
      <c r="A1605" s="28"/>
      <c r="B1605" s="28"/>
      <c r="C1605" s="28"/>
      <c r="D1605" s="28"/>
      <c r="E1605" s="28"/>
      <c r="F1605" s="28"/>
      <c r="G1605" s="28"/>
      <c r="H1605" s="28"/>
      <c r="I1605" s="28"/>
      <c r="J1605" s="28"/>
      <c r="K1605" s="28"/>
      <c r="L1605" s="28"/>
      <c r="M1605" s="28"/>
      <c r="N1605" s="28"/>
      <c r="O1605" s="28"/>
      <c r="P1605" s="28"/>
      <c r="Q1605" s="28"/>
      <c r="R1605" s="28"/>
      <c r="S1605" s="28"/>
      <c r="T1605" s="28"/>
      <c r="U1605" s="28"/>
      <c r="V1605" s="28"/>
      <c r="W1605" s="28"/>
      <c r="X1605" s="28"/>
      <c r="Y1605" s="28"/>
      <c r="Z1605" s="28"/>
      <c r="AA1605" s="28"/>
      <c r="AB1605" s="28"/>
      <c r="AC1605" s="28"/>
      <c r="AD1605" s="28"/>
      <c r="AE1605" s="28"/>
      <c r="AF1605" s="28"/>
      <c r="AG1605" s="28"/>
      <c r="AH1605" s="28"/>
      <c r="AI1605" s="28"/>
      <c r="AJ1605" s="28"/>
      <c r="AK1605" s="28"/>
      <c r="AL1605" s="28"/>
      <c r="AM1605" s="28"/>
      <c r="AN1605" s="28"/>
      <c r="AO1605" s="28"/>
      <c r="AP1605" s="28"/>
      <c r="AQ1605" s="28"/>
      <c r="AR1605" s="28"/>
      <c r="AS1605" s="28"/>
      <c r="AT1605" s="28"/>
      <c r="AU1605" s="28"/>
      <c r="AV1605" s="28"/>
      <c r="AW1605" s="28"/>
      <c r="AX1605" s="28"/>
      <c r="AY1605" s="28"/>
      <c r="AZ1605" s="28"/>
      <c r="BA1605" s="28"/>
      <c r="BB1605" s="28"/>
    </row>
    <row r="1606" spans="1:54" ht="12.75" x14ac:dyDescent="0.2">
      <c r="A1606" s="28"/>
      <c r="B1606" s="28"/>
      <c r="C1606" s="28"/>
      <c r="D1606" s="28"/>
      <c r="E1606" s="28"/>
      <c r="F1606" s="28"/>
      <c r="G1606" s="28"/>
      <c r="H1606" s="28"/>
      <c r="I1606" s="28"/>
      <c r="J1606" s="28"/>
      <c r="K1606" s="28"/>
      <c r="L1606" s="28"/>
      <c r="M1606" s="28"/>
      <c r="N1606" s="28"/>
      <c r="O1606" s="28"/>
      <c r="P1606" s="28"/>
      <c r="Q1606" s="28"/>
      <c r="R1606" s="28"/>
      <c r="S1606" s="28"/>
      <c r="T1606" s="28"/>
      <c r="U1606" s="28"/>
      <c r="V1606" s="28"/>
      <c r="W1606" s="28"/>
      <c r="X1606" s="28"/>
      <c r="Y1606" s="28"/>
      <c r="Z1606" s="28"/>
      <c r="AA1606" s="28"/>
      <c r="AB1606" s="28"/>
      <c r="AC1606" s="28"/>
      <c r="AD1606" s="28"/>
      <c r="AE1606" s="28"/>
      <c r="AF1606" s="28"/>
      <c r="AG1606" s="28"/>
      <c r="AH1606" s="28"/>
      <c r="AI1606" s="28"/>
      <c r="AJ1606" s="28"/>
      <c r="AK1606" s="28"/>
      <c r="AL1606" s="28"/>
      <c r="AM1606" s="28"/>
      <c r="AN1606" s="28"/>
      <c r="AO1606" s="28"/>
      <c r="AP1606" s="28"/>
      <c r="AQ1606" s="28"/>
      <c r="AR1606" s="28"/>
      <c r="AS1606" s="28"/>
      <c r="AT1606" s="28"/>
      <c r="AU1606" s="28"/>
      <c r="AV1606" s="28"/>
      <c r="AW1606" s="28"/>
      <c r="AX1606" s="28"/>
      <c r="AY1606" s="28"/>
      <c r="AZ1606" s="28"/>
      <c r="BA1606" s="28"/>
      <c r="BB1606" s="28"/>
    </row>
    <row r="1607" spans="1:54" ht="12.75" x14ac:dyDescent="0.2">
      <c r="A1607" s="28"/>
      <c r="B1607" s="28"/>
      <c r="C1607" s="28"/>
      <c r="D1607" s="28"/>
      <c r="E1607" s="28"/>
      <c r="F1607" s="28"/>
      <c r="G1607" s="28"/>
      <c r="H1607" s="28"/>
      <c r="I1607" s="28"/>
      <c r="J1607" s="28"/>
      <c r="K1607" s="28"/>
      <c r="L1607" s="28"/>
      <c r="M1607" s="28"/>
      <c r="N1607" s="28"/>
      <c r="O1607" s="28"/>
      <c r="P1607" s="28"/>
      <c r="Q1607" s="28"/>
      <c r="R1607" s="28"/>
      <c r="S1607" s="28"/>
      <c r="T1607" s="28"/>
      <c r="U1607" s="28"/>
      <c r="V1607" s="28"/>
      <c r="W1607" s="28"/>
      <c r="X1607" s="28"/>
      <c r="Y1607" s="28"/>
      <c r="Z1607" s="28"/>
      <c r="AA1607" s="28"/>
      <c r="AB1607" s="28"/>
      <c r="AC1607" s="28"/>
      <c r="AD1607" s="28"/>
      <c r="AE1607" s="28"/>
      <c r="AF1607" s="28"/>
      <c r="AG1607" s="28"/>
      <c r="AH1607" s="28"/>
      <c r="AI1607" s="28"/>
      <c r="AJ1607" s="28"/>
      <c r="AK1607" s="28"/>
      <c r="AL1607" s="28"/>
      <c r="AM1607" s="28"/>
      <c r="AN1607" s="28"/>
      <c r="AO1607" s="28"/>
      <c r="AP1607" s="28"/>
      <c r="AQ1607" s="28"/>
      <c r="AR1607" s="28"/>
      <c r="AS1607" s="28"/>
      <c r="AT1607" s="28"/>
      <c r="AU1607" s="28"/>
      <c r="AV1607" s="28"/>
      <c r="AW1607" s="28"/>
      <c r="AX1607" s="28"/>
      <c r="AY1607" s="28"/>
      <c r="AZ1607" s="28"/>
      <c r="BA1607" s="28"/>
      <c r="BB1607" s="28"/>
    </row>
    <row r="1608" spans="1:54" ht="12.75" x14ac:dyDescent="0.2">
      <c r="A1608" s="28"/>
      <c r="B1608" s="28"/>
      <c r="C1608" s="28"/>
      <c r="D1608" s="28"/>
      <c r="E1608" s="28"/>
      <c r="F1608" s="28"/>
      <c r="G1608" s="28"/>
      <c r="H1608" s="28"/>
      <c r="I1608" s="28"/>
      <c r="J1608" s="28"/>
      <c r="K1608" s="28"/>
      <c r="L1608" s="28"/>
      <c r="M1608" s="28"/>
      <c r="N1608" s="28"/>
      <c r="O1608" s="28"/>
      <c r="P1608" s="28"/>
      <c r="Q1608" s="28"/>
      <c r="R1608" s="28"/>
      <c r="S1608" s="28"/>
      <c r="T1608" s="28"/>
      <c r="U1608" s="28"/>
      <c r="V1608" s="28"/>
      <c r="W1608" s="28"/>
      <c r="X1608" s="28"/>
      <c r="Y1608" s="28"/>
      <c r="Z1608" s="28"/>
      <c r="AA1608" s="28"/>
      <c r="AB1608" s="28"/>
      <c r="AC1608" s="28"/>
      <c r="AD1608" s="28"/>
      <c r="AE1608" s="28"/>
      <c r="AF1608" s="28"/>
      <c r="AG1608" s="28"/>
      <c r="AH1608" s="28"/>
      <c r="AI1608" s="28"/>
      <c r="AJ1608" s="28"/>
      <c r="AK1608" s="28"/>
      <c r="AL1608" s="28"/>
      <c r="AM1608" s="28"/>
      <c r="AN1608" s="28"/>
      <c r="AO1608" s="28"/>
      <c r="AP1608" s="28"/>
      <c r="AQ1608" s="28"/>
      <c r="AR1608" s="28"/>
      <c r="AS1608" s="28"/>
      <c r="AT1608" s="28"/>
      <c r="AU1608" s="28"/>
      <c r="AV1608" s="28"/>
      <c r="AW1608" s="28"/>
      <c r="AX1608" s="28"/>
      <c r="AY1608" s="28"/>
      <c r="AZ1608" s="28"/>
      <c r="BA1608" s="28"/>
      <c r="BB1608" s="28"/>
    </row>
    <row r="1609" spans="1:54" ht="12.75" x14ac:dyDescent="0.2">
      <c r="A1609" s="28"/>
      <c r="B1609" s="28"/>
      <c r="C1609" s="28"/>
      <c r="D1609" s="28"/>
      <c r="E1609" s="28"/>
      <c r="F1609" s="28"/>
      <c r="G1609" s="28"/>
      <c r="H1609" s="28"/>
      <c r="I1609" s="28"/>
      <c r="J1609" s="28"/>
      <c r="K1609" s="28"/>
      <c r="L1609" s="28"/>
      <c r="M1609" s="28"/>
      <c r="N1609" s="28"/>
      <c r="O1609" s="28"/>
      <c r="P1609" s="28"/>
      <c r="Q1609" s="28"/>
      <c r="R1609" s="28"/>
      <c r="S1609" s="28"/>
      <c r="T1609" s="28"/>
      <c r="U1609" s="28"/>
      <c r="V1609" s="28"/>
      <c r="W1609" s="28"/>
      <c r="X1609" s="28"/>
      <c r="Y1609" s="28"/>
      <c r="Z1609" s="28"/>
      <c r="AA1609" s="28"/>
      <c r="AB1609" s="28"/>
      <c r="AC1609" s="28"/>
      <c r="AD1609" s="28"/>
      <c r="AE1609" s="28"/>
      <c r="AF1609" s="28"/>
      <c r="AG1609" s="28"/>
      <c r="AH1609" s="28"/>
      <c r="AI1609" s="28"/>
      <c r="AJ1609" s="28"/>
      <c r="AK1609" s="28"/>
      <c r="AL1609" s="28"/>
      <c r="AM1609" s="28"/>
      <c r="AN1609" s="28"/>
      <c r="AO1609" s="28"/>
      <c r="AP1609" s="28"/>
      <c r="AQ1609" s="28"/>
      <c r="AR1609" s="28"/>
      <c r="AS1609" s="28"/>
      <c r="AT1609" s="28"/>
      <c r="AU1609" s="28"/>
      <c r="AV1609" s="28"/>
      <c r="AW1609" s="28"/>
      <c r="AX1609" s="28"/>
      <c r="AY1609" s="28"/>
      <c r="AZ1609" s="28"/>
      <c r="BA1609" s="28"/>
      <c r="BB1609" s="28"/>
    </row>
    <row r="1610" spans="1:54" ht="12.75" x14ac:dyDescent="0.2">
      <c r="A1610" s="28"/>
      <c r="B1610" s="28"/>
      <c r="C1610" s="28"/>
      <c r="D1610" s="28"/>
      <c r="E1610" s="28"/>
      <c r="F1610" s="28"/>
      <c r="G1610" s="28"/>
      <c r="H1610" s="28"/>
      <c r="I1610" s="28"/>
      <c r="J1610" s="28"/>
      <c r="K1610" s="28"/>
      <c r="L1610" s="28"/>
      <c r="M1610" s="28"/>
      <c r="N1610" s="28"/>
      <c r="O1610" s="28"/>
      <c r="P1610" s="28"/>
      <c r="Q1610" s="28"/>
      <c r="R1610" s="28"/>
      <c r="S1610" s="28"/>
      <c r="T1610" s="28"/>
      <c r="U1610" s="28"/>
      <c r="V1610" s="28"/>
      <c r="W1610" s="28"/>
      <c r="X1610" s="28"/>
      <c r="Y1610" s="28"/>
      <c r="Z1610" s="28"/>
      <c r="AA1610" s="28"/>
      <c r="AB1610" s="28"/>
      <c r="AC1610" s="28"/>
      <c r="AD1610" s="28"/>
      <c r="AE1610" s="28"/>
      <c r="AF1610" s="28"/>
      <c r="AG1610" s="28"/>
      <c r="AH1610" s="28"/>
      <c r="AI1610" s="28"/>
      <c r="AJ1610" s="28"/>
      <c r="AK1610" s="28"/>
      <c r="AL1610" s="28"/>
      <c r="AM1610" s="28"/>
      <c r="AN1610" s="28"/>
      <c r="AO1610" s="28"/>
      <c r="AP1610" s="28"/>
      <c r="AQ1610" s="28"/>
      <c r="AR1610" s="28"/>
      <c r="AS1610" s="28"/>
      <c r="AT1610" s="28"/>
      <c r="AU1610" s="28"/>
      <c r="AV1610" s="28"/>
      <c r="AW1610" s="28"/>
      <c r="AX1610" s="28"/>
      <c r="AY1610" s="28"/>
      <c r="AZ1610" s="28"/>
      <c r="BA1610" s="28"/>
      <c r="BB1610" s="28"/>
    </row>
    <row r="1611" spans="1:54" ht="12.75" x14ac:dyDescent="0.2">
      <c r="A1611" s="28"/>
      <c r="B1611" s="28"/>
      <c r="C1611" s="28"/>
      <c r="D1611" s="28"/>
      <c r="E1611" s="28"/>
      <c r="F1611" s="28"/>
      <c r="G1611" s="28"/>
      <c r="H1611" s="28"/>
      <c r="I1611" s="28"/>
      <c r="J1611" s="28"/>
      <c r="K1611" s="28"/>
      <c r="L1611" s="28"/>
      <c r="M1611" s="28"/>
      <c r="N1611" s="28"/>
      <c r="O1611" s="28"/>
      <c r="P1611" s="28"/>
      <c r="Q1611" s="28"/>
      <c r="R1611" s="28"/>
      <c r="S1611" s="28"/>
      <c r="T1611" s="28"/>
      <c r="U1611" s="28"/>
      <c r="V1611" s="28"/>
      <c r="W1611" s="28"/>
      <c r="X1611" s="28"/>
      <c r="Y1611" s="28"/>
      <c r="Z1611" s="28"/>
      <c r="AA1611" s="28"/>
      <c r="AB1611" s="28"/>
      <c r="AC1611" s="28"/>
      <c r="AD1611" s="28"/>
      <c r="AE1611" s="28"/>
      <c r="AF1611" s="28"/>
      <c r="AG1611" s="28"/>
      <c r="AH1611" s="28"/>
      <c r="AI1611" s="28"/>
      <c r="AJ1611" s="28"/>
      <c r="AK1611" s="28"/>
      <c r="AL1611" s="28"/>
      <c r="AM1611" s="28"/>
      <c r="AN1611" s="28"/>
      <c r="AO1611" s="28"/>
      <c r="AP1611" s="28"/>
      <c r="AQ1611" s="28"/>
      <c r="AR1611" s="28"/>
      <c r="AS1611" s="28"/>
      <c r="AT1611" s="28"/>
      <c r="AU1611" s="28"/>
      <c r="AV1611" s="28"/>
      <c r="AW1611" s="28"/>
      <c r="AX1611" s="28"/>
      <c r="AY1611" s="28"/>
      <c r="AZ1611" s="28"/>
      <c r="BA1611" s="28"/>
      <c r="BB1611" s="28"/>
    </row>
    <row r="1612" spans="1:54" ht="12.75" x14ac:dyDescent="0.2">
      <c r="A1612" s="28"/>
      <c r="B1612" s="28"/>
      <c r="C1612" s="28"/>
      <c r="D1612" s="28"/>
      <c r="E1612" s="28"/>
      <c r="F1612" s="28"/>
      <c r="G1612" s="28"/>
      <c r="H1612" s="28"/>
      <c r="I1612" s="28"/>
      <c r="J1612" s="28"/>
      <c r="K1612" s="28"/>
      <c r="L1612" s="28"/>
      <c r="M1612" s="28"/>
      <c r="N1612" s="28"/>
      <c r="O1612" s="28"/>
      <c r="P1612" s="28"/>
      <c r="Q1612" s="28"/>
      <c r="R1612" s="28"/>
      <c r="S1612" s="28"/>
      <c r="T1612" s="28"/>
      <c r="U1612" s="28"/>
      <c r="V1612" s="28"/>
      <c r="W1612" s="28"/>
      <c r="X1612" s="28"/>
      <c r="Y1612" s="28"/>
      <c r="Z1612" s="28"/>
      <c r="AA1612" s="28"/>
      <c r="AB1612" s="28"/>
      <c r="AC1612" s="28"/>
      <c r="AD1612" s="28"/>
      <c r="AE1612" s="28"/>
      <c r="AF1612" s="28"/>
      <c r="AG1612" s="28"/>
      <c r="AH1612" s="28"/>
      <c r="AI1612" s="28"/>
      <c r="AJ1612" s="28"/>
      <c r="AK1612" s="28"/>
      <c r="AL1612" s="28"/>
      <c r="AM1612" s="28"/>
      <c r="AN1612" s="28"/>
      <c r="AO1612" s="28"/>
      <c r="AP1612" s="28"/>
      <c r="AQ1612" s="28"/>
      <c r="AR1612" s="28"/>
      <c r="AS1612" s="28"/>
      <c r="AT1612" s="28"/>
      <c r="AU1612" s="28"/>
      <c r="AV1612" s="28"/>
      <c r="AW1612" s="28"/>
      <c r="AX1612" s="28"/>
      <c r="AY1612" s="28"/>
      <c r="AZ1612" s="28"/>
      <c r="BA1612" s="28"/>
      <c r="BB1612" s="28"/>
    </row>
    <row r="1613" spans="1:54" ht="12.75" x14ac:dyDescent="0.2">
      <c r="A1613" s="28"/>
      <c r="B1613" s="28"/>
      <c r="C1613" s="28"/>
      <c r="D1613" s="28"/>
      <c r="E1613" s="28"/>
      <c r="F1613" s="28"/>
      <c r="G1613" s="28"/>
      <c r="H1613" s="28"/>
      <c r="I1613" s="28"/>
      <c r="J1613" s="28"/>
      <c r="K1613" s="28"/>
      <c r="L1613" s="28"/>
      <c r="M1613" s="28"/>
      <c r="N1613" s="28"/>
      <c r="O1613" s="28"/>
      <c r="P1613" s="28"/>
      <c r="Q1613" s="28"/>
      <c r="R1613" s="28"/>
      <c r="S1613" s="28"/>
      <c r="T1613" s="28"/>
      <c r="U1613" s="28"/>
      <c r="V1613" s="28"/>
      <c r="W1613" s="28"/>
      <c r="X1613" s="28"/>
      <c r="Y1613" s="28"/>
      <c r="Z1613" s="28"/>
      <c r="AA1613" s="28"/>
      <c r="AB1613" s="28"/>
      <c r="AC1613" s="28"/>
      <c r="AD1613" s="28"/>
      <c r="AE1613" s="28"/>
      <c r="AF1613" s="28"/>
      <c r="AG1613" s="28"/>
      <c r="AH1613" s="28"/>
      <c r="AI1613" s="28"/>
      <c r="AJ1613" s="28"/>
      <c r="AK1613" s="28"/>
      <c r="AL1613" s="28"/>
      <c r="AM1613" s="28"/>
      <c r="AN1613" s="28"/>
      <c r="AO1613" s="28"/>
      <c r="AP1613" s="28"/>
      <c r="AQ1613" s="28"/>
      <c r="AR1613" s="28"/>
      <c r="AS1613" s="28"/>
      <c r="AT1613" s="28"/>
      <c r="AU1613" s="28"/>
      <c r="AV1613" s="28"/>
      <c r="AW1613" s="28"/>
      <c r="AX1613" s="28"/>
      <c r="AY1613" s="28"/>
      <c r="AZ1613" s="28"/>
      <c r="BA1613" s="28"/>
      <c r="BB1613" s="28"/>
    </row>
    <row r="1614" spans="1:54" ht="12.75" x14ac:dyDescent="0.2">
      <c r="A1614" s="28"/>
      <c r="B1614" s="28"/>
      <c r="C1614" s="28"/>
      <c r="D1614" s="28"/>
      <c r="E1614" s="28"/>
      <c r="F1614" s="28"/>
      <c r="G1614" s="28"/>
      <c r="H1614" s="28"/>
      <c r="I1614" s="28"/>
      <c r="J1614" s="28"/>
      <c r="K1614" s="28"/>
      <c r="L1614" s="28"/>
      <c r="M1614" s="28"/>
      <c r="N1614" s="28"/>
      <c r="O1614" s="28"/>
      <c r="P1614" s="28"/>
      <c r="Q1614" s="28"/>
      <c r="R1614" s="28"/>
      <c r="S1614" s="28"/>
      <c r="T1614" s="28"/>
      <c r="U1614" s="28"/>
      <c r="V1614" s="28"/>
      <c r="W1614" s="28"/>
      <c r="X1614" s="28"/>
      <c r="Y1614" s="28"/>
      <c r="Z1614" s="28"/>
      <c r="AA1614" s="28"/>
      <c r="AB1614" s="28"/>
      <c r="AC1614" s="28"/>
      <c r="AD1614" s="28"/>
      <c r="AE1614" s="28"/>
      <c r="AF1614" s="28"/>
      <c r="AG1614" s="28"/>
      <c r="AH1614" s="28"/>
      <c r="AI1614" s="28"/>
      <c r="AJ1614" s="28"/>
      <c r="AK1614" s="28"/>
      <c r="AL1614" s="28"/>
      <c r="AM1614" s="28"/>
      <c r="AN1614" s="28"/>
      <c r="AO1614" s="28"/>
      <c r="AP1614" s="28"/>
      <c r="AQ1614" s="28"/>
      <c r="AR1614" s="28"/>
      <c r="AS1614" s="28"/>
      <c r="AT1614" s="28"/>
      <c r="AU1614" s="28"/>
      <c r="AV1614" s="28"/>
      <c r="AW1614" s="28"/>
      <c r="AX1614" s="28"/>
      <c r="AY1614" s="28"/>
      <c r="AZ1614" s="28"/>
      <c r="BA1614" s="28"/>
      <c r="BB1614" s="28"/>
    </row>
    <row r="1615" spans="1:54" ht="12.75" x14ac:dyDescent="0.2">
      <c r="A1615" s="28"/>
      <c r="B1615" s="28"/>
      <c r="C1615" s="28"/>
      <c r="D1615" s="28"/>
      <c r="E1615" s="28"/>
      <c r="F1615" s="28"/>
      <c r="G1615" s="28"/>
      <c r="H1615" s="28"/>
      <c r="I1615" s="28"/>
      <c r="J1615" s="28"/>
      <c r="K1615" s="28"/>
      <c r="L1615" s="28"/>
      <c r="M1615" s="28"/>
      <c r="N1615" s="28"/>
      <c r="O1615" s="28"/>
      <c r="P1615" s="28"/>
      <c r="Q1615" s="28"/>
      <c r="R1615" s="28"/>
      <c r="S1615" s="28"/>
      <c r="T1615" s="28"/>
      <c r="U1615" s="28"/>
      <c r="V1615" s="28"/>
      <c r="W1615" s="28"/>
      <c r="X1615" s="28"/>
      <c r="Y1615" s="28"/>
      <c r="Z1615" s="28"/>
      <c r="AA1615" s="28"/>
      <c r="AB1615" s="28"/>
      <c r="AC1615" s="28"/>
      <c r="AD1615" s="28"/>
      <c r="AE1615" s="28"/>
      <c r="AF1615" s="28"/>
      <c r="AG1615" s="28"/>
      <c r="AH1615" s="28"/>
      <c r="AI1615" s="28"/>
      <c r="AJ1615" s="28"/>
      <c r="AK1615" s="28"/>
      <c r="AL1615" s="28"/>
      <c r="AM1615" s="28"/>
      <c r="AN1615" s="28"/>
      <c r="AO1615" s="28"/>
      <c r="AP1615" s="28"/>
      <c r="AQ1615" s="28"/>
      <c r="AR1615" s="28"/>
      <c r="AS1615" s="28"/>
      <c r="AT1615" s="28"/>
      <c r="AU1615" s="28"/>
      <c r="AV1615" s="28"/>
      <c r="AW1615" s="28"/>
      <c r="AX1615" s="28"/>
      <c r="AY1615" s="28"/>
      <c r="AZ1615" s="28"/>
      <c r="BA1615" s="28"/>
      <c r="BB1615" s="28"/>
    </row>
    <row r="1616" spans="1:54" ht="12.75" x14ac:dyDescent="0.2">
      <c r="A1616" s="28"/>
      <c r="B1616" s="28"/>
      <c r="C1616" s="28"/>
      <c r="D1616" s="28"/>
      <c r="E1616" s="28"/>
      <c r="F1616" s="28"/>
      <c r="G1616" s="28"/>
      <c r="H1616" s="28"/>
      <c r="I1616" s="28"/>
      <c r="J1616" s="28"/>
      <c r="K1616" s="28"/>
      <c r="L1616" s="28"/>
      <c r="M1616" s="28"/>
      <c r="N1616" s="28"/>
      <c r="O1616" s="28"/>
      <c r="P1616" s="28"/>
      <c r="Q1616" s="28"/>
      <c r="R1616" s="28"/>
      <c r="S1616" s="28"/>
      <c r="T1616" s="28"/>
      <c r="U1616" s="28"/>
      <c r="V1616" s="28"/>
      <c r="W1616" s="28"/>
      <c r="X1616" s="28"/>
      <c r="Y1616" s="28"/>
      <c r="Z1616" s="28"/>
      <c r="AA1616" s="28"/>
      <c r="AB1616" s="28"/>
      <c r="AC1616" s="28"/>
      <c r="AD1616" s="28"/>
      <c r="AE1616" s="28"/>
      <c r="AF1616" s="28"/>
      <c r="AG1616" s="28"/>
      <c r="AH1616" s="28"/>
      <c r="AI1616" s="28"/>
      <c r="AJ1616" s="28"/>
      <c r="AK1616" s="28"/>
      <c r="AL1616" s="28"/>
      <c r="AM1616" s="28"/>
      <c r="AN1616" s="28"/>
      <c r="AO1616" s="28"/>
      <c r="AP1616" s="28"/>
      <c r="AQ1616" s="28"/>
      <c r="AR1616" s="28"/>
      <c r="AS1616" s="28"/>
      <c r="AT1616" s="28"/>
      <c r="AU1616" s="28"/>
      <c r="AV1616" s="28"/>
      <c r="AW1616" s="28"/>
      <c r="AX1616" s="28"/>
      <c r="AY1616" s="28"/>
      <c r="AZ1616" s="28"/>
      <c r="BA1616" s="28"/>
      <c r="BB1616" s="28"/>
    </row>
    <row r="1617" spans="1:54" ht="12.75" x14ac:dyDescent="0.2">
      <c r="A1617" s="28"/>
      <c r="B1617" s="28"/>
      <c r="C1617" s="28"/>
      <c r="D1617" s="28"/>
      <c r="E1617" s="28"/>
      <c r="F1617" s="28"/>
      <c r="G1617" s="28"/>
      <c r="H1617" s="28"/>
      <c r="I1617" s="28"/>
      <c r="J1617" s="28"/>
      <c r="K1617" s="28"/>
      <c r="L1617" s="28"/>
      <c r="M1617" s="28"/>
      <c r="N1617" s="28"/>
      <c r="O1617" s="28"/>
      <c r="P1617" s="28"/>
      <c r="Q1617" s="28"/>
      <c r="R1617" s="28"/>
      <c r="S1617" s="28"/>
      <c r="T1617" s="28"/>
      <c r="U1617" s="28"/>
      <c r="V1617" s="28"/>
      <c r="W1617" s="28"/>
      <c r="X1617" s="28"/>
      <c r="Y1617" s="28"/>
      <c r="Z1617" s="28"/>
      <c r="AA1617" s="28"/>
      <c r="AB1617" s="28"/>
      <c r="AC1617" s="28"/>
      <c r="AD1617" s="28"/>
      <c r="AE1617" s="28"/>
      <c r="AF1617" s="28"/>
      <c r="AG1617" s="28"/>
      <c r="AH1617" s="28"/>
      <c r="AI1617" s="28"/>
      <c r="AJ1617" s="28"/>
      <c r="AK1617" s="28"/>
      <c r="AL1617" s="28"/>
      <c r="AM1617" s="28"/>
      <c r="AN1617" s="28"/>
      <c r="AO1617" s="28"/>
      <c r="AP1617" s="28"/>
      <c r="AQ1617" s="28"/>
      <c r="AR1617" s="28"/>
      <c r="AS1617" s="28"/>
      <c r="AT1617" s="28"/>
      <c r="AU1617" s="28"/>
      <c r="AV1617" s="28"/>
      <c r="AW1617" s="28"/>
      <c r="AX1617" s="28"/>
      <c r="AY1617" s="28"/>
      <c r="AZ1617" s="28"/>
      <c r="BA1617" s="28"/>
      <c r="BB1617" s="28"/>
    </row>
    <row r="1618" spans="1:54" ht="12.75" x14ac:dyDescent="0.2">
      <c r="A1618" s="28"/>
      <c r="B1618" s="28"/>
      <c r="C1618" s="28"/>
      <c r="D1618" s="28"/>
      <c r="E1618" s="28"/>
      <c r="F1618" s="28"/>
      <c r="G1618" s="28"/>
      <c r="H1618" s="28"/>
      <c r="I1618" s="28"/>
      <c r="J1618" s="28"/>
      <c r="K1618" s="28"/>
      <c r="L1618" s="28"/>
      <c r="M1618" s="28"/>
      <c r="N1618" s="28"/>
      <c r="O1618" s="28"/>
      <c r="P1618" s="28"/>
      <c r="Q1618" s="28"/>
      <c r="R1618" s="28"/>
      <c r="S1618" s="28"/>
      <c r="T1618" s="28"/>
      <c r="U1618" s="28"/>
      <c r="V1618" s="28"/>
      <c r="W1618" s="28"/>
      <c r="X1618" s="28"/>
      <c r="Y1618" s="28"/>
      <c r="Z1618" s="28"/>
      <c r="AA1618" s="28"/>
      <c r="AB1618" s="28"/>
      <c r="AC1618" s="28"/>
      <c r="AD1618" s="28"/>
      <c r="AE1618" s="28"/>
      <c r="AF1618" s="28"/>
      <c r="AG1618" s="28"/>
      <c r="AH1618" s="28"/>
      <c r="AI1618" s="28"/>
      <c r="AJ1618" s="28"/>
      <c r="AK1618" s="28"/>
      <c r="AL1618" s="28"/>
      <c r="AM1618" s="28"/>
      <c r="AN1618" s="28"/>
      <c r="AO1618" s="28"/>
      <c r="AP1618" s="28"/>
      <c r="AQ1618" s="28"/>
      <c r="AR1618" s="28"/>
      <c r="AS1618" s="28"/>
      <c r="AT1618" s="28"/>
      <c r="AU1618" s="28"/>
      <c r="AV1618" s="28"/>
      <c r="AW1618" s="28"/>
      <c r="AX1618" s="28"/>
      <c r="AY1618" s="28"/>
      <c r="AZ1618" s="28"/>
      <c r="BA1618" s="28"/>
      <c r="BB1618" s="28"/>
    </row>
    <row r="1619" spans="1:54" ht="12.75" x14ac:dyDescent="0.2">
      <c r="A1619" s="28"/>
      <c r="B1619" s="28"/>
      <c r="C1619" s="28"/>
      <c r="D1619" s="28"/>
      <c r="E1619" s="28"/>
      <c r="F1619" s="28"/>
      <c r="G1619" s="28"/>
      <c r="H1619" s="28"/>
      <c r="I1619" s="28"/>
      <c r="J1619" s="28"/>
      <c r="K1619" s="28"/>
      <c r="L1619" s="28"/>
      <c r="M1619" s="28"/>
      <c r="N1619" s="28"/>
      <c r="O1619" s="28"/>
      <c r="P1619" s="28"/>
      <c r="Q1619" s="28"/>
      <c r="R1619" s="28"/>
      <c r="S1619" s="28"/>
      <c r="T1619" s="28"/>
      <c r="U1619" s="28"/>
      <c r="V1619" s="28"/>
      <c r="W1619" s="28"/>
      <c r="X1619" s="28"/>
      <c r="Y1619" s="28"/>
      <c r="Z1619" s="28"/>
      <c r="AA1619" s="28"/>
      <c r="AB1619" s="28"/>
      <c r="AC1619" s="28"/>
      <c r="AD1619" s="28"/>
      <c r="AE1619" s="28"/>
      <c r="AF1619" s="28"/>
      <c r="AG1619" s="28"/>
      <c r="AH1619" s="28"/>
      <c r="AI1619" s="28"/>
      <c r="AJ1619" s="28"/>
      <c r="AK1619" s="28"/>
      <c r="AL1619" s="28"/>
      <c r="AM1619" s="28"/>
      <c r="AN1619" s="28"/>
      <c r="AO1619" s="28"/>
      <c r="AP1619" s="28"/>
      <c r="AQ1619" s="28"/>
      <c r="AR1619" s="28"/>
      <c r="AS1619" s="28"/>
      <c r="AT1619" s="28"/>
      <c r="AU1619" s="28"/>
      <c r="AV1619" s="28"/>
      <c r="AW1619" s="28"/>
      <c r="AX1619" s="28"/>
      <c r="AY1619" s="28"/>
      <c r="AZ1619" s="28"/>
      <c r="BA1619" s="28"/>
      <c r="BB1619" s="28"/>
    </row>
    <row r="1620" spans="1:54" ht="12.75" x14ac:dyDescent="0.2">
      <c r="A1620" s="28"/>
      <c r="B1620" s="28"/>
      <c r="C1620" s="28"/>
      <c r="D1620" s="28"/>
      <c r="E1620" s="28"/>
      <c r="F1620" s="28"/>
      <c r="G1620" s="28"/>
      <c r="H1620" s="28"/>
      <c r="I1620" s="28"/>
      <c r="J1620" s="28"/>
      <c r="K1620" s="28"/>
      <c r="L1620" s="28"/>
      <c r="M1620" s="28"/>
      <c r="N1620" s="28"/>
      <c r="O1620" s="28"/>
      <c r="P1620" s="28"/>
      <c r="Q1620" s="28"/>
      <c r="R1620" s="28"/>
      <c r="S1620" s="28"/>
      <c r="T1620" s="28"/>
      <c r="U1620" s="28"/>
      <c r="V1620" s="28"/>
      <c r="W1620" s="28"/>
      <c r="X1620" s="28"/>
      <c r="Y1620" s="28"/>
      <c r="Z1620" s="28"/>
      <c r="AA1620" s="28"/>
      <c r="AB1620" s="28"/>
      <c r="AC1620" s="28"/>
      <c r="AD1620" s="28"/>
      <c r="AE1620" s="28"/>
      <c r="AF1620" s="28"/>
      <c r="AG1620" s="28"/>
      <c r="AH1620" s="28"/>
      <c r="AI1620" s="28"/>
      <c r="AJ1620" s="28"/>
      <c r="AK1620" s="28"/>
      <c r="AL1620" s="28"/>
      <c r="AM1620" s="28"/>
      <c r="AN1620" s="28"/>
      <c r="AO1620" s="28"/>
      <c r="AP1620" s="28"/>
      <c r="AQ1620" s="28"/>
      <c r="AR1620" s="28"/>
      <c r="AS1620" s="28"/>
      <c r="AT1620" s="28"/>
      <c r="AU1620" s="28"/>
      <c r="AV1620" s="28"/>
      <c r="AW1620" s="28"/>
      <c r="AX1620" s="28"/>
      <c r="AY1620" s="28"/>
      <c r="AZ1620" s="28"/>
      <c r="BA1620" s="28"/>
      <c r="BB1620" s="28"/>
    </row>
    <row r="1621" spans="1:54" ht="12.75" x14ac:dyDescent="0.2">
      <c r="A1621" s="28"/>
      <c r="B1621" s="28"/>
      <c r="C1621" s="28"/>
      <c r="D1621" s="28"/>
      <c r="E1621" s="28"/>
      <c r="F1621" s="28"/>
      <c r="G1621" s="28"/>
      <c r="H1621" s="28"/>
      <c r="I1621" s="28"/>
      <c r="J1621" s="28"/>
      <c r="K1621" s="28"/>
      <c r="L1621" s="28"/>
      <c r="M1621" s="28"/>
      <c r="N1621" s="28"/>
      <c r="O1621" s="28"/>
      <c r="P1621" s="28"/>
      <c r="Q1621" s="28"/>
      <c r="R1621" s="28"/>
      <c r="S1621" s="28"/>
      <c r="T1621" s="28"/>
      <c r="U1621" s="28"/>
      <c r="V1621" s="28"/>
      <c r="W1621" s="28"/>
      <c r="X1621" s="28"/>
      <c r="Y1621" s="28"/>
      <c r="Z1621" s="28"/>
      <c r="AA1621" s="28"/>
      <c r="AB1621" s="28"/>
      <c r="AC1621" s="28"/>
      <c r="AD1621" s="28"/>
      <c r="AE1621" s="28"/>
      <c r="AF1621" s="28"/>
      <c r="AG1621" s="28"/>
      <c r="AH1621" s="28"/>
      <c r="AI1621" s="28"/>
      <c r="AJ1621" s="28"/>
      <c r="AK1621" s="28"/>
      <c r="AL1621" s="28"/>
      <c r="AM1621" s="28"/>
      <c r="AN1621" s="28"/>
      <c r="AO1621" s="28"/>
      <c r="AP1621" s="28"/>
      <c r="AQ1621" s="28"/>
      <c r="AR1621" s="28"/>
      <c r="AS1621" s="28"/>
      <c r="AT1621" s="28"/>
      <c r="AU1621" s="28"/>
      <c r="AV1621" s="28"/>
      <c r="AW1621" s="28"/>
      <c r="AX1621" s="28"/>
      <c r="AY1621" s="28"/>
      <c r="AZ1621" s="28"/>
      <c r="BA1621" s="28"/>
      <c r="BB1621" s="28"/>
    </row>
    <row r="1622" spans="1:54" ht="12.75" x14ac:dyDescent="0.2">
      <c r="A1622" s="28"/>
      <c r="B1622" s="28"/>
      <c r="C1622" s="28"/>
      <c r="D1622" s="28"/>
      <c r="E1622" s="28"/>
      <c r="F1622" s="28"/>
      <c r="G1622" s="28"/>
      <c r="H1622" s="28"/>
      <c r="I1622" s="28"/>
      <c r="J1622" s="28"/>
      <c r="K1622" s="28"/>
      <c r="L1622" s="28"/>
      <c r="M1622" s="28"/>
      <c r="N1622" s="28"/>
      <c r="O1622" s="28"/>
      <c r="P1622" s="28"/>
      <c r="Q1622" s="28"/>
      <c r="R1622" s="28"/>
      <c r="S1622" s="28"/>
      <c r="T1622" s="28"/>
      <c r="U1622" s="28"/>
      <c r="V1622" s="28"/>
      <c r="W1622" s="28"/>
      <c r="X1622" s="28"/>
      <c r="Y1622" s="28"/>
      <c r="Z1622" s="28"/>
      <c r="AA1622" s="28"/>
      <c r="AB1622" s="28"/>
      <c r="AC1622" s="28"/>
      <c r="AD1622" s="28"/>
      <c r="AE1622" s="28"/>
      <c r="AF1622" s="28"/>
      <c r="AG1622" s="28"/>
      <c r="AH1622" s="28"/>
      <c r="AI1622" s="28"/>
      <c r="AJ1622" s="28"/>
      <c r="AK1622" s="28"/>
      <c r="AL1622" s="28"/>
      <c r="AM1622" s="28"/>
      <c r="AN1622" s="28"/>
      <c r="AO1622" s="28"/>
      <c r="AP1622" s="28"/>
      <c r="AQ1622" s="28"/>
      <c r="AR1622" s="28"/>
      <c r="AS1622" s="28"/>
      <c r="AT1622" s="28"/>
      <c r="AU1622" s="28"/>
      <c r="AV1622" s="28"/>
      <c r="AW1622" s="28"/>
      <c r="AX1622" s="28"/>
      <c r="AY1622" s="28"/>
      <c r="AZ1622" s="28"/>
      <c r="BA1622" s="28"/>
      <c r="BB1622" s="28"/>
    </row>
    <row r="1623" spans="1:54" ht="12.75" x14ac:dyDescent="0.2">
      <c r="A1623" s="28"/>
      <c r="B1623" s="28"/>
      <c r="C1623" s="28"/>
      <c r="D1623" s="28"/>
      <c r="E1623" s="28"/>
      <c r="F1623" s="28"/>
      <c r="G1623" s="28"/>
      <c r="H1623" s="28"/>
      <c r="I1623" s="28"/>
      <c r="J1623" s="28"/>
      <c r="K1623" s="28"/>
      <c r="L1623" s="28"/>
      <c r="M1623" s="28"/>
      <c r="N1623" s="28"/>
      <c r="O1623" s="28"/>
      <c r="P1623" s="28"/>
      <c r="Q1623" s="28"/>
      <c r="R1623" s="28"/>
      <c r="S1623" s="28"/>
      <c r="T1623" s="28"/>
      <c r="U1623" s="28"/>
      <c r="V1623" s="28"/>
      <c r="W1623" s="28"/>
      <c r="X1623" s="28"/>
      <c r="Y1623" s="28"/>
      <c r="Z1623" s="28"/>
      <c r="AA1623" s="28"/>
      <c r="AB1623" s="28"/>
      <c r="AC1623" s="28"/>
      <c r="AD1623" s="28"/>
      <c r="AE1623" s="28"/>
      <c r="AF1623" s="28"/>
      <c r="AG1623" s="28"/>
      <c r="AH1623" s="28"/>
      <c r="AI1623" s="28"/>
      <c r="AJ1623" s="28"/>
      <c r="AK1623" s="28"/>
      <c r="AL1623" s="28"/>
      <c r="AM1623" s="28"/>
      <c r="AN1623" s="28"/>
      <c r="AO1623" s="28"/>
      <c r="AP1623" s="28"/>
      <c r="AQ1623" s="28"/>
      <c r="AR1623" s="28"/>
      <c r="AS1623" s="28"/>
      <c r="AT1623" s="28"/>
      <c r="AU1623" s="28"/>
      <c r="AV1623" s="28"/>
      <c r="AW1623" s="28"/>
      <c r="AX1623" s="28"/>
      <c r="AY1623" s="28"/>
      <c r="AZ1623" s="28"/>
      <c r="BA1623" s="28"/>
      <c r="BB1623" s="28"/>
    </row>
    <row r="1624" spans="1:54" ht="12.75" x14ac:dyDescent="0.2">
      <c r="A1624" s="28"/>
      <c r="B1624" s="28"/>
      <c r="C1624" s="28"/>
      <c r="D1624" s="28"/>
      <c r="E1624" s="28"/>
      <c r="F1624" s="28"/>
      <c r="G1624" s="28"/>
      <c r="H1624" s="28"/>
      <c r="I1624" s="28"/>
      <c r="J1624" s="28"/>
      <c r="K1624" s="28"/>
      <c r="L1624" s="28"/>
      <c r="M1624" s="28"/>
      <c r="N1624" s="28"/>
      <c r="O1624" s="28"/>
      <c r="P1624" s="28"/>
      <c r="Q1624" s="28"/>
      <c r="R1624" s="28"/>
      <c r="S1624" s="28"/>
      <c r="T1624" s="28"/>
      <c r="U1624" s="28"/>
      <c r="V1624" s="28"/>
      <c r="W1624" s="28"/>
      <c r="X1624" s="28"/>
      <c r="Y1624" s="28"/>
      <c r="Z1624" s="28"/>
      <c r="AA1624" s="28"/>
      <c r="AB1624" s="28"/>
      <c r="AC1624" s="28"/>
      <c r="AD1624" s="28"/>
      <c r="AE1624" s="28"/>
      <c r="AF1624" s="28"/>
      <c r="AG1624" s="28"/>
      <c r="AH1624" s="28"/>
      <c r="AI1624" s="28"/>
      <c r="AJ1624" s="28"/>
      <c r="AK1624" s="28"/>
      <c r="AL1624" s="28"/>
      <c r="AM1624" s="28"/>
      <c r="AN1624" s="28"/>
      <c r="AO1624" s="28"/>
      <c r="AP1624" s="28"/>
      <c r="AQ1624" s="28"/>
      <c r="AR1624" s="28"/>
      <c r="AS1624" s="28"/>
      <c r="AT1624" s="28"/>
      <c r="AU1624" s="28"/>
      <c r="AV1624" s="28"/>
      <c r="AW1624" s="28"/>
      <c r="AX1624" s="28"/>
      <c r="AY1624" s="28"/>
      <c r="AZ1624" s="28"/>
      <c r="BA1624" s="28"/>
      <c r="BB1624" s="28"/>
    </row>
    <row r="1625" spans="1:54" ht="12.75" x14ac:dyDescent="0.2">
      <c r="A1625" s="28"/>
      <c r="B1625" s="28"/>
      <c r="C1625" s="28"/>
      <c r="D1625" s="28"/>
      <c r="E1625" s="28"/>
      <c r="F1625" s="28"/>
      <c r="G1625" s="28"/>
      <c r="H1625" s="28"/>
      <c r="I1625" s="28"/>
      <c r="J1625" s="28"/>
      <c r="K1625" s="28"/>
      <c r="L1625" s="28"/>
      <c r="M1625" s="28"/>
      <c r="N1625" s="28"/>
      <c r="O1625" s="28"/>
      <c r="P1625" s="28"/>
      <c r="Q1625" s="28"/>
      <c r="R1625" s="28"/>
      <c r="S1625" s="28"/>
      <c r="T1625" s="28"/>
      <c r="U1625" s="28"/>
      <c r="V1625" s="28"/>
      <c r="W1625" s="28"/>
      <c r="X1625" s="28"/>
      <c r="Y1625" s="28"/>
      <c r="Z1625" s="28"/>
      <c r="AA1625" s="28"/>
      <c r="AB1625" s="28"/>
      <c r="AC1625" s="28"/>
      <c r="AD1625" s="28"/>
      <c r="AE1625" s="28"/>
      <c r="AF1625" s="28"/>
      <c r="AG1625" s="28"/>
      <c r="AH1625" s="28"/>
      <c r="AI1625" s="28"/>
      <c r="AJ1625" s="28"/>
      <c r="AK1625" s="28"/>
      <c r="AL1625" s="28"/>
      <c r="AM1625" s="28"/>
      <c r="AN1625" s="28"/>
      <c r="AO1625" s="28"/>
      <c r="AP1625" s="28"/>
      <c r="AQ1625" s="28"/>
      <c r="AR1625" s="28"/>
      <c r="AS1625" s="28"/>
      <c r="AT1625" s="28"/>
      <c r="AU1625" s="28"/>
      <c r="AV1625" s="28"/>
      <c r="AW1625" s="28"/>
      <c r="AX1625" s="28"/>
      <c r="AY1625" s="28"/>
      <c r="AZ1625" s="28"/>
      <c r="BA1625" s="28"/>
      <c r="BB1625" s="28"/>
    </row>
    <row r="1626" spans="1:54" ht="12.75" x14ac:dyDescent="0.2">
      <c r="A1626" s="28"/>
      <c r="B1626" s="28"/>
      <c r="C1626" s="28"/>
      <c r="D1626" s="28"/>
      <c r="E1626" s="28"/>
      <c r="F1626" s="28"/>
      <c r="G1626" s="28"/>
      <c r="H1626" s="28"/>
      <c r="I1626" s="28"/>
      <c r="J1626" s="28"/>
      <c r="K1626" s="28"/>
      <c r="L1626" s="28"/>
      <c r="M1626" s="28"/>
      <c r="N1626" s="28"/>
      <c r="O1626" s="28"/>
      <c r="P1626" s="28"/>
      <c r="Q1626" s="28"/>
      <c r="R1626" s="28"/>
      <c r="S1626" s="28"/>
      <c r="T1626" s="28"/>
      <c r="U1626" s="28"/>
      <c r="V1626" s="28"/>
      <c r="W1626" s="28"/>
      <c r="X1626" s="28"/>
      <c r="Y1626" s="28"/>
      <c r="Z1626" s="28"/>
      <c r="AA1626" s="28"/>
      <c r="AB1626" s="28"/>
      <c r="AC1626" s="28"/>
      <c r="AD1626" s="28"/>
      <c r="AE1626" s="28"/>
      <c r="AF1626" s="28"/>
      <c r="AG1626" s="28"/>
      <c r="AH1626" s="28"/>
      <c r="AI1626" s="28"/>
      <c r="AJ1626" s="28"/>
      <c r="AK1626" s="28"/>
      <c r="AL1626" s="28"/>
      <c r="AM1626" s="28"/>
      <c r="AN1626" s="28"/>
      <c r="AO1626" s="28"/>
      <c r="AP1626" s="28"/>
      <c r="AQ1626" s="28"/>
      <c r="AR1626" s="28"/>
      <c r="AS1626" s="28"/>
      <c r="AT1626" s="28"/>
      <c r="AU1626" s="28"/>
      <c r="AV1626" s="28"/>
      <c r="AW1626" s="28"/>
      <c r="AX1626" s="28"/>
      <c r="AY1626" s="28"/>
      <c r="AZ1626" s="28"/>
      <c r="BA1626" s="28"/>
      <c r="BB1626" s="28"/>
    </row>
    <row r="1627" spans="1:54" ht="12.75" x14ac:dyDescent="0.2">
      <c r="A1627" s="28"/>
      <c r="B1627" s="28"/>
      <c r="C1627" s="28"/>
      <c r="D1627" s="28"/>
      <c r="E1627" s="28"/>
      <c r="F1627" s="28"/>
      <c r="G1627" s="28"/>
      <c r="H1627" s="28"/>
      <c r="I1627" s="28"/>
      <c r="J1627" s="28"/>
      <c r="K1627" s="28"/>
      <c r="L1627" s="28"/>
      <c r="M1627" s="28"/>
      <c r="N1627" s="28"/>
      <c r="O1627" s="28"/>
      <c r="P1627" s="28"/>
      <c r="Q1627" s="28"/>
      <c r="R1627" s="28"/>
      <c r="S1627" s="28"/>
      <c r="T1627" s="28"/>
      <c r="U1627" s="28"/>
      <c r="V1627" s="28"/>
      <c r="W1627" s="28"/>
      <c r="X1627" s="28"/>
      <c r="Y1627" s="28"/>
      <c r="Z1627" s="28"/>
      <c r="AA1627" s="28"/>
      <c r="AB1627" s="28"/>
      <c r="AC1627" s="28"/>
      <c r="AD1627" s="28"/>
      <c r="AE1627" s="28"/>
      <c r="AF1627" s="28"/>
      <c r="AG1627" s="28"/>
      <c r="AH1627" s="28"/>
      <c r="AI1627" s="28"/>
      <c r="AJ1627" s="28"/>
      <c r="AK1627" s="28"/>
      <c r="AL1627" s="28"/>
      <c r="AM1627" s="28"/>
      <c r="AN1627" s="28"/>
      <c r="AO1627" s="28"/>
      <c r="AP1627" s="28"/>
      <c r="AQ1627" s="28"/>
      <c r="AR1627" s="28"/>
      <c r="AS1627" s="28"/>
      <c r="AT1627" s="28"/>
      <c r="AU1627" s="28"/>
      <c r="AV1627" s="28"/>
      <c r="AW1627" s="28"/>
      <c r="AX1627" s="28"/>
      <c r="AY1627" s="28"/>
      <c r="AZ1627" s="28"/>
      <c r="BA1627" s="28"/>
      <c r="BB1627" s="28"/>
    </row>
    <row r="1628" spans="1:54" ht="12.75" x14ac:dyDescent="0.2">
      <c r="A1628" s="28"/>
      <c r="B1628" s="28"/>
      <c r="C1628" s="28"/>
      <c r="D1628" s="28"/>
      <c r="E1628" s="28"/>
      <c r="F1628" s="28"/>
      <c r="G1628" s="28"/>
      <c r="H1628" s="28"/>
      <c r="I1628" s="28"/>
      <c r="J1628" s="28"/>
      <c r="K1628" s="28"/>
      <c r="L1628" s="28"/>
      <c r="M1628" s="28"/>
      <c r="N1628" s="28"/>
      <c r="O1628" s="28"/>
      <c r="P1628" s="28"/>
      <c r="Q1628" s="28"/>
      <c r="R1628" s="28"/>
      <c r="S1628" s="28"/>
      <c r="T1628" s="28"/>
      <c r="U1628" s="28"/>
      <c r="V1628" s="28"/>
      <c r="W1628" s="28"/>
      <c r="X1628" s="28"/>
      <c r="Y1628" s="28"/>
      <c r="Z1628" s="28"/>
      <c r="AA1628" s="28"/>
      <c r="AB1628" s="28"/>
      <c r="AC1628" s="28"/>
      <c r="AD1628" s="28"/>
      <c r="AE1628" s="28"/>
      <c r="AF1628" s="28"/>
      <c r="AG1628" s="28"/>
      <c r="AH1628" s="28"/>
      <c r="AI1628" s="28"/>
      <c r="AJ1628" s="28"/>
      <c r="AK1628" s="28"/>
      <c r="AL1628" s="28"/>
      <c r="AM1628" s="28"/>
      <c r="AN1628" s="28"/>
      <c r="AO1628" s="28"/>
      <c r="AP1628" s="28"/>
      <c r="AQ1628" s="28"/>
      <c r="AR1628" s="28"/>
      <c r="AS1628" s="28"/>
      <c r="AT1628" s="28"/>
      <c r="AU1628" s="28"/>
      <c r="AV1628" s="28"/>
      <c r="AW1628" s="28"/>
      <c r="AX1628" s="28"/>
      <c r="AY1628" s="28"/>
      <c r="AZ1628" s="28"/>
      <c r="BA1628" s="28"/>
      <c r="BB1628" s="28"/>
    </row>
    <row r="1629" spans="1:54" ht="12.75" x14ac:dyDescent="0.2">
      <c r="A1629" s="28"/>
      <c r="B1629" s="28"/>
      <c r="C1629" s="28"/>
      <c r="D1629" s="28"/>
      <c r="E1629" s="28"/>
      <c r="F1629" s="28"/>
      <c r="G1629" s="28"/>
      <c r="H1629" s="28"/>
      <c r="I1629" s="28"/>
      <c r="J1629" s="28"/>
      <c r="K1629" s="28"/>
      <c r="L1629" s="28"/>
      <c r="M1629" s="28"/>
      <c r="N1629" s="28"/>
      <c r="O1629" s="28"/>
      <c r="P1629" s="28"/>
      <c r="Q1629" s="28"/>
      <c r="R1629" s="28"/>
      <c r="S1629" s="28"/>
      <c r="T1629" s="28"/>
      <c r="U1629" s="28"/>
      <c r="V1629" s="28"/>
      <c r="W1629" s="28"/>
      <c r="X1629" s="28"/>
      <c r="Y1629" s="28"/>
      <c r="Z1629" s="28"/>
      <c r="AA1629" s="28"/>
      <c r="AB1629" s="28"/>
      <c r="AC1629" s="28"/>
      <c r="AD1629" s="28"/>
      <c r="AE1629" s="28"/>
      <c r="AF1629" s="28"/>
      <c r="AG1629" s="28"/>
      <c r="AH1629" s="28"/>
      <c r="AI1629" s="28"/>
      <c r="AJ1629" s="28"/>
      <c r="AK1629" s="28"/>
      <c r="AL1629" s="28"/>
      <c r="AM1629" s="28"/>
      <c r="AN1629" s="28"/>
      <c r="AO1629" s="28"/>
      <c r="AP1629" s="28"/>
      <c r="AQ1629" s="28"/>
      <c r="AR1629" s="28"/>
      <c r="AS1629" s="28"/>
      <c r="AT1629" s="28"/>
      <c r="AU1629" s="28"/>
      <c r="AV1629" s="28"/>
      <c r="AW1629" s="28"/>
      <c r="AX1629" s="28"/>
      <c r="AY1629" s="28"/>
      <c r="AZ1629" s="28"/>
      <c r="BA1629" s="28"/>
      <c r="BB1629" s="28"/>
    </row>
    <row r="1630" spans="1:54" ht="12.75" x14ac:dyDescent="0.2">
      <c r="A1630" s="28"/>
      <c r="B1630" s="28"/>
      <c r="C1630" s="28"/>
      <c r="D1630" s="28"/>
      <c r="E1630" s="28"/>
      <c r="F1630" s="28"/>
      <c r="G1630" s="28"/>
      <c r="H1630" s="28"/>
      <c r="I1630" s="28"/>
      <c r="J1630" s="28"/>
      <c r="K1630" s="28"/>
      <c r="L1630" s="28"/>
      <c r="M1630" s="28"/>
      <c r="N1630" s="28"/>
      <c r="O1630" s="28"/>
      <c r="P1630" s="28"/>
      <c r="Q1630" s="28"/>
      <c r="R1630" s="28"/>
      <c r="S1630" s="28"/>
      <c r="T1630" s="28"/>
      <c r="U1630" s="28"/>
      <c r="V1630" s="28"/>
      <c r="W1630" s="28"/>
      <c r="X1630" s="28"/>
      <c r="Y1630" s="28"/>
      <c r="Z1630" s="28"/>
      <c r="AA1630" s="28"/>
      <c r="AB1630" s="28"/>
      <c r="AC1630" s="28"/>
      <c r="AD1630" s="28"/>
      <c r="AE1630" s="28"/>
      <c r="AF1630" s="28"/>
      <c r="AG1630" s="28"/>
      <c r="AH1630" s="28"/>
      <c r="AI1630" s="28"/>
      <c r="AJ1630" s="28"/>
      <c r="AK1630" s="28"/>
      <c r="AL1630" s="28"/>
      <c r="AM1630" s="28"/>
      <c r="AN1630" s="28"/>
      <c r="AO1630" s="28"/>
      <c r="AP1630" s="28"/>
      <c r="AQ1630" s="28"/>
      <c r="AR1630" s="28"/>
      <c r="AS1630" s="28"/>
      <c r="AT1630" s="28"/>
      <c r="AU1630" s="28"/>
      <c r="AV1630" s="28"/>
      <c r="AW1630" s="28"/>
      <c r="AX1630" s="28"/>
      <c r="AY1630" s="28"/>
      <c r="AZ1630" s="28"/>
      <c r="BA1630" s="28"/>
      <c r="BB1630" s="28"/>
    </row>
    <row r="1631" spans="1:54" ht="12.75" x14ac:dyDescent="0.2">
      <c r="A1631" s="28"/>
      <c r="B1631" s="28"/>
      <c r="C1631" s="28"/>
      <c r="D1631" s="28"/>
      <c r="E1631" s="28"/>
      <c r="F1631" s="28"/>
      <c r="G1631" s="28"/>
      <c r="H1631" s="28"/>
      <c r="I1631" s="28"/>
      <c r="J1631" s="28"/>
      <c r="K1631" s="28"/>
      <c r="L1631" s="28"/>
      <c r="M1631" s="28"/>
      <c r="N1631" s="28"/>
      <c r="O1631" s="28"/>
      <c r="P1631" s="28"/>
      <c r="Q1631" s="28"/>
      <c r="R1631" s="28"/>
      <c r="S1631" s="28"/>
      <c r="T1631" s="28"/>
      <c r="U1631" s="28"/>
      <c r="V1631" s="28"/>
      <c r="W1631" s="28"/>
      <c r="X1631" s="28"/>
      <c r="Y1631" s="28"/>
      <c r="Z1631" s="28"/>
      <c r="AA1631" s="28"/>
      <c r="AB1631" s="28"/>
      <c r="AC1631" s="28"/>
      <c r="AD1631" s="28"/>
      <c r="AE1631" s="28"/>
      <c r="AF1631" s="28"/>
      <c r="AG1631" s="28"/>
      <c r="AH1631" s="28"/>
      <c r="AI1631" s="28"/>
      <c r="AJ1631" s="28"/>
      <c r="AK1631" s="28"/>
      <c r="AL1631" s="28"/>
      <c r="AM1631" s="28"/>
      <c r="AN1631" s="28"/>
      <c r="AO1631" s="28"/>
      <c r="AP1631" s="28"/>
      <c r="AQ1631" s="28"/>
      <c r="AR1631" s="28"/>
      <c r="AS1631" s="28"/>
      <c r="AT1631" s="28"/>
      <c r="AU1631" s="28"/>
      <c r="AV1631" s="28"/>
      <c r="AW1631" s="28"/>
      <c r="AX1631" s="28"/>
      <c r="AY1631" s="28"/>
      <c r="AZ1631" s="28"/>
      <c r="BA1631" s="28"/>
      <c r="BB1631" s="28"/>
    </row>
    <row r="1632" spans="1:54" ht="12.75" x14ac:dyDescent="0.2">
      <c r="A1632" s="28"/>
      <c r="B1632" s="28"/>
      <c r="C1632" s="28"/>
      <c r="D1632" s="28"/>
      <c r="E1632" s="28"/>
      <c r="F1632" s="28"/>
      <c r="G1632" s="28"/>
      <c r="H1632" s="28"/>
      <c r="I1632" s="28"/>
      <c r="J1632" s="28"/>
      <c r="K1632" s="28"/>
      <c r="L1632" s="28"/>
      <c r="M1632" s="28"/>
      <c r="N1632" s="28"/>
      <c r="O1632" s="28"/>
      <c r="P1632" s="28"/>
      <c r="Q1632" s="28"/>
      <c r="R1632" s="28"/>
      <c r="S1632" s="28"/>
      <c r="T1632" s="28"/>
      <c r="U1632" s="28"/>
      <c r="V1632" s="28"/>
      <c r="W1632" s="28"/>
      <c r="X1632" s="28"/>
      <c r="Y1632" s="28"/>
      <c r="Z1632" s="28"/>
      <c r="AA1632" s="28"/>
      <c r="AB1632" s="28"/>
      <c r="AC1632" s="28"/>
      <c r="AD1632" s="28"/>
      <c r="AE1632" s="28"/>
      <c r="AF1632" s="28"/>
      <c r="AG1632" s="28"/>
      <c r="AH1632" s="28"/>
      <c r="AI1632" s="28"/>
      <c r="AJ1632" s="28"/>
      <c r="AK1632" s="28"/>
      <c r="AL1632" s="28"/>
      <c r="AM1632" s="28"/>
      <c r="AN1632" s="28"/>
      <c r="AO1632" s="28"/>
      <c r="AP1632" s="28"/>
      <c r="AQ1632" s="28"/>
      <c r="AR1632" s="28"/>
      <c r="AS1632" s="28"/>
      <c r="AT1632" s="28"/>
      <c r="AU1632" s="28"/>
      <c r="AV1632" s="28"/>
      <c r="AW1632" s="28"/>
      <c r="AX1632" s="28"/>
      <c r="AY1632" s="28"/>
      <c r="AZ1632" s="28"/>
      <c r="BA1632" s="28"/>
      <c r="BB1632" s="28"/>
    </row>
    <row r="1633" spans="1:54" ht="12.75" x14ac:dyDescent="0.2">
      <c r="A1633" s="28"/>
      <c r="B1633" s="28"/>
      <c r="C1633" s="28"/>
      <c r="D1633" s="28"/>
      <c r="E1633" s="28"/>
      <c r="F1633" s="28"/>
      <c r="G1633" s="28"/>
      <c r="H1633" s="28"/>
      <c r="I1633" s="28"/>
      <c r="J1633" s="28"/>
      <c r="K1633" s="28"/>
      <c r="L1633" s="28"/>
      <c r="M1633" s="28"/>
      <c r="N1633" s="28"/>
      <c r="O1633" s="28"/>
      <c r="P1633" s="28"/>
      <c r="Q1633" s="28"/>
      <c r="R1633" s="28"/>
      <c r="S1633" s="28"/>
      <c r="T1633" s="28"/>
      <c r="U1633" s="28"/>
      <c r="V1633" s="28"/>
      <c r="W1633" s="28"/>
      <c r="X1633" s="28"/>
      <c r="Y1633" s="28"/>
      <c r="Z1633" s="28"/>
      <c r="AA1633" s="28"/>
      <c r="AB1633" s="28"/>
      <c r="AC1633" s="28"/>
      <c r="AD1633" s="28"/>
      <c r="AE1633" s="28"/>
      <c r="AF1633" s="28"/>
      <c r="AG1633" s="28"/>
      <c r="AH1633" s="28"/>
      <c r="AI1633" s="28"/>
      <c r="AJ1633" s="28"/>
      <c r="AK1633" s="28"/>
      <c r="AL1633" s="28"/>
      <c r="AM1633" s="28"/>
      <c r="AN1633" s="28"/>
      <c r="AO1633" s="28"/>
      <c r="AP1633" s="28"/>
      <c r="AQ1633" s="28"/>
      <c r="AR1633" s="28"/>
      <c r="AS1633" s="28"/>
      <c r="AT1633" s="28"/>
      <c r="AU1633" s="28"/>
      <c r="AV1633" s="28"/>
      <c r="AW1633" s="28"/>
      <c r="AX1633" s="28"/>
      <c r="AY1633" s="28"/>
      <c r="AZ1633" s="28"/>
      <c r="BA1633" s="28"/>
      <c r="BB1633" s="28"/>
    </row>
    <row r="1634" spans="1:54" ht="12.75" x14ac:dyDescent="0.2">
      <c r="A1634" s="28"/>
      <c r="B1634" s="28"/>
      <c r="C1634" s="28"/>
      <c r="D1634" s="28"/>
      <c r="E1634" s="28"/>
      <c r="F1634" s="28"/>
      <c r="G1634" s="28"/>
      <c r="H1634" s="28"/>
      <c r="I1634" s="28"/>
      <c r="J1634" s="28"/>
      <c r="K1634" s="28"/>
      <c r="L1634" s="28"/>
      <c r="M1634" s="28"/>
      <c r="N1634" s="28"/>
      <c r="O1634" s="28"/>
      <c r="P1634" s="28"/>
      <c r="Q1634" s="28"/>
      <c r="R1634" s="28"/>
      <c r="S1634" s="28"/>
      <c r="T1634" s="28"/>
      <c r="U1634" s="28"/>
      <c r="V1634" s="28"/>
      <c r="W1634" s="28"/>
      <c r="X1634" s="28"/>
      <c r="Y1634" s="28"/>
      <c r="Z1634" s="28"/>
      <c r="AA1634" s="28"/>
      <c r="AB1634" s="28"/>
      <c r="AC1634" s="28"/>
      <c r="AD1634" s="28"/>
      <c r="AE1634" s="28"/>
      <c r="AF1634" s="28"/>
      <c r="AG1634" s="28"/>
      <c r="AH1634" s="28"/>
      <c r="AI1634" s="28"/>
      <c r="AJ1634" s="28"/>
      <c r="AK1634" s="28"/>
      <c r="AL1634" s="28"/>
      <c r="AM1634" s="28"/>
      <c r="AN1634" s="28"/>
      <c r="AO1634" s="28"/>
      <c r="AP1634" s="28"/>
      <c r="AQ1634" s="28"/>
      <c r="AR1634" s="28"/>
      <c r="AS1634" s="28"/>
      <c r="AT1634" s="28"/>
      <c r="AU1634" s="28"/>
      <c r="AV1634" s="28"/>
      <c r="AW1634" s="28"/>
      <c r="AX1634" s="28"/>
      <c r="AY1634" s="28"/>
      <c r="AZ1634" s="28"/>
      <c r="BA1634" s="28"/>
      <c r="BB1634" s="28"/>
    </row>
    <row r="1635" spans="1:54" ht="12.75" x14ac:dyDescent="0.2">
      <c r="A1635" s="28"/>
      <c r="B1635" s="28"/>
      <c r="C1635" s="28"/>
      <c r="D1635" s="28"/>
      <c r="E1635" s="28"/>
      <c r="F1635" s="28"/>
      <c r="G1635" s="28"/>
      <c r="H1635" s="28"/>
      <c r="I1635" s="28"/>
      <c r="J1635" s="28"/>
      <c r="K1635" s="28"/>
      <c r="L1635" s="28"/>
      <c r="M1635" s="28"/>
      <c r="N1635" s="28"/>
      <c r="O1635" s="28"/>
      <c r="P1635" s="28"/>
      <c r="Q1635" s="28"/>
      <c r="R1635" s="28"/>
      <c r="S1635" s="28"/>
      <c r="T1635" s="28"/>
      <c r="U1635" s="28"/>
      <c r="V1635" s="28"/>
      <c r="W1635" s="28"/>
      <c r="X1635" s="28"/>
      <c r="Y1635" s="28"/>
      <c r="Z1635" s="28"/>
      <c r="AA1635" s="28"/>
      <c r="AB1635" s="28"/>
      <c r="AC1635" s="28"/>
      <c r="AD1635" s="28"/>
      <c r="AE1635" s="28"/>
      <c r="AF1635" s="28"/>
      <c r="AG1635" s="28"/>
      <c r="AH1635" s="28"/>
      <c r="AI1635" s="28"/>
      <c r="AJ1635" s="28"/>
      <c r="AK1635" s="28"/>
      <c r="AL1635" s="28"/>
      <c r="AM1635" s="28"/>
      <c r="AN1635" s="28"/>
      <c r="AO1635" s="28"/>
      <c r="AP1635" s="28"/>
      <c r="AQ1635" s="28"/>
      <c r="AR1635" s="28"/>
      <c r="AS1635" s="28"/>
      <c r="AT1635" s="28"/>
      <c r="AU1635" s="28"/>
      <c r="AV1635" s="28"/>
      <c r="AW1635" s="28"/>
      <c r="AX1635" s="28"/>
      <c r="AY1635" s="28"/>
      <c r="AZ1635" s="28"/>
      <c r="BA1635" s="28"/>
      <c r="BB1635" s="28"/>
    </row>
    <row r="1636" spans="1:54" ht="12.75" x14ac:dyDescent="0.2">
      <c r="A1636" s="28"/>
      <c r="B1636" s="28"/>
      <c r="C1636" s="28"/>
      <c r="D1636" s="28"/>
      <c r="E1636" s="28"/>
      <c r="F1636" s="28"/>
      <c r="G1636" s="28"/>
      <c r="H1636" s="28"/>
      <c r="I1636" s="28"/>
      <c r="J1636" s="28"/>
      <c r="K1636" s="28"/>
      <c r="L1636" s="28"/>
      <c r="M1636" s="28"/>
      <c r="N1636" s="28"/>
      <c r="O1636" s="28"/>
      <c r="P1636" s="28"/>
      <c r="Q1636" s="28"/>
      <c r="R1636" s="28"/>
      <c r="S1636" s="28"/>
      <c r="T1636" s="28"/>
      <c r="U1636" s="28"/>
      <c r="V1636" s="28"/>
      <c r="W1636" s="28"/>
      <c r="X1636" s="28"/>
      <c r="Y1636" s="28"/>
      <c r="Z1636" s="28"/>
      <c r="AA1636" s="28"/>
      <c r="AB1636" s="28"/>
      <c r="AC1636" s="28"/>
      <c r="AD1636" s="28"/>
      <c r="AE1636" s="28"/>
      <c r="AF1636" s="28"/>
      <c r="AG1636" s="28"/>
      <c r="AH1636" s="28"/>
      <c r="AI1636" s="28"/>
      <c r="AJ1636" s="28"/>
      <c r="AK1636" s="28"/>
      <c r="AL1636" s="28"/>
      <c r="AM1636" s="28"/>
      <c r="AN1636" s="28"/>
      <c r="AO1636" s="28"/>
      <c r="AP1636" s="28"/>
      <c r="AQ1636" s="28"/>
      <c r="AR1636" s="28"/>
      <c r="AS1636" s="28"/>
      <c r="AT1636" s="28"/>
      <c r="AU1636" s="28"/>
      <c r="AV1636" s="28"/>
      <c r="AW1636" s="28"/>
      <c r="AX1636" s="28"/>
      <c r="AY1636" s="28"/>
      <c r="AZ1636" s="28"/>
      <c r="BA1636" s="28"/>
      <c r="BB1636" s="28"/>
    </row>
    <row r="1637" spans="1:54" ht="12.75" x14ac:dyDescent="0.2">
      <c r="A1637" s="28"/>
      <c r="B1637" s="28"/>
      <c r="C1637" s="28"/>
      <c r="D1637" s="28"/>
      <c r="E1637" s="28"/>
      <c r="F1637" s="28"/>
      <c r="G1637" s="28"/>
      <c r="H1637" s="28"/>
      <c r="I1637" s="28"/>
      <c r="J1637" s="28"/>
      <c r="K1637" s="28"/>
      <c r="L1637" s="28"/>
      <c r="M1637" s="28"/>
      <c r="N1637" s="28"/>
      <c r="O1637" s="28"/>
      <c r="P1637" s="28"/>
      <c r="Q1637" s="28"/>
      <c r="R1637" s="28"/>
      <c r="S1637" s="28"/>
      <c r="T1637" s="28"/>
      <c r="U1637" s="28"/>
      <c r="V1637" s="28"/>
      <c r="W1637" s="28"/>
      <c r="X1637" s="28"/>
      <c r="Y1637" s="28"/>
      <c r="Z1637" s="28"/>
      <c r="AA1637" s="28"/>
      <c r="AB1637" s="28"/>
      <c r="AC1637" s="28"/>
      <c r="AD1637" s="28"/>
      <c r="AE1637" s="28"/>
      <c r="AF1637" s="28"/>
      <c r="AG1637" s="28"/>
      <c r="AH1637" s="28"/>
      <c r="AI1637" s="28"/>
      <c r="AJ1637" s="28"/>
      <c r="AK1637" s="28"/>
      <c r="AL1637" s="28"/>
      <c r="AM1637" s="28"/>
      <c r="AN1637" s="28"/>
      <c r="AO1637" s="28"/>
      <c r="AP1637" s="28"/>
      <c r="AQ1637" s="28"/>
      <c r="AR1637" s="28"/>
      <c r="AS1637" s="28"/>
      <c r="AT1637" s="28"/>
      <c r="AU1637" s="28"/>
      <c r="AV1637" s="28"/>
      <c r="AW1637" s="28"/>
      <c r="AX1637" s="28"/>
      <c r="AY1637" s="28"/>
      <c r="AZ1637" s="28"/>
      <c r="BA1637" s="28"/>
      <c r="BB1637" s="28"/>
    </row>
    <row r="1638" spans="1:54" ht="12.75" x14ac:dyDescent="0.2">
      <c r="A1638" s="28"/>
      <c r="B1638" s="28"/>
      <c r="C1638" s="28"/>
      <c r="D1638" s="28"/>
      <c r="E1638" s="28"/>
      <c r="F1638" s="28"/>
      <c r="G1638" s="28"/>
      <c r="H1638" s="28"/>
      <c r="I1638" s="28"/>
      <c r="J1638" s="28"/>
      <c r="K1638" s="28"/>
      <c r="L1638" s="28"/>
      <c r="M1638" s="28"/>
      <c r="N1638" s="28"/>
      <c r="O1638" s="28"/>
      <c r="P1638" s="28"/>
      <c r="Q1638" s="28"/>
      <c r="R1638" s="28"/>
      <c r="S1638" s="28"/>
      <c r="T1638" s="28"/>
      <c r="U1638" s="28"/>
      <c r="V1638" s="28"/>
      <c r="W1638" s="28"/>
      <c r="X1638" s="28"/>
      <c r="Y1638" s="28"/>
      <c r="Z1638" s="28"/>
      <c r="AA1638" s="28"/>
      <c r="AB1638" s="28"/>
      <c r="AC1638" s="28"/>
      <c r="AD1638" s="28"/>
      <c r="AE1638" s="28"/>
      <c r="AF1638" s="28"/>
      <c r="AG1638" s="28"/>
      <c r="AH1638" s="28"/>
      <c r="AI1638" s="28"/>
      <c r="AJ1638" s="28"/>
      <c r="AK1638" s="28"/>
      <c r="AL1638" s="28"/>
      <c r="AM1638" s="28"/>
      <c r="AN1638" s="28"/>
      <c r="AO1638" s="28"/>
      <c r="AP1638" s="28"/>
      <c r="AQ1638" s="28"/>
      <c r="AR1638" s="28"/>
      <c r="AS1638" s="28"/>
      <c r="AT1638" s="28"/>
      <c r="AU1638" s="28"/>
      <c r="AV1638" s="28"/>
      <c r="AW1638" s="28"/>
      <c r="AX1638" s="28"/>
      <c r="AY1638" s="28"/>
      <c r="AZ1638" s="28"/>
      <c r="BA1638" s="28"/>
      <c r="BB1638" s="28"/>
    </row>
    <row r="1639" spans="1:54" ht="12.75" x14ac:dyDescent="0.2">
      <c r="A1639" s="28"/>
      <c r="B1639" s="28"/>
      <c r="C1639" s="28"/>
      <c r="D1639" s="28"/>
      <c r="E1639" s="28"/>
      <c r="F1639" s="28"/>
      <c r="G1639" s="28"/>
      <c r="H1639" s="28"/>
      <c r="I1639" s="28"/>
      <c r="J1639" s="28"/>
      <c r="K1639" s="28"/>
      <c r="L1639" s="28"/>
      <c r="M1639" s="28"/>
      <c r="N1639" s="28"/>
      <c r="O1639" s="28"/>
      <c r="P1639" s="28"/>
      <c r="Q1639" s="28"/>
      <c r="R1639" s="28"/>
      <c r="S1639" s="28"/>
      <c r="T1639" s="28"/>
      <c r="U1639" s="28"/>
      <c r="V1639" s="28"/>
      <c r="W1639" s="28"/>
      <c r="X1639" s="28"/>
      <c r="Y1639" s="28"/>
      <c r="Z1639" s="28"/>
      <c r="AA1639" s="28"/>
      <c r="AB1639" s="28"/>
      <c r="AC1639" s="28"/>
      <c r="AD1639" s="28"/>
      <c r="AE1639" s="28"/>
      <c r="AF1639" s="28"/>
      <c r="AG1639" s="28"/>
      <c r="AH1639" s="28"/>
      <c r="AI1639" s="28"/>
      <c r="AJ1639" s="28"/>
      <c r="AK1639" s="28"/>
      <c r="AL1639" s="28"/>
      <c r="AM1639" s="28"/>
      <c r="AN1639" s="28"/>
      <c r="AO1639" s="28"/>
      <c r="AP1639" s="28"/>
      <c r="AQ1639" s="28"/>
      <c r="AR1639" s="28"/>
      <c r="AS1639" s="28"/>
      <c r="AT1639" s="28"/>
      <c r="AU1639" s="28"/>
      <c r="AV1639" s="28"/>
      <c r="AW1639" s="28"/>
      <c r="AX1639" s="28"/>
      <c r="AY1639" s="28"/>
      <c r="AZ1639" s="28"/>
      <c r="BA1639" s="28"/>
      <c r="BB1639" s="28"/>
    </row>
    <row r="1640" spans="1:54" ht="12.75" x14ac:dyDescent="0.2">
      <c r="A1640" s="28"/>
      <c r="B1640" s="28"/>
      <c r="C1640" s="28"/>
      <c r="D1640" s="28"/>
      <c r="E1640" s="28"/>
      <c r="F1640" s="28"/>
      <c r="G1640" s="28"/>
      <c r="H1640" s="28"/>
      <c r="I1640" s="28"/>
      <c r="J1640" s="28"/>
      <c r="K1640" s="28"/>
      <c r="L1640" s="28"/>
      <c r="M1640" s="28"/>
      <c r="N1640" s="28"/>
      <c r="O1640" s="28"/>
      <c r="P1640" s="28"/>
      <c r="Q1640" s="28"/>
      <c r="R1640" s="28"/>
      <c r="S1640" s="28"/>
      <c r="T1640" s="28"/>
      <c r="U1640" s="28"/>
      <c r="V1640" s="28"/>
      <c r="W1640" s="28"/>
      <c r="X1640" s="28"/>
      <c r="Y1640" s="28"/>
      <c r="Z1640" s="28"/>
      <c r="AA1640" s="28"/>
      <c r="AB1640" s="28"/>
      <c r="AC1640" s="28"/>
      <c r="AD1640" s="28"/>
      <c r="AE1640" s="28"/>
      <c r="AF1640" s="28"/>
      <c r="AG1640" s="28"/>
      <c r="AH1640" s="28"/>
      <c r="AI1640" s="28"/>
      <c r="AJ1640" s="28"/>
      <c r="AK1640" s="28"/>
      <c r="AL1640" s="28"/>
      <c r="AM1640" s="28"/>
      <c r="AN1640" s="28"/>
      <c r="AO1640" s="28"/>
      <c r="AP1640" s="28"/>
      <c r="AQ1640" s="28"/>
      <c r="AR1640" s="28"/>
      <c r="AS1640" s="28"/>
      <c r="AT1640" s="28"/>
      <c r="AU1640" s="28"/>
      <c r="AV1640" s="28"/>
      <c r="AW1640" s="28"/>
      <c r="AX1640" s="28"/>
      <c r="AY1640" s="28"/>
      <c r="AZ1640" s="28"/>
      <c r="BA1640" s="28"/>
      <c r="BB1640" s="28"/>
    </row>
    <row r="1641" spans="1:54" ht="12.75" x14ac:dyDescent="0.2">
      <c r="A1641" s="28"/>
      <c r="B1641" s="28"/>
      <c r="C1641" s="28"/>
      <c r="D1641" s="28"/>
      <c r="E1641" s="28"/>
      <c r="F1641" s="28"/>
      <c r="G1641" s="28"/>
      <c r="H1641" s="28"/>
      <c r="I1641" s="28"/>
      <c r="J1641" s="28"/>
      <c r="K1641" s="28"/>
      <c r="L1641" s="28"/>
      <c r="M1641" s="28"/>
      <c r="N1641" s="28"/>
      <c r="O1641" s="28"/>
      <c r="P1641" s="28"/>
      <c r="Q1641" s="28"/>
      <c r="R1641" s="28"/>
      <c r="S1641" s="28"/>
      <c r="T1641" s="28"/>
      <c r="U1641" s="28"/>
      <c r="V1641" s="28"/>
      <c r="W1641" s="28"/>
      <c r="X1641" s="28"/>
      <c r="Y1641" s="28"/>
      <c r="Z1641" s="28"/>
      <c r="AA1641" s="28"/>
      <c r="AB1641" s="28"/>
      <c r="AC1641" s="28"/>
      <c r="AD1641" s="28"/>
      <c r="AE1641" s="28"/>
      <c r="AF1641" s="28"/>
      <c r="AG1641" s="28"/>
      <c r="AH1641" s="28"/>
      <c r="AI1641" s="28"/>
      <c r="AJ1641" s="28"/>
      <c r="AK1641" s="28"/>
      <c r="AL1641" s="28"/>
      <c r="AM1641" s="28"/>
      <c r="AN1641" s="28"/>
      <c r="AO1641" s="28"/>
      <c r="AP1641" s="28"/>
      <c r="AQ1641" s="28"/>
      <c r="AR1641" s="28"/>
      <c r="AS1641" s="28"/>
      <c r="AT1641" s="28"/>
      <c r="AU1641" s="28"/>
      <c r="AV1641" s="28"/>
      <c r="AW1641" s="28"/>
      <c r="AX1641" s="28"/>
      <c r="AY1641" s="28"/>
      <c r="AZ1641" s="28"/>
      <c r="BA1641" s="28"/>
      <c r="BB1641" s="28"/>
    </row>
    <row r="1642" spans="1:54" ht="12.75" x14ac:dyDescent="0.2">
      <c r="A1642" s="28"/>
      <c r="B1642" s="28"/>
      <c r="C1642" s="28"/>
      <c r="D1642" s="28"/>
      <c r="E1642" s="28"/>
      <c r="F1642" s="28"/>
      <c r="G1642" s="28"/>
      <c r="H1642" s="28"/>
      <c r="I1642" s="28"/>
      <c r="J1642" s="28"/>
      <c r="K1642" s="28"/>
      <c r="L1642" s="28"/>
      <c r="M1642" s="28"/>
      <c r="N1642" s="28"/>
      <c r="O1642" s="28"/>
      <c r="P1642" s="28"/>
      <c r="Q1642" s="28"/>
      <c r="R1642" s="28"/>
      <c r="S1642" s="28"/>
      <c r="T1642" s="28"/>
      <c r="U1642" s="28"/>
      <c r="V1642" s="28"/>
      <c r="W1642" s="28"/>
      <c r="X1642" s="28"/>
      <c r="Y1642" s="28"/>
      <c r="Z1642" s="28"/>
      <c r="AA1642" s="28"/>
      <c r="AB1642" s="28"/>
      <c r="AC1642" s="28"/>
      <c r="AD1642" s="28"/>
      <c r="AE1642" s="28"/>
      <c r="AF1642" s="28"/>
      <c r="AG1642" s="28"/>
      <c r="AH1642" s="28"/>
      <c r="AI1642" s="28"/>
      <c r="AJ1642" s="28"/>
      <c r="AK1642" s="28"/>
      <c r="AL1642" s="28"/>
      <c r="AM1642" s="28"/>
      <c r="AN1642" s="28"/>
      <c r="AO1642" s="28"/>
      <c r="AP1642" s="28"/>
      <c r="AQ1642" s="28"/>
      <c r="AR1642" s="28"/>
      <c r="AS1642" s="28"/>
      <c r="AT1642" s="28"/>
      <c r="AU1642" s="28"/>
      <c r="AV1642" s="28"/>
      <c r="AW1642" s="28"/>
      <c r="AX1642" s="28"/>
      <c r="AY1642" s="28"/>
      <c r="AZ1642" s="28"/>
      <c r="BA1642" s="28"/>
      <c r="BB1642" s="28"/>
    </row>
    <row r="1643" spans="1:54" ht="12.75" x14ac:dyDescent="0.2">
      <c r="A1643" s="28"/>
      <c r="B1643" s="28"/>
      <c r="C1643" s="28"/>
      <c r="D1643" s="28"/>
      <c r="E1643" s="28"/>
      <c r="F1643" s="28"/>
      <c r="G1643" s="28"/>
      <c r="H1643" s="28"/>
      <c r="I1643" s="28"/>
      <c r="J1643" s="28"/>
      <c r="K1643" s="28"/>
      <c r="L1643" s="28"/>
      <c r="M1643" s="28"/>
      <c r="N1643" s="28"/>
      <c r="O1643" s="28"/>
      <c r="P1643" s="28"/>
      <c r="Q1643" s="28"/>
      <c r="R1643" s="28"/>
      <c r="S1643" s="28"/>
      <c r="T1643" s="28"/>
      <c r="U1643" s="28"/>
      <c r="V1643" s="28"/>
      <c r="W1643" s="28"/>
      <c r="X1643" s="28"/>
      <c r="Y1643" s="28"/>
      <c r="Z1643" s="28"/>
      <c r="AA1643" s="28"/>
      <c r="AB1643" s="28"/>
      <c r="AC1643" s="28"/>
      <c r="AD1643" s="28"/>
      <c r="AE1643" s="28"/>
      <c r="AF1643" s="28"/>
      <c r="AG1643" s="28"/>
      <c r="AH1643" s="28"/>
      <c r="AI1643" s="28"/>
      <c r="AJ1643" s="28"/>
      <c r="AK1643" s="28"/>
      <c r="AL1643" s="28"/>
      <c r="AM1643" s="28"/>
      <c r="AN1643" s="28"/>
      <c r="AO1643" s="28"/>
      <c r="AP1643" s="28"/>
      <c r="AQ1643" s="28"/>
      <c r="AR1643" s="28"/>
      <c r="AS1643" s="28"/>
      <c r="AT1643" s="28"/>
      <c r="AU1643" s="28"/>
      <c r="AV1643" s="28"/>
      <c r="AW1643" s="28"/>
      <c r="AX1643" s="28"/>
      <c r="AY1643" s="28"/>
      <c r="AZ1643" s="28"/>
      <c r="BA1643" s="28"/>
      <c r="BB1643" s="28"/>
    </row>
    <row r="1644" spans="1:54" ht="12.75" x14ac:dyDescent="0.2">
      <c r="A1644" s="28"/>
      <c r="B1644" s="28"/>
      <c r="C1644" s="28"/>
      <c r="D1644" s="28"/>
      <c r="E1644" s="28"/>
      <c r="F1644" s="28"/>
      <c r="G1644" s="28"/>
      <c r="H1644" s="28"/>
      <c r="I1644" s="28"/>
      <c r="J1644" s="28"/>
      <c r="K1644" s="28"/>
      <c r="L1644" s="28"/>
      <c r="M1644" s="28"/>
      <c r="N1644" s="28"/>
      <c r="O1644" s="28"/>
      <c r="P1644" s="28"/>
      <c r="Q1644" s="28"/>
      <c r="R1644" s="28"/>
      <c r="S1644" s="28"/>
      <c r="T1644" s="28"/>
      <c r="U1644" s="28"/>
      <c r="V1644" s="28"/>
      <c r="W1644" s="28"/>
      <c r="X1644" s="28"/>
      <c r="Y1644" s="28"/>
      <c r="Z1644" s="28"/>
      <c r="AA1644" s="28"/>
      <c r="AB1644" s="28"/>
      <c r="AC1644" s="28"/>
      <c r="AD1644" s="28"/>
      <c r="AE1644" s="28"/>
      <c r="AF1644" s="28"/>
      <c r="AG1644" s="28"/>
      <c r="AH1644" s="28"/>
      <c r="AI1644" s="28"/>
      <c r="AJ1644" s="28"/>
      <c r="AK1644" s="28"/>
      <c r="AL1644" s="28"/>
      <c r="AM1644" s="28"/>
      <c r="AN1644" s="28"/>
      <c r="AO1644" s="28"/>
      <c r="AP1644" s="28"/>
      <c r="AQ1644" s="28"/>
      <c r="AR1644" s="28"/>
      <c r="AS1644" s="28"/>
      <c r="AT1644" s="28"/>
      <c r="AU1644" s="28"/>
      <c r="AV1644" s="28"/>
      <c r="AW1644" s="28"/>
      <c r="AX1644" s="28"/>
      <c r="AY1644" s="28"/>
      <c r="AZ1644" s="28"/>
      <c r="BA1644" s="28"/>
      <c r="BB1644" s="28"/>
    </row>
    <row r="1645" spans="1:54" ht="12.75" x14ac:dyDescent="0.2">
      <c r="A1645" s="28"/>
      <c r="B1645" s="28"/>
      <c r="C1645" s="28"/>
      <c r="D1645" s="28"/>
      <c r="E1645" s="28"/>
      <c r="F1645" s="28"/>
      <c r="G1645" s="28"/>
      <c r="H1645" s="28"/>
      <c r="I1645" s="28"/>
      <c r="J1645" s="28"/>
      <c r="K1645" s="28"/>
      <c r="L1645" s="28"/>
      <c r="M1645" s="28"/>
      <c r="N1645" s="28"/>
      <c r="O1645" s="28"/>
      <c r="P1645" s="28"/>
      <c r="Q1645" s="28"/>
      <c r="R1645" s="28"/>
      <c r="S1645" s="28"/>
      <c r="T1645" s="28"/>
      <c r="U1645" s="28"/>
      <c r="V1645" s="28"/>
      <c r="W1645" s="28"/>
      <c r="X1645" s="28"/>
      <c r="Y1645" s="28"/>
      <c r="Z1645" s="28"/>
      <c r="AA1645" s="28"/>
      <c r="AB1645" s="28"/>
      <c r="AC1645" s="28"/>
      <c r="AD1645" s="28"/>
      <c r="AE1645" s="28"/>
      <c r="AF1645" s="28"/>
      <c r="AG1645" s="28"/>
      <c r="AH1645" s="28"/>
      <c r="AI1645" s="28"/>
      <c r="AJ1645" s="28"/>
      <c r="AK1645" s="28"/>
      <c r="AL1645" s="28"/>
      <c r="AM1645" s="28"/>
      <c r="AN1645" s="28"/>
      <c r="AO1645" s="28"/>
      <c r="AP1645" s="28"/>
      <c r="AQ1645" s="28"/>
      <c r="AR1645" s="28"/>
      <c r="AS1645" s="28"/>
      <c r="AT1645" s="28"/>
      <c r="AU1645" s="28"/>
      <c r="AV1645" s="28"/>
      <c r="AW1645" s="28"/>
      <c r="AX1645" s="28"/>
      <c r="AY1645" s="28"/>
      <c r="AZ1645" s="28"/>
      <c r="BA1645" s="28"/>
      <c r="BB1645" s="28"/>
    </row>
    <row r="1646" spans="1:54" ht="12.75" x14ac:dyDescent="0.2">
      <c r="A1646" s="28"/>
      <c r="B1646" s="28"/>
      <c r="C1646" s="28"/>
      <c r="D1646" s="28"/>
      <c r="E1646" s="28"/>
      <c r="F1646" s="28"/>
      <c r="G1646" s="28"/>
      <c r="H1646" s="28"/>
      <c r="I1646" s="28"/>
      <c r="J1646" s="28"/>
      <c r="K1646" s="28"/>
      <c r="L1646" s="28"/>
      <c r="M1646" s="28"/>
      <c r="N1646" s="28"/>
      <c r="O1646" s="28"/>
      <c r="P1646" s="28"/>
      <c r="Q1646" s="28"/>
      <c r="R1646" s="28"/>
      <c r="S1646" s="28"/>
      <c r="T1646" s="28"/>
      <c r="U1646" s="28"/>
      <c r="V1646" s="28"/>
      <c r="W1646" s="28"/>
      <c r="X1646" s="28"/>
      <c r="Y1646" s="28"/>
      <c r="Z1646" s="28"/>
      <c r="AA1646" s="28"/>
      <c r="AB1646" s="28"/>
      <c r="AC1646" s="28"/>
      <c r="AD1646" s="28"/>
      <c r="AE1646" s="28"/>
      <c r="AF1646" s="28"/>
      <c r="AG1646" s="28"/>
      <c r="AH1646" s="28"/>
      <c r="AI1646" s="28"/>
      <c r="AJ1646" s="28"/>
      <c r="AK1646" s="28"/>
      <c r="AL1646" s="28"/>
      <c r="AM1646" s="28"/>
      <c r="AN1646" s="28"/>
      <c r="AO1646" s="28"/>
      <c r="AP1646" s="28"/>
      <c r="AQ1646" s="28"/>
      <c r="AR1646" s="28"/>
      <c r="AS1646" s="28"/>
      <c r="AT1646" s="28"/>
      <c r="AU1646" s="28"/>
      <c r="AV1646" s="28"/>
      <c r="AW1646" s="28"/>
      <c r="AX1646" s="28"/>
      <c r="AY1646" s="28"/>
      <c r="AZ1646" s="28"/>
      <c r="BA1646" s="28"/>
      <c r="BB1646" s="28"/>
    </row>
    <row r="1647" spans="1:54" ht="12.75" x14ac:dyDescent="0.2">
      <c r="A1647" s="28"/>
      <c r="B1647" s="28"/>
      <c r="C1647" s="28"/>
      <c r="D1647" s="28"/>
      <c r="E1647" s="28"/>
      <c r="F1647" s="28"/>
      <c r="G1647" s="28"/>
      <c r="H1647" s="28"/>
      <c r="I1647" s="28"/>
      <c r="J1647" s="28"/>
      <c r="K1647" s="28"/>
      <c r="L1647" s="28"/>
      <c r="M1647" s="28"/>
      <c r="N1647" s="28"/>
      <c r="O1647" s="28"/>
      <c r="P1647" s="28"/>
      <c r="Q1647" s="28"/>
      <c r="R1647" s="28"/>
      <c r="S1647" s="28"/>
      <c r="T1647" s="28"/>
      <c r="U1647" s="28"/>
      <c r="V1647" s="28"/>
      <c r="W1647" s="28"/>
      <c r="X1647" s="28"/>
      <c r="Y1647" s="28"/>
      <c r="Z1647" s="28"/>
      <c r="AA1647" s="28"/>
      <c r="AB1647" s="28"/>
      <c r="AC1647" s="28"/>
      <c r="AD1647" s="28"/>
      <c r="AE1647" s="28"/>
      <c r="AF1647" s="28"/>
      <c r="AG1647" s="28"/>
      <c r="AH1647" s="28"/>
      <c r="AI1647" s="28"/>
      <c r="AJ1647" s="28"/>
      <c r="AK1647" s="28"/>
      <c r="AL1647" s="28"/>
      <c r="AM1647" s="28"/>
      <c r="AN1647" s="28"/>
      <c r="AO1647" s="28"/>
      <c r="AP1647" s="28"/>
      <c r="AQ1647" s="28"/>
      <c r="AR1647" s="28"/>
      <c r="AS1647" s="28"/>
      <c r="AT1647" s="28"/>
      <c r="AU1647" s="28"/>
      <c r="AV1647" s="28"/>
      <c r="AW1647" s="28"/>
      <c r="AX1647" s="28"/>
      <c r="AY1647" s="28"/>
      <c r="AZ1647" s="28"/>
      <c r="BA1647" s="28"/>
      <c r="BB1647" s="28"/>
    </row>
    <row r="1648" spans="1:54" ht="12.75" x14ac:dyDescent="0.2">
      <c r="A1648" s="28"/>
      <c r="B1648" s="28"/>
      <c r="C1648" s="28"/>
      <c r="D1648" s="28"/>
      <c r="E1648" s="28"/>
      <c r="F1648" s="28"/>
      <c r="G1648" s="28"/>
      <c r="H1648" s="28"/>
      <c r="I1648" s="28"/>
      <c r="J1648" s="28"/>
      <c r="K1648" s="28"/>
      <c r="L1648" s="28"/>
      <c r="M1648" s="28"/>
      <c r="N1648" s="28"/>
      <c r="O1648" s="28"/>
      <c r="P1648" s="28"/>
      <c r="Q1648" s="28"/>
      <c r="R1648" s="28"/>
      <c r="S1648" s="28"/>
      <c r="T1648" s="28"/>
      <c r="U1648" s="28"/>
      <c r="V1648" s="28"/>
      <c r="W1648" s="28"/>
      <c r="X1648" s="28"/>
      <c r="Y1648" s="28"/>
      <c r="Z1648" s="28"/>
      <c r="AA1648" s="28"/>
      <c r="AB1648" s="28"/>
      <c r="AC1648" s="28"/>
      <c r="AD1648" s="28"/>
      <c r="AE1648" s="28"/>
      <c r="AF1648" s="28"/>
      <c r="AG1648" s="28"/>
      <c r="AH1648" s="28"/>
      <c r="AI1648" s="28"/>
      <c r="AJ1648" s="28"/>
      <c r="AK1648" s="28"/>
      <c r="AL1648" s="28"/>
      <c r="AM1648" s="28"/>
      <c r="AN1648" s="28"/>
      <c r="AO1648" s="28"/>
      <c r="AP1648" s="28"/>
      <c r="AQ1648" s="28"/>
      <c r="AR1648" s="28"/>
      <c r="AS1648" s="28"/>
      <c r="AT1648" s="28"/>
      <c r="AU1648" s="28"/>
      <c r="AV1648" s="28"/>
      <c r="AW1648" s="28"/>
      <c r="AX1648" s="28"/>
      <c r="AY1648" s="28"/>
      <c r="AZ1648" s="28"/>
      <c r="BA1648" s="28"/>
      <c r="BB1648" s="28"/>
    </row>
    <row r="1649" spans="1:54" ht="12.75" x14ac:dyDescent="0.2">
      <c r="A1649" s="28"/>
      <c r="B1649" s="28"/>
      <c r="C1649" s="28"/>
      <c r="D1649" s="28"/>
      <c r="E1649" s="28"/>
      <c r="F1649" s="28"/>
      <c r="G1649" s="28"/>
      <c r="H1649" s="28"/>
      <c r="I1649" s="28"/>
      <c r="J1649" s="28"/>
      <c r="K1649" s="28"/>
      <c r="L1649" s="28"/>
      <c r="M1649" s="28"/>
      <c r="N1649" s="28"/>
      <c r="O1649" s="28"/>
      <c r="P1649" s="28"/>
      <c r="Q1649" s="28"/>
      <c r="R1649" s="28"/>
      <c r="S1649" s="28"/>
      <c r="T1649" s="28"/>
      <c r="U1649" s="28"/>
      <c r="V1649" s="28"/>
      <c r="W1649" s="28"/>
      <c r="X1649" s="28"/>
      <c r="Y1649" s="28"/>
      <c r="Z1649" s="28"/>
      <c r="AA1649" s="28"/>
      <c r="AB1649" s="28"/>
      <c r="AC1649" s="28"/>
      <c r="AD1649" s="28"/>
      <c r="AE1649" s="28"/>
      <c r="AF1649" s="28"/>
      <c r="AG1649" s="28"/>
      <c r="AH1649" s="28"/>
      <c r="AI1649" s="28"/>
      <c r="AJ1649" s="28"/>
      <c r="AK1649" s="28"/>
      <c r="AL1649" s="28"/>
      <c r="AM1649" s="28"/>
      <c r="AN1649" s="28"/>
      <c r="AO1649" s="28"/>
      <c r="AP1649" s="28"/>
      <c r="AQ1649" s="28"/>
      <c r="AR1649" s="28"/>
      <c r="AS1649" s="28"/>
      <c r="AT1649" s="28"/>
      <c r="AU1649" s="28"/>
      <c r="AV1649" s="28"/>
      <c r="AW1649" s="28"/>
      <c r="AX1649" s="28"/>
      <c r="AY1649" s="28"/>
      <c r="AZ1649" s="28"/>
      <c r="BA1649" s="28"/>
      <c r="BB1649" s="28"/>
    </row>
    <row r="1650" spans="1:54" ht="12.75" x14ac:dyDescent="0.2">
      <c r="A1650" s="28"/>
      <c r="B1650" s="28"/>
      <c r="C1650" s="28"/>
      <c r="D1650" s="28"/>
      <c r="E1650" s="28"/>
      <c r="F1650" s="28"/>
      <c r="G1650" s="28"/>
      <c r="H1650" s="28"/>
      <c r="I1650" s="28"/>
      <c r="J1650" s="28"/>
      <c r="K1650" s="28"/>
      <c r="L1650" s="28"/>
      <c r="M1650" s="28"/>
      <c r="N1650" s="28"/>
      <c r="O1650" s="28"/>
      <c r="P1650" s="28"/>
      <c r="Q1650" s="28"/>
      <c r="R1650" s="28"/>
      <c r="S1650" s="28"/>
      <c r="T1650" s="28"/>
      <c r="U1650" s="28"/>
      <c r="V1650" s="28"/>
      <c r="W1650" s="28"/>
      <c r="X1650" s="28"/>
      <c r="Y1650" s="28"/>
      <c r="Z1650" s="28"/>
      <c r="AA1650" s="28"/>
      <c r="AB1650" s="28"/>
      <c r="AC1650" s="28"/>
      <c r="AD1650" s="28"/>
      <c r="AE1650" s="28"/>
      <c r="AF1650" s="28"/>
      <c r="AG1650" s="28"/>
      <c r="AH1650" s="28"/>
      <c r="AI1650" s="28"/>
      <c r="AJ1650" s="28"/>
      <c r="AK1650" s="28"/>
      <c r="AL1650" s="28"/>
      <c r="AM1650" s="28"/>
      <c r="AN1650" s="28"/>
      <c r="AO1650" s="28"/>
      <c r="AP1650" s="28"/>
      <c r="AQ1650" s="28"/>
      <c r="AR1650" s="28"/>
      <c r="AS1650" s="28"/>
      <c r="AT1650" s="28"/>
      <c r="AU1650" s="28"/>
      <c r="AV1650" s="28"/>
      <c r="AW1650" s="28"/>
      <c r="AX1650" s="28"/>
      <c r="AY1650" s="28"/>
      <c r="AZ1650" s="28"/>
      <c r="BA1650" s="28"/>
      <c r="BB1650" s="28"/>
    </row>
    <row r="1651" spans="1:54" ht="12.75" x14ac:dyDescent="0.2">
      <c r="A1651" s="28"/>
      <c r="B1651" s="28"/>
      <c r="C1651" s="28"/>
      <c r="D1651" s="28"/>
      <c r="E1651" s="28"/>
      <c r="F1651" s="28"/>
      <c r="G1651" s="28"/>
      <c r="H1651" s="28"/>
      <c r="I1651" s="28"/>
      <c r="J1651" s="28"/>
      <c r="K1651" s="28"/>
      <c r="L1651" s="28"/>
      <c r="M1651" s="28"/>
      <c r="N1651" s="28"/>
      <c r="O1651" s="28"/>
      <c r="P1651" s="28"/>
      <c r="Q1651" s="28"/>
      <c r="R1651" s="28"/>
      <c r="S1651" s="28"/>
      <c r="T1651" s="28"/>
      <c r="U1651" s="28"/>
      <c r="V1651" s="28"/>
      <c r="W1651" s="28"/>
      <c r="X1651" s="28"/>
      <c r="Y1651" s="28"/>
      <c r="Z1651" s="28"/>
      <c r="AA1651" s="28"/>
      <c r="AB1651" s="28"/>
      <c r="AC1651" s="28"/>
      <c r="AD1651" s="28"/>
      <c r="AE1651" s="28"/>
      <c r="AF1651" s="28"/>
      <c r="AG1651" s="28"/>
      <c r="AH1651" s="28"/>
      <c r="AI1651" s="28"/>
      <c r="AJ1651" s="28"/>
      <c r="AK1651" s="28"/>
      <c r="AL1651" s="28"/>
      <c r="AM1651" s="28"/>
      <c r="AN1651" s="28"/>
      <c r="AO1651" s="28"/>
      <c r="AP1651" s="28"/>
      <c r="AQ1651" s="28"/>
      <c r="AR1651" s="28"/>
      <c r="AS1651" s="28"/>
      <c r="AT1651" s="28"/>
      <c r="AU1651" s="28"/>
      <c r="AV1651" s="28"/>
      <c r="AW1651" s="28"/>
      <c r="AX1651" s="28"/>
      <c r="AY1651" s="28"/>
      <c r="AZ1651" s="28"/>
      <c r="BA1651" s="28"/>
      <c r="BB1651" s="28"/>
    </row>
    <row r="1652" spans="1:54" ht="12.75" x14ac:dyDescent="0.2">
      <c r="A1652" s="28"/>
      <c r="B1652" s="28"/>
      <c r="C1652" s="28"/>
      <c r="D1652" s="28"/>
      <c r="E1652" s="28"/>
      <c r="F1652" s="28"/>
      <c r="G1652" s="28"/>
      <c r="H1652" s="28"/>
      <c r="I1652" s="28"/>
      <c r="J1652" s="28"/>
      <c r="K1652" s="28"/>
      <c r="L1652" s="28"/>
      <c r="M1652" s="28"/>
      <c r="N1652" s="28"/>
      <c r="O1652" s="28"/>
      <c r="P1652" s="28"/>
      <c r="Q1652" s="28"/>
      <c r="R1652" s="28"/>
      <c r="S1652" s="28"/>
      <c r="T1652" s="28"/>
      <c r="U1652" s="28"/>
      <c r="V1652" s="28"/>
      <c r="W1652" s="28"/>
      <c r="X1652" s="28"/>
      <c r="Y1652" s="28"/>
      <c r="Z1652" s="28"/>
      <c r="AA1652" s="28"/>
      <c r="AB1652" s="28"/>
      <c r="AC1652" s="28"/>
      <c r="AD1652" s="28"/>
      <c r="AE1652" s="28"/>
      <c r="AF1652" s="28"/>
      <c r="AG1652" s="28"/>
      <c r="AH1652" s="28"/>
      <c r="AI1652" s="28"/>
      <c r="AJ1652" s="28"/>
      <c r="AK1652" s="28"/>
      <c r="AL1652" s="28"/>
      <c r="AM1652" s="28"/>
      <c r="AN1652" s="28"/>
      <c r="AO1652" s="28"/>
      <c r="AP1652" s="28"/>
      <c r="AQ1652" s="28"/>
      <c r="AR1652" s="28"/>
      <c r="AS1652" s="28"/>
      <c r="AT1652" s="28"/>
      <c r="AU1652" s="28"/>
      <c r="AV1652" s="28"/>
      <c r="AW1652" s="28"/>
      <c r="AX1652" s="28"/>
      <c r="AY1652" s="28"/>
      <c r="AZ1652" s="28"/>
      <c r="BA1652" s="28"/>
      <c r="BB1652" s="28"/>
    </row>
    <row r="1653" spans="1:54" ht="12.75" x14ac:dyDescent="0.2">
      <c r="A1653" s="28"/>
      <c r="B1653" s="28"/>
      <c r="C1653" s="28"/>
      <c r="D1653" s="28"/>
      <c r="E1653" s="28"/>
      <c r="F1653" s="28"/>
      <c r="G1653" s="28"/>
      <c r="H1653" s="28"/>
      <c r="I1653" s="28"/>
      <c r="J1653" s="28"/>
      <c r="K1653" s="28"/>
      <c r="L1653" s="28"/>
      <c r="M1653" s="28"/>
      <c r="N1653" s="28"/>
      <c r="O1653" s="28"/>
      <c r="P1653" s="28"/>
      <c r="Q1653" s="28"/>
      <c r="R1653" s="28"/>
      <c r="S1653" s="28"/>
      <c r="T1653" s="28"/>
      <c r="U1653" s="28"/>
      <c r="V1653" s="28"/>
      <c r="W1653" s="28"/>
      <c r="X1653" s="28"/>
      <c r="Y1653" s="28"/>
      <c r="Z1653" s="28"/>
      <c r="AA1653" s="28"/>
      <c r="AB1653" s="28"/>
      <c r="AC1653" s="28"/>
      <c r="AD1653" s="28"/>
      <c r="AE1653" s="28"/>
      <c r="AF1653" s="28"/>
      <c r="AG1653" s="28"/>
      <c r="AH1653" s="28"/>
      <c r="AI1653" s="28"/>
      <c r="AJ1653" s="28"/>
      <c r="AK1653" s="28"/>
      <c r="AL1653" s="28"/>
      <c r="AM1653" s="28"/>
      <c r="AN1653" s="28"/>
      <c r="AO1653" s="28"/>
      <c r="AP1653" s="28"/>
      <c r="AQ1653" s="28"/>
      <c r="AR1653" s="28"/>
      <c r="AS1653" s="28"/>
      <c r="AT1653" s="28"/>
      <c r="AU1653" s="28"/>
      <c r="AV1653" s="28"/>
      <c r="AW1653" s="28"/>
      <c r="AX1653" s="28"/>
      <c r="AY1653" s="28"/>
      <c r="AZ1653" s="28"/>
      <c r="BA1653" s="28"/>
      <c r="BB1653" s="28"/>
    </row>
    <row r="1654" spans="1:54" ht="12.75" x14ac:dyDescent="0.2">
      <c r="A1654" s="28"/>
      <c r="B1654" s="28"/>
      <c r="C1654" s="28"/>
      <c r="D1654" s="28"/>
      <c r="E1654" s="28"/>
      <c r="F1654" s="28"/>
      <c r="G1654" s="28"/>
      <c r="H1654" s="28"/>
      <c r="I1654" s="28"/>
      <c r="J1654" s="28"/>
      <c r="K1654" s="28"/>
      <c r="L1654" s="28"/>
      <c r="M1654" s="28"/>
      <c r="N1654" s="28"/>
      <c r="O1654" s="28"/>
      <c r="P1654" s="28"/>
      <c r="Q1654" s="28"/>
      <c r="R1654" s="28"/>
      <c r="S1654" s="28"/>
      <c r="T1654" s="28"/>
      <c r="U1654" s="28"/>
      <c r="V1654" s="28"/>
      <c r="W1654" s="28"/>
      <c r="X1654" s="28"/>
      <c r="Y1654" s="28"/>
      <c r="Z1654" s="28"/>
      <c r="AA1654" s="28"/>
      <c r="AB1654" s="28"/>
      <c r="AC1654" s="28"/>
      <c r="AD1654" s="28"/>
      <c r="AE1654" s="28"/>
      <c r="AF1654" s="28"/>
      <c r="AG1654" s="28"/>
      <c r="AH1654" s="28"/>
      <c r="AI1654" s="28"/>
      <c r="AJ1654" s="28"/>
      <c r="AK1654" s="28"/>
      <c r="AL1654" s="28"/>
      <c r="AM1654" s="28"/>
      <c r="AN1654" s="28"/>
      <c r="AO1654" s="28"/>
      <c r="AP1654" s="28"/>
      <c r="AQ1654" s="28"/>
      <c r="AR1654" s="28"/>
      <c r="AS1654" s="28"/>
      <c r="AT1654" s="28"/>
      <c r="AU1654" s="28"/>
      <c r="AV1654" s="28"/>
      <c r="AW1654" s="28"/>
      <c r="AX1654" s="28"/>
      <c r="AY1654" s="28"/>
      <c r="AZ1654" s="28"/>
      <c r="BA1654" s="28"/>
      <c r="BB1654" s="28"/>
    </row>
    <row r="1655" spans="1:54" ht="12.75" x14ac:dyDescent="0.2">
      <c r="A1655" s="28"/>
      <c r="B1655" s="28"/>
      <c r="C1655" s="28"/>
      <c r="D1655" s="28"/>
      <c r="E1655" s="28"/>
      <c r="F1655" s="28"/>
      <c r="G1655" s="28"/>
      <c r="H1655" s="28"/>
      <c r="I1655" s="28"/>
      <c r="J1655" s="28"/>
      <c r="K1655" s="28"/>
      <c r="L1655" s="28"/>
      <c r="M1655" s="28"/>
      <c r="N1655" s="28"/>
      <c r="O1655" s="28"/>
      <c r="P1655" s="28"/>
      <c r="Q1655" s="28"/>
      <c r="R1655" s="28"/>
      <c r="S1655" s="28"/>
      <c r="T1655" s="28"/>
      <c r="U1655" s="28"/>
      <c r="V1655" s="28"/>
      <c r="W1655" s="28"/>
      <c r="X1655" s="28"/>
      <c r="Y1655" s="28"/>
      <c r="Z1655" s="28"/>
      <c r="AA1655" s="28"/>
      <c r="AB1655" s="28"/>
      <c r="AC1655" s="28"/>
      <c r="AD1655" s="28"/>
      <c r="AE1655" s="28"/>
      <c r="AF1655" s="28"/>
      <c r="AG1655" s="28"/>
      <c r="AH1655" s="28"/>
      <c r="AI1655" s="28"/>
      <c r="AJ1655" s="28"/>
      <c r="AK1655" s="28"/>
      <c r="AL1655" s="28"/>
      <c r="AM1655" s="28"/>
      <c r="AN1655" s="28"/>
      <c r="AO1655" s="28"/>
      <c r="AP1655" s="28"/>
      <c r="AQ1655" s="28"/>
      <c r="AR1655" s="28"/>
      <c r="AS1655" s="28"/>
      <c r="AT1655" s="28"/>
      <c r="AU1655" s="28"/>
      <c r="AV1655" s="28"/>
      <c r="AW1655" s="28"/>
      <c r="AX1655" s="28"/>
      <c r="AY1655" s="28"/>
      <c r="AZ1655" s="28"/>
      <c r="BA1655" s="28"/>
      <c r="BB1655" s="28"/>
    </row>
    <row r="1656" spans="1:54" ht="12.75" x14ac:dyDescent="0.2">
      <c r="A1656" s="28"/>
      <c r="B1656" s="28"/>
      <c r="C1656" s="28"/>
      <c r="D1656" s="28"/>
      <c r="E1656" s="28"/>
      <c r="F1656" s="28"/>
      <c r="G1656" s="28"/>
      <c r="H1656" s="28"/>
      <c r="I1656" s="28"/>
      <c r="J1656" s="28"/>
      <c r="K1656" s="28"/>
      <c r="L1656" s="28"/>
      <c r="M1656" s="28"/>
      <c r="N1656" s="28"/>
      <c r="O1656" s="28"/>
      <c r="P1656" s="28"/>
      <c r="Q1656" s="28"/>
      <c r="R1656" s="28"/>
      <c r="S1656" s="28"/>
      <c r="T1656" s="28"/>
      <c r="U1656" s="28"/>
      <c r="V1656" s="28"/>
      <c r="W1656" s="28"/>
      <c r="X1656" s="28"/>
      <c r="Y1656" s="28"/>
      <c r="Z1656" s="28"/>
      <c r="AA1656" s="28"/>
      <c r="AB1656" s="28"/>
      <c r="AC1656" s="28"/>
      <c r="AD1656" s="28"/>
      <c r="AE1656" s="28"/>
      <c r="AF1656" s="28"/>
      <c r="AG1656" s="28"/>
      <c r="AH1656" s="28"/>
      <c r="AI1656" s="28"/>
      <c r="AJ1656" s="28"/>
      <c r="AK1656" s="28"/>
      <c r="AL1656" s="28"/>
      <c r="AM1656" s="28"/>
      <c r="AN1656" s="28"/>
      <c r="AO1656" s="28"/>
      <c r="AP1656" s="28"/>
      <c r="AQ1656" s="28"/>
      <c r="AR1656" s="28"/>
      <c r="AS1656" s="28"/>
      <c r="AT1656" s="28"/>
      <c r="AU1656" s="28"/>
      <c r="AV1656" s="28"/>
      <c r="AW1656" s="28"/>
      <c r="AX1656" s="28"/>
      <c r="AY1656" s="28"/>
      <c r="AZ1656" s="28"/>
      <c r="BA1656" s="28"/>
      <c r="BB1656" s="28"/>
    </row>
    <row r="1657" spans="1:54" ht="12.75" x14ac:dyDescent="0.2">
      <c r="A1657" s="28"/>
      <c r="B1657" s="28"/>
      <c r="C1657" s="28"/>
      <c r="D1657" s="28"/>
      <c r="E1657" s="28"/>
      <c r="F1657" s="28"/>
      <c r="G1657" s="28"/>
      <c r="H1657" s="28"/>
      <c r="I1657" s="28"/>
      <c r="J1657" s="28"/>
      <c r="K1657" s="28"/>
      <c r="L1657" s="28"/>
      <c r="M1657" s="28"/>
      <c r="N1657" s="28"/>
      <c r="O1657" s="28"/>
      <c r="P1657" s="28"/>
      <c r="Q1657" s="28"/>
      <c r="R1657" s="28"/>
      <c r="S1657" s="28"/>
      <c r="T1657" s="28"/>
      <c r="U1657" s="28"/>
      <c r="V1657" s="28"/>
      <c r="W1657" s="28"/>
      <c r="X1657" s="28"/>
      <c r="Y1657" s="28"/>
      <c r="Z1657" s="28"/>
      <c r="AA1657" s="28"/>
      <c r="AB1657" s="28"/>
      <c r="AC1657" s="28"/>
      <c r="AD1657" s="28"/>
      <c r="AE1657" s="28"/>
      <c r="AF1657" s="28"/>
      <c r="AG1657" s="28"/>
      <c r="AH1657" s="28"/>
      <c r="AI1657" s="28"/>
      <c r="AJ1657" s="28"/>
      <c r="AK1657" s="28"/>
      <c r="AL1657" s="28"/>
      <c r="AM1657" s="28"/>
      <c r="AN1657" s="28"/>
      <c r="AO1657" s="28"/>
      <c r="AP1657" s="28"/>
      <c r="AQ1657" s="28"/>
      <c r="AR1657" s="28"/>
      <c r="AS1657" s="28"/>
      <c r="AT1657" s="28"/>
      <c r="AU1657" s="28"/>
      <c r="AV1657" s="28"/>
      <c r="AW1657" s="28"/>
      <c r="AX1657" s="28"/>
      <c r="AY1657" s="28"/>
      <c r="AZ1657" s="28"/>
      <c r="BA1657" s="28"/>
      <c r="BB1657" s="28"/>
    </row>
    <row r="1658" spans="1:54" ht="12.75" x14ac:dyDescent="0.2">
      <c r="A1658" s="28"/>
      <c r="B1658" s="28"/>
      <c r="C1658" s="28"/>
      <c r="D1658" s="28"/>
      <c r="E1658" s="28"/>
      <c r="F1658" s="28"/>
      <c r="G1658" s="28"/>
      <c r="H1658" s="28"/>
      <c r="I1658" s="28"/>
      <c r="J1658" s="28"/>
      <c r="K1658" s="28"/>
      <c r="L1658" s="28"/>
      <c r="M1658" s="28"/>
      <c r="N1658" s="28"/>
      <c r="O1658" s="28"/>
      <c r="P1658" s="28"/>
      <c r="Q1658" s="28"/>
      <c r="R1658" s="28"/>
      <c r="S1658" s="28"/>
      <c r="T1658" s="28"/>
      <c r="U1658" s="28"/>
      <c r="V1658" s="28"/>
      <c r="W1658" s="28"/>
      <c r="X1658" s="28"/>
      <c r="Y1658" s="28"/>
      <c r="Z1658" s="28"/>
      <c r="AA1658" s="28"/>
      <c r="AB1658" s="28"/>
      <c r="AC1658" s="28"/>
      <c r="AD1658" s="28"/>
      <c r="AE1658" s="28"/>
      <c r="AF1658" s="28"/>
      <c r="AG1658" s="28"/>
      <c r="AH1658" s="28"/>
      <c r="AI1658" s="28"/>
      <c r="AJ1658" s="28"/>
      <c r="AK1658" s="28"/>
      <c r="AL1658" s="28"/>
      <c r="AM1658" s="28"/>
      <c r="AN1658" s="28"/>
      <c r="AO1658" s="28"/>
      <c r="AP1658" s="28"/>
      <c r="AQ1658" s="28"/>
      <c r="AR1658" s="28"/>
      <c r="AS1658" s="28"/>
      <c r="AT1658" s="28"/>
      <c r="AU1658" s="28"/>
      <c r="AV1658" s="28"/>
      <c r="AW1658" s="28"/>
      <c r="AX1658" s="28"/>
      <c r="AY1658" s="28"/>
      <c r="AZ1658" s="28"/>
      <c r="BA1658" s="28"/>
      <c r="BB1658" s="28"/>
    </row>
    <row r="1659" spans="1:54" ht="12.75" x14ac:dyDescent="0.2">
      <c r="A1659" s="28"/>
      <c r="B1659" s="28"/>
      <c r="C1659" s="28"/>
      <c r="D1659" s="28"/>
      <c r="E1659" s="28"/>
      <c r="F1659" s="28"/>
      <c r="G1659" s="28"/>
      <c r="H1659" s="28"/>
      <c r="I1659" s="28"/>
      <c r="J1659" s="28"/>
      <c r="K1659" s="28"/>
      <c r="L1659" s="28"/>
      <c r="M1659" s="28"/>
      <c r="N1659" s="28"/>
      <c r="O1659" s="28"/>
      <c r="P1659" s="28"/>
      <c r="Q1659" s="28"/>
      <c r="R1659" s="28"/>
      <c r="S1659" s="28"/>
      <c r="T1659" s="28"/>
      <c r="U1659" s="28"/>
      <c r="V1659" s="28"/>
      <c r="W1659" s="28"/>
      <c r="X1659" s="28"/>
      <c r="Y1659" s="28"/>
      <c r="Z1659" s="28"/>
      <c r="AA1659" s="28"/>
      <c r="AB1659" s="28"/>
      <c r="AC1659" s="28"/>
      <c r="AD1659" s="28"/>
      <c r="AE1659" s="28"/>
      <c r="AF1659" s="28"/>
      <c r="AG1659" s="28"/>
      <c r="AH1659" s="28"/>
      <c r="AI1659" s="28"/>
      <c r="AJ1659" s="28"/>
      <c r="AK1659" s="28"/>
      <c r="AL1659" s="28"/>
      <c r="AM1659" s="28"/>
      <c r="AN1659" s="28"/>
      <c r="AO1659" s="28"/>
      <c r="AP1659" s="28"/>
      <c r="AQ1659" s="28"/>
      <c r="AR1659" s="28"/>
      <c r="AS1659" s="28"/>
      <c r="AT1659" s="28"/>
      <c r="AU1659" s="28"/>
      <c r="AV1659" s="28"/>
      <c r="AW1659" s="28"/>
      <c r="AX1659" s="28"/>
      <c r="AY1659" s="28"/>
      <c r="AZ1659" s="28"/>
      <c r="BA1659" s="28"/>
      <c r="BB1659" s="28"/>
    </row>
    <row r="1660" spans="1:54" ht="12.75" x14ac:dyDescent="0.2">
      <c r="A1660" s="28"/>
      <c r="B1660" s="28"/>
      <c r="C1660" s="28"/>
      <c r="D1660" s="28"/>
      <c r="E1660" s="28"/>
      <c r="F1660" s="28"/>
      <c r="G1660" s="28"/>
      <c r="H1660" s="28"/>
      <c r="I1660" s="28"/>
      <c r="J1660" s="28"/>
      <c r="K1660" s="28"/>
      <c r="L1660" s="28"/>
      <c r="M1660" s="28"/>
      <c r="N1660" s="28"/>
      <c r="O1660" s="28"/>
      <c r="P1660" s="28"/>
      <c r="Q1660" s="28"/>
      <c r="R1660" s="28"/>
      <c r="S1660" s="28"/>
      <c r="T1660" s="28"/>
      <c r="U1660" s="28"/>
      <c r="V1660" s="28"/>
      <c r="W1660" s="28"/>
      <c r="X1660" s="28"/>
      <c r="Y1660" s="28"/>
      <c r="Z1660" s="28"/>
      <c r="AA1660" s="28"/>
      <c r="AB1660" s="28"/>
      <c r="AC1660" s="28"/>
      <c r="AD1660" s="28"/>
      <c r="AE1660" s="28"/>
      <c r="AF1660" s="28"/>
      <c r="AG1660" s="28"/>
      <c r="AH1660" s="28"/>
      <c r="AI1660" s="28"/>
      <c r="AJ1660" s="28"/>
      <c r="AK1660" s="28"/>
      <c r="AL1660" s="28"/>
      <c r="AM1660" s="28"/>
      <c r="AN1660" s="28"/>
      <c r="AO1660" s="28"/>
      <c r="AP1660" s="28"/>
      <c r="AQ1660" s="28"/>
      <c r="AR1660" s="28"/>
      <c r="AS1660" s="28"/>
      <c r="AT1660" s="28"/>
      <c r="AU1660" s="28"/>
      <c r="AV1660" s="28"/>
      <c r="AW1660" s="28"/>
      <c r="AX1660" s="28"/>
      <c r="AY1660" s="28"/>
      <c r="AZ1660" s="28"/>
      <c r="BA1660" s="28"/>
      <c r="BB1660" s="28"/>
    </row>
    <row r="1661" spans="1:54" ht="12.75" x14ac:dyDescent="0.2">
      <c r="A1661" s="28"/>
      <c r="B1661" s="28"/>
      <c r="C1661" s="28"/>
      <c r="D1661" s="28"/>
      <c r="E1661" s="28"/>
      <c r="F1661" s="28"/>
      <c r="G1661" s="28"/>
      <c r="H1661" s="28"/>
      <c r="I1661" s="28"/>
      <c r="J1661" s="28"/>
      <c r="K1661" s="28"/>
      <c r="L1661" s="28"/>
      <c r="M1661" s="28"/>
      <c r="N1661" s="28"/>
      <c r="O1661" s="28"/>
      <c r="P1661" s="28"/>
      <c r="Q1661" s="28"/>
      <c r="R1661" s="28"/>
      <c r="S1661" s="28"/>
      <c r="T1661" s="28"/>
      <c r="U1661" s="28"/>
      <c r="V1661" s="28"/>
      <c r="W1661" s="28"/>
      <c r="X1661" s="28"/>
      <c r="Y1661" s="28"/>
      <c r="Z1661" s="28"/>
      <c r="AA1661" s="28"/>
      <c r="AB1661" s="28"/>
      <c r="AC1661" s="28"/>
      <c r="AD1661" s="28"/>
      <c r="AE1661" s="28"/>
      <c r="AF1661" s="28"/>
      <c r="AG1661" s="28"/>
      <c r="AH1661" s="28"/>
      <c r="AI1661" s="28"/>
      <c r="AJ1661" s="28"/>
      <c r="AK1661" s="28"/>
      <c r="AL1661" s="28"/>
      <c r="AM1661" s="28"/>
      <c r="AN1661" s="28"/>
      <c r="AO1661" s="28"/>
      <c r="AP1661" s="28"/>
      <c r="AQ1661" s="28"/>
      <c r="AR1661" s="28"/>
      <c r="AS1661" s="28"/>
      <c r="AT1661" s="28"/>
      <c r="AU1661" s="28"/>
      <c r="AV1661" s="28"/>
      <c r="AW1661" s="28"/>
      <c r="AX1661" s="28"/>
      <c r="AY1661" s="28"/>
      <c r="AZ1661" s="28"/>
      <c r="BA1661" s="28"/>
      <c r="BB1661" s="28"/>
    </row>
    <row r="1662" spans="1:54" ht="12.75" x14ac:dyDescent="0.2">
      <c r="A1662" s="28"/>
      <c r="B1662" s="28"/>
      <c r="C1662" s="28"/>
      <c r="D1662" s="28"/>
      <c r="E1662" s="28"/>
      <c r="F1662" s="28"/>
      <c r="G1662" s="28"/>
      <c r="H1662" s="28"/>
      <c r="I1662" s="28"/>
      <c r="J1662" s="28"/>
      <c r="K1662" s="28"/>
      <c r="L1662" s="28"/>
      <c r="M1662" s="28"/>
      <c r="N1662" s="28"/>
      <c r="O1662" s="28"/>
      <c r="P1662" s="28"/>
      <c r="Q1662" s="28"/>
      <c r="R1662" s="28"/>
      <c r="S1662" s="28"/>
      <c r="T1662" s="28"/>
      <c r="U1662" s="28"/>
      <c r="V1662" s="28"/>
      <c r="W1662" s="28"/>
      <c r="X1662" s="28"/>
      <c r="Y1662" s="28"/>
      <c r="Z1662" s="28"/>
      <c r="AA1662" s="28"/>
      <c r="AB1662" s="28"/>
      <c r="AC1662" s="28"/>
      <c r="AD1662" s="28"/>
      <c r="AE1662" s="28"/>
      <c r="AF1662" s="28"/>
      <c r="AG1662" s="28"/>
      <c r="AH1662" s="28"/>
      <c r="AI1662" s="28"/>
      <c r="AJ1662" s="28"/>
      <c r="AK1662" s="28"/>
      <c r="AL1662" s="28"/>
      <c r="AM1662" s="28"/>
      <c r="AN1662" s="28"/>
      <c r="AO1662" s="28"/>
      <c r="AP1662" s="28"/>
      <c r="AQ1662" s="28"/>
      <c r="AR1662" s="28"/>
      <c r="AS1662" s="28"/>
      <c r="AT1662" s="28"/>
      <c r="AU1662" s="28"/>
      <c r="AV1662" s="28"/>
      <c r="AW1662" s="28"/>
      <c r="AX1662" s="28"/>
      <c r="AY1662" s="28"/>
      <c r="AZ1662" s="28"/>
      <c r="BA1662" s="28"/>
      <c r="BB1662" s="28"/>
    </row>
    <row r="1663" spans="1:54" ht="12.75" x14ac:dyDescent="0.2">
      <c r="A1663" s="28"/>
      <c r="B1663" s="28"/>
      <c r="C1663" s="28"/>
      <c r="D1663" s="28"/>
      <c r="E1663" s="28"/>
      <c r="F1663" s="28"/>
      <c r="G1663" s="28"/>
      <c r="H1663" s="28"/>
      <c r="I1663" s="28"/>
      <c r="J1663" s="28"/>
      <c r="K1663" s="28"/>
      <c r="L1663" s="28"/>
      <c r="M1663" s="28"/>
      <c r="N1663" s="28"/>
      <c r="O1663" s="28"/>
      <c r="P1663" s="28"/>
      <c r="Q1663" s="28"/>
      <c r="R1663" s="28"/>
      <c r="S1663" s="28"/>
      <c r="T1663" s="28"/>
      <c r="U1663" s="28"/>
      <c r="V1663" s="28"/>
      <c r="W1663" s="28"/>
      <c r="X1663" s="28"/>
      <c r="Y1663" s="28"/>
      <c r="Z1663" s="28"/>
      <c r="AA1663" s="28"/>
      <c r="AB1663" s="28"/>
      <c r="AC1663" s="28"/>
      <c r="AD1663" s="28"/>
      <c r="AE1663" s="28"/>
      <c r="AF1663" s="28"/>
      <c r="AG1663" s="28"/>
      <c r="AH1663" s="28"/>
      <c r="AI1663" s="28"/>
      <c r="AJ1663" s="28"/>
      <c r="AK1663" s="28"/>
      <c r="AL1663" s="28"/>
      <c r="AM1663" s="28"/>
      <c r="AN1663" s="28"/>
      <c r="AO1663" s="28"/>
      <c r="AP1663" s="28"/>
      <c r="AQ1663" s="28"/>
      <c r="AR1663" s="28"/>
      <c r="AS1663" s="28"/>
      <c r="AT1663" s="28"/>
      <c r="AU1663" s="28"/>
      <c r="AV1663" s="28"/>
      <c r="AW1663" s="28"/>
      <c r="AX1663" s="28"/>
      <c r="AY1663" s="28"/>
      <c r="AZ1663" s="28"/>
      <c r="BA1663" s="28"/>
      <c r="BB1663" s="28"/>
    </row>
    <row r="1664" spans="1:54" ht="12.75" x14ac:dyDescent="0.2">
      <c r="A1664" s="28"/>
      <c r="B1664" s="28"/>
      <c r="C1664" s="28"/>
      <c r="D1664" s="28"/>
      <c r="E1664" s="28"/>
      <c r="F1664" s="28"/>
      <c r="G1664" s="28"/>
      <c r="H1664" s="28"/>
      <c r="I1664" s="28"/>
      <c r="J1664" s="28"/>
      <c r="K1664" s="28"/>
      <c r="L1664" s="28"/>
      <c r="M1664" s="28"/>
      <c r="N1664" s="28"/>
      <c r="O1664" s="28"/>
      <c r="P1664" s="28"/>
      <c r="Q1664" s="28"/>
      <c r="R1664" s="28"/>
      <c r="S1664" s="28"/>
      <c r="T1664" s="28"/>
      <c r="U1664" s="28"/>
      <c r="V1664" s="28"/>
      <c r="W1664" s="28"/>
      <c r="X1664" s="28"/>
      <c r="Y1664" s="28"/>
      <c r="Z1664" s="28"/>
      <c r="AA1664" s="28"/>
      <c r="AB1664" s="28"/>
      <c r="AC1664" s="28"/>
      <c r="AD1664" s="28"/>
      <c r="AE1664" s="28"/>
      <c r="AF1664" s="28"/>
      <c r="AG1664" s="28"/>
      <c r="AH1664" s="28"/>
      <c r="AI1664" s="28"/>
      <c r="AJ1664" s="28"/>
      <c r="AK1664" s="28"/>
      <c r="AL1664" s="28"/>
      <c r="AM1664" s="28"/>
      <c r="AN1664" s="28"/>
      <c r="AO1664" s="28"/>
      <c r="AP1664" s="28"/>
      <c r="AQ1664" s="28"/>
      <c r="AR1664" s="28"/>
      <c r="AS1664" s="28"/>
      <c r="AT1664" s="28"/>
      <c r="AU1664" s="28"/>
      <c r="AV1664" s="28"/>
      <c r="AW1664" s="28"/>
      <c r="AX1664" s="28"/>
      <c r="AY1664" s="28"/>
      <c r="AZ1664" s="28"/>
      <c r="BA1664" s="28"/>
      <c r="BB1664" s="28"/>
    </row>
    <row r="1665" spans="1:54" ht="12.75" x14ac:dyDescent="0.2">
      <c r="A1665" s="28"/>
      <c r="B1665" s="28"/>
      <c r="C1665" s="28"/>
      <c r="D1665" s="28"/>
      <c r="E1665" s="28"/>
      <c r="F1665" s="28"/>
      <c r="G1665" s="28"/>
      <c r="H1665" s="28"/>
      <c r="I1665" s="28"/>
      <c r="J1665" s="28"/>
      <c r="K1665" s="28"/>
      <c r="L1665" s="28"/>
      <c r="M1665" s="28"/>
      <c r="N1665" s="28"/>
      <c r="O1665" s="28"/>
      <c r="P1665" s="28"/>
      <c r="Q1665" s="28"/>
      <c r="R1665" s="28"/>
      <c r="S1665" s="28"/>
      <c r="T1665" s="28"/>
      <c r="U1665" s="28"/>
      <c r="V1665" s="28"/>
      <c r="W1665" s="28"/>
      <c r="X1665" s="28"/>
      <c r="Y1665" s="28"/>
      <c r="Z1665" s="28"/>
      <c r="AA1665" s="28"/>
      <c r="AB1665" s="28"/>
      <c r="AC1665" s="28"/>
      <c r="AD1665" s="28"/>
      <c r="AE1665" s="28"/>
      <c r="AF1665" s="28"/>
      <c r="AG1665" s="28"/>
      <c r="AH1665" s="28"/>
      <c r="AI1665" s="28"/>
      <c r="AJ1665" s="28"/>
      <c r="AK1665" s="28"/>
      <c r="AL1665" s="28"/>
      <c r="AM1665" s="28"/>
      <c r="AN1665" s="28"/>
      <c r="AO1665" s="28"/>
      <c r="AP1665" s="28"/>
      <c r="AQ1665" s="28"/>
      <c r="AR1665" s="28"/>
      <c r="AS1665" s="28"/>
      <c r="AT1665" s="28"/>
      <c r="AU1665" s="28"/>
      <c r="AV1665" s="28"/>
      <c r="AW1665" s="28"/>
      <c r="AX1665" s="28"/>
      <c r="AY1665" s="28"/>
      <c r="AZ1665" s="28"/>
      <c r="BA1665" s="28"/>
      <c r="BB1665" s="28"/>
    </row>
    <row r="1666" spans="1:54" ht="12.75" x14ac:dyDescent="0.2">
      <c r="A1666" s="28"/>
      <c r="B1666" s="28"/>
      <c r="C1666" s="28"/>
      <c r="D1666" s="28"/>
      <c r="E1666" s="28"/>
      <c r="F1666" s="28"/>
      <c r="G1666" s="28"/>
      <c r="H1666" s="28"/>
      <c r="I1666" s="28"/>
      <c r="J1666" s="28"/>
      <c r="K1666" s="28"/>
      <c r="L1666" s="28"/>
      <c r="M1666" s="28"/>
      <c r="N1666" s="28"/>
      <c r="O1666" s="28"/>
      <c r="P1666" s="28"/>
      <c r="Q1666" s="28"/>
      <c r="R1666" s="28"/>
      <c r="S1666" s="28"/>
      <c r="T1666" s="28"/>
      <c r="U1666" s="28"/>
      <c r="V1666" s="28"/>
      <c r="W1666" s="28"/>
      <c r="X1666" s="28"/>
      <c r="Y1666" s="28"/>
      <c r="Z1666" s="28"/>
      <c r="AA1666" s="28"/>
      <c r="AB1666" s="28"/>
      <c r="AC1666" s="28"/>
      <c r="AD1666" s="28"/>
      <c r="AE1666" s="28"/>
      <c r="AF1666" s="28"/>
      <c r="AG1666" s="28"/>
      <c r="AH1666" s="28"/>
      <c r="AI1666" s="28"/>
      <c r="AJ1666" s="28"/>
      <c r="AK1666" s="28"/>
      <c r="AL1666" s="28"/>
      <c r="AM1666" s="28"/>
      <c r="AN1666" s="28"/>
      <c r="AO1666" s="28"/>
      <c r="AP1666" s="28"/>
      <c r="AQ1666" s="28"/>
      <c r="AR1666" s="28"/>
      <c r="AS1666" s="28"/>
      <c r="AT1666" s="28"/>
      <c r="AU1666" s="28"/>
      <c r="AV1666" s="28"/>
      <c r="AW1666" s="28"/>
      <c r="AX1666" s="28"/>
      <c r="AY1666" s="28"/>
      <c r="AZ1666" s="28"/>
      <c r="BA1666" s="28"/>
      <c r="BB1666" s="28"/>
    </row>
    <row r="1667" spans="1:54" ht="12.75" x14ac:dyDescent="0.2">
      <c r="A1667" s="28"/>
      <c r="B1667" s="28"/>
      <c r="C1667" s="28"/>
      <c r="D1667" s="28"/>
      <c r="E1667" s="28"/>
      <c r="F1667" s="28"/>
      <c r="G1667" s="28"/>
      <c r="H1667" s="28"/>
      <c r="I1667" s="28"/>
      <c r="J1667" s="28"/>
      <c r="K1667" s="28"/>
      <c r="L1667" s="28"/>
      <c r="M1667" s="28"/>
      <c r="N1667" s="28"/>
      <c r="O1667" s="28"/>
      <c r="P1667" s="28"/>
      <c r="Q1667" s="28"/>
      <c r="R1667" s="28"/>
      <c r="S1667" s="28"/>
      <c r="T1667" s="28"/>
      <c r="U1667" s="28"/>
      <c r="V1667" s="28"/>
      <c r="W1667" s="28"/>
      <c r="X1667" s="28"/>
      <c r="Y1667" s="28"/>
      <c r="Z1667" s="28"/>
      <c r="AA1667" s="28"/>
      <c r="AB1667" s="28"/>
      <c r="AC1667" s="28"/>
      <c r="AD1667" s="28"/>
      <c r="AE1667" s="28"/>
      <c r="AF1667" s="28"/>
      <c r="AG1667" s="28"/>
      <c r="AH1667" s="28"/>
      <c r="AI1667" s="28"/>
      <c r="AJ1667" s="28"/>
      <c r="AK1667" s="28"/>
      <c r="AL1667" s="28"/>
      <c r="AM1667" s="28"/>
      <c r="AN1667" s="28"/>
      <c r="AO1667" s="28"/>
      <c r="AP1667" s="28"/>
      <c r="AQ1667" s="28"/>
      <c r="AR1667" s="28"/>
      <c r="AS1667" s="28"/>
      <c r="AT1667" s="28"/>
      <c r="AU1667" s="28"/>
      <c r="AV1667" s="28"/>
      <c r="AW1667" s="28"/>
      <c r="AX1667" s="28"/>
      <c r="AY1667" s="28"/>
      <c r="AZ1667" s="28"/>
      <c r="BA1667" s="28"/>
      <c r="BB1667" s="28"/>
    </row>
    <row r="1668" spans="1:54" ht="12.75" x14ac:dyDescent="0.2">
      <c r="A1668" s="28"/>
      <c r="B1668" s="28"/>
      <c r="C1668" s="28"/>
      <c r="D1668" s="28"/>
      <c r="E1668" s="28"/>
      <c r="F1668" s="28"/>
      <c r="G1668" s="28"/>
      <c r="H1668" s="28"/>
      <c r="I1668" s="28"/>
      <c r="J1668" s="28"/>
      <c r="K1668" s="28"/>
      <c r="L1668" s="28"/>
      <c r="M1668" s="28"/>
      <c r="N1668" s="28"/>
      <c r="O1668" s="28"/>
      <c r="P1668" s="28"/>
      <c r="Q1668" s="28"/>
      <c r="R1668" s="28"/>
      <c r="S1668" s="28"/>
      <c r="T1668" s="28"/>
      <c r="U1668" s="28"/>
      <c r="V1668" s="28"/>
      <c r="W1668" s="28"/>
      <c r="X1668" s="28"/>
      <c r="Y1668" s="28"/>
      <c r="Z1668" s="28"/>
      <c r="AA1668" s="28"/>
      <c r="AB1668" s="28"/>
      <c r="AC1668" s="28"/>
      <c r="AD1668" s="28"/>
      <c r="AE1668" s="28"/>
      <c r="AF1668" s="28"/>
      <c r="AG1668" s="28"/>
      <c r="AH1668" s="28"/>
      <c r="AI1668" s="28"/>
      <c r="AJ1668" s="28"/>
      <c r="AK1668" s="28"/>
      <c r="AL1668" s="28"/>
      <c r="AM1668" s="28"/>
      <c r="AN1668" s="28"/>
      <c r="AO1668" s="28"/>
      <c r="AP1668" s="28"/>
      <c r="AQ1668" s="28"/>
      <c r="AR1668" s="28"/>
      <c r="AS1668" s="28"/>
      <c r="AT1668" s="28"/>
      <c r="AU1668" s="28"/>
      <c r="AV1668" s="28"/>
      <c r="AW1668" s="28"/>
      <c r="AX1668" s="28"/>
      <c r="AY1668" s="28"/>
      <c r="AZ1668" s="28"/>
      <c r="BA1668" s="28"/>
      <c r="BB1668" s="28"/>
    </row>
    <row r="1669" spans="1:54" ht="12.75" x14ac:dyDescent="0.2">
      <c r="A1669" s="28"/>
      <c r="B1669" s="28"/>
      <c r="C1669" s="28"/>
      <c r="D1669" s="28"/>
      <c r="E1669" s="28"/>
      <c r="F1669" s="28"/>
      <c r="G1669" s="28"/>
      <c r="H1669" s="28"/>
      <c r="I1669" s="28"/>
      <c r="J1669" s="28"/>
      <c r="K1669" s="28"/>
      <c r="L1669" s="28"/>
      <c r="M1669" s="28"/>
      <c r="N1669" s="28"/>
      <c r="O1669" s="28"/>
      <c r="P1669" s="28"/>
      <c r="Q1669" s="28"/>
      <c r="R1669" s="28"/>
      <c r="S1669" s="28"/>
      <c r="T1669" s="28"/>
      <c r="U1669" s="28"/>
      <c r="V1669" s="28"/>
      <c r="W1669" s="28"/>
      <c r="X1669" s="28"/>
      <c r="Y1669" s="28"/>
      <c r="Z1669" s="28"/>
      <c r="AA1669" s="28"/>
      <c r="AB1669" s="28"/>
      <c r="AC1669" s="28"/>
      <c r="AD1669" s="28"/>
      <c r="AE1669" s="28"/>
      <c r="AF1669" s="28"/>
      <c r="AG1669" s="28"/>
      <c r="AH1669" s="28"/>
      <c r="AI1669" s="28"/>
      <c r="AJ1669" s="28"/>
      <c r="AK1669" s="28"/>
      <c r="AL1669" s="28"/>
      <c r="AM1669" s="28"/>
      <c r="AN1669" s="28"/>
      <c r="AO1669" s="28"/>
      <c r="AP1669" s="28"/>
      <c r="AQ1669" s="28"/>
      <c r="AR1669" s="28"/>
      <c r="AS1669" s="28"/>
      <c r="AT1669" s="28"/>
      <c r="AU1669" s="28"/>
      <c r="AV1669" s="28"/>
      <c r="AW1669" s="28"/>
      <c r="AX1669" s="28"/>
      <c r="AY1669" s="28"/>
      <c r="AZ1669" s="28"/>
      <c r="BA1669" s="28"/>
      <c r="BB1669" s="28"/>
    </row>
    <row r="1670" spans="1:54" ht="12.75" x14ac:dyDescent="0.2">
      <c r="A1670" s="28"/>
      <c r="B1670" s="28"/>
      <c r="C1670" s="28"/>
      <c r="D1670" s="28"/>
      <c r="E1670" s="28"/>
      <c r="F1670" s="28"/>
      <c r="G1670" s="28"/>
      <c r="H1670" s="28"/>
      <c r="I1670" s="28"/>
      <c r="J1670" s="28"/>
      <c r="K1670" s="28"/>
      <c r="L1670" s="28"/>
      <c r="M1670" s="28"/>
      <c r="N1670" s="28"/>
      <c r="O1670" s="28"/>
      <c r="P1670" s="28"/>
      <c r="Q1670" s="28"/>
      <c r="R1670" s="28"/>
      <c r="S1670" s="28"/>
      <c r="T1670" s="28"/>
      <c r="U1670" s="28"/>
      <c r="V1670" s="28"/>
      <c r="W1670" s="28"/>
      <c r="X1670" s="28"/>
      <c r="Y1670" s="28"/>
      <c r="Z1670" s="28"/>
      <c r="AA1670" s="28"/>
      <c r="AB1670" s="28"/>
      <c r="AC1670" s="28"/>
      <c r="AD1670" s="28"/>
      <c r="AE1670" s="28"/>
      <c r="AF1670" s="28"/>
      <c r="AG1670" s="28"/>
      <c r="AH1670" s="28"/>
      <c r="AI1670" s="28"/>
      <c r="AJ1670" s="28"/>
      <c r="AK1670" s="28"/>
      <c r="AL1670" s="28"/>
      <c r="AM1670" s="28"/>
      <c r="AN1670" s="28"/>
      <c r="AO1670" s="28"/>
      <c r="AP1670" s="28"/>
      <c r="AQ1670" s="28"/>
      <c r="AR1670" s="28"/>
      <c r="AS1670" s="28"/>
      <c r="AT1670" s="28"/>
      <c r="AU1670" s="28"/>
      <c r="AV1670" s="28"/>
      <c r="AW1670" s="28"/>
      <c r="AX1670" s="28"/>
      <c r="AY1670" s="28"/>
      <c r="AZ1670" s="28"/>
      <c r="BA1670" s="28"/>
      <c r="BB1670" s="28"/>
    </row>
    <row r="1671" spans="1:54" ht="12.75" x14ac:dyDescent="0.2">
      <c r="A1671" s="28"/>
      <c r="B1671" s="28"/>
      <c r="C1671" s="28"/>
      <c r="D1671" s="28"/>
      <c r="E1671" s="28"/>
      <c r="F1671" s="28"/>
      <c r="G1671" s="28"/>
      <c r="H1671" s="28"/>
      <c r="I1671" s="28"/>
      <c r="J1671" s="28"/>
      <c r="K1671" s="28"/>
      <c r="L1671" s="28"/>
      <c r="M1671" s="28"/>
      <c r="N1671" s="28"/>
      <c r="O1671" s="28"/>
      <c r="P1671" s="28"/>
      <c r="Q1671" s="28"/>
      <c r="R1671" s="28"/>
      <c r="S1671" s="28"/>
      <c r="T1671" s="28"/>
      <c r="U1671" s="28"/>
      <c r="V1671" s="28"/>
      <c r="W1671" s="28"/>
      <c r="X1671" s="28"/>
      <c r="Y1671" s="28"/>
      <c r="Z1671" s="28"/>
      <c r="AA1671" s="28"/>
      <c r="AB1671" s="28"/>
      <c r="AC1671" s="28"/>
      <c r="AD1671" s="28"/>
      <c r="AE1671" s="28"/>
      <c r="AF1671" s="28"/>
      <c r="AG1671" s="28"/>
      <c r="AH1671" s="28"/>
      <c r="AI1671" s="28"/>
      <c r="AJ1671" s="28"/>
      <c r="AK1671" s="28"/>
      <c r="AL1671" s="28"/>
      <c r="AM1671" s="28"/>
      <c r="AN1671" s="28"/>
      <c r="AO1671" s="28"/>
      <c r="AP1671" s="28"/>
      <c r="AQ1671" s="28"/>
      <c r="AR1671" s="28"/>
      <c r="AS1671" s="28"/>
      <c r="AT1671" s="28"/>
      <c r="AU1671" s="28"/>
      <c r="AV1671" s="28"/>
      <c r="AW1671" s="28"/>
      <c r="AX1671" s="28"/>
      <c r="AY1671" s="28"/>
      <c r="AZ1671" s="28"/>
      <c r="BA1671" s="28"/>
      <c r="BB1671" s="28"/>
    </row>
    <row r="1672" spans="1:54" ht="12.75" x14ac:dyDescent="0.2">
      <c r="A1672" s="28"/>
      <c r="B1672" s="28"/>
      <c r="C1672" s="28"/>
      <c r="D1672" s="28"/>
      <c r="E1672" s="28"/>
      <c r="F1672" s="28"/>
      <c r="G1672" s="28"/>
      <c r="H1672" s="28"/>
      <c r="I1672" s="28"/>
      <c r="J1672" s="28"/>
      <c r="K1672" s="28"/>
      <c r="L1672" s="28"/>
      <c r="M1672" s="28"/>
      <c r="N1672" s="28"/>
      <c r="O1672" s="28"/>
      <c r="P1672" s="28"/>
      <c r="Q1672" s="28"/>
      <c r="R1672" s="28"/>
      <c r="S1672" s="28"/>
      <c r="T1672" s="28"/>
      <c r="U1672" s="28"/>
      <c r="V1672" s="28"/>
      <c r="W1672" s="28"/>
      <c r="X1672" s="28"/>
      <c r="Y1672" s="28"/>
      <c r="Z1672" s="28"/>
      <c r="AA1672" s="28"/>
      <c r="AB1672" s="28"/>
      <c r="AC1672" s="28"/>
      <c r="AD1672" s="28"/>
      <c r="AE1672" s="28"/>
      <c r="AF1672" s="28"/>
      <c r="AG1672" s="28"/>
      <c r="AH1672" s="28"/>
      <c r="AI1672" s="28"/>
      <c r="AJ1672" s="28"/>
      <c r="AK1672" s="28"/>
      <c r="AL1672" s="28"/>
      <c r="AM1672" s="28"/>
      <c r="AN1672" s="28"/>
      <c r="AO1672" s="28"/>
      <c r="AP1672" s="28"/>
      <c r="AQ1672" s="28"/>
      <c r="AR1672" s="28"/>
      <c r="AS1672" s="28"/>
      <c r="AT1672" s="28"/>
      <c r="AU1672" s="28"/>
      <c r="AV1672" s="28"/>
      <c r="AW1672" s="28"/>
      <c r="AX1672" s="28"/>
      <c r="AY1672" s="28"/>
      <c r="AZ1672" s="28"/>
      <c r="BA1672" s="28"/>
      <c r="BB1672" s="28"/>
    </row>
    <row r="1673" spans="1:54" ht="12.75" x14ac:dyDescent="0.2">
      <c r="A1673" s="28"/>
      <c r="B1673" s="28"/>
      <c r="C1673" s="28"/>
      <c r="D1673" s="28"/>
      <c r="E1673" s="28"/>
      <c r="F1673" s="28"/>
      <c r="G1673" s="28"/>
      <c r="H1673" s="28"/>
      <c r="I1673" s="28"/>
      <c r="J1673" s="28"/>
      <c r="K1673" s="28"/>
      <c r="L1673" s="28"/>
      <c r="M1673" s="28"/>
      <c r="N1673" s="28"/>
      <c r="O1673" s="28"/>
      <c r="P1673" s="28"/>
      <c r="Q1673" s="28"/>
      <c r="R1673" s="28"/>
      <c r="S1673" s="28"/>
      <c r="T1673" s="28"/>
      <c r="U1673" s="28"/>
      <c r="V1673" s="28"/>
      <c r="W1673" s="28"/>
      <c r="X1673" s="28"/>
      <c r="Y1673" s="28"/>
      <c r="Z1673" s="28"/>
      <c r="AA1673" s="28"/>
      <c r="AB1673" s="28"/>
      <c r="AC1673" s="28"/>
      <c r="AD1673" s="28"/>
      <c r="AE1673" s="28"/>
      <c r="AF1673" s="28"/>
      <c r="AG1673" s="28"/>
      <c r="AH1673" s="28"/>
      <c r="AI1673" s="28"/>
      <c r="AJ1673" s="28"/>
      <c r="AK1673" s="28"/>
      <c r="AL1673" s="28"/>
      <c r="AM1673" s="28"/>
      <c r="AN1673" s="28"/>
      <c r="AO1673" s="28"/>
      <c r="AP1673" s="28"/>
      <c r="AQ1673" s="28"/>
      <c r="AR1673" s="28"/>
      <c r="AS1673" s="28"/>
      <c r="AT1673" s="28"/>
      <c r="AU1673" s="28"/>
      <c r="AV1673" s="28"/>
      <c r="AW1673" s="28"/>
      <c r="AX1673" s="28"/>
      <c r="AY1673" s="28"/>
      <c r="AZ1673" s="28"/>
      <c r="BA1673" s="28"/>
      <c r="BB1673" s="28"/>
    </row>
    <row r="1674" spans="1:54" ht="12.75" x14ac:dyDescent="0.2">
      <c r="A1674" s="28"/>
      <c r="B1674" s="28"/>
      <c r="C1674" s="28"/>
      <c r="D1674" s="28"/>
      <c r="E1674" s="28"/>
      <c r="F1674" s="28"/>
      <c r="G1674" s="28"/>
      <c r="H1674" s="28"/>
      <c r="I1674" s="28"/>
      <c r="J1674" s="28"/>
      <c r="K1674" s="28"/>
      <c r="L1674" s="28"/>
      <c r="M1674" s="28"/>
      <c r="N1674" s="28"/>
      <c r="O1674" s="28"/>
      <c r="P1674" s="28"/>
      <c r="Q1674" s="28"/>
      <c r="R1674" s="28"/>
      <c r="S1674" s="28"/>
      <c r="T1674" s="28"/>
      <c r="U1674" s="28"/>
      <c r="V1674" s="28"/>
      <c r="W1674" s="28"/>
      <c r="X1674" s="28"/>
      <c r="Y1674" s="28"/>
      <c r="Z1674" s="28"/>
      <c r="AA1674" s="28"/>
      <c r="AB1674" s="28"/>
      <c r="AC1674" s="28"/>
      <c r="AD1674" s="28"/>
      <c r="AE1674" s="28"/>
      <c r="AF1674" s="28"/>
      <c r="AG1674" s="28"/>
      <c r="AH1674" s="28"/>
      <c r="AI1674" s="28"/>
      <c r="AJ1674" s="28"/>
      <c r="AK1674" s="28"/>
      <c r="AL1674" s="28"/>
      <c r="AM1674" s="28"/>
      <c r="AN1674" s="28"/>
      <c r="AO1674" s="28"/>
      <c r="AP1674" s="28"/>
      <c r="AQ1674" s="28"/>
      <c r="AR1674" s="28"/>
      <c r="AS1674" s="28"/>
      <c r="AT1674" s="28"/>
      <c r="AU1674" s="28"/>
      <c r="AV1674" s="28"/>
      <c r="AW1674" s="28"/>
      <c r="AX1674" s="28"/>
      <c r="AY1674" s="28"/>
      <c r="AZ1674" s="28"/>
      <c r="BA1674" s="28"/>
      <c r="BB1674" s="28"/>
    </row>
    <row r="1675" spans="1:54" ht="12.75" x14ac:dyDescent="0.2">
      <c r="A1675" s="28"/>
      <c r="B1675" s="28"/>
      <c r="C1675" s="28"/>
      <c r="D1675" s="28"/>
      <c r="E1675" s="28"/>
      <c r="F1675" s="28"/>
      <c r="G1675" s="28"/>
      <c r="H1675" s="28"/>
      <c r="I1675" s="28"/>
      <c r="J1675" s="28"/>
      <c r="K1675" s="28"/>
      <c r="L1675" s="28"/>
      <c r="M1675" s="28"/>
      <c r="N1675" s="28"/>
      <c r="O1675" s="28"/>
      <c r="P1675" s="28"/>
      <c r="Q1675" s="28"/>
      <c r="R1675" s="28"/>
      <c r="S1675" s="28"/>
      <c r="T1675" s="28"/>
      <c r="U1675" s="28"/>
      <c r="V1675" s="28"/>
      <c r="W1675" s="28"/>
      <c r="X1675" s="28"/>
      <c r="Y1675" s="28"/>
      <c r="Z1675" s="28"/>
      <c r="AA1675" s="28"/>
      <c r="AB1675" s="28"/>
      <c r="AC1675" s="28"/>
      <c r="AD1675" s="28"/>
      <c r="AE1675" s="28"/>
      <c r="AF1675" s="28"/>
      <c r="AG1675" s="28"/>
      <c r="AH1675" s="28"/>
      <c r="AI1675" s="28"/>
      <c r="AJ1675" s="28"/>
      <c r="AK1675" s="28"/>
      <c r="AL1675" s="28"/>
      <c r="AM1675" s="28"/>
      <c r="AN1675" s="28"/>
      <c r="AO1675" s="28"/>
      <c r="AP1675" s="28"/>
      <c r="AQ1675" s="28"/>
      <c r="AR1675" s="28"/>
      <c r="AS1675" s="28"/>
      <c r="AT1675" s="28"/>
      <c r="AU1675" s="28"/>
      <c r="AV1675" s="28"/>
      <c r="AW1675" s="28"/>
      <c r="AX1675" s="28"/>
      <c r="AY1675" s="28"/>
      <c r="AZ1675" s="28"/>
      <c r="BA1675" s="28"/>
      <c r="BB1675" s="28"/>
    </row>
    <row r="1676" spans="1:54" ht="12.75" x14ac:dyDescent="0.2">
      <c r="A1676" s="28"/>
      <c r="B1676" s="28"/>
      <c r="C1676" s="28"/>
      <c r="D1676" s="28"/>
      <c r="E1676" s="28"/>
      <c r="F1676" s="28"/>
      <c r="G1676" s="28"/>
      <c r="H1676" s="28"/>
      <c r="I1676" s="28"/>
      <c r="J1676" s="28"/>
      <c r="K1676" s="28"/>
      <c r="L1676" s="28"/>
      <c r="M1676" s="28"/>
      <c r="N1676" s="28"/>
      <c r="O1676" s="28"/>
      <c r="P1676" s="28"/>
      <c r="Q1676" s="28"/>
      <c r="R1676" s="28"/>
      <c r="S1676" s="28"/>
      <c r="T1676" s="28"/>
      <c r="U1676" s="28"/>
      <c r="V1676" s="28"/>
      <c r="W1676" s="28"/>
      <c r="X1676" s="28"/>
      <c r="Y1676" s="28"/>
      <c r="Z1676" s="28"/>
      <c r="AA1676" s="28"/>
      <c r="AB1676" s="28"/>
      <c r="AC1676" s="28"/>
      <c r="AD1676" s="28"/>
      <c r="AE1676" s="28"/>
      <c r="AF1676" s="28"/>
      <c r="AG1676" s="28"/>
      <c r="AH1676" s="28"/>
      <c r="AI1676" s="28"/>
      <c r="AJ1676" s="28"/>
      <c r="AK1676" s="28"/>
      <c r="AL1676" s="28"/>
      <c r="AM1676" s="28"/>
      <c r="AN1676" s="28"/>
      <c r="AO1676" s="28"/>
      <c r="AP1676" s="28"/>
      <c r="AQ1676" s="28"/>
      <c r="AR1676" s="28"/>
      <c r="AS1676" s="28"/>
      <c r="AT1676" s="28"/>
      <c r="AU1676" s="28"/>
      <c r="AV1676" s="28"/>
      <c r="AW1676" s="28"/>
      <c r="AX1676" s="28"/>
      <c r="AY1676" s="28"/>
      <c r="AZ1676" s="28"/>
      <c r="BA1676" s="28"/>
      <c r="BB1676" s="28"/>
    </row>
    <row r="1677" spans="1:54" ht="12.75" x14ac:dyDescent="0.2">
      <c r="A1677" s="28"/>
      <c r="B1677" s="28"/>
      <c r="C1677" s="28"/>
      <c r="D1677" s="28"/>
      <c r="E1677" s="28"/>
      <c r="F1677" s="28"/>
      <c r="G1677" s="28"/>
      <c r="H1677" s="28"/>
      <c r="I1677" s="28"/>
      <c r="J1677" s="28"/>
      <c r="K1677" s="28"/>
      <c r="L1677" s="28"/>
      <c r="M1677" s="28"/>
      <c r="N1677" s="28"/>
      <c r="O1677" s="28"/>
      <c r="P1677" s="28"/>
      <c r="Q1677" s="28"/>
      <c r="R1677" s="28"/>
      <c r="S1677" s="28"/>
      <c r="T1677" s="28"/>
      <c r="U1677" s="28"/>
      <c r="V1677" s="28"/>
      <c r="W1677" s="28"/>
      <c r="X1677" s="28"/>
      <c r="Y1677" s="28"/>
      <c r="Z1677" s="28"/>
      <c r="AA1677" s="28"/>
      <c r="AB1677" s="28"/>
      <c r="AC1677" s="28"/>
      <c r="AD1677" s="28"/>
      <c r="AE1677" s="28"/>
      <c r="AF1677" s="28"/>
      <c r="AG1677" s="28"/>
      <c r="AH1677" s="28"/>
      <c r="AI1677" s="28"/>
      <c r="AJ1677" s="28"/>
      <c r="AK1677" s="28"/>
      <c r="AL1677" s="28"/>
      <c r="AM1677" s="28"/>
      <c r="AN1677" s="28"/>
      <c r="AO1677" s="28"/>
      <c r="AP1677" s="28"/>
      <c r="AQ1677" s="28"/>
      <c r="AR1677" s="28"/>
      <c r="AS1677" s="28"/>
      <c r="AT1677" s="28"/>
      <c r="AU1677" s="28"/>
      <c r="AV1677" s="28"/>
      <c r="AW1677" s="28"/>
      <c r="AX1677" s="28"/>
      <c r="AY1677" s="28"/>
      <c r="AZ1677" s="28"/>
      <c r="BA1677" s="28"/>
      <c r="BB1677" s="28"/>
    </row>
    <row r="1678" spans="1:54" ht="12.75" x14ac:dyDescent="0.2">
      <c r="A1678" s="28"/>
      <c r="B1678" s="28"/>
      <c r="C1678" s="28"/>
      <c r="D1678" s="28"/>
      <c r="E1678" s="28"/>
      <c r="F1678" s="28"/>
      <c r="G1678" s="28"/>
      <c r="H1678" s="28"/>
      <c r="I1678" s="28"/>
      <c r="J1678" s="28"/>
      <c r="K1678" s="28"/>
      <c r="L1678" s="28"/>
      <c r="M1678" s="28"/>
      <c r="N1678" s="28"/>
      <c r="O1678" s="28"/>
      <c r="P1678" s="28"/>
      <c r="Q1678" s="28"/>
      <c r="R1678" s="28"/>
      <c r="S1678" s="28"/>
      <c r="T1678" s="28"/>
      <c r="U1678" s="28"/>
      <c r="V1678" s="28"/>
      <c r="W1678" s="28"/>
      <c r="X1678" s="28"/>
      <c r="Y1678" s="28"/>
      <c r="Z1678" s="28"/>
      <c r="AA1678" s="28"/>
      <c r="AB1678" s="28"/>
      <c r="AC1678" s="28"/>
      <c r="AD1678" s="28"/>
      <c r="AE1678" s="28"/>
      <c r="AF1678" s="28"/>
      <c r="AG1678" s="28"/>
      <c r="AH1678" s="28"/>
      <c r="AI1678" s="28"/>
      <c r="AJ1678" s="28"/>
      <c r="AK1678" s="28"/>
      <c r="AL1678" s="28"/>
      <c r="AM1678" s="28"/>
      <c r="AN1678" s="28"/>
      <c r="AO1678" s="28"/>
      <c r="AP1678" s="28"/>
      <c r="AQ1678" s="28"/>
      <c r="AR1678" s="28"/>
      <c r="AS1678" s="28"/>
      <c r="AT1678" s="28"/>
      <c r="AU1678" s="28"/>
      <c r="AV1678" s="28"/>
      <c r="AW1678" s="28"/>
      <c r="AX1678" s="28"/>
      <c r="AY1678" s="28"/>
      <c r="AZ1678" s="28"/>
      <c r="BA1678" s="28"/>
      <c r="BB1678" s="28"/>
    </row>
    <row r="1679" spans="1:54" ht="12.75" x14ac:dyDescent="0.2">
      <c r="A1679" s="28"/>
      <c r="B1679" s="28"/>
      <c r="C1679" s="28"/>
      <c r="D1679" s="28"/>
      <c r="E1679" s="28"/>
      <c r="F1679" s="28"/>
      <c r="G1679" s="28"/>
      <c r="H1679" s="28"/>
      <c r="I1679" s="28"/>
      <c r="J1679" s="28"/>
      <c r="K1679" s="28"/>
      <c r="L1679" s="28"/>
      <c r="M1679" s="28"/>
      <c r="N1679" s="28"/>
      <c r="O1679" s="28"/>
      <c r="P1679" s="28"/>
      <c r="Q1679" s="28"/>
      <c r="R1679" s="28"/>
      <c r="S1679" s="28"/>
      <c r="T1679" s="28"/>
      <c r="U1679" s="28"/>
      <c r="V1679" s="28"/>
      <c r="W1679" s="28"/>
      <c r="X1679" s="28"/>
      <c r="Y1679" s="28"/>
      <c r="Z1679" s="28"/>
      <c r="AA1679" s="28"/>
      <c r="AB1679" s="28"/>
      <c r="AC1679" s="28"/>
      <c r="AD1679" s="28"/>
      <c r="AE1679" s="28"/>
      <c r="AF1679" s="28"/>
      <c r="AG1679" s="28"/>
      <c r="AH1679" s="28"/>
      <c r="AI1679" s="28"/>
      <c r="AJ1679" s="28"/>
      <c r="AK1679" s="28"/>
      <c r="AL1679" s="28"/>
      <c r="AM1679" s="28"/>
      <c r="AN1679" s="28"/>
      <c r="AO1679" s="28"/>
      <c r="AP1679" s="28"/>
      <c r="AQ1679" s="28"/>
      <c r="AR1679" s="28"/>
      <c r="AS1679" s="28"/>
      <c r="AT1679" s="28"/>
      <c r="AU1679" s="28"/>
      <c r="AV1679" s="28"/>
      <c r="AW1679" s="28"/>
      <c r="AX1679" s="28"/>
      <c r="AY1679" s="28"/>
      <c r="AZ1679" s="28"/>
      <c r="BA1679" s="28"/>
      <c r="BB1679" s="28"/>
    </row>
    <row r="1680" spans="1:54" ht="12.75" x14ac:dyDescent="0.2">
      <c r="A1680" s="28"/>
      <c r="B1680" s="28"/>
      <c r="C1680" s="28"/>
      <c r="D1680" s="28"/>
      <c r="E1680" s="28"/>
      <c r="F1680" s="28"/>
      <c r="G1680" s="28"/>
      <c r="H1680" s="28"/>
      <c r="I1680" s="28"/>
      <c r="J1680" s="28"/>
      <c r="K1680" s="28"/>
      <c r="L1680" s="28"/>
      <c r="M1680" s="28"/>
      <c r="N1680" s="28"/>
      <c r="O1680" s="28"/>
      <c r="P1680" s="28"/>
      <c r="Q1680" s="28"/>
      <c r="R1680" s="28"/>
      <c r="S1680" s="28"/>
      <c r="T1680" s="28"/>
      <c r="U1680" s="28"/>
      <c r="V1680" s="28"/>
      <c r="W1680" s="28"/>
      <c r="X1680" s="28"/>
      <c r="Y1680" s="28"/>
      <c r="Z1680" s="28"/>
      <c r="AA1680" s="28"/>
      <c r="AB1680" s="28"/>
      <c r="AC1680" s="28"/>
      <c r="AD1680" s="28"/>
      <c r="AE1680" s="28"/>
      <c r="AF1680" s="28"/>
      <c r="AG1680" s="28"/>
      <c r="AH1680" s="28"/>
      <c r="AI1680" s="28"/>
      <c r="AJ1680" s="28"/>
      <c r="AK1680" s="28"/>
      <c r="AL1680" s="28"/>
      <c r="AM1680" s="28"/>
      <c r="AN1680" s="28"/>
      <c r="AO1680" s="28"/>
      <c r="AP1680" s="28"/>
      <c r="AQ1680" s="28"/>
      <c r="AR1680" s="28"/>
      <c r="AS1680" s="28"/>
      <c r="AT1680" s="28"/>
      <c r="AU1680" s="28"/>
      <c r="AV1680" s="28"/>
      <c r="AW1680" s="28"/>
      <c r="AX1680" s="28"/>
      <c r="AY1680" s="28"/>
      <c r="AZ1680" s="28"/>
      <c r="BA1680" s="28"/>
      <c r="BB1680" s="28"/>
    </row>
    <row r="1681" spans="1:54" ht="12.75" x14ac:dyDescent="0.2">
      <c r="A1681" s="28"/>
      <c r="B1681" s="28"/>
      <c r="C1681" s="28"/>
      <c r="D1681" s="28"/>
      <c r="E1681" s="28"/>
      <c r="F1681" s="28"/>
      <c r="G1681" s="28"/>
      <c r="H1681" s="28"/>
      <c r="I1681" s="28"/>
      <c r="J1681" s="28"/>
      <c r="K1681" s="28"/>
      <c r="L1681" s="28"/>
      <c r="M1681" s="28"/>
      <c r="N1681" s="28"/>
      <c r="O1681" s="28"/>
      <c r="P1681" s="28"/>
      <c r="Q1681" s="28"/>
      <c r="R1681" s="28"/>
      <c r="S1681" s="28"/>
      <c r="T1681" s="28"/>
      <c r="U1681" s="28"/>
      <c r="V1681" s="28"/>
      <c r="W1681" s="28"/>
      <c r="X1681" s="28"/>
      <c r="Y1681" s="28"/>
      <c r="Z1681" s="28"/>
      <c r="AA1681" s="28"/>
      <c r="AB1681" s="28"/>
      <c r="AC1681" s="28"/>
      <c r="AD1681" s="28"/>
      <c r="AE1681" s="28"/>
      <c r="AF1681" s="28"/>
      <c r="AG1681" s="28"/>
      <c r="AH1681" s="28"/>
      <c r="AI1681" s="28"/>
      <c r="AJ1681" s="28"/>
      <c r="AK1681" s="28"/>
      <c r="AL1681" s="28"/>
      <c r="AM1681" s="28"/>
      <c r="AN1681" s="28"/>
      <c r="AO1681" s="28"/>
      <c r="AP1681" s="28"/>
      <c r="AQ1681" s="28"/>
      <c r="AR1681" s="28"/>
      <c r="AS1681" s="28"/>
      <c r="AT1681" s="28"/>
      <c r="AU1681" s="28"/>
      <c r="AV1681" s="28"/>
      <c r="AW1681" s="28"/>
      <c r="AX1681" s="28"/>
      <c r="AY1681" s="28"/>
      <c r="AZ1681" s="28"/>
      <c r="BA1681" s="28"/>
      <c r="BB1681" s="28"/>
    </row>
    <row r="1682" spans="1:54" ht="12.75" x14ac:dyDescent="0.2">
      <c r="A1682" s="28"/>
      <c r="B1682" s="28"/>
      <c r="C1682" s="28"/>
      <c r="D1682" s="28"/>
      <c r="E1682" s="28"/>
      <c r="F1682" s="28"/>
      <c r="G1682" s="28"/>
      <c r="H1682" s="28"/>
      <c r="I1682" s="28"/>
      <c r="J1682" s="28"/>
      <c r="K1682" s="28"/>
      <c r="L1682" s="28"/>
      <c r="M1682" s="28"/>
      <c r="N1682" s="28"/>
      <c r="O1682" s="28"/>
      <c r="P1682" s="28"/>
      <c r="Q1682" s="28"/>
      <c r="R1682" s="28"/>
      <c r="S1682" s="28"/>
      <c r="T1682" s="28"/>
      <c r="U1682" s="28"/>
      <c r="V1682" s="28"/>
      <c r="W1682" s="28"/>
      <c r="X1682" s="28"/>
      <c r="Y1682" s="28"/>
      <c r="Z1682" s="28"/>
      <c r="AA1682" s="28"/>
      <c r="AB1682" s="28"/>
      <c r="AC1682" s="28"/>
      <c r="AD1682" s="28"/>
      <c r="AE1682" s="28"/>
      <c r="AF1682" s="28"/>
      <c r="AG1682" s="28"/>
      <c r="AH1682" s="28"/>
      <c r="AI1682" s="28"/>
      <c r="AJ1682" s="28"/>
      <c r="AK1682" s="28"/>
      <c r="AL1682" s="28"/>
      <c r="AM1682" s="28"/>
      <c r="AN1682" s="28"/>
      <c r="AO1682" s="28"/>
      <c r="AP1682" s="28"/>
      <c r="AQ1682" s="28"/>
      <c r="AR1682" s="28"/>
      <c r="AS1682" s="28"/>
      <c r="AT1682" s="28"/>
      <c r="AU1682" s="28"/>
      <c r="AV1682" s="28"/>
      <c r="AW1682" s="28"/>
      <c r="AX1682" s="28"/>
      <c r="AY1682" s="28"/>
      <c r="AZ1682" s="28"/>
      <c r="BA1682" s="28"/>
      <c r="BB1682" s="28"/>
    </row>
    <row r="1683" spans="1:54" ht="12.75" x14ac:dyDescent="0.2">
      <c r="A1683" s="28"/>
      <c r="B1683" s="28"/>
      <c r="C1683" s="28"/>
      <c r="D1683" s="28"/>
      <c r="E1683" s="28"/>
      <c r="F1683" s="28"/>
      <c r="G1683" s="28"/>
      <c r="H1683" s="28"/>
      <c r="I1683" s="28"/>
      <c r="J1683" s="28"/>
      <c r="K1683" s="28"/>
      <c r="L1683" s="28"/>
      <c r="M1683" s="28"/>
      <c r="N1683" s="28"/>
      <c r="O1683" s="28"/>
      <c r="P1683" s="28"/>
      <c r="Q1683" s="28"/>
      <c r="R1683" s="28"/>
      <c r="S1683" s="28"/>
      <c r="T1683" s="28"/>
      <c r="U1683" s="28"/>
      <c r="V1683" s="28"/>
      <c r="W1683" s="28"/>
      <c r="X1683" s="28"/>
      <c r="Y1683" s="28"/>
      <c r="Z1683" s="28"/>
      <c r="AA1683" s="28"/>
      <c r="AB1683" s="28"/>
      <c r="AC1683" s="28"/>
      <c r="AD1683" s="28"/>
      <c r="AE1683" s="28"/>
      <c r="AF1683" s="28"/>
      <c r="AG1683" s="28"/>
      <c r="AH1683" s="28"/>
      <c r="AI1683" s="28"/>
      <c r="AJ1683" s="28"/>
      <c r="AK1683" s="28"/>
      <c r="AL1683" s="28"/>
      <c r="AM1683" s="28"/>
      <c r="AN1683" s="28"/>
      <c r="AO1683" s="28"/>
      <c r="AP1683" s="28"/>
      <c r="AQ1683" s="28"/>
      <c r="AR1683" s="28"/>
      <c r="AS1683" s="28"/>
      <c r="AT1683" s="28"/>
      <c r="AU1683" s="28"/>
      <c r="AV1683" s="28"/>
      <c r="AW1683" s="28"/>
      <c r="AX1683" s="28"/>
      <c r="AY1683" s="28"/>
      <c r="AZ1683" s="28"/>
      <c r="BA1683" s="28"/>
      <c r="BB1683" s="28"/>
    </row>
    <row r="1684" spans="1:54" ht="12.75" x14ac:dyDescent="0.2">
      <c r="A1684" s="28"/>
      <c r="B1684" s="28"/>
      <c r="C1684" s="28"/>
      <c r="D1684" s="28"/>
      <c r="E1684" s="28"/>
      <c r="F1684" s="28"/>
      <c r="G1684" s="28"/>
      <c r="H1684" s="28"/>
      <c r="I1684" s="28"/>
      <c r="J1684" s="28"/>
      <c r="K1684" s="28"/>
      <c r="L1684" s="28"/>
      <c r="M1684" s="28"/>
      <c r="N1684" s="28"/>
      <c r="O1684" s="28"/>
      <c r="P1684" s="28"/>
      <c r="Q1684" s="28"/>
      <c r="R1684" s="28"/>
      <c r="S1684" s="28"/>
      <c r="T1684" s="28"/>
      <c r="U1684" s="28"/>
      <c r="V1684" s="28"/>
      <c r="W1684" s="28"/>
      <c r="X1684" s="28"/>
      <c r="Y1684" s="28"/>
      <c r="Z1684" s="28"/>
      <c r="AA1684" s="28"/>
      <c r="AB1684" s="28"/>
      <c r="AC1684" s="28"/>
      <c r="AD1684" s="28"/>
      <c r="AE1684" s="28"/>
      <c r="AF1684" s="28"/>
      <c r="AG1684" s="28"/>
      <c r="AH1684" s="28"/>
      <c r="AI1684" s="28"/>
      <c r="AJ1684" s="28"/>
      <c r="AK1684" s="28"/>
      <c r="AL1684" s="28"/>
      <c r="AM1684" s="28"/>
      <c r="AN1684" s="28"/>
      <c r="AO1684" s="28"/>
      <c r="AP1684" s="28"/>
      <c r="AQ1684" s="28"/>
      <c r="AR1684" s="28"/>
      <c r="AS1684" s="28"/>
      <c r="AT1684" s="28"/>
      <c r="AU1684" s="28"/>
      <c r="AV1684" s="28"/>
      <c r="AW1684" s="28"/>
      <c r="AX1684" s="28"/>
      <c r="AY1684" s="28"/>
      <c r="AZ1684" s="28"/>
      <c r="BA1684" s="28"/>
      <c r="BB1684" s="28"/>
    </row>
    <row r="1685" spans="1:54" ht="12.75" x14ac:dyDescent="0.2">
      <c r="A1685" s="28"/>
      <c r="B1685" s="28"/>
      <c r="C1685" s="28"/>
      <c r="D1685" s="28"/>
      <c r="E1685" s="28"/>
      <c r="F1685" s="28"/>
      <c r="G1685" s="28"/>
      <c r="H1685" s="28"/>
      <c r="I1685" s="28"/>
      <c r="J1685" s="28"/>
      <c r="K1685" s="28"/>
      <c r="L1685" s="28"/>
      <c r="M1685" s="28"/>
      <c r="N1685" s="28"/>
      <c r="O1685" s="28"/>
      <c r="P1685" s="28"/>
      <c r="Q1685" s="28"/>
      <c r="R1685" s="28"/>
      <c r="S1685" s="28"/>
      <c r="T1685" s="28"/>
      <c r="U1685" s="28"/>
      <c r="V1685" s="28"/>
      <c r="W1685" s="28"/>
      <c r="X1685" s="28"/>
      <c r="Y1685" s="28"/>
      <c r="Z1685" s="28"/>
      <c r="AA1685" s="28"/>
      <c r="AB1685" s="28"/>
      <c r="AC1685" s="28"/>
      <c r="AD1685" s="28"/>
      <c r="AE1685" s="28"/>
      <c r="AF1685" s="28"/>
      <c r="AG1685" s="28"/>
      <c r="AH1685" s="28"/>
      <c r="AI1685" s="28"/>
      <c r="AJ1685" s="28"/>
      <c r="AK1685" s="28"/>
      <c r="AL1685" s="28"/>
      <c r="AM1685" s="28"/>
      <c r="AN1685" s="28"/>
      <c r="AO1685" s="28"/>
      <c r="AP1685" s="28"/>
      <c r="AQ1685" s="28"/>
      <c r="AR1685" s="28"/>
      <c r="AS1685" s="28"/>
      <c r="AT1685" s="28"/>
      <c r="AU1685" s="28"/>
      <c r="AV1685" s="28"/>
      <c r="AW1685" s="28"/>
      <c r="AX1685" s="28"/>
      <c r="AY1685" s="28"/>
      <c r="AZ1685" s="28"/>
      <c r="BA1685" s="28"/>
      <c r="BB1685" s="28"/>
    </row>
    <row r="1686" spans="1:54" ht="12.75" x14ac:dyDescent="0.2">
      <c r="A1686" s="28"/>
      <c r="B1686" s="28"/>
      <c r="C1686" s="28"/>
      <c r="D1686" s="28"/>
      <c r="E1686" s="28"/>
      <c r="F1686" s="28"/>
      <c r="G1686" s="28"/>
      <c r="H1686" s="28"/>
      <c r="I1686" s="28"/>
      <c r="J1686" s="28"/>
      <c r="K1686" s="28"/>
      <c r="L1686" s="28"/>
      <c r="M1686" s="28"/>
      <c r="N1686" s="28"/>
      <c r="O1686" s="28"/>
      <c r="P1686" s="28"/>
      <c r="Q1686" s="28"/>
      <c r="R1686" s="28"/>
      <c r="S1686" s="28"/>
      <c r="T1686" s="28"/>
      <c r="U1686" s="28"/>
      <c r="V1686" s="28"/>
      <c r="W1686" s="28"/>
      <c r="X1686" s="28"/>
      <c r="Y1686" s="28"/>
      <c r="Z1686" s="28"/>
      <c r="AA1686" s="28"/>
      <c r="AB1686" s="28"/>
      <c r="AC1686" s="28"/>
      <c r="AD1686" s="28"/>
      <c r="AE1686" s="28"/>
      <c r="AF1686" s="28"/>
      <c r="AG1686" s="28"/>
      <c r="AH1686" s="28"/>
      <c r="AI1686" s="28"/>
      <c r="AJ1686" s="28"/>
      <c r="AK1686" s="28"/>
      <c r="AL1686" s="28"/>
      <c r="AM1686" s="28"/>
      <c r="AN1686" s="28"/>
      <c r="AO1686" s="28"/>
      <c r="AP1686" s="28"/>
      <c r="AQ1686" s="28"/>
      <c r="AR1686" s="28"/>
      <c r="AS1686" s="28"/>
      <c r="AT1686" s="28"/>
      <c r="AU1686" s="28"/>
      <c r="AV1686" s="28"/>
      <c r="AW1686" s="28"/>
      <c r="AX1686" s="28"/>
      <c r="AY1686" s="28"/>
      <c r="AZ1686" s="28"/>
      <c r="BA1686" s="28"/>
      <c r="BB1686" s="28"/>
    </row>
    <row r="1687" spans="1:54" ht="12.75" x14ac:dyDescent="0.2">
      <c r="A1687" s="28"/>
      <c r="B1687" s="28"/>
      <c r="C1687" s="28"/>
      <c r="D1687" s="28"/>
      <c r="E1687" s="28"/>
      <c r="F1687" s="28"/>
      <c r="G1687" s="28"/>
      <c r="H1687" s="28"/>
      <c r="I1687" s="28"/>
      <c r="J1687" s="28"/>
      <c r="K1687" s="28"/>
      <c r="L1687" s="28"/>
      <c r="M1687" s="28"/>
      <c r="N1687" s="28"/>
      <c r="O1687" s="28"/>
      <c r="P1687" s="28"/>
      <c r="Q1687" s="28"/>
      <c r="R1687" s="28"/>
      <c r="S1687" s="28"/>
      <c r="T1687" s="28"/>
      <c r="U1687" s="28"/>
      <c r="V1687" s="28"/>
      <c r="W1687" s="28"/>
      <c r="X1687" s="28"/>
      <c r="Y1687" s="28"/>
      <c r="Z1687" s="28"/>
      <c r="AA1687" s="28"/>
      <c r="AB1687" s="28"/>
      <c r="AC1687" s="28"/>
      <c r="AD1687" s="28"/>
      <c r="AE1687" s="28"/>
      <c r="AF1687" s="28"/>
      <c r="AG1687" s="28"/>
      <c r="AH1687" s="28"/>
      <c r="AI1687" s="28"/>
      <c r="AJ1687" s="28"/>
      <c r="AK1687" s="28"/>
      <c r="AL1687" s="28"/>
      <c r="AM1687" s="28"/>
      <c r="AN1687" s="28"/>
      <c r="AO1687" s="28"/>
      <c r="AP1687" s="28"/>
      <c r="AQ1687" s="28"/>
      <c r="AR1687" s="28"/>
      <c r="AS1687" s="28"/>
      <c r="AT1687" s="28"/>
      <c r="AU1687" s="28"/>
      <c r="AV1687" s="28"/>
      <c r="AW1687" s="28"/>
      <c r="AX1687" s="28"/>
      <c r="AY1687" s="28"/>
      <c r="AZ1687" s="28"/>
      <c r="BA1687" s="28"/>
      <c r="BB1687" s="28"/>
    </row>
    <row r="1688" spans="1:54" ht="12.75" x14ac:dyDescent="0.2">
      <c r="A1688" s="28"/>
      <c r="B1688" s="28"/>
      <c r="C1688" s="28"/>
      <c r="D1688" s="28"/>
      <c r="E1688" s="28"/>
      <c r="F1688" s="28"/>
      <c r="G1688" s="28"/>
      <c r="H1688" s="28"/>
      <c r="I1688" s="28"/>
      <c r="J1688" s="28"/>
      <c r="K1688" s="28"/>
      <c r="L1688" s="28"/>
      <c r="M1688" s="28"/>
      <c r="N1688" s="28"/>
      <c r="O1688" s="28"/>
      <c r="P1688" s="28"/>
      <c r="Q1688" s="28"/>
      <c r="R1688" s="28"/>
      <c r="S1688" s="28"/>
      <c r="T1688" s="28"/>
      <c r="U1688" s="28"/>
      <c r="V1688" s="28"/>
      <c r="W1688" s="28"/>
      <c r="X1688" s="28"/>
      <c r="Y1688" s="28"/>
      <c r="Z1688" s="28"/>
      <c r="AA1688" s="28"/>
      <c r="AB1688" s="28"/>
      <c r="AC1688" s="28"/>
      <c r="AD1688" s="28"/>
      <c r="AE1688" s="28"/>
      <c r="AF1688" s="28"/>
      <c r="AG1688" s="28"/>
      <c r="AH1688" s="28"/>
      <c r="AI1688" s="28"/>
      <c r="AJ1688" s="28"/>
      <c r="AK1688" s="28"/>
      <c r="AL1688" s="28"/>
      <c r="AM1688" s="28"/>
      <c r="AN1688" s="28"/>
      <c r="AO1688" s="28"/>
      <c r="AP1688" s="28"/>
      <c r="AQ1688" s="28"/>
      <c r="AR1688" s="28"/>
      <c r="AS1688" s="28"/>
      <c r="AT1688" s="28"/>
      <c r="AU1688" s="28"/>
      <c r="AV1688" s="28"/>
      <c r="AW1688" s="28"/>
      <c r="AX1688" s="28"/>
      <c r="AY1688" s="28"/>
      <c r="AZ1688" s="28"/>
      <c r="BA1688" s="28"/>
      <c r="BB1688" s="28"/>
    </row>
    <row r="1689" spans="1:54" ht="12.75" x14ac:dyDescent="0.2">
      <c r="A1689" s="28"/>
      <c r="B1689" s="28"/>
      <c r="C1689" s="28"/>
      <c r="D1689" s="28"/>
      <c r="E1689" s="28"/>
      <c r="F1689" s="28"/>
      <c r="G1689" s="28"/>
      <c r="H1689" s="28"/>
      <c r="I1689" s="28"/>
      <c r="J1689" s="28"/>
      <c r="K1689" s="28"/>
      <c r="L1689" s="28"/>
      <c r="M1689" s="28"/>
      <c r="N1689" s="28"/>
      <c r="O1689" s="28"/>
      <c r="P1689" s="28"/>
      <c r="Q1689" s="28"/>
      <c r="R1689" s="28"/>
      <c r="S1689" s="28"/>
      <c r="T1689" s="28"/>
      <c r="U1689" s="28"/>
      <c r="V1689" s="28"/>
      <c r="W1689" s="28"/>
      <c r="X1689" s="28"/>
      <c r="Y1689" s="28"/>
      <c r="Z1689" s="28"/>
      <c r="AA1689" s="28"/>
      <c r="AB1689" s="28"/>
      <c r="AC1689" s="28"/>
      <c r="AD1689" s="28"/>
      <c r="AE1689" s="28"/>
      <c r="AF1689" s="28"/>
      <c r="AG1689" s="28"/>
      <c r="AH1689" s="28"/>
      <c r="AI1689" s="28"/>
      <c r="AJ1689" s="28"/>
      <c r="AK1689" s="28"/>
      <c r="AL1689" s="28"/>
      <c r="AM1689" s="28"/>
      <c r="AN1689" s="28"/>
      <c r="AO1689" s="28"/>
      <c r="AP1689" s="28"/>
      <c r="AQ1689" s="28"/>
      <c r="AR1689" s="28"/>
      <c r="AS1689" s="28"/>
      <c r="AT1689" s="28"/>
      <c r="AU1689" s="28"/>
      <c r="AV1689" s="28"/>
      <c r="AW1689" s="28"/>
      <c r="AX1689" s="28"/>
      <c r="AY1689" s="28"/>
      <c r="AZ1689" s="28"/>
      <c r="BA1689" s="28"/>
      <c r="BB1689" s="28"/>
    </row>
    <row r="1690" spans="1:54" ht="12.75" x14ac:dyDescent="0.2">
      <c r="A1690" s="28"/>
      <c r="B1690" s="28"/>
      <c r="C1690" s="28"/>
      <c r="D1690" s="28"/>
      <c r="E1690" s="28"/>
      <c r="F1690" s="28"/>
      <c r="G1690" s="28"/>
      <c r="H1690" s="28"/>
      <c r="I1690" s="28"/>
      <c r="J1690" s="28"/>
      <c r="K1690" s="28"/>
      <c r="L1690" s="28"/>
      <c r="M1690" s="28"/>
      <c r="N1690" s="28"/>
      <c r="O1690" s="28"/>
      <c r="P1690" s="28"/>
      <c r="Q1690" s="28"/>
      <c r="R1690" s="28"/>
      <c r="S1690" s="28"/>
      <c r="T1690" s="28"/>
      <c r="U1690" s="28"/>
      <c r="V1690" s="28"/>
      <c r="W1690" s="28"/>
      <c r="X1690" s="28"/>
      <c r="Y1690" s="28"/>
      <c r="Z1690" s="28"/>
      <c r="AA1690" s="28"/>
      <c r="AB1690" s="28"/>
      <c r="AC1690" s="28"/>
      <c r="AD1690" s="28"/>
      <c r="AE1690" s="28"/>
      <c r="AF1690" s="28"/>
      <c r="AG1690" s="28"/>
      <c r="AH1690" s="28"/>
      <c r="AI1690" s="28"/>
      <c r="AJ1690" s="28"/>
      <c r="AK1690" s="28"/>
      <c r="AL1690" s="28"/>
      <c r="AM1690" s="28"/>
      <c r="AN1690" s="28"/>
      <c r="AO1690" s="28"/>
      <c r="AP1690" s="28"/>
      <c r="AQ1690" s="28"/>
      <c r="AR1690" s="28"/>
      <c r="AS1690" s="28"/>
      <c r="AT1690" s="28"/>
      <c r="AU1690" s="28"/>
      <c r="AV1690" s="28"/>
      <c r="AW1690" s="28"/>
      <c r="AX1690" s="28"/>
      <c r="AY1690" s="28"/>
      <c r="AZ1690" s="28"/>
      <c r="BA1690" s="28"/>
      <c r="BB1690" s="28"/>
    </row>
    <row r="1691" spans="1:54" ht="12.75" x14ac:dyDescent="0.2">
      <c r="A1691" s="28"/>
      <c r="B1691" s="28"/>
      <c r="C1691" s="28"/>
      <c r="D1691" s="28"/>
      <c r="E1691" s="28"/>
      <c r="F1691" s="28"/>
      <c r="G1691" s="28"/>
      <c r="H1691" s="28"/>
      <c r="I1691" s="28"/>
      <c r="J1691" s="28"/>
      <c r="K1691" s="28"/>
      <c r="L1691" s="28"/>
      <c r="M1691" s="28"/>
      <c r="N1691" s="28"/>
      <c r="O1691" s="28"/>
      <c r="P1691" s="28"/>
      <c r="Q1691" s="28"/>
      <c r="R1691" s="28"/>
      <c r="S1691" s="28"/>
      <c r="T1691" s="28"/>
      <c r="U1691" s="28"/>
      <c r="V1691" s="28"/>
      <c r="W1691" s="28"/>
      <c r="X1691" s="28"/>
      <c r="Y1691" s="28"/>
      <c r="Z1691" s="28"/>
      <c r="AA1691" s="28"/>
      <c r="AB1691" s="28"/>
      <c r="AC1691" s="28"/>
      <c r="AD1691" s="28"/>
      <c r="AE1691" s="28"/>
      <c r="AF1691" s="28"/>
      <c r="AG1691" s="28"/>
      <c r="AH1691" s="28"/>
      <c r="AI1691" s="28"/>
      <c r="AJ1691" s="28"/>
      <c r="AK1691" s="28"/>
      <c r="AL1691" s="28"/>
      <c r="AM1691" s="28"/>
      <c r="AN1691" s="28"/>
      <c r="AO1691" s="28"/>
      <c r="AP1691" s="28"/>
      <c r="AQ1691" s="28"/>
      <c r="AR1691" s="28"/>
      <c r="AS1691" s="28"/>
      <c r="AT1691" s="28"/>
      <c r="AU1691" s="28"/>
      <c r="AV1691" s="28"/>
      <c r="AW1691" s="28"/>
      <c r="AX1691" s="28"/>
      <c r="AY1691" s="28"/>
      <c r="AZ1691" s="28"/>
      <c r="BA1691" s="28"/>
      <c r="BB1691" s="28"/>
    </row>
    <row r="1692" spans="1:54" ht="12.75" x14ac:dyDescent="0.2">
      <c r="A1692" s="28"/>
      <c r="B1692" s="28"/>
      <c r="C1692" s="28"/>
      <c r="D1692" s="28"/>
      <c r="E1692" s="28"/>
      <c r="F1692" s="28"/>
      <c r="G1692" s="28"/>
      <c r="H1692" s="28"/>
      <c r="I1692" s="28"/>
      <c r="J1692" s="28"/>
      <c r="K1692" s="28"/>
      <c r="L1692" s="28"/>
      <c r="M1692" s="28"/>
      <c r="N1692" s="28"/>
      <c r="O1692" s="28"/>
      <c r="P1692" s="28"/>
      <c r="Q1692" s="28"/>
      <c r="R1692" s="28"/>
      <c r="S1692" s="28"/>
      <c r="T1692" s="28"/>
      <c r="U1692" s="28"/>
      <c r="V1692" s="28"/>
      <c r="W1692" s="28"/>
      <c r="X1692" s="28"/>
      <c r="Y1692" s="28"/>
      <c r="Z1692" s="28"/>
      <c r="AA1692" s="28"/>
      <c r="AB1692" s="28"/>
      <c r="AC1692" s="28"/>
      <c r="AD1692" s="28"/>
      <c r="AE1692" s="28"/>
      <c r="AF1692" s="28"/>
      <c r="AG1692" s="28"/>
      <c r="AH1692" s="28"/>
      <c r="AI1692" s="28"/>
      <c r="AJ1692" s="28"/>
      <c r="AK1692" s="28"/>
      <c r="AL1692" s="28"/>
      <c r="AM1692" s="28"/>
      <c r="AN1692" s="28"/>
      <c r="AO1692" s="28"/>
      <c r="AP1692" s="28"/>
      <c r="AQ1692" s="28"/>
      <c r="AR1692" s="28"/>
      <c r="AS1692" s="28"/>
      <c r="AT1692" s="28"/>
      <c r="AU1692" s="28"/>
      <c r="AV1692" s="28"/>
      <c r="AW1692" s="28"/>
      <c r="AX1692" s="28"/>
      <c r="AY1692" s="28"/>
      <c r="AZ1692" s="28"/>
      <c r="BA1692" s="28"/>
      <c r="BB1692" s="28"/>
    </row>
    <row r="1693" spans="1:54" ht="12.75" x14ac:dyDescent="0.2">
      <c r="A1693" s="28"/>
      <c r="B1693" s="28"/>
      <c r="C1693" s="28"/>
      <c r="D1693" s="28"/>
      <c r="E1693" s="28"/>
      <c r="F1693" s="28"/>
      <c r="G1693" s="28"/>
      <c r="H1693" s="28"/>
      <c r="I1693" s="28"/>
      <c r="J1693" s="28"/>
      <c r="K1693" s="28"/>
      <c r="L1693" s="28"/>
      <c r="M1693" s="28"/>
      <c r="N1693" s="28"/>
      <c r="O1693" s="28"/>
      <c r="P1693" s="28"/>
      <c r="Q1693" s="28"/>
      <c r="R1693" s="28"/>
      <c r="S1693" s="28"/>
      <c r="T1693" s="28"/>
      <c r="U1693" s="28"/>
      <c r="V1693" s="28"/>
      <c r="W1693" s="28"/>
      <c r="X1693" s="28"/>
      <c r="Y1693" s="28"/>
      <c r="Z1693" s="28"/>
      <c r="AA1693" s="28"/>
      <c r="AB1693" s="28"/>
      <c r="AC1693" s="28"/>
      <c r="AD1693" s="28"/>
      <c r="AE1693" s="28"/>
      <c r="AF1693" s="28"/>
      <c r="AG1693" s="28"/>
      <c r="AH1693" s="28"/>
      <c r="AI1693" s="28"/>
      <c r="AJ1693" s="28"/>
      <c r="AK1693" s="28"/>
      <c r="AL1693" s="28"/>
      <c r="AM1693" s="28"/>
      <c r="AN1693" s="28"/>
      <c r="AO1693" s="28"/>
      <c r="AP1693" s="28"/>
      <c r="AQ1693" s="28"/>
      <c r="AR1693" s="28"/>
      <c r="AS1693" s="28"/>
      <c r="AT1693" s="28"/>
      <c r="AU1693" s="28"/>
      <c r="AV1693" s="28"/>
      <c r="AW1693" s="28"/>
      <c r="AX1693" s="28"/>
      <c r="AY1693" s="28"/>
      <c r="AZ1693" s="28"/>
      <c r="BA1693" s="28"/>
      <c r="BB1693" s="28"/>
    </row>
    <row r="1694" spans="1:54" ht="12.75" x14ac:dyDescent="0.2">
      <c r="A1694" s="28"/>
      <c r="B1694" s="28"/>
      <c r="C1694" s="28"/>
      <c r="D1694" s="28"/>
      <c r="E1694" s="28"/>
      <c r="F1694" s="28"/>
      <c r="G1694" s="28"/>
      <c r="H1694" s="28"/>
      <c r="I1694" s="28"/>
      <c r="J1694" s="28"/>
      <c r="K1694" s="28"/>
      <c r="L1694" s="28"/>
      <c r="M1694" s="28"/>
      <c r="N1694" s="28"/>
      <c r="O1694" s="28"/>
      <c r="P1694" s="28"/>
      <c r="Q1694" s="28"/>
      <c r="R1694" s="28"/>
      <c r="S1694" s="28"/>
      <c r="T1694" s="28"/>
      <c r="U1694" s="28"/>
      <c r="V1694" s="28"/>
      <c r="W1694" s="28"/>
      <c r="X1694" s="28"/>
      <c r="Y1694" s="28"/>
      <c r="Z1694" s="28"/>
      <c r="AA1694" s="28"/>
      <c r="AB1694" s="28"/>
      <c r="AC1694" s="28"/>
      <c r="AD1694" s="28"/>
      <c r="AE1694" s="28"/>
      <c r="AF1694" s="28"/>
      <c r="AG1694" s="28"/>
      <c r="AH1694" s="28"/>
      <c r="AI1694" s="28"/>
      <c r="AJ1694" s="28"/>
      <c r="AK1694" s="28"/>
      <c r="AL1694" s="28"/>
      <c r="AM1694" s="28"/>
      <c r="AN1694" s="28"/>
      <c r="AO1694" s="28"/>
      <c r="AP1694" s="28"/>
      <c r="AQ1694" s="28"/>
      <c r="AR1694" s="28"/>
      <c r="AS1694" s="28"/>
      <c r="AT1694" s="28"/>
      <c r="AU1694" s="28"/>
      <c r="AV1694" s="28"/>
      <c r="AW1694" s="28"/>
      <c r="AX1694" s="28"/>
      <c r="AY1694" s="28"/>
      <c r="AZ1694" s="28"/>
      <c r="BA1694" s="28"/>
      <c r="BB1694" s="28"/>
    </row>
    <row r="1695" spans="1:54" ht="12.75" x14ac:dyDescent="0.2">
      <c r="A1695" s="28"/>
      <c r="B1695" s="28"/>
      <c r="C1695" s="28"/>
      <c r="D1695" s="28"/>
      <c r="E1695" s="28"/>
      <c r="F1695" s="28"/>
      <c r="G1695" s="28"/>
      <c r="H1695" s="28"/>
      <c r="I1695" s="28"/>
      <c r="J1695" s="28"/>
      <c r="K1695" s="28"/>
      <c r="L1695" s="28"/>
      <c r="M1695" s="28"/>
      <c r="N1695" s="28"/>
      <c r="O1695" s="28"/>
      <c r="P1695" s="28"/>
      <c r="Q1695" s="28"/>
      <c r="R1695" s="28"/>
      <c r="S1695" s="28"/>
      <c r="T1695" s="28"/>
      <c r="U1695" s="28"/>
      <c r="V1695" s="28"/>
      <c r="W1695" s="28"/>
      <c r="X1695" s="28"/>
      <c r="Y1695" s="28"/>
      <c r="Z1695" s="28"/>
      <c r="AA1695" s="28"/>
      <c r="AB1695" s="28"/>
      <c r="AC1695" s="28"/>
      <c r="AD1695" s="28"/>
      <c r="AE1695" s="28"/>
      <c r="AF1695" s="28"/>
      <c r="AG1695" s="28"/>
      <c r="AH1695" s="28"/>
      <c r="AI1695" s="28"/>
      <c r="AJ1695" s="28"/>
      <c r="AK1695" s="28"/>
      <c r="AL1695" s="28"/>
      <c r="AM1695" s="28"/>
      <c r="AN1695" s="28"/>
      <c r="AO1695" s="28"/>
      <c r="AP1695" s="28"/>
      <c r="AQ1695" s="28"/>
      <c r="AR1695" s="28"/>
      <c r="AS1695" s="28"/>
      <c r="AT1695" s="28"/>
      <c r="AU1695" s="28"/>
      <c r="AV1695" s="28"/>
      <c r="AW1695" s="28"/>
      <c r="AX1695" s="28"/>
      <c r="AY1695" s="28"/>
      <c r="AZ1695" s="28"/>
      <c r="BA1695" s="28"/>
      <c r="BB1695" s="28"/>
    </row>
    <row r="1696" spans="1:54" ht="12.75" x14ac:dyDescent="0.2">
      <c r="A1696" s="28"/>
      <c r="B1696" s="28"/>
      <c r="C1696" s="28"/>
      <c r="D1696" s="28"/>
      <c r="E1696" s="28"/>
      <c r="F1696" s="28"/>
      <c r="G1696" s="28"/>
      <c r="H1696" s="28"/>
      <c r="I1696" s="28"/>
      <c r="J1696" s="28"/>
      <c r="K1696" s="28"/>
      <c r="L1696" s="28"/>
      <c r="M1696" s="28"/>
      <c r="N1696" s="28"/>
      <c r="O1696" s="28"/>
      <c r="P1696" s="28"/>
      <c r="Q1696" s="28"/>
      <c r="R1696" s="28"/>
      <c r="S1696" s="28"/>
      <c r="T1696" s="28"/>
      <c r="U1696" s="28"/>
      <c r="V1696" s="28"/>
      <c r="W1696" s="28"/>
      <c r="X1696" s="28"/>
      <c r="Y1696" s="28"/>
      <c r="Z1696" s="28"/>
      <c r="AA1696" s="28"/>
      <c r="AB1696" s="28"/>
      <c r="AC1696" s="28"/>
      <c r="AD1696" s="28"/>
      <c r="AE1696" s="28"/>
      <c r="AF1696" s="28"/>
      <c r="AG1696" s="28"/>
      <c r="AH1696" s="28"/>
      <c r="AI1696" s="28"/>
      <c r="AJ1696" s="28"/>
      <c r="AK1696" s="28"/>
      <c r="AL1696" s="28"/>
      <c r="AM1696" s="28"/>
      <c r="AN1696" s="28"/>
      <c r="AO1696" s="28"/>
      <c r="AP1696" s="28"/>
      <c r="AQ1696" s="28"/>
      <c r="AR1696" s="28"/>
      <c r="AS1696" s="28"/>
      <c r="AT1696" s="28"/>
      <c r="AU1696" s="28"/>
      <c r="AV1696" s="28"/>
      <c r="AW1696" s="28"/>
      <c r="AX1696" s="28"/>
      <c r="AY1696" s="28"/>
      <c r="AZ1696" s="28"/>
      <c r="BA1696" s="28"/>
      <c r="BB1696" s="28"/>
    </row>
    <row r="1697" spans="1:54" ht="12.75" x14ac:dyDescent="0.2">
      <c r="A1697" s="28"/>
      <c r="B1697" s="28"/>
      <c r="C1697" s="28"/>
      <c r="D1697" s="28"/>
      <c r="E1697" s="28"/>
      <c r="F1697" s="28"/>
      <c r="G1697" s="28"/>
      <c r="H1697" s="28"/>
      <c r="I1697" s="28"/>
      <c r="J1697" s="28"/>
      <c r="K1697" s="28"/>
      <c r="L1697" s="28"/>
      <c r="M1697" s="28"/>
      <c r="N1697" s="28"/>
      <c r="O1697" s="28"/>
      <c r="P1697" s="28"/>
      <c r="Q1697" s="28"/>
      <c r="R1697" s="28"/>
      <c r="S1697" s="28"/>
      <c r="T1697" s="28"/>
      <c r="U1697" s="28"/>
      <c r="V1697" s="28"/>
      <c r="W1697" s="28"/>
      <c r="X1697" s="28"/>
      <c r="Y1697" s="28"/>
      <c r="Z1697" s="28"/>
      <c r="AA1697" s="28"/>
      <c r="AB1697" s="28"/>
      <c r="AC1697" s="28"/>
      <c r="AD1697" s="28"/>
      <c r="AE1697" s="28"/>
      <c r="AF1697" s="28"/>
      <c r="AG1697" s="28"/>
      <c r="AH1697" s="28"/>
      <c r="AI1697" s="28"/>
      <c r="AJ1697" s="28"/>
      <c r="AK1697" s="28"/>
      <c r="AL1697" s="28"/>
      <c r="AM1697" s="28"/>
      <c r="AN1697" s="28"/>
      <c r="AO1697" s="28"/>
      <c r="AP1697" s="28"/>
      <c r="AQ1697" s="28"/>
      <c r="AR1697" s="28"/>
      <c r="AS1697" s="28"/>
      <c r="AT1697" s="28"/>
      <c r="AU1697" s="28"/>
      <c r="AV1697" s="28"/>
      <c r="AW1697" s="28"/>
      <c r="AX1697" s="28"/>
      <c r="AY1697" s="28"/>
      <c r="AZ1697" s="28"/>
      <c r="BA1697" s="28"/>
      <c r="BB1697" s="28"/>
    </row>
    <row r="1698" spans="1:54" ht="12.75" x14ac:dyDescent="0.2">
      <c r="A1698" s="28"/>
      <c r="B1698" s="28"/>
      <c r="C1698" s="28"/>
      <c r="D1698" s="28"/>
      <c r="E1698" s="28"/>
      <c r="F1698" s="28"/>
      <c r="G1698" s="28"/>
      <c r="H1698" s="28"/>
      <c r="I1698" s="28"/>
      <c r="J1698" s="28"/>
      <c r="K1698" s="28"/>
      <c r="L1698" s="28"/>
      <c r="M1698" s="28"/>
      <c r="N1698" s="28"/>
      <c r="O1698" s="28"/>
      <c r="P1698" s="28"/>
      <c r="Q1698" s="28"/>
      <c r="R1698" s="28"/>
      <c r="S1698" s="28"/>
      <c r="T1698" s="28"/>
      <c r="U1698" s="28"/>
      <c r="V1698" s="28"/>
      <c r="W1698" s="28"/>
      <c r="X1698" s="28"/>
      <c r="Y1698" s="28"/>
      <c r="Z1698" s="28"/>
      <c r="AA1698" s="28"/>
      <c r="AB1698" s="28"/>
      <c r="AC1698" s="28"/>
      <c r="AD1698" s="28"/>
      <c r="AE1698" s="28"/>
      <c r="AF1698" s="28"/>
      <c r="AG1698" s="28"/>
      <c r="AH1698" s="28"/>
      <c r="AI1698" s="28"/>
      <c r="AJ1698" s="28"/>
      <c r="AK1698" s="28"/>
      <c r="AL1698" s="28"/>
      <c r="AM1698" s="28"/>
      <c r="AN1698" s="28"/>
      <c r="AO1698" s="28"/>
      <c r="AP1698" s="28"/>
      <c r="AQ1698" s="28"/>
      <c r="AR1698" s="28"/>
      <c r="AS1698" s="28"/>
      <c r="AT1698" s="28"/>
      <c r="AU1698" s="28"/>
      <c r="AV1698" s="28"/>
      <c r="AW1698" s="28"/>
      <c r="AX1698" s="28"/>
      <c r="AY1698" s="28"/>
      <c r="AZ1698" s="28"/>
      <c r="BA1698" s="28"/>
      <c r="BB1698" s="28"/>
    </row>
    <row r="1699" spans="1:54" ht="12.75" x14ac:dyDescent="0.2">
      <c r="A1699" s="28"/>
      <c r="B1699" s="28"/>
      <c r="C1699" s="28"/>
      <c r="D1699" s="28"/>
      <c r="E1699" s="28"/>
      <c r="F1699" s="28"/>
      <c r="G1699" s="28"/>
      <c r="H1699" s="28"/>
      <c r="I1699" s="28"/>
      <c r="J1699" s="28"/>
      <c r="K1699" s="28"/>
      <c r="L1699" s="28"/>
      <c r="M1699" s="28"/>
      <c r="N1699" s="28"/>
      <c r="O1699" s="28"/>
      <c r="P1699" s="28"/>
      <c r="Q1699" s="28"/>
      <c r="R1699" s="28"/>
      <c r="S1699" s="28"/>
      <c r="T1699" s="28"/>
      <c r="U1699" s="28"/>
      <c r="V1699" s="28"/>
      <c r="W1699" s="28"/>
      <c r="X1699" s="28"/>
      <c r="Y1699" s="28"/>
      <c r="Z1699" s="28"/>
      <c r="AA1699" s="28"/>
      <c r="AB1699" s="28"/>
      <c r="AC1699" s="28"/>
      <c r="AD1699" s="28"/>
      <c r="AE1699" s="28"/>
      <c r="AF1699" s="28"/>
      <c r="AG1699" s="28"/>
      <c r="AH1699" s="28"/>
      <c r="AI1699" s="28"/>
      <c r="AJ1699" s="28"/>
      <c r="AK1699" s="28"/>
      <c r="AL1699" s="28"/>
      <c r="AM1699" s="28"/>
      <c r="AN1699" s="28"/>
      <c r="AO1699" s="28"/>
      <c r="AP1699" s="28"/>
      <c r="AQ1699" s="28"/>
      <c r="AR1699" s="28"/>
      <c r="AS1699" s="28"/>
      <c r="AT1699" s="28"/>
      <c r="AU1699" s="28"/>
      <c r="AV1699" s="28"/>
      <c r="AW1699" s="28"/>
      <c r="AX1699" s="28"/>
      <c r="AY1699" s="28"/>
      <c r="AZ1699" s="28"/>
      <c r="BA1699" s="28"/>
      <c r="BB1699" s="28"/>
    </row>
    <row r="1700" spans="1:54" ht="12.75" x14ac:dyDescent="0.2">
      <c r="A1700" s="28"/>
      <c r="B1700" s="28"/>
      <c r="C1700" s="28"/>
      <c r="D1700" s="28"/>
      <c r="E1700" s="28"/>
      <c r="F1700" s="28"/>
      <c r="G1700" s="28"/>
      <c r="H1700" s="28"/>
      <c r="I1700" s="28"/>
      <c r="J1700" s="28"/>
      <c r="K1700" s="28"/>
      <c r="L1700" s="28"/>
      <c r="M1700" s="28"/>
      <c r="N1700" s="28"/>
      <c r="O1700" s="28"/>
      <c r="P1700" s="28"/>
      <c r="Q1700" s="28"/>
      <c r="R1700" s="28"/>
      <c r="S1700" s="28"/>
      <c r="T1700" s="28"/>
      <c r="U1700" s="28"/>
      <c r="V1700" s="28"/>
      <c r="W1700" s="28"/>
      <c r="X1700" s="28"/>
      <c r="Y1700" s="28"/>
      <c r="Z1700" s="28"/>
      <c r="AA1700" s="28"/>
      <c r="AB1700" s="28"/>
      <c r="AC1700" s="28"/>
      <c r="AD1700" s="28"/>
      <c r="AE1700" s="28"/>
      <c r="AF1700" s="28"/>
      <c r="AG1700" s="28"/>
      <c r="AH1700" s="28"/>
      <c r="AI1700" s="28"/>
      <c r="AJ1700" s="28"/>
      <c r="AK1700" s="28"/>
      <c r="AL1700" s="28"/>
      <c r="AM1700" s="28"/>
      <c r="AN1700" s="28"/>
      <c r="AO1700" s="28"/>
      <c r="AP1700" s="28"/>
      <c r="AQ1700" s="28"/>
      <c r="AR1700" s="28"/>
      <c r="AS1700" s="28"/>
      <c r="AT1700" s="28"/>
      <c r="AU1700" s="28"/>
      <c r="AV1700" s="28"/>
      <c r="AW1700" s="28"/>
      <c r="AX1700" s="28"/>
      <c r="AY1700" s="28"/>
      <c r="AZ1700" s="28"/>
      <c r="BA1700" s="28"/>
      <c r="BB1700" s="28"/>
    </row>
    <row r="1701" spans="1:54" ht="12.75" x14ac:dyDescent="0.2">
      <c r="A1701" s="28"/>
      <c r="B1701" s="28"/>
      <c r="C1701" s="28"/>
      <c r="D1701" s="28"/>
      <c r="E1701" s="28"/>
      <c r="F1701" s="28"/>
      <c r="G1701" s="28"/>
      <c r="H1701" s="28"/>
      <c r="I1701" s="28"/>
      <c r="J1701" s="28"/>
      <c r="K1701" s="28"/>
      <c r="L1701" s="28"/>
      <c r="M1701" s="28"/>
      <c r="N1701" s="28"/>
      <c r="O1701" s="28"/>
      <c r="P1701" s="28"/>
      <c r="Q1701" s="28"/>
      <c r="R1701" s="28"/>
      <c r="S1701" s="28"/>
      <c r="T1701" s="28"/>
      <c r="U1701" s="28"/>
      <c r="V1701" s="28"/>
      <c r="W1701" s="28"/>
      <c r="X1701" s="28"/>
      <c r="Y1701" s="28"/>
      <c r="Z1701" s="28"/>
      <c r="AA1701" s="28"/>
      <c r="AB1701" s="28"/>
      <c r="AC1701" s="28"/>
      <c r="AD1701" s="28"/>
      <c r="AE1701" s="28"/>
      <c r="AF1701" s="28"/>
      <c r="AG1701" s="28"/>
      <c r="AH1701" s="28"/>
      <c r="AI1701" s="28"/>
      <c r="AJ1701" s="28"/>
      <c r="AK1701" s="28"/>
      <c r="AL1701" s="28"/>
      <c r="AM1701" s="28"/>
      <c r="AN1701" s="28"/>
      <c r="AO1701" s="28"/>
      <c r="AP1701" s="28"/>
      <c r="AQ1701" s="28"/>
      <c r="AR1701" s="28"/>
      <c r="AS1701" s="28"/>
      <c r="AT1701" s="28"/>
      <c r="AU1701" s="28"/>
      <c r="AV1701" s="28"/>
      <c r="AW1701" s="28"/>
      <c r="AX1701" s="28"/>
      <c r="AY1701" s="28"/>
      <c r="AZ1701" s="28"/>
      <c r="BA1701" s="28"/>
      <c r="BB1701" s="28"/>
    </row>
    <row r="1702" spans="1:54" ht="12.75" x14ac:dyDescent="0.2">
      <c r="A1702" s="28"/>
      <c r="B1702" s="28"/>
      <c r="C1702" s="28"/>
      <c r="D1702" s="28"/>
      <c r="E1702" s="28"/>
      <c r="F1702" s="28"/>
      <c r="G1702" s="28"/>
      <c r="H1702" s="28"/>
      <c r="I1702" s="28"/>
      <c r="J1702" s="28"/>
      <c r="K1702" s="28"/>
      <c r="L1702" s="28"/>
      <c r="M1702" s="28"/>
      <c r="N1702" s="28"/>
      <c r="O1702" s="28"/>
      <c r="P1702" s="28"/>
      <c r="Q1702" s="28"/>
      <c r="R1702" s="28"/>
      <c r="S1702" s="28"/>
      <c r="T1702" s="28"/>
      <c r="U1702" s="28"/>
      <c r="V1702" s="28"/>
      <c r="W1702" s="28"/>
      <c r="X1702" s="28"/>
      <c r="Y1702" s="28"/>
      <c r="Z1702" s="28"/>
      <c r="AA1702" s="28"/>
      <c r="AB1702" s="28"/>
      <c r="AC1702" s="28"/>
      <c r="AD1702" s="28"/>
      <c r="AE1702" s="28"/>
      <c r="AF1702" s="28"/>
      <c r="AG1702" s="28"/>
      <c r="AH1702" s="28"/>
      <c r="AI1702" s="28"/>
      <c r="AJ1702" s="28"/>
      <c r="AK1702" s="28"/>
      <c r="AL1702" s="28"/>
      <c r="AM1702" s="28"/>
      <c r="AN1702" s="28"/>
      <c r="AO1702" s="28"/>
      <c r="AP1702" s="28"/>
      <c r="AQ1702" s="28"/>
      <c r="AR1702" s="28"/>
      <c r="AS1702" s="28"/>
      <c r="AT1702" s="28"/>
      <c r="AU1702" s="28"/>
      <c r="AV1702" s="28"/>
      <c r="AW1702" s="28"/>
      <c r="AX1702" s="28"/>
      <c r="AY1702" s="28"/>
      <c r="AZ1702" s="28"/>
      <c r="BA1702" s="28"/>
      <c r="BB1702" s="28"/>
    </row>
    <row r="1703" spans="1:54" ht="12.75" x14ac:dyDescent="0.2">
      <c r="A1703" s="28"/>
      <c r="B1703" s="28"/>
      <c r="C1703" s="28"/>
      <c r="D1703" s="28"/>
      <c r="E1703" s="28"/>
      <c r="F1703" s="28"/>
      <c r="G1703" s="28"/>
      <c r="H1703" s="28"/>
      <c r="I1703" s="28"/>
      <c r="J1703" s="28"/>
      <c r="K1703" s="28"/>
      <c r="L1703" s="28"/>
      <c r="M1703" s="28"/>
      <c r="N1703" s="28"/>
      <c r="O1703" s="28"/>
      <c r="P1703" s="28"/>
      <c r="Q1703" s="28"/>
      <c r="R1703" s="28"/>
      <c r="S1703" s="28"/>
      <c r="T1703" s="28"/>
      <c r="U1703" s="28"/>
      <c r="V1703" s="28"/>
      <c r="W1703" s="28"/>
      <c r="X1703" s="28"/>
      <c r="Y1703" s="28"/>
      <c r="Z1703" s="28"/>
      <c r="AA1703" s="28"/>
      <c r="AB1703" s="28"/>
      <c r="AC1703" s="28"/>
      <c r="AD1703" s="28"/>
      <c r="AE1703" s="28"/>
      <c r="AF1703" s="28"/>
      <c r="AG1703" s="28"/>
      <c r="AH1703" s="28"/>
      <c r="AI1703" s="28"/>
      <c r="AJ1703" s="28"/>
      <c r="AK1703" s="28"/>
      <c r="AL1703" s="28"/>
      <c r="AM1703" s="28"/>
      <c r="AN1703" s="28"/>
      <c r="AO1703" s="28"/>
      <c r="AP1703" s="28"/>
      <c r="AQ1703" s="28"/>
      <c r="AR1703" s="28"/>
      <c r="AS1703" s="28"/>
      <c r="AT1703" s="28"/>
      <c r="AU1703" s="28"/>
      <c r="AV1703" s="28"/>
      <c r="AW1703" s="28"/>
      <c r="AX1703" s="28"/>
      <c r="AY1703" s="28"/>
      <c r="AZ1703" s="28"/>
      <c r="BA1703" s="28"/>
      <c r="BB1703" s="28"/>
    </row>
    <row r="1704" spans="1:54" ht="12.75" x14ac:dyDescent="0.2">
      <c r="A1704" s="28"/>
      <c r="B1704" s="28"/>
      <c r="C1704" s="28"/>
      <c r="D1704" s="28"/>
      <c r="E1704" s="28"/>
      <c r="F1704" s="28"/>
      <c r="G1704" s="28"/>
      <c r="H1704" s="28"/>
      <c r="I1704" s="28"/>
      <c r="J1704" s="28"/>
      <c r="K1704" s="28"/>
      <c r="L1704" s="28"/>
      <c r="M1704" s="28"/>
      <c r="N1704" s="28"/>
      <c r="O1704" s="28"/>
      <c r="P1704" s="28"/>
      <c r="Q1704" s="28"/>
      <c r="R1704" s="28"/>
      <c r="S1704" s="28"/>
      <c r="T1704" s="28"/>
      <c r="U1704" s="28"/>
      <c r="V1704" s="28"/>
      <c r="W1704" s="28"/>
      <c r="X1704" s="28"/>
      <c r="Y1704" s="28"/>
      <c r="Z1704" s="28"/>
      <c r="AA1704" s="28"/>
      <c r="AB1704" s="28"/>
      <c r="AC1704" s="28"/>
      <c r="AD1704" s="28"/>
      <c r="AE1704" s="28"/>
      <c r="AF1704" s="28"/>
      <c r="AG1704" s="28"/>
      <c r="AH1704" s="28"/>
      <c r="AI1704" s="28"/>
      <c r="AJ1704" s="28"/>
      <c r="AK1704" s="28"/>
      <c r="AL1704" s="28"/>
      <c r="AM1704" s="28"/>
      <c r="AN1704" s="28"/>
      <c r="AO1704" s="28"/>
      <c r="AP1704" s="28"/>
      <c r="AQ1704" s="28"/>
      <c r="AR1704" s="28"/>
      <c r="AS1704" s="28"/>
      <c r="AT1704" s="28"/>
      <c r="AU1704" s="28"/>
      <c r="AV1704" s="28"/>
      <c r="AW1704" s="28"/>
      <c r="AX1704" s="28"/>
      <c r="AY1704" s="28"/>
      <c r="AZ1704" s="28"/>
      <c r="BA1704" s="28"/>
      <c r="BB1704" s="28"/>
    </row>
    <row r="1705" spans="1:54" ht="12.75" x14ac:dyDescent="0.2">
      <c r="A1705" s="28"/>
      <c r="B1705" s="28"/>
      <c r="C1705" s="28"/>
      <c r="D1705" s="28"/>
      <c r="E1705" s="28"/>
      <c r="F1705" s="28"/>
      <c r="G1705" s="28"/>
      <c r="H1705" s="28"/>
      <c r="I1705" s="28"/>
      <c r="J1705" s="28"/>
      <c r="K1705" s="28"/>
      <c r="L1705" s="28"/>
      <c r="M1705" s="28"/>
      <c r="N1705" s="28"/>
      <c r="O1705" s="28"/>
      <c r="P1705" s="28"/>
      <c r="Q1705" s="28"/>
      <c r="R1705" s="28"/>
      <c r="S1705" s="28"/>
      <c r="T1705" s="28"/>
      <c r="U1705" s="28"/>
      <c r="V1705" s="28"/>
      <c r="W1705" s="28"/>
      <c r="X1705" s="28"/>
      <c r="Y1705" s="28"/>
      <c r="Z1705" s="28"/>
      <c r="AA1705" s="28"/>
      <c r="AB1705" s="28"/>
      <c r="AC1705" s="28"/>
      <c r="AD1705" s="28"/>
      <c r="AE1705" s="28"/>
      <c r="AF1705" s="28"/>
      <c r="AG1705" s="28"/>
      <c r="AH1705" s="28"/>
      <c r="AI1705" s="28"/>
      <c r="AJ1705" s="28"/>
      <c r="AK1705" s="28"/>
      <c r="AL1705" s="28"/>
      <c r="AM1705" s="28"/>
      <c r="AN1705" s="28"/>
      <c r="AO1705" s="28"/>
      <c r="AP1705" s="28"/>
      <c r="AQ1705" s="28"/>
      <c r="AR1705" s="28"/>
      <c r="AS1705" s="28"/>
      <c r="AT1705" s="28"/>
      <c r="AU1705" s="28"/>
      <c r="AV1705" s="28"/>
      <c r="AW1705" s="28"/>
      <c r="AX1705" s="28"/>
      <c r="AY1705" s="28"/>
      <c r="AZ1705" s="28"/>
      <c r="BA1705" s="28"/>
      <c r="BB1705" s="28"/>
    </row>
    <row r="1706" spans="1:54" ht="12.75" x14ac:dyDescent="0.2">
      <c r="A1706" s="28"/>
      <c r="B1706" s="28"/>
      <c r="C1706" s="28"/>
      <c r="D1706" s="28"/>
      <c r="E1706" s="28"/>
      <c r="F1706" s="28"/>
      <c r="G1706" s="28"/>
      <c r="H1706" s="28"/>
      <c r="I1706" s="28"/>
      <c r="J1706" s="28"/>
      <c r="K1706" s="28"/>
      <c r="L1706" s="28"/>
      <c r="M1706" s="28"/>
      <c r="N1706" s="28"/>
      <c r="O1706" s="28"/>
      <c r="P1706" s="28"/>
      <c r="Q1706" s="28"/>
      <c r="R1706" s="28"/>
      <c r="S1706" s="28"/>
      <c r="T1706" s="28"/>
      <c r="U1706" s="28"/>
      <c r="V1706" s="28"/>
      <c r="W1706" s="28"/>
      <c r="X1706" s="28"/>
      <c r="Y1706" s="28"/>
      <c r="Z1706" s="28"/>
      <c r="AA1706" s="28"/>
      <c r="AB1706" s="28"/>
      <c r="AC1706" s="28"/>
      <c r="AD1706" s="28"/>
      <c r="AE1706" s="28"/>
      <c r="AF1706" s="28"/>
      <c r="AG1706" s="28"/>
      <c r="AH1706" s="28"/>
      <c r="AI1706" s="28"/>
      <c r="AJ1706" s="28"/>
      <c r="AK1706" s="28"/>
      <c r="AL1706" s="28"/>
      <c r="AM1706" s="28"/>
      <c r="AN1706" s="28"/>
      <c r="AO1706" s="28"/>
      <c r="AP1706" s="28"/>
      <c r="AQ1706" s="28"/>
      <c r="AR1706" s="28"/>
      <c r="AS1706" s="28"/>
      <c r="AT1706" s="28"/>
      <c r="AU1706" s="28"/>
      <c r="AV1706" s="28"/>
      <c r="AW1706" s="28"/>
      <c r="AX1706" s="28"/>
      <c r="AY1706" s="28"/>
      <c r="AZ1706" s="28"/>
      <c r="BA1706" s="28"/>
      <c r="BB1706" s="28"/>
    </row>
    <row r="1707" spans="1:54" ht="12.75" x14ac:dyDescent="0.2">
      <c r="A1707" s="28"/>
      <c r="B1707" s="28"/>
      <c r="C1707" s="28"/>
      <c r="D1707" s="28"/>
      <c r="E1707" s="28"/>
      <c r="F1707" s="28"/>
      <c r="G1707" s="28"/>
      <c r="H1707" s="28"/>
      <c r="I1707" s="28"/>
      <c r="J1707" s="28"/>
      <c r="K1707" s="28"/>
      <c r="L1707" s="28"/>
      <c r="M1707" s="28"/>
      <c r="N1707" s="28"/>
      <c r="O1707" s="28"/>
      <c r="P1707" s="28"/>
      <c r="Q1707" s="28"/>
      <c r="R1707" s="28"/>
      <c r="S1707" s="28"/>
      <c r="T1707" s="28"/>
      <c r="U1707" s="28"/>
      <c r="V1707" s="28"/>
      <c r="W1707" s="28"/>
      <c r="X1707" s="28"/>
      <c r="Y1707" s="28"/>
      <c r="Z1707" s="28"/>
      <c r="AA1707" s="28"/>
      <c r="AB1707" s="28"/>
      <c r="AC1707" s="28"/>
      <c r="AD1707" s="28"/>
      <c r="AE1707" s="28"/>
      <c r="AF1707" s="28"/>
      <c r="AG1707" s="28"/>
      <c r="AH1707" s="28"/>
      <c r="AI1707" s="28"/>
      <c r="AJ1707" s="28"/>
      <c r="AK1707" s="28"/>
      <c r="AL1707" s="28"/>
      <c r="AM1707" s="28"/>
      <c r="AN1707" s="28"/>
      <c r="AO1707" s="28"/>
      <c r="AP1707" s="28"/>
      <c r="AQ1707" s="28"/>
      <c r="AR1707" s="28"/>
      <c r="AS1707" s="28"/>
      <c r="AT1707" s="28"/>
      <c r="AU1707" s="28"/>
      <c r="AV1707" s="28"/>
      <c r="AW1707" s="28"/>
      <c r="AX1707" s="28"/>
      <c r="AY1707" s="28"/>
      <c r="AZ1707" s="28"/>
      <c r="BA1707" s="28"/>
      <c r="BB1707" s="28"/>
    </row>
    <row r="1708" spans="1:54" ht="12.75" x14ac:dyDescent="0.2">
      <c r="A1708" s="28"/>
      <c r="B1708" s="28"/>
      <c r="C1708" s="28"/>
      <c r="D1708" s="28"/>
      <c r="E1708" s="28"/>
      <c r="F1708" s="28"/>
      <c r="G1708" s="28"/>
      <c r="H1708" s="28"/>
      <c r="I1708" s="28"/>
      <c r="J1708" s="28"/>
      <c r="K1708" s="28"/>
      <c r="L1708" s="28"/>
      <c r="M1708" s="28"/>
      <c r="N1708" s="28"/>
      <c r="O1708" s="28"/>
      <c r="P1708" s="28"/>
      <c r="Q1708" s="28"/>
      <c r="R1708" s="28"/>
      <c r="S1708" s="28"/>
      <c r="T1708" s="28"/>
      <c r="U1708" s="28"/>
      <c r="V1708" s="28"/>
      <c r="W1708" s="28"/>
      <c r="X1708" s="28"/>
      <c r="Y1708" s="28"/>
      <c r="Z1708" s="28"/>
      <c r="AA1708" s="28"/>
      <c r="AB1708" s="28"/>
      <c r="AC1708" s="28"/>
      <c r="AD1708" s="28"/>
      <c r="AE1708" s="28"/>
      <c r="AF1708" s="28"/>
      <c r="AG1708" s="28"/>
      <c r="AH1708" s="28"/>
      <c r="AI1708" s="28"/>
      <c r="AJ1708" s="28"/>
      <c r="AK1708" s="28"/>
      <c r="AL1708" s="28"/>
      <c r="AM1708" s="28"/>
      <c r="AN1708" s="28"/>
      <c r="AO1708" s="28"/>
      <c r="AP1708" s="28"/>
      <c r="AQ1708" s="28"/>
      <c r="AR1708" s="28"/>
      <c r="AS1708" s="28"/>
      <c r="AT1708" s="28"/>
      <c r="AU1708" s="28"/>
      <c r="AV1708" s="28"/>
      <c r="AW1708" s="28"/>
      <c r="AX1708" s="28"/>
      <c r="AY1708" s="28"/>
      <c r="AZ1708" s="28"/>
      <c r="BA1708" s="28"/>
      <c r="BB1708" s="28"/>
    </row>
    <row r="1709" spans="1:54" ht="12.75" x14ac:dyDescent="0.2">
      <c r="A1709" s="28"/>
      <c r="B1709" s="28"/>
      <c r="C1709" s="28"/>
      <c r="D1709" s="28"/>
      <c r="E1709" s="28"/>
      <c r="F1709" s="28"/>
      <c r="G1709" s="28"/>
      <c r="H1709" s="28"/>
      <c r="I1709" s="28"/>
      <c r="J1709" s="28"/>
      <c r="K1709" s="28"/>
      <c r="L1709" s="28"/>
      <c r="M1709" s="28"/>
      <c r="N1709" s="28"/>
      <c r="O1709" s="28"/>
      <c r="P1709" s="28"/>
      <c r="Q1709" s="28"/>
      <c r="R1709" s="28"/>
      <c r="S1709" s="28"/>
      <c r="T1709" s="28"/>
      <c r="U1709" s="28"/>
      <c r="V1709" s="28"/>
      <c r="W1709" s="28"/>
      <c r="X1709" s="28"/>
      <c r="Y1709" s="28"/>
      <c r="Z1709" s="28"/>
      <c r="AA1709" s="28"/>
      <c r="AB1709" s="28"/>
      <c r="AC1709" s="28"/>
      <c r="AD1709" s="28"/>
      <c r="AE1709" s="28"/>
      <c r="AF1709" s="28"/>
      <c r="AG1709" s="28"/>
      <c r="AH1709" s="28"/>
      <c r="AI1709" s="28"/>
      <c r="AJ1709" s="28"/>
      <c r="AK1709" s="28"/>
      <c r="AL1709" s="28"/>
      <c r="AM1709" s="28"/>
      <c r="AN1709" s="28"/>
      <c r="AO1709" s="28"/>
      <c r="AP1709" s="28"/>
      <c r="AQ1709" s="28"/>
      <c r="AR1709" s="28"/>
      <c r="AS1709" s="28"/>
      <c r="AT1709" s="28"/>
      <c r="AU1709" s="28"/>
      <c r="AV1709" s="28"/>
      <c r="AW1709" s="28"/>
      <c r="AX1709" s="28"/>
      <c r="AY1709" s="28"/>
      <c r="AZ1709" s="28"/>
      <c r="BA1709" s="28"/>
      <c r="BB1709" s="28"/>
    </row>
    <row r="1710" spans="1:54" ht="12.75" x14ac:dyDescent="0.2">
      <c r="A1710" s="28"/>
      <c r="B1710" s="28"/>
      <c r="C1710" s="28"/>
      <c r="D1710" s="28"/>
      <c r="E1710" s="28"/>
      <c r="F1710" s="28"/>
      <c r="G1710" s="28"/>
      <c r="H1710" s="28"/>
      <c r="I1710" s="28"/>
      <c r="J1710" s="28"/>
      <c r="K1710" s="28"/>
      <c r="L1710" s="28"/>
      <c r="M1710" s="28"/>
      <c r="N1710" s="28"/>
      <c r="O1710" s="28"/>
      <c r="P1710" s="28"/>
      <c r="Q1710" s="28"/>
      <c r="R1710" s="28"/>
      <c r="S1710" s="28"/>
      <c r="T1710" s="28"/>
      <c r="U1710" s="28"/>
      <c r="V1710" s="28"/>
      <c r="W1710" s="28"/>
      <c r="X1710" s="28"/>
      <c r="Y1710" s="28"/>
      <c r="Z1710" s="28"/>
      <c r="AA1710" s="28"/>
      <c r="AB1710" s="28"/>
      <c r="AC1710" s="28"/>
      <c r="AD1710" s="28"/>
      <c r="AE1710" s="28"/>
      <c r="AF1710" s="28"/>
      <c r="AG1710" s="28"/>
      <c r="AH1710" s="28"/>
      <c r="AI1710" s="28"/>
      <c r="AJ1710" s="28"/>
      <c r="AK1710" s="28"/>
      <c r="AL1710" s="28"/>
      <c r="AM1710" s="28"/>
      <c r="AN1710" s="28"/>
      <c r="AO1710" s="28"/>
      <c r="AP1710" s="28"/>
      <c r="AQ1710" s="28"/>
      <c r="AR1710" s="28"/>
      <c r="AS1710" s="28"/>
      <c r="AT1710" s="28"/>
      <c r="AU1710" s="28"/>
      <c r="AV1710" s="28"/>
      <c r="AW1710" s="28"/>
      <c r="AX1710" s="28"/>
      <c r="AY1710" s="28"/>
      <c r="AZ1710" s="28"/>
      <c r="BA1710" s="28"/>
      <c r="BB1710" s="28"/>
    </row>
    <row r="1711" spans="1:54" ht="12.75" x14ac:dyDescent="0.2">
      <c r="A1711" s="28"/>
      <c r="B1711" s="28"/>
      <c r="C1711" s="28"/>
      <c r="D1711" s="28"/>
      <c r="E1711" s="28"/>
      <c r="F1711" s="28"/>
      <c r="G1711" s="28"/>
      <c r="H1711" s="28"/>
      <c r="I1711" s="28"/>
      <c r="J1711" s="28"/>
      <c r="K1711" s="28"/>
      <c r="L1711" s="28"/>
      <c r="M1711" s="28"/>
      <c r="N1711" s="28"/>
      <c r="O1711" s="28"/>
      <c r="P1711" s="28"/>
      <c r="Q1711" s="28"/>
      <c r="R1711" s="28"/>
      <c r="S1711" s="28"/>
      <c r="T1711" s="28"/>
      <c r="U1711" s="28"/>
      <c r="V1711" s="28"/>
      <c r="W1711" s="28"/>
      <c r="X1711" s="28"/>
      <c r="Y1711" s="28"/>
      <c r="Z1711" s="28"/>
      <c r="AA1711" s="28"/>
      <c r="AB1711" s="28"/>
      <c r="AC1711" s="28"/>
      <c r="AD1711" s="28"/>
      <c r="AE1711" s="28"/>
      <c r="AF1711" s="28"/>
      <c r="AG1711" s="28"/>
      <c r="AH1711" s="28"/>
      <c r="AI1711" s="28"/>
      <c r="AJ1711" s="28"/>
      <c r="AK1711" s="28"/>
      <c r="AL1711" s="28"/>
      <c r="AM1711" s="28"/>
      <c r="AN1711" s="28"/>
      <c r="AO1711" s="28"/>
      <c r="AP1711" s="28"/>
      <c r="AQ1711" s="28"/>
      <c r="AR1711" s="28"/>
      <c r="AS1711" s="28"/>
      <c r="AT1711" s="28"/>
      <c r="AU1711" s="28"/>
      <c r="AV1711" s="28"/>
      <c r="AW1711" s="28"/>
      <c r="AX1711" s="28"/>
      <c r="AY1711" s="28"/>
      <c r="AZ1711" s="28"/>
      <c r="BA1711" s="28"/>
      <c r="BB1711" s="28"/>
    </row>
    <row r="1712" spans="1:54" ht="12.75" x14ac:dyDescent="0.2">
      <c r="A1712" s="28"/>
      <c r="B1712" s="28"/>
      <c r="C1712" s="28"/>
      <c r="D1712" s="28"/>
      <c r="E1712" s="28"/>
      <c r="F1712" s="28"/>
      <c r="G1712" s="28"/>
      <c r="H1712" s="28"/>
      <c r="I1712" s="28"/>
      <c r="J1712" s="28"/>
      <c r="K1712" s="28"/>
      <c r="L1712" s="28"/>
      <c r="M1712" s="28"/>
      <c r="N1712" s="28"/>
      <c r="O1712" s="28"/>
      <c r="P1712" s="28"/>
      <c r="Q1712" s="28"/>
      <c r="R1712" s="28"/>
      <c r="S1712" s="28"/>
      <c r="T1712" s="28"/>
      <c r="U1712" s="28"/>
      <c r="V1712" s="28"/>
      <c r="W1712" s="28"/>
      <c r="X1712" s="28"/>
      <c r="Y1712" s="28"/>
      <c r="Z1712" s="28"/>
      <c r="AA1712" s="28"/>
      <c r="AB1712" s="28"/>
      <c r="AC1712" s="28"/>
      <c r="AD1712" s="28"/>
      <c r="AE1712" s="28"/>
      <c r="AF1712" s="28"/>
      <c r="AG1712" s="28"/>
      <c r="AH1712" s="28"/>
      <c r="AI1712" s="28"/>
      <c r="AJ1712" s="28"/>
      <c r="AK1712" s="28"/>
      <c r="AL1712" s="28"/>
      <c r="AM1712" s="28"/>
      <c r="AN1712" s="28"/>
      <c r="AO1712" s="28"/>
      <c r="AP1712" s="28"/>
      <c r="AQ1712" s="28"/>
      <c r="AR1712" s="28"/>
      <c r="AS1712" s="28"/>
      <c r="AT1712" s="28"/>
      <c r="AU1712" s="28"/>
      <c r="AV1712" s="28"/>
      <c r="AW1712" s="28"/>
      <c r="AX1712" s="28"/>
      <c r="AY1712" s="28"/>
      <c r="AZ1712" s="28"/>
      <c r="BA1712" s="28"/>
      <c r="BB1712" s="28"/>
    </row>
    <row r="1713" spans="1:54" ht="12.75" x14ac:dyDescent="0.2">
      <c r="A1713" s="28"/>
      <c r="B1713" s="28"/>
      <c r="C1713" s="28"/>
      <c r="D1713" s="28"/>
      <c r="E1713" s="28"/>
      <c r="F1713" s="28"/>
      <c r="G1713" s="28"/>
      <c r="H1713" s="28"/>
      <c r="I1713" s="28"/>
      <c r="J1713" s="28"/>
      <c r="K1713" s="28"/>
      <c r="L1713" s="28"/>
      <c r="M1713" s="28"/>
      <c r="N1713" s="28"/>
      <c r="O1713" s="28"/>
      <c r="P1713" s="28"/>
      <c r="Q1713" s="28"/>
      <c r="R1713" s="28"/>
      <c r="S1713" s="28"/>
      <c r="T1713" s="28"/>
      <c r="U1713" s="28"/>
      <c r="V1713" s="28"/>
      <c r="W1713" s="28"/>
      <c r="X1713" s="28"/>
      <c r="Y1713" s="28"/>
      <c r="Z1713" s="28"/>
      <c r="AA1713" s="28"/>
      <c r="AB1713" s="28"/>
      <c r="AC1713" s="28"/>
      <c r="AD1713" s="28"/>
      <c r="AE1713" s="28"/>
      <c r="AF1713" s="28"/>
      <c r="AG1713" s="28"/>
      <c r="AH1713" s="28"/>
      <c r="AI1713" s="28"/>
      <c r="AJ1713" s="28"/>
      <c r="AK1713" s="28"/>
      <c r="AL1713" s="28"/>
      <c r="AM1713" s="28"/>
      <c r="AN1713" s="28"/>
      <c r="AO1713" s="28"/>
      <c r="AP1713" s="28"/>
      <c r="AQ1713" s="28"/>
      <c r="AR1713" s="28"/>
      <c r="AS1713" s="28"/>
      <c r="AT1713" s="28"/>
      <c r="AU1713" s="28"/>
      <c r="AV1713" s="28"/>
      <c r="AW1713" s="28"/>
      <c r="AX1713" s="28"/>
      <c r="AY1713" s="28"/>
      <c r="AZ1713" s="28"/>
      <c r="BA1713" s="28"/>
      <c r="BB1713" s="28"/>
    </row>
    <row r="1714" spans="1:54" ht="12.75" x14ac:dyDescent="0.2">
      <c r="A1714" s="28"/>
      <c r="B1714" s="28"/>
      <c r="C1714" s="28"/>
      <c r="D1714" s="28"/>
      <c r="E1714" s="28"/>
      <c r="F1714" s="28"/>
      <c r="G1714" s="28"/>
      <c r="H1714" s="28"/>
      <c r="I1714" s="28"/>
      <c r="J1714" s="28"/>
      <c r="K1714" s="28"/>
      <c r="L1714" s="28"/>
      <c r="M1714" s="28"/>
      <c r="N1714" s="28"/>
      <c r="O1714" s="28"/>
      <c r="P1714" s="28"/>
      <c r="Q1714" s="28"/>
      <c r="R1714" s="28"/>
      <c r="S1714" s="28"/>
      <c r="T1714" s="28"/>
      <c r="U1714" s="28"/>
      <c r="V1714" s="28"/>
      <c r="W1714" s="28"/>
      <c r="X1714" s="28"/>
      <c r="Y1714" s="28"/>
      <c r="Z1714" s="28"/>
      <c r="AA1714" s="28"/>
      <c r="AB1714" s="28"/>
      <c r="AC1714" s="28"/>
      <c r="AD1714" s="28"/>
      <c r="AE1714" s="28"/>
      <c r="AF1714" s="28"/>
      <c r="AG1714" s="28"/>
      <c r="AH1714" s="28"/>
      <c r="AI1714" s="28"/>
      <c r="AJ1714" s="28"/>
      <c r="AK1714" s="28"/>
      <c r="AL1714" s="28"/>
      <c r="AM1714" s="28"/>
      <c r="AN1714" s="28"/>
      <c r="AO1714" s="28"/>
      <c r="AP1714" s="28"/>
      <c r="AQ1714" s="28"/>
      <c r="AR1714" s="28"/>
      <c r="AS1714" s="28"/>
      <c r="AT1714" s="28"/>
      <c r="AU1714" s="28"/>
      <c r="AV1714" s="28"/>
      <c r="AW1714" s="28"/>
      <c r="AX1714" s="28"/>
      <c r="AY1714" s="28"/>
      <c r="AZ1714" s="28"/>
      <c r="BA1714" s="28"/>
      <c r="BB1714" s="28"/>
    </row>
    <row r="1715" spans="1:54" ht="12.75" x14ac:dyDescent="0.2">
      <c r="A1715" s="28"/>
      <c r="B1715" s="28"/>
      <c r="C1715" s="28"/>
      <c r="D1715" s="28"/>
      <c r="E1715" s="28"/>
      <c r="F1715" s="28"/>
      <c r="G1715" s="28"/>
      <c r="H1715" s="28"/>
      <c r="I1715" s="28"/>
      <c r="J1715" s="28"/>
      <c r="K1715" s="28"/>
      <c r="L1715" s="28"/>
      <c r="M1715" s="28"/>
      <c r="N1715" s="28"/>
      <c r="O1715" s="28"/>
      <c r="P1715" s="28"/>
      <c r="Q1715" s="28"/>
      <c r="R1715" s="28"/>
      <c r="S1715" s="28"/>
      <c r="T1715" s="28"/>
      <c r="U1715" s="28"/>
      <c r="V1715" s="28"/>
      <c r="W1715" s="28"/>
      <c r="X1715" s="28"/>
      <c r="Y1715" s="28"/>
      <c r="Z1715" s="28"/>
      <c r="AA1715" s="28"/>
      <c r="AB1715" s="28"/>
      <c r="AC1715" s="28"/>
      <c r="AD1715" s="28"/>
      <c r="AE1715" s="28"/>
      <c r="AF1715" s="28"/>
      <c r="AG1715" s="28"/>
      <c r="AH1715" s="28"/>
      <c r="AI1715" s="28"/>
      <c r="AJ1715" s="28"/>
      <c r="AK1715" s="28"/>
      <c r="AL1715" s="28"/>
      <c r="AM1715" s="28"/>
      <c r="AN1715" s="28"/>
      <c r="AO1715" s="28"/>
      <c r="AP1715" s="28"/>
      <c r="AQ1715" s="28"/>
      <c r="AR1715" s="28"/>
      <c r="AS1715" s="28"/>
      <c r="AT1715" s="28"/>
      <c r="AU1715" s="28"/>
      <c r="AV1715" s="28"/>
      <c r="AW1715" s="28"/>
      <c r="AX1715" s="28"/>
      <c r="AY1715" s="28"/>
      <c r="AZ1715" s="28"/>
      <c r="BA1715" s="28"/>
      <c r="BB1715" s="28"/>
    </row>
    <row r="1716" spans="1:54" ht="12.75" x14ac:dyDescent="0.2">
      <c r="A1716" s="28"/>
      <c r="B1716" s="28"/>
      <c r="C1716" s="28"/>
      <c r="D1716" s="28"/>
      <c r="E1716" s="28"/>
      <c r="F1716" s="28"/>
      <c r="G1716" s="28"/>
      <c r="H1716" s="28"/>
      <c r="I1716" s="28"/>
      <c r="J1716" s="28"/>
      <c r="K1716" s="28"/>
      <c r="L1716" s="28"/>
      <c r="M1716" s="28"/>
      <c r="N1716" s="28"/>
      <c r="O1716" s="28"/>
      <c r="P1716" s="28"/>
      <c r="Q1716" s="28"/>
      <c r="R1716" s="28"/>
      <c r="S1716" s="28"/>
      <c r="T1716" s="28"/>
      <c r="U1716" s="28"/>
      <c r="V1716" s="28"/>
      <c r="W1716" s="28"/>
      <c r="X1716" s="28"/>
      <c r="Y1716" s="28"/>
      <c r="Z1716" s="28"/>
      <c r="AA1716" s="28"/>
      <c r="AB1716" s="28"/>
      <c r="AC1716" s="28"/>
      <c r="AD1716" s="28"/>
      <c r="AE1716" s="28"/>
      <c r="AF1716" s="28"/>
      <c r="AG1716" s="28"/>
      <c r="AH1716" s="28"/>
      <c r="AI1716" s="28"/>
      <c r="AJ1716" s="28"/>
      <c r="AK1716" s="28"/>
      <c r="AL1716" s="28"/>
      <c r="AM1716" s="28"/>
      <c r="AN1716" s="28"/>
      <c r="AO1716" s="28"/>
      <c r="AP1716" s="28"/>
      <c r="AQ1716" s="28"/>
      <c r="AR1716" s="28"/>
      <c r="AS1716" s="28"/>
      <c r="AT1716" s="28"/>
      <c r="AU1716" s="28"/>
      <c r="AV1716" s="28"/>
      <c r="AW1716" s="28"/>
      <c r="AX1716" s="28"/>
      <c r="AY1716" s="28"/>
      <c r="AZ1716" s="28"/>
      <c r="BA1716" s="28"/>
      <c r="BB1716" s="28"/>
    </row>
    <row r="1717" spans="1:54" ht="12.75" x14ac:dyDescent="0.2">
      <c r="A1717" s="28"/>
      <c r="B1717" s="28"/>
      <c r="C1717" s="28"/>
      <c r="D1717" s="28"/>
      <c r="E1717" s="28"/>
      <c r="F1717" s="28"/>
      <c r="G1717" s="28"/>
      <c r="H1717" s="28"/>
      <c r="I1717" s="28"/>
      <c r="J1717" s="28"/>
      <c r="K1717" s="28"/>
      <c r="L1717" s="28"/>
      <c r="M1717" s="28"/>
      <c r="N1717" s="28"/>
      <c r="O1717" s="28"/>
      <c r="P1717" s="28"/>
      <c r="Q1717" s="28"/>
      <c r="R1717" s="28"/>
      <c r="S1717" s="28"/>
      <c r="T1717" s="28"/>
      <c r="U1717" s="28"/>
      <c r="V1717" s="28"/>
      <c r="W1717" s="28"/>
      <c r="X1717" s="28"/>
      <c r="Y1717" s="28"/>
      <c r="Z1717" s="28"/>
      <c r="AA1717" s="28"/>
      <c r="AB1717" s="28"/>
      <c r="AC1717" s="28"/>
      <c r="AD1717" s="28"/>
      <c r="AE1717" s="28"/>
      <c r="AF1717" s="28"/>
      <c r="AG1717" s="28"/>
      <c r="AH1717" s="28"/>
      <c r="AI1717" s="28"/>
      <c r="AJ1717" s="28"/>
      <c r="AK1717" s="28"/>
      <c r="AL1717" s="28"/>
      <c r="AM1717" s="28"/>
      <c r="AN1717" s="28"/>
      <c r="AO1717" s="28"/>
      <c r="AP1717" s="28"/>
      <c r="AQ1717" s="28"/>
      <c r="AR1717" s="28"/>
      <c r="AS1717" s="28"/>
      <c r="AT1717" s="28"/>
      <c r="AU1717" s="28"/>
      <c r="AV1717" s="28"/>
      <c r="AW1717" s="28"/>
      <c r="AX1717" s="28"/>
      <c r="AY1717" s="28"/>
      <c r="AZ1717" s="28"/>
      <c r="BA1717" s="28"/>
      <c r="BB1717" s="28"/>
    </row>
    <row r="1718" spans="1:54" ht="12.75" x14ac:dyDescent="0.2">
      <c r="A1718" s="28"/>
      <c r="B1718" s="28"/>
      <c r="C1718" s="28"/>
      <c r="D1718" s="28"/>
      <c r="E1718" s="28"/>
      <c r="F1718" s="28"/>
      <c r="G1718" s="28"/>
      <c r="H1718" s="28"/>
      <c r="I1718" s="28"/>
      <c r="J1718" s="28"/>
      <c r="K1718" s="28"/>
      <c r="L1718" s="28"/>
      <c r="M1718" s="28"/>
      <c r="N1718" s="28"/>
      <c r="O1718" s="28"/>
      <c r="P1718" s="28"/>
      <c r="Q1718" s="28"/>
      <c r="R1718" s="28"/>
      <c r="S1718" s="28"/>
      <c r="T1718" s="28"/>
      <c r="U1718" s="28"/>
      <c r="V1718" s="28"/>
      <c r="W1718" s="28"/>
      <c r="X1718" s="28"/>
      <c r="Y1718" s="28"/>
      <c r="Z1718" s="28"/>
      <c r="AA1718" s="28"/>
      <c r="AB1718" s="28"/>
      <c r="AC1718" s="28"/>
      <c r="AD1718" s="28"/>
      <c r="AE1718" s="28"/>
      <c r="AF1718" s="28"/>
      <c r="AG1718" s="28"/>
      <c r="AH1718" s="28"/>
      <c r="AI1718" s="28"/>
      <c r="AJ1718" s="28"/>
      <c r="AK1718" s="28"/>
      <c r="AL1718" s="28"/>
      <c r="AM1718" s="28"/>
      <c r="AN1718" s="28"/>
      <c r="AO1718" s="28"/>
      <c r="AP1718" s="28"/>
      <c r="AQ1718" s="28"/>
      <c r="AR1718" s="28"/>
      <c r="AS1718" s="28"/>
      <c r="AT1718" s="28"/>
      <c r="AU1718" s="28"/>
      <c r="AV1718" s="28"/>
      <c r="AW1718" s="28"/>
      <c r="AX1718" s="28"/>
      <c r="AY1718" s="28"/>
      <c r="AZ1718" s="28"/>
      <c r="BA1718" s="28"/>
      <c r="BB1718" s="28"/>
    </row>
    <row r="1719" spans="1:54" ht="12.75" x14ac:dyDescent="0.2">
      <c r="A1719" s="28"/>
      <c r="B1719" s="28"/>
      <c r="C1719" s="28"/>
      <c r="D1719" s="28"/>
      <c r="E1719" s="28"/>
      <c r="F1719" s="28"/>
      <c r="G1719" s="28"/>
      <c r="H1719" s="28"/>
      <c r="I1719" s="28"/>
      <c r="J1719" s="28"/>
      <c r="K1719" s="28"/>
      <c r="L1719" s="28"/>
      <c r="M1719" s="28"/>
      <c r="N1719" s="28"/>
      <c r="O1719" s="28"/>
      <c r="P1719" s="28"/>
      <c r="Q1719" s="28"/>
      <c r="R1719" s="28"/>
      <c r="S1719" s="28"/>
      <c r="T1719" s="28"/>
      <c r="U1719" s="28"/>
      <c r="V1719" s="28"/>
      <c r="W1719" s="28"/>
      <c r="X1719" s="28"/>
      <c r="Y1719" s="28"/>
      <c r="Z1719" s="28"/>
      <c r="AA1719" s="28"/>
      <c r="AB1719" s="28"/>
      <c r="AC1719" s="28"/>
      <c r="AD1719" s="28"/>
      <c r="AE1719" s="28"/>
      <c r="AF1719" s="28"/>
      <c r="AG1719" s="28"/>
      <c r="AH1719" s="28"/>
      <c r="AI1719" s="28"/>
      <c r="AJ1719" s="28"/>
      <c r="AK1719" s="28"/>
      <c r="AL1719" s="28"/>
      <c r="AM1719" s="28"/>
      <c r="AN1719" s="28"/>
      <c r="AO1719" s="28"/>
      <c r="AP1719" s="28"/>
      <c r="AQ1719" s="28"/>
      <c r="AR1719" s="28"/>
      <c r="AS1719" s="28"/>
      <c r="AT1719" s="28"/>
      <c r="AU1719" s="28"/>
      <c r="AV1719" s="28"/>
      <c r="AW1719" s="28"/>
      <c r="AX1719" s="28"/>
      <c r="AY1719" s="28"/>
      <c r="AZ1719" s="28"/>
      <c r="BA1719" s="28"/>
      <c r="BB1719" s="28"/>
    </row>
    <row r="1720" spans="1:54" ht="12.75" x14ac:dyDescent="0.2">
      <c r="A1720" s="28"/>
      <c r="B1720" s="28"/>
      <c r="C1720" s="28"/>
      <c r="D1720" s="28"/>
      <c r="E1720" s="28"/>
      <c r="F1720" s="28"/>
      <c r="G1720" s="28"/>
      <c r="H1720" s="28"/>
      <c r="I1720" s="28"/>
      <c r="J1720" s="28"/>
      <c r="K1720" s="28"/>
      <c r="L1720" s="28"/>
      <c r="M1720" s="28"/>
      <c r="N1720" s="28"/>
      <c r="O1720" s="28"/>
      <c r="P1720" s="28"/>
      <c r="Q1720" s="28"/>
      <c r="R1720" s="28"/>
      <c r="S1720" s="28"/>
      <c r="T1720" s="28"/>
      <c r="U1720" s="28"/>
      <c r="V1720" s="28"/>
      <c r="W1720" s="28"/>
      <c r="X1720" s="28"/>
      <c r="Y1720" s="28"/>
      <c r="Z1720" s="28"/>
      <c r="AA1720" s="28"/>
      <c r="AB1720" s="28"/>
      <c r="AC1720" s="28"/>
      <c r="AD1720" s="28"/>
      <c r="AE1720" s="28"/>
      <c r="AF1720" s="28"/>
      <c r="AG1720" s="28"/>
      <c r="AH1720" s="28"/>
      <c r="AI1720" s="28"/>
      <c r="AJ1720" s="28"/>
      <c r="AK1720" s="28"/>
      <c r="AL1720" s="28"/>
      <c r="AM1720" s="28"/>
      <c r="AN1720" s="28"/>
      <c r="AO1720" s="28"/>
      <c r="AP1720" s="28"/>
      <c r="AQ1720" s="28"/>
      <c r="AR1720" s="28"/>
      <c r="AS1720" s="28"/>
      <c r="AT1720" s="28"/>
      <c r="AU1720" s="28"/>
      <c r="AV1720" s="28"/>
      <c r="AW1720" s="28"/>
      <c r="AX1720" s="28"/>
      <c r="AY1720" s="28"/>
      <c r="AZ1720" s="28"/>
      <c r="BA1720" s="28"/>
      <c r="BB1720" s="28"/>
    </row>
    <row r="1721" spans="1:54" ht="12.75" x14ac:dyDescent="0.2">
      <c r="A1721" s="28"/>
      <c r="B1721" s="28"/>
      <c r="C1721" s="28"/>
      <c r="D1721" s="28"/>
      <c r="E1721" s="28"/>
      <c r="F1721" s="28"/>
      <c r="G1721" s="28"/>
      <c r="H1721" s="28"/>
      <c r="I1721" s="28"/>
      <c r="J1721" s="28"/>
      <c r="K1721" s="28"/>
      <c r="L1721" s="28"/>
      <c r="M1721" s="28"/>
      <c r="N1721" s="28"/>
      <c r="O1721" s="28"/>
      <c r="P1721" s="28"/>
      <c r="Q1721" s="28"/>
      <c r="R1721" s="28"/>
      <c r="S1721" s="28"/>
      <c r="T1721" s="28"/>
      <c r="U1721" s="28"/>
      <c r="V1721" s="28"/>
      <c r="W1721" s="28"/>
      <c r="X1721" s="28"/>
      <c r="Y1721" s="28"/>
      <c r="Z1721" s="28"/>
      <c r="AA1721" s="28"/>
      <c r="AB1721" s="28"/>
      <c r="AC1721" s="28"/>
      <c r="AD1721" s="28"/>
      <c r="AE1721" s="28"/>
      <c r="AF1721" s="28"/>
      <c r="AG1721" s="28"/>
      <c r="AH1721" s="28"/>
      <c r="AI1721" s="28"/>
      <c r="AJ1721" s="28"/>
      <c r="AK1721" s="28"/>
      <c r="AL1721" s="28"/>
      <c r="AM1721" s="28"/>
      <c r="AN1721" s="28"/>
      <c r="AO1721" s="28"/>
      <c r="AP1721" s="28"/>
      <c r="AQ1721" s="28"/>
      <c r="AR1721" s="28"/>
      <c r="AS1721" s="28"/>
      <c r="AT1721" s="28"/>
      <c r="AU1721" s="28"/>
      <c r="AV1721" s="28"/>
      <c r="AW1721" s="28"/>
      <c r="AX1721" s="28"/>
      <c r="AY1721" s="28"/>
      <c r="AZ1721" s="28"/>
      <c r="BA1721" s="28"/>
      <c r="BB1721" s="28"/>
    </row>
    <row r="1722" spans="1:54" ht="12.75" x14ac:dyDescent="0.2">
      <c r="A1722" s="28"/>
      <c r="B1722" s="28"/>
      <c r="C1722" s="28"/>
      <c r="D1722" s="28"/>
      <c r="E1722" s="28"/>
      <c r="F1722" s="28"/>
      <c r="G1722" s="28"/>
      <c r="H1722" s="28"/>
      <c r="I1722" s="28"/>
      <c r="J1722" s="28"/>
      <c r="K1722" s="28"/>
      <c r="L1722" s="28"/>
      <c r="M1722" s="28"/>
      <c r="N1722" s="28"/>
      <c r="O1722" s="28"/>
      <c r="P1722" s="28"/>
      <c r="Q1722" s="28"/>
      <c r="R1722" s="28"/>
      <c r="S1722" s="28"/>
      <c r="T1722" s="28"/>
      <c r="U1722" s="28"/>
      <c r="V1722" s="28"/>
      <c r="W1722" s="28"/>
      <c r="X1722" s="28"/>
      <c r="Y1722" s="28"/>
      <c r="Z1722" s="28"/>
      <c r="AA1722" s="28"/>
      <c r="AB1722" s="28"/>
      <c r="AC1722" s="28"/>
      <c r="AD1722" s="28"/>
      <c r="AE1722" s="28"/>
      <c r="AF1722" s="28"/>
      <c r="AG1722" s="28"/>
      <c r="AH1722" s="28"/>
      <c r="AI1722" s="28"/>
      <c r="AJ1722" s="28"/>
      <c r="AK1722" s="28"/>
      <c r="AL1722" s="28"/>
      <c r="AM1722" s="28"/>
      <c r="AN1722" s="28"/>
      <c r="AO1722" s="28"/>
      <c r="AP1722" s="28"/>
      <c r="AQ1722" s="28"/>
      <c r="AR1722" s="28"/>
      <c r="AS1722" s="28"/>
      <c r="AT1722" s="28"/>
      <c r="AU1722" s="28"/>
      <c r="AV1722" s="28"/>
      <c r="AW1722" s="28"/>
      <c r="AX1722" s="28"/>
      <c r="AY1722" s="28"/>
      <c r="AZ1722" s="28"/>
      <c r="BA1722" s="28"/>
      <c r="BB1722" s="28"/>
    </row>
    <row r="1723" spans="1:54" ht="12.75" x14ac:dyDescent="0.2">
      <c r="A1723" s="28"/>
      <c r="B1723" s="28"/>
      <c r="C1723" s="28"/>
      <c r="D1723" s="28"/>
      <c r="E1723" s="28"/>
      <c r="F1723" s="28"/>
      <c r="G1723" s="28"/>
      <c r="H1723" s="28"/>
      <c r="I1723" s="28"/>
      <c r="J1723" s="28"/>
      <c r="K1723" s="28"/>
      <c r="L1723" s="28"/>
      <c r="M1723" s="28"/>
      <c r="N1723" s="28"/>
      <c r="O1723" s="28"/>
      <c r="P1723" s="28"/>
      <c r="Q1723" s="28"/>
      <c r="R1723" s="28"/>
      <c r="S1723" s="28"/>
      <c r="T1723" s="28"/>
      <c r="U1723" s="28"/>
      <c r="V1723" s="28"/>
      <c r="W1723" s="28"/>
      <c r="X1723" s="28"/>
      <c r="Y1723" s="28"/>
      <c r="Z1723" s="28"/>
      <c r="AA1723" s="28"/>
      <c r="AB1723" s="28"/>
      <c r="AC1723" s="28"/>
      <c r="AD1723" s="28"/>
      <c r="AE1723" s="28"/>
      <c r="AF1723" s="28"/>
      <c r="AG1723" s="28"/>
      <c r="AH1723" s="28"/>
      <c r="AI1723" s="28"/>
      <c r="AJ1723" s="28"/>
      <c r="AK1723" s="28"/>
      <c r="AL1723" s="28"/>
      <c r="AM1723" s="28"/>
      <c r="AN1723" s="28"/>
      <c r="AO1723" s="28"/>
      <c r="AP1723" s="28"/>
      <c r="AQ1723" s="28"/>
      <c r="AR1723" s="28"/>
      <c r="AS1723" s="28"/>
      <c r="AT1723" s="28"/>
      <c r="AU1723" s="28"/>
      <c r="AV1723" s="28"/>
      <c r="AW1723" s="28"/>
      <c r="AX1723" s="28"/>
      <c r="AY1723" s="28"/>
      <c r="AZ1723" s="28"/>
      <c r="BA1723" s="28"/>
      <c r="BB1723" s="28"/>
    </row>
    <row r="1724" spans="1:54" ht="12.75" x14ac:dyDescent="0.2">
      <c r="A1724" s="28"/>
      <c r="B1724" s="28"/>
      <c r="C1724" s="28"/>
      <c r="D1724" s="28"/>
      <c r="E1724" s="28"/>
      <c r="F1724" s="28"/>
      <c r="G1724" s="28"/>
      <c r="H1724" s="28"/>
      <c r="I1724" s="28"/>
      <c r="J1724" s="28"/>
      <c r="K1724" s="28"/>
      <c r="L1724" s="28"/>
      <c r="M1724" s="28"/>
      <c r="N1724" s="28"/>
      <c r="O1724" s="28"/>
      <c r="P1724" s="28"/>
      <c r="Q1724" s="28"/>
      <c r="R1724" s="28"/>
      <c r="S1724" s="28"/>
      <c r="T1724" s="28"/>
      <c r="U1724" s="28"/>
      <c r="V1724" s="28"/>
      <c r="W1724" s="28"/>
      <c r="X1724" s="28"/>
      <c r="Y1724" s="28"/>
      <c r="Z1724" s="28"/>
      <c r="AA1724" s="28"/>
      <c r="AB1724" s="28"/>
      <c r="AC1724" s="28"/>
      <c r="AD1724" s="28"/>
      <c r="AE1724" s="28"/>
      <c r="AF1724" s="28"/>
      <c r="AG1724" s="28"/>
      <c r="AH1724" s="28"/>
      <c r="AI1724" s="28"/>
      <c r="AJ1724" s="28"/>
      <c r="AK1724" s="28"/>
      <c r="AL1724" s="28"/>
      <c r="AM1724" s="28"/>
      <c r="AN1724" s="28"/>
      <c r="AO1724" s="28"/>
      <c r="AP1724" s="28"/>
      <c r="AQ1724" s="28"/>
      <c r="AR1724" s="28"/>
      <c r="AS1724" s="28"/>
      <c r="AT1724" s="28"/>
      <c r="AU1724" s="28"/>
      <c r="AV1724" s="28"/>
      <c r="AW1724" s="28"/>
      <c r="AX1724" s="28"/>
      <c r="AY1724" s="28"/>
      <c r="AZ1724" s="28"/>
      <c r="BA1724" s="28"/>
      <c r="BB1724" s="28"/>
    </row>
    <row r="1725" spans="1:54" ht="12.75" x14ac:dyDescent="0.2">
      <c r="A1725" s="28"/>
      <c r="B1725" s="28"/>
      <c r="C1725" s="28"/>
      <c r="D1725" s="28"/>
      <c r="E1725" s="28"/>
      <c r="F1725" s="28"/>
      <c r="G1725" s="28"/>
      <c r="H1725" s="28"/>
      <c r="I1725" s="28"/>
      <c r="J1725" s="28"/>
      <c r="K1725" s="28"/>
      <c r="L1725" s="28"/>
      <c r="M1725" s="28"/>
      <c r="N1725" s="28"/>
      <c r="O1725" s="28"/>
      <c r="P1725" s="28"/>
      <c r="Q1725" s="28"/>
      <c r="R1725" s="28"/>
      <c r="S1725" s="28"/>
      <c r="T1725" s="28"/>
      <c r="U1725" s="28"/>
      <c r="V1725" s="28"/>
      <c r="W1725" s="28"/>
      <c r="X1725" s="28"/>
      <c r="Y1725" s="28"/>
      <c r="Z1725" s="28"/>
      <c r="AA1725" s="28"/>
      <c r="AB1725" s="28"/>
      <c r="AC1725" s="28"/>
      <c r="AD1725" s="28"/>
      <c r="AE1725" s="28"/>
      <c r="AF1725" s="28"/>
      <c r="AG1725" s="28"/>
      <c r="AH1725" s="28"/>
      <c r="AI1725" s="28"/>
      <c r="AJ1725" s="28"/>
      <c r="AK1725" s="28"/>
      <c r="AL1725" s="28"/>
      <c r="AM1725" s="28"/>
      <c r="AN1725" s="28"/>
      <c r="AO1725" s="28"/>
      <c r="AP1725" s="28"/>
      <c r="AQ1725" s="28"/>
      <c r="AR1725" s="28"/>
      <c r="AS1725" s="28"/>
      <c r="AT1725" s="28"/>
      <c r="AU1725" s="28"/>
      <c r="AV1725" s="28"/>
      <c r="AW1725" s="28"/>
      <c r="AX1725" s="28"/>
      <c r="AY1725" s="28"/>
      <c r="AZ1725" s="28"/>
      <c r="BA1725" s="28"/>
      <c r="BB1725" s="28"/>
    </row>
    <row r="1726" spans="1:54" ht="12.75" x14ac:dyDescent="0.2">
      <c r="A1726" s="28"/>
      <c r="B1726" s="28"/>
      <c r="C1726" s="28"/>
      <c r="D1726" s="28"/>
      <c r="E1726" s="28"/>
      <c r="F1726" s="28"/>
      <c r="G1726" s="28"/>
      <c r="H1726" s="28"/>
      <c r="I1726" s="28"/>
      <c r="J1726" s="28"/>
      <c r="K1726" s="28"/>
      <c r="L1726" s="28"/>
      <c r="M1726" s="28"/>
      <c r="N1726" s="28"/>
      <c r="O1726" s="28"/>
      <c r="P1726" s="28"/>
      <c r="Q1726" s="28"/>
      <c r="R1726" s="28"/>
      <c r="S1726" s="28"/>
      <c r="T1726" s="28"/>
      <c r="U1726" s="28"/>
      <c r="V1726" s="28"/>
      <c r="W1726" s="28"/>
      <c r="X1726" s="28"/>
      <c r="Y1726" s="28"/>
      <c r="Z1726" s="28"/>
      <c r="AA1726" s="28"/>
      <c r="AB1726" s="28"/>
      <c r="AC1726" s="28"/>
      <c r="AD1726" s="28"/>
      <c r="AE1726" s="28"/>
      <c r="AF1726" s="28"/>
      <c r="AG1726" s="28"/>
      <c r="AH1726" s="28"/>
      <c r="AI1726" s="28"/>
      <c r="AJ1726" s="28"/>
      <c r="AK1726" s="28"/>
      <c r="AL1726" s="28"/>
      <c r="AM1726" s="28"/>
      <c r="AN1726" s="28"/>
      <c r="AO1726" s="28"/>
      <c r="AP1726" s="28"/>
      <c r="AQ1726" s="28"/>
      <c r="AR1726" s="28"/>
      <c r="AS1726" s="28"/>
      <c r="AT1726" s="28"/>
      <c r="AU1726" s="28"/>
      <c r="AV1726" s="28"/>
      <c r="AW1726" s="28"/>
      <c r="AX1726" s="28"/>
      <c r="AY1726" s="28"/>
      <c r="AZ1726" s="28"/>
      <c r="BA1726" s="28"/>
      <c r="BB1726" s="28"/>
    </row>
    <row r="1727" spans="1:54" ht="12.75" x14ac:dyDescent="0.2">
      <c r="A1727" s="28"/>
      <c r="B1727" s="28"/>
      <c r="C1727" s="28"/>
      <c r="D1727" s="28"/>
      <c r="E1727" s="28"/>
      <c r="F1727" s="28"/>
      <c r="G1727" s="28"/>
      <c r="H1727" s="28"/>
      <c r="I1727" s="28"/>
      <c r="J1727" s="28"/>
      <c r="K1727" s="28"/>
      <c r="L1727" s="28"/>
      <c r="M1727" s="28"/>
      <c r="N1727" s="28"/>
      <c r="O1727" s="28"/>
      <c r="P1727" s="28"/>
      <c r="Q1727" s="28"/>
      <c r="R1727" s="28"/>
      <c r="S1727" s="28"/>
      <c r="T1727" s="28"/>
      <c r="U1727" s="28"/>
      <c r="V1727" s="28"/>
      <c r="W1727" s="28"/>
      <c r="X1727" s="28"/>
      <c r="Y1727" s="28"/>
      <c r="Z1727" s="28"/>
      <c r="AA1727" s="28"/>
      <c r="AB1727" s="28"/>
      <c r="AC1727" s="28"/>
      <c r="AD1727" s="28"/>
      <c r="AE1727" s="28"/>
      <c r="AF1727" s="28"/>
      <c r="AG1727" s="28"/>
      <c r="AH1727" s="28"/>
      <c r="AI1727" s="28"/>
      <c r="AJ1727" s="28"/>
      <c r="AK1727" s="28"/>
      <c r="AL1727" s="28"/>
      <c r="AM1727" s="28"/>
      <c r="AN1727" s="28"/>
      <c r="AO1727" s="28"/>
      <c r="AP1727" s="28"/>
      <c r="AQ1727" s="28"/>
      <c r="AR1727" s="28"/>
      <c r="AS1727" s="28"/>
      <c r="AT1727" s="28"/>
      <c r="AU1727" s="28"/>
      <c r="AV1727" s="28"/>
      <c r="AW1727" s="28"/>
      <c r="AX1727" s="28"/>
      <c r="AY1727" s="28"/>
      <c r="AZ1727" s="28"/>
      <c r="BA1727" s="28"/>
      <c r="BB1727" s="28"/>
    </row>
    <row r="1728" spans="1:54" ht="12.75" x14ac:dyDescent="0.2">
      <c r="A1728" s="28"/>
      <c r="B1728" s="28"/>
      <c r="C1728" s="28"/>
      <c r="D1728" s="28"/>
      <c r="E1728" s="28"/>
      <c r="F1728" s="28"/>
      <c r="G1728" s="28"/>
      <c r="H1728" s="28"/>
      <c r="I1728" s="28"/>
      <c r="J1728" s="28"/>
      <c r="K1728" s="28"/>
      <c r="L1728" s="28"/>
      <c r="M1728" s="28"/>
      <c r="N1728" s="28"/>
      <c r="O1728" s="28"/>
      <c r="P1728" s="28"/>
      <c r="Q1728" s="28"/>
      <c r="R1728" s="28"/>
      <c r="S1728" s="28"/>
      <c r="T1728" s="28"/>
      <c r="U1728" s="28"/>
      <c r="V1728" s="28"/>
      <c r="W1728" s="28"/>
      <c r="X1728" s="28"/>
      <c r="Y1728" s="28"/>
      <c r="Z1728" s="28"/>
      <c r="AA1728" s="28"/>
      <c r="AB1728" s="28"/>
      <c r="AC1728" s="28"/>
      <c r="AD1728" s="28"/>
      <c r="AE1728" s="28"/>
      <c r="AF1728" s="28"/>
      <c r="AG1728" s="28"/>
      <c r="AH1728" s="28"/>
      <c r="AI1728" s="28"/>
      <c r="AJ1728" s="28"/>
      <c r="AK1728" s="28"/>
      <c r="AL1728" s="28"/>
      <c r="AM1728" s="28"/>
      <c r="AN1728" s="28"/>
      <c r="AO1728" s="28"/>
      <c r="AP1728" s="28"/>
      <c r="AQ1728" s="28"/>
      <c r="AR1728" s="28"/>
      <c r="AS1728" s="28"/>
      <c r="AT1728" s="28"/>
      <c r="AU1728" s="28"/>
      <c r="AV1728" s="28"/>
      <c r="AW1728" s="28"/>
      <c r="AX1728" s="28"/>
      <c r="AY1728" s="28"/>
      <c r="AZ1728" s="28"/>
      <c r="BA1728" s="28"/>
      <c r="BB1728" s="28"/>
    </row>
    <row r="1729" spans="1:54" ht="12.75" x14ac:dyDescent="0.2">
      <c r="A1729" s="28"/>
      <c r="B1729" s="28"/>
      <c r="C1729" s="28"/>
      <c r="D1729" s="28"/>
      <c r="E1729" s="28"/>
      <c r="F1729" s="28"/>
      <c r="G1729" s="28"/>
      <c r="H1729" s="28"/>
      <c r="I1729" s="28"/>
      <c r="J1729" s="28"/>
      <c r="K1729" s="28"/>
      <c r="L1729" s="28"/>
      <c r="M1729" s="28"/>
      <c r="N1729" s="28"/>
      <c r="O1729" s="28"/>
      <c r="P1729" s="28"/>
      <c r="Q1729" s="28"/>
      <c r="R1729" s="28"/>
      <c r="S1729" s="28"/>
      <c r="T1729" s="28"/>
      <c r="U1729" s="28"/>
      <c r="V1729" s="28"/>
      <c r="W1729" s="28"/>
      <c r="X1729" s="28"/>
      <c r="Y1729" s="28"/>
      <c r="Z1729" s="28"/>
      <c r="AA1729" s="28"/>
      <c r="AB1729" s="28"/>
      <c r="AC1729" s="28"/>
      <c r="AD1729" s="28"/>
      <c r="AE1729" s="28"/>
      <c r="AF1729" s="28"/>
      <c r="AG1729" s="28"/>
      <c r="AH1729" s="28"/>
      <c r="AI1729" s="28"/>
      <c r="AJ1729" s="28"/>
      <c r="AK1729" s="28"/>
      <c r="AL1729" s="28"/>
      <c r="AM1729" s="28"/>
      <c r="AN1729" s="28"/>
      <c r="AO1729" s="28"/>
      <c r="AP1729" s="28"/>
      <c r="AQ1729" s="28"/>
      <c r="AR1729" s="28"/>
      <c r="AS1729" s="28"/>
      <c r="AT1729" s="28"/>
      <c r="AU1729" s="28"/>
      <c r="AV1729" s="28"/>
      <c r="AW1729" s="28"/>
      <c r="AX1729" s="28"/>
      <c r="AY1729" s="28"/>
      <c r="AZ1729" s="28"/>
      <c r="BA1729" s="28"/>
      <c r="BB1729" s="28"/>
    </row>
    <row r="1730" spans="1:54" ht="12.75" x14ac:dyDescent="0.2">
      <c r="A1730" s="28"/>
      <c r="B1730" s="28"/>
      <c r="C1730" s="28"/>
      <c r="D1730" s="28"/>
      <c r="E1730" s="28"/>
      <c r="F1730" s="28"/>
      <c r="G1730" s="28"/>
      <c r="H1730" s="28"/>
      <c r="I1730" s="28"/>
      <c r="J1730" s="28"/>
      <c r="K1730" s="28"/>
      <c r="L1730" s="28"/>
      <c r="M1730" s="28"/>
      <c r="N1730" s="28"/>
      <c r="O1730" s="28"/>
      <c r="P1730" s="28"/>
      <c r="Q1730" s="28"/>
      <c r="R1730" s="28"/>
      <c r="S1730" s="28"/>
      <c r="T1730" s="28"/>
      <c r="U1730" s="28"/>
      <c r="V1730" s="28"/>
      <c r="W1730" s="28"/>
      <c r="X1730" s="28"/>
      <c r="Y1730" s="28"/>
      <c r="Z1730" s="28"/>
      <c r="AA1730" s="28"/>
      <c r="AB1730" s="28"/>
      <c r="AC1730" s="28"/>
      <c r="AD1730" s="28"/>
      <c r="AE1730" s="28"/>
      <c r="AF1730" s="28"/>
      <c r="AG1730" s="28"/>
      <c r="AH1730" s="28"/>
      <c r="AI1730" s="28"/>
      <c r="AJ1730" s="28"/>
      <c r="AK1730" s="28"/>
      <c r="AL1730" s="28"/>
      <c r="AM1730" s="28"/>
      <c r="AN1730" s="28"/>
      <c r="AO1730" s="28"/>
      <c r="AP1730" s="28"/>
      <c r="AQ1730" s="28"/>
      <c r="AR1730" s="28"/>
      <c r="AS1730" s="28"/>
      <c r="AT1730" s="28"/>
      <c r="AU1730" s="28"/>
      <c r="AV1730" s="28"/>
      <c r="AW1730" s="28"/>
      <c r="AX1730" s="28"/>
      <c r="AY1730" s="28"/>
      <c r="AZ1730" s="28"/>
      <c r="BA1730" s="28"/>
      <c r="BB1730" s="28"/>
    </row>
    <row r="1731" spans="1:54" ht="12.75" x14ac:dyDescent="0.2">
      <c r="A1731" s="28"/>
      <c r="B1731" s="28"/>
      <c r="C1731" s="28"/>
      <c r="D1731" s="28"/>
      <c r="E1731" s="28"/>
      <c r="F1731" s="28"/>
      <c r="G1731" s="28"/>
      <c r="H1731" s="28"/>
      <c r="I1731" s="28"/>
      <c r="J1731" s="28"/>
      <c r="K1731" s="28"/>
      <c r="L1731" s="28"/>
      <c r="M1731" s="28"/>
      <c r="N1731" s="28"/>
      <c r="O1731" s="28"/>
      <c r="P1731" s="28"/>
      <c r="Q1731" s="28"/>
      <c r="R1731" s="28"/>
      <c r="S1731" s="28"/>
      <c r="T1731" s="28"/>
      <c r="U1731" s="28"/>
      <c r="V1731" s="28"/>
      <c r="W1731" s="28"/>
      <c r="X1731" s="28"/>
      <c r="Y1731" s="28"/>
      <c r="Z1731" s="28"/>
      <c r="AA1731" s="28"/>
      <c r="AB1731" s="28"/>
      <c r="AC1731" s="28"/>
      <c r="AD1731" s="28"/>
      <c r="AE1731" s="28"/>
      <c r="AF1731" s="28"/>
      <c r="AG1731" s="28"/>
      <c r="AH1731" s="28"/>
      <c r="AI1731" s="28"/>
      <c r="AJ1731" s="28"/>
      <c r="AK1731" s="28"/>
      <c r="AL1731" s="28"/>
      <c r="AM1731" s="28"/>
      <c r="AN1731" s="28"/>
      <c r="AO1731" s="28"/>
      <c r="AP1731" s="28"/>
      <c r="AQ1731" s="28"/>
      <c r="AR1731" s="28"/>
      <c r="AS1731" s="28"/>
      <c r="AT1731" s="28"/>
      <c r="AU1731" s="28"/>
      <c r="AV1731" s="28"/>
      <c r="AW1731" s="28"/>
      <c r="AX1731" s="28"/>
      <c r="AY1731" s="28"/>
      <c r="AZ1731" s="28"/>
      <c r="BA1731" s="28"/>
      <c r="BB1731" s="28"/>
    </row>
    <row r="1732" spans="1:54" ht="12.75" x14ac:dyDescent="0.2">
      <c r="A1732" s="28"/>
      <c r="B1732" s="28"/>
      <c r="C1732" s="28"/>
      <c r="D1732" s="28"/>
      <c r="E1732" s="28"/>
      <c r="F1732" s="28"/>
      <c r="G1732" s="28"/>
      <c r="H1732" s="28"/>
      <c r="I1732" s="28"/>
      <c r="J1732" s="28"/>
      <c r="K1732" s="28"/>
      <c r="L1732" s="28"/>
      <c r="M1732" s="28"/>
      <c r="N1732" s="28"/>
      <c r="O1732" s="28"/>
      <c r="P1732" s="28"/>
      <c r="Q1732" s="28"/>
      <c r="R1732" s="28"/>
      <c r="S1732" s="28"/>
      <c r="T1732" s="28"/>
      <c r="U1732" s="28"/>
      <c r="V1732" s="28"/>
      <c r="W1732" s="28"/>
      <c r="X1732" s="28"/>
      <c r="Y1732" s="28"/>
      <c r="Z1732" s="28"/>
      <c r="AA1732" s="28"/>
      <c r="AB1732" s="28"/>
      <c r="AC1732" s="28"/>
      <c r="AD1732" s="28"/>
      <c r="AE1732" s="28"/>
      <c r="AF1732" s="28"/>
      <c r="AG1732" s="28"/>
      <c r="AH1732" s="28"/>
      <c r="AI1732" s="28"/>
      <c r="AJ1732" s="28"/>
      <c r="AK1732" s="28"/>
      <c r="AL1732" s="28"/>
      <c r="AM1732" s="28"/>
      <c r="AN1732" s="28"/>
      <c r="AO1732" s="28"/>
      <c r="AP1732" s="28"/>
      <c r="AQ1732" s="28"/>
      <c r="AR1732" s="28"/>
      <c r="AS1732" s="28"/>
      <c r="AT1732" s="28"/>
      <c r="AU1732" s="28"/>
      <c r="AV1732" s="28"/>
      <c r="AW1732" s="28"/>
      <c r="AX1732" s="28"/>
      <c r="AY1732" s="28"/>
      <c r="AZ1732" s="28"/>
      <c r="BA1732" s="28"/>
      <c r="BB1732" s="28"/>
    </row>
    <row r="1733" spans="1:54" ht="12.75" x14ac:dyDescent="0.2">
      <c r="A1733" s="28"/>
      <c r="B1733" s="28"/>
      <c r="C1733" s="28"/>
      <c r="D1733" s="28"/>
      <c r="E1733" s="28"/>
      <c r="F1733" s="28"/>
      <c r="G1733" s="28"/>
      <c r="H1733" s="28"/>
      <c r="I1733" s="28"/>
      <c r="J1733" s="28"/>
      <c r="K1733" s="28"/>
      <c r="L1733" s="28"/>
      <c r="M1733" s="28"/>
      <c r="N1733" s="28"/>
      <c r="O1733" s="28"/>
      <c r="P1733" s="28"/>
      <c r="Q1733" s="28"/>
      <c r="R1733" s="28"/>
      <c r="S1733" s="28"/>
      <c r="T1733" s="28"/>
      <c r="U1733" s="28"/>
      <c r="V1733" s="28"/>
      <c r="W1733" s="28"/>
      <c r="X1733" s="28"/>
      <c r="Y1733" s="28"/>
      <c r="Z1733" s="28"/>
      <c r="AA1733" s="28"/>
      <c r="AB1733" s="28"/>
      <c r="AC1733" s="28"/>
      <c r="AD1733" s="28"/>
      <c r="AE1733" s="28"/>
      <c r="AF1733" s="28"/>
      <c r="AG1733" s="28"/>
      <c r="AH1733" s="28"/>
      <c r="AI1733" s="28"/>
      <c r="AJ1733" s="28"/>
      <c r="AK1733" s="28"/>
      <c r="AL1733" s="28"/>
      <c r="AM1733" s="28"/>
      <c r="AN1733" s="28"/>
      <c r="AO1733" s="28"/>
      <c r="AP1733" s="28"/>
      <c r="AQ1733" s="28"/>
      <c r="AR1733" s="28"/>
      <c r="AS1733" s="28"/>
      <c r="AT1733" s="28"/>
      <c r="AU1733" s="28"/>
      <c r="AV1733" s="28"/>
      <c r="AW1733" s="28"/>
      <c r="AX1733" s="28"/>
      <c r="AY1733" s="28"/>
      <c r="AZ1733" s="28"/>
      <c r="BA1733" s="28"/>
      <c r="BB1733" s="28"/>
    </row>
    <row r="1734" spans="1:54" ht="12.75" x14ac:dyDescent="0.2">
      <c r="A1734" s="28"/>
      <c r="B1734" s="28"/>
      <c r="C1734" s="28"/>
      <c r="D1734" s="28"/>
      <c r="E1734" s="28"/>
      <c r="F1734" s="28"/>
      <c r="G1734" s="28"/>
      <c r="H1734" s="28"/>
      <c r="I1734" s="28"/>
      <c r="J1734" s="28"/>
      <c r="K1734" s="28"/>
      <c r="L1734" s="28"/>
      <c r="M1734" s="28"/>
      <c r="N1734" s="28"/>
      <c r="O1734" s="28"/>
      <c r="P1734" s="28"/>
      <c r="Q1734" s="28"/>
      <c r="R1734" s="28"/>
      <c r="S1734" s="28"/>
      <c r="T1734" s="28"/>
      <c r="U1734" s="28"/>
      <c r="V1734" s="28"/>
      <c r="W1734" s="28"/>
      <c r="X1734" s="28"/>
      <c r="Y1734" s="28"/>
      <c r="Z1734" s="28"/>
      <c r="AA1734" s="28"/>
      <c r="AB1734" s="28"/>
      <c r="AC1734" s="28"/>
      <c r="AD1734" s="28"/>
      <c r="AE1734" s="28"/>
      <c r="AF1734" s="28"/>
      <c r="AG1734" s="28"/>
      <c r="AH1734" s="28"/>
      <c r="AI1734" s="28"/>
      <c r="AJ1734" s="28"/>
      <c r="AK1734" s="28"/>
      <c r="AL1734" s="28"/>
      <c r="AM1734" s="28"/>
      <c r="AN1734" s="28"/>
      <c r="AO1734" s="28"/>
      <c r="AP1734" s="28"/>
      <c r="AQ1734" s="28"/>
      <c r="AR1734" s="28"/>
      <c r="AS1734" s="28"/>
      <c r="AT1734" s="28"/>
      <c r="AU1734" s="28"/>
      <c r="AV1734" s="28"/>
      <c r="AW1734" s="28"/>
      <c r="AX1734" s="28"/>
      <c r="AY1734" s="28"/>
      <c r="AZ1734" s="28"/>
      <c r="BA1734" s="28"/>
      <c r="BB1734" s="28"/>
    </row>
    <row r="1735" spans="1:54" ht="12.75" x14ac:dyDescent="0.2">
      <c r="A1735" s="28"/>
      <c r="B1735" s="28"/>
      <c r="C1735" s="28"/>
      <c r="D1735" s="28"/>
      <c r="E1735" s="28"/>
      <c r="F1735" s="28"/>
      <c r="G1735" s="28"/>
      <c r="H1735" s="28"/>
      <c r="I1735" s="28"/>
      <c r="J1735" s="28"/>
      <c r="K1735" s="28"/>
      <c r="L1735" s="28"/>
      <c r="M1735" s="28"/>
      <c r="N1735" s="28"/>
      <c r="O1735" s="28"/>
      <c r="P1735" s="28"/>
      <c r="Q1735" s="28"/>
      <c r="R1735" s="28"/>
      <c r="S1735" s="28"/>
      <c r="T1735" s="28"/>
      <c r="U1735" s="28"/>
      <c r="V1735" s="28"/>
      <c r="W1735" s="28"/>
      <c r="X1735" s="28"/>
      <c r="Y1735" s="28"/>
      <c r="Z1735" s="28"/>
      <c r="AA1735" s="28"/>
      <c r="AB1735" s="28"/>
      <c r="AC1735" s="28"/>
      <c r="AD1735" s="28"/>
      <c r="AE1735" s="28"/>
      <c r="AF1735" s="28"/>
      <c r="AG1735" s="28"/>
      <c r="AH1735" s="28"/>
      <c r="AI1735" s="28"/>
      <c r="AJ1735" s="28"/>
      <c r="AK1735" s="28"/>
      <c r="AL1735" s="28"/>
      <c r="AM1735" s="28"/>
      <c r="AN1735" s="28"/>
      <c r="AO1735" s="28"/>
      <c r="AP1735" s="28"/>
      <c r="AQ1735" s="28"/>
      <c r="AR1735" s="28"/>
      <c r="AS1735" s="28"/>
      <c r="AT1735" s="28"/>
      <c r="AU1735" s="28"/>
      <c r="AV1735" s="28"/>
      <c r="AW1735" s="28"/>
      <c r="AX1735" s="28"/>
      <c r="AY1735" s="28"/>
      <c r="AZ1735" s="28"/>
      <c r="BA1735" s="28"/>
      <c r="BB1735" s="28"/>
    </row>
    <row r="1736" spans="1:54" ht="12.75" x14ac:dyDescent="0.2">
      <c r="A1736" s="28"/>
      <c r="B1736" s="28"/>
      <c r="C1736" s="28"/>
      <c r="D1736" s="28"/>
      <c r="E1736" s="28"/>
      <c r="F1736" s="28"/>
      <c r="G1736" s="28"/>
      <c r="H1736" s="28"/>
      <c r="I1736" s="28"/>
      <c r="J1736" s="28"/>
      <c r="K1736" s="28"/>
      <c r="L1736" s="28"/>
      <c r="M1736" s="28"/>
      <c r="N1736" s="28"/>
      <c r="O1736" s="28"/>
      <c r="P1736" s="28"/>
      <c r="Q1736" s="28"/>
      <c r="R1736" s="28"/>
      <c r="S1736" s="28"/>
      <c r="T1736" s="28"/>
      <c r="U1736" s="28"/>
      <c r="V1736" s="28"/>
      <c r="W1736" s="28"/>
      <c r="X1736" s="28"/>
      <c r="Y1736" s="28"/>
      <c r="Z1736" s="28"/>
      <c r="AA1736" s="28"/>
      <c r="AB1736" s="28"/>
      <c r="AC1736" s="28"/>
      <c r="AD1736" s="28"/>
      <c r="AE1736" s="28"/>
      <c r="AF1736" s="28"/>
      <c r="AG1736" s="28"/>
      <c r="AH1736" s="28"/>
      <c r="AI1736" s="28"/>
      <c r="AJ1736" s="28"/>
      <c r="AK1736" s="28"/>
      <c r="AL1736" s="28"/>
      <c r="AM1736" s="28"/>
      <c r="AN1736" s="28"/>
      <c r="AO1736" s="28"/>
      <c r="AP1736" s="28"/>
      <c r="AQ1736" s="28"/>
      <c r="AR1736" s="28"/>
      <c r="AS1736" s="28"/>
      <c r="AT1736" s="28"/>
      <c r="AU1736" s="28"/>
      <c r="AV1736" s="28"/>
      <c r="AW1736" s="28"/>
      <c r="AX1736" s="28"/>
      <c r="AY1736" s="28"/>
      <c r="AZ1736" s="28"/>
      <c r="BA1736" s="28"/>
      <c r="BB1736" s="28"/>
    </row>
    <row r="1737" spans="1:54" ht="12.75" x14ac:dyDescent="0.2">
      <c r="A1737" s="28"/>
      <c r="B1737" s="28"/>
      <c r="C1737" s="28"/>
      <c r="D1737" s="28"/>
      <c r="E1737" s="28"/>
      <c r="F1737" s="28"/>
      <c r="G1737" s="28"/>
      <c r="H1737" s="28"/>
      <c r="I1737" s="28"/>
      <c r="J1737" s="28"/>
      <c r="K1737" s="28"/>
      <c r="L1737" s="28"/>
      <c r="M1737" s="28"/>
      <c r="N1737" s="28"/>
      <c r="O1737" s="28"/>
      <c r="P1737" s="28"/>
      <c r="Q1737" s="28"/>
      <c r="R1737" s="28"/>
      <c r="S1737" s="28"/>
      <c r="T1737" s="28"/>
      <c r="U1737" s="28"/>
      <c r="V1737" s="28"/>
      <c r="W1737" s="28"/>
      <c r="X1737" s="28"/>
      <c r="Y1737" s="28"/>
      <c r="Z1737" s="28"/>
      <c r="AA1737" s="28"/>
      <c r="AB1737" s="28"/>
      <c r="AC1737" s="28"/>
      <c r="AD1737" s="28"/>
      <c r="AE1737" s="28"/>
      <c r="AF1737" s="28"/>
      <c r="AG1737" s="28"/>
      <c r="AH1737" s="28"/>
      <c r="AI1737" s="28"/>
      <c r="AJ1737" s="28"/>
      <c r="AK1737" s="28"/>
      <c r="AL1737" s="28"/>
      <c r="AM1737" s="28"/>
      <c r="AN1737" s="28"/>
      <c r="AO1737" s="28"/>
      <c r="AP1737" s="28"/>
      <c r="AQ1737" s="28"/>
      <c r="AR1737" s="28"/>
      <c r="AS1737" s="28"/>
      <c r="AT1737" s="28"/>
      <c r="AU1737" s="28"/>
      <c r="AV1737" s="28"/>
      <c r="AW1737" s="28"/>
      <c r="AX1737" s="28"/>
      <c r="AY1737" s="28"/>
      <c r="AZ1737" s="28"/>
      <c r="BA1737" s="28"/>
      <c r="BB1737" s="28"/>
    </row>
    <row r="1738" spans="1:54" ht="12.75" x14ac:dyDescent="0.2">
      <c r="A1738" s="28"/>
      <c r="B1738" s="28"/>
      <c r="C1738" s="28"/>
      <c r="D1738" s="28"/>
      <c r="E1738" s="28"/>
      <c r="F1738" s="28"/>
      <c r="G1738" s="28"/>
      <c r="H1738" s="28"/>
      <c r="I1738" s="28"/>
      <c r="J1738" s="28"/>
      <c r="K1738" s="28"/>
      <c r="L1738" s="28"/>
      <c r="M1738" s="28"/>
      <c r="N1738" s="28"/>
      <c r="O1738" s="28"/>
      <c r="P1738" s="28"/>
      <c r="Q1738" s="28"/>
      <c r="R1738" s="28"/>
      <c r="S1738" s="28"/>
      <c r="T1738" s="28"/>
      <c r="U1738" s="28"/>
      <c r="V1738" s="28"/>
      <c r="W1738" s="28"/>
      <c r="X1738" s="28"/>
      <c r="Y1738" s="28"/>
      <c r="Z1738" s="28"/>
      <c r="AA1738" s="28"/>
      <c r="AB1738" s="28"/>
      <c r="AC1738" s="28"/>
      <c r="AD1738" s="28"/>
      <c r="AE1738" s="28"/>
      <c r="AF1738" s="28"/>
      <c r="AG1738" s="28"/>
      <c r="AH1738" s="28"/>
      <c r="AI1738" s="28"/>
      <c r="AJ1738" s="28"/>
      <c r="AK1738" s="28"/>
      <c r="AL1738" s="28"/>
      <c r="AM1738" s="28"/>
      <c r="AN1738" s="28"/>
      <c r="AO1738" s="28"/>
      <c r="AP1738" s="28"/>
      <c r="AQ1738" s="28"/>
      <c r="AR1738" s="28"/>
      <c r="AS1738" s="28"/>
      <c r="AT1738" s="28"/>
      <c r="AU1738" s="28"/>
      <c r="AV1738" s="28"/>
      <c r="AW1738" s="28"/>
      <c r="AX1738" s="28"/>
      <c r="AY1738" s="28"/>
      <c r="AZ1738" s="28"/>
      <c r="BA1738" s="28"/>
      <c r="BB1738" s="28"/>
    </row>
    <row r="1739" spans="1:54" ht="12.75" x14ac:dyDescent="0.2">
      <c r="A1739" s="28"/>
      <c r="B1739" s="28"/>
      <c r="C1739" s="28"/>
      <c r="D1739" s="28"/>
      <c r="E1739" s="28"/>
      <c r="F1739" s="28"/>
      <c r="G1739" s="28"/>
      <c r="H1739" s="28"/>
      <c r="I1739" s="28"/>
      <c r="J1739" s="28"/>
      <c r="K1739" s="28"/>
      <c r="L1739" s="28"/>
      <c r="M1739" s="28"/>
      <c r="N1739" s="28"/>
      <c r="O1739" s="28"/>
      <c r="P1739" s="28"/>
      <c r="Q1739" s="28"/>
      <c r="R1739" s="28"/>
      <c r="S1739" s="28"/>
      <c r="T1739" s="28"/>
      <c r="U1739" s="28"/>
      <c r="V1739" s="28"/>
      <c r="W1739" s="28"/>
      <c r="X1739" s="28"/>
      <c r="Y1739" s="28"/>
      <c r="Z1739" s="28"/>
      <c r="AA1739" s="28"/>
      <c r="AB1739" s="28"/>
      <c r="AC1739" s="28"/>
      <c r="AD1739" s="28"/>
      <c r="AE1739" s="28"/>
      <c r="AF1739" s="28"/>
      <c r="AG1739" s="28"/>
      <c r="AH1739" s="28"/>
      <c r="AI1739" s="28"/>
      <c r="AJ1739" s="28"/>
      <c r="AK1739" s="28"/>
      <c r="AL1739" s="28"/>
      <c r="AM1739" s="28"/>
      <c r="AN1739" s="28"/>
      <c r="AO1739" s="28"/>
      <c r="AP1739" s="28"/>
      <c r="AQ1739" s="28"/>
      <c r="AR1739" s="28"/>
      <c r="AS1739" s="28"/>
      <c r="AT1739" s="28"/>
      <c r="AU1739" s="28"/>
      <c r="AV1739" s="28"/>
      <c r="AW1739" s="28"/>
      <c r="AX1739" s="28"/>
      <c r="AY1739" s="28"/>
      <c r="AZ1739" s="28"/>
      <c r="BA1739" s="28"/>
      <c r="BB1739" s="28"/>
    </row>
    <row r="1740" spans="1:54" ht="12.75" x14ac:dyDescent="0.2">
      <c r="A1740" s="28"/>
      <c r="B1740" s="28"/>
      <c r="C1740" s="28"/>
      <c r="D1740" s="28"/>
      <c r="E1740" s="28"/>
      <c r="F1740" s="28"/>
      <c r="G1740" s="28"/>
      <c r="H1740" s="28"/>
      <c r="I1740" s="28"/>
      <c r="J1740" s="28"/>
      <c r="K1740" s="28"/>
      <c r="L1740" s="28"/>
      <c r="M1740" s="28"/>
      <c r="N1740" s="28"/>
      <c r="O1740" s="28"/>
      <c r="P1740" s="28"/>
      <c r="Q1740" s="28"/>
      <c r="R1740" s="28"/>
      <c r="S1740" s="28"/>
      <c r="T1740" s="28"/>
      <c r="U1740" s="28"/>
      <c r="V1740" s="28"/>
      <c r="W1740" s="28"/>
      <c r="X1740" s="28"/>
      <c r="Y1740" s="28"/>
      <c r="Z1740" s="28"/>
      <c r="AA1740" s="28"/>
      <c r="AB1740" s="28"/>
      <c r="AC1740" s="28"/>
      <c r="AD1740" s="28"/>
      <c r="AE1740" s="28"/>
      <c r="AF1740" s="28"/>
      <c r="AG1740" s="28"/>
      <c r="AH1740" s="28"/>
      <c r="AI1740" s="28"/>
      <c r="AJ1740" s="28"/>
      <c r="AK1740" s="28"/>
      <c r="AL1740" s="28"/>
      <c r="AM1740" s="28"/>
      <c r="AN1740" s="28"/>
      <c r="AO1740" s="28"/>
      <c r="AP1740" s="28"/>
      <c r="AQ1740" s="28"/>
      <c r="AR1740" s="28"/>
      <c r="AS1740" s="28"/>
      <c r="AT1740" s="28"/>
      <c r="AU1740" s="28"/>
      <c r="AV1740" s="28"/>
      <c r="AW1740" s="28"/>
      <c r="AX1740" s="28"/>
      <c r="AY1740" s="28"/>
      <c r="AZ1740" s="28"/>
      <c r="BA1740" s="28"/>
      <c r="BB1740" s="28"/>
    </row>
    <row r="1741" spans="1:54" ht="12.75" x14ac:dyDescent="0.2">
      <c r="A1741" s="28"/>
      <c r="B1741" s="28"/>
      <c r="C1741" s="28"/>
      <c r="D1741" s="28"/>
      <c r="E1741" s="28"/>
      <c r="F1741" s="28"/>
      <c r="G1741" s="28"/>
      <c r="H1741" s="28"/>
      <c r="I1741" s="28"/>
      <c r="J1741" s="28"/>
      <c r="K1741" s="28"/>
      <c r="L1741" s="28"/>
      <c r="M1741" s="28"/>
      <c r="N1741" s="28"/>
      <c r="O1741" s="28"/>
      <c r="P1741" s="28"/>
      <c r="Q1741" s="28"/>
      <c r="R1741" s="28"/>
      <c r="S1741" s="28"/>
      <c r="T1741" s="28"/>
      <c r="U1741" s="28"/>
      <c r="V1741" s="28"/>
      <c r="W1741" s="28"/>
      <c r="X1741" s="28"/>
      <c r="Y1741" s="28"/>
      <c r="Z1741" s="28"/>
      <c r="AA1741" s="28"/>
      <c r="AB1741" s="28"/>
      <c r="AC1741" s="28"/>
      <c r="AD1741" s="28"/>
      <c r="AE1741" s="28"/>
      <c r="AF1741" s="28"/>
      <c r="AG1741" s="28"/>
      <c r="AH1741" s="28"/>
      <c r="AI1741" s="28"/>
      <c r="AJ1741" s="28"/>
      <c r="AK1741" s="28"/>
      <c r="AL1741" s="28"/>
      <c r="AM1741" s="28"/>
      <c r="AN1741" s="28"/>
      <c r="AO1741" s="28"/>
      <c r="AP1741" s="28"/>
      <c r="AQ1741" s="28"/>
      <c r="AR1741" s="28"/>
      <c r="AS1741" s="28"/>
      <c r="AT1741" s="28"/>
      <c r="AU1741" s="28"/>
      <c r="AV1741" s="28"/>
      <c r="AW1741" s="28"/>
      <c r="AX1741" s="28"/>
      <c r="AY1741" s="28"/>
      <c r="AZ1741" s="28"/>
      <c r="BA1741" s="28"/>
      <c r="BB1741" s="28"/>
    </row>
    <row r="1742" spans="1:54" ht="12.75" x14ac:dyDescent="0.2">
      <c r="A1742" s="28"/>
      <c r="B1742" s="28"/>
      <c r="C1742" s="28"/>
      <c r="D1742" s="28"/>
      <c r="E1742" s="28"/>
      <c r="F1742" s="28"/>
      <c r="G1742" s="28"/>
      <c r="H1742" s="28"/>
      <c r="I1742" s="28"/>
      <c r="J1742" s="28"/>
      <c r="K1742" s="28"/>
      <c r="L1742" s="28"/>
      <c r="M1742" s="28"/>
      <c r="N1742" s="28"/>
      <c r="O1742" s="28"/>
      <c r="P1742" s="28"/>
      <c r="Q1742" s="28"/>
      <c r="R1742" s="28"/>
      <c r="S1742" s="28"/>
      <c r="T1742" s="28"/>
      <c r="U1742" s="28"/>
      <c r="V1742" s="28"/>
      <c r="W1742" s="28"/>
      <c r="X1742" s="28"/>
      <c r="Y1742" s="28"/>
      <c r="Z1742" s="28"/>
      <c r="AA1742" s="28"/>
      <c r="AB1742" s="28"/>
      <c r="AC1742" s="28"/>
      <c r="AD1742" s="28"/>
      <c r="AE1742" s="28"/>
      <c r="AF1742" s="28"/>
      <c r="AG1742" s="28"/>
      <c r="AH1742" s="28"/>
      <c r="AI1742" s="28"/>
      <c r="AJ1742" s="28"/>
      <c r="AK1742" s="28"/>
      <c r="AL1742" s="28"/>
      <c r="AM1742" s="28"/>
      <c r="AN1742" s="28"/>
      <c r="AO1742" s="28"/>
      <c r="AP1742" s="28"/>
      <c r="AQ1742" s="28"/>
      <c r="AR1742" s="28"/>
      <c r="AS1742" s="28"/>
      <c r="AT1742" s="28"/>
      <c r="AU1742" s="28"/>
      <c r="AV1742" s="28"/>
      <c r="AW1742" s="28"/>
      <c r="AX1742" s="28"/>
      <c r="AY1742" s="28"/>
      <c r="AZ1742" s="28"/>
      <c r="BA1742" s="28"/>
      <c r="BB1742" s="28"/>
    </row>
    <row r="1743" spans="1:54" ht="12.75" x14ac:dyDescent="0.2">
      <c r="A1743" s="28"/>
      <c r="B1743" s="28"/>
      <c r="C1743" s="28"/>
      <c r="D1743" s="28"/>
      <c r="E1743" s="28"/>
      <c r="F1743" s="28"/>
      <c r="G1743" s="28"/>
      <c r="H1743" s="28"/>
      <c r="I1743" s="28"/>
      <c r="J1743" s="28"/>
      <c r="K1743" s="28"/>
      <c r="L1743" s="28"/>
      <c r="M1743" s="28"/>
      <c r="N1743" s="28"/>
      <c r="O1743" s="28"/>
      <c r="P1743" s="28"/>
      <c r="Q1743" s="28"/>
      <c r="R1743" s="28"/>
      <c r="S1743" s="28"/>
      <c r="T1743" s="28"/>
      <c r="U1743" s="28"/>
      <c r="V1743" s="28"/>
      <c r="W1743" s="28"/>
      <c r="X1743" s="28"/>
      <c r="Y1743" s="28"/>
      <c r="Z1743" s="28"/>
      <c r="AA1743" s="28"/>
      <c r="AB1743" s="28"/>
      <c r="AC1743" s="28"/>
      <c r="AD1743" s="28"/>
      <c r="AE1743" s="28"/>
      <c r="AF1743" s="28"/>
      <c r="AG1743" s="28"/>
      <c r="AH1743" s="28"/>
      <c r="AI1743" s="28"/>
      <c r="AJ1743" s="28"/>
      <c r="AK1743" s="28"/>
      <c r="AL1743" s="28"/>
      <c r="AM1743" s="28"/>
      <c r="AN1743" s="28"/>
      <c r="AO1743" s="28"/>
      <c r="AP1743" s="28"/>
      <c r="AQ1743" s="28"/>
      <c r="AR1743" s="28"/>
      <c r="AS1743" s="28"/>
      <c r="AT1743" s="28"/>
      <c r="AU1743" s="28"/>
      <c r="AV1743" s="28"/>
      <c r="AW1743" s="28"/>
      <c r="AX1743" s="28"/>
      <c r="AY1743" s="28"/>
      <c r="AZ1743" s="28"/>
      <c r="BA1743" s="28"/>
      <c r="BB1743" s="28"/>
    </row>
    <row r="1744" spans="1:54" ht="12.75" x14ac:dyDescent="0.2">
      <c r="A1744" s="28"/>
      <c r="B1744" s="28"/>
      <c r="C1744" s="28"/>
      <c r="D1744" s="28"/>
      <c r="E1744" s="28"/>
      <c r="F1744" s="28"/>
      <c r="G1744" s="28"/>
      <c r="H1744" s="28"/>
      <c r="I1744" s="28"/>
      <c r="J1744" s="28"/>
      <c r="K1744" s="28"/>
      <c r="L1744" s="28"/>
      <c r="M1744" s="28"/>
      <c r="N1744" s="28"/>
      <c r="O1744" s="28"/>
      <c r="P1744" s="28"/>
      <c r="Q1744" s="28"/>
      <c r="R1744" s="28"/>
      <c r="S1744" s="28"/>
      <c r="T1744" s="28"/>
      <c r="U1744" s="28"/>
      <c r="V1744" s="28"/>
      <c r="W1744" s="28"/>
      <c r="X1744" s="28"/>
      <c r="Y1744" s="28"/>
      <c r="Z1744" s="28"/>
      <c r="AA1744" s="28"/>
      <c r="AB1744" s="28"/>
      <c r="AC1744" s="28"/>
      <c r="AD1744" s="28"/>
      <c r="AE1744" s="28"/>
      <c r="AF1744" s="28"/>
      <c r="AG1744" s="28"/>
      <c r="AH1744" s="28"/>
      <c r="AI1744" s="28"/>
      <c r="AJ1744" s="28"/>
      <c r="AK1744" s="28"/>
      <c r="AL1744" s="28"/>
      <c r="AM1744" s="28"/>
      <c r="AN1744" s="28"/>
      <c r="AO1744" s="28"/>
      <c r="AP1744" s="28"/>
      <c r="AQ1744" s="28"/>
      <c r="AR1744" s="28"/>
      <c r="AS1744" s="28"/>
      <c r="AT1744" s="28"/>
      <c r="AU1744" s="28"/>
      <c r="AV1744" s="28"/>
      <c r="AW1744" s="28"/>
      <c r="AX1744" s="28"/>
      <c r="AY1744" s="28"/>
      <c r="AZ1744" s="28"/>
      <c r="BA1744" s="28"/>
      <c r="BB1744" s="28"/>
    </row>
    <row r="1745" spans="1:54" ht="12.75" x14ac:dyDescent="0.2">
      <c r="A1745" s="28"/>
      <c r="B1745" s="28"/>
      <c r="C1745" s="28"/>
      <c r="D1745" s="28"/>
      <c r="E1745" s="28"/>
      <c r="F1745" s="28"/>
      <c r="G1745" s="28"/>
      <c r="H1745" s="28"/>
      <c r="I1745" s="28"/>
      <c r="J1745" s="28"/>
      <c r="K1745" s="28"/>
      <c r="L1745" s="28"/>
      <c r="M1745" s="28"/>
      <c r="N1745" s="28"/>
      <c r="O1745" s="28"/>
      <c r="P1745" s="28"/>
      <c r="Q1745" s="28"/>
      <c r="R1745" s="28"/>
      <c r="S1745" s="28"/>
      <c r="T1745" s="28"/>
      <c r="U1745" s="28"/>
      <c r="V1745" s="28"/>
      <c r="W1745" s="28"/>
      <c r="X1745" s="28"/>
      <c r="Y1745" s="28"/>
      <c r="Z1745" s="28"/>
      <c r="AA1745" s="28"/>
      <c r="AB1745" s="28"/>
      <c r="AC1745" s="28"/>
      <c r="AD1745" s="28"/>
      <c r="AE1745" s="28"/>
      <c r="AF1745" s="28"/>
      <c r="AG1745" s="28"/>
      <c r="AH1745" s="28"/>
      <c r="AI1745" s="28"/>
      <c r="AJ1745" s="28"/>
      <c r="AK1745" s="28"/>
      <c r="AL1745" s="28"/>
      <c r="AM1745" s="28"/>
      <c r="AN1745" s="28"/>
      <c r="AO1745" s="28"/>
      <c r="AP1745" s="28"/>
      <c r="AQ1745" s="28"/>
      <c r="AR1745" s="28"/>
      <c r="AS1745" s="28"/>
      <c r="AT1745" s="28"/>
      <c r="AU1745" s="28"/>
      <c r="AV1745" s="28"/>
      <c r="AW1745" s="28"/>
      <c r="AX1745" s="28"/>
      <c r="AY1745" s="28"/>
      <c r="AZ1745" s="28"/>
      <c r="BA1745" s="28"/>
      <c r="BB1745" s="28"/>
    </row>
    <row r="1746" spans="1:54" ht="12.75" x14ac:dyDescent="0.2">
      <c r="A1746" s="28"/>
      <c r="B1746" s="28"/>
      <c r="C1746" s="28"/>
      <c r="D1746" s="28"/>
      <c r="E1746" s="28"/>
      <c r="F1746" s="28"/>
      <c r="G1746" s="28"/>
      <c r="H1746" s="28"/>
      <c r="I1746" s="28"/>
      <c r="J1746" s="28"/>
      <c r="K1746" s="28"/>
      <c r="L1746" s="28"/>
      <c r="M1746" s="28"/>
      <c r="N1746" s="28"/>
      <c r="O1746" s="28"/>
      <c r="P1746" s="28"/>
      <c r="Q1746" s="28"/>
      <c r="R1746" s="28"/>
      <c r="S1746" s="28"/>
      <c r="T1746" s="28"/>
      <c r="U1746" s="28"/>
      <c r="V1746" s="28"/>
      <c r="W1746" s="28"/>
      <c r="X1746" s="28"/>
      <c r="Y1746" s="28"/>
      <c r="Z1746" s="28"/>
      <c r="AA1746" s="28"/>
      <c r="AB1746" s="28"/>
      <c r="AC1746" s="28"/>
      <c r="AD1746" s="28"/>
      <c r="AE1746" s="28"/>
      <c r="AF1746" s="28"/>
      <c r="AG1746" s="28"/>
      <c r="AH1746" s="28"/>
      <c r="AI1746" s="28"/>
      <c r="AJ1746" s="28"/>
      <c r="AK1746" s="28"/>
      <c r="AL1746" s="28"/>
      <c r="AM1746" s="28"/>
      <c r="AN1746" s="28"/>
      <c r="AO1746" s="28"/>
      <c r="AP1746" s="28"/>
      <c r="AQ1746" s="28"/>
      <c r="AR1746" s="28"/>
      <c r="AS1746" s="28"/>
      <c r="AT1746" s="28"/>
      <c r="AU1746" s="28"/>
      <c r="AV1746" s="28"/>
      <c r="AW1746" s="28"/>
      <c r="AX1746" s="28"/>
      <c r="AY1746" s="28"/>
      <c r="AZ1746" s="28"/>
      <c r="BA1746" s="28"/>
      <c r="BB1746" s="28"/>
    </row>
    <row r="1747" spans="1:54" ht="12.75" x14ac:dyDescent="0.2">
      <c r="A1747" s="28"/>
      <c r="B1747" s="28"/>
      <c r="C1747" s="28"/>
      <c r="D1747" s="28"/>
      <c r="E1747" s="28"/>
      <c r="F1747" s="28"/>
      <c r="G1747" s="28"/>
      <c r="H1747" s="28"/>
      <c r="I1747" s="28"/>
      <c r="J1747" s="28"/>
      <c r="K1747" s="28"/>
      <c r="L1747" s="28"/>
      <c r="M1747" s="28"/>
      <c r="N1747" s="28"/>
      <c r="O1747" s="28"/>
      <c r="P1747" s="28"/>
      <c r="Q1747" s="28"/>
      <c r="R1747" s="28"/>
      <c r="S1747" s="28"/>
      <c r="T1747" s="28"/>
      <c r="U1747" s="28"/>
      <c r="V1747" s="28"/>
      <c r="W1747" s="28"/>
      <c r="X1747" s="28"/>
      <c r="Y1747" s="28"/>
      <c r="Z1747" s="28"/>
      <c r="AA1747" s="28"/>
      <c r="AB1747" s="28"/>
      <c r="AC1747" s="28"/>
      <c r="AD1747" s="28"/>
      <c r="AE1747" s="28"/>
      <c r="AF1747" s="28"/>
      <c r="AG1747" s="28"/>
      <c r="AH1747" s="28"/>
      <c r="AI1747" s="28"/>
      <c r="AJ1747" s="28"/>
      <c r="AK1747" s="28"/>
      <c r="AL1747" s="28"/>
      <c r="AM1747" s="28"/>
      <c r="AN1747" s="28"/>
      <c r="AO1747" s="28"/>
      <c r="AP1747" s="28"/>
      <c r="AQ1747" s="28"/>
      <c r="AR1747" s="28"/>
      <c r="AS1747" s="28"/>
      <c r="AT1747" s="28"/>
      <c r="AU1747" s="28"/>
      <c r="AV1747" s="28"/>
      <c r="AW1747" s="28"/>
      <c r="AX1747" s="28"/>
      <c r="AY1747" s="28"/>
      <c r="AZ1747" s="28"/>
      <c r="BA1747" s="28"/>
      <c r="BB1747" s="28"/>
    </row>
    <row r="1748" spans="1:54" ht="12.75" x14ac:dyDescent="0.2">
      <c r="A1748" s="28"/>
      <c r="B1748" s="28"/>
      <c r="C1748" s="28"/>
      <c r="D1748" s="28"/>
      <c r="E1748" s="28"/>
      <c r="F1748" s="28"/>
      <c r="G1748" s="28"/>
      <c r="H1748" s="28"/>
      <c r="I1748" s="28"/>
      <c r="J1748" s="28"/>
      <c r="K1748" s="28"/>
      <c r="L1748" s="28"/>
      <c r="M1748" s="28"/>
      <c r="N1748" s="28"/>
      <c r="O1748" s="28"/>
      <c r="P1748" s="28"/>
      <c r="Q1748" s="28"/>
      <c r="R1748" s="28"/>
      <c r="S1748" s="28"/>
      <c r="T1748" s="28"/>
      <c r="U1748" s="28"/>
      <c r="V1748" s="28"/>
      <c r="W1748" s="28"/>
      <c r="X1748" s="28"/>
      <c r="Y1748" s="28"/>
      <c r="Z1748" s="28"/>
      <c r="AA1748" s="28"/>
      <c r="AB1748" s="28"/>
      <c r="AC1748" s="28"/>
      <c r="AD1748" s="28"/>
      <c r="AE1748" s="28"/>
      <c r="AF1748" s="28"/>
      <c r="AG1748" s="28"/>
      <c r="AH1748" s="28"/>
      <c r="AI1748" s="28"/>
      <c r="AJ1748" s="28"/>
      <c r="AK1748" s="28"/>
      <c r="AL1748" s="28"/>
      <c r="AM1748" s="28"/>
      <c r="AN1748" s="28"/>
      <c r="AO1748" s="28"/>
      <c r="AP1748" s="28"/>
      <c r="AQ1748" s="28"/>
      <c r="AR1748" s="28"/>
      <c r="AS1748" s="28"/>
      <c r="AT1748" s="28"/>
      <c r="AU1748" s="28"/>
      <c r="AV1748" s="28"/>
      <c r="AW1748" s="28"/>
      <c r="AX1748" s="28"/>
      <c r="AY1748" s="28"/>
      <c r="AZ1748" s="28"/>
      <c r="BA1748" s="28"/>
      <c r="BB1748" s="28"/>
    </row>
    <row r="1749" spans="1:54" ht="12.75" x14ac:dyDescent="0.2">
      <c r="A1749" s="28"/>
      <c r="B1749" s="28"/>
      <c r="C1749" s="28"/>
      <c r="D1749" s="28"/>
      <c r="E1749" s="28"/>
      <c r="F1749" s="28"/>
      <c r="G1749" s="28"/>
      <c r="H1749" s="28"/>
      <c r="I1749" s="28"/>
      <c r="J1749" s="28"/>
      <c r="K1749" s="28"/>
      <c r="L1749" s="28"/>
      <c r="M1749" s="28"/>
      <c r="N1749" s="28"/>
      <c r="O1749" s="28"/>
      <c r="P1749" s="28"/>
      <c r="Q1749" s="28"/>
      <c r="R1749" s="28"/>
      <c r="S1749" s="28"/>
      <c r="T1749" s="28"/>
      <c r="U1749" s="28"/>
      <c r="V1749" s="28"/>
      <c r="W1749" s="28"/>
      <c r="X1749" s="28"/>
      <c r="Y1749" s="28"/>
      <c r="Z1749" s="28"/>
      <c r="AA1749" s="28"/>
      <c r="AB1749" s="28"/>
      <c r="AC1749" s="28"/>
      <c r="AD1749" s="28"/>
      <c r="AE1749" s="28"/>
      <c r="AF1749" s="28"/>
      <c r="AG1749" s="28"/>
      <c r="AH1749" s="28"/>
      <c r="AI1749" s="28"/>
      <c r="AJ1749" s="28"/>
      <c r="AK1749" s="28"/>
      <c r="AL1749" s="28"/>
      <c r="AM1749" s="28"/>
      <c r="AN1749" s="28"/>
      <c r="AO1749" s="28"/>
      <c r="AP1749" s="28"/>
      <c r="AQ1749" s="28"/>
      <c r="AR1749" s="28"/>
      <c r="AS1749" s="28"/>
      <c r="AT1749" s="28"/>
      <c r="AU1749" s="28"/>
      <c r="AV1749" s="28"/>
      <c r="AW1749" s="28"/>
      <c r="AX1749" s="28"/>
      <c r="AY1749" s="28"/>
      <c r="AZ1749" s="28"/>
      <c r="BA1749" s="28"/>
      <c r="BB1749" s="28"/>
    </row>
    <row r="1750" spans="1:54" ht="12.75" x14ac:dyDescent="0.2">
      <c r="A1750" s="28"/>
      <c r="B1750" s="28"/>
      <c r="C1750" s="28"/>
      <c r="D1750" s="28"/>
      <c r="E1750" s="28"/>
      <c r="F1750" s="28"/>
      <c r="G1750" s="28"/>
      <c r="H1750" s="28"/>
      <c r="I1750" s="28"/>
      <c r="J1750" s="28"/>
      <c r="K1750" s="28"/>
      <c r="L1750" s="28"/>
      <c r="M1750" s="28"/>
      <c r="N1750" s="28"/>
      <c r="O1750" s="28"/>
      <c r="P1750" s="28"/>
      <c r="Q1750" s="28"/>
      <c r="R1750" s="28"/>
      <c r="S1750" s="28"/>
      <c r="T1750" s="28"/>
      <c r="U1750" s="28"/>
      <c r="V1750" s="28"/>
      <c r="W1750" s="28"/>
      <c r="X1750" s="28"/>
      <c r="Y1750" s="28"/>
      <c r="Z1750" s="28"/>
      <c r="AA1750" s="28"/>
      <c r="AB1750" s="28"/>
      <c r="AC1750" s="28"/>
      <c r="AD1750" s="28"/>
      <c r="AE1750" s="28"/>
      <c r="AF1750" s="28"/>
      <c r="AG1750" s="28"/>
      <c r="AH1750" s="28"/>
      <c r="AI1750" s="28"/>
      <c r="AJ1750" s="28"/>
      <c r="AK1750" s="28"/>
      <c r="AL1750" s="28"/>
      <c r="AM1750" s="28"/>
      <c r="AN1750" s="28"/>
      <c r="AO1750" s="28"/>
      <c r="AP1750" s="28"/>
      <c r="AQ1750" s="28"/>
      <c r="AR1750" s="28"/>
      <c r="AS1750" s="28"/>
      <c r="AT1750" s="28"/>
      <c r="AU1750" s="28"/>
      <c r="AV1750" s="28"/>
      <c r="AW1750" s="28"/>
      <c r="AX1750" s="28"/>
      <c r="AY1750" s="28"/>
      <c r="AZ1750" s="28"/>
      <c r="BA1750" s="28"/>
      <c r="BB1750" s="28"/>
    </row>
    <row r="1751" spans="1:54" ht="12.75" x14ac:dyDescent="0.2">
      <c r="A1751" s="28"/>
      <c r="B1751" s="28"/>
      <c r="C1751" s="28"/>
      <c r="D1751" s="28"/>
      <c r="E1751" s="28"/>
      <c r="F1751" s="28"/>
      <c r="G1751" s="28"/>
      <c r="H1751" s="28"/>
      <c r="I1751" s="28"/>
      <c r="J1751" s="28"/>
      <c r="K1751" s="28"/>
      <c r="L1751" s="28"/>
      <c r="M1751" s="28"/>
      <c r="N1751" s="28"/>
      <c r="O1751" s="28"/>
      <c r="P1751" s="28"/>
      <c r="Q1751" s="28"/>
      <c r="R1751" s="28"/>
      <c r="S1751" s="28"/>
      <c r="T1751" s="28"/>
      <c r="U1751" s="28"/>
      <c r="V1751" s="28"/>
      <c r="W1751" s="28"/>
      <c r="X1751" s="28"/>
      <c r="Y1751" s="28"/>
      <c r="Z1751" s="28"/>
      <c r="AA1751" s="28"/>
      <c r="AB1751" s="28"/>
      <c r="AC1751" s="28"/>
      <c r="AD1751" s="28"/>
      <c r="AE1751" s="28"/>
      <c r="AF1751" s="28"/>
      <c r="AG1751" s="28"/>
      <c r="AH1751" s="28"/>
      <c r="AI1751" s="28"/>
      <c r="AJ1751" s="28"/>
      <c r="AK1751" s="28"/>
      <c r="AL1751" s="28"/>
      <c r="AM1751" s="28"/>
      <c r="AN1751" s="28"/>
      <c r="AO1751" s="28"/>
      <c r="AP1751" s="28"/>
      <c r="AQ1751" s="28"/>
      <c r="AR1751" s="28"/>
      <c r="AS1751" s="28"/>
      <c r="AT1751" s="28"/>
      <c r="AU1751" s="28"/>
      <c r="AV1751" s="28"/>
      <c r="AW1751" s="28"/>
      <c r="AX1751" s="28"/>
      <c r="AY1751" s="28"/>
      <c r="AZ1751" s="28"/>
      <c r="BA1751" s="28"/>
      <c r="BB1751" s="28"/>
    </row>
    <row r="1752" spans="1:54" ht="12.75" x14ac:dyDescent="0.2">
      <c r="A1752" s="28"/>
      <c r="B1752" s="28"/>
      <c r="C1752" s="28"/>
      <c r="D1752" s="28"/>
      <c r="E1752" s="28"/>
      <c r="F1752" s="28"/>
      <c r="G1752" s="28"/>
      <c r="H1752" s="28"/>
      <c r="I1752" s="28"/>
      <c r="J1752" s="28"/>
      <c r="K1752" s="28"/>
      <c r="L1752" s="28"/>
      <c r="M1752" s="28"/>
      <c r="N1752" s="28"/>
      <c r="O1752" s="28"/>
      <c r="P1752" s="28"/>
      <c r="Q1752" s="28"/>
      <c r="R1752" s="28"/>
      <c r="S1752" s="28"/>
      <c r="T1752" s="28"/>
      <c r="U1752" s="28"/>
      <c r="V1752" s="28"/>
      <c r="W1752" s="28"/>
      <c r="X1752" s="28"/>
      <c r="Y1752" s="28"/>
      <c r="Z1752" s="28"/>
      <c r="AA1752" s="28"/>
      <c r="AB1752" s="28"/>
      <c r="AC1752" s="28"/>
      <c r="AD1752" s="28"/>
      <c r="AE1752" s="28"/>
      <c r="AF1752" s="28"/>
      <c r="AG1752" s="28"/>
      <c r="AH1752" s="28"/>
      <c r="AI1752" s="28"/>
      <c r="AJ1752" s="28"/>
      <c r="AK1752" s="28"/>
      <c r="AL1752" s="28"/>
      <c r="AM1752" s="28"/>
      <c r="AN1752" s="28"/>
      <c r="AO1752" s="28"/>
      <c r="AP1752" s="28"/>
      <c r="AQ1752" s="28"/>
      <c r="AR1752" s="28"/>
      <c r="AS1752" s="28"/>
      <c r="AT1752" s="28"/>
      <c r="AU1752" s="28"/>
      <c r="AV1752" s="28"/>
      <c r="AW1752" s="28"/>
      <c r="AX1752" s="28"/>
      <c r="AY1752" s="28"/>
      <c r="AZ1752" s="28"/>
      <c r="BA1752" s="28"/>
      <c r="BB1752" s="28"/>
    </row>
    <row r="1753" spans="1:54" x14ac:dyDescent="0.2">
      <c r="A1753" s="28"/>
      <c r="B1753" s="28"/>
      <c r="C1753" s="28"/>
      <c r="BB1753" s="27"/>
    </row>
    <row r="1754" spans="1:54" x14ac:dyDescent="0.2">
      <c r="A1754" s="28"/>
      <c r="B1754" s="28"/>
      <c r="C1754" s="28"/>
      <c r="BB1754" s="27"/>
    </row>
  </sheetData>
  <pageMargins left="0.511811024" right="0.511811024" top="0.78740157499999996" bottom="0.78740157499999996" header="0.31496062000000002" footer="0.31496062000000002"/>
  <pageSetup orientation="portrait"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X14:AX18 AX20:AX21" formulaRange="1"/>
  </ignoredErrors>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49">
    <pageSetUpPr autoPageBreaks="0"/>
  </sheetPr>
  <dimension ref="A1:BB24"/>
  <sheetViews>
    <sheetView showGridLines="0" workbookViewId="0">
      <pane xSplit="4" ySplit="5" topLeftCell="AH6" activePane="bottomRight" state="frozen"/>
      <selection activeCell="AY7" sqref="AY7"/>
      <selection pane="topRight" activeCell="AY7" sqref="AY7"/>
      <selection pane="bottomLeft" activeCell="AY7" sqref="AY7"/>
      <selection pane="bottomRight" activeCell="BB6" sqref="BB6"/>
    </sheetView>
  </sheetViews>
  <sheetFormatPr defaultRowHeight="12.75" x14ac:dyDescent="0.2"/>
  <cols>
    <col min="1" max="2" width="9.140625" hidden="1" customWidth="1"/>
    <col min="3" max="3" width="1.42578125" customWidth="1"/>
    <col min="4" max="4" width="29.85546875" customWidth="1"/>
    <col min="5" max="53" width="10.85546875" customWidth="1"/>
  </cols>
  <sheetData>
    <row r="1" spans="1:54" s="547" customFormat="1" ht="7.5" customHeight="1" x14ac:dyDescent="0.2">
      <c r="E1" s="547" t="s">
        <v>45</v>
      </c>
      <c r="F1" s="547" t="str">
        <f>IF(LEFT(E1,1)="4","1T"&amp;RIGHT(E1,2)+1,LEFT(E1,1)+1&amp;RIGHT(E1,3))</f>
        <v>2T14</v>
      </c>
      <c r="G1" s="547" t="str">
        <f t="shared" ref="G1:V1" si="0">IF(LEFT(F1,1)="4","1T"&amp;RIGHT(F1,2)+1,LEFT(F1,1)+1&amp;RIGHT(F1,3))</f>
        <v>3T14</v>
      </c>
      <c r="H1" s="547" t="str">
        <f t="shared" si="0"/>
        <v>4T14</v>
      </c>
      <c r="I1" s="547" t="str">
        <f t="shared" si="0"/>
        <v>1T15</v>
      </c>
      <c r="J1" s="547" t="str">
        <f t="shared" si="0"/>
        <v>2T15</v>
      </c>
      <c r="K1" s="547" t="str">
        <f t="shared" si="0"/>
        <v>3T15</v>
      </c>
      <c r="L1" s="547" t="str">
        <f t="shared" si="0"/>
        <v>4T15</v>
      </c>
      <c r="M1" s="547" t="str">
        <f t="shared" si="0"/>
        <v>1T16</v>
      </c>
      <c r="N1" s="547" t="str">
        <f t="shared" si="0"/>
        <v>2T16</v>
      </c>
      <c r="O1" s="547" t="str">
        <f t="shared" si="0"/>
        <v>3T16</v>
      </c>
      <c r="P1" s="547" t="str">
        <f t="shared" si="0"/>
        <v>4T16</v>
      </c>
      <c r="Q1" s="547" t="str">
        <f t="shared" si="0"/>
        <v>1T17</v>
      </c>
      <c r="R1" s="547" t="str">
        <f t="shared" si="0"/>
        <v>2T17</v>
      </c>
      <c r="S1" s="547" t="str">
        <f t="shared" si="0"/>
        <v>3T17</v>
      </c>
      <c r="T1" s="547" t="str">
        <f t="shared" si="0"/>
        <v>4T17</v>
      </c>
      <c r="U1" s="547" t="str">
        <f t="shared" si="0"/>
        <v>1T18</v>
      </c>
      <c r="V1" s="547" t="str">
        <f t="shared" si="0"/>
        <v>2T18</v>
      </c>
      <c r="W1" s="547" t="str">
        <f t="shared" ref="W1:AH1" si="1">IF(LEFT(V1,1)="4","1T"&amp;RIGHT(V1,2)+1,LEFT(V1,1)+1&amp;RIGHT(V1,3))</f>
        <v>3T18</v>
      </c>
      <c r="X1" s="547" t="str">
        <f t="shared" si="1"/>
        <v>4T18</v>
      </c>
      <c r="Y1" s="547" t="str">
        <f t="shared" si="1"/>
        <v>1T19</v>
      </c>
      <c r="Z1" s="547" t="str">
        <f t="shared" si="1"/>
        <v>2T19</v>
      </c>
      <c r="AA1" s="547" t="str">
        <f t="shared" si="1"/>
        <v>3T19</v>
      </c>
      <c r="AB1" s="547" t="str">
        <f t="shared" si="1"/>
        <v>4T19</v>
      </c>
      <c r="AC1" s="547" t="str">
        <f t="shared" si="1"/>
        <v>1T20</v>
      </c>
      <c r="AD1" s="547" t="str">
        <f t="shared" si="1"/>
        <v>2T20</v>
      </c>
      <c r="AE1" s="547" t="str">
        <f t="shared" si="1"/>
        <v>3T20</v>
      </c>
      <c r="AF1" s="547" t="str">
        <f t="shared" si="1"/>
        <v>4T20</v>
      </c>
      <c r="AG1" s="547" t="str">
        <f t="shared" si="1"/>
        <v>1T21</v>
      </c>
      <c r="AH1" s="547" t="str">
        <f t="shared" si="1"/>
        <v>2T21</v>
      </c>
      <c r="AI1" s="547" t="str">
        <f t="shared" ref="AI1:AS1" si="2">IF(LEFT(AH1,1)="4","1T"&amp;RIGHT(AH1,2)+1,LEFT(AH1,1)+1&amp;RIGHT(AH1,3))</f>
        <v>3T21</v>
      </c>
      <c r="AJ1" s="547" t="str">
        <f t="shared" si="2"/>
        <v>4T21</v>
      </c>
      <c r="AK1" s="547" t="str">
        <f t="shared" si="2"/>
        <v>1T22</v>
      </c>
      <c r="AL1" s="547" t="str">
        <f t="shared" si="2"/>
        <v>2T22</v>
      </c>
      <c r="AM1" s="547" t="str">
        <f t="shared" si="2"/>
        <v>3T22</v>
      </c>
      <c r="AN1" s="547" t="str">
        <f t="shared" si="2"/>
        <v>4T22</v>
      </c>
      <c r="AO1" s="547" t="str">
        <f t="shared" si="2"/>
        <v>1T23</v>
      </c>
      <c r="AP1" s="547" t="str">
        <f t="shared" si="2"/>
        <v>2T23</v>
      </c>
      <c r="AQ1" s="547" t="str">
        <f t="shared" si="2"/>
        <v>3T23</v>
      </c>
      <c r="AR1" s="547" t="str">
        <f t="shared" si="2"/>
        <v>4T23</v>
      </c>
      <c r="AS1" s="547" t="str">
        <f t="shared" si="2"/>
        <v>1T24</v>
      </c>
      <c r="AT1" s="547" t="str">
        <f t="shared" ref="AT1:BB1" si="3">IF(LEFT(AS1,1)="4","1T"&amp;RIGHT(AS1,2)+1,LEFT(AS1,1)+1&amp;RIGHT(AS1,3))</f>
        <v>2T24</v>
      </c>
      <c r="AU1" s="547" t="str">
        <f t="shared" si="3"/>
        <v>3T24</v>
      </c>
      <c r="AV1" s="547" t="str">
        <f t="shared" si="3"/>
        <v>4T24</v>
      </c>
      <c r="AW1" s="547" t="str">
        <f t="shared" si="3"/>
        <v>1T25</v>
      </c>
      <c r="AX1" s="547" t="str">
        <f t="shared" si="3"/>
        <v>2T25</v>
      </c>
      <c r="AY1" s="547" t="str">
        <f t="shared" si="3"/>
        <v>3T25</v>
      </c>
      <c r="AZ1" s="547" t="str">
        <f t="shared" si="3"/>
        <v>4T25</v>
      </c>
      <c r="BA1" s="547" t="str">
        <f t="shared" si="3"/>
        <v>1T26</v>
      </c>
      <c r="BB1" s="547" t="str">
        <f t="shared" si="3"/>
        <v>2T26</v>
      </c>
    </row>
    <row r="2" spans="1:54" s="547" customFormat="1" ht="12.75" customHeight="1" x14ac:dyDescent="0.25">
      <c r="E2" s="547" t="s">
        <v>946</v>
      </c>
      <c r="F2" s="557" t="str">
        <f t="shared" ref="F2:S2" si="4">SUBSTITUTE(F1,"T","Q")</f>
        <v>2Q14</v>
      </c>
      <c r="G2" s="547" t="str">
        <f t="shared" si="4"/>
        <v>3Q14</v>
      </c>
      <c r="H2" s="547" t="str">
        <f t="shared" si="4"/>
        <v>4Q14</v>
      </c>
      <c r="I2" s="547" t="str">
        <f t="shared" si="4"/>
        <v>1Q15</v>
      </c>
      <c r="J2" s="547" t="str">
        <f t="shared" si="4"/>
        <v>2Q15</v>
      </c>
      <c r="K2" s="547" t="str">
        <f t="shared" si="4"/>
        <v>3Q15</v>
      </c>
      <c r="L2" s="547" t="str">
        <f t="shared" si="4"/>
        <v>4Q15</v>
      </c>
      <c r="M2" s="547" t="str">
        <f t="shared" si="4"/>
        <v>1Q16</v>
      </c>
      <c r="N2" s="547" t="str">
        <f t="shared" si="4"/>
        <v>2Q16</v>
      </c>
      <c r="O2" s="547" t="str">
        <f t="shared" si="4"/>
        <v>3Q16</v>
      </c>
      <c r="P2" s="547" t="str">
        <f t="shared" si="4"/>
        <v>4Q16</v>
      </c>
      <c r="Q2" s="547" t="str">
        <f t="shared" si="4"/>
        <v>1Q17</v>
      </c>
      <c r="R2" s="547" t="str">
        <f t="shared" si="4"/>
        <v>2Q17</v>
      </c>
      <c r="S2" s="547" t="str">
        <f t="shared" si="4"/>
        <v>3Q17</v>
      </c>
      <c r="T2" s="547" t="str">
        <f t="shared" ref="T2:Y2" si="5">SUBSTITUTE(T1,"T","Q")</f>
        <v>4Q17</v>
      </c>
      <c r="U2" s="547" t="str">
        <f t="shared" si="5"/>
        <v>1Q18</v>
      </c>
      <c r="V2" s="547" t="str">
        <f t="shared" si="5"/>
        <v>2Q18</v>
      </c>
      <c r="W2" s="547" t="str">
        <f t="shared" si="5"/>
        <v>3Q18</v>
      </c>
      <c r="X2" s="547" t="str">
        <f t="shared" si="5"/>
        <v>4Q18</v>
      </c>
      <c r="Y2" s="547" t="str">
        <f t="shared" si="5"/>
        <v>1Q19</v>
      </c>
      <c r="Z2" s="547" t="str">
        <f t="shared" ref="Z2:AE2" si="6">SUBSTITUTE(Z1,"T","Q")</f>
        <v>2Q19</v>
      </c>
      <c r="AA2" s="547" t="str">
        <f t="shared" si="6"/>
        <v>3Q19</v>
      </c>
      <c r="AB2" s="547" t="str">
        <f t="shared" si="6"/>
        <v>4Q19</v>
      </c>
      <c r="AC2" s="547" t="str">
        <f t="shared" si="6"/>
        <v>1Q20</v>
      </c>
      <c r="AD2" s="547" t="str">
        <f t="shared" si="6"/>
        <v>2Q20</v>
      </c>
      <c r="AE2" s="547" t="str">
        <f t="shared" si="6"/>
        <v>3Q20</v>
      </c>
      <c r="AF2" s="547" t="str">
        <f t="shared" ref="AF2:AL2" si="7">SUBSTITUTE(AF1,"T","Q")</f>
        <v>4Q20</v>
      </c>
      <c r="AG2" s="547" t="str">
        <f t="shared" si="7"/>
        <v>1Q21</v>
      </c>
      <c r="AH2" s="547" t="str">
        <f t="shared" si="7"/>
        <v>2Q21</v>
      </c>
      <c r="AI2" s="547" t="str">
        <f t="shared" si="7"/>
        <v>3Q21</v>
      </c>
      <c r="AJ2" s="547" t="str">
        <f t="shared" si="7"/>
        <v>4Q21</v>
      </c>
      <c r="AK2" s="547" t="str">
        <f t="shared" si="7"/>
        <v>1Q22</v>
      </c>
      <c r="AL2" s="547" t="str">
        <f t="shared" si="7"/>
        <v>2Q22</v>
      </c>
      <c r="AM2" s="547" t="str">
        <f t="shared" ref="AM2:AS2" si="8">SUBSTITUTE(AM1,"T","Q")</f>
        <v>3Q22</v>
      </c>
      <c r="AN2" s="547" t="str">
        <f t="shared" si="8"/>
        <v>4Q22</v>
      </c>
      <c r="AO2" s="547" t="str">
        <f t="shared" si="8"/>
        <v>1Q23</v>
      </c>
      <c r="AP2" s="547" t="str">
        <f t="shared" si="8"/>
        <v>2Q23</v>
      </c>
      <c r="AQ2" s="547" t="str">
        <f t="shared" si="8"/>
        <v>3Q23</v>
      </c>
      <c r="AR2" s="547" t="str">
        <f t="shared" si="8"/>
        <v>4Q23</v>
      </c>
      <c r="AS2" s="547" t="str">
        <f t="shared" si="8"/>
        <v>1Q24</v>
      </c>
      <c r="AT2" s="547" t="str">
        <f t="shared" ref="AT2:BB2" si="9">SUBSTITUTE(AT1,"T","Q")</f>
        <v>2Q24</v>
      </c>
      <c r="AU2" s="547" t="str">
        <f t="shared" si="9"/>
        <v>3Q24</v>
      </c>
      <c r="AV2" s="547" t="str">
        <f t="shared" si="9"/>
        <v>4Q24</v>
      </c>
      <c r="AW2" s="547" t="str">
        <f t="shared" si="9"/>
        <v>1Q25</v>
      </c>
      <c r="AX2" s="547" t="str">
        <f t="shared" si="9"/>
        <v>2Q25</v>
      </c>
      <c r="AY2" s="547" t="str">
        <f t="shared" si="9"/>
        <v>3Q25</v>
      </c>
      <c r="AZ2" s="547" t="str">
        <f t="shared" si="9"/>
        <v>4Q25</v>
      </c>
      <c r="BA2" s="547" t="str">
        <f>SUBSTITUTE(BA1,"T","Q")</f>
        <v>1Q26</v>
      </c>
      <c r="BB2" s="547" t="str">
        <f t="shared" si="9"/>
        <v>2Q26</v>
      </c>
    </row>
    <row r="3" spans="1:54" ht="12.75" customHeight="1" x14ac:dyDescent="0.2">
      <c r="X3" s="547"/>
      <c r="Y3" s="547"/>
      <c r="Z3" s="547"/>
      <c r="AA3" s="547"/>
      <c r="AB3" s="547"/>
      <c r="AC3" s="547"/>
      <c r="AD3" s="547"/>
      <c r="AE3" s="547"/>
      <c r="AF3" s="547"/>
      <c r="AG3" s="547"/>
      <c r="AH3" s="547"/>
      <c r="AI3" s="547"/>
      <c r="AJ3" s="547"/>
      <c r="AK3" s="547"/>
      <c r="AL3" s="547"/>
      <c r="AM3" s="547"/>
      <c r="AN3" s="547"/>
      <c r="AO3" s="547"/>
      <c r="AP3" s="547"/>
      <c r="AQ3" s="547"/>
      <c r="AR3" s="327"/>
      <c r="AS3" s="327"/>
      <c r="AT3" s="327"/>
      <c r="AU3" s="327"/>
      <c r="AV3" s="327"/>
      <c r="AW3" s="327"/>
      <c r="AX3" s="327"/>
      <c r="AY3" s="327"/>
      <c r="AZ3" s="327"/>
      <c r="BA3" s="327"/>
      <c r="BB3" s="327"/>
    </row>
    <row r="4" spans="1:54" ht="12.75" customHeight="1" x14ac:dyDescent="0.2"/>
    <row r="5" spans="1:54" x14ac:dyDescent="0.2">
      <c r="A5" t="s">
        <v>96</v>
      </c>
      <c r="B5" t="s">
        <v>866</v>
      </c>
      <c r="D5" s="115" t="str">
        <f>IF([1]RENAME!$H$3=1,B5,A5)</f>
        <v>Consolidado</v>
      </c>
      <c r="E5" s="115" t="str">
        <f>IF([1]RENAME!$H$3=1,E2,E1)</f>
        <v>1T14</v>
      </c>
      <c r="F5" s="115" t="str">
        <f>IF([1]RENAME!$H$3=1,F2,F1)</f>
        <v>2T14</v>
      </c>
      <c r="G5" s="115" t="str">
        <f>IF([1]RENAME!$H$3=1,G2,G1)</f>
        <v>3T14</v>
      </c>
      <c r="H5" s="115" t="str">
        <f>IF([1]RENAME!$H$3=1,H2,H1)</f>
        <v>4T14</v>
      </c>
      <c r="I5" s="115" t="str">
        <f>IF([1]RENAME!$H$3=1,I2,I1)</f>
        <v>1T15</v>
      </c>
      <c r="J5" s="115" t="str">
        <f>IF([1]RENAME!$H$3=1,J2,J1)</f>
        <v>2T15</v>
      </c>
      <c r="K5" s="115" t="str">
        <f>IF([1]RENAME!$H$3=1,K2,K1)</f>
        <v>3T15</v>
      </c>
      <c r="L5" s="115" t="str">
        <f>IF([1]RENAME!$H$3=1,L2,L1)</f>
        <v>4T15</v>
      </c>
      <c r="M5" s="115" t="str">
        <f>IF([1]RENAME!$H$3=1,M2,M1)</f>
        <v>1T16</v>
      </c>
      <c r="N5" s="115" t="str">
        <f>IF([1]RENAME!$H$3=1,N2,N1)</f>
        <v>2T16</v>
      </c>
      <c r="O5" s="115" t="str">
        <f>IF([1]RENAME!$H$3=1,O2,O1)</f>
        <v>3T16</v>
      </c>
      <c r="P5" s="115" t="str">
        <f>IF([1]RENAME!$H$3=1,P2,P1)</f>
        <v>4T16</v>
      </c>
      <c r="Q5" s="115" t="str">
        <f>IF([1]RENAME!$H$3=1,Q2,Q1)</f>
        <v>1T17</v>
      </c>
      <c r="R5" s="115" t="str">
        <f>IF([1]RENAME!$H$3=1,R2,R1)</f>
        <v>2T17</v>
      </c>
      <c r="S5" s="115" t="str">
        <f>IF([1]RENAME!$H$3=1,S2,S1)</f>
        <v>3T17</v>
      </c>
      <c r="T5" s="115" t="str">
        <f>IF([1]RENAME!$H$3=1,T2,T1)</f>
        <v>4T17</v>
      </c>
      <c r="U5" s="115" t="str">
        <f>IF([1]RENAME!$H$3=1,U2,U1)</f>
        <v>1T18</v>
      </c>
      <c r="V5" s="115" t="str">
        <f>IF([1]RENAME!$H$3=1,V2,V1)</f>
        <v>2T18</v>
      </c>
      <c r="W5" s="115" t="str">
        <f>IF([1]RENAME!$H$3=1,W2,W1)</f>
        <v>3T18</v>
      </c>
      <c r="X5" s="115" t="str">
        <f>IF([1]RENAME!$H$3=1,X2,X1)</f>
        <v>4T18</v>
      </c>
      <c r="Y5" s="115" t="str">
        <f>IF([1]RENAME!$H$3=1,Y2,Y1)</f>
        <v>1T19</v>
      </c>
      <c r="Z5" s="115" t="str">
        <f>IF([1]RENAME!$H$3=1,Z2,Z1)</f>
        <v>2T19</v>
      </c>
      <c r="AA5" s="115" t="str">
        <f>IF([1]RENAME!$H$3=1,AA2,AA1)</f>
        <v>3T19</v>
      </c>
      <c r="AB5" s="115" t="str">
        <f>IF([1]RENAME!$H$3=1,AB2,AB1)</f>
        <v>4T19</v>
      </c>
      <c r="AC5" s="115" t="str">
        <f>IF([1]RENAME!$H$3=1,AC2,AC1)</f>
        <v>1T20</v>
      </c>
      <c r="AD5" s="115" t="str">
        <f>IF([1]RENAME!$H$3=1,AD2,AD1)</f>
        <v>2T20</v>
      </c>
      <c r="AE5" s="115" t="str">
        <f>IF([1]RENAME!$H$3=1,AE2,AE1)</f>
        <v>3T20</v>
      </c>
      <c r="AF5" s="115" t="str">
        <f>IF([1]RENAME!$H$3=1,AF2,AF1)</f>
        <v>4T20</v>
      </c>
      <c r="AG5" s="115" t="str">
        <f>IF([1]RENAME!$H$3=1,AG2,AG1)</f>
        <v>1T21</v>
      </c>
      <c r="AH5" s="115" t="str">
        <f>IF([1]RENAME!$H$3=1,AH2,AH1)</f>
        <v>2T21</v>
      </c>
      <c r="AI5" s="115" t="str">
        <f>IF([1]RENAME!$H$3=1,AI2,AI1)</f>
        <v>3T21</v>
      </c>
      <c r="AJ5" s="115" t="str">
        <f>IF([1]RENAME!$H$3=1,AJ2,AJ1)</f>
        <v>4T21</v>
      </c>
      <c r="AK5" s="115" t="str">
        <f>IF([1]RENAME!$H$3=1,AK2,AK1)</f>
        <v>1T22</v>
      </c>
      <c r="AL5" s="115" t="str">
        <f>IF([1]RENAME!$H$3=1,AL2,AL1)</f>
        <v>2T22</v>
      </c>
      <c r="AM5" s="115" t="str">
        <f>IF([1]RENAME!$H$3=1,AM2,AM1)</f>
        <v>3T22</v>
      </c>
      <c r="AN5" s="115" t="str">
        <f>IF([1]RENAME!$H$3=1,AN2,AN1)</f>
        <v>4T22</v>
      </c>
      <c r="AO5" s="115" t="str">
        <f>IF([1]RENAME!$H$3=1,AO2,AO1)</f>
        <v>1T23</v>
      </c>
      <c r="AP5" s="115" t="str">
        <f>IF([1]RENAME!$H$3=1,AP2,AP1)</f>
        <v>2T23</v>
      </c>
      <c r="AQ5" s="115" t="str">
        <f>IF([1]RENAME!$H$3=1,AQ2,AQ1)</f>
        <v>3T23</v>
      </c>
      <c r="AR5" s="115" t="str">
        <f>IF([1]RENAME!$H$3=1,AR2,AR1)</f>
        <v>4T23</v>
      </c>
      <c r="AS5" s="115" t="str">
        <f>IF([1]RENAME!$H$3=1,AS2,AS1)</f>
        <v>1T24</v>
      </c>
      <c r="AT5" s="115" t="str">
        <f>IF([1]RENAME!$H$3=1,AT2,AT1)</f>
        <v>2T24</v>
      </c>
      <c r="AU5" s="115" t="str">
        <f>IF([1]RENAME!$H$3=1,AU2,AU1)</f>
        <v>3T24</v>
      </c>
      <c r="AV5" s="115" t="str">
        <f>IF([1]RENAME!$H$3=1,AV2,AV1)</f>
        <v>4T24</v>
      </c>
      <c r="AW5" s="115" t="str">
        <f>IF([1]RENAME!$H$3=1,AW2,AW1)</f>
        <v>1T25</v>
      </c>
      <c r="AX5" s="115" t="str">
        <f>IF([1]RENAME!$H$3=1,AX2,AX1)</f>
        <v>2T25</v>
      </c>
      <c r="AY5" s="115" t="str">
        <f>IF([1]RENAME!$H$3=1,AY2,AY1)</f>
        <v>3T25</v>
      </c>
      <c r="AZ5" s="115" t="str">
        <f>IF([1]RENAME!$H$3=1,AZ2,AZ1)</f>
        <v>4T25</v>
      </c>
      <c r="BA5" s="247" t="str">
        <f>IF([1]RENAME!$H$3=1,BA2,BA1)</f>
        <v>1T26</v>
      </c>
      <c r="BB5" s="115" t="str">
        <f>IF([1]RENAME!$H$3=1,BB2,BB1)</f>
        <v>2T26</v>
      </c>
    </row>
    <row r="6" spans="1:54" x14ac:dyDescent="0.2">
      <c r="A6" t="s">
        <v>297</v>
      </c>
      <c r="B6" t="s">
        <v>1026</v>
      </c>
      <c r="D6" s="129" t="str">
        <f>IF([1]RENAME!$H$3=1,B6,A6)</f>
        <v>Receita bruta de serviços</v>
      </c>
      <c r="E6" s="118">
        <v>408159</v>
      </c>
      <c r="F6" s="118">
        <v>441325</v>
      </c>
      <c r="G6" s="118">
        <v>444965</v>
      </c>
      <c r="H6" s="118">
        <v>492842</v>
      </c>
      <c r="I6" s="118">
        <v>352872</v>
      </c>
      <c r="J6" s="118">
        <v>342156</v>
      </c>
      <c r="K6" s="118">
        <v>343148</v>
      </c>
      <c r="L6" s="118">
        <v>353862</v>
      </c>
      <c r="M6" s="118">
        <v>251045</v>
      </c>
      <c r="N6" s="118">
        <v>283051</v>
      </c>
      <c r="O6" s="118">
        <v>292571</v>
      </c>
      <c r="P6" s="118">
        <v>313561</v>
      </c>
      <c r="Q6" s="118">
        <v>263139</v>
      </c>
      <c r="R6" s="118">
        <v>316768</v>
      </c>
      <c r="S6" s="118">
        <v>355630</v>
      </c>
      <c r="T6" s="118">
        <v>394653</v>
      </c>
      <c r="U6" s="118">
        <v>322849</v>
      </c>
      <c r="V6" s="118">
        <v>360399</v>
      </c>
      <c r="W6" s="118">
        <v>415846</v>
      </c>
      <c r="X6" s="118">
        <v>439626</v>
      </c>
      <c r="Y6" s="118">
        <v>367283</v>
      </c>
      <c r="Z6" s="118">
        <v>406330</v>
      </c>
      <c r="AA6" s="118">
        <v>415850</v>
      </c>
      <c r="AB6" s="118">
        <v>463847</v>
      </c>
      <c r="AC6" s="118">
        <v>345453</v>
      </c>
      <c r="AD6" s="118">
        <v>160265</v>
      </c>
      <c r="AE6" s="118">
        <v>358317</v>
      </c>
      <c r="AF6" s="118">
        <v>386729</v>
      </c>
      <c r="AG6" s="118">
        <v>290765</v>
      </c>
      <c r="AH6" s="118">
        <v>294711</v>
      </c>
      <c r="AI6" s="118">
        <v>289282</v>
      </c>
      <c r="AJ6" s="118">
        <v>379482</v>
      </c>
      <c r="AK6" s="118">
        <v>298338</v>
      </c>
      <c r="AL6" s="118">
        <v>375832</v>
      </c>
      <c r="AM6" s="118">
        <v>511410</v>
      </c>
      <c r="AN6" s="118">
        <v>506301</v>
      </c>
      <c r="AO6" s="118">
        <v>417226</v>
      </c>
      <c r="AP6" s="118">
        <v>457144</v>
      </c>
      <c r="AQ6" s="118">
        <v>531099</v>
      </c>
      <c r="AR6" s="118">
        <v>565970</v>
      </c>
      <c r="AS6" s="118">
        <v>483236</v>
      </c>
      <c r="AT6" s="118">
        <v>584888</v>
      </c>
      <c r="AU6" s="118">
        <v>746758</v>
      </c>
      <c r="AV6" s="118">
        <v>770341</v>
      </c>
      <c r="AW6" s="118">
        <v>545150</v>
      </c>
      <c r="AX6" s="118">
        <v>675686</v>
      </c>
      <c r="AY6" s="118">
        <v>786432</v>
      </c>
      <c r="AZ6" s="118">
        <v>764752</v>
      </c>
      <c r="BA6" s="118">
        <v>650036</v>
      </c>
      <c r="BB6" s="118">
        <f>('[3]21 Receita NL'!$N$10)-BA6</f>
        <v>924740</v>
      </c>
    </row>
    <row r="7" spans="1:54" x14ac:dyDescent="0.2">
      <c r="A7" t="s">
        <v>298</v>
      </c>
      <c r="B7" t="s">
        <v>1027</v>
      </c>
      <c r="D7" s="129" t="str">
        <f>IF([1]RENAME!$H$3=1,B7,A7)</f>
        <v>Descontos, seguros e pedágio</v>
      </c>
      <c r="E7" s="118">
        <v>-19216</v>
      </c>
      <c r="F7" s="118">
        <v>-18613</v>
      </c>
      <c r="G7" s="118">
        <v>-19373</v>
      </c>
      <c r="H7" s="118">
        <v>-21834</v>
      </c>
      <c r="I7" s="118">
        <v>-14829</v>
      </c>
      <c r="J7" s="118">
        <v>-14476</v>
      </c>
      <c r="K7" s="118">
        <v>-15581</v>
      </c>
      <c r="L7" s="118">
        <v>-15718</v>
      </c>
      <c r="M7" s="118">
        <v>-13375</v>
      </c>
      <c r="N7" s="118">
        <v>-16133</v>
      </c>
      <c r="O7" s="118">
        <v>-15067</v>
      </c>
      <c r="P7" s="118">
        <v>-16475</v>
      </c>
      <c r="Q7" s="118">
        <v>-13363</v>
      </c>
      <c r="R7" s="118">
        <v>-19180</v>
      </c>
      <c r="S7" s="118">
        <v>-21827</v>
      </c>
      <c r="T7" s="118">
        <v>-21515</v>
      </c>
      <c r="U7" s="118">
        <v>-17379</v>
      </c>
      <c r="V7" s="118">
        <v>-18727</v>
      </c>
      <c r="W7" s="118">
        <v>-23160</v>
      </c>
      <c r="X7" s="118">
        <v>-23073</v>
      </c>
      <c r="Y7" s="118">
        <v>-18561</v>
      </c>
      <c r="Z7" s="118">
        <v>-20329</v>
      </c>
      <c r="AA7" s="118">
        <v>-20310</v>
      </c>
      <c r="AB7" s="118">
        <v>-23486</v>
      </c>
      <c r="AC7" s="118">
        <v>-17255</v>
      </c>
      <c r="AD7" s="118">
        <v>-6945</v>
      </c>
      <c r="AE7" s="118">
        <v>-19108</v>
      </c>
      <c r="AF7" s="118">
        <v>-20062</v>
      </c>
      <c r="AG7" s="118">
        <v>-15718</v>
      </c>
      <c r="AH7" s="118">
        <v>-18452</v>
      </c>
      <c r="AI7" s="118">
        <v>-16758</v>
      </c>
      <c r="AJ7" s="118">
        <v>-21235</v>
      </c>
      <c r="AK7" s="118">
        <v>-15700</v>
      </c>
      <c r="AL7" s="118">
        <v>-18394</v>
      </c>
      <c r="AM7" s="118">
        <v>-23371</v>
      </c>
      <c r="AN7" s="118">
        <v>-25247</v>
      </c>
      <c r="AO7" s="118">
        <v>-22771</v>
      </c>
      <c r="AP7" s="260">
        <v>-25245</v>
      </c>
      <c r="AQ7" s="118">
        <v>-27210</v>
      </c>
      <c r="AR7" s="260">
        <v>-29815</v>
      </c>
      <c r="AS7" s="118">
        <v>-22544</v>
      </c>
      <c r="AT7" s="118">
        <v>-26744</v>
      </c>
      <c r="AU7" s="118">
        <v>-33795</v>
      </c>
      <c r="AV7" s="118">
        <v>-33436</v>
      </c>
      <c r="AW7" s="118">
        <v>-27570</v>
      </c>
      <c r="AX7" s="118">
        <v>-38570</v>
      </c>
      <c r="AY7" s="118">
        <v>-37059</v>
      </c>
      <c r="AZ7" s="118">
        <v>-35136</v>
      </c>
      <c r="BA7" s="118">
        <v>-28855</v>
      </c>
      <c r="BB7" s="118">
        <f>('[3]21 Receita NL'!$N$12)-BA7</f>
        <v>-41352</v>
      </c>
    </row>
    <row r="8" spans="1:54" x14ac:dyDescent="0.2">
      <c r="A8" t="s">
        <v>375</v>
      </c>
      <c r="B8" t="s">
        <v>1028</v>
      </c>
      <c r="D8" s="126" t="str">
        <f>IF([1]RENAME!$H$3=1,B8,A8)</f>
        <v>Receita antes de impostos</v>
      </c>
      <c r="E8" s="120">
        <f t="shared" ref="E8:K8" si="10">SUM(E6:E7)</f>
        <v>388943</v>
      </c>
      <c r="F8" s="120">
        <f t="shared" si="10"/>
        <v>422712</v>
      </c>
      <c r="G8" s="120">
        <f t="shared" si="10"/>
        <v>425592</v>
      </c>
      <c r="H8" s="120">
        <f t="shared" si="10"/>
        <v>471008</v>
      </c>
      <c r="I8" s="120">
        <f t="shared" si="10"/>
        <v>338043</v>
      </c>
      <c r="J8" s="120">
        <f t="shared" si="10"/>
        <v>327680</v>
      </c>
      <c r="K8" s="120">
        <f t="shared" si="10"/>
        <v>327567</v>
      </c>
      <c r="L8" s="120">
        <f>SUM(L6:L7)</f>
        <v>338144</v>
      </c>
      <c r="M8" s="120">
        <f>SUM(M6:M7)</f>
        <v>237670</v>
      </c>
      <c r="N8" s="120">
        <f t="shared" ref="N8:S8" si="11">SUM(N6:N7)</f>
        <v>266918</v>
      </c>
      <c r="O8" s="120">
        <f t="shared" si="11"/>
        <v>277504</v>
      </c>
      <c r="P8" s="120">
        <f t="shared" si="11"/>
        <v>297086</v>
      </c>
      <c r="Q8" s="120">
        <f t="shared" si="11"/>
        <v>249776</v>
      </c>
      <c r="R8" s="120">
        <f t="shared" si="11"/>
        <v>297588</v>
      </c>
      <c r="S8" s="120">
        <f t="shared" si="11"/>
        <v>333803</v>
      </c>
      <c r="T8" s="120">
        <f t="shared" ref="T8:AB8" si="12">SUM(T6:T7)</f>
        <v>373138</v>
      </c>
      <c r="U8" s="120">
        <f t="shared" si="12"/>
        <v>305470</v>
      </c>
      <c r="V8" s="120">
        <f t="shared" si="12"/>
        <v>341672</v>
      </c>
      <c r="W8" s="120">
        <f t="shared" si="12"/>
        <v>392686</v>
      </c>
      <c r="X8" s="120">
        <f t="shared" si="12"/>
        <v>416553</v>
      </c>
      <c r="Y8" s="120">
        <f t="shared" si="12"/>
        <v>348722</v>
      </c>
      <c r="Z8" s="120">
        <f t="shared" si="12"/>
        <v>386001</v>
      </c>
      <c r="AA8" s="120">
        <f t="shared" si="12"/>
        <v>395540</v>
      </c>
      <c r="AB8" s="120">
        <f t="shared" si="12"/>
        <v>440361</v>
      </c>
      <c r="AC8" s="120">
        <f t="shared" ref="AC8:AI8" si="13">SUM(AC6:AC7)</f>
        <v>328198</v>
      </c>
      <c r="AD8" s="120">
        <f t="shared" si="13"/>
        <v>153320</v>
      </c>
      <c r="AE8" s="120">
        <f t="shared" si="13"/>
        <v>339209</v>
      </c>
      <c r="AF8" s="120">
        <f t="shared" si="13"/>
        <v>366667</v>
      </c>
      <c r="AG8" s="120">
        <f t="shared" si="13"/>
        <v>275047</v>
      </c>
      <c r="AH8" s="120">
        <f t="shared" si="13"/>
        <v>276259</v>
      </c>
      <c r="AI8" s="120">
        <f t="shared" si="13"/>
        <v>272524</v>
      </c>
      <c r="AJ8" s="120">
        <f t="shared" ref="AJ8:AO8" si="14">SUM(AJ6:AJ7)</f>
        <v>358247</v>
      </c>
      <c r="AK8" s="120">
        <f t="shared" si="14"/>
        <v>282638</v>
      </c>
      <c r="AL8" s="120">
        <f t="shared" si="14"/>
        <v>357438</v>
      </c>
      <c r="AM8" s="120">
        <f t="shared" si="14"/>
        <v>488039</v>
      </c>
      <c r="AN8" s="120">
        <f t="shared" si="14"/>
        <v>481054</v>
      </c>
      <c r="AO8" s="120">
        <f t="shared" si="14"/>
        <v>394455</v>
      </c>
      <c r="AP8" s="120">
        <f t="shared" ref="AP8:AW8" si="15">SUM(AP6:AP7)</f>
        <v>431899</v>
      </c>
      <c r="AQ8" s="120">
        <f t="shared" si="15"/>
        <v>503889</v>
      </c>
      <c r="AR8" s="120">
        <f t="shared" si="15"/>
        <v>536155</v>
      </c>
      <c r="AS8" s="120">
        <f t="shared" si="15"/>
        <v>460692</v>
      </c>
      <c r="AT8" s="120">
        <f t="shared" si="15"/>
        <v>558144</v>
      </c>
      <c r="AU8" s="120">
        <f t="shared" si="15"/>
        <v>712963</v>
      </c>
      <c r="AV8" s="120">
        <f t="shared" si="15"/>
        <v>736905</v>
      </c>
      <c r="AW8" s="120">
        <f t="shared" si="15"/>
        <v>517580</v>
      </c>
      <c r="AX8" s="120">
        <f>SUM(AX6:AX7)</f>
        <v>637116</v>
      </c>
      <c r="AY8" s="120">
        <f>SUM(AY6:AY7)</f>
        <v>749373</v>
      </c>
      <c r="AZ8" s="120">
        <f>SUM(AZ6:AZ7)</f>
        <v>729616</v>
      </c>
      <c r="BA8" s="120">
        <f>SUM(BA6:BA7)</f>
        <v>621181</v>
      </c>
      <c r="BB8" s="120">
        <f>SUM(BB6:BB7)</f>
        <v>883388</v>
      </c>
    </row>
    <row r="9" spans="1:54" x14ac:dyDescent="0.2">
      <c r="A9" t="s">
        <v>299</v>
      </c>
      <c r="B9" t="s">
        <v>1029</v>
      </c>
      <c r="D9" s="129" t="str">
        <f>IF([1]RENAME!$H$3=1,B9,A9)</f>
        <v>Impostos incidentes</v>
      </c>
      <c r="E9" s="118">
        <v>-61578</v>
      </c>
      <c r="F9" s="118">
        <v>-66400</v>
      </c>
      <c r="G9" s="118">
        <v>-66758</v>
      </c>
      <c r="H9" s="118">
        <v>-73966</v>
      </c>
      <c r="I9" s="118">
        <v>-53144</v>
      </c>
      <c r="J9" s="118">
        <v>-52574</v>
      </c>
      <c r="K9" s="118">
        <v>-52181</v>
      </c>
      <c r="L9" s="118">
        <v>-50971</v>
      </c>
      <c r="M9" s="118">
        <v>-34776</v>
      </c>
      <c r="N9" s="118">
        <v>-38261</v>
      </c>
      <c r="O9" s="118">
        <v>-39686</v>
      </c>
      <c r="P9" s="118">
        <v>-42564</v>
      </c>
      <c r="Q9" s="118">
        <v>-36262</v>
      </c>
      <c r="R9" s="260">
        <v>-32481</v>
      </c>
      <c r="S9" s="118">
        <v>-47924</v>
      </c>
      <c r="T9" s="118">
        <v>-53663</v>
      </c>
      <c r="U9" s="118">
        <v>-43398</v>
      </c>
      <c r="V9" s="118">
        <v>-48396</v>
      </c>
      <c r="W9" s="118">
        <v>-61481</v>
      </c>
      <c r="X9" s="118">
        <v>-49327</v>
      </c>
      <c r="Y9" s="118">
        <v>-52041</v>
      </c>
      <c r="Z9" s="118">
        <v>-54413</v>
      </c>
      <c r="AA9" s="118">
        <v>-54817</v>
      </c>
      <c r="AB9" s="118">
        <v>-62033</v>
      </c>
      <c r="AC9" s="118">
        <v>-48452</v>
      </c>
      <c r="AD9" s="118">
        <v>-23179</v>
      </c>
      <c r="AE9" s="118">
        <v>-50028</v>
      </c>
      <c r="AF9" s="118">
        <v>-53700</v>
      </c>
      <c r="AG9" s="118">
        <v>-41135</v>
      </c>
      <c r="AH9" s="118">
        <v>-39193</v>
      </c>
      <c r="AI9" s="118">
        <v>-41085</v>
      </c>
      <c r="AJ9" s="118">
        <v>-53321</v>
      </c>
      <c r="AK9" s="118">
        <v>-41572</v>
      </c>
      <c r="AL9" s="118">
        <v>-52903</v>
      </c>
      <c r="AM9" s="118">
        <v>-72530</v>
      </c>
      <c r="AN9" s="118">
        <v>-71655</v>
      </c>
      <c r="AO9" s="118">
        <v>-58417</v>
      </c>
      <c r="AP9" s="118">
        <v>-65248</v>
      </c>
      <c r="AQ9" s="118">
        <v>-76912</v>
      </c>
      <c r="AR9" s="118">
        <v>-82353</v>
      </c>
      <c r="AS9" s="118">
        <v>-71521</v>
      </c>
      <c r="AT9" s="118">
        <v>-85302</v>
      </c>
      <c r="AU9" s="118">
        <v>-109209</v>
      </c>
      <c r="AV9" s="118">
        <v>-112545</v>
      </c>
      <c r="AW9" s="118">
        <v>-77223</v>
      </c>
      <c r="AX9" s="118">
        <v>-96576</v>
      </c>
      <c r="AY9" s="118">
        <v>-115150</v>
      </c>
      <c r="AZ9" s="118">
        <v>-119308</v>
      </c>
      <c r="BA9" s="118">
        <v>-99902</v>
      </c>
      <c r="BB9" s="118">
        <f>('[3]21 Receita NL'!$N$16)-BA9</f>
        <v>-143272</v>
      </c>
    </row>
    <row r="10" spans="1:54" x14ac:dyDescent="0.2">
      <c r="A10" t="s">
        <v>300</v>
      </c>
      <c r="B10" t="s">
        <v>1030</v>
      </c>
      <c r="D10" s="126" t="str">
        <f>IF([1]RENAME!$H$3=1,B10,A10)</f>
        <v>Receita líquida de serviços</v>
      </c>
      <c r="E10" s="120">
        <f t="shared" ref="E10:K10" si="16">SUM(E8:E9)</f>
        <v>327365</v>
      </c>
      <c r="F10" s="120">
        <f t="shared" si="16"/>
        <v>356312</v>
      </c>
      <c r="G10" s="120">
        <f t="shared" si="16"/>
        <v>358834</v>
      </c>
      <c r="H10" s="120">
        <f t="shared" si="16"/>
        <v>397042</v>
      </c>
      <c r="I10" s="120">
        <f t="shared" si="16"/>
        <v>284899</v>
      </c>
      <c r="J10" s="120">
        <f t="shared" si="16"/>
        <v>275106</v>
      </c>
      <c r="K10" s="120">
        <f t="shared" si="16"/>
        <v>275386</v>
      </c>
      <c r="L10" s="120">
        <f>SUM(L8:L9)</f>
        <v>287173</v>
      </c>
      <c r="M10" s="120">
        <f>SUM(M8:M9)</f>
        <v>202894</v>
      </c>
      <c r="N10" s="120">
        <f t="shared" ref="N10:S10" si="17">SUM(N8:N9)</f>
        <v>228657</v>
      </c>
      <c r="O10" s="120">
        <f t="shared" si="17"/>
        <v>237818</v>
      </c>
      <c r="P10" s="120">
        <f t="shared" si="17"/>
        <v>254522</v>
      </c>
      <c r="Q10" s="120">
        <f t="shared" si="17"/>
        <v>213514</v>
      </c>
      <c r="R10" s="120">
        <f t="shared" si="17"/>
        <v>265107</v>
      </c>
      <c r="S10" s="120">
        <f t="shared" si="17"/>
        <v>285879</v>
      </c>
      <c r="T10" s="120">
        <f t="shared" ref="T10:AB10" si="18">SUM(T8:T9)</f>
        <v>319475</v>
      </c>
      <c r="U10" s="120">
        <f t="shared" si="18"/>
        <v>262072</v>
      </c>
      <c r="V10" s="120">
        <f t="shared" si="18"/>
        <v>293276</v>
      </c>
      <c r="W10" s="120">
        <f t="shared" si="18"/>
        <v>331205</v>
      </c>
      <c r="X10" s="120">
        <f t="shared" si="18"/>
        <v>367226</v>
      </c>
      <c r="Y10" s="120">
        <f t="shared" si="18"/>
        <v>296681</v>
      </c>
      <c r="Z10" s="120">
        <f t="shared" si="18"/>
        <v>331588</v>
      </c>
      <c r="AA10" s="120">
        <f t="shared" si="18"/>
        <v>340723</v>
      </c>
      <c r="AB10" s="120">
        <f t="shared" si="18"/>
        <v>378328</v>
      </c>
      <c r="AC10" s="120">
        <f t="shared" ref="AC10:AI10" si="19">SUM(AC8:AC9)</f>
        <v>279746</v>
      </c>
      <c r="AD10" s="120">
        <f t="shared" si="19"/>
        <v>130141</v>
      </c>
      <c r="AE10" s="120">
        <f t="shared" si="19"/>
        <v>289181</v>
      </c>
      <c r="AF10" s="120">
        <f t="shared" si="19"/>
        <v>312967</v>
      </c>
      <c r="AG10" s="120">
        <f t="shared" si="19"/>
        <v>233912</v>
      </c>
      <c r="AH10" s="120">
        <f t="shared" si="19"/>
        <v>237066</v>
      </c>
      <c r="AI10" s="120">
        <f t="shared" si="19"/>
        <v>231439</v>
      </c>
      <c r="AJ10" s="120">
        <f>SUM(AJ8:AJ9)</f>
        <v>304926</v>
      </c>
      <c r="AK10" s="120">
        <v>241066</v>
      </c>
      <c r="AL10" s="120">
        <f t="shared" ref="AL10:AQ10" si="20">SUM(AL8:AL9)</f>
        <v>304535</v>
      </c>
      <c r="AM10" s="120">
        <f t="shared" si="20"/>
        <v>415509</v>
      </c>
      <c r="AN10" s="120">
        <f t="shared" si="20"/>
        <v>409399</v>
      </c>
      <c r="AO10" s="120">
        <f t="shared" si="20"/>
        <v>336038</v>
      </c>
      <c r="AP10" s="120">
        <f t="shared" si="20"/>
        <v>366651</v>
      </c>
      <c r="AQ10" s="120">
        <f t="shared" si="20"/>
        <v>426977</v>
      </c>
      <c r="AR10" s="120">
        <f t="shared" ref="AR10:BB10" si="21">SUM(AR8:AR9)</f>
        <v>453802</v>
      </c>
      <c r="AS10" s="120">
        <f t="shared" si="21"/>
        <v>389171</v>
      </c>
      <c r="AT10" s="120">
        <f t="shared" si="21"/>
        <v>472842</v>
      </c>
      <c r="AU10" s="120">
        <f t="shared" si="21"/>
        <v>603754</v>
      </c>
      <c r="AV10" s="120">
        <f t="shared" si="21"/>
        <v>624360</v>
      </c>
      <c r="AW10" s="120">
        <f t="shared" si="21"/>
        <v>440357</v>
      </c>
      <c r="AX10" s="120">
        <f t="shared" si="21"/>
        <v>540540</v>
      </c>
      <c r="AY10" s="120">
        <f t="shared" si="21"/>
        <v>634223</v>
      </c>
      <c r="AZ10" s="120">
        <f t="shared" si="21"/>
        <v>610308</v>
      </c>
      <c r="BA10" s="120">
        <f>SUM(BA8:BA9)</f>
        <v>521279</v>
      </c>
      <c r="BB10" s="120">
        <f t="shared" si="21"/>
        <v>740116</v>
      </c>
    </row>
    <row r="11" spans="1:54" x14ac:dyDescent="0.2">
      <c r="A11" t="s">
        <v>89</v>
      </c>
      <c r="B11" t="s">
        <v>89</v>
      </c>
      <c r="D11" s="105"/>
      <c r="E11" s="177"/>
      <c r="F11" s="177"/>
      <c r="G11" s="177"/>
      <c r="H11" s="177"/>
      <c r="I11" s="177"/>
      <c r="J11" s="177"/>
      <c r="K11" s="177"/>
      <c r="L11" s="177"/>
      <c r="M11" s="177"/>
      <c r="N11" s="177"/>
      <c r="O11" s="177"/>
      <c r="P11" s="177"/>
      <c r="Q11" s="169">
        <f>+DRE!AD10-Q10</f>
        <v>0.57686999998986721</v>
      </c>
      <c r="R11" s="169">
        <f>+DRE!AE10-R10</f>
        <v>-0.59764000005088747</v>
      </c>
      <c r="S11" s="169">
        <f>+DRE!AF10-S10</f>
        <v>-0.14616999996360391</v>
      </c>
      <c r="T11" s="169">
        <f>+DRE!AG10-T10</f>
        <v>0.60617999994428828</v>
      </c>
      <c r="U11" s="169">
        <f>+DRE!AH10-U10</f>
        <v>0.36444000000483356</v>
      </c>
      <c r="V11" s="169">
        <f>+DRE!AI10-V10</f>
        <v>-0.67650000005960464</v>
      </c>
      <c r="W11" s="169">
        <f>+DRE!AJ10-W10</f>
        <v>0.66719999996712431</v>
      </c>
      <c r="X11" s="169">
        <f>+DRE!AK10-X10</f>
        <v>-0.53106999996816739</v>
      </c>
      <c r="Y11" s="169">
        <f>+DRE!AL10-Y10</f>
        <v>-0.20844000001670793</v>
      </c>
      <c r="Z11" s="169">
        <f>+DRE!AM10-Z10</f>
        <v>1.169000007212162E-2</v>
      </c>
      <c r="AA11" s="169">
        <f>+DRE!AN10-AA10</f>
        <v>0.14690000005066395</v>
      </c>
      <c r="AB11" s="169">
        <f>+DRE!AO10-AB10</f>
        <v>0.5195600000442937</v>
      </c>
      <c r="AC11" s="169">
        <f>+DRE!AP10-AC10</f>
        <v>0.42341999994823709</v>
      </c>
      <c r="AD11" s="169">
        <f>+DRE!AQ10-AD10</f>
        <v>-0.45756000000983477</v>
      </c>
      <c r="AE11" s="169">
        <f>+DRE!AR10-AE10</f>
        <v>0.48297999997157604</v>
      </c>
      <c r="AF11" s="169">
        <f>+DRE!AS10-AF10</f>
        <v>-0.47023000003537163</v>
      </c>
      <c r="AG11" s="169">
        <f>+DRE!AT10-AG10</f>
        <v>0.14429999998537824</v>
      </c>
      <c r="AH11" s="169">
        <f>+DRE!AU10-AH10</f>
        <v>0.25822999997762963</v>
      </c>
      <c r="AI11" s="169">
        <v>-0.48523999997996725</v>
      </c>
      <c r="AJ11" s="169">
        <f>+DRE!AW10-AJ10</f>
        <v>9.1619999904651195E-2</v>
      </c>
      <c r="AK11" s="169">
        <f>+DRE!AX10-AK10</f>
        <v>0.10910999996121973</v>
      </c>
      <c r="AL11" s="169">
        <f>+DRE!AY10-AL10</f>
        <v>0.17456000001402572</v>
      </c>
      <c r="AM11" s="169">
        <f>+DRE!AZ10-AM10</f>
        <v>-0.30891999992309138</v>
      </c>
      <c r="AN11" s="169">
        <f>+DRE!BA10-AN10</f>
        <v>0.47148000000743195</v>
      </c>
      <c r="AO11" s="169">
        <f>+DRE!BB10-AO10</f>
        <v>-5.0830000196583569E-2</v>
      </c>
      <c r="AP11" s="169">
        <f>+DRE!BC10-AP10</f>
        <v>-0.2699599998886697</v>
      </c>
      <c r="AQ11" s="169">
        <f>+DRE!BD10-AQ10</f>
        <v>0.59149000007892027</v>
      </c>
      <c r="AR11" s="169">
        <f>+DRE!BE10-AR10</f>
        <v>-0.72626999986823648</v>
      </c>
      <c r="AS11" s="169">
        <f>+DRE!BF10-AS10</f>
        <v>-0.20720000012079254</v>
      </c>
      <c r="AT11" s="169">
        <f>+DRE!BG10-AT10</f>
        <v>0.18974000005982816</v>
      </c>
      <c r="AU11" s="169">
        <f>+DRE!BH10-AU10</f>
        <v>0.2609100000699982</v>
      </c>
      <c r="AV11" s="169">
        <f>+DRE!BI10-AV10</f>
        <v>0.17367999989073724</v>
      </c>
      <c r="AW11" s="169">
        <f>+DRE!BJ10-AW10</f>
        <v>0.28667999990284443</v>
      </c>
      <c r="AX11" s="169">
        <f>+DRE!BK10-AX10</f>
        <v>-0.43962000007741153</v>
      </c>
      <c r="AY11" s="169">
        <f>+DRE!BL10-AY10</f>
        <v>1.9330000039190054E-2</v>
      </c>
      <c r="AZ11" s="169">
        <f>+DRE!BM10-AZ10</f>
        <v>0.31069999991450459</v>
      </c>
      <c r="BA11" s="169">
        <f>+DRE!BN10-BA10</f>
        <v>-0.32766999996965751</v>
      </c>
      <c r="BB11" s="169">
        <f>+DRE!BO10-BB10</f>
        <v>0.58236999996006489</v>
      </c>
    </row>
    <row r="12" spans="1:54" x14ac:dyDescent="0.2">
      <c r="A12" t="s">
        <v>97</v>
      </c>
      <c r="B12" t="s">
        <v>872</v>
      </c>
      <c r="D12" s="115" t="str">
        <f>IF([1]RENAME!$H$3=1,B12,A12)</f>
        <v>Controladora</v>
      </c>
      <c r="E12" s="115" t="str">
        <f>E5</f>
        <v>1T14</v>
      </c>
      <c r="F12" s="115" t="str">
        <f t="shared" ref="F12:S12" si="22">F5</f>
        <v>2T14</v>
      </c>
      <c r="G12" s="115" t="str">
        <f t="shared" si="22"/>
        <v>3T14</v>
      </c>
      <c r="H12" s="115" t="str">
        <f t="shared" si="22"/>
        <v>4T14</v>
      </c>
      <c r="I12" s="115" t="str">
        <f t="shared" si="22"/>
        <v>1T15</v>
      </c>
      <c r="J12" s="115" t="str">
        <f t="shared" si="22"/>
        <v>2T15</v>
      </c>
      <c r="K12" s="115" t="str">
        <f t="shared" si="22"/>
        <v>3T15</v>
      </c>
      <c r="L12" s="115" t="str">
        <f t="shared" si="22"/>
        <v>4T15</v>
      </c>
      <c r="M12" s="115" t="str">
        <f t="shared" si="22"/>
        <v>1T16</v>
      </c>
      <c r="N12" s="115" t="str">
        <f t="shared" si="22"/>
        <v>2T16</v>
      </c>
      <c r="O12" s="115" t="str">
        <f t="shared" si="22"/>
        <v>3T16</v>
      </c>
      <c r="P12" s="115" t="str">
        <f t="shared" si="22"/>
        <v>4T16</v>
      </c>
      <c r="Q12" s="115" t="str">
        <f t="shared" si="22"/>
        <v>1T17</v>
      </c>
      <c r="R12" s="115" t="str">
        <f t="shared" si="22"/>
        <v>2T17</v>
      </c>
      <c r="S12" s="115" t="str">
        <f t="shared" si="22"/>
        <v>3T17</v>
      </c>
      <c r="T12" s="115" t="str">
        <f t="shared" ref="T12:AB12" si="23">T5</f>
        <v>4T17</v>
      </c>
      <c r="U12" s="115" t="str">
        <f t="shared" si="23"/>
        <v>1T18</v>
      </c>
      <c r="V12" s="115" t="str">
        <f t="shared" si="23"/>
        <v>2T18</v>
      </c>
      <c r="W12" s="115" t="str">
        <f t="shared" si="23"/>
        <v>3T18</v>
      </c>
      <c r="X12" s="115" t="str">
        <f t="shared" si="23"/>
        <v>4T18</v>
      </c>
      <c r="Y12" s="115" t="str">
        <f t="shared" si="23"/>
        <v>1T19</v>
      </c>
      <c r="Z12" s="115" t="str">
        <f t="shared" si="23"/>
        <v>2T19</v>
      </c>
      <c r="AA12" s="115" t="str">
        <f t="shared" si="23"/>
        <v>3T19</v>
      </c>
      <c r="AB12" s="115" t="str">
        <f t="shared" si="23"/>
        <v>4T19</v>
      </c>
      <c r="AC12" s="115" t="str">
        <f t="shared" ref="AC12:AL12" si="24">AC5</f>
        <v>1T20</v>
      </c>
      <c r="AD12" s="115" t="str">
        <f t="shared" si="24"/>
        <v>2T20</v>
      </c>
      <c r="AE12" s="115" t="str">
        <f t="shared" si="24"/>
        <v>3T20</v>
      </c>
      <c r="AF12" s="115" t="str">
        <f t="shared" si="24"/>
        <v>4T20</v>
      </c>
      <c r="AG12" s="115" t="str">
        <f t="shared" si="24"/>
        <v>1T21</v>
      </c>
      <c r="AH12" s="115" t="str">
        <f t="shared" si="24"/>
        <v>2T21</v>
      </c>
      <c r="AI12" s="115" t="str">
        <f t="shared" si="24"/>
        <v>3T21</v>
      </c>
      <c r="AJ12" s="115" t="str">
        <f t="shared" si="24"/>
        <v>4T21</v>
      </c>
      <c r="AK12" s="115" t="str">
        <f t="shared" si="24"/>
        <v>1T22</v>
      </c>
      <c r="AL12" s="115" t="str">
        <f t="shared" si="24"/>
        <v>2T22</v>
      </c>
      <c r="AM12" s="115" t="str">
        <f t="shared" ref="AM12:AS12" si="25">AM5</f>
        <v>3T22</v>
      </c>
      <c r="AN12" s="115" t="str">
        <f t="shared" si="25"/>
        <v>4T22</v>
      </c>
      <c r="AO12" s="115" t="str">
        <f t="shared" si="25"/>
        <v>1T23</v>
      </c>
      <c r="AP12" s="115" t="str">
        <f t="shared" si="25"/>
        <v>2T23</v>
      </c>
      <c r="AQ12" s="115" t="str">
        <f t="shared" si="25"/>
        <v>3T23</v>
      </c>
      <c r="AR12" s="115" t="str">
        <f t="shared" si="25"/>
        <v>4T23</v>
      </c>
      <c r="AS12" s="115" t="str">
        <f t="shared" si="25"/>
        <v>1T24</v>
      </c>
      <c r="AT12" s="115" t="str">
        <f t="shared" ref="AT12:AY12" si="26">AT5</f>
        <v>2T24</v>
      </c>
      <c r="AU12" s="115" t="str">
        <f t="shared" si="26"/>
        <v>3T24</v>
      </c>
      <c r="AV12" s="115" t="str">
        <f t="shared" si="26"/>
        <v>4T24</v>
      </c>
      <c r="AW12" s="115" t="str">
        <f t="shared" si="26"/>
        <v>1T25</v>
      </c>
      <c r="AX12" s="115" t="str">
        <f t="shared" si="26"/>
        <v>2T25</v>
      </c>
      <c r="AY12" s="115" t="str">
        <f t="shared" si="26"/>
        <v>3T25</v>
      </c>
      <c r="AZ12" s="115" t="str">
        <f>AZ5</f>
        <v>4T25</v>
      </c>
      <c r="BA12" s="247" t="str">
        <f>BA5</f>
        <v>1T26</v>
      </c>
      <c r="BB12" s="115" t="str">
        <f>BB5</f>
        <v>2T26</v>
      </c>
    </row>
    <row r="13" spans="1:54" x14ac:dyDescent="0.2">
      <c r="A13" t="s">
        <v>297</v>
      </c>
      <c r="B13" t="s">
        <v>1026</v>
      </c>
      <c r="D13" s="129" t="str">
        <f>IF([1]RENAME!$H$3=1,B13,A13)</f>
        <v>Receita bruta de serviços</v>
      </c>
      <c r="E13" s="118">
        <v>350260</v>
      </c>
      <c r="F13" s="118">
        <v>384570</v>
      </c>
      <c r="G13" s="118">
        <v>388402</v>
      </c>
      <c r="H13" s="118">
        <v>438119</v>
      </c>
      <c r="I13" s="118">
        <v>303213</v>
      </c>
      <c r="J13" s="118">
        <v>291573</v>
      </c>
      <c r="K13" s="118">
        <v>289424</v>
      </c>
      <c r="L13" s="118">
        <v>301758</v>
      </c>
      <c r="M13" s="118">
        <v>210357</v>
      </c>
      <c r="N13" s="118">
        <v>243250</v>
      </c>
      <c r="O13" s="118">
        <v>254608</v>
      </c>
      <c r="P13" s="118">
        <v>273853</v>
      </c>
      <c r="Q13" s="118">
        <v>224602</v>
      </c>
      <c r="R13" s="118">
        <v>279313</v>
      </c>
      <c r="S13" s="118">
        <v>317046</v>
      </c>
      <c r="T13" s="118">
        <v>352817</v>
      </c>
      <c r="U13" s="118">
        <v>286049</v>
      </c>
      <c r="V13" s="118">
        <v>325559</v>
      </c>
      <c r="W13" s="118">
        <v>377916</v>
      </c>
      <c r="X13" s="118">
        <v>403028</v>
      </c>
      <c r="Y13" s="118">
        <v>330842</v>
      </c>
      <c r="Z13" s="118">
        <v>357019</v>
      </c>
      <c r="AA13" s="118">
        <v>363550</v>
      </c>
      <c r="AB13" s="118">
        <v>407034</v>
      </c>
      <c r="AC13" s="118">
        <v>293793</v>
      </c>
      <c r="AD13" s="118">
        <v>108445</v>
      </c>
      <c r="AE13" s="118">
        <v>300876</v>
      </c>
      <c r="AF13" s="118">
        <v>330747</v>
      </c>
      <c r="AG13" s="118">
        <v>241836</v>
      </c>
      <c r="AH13" s="118">
        <v>238168</v>
      </c>
      <c r="AI13" s="118">
        <v>234639</v>
      </c>
      <c r="AJ13" s="118">
        <v>323633</v>
      </c>
      <c r="AK13" s="118">
        <v>235046</v>
      </c>
      <c r="AL13" s="118">
        <v>306547</v>
      </c>
      <c r="AM13" s="118">
        <v>434500</v>
      </c>
      <c r="AN13" s="118">
        <v>428713</v>
      </c>
      <c r="AO13" s="118">
        <v>337833</v>
      </c>
      <c r="AP13" s="118">
        <v>382856</v>
      </c>
      <c r="AQ13" s="118">
        <v>446061</v>
      </c>
      <c r="AR13" s="118">
        <v>480205</v>
      </c>
      <c r="AS13" s="118">
        <v>394085</v>
      </c>
      <c r="AT13" s="118">
        <v>506074</v>
      </c>
      <c r="AU13" s="118">
        <v>682373</v>
      </c>
      <c r="AV13" s="118">
        <v>708745</v>
      </c>
      <c r="AW13" s="118">
        <v>477345</v>
      </c>
      <c r="AX13" s="118">
        <v>601805</v>
      </c>
      <c r="AY13" s="118">
        <v>724412</v>
      </c>
      <c r="AZ13" s="118">
        <v>695083</v>
      </c>
      <c r="BA13" s="118">
        <v>577002</v>
      </c>
      <c r="BB13" s="118">
        <f>('[3]21 Receita NL'!$F$10)-BA13</f>
        <v>848961</v>
      </c>
    </row>
    <row r="14" spans="1:54" x14ac:dyDescent="0.2">
      <c r="A14" t="s">
        <v>298</v>
      </c>
      <c r="B14" t="s">
        <v>1027</v>
      </c>
      <c r="D14" s="129" t="str">
        <f>IF([1]RENAME!$H$3=1,B14,A14)</f>
        <v>Descontos, seguros e pedágio</v>
      </c>
      <c r="E14" s="118">
        <v>-17739</v>
      </c>
      <c r="F14" s="118">
        <v>-18114</v>
      </c>
      <c r="G14" s="118">
        <v>-18819</v>
      </c>
      <c r="H14" s="118">
        <v>-21747</v>
      </c>
      <c r="I14" s="118">
        <v>-14780</v>
      </c>
      <c r="J14" s="118">
        <v>-14141</v>
      </c>
      <c r="K14" s="118">
        <v>-15363</v>
      </c>
      <c r="L14" s="118">
        <v>-15182</v>
      </c>
      <c r="M14" s="118">
        <v>-13108</v>
      </c>
      <c r="N14" s="118">
        <v>-15927</v>
      </c>
      <c r="O14" s="118">
        <v>-14880</v>
      </c>
      <c r="P14" s="118">
        <v>-16178</v>
      </c>
      <c r="Q14" s="118">
        <v>-13111</v>
      </c>
      <c r="R14" s="118">
        <v>-18870</v>
      </c>
      <c r="S14" s="118">
        <v>-21639</v>
      </c>
      <c r="T14" s="118">
        <v>-21206</v>
      </c>
      <c r="U14" s="118">
        <v>-17227</v>
      </c>
      <c r="V14" s="118">
        <v>-18426</v>
      </c>
      <c r="W14" s="118">
        <v>-21993</v>
      </c>
      <c r="X14" s="118">
        <v>-22898</v>
      </c>
      <c r="Y14" s="118">
        <v>-18172</v>
      </c>
      <c r="Z14" s="118">
        <v>-19117</v>
      </c>
      <c r="AA14" s="118">
        <v>-19198</v>
      </c>
      <c r="AB14" s="118">
        <v>-22348</v>
      </c>
      <c r="AC14" s="118">
        <v>-16351</v>
      </c>
      <c r="AD14" s="118">
        <v>-6392</v>
      </c>
      <c r="AE14" s="118">
        <v>-17599</v>
      </c>
      <c r="AF14" s="118">
        <v>-18903</v>
      </c>
      <c r="AG14" s="118">
        <v>-14445</v>
      </c>
      <c r="AH14" s="118">
        <v>-16848</v>
      </c>
      <c r="AI14" s="118">
        <v>-15591</v>
      </c>
      <c r="AJ14" s="118">
        <v>-19623</v>
      </c>
      <c r="AK14" s="118">
        <v>-14629</v>
      </c>
      <c r="AL14" s="118">
        <v>-17021</v>
      </c>
      <c r="AM14" s="118">
        <v>-21957</v>
      </c>
      <c r="AN14" s="118">
        <v>-23213</v>
      </c>
      <c r="AO14" s="118">
        <v>-20254</v>
      </c>
      <c r="AP14" s="260">
        <v>-22821</v>
      </c>
      <c r="AQ14" s="118">
        <v>-24522</v>
      </c>
      <c r="AR14" s="118">
        <v>-27221</v>
      </c>
      <c r="AS14" s="118">
        <v>-19896</v>
      </c>
      <c r="AT14" s="118">
        <v>-24608</v>
      </c>
      <c r="AU14" s="118">
        <v>-32014</v>
      </c>
      <c r="AV14" s="118">
        <v>-31836</v>
      </c>
      <c r="AW14" s="118">
        <v>-25954</v>
      </c>
      <c r="AX14" s="118">
        <v>-36695</v>
      </c>
      <c r="AY14" s="118">
        <v>-35276</v>
      </c>
      <c r="AZ14" s="118">
        <v>-33489</v>
      </c>
      <c r="BA14" s="118">
        <v>-27313</v>
      </c>
      <c r="BB14" s="118">
        <f>('[3]21 Receita NL'!$F$12)-BA14</f>
        <v>-39726</v>
      </c>
    </row>
    <row r="15" spans="1:54" x14ac:dyDescent="0.2">
      <c r="A15" t="s">
        <v>375</v>
      </c>
      <c r="B15" t="s">
        <v>1028</v>
      </c>
      <c r="D15" s="126" t="str">
        <f>IF([1]RENAME!$H$3=1,B15,A15)</f>
        <v>Receita antes de impostos</v>
      </c>
      <c r="E15" s="120">
        <f t="shared" ref="E15:K15" si="27">SUM(E13:E14)</f>
        <v>332521</v>
      </c>
      <c r="F15" s="120">
        <f t="shared" si="27"/>
        <v>366456</v>
      </c>
      <c r="G15" s="120">
        <f t="shared" si="27"/>
        <v>369583</v>
      </c>
      <c r="H15" s="120">
        <f t="shared" si="27"/>
        <v>416372</v>
      </c>
      <c r="I15" s="120">
        <f t="shared" si="27"/>
        <v>288433</v>
      </c>
      <c r="J15" s="120">
        <f t="shared" si="27"/>
        <v>277432</v>
      </c>
      <c r="K15" s="120">
        <f t="shared" si="27"/>
        <v>274061</v>
      </c>
      <c r="L15" s="120">
        <f>SUM(L13:L14)</f>
        <v>286576</v>
      </c>
      <c r="M15" s="120">
        <f>SUM(M13:M14)</f>
        <v>197249</v>
      </c>
      <c r="N15" s="120">
        <f t="shared" ref="N15:S15" si="28">SUM(N13:N14)</f>
        <v>227323</v>
      </c>
      <c r="O15" s="120">
        <f t="shared" si="28"/>
        <v>239728</v>
      </c>
      <c r="P15" s="120">
        <f t="shared" si="28"/>
        <v>257675</v>
      </c>
      <c r="Q15" s="120">
        <f t="shared" si="28"/>
        <v>211491</v>
      </c>
      <c r="R15" s="120">
        <f t="shared" si="28"/>
        <v>260443</v>
      </c>
      <c r="S15" s="120">
        <f t="shared" si="28"/>
        <v>295407</v>
      </c>
      <c r="T15" s="120">
        <f t="shared" ref="T15:AB15" si="29">SUM(T13:T14)</f>
        <v>331611</v>
      </c>
      <c r="U15" s="120">
        <f t="shared" si="29"/>
        <v>268822</v>
      </c>
      <c r="V15" s="120">
        <f t="shared" si="29"/>
        <v>307133</v>
      </c>
      <c r="W15" s="120">
        <f t="shared" si="29"/>
        <v>355923</v>
      </c>
      <c r="X15" s="120">
        <f t="shared" si="29"/>
        <v>380130</v>
      </c>
      <c r="Y15" s="120">
        <f t="shared" si="29"/>
        <v>312670</v>
      </c>
      <c r="Z15" s="120">
        <f t="shared" si="29"/>
        <v>337902</v>
      </c>
      <c r="AA15" s="120">
        <f t="shared" si="29"/>
        <v>344352</v>
      </c>
      <c r="AB15" s="120">
        <f t="shared" si="29"/>
        <v>384686</v>
      </c>
      <c r="AC15" s="120">
        <f t="shared" ref="AC15:AI15" si="30">SUM(AC13:AC14)</f>
        <v>277442</v>
      </c>
      <c r="AD15" s="120">
        <f t="shared" si="30"/>
        <v>102053</v>
      </c>
      <c r="AE15" s="120">
        <f t="shared" si="30"/>
        <v>283277</v>
      </c>
      <c r="AF15" s="120">
        <f t="shared" si="30"/>
        <v>311844</v>
      </c>
      <c r="AG15" s="120">
        <f t="shared" si="30"/>
        <v>227391</v>
      </c>
      <c r="AH15" s="120">
        <f t="shared" si="30"/>
        <v>221320</v>
      </c>
      <c r="AI15" s="120">
        <f t="shared" si="30"/>
        <v>219048</v>
      </c>
      <c r="AJ15" s="120">
        <f>SUM(AJ13:AJ14)</f>
        <v>304010</v>
      </c>
      <c r="AK15" s="120">
        <v>220417</v>
      </c>
      <c r="AL15" s="120">
        <f t="shared" ref="AL15:AQ15" si="31">SUM(AL13:AL14)</f>
        <v>289526</v>
      </c>
      <c r="AM15" s="120">
        <f t="shared" si="31"/>
        <v>412543</v>
      </c>
      <c r="AN15" s="120">
        <f t="shared" si="31"/>
        <v>405500</v>
      </c>
      <c r="AO15" s="120">
        <f t="shared" si="31"/>
        <v>317579</v>
      </c>
      <c r="AP15" s="120">
        <f t="shared" si="31"/>
        <v>360035</v>
      </c>
      <c r="AQ15" s="120">
        <f t="shared" si="31"/>
        <v>421539</v>
      </c>
      <c r="AR15" s="120">
        <f t="shared" ref="AR15:AX15" si="32">SUM(AR13:AR14)</f>
        <v>452984</v>
      </c>
      <c r="AS15" s="120">
        <f t="shared" si="32"/>
        <v>374189</v>
      </c>
      <c r="AT15" s="120">
        <f t="shared" si="32"/>
        <v>481466</v>
      </c>
      <c r="AU15" s="120">
        <f t="shared" si="32"/>
        <v>650359</v>
      </c>
      <c r="AV15" s="120">
        <f t="shared" si="32"/>
        <v>676909</v>
      </c>
      <c r="AW15" s="120">
        <f t="shared" si="32"/>
        <v>451391</v>
      </c>
      <c r="AX15" s="120">
        <f t="shared" si="32"/>
        <v>565110</v>
      </c>
      <c r="AY15" s="120">
        <f>SUM(AY13:AY14)</f>
        <v>689136</v>
      </c>
      <c r="AZ15" s="120">
        <f>SUM(AZ13:AZ14)</f>
        <v>661594</v>
      </c>
      <c r="BA15" s="120">
        <f>SUM(BA13:BA14)</f>
        <v>549689</v>
      </c>
      <c r="BB15" s="120">
        <f>SUM(BB13:BB14)</f>
        <v>809235</v>
      </c>
    </row>
    <row r="16" spans="1:54" x14ac:dyDescent="0.2">
      <c r="A16" t="s">
        <v>299</v>
      </c>
      <c r="B16" t="s">
        <v>1029</v>
      </c>
      <c r="D16" s="129" t="str">
        <f>IF([1]RENAME!$H$3=1,B16,A16)</f>
        <v>Impostos incidentes</v>
      </c>
      <c r="E16" s="118">
        <v>-51110</v>
      </c>
      <c r="F16" s="118">
        <v>-56591</v>
      </c>
      <c r="G16" s="118">
        <v>-57316</v>
      </c>
      <c r="H16" s="118">
        <v>-64664</v>
      </c>
      <c r="I16" s="118">
        <v>-44517</v>
      </c>
      <c r="J16" s="118">
        <v>-43850</v>
      </c>
      <c r="K16" s="118">
        <v>-43017</v>
      </c>
      <c r="L16" s="118">
        <v>-42115</v>
      </c>
      <c r="M16" s="118">
        <v>-28313</v>
      </c>
      <c r="N16" s="118">
        <v>-32007</v>
      </c>
      <c r="O16" s="118">
        <v>-33773</v>
      </c>
      <c r="P16" s="118">
        <v>-36381</v>
      </c>
      <c r="Q16" s="118">
        <v>-30274</v>
      </c>
      <c r="R16" s="118">
        <v>-36345</v>
      </c>
      <c r="S16" s="118">
        <v>-42012</v>
      </c>
      <c r="T16" s="118">
        <v>-47139</v>
      </c>
      <c r="U16" s="118">
        <v>-37802</v>
      </c>
      <c r="V16" s="118">
        <v>-43187</v>
      </c>
      <c r="W16" s="118">
        <v>-50267</v>
      </c>
      <c r="X16" s="118">
        <v>-44587</v>
      </c>
      <c r="Y16" s="118">
        <v>-46687</v>
      </c>
      <c r="Z16" s="118">
        <v>-48024</v>
      </c>
      <c r="AA16" s="118">
        <v>-48059</v>
      </c>
      <c r="AB16" s="118">
        <v>-54938</v>
      </c>
      <c r="AC16" s="118">
        <v>-41549</v>
      </c>
      <c r="AD16" s="118">
        <v>-15838</v>
      </c>
      <c r="AE16" s="118">
        <v>-42459</v>
      </c>
      <c r="AF16" s="118">
        <v>-46333</v>
      </c>
      <c r="AG16" s="118">
        <v>-34655</v>
      </c>
      <c r="AH16" s="118">
        <v>-31940</v>
      </c>
      <c r="AI16" s="118">
        <v>-33706</v>
      </c>
      <c r="AJ16" s="118">
        <v>-46220</v>
      </c>
      <c r="AK16" s="118">
        <v>-32762</v>
      </c>
      <c r="AL16" s="118">
        <v>-43579</v>
      </c>
      <c r="AM16" s="118">
        <v>-62173</v>
      </c>
      <c r="AN16" s="118">
        <v>-61112</v>
      </c>
      <c r="AO16" s="118">
        <v>-47033</v>
      </c>
      <c r="AP16" s="118">
        <v>-54895</v>
      </c>
      <c r="AQ16" s="118">
        <v>-65056</v>
      </c>
      <c r="AR16" s="118">
        <v>-70509</v>
      </c>
      <c r="AS16" s="118">
        <v>-58830</v>
      </c>
      <c r="AT16" s="118">
        <v>-72886</v>
      </c>
      <c r="AU16" s="118">
        <v>-98388</v>
      </c>
      <c r="AV16" s="118">
        <v>-101989</v>
      </c>
      <c r="AW16" s="118">
        <v>-66000</v>
      </c>
      <c r="AX16" s="118">
        <v>-83952</v>
      </c>
      <c r="AY16" s="118">
        <v>-104228</v>
      </c>
      <c r="AZ16" s="118">
        <v>-106899</v>
      </c>
      <c r="BA16" s="118">
        <v>-86756</v>
      </c>
      <c r="BB16" s="118">
        <f>('[3]21 Receita NL'!$F$16)-BA16</f>
        <v>-129361</v>
      </c>
    </row>
    <row r="17" spans="1:54" x14ac:dyDescent="0.2">
      <c r="A17" t="s">
        <v>300</v>
      </c>
      <c r="B17" t="s">
        <v>1030</v>
      </c>
      <c r="D17" s="126" t="str">
        <f>IF([1]RENAME!$H$3=1,B17,A17)</f>
        <v>Receita líquida de serviços</v>
      </c>
      <c r="E17" s="120">
        <f t="shared" ref="E17:K17" si="33">SUM(E15:E16)</f>
        <v>281411</v>
      </c>
      <c r="F17" s="120">
        <f>SUM(F15:F16)</f>
        <v>309865</v>
      </c>
      <c r="G17" s="120">
        <f t="shared" si="33"/>
        <v>312267</v>
      </c>
      <c r="H17" s="120">
        <f t="shared" si="33"/>
        <v>351708</v>
      </c>
      <c r="I17" s="120">
        <f t="shared" si="33"/>
        <v>243916</v>
      </c>
      <c r="J17" s="120">
        <f t="shared" si="33"/>
        <v>233582</v>
      </c>
      <c r="K17" s="120">
        <f t="shared" si="33"/>
        <v>231044</v>
      </c>
      <c r="L17" s="120">
        <f>SUM(L15:L16)</f>
        <v>244461</v>
      </c>
      <c r="M17" s="120">
        <f>SUM(M15:M16)</f>
        <v>168936</v>
      </c>
      <c r="N17" s="120">
        <f t="shared" ref="N17:S17" si="34">SUM(N15:N16)</f>
        <v>195316</v>
      </c>
      <c r="O17" s="120">
        <f t="shared" si="34"/>
        <v>205955</v>
      </c>
      <c r="P17" s="120">
        <f t="shared" si="34"/>
        <v>221294</v>
      </c>
      <c r="Q17" s="120">
        <f t="shared" si="34"/>
        <v>181217</v>
      </c>
      <c r="R17" s="120">
        <f t="shared" si="34"/>
        <v>224098</v>
      </c>
      <c r="S17" s="120">
        <f t="shared" si="34"/>
        <v>253395</v>
      </c>
      <c r="T17" s="120">
        <f t="shared" ref="T17:AB17" si="35">SUM(T15:T16)</f>
        <v>284472</v>
      </c>
      <c r="U17" s="120">
        <f t="shared" si="35"/>
        <v>231020</v>
      </c>
      <c r="V17" s="120">
        <f t="shared" si="35"/>
        <v>263946</v>
      </c>
      <c r="W17" s="120">
        <f t="shared" si="35"/>
        <v>305656</v>
      </c>
      <c r="X17" s="120">
        <f t="shared" si="35"/>
        <v>335543</v>
      </c>
      <c r="Y17" s="120">
        <f t="shared" si="35"/>
        <v>265983</v>
      </c>
      <c r="Z17" s="120">
        <f t="shared" si="35"/>
        <v>289878</v>
      </c>
      <c r="AA17" s="120">
        <f t="shared" si="35"/>
        <v>296293</v>
      </c>
      <c r="AB17" s="120">
        <f t="shared" si="35"/>
        <v>329748</v>
      </c>
      <c r="AC17" s="120">
        <f t="shared" ref="AC17:AI17" si="36">SUM(AC15:AC16)</f>
        <v>235893</v>
      </c>
      <c r="AD17" s="120">
        <f t="shared" si="36"/>
        <v>86215</v>
      </c>
      <c r="AE17" s="120">
        <f t="shared" si="36"/>
        <v>240818</v>
      </c>
      <c r="AF17" s="120">
        <f t="shared" si="36"/>
        <v>265511</v>
      </c>
      <c r="AG17" s="120">
        <f t="shared" si="36"/>
        <v>192736</v>
      </c>
      <c r="AH17" s="120">
        <f t="shared" si="36"/>
        <v>189380</v>
      </c>
      <c r="AI17" s="120">
        <f t="shared" si="36"/>
        <v>185342</v>
      </c>
      <c r="AJ17" s="120">
        <f>SUM(AJ15:AJ16)</f>
        <v>257790</v>
      </c>
      <c r="AK17" s="120">
        <v>187655</v>
      </c>
      <c r="AL17" s="120">
        <f t="shared" ref="AL17:AQ17" si="37">SUM(AL15:AL16)</f>
        <v>245947</v>
      </c>
      <c r="AM17" s="120">
        <f t="shared" si="37"/>
        <v>350370</v>
      </c>
      <c r="AN17" s="120">
        <f t="shared" si="37"/>
        <v>344388</v>
      </c>
      <c r="AO17" s="120">
        <f t="shared" si="37"/>
        <v>270546</v>
      </c>
      <c r="AP17" s="120">
        <f t="shared" si="37"/>
        <v>305140</v>
      </c>
      <c r="AQ17" s="120">
        <f t="shared" si="37"/>
        <v>356483</v>
      </c>
      <c r="AR17" s="120">
        <f t="shared" ref="AR17:AX17" si="38">SUM(AR15:AR16)</f>
        <v>382475</v>
      </c>
      <c r="AS17" s="120">
        <f t="shared" si="38"/>
        <v>315359</v>
      </c>
      <c r="AT17" s="120">
        <f t="shared" si="38"/>
        <v>408580</v>
      </c>
      <c r="AU17" s="120">
        <f t="shared" si="38"/>
        <v>551971</v>
      </c>
      <c r="AV17" s="120">
        <f t="shared" si="38"/>
        <v>574920</v>
      </c>
      <c r="AW17" s="120">
        <f t="shared" si="38"/>
        <v>385391</v>
      </c>
      <c r="AX17" s="120">
        <f t="shared" si="38"/>
        <v>481158</v>
      </c>
      <c r="AY17" s="120">
        <f>SUM(AY15:AY16)</f>
        <v>584908</v>
      </c>
      <c r="AZ17" s="120">
        <f>SUM(AZ15:AZ16)</f>
        <v>554695</v>
      </c>
      <c r="BA17" s="120">
        <f>SUM(BA15:BA16)</f>
        <v>462933</v>
      </c>
      <c r="BB17" s="120">
        <f>SUM(BB15:BB16)</f>
        <v>679874</v>
      </c>
    </row>
    <row r="18" spans="1:54" x14ac:dyDescent="0.2">
      <c r="E18" s="177"/>
      <c r="F18" s="177"/>
      <c r="G18" s="177"/>
      <c r="H18" s="177"/>
      <c r="I18" s="177"/>
      <c r="J18" s="177"/>
    </row>
    <row r="19" spans="1:54" x14ac:dyDescent="0.2">
      <c r="A19" t="s">
        <v>98</v>
      </c>
      <c r="B19" t="s">
        <v>876</v>
      </c>
      <c r="D19" s="115" t="str">
        <f>IF([1]RENAME!$H$3=1,B19,A19)</f>
        <v>Controladas</v>
      </c>
      <c r="E19" s="115" t="str">
        <f>E5</f>
        <v>1T14</v>
      </c>
      <c r="F19" s="115" t="str">
        <f t="shared" ref="F19:S19" si="39">F5</f>
        <v>2T14</v>
      </c>
      <c r="G19" s="115" t="str">
        <f t="shared" si="39"/>
        <v>3T14</v>
      </c>
      <c r="H19" s="115" t="str">
        <f t="shared" si="39"/>
        <v>4T14</v>
      </c>
      <c r="I19" s="115" t="str">
        <f t="shared" si="39"/>
        <v>1T15</v>
      </c>
      <c r="J19" s="115" t="str">
        <f t="shared" si="39"/>
        <v>2T15</v>
      </c>
      <c r="K19" s="115" t="str">
        <f t="shared" si="39"/>
        <v>3T15</v>
      </c>
      <c r="L19" s="115" t="str">
        <f t="shared" si="39"/>
        <v>4T15</v>
      </c>
      <c r="M19" s="115" t="str">
        <f t="shared" si="39"/>
        <v>1T16</v>
      </c>
      <c r="N19" s="115" t="str">
        <f t="shared" si="39"/>
        <v>2T16</v>
      </c>
      <c r="O19" s="115" t="str">
        <f t="shared" si="39"/>
        <v>3T16</v>
      </c>
      <c r="P19" s="115" t="str">
        <f t="shared" si="39"/>
        <v>4T16</v>
      </c>
      <c r="Q19" s="115" t="str">
        <f t="shared" si="39"/>
        <v>1T17</v>
      </c>
      <c r="R19" s="115" t="str">
        <f t="shared" si="39"/>
        <v>2T17</v>
      </c>
      <c r="S19" s="115" t="str">
        <f t="shared" si="39"/>
        <v>3T17</v>
      </c>
      <c r="T19" s="115" t="str">
        <f t="shared" ref="T19:AB19" si="40">T5</f>
        <v>4T17</v>
      </c>
      <c r="U19" s="115" t="str">
        <f t="shared" si="40"/>
        <v>1T18</v>
      </c>
      <c r="V19" s="115" t="str">
        <f t="shared" si="40"/>
        <v>2T18</v>
      </c>
      <c r="W19" s="115" t="str">
        <f t="shared" si="40"/>
        <v>3T18</v>
      </c>
      <c r="X19" s="115" t="str">
        <f t="shared" si="40"/>
        <v>4T18</v>
      </c>
      <c r="Y19" s="115" t="str">
        <f t="shared" si="40"/>
        <v>1T19</v>
      </c>
      <c r="Z19" s="115" t="str">
        <f t="shared" si="40"/>
        <v>2T19</v>
      </c>
      <c r="AA19" s="115" t="str">
        <f t="shared" si="40"/>
        <v>3T19</v>
      </c>
      <c r="AB19" s="115" t="str">
        <f t="shared" si="40"/>
        <v>4T19</v>
      </c>
      <c r="AC19" s="115" t="str">
        <f>AC5</f>
        <v>1T20</v>
      </c>
      <c r="AD19" s="115" t="str">
        <f>AD5</f>
        <v>2T20</v>
      </c>
      <c r="AE19" s="115" t="str">
        <f>AE5</f>
        <v>3T20</v>
      </c>
      <c r="AF19" s="115" t="s">
        <v>1643</v>
      </c>
      <c r="AG19" s="115" t="str">
        <f t="shared" ref="AG19:AL19" si="41">AG5</f>
        <v>1T21</v>
      </c>
      <c r="AH19" s="115" t="str">
        <f t="shared" si="41"/>
        <v>2T21</v>
      </c>
      <c r="AI19" s="115" t="str">
        <f t="shared" si="41"/>
        <v>3T21</v>
      </c>
      <c r="AJ19" s="115" t="str">
        <f t="shared" si="41"/>
        <v>4T21</v>
      </c>
      <c r="AK19" s="115" t="str">
        <f t="shared" si="41"/>
        <v>1T22</v>
      </c>
      <c r="AL19" s="115" t="str">
        <f t="shared" si="41"/>
        <v>2T22</v>
      </c>
      <c r="AM19" s="115" t="str">
        <f t="shared" ref="AM19:AS19" si="42">AM5</f>
        <v>3T22</v>
      </c>
      <c r="AN19" s="115" t="str">
        <f t="shared" si="42"/>
        <v>4T22</v>
      </c>
      <c r="AO19" s="115" t="str">
        <f t="shared" si="42"/>
        <v>1T23</v>
      </c>
      <c r="AP19" s="115" t="str">
        <f t="shared" si="42"/>
        <v>2T23</v>
      </c>
      <c r="AQ19" s="115" t="str">
        <f t="shared" si="42"/>
        <v>3T23</v>
      </c>
      <c r="AR19" s="115" t="str">
        <f t="shared" si="42"/>
        <v>4T23</v>
      </c>
      <c r="AS19" s="115" t="str">
        <f t="shared" si="42"/>
        <v>1T24</v>
      </c>
      <c r="AT19" s="115" t="str">
        <f>AT5</f>
        <v>2T24</v>
      </c>
      <c r="AU19" s="115" t="str">
        <f t="shared" ref="AU19:AZ19" si="43">AU5</f>
        <v>3T24</v>
      </c>
      <c r="AV19" s="115" t="str">
        <f t="shared" si="43"/>
        <v>4T24</v>
      </c>
      <c r="AW19" s="115" t="str">
        <f t="shared" si="43"/>
        <v>1T25</v>
      </c>
      <c r="AX19" s="115" t="str">
        <f t="shared" si="43"/>
        <v>2T25</v>
      </c>
      <c r="AY19" s="115" t="str">
        <f t="shared" si="43"/>
        <v>3T25</v>
      </c>
      <c r="AZ19" s="115" t="str">
        <f t="shared" si="43"/>
        <v>4T25</v>
      </c>
      <c r="BA19" s="247" t="str">
        <f>BA5</f>
        <v>1T26</v>
      </c>
      <c r="BB19" s="115" t="str">
        <f>BB5</f>
        <v>2T26</v>
      </c>
    </row>
    <row r="20" spans="1:54" x14ac:dyDescent="0.2">
      <c r="A20" t="s">
        <v>297</v>
      </c>
      <c r="B20" t="s">
        <v>1026</v>
      </c>
      <c r="D20" s="129" t="str">
        <f>IF([1]RENAME!$H$3=1,B20,A20)</f>
        <v>Receita bruta de serviços</v>
      </c>
      <c r="E20" s="118">
        <f t="shared" ref="E20:K20" si="44">+E6-E13</f>
        <v>57899</v>
      </c>
      <c r="F20" s="118">
        <f t="shared" si="44"/>
        <v>56755</v>
      </c>
      <c r="G20" s="118">
        <f t="shared" si="44"/>
        <v>56563</v>
      </c>
      <c r="H20" s="118">
        <f t="shared" si="44"/>
        <v>54723</v>
      </c>
      <c r="I20" s="118">
        <f t="shared" si="44"/>
        <v>49659</v>
      </c>
      <c r="J20" s="118">
        <f t="shared" si="44"/>
        <v>50583</v>
      </c>
      <c r="K20" s="118">
        <f t="shared" si="44"/>
        <v>53724</v>
      </c>
      <c r="L20" s="118">
        <f t="shared" ref="L20:R21" si="45">+L6-L13</f>
        <v>52104</v>
      </c>
      <c r="M20" s="118">
        <f t="shared" si="45"/>
        <v>40688</v>
      </c>
      <c r="N20" s="118">
        <f t="shared" si="45"/>
        <v>39801</v>
      </c>
      <c r="O20" s="118">
        <f t="shared" si="45"/>
        <v>37963</v>
      </c>
      <c r="P20" s="118">
        <f t="shared" si="45"/>
        <v>39708</v>
      </c>
      <c r="Q20" s="118">
        <f t="shared" si="45"/>
        <v>38537</v>
      </c>
      <c r="R20" s="118">
        <f t="shared" si="45"/>
        <v>37455</v>
      </c>
      <c r="S20" s="118">
        <f t="shared" ref="S20:U21" si="46">+S6-S13</f>
        <v>38584</v>
      </c>
      <c r="T20" s="118">
        <f t="shared" si="46"/>
        <v>41836</v>
      </c>
      <c r="U20" s="118">
        <f t="shared" si="46"/>
        <v>36800</v>
      </c>
      <c r="V20" s="118">
        <f t="shared" ref="V20:Y21" si="47">+V6-V13</f>
        <v>34840</v>
      </c>
      <c r="W20" s="118">
        <f t="shared" si="47"/>
        <v>37930</v>
      </c>
      <c r="X20" s="118">
        <f t="shared" si="47"/>
        <v>36598</v>
      </c>
      <c r="Y20" s="118">
        <f t="shared" si="47"/>
        <v>36441</v>
      </c>
      <c r="Z20" s="118">
        <f>+Z6-Z13</f>
        <v>49311</v>
      </c>
      <c r="AA20" s="118">
        <v>52300</v>
      </c>
      <c r="AB20" s="118">
        <v>56813</v>
      </c>
      <c r="AC20" s="118">
        <f t="shared" ref="AC20:AE21" si="48">+AC6-AC13</f>
        <v>51660</v>
      </c>
      <c r="AD20" s="118">
        <f t="shared" si="48"/>
        <v>51820</v>
      </c>
      <c r="AE20" s="118">
        <f t="shared" si="48"/>
        <v>57441</v>
      </c>
      <c r="AF20" s="118">
        <v>55982</v>
      </c>
      <c r="AG20" s="118">
        <f t="shared" ref="AG20:AL21" si="49">+AG6-AG13</f>
        <v>48929</v>
      </c>
      <c r="AH20" s="118">
        <f t="shared" si="49"/>
        <v>56543</v>
      </c>
      <c r="AI20" s="118">
        <f t="shared" si="49"/>
        <v>54643</v>
      </c>
      <c r="AJ20" s="118">
        <f t="shared" si="49"/>
        <v>55849</v>
      </c>
      <c r="AK20" s="118">
        <v>63292</v>
      </c>
      <c r="AL20" s="118">
        <f t="shared" si="49"/>
        <v>69285</v>
      </c>
      <c r="AM20" s="118">
        <f t="shared" ref="AM20:AS21" si="50">+AM6-AM13</f>
        <v>76910</v>
      </c>
      <c r="AN20" s="118">
        <f t="shared" si="50"/>
        <v>77588</v>
      </c>
      <c r="AO20" s="118">
        <f t="shared" si="50"/>
        <v>79393</v>
      </c>
      <c r="AP20" s="118">
        <f t="shared" si="50"/>
        <v>74288</v>
      </c>
      <c r="AQ20" s="118">
        <f t="shared" si="50"/>
        <v>85038</v>
      </c>
      <c r="AR20" s="118">
        <f t="shared" si="50"/>
        <v>85765</v>
      </c>
      <c r="AS20" s="118">
        <f t="shared" si="50"/>
        <v>89151</v>
      </c>
      <c r="AT20" s="118">
        <f t="shared" ref="AT20:AV21" si="51">+AT6-AT13</f>
        <v>78814</v>
      </c>
      <c r="AU20" s="118">
        <f t="shared" si="51"/>
        <v>64385</v>
      </c>
      <c r="AV20" s="118">
        <f t="shared" si="51"/>
        <v>61596</v>
      </c>
      <c r="AW20" s="118">
        <v>67805</v>
      </c>
      <c r="AX20" s="118">
        <v>73881</v>
      </c>
      <c r="AY20" s="118">
        <f>+AY6-AY13</f>
        <v>62020</v>
      </c>
      <c r="AZ20" s="118">
        <v>69669</v>
      </c>
      <c r="BA20" s="118">
        <v>73034</v>
      </c>
      <c r="BB20" s="118">
        <f>+BB6-BB13</f>
        <v>75779</v>
      </c>
    </row>
    <row r="21" spans="1:54" x14ac:dyDescent="0.2">
      <c r="A21" t="s">
        <v>298</v>
      </c>
      <c r="B21" t="s">
        <v>1027</v>
      </c>
      <c r="D21" s="129" t="str">
        <f>IF([1]RENAME!$H$3=1,B21,A21)</f>
        <v>Descontos, seguros e pedágio</v>
      </c>
      <c r="E21" s="118">
        <f t="shared" ref="E21:K21" si="52">+E7-E14</f>
        <v>-1477</v>
      </c>
      <c r="F21" s="118">
        <f t="shared" si="52"/>
        <v>-499</v>
      </c>
      <c r="G21" s="118">
        <f t="shared" si="52"/>
        <v>-554</v>
      </c>
      <c r="H21" s="118">
        <f t="shared" si="52"/>
        <v>-87</v>
      </c>
      <c r="I21" s="118">
        <f t="shared" si="52"/>
        <v>-49</v>
      </c>
      <c r="J21" s="118">
        <f t="shared" si="52"/>
        <v>-335</v>
      </c>
      <c r="K21" s="118">
        <f t="shared" si="52"/>
        <v>-218</v>
      </c>
      <c r="L21" s="118">
        <f t="shared" si="45"/>
        <v>-536</v>
      </c>
      <c r="M21" s="118">
        <f t="shared" si="45"/>
        <v>-267</v>
      </c>
      <c r="N21" s="118">
        <f t="shared" si="45"/>
        <v>-206</v>
      </c>
      <c r="O21" s="118">
        <f t="shared" si="45"/>
        <v>-187</v>
      </c>
      <c r="P21" s="118">
        <f t="shared" si="45"/>
        <v>-297</v>
      </c>
      <c r="Q21" s="118">
        <f t="shared" si="45"/>
        <v>-252</v>
      </c>
      <c r="R21" s="118">
        <f t="shared" si="45"/>
        <v>-310</v>
      </c>
      <c r="S21" s="118">
        <f t="shared" si="46"/>
        <v>-188</v>
      </c>
      <c r="T21" s="118">
        <f t="shared" si="46"/>
        <v>-309</v>
      </c>
      <c r="U21" s="118">
        <f t="shared" si="46"/>
        <v>-152</v>
      </c>
      <c r="V21" s="118">
        <f t="shared" si="47"/>
        <v>-301</v>
      </c>
      <c r="W21" s="118">
        <f t="shared" si="47"/>
        <v>-1167</v>
      </c>
      <c r="X21" s="118">
        <f t="shared" si="47"/>
        <v>-175</v>
      </c>
      <c r="Y21" s="118">
        <f t="shared" si="47"/>
        <v>-389</v>
      </c>
      <c r="Z21" s="118">
        <f>+Z7-Z14</f>
        <v>-1212</v>
      </c>
      <c r="AA21" s="118">
        <v>-1112</v>
      </c>
      <c r="AB21" s="118">
        <v>-1138</v>
      </c>
      <c r="AC21" s="118">
        <f t="shared" si="48"/>
        <v>-904</v>
      </c>
      <c r="AD21" s="118">
        <f t="shared" si="48"/>
        <v>-553</v>
      </c>
      <c r="AE21" s="118">
        <f t="shared" si="48"/>
        <v>-1509</v>
      </c>
      <c r="AF21" s="118">
        <v>-1159</v>
      </c>
      <c r="AG21" s="118">
        <f t="shared" si="49"/>
        <v>-1273</v>
      </c>
      <c r="AH21" s="118">
        <f t="shared" si="49"/>
        <v>-1604</v>
      </c>
      <c r="AI21" s="118">
        <f t="shared" si="49"/>
        <v>-1167</v>
      </c>
      <c r="AJ21" s="118">
        <f t="shared" si="49"/>
        <v>-1612</v>
      </c>
      <c r="AK21" s="118">
        <v>-1071</v>
      </c>
      <c r="AL21" s="118">
        <f t="shared" si="49"/>
        <v>-1373</v>
      </c>
      <c r="AM21" s="118">
        <f t="shared" si="50"/>
        <v>-1414</v>
      </c>
      <c r="AN21" s="118">
        <f t="shared" si="50"/>
        <v>-2034</v>
      </c>
      <c r="AO21" s="118">
        <f t="shared" si="50"/>
        <v>-2517</v>
      </c>
      <c r="AP21" s="118">
        <f t="shared" si="50"/>
        <v>-2424</v>
      </c>
      <c r="AQ21" s="118">
        <f t="shared" si="50"/>
        <v>-2688</v>
      </c>
      <c r="AR21" s="118">
        <f t="shared" si="50"/>
        <v>-2594</v>
      </c>
      <c r="AS21" s="118">
        <f t="shared" si="50"/>
        <v>-2648</v>
      </c>
      <c r="AT21" s="118">
        <f t="shared" si="51"/>
        <v>-2136</v>
      </c>
      <c r="AU21" s="118">
        <f t="shared" si="51"/>
        <v>-1781</v>
      </c>
      <c r="AV21" s="118">
        <f t="shared" si="51"/>
        <v>-1600</v>
      </c>
      <c r="AW21" s="118">
        <v>-1616</v>
      </c>
      <c r="AX21" s="118">
        <v>-1875</v>
      </c>
      <c r="AY21" s="118">
        <f>+AY7-AY14</f>
        <v>-1783</v>
      </c>
      <c r="AZ21" s="118">
        <v>-1647</v>
      </c>
      <c r="BA21" s="118">
        <v>-1542</v>
      </c>
      <c r="BB21" s="118">
        <f>+BB7-BB14</f>
        <v>-1626</v>
      </c>
    </row>
    <row r="22" spans="1:54" x14ac:dyDescent="0.2">
      <c r="A22" t="s">
        <v>375</v>
      </c>
      <c r="B22" t="s">
        <v>1028</v>
      </c>
      <c r="D22" s="126" t="str">
        <f>IF([1]RENAME!$H$3=1,B22,A22)</f>
        <v>Receita antes de impostos</v>
      </c>
      <c r="E22" s="120">
        <f t="shared" ref="E22:K22" si="53">SUM(E20:E21)</f>
        <v>56422</v>
      </c>
      <c r="F22" s="120">
        <f t="shared" si="53"/>
        <v>56256</v>
      </c>
      <c r="G22" s="120">
        <f t="shared" si="53"/>
        <v>56009</v>
      </c>
      <c r="H22" s="120">
        <f t="shared" si="53"/>
        <v>54636</v>
      </c>
      <c r="I22" s="120">
        <f t="shared" si="53"/>
        <v>49610</v>
      </c>
      <c r="J22" s="120">
        <f t="shared" si="53"/>
        <v>50248</v>
      </c>
      <c r="K22" s="120">
        <f t="shared" si="53"/>
        <v>53506</v>
      </c>
      <c r="L22" s="120">
        <f>SUM(L20:L21)</f>
        <v>51568</v>
      </c>
      <c r="M22" s="120">
        <f>SUM(M20:M21)</f>
        <v>40421</v>
      </c>
      <c r="N22" s="120">
        <f t="shared" ref="N22:S22" si="54">SUM(N20:N21)</f>
        <v>39595</v>
      </c>
      <c r="O22" s="120">
        <f t="shared" si="54"/>
        <v>37776</v>
      </c>
      <c r="P22" s="120">
        <f t="shared" si="54"/>
        <v>39411</v>
      </c>
      <c r="Q22" s="120">
        <f t="shared" si="54"/>
        <v>38285</v>
      </c>
      <c r="R22" s="120">
        <f t="shared" si="54"/>
        <v>37145</v>
      </c>
      <c r="S22" s="120">
        <f t="shared" si="54"/>
        <v>38396</v>
      </c>
      <c r="T22" s="120">
        <f t="shared" ref="T22:Y22" si="55">SUM(T20:T21)</f>
        <v>41527</v>
      </c>
      <c r="U22" s="120">
        <f t="shared" si="55"/>
        <v>36648</v>
      </c>
      <c r="V22" s="120">
        <f t="shared" si="55"/>
        <v>34539</v>
      </c>
      <c r="W22" s="120">
        <f t="shared" si="55"/>
        <v>36763</v>
      </c>
      <c r="X22" s="120">
        <f t="shared" si="55"/>
        <v>36423</v>
      </c>
      <c r="Y22" s="120">
        <f t="shared" si="55"/>
        <v>36052</v>
      </c>
      <c r="Z22" s="120">
        <f t="shared" ref="Z22:AF22" si="56">SUM(Z20:Z21)</f>
        <v>48099</v>
      </c>
      <c r="AA22" s="120">
        <f t="shared" si="56"/>
        <v>51188</v>
      </c>
      <c r="AB22" s="120">
        <f t="shared" si="56"/>
        <v>55675</v>
      </c>
      <c r="AC22" s="120">
        <f t="shared" si="56"/>
        <v>50756</v>
      </c>
      <c r="AD22" s="120">
        <f t="shared" si="56"/>
        <v>51267</v>
      </c>
      <c r="AE22" s="120">
        <f t="shared" si="56"/>
        <v>55932</v>
      </c>
      <c r="AF22" s="120">
        <f t="shared" si="56"/>
        <v>54823</v>
      </c>
      <c r="AG22" s="120">
        <f>SUM(AG20:AG21)</f>
        <v>47656</v>
      </c>
      <c r="AH22" s="120">
        <f>SUM(AH20:AH21)</f>
        <v>54939</v>
      </c>
      <c r="AI22" s="120">
        <f>SUM(AI20:AI21)</f>
        <v>53476</v>
      </c>
      <c r="AJ22" s="120">
        <f>SUM(AJ20:AJ21)</f>
        <v>54237</v>
      </c>
      <c r="AK22" s="120">
        <v>62221</v>
      </c>
      <c r="AL22" s="120">
        <f t="shared" ref="AL22:AQ22" si="57">SUM(AL20:AL21)</f>
        <v>67912</v>
      </c>
      <c r="AM22" s="120">
        <f t="shared" si="57"/>
        <v>75496</v>
      </c>
      <c r="AN22" s="120">
        <f t="shared" si="57"/>
        <v>75554</v>
      </c>
      <c r="AO22" s="120">
        <f t="shared" si="57"/>
        <v>76876</v>
      </c>
      <c r="AP22" s="120">
        <f t="shared" si="57"/>
        <v>71864</v>
      </c>
      <c r="AQ22" s="120">
        <f t="shared" si="57"/>
        <v>82350</v>
      </c>
      <c r="AR22" s="120">
        <f t="shared" ref="AR22:BB22" si="58">SUM(AR20:AR21)</f>
        <v>83171</v>
      </c>
      <c r="AS22" s="120">
        <f t="shared" si="58"/>
        <v>86503</v>
      </c>
      <c r="AT22" s="120">
        <f t="shared" si="58"/>
        <v>76678</v>
      </c>
      <c r="AU22" s="120">
        <f t="shared" si="58"/>
        <v>62604</v>
      </c>
      <c r="AV22" s="120">
        <f t="shared" si="58"/>
        <v>59996</v>
      </c>
      <c r="AW22" s="120">
        <f t="shared" si="58"/>
        <v>66189</v>
      </c>
      <c r="AX22" s="120">
        <f t="shared" si="58"/>
        <v>72006</v>
      </c>
      <c r="AY22" s="120">
        <f t="shared" si="58"/>
        <v>60237</v>
      </c>
      <c r="AZ22" s="120">
        <f t="shared" si="58"/>
        <v>68022</v>
      </c>
      <c r="BA22" s="120">
        <f>SUM(BA20:BA21)</f>
        <v>71492</v>
      </c>
      <c r="BB22" s="120">
        <f t="shared" si="58"/>
        <v>74153</v>
      </c>
    </row>
    <row r="23" spans="1:54" x14ac:dyDescent="0.2">
      <c r="A23" t="s">
        <v>299</v>
      </c>
      <c r="B23" t="s">
        <v>1029</v>
      </c>
      <c r="D23" s="129" t="str">
        <f>IF([1]RENAME!$H$3=1,B23,A23)</f>
        <v>Impostos incidentes</v>
      </c>
      <c r="E23" s="118">
        <f t="shared" ref="E23:K23" si="59">+E9-E16</f>
        <v>-10468</v>
      </c>
      <c r="F23" s="118">
        <f t="shared" si="59"/>
        <v>-9809</v>
      </c>
      <c r="G23" s="118">
        <f t="shared" si="59"/>
        <v>-9442</v>
      </c>
      <c r="H23" s="118">
        <f t="shared" si="59"/>
        <v>-9302</v>
      </c>
      <c r="I23" s="118">
        <f t="shared" si="59"/>
        <v>-8627</v>
      </c>
      <c r="J23" s="118">
        <f t="shared" si="59"/>
        <v>-8724</v>
      </c>
      <c r="K23" s="118">
        <f t="shared" si="59"/>
        <v>-9164</v>
      </c>
      <c r="L23" s="118">
        <f t="shared" ref="L23:Y23" si="60">+L9-L16</f>
        <v>-8856</v>
      </c>
      <c r="M23" s="118">
        <f t="shared" si="60"/>
        <v>-6463</v>
      </c>
      <c r="N23" s="118">
        <f t="shared" si="60"/>
        <v>-6254</v>
      </c>
      <c r="O23" s="118">
        <f t="shared" si="60"/>
        <v>-5913</v>
      </c>
      <c r="P23" s="118">
        <f t="shared" si="60"/>
        <v>-6183</v>
      </c>
      <c r="Q23" s="118">
        <f t="shared" si="60"/>
        <v>-5988</v>
      </c>
      <c r="R23" s="260">
        <f t="shared" si="60"/>
        <v>3864</v>
      </c>
      <c r="S23" s="118">
        <f t="shared" si="60"/>
        <v>-5912</v>
      </c>
      <c r="T23" s="118">
        <f t="shared" si="60"/>
        <v>-6524</v>
      </c>
      <c r="U23" s="118">
        <f t="shared" si="60"/>
        <v>-5596</v>
      </c>
      <c r="V23" s="118">
        <f t="shared" si="60"/>
        <v>-5209</v>
      </c>
      <c r="W23" s="118">
        <f t="shared" si="60"/>
        <v>-11214</v>
      </c>
      <c r="X23" s="118">
        <f t="shared" si="60"/>
        <v>-4740</v>
      </c>
      <c r="Y23" s="118">
        <f t="shared" si="60"/>
        <v>-5354</v>
      </c>
      <c r="Z23" s="118">
        <f>+Z9-Z16</f>
        <v>-6389</v>
      </c>
      <c r="AA23" s="118">
        <v>-6758</v>
      </c>
      <c r="AB23" s="118">
        <v>-7095</v>
      </c>
      <c r="AC23" s="118">
        <f>+AC9-AC16</f>
        <v>-6903</v>
      </c>
      <c r="AD23" s="118">
        <f>+AD9-AD16</f>
        <v>-7341</v>
      </c>
      <c r="AE23" s="118">
        <f>+AE9-AE16</f>
        <v>-7569</v>
      </c>
      <c r="AF23" s="118">
        <v>-7367</v>
      </c>
      <c r="AG23" s="118">
        <f>+AG9-AG16</f>
        <v>-6480</v>
      </c>
      <c r="AH23" s="118">
        <f>+AH9-AH16</f>
        <v>-7253</v>
      </c>
      <c r="AI23" s="118">
        <f>+AI9-AI16</f>
        <v>-7379</v>
      </c>
      <c r="AJ23" s="118">
        <f>+AJ9-AJ16</f>
        <v>-7101</v>
      </c>
      <c r="AK23" s="118">
        <v>-8810</v>
      </c>
      <c r="AL23" s="118">
        <f t="shared" ref="AL23:AQ23" si="61">+AL9-AL16</f>
        <v>-9324</v>
      </c>
      <c r="AM23" s="118">
        <f t="shared" si="61"/>
        <v>-10357</v>
      </c>
      <c r="AN23" s="118">
        <f t="shared" si="61"/>
        <v>-10543</v>
      </c>
      <c r="AO23" s="118">
        <f t="shared" si="61"/>
        <v>-11384</v>
      </c>
      <c r="AP23" s="118">
        <f t="shared" si="61"/>
        <v>-10353</v>
      </c>
      <c r="AQ23" s="118">
        <f t="shared" si="61"/>
        <v>-11856</v>
      </c>
      <c r="AR23" s="118">
        <f>+AR9-AR16</f>
        <v>-11844</v>
      </c>
      <c r="AS23" s="118">
        <f>+AS9-AS16</f>
        <v>-12691</v>
      </c>
      <c r="AT23" s="118">
        <f>+AT9-AT16</f>
        <v>-12416</v>
      </c>
      <c r="AU23" s="118">
        <f>+AU9-AU16</f>
        <v>-10821</v>
      </c>
      <c r="AV23" s="118">
        <f>+AV9-AV16</f>
        <v>-10556</v>
      </c>
      <c r="AW23" s="118">
        <v>-11223</v>
      </c>
      <c r="AX23" s="118">
        <v>-12624</v>
      </c>
      <c r="AY23" s="118">
        <f>+AY9-AY16</f>
        <v>-10922</v>
      </c>
      <c r="AZ23" s="118">
        <v>-12409</v>
      </c>
      <c r="BA23" s="118">
        <v>-13146</v>
      </c>
      <c r="BB23" s="118">
        <f>+BB9-BB16</f>
        <v>-13911</v>
      </c>
    </row>
    <row r="24" spans="1:54" x14ac:dyDescent="0.2">
      <c r="A24" t="s">
        <v>300</v>
      </c>
      <c r="B24" t="s">
        <v>1030</v>
      </c>
      <c r="D24" s="126" t="str">
        <f>IF([1]RENAME!$H$3=1,B24,A24)</f>
        <v>Receita líquida de serviços</v>
      </c>
      <c r="E24" s="120">
        <f t="shared" ref="E24:K24" si="62">SUM(E22:E23)</f>
        <v>45954</v>
      </c>
      <c r="F24" s="120">
        <f t="shared" si="62"/>
        <v>46447</v>
      </c>
      <c r="G24" s="120">
        <f t="shared" si="62"/>
        <v>46567</v>
      </c>
      <c r="H24" s="120">
        <f t="shared" si="62"/>
        <v>45334</v>
      </c>
      <c r="I24" s="120">
        <f t="shared" si="62"/>
        <v>40983</v>
      </c>
      <c r="J24" s="120">
        <f t="shared" si="62"/>
        <v>41524</v>
      </c>
      <c r="K24" s="120">
        <f t="shared" si="62"/>
        <v>44342</v>
      </c>
      <c r="L24" s="120">
        <f>SUM(L22:L23)</f>
        <v>42712</v>
      </c>
      <c r="M24" s="120">
        <f>SUM(M22:M23)</f>
        <v>33958</v>
      </c>
      <c r="N24" s="120">
        <f t="shared" ref="N24:S24" si="63">SUM(N22:N23)</f>
        <v>33341</v>
      </c>
      <c r="O24" s="120">
        <f t="shared" si="63"/>
        <v>31863</v>
      </c>
      <c r="P24" s="120">
        <f t="shared" si="63"/>
        <v>33228</v>
      </c>
      <c r="Q24" s="120">
        <f t="shared" si="63"/>
        <v>32297</v>
      </c>
      <c r="R24" s="120">
        <f t="shared" si="63"/>
        <v>41009</v>
      </c>
      <c r="S24" s="120">
        <f t="shared" si="63"/>
        <v>32484</v>
      </c>
      <c r="T24" s="120">
        <f t="shared" ref="T24:Y24" si="64">SUM(T22:T23)</f>
        <v>35003</v>
      </c>
      <c r="U24" s="120">
        <f t="shared" si="64"/>
        <v>31052</v>
      </c>
      <c r="V24" s="120">
        <f t="shared" si="64"/>
        <v>29330</v>
      </c>
      <c r="W24" s="120">
        <f t="shared" si="64"/>
        <v>25549</v>
      </c>
      <c r="X24" s="120">
        <f t="shared" si="64"/>
        <v>31683</v>
      </c>
      <c r="Y24" s="120">
        <f t="shared" si="64"/>
        <v>30698</v>
      </c>
      <c r="Z24" s="120">
        <f t="shared" ref="Z24:AF24" si="65">SUM(Z22:Z23)</f>
        <v>41710</v>
      </c>
      <c r="AA24" s="120">
        <f t="shared" si="65"/>
        <v>44430</v>
      </c>
      <c r="AB24" s="120">
        <f t="shared" si="65"/>
        <v>48580</v>
      </c>
      <c r="AC24" s="120">
        <f t="shared" si="65"/>
        <v>43853</v>
      </c>
      <c r="AD24" s="120">
        <f t="shared" si="65"/>
        <v>43926</v>
      </c>
      <c r="AE24" s="120">
        <f t="shared" si="65"/>
        <v>48363</v>
      </c>
      <c r="AF24" s="120">
        <f t="shared" si="65"/>
        <v>47456</v>
      </c>
      <c r="AG24" s="120">
        <f>SUM(AG22:AG23)</f>
        <v>41176</v>
      </c>
      <c r="AH24" s="120">
        <f>SUM(AH22:AH23)</f>
        <v>47686</v>
      </c>
      <c r="AI24" s="120">
        <f>SUM(AI22:AI23)</f>
        <v>46097</v>
      </c>
      <c r="AJ24" s="120">
        <f>SUM(AJ22:AJ23)</f>
        <v>47136</v>
      </c>
      <c r="AK24" s="120">
        <v>53411</v>
      </c>
      <c r="AL24" s="120">
        <f t="shared" ref="AL24:AQ24" si="66">SUM(AL22:AL23)</f>
        <v>58588</v>
      </c>
      <c r="AM24" s="120">
        <f t="shared" si="66"/>
        <v>65139</v>
      </c>
      <c r="AN24" s="120">
        <f t="shared" si="66"/>
        <v>65011</v>
      </c>
      <c r="AO24" s="120">
        <f t="shared" si="66"/>
        <v>65492</v>
      </c>
      <c r="AP24" s="120">
        <f t="shared" si="66"/>
        <v>61511</v>
      </c>
      <c r="AQ24" s="120">
        <f t="shared" si="66"/>
        <v>70494</v>
      </c>
      <c r="AR24" s="120">
        <f>SUM(AR22:AR23)</f>
        <v>71327</v>
      </c>
      <c r="AS24" s="120">
        <f>SUM(AS22:AS23)</f>
        <v>73812</v>
      </c>
      <c r="AT24" s="120">
        <f>SUM(AT22:AT23)</f>
        <v>64262</v>
      </c>
      <c r="AU24" s="120">
        <f>SUM(AU22:AU23)</f>
        <v>51783</v>
      </c>
      <c r="AV24" s="120">
        <f>SUM(AV22:AV23)</f>
        <v>49440</v>
      </c>
      <c r="AW24" s="120">
        <v>54966</v>
      </c>
      <c r="AX24" s="120">
        <f>SUM(AX22:AX23)</f>
        <v>59382</v>
      </c>
      <c r="AY24" s="120">
        <f>SUM(AY22:AY23)</f>
        <v>49315</v>
      </c>
      <c r="AZ24" s="120">
        <f>SUM(AZ22:AZ23)</f>
        <v>55613</v>
      </c>
      <c r="BA24" s="120">
        <f>SUM(BA22:BA23)</f>
        <v>58346</v>
      </c>
      <c r="BB24" s="120">
        <f>SUM(BB22:BB23)</f>
        <v>60242</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E22:F22" formula="1"/>
  </ignoredErrors>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14">
    <pageSetUpPr autoPageBreaks="0"/>
  </sheetPr>
  <dimension ref="A1:GA255"/>
  <sheetViews>
    <sheetView showGridLines="0" zoomScaleNormal="100" workbookViewId="0">
      <pane xSplit="4" ySplit="5" topLeftCell="AX6" activePane="bottomRight" state="frozen"/>
      <selection activeCell="AY7" sqref="AY7"/>
      <selection pane="topRight" activeCell="AY7" sqref="AY7"/>
      <selection pane="bottomLeft" activeCell="AY7" sqref="AY7"/>
      <selection pane="bottomRight" activeCell="D28" sqref="D28"/>
    </sheetView>
  </sheetViews>
  <sheetFormatPr defaultColWidth="9.140625" defaultRowHeight="14.25" outlineLevelRow="1" x14ac:dyDescent="0.2"/>
  <cols>
    <col min="1" max="1" width="27.42578125" style="25" hidden="1" customWidth="1"/>
    <col min="2" max="2" width="9.140625" style="25" hidden="1" customWidth="1"/>
    <col min="3" max="3" width="1.42578125" customWidth="1"/>
    <col min="4" max="4" width="68.85546875" style="25" bestFit="1" customWidth="1"/>
    <col min="5" max="30" width="10.85546875" style="25" customWidth="1"/>
    <col min="31" max="31" width="11.140625" style="25" bestFit="1" customWidth="1"/>
    <col min="32" max="35" width="12.140625" style="25" bestFit="1" customWidth="1"/>
    <col min="36" max="37" width="12.140625" style="25" customWidth="1"/>
    <col min="38" max="45" width="12.140625" style="25" bestFit="1" customWidth="1"/>
    <col min="46" max="53" width="12.140625" style="25" customWidth="1"/>
    <col min="54" max="55" width="10.5703125" style="25" customWidth="1"/>
    <col min="56" max="56" width="11.5703125" style="25" bestFit="1" customWidth="1"/>
    <col min="57" max="106" width="10.5703125" style="25" customWidth="1"/>
    <col min="107" max="107" width="5" style="25" customWidth="1"/>
    <col min="108" max="109" width="7" style="25" customWidth="1"/>
    <col min="110" max="110" width="6.42578125" style="25" customWidth="1"/>
    <col min="111" max="111" width="6.5703125" style="25" customWidth="1"/>
    <col min="112" max="112" width="8.140625" style="25" customWidth="1"/>
    <col min="113" max="113" width="8.42578125" style="25" customWidth="1"/>
    <col min="114" max="114" width="7" style="25" customWidth="1"/>
    <col min="115" max="115" width="6.85546875" style="25" customWidth="1"/>
    <col min="116" max="116" width="7.42578125" style="25" customWidth="1"/>
    <col min="117" max="118" width="6.85546875" style="25" customWidth="1"/>
    <col min="119" max="119" width="7.140625" style="25" customWidth="1"/>
    <col min="120" max="120" width="8" style="25" customWidth="1"/>
    <col min="121" max="121" width="8.140625" style="25" customWidth="1"/>
    <col min="122" max="122" width="7.140625" style="25" customWidth="1"/>
    <col min="123" max="123" width="7.85546875" style="25" customWidth="1"/>
    <col min="124" max="126" width="9.140625" style="25" customWidth="1"/>
    <col min="127" max="127" width="32.42578125" customWidth="1"/>
    <col min="128" max="129" width="11.85546875" customWidth="1"/>
    <col min="130" max="130" width="8.85546875" customWidth="1"/>
    <col min="131" max="131" width="9" customWidth="1"/>
    <col min="132" max="133" width="8.85546875" customWidth="1"/>
    <col min="134" max="134" width="9.140625" customWidth="1"/>
    <col min="135" max="135" width="32.42578125" customWidth="1"/>
    <col min="136" max="137" width="11.85546875" customWidth="1"/>
    <col min="138" max="138" width="9.140625" customWidth="1"/>
    <col min="139" max="139" width="32.42578125" customWidth="1"/>
    <col min="140" max="141" width="11.85546875" customWidth="1"/>
    <col min="142" max="142" width="39.5703125" customWidth="1"/>
    <col min="143" max="143" width="1.85546875" customWidth="1"/>
    <col min="144" max="144" width="10" customWidth="1"/>
    <col min="145" max="145" width="10.5703125" customWidth="1"/>
    <col min="146" max="146" width="1" customWidth="1"/>
    <col min="147" max="148" width="9.85546875" customWidth="1"/>
    <col min="149" max="149" width="1" customWidth="1"/>
    <col min="150" max="151" width="10.5703125" customWidth="1"/>
    <col min="152" max="152" width="2.85546875" customWidth="1"/>
    <col min="153" max="153" width="8.85546875" customWidth="1"/>
    <col min="154" max="154" width="9.140625" customWidth="1"/>
    <col min="155" max="155" width="1.85546875" customWidth="1"/>
    <col min="156" max="157" width="8.140625" customWidth="1"/>
    <col min="158" max="158" width="1.140625" customWidth="1"/>
    <col min="159" max="160" width="8.85546875" customWidth="1"/>
    <col min="161" max="161" width="2.85546875" customWidth="1"/>
    <col min="162" max="162" width="8.85546875" customWidth="1"/>
    <col min="163" max="163" width="9.140625" customWidth="1"/>
    <col min="164" max="164" width="1.85546875" customWidth="1"/>
    <col min="165" max="166" width="8.140625" customWidth="1"/>
    <col min="167" max="167" width="1.140625" customWidth="1"/>
    <col min="168" max="169" width="8.85546875" customWidth="1"/>
    <col min="170" max="170" width="9.140625" style="25" customWidth="1"/>
    <col min="171" max="171" width="11.42578125" style="25" customWidth="1"/>
    <col min="172" max="172" width="11" style="25" customWidth="1"/>
    <col min="173" max="173" width="12.140625" style="25" customWidth="1"/>
    <col min="174" max="174" width="10.140625" style="25" customWidth="1"/>
    <col min="175" max="175" width="9.140625" style="25"/>
    <col min="176" max="176" width="13.140625" style="25" customWidth="1"/>
    <col min="177" max="177" width="14.5703125" style="25" customWidth="1"/>
    <col min="178" max="178" width="11.42578125" style="25" customWidth="1"/>
    <col min="179" max="179" width="12.42578125" style="25" customWidth="1"/>
    <col min="180" max="180" width="11.85546875" style="25" customWidth="1"/>
    <col min="181" max="181" width="10.85546875" style="25" customWidth="1"/>
    <col min="182" max="16384" width="9.140625" style="25"/>
  </cols>
  <sheetData>
    <row r="1" spans="1:170" s="552" customFormat="1" ht="7.5" customHeight="1" x14ac:dyDescent="0.2">
      <c r="C1" s="547"/>
      <c r="E1" s="552" t="s">
        <v>45</v>
      </c>
      <c r="F1" s="547" t="str">
        <f>IF(LEFT(E1,1)="4","1T"&amp;RIGHT(E1,2)+1,LEFT(E1,1)+1&amp;RIGHT(E1,3))</f>
        <v>2T14</v>
      </c>
      <c r="G1" s="552" t="str">
        <f t="shared" ref="G1:V1" si="0">IF(LEFT(F1,1)="4","1T"&amp;RIGHT(F1,2)+1,LEFT(F1,1)+1&amp;RIGHT(F1,3))</f>
        <v>3T14</v>
      </c>
      <c r="H1" s="552" t="str">
        <f t="shared" si="0"/>
        <v>4T14</v>
      </c>
      <c r="I1" s="552" t="str">
        <f t="shared" si="0"/>
        <v>1T15</v>
      </c>
      <c r="J1" s="552" t="str">
        <f t="shared" si="0"/>
        <v>2T15</v>
      </c>
      <c r="K1" s="552" t="str">
        <f t="shared" si="0"/>
        <v>3T15</v>
      </c>
      <c r="L1" s="552" t="str">
        <f t="shared" si="0"/>
        <v>4T15</v>
      </c>
      <c r="M1" s="552" t="str">
        <f t="shared" si="0"/>
        <v>1T16</v>
      </c>
      <c r="N1" s="552" t="str">
        <f t="shared" si="0"/>
        <v>2T16</v>
      </c>
      <c r="O1" s="552" t="str">
        <f t="shared" si="0"/>
        <v>3T16</v>
      </c>
      <c r="P1" s="552" t="str">
        <f t="shared" si="0"/>
        <v>4T16</v>
      </c>
      <c r="Q1" s="552" t="str">
        <f t="shared" si="0"/>
        <v>1T17</v>
      </c>
      <c r="R1" s="552" t="str">
        <f t="shared" si="0"/>
        <v>2T17</v>
      </c>
      <c r="S1" s="552" t="str">
        <f t="shared" si="0"/>
        <v>3T17</v>
      </c>
      <c r="T1" s="552" t="str">
        <f t="shared" si="0"/>
        <v>4T17</v>
      </c>
      <c r="U1" s="552" t="str">
        <f t="shared" si="0"/>
        <v>1T18</v>
      </c>
      <c r="V1" s="552" t="str">
        <f t="shared" si="0"/>
        <v>2T18</v>
      </c>
      <c r="W1" s="552" t="str">
        <f t="shared" ref="W1:AB1" si="1">IF(LEFT(V1,1)="4","1T"&amp;RIGHT(V1,2)+1,LEFT(V1,1)+1&amp;RIGHT(V1,3))</f>
        <v>3T18</v>
      </c>
      <c r="X1" s="552" t="str">
        <f t="shared" si="1"/>
        <v>4T18</v>
      </c>
      <c r="Y1" s="552" t="str">
        <f t="shared" si="1"/>
        <v>1T19</v>
      </c>
      <c r="Z1" s="552" t="str">
        <f t="shared" si="1"/>
        <v>2T19</v>
      </c>
      <c r="AA1" s="552" t="str">
        <f t="shared" si="1"/>
        <v>3T19</v>
      </c>
      <c r="AB1" s="552" t="str">
        <f t="shared" si="1"/>
        <v>4T19</v>
      </c>
      <c r="AC1" s="552" t="str">
        <f t="shared" ref="AC1:AH1" si="2">IF(LEFT(AB1,1)="4","1T"&amp;RIGHT(AB1,2)+1,LEFT(AB1,1)+1&amp;RIGHT(AB1,3))</f>
        <v>1T20</v>
      </c>
      <c r="AD1" s="552" t="str">
        <f t="shared" si="2"/>
        <v>2T20</v>
      </c>
      <c r="AE1" s="552" t="str">
        <f t="shared" si="2"/>
        <v>3T20</v>
      </c>
      <c r="AF1" s="552" t="str">
        <f t="shared" si="2"/>
        <v>4T20</v>
      </c>
      <c r="AG1" s="552" t="str">
        <f t="shared" si="2"/>
        <v>1T21</v>
      </c>
      <c r="AH1" s="552" t="str">
        <f t="shared" si="2"/>
        <v>2T21</v>
      </c>
      <c r="AI1" s="552" t="str">
        <f t="shared" ref="AI1:AS1" si="3">IF(LEFT(AH1,1)="4","1T"&amp;RIGHT(AH1,2)+1,LEFT(AH1,1)+1&amp;RIGHT(AH1,3))</f>
        <v>3T21</v>
      </c>
      <c r="AJ1" s="552" t="str">
        <f t="shared" si="3"/>
        <v>4T21</v>
      </c>
      <c r="AK1" s="552" t="str">
        <f t="shared" si="3"/>
        <v>1T22</v>
      </c>
      <c r="AL1" s="552" t="str">
        <f t="shared" si="3"/>
        <v>2T22</v>
      </c>
      <c r="AM1" s="552" t="str">
        <f t="shared" si="3"/>
        <v>3T22</v>
      </c>
      <c r="AN1" s="552" t="str">
        <f t="shared" si="3"/>
        <v>4T22</v>
      </c>
      <c r="AO1" s="552" t="str">
        <f t="shared" si="3"/>
        <v>1T23</v>
      </c>
      <c r="AP1" s="552" t="str">
        <f t="shared" si="3"/>
        <v>2T23</v>
      </c>
      <c r="AQ1" s="552" t="str">
        <f t="shared" si="3"/>
        <v>3T23</v>
      </c>
      <c r="AR1" s="552" t="str">
        <f t="shared" si="3"/>
        <v>4T23</v>
      </c>
      <c r="AS1" s="552" t="str">
        <f t="shared" si="3"/>
        <v>1T24</v>
      </c>
      <c r="AT1" s="552" t="str">
        <f t="shared" ref="AT1:AZ1" si="4">IF(LEFT(AS1,1)="4","1T"&amp;RIGHT(AS1,2)+1,LEFT(AS1,1)+1&amp;RIGHT(AS1,3))</f>
        <v>2T24</v>
      </c>
      <c r="AU1" s="552" t="str">
        <f t="shared" si="4"/>
        <v>3T24</v>
      </c>
      <c r="AV1" s="552" t="str">
        <f t="shared" si="4"/>
        <v>4T24</v>
      </c>
      <c r="AW1" s="552" t="str">
        <f t="shared" si="4"/>
        <v>1T25</v>
      </c>
      <c r="AX1" s="552" t="str">
        <f t="shared" si="4"/>
        <v>2T25</v>
      </c>
      <c r="AY1" s="552" t="str">
        <f t="shared" si="4"/>
        <v>3T25</v>
      </c>
      <c r="AZ1" s="552" t="str">
        <f t="shared" si="4"/>
        <v>4T25</v>
      </c>
      <c r="BA1" s="552" t="str">
        <f>IF(LEFT(AZ1,1)="4","1T"&amp;RIGHT(AZ1,2)+1,LEFT(AZ1,1)+1&amp;RIGHT(AZ1,3))</f>
        <v>1T26</v>
      </c>
      <c r="BB1" s="552" t="str">
        <f>IF(LEFT(BA1,1)="4","1T"&amp;RIGHT(BA1,2)+1,LEFT(BA1,1)+1&amp;RIGHT(BA1,3))</f>
        <v>2T26</v>
      </c>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row>
    <row r="2" spans="1:170" s="552" customFormat="1" ht="12.75" customHeight="1" x14ac:dyDescent="0.25">
      <c r="C2" s="547"/>
      <c r="E2" s="552" t="str">
        <f>SUBSTITUTE(E1,"T","Q")</f>
        <v>1Q14</v>
      </c>
      <c r="F2" s="557" t="str">
        <f t="shared" ref="F2:S2" si="5">SUBSTITUTE(F1,"T","Q")</f>
        <v>2Q14</v>
      </c>
      <c r="G2" s="552" t="str">
        <f t="shared" si="5"/>
        <v>3Q14</v>
      </c>
      <c r="H2" s="552" t="str">
        <f t="shared" si="5"/>
        <v>4Q14</v>
      </c>
      <c r="I2" s="552" t="str">
        <f t="shared" si="5"/>
        <v>1Q15</v>
      </c>
      <c r="J2" s="552" t="str">
        <f t="shared" si="5"/>
        <v>2Q15</v>
      </c>
      <c r="K2" s="552" t="str">
        <f t="shared" si="5"/>
        <v>3Q15</v>
      </c>
      <c r="L2" s="552" t="str">
        <f t="shared" si="5"/>
        <v>4Q15</v>
      </c>
      <c r="M2" s="552" t="str">
        <f t="shared" si="5"/>
        <v>1Q16</v>
      </c>
      <c r="N2" s="552" t="str">
        <f t="shared" si="5"/>
        <v>2Q16</v>
      </c>
      <c r="O2" s="552" t="str">
        <f t="shared" si="5"/>
        <v>3Q16</v>
      </c>
      <c r="P2" s="552" t="str">
        <f t="shared" si="5"/>
        <v>4Q16</v>
      </c>
      <c r="Q2" s="552" t="str">
        <f t="shared" si="5"/>
        <v>1Q17</v>
      </c>
      <c r="R2" s="552" t="str">
        <f t="shared" si="5"/>
        <v>2Q17</v>
      </c>
      <c r="S2" s="552" t="str">
        <f t="shared" si="5"/>
        <v>3Q17</v>
      </c>
      <c r="T2" s="552" t="str">
        <f t="shared" ref="T2:Y2" si="6">SUBSTITUTE(T1,"T","Q")</f>
        <v>4Q17</v>
      </c>
      <c r="U2" s="552" t="str">
        <f t="shared" si="6"/>
        <v>1Q18</v>
      </c>
      <c r="V2" s="552" t="str">
        <f t="shared" si="6"/>
        <v>2Q18</v>
      </c>
      <c r="W2" s="552" t="str">
        <f t="shared" si="6"/>
        <v>3Q18</v>
      </c>
      <c r="X2" s="552" t="str">
        <f t="shared" si="6"/>
        <v>4Q18</v>
      </c>
      <c r="Y2" s="552" t="str">
        <f t="shared" si="6"/>
        <v>1Q19</v>
      </c>
      <c r="Z2" s="552" t="str">
        <f t="shared" ref="Z2:AE2" si="7">SUBSTITUTE(Z1,"T","Q")</f>
        <v>2Q19</v>
      </c>
      <c r="AA2" s="552" t="str">
        <f t="shared" si="7"/>
        <v>3Q19</v>
      </c>
      <c r="AB2" s="552" t="str">
        <f t="shared" si="7"/>
        <v>4Q19</v>
      </c>
      <c r="AC2" s="552" t="str">
        <f t="shared" si="7"/>
        <v>1Q20</v>
      </c>
      <c r="AD2" s="552" t="str">
        <f t="shared" si="7"/>
        <v>2Q20</v>
      </c>
      <c r="AE2" s="552" t="str">
        <f t="shared" si="7"/>
        <v>3Q20</v>
      </c>
      <c r="AF2" s="552" t="str">
        <f t="shared" ref="AF2:AL2" si="8">SUBSTITUTE(AF1,"T","Q")</f>
        <v>4Q20</v>
      </c>
      <c r="AG2" s="552" t="str">
        <f t="shared" si="8"/>
        <v>1Q21</v>
      </c>
      <c r="AH2" s="552" t="str">
        <f t="shared" si="8"/>
        <v>2Q21</v>
      </c>
      <c r="AI2" s="552" t="str">
        <f t="shared" si="8"/>
        <v>3Q21</v>
      </c>
      <c r="AJ2" s="552" t="str">
        <f t="shared" si="8"/>
        <v>4Q21</v>
      </c>
      <c r="AK2" s="552" t="str">
        <f t="shared" si="8"/>
        <v>1Q22</v>
      </c>
      <c r="AL2" s="552" t="str">
        <f t="shared" si="8"/>
        <v>2Q22</v>
      </c>
      <c r="AM2" s="552" t="str">
        <f t="shared" ref="AM2:AS2" si="9">SUBSTITUTE(AM1,"T","Q")</f>
        <v>3Q22</v>
      </c>
      <c r="AN2" s="552" t="str">
        <f t="shared" si="9"/>
        <v>4Q22</v>
      </c>
      <c r="AO2" s="552" t="str">
        <f t="shared" si="9"/>
        <v>1Q23</v>
      </c>
      <c r="AP2" s="552" t="str">
        <f t="shared" si="9"/>
        <v>2Q23</v>
      </c>
      <c r="AQ2" s="552" t="str">
        <f t="shared" si="9"/>
        <v>3Q23</v>
      </c>
      <c r="AR2" s="552" t="str">
        <f t="shared" si="9"/>
        <v>4Q23</v>
      </c>
      <c r="AS2" s="552" t="str">
        <f t="shared" si="9"/>
        <v>1Q24</v>
      </c>
      <c r="AT2" s="552" t="str">
        <f t="shared" ref="AT2:BB2" si="10">SUBSTITUTE(AT1,"T","Q")</f>
        <v>2Q24</v>
      </c>
      <c r="AU2" s="552" t="str">
        <f t="shared" si="10"/>
        <v>3Q24</v>
      </c>
      <c r="AV2" s="552" t="str">
        <f t="shared" si="10"/>
        <v>4Q24</v>
      </c>
      <c r="AW2" s="552" t="str">
        <f t="shared" si="10"/>
        <v>1Q25</v>
      </c>
      <c r="AX2" s="552" t="str">
        <f t="shared" si="10"/>
        <v>2Q25</v>
      </c>
      <c r="AY2" s="552" t="str">
        <f t="shared" si="10"/>
        <v>3Q25</v>
      </c>
      <c r="AZ2" s="552" t="str">
        <f t="shared" si="10"/>
        <v>4Q25</v>
      </c>
      <c r="BA2" s="552" t="str">
        <f>SUBSTITUTE(BA1,"T","Q")</f>
        <v>1Q26</v>
      </c>
      <c r="BB2" s="552" t="str">
        <f t="shared" si="10"/>
        <v>2Q26</v>
      </c>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row>
    <row r="3" spans="1:170" ht="12.75" customHeight="1" x14ac:dyDescent="0.2">
      <c r="X3" s="766"/>
      <c r="Y3" s="766"/>
      <c r="Z3" s="766"/>
      <c r="AA3" s="766"/>
      <c r="AB3" s="766"/>
      <c r="AC3" s="766"/>
      <c r="AD3" s="766"/>
      <c r="AE3" s="766"/>
      <c r="AF3" s="766"/>
      <c r="AG3" s="766"/>
      <c r="AH3" s="766"/>
      <c r="AI3" s="766"/>
      <c r="AJ3" s="766"/>
      <c r="AK3" s="766"/>
      <c r="AL3" s="766"/>
      <c r="AM3" s="766"/>
      <c r="AN3" s="766"/>
      <c r="AO3" s="766"/>
      <c r="AP3" s="766"/>
      <c r="AQ3" s="766"/>
      <c r="AR3" s="766"/>
      <c r="AS3" s="766"/>
      <c r="AT3" s="766"/>
      <c r="AU3" s="766"/>
      <c r="AV3" s="766"/>
      <c r="AW3" s="766"/>
      <c r="AX3" s="766"/>
      <c r="AY3" s="766"/>
      <c r="AZ3" s="766"/>
      <c r="BA3" s="766"/>
      <c r="BB3" s="766"/>
      <c r="DW3" s="25"/>
      <c r="FN3"/>
    </row>
    <row r="4" spans="1:170" ht="12.75" customHeight="1" x14ac:dyDescent="0.2">
      <c r="X4" s="766"/>
      <c r="Y4" s="766"/>
      <c r="Z4" s="766"/>
      <c r="AA4" s="766"/>
      <c r="AB4" s="766"/>
      <c r="AC4" s="766"/>
      <c r="AD4" s="766"/>
      <c r="AE4" s="766"/>
      <c r="AF4" s="766"/>
      <c r="AG4" s="766"/>
      <c r="AH4" s="766"/>
      <c r="AI4" s="766"/>
      <c r="AJ4" s="766"/>
      <c r="AK4" s="766"/>
      <c r="AL4" s="766"/>
      <c r="AM4" s="766"/>
      <c r="AN4" s="766"/>
      <c r="AO4" s="766"/>
      <c r="AP4" s="766"/>
      <c r="AQ4" s="766"/>
      <c r="AR4" s="766"/>
      <c r="AS4" s="766"/>
      <c r="AT4" s="766"/>
      <c r="AU4" s="766"/>
      <c r="AV4" s="766"/>
      <c r="AW4" s="766"/>
      <c r="AX4" s="766"/>
      <c r="AY4" s="766"/>
      <c r="AZ4" s="766"/>
      <c r="BA4" s="766"/>
      <c r="BB4" s="766"/>
      <c r="DW4" s="25"/>
      <c r="FN4"/>
    </row>
    <row r="5" spans="1:170" ht="14.25" customHeight="1" x14ac:dyDescent="0.2">
      <c r="A5" s="25" t="s">
        <v>96</v>
      </c>
      <c r="B5" s="25" t="s">
        <v>866</v>
      </c>
      <c r="D5" s="115" t="str">
        <f>IF([1]RENAME!$H$3=1,B5,A5)</f>
        <v>Consolidado</v>
      </c>
      <c r="E5" s="115" t="str">
        <f>IF([1]RENAME!$H$3=1,E2,E1)</f>
        <v>1T14</v>
      </c>
      <c r="F5" s="115" t="str">
        <f>IF([1]RENAME!$H$3=1,F2,F1)</f>
        <v>2T14</v>
      </c>
      <c r="G5" s="115" t="str">
        <f>IF([1]RENAME!$H$3=1,G2,G1)</f>
        <v>3T14</v>
      </c>
      <c r="H5" s="115" t="str">
        <f>IF([1]RENAME!$H$3=1,H2,H1)</f>
        <v>4T14</v>
      </c>
      <c r="I5" s="115" t="str">
        <f>IF([1]RENAME!$H$3=1,I2,I1)</f>
        <v>1T15</v>
      </c>
      <c r="J5" s="115" t="str">
        <f>IF([1]RENAME!$H$3=1,J2,J1)</f>
        <v>2T15</v>
      </c>
      <c r="K5" s="115" t="str">
        <f>IF([1]RENAME!$H$3=1,K2,K1)</f>
        <v>3T15</v>
      </c>
      <c r="L5" s="115" t="str">
        <f>IF([1]RENAME!$H$3=1,L2,L1)</f>
        <v>4T15</v>
      </c>
      <c r="M5" s="115" t="str">
        <f>IF([1]RENAME!$H$3=1,M2,M1)</f>
        <v>1T16</v>
      </c>
      <c r="N5" s="115" t="str">
        <f>IF([1]RENAME!$H$3=1,N2,N1)</f>
        <v>2T16</v>
      </c>
      <c r="O5" s="115" t="str">
        <f>IF([1]RENAME!$H$3=1,O2,O1)</f>
        <v>3T16</v>
      </c>
      <c r="P5" s="115" t="str">
        <f>IF([1]RENAME!$H$3=1,P2,P1)</f>
        <v>4T16</v>
      </c>
      <c r="Q5" s="115" t="str">
        <f>IF([1]RENAME!$H$3=1,Q2,Q1)</f>
        <v>1T17</v>
      </c>
      <c r="R5" s="115" t="str">
        <f>IF([1]RENAME!$H$3=1,R2,R1)</f>
        <v>2T17</v>
      </c>
      <c r="S5" s="115" t="str">
        <f>IF([1]RENAME!$H$3=1,S2,S1)</f>
        <v>3T17</v>
      </c>
      <c r="T5" s="115" t="str">
        <f>IF([1]RENAME!$H$3=1,T2,T1)</f>
        <v>4T17</v>
      </c>
      <c r="U5" s="115" t="str">
        <f>IF([1]RENAME!$H$3=1,U2,U1)</f>
        <v>1T18</v>
      </c>
      <c r="V5" s="115" t="str">
        <f>IF([1]RENAME!$H$3=1,V2,V1)</f>
        <v>2T18</v>
      </c>
      <c r="W5" s="115" t="str">
        <f>IF([1]RENAME!$H$3=1,W2,W1)</f>
        <v>3T18</v>
      </c>
      <c r="X5" s="115" t="str">
        <f>IF([1]RENAME!$H$3=1,X2,X1)</f>
        <v>4T18</v>
      </c>
      <c r="Y5" s="115" t="str">
        <f>IF([1]RENAME!$H$3=1,Y2,Y1)</f>
        <v>1T19</v>
      </c>
      <c r="Z5" s="115" t="str">
        <f>IF([1]RENAME!$H$3=1,Z2,Z1)</f>
        <v>2T19</v>
      </c>
      <c r="AA5" s="115" t="str">
        <f>IF([1]RENAME!$H$3=1,AA2,AA1)</f>
        <v>3T19</v>
      </c>
      <c r="AB5" s="115" t="str">
        <f>IF([1]RENAME!$H$3=1,AB2,AB1)</f>
        <v>4T19</v>
      </c>
      <c r="AC5" s="115" t="str">
        <f>IF([1]RENAME!$H$3=1,AC2,AC1)</f>
        <v>1T20</v>
      </c>
      <c r="AD5" s="115" t="str">
        <f>IF([1]RENAME!$H$3=1,AD2,AD1)</f>
        <v>2T20</v>
      </c>
      <c r="AE5" s="115" t="str">
        <f>IF([1]RENAME!$H$3=1,AE2,AE1)</f>
        <v>3T20</v>
      </c>
      <c r="AF5" s="115" t="str">
        <f>IF([1]RENAME!$H$3=1,AF2,AF1)</f>
        <v>4T20</v>
      </c>
      <c r="AG5" s="115" t="str">
        <f>IF([1]RENAME!$H$3=1,AG2,AG1)</f>
        <v>1T21</v>
      </c>
      <c r="AH5" s="115" t="str">
        <f>IF([1]RENAME!$H$3=1,AH2,AH1)</f>
        <v>2T21</v>
      </c>
      <c r="AI5" s="115" t="str">
        <f>IF([1]RENAME!$H$3=1,AI2,AI1)</f>
        <v>3T21</v>
      </c>
      <c r="AJ5" s="115" t="str">
        <f>IF([1]RENAME!$H$3=1,AJ2,AJ1)</f>
        <v>4T21</v>
      </c>
      <c r="AK5" s="115" t="str">
        <f>IF([1]RENAME!$H$3=1,AK2,AK1)</f>
        <v>1T22</v>
      </c>
      <c r="AL5" s="115" t="str">
        <f>IF([1]RENAME!$H$3=1,AL2,AL1)</f>
        <v>2T22</v>
      </c>
      <c r="AM5" s="115" t="str">
        <f>IF([1]RENAME!$H$3=1,AM2,AM1)</f>
        <v>3T22</v>
      </c>
      <c r="AN5" s="115" t="str">
        <f>IF([1]RENAME!$H$3=1,AN2,AN1)</f>
        <v>4T22</v>
      </c>
      <c r="AO5" s="115" t="str">
        <f>IF([1]RENAME!$H$3=1,AO2,AO1)</f>
        <v>1T23</v>
      </c>
      <c r="AP5" s="115" t="str">
        <f>IF([1]RENAME!$H$3=1,AP2,AP1)</f>
        <v>2T23</v>
      </c>
      <c r="AQ5" s="115" t="str">
        <f>IF([1]RENAME!$H$3=1,AQ2,AQ1)</f>
        <v>3T23</v>
      </c>
      <c r="AR5" s="115" t="str">
        <f>IF([1]RENAME!$H$3=1,AR2,AR1)</f>
        <v>4T23</v>
      </c>
      <c r="AS5" s="115" t="str">
        <f>IF([1]RENAME!$H$3=1,AS2,AS1)</f>
        <v>1T24</v>
      </c>
      <c r="AT5" s="115" t="str">
        <f>IF([1]RENAME!$H$3=1,AT2,AT1)</f>
        <v>2T24</v>
      </c>
      <c r="AU5" s="115" t="str">
        <f>IF([1]RENAME!$H$3=1,AU2,AU1)</f>
        <v>3T24</v>
      </c>
      <c r="AV5" s="115" t="str">
        <f>IF([1]RENAME!$H$3=1,AV2,AV1)</f>
        <v>4T24</v>
      </c>
      <c r="AW5" s="115" t="str">
        <f>IF([1]RENAME!$H$3=1,AW2,AW1)</f>
        <v>1T25</v>
      </c>
      <c r="AX5" s="115" t="str">
        <f>IF([1]RENAME!$H$3=1,AX2,AX1)</f>
        <v>2T25</v>
      </c>
      <c r="AY5" s="115" t="str">
        <f>IF([1]RENAME!$H$3=1,AY2,AY1)</f>
        <v>3T25</v>
      </c>
      <c r="AZ5" s="115" t="str">
        <f>IF([1]RENAME!$H$3=1,AZ2,AZ1)</f>
        <v>4T25</v>
      </c>
      <c r="BA5" s="247" t="str">
        <f>IF([1]RENAME!$H$3=1,BA2,BA1)</f>
        <v>1T26</v>
      </c>
      <c r="BB5" s="115" t="str">
        <f>IF([1]RENAME!$H$3=1,BB2,BB1)</f>
        <v>2T26</v>
      </c>
      <c r="DW5" s="25"/>
      <c r="FN5"/>
    </row>
    <row r="6" spans="1:170" ht="15.75" customHeight="1" x14ac:dyDescent="0.2">
      <c r="A6" s="25" t="s">
        <v>131</v>
      </c>
      <c r="B6" s="25" t="s">
        <v>1033</v>
      </c>
      <c r="D6" s="129" t="str">
        <f>IF([1]RENAME!$H$3=1,B6,A6)</f>
        <v>Serviços de fretes – agregados</v>
      </c>
      <c r="E6" s="118">
        <v>219972.64579000001</v>
      </c>
      <c r="F6" s="118">
        <v>238075.80076999997</v>
      </c>
      <c r="G6" s="118">
        <v>234520.22706999976</v>
      </c>
      <c r="H6" s="118">
        <v>263516.13549259986</v>
      </c>
      <c r="I6" s="118">
        <v>188965.77850394999</v>
      </c>
      <c r="J6" s="118">
        <v>179038.31499675001</v>
      </c>
      <c r="K6" s="118">
        <v>176261.33144795001</v>
      </c>
      <c r="L6" s="118">
        <v>181952.70041999995</v>
      </c>
      <c r="M6" s="118">
        <v>123969.08409</v>
      </c>
      <c r="N6" s="118">
        <v>143511.27353000001</v>
      </c>
      <c r="O6" s="118">
        <v>148285.64237999998</v>
      </c>
      <c r="P6" s="118">
        <v>158012</v>
      </c>
      <c r="Q6" s="118">
        <v>130649</v>
      </c>
      <c r="R6" s="118">
        <v>160726</v>
      </c>
      <c r="S6" s="118">
        <v>181957</v>
      </c>
      <c r="T6" s="118">
        <v>200710</v>
      </c>
      <c r="U6" s="118">
        <v>165475</v>
      </c>
      <c r="V6" s="118">
        <v>188254</v>
      </c>
      <c r="W6" s="118">
        <v>218675</v>
      </c>
      <c r="X6" s="118">
        <v>230675</v>
      </c>
      <c r="Y6" s="118">
        <v>186762</v>
      </c>
      <c r="Z6" s="118">
        <v>211127</v>
      </c>
      <c r="AA6" s="118">
        <v>213636</v>
      </c>
      <c r="AB6" s="118">
        <v>240467</v>
      </c>
      <c r="AC6" s="118">
        <v>174723</v>
      </c>
      <c r="AD6" s="118">
        <v>71320</v>
      </c>
      <c r="AE6" s="118">
        <v>186852</v>
      </c>
      <c r="AF6" s="118">
        <v>207652</v>
      </c>
      <c r="AG6" s="118">
        <v>153174</v>
      </c>
      <c r="AH6" s="118">
        <v>153629</v>
      </c>
      <c r="AI6" s="118">
        <v>149145</v>
      </c>
      <c r="AJ6" s="118">
        <v>201801</v>
      </c>
      <c r="AK6" s="118">
        <v>155796</v>
      </c>
      <c r="AL6" s="118">
        <v>198794</v>
      </c>
      <c r="AM6" s="118">
        <v>277940</v>
      </c>
      <c r="AN6" s="118">
        <v>275592</v>
      </c>
      <c r="AO6" s="118">
        <v>222955</v>
      </c>
      <c r="AP6" s="118">
        <v>245738</v>
      </c>
      <c r="AQ6" s="118">
        <v>286980</v>
      </c>
      <c r="AR6" s="118">
        <v>309847</v>
      </c>
      <c r="AS6" s="118">
        <v>262322</v>
      </c>
      <c r="AT6" s="118">
        <v>318744</v>
      </c>
      <c r="AU6" s="118">
        <v>398356</v>
      </c>
      <c r="AV6" s="118">
        <v>415515</v>
      </c>
      <c r="AW6" s="118">
        <v>289243</v>
      </c>
      <c r="AX6" s="118">
        <v>357841</v>
      </c>
      <c r="AY6" s="118">
        <v>429070</v>
      </c>
      <c r="AZ6" s="118">
        <v>428391</v>
      </c>
      <c r="BA6" s="118">
        <v>365548</v>
      </c>
      <c r="BB6" s="118">
        <f>(-VLOOKUP($D$6,'[3]22 Desp Op NL'!$V$20:$AH$42,13,0))-BA6</f>
        <v>513070</v>
      </c>
      <c r="BC6" s="208"/>
      <c r="BD6" s="1233"/>
      <c r="BE6" s="208"/>
      <c r="DW6" s="25"/>
      <c r="FN6"/>
    </row>
    <row r="7" spans="1:170" ht="15" customHeight="1" x14ac:dyDescent="0.2">
      <c r="A7" s="25" t="s">
        <v>132</v>
      </c>
      <c r="B7" s="25" t="s">
        <v>1034</v>
      </c>
      <c r="D7" s="129" t="str">
        <f>IF([1]RENAME!$H$3=1,B7,A7)</f>
        <v>Salários</v>
      </c>
      <c r="E7" s="118">
        <v>24629.335180000005</v>
      </c>
      <c r="F7" s="118">
        <v>25731.700290000001</v>
      </c>
      <c r="G7" s="118">
        <v>22584.912319999999</v>
      </c>
      <c r="H7" s="118">
        <v>24091.047999999984</v>
      </c>
      <c r="I7" s="118">
        <v>23270.066790000004</v>
      </c>
      <c r="J7" s="118">
        <v>22349.851030000005</v>
      </c>
      <c r="K7" s="118">
        <v>21957.549399999993</v>
      </c>
      <c r="L7" s="118">
        <v>18366.648769999982</v>
      </c>
      <c r="M7" s="118">
        <v>18674.519969999998</v>
      </c>
      <c r="N7" s="118">
        <v>19089.057920000017</v>
      </c>
      <c r="O7" s="118">
        <v>19190.422109999985</v>
      </c>
      <c r="P7" s="118">
        <v>17099</v>
      </c>
      <c r="Q7" s="118">
        <v>18193</v>
      </c>
      <c r="R7" s="118">
        <v>18861</v>
      </c>
      <c r="S7" s="118">
        <v>19988</v>
      </c>
      <c r="T7" s="118">
        <v>20826</v>
      </c>
      <c r="U7" s="118">
        <v>18919</v>
      </c>
      <c r="V7" s="118">
        <v>19924</v>
      </c>
      <c r="W7" s="118">
        <v>20616</v>
      </c>
      <c r="X7" s="118">
        <v>21464</v>
      </c>
      <c r="Y7" s="118">
        <v>18773</v>
      </c>
      <c r="Z7" s="118">
        <v>22854</v>
      </c>
      <c r="AA7" s="118">
        <v>22195</v>
      </c>
      <c r="AB7" s="118">
        <v>22694</v>
      </c>
      <c r="AC7" s="118">
        <v>21962</v>
      </c>
      <c r="AD7" s="118">
        <v>15105</v>
      </c>
      <c r="AE7" s="118">
        <v>17356</v>
      </c>
      <c r="AF7" s="118">
        <v>17865</v>
      </c>
      <c r="AG7" s="118">
        <v>17195</v>
      </c>
      <c r="AH7" s="118">
        <v>18317</v>
      </c>
      <c r="AI7" s="118">
        <v>17242</v>
      </c>
      <c r="AJ7" s="118">
        <v>20266</v>
      </c>
      <c r="AK7" s="118">
        <v>17971</v>
      </c>
      <c r="AL7" s="118">
        <v>20824</v>
      </c>
      <c r="AM7" s="118">
        <v>21342</v>
      </c>
      <c r="AN7" s="118">
        <v>23370</v>
      </c>
      <c r="AO7" s="118">
        <v>21834</v>
      </c>
      <c r="AP7" s="118">
        <v>24826</v>
      </c>
      <c r="AQ7" s="118">
        <v>25667</v>
      </c>
      <c r="AR7" s="118">
        <v>25615</v>
      </c>
      <c r="AS7" s="118">
        <v>24149</v>
      </c>
      <c r="AT7" s="118">
        <v>26213</v>
      </c>
      <c r="AU7" s="118">
        <v>29375</v>
      </c>
      <c r="AV7" s="118">
        <v>29899</v>
      </c>
      <c r="AW7" s="118">
        <v>29229</v>
      </c>
      <c r="AX7" s="118">
        <v>32763</v>
      </c>
      <c r="AY7" s="118">
        <v>34974</v>
      </c>
      <c r="AZ7" s="118">
        <v>34534</v>
      </c>
      <c r="BA7" s="118">
        <v>31579</v>
      </c>
      <c r="BB7" s="118">
        <f>(-VLOOKUP($D$7,'[3]22 Desp Op NL'!$V$20:$AH$42,13,0))-BA7</f>
        <v>37174</v>
      </c>
      <c r="BC7" s="208"/>
      <c r="BD7" s="1233"/>
      <c r="BE7" s="208"/>
      <c r="DW7" s="25"/>
      <c r="FN7"/>
    </row>
    <row r="8" spans="1:170" x14ac:dyDescent="0.2">
      <c r="A8" s="25" t="s">
        <v>133</v>
      </c>
      <c r="B8" s="25" t="s">
        <v>824</v>
      </c>
      <c r="D8" s="129" t="str">
        <f>IF([1]RENAME!$H$3=1,B8,A8)</f>
        <v>Serviços terceirizados</v>
      </c>
      <c r="E8" s="118">
        <v>13764.654889999998</v>
      </c>
      <c r="F8" s="118">
        <v>11885.311709999998</v>
      </c>
      <c r="G8" s="118">
        <v>16474.009280000006</v>
      </c>
      <c r="H8" s="118">
        <v>14666.963380000003</v>
      </c>
      <c r="I8" s="118">
        <v>12642.272660000004</v>
      </c>
      <c r="J8" s="118">
        <v>11889.752059999999</v>
      </c>
      <c r="K8" s="118">
        <v>11983.86913999999</v>
      </c>
      <c r="L8" s="118">
        <v>12041.014480000003</v>
      </c>
      <c r="M8" s="118">
        <v>8494.8004100000016</v>
      </c>
      <c r="N8" s="118">
        <v>11250.145099999996</v>
      </c>
      <c r="O8" s="118">
        <v>10300.054490000002</v>
      </c>
      <c r="P8" s="118">
        <v>11255</v>
      </c>
      <c r="Q8" s="118">
        <v>9046</v>
      </c>
      <c r="R8" s="118">
        <v>8779</v>
      </c>
      <c r="S8" s="118">
        <v>9537</v>
      </c>
      <c r="T8" s="118">
        <v>16717</v>
      </c>
      <c r="U8" s="118">
        <v>12375</v>
      </c>
      <c r="V8" s="118">
        <v>10001</v>
      </c>
      <c r="W8" s="118">
        <v>9447</v>
      </c>
      <c r="X8" s="118">
        <v>10342</v>
      </c>
      <c r="Y8" s="118">
        <v>11728</v>
      </c>
      <c r="Z8" s="118">
        <v>10726</v>
      </c>
      <c r="AA8" s="260">
        <v>17842</v>
      </c>
      <c r="AB8" s="118">
        <v>15960</v>
      </c>
      <c r="AC8" s="118">
        <v>17180</v>
      </c>
      <c r="AD8" s="118">
        <v>12139</v>
      </c>
      <c r="AE8" s="118">
        <v>11099</v>
      </c>
      <c r="AF8" s="118">
        <v>14338</v>
      </c>
      <c r="AG8" s="118">
        <v>10610</v>
      </c>
      <c r="AH8" s="118">
        <v>11381</v>
      </c>
      <c r="AI8" s="118">
        <v>12412</v>
      </c>
      <c r="AJ8" s="118">
        <v>13071</v>
      </c>
      <c r="AK8" s="118">
        <v>10884</v>
      </c>
      <c r="AL8" s="118">
        <v>14199</v>
      </c>
      <c r="AM8" s="118">
        <v>13388</v>
      </c>
      <c r="AN8" s="118">
        <v>14906</v>
      </c>
      <c r="AO8" s="118">
        <v>14137</v>
      </c>
      <c r="AP8" s="118">
        <v>13738</v>
      </c>
      <c r="AQ8" s="118">
        <v>14749</v>
      </c>
      <c r="AR8" s="118">
        <v>16117</v>
      </c>
      <c r="AS8" s="118">
        <v>18797</v>
      </c>
      <c r="AT8" s="118">
        <v>18901</v>
      </c>
      <c r="AU8" s="118">
        <v>19596</v>
      </c>
      <c r="AV8" s="118">
        <v>20826</v>
      </c>
      <c r="AW8" s="118">
        <v>17991</v>
      </c>
      <c r="AX8" s="118">
        <v>20505</v>
      </c>
      <c r="AY8" s="118">
        <v>19112</v>
      </c>
      <c r="AZ8" s="118">
        <v>24932</v>
      </c>
      <c r="BA8" s="118">
        <v>18635</v>
      </c>
      <c r="BB8" s="118">
        <f>(-VLOOKUP($D$8,'[3]22 Desp Op NL'!$V$20:$AH$42,13,0))-BA8</f>
        <v>20057</v>
      </c>
      <c r="BC8" s="208"/>
      <c r="BD8" s="1233"/>
      <c r="BE8" s="208"/>
      <c r="DW8" s="25"/>
      <c r="FN8"/>
    </row>
    <row r="9" spans="1:170" ht="15.75" customHeight="1" x14ac:dyDescent="0.2">
      <c r="A9" s="25" t="s">
        <v>486</v>
      </c>
      <c r="B9" s="25" t="s">
        <v>1035</v>
      </c>
      <c r="D9" s="129" t="str">
        <f>IF([1]RENAME!$H$3=1,B9,A9)</f>
        <v>Encargos Sociais</v>
      </c>
      <c r="E9" s="118">
        <v>8406.4103500000001</v>
      </c>
      <c r="F9" s="118">
        <v>10047.453239999997</v>
      </c>
      <c r="G9" s="118">
        <v>11611.386460000005</v>
      </c>
      <c r="H9" s="118">
        <v>11174.205180000003</v>
      </c>
      <c r="I9" s="118">
        <v>8953.6659299999992</v>
      </c>
      <c r="J9" s="118">
        <v>9747.0041299999993</v>
      </c>
      <c r="K9" s="118">
        <v>9602.1969200000058</v>
      </c>
      <c r="L9" s="118">
        <v>8253.6500199999955</v>
      </c>
      <c r="M9" s="118">
        <v>10084.30875</v>
      </c>
      <c r="N9" s="118">
        <v>11588.345619999996</v>
      </c>
      <c r="O9" s="118">
        <v>10605.345630000003</v>
      </c>
      <c r="P9" s="118">
        <v>7709</v>
      </c>
      <c r="Q9" s="118">
        <v>9908</v>
      </c>
      <c r="R9" s="118">
        <v>11756</v>
      </c>
      <c r="S9" s="118">
        <v>10082</v>
      </c>
      <c r="T9" s="118">
        <v>9660</v>
      </c>
      <c r="U9" s="118">
        <v>10820</v>
      </c>
      <c r="V9" s="118">
        <v>11434</v>
      </c>
      <c r="W9" s="118">
        <v>11373</v>
      </c>
      <c r="X9" s="118">
        <v>11692</v>
      </c>
      <c r="Y9" s="118">
        <v>10950</v>
      </c>
      <c r="Z9" s="118">
        <v>12402</v>
      </c>
      <c r="AA9" s="118">
        <v>12134</v>
      </c>
      <c r="AB9" s="118">
        <v>12398</v>
      </c>
      <c r="AC9" s="118">
        <v>11806</v>
      </c>
      <c r="AD9" s="118">
        <v>8814</v>
      </c>
      <c r="AE9" s="118">
        <v>9980</v>
      </c>
      <c r="AF9" s="118">
        <v>10177</v>
      </c>
      <c r="AG9" s="118">
        <v>9627</v>
      </c>
      <c r="AH9" s="118">
        <v>9815</v>
      </c>
      <c r="AI9" s="118">
        <v>9628</v>
      </c>
      <c r="AJ9" s="118">
        <v>11450</v>
      </c>
      <c r="AK9" s="118">
        <v>10827</v>
      </c>
      <c r="AL9" s="118">
        <v>11731</v>
      </c>
      <c r="AM9" s="118">
        <v>11854</v>
      </c>
      <c r="AN9" s="118">
        <v>14067</v>
      </c>
      <c r="AO9" s="118">
        <v>12298</v>
      </c>
      <c r="AP9" s="118">
        <v>13870</v>
      </c>
      <c r="AQ9" s="118">
        <v>13975</v>
      </c>
      <c r="AR9" s="118">
        <v>14407</v>
      </c>
      <c r="AS9" s="118">
        <v>13480</v>
      </c>
      <c r="AT9" s="118">
        <v>14071</v>
      </c>
      <c r="AU9" s="118">
        <v>16478</v>
      </c>
      <c r="AV9" s="118">
        <v>16672</v>
      </c>
      <c r="AW9" s="118">
        <v>15990</v>
      </c>
      <c r="AX9" s="118">
        <v>18847</v>
      </c>
      <c r="AY9" s="118">
        <v>19190</v>
      </c>
      <c r="AZ9" s="118">
        <v>19660</v>
      </c>
      <c r="BA9" s="118">
        <v>18446</v>
      </c>
      <c r="BB9" s="118">
        <f>(-VLOOKUP($D$9,'[3]22 Desp Op NL'!$V$20:$AH$42,13,0))-BA9</f>
        <v>21473</v>
      </c>
      <c r="BC9" s="208"/>
      <c r="BD9" s="1233"/>
      <c r="BE9" s="208"/>
      <c r="DW9" s="25"/>
      <c r="FN9"/>
    </row>
    <row r="10" spans="1:170" x14ac:dyDescent="0.2">
      <c r="A10" s="25" t="s">
        <v>136</v>
      </c>
      <c r="B10" s="25" t="s">
        <v>1036</v>
      </c>
      <c r="D10" s="129" t="str">
        <f>IF([1]RENAME!$H$3=1,B10,A10)</f>
        <v>Benefícios a empregados</v>
      </c>
      <c r="E10" s="118">
        <v>8019.5790399999987</v>
      </c>
      <c r="F10" s="118">
        <v>7808.1078900000002</v>
      </c>
      <c r="G10" s="118">
        <v>7877.1016799999998</v>
      </c>
      <c r="H10" s="118">
        <v>8287.4084500000026</v>
      </c>
      <c r="I10" s="118">
        <v>7575.9581799999996</v>
      </c>
      <c r="J10" s="118">
        <v>8054.4870500000006</v>
      </c>
      <c r="K10" s="118">
        <v>7510.5948899999967</v>
      </c>
      <c r="L10" s="118">
        <v>6937.8355700000075</v>
      </c>
      <c r="M10" s="118">
        <v>6310.2540499999986</v>
      </c>
      <c r="N10" s="118">
        <v>6502.6463399999984</v>
      </c>
      <c r="O10" s="118">
        <v>5975.0996100000029</v>
      </c>
      <c r="P10" s="118">
        <v>5841</v>
      </c>
      <c r="Q10" s="118">
        <v>5788</v>
      </c>
      <c r="R10" s="118">
        <v>6245</v>
      </c>
      <c r="S10" s="118">
        <v>6370</v>
      </c>
      <c r="T10" s="118">
        <v>6684</v>
      </c>
      <c r="U10" s="118">
        <v>5880</v>
      </c>
      <c r="V10" s="118">
        <v>6129</v>
      </c>
      <c r="W10" s="118">
        <v>6576</v>
      </c>
      <c r="X10" s="118">
        <v>7075</v>
      </c>
      <c r="Y10" s="118">
        <v>6636</v>
      </c>
      <c r="Z10" s="118">
        <v>7158</v>
      </c>
      <c r="AA10" s="118">
        <v>7515</v>
      </c>
      <c r="AB10" s="118">
        <v>7489</v>
      </c>
      <c r="AC10" s="118">
        <v>6930</v>
      </c>
      <c r="AD10" s="118">
        <v>5711</v>
      </c>
      <c r="AE10" s="118">
        <v>5548</v>
      </c>
      <c r="AF10" s="118">
        <v>5874</v>
      </c>
      <c r="AG10" s="118">
        <v>5838</v>
      </c>
      <c r="AH10" s="118">
        <v>5494</v>
      </c>
      <c r="AI10" s="118">
        <v>5588</v>
      </c>
      <c r="AJ10" s="118">
        <v>5954</v>
      </c>
      <c r="AK10" s="118">
        <v>5823</v>
      </c>
      <c r="AL10" s="118">
        <v>6256</v>
      </c>
      <c r="AM10" s="118">
        <v>6508</v>
      </c>
      <c r="AN10" s="118">
        <v>6641</v>
      </c>
      <c r="AO10" s="118">
        <v>6922</v>
      </c>
      <c r="AP10" s="118">
        <v>7276</v>
      </c>
      <c r="AQ10" s="118">
        <v>7807</v>
      </c>
      <c r="AR10" s="118">
        <v>8284</v>
      </c>
      <c r="AS10" s="118">
        <v>8163</v>
      </c>
      <c r="AT10" s="118">
        <v>8778</v>
      </c>
      <c r="AU10" s="118">
        <v>9833</v>
      </c>
      <c r="AV10" s="118">
        <v>10873</v>
      </c>
      <c r="AW10" s="118">
        <v>9894</v>
      </c>
      <c r="AX10" s="118">
        <v>11083</v>
      </c>
      <c r="AY10" s="118">
        <v>11119</v>
      </c>
      <c r="AZ10" s="118">
        <v>12228</v>
      </c>
      <c r="BA10" s="118">
        <v>12663</v>
      </c>
      <c r="BB10" s="118">
        <f>(-VLOOKUP($D$10,'[3]22 Desp Op NL'!$V$20:$AH$42,13,0))-BA10</f>
        <v>14143</v>
      </c>
      <c r="BC10" s="208"/>
      <c r="BD10" s="1233"/>
      <c r="BE10" s="208"/>
      <c r="DW10" s="25"/>
      <c r="FN10"/>
    </row>
    <row r="11" spans="1:170" x14ac:dyDescent="0.2">
      <c r="A11" s="25" t="s">
        <v>135</v>
      </c>
      <c r="B11" s="25" t="s">
        <v>1037</v>
      </c>
      <c r="D11" s="129" t="str">
        <f>IF([1]RENAME!$H$3=1,B11,A11)</f>
        <v>Alugueis e leasing</v>
      </c>
      <c r="E11" s="118">
        <v>17994.320699999997</v>
      </c>
      <c r="F11" s="118">
        <v>16730.1921</v>
      </c>
      <c r="G11" s="118">
        <v>16106.995290000006</v>
      </c>
      <c r="H11" s="118">
        <v>18456.078129999994</v>
      </c>
      <c r="I11" s="118">
        <v>17933.762449999998</v>
      </c>
      <c r="J11" s="118">
        <v>18889.328360000003</v>
      </c>
      <c r="K11" s="118">
        <v>14685.909440000005</v>
      </c>
      <c r="L11" s="118">
        <v>13848.783079999997</v>
      </c>
      <c r="M11" s="118">
        <v>13217.207059999999</v>
      </c>
      <c r="N11" s="118">
        <v>10972.339930000004</v>
      </c>
      <c r="O11" s="118">
        <v>10406.453009999997</v>
      </c>
      <c r="P11" s="118">
        <v>10215</v>
      </c>
      <c r="Q11" s="118">
        <v>10295</v>
      </c>
      <c r="R11" s="118">
        <v>10058</v>
      </c>
      <c r="S11" s="118">
        <v>9899</v>
      </c>
      <c r="T11" s="118">
        <v>10851</v>
      </c>
      <c r="U11" s="118">
        <v>9472</v>
      </c>
      <c r="V11" s="118">
        <v>9110</v>
      </c>
      <c r="W11" s="118">
        <v>9032</v>
      </c>
      <c r="X11" s="118">
        <v>10858</v>
      </c>
      <c r="Y11" s="118">
        <v>1858</v>
      </c>
      <c r="Z11" s="118">
        <v>2648</v>
      </c>
      <c r="AA11" s="260">
        <v>1741</v>
      </c>
      <c r="AB11" s="118">
        <v>2410</v>
      </c>
      <c r="AC11" s="118">
        <v>2122</v>
      </c>
      <c r="AD11" s="118">
        <v>1139</v>
      </c>
      <c r="AE11" s="118">
        <v>1360</v>
      </c>
      <c r="AF11" s="118">
        <v>1306</v>
      </c>
      <c r="AG11" s="118">
        <v>176</v>
      </c>
      <c r="AH11" s="118">
        <v>634</v>
      </c>
      <c r="AI11" s="118">
        <v>825</v>
      </c>
      <c r="AJ11" s="118">
        <v>851</v>
      </c>
      <c r="AK11" s="118">
        <v>927</v>
      </c>
      <c r="AL11" s="118">
        <v>1760</v>
      </c>
      <c r="AM11" s="118">
        <v>1728</v>
      </c>
      <c r="AN11" s="118">
        <v>1317</v>
      </c>
      <c r="AO11" s="118">
        <v>1418</v>
      </c>
      <c r="AP11" s="118">
        <v>1695</v>
      </c>
      <c r="AQ11" s="118">
        <v>1078</v>
      </c>
      <c r="AR11" s="118">
        <v>3289</v>
      </c>
      <c r="AS11" s="118">
        <v>2228</v>
      </c>
      <c r="AT11" s="118">
        <v>5170</v>
      </c>
      <c r="AU11" s="118">
        <v>10892</v>
      </c>
      <c r="AV11" s="118">
        <v>9109</v>
      </c>
      <c r="AW11" s="118">
        <v>6525</v>
      </c>
      <c r="AX11" s="118">
        <v>8008</v>
      </c>
      <c r="AY11" s="118">
        <v>7105</v>
      </c>
      <c r="AZ11" s="118">
        <v>7563</v>
      </c>
      <c r="BA11" s="118">
        <v>6073</v>
      </c>
      <c r="BB11" s="118">
        <f>(-VLOOKUP($D$11,'[3]22 Desp Op NL'!$V$20:$AH$42,13,0))-BA11</f>
        <v>6787</v>
      </c>
      <c r="BC11" s="208"/>
      <c r="BD11" s="1233"/>
      <c r="BE11" s="208"/>
      <c r="DW11" s="25"/>
      <c r="FN11"/>
    </row>
    <row r="12" spans="1:170" x14ac:dyDescent="0.2">
      <c r="A12" s="25" t="s">
        <v>1432</v>
      </c>
      <c r="B12" s="25" t="s">
        <v>1450</v>
      </c>
      <c r="D12" s="129" t="str">
        <f>IF([1]RENAME!$H$3=1,B12,A12)</f>
        <v>Amortização direito de uso</v>
      </c>
      <c r="E12" s="118" t="s">
        <v>160</v>
      </c>
      <c r="F12" s="118" t="s">
        <v>160</v>
      </c>
      <c r="G12" s="118" t="s">
        <v>160</v>
      </c>
      <c r="H12" s="118" t="s">
        <v>160</v>
      </c>
      <c r="I12" s="118" t="s">
        <v>160</v>
      </c>
      <c r="J12" s="118" t="s">
        <v>160</v>
      </c>
      <c r="K12" s="118" t="s">
        <v>160</v>
      </c>
      <c r="L12" s="118" t="s">
        <v>160</v>
      </c>
      <c r="M12" s="118" t="s">
        <v>160</v>
      </c>
      <c r="N12" s="118" t="s">
        <v>160</v>
      </c>
      <c r="O12" s="118" t="s">
        <v>160</v>
      </c>
      <c r="P12" s="118" t="s">
        <v>160</v>
      </c>
      <c r="Q12" s="118" t="s">
        <v>160</v>
      </c>
      <c r="R12" s="118" t="s">
        <v>160</v>
      </c>
      <c r="S12" s="118" t="s">
        <v>160</v>
      </c>
      <c r="T12" s="118" t="s">
        <v>160</v>
      </c>
      <c r="U12" s="118" t="s">
        <v>160</v>
      </c>
      <c r="V12" s="118" t="s">
        <v>160</v>
      </c>
      <c r="W12" s="118" t="s">
        <v>160</v>
      </c>
      <c r="X12" s="118" t="s">
        <v>160</v>
      </c>
      <c r="Y12" s="118">
        <v>8930</v>
      </c>
      <c r="Z12" s="118">
        <v>7143</v>
      </c>
      <c r="AA12" s="118">
        <v>8275</v>
      </c>
      <c r="AB12" s="118">
        <v>8446</v>
      </c>
      <c r="AC12" s="118">
        <v>7881</v>
      </c>
      <c r="AD12" s="118">
        <v>7886</v>
      </c>
      <c r="AE12" s="118">
        <v>7525</v>
      </c>
      <c r="AF12" s="118">
        <v>7333</v>
      </c>
      <c r="AG12" s="118">
        <v>7513</v>
      </c>
      <c r="AH12" s="118">
        <v>7300</v>
      </c>
      <c r="AI12" s="118">
        <v>7107</v>
      </c>
      <c r="AJ12" s="118">
        <v>6930</v>
      </c>
      <c r="AK12" s="118">
        <v>7970</v>
      </c>
      <c r="AL12" s="118">
        <v>8240</v>
      </c>
      <c r="AM12" s="118">
        <v>7033</v>
      </c>
      <c r="AN12" s="118">
        <v>7727</v>
      </c>
      <c r="AO12" s="118">
        <v>7410</v>
      </c>
      <c r="AP12" s="118">
        <v>7342</v>
      </c>
      <c r="AQ12" s="118">
        <v>7638</v>
      </c>
      <c r="AR12" s="118">
        <v>8032</v>
      </c>
      <c r="AS12" s="118">
        <v>7514</v>
      </c>
      <c r="AT12" s="118">
        <v>7573</v>
      </c>
      <c r="AU12" s="118">
        <v>7278</v>
      </c>
      <c r="AV12" s="118">
        <v>7124</v>
      </c>
      <c r="AW12" s="118">
        <v>7457</v>
      </c>
      <c r="AX12" s="118">
        <v>7462</v>
      </c>
      <c r="AY12" s="118">
        <v>7747</v>
      </c>
      <c r="AZ12" s="118">
        <v>7795</v>
      </c>
      <c r="BA12" s="118">
        <v>7845</v>
      </c>
      <c r="BB12" s="118">
        <f>(-VLOOKUP($D$12,'[3]22 Desp Op NL'!$V$20:$AH$42,13,0))-BA12</f>
        <v>8705</v>
      </c>
      <c r="BC12" s="208"/>
      <c r="BD12" s="1233"/>
      <c r="BE12" s="208"/>
      <c r="DW12" s="25"/>
      <c r="FN12"/>
    </row>
    <row r="13" spans="1:170" x14ac:dyDescent="0.2">
      <c r="A13" s="25" t="s">
        <v>137</v>
      </c>
      <c r="B13" s="25" t="s">
        <v>754</v>
      </c>
      <c r="D13" s="129" t="str">
        <f>IF([1]RENAME!$H$3=1,B13,A13)</f>
        <v>Depreciação e amortização</v>
      </c>
      <c r="E13" s="118">
        <v>7154.8625599999996</v>
      </c>
      <c r="F13" s="118">
        <v>6897.525990000001</v>
      </c>
      <c r="G13" s="118">
        <v>6124.7668199999962</v>
      </c>
      <c r="H13" s="118">
        <v>3222.9851200000048</v>
      </c>
      <c r="I13" s="118">
        <v>6412.0719600000002</v>
      </c>
      <c r="J13" s="118">
        <v>7111.6555700000008</v>
      </c>
      <c r="K13" s="118">
        <v>6673.1270499999973</v>
      </c>
      <c r="L13" s="118">
        <v>7718.4255899999998</v>
      </c>
      <c r="M13" s="118">
        <v>7204.9047399999999</v>
      </c>
      <c r="N13" s="118">
        <v>9298.9809200000018</v>
      </c>
      <c r="O13" s="118">
        <v>6737.1143400000001</v>
      </c>
      <c r="P13" s="118">
        <v>6859</v>
      </c>
      <c r="Q13" s="118">
        <v>6572</v>
      </c>
      <c r="R13" s="118">
        <v>6832</v>
      </c>
      <c r="S13" s="118">
        <v>7305</v>
      </c>
      <c r="T13" s="118">
        <v>7435</v>
      </c>
      <c r="U13" s="118">
        <v>6910</v>
      </c>
      <c r="V13" s="118">
        <v>8910</v>
      </c>
      <c r="W13" s="118">
        <v>6854</v>
      </c>
      <c r="X13" s="118">
        <v>6616</v>
      </c>
      <c r="Y13" s="118">
        <v>6470</v>
      </c>
      <c r="Z13" s="118">
        <v>6502</v>
      </c>
      <c r="AA13" s="118">
        <v>6554</v>
      </c>
      <c r="AB13" s="118">
        <v>6284</v>
      </c>
      <c r="AC13" s="118">
        <v>6272</v>
      </c>
      <c r="AD13" s="118">
        <v>5955</v>
      </c>
      <c r="AE13" s="118">
        <v>5671</v>
      </c>
      <c r="AF13" s="118">
        <v>5527</v>
      </c>
      <c r="AG13" s="118">
        <v>5447</v>
      </c>
      <c r="AH13" s="118">
        <v>5539</v>
      </c>
      <c r="AI13" s="118">
        <v>5488</v>
      </c>
      <c r="AJ13" s="118">
        <v>5541</v>
      </c>
      <c r="AK13" s="118">
        <v>5518</v>
      </c>
      <c r="AL13" s="118">
        <v>5451</v>
      </c>
      <c r="AM13" s="118">
        <v>5513</v>
      </c>
      <c r="AN13" s="118">
        <v>5643</v>
      </c>
      <c r="AO13" s="118">
        <v>6003</v>
      </c>
      <c r="AP13" s="118">
        <v>6051</v>
      </c>
      <c r="AQ13" s="118">
        <v>6147</v>
      </c>
      <c r="AR13" s="118">
        <v>6141</v>
      </c>
      <c r="AS13" s="118">
        <v>6324</v>
      </c>
      <c r="AT13" s="118">
        <v>6355</v>
      </c>
      <c r="AU13" s="118">
        <v>6566</v>
      </c>
      <c r="AV13" s="118">
        <v>6901</v>
      </c>
      <c r="AW13" s="118">
        <v>7591</v>
      </c>
      <c r="AX13" s="118">
        <v>7605</v>
      </c>
      <c r="AY13" s="118">
        <v>7838</v>
      </c>
      <c r="AZ13" s="118">
        <v>8225</v>
      </c>
      <c r="BA13" s="118">
        <v>8868</v>
      </c>
      <c r="BB13" s="118">
        <f>(-VLOOKUP($D$13,'[3]22 Desp Op NL'!$V$20:$AH$42,13,0))-BA13</f>
        <v>8759</v>
      </c>
      <c r="BC13" s="208"/>
      <c r="BD13" s="1233"/>
      <c r="BE13" s="208"/>
      <c r="DW13" s="25"/>
      <c r="FN13"/>
    </row>
    <row r="14" spans="1:170" x14ac:dyDescent="0.2">
      <c r="A14" s="25" t="s">
        <v>139</v>
      </c>
      <c r="B14" s="25" t="s">
        <v>1038</v>
      </c>
      <c r="D14" s="129" t="str">
        <f>IF([1]RENAME!$H$3=1,B14,A14)</f>
        <v>Manutenção</v>
      </c>
      <c r="E14" s="118">
        <v>4441.8317699999998</v>
      </c>
      <c r="F14" s="118">
        <v>4397.4193100000002</v>
      </c>
      <c r="G14" s="118">
        <v>3780.3311999999992</v>
      </c>
      <c r="H14" s="118">
        <v>3499.9170599999989</v>
      </c>
      <c r="I14" s="118">
        <v>4391.3087999999989</v>
      </c>
      <c r="J14" s="118">
        <v>3894.0592200000015</v>
      </c>
      <c r="K14" s="118">
        <v>4370.3429899999992</v>
      </c>
      <c r="L14" s="118">
        <v>4655.3890399999973</v>
      </c>
      <c r="M14" s="118">
        <v>2199.0982599999998</v>
      </c>
      <c r="N14" s="118">
        <v>2584.1980400000011</v>
      </c>
      <c r="O14" s="118">
        <v>3400.7036999999991</v>
      </c>
      <c r="P14" s="118">
        <v>4542</v>
      </c>
      <c r="Q14" s="118">
        <v>3544</v>
      </c>
      <c r="R14" s="118">
        <v>3985</v>
      </c>
      <c r="S14" s="118">
        <v>3923</v>
      </c>
      <c r="T14" s="118">
        <v>4044</v>
      </c>
      <c r="U14" s="118">
        <v>3939</v>
      </c>
      <c r="V14" s="118">
        <v>4058</v>
      </c>
      <c r="W14" s="118">
        <v>4376</v>
      </c>
      <c r="X14" s="118">
        <v>5372</v>
      </c>
      <c r="Y14" s="118">
        <v>4102</v>
      </c>
      <c r="Z14" s="118">
        <v>4514</v>
      </c>
      <c r="AA14" s="118">
        <v>5048</v>
      </c>
      <c r="AB14" s="118">
        <v>5263</v>
      </c>
      <c r="AC14" s="118">
        <v>4259</v>
      </c>
      <c r="AD14" s="118">
        <v>3472</v>
      </c>
      <c r="AE14" s="118">
        <v>3811</v>
      </c>
      <c r="AF14" s="118">
        <v>4423</v>
      </c>
      <c r="AG14" s="118">
        <v>4448</v>
      </c>
      <c r="AH14" s="118">
        <v>4818</v>
      </c>
      <c r="AI14" s="118">
        <v>4543</v>
      </c>
      <c r="AJ14" s="118">
        <v>5551</v>
      </c>
      <c r="AK14" s="118">
        <v>5381</v>
      </c>
      <c r="AL14" s="118">
        <v>5414</v>
      </c>
      <c r="AM14" s="118">
        <v>5816</v>
      </c>
      <c r="AN14" s="118">
        <v>7087</v>
      </c>
      <c r="AO14" s="118">
        <v>5855</v>
      </c>
      <c r="AP14" s="118">
        <v>6149</v>
      </c>
      <c r="AQ14" s="118">
        <v>6601</v>
      </c>
      <c r="AR14" s="118">
        <v>6964</v>
      </c>
      <c r="AS14" s="118">
        <v>6983</v>
      </c>
      <c r="AT14" s="118">
        <v>6331</v>
      </c>
      <c r="AU14" s="118">
        <v>7163</v>
      </c>
      <c r="AV14" s="118">
        <v>7532</v>
      </c>
      <c r="AW14" s="118">
        <v>7136</v>
      </c>
      <c r="AX14" s="118">
        <v>7392</v>
      </c>
      <c r="AY14" s="118">
        <v>7974</v>
      </c>
      <c r="AZ14" s="118">
        <v>9447</v>
      </c>
      <c r="BA14" s="118">
        <v>7777</v>
      </c>
      <c r="BB14" s="118">
        <f>(-VLOOKUP($D$14,'[3]22 Desp Op NL'!$V$20:$AH$42,13,0))-BA14</f>
        <v>7673</v>
      </c>
      <c r="BC14" s="208"/>
      <c r="BD14" s="1233"/>
      <c r="BE14" s="208"/>
      <c r="DW14" s="25"/>
      <c r="FN14"/>
    </row>
    <row r="15" spans="1:170" x14ac:dyDescent="0.2">
      <c r="A15" s="25" t="s">
        <v>143</v>
      </c>
      <c r="B15" s="25" t="s">
        <v>1039</v>
      </c>
      <c r="D15" s="129" t="str">
        <f>IF([1]RENAME!$H$3=1,B15,A15)</f>
        <v>Utilidades</v>
      </c>
      <c r="E15" s="118">
        <v>1485.6723</v>
      </c>
      <c r="F15" s="118">
        <v>1449.3223399999997</v>
      </c>
      <c r="G15" s="118">
        <v>1339.3184799999995</v>
      </c>
      <c r="H15" s="118">
        <v>1727.1257400000011</v>
      </c>
      <c r="I15" s="118">
        <v>1764.1131700000001</v>
      </c>
      <c r="J15" s="118">
        <v>2070.0976000000001</v>
      </c>
      <c r="K15" s="118">
        <v>2447.8681499999989</v>
      </c>
      <c r="L15" s="118">
        <v>2143.7765400000021</v>
      </c>
      <c r="M15" s="118">
        <v>2001.9327200000002</v>
      </c>
      <c r="N15" s="118">
        <v>1672.8700000000006</v>
      </c>
      <c r="O15" s="118">
        <v>1613.1972799999994</v>
      </c>
      <c r="P15" s="118">
        <v>1410</v>
      </c>
      <c r="Q15" s="118">
        <v>1401</v>
      </c>
      <c r="R15" s="118">
        <v>1572</v>
      </c>
      <c r="S15" s="118">
        <v>1562</v>
      </c>
      <c r="T15" s="118">
        <v>1629</v>
      </c>
      <c r="U15" s="118">
        <v>1345</v>
      </c>
      <c r="V15" s="118">
        <v>1230</v>
      </c>
      <c r="W15" s="118">
        <v>1373</v>
      </c>
      <c r="X15" s="118">
        <v>1463</v>
      </c>
      <c r="Y15" s="118">
        <v>1440</v>
      </c>
      <c r="Z15" s="118">
        <v>1429</v>
      </c>
      <c r="AA15" s="118">
        <v>1504</v>
      </c>
      <c r="AB15" s="118">
        <v>1296</v>
      </c>
      <c r="AC15" s="118">
        <v>1253</v>
      </c>
      <c r="AD15" s="118">
        <v>1009</v>
      </c>
      <c r="AE15" s="118">
        <v>1109</v>
      </c>
      <c r="AF15" s="118">
        <v>1140</v>
      </c>
      <c r="AG15" s="118">
        <v>728</v>
      </c>
      <c r="AH15" s="118">
        <v>849</v>
      </c>
      <c r="AI15" s="118">
        <v>853</v>
      </c>
      <c r="AJ15" s="118">
        <v>981</v>
      </c>
      <c r="AK15" s="118">
        <v>868</v>
      </c>
      <c r="AL15" s="118">
        <v>849</v>
      </c>
      <c r="AM15" s="118">
        <v>887</v>
      </c>
      <c r="AN15" s="118">
        <v>897</v>
      </c>
      <c r="AO15" s="118">
        <v>924</v>
      </c>
      <c r="AP15" s="118">
        <v>1025</v>
      </c>
      <c r="AQ15" s="118">
        <v>968</v>
      </c>
      <c r="AR15" s="118">
        <v>977</v>
      </c>
      <c r="AS15" s="118">
        <v>981</v>
      </c>
      <c r="AT15" s="118">
        <v>1013</v>
      </c>
      <c r="AU15" s="118">
        <v>1106</v>
      </c>
      <c r="AV15" s="118">
        <v>896</v>
      </c>
      <c r="AW15" s="118">
        <v>972</v>
      </c>
      <c r="AX15" s="118">
        <v>966</v>
      </c>
      <c r="AY15" s="118">
        <v>961</v>
      </c>
      <c r="AZ15" s="118">
        <v>1083</v>
      </c>
      <c r="BA15" s="118">
        <v>1086</v>
      </c>
      <c r="BB15" s="118">
        <f>(-VLOOKUP($D$15,'[3]22 Desp Op NL'!$V$20:$AH$42,13,0))-BA15</f>
        <v>1058</v>
      </c>
      <c r="BC15" s="208"/>
      <c r="BD15" s="1233"/>
      <c r="BE15" s="208"/>
      <c r="DW15" s="25"/>
      <c r="FN15"/>
    </row>
    <row r="16" spans="1:170" x14ac:dyDescent="0.2">
      <c r="A16" s="25" t="s">
        <v>141</v>
      </c>
      <c r="B16" s="25" t="s">
        <v>1040</v>
      </c>
      <c r="D16" s="129" t="str">
        <f>IF([1]RENAME!$H$3=1,B16,A16)</f>
        <v>Comunicação</v>
      </c>
      <c r="E16" s="118">
        <v>1433.7835400000001</v>
      </c>
      <c r="F16" s="118">
        <v>1704.7880799999996</v>
      </c>
      <c r="G16" s="118">
        <v>1956.3934200000003</v>
      </c>
      <c r="H16" s="118">
        <v>1806.5298799999998</v>
      </c>
      <c r="I16" s="118">
        <v>1515.0327400000001</v>
      </c>
      <c r="J16" s="118">
        <v>1518.9235000000003</v>
      </c>
      <c r="K16" s="118">
        <v>1414.0476500000004</v>
      </c>
      <c r="L16" s="118">
        <v>1225.5736200000001</v>
      </c>
      <c r="M16" s="118">
        <v>1311.77061</v>
      </c>
      <c r="N16" s="118">
        <v>1126.4129799999998</v>
      </c>
      <c r="O16" s="118">
        <v>1112.8164100000004</v>
      </c>
      <c r="P16" s="118">
        <v>1048</v>
      </c>
      <c r="Q16" s="118">
        <v>806</v>
      </c>
      <c r="R16" s="118">
        <v>751</v>
      </c>
      <c r="S16" s="118">
        <v>843</v>
      </c>
      <c r="T16" s="118">
        <v>790</v>
      </c>
      <c r="U16" s="118">
        <v>794</v>
      </c>
      <c r="V16" s="118">
        <v>605</v>
      </c>
      <c r="W16" s="118">
        <v>719</v>
      </c>
      <c r="X16" s="118">
        <v>801</v>
      </c>
      <c r="Y16" s="118">
        <v>718</v>
      </c>
      <c r="Z16" s="118">
        <v>718</v>
      </c>
      <c r="AA16" s="118">
        <v>700</v>
      </c>
      <c r="AB16" s="118">
        <v>762</v>
      </c>
      <c r="AC16" s="118">
        <v>766</v>
      </c>
      <c r="AD16" s="118">
        <v>692</v>
      </c>
      <c r="AE16" s="118">
        <v>730</v>
      </c>
      <c r="AF16" s="118">
        <v>705</v>
      </c>
      <c r="AG16" s="118">
        <v>710</v>
      </c>
      <c r="AH16" s="118">
        <v>668</v>
      </c>
      <c r="AI16" s="118">
        <v>595</v>
      </c>
      <c r="AJ16" s="118">
        <v>657</v>
      </c>
      <c r="AK16" s="118">
        <v>629</v>
      </c>
      <c r="AL16" s="118">
        <v>632</v>
      </c>
      <c r="AM16" s="118">
        <v>654</v>
      </c>
      <c r="AN16" s="118">
        <v>624</v>
      </c>
      <c r="AO16" s="118">
        <v>577</v>
      </c>
      <c r="AP16" s="118">
        <v>580</v>
      </c>
      <c r="AQ16" s="118">
        <v>616</v>
      </c>
      <c r="AR16" s="118">
        <v>623</v>
      </c>
      <c r="AS16" s="118">
        <v>565</v>
      </c>
      <c r="AT16" s="118">
        <v>568</v>
      </c>
      <c r="AU16" s="118">
        <v>643</v>
      </c>
      <c r="AV16" s="118">
        <v>879</v>
      </c>
      <c r="AW16" s="118">
        <v>459</v>
      </c>
      <c r="AX16" s="118">
        <v>521</v>
      </c>
      <c r="AY16" s="118">
        <v>716</v>
      </c>
      <c r="AZ16" s="118">
        <v>864</v>
      </c>
      <c r="BA16" s="118">
        <v>656</v>
      </c>
      <c r="BB16" s="118">
        <f>(-VLOOKUP($D$16,'[3]22 Desp Op NL'!$V$20:$AH$42,13,0))-BA16</f>
        <v>791</v>
      </c>
      <c r="BC16" s="208"/>
      <c r="BD16" s="1233"/>
      <c r="BE16" s="208"/>
      <c r="DW16" s="25"/>
      <c r="FN16"/>
    </row>
    <row r="17" spans="1:170" x14ac:dyDescent="0.2">
      <c r="A17" s="25" t="s">
        <v>142</v>
      </c>
      <c r="B17" s="25" t="s">
        <v>1041</v>
      </c>
      <c r="D17" s="129" t="str">
        <f>IF([1]RENAME!$H$3=1,B17,A17)</f>
        <v>Combustiveis e lubrificantes</v>
      </c>
      <c r="E17" s="118">
        <v>1713.3107700000005</v>
      </c>
      <c r="F17" s="118">
        <v>1998.037709999998</v>
      </c>
      <c r="G17" s="118">
        <v>2063.8792200000016</v>
      </c>
      <c r="H17" s="118">
        <v>2012.7690800000018</v>
      </c>
      <c r="I17" s="118">
        <v>1930.2467300000003</v>
      </c>
      <c r="J17" s="118">
        <v>2044.8726399999998</v>
      </c>
      <c r="K17" s="118">
        <v>2653.611129999998</v>
      </c>
      <c r="L17" s="118">
        <v>2306.6630800000039</v>
      </c>
      <c r="M17" s="118">
        <v>1146.99278</v>
      </c>
      <c r="N17" s="118">
        <v>1688.1570700000004</v>
      </c>
      <c r="O17" s="118">
        <v>1721.8501499999993</v>
      </c>
      <c r="P17" s="118">
        <v>1748</v>
      </c>
      <c r="Q17" s="118">
        <v>1773</v>
      </c>
      <c r="R17" s="118">
        <v>2266</v>
      </c>
      <c r="S17" s="118">
        <v>2247</v>
      </c>
      <c r="T17" s="118">
        <v>2488</v>
      </c>
      <c r="U17" s="118">
        <v>2241</v>
      </c>
      <c r="V17" s="118">
        <v>2243</v>
      </c>
      <c r="W17" s="118">
        <v>2304</v>
      </c>
      <c r="X17" s="118">
        <v>2587</v>
      </c>
      <c r="Y17" s="118">
        <v>1992</v>
      </c>
      <c r="Z17" s="118">
        <v>2388</v>
      </c>
      <c r="AA17" s="118">
        <v>2520</v>
      </c>
      <c r="AB17" s="118">
        <v>2508</v>
      </c>
      <c r="AC17" s="118">
        <v>1967</v>
      </c>
      <c r="AD17" s="118">
        <v>642</v>
      </c>
      <c r="AE17" s="118">
        <v>1661</v>
      </c>
      <c r="AF17" s="118">
        <v>2108</v>
      </c>
      <c r="AG17" s="118">
        <v>2391</v>
      </c>
      <c r="AH17" s="118">
        <v>2957</v>
      </c>
      <c r="AI17" s="118">
        <v>3344</v>
      </c>
      <c r="AJ17" s="118">
        <v>5368</v>
      </c>
      <c r="AK17" s="118">
        <v>4962</v>
      </c>
      <c r="AL17" s="118">
        <v>4993</v>
      </c>
      <c r="AM17" s="118">
        <v>4693</v>
      </c>
      <c r="AN17" s="118">
        <v>4597</v>
      </c>
      <c r="AO17" s="118">
        <v>4031</v>
      </c>
      <c r="AP17" s="118">
        <v>3717</v>
      </c>
      <c r="AQ17" s="118">
        <v>3968</v>
      </c>
      <c r="AR17" s="118">
        <v>4048</v>
      </c>
      <c r="AS17" s="118">
        <v>3605</v>
      </c>
      <c r="AT17" s="118">
        <v>3888</v>
      </c>
      <c r="AU17" s="118">
        <v>4270</v>
      </c>
      <c r="AV17" s="118">
        <v>5599</v>
      </c>
      <c r="AW17" s="118">
        <v>4348</v>
      </c>
      <c r="AX17" s="118">
        <v>5163</v>
      </c>
      <c r="AY17" s="118">
        <v>5861</v>
      </c>
      <c r="AZ17" s="118">
        <v>5364</v>
      </c>
      <c r="BA17" s="118">
        <v>3796</v>
      </c>
      <c r="BB17" s="118">
        <f>(-VLOOKUP($D$17,'[3]22 Desp Op NL'!$V$20:$AH$42,13,0))-BA17</f>
        <v>7223</v>
      </c>
      <c r="BC17" s="208"/>
      <c r="BD17" s="1233"/>
      <c r="BE17" s="208"/>
      <c r="DW17" s="25"/>
      <c r="FN17"/>
    </row>
    <row r="18" spans="1:170" x14ac:dyDescent="0.2">
      <c r="A18" s="25" t="s">
        <v>138</v>
      </c>
      <c r="B18" s="25" t="s">
        <v>1042</v>
      </c>
      <c r="D18" s="129" t="str">
        <f>IF([1]RENAME!$H$3=1,B18,A18)</f>
        <v>Outros gastos com pessoal</v>
      </c>
      <c r="E18" s="118">
        <v>4488.3000700000011</v>
      </c>
      <c r="F18" s="118">
        <v>2413.4180899999969</v>
      </c>
      <c r="G18" s="118">
        <v>1761.9879000000042</v>
      </c>
      <c r="H18" s="118">
        <v>2378.5555299999992</v>
      </c>
      <c r="I18" s="118">
        <v>1764.6830300000006</v>
      </c>
      <c r="J18" s="118">
        <v>908.63245999999879</v>
      </c>
      <c r="K18" s="118">
        <v>1954.9535300000011</v>
      </c>
      <c r="L18" s="118">
        <v>2082.5380099999998</v>
      </c>
      <c r="M18" s="118">
        <v>805.42575999999985</v>
      </c>
      <c r="N18" s="118">
        <v>1064.3671899999999</v>
      </c>
      <c r="O18" s="118">
        <v>872.20705000000021</v>
      </c>
      <c r="P18" s="118">
        <v>1380</v>
      </c>
      <c r="Q18" s="118">
        <v>826</v>
      </c>
      <c r="R18" s="118">
        <v>1171</v>
      </c>
      <c r="S18" s="118">
        <v>1731</v>
      </c>
      <c r="T18" s="118">
        <v>2524</v>
      </c>
      <c r="U18" s="118">
        <v>1629</v>
      </c>
      <c r="V18" s="118">
        <v>-628</v>
      </c>
      <c r="W18" s="118">
        <v>1617</v>
      </c>
      <c r="X18" s="118">
        <v>2590</v>
      </c>
      <c r="Y18" s="118">
        <v>1091</v>
      </c>
      <c r="Z18" s="118">
        <v>2308</v>
      </c>
      <c r="AA18" s="118">
        <v>2103</v>
      </c>
      <c r="AB18" s="118">
        <v>3945</v>
      </c>
      <c r="AC18" s="118">
        <v>1775</v>
      </c>
      <c r="AD18" s="118">
        <v>2387</v>
      </c>
      <c r="AE18" s="118">
        <v>1069</v>
      </c>
      <c r="AF18" s="118">
        <v>1469</v>
      </c>
      <c r="AG18" s="118">
        <v>1024</v>
      </c>
      <c r="AH18" s="118">
        <v>1248</v>
      </c>
      <c r="AI18" s="118">
        <v>794</v>
      </c>
      <c r="AJ18" s="118">
        <v>1564</v>
      </c>
      <c r="AK18" s="118">
        <v>1584</v>
      </c>
      <c r="AL18" s="118">
        <v>2038</v>
      </c>
      <c r="AM18" s="118">
        <v>2329</v>
      </c>
      <c r="AN18" s="118">
        <v>2778</v>
      </c>
      <c r="AO18" s="118">
        <v>1642</v>
      </c>
      <c r="AP18" s="118">
        <v>1874</v>
      </c>
      <c r="AQ18" s="118">
        <v>2390</v>
      </c>
      <c r="AR18" s="118">
        <v>4729</v>
      </c>
      <c r="AS18" s="118">
        <v>2399</v>
      </c>
      <c r="AT18" s="118">
        <v>2029</v>
      </c>
      <c r="AU18" s="118">
        <v>3358</v>
      </c>
      <c r="AV18" s="118">
        <v>5232</v>
      </c>
      <c r="AW18" s="118">
        <v>2995</v>
      </c>
      <c r="AX18" s="118">
        <v>3137</v>
      </c>
      <c r="AY18" s="118">
        <v>3797</v>
      </c>
      <c r="AZ18" s="118">
        <v>7733</v>
      </c>
      <c r="BA18" s="118">
        <v>2890</v>
      </c>
      <c r="BB18" s="118">
        <f>(-VLOOKUP($D$18,'[3]22 Desp Op NL'!$V$20:$AH$42,13,0))-BA18</f>
        <v>3085</v>
      </c>
      <c r="BC18" s="208"/>
      <c r="BD18" s="1233"/>
      <c r="BE18" s="208"/>
      <c r="DW18" s="25"/>
      <c r="FN18"/>
    </row>
    <row r="19" spans="1:170" x14ac:dyDescent="0.2">
      <c r="A19" s="25" t="s">
        <v>140</v>
      </c>
      <c r="B19" s="25" t="s">
        <v>1043</v>
      </c>
      <c r="D19" s="129" t="str">
        <f>IF([1]RENAME!$H$3=1,B19,A19)</f>
        <v>Outros gastos gerais</v>
      </c>
      <c r="E19" s="118">
        <v>5051.3664800000006</v>
      </c>
      <c r="F19" s="118">
        <v>4188.80908</v>
      </c>
      <c r="G19" s="118">
        <v>4045.5231799999997</v>
      </c>
      <c r="H19" s="118">
        <v>5205.1325099999995</v>
      </c>
      <c r="I19" s="118">
        <v>4976.8299400000005</v>
      </c>
      <c r="J19" s="118">
        <v>5306.57762</v>
      </c>
      <c r="K19" s="118">
        <v>4653.2963800000007</v>
      </c>
      <c r="L19" s="118">
        <v>6035.1572899999956</v>
      </c>
      <c r="M19" s="118">
        <v>4141.9612200000001</v>
      </c>
      <c r="N19" s="118">
        <v>4341.065160000001</v>
      </c>
      <c r="O19" s="118">
        <v>4226.9736199999988</v>
      </c>
      <c r="P19" s="118">
        <v>3359</v>
      </c>
      <c r="Q19" s="118">
        <v>3565</v>
      </c>
      <c r="R19" s="118">
        <v>3505</v>
      </c>
      <c r="S19" s="118">
        <v>3678</v>
      </c>
      <c r="T19" s="118">
        <v>4712</v>
      </c>
      <c r="U19" s="118">
        <v>3281</v>
      </c>
      <c r="V19" s="118">
        <v>2757</v>
      </c>
      <c r="W19" s="118">
        <v>2875</v>
      </c>
      <c r="X19" s="118">
        <v>3076</v>
      </c>
      <c r="Y19" s="118">
        <v>2936</v>
      </c>
      <c r="Z19" s="118">
        <v>3225</v>
      </c>
      <c r="AA19" s="118">
        <v>2988</v>
      </c>
      <c r="AB19" s="118">
        <v>3762</v>
      </c>
      <c r="AC19" s="118">
        <v>3094</v>
      </c>
      <c r="AD19" s="118">
        <v>2915</v>
      </c>
      <c r="AE19" s="118">
        <v>2838</v>
      </c>
      <c r="AF19" s="118">
        <v>3291</v>
      </c>
      <c r="AG19" s="118">
        <v>2748</v>
      </c>
      <c r="AH19" s="118">
        <v>2851</v>
      </c>
      <c r="AI19" s="118">
        <v>2874</v>
      </c>
      <c r="AJ19" s="118">
        <v>3140</v>
      </c>
      <c r="AK19" s="118">
        <v>3530</v>
      </c>
      <c r="AL19" s="118">
        <v>3617</v>
      </c>
      <c r="AM19" s="118">
        <v>3571</v>
      </c>
      <c r="AN19" s="118">
        <v>4487</v>
      </c>
      <c r="AO19" s="118">
        <v>4291</v>
      </c>
      <c r="AP19" s="118">
        <v>5074</v>
      </c>
      <c r="AQ19" s="118">
        <v>4610</v>
      </c>
      <c r="AR19" s="118">
        <v>5979</v>
      </c>
      <c r="AS19" s="118">
        <v>6295</v>
      </c>
      <c r="AT19" s="118">
        <v>5699</v>
      </c>
      <c r="AU19" s="118">
        <v>6293</v>
      </c>
      <c r="AV19" s="118">
        <v>5678</v>
      </c>
      <c r="AW19" s="118">
        <v>7705</v>
      </c>
      <c r="AX19" s="118">
        <v>7446</v>
      </c>
      <c r="AY19" s="118">
        <v>9648</v>
      </c>
      <c r="AZ19" s="118">
        <v>7695</v>
      </c>
      <c r="BA19" s="118">
        <v>9104</v>
      </c>
      <c r="BB19" s="118">
        <f>(-VLOOKUP($D$19,'[3]22 Desp Op NL'!$V$20:$AH$42,13,0))-BA19</f>
        <v>8418</v>
      </c>
      <c r="BC19" s="208"/>
      <c r="BD19" s="1233"/>
      <c r="BE19" s="208"/>
      <c r="DW19" s="25"/>
      <c r="FN19"/>
    </row>
    <row r="20" spans="1:170" x14ac:dyDescent="0.2">
      <c r="A20" s="25" t="s">
        <v>144</v>
      </c>
      <c r="B20" s="25" t="s">
        <v>1044</v>
      </c>
      <c r="D20" s="129" t="str">
        <f>IF([1]RENAME!$H$3=1,B20,A20)</f>
        <v>Materiais</v>
      </c>
      <c r="E20" s="118">
        <v>1771.0302300000003</v>
      </c>
      <c r="F20" s="118">
        <v>1176.0810399999998</v>
      </c>
      <c r="G20" s="118">
        <v>1030.67338</v>
      </c>
      <c r="H20" s="118">
        <v>1231.7764199999995</v>
      </c>
      <c r="I20" s="118">
        <v>1028.61913</v>
      </c>
      <c r="J20" s="118">
        <v>1465.5929899999996</v>
      </c>
      <c r="K20" s="118">
        <v>1212.6311200000005</v>
      </c>
      <c r="L20" s="118">
        <v>2326.013460000001</v>
      </c>
      <c r="M20" s="118">
        <v>1527.3307799999998</v>
      </c>
      <c r="N20" s="118">
        <v>790.72699000000023</v>
      </c>
      <c r="O20" s="118">
        <v>1056.9422300000001</v>
      </c>
      <c r="P20" s="118">
        <v>936</v>
      </c>
      <c r="Q20" s="118">
        <v>785</v>
      </c>
      <c r="R20" s="118">
        <v>988</v>
      </c>
      <c r="S20" s="118">
        <v>1142</v>
      </c>
      <c r="T20" s="118">
        <v>1135</v>
      </c>
      <c r="U20" s="118">
        <v>732</v>
      </c>
      <c r="V20" s="118">
        <v>933</v>
      </c>
      <c r="W20" s="118">
        <v>808</v>
      </c>
      <c r="X20" s="118">
        <v>916</v>
      </c>
      <c r="Y20" s="118">
        <v>752</v>
      </c>
      <c r="Z20" s="118">
        <v>1134</v>
      </c>
      <c r="AA20" s="118">
        <v>955</v>
      </c>
      <c r="AB20" s="118">
        <v>1323</v>
      </c>
      <c r="AC20" s="118">
        <v>838</v>
      </c>
      <c r="AD20" s="118">
        <v>597</v>
      </c>
      <c r="AE20" s="118">
        <v>810</v>
      </c>
      <c r="AF20" s="118">
        <v>839</v>
      </c>
      <c r="AG20" s="118">
        <v>439</v>
      </c>
      <c r="AH20" s="118">
        <v>447</v>
      </c>
      <c r="AI20" s="118">
        <v>558</v>
      </c>
      <c r="AJ20" s="118">
        <v>776</v>
      </c>
      <c r="AK20" s="118">
        <v>679</v>
      </c>
      <c r="AL20" s="118">
        <v>748</v>
      </c>
      <c r="AM20" s="118">
        <v>1057</v>
      </c>
      <c r="AN20" s="118">
        <v>1132</v>
      </c>
      <c r="AO20" s="118">
        <v>889</v>
      </c>
      <c r="AP20" s="118">
        <v>872</v>
      </c>
      <c r="AQ20" s="118">
        <v>897</v>
      </c>
      <c r="AR20" s="118">
        <v>1016</v>
      </c>
      <c r="AS20" s="118">
        <v>883</v>
      </c>
      <c r="AT20" s="118">
        <v>957</v>
      </c>
      <c r="AU20" s="118">
        <v>1176</v>
      </c>
      <c r="AV20" s="118">
        <v>1075</v>
      </c>
      <c r="AW20" s="118">
        <v>892</v>
      </c>
      <c r="AX20" s="118">
        <v>856</v>
      </c>
      <c r="AY20" s="118">
        <v>973</v>
      </c>
      <c r="AZ20" s="118">
        <v>1050</v>
      </c>
      <c r="BA20" s="118">
        <v>781</v>
      </c>
      <c r="BB20" s="118">
        <f>(-VLOOKUP($D$20,'[3]22 Desp Op NL'!$V$20:$AH$42,13,0))-BA20</f>
        <v>1042</v>
      </c>
      <c r="BC20" s="208"/>
      <c r="BD20" s="1233"/>
      <c r="BE20" s="208"/>
      <c r="DW20" s="25"/>
      <c r="FN20"/>
    </row>
    <row r="21" spans="1:170" x14ac:dyDescent="0.2">
      <c r="A21" s="25" t="s">
        <v>145</v>
      </c>
      <c r="B21" s="25" t="s">
        <v>1045</v>
      </c>
      <c r="D21" s="129" t="str">
        <f>IF([1]RENAME!$H$3=1,B21,A21)</f>
        <v>Contribuições e doações</v>
      </c>
      <c r="E21" s="118">
        <v>402.66467000000006</v>
      </c>
      <c r="F21" s="118">
        <v>410.33528999999993</v>
      </c>
      <c r="G21" s="118">
        <v>99.997269999999901</v>
      </c>
      <c r="H21" s="118">
        <v>155.30785999999998</v>
      </c>
      <c r="I21" s="118">
        <v>345.10859999999997</v>
      </c>
      <c r="J21" s="118">
        <v>208.09656999999996</v>
      </c>
      <c r="K21" s="118">
        <v>96.027200000000065</v>
      </c>
      <c r="L21" s="118">
        <v>133.608</v>
      </c>
      <c r="M21" s="118">
        <v>61.965000000000003</v>
      </c>
      <c r="N21" s="118">
        <v>412.7</v>
      </c>
      <c r="O21" s="118">
        <v>31.335000000000036</v>
      </c>
      <c r="P21" s="118">
        <v>40</v>
      </c>
      <c r="Q21" s="118">
        <v>33</v>
      </c>
      <c r="R21" s="118">
        <v>423</v>
      </c>
      <c r="S21" s="118">
        <v>59</v>
      </c>
      <c r="T21" s="118">
        <v>83</v>
      </c>
      <c r="U21" s="118">
        <v>259</v>
      </c>
      <c r="V21" s="118">
        <v>337</v>
      </c>
      <c r="W21" s="118">
        <v>68</v>
      </c>
      <c r="X21" s="118">
        <v>200</v>
      </c>
      <c r="Y21" s="118">
        <v>377</v>
      </c>
      <c r="Z21" s="118">
        <v>8</v>
      </c>
      <c r="AA21" s="118">
        <v>71</v>
      </c>
      <c r="AB21" s="118">
        <v>217</v>
      </c>
      <c r="AC21" s="118">
        <v>27</v>
      </c>
      <c r="AD21" s="118">
        <v>5</v>
      </c>
      <c r="AE21" s="118">
        <v>234</v>
      </c>
      <c r="AF21" s="118">
        <v>49</v>
      </c>
      <c r="AG21" s="118">
        <v>200</v>
      </c>
      <c r="AH21" s="118">
        <v>28</v>
      </c>
      <c r="AI21" s="118">
        <v>52</v>
      </c>
      <c r="AJ21" s="118">
        <v>41</v>
      </c>
      <c r="AK21" s="118">
        <v>150</v>
      </c>
      <c r="AL21" s="118">
        <v>192</v>
      </c>
      <c r="AM21" s="118">
        <v>82</v>
      </c>
      <c r="AN21" s="118">
        <v>316</v>
      </c>
      <c r="AO21" s="118">
        <v>1841</v>
      </c>
      <c r="AP21" s="118">
        <v>302</v>
      </c>
      <c r="AQ21" s="118">
        <v>306</v>
      </c>
      <c r="AR21" s="118">
        <v>767</v>
      </c>
      <c r="AS21" s="118">
        <v>305</v>
      </c>
      <c r="AT21" s="118">
        <v>273</v>
      </c>
      <c r="AU21" s="118">
        <v>798</v>
      </c>
      <c r="AV21" s="118">
        <v>429</v>
      </c>
      <c r="AW21" s="118">
        <v>255</v>
      </c>
      <c r="AX21" s="118">
        <v>416</v>
      </c>
      <c r="AY21" s="118">
        <v>298</v>
      </c>
      <c r="AZ21" s="118">
        <v>543</v>
      </c>
      <c r="BA21" s="118">
        <v>168</v>
      </c>
      <c r="BB21" s="118">
        <f>(-VLOOKUP($D$21,'[3]22 Desp Op NL'!$V$20:$AH$42,13,0))-BA21</f>
        <v>215</v>
      </c>
      <c r="BC21" s="208"/>
      <c r="BD21" s="1233"/>
      <c r="BE21" s="208"/>
      <c r="DW21" s="25"/>
      <c r="FN21"/>
    </row>
    <row r="22" spans="1:170" x14ac:dyDescent="0.2">
      <c r="A22" s="25" t="s">
        <v>1292</v>
      </c>
      <c r="B22" s="25" t="s">
        <v>700</v>
      </c>
      <c r="D22" s="129" t="str">
        <f>IF([1]RENAME!$H$3=1,B22,A22)</f>
        <v xml:space="preserve">Crédito PIS/COFINS </v>
      </c>
      <c r="E22" s="118">
        <v>-22840.281340000005</v>
      </c>
      <c r="F22" s="118">
        <v>-25086.469049999996</v>
      </c>
      <c r="G22" s="118">
        <v>-24655.95524000001</v>
      </c>
      <c r="H22" s="118">
        <v>-27425.092579999982</v>
      </c>
      <c r="I22" s="118">
        <v>-21239.63622</v>
      </c>
      <c r="J22" s="118">
        <v>-19311.210699999996</v>
      </c>
      <c r="K22" s="118">
        <v>-18633.624920000002</v>
      </c>
      <c r="L22" s="118">
        <v>-22762.800049999991</v>
      </c>
      <c r="M22" s="118">
        <v>-13647.342570000001</v>
      </c>
      <c r="N22" s="118">
        <v>-15094.007380000003</v>
      </c>
      <c r="O22" s="118">
        <v>-15856.650049999997</v>
      </c>
      <c r="P22" s="118">
        <v>-15486</v>
      </c>
      <c r="Q22" s="118">
        <v>-13907</v>
      </c>
      <c r="R22" s="118">
        <v>-16711</v>
      </c>
      <c r="S22" s="118">
        <v>-18384</v>
      </c>
      <c r="T22" s="118">
        <v>-49997</v>
      </c>
      <c r="U22" s="118">
        <v>-18055</v>
      </c>
      <c r="V22" s="118">
        <v>-20537</v>
      </c>
      <c r="W22" s="118">
        <v>-23305</v>
      </c>
      <c r="X22" s="118">
        <v>-24321</v>
      </c>
      <c r="Y22" s="118">
        <v>-20313</v>
      </c>
      <c r="Z22" s="118">
        <v>-22898</v>
      </c>
      <c r="AA22" s="260">
        <v>-20873</v>
      </c>
      <c r="AB22" s="118">
        <v>-24827</v>
      </c>
      <c r="AC22" s="118">
        <v>-18559</v>
      </c>
      <c r="AD22" s="118">
        <v>-7762</v>
      </c>
      <c r="AE22" s="118">
        <v>-19280</v>
      </c>
      <c r="AF22" s="118">
        <v>-21012</v>
      </c>
      <c r="AG22" s="118">
        <v>-16107</v>
      </c>
      <c r="AH22" s="118">
        <v>-17891</v>
      </c>
      <c r="AI22" s="118">
        <v>-15563</v>
      </c>
      <c r="AJ22" s="118">
        <v>-20984</v>
      </c>
      <c r="AK22" s="118">
        <v>-16764</v>
      </c>
      <c r="AL22" s="118">
        <v>-20966</v>
      </c>
      <c r="AM22" s="118">
        <v>-28504</v>
      </c>
      <c r="AN22" s="118">
        <v>-28365</v>
      </c>
      <c r="AO22" s="118">
        <v>-23034</v>
      </c>
      <c r="AP22" s="118">
        <v>-24535</v>
      </c>
      <c r="AQ22" s="118">
        <v>-28505</v>
      </c>
      <c r="AR22" s="118">
        <v>-31021</v>
      </c>
      <c r="AS22" s="118">
        <v>-25902</v>
      </c>
      <c r="AT22" s="118">
        <v>-30621</v>
      </c>
      <c r="AU22" s="118">
        <v>-39518</v>
      </c>
      <c r="AV22" s="118">
        <v>-37950</v>
      </c>
      <c r="AW22" s="118">
        <v>-27436</v>
      </c>
      <c r="AX22" s="118">
        <v>-34076</v>
      </c>
      <c r="AY22" s="118">
        <v>-38779</v>
      </c>
      <c r="AZ22" s="118">
        <v>-39501</v>
      </c>
      <c r="BA22" s="118">
        <v>-33500</v>
      </c>
      <c r="BB22" s="118">
        <f>(-VLOOKUP($D$22,'[3]22 Desp Op NL'!$V$20:$AH$42,13,0))-BA22</f>
        <v>-47453</v>
      </c>
      <c r="BC22" s="208"/>
      <c r="BD22" s="1233"/>
      <c r="BE22" s="208"/>
      <c r="DW22" s="25"/>
      <c r="FN22"/>
    </row>
    <row r="23" spans="1:170" x14ac:dyDescent="0.2">
      <c r="A23" s="25" t="s">
        <v>147</v>
      </c>
      <c r="B23" s="25" t="s">
        <v>1046</v>
      </c>
      <c r="D23" s="129" t="str">
        <f>IF([1]RENAME!$H$3=1,B23,A23)</f>
        <v>Indenização de extravio</v>
      </c>
      <c r="E23" s="118">
        <v>6801.9984100000001</v>
      </c>
      <c r="F23" s="118">
        <v>-1177.4006600000002</v>
      </c>
      <c r="G23" s="118">
        <v>8916.8337900000006</v>
      </c>
      <c r="H23" s="118">
        <v>-2480.3906800000013</v>
      </c>
      <c r="I23" s="118">
        <v>119.25583</v>
      </c>
      <c r="J23" s="118">
        <v>154.04098999999999</v>
      </c>
      <c r="K23" s="118">
        <v>141.52992000000003</v>
      </c>
      <c r="L23" s="118">
        <v>110.61921999999991</v>
      </c>
      <c r="M23" s="118">
        <v>73.986080000000001</v>
      </c>
      <c r="N23" s="118">
        <v>401.41779999999994</v>
      </c>
      <c r="O23" s="118">
        <v>77.596120000000042</v>
      </c>
      <c r="P23" s="118">
        <v>443</v>
      </c>
      <c r="Q23" s="118">
        <v>302</v>
      </c>
      <c r="R23" s="118">
        <v>338</v>
      </c>
      <c r="S23" s="118">
        <v>34</v>
      </c>
      <c r="T23" s="118">
        <v>141</v>
      </c>
      <c r="U23" s="118">
        <v>312</v>
      </c>
      <c r="V23" s="118">
        <v>164</v>
      </c>
      <c r="W23" s="118">
        <v>197</v>
      </c>
      <c r="X23" s="118">
        <v>128</v>
      </c>
      <c r="Y23" s="118">
        <v>97</v>
      </c>
      <c r="Z23" s="118">
        <v>54</v>
      </c>
      <c r="AA23" s="118">
        <v>182</v>
      </c>
      <c r="AB23" s="118">
        <v>309</v>
      </c>
      <c r="AC23" s="118">
        <v>38</v>
      </c>
      <c r="AD23" s="118">
        <v>43</v>
      </c>
      <c r="AE23" s="118">
        <v>104</v>
      </c>
      <c r="AF23" s="118">
        <v>128</v>
      </c>
      <c r="AG23" s="118">
        <v>78</v>
      </c>
      <c r="AH23" s="118">
        <v>125</v>
      </c>
      <c r="AI23" s="118">
        <v>94</v>
      </c>
      <c r="AJ23" s="118">
        <v>1349</v>
      </c>
      <c r="AK23" s="118">
        <v>120</v>
      </c>
      <c r="AL23" s="118">
        <v>175</v>
      </c>
      <c r="AM23" s="118">
        <v>29</v>
      </c>
      <c r="AN23" s="118">
        <v>135</v>
      </c>
      <c r="AO23" s="118">
        <v>99</v>
      </c>
      <c r="AP23" s="118">
        <v>320</v>
      </c>
      <c r="AQ23" s="118">
        <v>249</v>
      </c>
      <c r="AR23" s="118">
        <v>227</v>
      </c>
      <c r="AS23" s="118">
        <v>259</v>
      </c>
      <c r="AT23" s="118">
        <v>316</v>
      </c>
      <c r="AU23" s="118">
        <v>313</v>
      </c>
      <c r="AV23" s="118">
        <v>168</v>
      </c>
      <c r="AW23" s="118">
        <v>24</v>
      </c>
      <c r="AX23" s="118">
        <v>116</v>
      </c>
      <c r="AY23" s="118">
        <v>634</v>
      </c>
      <c r="AZ23" s="118">
        <v>661</v>
      </c>
      <c r="BA23" s="118">
        <v>647</v>
      </c>
      <c r="BB23" s="118">
        <f>(-VLOOKUP($D$23,'[3]22 Desp Op NL'!$V$20:$AH$42,13,0))-BA23</f>
        <v>630</v>
      </c>
      <c r="BC23" s="208"/>
      <c r="BD23" s="1233"/>
      <c r="BE23" s="208"/>
      <c r="DW23" s="25"/>
      <c r="FN23"/>
    </row>
    <row r="24" spans="1:170" x14ac:dyDescent="0.2">
      <c r="A24" s="25" t="s">
        <v>146</v>
      </c>
      <c r="B24" s="25" t="s">
        <v>1047</v>
      </c>
      <c r="D24" s="129" t="str">
        <f>IF([1]RENAME!$H$3=1,B24,A24)</f>
        <v>Despesa de viagem</v>
      </c>
      <c r="E24" s="118">
        <v>229.10757999999996</v>
      </c>
      <c r="F24" s="118">
        <v>200.58646000000002</v>
      </c>
      <c r="G24" s="118">
        <v>373.91203999999999</v>
      </c>
      <c r="H24" s="118">
        <v>365.15260999999998</v>
      </c>
      <c r="I24" s="118">
        <v>257.82058999999998</v>
      </c>
      <c r="J24" s="118">
        <v>278.69153</v>
      </c>
      <c r="K24" s="118">
        <v>413.53582999999998</v>
      </c>
      <c r="L24" s="118">
        <v>369.68269999999995</v>
      </c>
      <c r="M24" s="118">
        <v>137.34269</v>
      </c>
      <c r="N24" s="118">
        <v>208.16752999999997</v>
      </c>
      <c r="O24" s="118">
        <v>195.48978</v>
      </c>
      <c r="P24" s="118">
        <v>260</v>
      </c>
      <c r="Q24" s="118">
        <v>348</v>
      </c>
      <c r="R24" s="118">
        <v>447</v>
      </c>
      <c r="S24" s="118">
        <v>614</v>
      </c>
      <c r="T24" s="118">
        <v>553</v>
      </c>
      <c r="U24" s="118">
        <v>399</v>
      </c>
      <c r="V24" s="118">
        <v>515</v>
      </c>
      <c r="W24" s="118">
        <v>438</v>
      </c>
      <c r="X24" s="118">
        <v>515</v>
      </c>
      <c r="Y24" s="118">
        <v>412</v>
      </c>
      <c r="Z24" s="118">
        <v>441</v>
      </c>
      <c r="AA24" s="118">
        <v>557</v>
      </c>
      <c r="AB24" s="118">
        <v>452</v>
      </c>
      <c r="AC24" s="118">
        <v>377</v>
      </c>
      <c r="AD24" s="118">
        <v>247</v>
      </c>
      <c r="AE24" s="118">
        <v>408</v>
      </c>
      <c r="AF24" s="118">
        <v>187</v>
      </c>
      <c r="AG24" s="118">
        <v>170</v>
      </c>
      <c r="AH24" s="118">
        <v>246</v>
      </c>
      <c r="AI24" s="118">
        <v>202</v>
      </c>
      <c r="AJ24" s="118">
        <v>577</v>
      </c>
      <c r="AK24" s="118">
        <v>735</v>
      </c>
      <c r="AL24" s="118">
        <v>804</v>
      </c>
      <c r="AM24" s="118">
        <v>717</v>
      </c>
      <c r="AN24" s="118">
        <v>763</v>
      </c>
      <c r="AO24" s="118">
        <v>686</v>
      </c>
      <c r="AP24" s="118">
        <v>882</v>
      </c>
      <c r="AQ24" s="118">
        <v>838</v>
      </c>
      <c r="AR24" s="118">
        <v>846</v>
      </c>
      <c r="AS24" s="118">
        <v>644</v>
      </c>
      <c r="AT24" s="118">
        <v>836</v>
      </c>
      <c r="AU24" s="118">
        <v>1039</v>
      </c>
      <c r="AV24" s="118">
        <v>1436</v>
      </c>
      <c r="AW24" s="118">
        <v>1061</v>
      </c>
      <c r="AX24" s="118">
        <v>1097</v>
      </c>
      <c r="AY24" s="118">
        <v>1224</v>
      </c>
      <c r="AZ24" s="118">
        <v>1422</v>
      </c>
      <c r="BA24" s="118">
        <v>923</v>
      </c>
      <c r="BB24" s="118">
        <f>(-VLOOKUP($D$24,'[3]22 Desp Op NL'!$V$20:$AH$42,13,0))-BA24</f>
        <v>935</v>
      </c>
      <c r="BC24" s="208"/>
      <c r="BD24" s="1233"/>
      <c r="BE24" s="208"/>
      <c r="DW24" s="25"/>
      <c r="FN24"/>
    </row>
    <row r="25" spans="1:170" x14ac:dyDescent="0.2">
      <c r="A25" s="25" t="s">
        <v>485</v>
      </c>
      <c r="B25" s="25" t="s">
        <v>1048</v>
      </c>
      <c r="D25" s="129" t="str">
        <f>IF([1]RENAME!$H$3=1,B25,A25)</f>
        <v>Custos rescisórios</v>
      </c>
      <c r="E25" s="118">
        <v>3233.8511200000003</v>
      </c>
      <c r="F25" s="118">
        <v>1483.9427100000009</v>
      </c>
      <c r="G25" s="118">
        <v>1097.2361299999989</v>
      </c>
      <c r="H25" s="118">
        <v>942.77207000000033</v>
      </c>
      <c r="I25" s="118">
        <v>982.46704</v>
      </c>
      <c r="J25" s="118">
        <v>2289.0396499999997</v>
      </c>
      <c r="K25" s="118">
        <v>1801.3470099999993</v>
      </c>
      <c r="L25" s="118">
        <v>1824.7581800000016</v>
      </c>
      <c r="M25" s="118">
        <v>2486.1750000000002</v>
      </c>
      <c r="N25" s="118">
        <v>1126.1742200000006</v>
      </c>
      <c r="O25" s="118">
        <v>1074.650779999999</v>
      </c>
      <c r="P25" s="118">
        <v>1788</v>
      </c>
      <c r="Q25" s="118">
        <v>768</v>
      </c>
      <c r="R25" s="118">
        <v>115</v>
      </c>
      <c r="S25" s="118">
        <v>518</v>
      </c>
      <c r="T25" s="118">
        <v>2628</v>
      </c>
      <c r="U25" s="118">
        <v>477</v>
      </c>
      <c r="V25" s="118">
        <v>768</v>
      </c>
      <c r="W25" s="118">
        <v>504</v>
      </c>
      <c r="X25" s="118">
        <v>1140</v>
      </c>
      <c r="Y25" s="118">
        <v>916</v>
      </c>
      <c r="Z25" s="118">
        <v>928</v>
      </c>
      <c r="AA25" s="118">
        <v>695</v>
      </c>
      <c r="AB25" s="118">
        <v>840</v>
      </c>
      <c r="AC25" s="118">
        <v>997</v>
      </c>
      <c r="AD25" s="118">
        <v>3844</v>
      </c>
      <c r="AE25" s="118">
        <v>565</v>
      </c>
      <c r="AF25" s="118">
        <v>348</v>
      </c>
      <c r="AG25" s="118">
        <v>703</v>
      </c>
      <c r="AH25" s="118">
        <v>893</v>
      </c>
      <c r="AI25" s="118">
        <v>152</v>
      </c>
      <c r="AJ25" s="118">
        <v>754</v>
      </c>
      <c r="AK25" s="118">
        <v>454</v>
      </c>
      <c r="AL25" s="118">
        <v>498</v>
      </c>
      <c r="AM25" s="118">
        <v>472</v>
      </c>
      <c r="AN25" s="118">
        <v>608</v>
      </c>
      <c r="AO25" s="118">
        <v>364</v>
      </c>
      <c r="AP25" s="118">
        <v>411</v>
      </c>
      <c r="AQ25" s="118">
        <v>929</v>
      </c>
      <c r="AR25" s="118">
        <v>304</v>
      </c>
      <c r="AS25" s="118">
        <v>741</v>
      </c>
      <c r="AT25" s="118">
        <v>611</v>
      </c>
      <c r="AU25" s="118">
        <v>606</v>
      </c>
      <c r="AV25" s="118">
        <v>545</v>
      </c>
      <c r="AW25" s="118">
        <v>912</v>
      </c>
      <c r="AX25" s="118">
        <v>820</v>
      </c>
      <c r="AY25" s="118">
        <v>655</v>
      </c>
      <c r="AZ25" s="118">
        <v>1379</v>
      </c>
      <c r="BA25" s="118">
        <v>679</v>
      </c>
      <c r="BB25" s="118">
        <f>(-VLOOKUP($D$25,'[3]22 Desp Op NL'!$V$20:$AH$42,13,0))-BA25</f>
        <v>727</v>
      </c>
      <c r="BC25" s="208"/>
      <c r="BD25" s="1233"/>
      <c r="BE25" s="208"/>
      <c r="DW25" s="25"/>
      <c r="FN25"/>
    </row>
    <row r="26" spans="1:170" x14ac:dyDescent="0.2">
      <c r="A26" s="25" t="s">
        <v>478</v>
      </c>
      <c r="B26" s="25" t="s">
        <v>1051</v>
      </c>
      <c r="D26" s="129" t="str">
        <f>IF([1]RENAME!$H$3=1,B26,A26)</f>
        <v>Custos variáveis</v>
      </c>
      <c r="E26" s="118">
        <v>7966.6856600000001</v>
      </c>
      <c r="F26" s="118">
        <v>7217.319379999999</v>
      </c>
      <c r="G26" s="118">
        <v>8967.4434599999968</v>
      </c>
      <c r="H26" s="118">
        <v>8081.9650899999997</v>
      </c>
      <c r="I26" s="118">
        <v>5718.9843900000005</v>
      </c>
      <c r="J26" s="118">
        <v>6927.5202499999996</v>
      </c>
      <c r="K26" s="118">
        <v>5962.0587899999991</v>
      </c>
      <c r="L26" s="118">
        <v>6815.13609</v>
      </c>
      <c r="M26" s="118">
        <v>6236.6529800000008</v>
      </c>
      <c r="N26" s="118">
        <v>5642.118239999998</v>
      </c>
      <c r="O26" s="118">
        <v>6406.2287800000013</v>
      </c>
      <c r="P26" s="118">
        <v>6230</v>
      </c>
      <c r="Q26" s="118">
        <v>6236</v>
      </c>
      <c r="R26" s="118">
        <v>5626</v>
      </c>
      <c r="S26" s="118">
        <v>6652</v>
      </c>
      <c r="T26" s="118">
        <v>6812</v>
      </c>
      <c r="U26" s="118">
        <v>6626</v>
      </c>
      <c r="V26" s="118">
        <v>7558</v>
      </c>
      <c r="W26" s="118">
        <v>7718</v>
      </c>
      <c r="X26" s="118">
        <v>6793</v>
      </c>
      <c r="Y26" s="118">
        <v>6334</v>
      </c>
      <c r="Z26" s="118">
        <v>7757</v>
      </c>
      <c r="AA26" s="118">
        <v>5612</v>
      </c>
      <c r="AB26" s="118">
        <v>6189</v>
      </c>
      <c r="AC26" s="118">
        <v>2118</v>
      </c>
      <c r="AD26" s="118">
        <v>1181</v>
      </c>
      <c r="AE26" s="118">
        <v>2032</v>
      </c>
      <c r="AF26" s="118">
        <v>2732</v>
      </c>
      <c r="AG26" s="118">
        <v>2295</v>
      </c>
      <c r="AH26" s="118">
        <v>2375</v>
      </c>
      <c r="AI26" s="118">
        <v>2010</v>
      </c>
      <c r="AJ26" s="118">
        <v>2443</v>
      </c>
      <c r="AK26" s="118">
        <v>2005</v>
      </c>
      <c r="AL26" s="118">
        <v>2672</v>
      </c>
      <c r="AM26" s="118">
        <v>3545</v>
      </c>
      <c r="AN26" s="118">
        <v>6163</v>
      </c>
      <c r="AO26" s="118">
        <v>5495</v>
      </c>
      <c r="AP26" s="118">
        <v>4095</v>
      </c>
      <c r="AQ26" s="118">
        <v>3629</v>
      </c>
      <c r="AR26" s="118">
        <v>4268</v>
      </c>
      <c r="AS26" s="118">
        <v>3380</v>
      </c>
      <c r="AT26" s="118">
        <v>4115</v>
      </c>
      <c r="AU26" s="118">
        <v>5554</v>
      </c>
      <c r="AV26" s="118">
        <v>3948</v>
      </c>
      <c r="AW26" s="118">
        <v>3061</v>
      </c>
      <c r="AX26" s="118">
        <v>3398</v>
      </c>
      <c r="AY26" s="118">
        <v>3986</v>
      </c>
      <c r="AZ26" s="118">
        <v>3255</v>
      </c>
      <c r="BA26" s="118">
        <v>2477</v>
      </c>
      <c r="BB26" s="118">
        <f>(-VLOOKUP($D$26,'[3]22 Desp Op NL'!$V$20:$AH$42,13,0))-BA26</f>
        <v>3477</v>
      </c>
      <c r="BC26" s="208"/>
      <c r="BD26" s="1233"/>
      <c r="BE26" s="208"/>
      <c r="DW26" s="25"/>
      <c r="FN26"/>
    </row>
    <row r="27" spans="1:170" x14ac:dyDescent="0.2">
      <c r="A27" s="25" t="s">
        <v>410</v>
      </c>
      <c r="B27" s="25" t="s">
        <v>1050</v>
      </c>
      <c r="D27" s="129" t="str">
        <f>IF([1]RENAME!$H$3=1,B27,A27)</f>
        <v>Multas contratuais</v>
      </c>
      <c r="E27" s="118">
        <v>0</v>
      </c>
      <c r="F27" s="118">
        <v>0</v>
      </c>
      <c r="G27" s="118">
        <v>0</v>
      </c>
      <c r="H27" s="118">
        <v>0</v>
      </c>
      <c r="I27" s="118">
        <v>0</v>
      </c>
      <c r="J27" s="118">
        <v>3704.1926200000003</v>
      </c>
      <c r="K27" s="118">
        <v>-1E-3</v>
      </c>
      <c r="L27" s="118">
        <v>4054.16858</v>
      </c>
      <c r="M27" s="118">
        <v>15.85765</v>
      </c>
      <c r="N27" s="118">
        <v>235.36089999999999</v>
      </c>
      <c r="O27" s="118">
        <v>-0.21854999999999336</v>
      </c>
      <c r="P27" s="118">
        <v>15</v>
      </c>
      <c r="Q27" s="118">
        <v>5</v>
      </c>
      <c r="R27" s="118">
        <v>0</v>
      </c>
      <c r="S27" s="118">
        <v>0</v>
      </c>
      <c r="T27" s="118">
        <v>0</v>
      </c>
      <c r="U27" s="118">
        <v>0</v>
      </c>
      <c r="V27" s="118">
        <v>473</v>
      </c>
      <c r="W27" s="118">
        <v>0</v>
      </c>
      <c r="X27" s="118">
        <v>3</v>
      </c>
      <c r="Y27" s="118">
        <v>0</v>
      </c>
      <c r="Z27" s="118">
        <v>2</v>
      </c>
      <c r="AA27" s="118">
        <v>0</v>
      </c>
      <c r="AB27" s="118">
        <v>242</v>
      </c>
      <c r="AC27" s="118">
        <v>0</v>
      </c>
      <c r="AD27" s="118">
        <v>0</v>
      </c>
      <c r="AE27" s="118">
        <v>118</v>
      </c>
      <c r="AF27" s="118">
        <v>-81</v>
      </c>
      <c r="AG27" s="118">
        <v>0</v>
      </c>
      <c r="AH27" s="118">
        <v>0</v>
      </c>
      <c r="AI27" s="118">
        <v>0</v>
      </c>
      <c r="AJ27" s="118">
        <v>0</v>
      </c>
      <c r="AK27" s="118">
        <v>0</v>
      </c>
      <c r="AL27" s="118">
        <v>0</v>
      </c>
      <c r="AM27" s="118">
        <v>0</v>
      </c>
      <c r="AN27" s="118">
        <v>0</v>
      </c>
      <c r="AO27" s="118">
        <v>0</v>
      </c>
      <c r="AP27" s="118">
        <v>0</v>
      </c>
      <c r="AQ27" s="118">
        <v>0</v>
      </c>
      <c r="AR27" s="118">
        <v>0</v>
      </c>
      <c r="AS27" s="118">
        <v>2</v>
      </c>
      <c r="AT27" s="118">
        <v>0</v>
      </c>
      <c r="AU27" s="118">
        <v>0</v>
      </c>
      <c r="AV27" s="118">
        <v>-2</v>
      </c>
      <c r="AW27" s="118">
        <v>0</v>
      </c>
      <c r="AX27" s="118">
        <v>0</v>
      </c>
      <c r="AY27" s="118">
        <v>0</v>
      </c>
      <c r="AZ27" s="118">
        <v>0</v>
      </c>
      <c r="BA27" s="118">
        <v>0</v>
      </c>
      <c r="BB27" s="118">
        <f>(-VLOOKUP($D$27,'[3]22 Desp Op NL'!$V$20:$AH$42,13,0))-BA27</f>
        <v>0</v>
      </c>
      <c r="BC27" s="208"/>
      <c r="BD27" s="1233"/>
      <c r="BE27" s="208"/>
      <c r="DW27" s="25"/>
      <c r="FN27"/>
    </row>
    <row r="28" spans="1:170" ht="28.9" customHeight="1" x14ac:dyDescent="0.2">
      <c r="A28" s="1141" t="s">
        <v>2114</v>
      </c>
      <c r="B28" s="25" t="s">
        <v>2116</v>
      </c>
      <c r="D28" s="129" t="str">
        <f>IF([1]RENAME!$H$3=1,B28,A28)</f>
        <v>Perda por redução ao valor
   recuperável de contas a receber</v>
      </c>
      <c r="E28" s="118">
        <v>0</v>
      </c>
      <c r="F28" s="118">
        <v>0</v>
      </c>
      <c r="G28" s="118">
        <v>0</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18">
        <v>0</v>
      </c>
      <c r="Y28" s="118">
        <v>0</v>
      </c>
      <c r="Z28" s="118">
        <v>0</v>
      </c>
      <c r="AA28" s="118">
        <v>0</v>
      </c>
      <c r="AB28" s="118">
        <v>0</v>
      </c>
      <c r="AC28" s="118">
        <v>0</v>
      </c>
      <c r="AD28" s="118">
        <v>0</v>
      </c>
      <c r="AE28" s="118">
        <v>0</v>
      </c>
      <c r="AF28" s="118">
        <v>0</v>
      </c>
      <c r="AG28" s="118">
        <v>0</v>
      </c>
      <c r="AH28" s="118">
        <v>0</v>
      </c>
      <c r="AI28" s="118">
        <v>0</v>
      </c>
      <c r="AJ28" s="118">
        <v>0</v>
      </c>
      <c r="AK28" s="118">
        <v>116</v>
      </c>
      <c r="AL28" s="118">
        <f>449-AK28</f>
        <v>333</v>
      </c>
      <c r="AM28" s="118">
        <f>395-SUM(AK28:AL28)</f>
        <v>-54</v>
      </c>
      <c r="AN28" s="118">
        <f>407-SUM(AK28:AM28)</f>
        <v>12</v>
      </c>
      <c r="AO28" s="118">
        <v>385</v>
      </c>
      <c r="AP28" s="118">
        <v>464</v>
      </c>
      <c r="AQ28" s="118">
        <v>249</v>
      </c>
      <c r="AR28" s="118">
        <v>36</v>
      </c>
      <c r="AS28" s="118">
        <v>19</v>
      </c>
      <c r="AT28" s="118">
        <v>195</v>
      </c>
      <c r="AU28" s="118">
        <v>825</v>
      </c>
      <c r="AV28" s="118">
        <v>-2078</v>
      </c>
      <c r="AW28" s="118">
        <v>725</v>
      </c>
      <c r="AX28" s="118">
        <v>-648</v>
      </c>
      <c r="AY28" s="118">
        <v>-674</v>
      </c>
      <c r="AZ28" s="118">
        <v>-267</v>
      </c>
      <c r="BA28" s="118">
        <v>962</v>
      </c>
      <c r="BB28" s="118">
        <f>(-VLOOKUP($D$28,'[3]22 Desp Op NL'!$V$20:$AH$42,13,0))-BA28</f>
        <v>653</v>
      </c>
      <c r="BC28" s="208"/>
      <c r="BD28" s="1233"/>
      <c r="BE28" s="208"/>
      <c r="DW28" s="25"/>
      <c r="FN28"/>
    </row>
    <row r="29" spans="1:170" x14ac:dyDescent="0.2">
      <c r="A29" s="25" t="s">
        <v>1404</v>
      </c>
      <c r="B29" s="25" t="s">
        <v>1264</v>
      </c>
      <c r="D29" s="129" t="str">
        <f>IF([1]RENAME!$H$3=1,B29,A29)</f>
        <v>Provisão para perda de valores com vendas de controladas (i)</v>
      </c>
      <c r="E29" s="118">
        <v>0</v>
      </c>
      <c r="F29" s="118">
        <v>0</v>
      </c>
      <c r="G29" s="118">
        <v>0</v>
      </c>
      <c r="H29" s="118">
        <v>0</v>
      </c>
      <c r="I29" s="118">
        <v>0</v>
      </c>
      <c r="J29" s="118">
        <v>0</v>
      </c>
      <c r="K29" s="118">
        <v>0</v>
      </c>
      <c r="L29" s="118">
        <v>0</v>
      </c>
      <c r="M29" s="118">
        <v>0</v>
      </c>
      <c r="N29" s="118">
        <v>0</v>
      </c>
      <c r="O29" s="118">
        <v>0</v>
      </c>
      <c r="P29" s="118">
        <v>0</v>
      </c>
      <c r="Q29" s="118">
        <v>0</v>
      </c>
      <c r="R29" s="118">
        <v>0</v>
      </c>
      <c r="S29" s="118">
        <v>5733</v>
      </c>
      <c r="T29" s="118">
        <v>5731</v>
      </c>
      <c r="U29" s="118">
        <v>0</v>
      </c>
      <c r="V29" s="118">
        <v>0</v>
      </c>
      <c r="W29" s="118">
        <v>0</v>
      </c>
      <c r="X29" s="118">
        <v>1907</v>
      </c>
      <c r="Y29" s="118">
        <v>0</v>
      </c>
      <c r="Z29" s="118">
        <v>0</v>
      </c>
      <c r="AA29" s="118">
        <v>0</v>
      </c>
      <c r="AB29" s="118">
        <v>0</v>
      </c>
      <c r="AC29" s="118">
        <v>0</v>
      </c>
      <c r="AD29" s="118">
        <v>0</v>
      </c>
      <c r="AE29" s="118">
        <v>0</v>
      </c>
      <c r="AF29" s="118">
        <v>0</v>
      </c>
      <c r="AG29" s="118">
        <v>0</v>
      </c>
      <c r="AH29" s="118">
        <v>0</v>
      </c>
      <c r="AI29" s="118">
        <v>0</v>
      </c>
      <c r="AJ29" s="118">
        <v>0</v>
      </c>
      <c r="AK29" s="118">
        <v>0</v>
      </c>
      <c r="AL29" s="118">
        <v>0</v>
      </c>
      <c r="AM29" s="118">
        <v>0</v>
      </c>
      <c r="AN29" s="118">
        <v>0</v>
      </c>
      <c r="AO29" s="118">
        <v>0</v>
      </c>
      <c r="AP29" s="118">
        <v>0</v>
      </c>
      <c r="AQ29" s="118">
        <v>0</v>
      </c>
      <c r="AR29" s="118">
        <v>0</v>
      </c>
      <c r="AS29" s="118">
        <v>0</v>
      </c>
      <c r="AT29" s="118">
        <v>0</v>
      </c>
      <c r="AU29" s="118">
        <v>0</v>
      </c>
      <c r="AV29" s="118">
        <v>0</v>
      </c>
      <c r="AW29" s="118">
        <v>0</v>
      </c>
      <c r="AX29" s="118">
        <v>0</v>
      </c>
      <c r="AY29" s="118">
        <v>0</v>
      </c>
      <c r="AZ29" s="118">
        <v>0</v>
      </c>
      <c r="BA29" s="118">
        <v>0</v>
      </c>
      <c r="BB29" s="118">
        <v>0</v>
      </c>
      <c r="BC29" s="208"/>
      <c r="BD29" s="1233"/>
      <c r="BE29" s="208"/>
      <c r="DW29" s="25"/>
      <c r="FN29"/>
    </row>
    <row r="30" spans="1:170" x14ac:dyDescent="0.2">
      <c r="A30" s="25" t="s">
        <v>488</v>
      </c>
      <c r="B30" s="25" t="s">
        <v>1049</v>
      </c>
      <c r="D30" s="129" t="str">
        <f>IF([1]RENAME!$H$3=1,B30,A30)</f>
        <v>Reestruturação armazéns</v>
      </c>
      <c r="E30" s="118">
        <v>0</v>
      </c>
      <c r="F30" s="118">
        <v>0</v>
      </c>
      <c r="G30" s="118">
        <v>0</v>
      </c>
      <c r="H30" s="118">
        <v>0</v>
      </c>
      <c r="I30" s="118">
        <v>0</v>
      </c>
      <c r="J30" s="118">
        <v>0</v>
      </c>
      <c r="K30" s="118">
        <v>0</v>
      </c>
      <c r="L30" s="118">
        <v>2643</v>
      </c>
      <c r="M30" s="118">
        <v>0</v>
      </c>
      <c r="N30" s="118">
        <v>0</v>
      </c>
      <c r="O30" s="118">
        <v>0</v>
      </c>
      <c r="P30" s="118">
        <v>0</v>
      </c>
      <c r="Q30" s="118">
        <v>0</v>
      </c>
      <c r="R30" s="118">
        <v>0</v>
      </c>
      <c r="S30" s="118">
        <v>0</v>
      </c>
      <c r="T30" s="118">
        <v>0</v>
      </c>
      <c r="U30" s="118">
        <v>0</v>
      </c>
      <c r="V30" s="118">
        <v>0</v>
      </c>
      <c r="W30" s="118">
        <v>0</v>
      </c>
      <c r="X30" s="118">
        <v>0</v>
      </c>
      <c r="Y30" s="118">
        <v>0</v>
      </c>
      <c r="Z30" s="118"/>
      <c r="AA30" s="118">
        <v>0</v>
      </c>
      <c r="AB30" s="118">
        <v>0</v>
      </c>
      <c r="AC30" s="118">
        <v>0</v>
      </c>
      <c r="AD30" s="118">
        <v>0</v>
      </c>
      <c r="AE30" s="118">
        <v>0</v>
      </c>
      <c r="AF30" s="118">
        <v>2875</v>
      </c>
      <c r="AG30" s="118">
        <v>0</v>
      </c>
      <c r="AH30" s="118">
        <v>0</v>
      </c>
      <c r="AI30" s="118">
        <v>0</v>
      </c>
      <c r="AJ30" s="118">
        <v>0</v>
      </c>
      <c r="AK30" s="118">
        <v>0</v>
      </c>
      <c r="AL30" s="118">
        <v>0</v>
      </c>
      <c r="AM30" s="118">
        <v>0</v>
      </c>
      <c r="AN30" s="118">
        <v>0</v>
      </c>
      <c r="AO30" s="118">
        <v>0</v>
      </c>
      <c r="AP30" s="118">
        <v>0</v>
      </c>
      <c r="AQ30" s="118">
        <v>0</v>
      </c>
      <c r="AR30" s="118">
        <v>0</v>
      </c>
      <c r="AS30" s="118">
        <v>0</v>
      </c>
      <c r="AT30" s="118">
        <v>0</v>
      </c>
      <c r="AU30" s="118">
        <v>0</v>
      </c>
      <c r="AV30" s="118">
        <v>0</v>
      </c>
      <c r="AW30" s="118">
        <v>0</v>
      </c>
      <c r="AX30" s="118">
        <v>0</v>
      </c>
      <c r="AY30" s="118">
        <v>0</v>
      </c>
      <c r="AZ30" s="118">
        <v>0</v>
      </c>
      <c r="BA30" s="118">
        <v>0</v>
      </c>
      <c r="BB30" s="118">
        <v>0</v>
      </c>
      <c r="BC30" s="208"/>
      <c r="BD30" s="1233"/>
      <c r="BE30" s="208"/>
      <c r="DW30" s="25"/>
      <c r="FN30"/>
    </row>
    <row r="31" spans="1:170" s="249" customFormat="1" hidden="1" outlineLevel="1" x14ac:dyDescent="0.2">
      <c r="A31" s="249" t="s">
        <v>489</v>
      </c>
      <c r="B31" s="249" t="s">
        <v>1052</v>
      </c>
      <c r="C31" s="233"/>
      <c r="D31" s="250" t="str">
        <f>IF([1]RENAME!$H$3=1,B31,A31)</f>
        <v>Processos trabalhistas</v>
      </c>
      <c r="E31" s="218">
        <v>0</v>
      </c>
      <c r="F31" s="218">
        <v>0</v>
      </c>
      <c r="G31" s="218">
        <v>0</v>
      </c>
      <c r="H31" s="218">
        <v>2829.3992499999999</v>
      </c>
      <c r="I31" s="218">
        <v>0</v>
      </c>
      <c r="J31" s="218">
        <v>0</v>
      </c>
      <c r="K31" s="218">
        <v>0</v>
      </c>
      <c r="L31" s="218">
        <v>0</v>
      </c>
      <c r="M31" s="218">
        <v>0</v>
      </c>
      <c r="N31" s="218">
        <v>0</v>
      </c>
      <c r="O31" s="218">
        <v>0</v>
      </c>
      <c r="P31" s="218">
        <v>0</v>
      </c>
      <c r="Q31" s="218">
        <v>0</v>
      </c>
      <c r="R31" s="218">
        <v>0</v>
      </c>
      <c r="S31" s="218">
        <v>0</v>
      </c>
      <c r="T31" s="218">
        <v>0</v>
      </c>
      <c r="U31" s="218">
        <v>0</v>
      </c>
      <c r="V31" s="218" t="s">
        <v>160</v>
      </c>
      <c r="W31" s="218" t="s">
        <v>160</v>
      </c>
      <c r="X31" s="218" t="s">
        <v>160</v>
      </c>
      <c r="Y31" s="218" t="s">
        <v>160</v>
      </c>
      <c r="Z31" s="218"/>
      <c r="AA31" s="218" t="s">
        <v>160</v>
      </c>
      <c r="AB31" s="218" t="s">
        <v>160</v>
      </c>
      <c r="AC31" s="218" t="s">
        <v>160</v>
      </c>
      <c r="AD31" s="218" t="s">
        <v>160</v>
      </c>
      <c r="AE31" s="218" t="s">
        <v>160</v>
      </c>
      <c r="AF31" s="218" t="s">
        <v>160</v>
      </c>
      <c r="AG31" s="118">
        <v>0</v>
      </c>
      <c r="AH31" s="118">
        <v>0</v>
      </c>
      <c r="AI31" s="118">
        <v>0</v>
      </c>
      <c r="AJ31" s="118">
        <v>0</v>
      </c>
      <c r="AK31" s="118" t="s">
        <v>160</v>
      </c>
      <c r="AL31" s="118" t="s">
        <v>160</v>
      </c>
      <c r="AM31" s="118">
        <v>0</v>
      </c>
      <c r="AN31" s="118">
        <v>0</v>
      </c>
      <c r="AO31" s="118">
        <v>0</v>
      </c>
      <c r="AP31" s="118">
        <v>0</v>
      </c>
      <c r="AQ31" s="118">
        <v>0</v>
      </c>
      <c r="AR31" s="118">
        <v>0</v>
      </c>
      <c r="AS31" s="118">
        <v>0</v>
      </c>
      <c r="AT31" s="118"/>
      <c r="AU31" s="118"/>
      <c r="AV31" s="118"/>
      <c r="AW31" s="118"/>
      <c r="AX31" s="118">
        <v>0</v>
      </c>
      <c r="AY31" s="118">
        <v>0</v>
      </c>
      <c r="AZ31" s="118">
        <v>0</v>
      </c>
      <c r="BA31" s="118">
        <v>0</v>
      </c>
      <c r="BB31" s="118">
        <v>0</v>
      </c>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row>
    <row r="32" spans="1:170" collapsed="1" x14ac:dyDescent="0.2">
      <c r="A32" s="25" t="s">
        <v>148</v>
      </c>
      <c r="B32" s="25" t="s">
        <v>148</v>
      </c>
      <c r="D32" s="126" t="str">
        <f>IF([1]RENAME!$H$3=1,B32,A32)</f>
        <v>Custo do serviços prestados, despesas gerais e administrativas e despesas comerciais</v>
      </c>
      <c r="E32" s="120">
        <f>+SUM(E6:E30)</f>
        <v>316121.12976999994</v>
      </c>
      <c r="F32" s="120">
        <f t="shared" ref="F32:BB32" si="11">+SUM(F6:F30)</f>
        <v>317552.28177</v>
      </c>
      <c r="G32" s="120">
        <f t="shared" si="11"/>
        <v>326076.97314999986</v>
      </c>
      <c r="H32" s="120">
        <f t="shared" si="11"/>
        <v>340916.34434259991</v>
      </c>
      <c r="I32" s="120">
        <f t="shared" si="11"/>
        <v>269308.41024395009</v>
      </c>
      <c r="J32" s="120">
        <f t="shared" si="11"/>
        <v>268539.52013674995</v>
      </c>
      <c r="K32" s="120">
        <f t="shared" si="11"/>
        <v>257162.20206795007</v>
      </c>
      <c r="L32" s="120">
        <f t="shared" si="11"/>
        <v>263082.34168999991</v>
      </c>
      <c r="M32" s="120">
        <f t="shared" si="11"/>
        <v>196454.22802999997</v>
      </c>
      <c r="N32" s="120">
        <f t="shared" si="11"/>
        <v>218412.51810000002</v>
      </c>
      <c r="O32" s="120">
        <f t="shared" si="11"/>
        <v>217433.25386999999</v>
      </c>
      <c r="P32" s="120">
        <f t="shared" si="11"/>
        <v>224703</v>
      </c>
      <c r="Q32" s="120">
        <f t="shared" si="11"/>
        <v>196936</v>
      </c>
      <c r="R32" s="120">
        <f t="shared" si="11"/>
        <v>227733</v>
      </c>
      <c r="S32" s="120">
        <f t="shared" si="11"/>
        <v>255490</v>
      </c>
      <c r="T32" s="120">
        <f t="shared" si="11"/>
        <v>256156</v>
      </c>
      <c r="U32" s="120">
        <f t="shared" si="11"/>
        <v>233830</v>
      </c>
      <c r="V32" s="120">
        <f t="shared" si="11"/>
        <v>254238</v>
      </c>
      <c r="W32" s="120">
        <f t="shared" si="11"/>
        <v>282265</v>
      </c>
      <c r="X32" s="120">
        <f t="shared" si="11"/>
        <v>301892</v>
      </c>
      <c r="Y32" s="120">
        <f t="shared" si="11"/>
        <v>252961</v>
      </c>
      <c r="Z32" s="120">
        <f t="shared" si="11"/>
        <v>282568</v>
      </c>
      <c r="AA32" s="120">
        <f t="shared" si="11"/>
        <v>291954</v>
      </c>
      <c r="AB32" s="120">
        <f t="shared" si="11"/>
        <v>318429</v>
      </c>
      <c r="AC32" s="120">
        <f t="shared" si="11"/>
        <v>247826</v>
      </c>
      <c r="AD32" s="120">
        <f t="shared" si="11"/>
        <v>137341</v>
      </c>
      <c r="AE32" s="120">
        <f t="shared" si="11"/>
        <v>241600</v>
      </c>
      <c r="AF32" s="120">
        <f t="shared" si="11"/>
        <v>269273</v>
      </c>
      <c r="AG32" s="120">
        <f t="shared" si="11"/>
        <v>209407</v>
      </c>
      <c r="AH32" s="120">
        <f t="shared" si="11"/>
        <v>211723</v>
      </c>
      <c r="AI32" s="120">
        <f t="shared" si="11"/>
        <v>207943</v>
      </c>
      <c r="AJ32" s="120">
        <f t="shared" si="11"/>
        <v>268081</v>
      </c>
      <c r="AK32" s="120">
        <f t="shared" si="11"/>
        <v>220165</v>
      </c>
      <c r="AL32" s="120">
        <f t="shared" si="11"/>
        <v>269254</v>
      </c>
      <c r="AM32" s="120">
        <f t="shared" si="11"/>
        <v>340600</v>
      </c>
      <c r="AN32" s="120">
        <f t="shared" si="11"/>
        <v>350497</v>
      </c>
      <c r="AO32" s="120">
        <f t="shared" si="11"/>
        <v>297022</v>
      </c>
      <c r="AP32" s="120">
        <f t="shared" si="11"/>
        <v>321766</v>
      </c>
      <c r="AQ32" s="120">
        <f t="shared" si="11"/>
        <v>361786</v>
      </c>
      <c r="AR32" s="120">
        <f t="shared" si="11"/>
        <v>391495</v>
      </c>
      <c r="AS32" s="120">
        <f t="shared" si="11"/>
        <v>344136</v>
      </c>
      <c r="AT32" s="120">
        <f t="shared" si="11"/>
        <v>402015</v>
      </c>
      <c r="AU32" s="120">
        <f t="shared" si="11"/>
        <v>492000</v>
      </c>
      <c r="AV32" s="120">
        <f t="shared" si="11"/>
        <v>510306</v>
      </c>
      <c r="AW32" s="120">
        <f t="shared" si="11"/>
        <v>387029</v>
      </c>
      <c r="AX32" s="120">
        <f t="shared" si="11"/>
        <v>460718</v>
      </c>
      <c r="AY32" s="120">
        <f t="shared" si="11"/>
        <v>533429</v>
      </c>
      <c r="AZ32" s="120">
        <f t="shared" si="11"/>
        <v>544056</v>
      </c>
      <c r="BA32" s="120">
        <f t="shared" si="11"/>
        <v>468103</v>
      </c>
      <c r="BB32" s="120">
        <f t="shared" si="11"/>
        <v>618642</v>
      </c>
      <c r="DW32" s="25"/>
      <c r="FN32"/>
    </row>
    <row r="33" spans="1:170" customFormat="1" ht="12.75" x14ac:dyDescent="0.2"/>
    <row r="34" spans="1:170" x14ac:dyDescent="0.2">
      <c r="A34" s="25" t="s">
        <v>97</v>
      </c>
      <c r="B34" s="25" t="s">
        <v>872</v>
      </c>
      <c r="D34" s="115" t="str">
        <f>IF([1]RENAME!$H$3=1,B34,A34)</f>
        <v>Controladora</v>
      </c>
      <c r="E34" s="115" t="str">
        <f t="shared" ref="E34:AB34" si="12">E5</f>
        <v>1T14</v>
      </c>
      <c r="F34" s="115" t="str">
        <f t="shared" si="12"/>
        <v>2T14</v>
      </c>
      <c r="G34" s="115" t="str">
        <f t="shared" si="12"/>
        <v>3T14</v>
      </c>
      <c r="H34" s="115" t="str">
        <f t="shared" si="12"/>
        <v>4T14</v>
      </c>
      <c r="I34" s="115" t="str">
        <f t="shared" si="12"/>
        <v>1T15</v>
      </c>
      <c r="J34" s="115" t="str">
        <f t="shared" si="12"/>
        <v>2T15</v>
      </c>
      <c r="K34" s="115" t="str">
        <f t="shared" si="12"/>
        <v>3T15</v>
      </c>
      <c r="L34" s="115" t="str">
        <f t="shared" si="12"/>
        <v>4T15</v>
      </c>
      <c r="M34" s="115" t="str">
        <f t="shared" si="12"/>
        <v>1T16</v>
      </c>
      <c r="N34" s="115" t="str">
        <f t="shared" si="12"/>
        <v>2T16</v>
      </c>
      <c r="O34" s="115" t="str">
        <f t="shared" si="12"/>
        <v>3T16</v>
      </c>
      <c r="P34" s="115" t="str">
        <f t="shared" si="12"/>
        <v>4T16</v>
      </c>
      <c r="Q34" s="115" t="str">
        <f t="shared" si="12"/>
        <v>1T17</v>
      </c>
      <c r="R34" s="115" t="str">
        <f t="shared" si="12"/>
        <v>2T17</v>
      </c>
      <c r="S34" s="115" t="str">
        <f t="shared" si="12"/>
        <v>3T17</v>
      </c>
      <c r="T34" s="115" t="str">
        <f t="shared" si="12"/>
        <v>4T17</v>
      </c>
      <c r="U34" s="115" t="str">
        <f t="shared" si="12"/>
        <v>1T18</v>
      </c>
      <c r="V34" s="115" t="str">
        <f t="shared" si="12"/>
        <v>2T18</v>
      </c>
      <c r="W34" s="115" t="str">
        <f t="shared" si="12"/>
        <v>3T18</v>
      </c>
      <c r="X34" s="115" t="str">
        <f t="shared" si="12"/>
        <v>4T18</v>
      </c>
      <c r="Y34" s="115" t="str">
        <f t="shared" si="12"/>
        <v>1T19</v>
      </c>
      <c r="Z34" s="115" t="str">
        <f t="shared" si="12"/>
        <v>2T19</v>
      </c>
      <c r="AA34" s="115" t="str">
        <f t="shared" si="12"/>
        <v>3T19</v>
      </c>
      <c r="AB34" s="115" t="str">
        <f t="shared" si="12"/>
        <v>4T19</v>
      </c>
      <c r="AC34" s="115" t="str">
        <f t="shared" ref="AC34:AL34" si="13">AC5</f>
        <v>1T20</v>
      </c>
      <c r="AD34" s="115" t="str">
        <f t="shared" si="13"/>
        <v>2T20</v>
      </c>
      <c r="AE34" s="115" t="str">
        <f t="shared" si="13"/>
        <v>3T20</v>
      </c>
      <c r="AF34" s="115" t="str">
        <f t="shared" si="13"/>
        <v>4T20</v>
      </c>
      <c r="AG34" s="115" t="str">
        <f t="shared" si="13"/>
        <v>1T21</v>
      </c>
      <c r="AH34" s="115" t="str">
        <f t="shared" si="13"/>
        <v>2T21</v>
      </c>
      <c r="AI34" s="115" t="str">
        <f t="shared" si="13"/>
        <v>3T21</v>
      </c>
      <c r="AJ34" s="115" t="str">
        <f t="shared" si="13"/>
        <v>4T21</v>
      </c>
      <c r="AK34" s="115" t="str">
        <f t="shared" si="13"/>
        <v>1T22</v>
      </c>
      <c r="AL34" s="115" t="str">
        <f t="shared" si="13"/>
        <v>2T22</v>
      </c>
      <c r="AM34" s="115" t="str">
        <f t="shared" ref="AM34:AS34" si="14">AM5</f>
        <v>3T22</v>
      </c>
      <c r="AN34" s="115" t="str">
        <f t="shared" si="14"/>
        <v>4T22</v>
      </c>
      <c r="AO34" s="115" t="str">
        <f t="shared" si="14"/>
        <v>1T23</v>
      </c>
      <c r="AP34" s="115" t="str">
        <f t="shared" si="14"/>
        <v>2T23</v>
      </c>
      <c r="AQ34" s="115" t="str">
        <f t="shared" si="14"/>
        <v>3T23</v>
      </c>
      <c r="AR34" s="115" t="str">
        <f t="shared" si="14"/>
        <v>4T23</v>
      </c>
      <c r="AS34" s="115" t="str">
        <f t="shared" si="14"/>
        <v>1T24</v>
      </c>
      <c r="AT34" s="115" t="str">
        <f t="shared" ref="AT34:AY34" si="15">AT5</f>
        <v>2T24</v>
      </c>
      <c r="AU34" s="115" t="str">
        <f t="shared" si="15"/>
        <v>3T24</v>
      </c>
      <c r="AV34" s="115" t="str">
        <f t="shared" si="15"/>
        <v>4T24</v>
      </c>
      <c r="AW34" s="115" t="str">
        <f t="shared" si="15"/>
        <v>1T25</v>
      </c>
      <c r="AX34" s="115" t="str">
        <f t="shared" si="15"/>
        <v>2T25</v>
      </c>
      <c r="AY34" s="115" t="str">
        <f t="shared" si="15"/>
        <v>3T25</v>
      </c>
      <c r="AZ34" s="115" t="str">
        <f>AZ5</f>
        <v>4T25</v>
      </c>
      <c r="BA34" s="247" t="str">
        <f>BA5</f>
        <v>1T26</v>
      </c>
      <c r="BB34" s="115" t="str">
        <f>BB5</f>
        <v>2T26</v>
      </c>
      <c r="DW34" s="25"/>
      <c r="FN34"/>
    </row>
    <row r="35" spans="1:170" x14ac:dyDescent="0.2">
      <c r="A35" s="25" t="s">
        <v>131</v>
      </c>
      <c r="B35" s="25" t="s">
        <v>1033</v>
      </c>
      <c r="D35" s="129" t="str">
        <f>IF([1]RENAME!$H$3=1,B35,A35)</f>
        <v>Serviços de fretes – agregados</v>
      </c>
      <c r="E35" s="118">
        <v>203810.90716</v>
      </c>
      <c r="F35" s="118">
        <v>224066.89475999997</v>
      </c>
      <c r="G35" s="118">
        <v>220958.96782999992</v>
      </c>
      <c r="H35" s="118">
        <v>251671.30114999987</v>
      </c>
      <c r="I35" s="118">
        <v>176002.85947999996</v>
      </c>
      <c r="J35" s="118">
        <v>165118.30492000008</v>
      </c>
      <c r="K35" s="118">
        <v>162726.10900999993</v>
      </c>
      <c r="L35" s="118">
        <v>170476.14973999988</v>
      </c>
      <c r="M35" s="118">
        <v>117238.53425000001</v>
      </c>
      <c r="N35" s="118">
        <v>135531.91791999998</v>
      </c>
      <c r="O35" s="118">
        <v>141132.54783</v>
      </c>
      <c r="P35" s="118">
        <v>150302</v>
      </c>
      <c r="Q35" s="118">
        <v>123871</v>
      </c>
      <c r="R35" s="118">
        <v>153668</v>
      </c>
      <c r="S35" s="118">
        <v>175375</v>
      </c>
      <c r="T35" s="118">
        <v>193469</v>
      </c>
      <c r="U35" s="118">
        <v>158018</v>
      </c>
      <c r="V35" s="118">
        <v>182108</v>
      </c>
      <c r="W35" s="118">
        <v>210715</v>
      </c>
      <c r="X35" s="118">
        <v>222254</v>
      </c>
      <c r="Y35" s="118">
        <v>177391</v>
      </c>
      <c r="Z35" s="118">
        <v>193139</v>
      </c>
      <c r="AA35" s="118">
        <v>195143</v>
      </c>
      <c r="AB35" s="118">
        <v>221133</v>
      </c>
      <c r="AC35" s="118">
        <v>155969</v>
      </c>
      <c r="AD35" s="118">
        <v>56255</v>
      </c>
      <c r="AE35" s="118">
        <v>166031</v>
      </c>
      <c r="AF35" s="118">
        <v>184098</v>
      </c>
      <c r="AG35" s="118">
        <v>130528</v>
      </c>
      <c r="AH35" s="118">
        <v>126119</v>
      </c>
      <c r="AI35" s="118">
        <v>122826</v>
      </c>
      <c r="AJ35" s="118">
        <v>175788</v>
      </c>
      <c r="AK35" s="118">
        <v>127793</v>
      </c>
      <c r="AL35" s="118">
        <v>165514</v>
      </c>
      <c r="AM35" s="118">
        <v>240397</v>
      </c>
      <c r="AN35" s="118">
        <v>234605</v>
      </c>
      <c r="AO35" s="118">
        <v>181605</v>
      </c>
      <c r="AP35" s="118">
        <v>206432</v>
      </c>
      <c r="AQ35" s="118">
        <v>241602</v>
      </c>
      <c r="AR35" s="118">
        <v>264168</v>
      </c>
      <c r="AS35" s="118">
        <v>218673</v>
      </c>
      <c r="AT35" s="118">
        <v>284656</v>
      </c>
      <c r="AU35" s="118">
        <v>374046</v>
      </c>
      <c r="AV35" s="118">
        <v>391754</v>
      </c>
      <c r="AW35" s="118">
        <v>263283</v>
      </c>
      <c r="AX35" s="118">
        <v>330797</v>
      </c>
      <c r="AY35" s="118">
        <v>407578</v>
      </c>
      <c r="AZ35" s="118">
        <v>402164</v>
      </c>
      <c r="BA35" s="118">
        <v>337783</v>
      </c>
      <c r="BB35" s="118">
        <f>(-VLOOKUP(D35,'[3]22 Desp Op NL'!$V$20:$Z$42,5,0))-BA35</f>
        <v>484604</v>
      </c>
      <c r="DW35" s="25"/>
      <c r="FN35"/>
    </row>
    <row r="36" spans="1:170" x14ac:dyDescent="0.2">
      <c r="A36" s="25" t="s">
        <v>132</v>
      </c>
      <c r="B36" s="25" t="s">
        <v>1034</v>
      </c>
      <c r="D36" s="129" t="str">
        <f>IF([1]RENAME!$H$3=1,B36,A36)</f>
        <v>Salários</v>
      </c>
      <c r="E36" s="118">
        <v>19394.425930000005</v>
      </c>
      <c r="F36" s="118">
        <v>21452.921050000001</v>
      </c>
      <c r="G36" s="118">
        <v>18247.908780000002</v>
      </c>
      <c r="H36" s="118">
        <v>19335.767069999976</v>
      </c>
      <c r="I36" s="118">
        <v>18908.462460000002</v>
      </c>
      <c r="J36" s="118">
        <v>18135.921430000006</v>
      </c>
      <c r="K36" s="118">
        <v>17571.38726</v>
      </c>
      <c r="L36" s="118">
        <v>14153.428450000018</v>
      </c>
      <c r="M36" s="118">
        <v>14804.225400000001</v>
      </c>
      <c r="N36" s="118">
        <v>15254.600420000004</v>
      </c>
      <c r="O36" s="118">
        <v>15216.174179999995</v>
      </c>
      <c r="P36" s="118">
        <v>13842</v>
      </c>
      <c r="Q36" s="118">
        <v>14452</v>
      </c>
      <c r="R36" s="118">
        <v>14828</v>
      </c>
      <c r="S36" s="118">
        <v>15835</v>
      </c>
      <c r="T36" s="118">
        <v>16288</v>
      </c>
      <c r="U36" s="118">
        <v>15569</v>
      </c>
      <c r="V36" s="118">
        <v>17099</v>
      </c>
      <c r="W36" s="118">
        <v>17696</v>
      </c>
      <c r="X36" s="118">
        <v>18462</v>
      </c>
      <c r="Y36" s="118">
        <v>16425</v>
      </c>
      <c r="Z36" s="118">
        <v>20019</v>
      </c>
      <c r="AA36" s="118">
        <v>19348</v>
      </c>
      <c r="AB36" s="118">
        <v>19632</v>
      </c>
      <c r="AC36" s="118">
        <v>19066</v>
      </c>
      <c r="AD36" s="118">
        <v>11847</v>
      </c>
      <c r="AE36" s="118">
        <v>14079</v>
      </c>
      <c r="AF36" s="118">
        <v>15188</v>
      </c>
      <c r="AG36" s="118">
        <v>14098</v>
      </c>
      <c r="AH36" s="118">
        <v>15476</v>
      </c>
      <c r="AI36" s="118">
        <v>14540</v>
      </c>
      <c r="AJ36" s="118">
        <v>16858</v>
      </c>
      <c r="AK36" s="118">
        <v>14830</v>
      </c>
      <c r="AL36" s="118">
        <v>16961</v>
      </c>
      <c r="AM36" s="118">
        <v>17319</v>
      </c>
      <c r="AN36" s="118">
        <v>20357</v>
      </c>
      <c r="AO36" s="118">
        <v>19238</v>
      </c>
      <c r="AP36" s="118">
        <v>21940</v>
      </c>
      <c r="AQ36" s="118">
        <v>22668</v>
      </c>
      <c r="AR36" s="118">
        <v>22622</v>
      </c>
      <c r="AS36" s="118">
        <v>20496</v>
      </c>
      <c r="AT36" s="118">
        <v>22105</v>
      </c>
      <c r="AU36" s="118">
        <v>25248</v>
      </c>
      <c r="AV36" s="118">
        <v>25488</v>
      </c>
      <c r="AW36" s="118">
        <v>24817</v>
      </c>
      <c r="AX36" s="118">
        <v>28036</v>
      </c>
      <c r="AY36" s="118">
        <v>30069</v>
      </c>
      <c r="AZ36" s="118">
        <v>29470</v>
      </c>
      <c r="BA36" s="118">
        <v>26572</v>
      </c>
      <c r="BB36" s="118">
        <f>(-VLOOKUP(D36,'[3]22 Desp Op NL'!$V$20:$Z$42,5,0))-BA36</f>
        <v>31657</v>
      </c>
      <c r="DW36" s="25"/>
      <c r="FN36"/>
    </row>
    <row r="37" spans="1:170" x14ac:dyDescent="0.2">
      <c r="A37" s="25" t="s">
        <v>134</v>
      </c>
      <c r="B37" s="25" t="s">
        <v>1035</v>
      </c>
      <c r="D37" s="129" t="str">
        <f>IF([1]RENAME!$H$3=1,B37,A37)</f>
        <v>Encargos sociais</v>
      </c>
      <c r="E37" s="118">
        <v>5940.4492399999999</v>
      </c>
      <c r="F37" s="118">
        <v>7260.490920000002</v>
      </c>
      <c r="G37" s="118">
        <v>8617.3942000000006</v>
      </c>
      <c r="H37" s="118">
        <v>8341.4307499999959</v>
      </c>
      <c r="I37" s="118">
        <v>6663.7679699999999</v>
      </c>
      <c r="J37" s="118">
        <v>7346.0120200000001</v>
      </c>
      <c r="K37" s="118">
        <v>7050.7794300000014</v>
      </c>
      <c r="L37" s="118">
        <v>6190.1585399999994</v>
      </c>
      <c r="M37" s="118">
        <v>7885.8564200000001</v>
      </c>
      <c r="N37" s="118">
        <v>9113.440849999999</v>
      </c>
      <c r="O37" s="118">
        <v>8249.7027300000009</v>
      </c>
      <c r="P37" s="118">
        <v>6565</v>
      </c>
      <c r="Q37" s="118">
        <v>7642</v>
      </c>
      <c r="R37" s="118">
        <v>9076</v>
      </c>
      <c r="S37" s="118">
        <v>7972</v>
      </c>
      <c r="T37" s="118">
        <v>7346</v>
      </c>
      <c r="U37" s="118">
        <v>8791</v>
      </c>
      <c r="V37" s="118">
        <v>9583</v>
      </c>
      <c r="W37" s="118">
        <v>9599</v>
      </c>
      <c r="X37" s="118">
        <v>9896</v>
      </c>
      <c r="Y37" s="118">
        <v>9366</v>
      </c>
      <c r="Z37" s="118">
        <v>10545</v>
      </c>
      <c r="AA37" s="118">
        <v>10313</v>
      </c>
      <c r="AB37" s="118">
        <v>10576</v>
      </c>
      <c r="AC37" s="118">
        <v>10048</v>
      </c>
      <c r="AD37" s="118">
        <v>6813</v>
      </c>
      <c r="AE37" s="118">
        <v>8029</v>
      </c>
      <c r="AF37" s="118">
        <v>8412</v>
      </c>
      <c r="AG37" s="118">
        <v>7351</v>
      </c>
      <c r="AH37" s="118">
        <v>8204</v>
      </c>
      <c r="AI37" s="118">
        <v>8008</v>
      </c>
      <c r="AJ37" s="118">
        <v>9406</v>
      </c>
      <c r="AK37" s="118">
        <v>8857</v>
      </c>
      <c r="AL37" s="118">
        <v>9415</v>
      </c>
      <c r="AM37" s="118">
        <v>9561</v>
      </c>
      <c r="AN37" s="118">
        <v>13015</v>
      </c>
      <c r="AO37" s="118">
        <v>10794</v>
      </c>
      <c r="AP37" s="118">
        <v>12132</v>
      </c>
      <c r="AQ37" s="118">
        <v>12237</v>
      </c>
      <c r="AR37" s="118">
        <v>12651</v>
      </c>
      <c r="AS37" s="118">
        <v>10969</v>
      </c>
      <c r="AT37" s="118">
        <v>11573</v>
      </c>
      <c r="AU37" s="118">
        <v>13988</v>
      </c>
      <c r="AV37" s="118">
        <v>14181</v>
      </c>
      <c r="AW37" s="118">
        <v>13376</v>
      </c>
      <c r="AX37" s="118">
        <v>15914</v>
      </c>
      <c r="AY37" s="118">
        <v>16324</v>
      </c>
      <c r="AZ37" s="118">
        <v>16617</v>
      </c>
      <c r="BA37" s="118">
        <v>15357</v>
      </c>
      <c r="BB37" s="118">
        <f>(-VLOOKUP(D37,'[3]22 Desp Op NL'!$V$20:$Z$42,5,0))-BA37</f>
        <v>18087</v>
      </c>
      <c r="DW37" s="25"/>
      <c r="FN37"/>
    </row>
    <row r="38" spans="1:170" x14ac:dyDescent="0.2">
      <c r="A38" s="25" t="s">
        <v>133</v>
      </c>
      <c r="B38" s="25" t="s">
        <v>824</v>
      </c>
      <c r="D38" s="129" t="str">
        <f>IF([1]RENAME!$H$3=1,B38,A38)</f>
        <v>Serviços terceirizados</v>
      </c>
      <c r="E38" s="118">
        <v>9761.9872600000017</v>
      </c>
      <c r="F38" s="118">
        <v>8552.2545699999973</v>
      </c>
      <c r="G38" s="118">
        <v>13197.362769999996</v>
      </c>
      <c r="H38" s="118">
        <v>10977.39209000001</v>
      </c>
      <c r="I38" s="118">
        <v>9793.7105500000016</v>
      </c>
      <c r="J38" s="118">
        <v>8843.817219999999</v>
      </c>
      <c r="K38" s="118">
        <v>8055.2924700000021</v>
      </c>
      <c r="L38" s="118">
        <v>9144.5956800000004</v>
      </c>
      <c r="M38" s="118">
        <v>5911.3485900000014</v>
      </c>
      <c r="N38" s="118">
        <v>8790.7907699999996</v>
      </c>
      <c r="O38" s="118">
        <v>7919.860639999999</v>
      </c>
      <c r="P38" s="118">
        <v>8906</v>
      </c>
      <c r="Q38" s="118">
        <v>7179</v>
      </c>
      <c r="R38" s="118">
        <v>6789</v>
      </c>
      <c r="S38" s="118">
        <v>7756</v>
      </c>
      <c r="T38" s="118">
        <v>12855</v>
      </c>
      <c r="U38" s="118">
        <v>10773</v>
      </c>
      <c r="V38" s="118">
        <v>8245</v>
      </c>
      <c r="W38" s="118">
        <v>8301</v>
      </c>
      <c r="X38" s="118">
        <v>8787</v>
      </c>
      <c r="Y38" s="118">
        <v>10441</v>
      </c>
      <c r="Z38" s="118">
        <v>8866</v>
      </c>
      <c r="AA38" s="118">
        <v>16113</v>
      </c>
      <c r="AB38" s="118">
        <v>14068</v>
      </c>
      <c r="AC38" s="118">
        <v>15413</v>
      </c>
      <c r="AD38" s="118">
        <v>10449</v>
      </c>
      <c r="AE38" s="118">
        <v>9609</v>
      </c>
      <c r="AF38" s="118">
        <v>12771</v>
      </c>
      <c r="AG38" s="118">
        <v>9646</v>
      </c>
      <c r="AH38" s="118">
        <v>9600</v>
      </c>
      <c r="AI38" s="118">
        <v>11111</v>
      </c>
      <c r="AJ38" s="118">
        <v>11809</v>
      </c>
      <c r="AK38" s="118">
        <v>9770</v>
      </c>
      <c r="AL38" s="118">
        <v>12847</v>
      </c>
      <c r="AM38" s="118">
        <v>12039</v>
      </c>
      <c r="AN38" s="118">
        <v>12606</v>
      </c>
      <c r="AO38" s="118">
        <v>11501</v>
      </c>
      <c r="AP38" s="118">
        <v>12741</v>
      </c>
      <c r="AQ38" s="118">
        <v>13829</v>
      </c>
      <c r="AR38" s="118">
        <v>14231</v>
      </c>
      <c r="AS38" s="118">
        <v>17011</v>
      </c>
      <c r="AT38" s="118">
        <v>16988</v>
      </c>
      <c r="AU38" s="118">
        <v>17703</v>
      </c>
      <c r="AV38" s="118">
        <v>19596</v>
      </c>
      <c r="AW38" s="118">
        <v>16328</v>
      </c>
      <c r="AX38" s="118">
        <v>18771</v>
      </c>
      <c r="AY38" s="118">
        <v>17808</v>
      </c>
      <c r="AZ38" s="118">
        <v>22942</v>
      </c>
      <c r="BA38" s="118">
        <v>16256</v>
      </c>
      <c r="BB38" s="118">
        <f>(-VLOOKUP(D38,'[3]22 Desp Op NL'!$V$20:$Z$42,5,0))-BA38</f>
        <v>17093</v>
      </c>
      <c r="DW38" s="25"/>
      <c r="FN38"/>
    </row>
    <row r="39" spans="1:170" ht="15.75" customHeight="1" x14ac:dyDescent="0.2">
      <c r="A39" s="25" t="s">
        <v>135</v>
      </c>
      <c r="B39" s="25" t="s">
        <v>1037</v>
      </c>
      <c r="D39" s="129" t="str">
        <f>IF([1]RENAME!$H$3=1,B39,A39)</f>
        <v>Alugueis e leasing</v>
      </c>
      <c r="E39" s="118">
        <v>7342.00983</v>
      </c>
      <c r="F39" s="118">
        <v>7503.2690000000002</v>
      </c>
      <c r="G39" s="118">
        <v>7722.6893800000007</v>
      </c>
      <c r="H39" s="118">
        <v>8152.9014800000004</v>
      </c>
      <c r="I39" s="118">
        <v>8096.1806199999992</v>
      </c>
      <c r="J39" s="118">
        <v>8009.9007000000011</v>
      </c>
      <c r="K39" s="118">
        <v>6085.6192099999971</v>
      </c>
      <c r="L39" s="118">
        <v>5290.9067399999985</v>
      </c>
      <c r="M39" s="118">
        <v>4921.2807300000004</v>
      </c>
      <c r="N39" s="118">
        <v>4979.1328999999969</v>
      </c>
      <c r="O39" s="118">
        <v>5243.5863700000027</v>
      </c>
      <c r="P39" s="118">
        <v>5158</v>
      </c>
      <c r="Q39" s="118">
        <v>5146</v>
      </c>
      <c r="R39" s="118">
        <v>5786</v>
      </c>
      <c r="S39" s="118">
        <v>4920</v>
      </c>
      <c r="T39" s="118">
        <v>5681</v>
      </c>
      <c r="U39" s="118">
        <v>5473</v>
      </c>
      <c r="V39" s="118">
        <v>5105</v>
      </c>
      <c r="W39" s="118">
        <v>5536</v>
      </c>
      <c r="X39" s="118">
        <v>7216</v>
      </c>
      <c r="Y39" s="118">
        <v>1335</v>
      </c>
      <c r="Z39" s="118">
        <v>2578</v>
      </c>
      <c r="AA39" s="118">
        <v>1037</v>
      </c>
      <c r="AB39" s="118">
        <v>2138</v>
      </c>
      <c r="AC39" s="118">
        <v>1890</v>
      </c>
      <c r="AD39" s="118">
        <v>909</v>
      </c>
      <c r="AE39" s="118">
        <v>1164</v>
      </c>
      <c r="AF39" s="118">
        <v>1066</v>
      </c>
      <c r="AG39" s="118">
        <v>286</v>
      </c>
      <c r="AH39" s="118">
        <v>522</v>
      </c>
      <c r="AI39" s="118">
        <v>746</v>
      </c>
      <c r="AJ39" s="118">
        <v>683</v>
      </c>
      <c r="AK39" s="118">
        <v>854</v>
      </c>
      <c r="AL39" s="118">
        <v>1609</v>
      </c>
      <c r="AM39" s="118">
        <v>1594</v>
      </c>
      <c r="AN39" s="118">
        <v>1166</v>
      </c>
      <c r="AO39" s="118">
        <v>1119</v>
      </c>
      <c r="AP39" s="118">
        <v>1551</v>
      </c>
      <c r="AQ39" s="118">
        <v>854</v>
      </c>
      <c r="AR39" s="118">
        <v>2913</v>
      </c>
      <c r="AS39" s="118">
        <v>1698</v>
      </c>
      <c r="AT39" s="118">
        <v>4465</v>
      </c>
      <c r="AU39" s="118">
        <v>10303</v>
      </c>
      <c r="AV39" s="118">
        <v>8351</v>
      </c>
      <c r="AW39" s="118">
        <v>5986</v>
      </c>
      <c r="AX39" s="118">
        <v>7366</v>
      </c>
      <c r="AY39" s="118">
        <v>6236</v>
      </c>
      <c r="AZ39" s="118">
        <v>6462</v>
      </c>
      <c r="BA39" s="118">
        <v>5230</v>
      </c>
      <c r="BB39" s="118">
        <f>(-VLOOKUP(D39,'[3]22 Desp Op NL'!$V$20:$Z$42,5,0))-BA39</f>
        <v>5956</v>
      </c>
      <c r="DW39" s="25"/>
      <c r="FN39"/>
    </row>
    <row r="40" spans="1:170" x14ac:dyDescent="0.2">
      <c r="A40" s="25" t="s">
        <v>1432</v>
      </c>
      <c r="B40" s="25" t="s">
        <v>1504</v>
      </c>
      <c r="D40" s="129" t="str">
        <f>IF([1]RENAME!$H$3=1,B40,A40)</f>
        <v>Amortização direito de uso</v>
      </c>
      <c r="E40" s="118" t="s">
        <v>160</v>
      </c>
      <c r="F40" s="118" t="s">
        <v>160</v>
      </c>
      <c r="G40" s="118" t="s">
        <v>160</v>
      </c>
      <c r="H40" s="118" t="s">
        <v>160</v>
      </c>
      <c r="I40" s="118" t="s">
        <v>160</v>
      </c>
      <c r="J40" s="118" t="s">
        <v>160</v>
      </c>
      <c r="K40" s="118" t="s">
        <v>160</v>
      </c>
      <c r="L40" s="118" t="s">
        <v>160</v>
      </c>
      <c r="M40" s="118" t="s">
        <v>160</v>
      </c>
      <c r="N40" s="118" t="s">
        <v>160</v>
      </c>
      <c r="O40" s="118" t="s">
        <v>160</v>
      </c>
      <c r="P40" s="118" t="s">
        <v>160</v>
      </c>
      <c r="Q40" s="118" t="s">
        <v>160</v>
      </c>
      <c r="R40" s="118" t="s">
        <v>160</v>
      </c>
      <c r="S40" s="118" t="s">
        <v>160</v>
      </c>
      <c r="T40" s="118" t="s">
        <v>160</v>
      </c>
      <c r="U40" s="118" t="s">
        <v>160</v>
      </c>
      <c r="V40" s="118" t="s">
        <v>160</v>
      </c>
      <c r="W40" s="118" t="s">
        <v>160</v>
      </c>
      <c r="X40" s="118" t="s">
        <v>160</v>
      </c>
      <c r="Y40" s="118">
        <v>5510</v>
      </c>
      <c r="Z40" s="118">
        <v>4584</v>
      </c>
      <c r="AA40" s="118">
        <v>4887</v>
      </c>
      <c r="AB40" s="118">
        <v>5026</v>
      </c>
      <c r="AC40" s="118">
        <v>4674</v>
      </c>
      <c r="AD40" s="118">
        <v>4946</v>
      </c>
      <c r="AE40" s="118">
        <v>4801</v>
      </c>
      <c r="AF40" s="118">
        <v>5291</v>
      </c>
      <c r="AG40" s="118">
        <v>6090</v>
      </c>
      <c r="AH40" s="118">
        <v>6420</v>
      </c>
      <c r="AI40" s="118">
        <v>6219</v>
      </c>
      <c r="AJ40" s="118">
        <v>6079</v>
      </c>
      <c r="AK40" s="118">
        <v>6994</v>
      </c>
      <c r="AL40" s="118">
        <v>7147</v>
      </c>
      <c r="AM40" s="118">
        <v>5804</v>
      </c>
      <c r="AN40" s="118">
        <v>6487</v>
      </c>
      <c r="AO40" s="118">
        <v>6359</v>
      </c>
      <c r="AP40" s="118">
        <v>6073</v>
      </c>
      <c r="AQ40" s="118">
        <v>6304</v>
      </c>
      <c r="AR40" s="118">
        <v>6731</v>
      </c>
      <c r="AS40" s="118">
        <v>6229</v>
      </c>
      <c r="AT40" s="118">
        <v>6449</v>
      </c>
      <c r="AU40" s="118">
        <v>6239</v>
      </c>
      <c r="AV40" s="118">
        <v>6125</v>
      </c>
      <c r="AW40" s="118">
        <v>6139</v>
      </c>
      <c r="AX40" s="118">
        <v>6267</v>
      </c>
      <c r="AY40" s="118">
        <v>6343</v>
      </c>
      <c r="AZ40" s="118">
        <v>6403</v>
      </c>
      <c r="BA40" s="118">
        <v>6605</v>
      </c>
      <c r="BB40" s="118">
        <f>(-VLOOKUP(D40,'[3]22 Desp Op NL'!$V$20:$Z$42,5,0))-BA40</f>
        <v>7513</v>
      </c>
      <c r="DW40" s="25"/>
      <c r="FN40"/>
    </row>
    <row r="41" spans="1:170" x14ac:dyDescent="0.2">
      <c r="A41" s="25" t="s">
        <v>137</v>
      </c>
      <c r="B41" s="25" t="s">
        <v>754</v>
      </c>
      <c r="D41" s="129" t="str">
        <f>IF([1]RENAME!$H$3=1,B41,A41)</f>
        <v>Depreciação e amortização</v>
      </c>
      <c r="E41" s="118">
        <v>4259.6480000000001</v>
      </c>
      <c r="F41" s="118">
        <v>3978.1727600000008</v>
      </c>
      <c r="G41" s="118">
        <v>3264.5549500000002</v>
      </c>
      <c r="H41" s="118">
        <v>-2086.2933399999997</v>
      </c>
      <c r="I41" s="118">
        <v>3242.7618000000002</v>
      </c>
      <c r="J41" s="118">
        <v>3781.2955600000018</v>
      </c>
      <c r="K41" s="118">
        <v>3911.9864700000016</v>
      </c>
      <c r="L41" s="118">
        <v>4463.8404799999953</v>
      </c>
      <c r="M41" s="118">
        <v>5253.42461</v>
      </c>
      <c r="N41" s="118">
        <v>5009.0518800000009</v>
      </c>
      <c r="O41" s="118">
        <v>4425.5235099999991</v>
      </c>
      <c r="P41" s="118">
        <v>4342</v>
      </c>
      <c r="Q41" s="118">
        <v>4328</v>
      </c>
      <c r="R41" s="118">
        <v>4463</v>
      </c>
      <c r="S41" s="118">
        <v>4820</v>
      </c>
      <c r="T41" s="118">
        <v>4867</v>
      </c>
      <c r="U41" s="118">
        <v>4940</v>
      </c>
      <c r="V41" s="118">
        <v>7259</v>
      </c>
      <c r="W41" s="118">
        <v>5173</v>
      </c>
      <c r="X41" s="118">
        <v>4976</v>
      </c>
      <c r="Y41" s="118">
        <v>4796</v>
      </c>
      <c r="Z41" s="118">
        <v>4653</v>
      </c>
      <c r="AA41" s="118">
        <v>4603</v>
      </c>
      <c r="AB41" s="118">
        <v>4455</v>
      </c>
      <c r="AC41" s="118">
        <v>4453</v>
      </c>
      <c r="AD41" s="118">
        <v>4152</v>
      </c>
      <c r="AE41" s="118">
        <v>3896</v>
      </c>
      <c r="AF41" s="118">
        <v>3847</v>
      </c>
      <c r="AG41" s="118">
        <v>3969</v>
      </c>
      <c r="AH41" s="118">
        <v>4194</v>
      </c>
      <c r="AI41" s="118">
        <v>4228</v>
      </c>
      <c r="AJ41" s="118">
        <v>4308</v>
      </c>
      <c r="AK41" s="118">
        <v>4279</v>
      </c>
      <c r="AL41" s="118">
        <v>4199</v>
      </c>
      <c r="AM41" s="118">
        <v>4241</v>
      </c>
      <c r="AN41" s="118">
        <v>4362</v>
      </c>
      <c r="AO41" s="118">
        <v>4339</v>
      </c>
      <c r="AP41" s="118">
        <v>4460</v>
      </c>
      <c r="AQ41" s="118">
        <v>4493</v>
      </c>
      <c r="AR41" s="118">
        <v>3394</v>
      </c>
      <c r="AS41" s="118">
        <v>3492</v>
      </c>
      <c r="AT41" s="118">
        <v>3442</v>
      </c>
      <c r="AU41" s="118">
        <v>3607</v>
      </c>
      <c r="AV41" s="118">
        <v>4259</v>
      </c>
      <c r="AW41" s="118">
        <v>5023</v>
      </c>
      <c r="AX41" s="118">
        <v>5015</v>
      </c>
      <c r="AY41" s="118">
        <v>5258</v>
      </c>
      <c r="AZ41" s="118">
        <v>5519</v>
      </c>
      <c r="BA41" s="118">
        <v>5958</v>
      </c>
      <c r="BB41" s="118">
        <f>(-VLOOKUP(D41,'[3]22 Desp Op NL'!$V$20:$Z$42,5,0))-BA41</f>
        <v>5860</v>
      </c>
      <c r="DW41" s="25"/>
      <c r="FN41"/>
    </row>
    <row r="42" spans="1:170" ht="15" customHeight="1" x14ac:dyDescent="0.2">
      <c r="A42" s="25" t="s">
        <v>136</v>
      </c>
      <c r="B42" s="25" t="s">
        <v>1036</v>
      </c>
      <c r="D42" s="129" t="str">
        <f>IF([1]RENAME!$H$3=1,B42,A42)</f>
        <v>Benefícios a empregados</v>
      </c>
      <c r="E42" s="118">
        <v>5616.9422999999997</v>
      </c>
      <c r="F42" s="118">
        <v>5627.8223600000001</v>
      </c>
      <c r="G42" s="118">
        <v>5894.0893600000036</v>
      </c>
      <c r="H42" s="118">
        <v>6128.5428700000011</v>
      </c>
      <c r="I42" s="118">
        <v>5785.486789999999</v>
      </c>
      <c r="J42" s="118">
        <v>6179.0319400000017</v>
      </c>
      <c r="K42" s="118">
        <v>5644.0609399999976</v>
      </c>
      <c r="L42" s="118">
        <v>5060.8977500000037</v>
      </c>
      <c r="M42" s="118">
        <v>4566.6898400000009</v>
      </c>
      <c r="N42" s="118">
        <v>4720.3072599999996</v>
      </c>
      <c r="O42" s="118">
        <v>4139.0028999999995</v>
      </c>
      <c r="P42" s="118">
        <v>4124</v>
      </c>
      <c r="Q42" s="118">
        <v>4024</v>
      </c>
      <c r="R42" s="118">
        <v>4319</v>
      </c>
      <c r="S42" s="118">
        <v>4387</v>
      </c>
      <c r="T42" s="118">
        <v>4485</v>
      </c>
      <c r="U42" s="118">
        <v>4402</v>
      </c>
      <c r="V42" s="118">
        <v>4846</v>
      </c>
      <c r="W42" s="118">
        <v>5312</v>
      </c>
      <c r="X42" s="118">
        <v>5736</v>
      </c>
      <c r="Y42" s="118">
        <v>5430</v>
      </c>
      <c r="Z42" s="118">
        <v>5983</v>
      </c>
      <c r="AA42" s="118">
        <v>6278</v>
      </c>
      <c r="AB42" s="118">
        <v>6012</v>
      </c>
      <c r="AC42" s="118">
        <v>5699</v>
      </c>
      <c r="AD42" s="118">
        <v>4436</v>
      </c>
      <c r="AE42" s="118">
        <v>4293</v>
      </c>
      <c r="AF42" s="118">
        <v>4665</v>
      </c>
      <c r="AG42" s="118">
        <v>4368</v>
      </c>
      <c r="AH42" s="118">
        <v>4336</v>
      </c>
      <c r="AI42" s="118">
        <v>4516</v>
      </c>
      <c r="AJ42" s="118">
        <v>4595</v>
      </c>
      <c r="AK42" s="118">
        <v>4523</v>
      </c>
      <c r="AL42" s="118">
        <v>4867</v>
      </c>
      <c r="AM42" s="118">
        <v>5095</v>
      </c>
      <c r="AN42" s="118">
        <v>5655</v>
      </c>
      <c r="AO42" s="118">
        <v>6025</v>
      </c>
      <c r="AP42" s="118">
        <v>6349</v>
      </c>
      <c r="AQ42" s="118">
        <v>6828</v>
      </c>
      <c r="AR42" s="118">
        <v>7245</v>
      </c>
      <c r="AS42" s="118">
        <v>6509</v>
      </c>
      <c r="AT42" s="118">
        <v>7013</v>
      </c>
      <c r="AU42" s="118">
        <v>7999</v>
      </c>
      <c r="AV42" s="118">
        <v>8896</v>
      </c>
      <c r="AW42" s="118">
        <v>7847</v>
      </c>
      <c r="AX42" s="118">
        <v>8956</v>
      </c>
      <c r="AY42" s="118">
        <v>8941</v>
      </c>
      <c r="AZ42" s="118">
        <v>9911</v>
      </c>
      <c r="BA42" s="118">
        <v>10400</v>
      </c>
      <c r="BB42" s="118">
        <f>(-VLOOKUP(D42,'[3]22 Desp Op NL'!$V$20:$Z$42,5,0))-BA42</f>
        <v>11767</v>
      </c>
      <c r="DW42" s="25"/>
      <c r="FN42"/>
    </row>
    <row r="43" spans="1:170" x14ac:dyDescent="0.2">
      <c r="A43" s="25" t="s">
        <v>478</v>
      </c>
      <c r="B43" s="25" t="s">
        <v>1051</v>
      </c>
      <c r="D43" s="129" t="str">
        <f>IF([1]RENAME!$H$3=1,B43,A43)</f>
        <v>Custos variáveis</v>
      </c>
      <c r="E43" s="118">
        <v>3287.6562699999999</v>
      </c>
      <c r="F43" s="118">
        <v>3495.3658799999994</v>
      </c>
      <c r="G43" s="118">
        <v>3611.0200100000006</v>
      </c>
      <c r="H43" s="118">
        <v>3869.495919999998</v>
      </c>
      <c r="I43" s="118">
        <v>1411.7091300000002</v>
      </c>
      <c r="J43" s="118">
        <v>2917.2415599999995</v>
      </c>
      <c r="K43" s="118">
        <v>1263.7146200000002</v>
      </c>
      <c r="L43" s="118">
        <v>1544.36346</v>
      </c>
      <c r="M43" s="118">
        <v>1608.1772100000001</v>
      </c>
      <c r="N43" s="118">
        <v>1831.9693999999997</v>
      </c>
      <c r="O43" s="118">
        <v>1923.8533900000002</v>
      </c>
      <c r="P43" s="118">
        <v>2519</v>
      </c>
      <c r="Q43" s="118">
        <v>2377</v>
      </c>
      <c r="R43" s="118">
        <v>2647</v>
      </c>
      <c r="S43" s="118">
        <v>2721</v>
      </c>
      <c r="T43" s="118">
        <v>3265</v>
      </c>
      <c r="U43" s="118">
        <v>3040</v>
      </c>
      <c r="V43" s="118">
        <v>3296</v>
      </c>
      <c r="W43" s="118">
        <v>3334</v>
      </c>
      <c r="X43" s="118">
        <v>3123</v>
      </c>
      <c r="Y43" s="118">
        <v>2337</v>
      </c>
      <c r="Z43" s="118">
        <v>1840</v>
      </c>
      <c r="AA43" s="118">
        <v>1755</v>
      </c>
      <c r="AB43" s="118">
        <v>1750</v>
      </c>
      <c r="AC43" s="118">
        <v>1271</v>
      </c>
      <c r="AD43" s="118">
        <v>631</v>
      </c>
      <c r="AE43" s="118">
        <v>1139</v>
      </c>
      <c r="AF43" s="118">
        <v>1747</v>
      </c>
      <c r="AG43" s="118">
        <v>1309</v>
      </c>
      <c r="AH43" s="118">
        <v>1304</v>
      </c>
      <c r="AI43" s="118">
        <v>1052</v>
      </c>
      <c r="AJ43" s="118">
        <v>1410</v>
      </c>
      <c r="AK43" s="118">
        <v>1192</v>
      </c>
      <c r="AL43" s="118">
        <v>1620</v>
      </c>
      <c r="AM43" s="118">
        <v>1649</v>
      </c>
      <c r="AN43" s="118">
        <v>1687</v>
      </c>
      <c r="AO43" s="118">
        <v>1407</v>
      </c>
      <c r="AP43" s="118">
        <v>1493</v>
      </c>
      <c r="AQ43" s="118">
        <v>1278</v>
      </c>
      <c r="AR43" s="118">
        <v>1309</v>
      </c>
      <c r="AS43" s="118">
        <v>1506</v>
      </c>
      <c r="AT43" s="118">
        <v>3305</v>
      </c>
      <c r="AU43" s="118">
        <v>5561</v>
      </c>
      <c r="AV43" s="118">
        <v>4049</v>
      </c>
      <c r="AW43" s="118">
        <v>3061</v>
      </c>
      <c r="AX43" s="118">
        <v>3783</v>
      </c>
      <c r="AY43" s="118">
        <v>3986</v>
      </c>
      <c r="AZ43" s="118">
        <v>3256</v>
      </c>
      <c r="BA43" s="118">
        <v>2477</v>
      </c>
      <c r="BB43" s="118">
        <f>(-VLOOKUP(D43,'[3]22 Desp Op NL'!$V$20:$Z$42,5,0))-BA43</f>
        <v>3477</v>
      </c>
      <c r="DW43" s="25"/>
      <c r="FN43"/>
    </row>
    <row r="44" spans="1:170" x14ac:dyDescent="0.2">
      <c r="A44" s="25" t="s">
        <v>140</v>
      </c>
      <c r="B44" s="25" t="s">
        <v>1043</v>
      </c>
      <c r="D44" s="129" t="str">
        <f>IF([1]RENAME!$H$3=1,B44,A44)</f>
        <v>Outros gastos gerais</v>
      </c>
      <c r="E44" s="118">
        <v>3026.5122299999994</v>
      </c>
      <c r="F44" s="118">
        <v>2298.0974400000014</v>
      </c>
      <c r="G44" s="118">
        <v>2466.0063099999998</v>
      </c>
      <c r="H44" s="118">
        <v>3032.7954900000004</v>
      </c>
      <c r="I44" s="118">
        <v>2796.7863899999998</v>
      </c>
      <c r="J44" s="118">
        <v>2698.6783499999997</v>
      </c>
      <c r="K44" s="118">
        <v>2325.3250300000004</v>
      </c>
      <c r="L44" s="118">
        <v>2407.1421499999983</v>
      </c>
      <c r="M44" s="118">
        <v>2105.5183999999999</v>
      </c>
      <c r="N44" s="118">
        <v>2505.9725200000003</v>
      </c>
      <c r="O44" s="118">
        <v>2504.5090799999998</v>
      </c>
      <c r="P44" s="118">
        <v>2156</v>
      </c>
      <c r="Q44" s="118">
        <v>2302</v>
      </c>
      <c r="R44" s="118">
        <v>1956</v>
      </c>
      <c r="S44" s="118">
        <v>2207</v>
      </c>
      <c r="T44" s="118">
        <v>2081</v>
      </c>
      <c r="U44" s="118">
        <v>2046</v>
      </c>
      <c r="V44" s="118">
        <v>1998</v>
      </c>
      <c r="W44" s="118">
        <v>1975</v>
      </c>
      <c r="X44" s="118">
        <v>2431</v>
      </c>
      <c r="Y44" s="118">
        <v>2203</v>
      </c>
      <c r="Z44" s="118">
        <v>2415</v>
      </c>
      <c r="AA44" s="118">
        <v>2272</v>
      </c>
      <c r="AB44" s="118">
        <v>3045</v>
      </c>
      <c r="AC44" s="118">
        <v>2435</v>
      </c>
      <c r="AD44" s="118">
        <v>1530</v>
      </c>
      <c r="AE44" s="118">
        <v>1662</v>
      </c>
      <c r="AF44" s="118">
        <v>2375</v>
      </c>
      <c r="AG44" s="118">
        <v>1890</v>
      </c>
      <c r="AH44" s="118">
        <v>2064</v>
      </c>
      <c r="AI44" s="118">
        <v>2202</v>
      </c>
      <c r="AJ44" s="118">
        <v>2386</v>
      </c>
      <c r="AK44" s="118">
        <v>2750</v>
      </c>
      <c r="AL44" s="118">
        <v>2857</v>
      </c>
      <c r="AM44" s="118">
        <v>2819</v>
      </c>
      <c r="AN44" s="118">
        <v>3616</v>
      </c>
      <c r="AO44" s="118">
        <v>3397</v>
      </c>
      <c r="AP44" s="118">
        <v>4192</v>
      </c>
      <c r="AQ44" s="118">
        <v>3682</v>
      </c>
      <c r="AR44" s="118">
        <v>5018</v>
      </c>
      <c r="AS44" s="118">
        <v>1121</v>
      </c>
      <c r="AT44" s="118">
        <v>951</v>
      </c>
      <c r="AU44" s="118">
        <v>1493</v>
      </c>
      <c r="AV44" s="118">
        <v>640</v>
      </c>
      <c r="AW44" s="118">
        <v>2424</v>
      </c>
      <c r="AX44" s="118">
        <v>2187</v>
      </c>
      <c r="AY44" s="118">
        <v>4079</v>
      </c>
      <c r="AZ44" s="118">
        <v>1650</v>
      </c>
      <c r="BA44" s="118">
        <v>4622</v>
      </c>
      <c r="BB44" s="118">
        <f>(-VLOOKUP(D44,'[3]22 Desp Op NL'!$V$20:$Z$42,5,0))-BA44</f>
        <v>3673</v>
      </c>
      <c r="DW44" s="25"/>
      <c r="FN44"/>
    </row>
    <row r="45" spans="1:170" x14ac:dyDescent="0.2">
      <c r="A45" s="25" t="s">
        <v>139</v>
      </c>
      <c r="B45" s="25" t="s">
        <v>1038</v>
      </c>
      <c r="D45" s="129" t="str">
        <f>IF([1]RENAME!$H$3=1,B45,A45)</f>
        <v>Manutenção</v>
      </c>
      <c r="E45" s="118">
        <v>2483.9986799999997</v>
      </c>
      <c r="F45" s="118">
        <v>2063.7177900000002</v>
      </c>
      <c r="G45" s="118">
        <v>2370.7343300000002</v>
      </c>
      <c r="H45" s="118">
        <v>1978.0762400000012</v>
      </c>
      <c r="I45" s="118">
        <v>2553.6438400000002</v>
      </c>
      <c r="J45" s="118">
        <v>2281.1662999999994</v>
      </c>
      <c r="K45" s="118">
        <v>2253.6146799999997</v>
      </c>
      <c r="L45" s="118">
        <v>2882.755700000002</v>
      </c>
      <c r="M45" s="118">
        <v>1371.9125100000001</v>
      </c>
      <c r="N45" s="118">
        <v>1437.3666599999997</v>
      </c>
      <c r="O45" s="118">
        <v>1553.7208300000002</v>
      </c>
      <c r="P45" s="118">
        <v>2010</v>
      </c>
      <c r="Q45" s="118">
        <v>1940</v>
      </c>
      <c r="R45" s="118">
        <v>2014</v>
      </c>
      <c r="S45" s="118">
        <v>2562</v>
      </c>
      <c r="T45" s="118">
        <v>2209</v>
      </c>
      <c r="U45" s="118">
        <v>2575</v>
      </c>
      <c r="V45" s="118">
        <v>3038</v>
      </c>
      <c r="W45" s="118">
        <v>3249</v>
      </c>
      <c r="X45" s="118">
        <v>4012</v>
      </c>
      <c r="Y45" s="118">
        <v>3001</v>
      </c>
      <c r="Z45" s="118">
        <v>3181</v>
      </c>
      <c r="AA45" s="118">
        <v>3773</v>
      </c>
      <c r="AB45" s="118">
        <v>3837</v>
      </c>
      <c r="AC45" s="118">
        <v>3130</v>
      </c>
      <c r="AD45" s="118">
        <v>2135</v>
      </c>
      <c r="AE45" s="118">
        <v>2630</v>
      </c>
      <c r="AF45" s="118">
        <v>3270</v>
      </c>
      <c r="AG45" s="118">
        <v>2877</v>
      </c>
      <c r="AH45" s="118">
        <v>3448</v>
      </c>
      <c r="AI45" s="118">
        <v>3110</v>
      </c>
      <c r="AJ45" s="118">
        <v>4228</v>
      </c>
      <c r="AK45" s="118">
        <v>3833</v>
      </c>
      <c r="AL45" s="118">
        <v>3837</v>
      </c>
      <c r="AM45" s="118">
        <v>3902</v>
      </c>
      <c r="AN45" s="118">
        <v>4855</v>
      </c>
      <c r="AO45" s="118">
        <v>4052</v>
      </c>
      <c r="AP45" s="118">
        <v>4457</v>
      </c>
      <c r="AQ45" s="118">
        <v>4496</v>
      </c>
      <c r="AR45" s="118">
        <v>4797</v>
      </c>
      <c r="AS45" s="118">
        <v>4173</v>
      </c>
      <c r="AT45" s="118">
        <v>4183</v>
      </c>
      <c r="AU45" s="118">
        <v>5091</v>
      </c>
      <c r="AV45" s="118">
        <v>5178</v>
      </c>
      <c r="AW45" s="118">
        <v>4634</v>
      </c>
      <c r="AX45" s="118">
        <v>5347</v>
      </c>
      <c r="AY45" s="118">
        <v>5677</v>
      </c>
      <c r="AZ45" s="118">
        <v>6560</v>
      </c>
      <c r="BA45" s="118">
        <v>5435</v>
      </c>
      <c r="BB45" s="118">
        <f>(-VLOOKUP(D45,'[3]22 Desp Op NL'!$V$20:$Z$42,5,0))-BA45</f>
        <v>5651</v>
      </c>
      <c r="DW45" s="25"/>
      <c r="FN45"/>
    </row>
    <row r="46" spans="1:170" x14ac:dyDescent="0.2">
      <c r="A46" s="25" t="s">
        <v>142</v>
      </c>
      <c r="B46" s="25" t="s">
        <v>1041</v>
      </c>
      <c r="D46" s="129" t="str">
        <f>IF([1]RENAME!$H$3=1,B46,A46)</f>
        <v>Combustiveis e lubrificantes</v>
      </c>
      <c r="E46" s="118">
        <v>1406.39744</v>
      </c>
      <c r="F46" s="118">
        <v>1509.8123699999996</v>
      </c>
      <c r="G46" s="118">
        <v>1635.9322700000005</v>
      </c>
      <c r="H46" s="118">
        <v>1800.33717</v>
      </c>
      <c r="I46" s="118">
        <v>1548.17254</v>
      </c>
      <c r="J46" s="118">
        <v>1702.36625</v>
      </c>
      <c r="K46" s="118">
        <v>2272.7229000000002</v>
      </c>
      <c r="L46" s="118">
        <v>2186.6380699999995</v>
      </c>
      <c r="M46" s="118">
        <v>840.3926100000001</v>
      </c>
      <c r="N46" s="118">
        <v>1487.9115099999997</v>
      </c>
      <c r="O46" s="118">
        <v>1496.6958800000002</v>
      </c>
      <c r="P46" s="118">
        <v>1443</v>
      </c>
      <c r="Q46" s="118">
        <v>1521</v>
      </c>
      <c r="R46" s="118">
        <v>1928</v>
      </c>
      <c r="S46" s="118">
        <v>2035</v>
      </c>
      <c r="T46" s="118">
        <v>2147</v>
      </c>
      <c r="U46" s="118">
        <v>2118</v>
      </c>
      <c r="V46" s="118">
        <v>2070</v>
      </c>
      <c r="W46" s="118">
        <v>2119</v>
      </c>
      <c r="X46" s="118">
        <v>2248</v>
      </c>
      <c r="Y46" s="118">
        <v>1977</v>
      </c>
      <c r="Z46" s="118">
        <v>2180</v>
      </c>
      <c r="AA46" s="118">
        <v>2295</v>
      </c>
      <c r="AB46" s="118">
        <v>2205</v>
      </c>
      <c r="AC46" s="118">
        <v>1798</v>
      </c>
      <c r="AD46" s="118">
        <v>486</v>
      </c>
      <c r="AE46" s="118">
        <v>1470</v>
      </c>
      <c r="AF46" s="118">
        <v>1803</v>
      </c>
      <c r="AG46" s="118">
        <v>1917</v>
      </c>
      <c r="AH46" s="118">
        <v>2126</v>
      </c>
      <c r="AI46" s="118">
        <v>2077</v>
      </c>
      <c r="AJ46" s="118">
        <v>3684</v>
      </c>
      <c r="AK46" s="118">
        <v>3937</v>
      </c>
      <c r="AL46" s="118">
        <v>4495</v>
      </c>
      <c r="AM46" s="118">
        <v>3536</v>
      </c>
      <c r="AN46" s="118">
        <v>3654</v>
      </c>
      <c r="AO46" s="118">
        <v>3528</v>
      </c>
      <c r="AP46" s="118">
        <v>3308</v>
      </c>
      <c r="AQ46" s="118">
        <v>3301</v>
      </c>
      <c r="AR46" s="118">
        <v>3346</v>
      </c>
      <c r="AS46" s="118">
        <v>2932</v>
      </c>
      <c r="AT46" s="118">
        <v>3235</v>
      </c>
      <c r="AU46" s="118">
        <v>3611</v>
      </c>
      <c r="AV46" s="118">
        <v>4862</v>
      </c>
      <c r="AW46" s="118">
        <v>3530</v>
      </c>
      <c r="AX46" s="118">
        <v>4297</v>
      </c>
      <c r="AY46" s="118">
        <v>5128</v>
      </c>
      <c r="AZ46" s="118">
        <v>4302</v>
      </c>
      <c r="BA46" s="118">
        <v>2790</v>
      </c>
      <c r="BB46" s="118">
        <f>(-VLOOKUP(D46,'[3]22 Desp Op NL'!$V$20:$Z$42,5,0))-BA46</f>
        <v>5352</v>
      </c>
      <c r="DW46" s="25"/>
      <c r="FN46"/>
    </row>
    <row r="47" spans="1:170" x14ac:dyDescent="0.2">
      <c r="A47" s="25" t="s">
        <v>143</v>
      </c>
      <c r="B47" s="25" t="s">
        <v>1039</v>
      </c>
      <c r="D47" s="129" t="str">
        <f>IF([1]RENAME!$H$3=1,B47,A47)</f>
        <v>Utilidades</v>
      </c>
      <c r="E47" s="118">
        <v>566.99546999999995</v>
      </c>
      <c r="F47" s="118">
        <v>560.71153000000004</v>
      </c>
      <c r="G47" s="118">
        <v>632.84602000000007</v>
      </c>
      <c r="H47" s="118">
        <v>662.74866000000065</v>
      </c>
      <c r="I47" s="118">
        <v>730.37437999999986</v>
      </c>
      <c r="J47" s="118">
        <v>774.55581000000006</v>
      </c>
      <c r="K47" s="118">
        <v>1103.0202300000001</v>
      </c>
      <c r="L47" s="118">
        <v>726.1550600000005</v>
      </c>
      <c r="M47" s="118">
        <v>715.53955999999994</v>
      </c>
      <c r="N47" s="118">
        <v>692.78949000000034</v>
      </c>
      <c r="O47" s="118">
        <v>748.67094999999972</v>
      </c>
      <c r="P47" s="118">
        <v>720</v>
      </c>
      <c r="Q47" s="118">
        <v>694</v>
      </c>
      <c r="R47" s="118">
        <v>770</v>
      </c>
      <c r="S47" s="118">
        <v>822</v>
      </c>
      <c r="T47" s="118">
        <v>821</v>
      </c>
      <c r="U47" s="118">
        <v>794</v>
      </c>
      <c r="V47" s="118">
        <v>792</v>
      </c>
      <c r="W47" s="118">
        <v>896</v>
      </c>
      <c r="X47" s="118">
        <v>994</v>
      </c>
      <c r="Y47" s="118">
        <v>955</v>
      </c>
      <c r="Z47" s="118">
        <v>1025</v>
      </c>
      <c r="AA47" s="118">
        <v>1073</v>
      </c>
      <c r="AB47" s="118">
        <v>865</v>
      </c>
      <c r="AC47" s="118">
        <v>861</v>
      </c>
      <c r="AD47" s="118">
        <v>658</v>
      </c>
      <c r="AE47" s="118">
        <v>734</v>
      </c>
      <c r="AF47" s="118">
        <v>759</v>
      </c>
      <c r="AG47" s="118">
        <v>670</v>
      </c>
      <c r="AH47" s="118">
        <v>736</v>
      </c>
      <c r="AI47" s="118">
        <v>756</v>
      </c>
      <c r="AJ47" s="118">
        <v>878</v>
      </c>
      <c r="AK47" s="118">
        <v>800</v>
      </c>
      <c r="AL47" s="118">
        <v>759</v>
      </c>
      <c r="AM47" s="118">
        <v>789</v>
      </c>
      <c r="AN47" s="118">
        <v>802</v>
      </c>
      <c r="AO47" s="118">
        <v>834</v>
      </c>
      <c r="AP47" s="118">
        <v>890</v>
      </c>
      <c r="AQ47" s="118">
        <v>849</v>
      </c>
      <c r="AR47" s="118">
        <v>872</v>
      </c>
      <c r="AS47" s="118">
        <v>816</v>
      </c>
      <c r="AT47" s="118">
        <v>870</v>
      </c>
      <c r="AU47" s="118">
        <v>914</v>
      </c>
      <c r="AV47" s="118">
        <v>735</v>
      </c>
      <c r="AW47" s="118">
        <v>806</v>
      </c>
      <c r="AX47" s="118">
        <v>817</v>
      </c>
      <c r="AY47" s="118">
        <v>802</v>
      </c>
      <c r="AZ47" s="118">
        <v>897</v>
      </c>
      <c r="BA47" s="118">
        <v>921</v>
      </c>
      <c r="BB47" s="118">
        <f>(-VLOOKUP(D47,'[3]22 Desp Op NL'!$V$20:$Z$42,5,0))-BA47</f>
        <v>885</v>
      </c>
      <c r="DW47" s="25"/>
      <c r="FN47"/>
    </row>
    <row r="48" spans="1:170" x14ac:dyDescent="0.2">
      <c r="A48" s="25" t="s">
        <v>141</v>
      </c>
      <c r="B48" s="25" t="s">
        <v>1040</v>
      </c>
      <c r="D48" s="129" t="str">
        <f>IF([1]RENAME!$H$3=1,B48,A48)</f>
        <v>Comunicação</v>
      </c>
      <c r="E48" s="118">
        <v>1485.6488900000002</v>
      </c>
      <c r="F48" s="118">
        <v>1430.7032399999998</v>
      </c>
      <c r="G48" s="118">
        <v>1594.0023899999997</v>
      </c>
      <c r="H48" s="118">
        <v>1432.1880700000004</v>
      </c>
      <c r="I48" s="118">
        <v>1190.0833700000001</v>
      </c>
      <c r="J48" s="118">
        <v>1205.2655699999998</v>
      </c>
      <c r="K48" s="118">
        <v>998.53452000000004</v>
      </c>
      <c r="L48" s="118">
        <v>813.86812999999984</v>
      </c>
      <c r="M48" s="118">
        <v>928.38947999999982</v>
      </c>
      <c r="N48" s="118">
        <v>811.47313000000008</v>
      </c>
      <c r="O48" s="118">
        <v>771.1373900000001</v>
      </c>
      <c r="P48" s="118">
        <v>850</v>
      </c>
      <c r="Q48" s="118">
        <v>593</v>
      </c>
      <c r="R48" s="118">
        <v>596</v>
      </c>
      <c r="S48" s="118">
        <v>624</v>
      </c>
      <c r="T48" s="118">
        <v>625</v>
      </c>
      <c r="U48" s="118">
        <v>600</v>
      </c>
      <c r="V48" s="118">
        <v>545</v>
      </c>
      <c r="W48" s="118">
        <v>556</v>
      </c>
      <c r="X48" s="118">
        <v>701</v>
      </c>
      <c r="Y48" s="118">
        <v>598</v>
      </c>
      <c r="Z48" s="118">
        <v>623</v>
      </c>
      <c r="AA48" s="118">
        <v>618</v>
      </c>
      <c r="AB48" s="118">
        <v>625</v>
      </c>
      <c r="AC48" s="118">
        <v>673</v>
      </c>
      <c r="AD48" s="118">
        <v>593</v>
      </c>
      <c r="AE48" s="118">
        <v>642</v>
      </c>
      <c r="AF48" s="118">
        <v>600</v>
      </c>
      <c r="AG48" s="118">
        <v>631</v>
      </c>
      <c r="AH48" s="118">
        <v>604</v>
      </c>
      <c r="AI48" s="118">
        <v>531</v>
      </c>
      <c r="AJ48" s="118">
        <v>599</v>
      </c>
      <c r="AK48" s="118">
        <v>583</v>
      </c>
      <c r="AL48" s="118">
        <v>585</v>
      </c>
      <c r="AM48" s="118">
        <v>611</v>
      </c>
      <c r="AN48" s="118">
        <v>579</v>
      </c>
      <c r="AO48" s="118">
        <v>536</v>
      </c>
      <c r="AP48" s="118">
        <v>537</v>
      </c>
      <c r="AQ48" s="118">
        <v>564</v>
      </c>
      <c r="AR48" s="118">
        <v>580</v>
      </c>
      <c r="AS48" s="118">
        <v>518</v>
      </c>
      <c r="AT48" s="118">
        <v>501</v>
      </c>
      <c r="AU48" s="118">
        <v>591</v>
      </c>
      <c r="AV48" s="118">
        <v>822</v>
      </c>
      <c r="AW48" s="118">
        <v>408</v>
      </c>
      <c r="AX48" s="118">
        <v>490</v>
      </c>
      <c r="AY48" s="118">
        <v>679</v>
      </c>
      <c r="AZ48" s="118">
        <v>821</v>
      </c>
      <c r="BA48" s="118">
        <v>608</v>
      </c>
      <c r="BB48" s="118">
        <f>(-VLOOKUP(D48,'[3]22 Desp Op NL'!$V$20:$Z$42,5,0))-BA48</f>
        <v>745</v>
      </c>
      <c r="DW48" s="25"/>
      <c r="FN48"/>
    </row>
    <row r="49" spans="1:170" x14ac:dyDescent="0.2">
      <c r="A49" s="25" t="s">
        <v>138</v>
      </c>
      <c r="B49" s="25" t="s">
        <v>1042</v>
      </c>
      <c r="D49" s="129" t="str">
        <f>IF([1]RENAME!$H$3=1,B49,A49)</f>
        <v>Outros gastos com pessoal</v>
      </c>
      <c r="E49" s="118">
        <v>3652.5719900000004</v>
      </c>
      <c r="F49" s="118">
        <v>2068.3599099999992</v>
      </c>
      <c r="G49" s="118">
        <v>1371.1523200000022</v>
      </c>
      <c r="H49" s="118">
        <v>2781.0730999999987</v>
      </c>
      <c r="I49" s="118">
        <v>1421.1016999999997</v>
      </c>
      <c r="J49" s="118">
        <v>678.52998000000002</v>
      </c>
      <c r="K49" s="118">
        <v>1557.9535300000002</v>
      </c>
      <c r="L49" s="118">
        <v>1852.9910899999998</v>
      </c>
      <c r="M49" s="118">
        <v>498.25901999999996</v>
      </c>
      <c r="N49" s="118">
        <v>907.21459000000004</v>
      </c>
      <c r="O49" s="118">
        <v>591.52638999999999</v>
      </c>
      <c r="P49" s="118">
        <v>890</v>
      </c>
      <c r="Q49" s="118">
        <v>526</v>
      </c>
      <c r="R49" s="118">
        <v>863</v>
      </c>
      <c r="S49" s="118">
        <v>1488</v>
      </c>
      <c r="T49" s="118">
        <v>2142</v>
      </c>
      <c r="U49" s="118">
        <v>1396</v>
      </c>
      <c r="V49" s="118">
        <v>-873</v>
      </c>
      <c r="W49" s="118">
        <v>1409</v>
      </c>
      <c r="X49" s="118">
        <v>1710</v>
      </c>
      <c r="Y49" s="118">
        <v>968</v>
      </c>
      <c r="Z49" s="118">
        <v>2001</v>
      </c>
      <c r="AA49" s="118">
        <v>1825</v>
      </c>
      <c r="AB49" s="118">
        <v>2761</v>
      </c>
      <c r="AC49" s="118">
        <v>1578</v>
      </c>
      <c r="AD49" s="118">
        <v>1601</v>
      </c>
      <c r="AE49" s="118">
        <v>480</v>
      </c>
      <c r="AF49" s="118">
        <v>1002</v>
      </c>
      <c r="AG49" s="118">
        <v>933</v>
      </c>
      <c r="AH49" s="118">
        <v>1123</v>
      </c>
      <c r="AI49" s="118">
        <v>710</v>
      </c>
      <c r="AJ49" s="118">
        <v>1375</v>
      </c>
      <c r="AK49" s="118">
        <v>1360</v>
      </c>
      <c r="AL49" s="118">
        <v>1708</v>
      </c>
      <c r="AM49" s="118">
        <v>1873</v>
      </c>
      <c r="AN49" s="118">
        <v>2500</v>
      </c>
      <c r="AO49" s="118">
        <v>1435</v>
      </c>
      <c r="AP49" s="118">
        <v>1653</v>
      </c>
      <c r="AQ49" s="118">
        <v>2101</v>
      </c>
      <c r="AR49" s="118">
        <v>4433</v>
      </c>
      <c r="AS49" s="118">
        <v>2019</v>
      </c>
      <c r="AT49" s="118">
        <v>1786</v>
      </c>
      <c r="AU49" s="118">
        <v>3068</v>
      </c>
      <c r="AV49" s="118">
        <v>4870</v>
      </c>
      <c r="AW49" s="118">
        <v>2511</v>
      </c>
      <c r="AX49" s="118">
        <v>2774</v>
      </c>
      <c r="AY49" s="118">
        <v>3608</v>
      </c>
      <c r="AZ49" s="118">
        <v>7359</v>
      </c>
      <c r="BA49" s="118">
        <v>2705</v>
      </c>
      <c r="BB49" s="118">
        <f>(-VLOOKUP(D49,'[3]22 Desp Op NL'!$V$20:$Z$42,5,0))-BA49</f>
        <v>2945</v>
      </c>
      <c r="DW49" s="25"/>
      <c r="FN49"/>
    </row>
    <row r="50" spans="1:170" x14ac:dyDescent="0.2">
      <c r="A50" s="25" t="s">
        <v>485</v>
      </c>
      <c r="B50" s="25" t="s">
        <v>1048</v>
      </c>
      <c r="D50" s="129" t="str">
        <f>IF([1]RENAME!$H$3=1,B50,A50)</f>
        <v>Custos rescisórios</v>
      </c>
      <c r="E50" s="118">
        <v>2193.1668200000004</v>
      </c>
      <c r="F50" s="118">
        <v>978.0475899999999</v>
      </c>
      <c r="G50" s="118">
        <v>922.21433999999988</v>
      </c>
      <c r="H50" s="118">
        <v>801.0224199999999</v>
      </c>
      <c r="I50" s="118">
        <v>661.42089999999996</v>
      </c>
      <c r="J50" s="118">
        <v>1867.6492000000003</v>
      </c>
      <c r="K50" s="118">
        <v>1613.9045799999997</v>
      </c>
      <c r="L50" s="118">
        <v>1517.7839900000001</v>
      </c>
      <c r="M50" s="118">
        <v>2120.5656600000002</v>
      </c>
      <c r="N50" s="118">
        <v>654.67809999999963</v>
      </c>
      <c r="O50" s="118">
        <v>782.75624000000016</v>
      </c>
      <c r="P50" s="118">
        <v>1421</v>
      </c>
      <c r="Q50" s="118">
        <v>516</v>
      </c>
      <c r="R50" s="118">
        <v>-78</v>
      </c>
      <c r="S50" s="118">
        <v>242</v>
      </c>
      <c r="T50" s="118">
        <v>2509</v>
      </c>
      <c r="U50" s="118">
        <v>390</v>
      </c>
      <c r="V50" s="118">
        <v>650</v>
      </c>
      <c r="W50" s="118">
        <v>386</v>
      </c>
      <c r="X50" s="118">
        <v>992</v>
      </c>
      <c r="Y50" s="118">
        <v>594</v>
      </c>
      <c r="Z50" s="118">
        <v>736</v>
      </c>
      <c r="AA50" s="118">
        <v>605</v>
      </c>
      <c r="AB50" s="118">
        <v>568</v>
      </c>
      <c r="AC50" s="118">
        <v>910</v>
      </c>
      <c r="AD50" s="118">
        <v>3726</v>
      </c>
      <c r="AE50" s="118">
        <v>222</v>
      </c>
      <c r="AF50" s="118">
        <v>316</v>
      </c>
      <c r="AG50" s="118">
        <v>507</v>
      </c>
      <c r="AH50" s="118">
        <v>326</v>
      </c>
      <c r="AI50" s="118">
        <v>272</v>
      </c>
      <c r="AJ50" s="118">
        <v>712</v>
      </c>
      <c r="AK50" s="118">
        <v>238</v>
      </c>
      <c r="AL50" s="118">
        <v>472</v>
      </c>
      <c r="AM50" s="118">
        <v>401</v>
      </c>
      <c r="AN50" s="118">
        <v>509</v>
      </c>
      <c r="AO50" s="118">
        <v>321</v>
      </c>
      <c r="AP50" s="118">
        <v>376</v>
      </c>
      <c r="AQ50" s="118">
        <v>894</v>
      </c>
      <c r="AR50" s="118">
        <v>202</v>
      </c>
      <c r="AS50" s="118">
        <v>720</v>
      </c>
      <c r="AT50" s="118">
        <v>526</v>
      </c>
      <c r="AU50" s="118">
        <v>467</v>
      </c>
      <c r="AV50" s="118">
        <v>472</v>
      </c>
      <c r="AW50" s="118">
        <v>834</v>
      </c>
      <c r="AX50" s="118">
        <v>603</v>
      </c>
      <c r="AY50" s="118">
        <v>529</v>
      </c>
      <c r="AZ50" s="118">
        <v>981</v>
      </c>
      <c r="BA50" s="118">
        <v>616</v>
      </c>
      <c r="BB50" s="118">
        <f>(-VLOOKUP(D50,'[3]22 Desp Op NL'!$V$20:$Z$42,5,0))-BA50</f>
        <v>540</v>
      </c>
      <c r="DW50" s="25"/>
      <c r="FN50"/>
    </row>
    <row r="51" spans="1:170" x14ac:dyDescent="0.2">
      <c r="A51" s="25" t="s">
        <v>144</v>
      </c>
      <c r="B51" s="25" t="s">
        <v>1044</v>
      </c>
      <c r="D51" s="129" t="str">
        <f>IF([1]RENAME!$H$3=1,B51,A51)</f>
        <v>Materiais</v>
      </c>
      <c r="E51" s="118">
        <v>516.19083000000012</v>
      </c>
      <c r="F51" s="118">
        <v>462.70261999999985</v>
      </c>
      <c r="G51" s="118">
        <v>466.46182000000005</v>
      </c>
      <c r="H51" s="118">
        <v>482.41881999999981</v>
      </c>
      <c r="I51" s="118">
        <v>438.00299999999993</v>
      </c>
      <c r="J51" s="118">
        <v>1027.1091700000002</v>
      </c>
      <c r="K51" s="118">
        <v>804.19311000000005</v>
      </c>
      <c r="L51" s="118">
        <v>1156.4695499999993</v>
      </c>
      <c r="M51" s="118">
        <v>1186.3935800000002</v>
      </c>
      <c r="N51" s="118">
        <v>489.26584999999955</v>
      </c>
      <c r="O51" s="118">
        <v>640.3405700000003</v>
      </c>
      <c r="P51" s="118">
        <v>475</v>
      </c>
      <c r="Q51" s="118">
        <v>449</v>
      </c>
      <c r="R51" s="118">
        <v>464</v>
      </c>
      <c r="S51" s="118">
        <v>540</v>
      </c>
      <c r="T51" s="118">
        <v>540</v>
      </c>
      <c r="U51" s="118">
        <v>411</v>
      </c>
      <c r="V51" s="118">
        <v>545</v>
      </c>
      <c r="W51" s="118">
        <v>516</v>
      </c>
      <c r="X51" s="118">
        <v>535</v>
      </c>
      <c r="Y51" s="118">
        <v>451</v>
      </c>
      <c r="Z51" s="118">
        <v>801</v>
      </c>
      <c r="AA51" s="118">
        <v>632</v>
      </c>
      <c r="AB51" s="118">
        <v>883</v>
      </c>
      <c r="AC51" s="118">
        <v>555</v>
      </c>
      <c r="AD51" s="118">
        <v>191</v>
      </c>
      <c r="AE51" s="118">
        <v>421</v>
      </c>
      <c r="AF51" s="118">
        <v>655</v>
      </c>
      <c r="AG51" s="118">
        <v>358</v>
      </c>
      <c r="AH51" s="118">
        <v>406</v>
      </c>
      <c r="AI51" s="118">
        <v>521</v>
      </c>
      <c r="AJ51" s="118">
        <v>739</v>
      </c>
      <c r="AK51" s="118">
        <v>647</v>
      </c>
      <c r="AL51" s="118">
        <v>694</v>
      </c>
      <c r="AM51" s="118">
        <v>987</v>
      </c>
      <c r="AN51" s="118">
        <v>1055</v>
      </c>
      <c r="AO51" s="118">
        <v>842</v>
      </c>
      <c r="AP51" s="118">
        <v>821</v>
      </c>
      <c r="AQ51" s="118">
        <v>839</v>
      </c>
      <c r="AR51" s="118">
        <v>945</v>
      </c>
      <c r="AS51" s="118">
        <v>818</v>
      </c>
      <c r="AT51" s="118">
        <v>830</v>
      </c>
      <c r="AU51" s="118">
        <v>975</v>
      </c>
      <c r="AV51" s="118">
        <v>755</v>
      </c>
      <c r="AW51" s="118">
        <v>619</v>
      </c>
      <c r="AX51" s="118">
        <v>627</v>
      </c>
      <c r="AY51" s="118">
        <v>704</v>
      </c>
      <c r="AZ51" s="118">
        <v>816</v>
      </c>
      <c r="BA51" s="118">
        <v>586</v>
      </c>
      <c r="BB51" s="118">
        <f>(-VLOOKUP(D51,'[3]22 Desp Op NL'!$V$20:$Z$42,5,0))-BA51</f>
        <v>808</v>
      </c>
      <c r="DW51" s="25"/>
      <c r="FN51"/>
    </row>
    <row r="52" spans="1:170" x14ac:dyDescent="0.2">
      <c r="A52" s="25" t="s">
        <v>146</v>
      </c>
      <c r="B52" s="25" t="s">
        <v>1047</v>
      </c>
      <c r="D52" s="129" t="str">
        <f>IF([1]RENAME!$H$3=1,B52,A52)</f>
        <v>Despesa de viagem</v>
      </c>
      <c r="E52" s="118">
        <v>231.84638000000001</v>
      </c>
      <c r="F52" s="118">
        <v>185.14165999999997</v>
      </c>
      <c r="G52" s="118">
        <v>365.46507000000003</v>
      </c>
      <c r="H52" s="118">
        <v>362.06391000000002</v>
      </c>
      <c r="I52" s="118">
        <v>256.09258999999997</v>
      </c>
      <c r="J52" s="118">
        <v>275.36003000000005</v>
      </c>
      <c r="K52" s="118">
        <v>409.93263000000002</v>
      </c>
      <c r="L52" s="118">
        <v>366.35415999999992</v>
      </c>
      <c r="M52" s="118">
        <v>134.99349000000001</v>
      </c>
      <c r="N52" s="118">
        <v>204.69192999999996</v>
      </c>
      <c r="O52" s="118">
        <v>190.31458000000003</v>
      </c>
      <c r="P52" s="118">
        <v>253</v>
      </c>
      <c r="Q52" s="118">
        <v>328</v>
      </c>
      <c r="R52" s="118">
        <v>435</v>
      </c>
      <c r="S52" s="118">
        <v>590</v>
      </c>
      <c r="T52" s="118">
        <v>536</v>
      </c>
      <c r="U52" s="118">
        <v>395</v>
      </c>
      <c r="V52" s="118">
        <v>516</v>
      </c>
      <c r="W52" s="118">
        <v>437</v>
      </c>
      <c r="X52" s="118">
        <v>516</v>
      </c>
      <c r="Y52" s="118">
        <v>412</v>
      </c>
      <c r="Z52" s="118">
        <v>441</v>
      </c>
      <c r="AA52" s="118">
        <v>548</v>
      </c>
      <c r="AB52" s="118">
        <v>452</v>
      </c>
      <c r="AC52" s="118">
        <v>377</v>
      </c>
      <c r="AD52" s="118">
        <v>241</v>
      </c>
      <c r="AE52" s="118">
        <v>408</v>
      </c>
      <c r="AF52" s="118">
        <v>187</v>
      </c>
      <c r="AG52" s="118">
        <v>169</v>
      </c>
      <c r="AH52" s="118">
        <v>227</v>
      </c>
      <c r="AI52" s="118">
        <v>196</v>
      </c>
      <c r="AJ52" s="118">
        <v>558</v>
      </c>
      <c r="AK52" s="118">
        <v>628</v>
      </c>
      <c r="AL52" s="118">
        <v>769</v>
      </c>
      <c r="AM52" s="118">
        <v>650</v>
      </c>
      <c r="AN52" s="118">
        <v>719</v>
      </c>
      <c r="AO52" s="118">
        <v>647</v>
      </c>
      <c r="AP52" s="118">
        <v>796</v>
      </c>
      <c r="AQ52" s="118">
        <v>798</v>
      </c>
      <c r="AR52" s="118">
        <v>805</v>
      </c>
      <c r="AS52" s="118">
        <v>601</v>
      </c>
      <c r="AT52" s="118">
        <v>786</v>
      </c>
      <c r="AU52" s="118">
        <v>982</v>
      </c>
      <c r="AV52" s="118">
        <v>1396</v>
      </c>
      <c r="AW52" s="118">
        <v>1061</v>
      </c>
      <c r="AX52" s="118">
        <v>1056</v>
      </c>
      <c r="AY52" s="118">
        <v>1150</v>
      </c>
      <c r="AZ52" s="118">
        <v>1349</v>
      </c>
      <c r="BA52" s="118">
        <v>817</v>
      </c>
      <c r="BB52" s="118">
        <f>(-VLOOKUP(D52,'[3]22 Desp Op NL'!$V$20:$Z$42,5,0))-BA52</f>
        <v>808</v>
      </c>
      <c r="DW52" s="25"/>
      <c r="FN52"/>
    </row>
    <row r="53" spans="1:170" x14ac:dyDescent="0.2">
      <c r="A53" s="25" t="s">
        <v>147</v>
      </c>
      <c r="B53" s="25" t="s">
        <v>1046</v>
      </c>
      <c r="D53" s="129" t="str">
        <f>IF([1]RENAME!$H$3=1,B53,A53)</f>
        <v>Indenização de extravio</v>
      </c>
      <c r="E53" s="118">
        <v>29.600710000000007</v>
      </c>
      <c r="F53" s="118">
        <v>125.34341999999997</v>
      </c>
      <c r="G53" s="118">
        <v>137.31851000000003</v>
      </c>
      <c r="H53" s="118">
        <v>34.009970000000031</v>
      </c>
      <c r="I53" s="118">
        <v>74.650120000000001</v>
      </c>
      <c r="J53" s="118">
        <v>152.62701000000001</v>
      </c>
      <c r="K53" s="118">
        <v>78.771660000000026</v>
      </c>
      <c r="L53" s="118">
        <v>56.562139999999957</v>
      </c>
      <c r="M53" s="118">
        <v>62.890190000000004</v>
      </c>
      <c r="N53" s="118">
        <v>254.18207000000001</v>
      </c>
      <c r="O53" s="118">
        <v>60.927739999999972</v>
      </c>
      <c r="P53" s="118">
        <v>394</v>
      </c>
      <c r="Q53" s="118">
        <v>287</v>
      </c>
      <c r="R53" s="118">
        <v>321</v>
      </c>
      <c r="S53" s="118">
        <v>16</v>
      </c>
      <c r="T53" s="118">
        <v>-28</v>
      </c>
      <c r="U53" s="118">
        <v>277</v>
      </c>
      <c r="V53" s="118">
        <v>137</v>
      </c>
      <c r="W53" s="118">
        <v>142</v>
      </c>
      <c r="X53" s="118">
        <v>87</v>
      </c>
      <c r="Y53" s="118">
        <v>97</v>
      </c>
      <c r="Z53" s="118">
        <v>49</v>
      </c>
      <c r="AA53" s="118">
        <v>186</v>
      </c>
      <c r="AB53" s="118">
        <v>52</v>
      </c>
      <c r="AC53" s="118">
        <v>201</v>
      </c>
      <c r="AD53" s="118">
        <v>41</v>
      </c>
      <c r="AE53" s="118">
        <v>104</v>
      </c>
      <c r="AF53" s="118">
        <v>128</v>
      </c>
      <c r="AG53" s="118">
        <v>78</v>
      </c>
      <c r="AH53" s="118">
        <v>126</v>
      </c>
      <c r="AI53" s="118">
        <v>92</v>
      </c>
      <c r="AJ53" s="118">
        <v>1351</v>
      </c>
      <c r="AK53" s="118">
        <v>120</v>
      </c>
      <c r="AL53" s="118">
        <v>175</v>
      </c>
      <c r="AM53" s="118">
        <v>29</v>
      </c>
      <c r="AN53" s="118">
        <v>135</v>
      </c>
      <c r="AO53" s="118">
        <v>99</v>
      </c>
      <c r="AP53" s="118">
        <v>319</v>
      </c>
      <c r="AQ53" s="118">
        <v>126</v>
      </c>
      <c r="AR53" s="118">
        <v>226</v>
      </c>
      <c r="AS53" s="118">
        <v>258</v>
      </c>
      <c r="AT53" s="118">
        <v>315</v>
      </c>
      <c r="AU53" s="118">
        <v>308</v>
      </c>
      <c r="AV53" s="118">
        <v>154</v>
      </c>
      <c r="AW53" s="118">
        <v>24</v>
      </c>
      <c r="AX53" s="118">
        <v>111</v>
      </c>
      <c r="AY53" s="118">
        <v>614</v>
      </c>
      <c r="AZ53" s="118">
        <v>619</v>
      </c>
      <c r="BA53" s="118">
        <v>628</v>
      </c>
      <c r="BB53" s="118">
        <f>(-VLOOKUP(D53,'[3]22 Desp Op NL'!$V$20:$Z$42,5,0))-BA53</f>
        <v>599</v>
      </c>
      <c r="DW53" s="25"/>
      <c r="FN53"/>
    </row>
    <row r="54" spans="1:170" x14ac:dyDescent="0.2">
      <c r="A54" s="25" t="s">
        <v>145</v>
      </c>
      <c r="B54" s="25" t="s">
        <v>1045</v>
      </c>
      <c r="D54" s="129" t="str">
        <f>IF([1]RENAME!$H$3=1,B54,A54)</f>
        <v>Contribuições e doações</v>
      </c>
      <c r="E54" s="118">
        <v>390.85480000000007</v>
      </c>
      <c r="F54" s="118">
        <v>416.04982999999982</v>
      </c>
      <c r="G54" s="118">
        <v>97.59880000000004</v>
      </c>
      <c r="H54" s="118">
        <v>79.333199999999948</v>
      </c>
      <c r="I54" s="118">
        <v>344.01079999999996</v>
      </c>
      <c r="J54" s="118">
        <v>208.09657000000001</v>
      </c>
      <c r="K54" s="118">
        <v>96.027200000000065</v>
      </c>
      <c r="L54" s="118">
        <v>116.40803999999991</v>
      </c>
      <c r="M54" s="118">
        <v>61.965000000000003</v>
      </c>
      <c r="N54" s="118">
        <v>412.70000000000005</v>
      </c>
      <c r="O54" s="118">
        <v>31.334999999999923</v>
      </c>
      <c r="P54" s="118">
        <v>35</v>
      </c>
      <c r="Q54" s="118">
        <v>29</v>
      </c>
      <c r="R54" s="118">
        <v>423</v>
      </c>
      <c r="S54" s="118">
        <v>58</v>
      </c>
      <c r="T54" s="118">
        <v>71</v>
      </c>
      <c r="U54" s="118">
        <v>258</v>
      </c>
      <c r="V54" s="118">
        <v>336</v>
      </c>
      <c r="W54" s="118">
        <v>67</v>
      </c>
      <c r="X54" s="118">
        <v>200</v>
      </c>
      <c r="Y54" s="118">
        <v>360</v>
      </c>
      <c r="Z54" s="118">
        <v>-5</v>
      </c>
      <c r="AA54" s="118">
        <v>41</v>
      </c>
      <c r="AB54" s="118">
        <v>187</v>
      </c>
      <c r="AC54" s="118">
        <v>17</v>
      </c>
      <c r="AD54" s="118">
        <v>4</v>
      </c>
      <c r="AE54" s="118">
        <v>70</v>
      </c>
      <c r="AF54" s="118">
        <v>49</v>
      </c>
      <c r="AG54" s="118">
        <v>194</v>
      </c>
      <c r="AH54" s="118">
        <v>28</v>
      </c>
      <c r="AI54" s="118">
        <v>52</v>
      </c>
      <c r="AJ54" s="118">
        <v>40</v>
      </c>
      <c r="AK54" s="118">
        <v>148</v>
      </c>
      <c r="AL54" s="118">
        <v>192</v>
      </c>
      <c r="AM54" s="118">
        <v>82</v>
      </c>
      <c r="AN54" s="118">
        <v>303</v>
      </c>
      <c r="AO54" s="118">
        <v>1833</v>
      </c>
      <c r="AP54" s="118">
        <v>297</v>
      </c>
      <c r="AQ54" s="118">
        <v>300</v>
      </c>
      <c r="AR54" s="118">
        <v>747</v>
      </c>
      <c r="AS54" s="118">
        <v>305</v>
      </c>
      <c r="AT54" s="118">
        <v>269</v>
      </c>
      <c r="AU54" s="118">
        <v>786</v>
      </c>
      <c r="AV54" s="118">
        <v>427</v>
      </c>
      <c r="AW54" s="118">
        <v>252</v>
      </c>
      <c r="AX54" s="118">
        <v>415</v>
      </c>
      <c r="AY54" s="118">
        <v>296</v>
      </c>
      <c r="AZ54" s="118">
        <v>497</v>
      </c>
      <c r="BA54" s="118">
        <v>147</v>
      </c>
      <c r="BB54" s="118">
        <f>(-VLOOKUP(D54,'[3]22 Desp Op NL'!$V$20:$Z$42,5,0))-BA54</f>
        <v>212</v>
      </c>
      <c r="DW54" s="25"/>
      <c r="FN54"/>
    </row>
    <row r="55" spans="1:170" x14ac:dyDescent="0.2">
      <c r="A55" s="25" t="s">
        <v>410</v>
      </c>
      <c r="B55" s="25" t="s">
        <v>1050</v>
      </c>
      <c r="D55" s="129" t="str">
        <f>IF([1]RENAME!$H$3=1,B55,A55)</f>
        <v>Multas contratuais</v>
      </c>
      <c r="E55" s="118">
        <v>0</v>
      </c>
      <c r="F55" s="118">
        <v>0</v>
      </c>
      <c r="G55" s="118">
        <v>0</v>
      </c>
      <c r="H55" s="118">
        <v>0</v>
      </c>
      <c r="I55" s="118">
        <v>0</v>
      </c>
      <c r="J55" s="118">
        <v>0</v>
      </c>
      <c r="K55" s="118">
        <v>0</v>
      </c>
      <c r="L55" s="118">
        <v>48.125</v>
      </c>
      <c r="M55" s="118">
        <v>15.85765</v>
      </c>
      <c r="N55" s="118">
        <v>0</v>
      </c>
      <c r="O55" s="118">
        <v>0.14235000000000042</v>
      </c>
      <c r="P55" s="118">
        <v>0</v>
      </c>
      <c r="Q55" s="118">
        <v>0</v>
      </c>
      <c r="R55" s="118">
        <v>0</v>
      </c>
      <c r="S55" s="118">
        <v>0</v>
      </c>
      <c r="T55" s="118">
        <v>0</v>
      </c>
      <c r="U55" s="118">
        <v>0</v>
      </c>
      <c r="V55" s="118">
        <v>473</v>
      </c>
      <c r="W55" s="118">
        <v>0</v>
      </c>
      <c r="X55" s="118">
        <v>3</v>
      </c>
      <c r="Y55" s="118">
        <v>0</v>
      </c>
      <c r="Z55" s="118">
        <v>2</v>
      </c>
      <c r="AA55" s="118">
        <v>0</v>
      </c>
      <c r="AB55" s="118">
        <v>0</v>
      </c>
      <c r="AC55" s="118">
        <v>0</v>
      </c>
      <c r="AD55" s="118">
        <v>0</v>
      </c>
      <c r="AE55" s="118">
        <v>118</v>
      </c>
      <c r="AF55" s="118">
        <v>0</v>
      </c>
      <c r="AG55" s="118">
        <v>0</v>
      </c>
      <c r="AH55" s="118">
        <v>0</v>
      </c>
      <c r="AI55" s="118">
        <v>0</v>
      </c>
      <c r="AJ55" s="118">
        <v>0</v>
      </c>
      <c r="AK55" s="118">
        <v>0</v>
      </c>
      <c r="AL55" s="118">
        <v>0</v>
      </c>
      <c r="AM55" s="118">
        <v>0</v>
      </c>
      <c r="AN55" s="118">
        <v>0</v>
      </c>
      <c r="AO55" s="118">
        <v>0</v>
      </c>
      <c r="AP55" s="118">
        <v>0</v>
      </c>
      <c r="AQ55" s="118">
        <v>0</v>
      </c>
      <c r="AR55" s="118">
        <v>0</v>
      </c>
      <c r="AS55" s="118">
        <v>2</v>
      </c>
      <c r="AT55" s="118">
        <v>0</v>
      </c>
      <c r="AU55" s="118">
        <v>0</v>
      </c>
      <c r="AV55" s="118">
        <v>-2</v>
      </c>
      <c r="AW55" s="118">
        <v>0</v>
      </c>
      <c r="AX55" s="118">
        <v>0</v>
      </c>
      <c r="AY55" s="118">
        <v>0</v>
      </c>
      <c r="AZ55" s="118">
        <v>0</v>
      </c>
      <c r="BA55" s="118">
        <v>0</v>
      </c>
      <c r="BB55" s="118">
        <f>(-VLOOKUP(D55,'[3]22 Desp Op NL'!$V$20:$Z$42,5,0))-BA55</f>
        <v>0</v>
      </c>
      <c r="DW55" s="25"/>
      <c r="FN55"/>
    </row>
    <row r="56" spans="1:170" ht="57" x14ac:dyDescent="0.2">
      <c r="A56" s="1141" t="s">
        <v>2114</v>
      </c>
      <c r="B56" s="25" t="s">
        <v>2116</v>
      </c>
      <c r="D56" s="129" t="str">
        <f>IF([1]RENAME!$H$3=1,B56,A56)</f>
        <v>Perda por redução ao valor
   recuperável de contas a receber</v>
      </c>
      <c r="E56" s="118">
        <v>0</v>
      </c>
      <c r="F56" s="118">
        <v>0</v>
      </c>
      <c r="G56" s="118">
        <v>0</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8">
        <v>0</v>
      </c>
      <c r="Y56" s="118">
        <v>0</v>
      </c>
      <c r="Z56" s="118">
        <v>0</v>
      </c>
      <c r="AA56" s="118">
        <v>0</v>
      </c>
      <c r="AB56" s="118">
        <v>0</v>
      </c>
      <c r="AC56" s="118">
        <v>0</v>
      </c>
      <c r="AD56" s="118">
        <v>0</v>
      </c>
      <c r="AE56" s="118">
        <v>0</v>
      </c>
      <c r="AF56" s="118">
        <v>0</v>
      </c>
      <c r="AG56" s="118">
        <v>0</v>
      </c>
      <c r="AH56" s="118">
        <v>0</v>
      </c>
      <c r="AI56" s="118">
        <v>0</v>
      </c>
      <c r="AJ56" s="118">
        <v>0</v>
      </c>
      <c r="AK56" s="118">
        <v>90</v>
      </c>
      <c r="AL56" s="118">
        <f>346-AK56</f>
        <v>256</v>
      </c>
      <c r="AM56" s="118">
        <f>275-SUM(AK56:AL56)</f>
        <v>-71</v>
      </c>
      <c r="AN56" s="118">
        <f>215-SUM(AK56:AM56)</f>
        <v>-60</v>
      </c>
      <c r="AO56" s="118">
        <v>3</v>
      </c>
      <c r="AP56" s="118">
        <v>492</v>
      </c>
      <c r="AQ56" s="118">
        <v>66</v>
      </c>
      <c r="AR56" s="118">
        <v>-12</v>
      </c>
      <c r="AS56" s="118">
        <v>77</v>
      </c>
      <c r="AT56" s="118">
        <v>122</v>
      </c>
      <c r="AU56" s="118">
        <v>640</v>
      </c>
      <c r="AV56" s="118">
        <v>2053</v>
      </c>
      <c r="AW56" s="118">
        <v>677</v>
      </c>
      <c r="AX56" s="118">
        <v>-851</v>
      </c>
      <c r="AY56" s="118">
        <v>-314</v>
      </c>
      <c r="AZ56" s="118">
        <v>-468</v>
      </c>
      <c r="BA56" s="118">
        <v>485</v>
      </c>
      <c r="BB56" s="118">
        <f>(-VLOOKUP(D56,'[3]22 Desp Op NL'!$V$20:$Z$42,5,0))-BA56</f>
        <v>490</v>
      </c>
      <c r="DW56" s="25"/>
      <c r="FN56"/>
    </row>
    <row r="57" spans="1:170" x14ac:dyDescent="0.2">
      <c r="A57" s="25" t="s">
        <v>479</v>
      </c>
      <c r="B57" s="25" t="s">
        <v>700</v>
      </c>
      <c r="D57" s="129" t="s">
        <v>1292</v>
      </c>
      <c r="E57" s="118">
        <v>-20373.24884</v>
      </c>
      <c r="F57" s="118">
        <v>-22382.802220000001</v>
      </c>
      <c r="G57" s="118">
        <v>-22131.035759999999</v>
      </c>
      <c r="H57" s="118">
        <v>-24978.858369999998</v>
      </c>
      <c r="I57" s="118">
        <v>-18794.474120000003</v>
      </c>
      <c r="J57" s="118">
        <v>-16819.068389999997</v>
      </c>
      <c r="K57" s="118">
        <v>-16014.576429999999</v>
      </c>
      <c r="L57" s="118">
        <v>-16634.477840000003</v>
      </c>
      <c r="M57" s="118">
        <v>-11783.641019999999</v>
      </c>
      <c r="N57" s="118">
        <v>-13022.94212</v>
      </c>
      <c r="O57" s="118">
        <v>-13936.416860000001</v>
      </c>
      <c r="P57" s="118">
        <v>-14307</v>
      </c>
      <c r="Q57" s="118">
        <v>-12303</v>
      </c>
      <c r="R57" s="118">
        <v>-15058</v>
      </c>
      <c r="S57" s="118">
        <v>-16871</v>
      </c>
      <c r="T57" s="118">
        <v>-44332</v>
      </c>
      <c r="U57" s="118">
        <v>-16779</v>
      </c>
      <c r="V57" s="118">
        <v>-19345</v>
      </c>
      <c r="W57" s="118">
        <v>-21646</v>
      </c>
      <c r="X57" s="118">
        <v>-22825</v>
      </c>
      <c r="Y57" s="118">
        <v>-18565</v>
      </c>
      <c r="Z57" s="118">
        <v>-20114</v>
      </c>
      <c r="AA57" s="118">
        <v>-18988</v>
      </c>
      <c r="AB57" s="118">
        <v>-22264</v>
      </c>
      <c r="AC57" s="118">
        <v>-16337</v>
      </c>
      <c r="AD57" s="118">
        <v>-6028</v>
      </c>
      <c r="AE57" s="118">
        <v>-16895</v>
      </c>
      <c r="AF57" s="118">
        <v>-18402</v>
      </c>
      <c r="AG57" s="118">
        <v>-13540</v>
      </c>
      <c r="AH57" s="118">
        <v>-14467</v>
      </c>
      <c r="AI57" s="118">
        <v>-12735</v>
      </c>
      <c r="AJ57" s="118">
        <v>-17937</v>
      </c>
      <c r="AK57" s="118">
        <v>-13629</v>
      </c>
      <c r="AL57" s="118">
        <v>-17473</v>
      </c>
      <c r="AM57" s="118">
        <v>-24449</v>
      </c>
      <c r="AN57" s="118">
        <v>-23624</v>
      </c>
      <c r="AO57" s="118">
        <v>-18459</v>
      </c>
      <c r="AP57" s="118">
        <v>-20444</v>
      </c>
      <c r="AQ57" s="118">
        <v>-23636</v>
      </c>
      <c r="AR57" s="118">
        <v>-25578</v>
      </c>
      <c r="AS57" s="118">
        <v>-21204</v>
      </c>
      <c r="AT57" s="118">
        <v>-26952</v>
      </c>
      <c r="AU57" s="118">
        <v>-36876</v>
      </c>
      <c r="AV57" s="118">
        <v>-35740</v>
      </c>
      <c r="AW57" s="118">
        <v>-24636</v>
      </c>
      <c r="AX57" s="118">
        <v>-30847</v>
      </c>
      <c r="AY57" s="118">
        <v>-36640</v>
      </c>
      <c r="AZ57" s="118">
        <v>-36974</v>
      </c>
      <c r="BA57" s="118">
        <v>-30317</v>
      </c>
      <c r="BB57" s="118">
        <f>(-VLOOKUP(D57,'[3]22 Desp Op NL'!$V$20:$Z$42,5,0))-BA57</f>
        <v>-44190</v>
      </c>
      <c r="DW57" s="25"/>
      <c r="FN57"/>
    </row>
    <row r="58" spans="1:170" s="249" customFormat="1" ht="14.25" customHeight="1" outlineLevel="1" x14ac:dyDescent="0.2">
      <c r="A58" s="249" t="s">
        <v>488</v>
      </c>
      <c r="B58" s="249" t="s">
        <v>1049</v>
      </c>
      <c r="C58" s="233"/>
      <c r="D58" s="250" t="str">
        <f>IF([1]RENAME!$H$3=1,B58,A58)</f>
        <v>Reestruturação armazéns</v>
      </c>
      <c r="E58" s="218">
        <v>0</v>
      </c>
      <c r="F58" s="218">
        <v>0</v>
      </c>
      <c r="G58" s="218">
        <v>0</v>
      </c>
      <c r="H58" s="218">
        <v>0</v>
      </c>
      <c r="I58" s="218">
        <v>0</v>
      </c>
      <c r="J58" s="218">
        <v>0</v>
      </c>
      <c r="K58" s="218">
        <v>0</v>
      </c>
      <c r="L58" s="218">
        <v>0</v>
      </c>
      <c r="M58" s="218">
        <v>0</v>
      </c>
      <c r="N58" s="218">
        <v>0</v>
      </c>
      <c r="O58" s="218">
        <v>0</v>
      </c>
      <c r="P58" s="218">
        <v>0</v>
      </c>
      <c r="Q58" s="218">
        <v>0</v>
      </c>
      <c r="R58" s="218">
        <v>0</v>
      </c>
      <c r="S58" s="218">
        <v>0</v>
      </c>
      <c r="T58" s="218">
        <v>0</v>
      </c>
      <c r="U58" s="218">
        <v>0</v>
      </c>
      <c r="V58" s="218">
        <v>0</v>
      </c>
      <c r="W58" s="218">
        <v>0</v>
      </c>
      <c r="X58" s="218">
        <v>0</v>
      </c>
      <c r="Y58" s="218">
        <v>0</v>
      </c>
      <c r="Z58" s="218"/>
      <c r="AA58" s="218">
        <v>0</v>
      </c>
      <c r="AB58" s="218">
        <v>0</v>
      </c>
      <c r="AC58" s="218">
        <v>0</v>
      </c>
      <c r="AD58" s="218">
        <v>0</v>
      </c>
      <c r="AE58" s="218">
        <v>0</v>
      </c>
      <c r="AF58" s="218">
        <v>0</v>
      </c>
      <c r="AG58" s="218">
        <v>0</v>
      </c>
      <c r="AH58" s="218">
        <v>0</v>
      </c>
      <c r="AI58" s="218">
        <v>0</v>
      </c>
      <c r="AJ58" s="218"/>
      <c r="AK58" s="218">
        <v>0</v>
      </c>
      <c r="AL58" s="218">
        <v>0</v>
      </c>
      <c r="AM58" s="218">
        <v>0</v>
      </c>
      <c r="AN58" s="218">
        <v>0</v>
      </c>
      <c r="AO58" s="218">
        <v>0</v>
      </c>
      <c r="AP58" s="218">
        <v>0</v>
      </c>
      <c r="AQ58" s="218">
        <v>0</v>
      </c>
      <c r="AR58" s="218">
        <v>0</v>
      </c>
      <c r="AS58" s="218">
        <v>0</v>
      </c>
      <c r="AT58" s="218"/>
      <c r="AU58" s="218"/>
      <c r="AV58" s="218">
        <v>0</v>
      </c>
      <c r="AW58" s="218"/>
      <c r="AX58" s="218">
        <v>0</v>
      </c>
      <c r="AY58" s="218">
        <v>0</v>
      </c>
      <c r="AZ58" s="218">
        <v>0</v>
      </c>
      <c r="BA58" s="218">
        <v>0</v>
      </c>
      <c r="BB58" s="118">
        <v>0</v>
      </c>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row>
    <row r="59" spans="1:170" s="249" customFormat="1" ht="26.25" customHeight="1" outlineLevel="1" x14ac:dyDescent="0.2">
      <c r="A59" s="249" t="s">
        <v>1404</v>
      </c>
      <c r="B59" s="249" t="s">
        <v>1264</v>
      </c>
      <c r="C59" s="233"/>
      <c r="D59" s="250" t="str">
        <f>IF([1]RENAME!$H$3=1,B59,A59)</f>
        <v>Provisão para perda de valores com vendas de controladas (i)</v>
      </c>
      <c r="E59" s="218">
        <v>0</v>
      </c>
      <c r="F59" s="218">
        <v>0</v>
      </c>
      <c r="G59" s="218">
        <v>0</v>
      </c>
      <c r="H59" s="218">
        <v>0</v>
      </c>
      <c r="I59" s="218">
        <v>0</v>
      </c>
      <c r="J59" s="218">
        <v>0</v>
      </c>
      <c r="K59" s="218">
        <v>0</v>
      </c>
      <c r="L59" s="218">
        <v>0</v>
      </c>
      <c r="M59" s="218">
        <v>0</v>
      </c>
      <c r="N59" s="218">
        <v>0</v>
      </c>
      <c r="O59" s="218">
        <v>0</v>
      </c>
      <c r="P59" s="218">
        <v>0</v>
      </c>
      <c r="Q59" s="218">
        <v>0</v>
      </c>
      <c r="R59" s="218">
        <v>0</v>
      </c>
      <c r="S59" s="218">
        <v>5733</v>
      </c>
      <c r="T59" s="218">
        <v>5731</v>
      </c>
      <c r="U59" s="218">
        <v>0</v>
      </c>
      <c r="V59" s="218">
        <v>0</v>
      </c>
      <c r="W59" s="218">
        <v>0</v>
      </c>
      <c r="X59" s="218">
        <v>0</v>
      </c>
      <c r="Y59" s="218">
        <v>0</v>
      </c>
      <c r="Z59" s="218"/>
      <c r="AA59" s="218">
        <v>0</v>
      </c>
      <c r="AB59" s="218">
        <v>0</v>
      </c>
      <c r="AC59" s="218">
        <v>0</v>
      </c>
      <c r="AD59" s="218">
        <v>0</v>
      </c>
      <c r="AE59" s="218">
        <v>0</v>
      </c>
      <c r="AF59" s="218">
        <f>-VLOOKUP($D59,'[3]22 desp por natureza'!$A$16:$F$38,2,0)-AC59-AD59-AE59</f>
        <v>0</v>
      </c>
      <c r="AG59" s="218">
        <f>-VLOOKUP($D59,'[3]22 desp por natureza'!$A$16:$F$38,2,0)-AD59-AE59-AF59</f>
        <v>0</v>
      </c>
      <c r="AH59" s="218">
        <f>-VLOOKUP($D59,'[3]22 desp por natureza'!$A$16:$F$38,2,0)-AE59-AF59-AG59</f>
        <v>0</v>
      </c>
      <c r="AI59" s="218">
        <v>0</v>
      </c>
      <c r="AJ59" s="218"/>
      <c r="AK59" s="218">
        <v>0</v>
      </c>
      <c r="AL59" s="218">
        <f>-VLOOKUP($D59,'[3]22 desp por natureza'!$A$16:$F$38,2,0)-AG59-AH59-AI59</f>
        <v>0</v>
      </c>
      <c r="AM59" s="218">
        <f>-VLOOKUP($D59,'[3]22 desp por natureza'!$A$16:$F$38,2,0)-AH59-AI59-AJ59</f>
        <v>0</v>
      </c>
      <c r="AN59" s="218">
        <f>-VLOOKUP($D59,'[3]22 desp por natureza'!$A$16:$F$38,2,0)-AI59-AJ59-AK59</f>
        <v>0</v>
      </c>
      <c r="AO59" s="218">
        <f>-VLOOKUP($D59,'[3]22 desp por natureza'!$A$16:$F$38,2,0)-AJ59-AK59-AL59</f>
        <v>0</v>
      </c>
      <c r="AP59" s="218">
        <f>-VLOOKUP($D59,'[3]22 desp por natureza'!$A$16:$F$38,2,0)-AK59-AL59-AM59</f>
        <v>0</v>
      </c>
      <c r="AQ59" s="218">
        <f>-VLOOKUP($D59,'[3]22 desp por natureza'!$A$16:$F$38,2,0)-AL59-AM59-AN59</f>
        <v>0</v>
      </c>
      <c r="AR59" s="218">
        <f>-VLOOKUP($D59,'[3]22 desp por natureza'!$A$16:$F$38,2,0)-AM59-AN59-AO59</f>
        <v>0</v>
      </c>
      <c r="AS59" s="218">
        <f>-VLOOKUP($D59,'[3]22 desp por natureza'!$A$16:$F$38,2,0)-AN59-AO59-AP59</f>
        <v>0</v>
      </c>
      <c r="AT59" s="218"/>
      <c r="AU59" s="218"/>
      <c r="AV59" s="218">
        <v>0</v>
      </c>
      <c r="AW59" s="218"/>
      <c r="AX59" s="218">
        <f>-VLOOKUP($D59,'[3]22 desp por natureza'!$A$16:$F$38,2,0)-AO59-AP59-AQ59</f>
        <v>0</v>
      </c>
      <c r="AY59" s="218">
        <f>-VLOOKUP($D59,'[3]22 desp por natureza'!$A$16:$F$38,2,0)-AP59-AQ59-AR59</f>
        <v>0</v>
      </c>
      <c r="AZ59" s="218">
        <f>-VLOOKUP($D59,'[3]22 desp por natureza'!$A$16:$F$38,2,0)-AQ59-AR59-AS59</f>
        <v>0</v>
      </c>
      <c r="BA59" s="218">
        <v>0</v>
      </c>
      <c r="BB59" s="118">
        <v>0</v>
      </c>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row>
    <row r="60" spans="1:170" s="249" customFormat="1" ht="14.25" customHeight="1" outlineLevel="1" x14ac:dyDescent="0.2">
      <c r="A60" s="249" t="s">
        <v>489</v>
      </c>
      <c r="B60" s="249" t="s">
        <v>1052</v>
      </c>
      <c r="C60" s="233"/>
      <c r="D60" s="250" t="str">
        <f>IF([1]RENAME!$H$3=1,B60,A60)</f>
        <v>Processos trabalhistas</v>
      </c>
      <c r="E60" s="218">
        <v>0</v>
      </c>
      <c r="F60" s="218">
        <v>0</v>
      </c>
      <c r="G60" s="218">
        <v>0</v>
      </c>
      <c r="H60" s="218">
        <v>-808.30926999999997</v>
      </c>
      <c r="I60" s="218">
        <v>0</v>
      </c>
      <c r="J60" s="218">
        <v>0</v>
      </c>
      <c r="K60" s="218">
        <v>0</v>
      </c>
      <c r="L60" s="218">
        <v>0</v>
      </c>
      <c r="M60" s="218">
        <v>0</v>
      </c>
      <c r="N60" s="218">
        <v>0</v>
      </c>
      <c r="O60" s="218">
        <v>0</v>
      </c>
      <c r="P60" s="218">
        <v>0</v>
      </c>
      <c r="Q60" s="218">
        <v>0</v>
      </c>
      <c r="R60" s="218">
        <v>0</v>
      </c>
      <c r="S60" s="218">
        <v>0</v>
      </c>
      <c r="T60" s="218">
        <v>0</v>
      </c>
      <c r="U60" s="218">
        <v>0</v>
      </c>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row>
    <row r="61" spans="1:170" x14ac:dyDescent="0.2">
      <c r="A61" s="25" t="s">
        <v>148</v>
      </c>
      <c r="B61" s="25" t="s">
        <v>148</v>
      </c>
      <c r="D61" s="126" t="str">
        <f>IF([1]RENAME!$H$3=1,B61,A61)</f>
        <v>Custo do serviços prestados, despesas gerais e administrativas e despesas comerciais</v>
      </c>
      <c r="E61" s="120">
        <f>SUM(E35:E36,E37:E57)</f>
        <v>255024.56138999999</v>
      </c>
      <c r="F61" s="120">
        <f>SUM(F35:F36,F37:F57)</f>
        <v>271653.07647999987</v>
      </c>
      <c r="G61" s="120">
        <f>SUM(G35:G36,G37:G57)</f>
        <v>271442.68369999994</v>
      </c>
      <c r="H61" s="120">
        <f>SUM(H35:H60)</f>
        <v>294049.43739999994</v>
      </c>
      <c r="I61" s="120">
        <f t="shared" ref="I61:BB61" si="16">SUM(I35:I60)</f>
        <v>223124.80430999992</v>
      </c>
      <c r="J61" s="120">
        <f t="shared" si="16"/>
        <v>216383.8612000001</v>
      </c>
      <c r="K61" s="120">
        <f t="shared" si="16"/>
        <v>209808.37304999994</v>
      </c>
      <c r="L61" s="120">
        <f t="shared" si="16"/>
        <v>213821.11607999983</v>
      </c>
      <c r="M61" s="120">
        <f t="shared" si="16"/>
        <v>160448.57318000001</v>
      </c>
      <c r="N61" s="120">
        <f t="shared" si="16"/>
        <v>182066.51512999999</v>
      </c>
      <c r="O61" s="120">
        <f t="shared" si="16"/>
        <v>183685.91169000001</v>
      </c>
      <c r="P61" s="120">
        <f t="shared" si="16"/>
        <v>192098</v>
      </c>
      <c r="Q61" s="120">
        <f t="shared" si="16"/>
        <v>165901</v>
      </c>
      <c r="R61" s="120">
        <f t="shared" si="16"/>
        <v>196210</v>
      </c>
      <c r="S61" s="120">
        <f t="shared" si="16"/>
        <v>223832</v>
      </c>
      <c r="T61" s="120">
        <f t="shared" si="16"/>
        <v>223308</v>
      </c>
      <c r="U61" s="120">
        <f t="shared" si="16"/>
        <v>205487</v>
      </c>
      <c r="V61" s="120">
        <f t="shared" si="16"/>
        <v>228423</v>
      </c>
      <c r="W61" s="120">
        <f t="shared" si="16"/>
        <v>255772</v>
      </c>
      <c r="X61" s="120">
        <f t="shared" si="16"/>
        <v>272054</v>
      </c>
      <c r="Y61" s="120">
        <f t="shared" si="16"/>
        <v>226082</v>
      </c>
      <c r="Z61" s="120">
        <f t="shared" si="16"/>
        <v>245542</v>
      </c>
      <c r="AA61" s="120">
        <f t="shared" si="16"/>
        <v>254357</v>
      </c>
      <c r="AB61" s="120">
        <f t="shared" si="16"/>
        <v>278006</v>
      </c>
      <c r="AC61" s="120">
        <f t="shared" si="16"/>
        <v>214681</v>
      </c>
      <c r="AD61" s="120">
        <f t="shared" si="16"/>
        <v>105616</v>
      </c>
      <c r="AE61" s="120">
        <f t="shared" si="16"/>
        <v>205107</v>
      </c>
      <c r="AF61" s="120">
        <f t="shared" si="16"/>
        <v>229827</v>
      </c>
      <c r="AG61" s="120">
        <f t="shared" si="16"/>
        <v>174329</v>
      </c>
      <c r="AH61" s="120">
        <f t="shared" si="16"/>
        <v>172922</v>
      </c>
      <c r="AI61" s="120">
        <f t="shared" si="16"/>
        <v>171030</v>
      </c>
      <c r="AJ61" s="120">
        <f t="shared" si="16"/>
        <v>229549</v>
      </c>
      <c r="AK61" s="120">
        <f t="shared" si="16"/>
        <v>180597</v>
      </c>
      <c r="AL61" s="120">
        <f t="shared" si="16"/>
        <v>223505</v>
      </c>
      <c r="AM61" s="120">
        <f t="shared" si="16"/>
        <v>288858</v>
      </c>
      <c r="AN61" s="120">
        <f t="shared" si="16"/>
        <v>294983</v>
      </c>
      <c r="AO61" s="120">
        <f t="shared" si="16"/>
        <v>241455</v>
      </c>
      <c r="AP61" s="120">
        <f t="shared" si="16"/>
        <v>270865</v>
      </c>
      <c r="AQ61" s="120">
        <f t="shared" si="16"/>
        <v>304473</v>
      </c>
      <c r="AR61" s="120">
        <f t="shared" si="16"/>
        <v>331645</v>
      </c>
      <c r="AS61" s="120">
        <f t="shared" si="16"/>
        <v>279739</v>
      </c>
      <c r="AT61" s="120">
        <f t="shared" si="16"/>
        <v>347418</v>
      </c>
      <c r="AU61" s="120">
        <f t="shared" si="16"/>
        <v>446744</v>
      </c>
      <c r="AV61" s="120">
        <f t="shared" si="16"/>
        <v>469321</v>
      </c>
      <c r="AW61" s="120">
        <f t="shared" si="16"/>
        <v>339004</v>
      </c>
      <c r="AX61" s="120">
        <f t="shared" si="16"/>
        <v>411931</v>
      </c>
      <c r="AY61" s="120">
        <f t="shared" si="16"/>
        <v>488855</v>
      </c>
      <c r="AZ61" s="120">
        <f t="shared" si="16"/>
        <v>491153</v>
      </c>
      <c r="BA61" s="120">
        <f t="shared" si="16"/>
        <v>416681</v>
      </c>
      <c r="BB61" s="120">
        <f t="shared" si="16"/>
        <v>564532</v>
      </c>
      <c r="DW61" s="25"/>
      <c r="FN61"/>
    </row>
    <row r="62" spans="1:170" x14ac:dyDescent="0.2">
      <c r="D62" s="31"/>
      <c r="E62" s="31"/>
      <c r="F62" s="31"/>
      <c r="G62" s="30"/>
      <c r="H62" s="30"/>
      <c r="I62" s="30"/>
      <c r="J62" s="30"/>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DW62" s="25"/>
      <c r="FN62"/>
    </row>
    <row r="63" spans="1:170" x14ac:dyDescent="0.2">
      <c r="A63" s="25" t="s">
        <v>98</v>
      </c>
      <c r="B63" s="25" t="s">
        <v>876</v>
      </c>
      <c r="D63" s="115" t="str">
        <f>IF([1]RENAME!$H$3=1,B63,A63)</f>
        <v>Controladas</v>
      </c>
      <c r="E63" s="115" t="str">
        <f t="shared" ref="E63:Y63" si="17">E5</f>
        <v>1T14</v>
      </c>
      <c r="F63" s="115" t="str">
        <f t="shared" si="17"/>
        <v>2T14</v>
      </c>
      <c r="G63" s="115" t="str">
        <f t="shared" si="17"/>
        <v>3T14</v>
      </c>
      <c r="H63" s="115" t="str">
        <f t="shared" si="17"/>
        <v>4T14</v>
      </c>
      <c r="I63" s="115" t="str">
        <f t="shared" si="17"/>
        <v>1T15</v>
      </c>
      <c r="J63" s="115" t="str">
        <f t="shared" si="17"/>
        <v>2T15</v>
      </c>
      <c r="K63" s="115" t="str">
        <f t="shared" si="17"/>
        <v>3T15</v>
      </c>
      <c r="L63" s="115" t="str">
        <f t="shared" si="17"/>
        <v>4T15</v>
      </c>
      <c r="M63" s="115" t="str">
        <f t="shared" si="17"/>
        <v>1T16</v>
      </c>
      <c r="N63" s="115" t="str">
        <f t="shared" si="17"/>
        <v>2T16</v>
      </c>
      <c r="O63" s="115" t="str">
        <f t="shared" si="17"/>
        <v>3T16</v>
      </c>
      <c r="P63" s="115" t="str">
        <f t="shared" si="17"/>
        <v>4T16</v>
      </c>
      <c r="Q63" s="115" t="str">
        <f t="shared" si="17"/>
        <v>1T17</v>
      </c>
      <c r="R63" s="115" t="str">
        <f t="shared" si="17"/>
        <v>2T17</v>
      </c>
      <c r="S63" s="115" t="str">
        <f t="shared" si="17"/>
        <v>3T17</v>
      </c>
      <c r="T63" s="115" t="str">
        <f t="shared" si="17"/>
        <v>4T17</v>
      </c>
      <c r="U63" s="115" t="str">
        <f t="shared" si="17"/>
        <v>1T18</v>
      </c>
      <c r="V63" s="115" t="str">
        <f t="shared" si="17"/>
        <v>2T18</v>
      </c>
      <c r="W63" s="115" t="str">
        <f t="shared" si="17"/>
        <v>3T18</v>
      </c>
      <c r="X63" s="115" t="str">
        <f t="shared" si="17"/>
        <v>4T18</v>
      </c>
      <c r="Y63" s="115" t="str">
        <f t="shared" si="17"/>
        <v>1T19</v>
      </c>
      <c r="Z63" s="115" t="str">
        <f t="shared" ref="Z63:AE63" si="18">Z5</f>
        <v>2T19</v>
      </c>
      <c r="AA63" s="115" t="str">
        <f t="shared" si="18"/>
        <v>3T19</v>
      </c>
      <c r="AB63" s="115" t="str">
        <f t="shared" si="18"/>
        <v>4T19</v>
      </c>
      <c r="AC63" s="115" t="str">
        <f t="shared" si="18"/>
        <v>1T20</v>
      </c>
      <c r="AD63" s="115" t="str">
        <f t="shared" si="18"/>
        <v>2T20</v>
      </c>
      <c r="AE63" s="115" t="str">
        <f t="shared" si="18"/>
        <v>3T20</v>
      </c>
      <c r="AF63" s="115" t="str">
        <f t="shared" ref="AF63:AL63" si="19">AF5</f>
        <v>4T20</v>
      </c>
      <c r="AG63" s="115" t="str">
        <f t="shared" si="19"/>
        <v>1T21</v>
      </c>
      <c r="AH63" s="115" t="str">
        <f t="shared" si="19"/>
        <v>2T21</v>
      </c>
      <c r="AI63" s="115" t="str">
        <f t="shared" si="19"/>
        <v>3T21</v>
      </c>
      <c r="AJ63" s="115" t="str">
        <f t="shared" si="19"/>
        <v>4T21</v>
      </c>
      <c r="AK63" s="115" t="str">
        <f>AK5</f>
        <v>1T22</v>
      </c>
      <c r="AL63" s="115" t="str">
        <f t="shared" si="19"/>
        <v>2T22</v>
      </c>
      <c r="AM63" s="115" t="str">
        <f t="shared" ref="AM63:AS63" si="20">AM5</f>
        <v>3T22</v>
      </c>
      <c r="AN63" s="115" t="str">
        <f t="shared" si="20"/>
        <v>4T22</v>
      </c>
      <c r="AO63" s="115" t="str">
        <f t="shared" si="20"/>
        <v>1T23</v>
      </c>
      <c r="AP63" s="115" t="str">
        <f t="shared" si="20"/>
        <v>2T23</v>
      </c>
      <c r="AQ63" s="115" t="str">
        <f t="shared" si="20"/>
        <v>3T23</v>
      </c>
      <c r="AR63" s="115" t="str">
        <f t="shared" si="20"/>
        <v>4T23</v>
      </c>
      <c r="AS63" s="115" t="str">
        <f t="shared" si="20"/>
        <v>1T24</v>
      </c>
      <c r="AT63" s="115" t="str">
        <f t="shared" ref="AT63:BB63" si="21">AT5</f>
        <v>2T24</v>
      </c>
      <c r="AU63" s="115" t="str">
        <f t="shared" si="21"/>
        <v>3T24</v>
      </c>
      <c r="AV63" s="115" t="str">
        <f t="shared" si="21"/>
        <v>4T24</v>
      </c>
      <c r="AW63" s="115" t="str">
        <f t="shared" si="21"/>
        <v>1T25</v>
      </c>
      <c r="AX63" s="115" t="str">
        <f t="shared" si="21"/>
        <v>2T25</v>
      </c>
      <c r="AY63" s="115" t="str">
        <f t="shared" si="21"/>
        <v>3T25</v>
      </c>
      <c r="AZ63" s="115" t="str">
        <f t="shared" si="21"/>
        <v>4T25</v>
      </c>
      <c r="BA63" s="247" t="str">
        <f>BA5</f>
        <v>1T26</v>
      </c>
      <c r="BB63" s="115" t="str">
        <f t="shared" si="21"/>
        <v>2T26</v>
      </c>
      <c r="DW63" s="25"/>
      <c r="FN63"/>
    </row>
    <row r="64" spans="1:170" x14ac:dyDescent="0.2">
      <c r="A64" s="25" t="s">
        <v>131</v>
      </c>
      <c r="B64" s="25" t="s">
        <v>1033</v>
      </c>
      <c r="D64" s="129" t="str">
        <f>IF([1]RENAME!$H$3=1,B64,A64)</f>
        <v>Serviços de fretes – agregados</v>
      </c>
      <c r="E64" s="118">
        <f t="shared" ref="E64:O64" si="22">+E6-E35</f>
        <v>16161.738630000007</v>
      </c>
      <c r="F64" s="118">
        <f t="shared" si="22"/>
        <v>14008.906010000006</v>
      </c>
      <c r="G64" s="118">
        <f t="shared" si="22"/>
        <v>13561.259239999839</v>
      </c>
      <c r="H64" s="118">
        <f t="shared" si="22"/>
        <v>11844.834342599992</v>
      </c>
      <c r="I64" s="118">
        <f t="shared" si="22"/>
        <v>12962.919023950031</v>
      </c>
      <c r="J64" s="118">
        <f t="shared" si="22"/>
        <v>13920.010076749924</v>
      </c>
      <c r="K64" s="118">
        <f t="shared" si="22"/>
        <v>13535.222437950084</v>
      </c>
      <c r="L64" s="118">
        <f t="shared" si="22"/>
        <v>11476.550680000073</v>
      </c>
      <c r="M64" s="118">
        <f t="shared" si="22"/>
        <v>6730.5498399999924</v>
      </c>
      <c r="N64" s="118">
        <f t="shared" si="22"/>
        <v>7979.3556100000278</v>
      </c>
      <c r="O64" s="118">
        <f t="shared" si="22"/>
        <v>7153.0945499999798</v>
      </c>
      <c r="P64" s="118">
        <v>7710</v>
      </c>
      <c r="Q64" s="118">
        <v>6778</v>
      </c>
      <c r="R64" s="118">
        <v>7058</v>
      </c>
      <c r="S64" s="118">
        <f t="shared" ref="S64:AL64" si="23">+S6-S35</f>
        <v>6582</v>
      </c>
      <c r="T64" s="118">
        <f t="shared" si="23"/>
        <v>7241</v>
      </c>
      <c r="U64" s="118">
        <f t="shared" si="23"/>
        <v>7457</v>
      </c>
      <c r="V64" s="118">
        <f t="shared" si="23"/>
        <v>6146</v>
      </c>
      <c r="W64" s="118">
        <f t="shared" si="23"/>
        <v>7960</v>
      </c>
      <c r="X64" s="118">
        <f t="shared" si="23"/>
        <v>8421</v>
      </c>
      <c r="Y64" s="118">
        <f t="shared" si="23"/>
        <v>9371</v>
      </c>
      <c r="Z64" s="118">
        <f t="shared" si="23"/>
        <v>17988</v>
      </c>
      <c r="AA64" s="118">
        <f t="shared" si="23"/>
        <v>18493</v>
      </c>
      <c r="AB64" s="118">
        <f t="shared" si="23"/>
        <v>19334</v>
      </c>
      <c r="AC64" s="118">
        <f t="shared" si="23"/>
        <v>18754</v>
      </c>
      <c r="AD64" s="118">
        <f t="shared" si="23"/>
        <v>15065</v>
      </c>
      <c r="AE64" s="118">
        <f t="shared" si="23"/>
        <v>20821</v>
      </c>
      <c r="AF64" s="118">
        <f t="shared" si="23"/>
        <v>23554</v>
      </c>
      <c r="AG64" s="118">
        <f t="shared" si="23"/>
        <v>22646</v>
      </c>
      <c r="AH64" s="118">
        <f t="shared" si="23"/>
        <v>27510</v>
      </c>
      <c r="AI64" s="118">
        <f t="shared" si="23"/>
        <v>26319</v>
      </c>
      <c r="AJ64" s="118">
        <f t="shared" si="23"/>
        <v>26013</v>
      </c>
      <c r="AK64" s="118">
        <f t="shared" si="23"/>
        <v>28003</v>
      </c>
      <c r="AL64" s="118">
        <f t="shared" si="23"/>
        <v>33280</v>
      </c>
      <c r="AM64" s="118">
        <f t="shared" ref="AM64:AS65" si="24">+AM6-AM35</f>
        <v>37543</v>
      </c>
      <c r="AN64" s="118">
        <f t="shared" si="24"/>
        <v>40987</v>
      </c>
      <c r="AO64" s="118">
        <f t="shared" si="24"/>
        <v>41350</v>
      </c>
      <c r="AP64" s="118">
        <f t="shared" si="24"/>
        <v>39306</v>
      </c>
      <c r="AQ64" s="118">
        <f t="shared" si="24"/>
        <v>45378</v>
      </c>
      <c r="AR64" s="118">
        <f t="shared" si="24"/>
        <v>45679</v>
      </c>
      <c r="AS64" s="118">
        <f t="shared" si="24"/>
        <v>43649</v>
      </c>
      <c r="AT64" s="118">
        <f t="shared" ref="AT64:AV65" si="25">+AT6-AT35</f>
        <v>34088</v>
      </c>
      <c r="AU64" s="118">
        <f t="shared" si="25"/>
        <v>24310</v>
      </c>
      <c r="AV64" s="118">
        <f t="shared" si="25"/>
        <v>23761</v>
      </c>
      <c r="AW64" s="118">
        <v>25960</v>
      </c>
      <c r="AX64" s="118">
        <v>27044</v>
      </c>
      <c r="AY64" s="118">
        <v>21492</v>
      </c>
      <c r="AZ64" s="118">
        <f t="shared" ref="AZ64:BB65" si="26">+AZ6-AZ35</f>
        <v>26227</v>
      </c>
      <c r="BA64" s="118">
        <f t="shared" si="26"/>
        <v>27765</v>
      </c>
      <c r="BB64" s="118">
        <f t="shared" si="26"/>
        <v>28466</v>
      </c>
      <c r="DW64" s="25"/>
      <c r="FN64"/>
    </row>
    <row r="65" spans="1:170" x14ac:dyDescent="0.2">
      <c r="A65" s="25" t="s">
        <v>132</v>
      </c>
      <c r="B65" s="25" t="s">
        <v>1034</v>
      </c>
      <c r="D65" s="129" t="str">
        <f>IF([1]RENAME!$H$3=1,B65,A65)</f>
        <v>Salários</v>
      </c>
      <c r="E65" s="118">
        <f t="shared" ref="E65:O65" si="27">+E7-E36</f>
        <v>5234.9092500000006</v>
      </c>
      <c r="F65" s="118">
        <f t="shared" si="27"/>
        <v>4278.7792399999998</v>
      </c>
      <c r="G65" s="118">
        <f t="shared" si="27"/>
        <v>4337.0035399999979</v>
      </c>
      <c r="H65" s="118">
        <f t="shared" si="27"/>
        <v>4755.2809300000081</v>
      </c>
      <c r="I65" s="118">
        <f t="shared" si="27"/>
        <v>4361.6043300000019</v>
      </c>
      <c r="J65" s="118">
        <f t="shared" si="27"/>
        <v>4213.9295999999995</v>
      </c>
      <c r="K65" s="118">
        <f t="shared" si="27"/>
        <v>4386.1621399999931</v>
      </c>
      <c r="L65" s="118">
        <f t="shared" si="27"/>
        <v>4213.220319999964</v>
      </c>
      <c r="M65" s="118">
        <f t="shared" si="27"/>
        <v>3870.2945699999964</v>
      </c>
      <c r="N65" s="118">
        <f t="shared" si="27"/>
        <v>3834.4575000000132</v>
      </c>
      <c r="O65" s="118">
        <f t="shared" si="27"/>
        <v>3974.2479299999904</v>
      </c>
      <c r="P65" s="118">
        <v>3257</v>
      </c>
      <c r="Q65" s="118">
        <v>3741</v>
      </c>
      <c r="R65" s="118">
        <v>4033</v>
      </c>
      <c r="S65" s="118">
        <f t="shared" ref="S65:AL65" si="28">+S7-S36</f>
        <v>4153</v>
      </c>
      <c r="T65" s="118">
        <f t="shared" si="28"/>
        <v>4538</v>
      </c>
      <c r="U65" s="118">
        <f t="shared" si="28"/>
        <v>3350</v>
      </c>
      <c r="V65" s="118">
        <f t="shared" si="28"/>
        <v>2825</v>
      </c>
      <c r="W65" s="118">
        <f t="shared" si="28"/>
        <v>2920</v>
      </c>
      <c r="X65" s="118">
        <f t="shared" si="28"/>
        <v>3002</v>
      </c>
      <c r="Y65" s="118">
        <f t="shared" si="28"/>
        <v>2348</v>
      </c>
      <c r="Z65" s="118">
        <f t="shared" si="28"/>
        <v>2835</v>
      </c>
      <c r="AA65" s="118">
        <f t="shared" si="28"/>
        <v>2847</v>
      </c>
      <c r="AB65" s="118">
        <f t="shared" si="28"/>
        <v>3062</v>
      </c>
      <c r="AC65" s="118">
        <f t="shared" si="28"/>
        <v>2896</v>
      </c>
      <c r="AD65" s="118">
        <f t="shared" si="28"/>
        <v>3258</v>
      </c>
      <c r="AE65" s="118">
        <f t="shared" si="28"/>
        <v>3277</v>
      </c>
      <c r="AF65" s="118">
        <f t="shared" si="28"/>
        <v>2677</v>
      </c>
      <c r="AG65" s="118">
        <f t="shared" si="28"/>
        <v>3097</v>
      </c>
      <c r="AH65" s="118">
        <f t="shared" si="28"/>
        <v>2841</v>
      </c>
      <c r="AI65" s="118">
        <f t="shared" si="28"/>
        <v>2702</v>
      </c>
      <c r="AJ65" s="118">
        <f t="shared" si="28"/>
        <v>3408</v>
      </c>
      <c r="AK65" s="118">
        <f t="shared" si="28"/>
        <v>3141</v>
      </c>
      <c r="AL65" s="118">
        <f t="shared" si="28"/>
        <v>3863</v>
      </c>
      <c r="AM65" s="118">
        <f t="shared" si="24"/>
        <v>4023</v>
      </c>
      <c r="AN65" s="118">
        <f t="shared" si="24"/>
        <v>3013</v>
      </c>
      <c r="AO65" s="118">
        <f t="shared" si="24"/>
        <v>2596</v>
      </c>
      <c r="AP65" s="118">
        <f t="shared" si="24"/>
        <v>2886</v>
      </c>
      <c r="AQ65" s="118">
        <f t="shared" si="24"/>
        <v>2999</v>
      </c>
      <c r="AR65" s="118">
        <f t="shared" si="24"/>
        <v>2993</v>
      </c>
      <c r="AS65" s="118">
        <f t="shared" si="24"/>
        <v>3653</v>
      </c>
      <c r="AT65" s="118">
        <f t="shared" si="25"/>
        <v>4108</v>
      </c>
      <c r="AU65" s="118">
        <f t="shared" si="25"/>
        <v>4127</v>
      </c>
      <c r="AV65" s="118">
        <f t="shared" si="25"/>
        <v>4411</v>
      </c>
      <c r="AW65" s="118">
        <v>4412</v>
      </c>
      <c r="AX65" s="118">
        <v>4727</v>
      </c>
      <c r="AY65" s="118">
        <v>4905</v>
      </c>
      <c r="AZ65" s="118">
        <f t="shared" si="26"/>
        <v>5064</v>
      </c>
      <c r="BA65" s="118">
        <f t="shared" si="26"/>
        <v>5007</v>
      </c>
      <c r="BB65" s="118">
        <f t="shared" si="26"/>
        <v>5517</v>
      </c>
      <c r="DW65" s="25"/>
      <c r="FN65"/>
    </row>
    <row r="66" spans="1:170" x14ac:dyDescent="0.2">
      <c r="A66" s="25" t="s">
        <v>134</v>
      </c>
      <c r="B66" s="25" t="s">
        <v>1035</v>
      </c>
      <c r="D66" s="129" t="str">
        <f>IF([1]RENAME!$H$3=1,B66,A66)</f>
        <v>Encargos sociais</v>
      </c>
      <c r="E66" s="118">
        <f t="shared" ref="E66:O66" si="29">+E9-E37</f>
        <v>2465.9611100000002</v>
      </c>
      <c r="F66" s="118">
        <f t="shared" si="29"/>
        <v>2786.9623199999951</v>
      </c>
      <c r="G66" s="118">
        <f t="shared" si="29"/>
        <v>2993.9922600000045</v>
      </c>
      <c r="H66" s="118">
        <f t="shared" si="29"/>
        <v>2832.7744300000068</v>
      </c>
      <c r="I66" s="118">
        <f t="shared" si="29"/>
        <v>2289.8979599999993</v>
      </c>
      <c r="J66" s="118">
        <f t="shared" si="29"/>
        <v>2400.9921099999992</v>
      </c>
      <c r="K66" s="118">
        <f t="shared" si="29"/>
        <v>2551.4174900000044</v>
      </c>
      <c r="L66" s="118">
        <f t="shared" si="29"/>
        <v>2063.491479999996</v>
      </c>
      <c r="M66" s="118">
        <f t="shared" si="29"/>
        <v>2198.4523300000001</v>
      </c>
      <c r="N66" s="118">
        <f t="shared" si="29"/>
        <v>2474.9047699999974</v>
      </c>
      <c r="O66" s="118">
        <f t="shared" si="29"/>
        <v>2355.6429000000026</v>
      </c>
      <c r="P66" s="118">
        <v>1144</v>
      </c>
      <c r="Q66" s="118">
        <v>2266</v>
      </c>
      <c r="R66" s="118">
        <v>2680</v>
      </c>
      <c r="S66" s="118">
        <f t="shared" ref="S66:Y66" si="30">+S9-S37</f>
        <v>2110</v>
      </c>
      <c r="T66" s="118">
        <f t="shared" si="30"/>
        <v>2314</v>
      </c>
      <c r="U66" s="118">
        <f t="shared" si="30"/>
        <v>2029</v>
      </c>
      <c r="V66" s="118">
        <f t="shared" si="30"/>
        <v>1851</v>
      </c>
      <c r="W66" s="118">
        <f t="shared" si="30"/>
        <v>1774</v>
      </c>
      <c r="X66" s="118">
        <f t="shared" si="30"/>
        <v>1796</v>
      </c>
      <c r="Y66" s="118">
        <f t="shared" si="30"/>
        <v>1584</v>
      </c>
      <c r="Z66" s="118">
        <f t="shared" ref="Z66:AE66" si="31">+Z9-Z37</f>
        <v>1857</v>
      </c>
      <c r="AA66" s="118">
        <f t="shared" si="31"/>
        <v>1821</v>
      </c>
      <c r="AB66" s="118">
        <f t="shared" si="31"/>
        <v>1822</v>
      </c>
      <c r="AC66" s="118">
        <f t="shared" si="31"/>
        <v>1758</v>
      </c>
      <c r="AD66" s="118">
        <f t="shared" si="31"/>
        <v>2001</v>
      </c>
      <c r="AE66" s="118">
        <f t="shared" si="31"/>
        <v>1951</v>
      </c>
      <c r="AF66" s="118">
        <f t="shared" ref="AF66:AL66" si="32">+AF9-AF37</f>
        <v>1765</v>
      </c>
      <c r="AG66" s="118">
        <f t="shared" si="32"/>
        <v>2276</v>
      </c>
      <c r="AH66" s="118">
        <f t="shared" si="32"/>
        <v>1611</v>
      </c>
      <c r="AI66" s="118">
        <f t="shared" si="32"/>
        <v>1620</v>
      </c>
      <c r="AJ66" s="118">
        <f t="shared" si="32"/>
        <v>2044</v>
      </c>
      <c r="AK66" s="118">
        <f>+AK9-AK37</f>
        <v>1970</v>
      </c>
      <c r="AL66" s="118">
        <f t="shared" si="32"/>
        <v>2316</v>
      </c>
      <c r="AM66" s="118">
        <f t="shared" ref="AM66:AS66" si="33">+AM9-AM37</f>
        <v>2293</v>
      </c>
      <c r="AN66" s="118">
        <f t="shared" si="33"/>
        <v>1052</v>
      </c>
      <c r="AO66" s="118">
        <f t="shared" si="33"/>
        <v>1504</v>
      </c>
      <c r="AP66" s="118">
        <f t="shared" si="33"/>
        <v>1738</v>
      </c>
      <c r="AQ66" s="118">
        <f t="shared" si="33"/>
        <v>1738</v>
      </c>
      <c r="AR66" s="118">
        <f t="shared" si="33"/>
        <v>1756</v>
      </c>
      <c r="AS66" s="118">
        <f t="shared" si="33"/>
        <v>2511</v>
      </c>
      <c r="AT66" s="118">
        <f>+AT9-AT37</f>
        <v>2498</v>
      </c>
      <c r="AU66" s="118">
        <f>+AU9-AU37</f>
        <v>2490</v>
      </c>
      <c r="AV66" s="118">
        <f>+AV9-AV37</f>
        <v>2491</v>
      </c>
      <c r="AW66" s="118">
        <v>2614</v>
      </c>
      <c r="AX66" s="118">
        <v>2933</v>
      </c>
      <c r="AY66" s="118">
        <v>2866</v>
      </c>
      <c r="AZ66" s="118">
        <f>+AZ9-AZ37</f>
        <v>3043</v>
      </c>
      <c r="BA66" s="118">
        <f>+BA9-BA37</f>
        <v>3089</v>
      </c>
      <c r="BB66" s="118">
        <f>+BB9-BB37</f>
        <v>3386</v>
      </c>
      <c r="DW66" s="25"/>
      <c r="FN66"/>
    </row>
    <row r="67" spans="1:170" x14ac:dyDescent="0.2">
      <c r="A67" s="25" t="s">
        <v>133</v>
      </c>
      <c r="B67" s="25" t="s">
        <v>824</v>
      </c>
      <c r="D67" s="129" t="str">
        <f>IF([1]RENAME!$H$3=1,B67,A67)</f>
        <v>Serviços terceirizados</v>
      </c>
      <c r="E67" s="118">
        <f t="shared" ref="E67:O67" si="34">+E8-E38</f>
        <v>4002.6676299999963</v>
      </c>
      <c r="F67" s="118">
        <f t="shared" si="34"/>
        <v>3333.0571400000008</v>
      </c>
      <c r="G67" s="118">
        <f t="shared" si="34"/>
        <v>3276.6465100000096</v>
      </c>
      <c r="H67" s="118">
        <f t="shared" si="34"/>
        <v>3689.5712899999926</v>
      </c>
      <c r="I67" s="118">
        <f t="shared" si="34"/>
        <v>2848.5621100000026</v>
      </c>
      <c r="J67" s="118">
        <f t="shared" si="34"/>
        <v>3045.9348399999999</v>
      </c>
      <c r="K67" s="118">
        <f t="shared" si="34"/>
        <v>3928.5766699999876</v>
      </c>
      <c r="L67" s="118">
        <f t="shared" si="34"/>
        <v>2896.4188000000031</v>
      </c>
      <c r="M67" s="118">
        <f t="shared" si="34"/>
        <v>2583.4518200000002</v>
      </c>
      <c r="N67" s="118">
        <f t="shared" si="34"/>
        <v>2459.3543299999965</v>
      </c>
      <c r="O67" s="118">
        <f t="shared" si="34"/>
        <v>2380.1938500000033</v>
      </c>
      <c r="P67" s="118">
        <v>2349</v>
      </c>
      <c r="Q67" s="118">
        <v>1867</v>
      </c>
      <c r="R67" s="118">
        <v>1990</v>
      </c>
      <c r="S67" s="118">
        <f t="shared" ref="S67:Y67" si="35">+S8-S38</f>
        <v>1781</v>
      </c>
      <c r="T67" s="118">
        <f t="shared" si="35"/>
        <v>3862</v>
      </c>
      <c r="U67" s="118">
        <f t="shared" si="35"/>
        <v>1602</v>
      </c>
      <c r="V67" s="118">
        <f t="shared" si="35"/>
        <v>1756</v>
      </c>
      <c r="W67" s="118">
        <f t="shared" si="35"/>
        <v>1146</v>
      </c>
      <c r="X67" s="118">
        <f t="shared" si="35"/>
        <v>1555</v>
      </c>
      <c r="Y67" s="118">
        <f t="shared" si="35"/>
        <v>1287</v>
      </c>
      <c r="Z67" s="118">
        <f t="shared" ref="Z67:AE67" si="36">+Z8-Z38</f>
        <v>1860</v>
      </c>
      <c r="AA67" s="118">
        <f t="shared" si="36"/>
        <v>1729</v>
      </c>
      <c r="AB67" s="118">
        <f t="shared" si="36"/>
        <v>1892</v>
      </c>
      <c r="AC67" s="118">
        <f t="shared" si="36"/>
        <v>1767</v>
      </c>
      <c r="AD67" s="118">
        <f t="shared" si="36"/>
        <v>1690</v>
      </c>
      <c r="AE67" s="118">
        <f t="shared" si="36"/>
        <v>1490</v>
      </c>
      <c r="AF67" s="118">
        <f t="shared" ref="AF67:AL67" si="37">+AF8-AF38</f>
        <v>1567</v>
      </c>
      <c r="AG67" s="118">
        <f t="shared" si="37"/>
        <v>964</v>
      </c>
      <c r="AH67" s="118">
        <f t="shared" si="37"/>
        <v>1781</v>
      </c>
      <c r="AI67" s="118">
        <f t="shared" si="37"/>
        <v>1301</v>
      </c>
      <c r="AJ67" s="118">
        <f t="shared" si="37"/>
        <v>1262</v>
      </c>
      <c r="AK67" s="118">
        <f>+AK8-AK38</f>
        <v>1114</v>
      </c>
      <c r="AL67" s="118">
        <f t="shared" si="37"/>
        <v>1352</v>
      </c>
      <c r="AM67" s="118">
        <f t="shared" ref="AM67:AS67" si="38">+AM8-AM38</f>
        <v>1349</v>
      </c>
      <c r="AN67" s="118">
        <f t="shared" si="38"/>
        <v>2300</v>
      </c>
      <c r="AO67" s="118">
        <f t="shared" si="38"/>
        <v>2636</v>
      </c>
      <c r="AP67" s="118">
        <f t="shared" si="38"/>
        <v>997</v>
      </c>
      <c r="AQ67" s="118">
        <f t="shared" si="38"/>
        <v>920</v>
      </c>
      <c r="AR67" s="118">
        <f t="shared" si="38"/>
        <v>1886</v>
      </c>
      <c r="AS67" s="118">
        <f t="shared" si="38"/>
        <v>1786</v>
      </c>
      <c r="AT67" s="118">
        <f>+AT8-AT38</f>
        <v>1913</v>
      </c>
      <c r="AU67" s="118">
        <f>+AU8-AU38</f>
        <v>1893</v>
      </c>
      <c r="AV67" s="118">
        <f>+AV8-AV38</f>
        <v>1230</v>
      </c>
      <c r="AW67" s="118">
        <v>1663</v>
      </c>
      <c r="AX67" s="118">
        <v>1734</v>
      </c>
      <c r="AY67" s="118">
        <v>1304</v>
      </c>
      <c r="AZ67" s="118">
        <f>+AZ8-AZ38</f>
        <v>1990</v>
      </c>
      <c r="BA67" s="118">
        <f>+BA8-BA38</f>
        <v>2379</v>
      </c>
      <c r="BB67" s="118">
        <f>+BB8-BB38</f>
        <v>2964</v>
      </c>
      <c r="DW67" s="25"/>
      <c r="FN67"/>
    </row>
    <row r="68" spans="1:170" ht="15.75" customHeight="1" x14ac:dyDescent="0.2">
      <c r="A68" s="25" t="s">
        <v>135</v>
      </c>
      <c r="B68" s="25" t="s">
        <v>1037</v>
      </c>
      <c r="D68" s="129" t="str">
        <f>IF([1]RENAME!$H$3=1,B68,A68)</f>
        <v>Alugueis e leasing</v>
      </c>
      <c r="E68" s="118">
        <f t="shared" ref="E68:O68" si="39">+E11-E39</f>
        <v>10652.310869999998</v>
      </c>
      <c r="F68" s="118">
        <f t="shared" si="39"/>
        <v>9226.9231</v>
      </c>
      <c r="G68" s="118">
        <f t="shared" si="39"/>
        <v>8384.3059100000064</v>
      </c>
      <c r="H68" s="118">
        <f t="shared" si="39"/>
        <v>10303.176649999994</v>
      </c>
      <c r="I68" s="118">
        <f t="shared" si="39"/>
        <v>9837.5818299999992</v>
      </c>
      <c r="J68" s="118">
        <f t="shared" si="39"/>
        <v>10879.427660000001</v>
      </c>
      <c r="K68" s="118">
        <f t="shared" si="39"/>
        <v>8600.2902300000078</v>
      </c>
      <c r="L68" s="118">
        <f t="shared" si="39"/>
        <v>8557.8763399999989</v>
      </c>
      <c r="M68" s="118">
        <f t="shared" si="39"/>
        <v>8295.9263299999984</v>
      </c>
      <c r="N68" s="118">
        <f t="shared" si="39"/>
        <v>5993.2070300000069</v>
      </c>
      <c r="O68" s="118">
        <f t="shared" si="39"/>
        <v>5162.8666399999947</v>
      </c>
      <c r="P68" s="118">
        <v>5057</v>
      </c>
      <c r="Q68" s="118">
        <v>5149</v>
      </c>
      <c r="R68" s="118">
        <v>4272</v>
      </c>
      <c r="S68" s="118">
        <f t="shared" ref="S68:Y68" si="40">+S11-S39</f>
        <v>4979</v>
      </c>
      <c r="T68" s="118">
        <f t="shared" si="40"/>
        <v>5170</v>
      </c>
      <c r="U68" s="118">
        <f t="shared" si="40"/>
        <v>3999</v>
      </c>
      <c r="V68" s="118">
        <f t="shared" si="40"/>
        <v>4005</v>
      </c>
      <c r="W68" s="118">
        <f t="shared" si="40"/>
        <v>3496</v>
      </c>
      <c r="X68" s="118">
        <f t="shared" si="40"/>
        <v>3642</v>
      </c>
      <c r="Y68" s="118">
        <f t="shared" si="40"/>
        <v>523</v>
      </c>
      <c r="Z68" s="118">
        <f t="shared" ref="Z68:AL68" si="41">+Z11-Z39</f>
        <v>70</v>
      </c>
      <c r="AA68" s="118">
        <f t="shared" si="41"/>
        <v>704</v>
      </c>
      <c r="AB68" s="118">
        <f t="shared" si="41"/>
        <v>272</v>
      </c>
      <c r="AC68" s="118">
        <f t="shared" si="41"/>
        <v>232</v>
      </c>
      <c r="AD68" s="118">
        <f t="shared" si="41"/>
        <v>230</v>
      </c>
      <c r="AE68" s="118">
        <f t="shared" si="41"/>
        <v>196</v>
      </c>
      <c r="AF68" s="118">
        <f t="shared" si="41"/>
        <v>240</v>
      </c>
      <c r="AG68" s="118">
        <f t="shared" si="41"/>
        <v>-110</v>
      </c>
      <c r="AH68" s="118">
        <f t="shared" si="41"/>
        <v>112</v>
      </c>
      <c r="AI68" s="118">
        <f t="shared" si="41"/>
        <v>79</v>
      </c>
      <c r="AJ68" s="118">
        <f t="shared" si="41"/>
        <v>168</v>
      </c>
      <c r="AK68" s="118">
        <f t="shared" si="41"/>
        <v>73</v>
      </c>
      <c r="AL68" s="118">
        <f t="shared" si="41"/>
        <v>151</v>
      </c>
      <c r="AM68" s="118">
        <f t="shared" ref="AM68:AS70" si="42">+AM11-AM39</f>
        <v>134</v>
      </c>
      <c r="AN68" s="118">
        <f t="shared" si="42"/>
        <v>151</v>
      </c>
      <c r="AO68" s="118">
        <f t="shared" si="42"/>
        <v>299</v>
      </c>
      <c r="AP68" s="118">
        <f t="shared" si="42"/>
        <v>144</v>
      </c>
      <c r="AQ68" s="118">
        <f t="shared" si="42"/>
        <v>224</v>
      </c>
      <c r="AR68" s="118">
        <f t="shared" si="42"/>
        <v>376</v>
      </c>
      <c r="AS68" s="118">
        <f t="shared" si="42"/>
        <v>530</v>
      </c>
      <c r="AT68" s="118">
        <f t="shared" ref="AT68:AV70" si="43">+AT11-AT39</f>
        <v>705</v>
      </c>
      <c r="AU68" s="118">
        <f t="shared" si="43"/>
        <v>589</v>
      </c>
      <c r="AV68" s="118">
        <f t="shared" si="43"/>
        <v>758</v>
      </c>
      <c r="AW68" s="118">
        <v>539</v>
      </c>
      <c r="AX68" s="118">
        <v>642</v>
      </c>
      <c r="AY68" s="118">
        <v>869</v>
      </c>
      <c r="AZ68" s="118">
        <f t="shared" ref="AZ68:BB70" si="44">+AZ11-AZ39</f>
        <v>1101</v>
      </c>
      <c r="BA68" s="118">
        <f>+BA11-BA39</f>
        <v>843</v>
      </c>
      <c r="BB68" s="118">
        <f t="shared" si="44"/>
        <v>831</v>
      </c>
      <c r="DD68"/>
      <c r="DE68"/>
      <c r="DF68"/>
      <c r="DG68"/>
      <c r="DH68"/>
      <c r="DI68"/>
      <c r="DJ68"/>
      <c r="DK68"/>
      <c r="DL68"/>
      <c r="DM68"/>
      <c r="DN68"/>
      <c r="DO68"/>
      <c r="DP68"/>
      <c r="DQ68"/>
      <c r="DR68"/>
      <c r="DS68"/>
      <c r="DT68"/>
      <c r="DW68" s="25"/>
      <c r="FN68"/>
    </row>
    <row r="69" spans="1:170" x14ac:dyDescent="0.2">
      <c r="A69" s="25" t="s">
        <v>1432</v>
      </c>
      <c r="B69" s="25" t="s">
        <v>1504</v>
      </c>
      <c r="D69" s="129" t="str">
        <f>IF([1]RENAME!$H$3=1,B69,A69)</f>
        <v>Amortização direito de uso</v>
      </c>
      <c r="E69" s="118" t="s">
        <v>160</v>
      </c>
      <c r="F69" s="118" t="s">
        <v>160</v>
      </c>
      <c r="G69" s="118" t="s">
        <v>160</v>
      </c>
      <c r="H69" s="118" t="s">
        <v>160</v>
      </c>
      <c r="I69" s="118" t="s">
        <v>160</v>
      </c>
      <c r="J69" s="118" t="s">
        <v>160</v>
      </c>
      <c r="K69" s="118" t="s">
        <v>160</v>
      </c>
      <c r="L69" s="118" t="s">
        <v>160</v>
      </c>
      <c r="M69" s="118" t="s">
        <v>160</v>
      </c>
      <c r="N69" s="118" t="s">
        <v>160</v>
      </c>
      <c r="O69" s="118" t="s">
        <v>160</v>
      </c>
      <c r="P69" s="118" t="s">
        <v>160</v>
      </c>
      <c r="Q69" s="118" t="s">
        <v>160</v>
      </c>
      <c r="R69" s="118" t="s">
        <v>160</v>
      </c>
      <c r="S69" s="118" t="s">
        <v>160</v>
      </c>
      <c r="T69" s="118" t="s">
        <v>160</v>
      </c>
      <c r="U69" s="118" t="s">
        <v>160</v>
      </c>
      <c r="V69" s="118" t="s">
        <v>160</v>
      </c>
      <c r="W69" s="118" t="s">
        <v>160</v>
      </c>
      <c r="X69" s="118" t="s">
        <v>160</v>
      </c>
      <c r="Y69" s="118">
        <f>+Y12-Y40</f>
        <v>3420</v>
      </c>
      <c r="Z69" s="118">
        <f t="shared" ref="Z69:AL69" si="45">+Z12-Z40</f>
        <v>2559</v>
      </c>
      <c r="AA69" s="118">
        <f t="shared" si="45"/>
        <v>3388</v>
      </c>
      <c r="AB69" s="118">
        <f t="shared" si="45"/>
        <v>3420</v>
      </c>
      <c r="AC69" s="118">
        <f t="shared" si="45"/>
        <v>3207</v>
      </c>
      <c r="AD69" s="118">
        <f t="shared" si="45"/>
        <v>2940</v>
      </c>
      <c r="AE69" s="118">
        <f t="shared" si="45"/>
        <v>2724</v>
      </c>
      <c r="AF69" s="118">
        <f t="shared" si="45"/>
        <v>2042</v>
      </c>
      <c r="AG69" s="118">
        <f t="shared" si="45"/>
        <v>1423</v>
      </c>
      <c r="AH69" s="118">
        <f t="shared" si="45"/>
        <v>880</v>
      </c>
      <c r="AI69" s="118">
        <f t="shared" si="45"/>
        <v>888</v>
      </c>
      <c r="AJ69" s="118">
        <f t="shared" si="45"/>
        <v>851</v>
      </c>
      <c r="AK69" s="118">
        <f t="shared" si="45"/>
        <v>976</v>
      </c>
      <c r="AL69" s="118">
        <f t="shared" si="45"/>
        <v>1093</v>
      </c>
      <c r="AM69" s="118">
        <f t="shared" si="42"/>
        <v>1229</v>
      </c>
      <c r="AN69" s="118">
        <f t="shared" si="42"/>
        <v>1240</v>
      </c>
      <c r="AO69" s="118">
        <f t="shared" si="42"/>
        <v>1051</v>
      </c>
      <c r="AP69" s="118">
        <f t="shared" si="42"/>
        <v>1269</v>
      </c>
      <c r="AQ69" s="118">
        <f t="shared" si="42"/>
        <v>1334</v>
      </c>
      <c r="AR69" s="118">
        <f t="shared" si="42"/>
        <v>1301</v>
      </c>
      <c r="AS69" s="118">
        <f t="shared" si="42"/>
        <v>1285</v>
      </c>
      <c r="AT69" s="118">
        <f t="shared" si="43"/>
        <v>1124</v>
      </c>
      <c r="AU69" s="118">
        <f t="shared" si="43"/>
        <v>1039</v>
      </c>
      <c r="AV69" s="118">
        <f t="shared" si="43"/>
        <v>999</v>
      </c>
      <c r="AW69" s="118">
        <v>1318</v>
      </c>
      <c r="AX69" s="118">
        <v>1195</v>
      </c>
      <c r="AY69" s="118">
        <v>1404</v>
      </c>
      <c r="AZ69" s="118">
        <f t="shared" si="44"/>
        <v>1392</v>
      </c>
      <c r="BA69" s="118">
        <f>+BA12-BA40</f>
        <v>1240</v>
      </c>
      <c r="BB69" s="118">
        <f t="shared" si="44"/>
        <v>1192</v>
      </c>
      <c r="DW69" s="25"/>
      <c r="FN69"/>
    </row>
    <row r="70" spans="1:170" ht="15.75" customHeight="1" x14ac:dyDescent="0.2">
      <c r="A70" s="25" t="s">
        <v>137</v>
      </c>
      <c r="B70" s="25" t="s">
        <v>754</v>
      </c>
      <c r="D70" s="129" t="str">
        <f>IF([1]RENAME!$H$3=1,B70,A70)</f>
        <v>Depreciação e amortização</v>
      </c>
      <c r="E70" s="118">
        <f t="shared" ref="E70:O70" si="46">+E13-E41</f>
        <v>2895.2145599999994</v>
      </c>
      <c r="F70" s="118">
        <f t="shared" si="46"/>
        <v>2919.3532300000002</v>
      </c>
      <c r="G70" s="118">
        <f t="shared" si="46"/>
        <v>2860.211869999996</v>
      </c>
      <c r="H70" s="118">
        <f t="shared" si="46"/>
        <v>5309.278460000005</v>
      </c>
      <c r="I70" s="118">
        <f t="shared" si="46"/>
        <v>3169.31016</v>
      </c>
      <c r="J70" s="118">
        <f t="shared" si="46"/>
        <v>3330.360009999999</v>
      </c>
      <c r="K70" s="118">
        <f t="shared" si="46"/>
        <v>2761.1405799999957</v>
      </c>
      <c r="L70" s="118">
        <f t="shared" si="46"/>
        <v>3254.5851100000045</v>
      </c>
      <c r="M70" s="118">
        <f t="shared" si="46"/>
        <v>1951.4801299999999</v>
      </c>
      <c r="N70" s="118">
        <f t="shared" si="46"/>
        <v>4289.9290400000009</v>
      </c>
      <c r="O70" s="118">
        <f t="shared" si="46"/>
        <v>2311.590830000001</v>
      </c>
      <c r="P70" s="118">
        <v>2517</v>
      </c>
      <c r="Q70" s="118">
        <v>2244</v>
      </c>
      <c r="R70" s="118">
        <v>2369</v>
      </c>
      <c r="S70" s="118">
        <f t="shared" ref="S70:X70" si="47">+S13-S41</f>
        <v>2485</v>
      </c>
      <c r="T70" s="118">
        <f t="shared" si="47"/>
        <v>2568</v>
      </c>
      <c r="U70" s="118">
        <f t="shared" si="47"/>
        <v>1970</v>
      </c>
      <c r="V70" s="118">
        <f t="shared" si="47"/>
        <v>1651</v>
      </c>
      <c r="W70" s="118">
        <f t="shared" si="47"/>
        <v>1681</v>
      </c>
      <c r="X70" s="118">
        <f t="shared" si="47"/>
        <v>1640</v>
      </c>
      <c r="Y70" s="118">
        <f>+Y13-Y41</f>
        <v>1674</v>
      </c>
      <c r="Z70" s="118">
        <f t="shared" ref="Z70:AL70" si="48">+Z13-Z41</f>
        <v>1849</v>
      </c>
      <c r="AA70" s="118">
        <f t="shared" si="48"/>
        <v>1951</v>
      </c>
      <c r="AB70" s="118">
        <f t="shared" si="48"/>
        <v>1829</v>
      </c>
      <c r="AC70" s="118">
        <f t="shared" si="48"/>
        <v>1819</v>
      </c>
      <c r="AD70" s="118">
        <f t="shared" si="48"/>
        <v>1803</v>
      </c>
      <c r="AE70" s="118">
        <f t="shared" si="48"/>
        <v>1775</v>
      </c>
      <c r="AF70" s="118">
        <f t="shared" si="48"/>
        <v>1680</v>
      </c>
      <c r="AG70" s="118">
        <f t="shared" si="48"/>
        <v>1478</v>
      </c>
      <c r="AH70" s="118">
        <f t="shared" si="48"/>
        <v>1345</v>
      </c>
      <c r="AI70" s="118">
        <f t="shared" si="48"/>
        <v>1260</v>
      </c>
      <c r="AJ70" s="118">
        <f t="shared" si="48"/>
        <v>1233</v>
      </c>
      <c r="AK70" s="118">
        <f t="shared" si="48"/>
        <v>1239</v>
      </c>
      <c r="AL70" s="118">
        <f t="shared" si="48"/>
        <v>1252</v>
      </c>
      <c r="AM70" s="118">
        <f t="shared" si="42"/>
        <v>1272</v>
      </c>
      <c r="AN70" s="118">
        <f t="shared" si="42"/>
        <v>1281</v>
      </c>
      <c r="AO70" s="118">
        <f t="shared" si="42"/>
        <v>1664</v>
      </c>
      <c r="AP70" s="118">
        <f t="shared" si="42"/>
        <v>1591</v>
      </c>
      <c r="AQ70" s="118">
        <f t="shared" si="42"/>
        <v>1654</v>
      </c>
      <c r="AR70" s="118">
        <f t="shared" si="42"/>
        <v>2747</v>
      </c>
      <c r="AS70" s="118">
        <f t="shared" si="42"/>
        <v>2832</v>
      </c>
      <c r="AT70" s="118">
        <f t="shared" si="43"/>
        <v>2913</v>
      </c>
      <c r="AU70" s="118">
        <f t="shared" si="43"/>
        <v>2959</v>
      </c>
      <c r="AV70" s="118">
        <f t="shared" si="43"/>
        <v>2642</v>
      </c>
      <c r="AW70" s="118">
        <v>2568</v>
      </c>
      <c r="AX70" s="118">
        <v>2590</v>
      </c>
      <c r="AY70" s="118">
        <v>2580</v>
      </c>
      <c r="AZ70" s="118">
        <f t="shared" si="44"/>
        <v>2706</v>
      </c>
      <c r="BA70" s="118">
        <f>+BA13-BA41</f>
        <v>2910</v>
      </c>
      <c r="BB70" s="118">
        <f t="shared" si="44"/>
        <v>2899</v>
      </c>
      <c r="DD70"/>
      <c r="DE70"/>
      <c r="DF70"/>
      <c r="DG70"/>
      <c r="DH70"/>
      <c r="DI70"/>
      <c r="DJ70"/>
      <c r="DK70"/>
      <c r="DL70"/>
      <c r="DM70"/>
      <c r="DN70"/>
      <c r="DO70"/>
      <c r="DP70"/>
      <c r="DQ70"/>
      <c r="DR70"/>
      <c r="DS70"/>
      <c r="DT70"/>
      <c r="DW70" s="25"/>
      <c r="FN70"/>
    </row>
    <row r="71" spans="1:170" x14ac:dyDescent="0.2">
      <c r="A71" s="25" t="s">
        <v>136</v>
      </c>
      <c r="B71" s="25" t="s">
        <v>1036</v>
      </c>
      <c r="D71" s="129" t="str">
        <f>IF([1]RENAME!$H$3=1,B71,A71)</f>
        <v>Benefícios a empregados</v>
      </c>
      <c r="E71" s="118">
        <f t="shared" ref="E71:O71" si="49">+E10-E42</f>
        <v>2402.636739999999</v>
      </c>
      <c r="F71" s="118">
        <f t="shared" si="49"/>
        <v>2180.2855300000001</v>
      </c>
      <c r="G71" s="118">
        <f t="shared" si="49"/>
        <v>1983.0123199999962</v>
      </c>
      <c r="H71" s="118">
        <f t="shared" si="49"/>
        <v>2158.8655800000015</v>
      </c>
      <c r="I71" s="118">
        <f t="shared" si="49"/>
        <v>1790.4713900000006</v>
      </c>
      <c r="J71" s="118">
        <f t="shared" si="49"/>
        <v>1875.455109999999</v>
      </c>
      <c r="K71" s="118">
        <f t="shared" si="49"/>
        <v>1866.5339499999991</v>
      </c>
      <c r="L71" s="118">
        <f t="shared" si="49"/>
        <v>1876.9378200000037</v>
      </c>
      <c r="M71" s="118">
        <f t="shared" si="49"/>
        <v>1743.5642099999977</v>
      </c>
      <c r="N71" s="118">
        <f t="shared" si="49"/>
        <v>1782.3390799999988</v>
      </c>
      <c r="O71" s="118">
        <f t="shared" si="49"/>
        <v>1836.0967100000034</v>
      </c>
      <c r="P71" s="118">
        <v>1717</v>
      </c>
      <c r="Q71" s="118">
        <v>1764</v>
      </c>
      <c r="R71" s="118">
        <v>1926</v>
      </c>
      <c r="S71" s="118">
        <f t="shared" ref="S71:Y71" si="50">+S10-S42</f>
        <v>1983</v>
      </c>
      <c r="T71" s="118">
        <f t="shared" si="50"/>
        <v>2199</v>
      </c>
      <c r="U71" s="118">
        <f t="shared" si="50"/>
        <v>1478</v>
      </c>
      <c r="V71" s="118">
        <f t="shared" si="50"/>
        <v>1283</v>
      </c>
      <c r="W71" s="118">
        <f t="shared" si="50"/>
        <v>1264</v>
      </c>
      <c r="X71" s="118">
        <f t="shared" si="50"/>
        <v>1339</v>
      </c>
      <c r="Y71" s="118">
        <f t="shared" si="50"/>
        <v>1206</v>
      </c>
      <c r="Z71" s="118">
        <f t="shared" ref="Z71:AE71" si="51">+Z10-Z42</f>
        <v>1175</v>
      </c>
      <c r="AA71" s="118">
        <f t="shared" si="51"/>
        <v>1237</v>
      </c>
      <c r="AB71" s="118">
        <f t="shared" si="51"/>
        <v>1477</v>
      </c>
      <c r="AC71" s="118">
        <f t="shared" si="51"/>
        <v>1231</v>
      </c>
      <c r="AD71" s="118">
        <f t="shared" si="51"/>
        <v>1275</v>
      </c>
      <c r="AE71" s="118">
        <f t="shared" si="51"/>
        <v>1255</v>
      </c>
      <c r="AF71" s="118">
        <f t="shared" ref="AF71:AL71" si="52">+AF10-AF42</f>
        <v>1209</v>
      </c>
      <c r="AG71" s="118">
        <f t="shared" si="52"/>
        <v>1470</v>
      </c>
      <c r="AH71" s="118">
        <f t="shared" si="52"/>
        <v>1158</v>
      </c>
      <c r="AI71" s="118">
        <f t="shared" si="52"/>
        <v>1072</v>
      </c>
      <c r="AJ71" s="118">
        <f t="shared" si="52"/>
        <v>1359</v>
      </c>
      <c r="AK71" s="118">
        <f>+AK10-AK42</f>
        <v>1300</v>
      </c>
      <c r="AL71" s="118">
        <f t="shared" si="52"/>
        <v>1389</v>
      </c>
      <c r="AM71" s="118">
        <f t="shared" ref="AM71:AS71" si="53">+AM10-AM42</f>
        <v>1413</v>
      </c>
      <c r="AN71" s="118">
        <f t="shared" si="53"/>
        <v>986</v>
      </c>
      <c r="AO71" s="118">
        <f t="shared" si="53"/>
        <v>897</v>
      </c>
      <c r="AP71" s="118">
        <f t="shared" si="53"/>
        <v>927</v>
      </c>
      <c r="AQ71" s="118">
        <f t="shared" si="53"/>
        <v>979</v>
      </c>
      <c r="AR71" s="118">
        <f t="shared" si="53"/>
        <v>1039</v>
      </c>
      <c r="AS71" s="118">
        <f t="shared" si="53"/>
        <v>1654</v>
      </c>
      <c r="AT71" s="118">
        <f>+AT10-AT42</f>
        <v>1765</v>
      </c>
      <c r="AU71" s="118">
        <f>+AU10-AU42</f>
        <v>1834</v>
      </c>
      <c r="AV71" s="118">
        <f>+AV10-AV42</f>
        <v>1977</v>
      </c>
      <c r="AW71" s="118">
        <v>2047</v>
      </c>
      <c r="AX71" s="118">
        <v>2127</v>
      </c>
      <c r="AY71" s="118">
        <v>2178</v>
      </c>
      <c r="AZ71" s="118">
        <f>+AZ10-AZ42</f>
        <v>2317</v>
      </c>
      <c r="BA71" s="118">
        <f>+BA10-BA42</f>
        <v>2263</v>
      </c>
      <c r="BB71" s="118">
        <f>+BB10-BB42</f>
        <v>2376</v>
      </c>
      <c r="DD71"/>
      <c r="DE71"/>
      <c r="DF71"/>
      <c r="DG71"/>
      <c r="DH71"/>
      <c r="DI71"/>
      <c r="DJ71"/>
      <c r="DK71"/>
      <c r="DL71"/>
      <c r="DM71"/>
      <c r="DN71"/>
      <c r="DO71"/>
      <c r="DP71"/>
      <c r="DQ71"/>
      <c r="DR71"/>
      <c r="DS71"/>
      <c r="DT71"/>
      <c r="DW71" s="25"/>
      <c r="FN71"/>
    </row>
    <row r="72" spans="1:170" x14ac:dyDescent="0.2">
      <c r="A72" s="25" t="s">
        <v>478</v>
      </c>
      <c r="B72" s="25" t="s">
        <v>1051</v>
      </c>
      <c r="D72" s="129" t="str">
        <f>IF([1]RENAME!$H$3=1,B72,A72)</f>
        <v>Custos variáveis</v>
      </c>
      <c r="E72" s="118">
        <f t="shared" ref="E72:O72" si="54">+E26-E43</f>
        <v>4679.0293899999997</v>
      </c>
      <c r="F72" s="118">
        <f t="shared" si="54"/>
        <v>3721.9534999999996</v>
      </c>
      <c r="G72" s="118">
        <f t="shared" si="54"/>
        <v>5356.4234499999966</v>
      </c>
      <c r="H72" s="118">
        <f t="shared" si="54"/>
        <v>4212.4691700000021</v>
      </c>
      <c r="I72" s="118">
        <f t="shared" si="54"/>
        <v>4307.2752600000003</v>
      </c>
      <c r="J72" s="118">
        <f t="shared" si="54"/>
        <v>4010.2786900000001</v>
      </c>
      <c r="K72" s="118">
        <f t="shared" si="54"/>
        <v>4698.3441699999985</v>
      </c>
      <c r="L72" s="118">
        <f t="shared" si="54"/>
        <v>5270.7726299999995</v>
      </c>
      <c r="M72" s="118">
        <f t="shared" si="54"/>
        <v>4628.4757700000009</v>
      </c>
      <c r="N72" s="118">
        <f t="shared" si="54"/>
        <v>3810.148839999998</v>
      </c>
      <c r="O72" s="118">
        <f t="shared" si="54"/>
        <v>4482.3753900000011</v>
      </c>
      <c r="P72" s="118">
        <v>3711</v>
      </c>
      <c r="Q72" s="118">
        <v>3859</v>
      </c>
      <c r="R72" s="118">
        <v>2979</v>
      </c>
      <c r="S72" s="118">
        <f t="shared" ref="S72:Y72" si="55">+S26-S43</f>
        <v>3931</v>
      </c>
      <c r="T72" s="118">
        <f t="shared" si="55"/>
        <v>3547</v>
      </c>
      <c r="U72" s="118">
        <f t="shared" si="55"/>
        <v>3586</v>
      </c>
      <c r="V72" s="118">
        <f t="shared" si="55"/>
        <v>4262</v>
      </c>
      <c r="W72" s="118">
        <f t="shared" si="55"/>
        <v>4384</v>
      </c>
      <c r="X72" s="118">
        <f t="shared" si="55"/>
        <v>3670</v>
      </c>
      <c r="Y72" s="118">
        <f t="shared" si="55"/>
        <v>3997</v>
      </c>
      <c r="Z72" s="118">
        <f t="shared" ref="Z72:AE72" si="56">+Z26-Z43</f>
        <v>5917</v>
      </c>
      <c r="AA72" s="118">
        <f t="shared" si="56"/>
        <v>3857</v>
      </c>
      <c r="AB72" s="118">
        <f t="shared" si="56"/>
        <v>4439</v>
      </c>
      <c r="AC72" s="118">
        <f t="shared" si="56"/>
        <v>847</v>
      </c>
      <c r="AD72" s="118">
        <f t="shared" si="56"/>
        <v>550</v>
      </c>
      <c r="AE72" s="118">
        <f t="shared" si="56"/>
        <v>893</v>
      </c>
      <c r="AF72" s="118">
        <f t="shared" ref="AF72:AL72" si="57">+AF26-AF43</f>
        <v>985</v>
      </c>
      <c r="AG72" s="118">
        <f t="shared" si="57"/>
        <v>986</v>
      </c>
      <c r="AH72" s="118">
        <f t="shared" si="57"/>
        <v>1071</v>
      </c>
      <c r="AI72" s="118">
        <f t="shared" si="57"/>
        <v>958</v>
      </c>
      <c r="AJ72" s="118">
        <f t="shared" si="57"/>
        <v>1033</v>
      </c>
      <c r="AK72" s="118">
        <f>+AK26-AK43</f>
        <v>813</v>
      </c>
      <c r="AL72" s="118">
        <f t="shared" si="57"/>
        <v>1052</v>
      </c>
      <c r="AM72" s="118">
        <f t="shared" ref="AM72:AS72" si="58">+AM26-AM43</f>
        <v>1896</v>
      </c>
      <c r="AN72" s="118">
        <f t="shared" si="58"/>
        <v>4476</v>
      </c>
      <c r="AO72" s="118">
        <f t="shared" si="58"/>
        <v>4088</v>
      </c>
      <c r="AP72" s="118">
        <f t="shared" si="58"/>
        <v>2602</v>
      </c>
      <c r="AQ72" s="118">
        <f t="shared" si="58"/>
        <v>2351</v>
      </c>
      <c r="AR72" s="118">
        <f t="shared" si="58"/>
        <v>2959</v>
      </c>
      <c r="AS72" s="118">
        <f t="shared" si="58"/>
        <v>1874</v>
      </c>
      <c r="AT72" s="118">
        <f>+AT26-AT43</f>
        <v>810</v>
      </c>
      <c r="AU72" s="118">
        <f>+AU26-AU43</f>
        <v>-7</v>
      </c>
      <c r="AV72" s="118">
        <f>+AV26-AV43</f>
        <v>-101</v>
      </c>
      <c r="AW72" s="118">
        <v>0</v>
      </c>
      <c r="AX72" s="118">
        <v>-385</v>
      </c>
      <c r="AY72" s="118">
        <v>0</v>
      </c>
      <c r="AZ72" s="118">
        <f>+AZ26-AZ43</f>
        <v>-1</v>
      </c>
      <c r="BA72" s="118">
        <f>+BA26-BA43</f>
        <v>0</v>
      </c>
      <c r="BB72" s="118">
        <f>+BB26-BB43</f>
        <v>0</v>
      </c>
      <c r="DD72"/>
      <c r="DE72"/>
      <c r="DF72"/>
      <c r="DG72"/>
      <c r="DH72"/>
      <c r="DI72"/>
      <c r="DJ72"/>
      <c r="DK72"/>
      <c r="DL72"/>
      <c r="DM72"/>
      <c r="DN72"/>
      <c r="DO72"/>
      <c r="DP72"/>
      <c r="DQ72"/>
      <c r="DR72"/>
      <c r="DS72"/>
      <c r="DT72"/>
      <c r="DW72" s="25"/>
      <c r="FN72"/>
    </row>
    <row r="73" spans="1:170" x14ac:dyDescent="0.2">
      <c r="A73" s="25" t="s">
        <v>140</v>
      </c>
      <c r="B73" s="25" t="s">
        <v>1043</v>
      </c>
      <c r="D73" s="129" t="str">
        <f>IF([1]RENAME!$H$3=1,B73,A73)</f>
        <v>Outros gastos gerais</v>
      </c>
      <c r="E73" s="118">
        <f t="shared" ref="E73:O73" si="59">+E19-E44</f>
        <v>2024.8542500000012</v>
      </c>
      <c r="F73" s="118">
        <f t="shared" si="59"/>
        <v>1890.7116399999986</v>
      </c>
      <c r="G73" s="118">
        <f t="shared" si="59"/>
        <v>1579.5168699999999</v>
      </c>
      <c r="H73" s="118">
        <f t="shared" si="59"/>
        <v>2172.337019999999</v>
      </c>
      <c r="I73" s="118">
        <f t="shared" si="59"/>
        <v>2180.0435500000008</v>
      </c>
      <c r="J73" s="118">
        <f t="shared" si="59"/>
        <v>2607.8992700000003</v>
      </c>
      <c r="K73" s="118">
        <f t="shared" si="59"/>
        <v>2327.9713500000003</v>
      </c>
      <c r="L73" s="118">
        <f t="shared" si="59"/>
        <v>3628.0151399999972</v>
      </c>
      <c r="M73" s="118">
        <f t="shared" si="59"/>
        <v>2036.4428200000002</v>
      </c>
      <c r="N73" s="118">
        <f t="shared" si="59"/>
        <v>1835.0926400000008</v>
      </c>
      <c r="O73" s="118">
        <f t="shared" si="59"/>
        <v>1722.464539999999</v>
      </c>
      <c r="P73" s="118">
        <v>1203</v>
      </c>
      <c r="Q73" s="118">
        <v>1263</v>
      </c>
      <c r="R73" s="118">
        <v>1549</v>
      </c>
      <c r="S73" s="118">
        <f t="shared" ref="S73:Y73" si="60">+S19-S44</f>
        <v>1471</v>
      </c>
      <c r="T73" s="118">
        <f t="shared" si="60"/>
        <v>2631</v>
      </c>
      <c r="U73" s="118">
        <f t="shared" si="60"/>
        <v>1235</v>
      </c>
      <c r="V73" s="118">
        <f t="shared" si="60"/>
        <v>759</v>
      </c>
      <c r="W73" s="118">
        <f t="shared" si="60"/>
        <v>900</v>
      </c>
      <c r="X73" s="118">
        <f t="shared" si="60"/>
        <v>645</v>
      </c>
      <c r="Y73" s="118">
        <f t="shared" si="60"/>
        <v>733</v>
      </c>
      <c r="Z73" s="118">
        <f t="shared" ref="Z73:AE73" si="61">+Z19-Z44</f>
        <v>810</v>
      </c>
      <c r="AA73" s="118">
        <f t="shared" si="61"/>
        <v>716</v>
      </c>
      <c r="AB73" s="118">
        <f t="shared" si="61"/>
        <v>717</v>
      </c>
      <c r="AC73" s="118">
        <f t="shared" si="61"/>
        <v>659</v>
      </c>
      <c r="AD73" s="118">
        <f t="shared" si="61"/>
        <v>1385</v>
      </c>
      <c r="AE73" s="118">
        <f t="shared" si="61"/>
        <v>1176</v>
      </c>
      <c r="AF73" s="118">
        <f t="shared" ref="AF73:AL73" si="62">+AF19-AF44</f>
        <v>916</v>
      </c>
      <c r="AG73" s="118">
        <f t="shared" si="62"/>
        <v>858</v>
      </c>
      <c r="AH73" s="118">
        <f t="shared" si="62"/>
        <v>787</v>
      </c>
      <c r="AI73" s="118">
        <f t="shared" si="62"/>
        <v>672</v>
      </c>
      <c r="AJ73" s="118">
        <f t="shared" si="62"/>
        <v>754</v>
      </c>
      <c r="AK73" s="118">
        <f>+AK19-AK44</f>
        <v>780</v>
      </c>
      <c r="AL73" s="118">
        <f t="shared" si="62"/>
        <v>760</v>
      </c>
      <c r="AM73" s="118">
        <f t="shared" ref="AM73:AS73" si="63">+AM19-AM44</f>
        <v>752</v>
      </c>
      <c r="AN73" s="118">
        <f t="shared" si="63"/>
        <v>871</v>
      </c>
      <c r="AO73" s="118">
        <f t="shared" si="63"/>
        <v>894</v>
      </c>
      <c r="AP73" s="118">
        <f t="shared" si="63"/>
        <v>882</v>
      </c>
      <c r="AQ73" s="118">
        <f t="shared" si="63"/>
        <v>928</v>
      </c>
      <c r="AR73" s="118">
        <f t="shared" si="63"/>
        <v>961</v>
      </c>
      <c r="AS73" s="118">
        <f t="shared" si="63"/>
        <v>5174</v>
      </c>
      <c r="AT73" s="118">
        <f>+AT19-AT44</f>
        <v>4748</v>
      </c>
      <c r="AU73" s="118">
        <f>+AU19-AU44</f>
        <v>4800</v>
      </c>
      <c r="AV73" s="118">
        <f>+AV19-AV44</f>
        <v>5038</v>
      </c>
      <c r="AW73" s="118">
        <v>5281</v>
      </c>
      <c r="AX73" s="118">
        <v>5259</v>
      </c>
      <c r="AY73" s="118">
        <v>5569</v>
      </c>
      <c r="AZ73" s="118">
        <f>+AZ19-AZ44</f>
        <v>6045</v>
      </c>
      <c r="BA73" s="118">
        <f>+BA19-BA44</f>
        <v>4482</v>
      </c>
      <c r="BB73" s="118">
        <f>+BB19-BB44</f>
        <v>4745</v>
      </c>
      <c r="DD73"/>
      <c r="DE73"/>
      <c r="DF73"/>
      <c r="DG73"/>
      <c r="DH73"/>
      <c r="DI73"/>
      <c r="DJ73"/>
      <c r="DK73"/>
      <c r="DL73"/>
      <c r="DM73"/>
      <c r="DN73"/>
      <c r="DO73"/>
      <c r="DP73"/>
      <c r="DQ73"/>
      <c r="DR73"/>
      <c r="DS73"/>
      <c r="DT73"/>
      <c r="DW73" s="25"/>
      <c r="FN73"/>
    </row>
    <row r="74" spans="1:170" ht="15" customHeight="1" x14ac:dyDescent="0.2">
      <c r="A74" s="25" t="s">
        <v>139</v>
      </c>
      <c r="B74" s="25" t="s">
        <v>1038</v>
      </c>
      <c r="D74" s="129" t="str">
        <f>IF([1]RENAME!$H$3=1,B74,A74)</f>
        <v>Manutenção</v>
      </c>
      <c r="E74" s="118">
        <f t="shared" ref="E74:O74" si="64">+E14-E45</f>
        <v>1957.8330900000001</v>
      </c>
      <c r="F74" s="118">
        <f t="shared" si="64"/>
        <v>2333.7015200000001</v>
      </c>
      <c r="G74" s="118">
        <f t="shared" si="64"/>
        <v>1409.5968699999989</v>
      </c>
      <c r="H74" s="118">
        <f t="shared" si="64"/>
        <v>1521.8408199999976</v>
      </c>
      <c r="I74" s="118">
        <f t="shared" si="64"/>
        <v>1837.6649599999987</v>
      </c>
      <c r="J74" s="118">
        <f t="shared" si="64"/>
        <v>1612.8929200000021</v>
      </c>
      <c r="K74" s="118">
        <f t="shared" si="64"/>
        <v>2116.7283099999995</v>
      </c>
      <c r="L74" s="118">
        <f t="shared" si="64"/>
        <v>1772.6333399999953</v>
      </c>
      <c r="M74" s="118">
        <f t="shared" si="64"/>
        <v>827.18574999999964</v>
      </c>
      <c r="N74" s="118">
        <f t="shared" si="64"/>
        <v>1146.8313800000014</v>
      </c>
      <c r="O74" s="118">
        <f t="shared" si="64"/>
        <v>1846.9828699999989</v>
      </c>
      <c r="P74" s="118">
        <v>2532</v>
      </c>
      <c r="Q74" s="118">
        <v>1604</v>
      </c>
      <c r="R74" s="118">
        <v>1971</v>
      </c>
      <c r="S74" s="118">
        <f t="shared" ref="S74:Y74" si="65">+S14-S45</f>
        <v>1361</v>
      </c>
      <c r="T74" s="118">
        <f t="shared" si="65"/>
        <v>1835</v>
      </c>
      <c r="U74" s="118">
        <f t="shared" si="65"/>
        <v>1364</v>
      </c>
      <c r="V74" s="118">
        <f t="shared" si="65"/>
        <v>1020</v>
      </c>
      <c r="W74" s="118">
        <f t="shared" si="65"/>
        <v>1127</v>
      </c>
      <c r="X74" s="118">
        <f t="shared" si="65"/>
        <v>1360</v>
      </c>
      <c r="Y74" s="118">
        <f t="shared" si="65"/>
        <v>1101</v>
      </c>
      <c r="Z74" s="118">
        <f t="shared" ref="Z74:AE74" si="66">+Z14-Z45</f>
        <v>1333</v>
      </c>
      <c r="AA74" s="118">
        <f t="shared" si="66"/>
        <v>1275</v>
      </c>
      <c r="AB74" s="118">
        <f t="shared" si="66"/>
        <v>1426</v>
      </c>
      <c r="AC74" s="118">
        <f t="shared" si="66"/>
        <v>1129</v>
      </c>
      <c r="AD74" s="118">
        <f t="shared" si="66"/>
        <v>1337</v>
      </c>
      <c r="AE74" s="118">
        <f t="shared" si="66"/>
        <v>1181</v>
      </c>
      <c r="AF74" s="118">
        <f t="shared" ref="AF74:AL74" si="67">+AF14-AF45</f>
        <v>1153</v>
      </c>
      <c r="AG74" s="118">
        <f t="shared" si="67"/>
        <v>1571</v>
      </c>
      <c r="AH74" s="118">
        <f t="shared" si="67"/>
        <v>1370</v>
      </c>
      <c r="AI74" s="118">
        <f t="shared" si="67"/>
        <v>1433</v>
      </c>
      <c r="AJ74" s="118">
        <f t="shared" si="67"/>
        <v>1323</v>
      </c>
      <c r="AK74" s="118">
        <f>+AK14-AK45</f>
        <v>1548</v>
      </c>
      <c r="AL74" s="118">
        <f t="shared" si="67"/>
        <v>1577</v>
      </c>
      <c r="AM74" s="118">
        <f t="shared" ref="AM74:AS74" si="68">+AM14-AM45</f>
        <v>1914</v>
      </c>
      <c r="AN74" s="118">
        <f t="shared" si="68"/>
        <v>2232</v>
      </c>
      <c r="AO74" s="118">
        <f t="shared" si="68"/>
        <v>1803</v>
      </c>
      <c r="AP74" s="118">
        <f t="shared" si="68"/>
        <v>1692</v>
      </c>
      <c r="AQ74" s="118">
        <f t="shared" si="68"/>
        <v>2105</v>
      </c>
      <c r="AR74" s="118">
        <f t="shared" si="68"/>
        <v>2167</v>
      </c>
      <c r="AS74" s="118">
        <f t="shared" si="68"/>
        <v>2810</v>
      </c>
      <c r="AT74" s="118">
        <f>+AT14-AT45</f>
        <v>2148</v>
      </c>
      <c r="AU74" s="118">
        <f>+AU14-AU45</f>
        <v>2072</v>
      </c>
      <c r="AV74" s="118">
        <f>+AV14-AV45</f>
        <v>2354</v>
      </c>
      <c r="AW74" s="118">
        <v>2502</v>
      </c>
      <c r="AX74" s="118">
        <v>2045</v>
      </c>
      <c r="AY74" s="118">
        <v>2297</v>
      </c>
      <c r="AZ74" s="118">
        <f>+AZ14-AZ45</f>
        <v>2887</v>
      </c>
      <c r="BA74" s="118">
        <f>+BA14-BA45</f>
        <v>2342</v>
      </c>
      <c r="BB74" s="118">
        <f>+BB14-BB45</f>
        <v>2022</v>
      </c>
      <c r="DD74"/>
      <c r="DE74"/>
      <c r="DF74"/>
      <c r="DG74"/>
      <c r="DH74"/>
      <c r="DI74"/>
      <c r="DJ74"/>
      <c r="DK74"/>
      <c r="DL74"/>
      <c r="DM74"/>
      <c r="DN74"/>
      <c r="DO74"/>
      <c r="DP74"/>
      <c r="DQ74"/>
      <c r="DR74"/>
      <c r="DS74"/>
      <c r="DT74"/>
      <c r="DW74" s="25"/>
      <c r="FN74"/>
    </row>
    <row r="75" spans="1:170" x14ac:dyDescent="0.2">
      <c r="A75" s="25" t="s">
        <v>142</v>
      </c>
      <c r="B75" s="25" t="s">
        <v>1041</v>
      </c>
      <c r="D75" s="129" t="str">
        <f>IF([1]RENAME!$H$3=1,B75,A75)</f>
        <v>Combustiveis e lubrificantes</v>
      </c>
      <c r="E75" s="118">
        <f t="shared" ref="E75:O75" si="69">+E17-E46</f>
        <v>306.91333000000054</v>
      </c>
      <c r="F75" s="118">
        <f t="shared" si="69"/>
        <v>488.22533999999837</v>
      </c>
      <c r="G75" s="118">
        <f t="shared" si="69"/>
        <v>427.94695000000115</v>
      </c>
      <c r="H75" s="118">
        <f t="shared" si="69"/>
        <v>212.43191000000184</v>
      </c>
      <c r="I75" s="118">
        <f t="shared" si="69"/>
        <v>382.07419000000027</v>
      </c>
      <c r="J75" s="118">
        <f t="shared" si="69"/>
        <v>342.50638999999978</v>
      </c>
      <c r="K75" s="118">
        <f t="shared" si="69"/>
        <v>380.88822999999775</v>
      </c>
      <c r="L75" s="118">
        <f t="shared" si="69"/>
        <v>120.02501000000439</v>
      </c>
      <c r="M75" s="118">
        <f t="shared" si="69"/>
        <v>306.60016999999993</v>
      </c>
      <c r="N75" s="118">
        <f t="shared" si="69"/>
        <v>200.24556000000075</v>
      </c>
      <c r="O75" s="118">
        <f t="shared" si="69"/>
        <v>225.15426999999909</v>
      </c>
      <c r="P75" s="118">
        <v>305</v>
      </c>
      <c r="Q75" s="118">
        <v>252</v>
      </c>
      <c r="R75" s="118">
        <v>338</v>
      </c>
      <c r="S75" s="118">
        <f t="shared" ref="S75:Y75" si="70">+S17-S46</f>
        <v>212</v>
      </c>
      <c r="T75" s="118">
        <f t="shared" si="70"/>
        <v>341</v>
      </c>
      <c r="U75" s="118">
        <f t="shared" si="70"/>
        <v>123</v>
      </c>
      <c r="V75" s="118">
        <f t="shared" si="70"/>
        <v>173</v>
      </c>
      <c r="W75" s="118">
        <f t="shared" si="70"/>
        <v>185</v>
      </c>
      <c r="X75" s="118">
        <f t="shared" si="70"/>
        <v>339</v>
      </c>
      <c r="Y75" s="118">
        <f t="shared" si="70"/>
        <v>15</v>
      </c>
      <c r="Z75" s="118">
        <f t="shared" ref="Z75:AE75" si="71">+Z17-Z46</f>
        <v>208</v>
      </c>
      <c r="AA75" s="118">
        <f t="shared" si="71"/>
        <v>225</v>
      </c>
      <c r="AB75" s="118">
        <f t="shared" si="71"/>
        <v>303</v>
      </c>
      <c r="AC75" s="118">
        <f t="shared" si="71"/>
        <v>169</v>
      </c>
      <c r="AD75" s="118">
        <f t="shared" si="71"/>
        <v>156</v>
      </c>
      <c r="AE75" s="118">
        <f t="shared" si="71"/>
        <v>191</v>
      </c>
      <c r="AF75" s="118">
        <f t="shared" ref="AF75:AL75" si="72">+AF17-AF46</f>
        <v>305</v>
      </c>
      <c r="AG75" s="118">
        <f t="shared" si="72"/>
        <v>474</v>
      </c>
      <c r="AH75" s="118">
        <f t="shared" si="72"/>
        <v>831</v>
      </c>
      <c r="AI75" s="118">
        <f t="shared" si="72"/>
        <v>1267</v>
      </c>
      <c r="AJ75" s="118">
        <f t="shared" si="72"/>
        <v>1684</v>
      </c>
      <c r="AK75" s="118">
        <f>+AK17-AK46</f>
        <v>1025</v>
      </c>
      <c r="AL75" s="118">
        <f t="shared" si="72"/>
        <v>498</v>
      </c>
      <c r="AM75" s="118">
        <f t="shared" ref="AM75:AS75" si="73">+AM17-AM46</f>
        <v>1157</v>
      </c>
      <c r="AN75" s="118">
        <f t="shared" si="73"/>
        <v>943</v>
      </c>
      <c r="AO75" s="118">
        <f t="shared" si="73"/>
        <v>503</v>
      </c>
      <c r="AP75" s="118">
        <f t="shared" si="73"/>
        <v>409</v>
      </c>
      <c r="AQ75" s="118">
        <f t="shared" si="73"/>
        <v>667</v>
      </c>
      <c r="AR75" s="118">
        <f t="shared" si="73"/>
        <v>702</v>
      </c>
      <c r="AS75" s="118">
        <f t="shared" si="73"/>
        <v>673</v>
      </c>
      <c r="AT75" s="118">
        <f>+AT17-AT46</f>
        <v>653</v>
      </c>
      <c r="AU75" s="118">
        <f>+AU17-AU46</f>
        <v>659</v>
      </c>
      <c r="AV75" s="118">
        <f>+AV17-AV46</f>
        <v>737</v>
      </c>
      <c r="AW75" s="118">
        <v>818</v>
      </c>
      <c r="AX75" s="118">
        <v>866</v>
      </c>
      <c r="AY75" s="118">
        <v>733</v>
      </c>
      <c r="AZ75" s="118">
        <f>+AZ17-AZ46</f>
        <v>1062</v>
      </c>
      <c r="BA75" s="118">
        <f>+BA17-BA46</f>
        <v>1006</v>
      </c>
      <c r="BB75" s="118">
        <f>+BB17-BB46</f>
        <v>1871</v>
      </c>
      <c r="DD75"/>
      <c r="DE75"/>
      <c r="DF75"/>
      <c r="DG75"/>
      <c r="DH75"/>
      <c r="DI75"/>
      <c r="DJ75"/>
      <c r="DK75"/>
      <c r="DL75"/>
      <c r="DM75"/>
      <c r="DN75"/>
      <c r="DO75"/>
      <c r="DP75"/>
      <c r="DQ75"/>
      <c r="DR75"/>
      <c r="DS75"/>
      <c r="DT75"/>
      <c r="DW75" s="25"/>
      <c r="FN75"/>
    </row>
    <row r="76" spans="1:170" x14ac:dyDescent="0.2">
      <c r="A76" s="25" t="s">
        <v>143</v>
      </c>
      <c r="B76" s="25" t="s">
        <v>1039</v>
      </c>
      <c r="D76" s="129" t="str">
        <f>IF([1]RENAME!$H$3=1,B76,A76)</f>
        <v>Utilidades</v>
      </c>
      <c r="E76" s="118">
        <f t="shared" ref="E76:O76" si="74">+E15-E47</f>
        <v>918.67683</v>
      </c>
      <c r="F76" s="118">
        <f t="shared" si="74"/>
        <v>888.61080999999967</v>
      </c>
      <c r="G76" s="118">
        <f t="shared" si="74"/>
        <v>706.47245999999939</v>
      </c>
      <c r="H76" s="118">
        <f t="shared" si="74"/>
        <v>1064.3770800000004</v>
      </c>
      <c r="I76" s="118">
        <f t="shared" si="74"/>
        <v>1033.7387900000003</v>
      </c>
      <c r="J76" s="118">
        <f t="shared" si="74"/>
        <v>1295.54179</v>
      </c>
      <c r="K76" s="118">
        <f t="shared" si="74"/>
        <v>1344.8479199999988</v>
      </c>
      <c r="L76" s="118">
        <f t="shared" si="74"/>
        <v>1417.6214800000016</v>
      </c>
      <c r="M76" s="118">
        <f t="shared" si="74"/>
        <v>1286.3931600000003</v>
      </c>
      <c r="N76" s="118">
        <f t="shared" si="74"/>
        <v>980.08051000000023</v>
      </c>
      <c r="O76" s="118">
        <f t="shared" si="74"/>
        <v>864.52632999999969</v>
      </c>
      <c r="P76" s="118">
        <v>690</v>
      </c>
      <c r="Q76" s="118">
        <v>707</v>
      </c>
      <c r="R76" s="118">
        <v>802</v>
      </c>
      <c r="S76" s="118">
        <f t="shared" ref="S76:AL76" si="75">+S15-S47</f>
        <v>740</v>
      </c>
      <c r="T76" s="118">
        <f t="shared" si="75"/>
        <v>808</v>
      </c>
      <c r="U76" s="118">
        <f t="shared" si="75"/>
        <v>551</v>
      </c>
      <c r="V76" s="118">
        <f t="shared" si="75"/>
        <v>438</v>
      </c>
      <c r="W76" s="118">
        <f t="shared" si="75"/>
        <v>477</v>
      </c>
      <c r="X76" s="118">
        <f t="shared" si="75"/>
        <v>469</v>
      </c>
      <c r="Y76" s="118">
        <f t="shared" si="75"/>
        <v>485</v>
      </c>
      <c r="Z76" s="118">
        <f t="shared" si="75"/>
        <v>404</v>
      </c>
      <c r="AA76" s="118">
        <f t="shared" si="75"/>
        <v>431</v>
      </c>
      <c r="AB76" s="118">
        <f t="shared" si="75"/>
        <v>431</v>
      </c>
      <c r="AC76" s="118">
        <f t="shared" si="75"/>
        <v>392</v>
      </c>
      <c r="AD76" s="118">
        <f t="shared" si="75"/>
        <v>351</v>
      </c>
      <c r="AE76" s="118">
        <f t="shared" si="75"/>
        <v>375</v>
      </c>
      <c r="AF76" s="118">
        <f t="shared" si="75"/>
        <v>381</v>
      </c>
      <c r="AG76" s="118">
        <f t="shared" si="75"/>
        <v>58</v>
      </c>
      <c r="AH76" s="118">
        <f t="shared" si="75"/>
        <v>113</v>
      </c>
      <c r="AI76" s="118">
        <f t="shared" si="75"/>
        <v>97</v>
      </c>
      <c r="AJ76" s="118">
        <f t="shared" si="75"/>
        <v>103</v>
      </c>
      <c r="AK76" s="118">
        <f t="shared" si="75"/>
        <v>68</v>
      </c>
      <c r="AL76" s="118">
        <f t="shared" si="75"/>
        <v>90</v>
      </c>
      <c r="AM76" s="118">
        <f t="shared" ref="AM76:AS77" si="76">+AM15-AM47</f>
        <v>98</v>
      </c>
      <c r="AN76" s="118">
        <f t="shared" si="76"/>
        <v>95</v>
      </c>
      <c r="AO76" s="118">
        <f t="shared" si="76"/>
        <v>90</v>
      </c>
      <c r="AP76" s="118">
        <f t="shared" si="76"/>
        <v>135</v>
      </c>
      <c r="AQ76" s="118">
        <f t="shared" si="76"/>
        <v>119</v>
      </c>
      <c r="AR76" s="118">
        <f t="shared" si="76"/>
        <v>105</v>
      </c>
      <c r="AS76" s="118">
        <f t="shared" si="76"/>
        <v>165</v>
      </c>
      <c r="AT76" s="118">
        <f t="shared" ref="AT76:AV77" si="77">+AT15-AT47</f>
        <v>143</v>
      </c>
      <c r="AU76" s="118">
        <f t="shared" si="77"/>
        <v>192</v>
      </c>
      <c r="AV76" s="118">
        <f t="shared" si="77"/>
        <v>161</v>
      </c>
      <c r="AW76" s="118">
        <v>166</v>
      </c>
      <c r="AX76" s="118">
        <v>149</v>
      </c>
      <c r="AY76" s="118">
        <v>159</v>
      </c>
      <c r="AZ76" s="118">
        <f t="shared" ref="AZ76:BB77" si="78">+AZ15-AZ47</f>
        <v>186</v>
      </c>
      <c r="BA76" s="118">
        <f t="shared" si="78"/>
        <v>165</v>
      </c>
      <c r="BB76" s="118">
        <f t="shared" si="78"/>
        <v>173</v>
      </c>
      <c r="DD76"/>
      <c r="DE76"/>
      <c r="DF76"/>
      <c r="DG76"/>
      <c r="DH76"/>
      <c r="DI76"/>
      <c r="DJ76"/>
      <c r="DK76"/>
      <c r="DL76"/>
      <c r="DM76"/>
      <c r="DN76"/>
      <c r="DO76"/>
      <c r="DP76"/>
      <c r="DQ76"/>
      <c r="DR76"/>
      <c r="DS76"/>
      <c r="DT76"/>
      <c r="DW76" s="25"/>
      <c r="FN76"/>
    </row>
    <row r="77" spans="1:170" x14ac:dyDescent="0.2">
      <c r="A77" s="25" t="s">
        <v>141</v>
      </c>
      <c r="B77" s="25" t="s">
        <v>1040</v>
      </c>
      <c r="D77" s="129" t="str">
        <f>IF([1]RENAME!$H$3=1,B77,A77)</f>
        <v>Comunicação</v>
      </c>
      <c r="E77" s="118">
        <f t="shared" ref="E77:O77" si="79">+E16-E48</f>
        <v>-51.865350000000035</v>
      </c>
      <c r="F77" s="118">
        <f t="shared" si="79"/>
        <v>274.08483999999976</v>
      </c>
      <c r="G77" s="118">
        <f t="shared" si="79"/>
        <v>362.39103000000068</v>
      </c>
      <c r="H77" s="118">
        <f t="shared" si="79"/>
        <v>374.34180999999944</v>
      </c>
      <c r="I77" s="118">
        <f t="shared" si="79"/>
        <v>324.94937000000004</v>
      </c>
      <c r="J77" s="118">
        <f t="shared" si="79"/>
        <v>313.65793000000053</v>
      </c>
      <c r="K77" s="118">
        <f t="shared" si="79"/>
        <v>415.51313000000039</v>
      </c>
      <c r="L77" s="118">
        <f t="shared" si="79"/>
        <v>411.70549000000028</v>
      </c>
      <c r="M77" s="118">
        <f t="shared" si="79"/>
        <v>383.38113000000021</v>
      </c>
      <c r="N77" s="118">
        <f t="shared" si="79"/>
        <v>314.93984999999975</v>
      </c>
      <c r="O77" s="118">
        <f t="shared" si="79"/>
        <v>341.67902000000026</v>
      </c>
      <c r="P77" s="118">
        <v>198</v>
      </c>
      <c r="Q77" s="118">
        <v>213</v>
      </c>
      <c r="R77" s="118">
        <v>155</v>
      </c>
      <c r="S77" s="118">
        <f t="shared" ref="S77:AL77" si="80">+S16-S48</f>
        <v>219</v>
      </c>
      <c r="T77" s="118">
        <f t="shared" si="80"/>
        <v>165</v>
      </c>
      <c r="U77" s="118">
        <f t="shared" si="80"/>
        <v>194</v>
      </c>
      <c r="V77" s="118">
        <f t="shared" si="80"/>
        <v>60</v>
      </c>
      <c r="W77" s="118">
        <f t="shared" si="80"/>
        <v>163</v>
      </c>
      <c r="X77" s="118">
        <f t="shared" si="80"/>
        <v>100</v>
      </c>
      <c r="Y77" s="118">
        <f t="shared" si="80"/>
        <v>120</v>
      </c>
      <c r="Z77" s="118">
        <f t="shared" si="80"/>
        <v>95</v>
      </c>
      <c r="AA77" s="118">
        <f t="shared" si="80"/>
        <v>82</v>
      </c>
      <c r="AB77" s="118">
        <f t="shared" si="80"/>
        <v>137</v>
      </c>
      <c r="AC77" s="118">
        <f t="shared" si="80"/>
        <v>93</v>
      </c>
      <c r="AD77" s="118">
        <f t="shared" si="80"/>
        <v>99</v>
      </c>
      <c r="AE77" s="118">
        <f t="shared" si="80"/>
        <v>88</v>
      </c>
      <c r="AF77" s="118">
        <f t="shared" si="80"/>
        <v>105</v>
      </c>
      <c r="AG77" s="118">
        <f t="shared" si="80"/>
        <v>79</v>
      </c>
      <c r="AH77" s="118">
        <f t="shared" si="80"/>
        <v>64</v>
      </c>
      <c r="AI77" s="118">
        <f t="shared" si="80"/>
        <v>64</v>
      </c>
      <c r="AJ77" s="118">
        <f t="shared" si="80"/>
        <v>58</v>
      </c>
      <c r="AK77" s="118">
        <f t="shared" si="80"/>
        <v>46</v>
      </c>
      <c r="AL77" s="118">
        <f t="shared" si="80"/>
        <v>47</v>
      </c>
      <c r="AM77" s="118">
        <f t="shared" si="76"/>
        <v>43</v>
      </c>
      <c r="AN77" s="118">
        <f t="shared" si="76"/>
        <v>45</v>
      </c>
      <c r="AO77" s="118">
        <f t="shared" si="76"/>
        <v>41</v>
      </c>
      <c r="AP77" s="118">
        <f t="shared" si="76"/>
        <v>43</v>
      </c>
      <c r="AQ77" s="118">
        <f t="shared" si="76"/>
        <v>52</v>
      </c>
      <c r="AR77" s="118">
        <f t="shared" si="76"/>
        <v>43</v>
      </c>
      <c r="AS77" s="118">
        <f t="shared" si="76"/>
        <v>47</v>
      </c>
      <c r="AT77" s="118">
        <f t="shared" si="77"/>
        <v>67</v>
      </c>
      <c r="AU77" s="118">
        <f t="shared" si="77"/>
        <v>52</v>
      </c>
      <c r="AV77" s="118">
        <f t="shared" si="77"/>
        <v>57</v>
      </c>
      <c r="AW77" s="118">
        <v>51</v>
      </c>
      <c r="AX77" s="118">
        <v>31</v>
      </c>
      <c r="AY77" s="118">
        <v>37</v>
      </c>
      <c r="AZ77" s="118">
        <f t="shared" si="78"/>
        <v>43</v>
      </c>
      <c r="BA77" s="118">
        <f t="shared" si="78"/>
        <v>48</v>
      </c>
      <c r="BB77" s="118">
        <f t="shared" si="78"/>
        <v>46</v>
      </c>
      <c r="DD77"/>
      <c r="DE77"/>
      <c r="DF77"/>
      <c r="DG77"/>
      <c r="DH77"/>
      <c r="DI77"/>
      <c r="DJ77"/>
      <c r="DK77"/>
      <c r="DL77"/>
      <c r="DM77"/>
      <c r="DN77"/>
      <c r="DO77"/>
      <c r="DP77"/>
      <c r="DQ77"/>
      <c r="DR77"/>
      <c r="DS77"/>
      <c r="DT77"/>
      <c r="DW77" s="25"/>
      <c r="FN77"/>
    </row>
    <row r="78" spans="1:170" x14ac:dyDescent="0.2">
      <c r="A78" s="25" t="s">
        <v>138</v>
      </c>
      <c r="B78" s="25" t="s">
        <v>1042</v>
      </c>
      <c r="D78" s="129" t="str">
        <f>IF([1]RENAME!$H$3=1,B78,A78)</f>
        <v>Outros gastos com pessoal</v>
      </c>
      <c r="E78" s="118">
        <f t="shared" ref="E78:O78" si="81">+E18-E49</f>
        <v>835.72808000000077</v>
      </c>
      <c r="F78" s="118">
        <f t="shared" si="81"/>
        <v>345.05817999999772</v>
      </c>
      <c r="G78" s="118">
        <f t="shared" si="81"/>
        <v>390.83558000000198</v>
      </c>
      <c r="H78" s="118">
        <f t="shared" si="81"/>
        <v>-402.51756999999952</v>
      </c>
      <c r="I78" s="118">
        <f t="shared" si="81"/>
        <v>343.58133000000089</v>
      </c>
      <c r="J78" s="118">
        <f t="shared" si="81"/>
        <v>230.10247999999876</v>
      </c>
      <c r="K78" s="118">
        <f t="shared" si="81"/>
        <v>397.00000000000091</v>
      </c>
      <c r="L78" s="118">
        <f t="shared" si="81"/>
        <v>229.54692</v>
      </c>
      <c r="M78" s="118">
        <f t="shared" si="81"/>
        <v>307.16673999999989</v>
      </c>
      <c r="N78" s="118">
        <f t="shared" si="81"/>
        <v>157.15259999999989</v>
      </c>
      <c r="O78" s="118">
        <f t="shared" si="81"/>
        <v>280.68066000000022</v>
      </c>
      <c r="P78" s="118">
        <v>490</v>
      </c>
      <c r="Q78" s="118">
        <v>300</v>
      </c>
      <c r="R78" s="118">
        <v>308</v>
      </c>
      <c r="S78" s="118">
        <f t="shared" ref="S78:Y78" si="82">+S18-S49</f>
        <v>243</v>
      </c>
      <c r="T78" s="118">
        <f t="shared" si="82"/>
        <v>382</v>
      </c>
      <c r="U78" s="118">
        <f t="shared" si="82"/>
        <v>233</v>
      </c>
      <c r="V78" s="118">
        <f t="shared" si="82"/>
        <v>245</v>
      </c>
      <c r="W78" s="118">
        <f t="shared" si="82"/>
        <v>208</v>
      </c>
      <c r="X78" s="118">
        <f t="shared" si="82"/>
        <v>880</v>
      </c>
      <c r="Y78" s="118">
        <f t="shared" si="82"/>
        <v>123</v>
      </c>
      <c r="Z78" s="118">
        <f t="shared" ref="Z78:AE78" si="83">+Z18-Z49</f>
        <v>307</v>
      </c>
      <c r="AA78" s="118">
        <f t="shared" si="83"/>
        <v>278</v>
      </c>
      <c r="AB78" s="118">
        <f t="shared" si="83"/>
        <v>1184</v>
      </c>
      <c r="AC78" s="118">
        <f t="shared" si="83"/>
        <v>197</v>
      </c>
      <c r="AD78" s="118">
        <f t="shared" si="83"/>
        <v>786</v>
      </c>
      <c r="AE78" s="118">
        <f t="shared" si="83"/>
        <v>589</v>
      </c>
      <c r="AF78" s="118">
        <f t="shared" ref="AF78:AL78" si="84">+AF18-AF49</f>
        <v>467</v>
      </c>
      <c r="AG78" s="118">
        <f t="shared" si="84"/>
        <v>91</v>
      </c>
      <c r="AH78" s="118">
        <f t="shared" si="84"/>
        <v>125</v>
      </c>
      <c r="AI78" s="118">
        <f t="shared" si="84"/>
        <v>84</v>
      </c>
      <c r="AJ78" s="118">
        <f t="shared" si="84"/>
        <v>189</v>
      </c>
      <c r="AK78" s="118">
        <f>+AK18-AK49</f>
        <v>224</v>
      </c>
      <c r="AL78" s="118">
        <f t="shared" si="84"/>
        <v>330</v>
      </c>
      <c r="AM78" s="118">
        <f t="shared" ref="AM78:AS78" si="85">+AM18-AM49</f>
        <v>456</v>
      </c>
      <c r="AN78" s="118">
        <f t="shared" si="85"/>
        <v>278</v>
      </c>
      <c r="AO78" s="118">
        <f t="shared" si="85"/>
        <v>207</v>
      </c>
      <c r="AP78" s="118">
        <f t="shared" si="85"/>
        <v>221</v>
      </c>
      <c r="AQ78" s="118">
        <f t="shared" si="85"/>
        <v>289</v>
      </c>
      <c r="AR78" s="118">
        <f t="shared" si="85"/>
        <v>296</v>
      </c>
      <c r="AS78" s="118">
        <f t="shared" si="85"/>
        <v>380</v>
      </c>
      <c r="AT78" s="118">
        <f>+AT18-AT49</f>
        <v>243</v>
      </c>
      <c r="AU78" s="118">
        <f>+AU18-AU49</f>
        <v>290</v>
      </c>
      <c r="AV78" s="118">
        <f>+AV18-AV49</f>
        <v>362</v>
      </c>
      <c r="AW78" s="118">
        <v>484</v>
      </c>
      <c r="AX78" s="118">
        <v>363</v>
      </c>
      <c r="AY78" s="118">
        <v>189</v>
      </c>
      <c r="AZ78" s="118">
        <f>+AZ18-AZ49</f>
        <v>374</v>
      </c>
      <c r="BA78" s="118">
        <f>+BA18-BA49</f>
        <v>185</v>
      </c>
      <c r="BB78" s="118">
        <f>+BB18-BB49</f>
        <v>140</v>
      </c>
      <c r="DD78"/>
      <c r="DE78"/>
      <c r="DF78"/>
      <c r="DG78"/>
      <c r="DH78"/>
      <c r="DI78"/>
      <c r="DJ78"/>
      <c r="DK78"/>
      <c r="DL78"/>
      <c r="DM78"/>
      <c r="DN78"/>
      <c r="DO78"/>
      <c r="DP78"/>
      <c r="DQ78"/>
      <c r="DR78"/>
      <c r="DS78"/>
      <c r="DT78"/>
      <c r="DW78" s="25"/>
      <c r="FN78"/>
    </row>
    <row r="79" spans="1:170" ht="15" customHeight="1" x14ac:dyDescent="0.2">
      <c r="A79" s="25" t="s">
        <v>485</v>
      </c>
      <c r="B79" s="25" t="s">
        <v>1048</v>
      </c>
      <c r="D79" s="129" t="str">
        <f>IF([1]RENAME!$H$3=1,B79,A79)</f>
        <v>Custos rescisórios</v>
      </c>
      <c r="E79" s="118">
        <f t="shared" ref="E79:O79" si="86">+E25-E50</f>
        <v>1040.6842999999999</v>
      </c>
      <c r="F79" s="118">
        <f t="shared" si="86"/>
        <v>505.89512000000104</v>
      </c>
      <c r="G79" s="118">
        <f t="shared" si="86"/>
        <v>175.02178999999899</v>
      </c>
      <c r="H79" s="118">
        <f t="shared" si="86"/>
        <v>141.74965000000043</v>
      </c>
      <c r="I79" s="118">
        <f t="shared" si="86"/>
        <v>321.04614000000004</v>
      </c>
      <c r="J79" s="118">
        <f t="shared" si="86"/>
        <v>421.39044999999942</v>
      </c>
      <c r="K79" s="118">
        <f t="shared" si="86"/>
        <v>187.4424299999996</v>
      </c>
      <c r="L79" s="118">
        <f t="shared" si="86"/>
        <v>306.9741900000015</v>
      </c>
      <c r="M79" s="118">
        <f t="shared" si="86"/>
        <v>365.60933999999997</v>
      </c>
      <c r="N79" s="118">
        <f t="shared" si="86"/>
        <v>471.49612000000093</v>
      </c>
      <c r="O79" s="118">
        <f t="shared" si="86"/>
        <v>291.89453999999887</v>
      </c>
      <c r="P79" s="118">
        <v>367</v>
      </c>
      <c r="Q79" s="118">
        <v>252</v>
      </c>
      <c r="R79" s="118">
        <v>193</v>
      </c>
      <c r="S79" s="118">
        <f t="shared" ref="S79:Y79" si="87">+S25-S50</f>
        <v>276</v>
      </c>
      <c r="T79" s="118">
        <f t="shared" si="87"/>
        <v>119</v>
      </c>
      <c r="U79" s="118">
        <f t="shared" si="87"/>
        <v>87</v>
      </c>
      <c r="V79" s="118">
        <f t="shared" si="87"/>
        <v>118</v>
      </c>
      <c r="W79" s="118">
        <f t="shared" si="87"/>
        <v>118</v>
      </c>
      <c r="X79" s="118">
        <f t="shared" si="87"/>
        <v>148</v>
      </c>
      <c r="Y79" s="118">
        <f t="shared" si="87"/>
        <v>322</v>
      </c>
      <c r="Z79" s="118">
        <f t="shared" ref="Z79:AE79" si="88">+Z25-Z50</f>
        <v>192</v>
      </c>
      <c r="AA79" s="118">
        <f t="shared" si="88"/>
        <v>90</v>
      </c>
      <c r="AB79" s="118">
        <f t="shared" si="88"/>
        <v>272</v>
      </c>
      <c r="AC79" s="118">
        <f t="shared" si="88"/>
        <v>87</v>
      </c>
      <c r="AD79" s="118">
        <f t="shared" si="88"/>
        <v>118</v>
      </c>
      <c r="AE79" s="118">
        <f t="shared" si="88"/>
        <v>343</v>
      </c>
      <c r="AF79" s="118">
        <f t="shared" ref="AF79:AL79" si="89">+AF25-AF50</f>
        <v>32</v>
      </c>
      <c r="AG79" s="118">
        <f t="shared" si="89"/>
        <v>196</v>
      </c>
      <c r="AH79" s="118">
        <f t="shared" si="89"/>
        <v>567</v>
      </c>
      <c r="AI79" s="118">
        <f t="shared" si="89"/>
        <v>-120</v>
      </c>
      <c r="AJ79" s="118">
        <f t="shared" si="89"/>
        <v>42</v>
      </c>
      <c r="AK79" s="118">
        <f>+AK25-AK50</f>
        <v>216</v>
      </c>
      <c r="AL79" s="118">
        <f t="shared" si="89"/>
        <v>26</v>
      </c>
      <c r="AM79" s="118">
        <f t="shared" ref="AM79:AS79" si="90">+AM25-AM50</f>
        <v>71</v>
      </c>
      <c r="AN79" s="118">
        <f t="shared" si="90"/>
        <v>99</v>
      </c>
      <c r="AO79" s="118">
        <f t="shared" si="90"/>
        <v>43</v>
      </c>
      <c r="AP79" s="118">
        <f t="shared" si="90"/>
        <v>35</v>
      </c>
      <c r="AQ79" s="118">
        <f t="shared" si="90"/>
        <v>35</v>
      </c>
      <c r="AR79" s="118">
        <f t="shared" si="90"/>
        <v>102</v>
      </c>
      <c r="AS79" s="118">
        <f t="shared" si="90"/>
        <v>21</v>
      </c>
      <c r="AT79" s="118">
        <f>+AT25-AT50</f>
        <v>85</v>
      </c>
      <c r="AU79" s="118">
        <f>+AU25-AU50</f>
        <v>139</v>
      </c>
      <c r="AV79" s="118">
        <f>+AV25-AV50</f>
        <v>73</v>
      </c>
      <c r="AW79" s="118">
        <v>78</v>
      </c>
      <c r="AX79" s="118">
        <v>217</v>
      </c>
      <c r="AY79" s="118">
        <v>126</v>
      </c>
      <c r="AZ79" s="118">
        <f>+AZ25-AZ50</f>
        <v>398</v>
      </c>
      <c r="BA79" s="118">
        <f>+BA25-BA50</f>
        <v>63</v>
      </c>
      <c r="BB79" s="118">
        <f>+BB25-BB50</f>
        <v>187</v>
      </c>
      <c r="DD79"/>
      <c r="DE79"/>
      <c r="DF79"/>
      <c r="DG79"/>
      <c r="DH79"/>
      <c r="DI79"/>
      <c r="DJ79"/>
      <c r="DK79"/>
      <c r="DL79"/>
      <c r="DM79"/>
      <c r="DN79"/>
      <c r="DO79"/>
      <c r="DP79"/>
      <c r="DQ79"/>
      <c r="DR79"/>
      <c r="DS79"/>
      <c r="DT79"/>
      <c r="DW79" s="25"/>
      <c r="FN79"/>
    </row>
    <row r="80" spans="1:170" x14ac:dyDescent="0.2">
      <c r="A80" s="25" t="s">
        <v>144</v>
      </c>
      <c r="B80" s="25" t="s">
        <v>1044</v>
      </c>
      <c r="D80" s="129" t="str">
        <f>IF([1]RENAME!$H$3=1,B80,A80)</f>
        <v>Materiais</v>
      </c>
      <c r="E80" s="118">
        <f t="shared" ref="E80:O80" si="91">+E20-E51</f>
        <v>1254.8394000000003</v>
      </c>
      <c r="F80" s="118">
        <f t="shared" si="91"/>
        <v>713.37842000000001</v>
      </c>
      <c r="G80" s="118">
        <f t="shared" si="91"/>
        <v>564.21155999999996</v>
      </c>
      <c r="H80" s="118">
        <f t="shared" si="91"/>
        <v>749.35759999999959</v>
      </c>
      <c r="I80" s="118">
        <f t="shared" si="91"/>
        <v>590.61613000000011</v>
      </c>
      <c r="J80" s="118">
        <f t="shared" si="91"/>
        <v>438.48381999999947</v>
      </c>
      <c r="K80" s="118">
        <f t="shared" si="91"/>
        <v>408.43801000000042</v>
      </c>
      <c r="L80" s="118">
        <f t="shared" si="91"/>
        <v>1169.5439100000017</v>
      </c>
      <c r="M80" s="118">
        <f t="shared" si="91"/>
        <v>340.93719999999962</v>
      </c>
      <c r="N80" s="118">
        <f t="shared" si="91"/>
        <v>301.46114000000068</v>
      </c>
      <c r="O80" s="118">
        <f t="shared" si="91"/>
        <v>416.60165999999981</v>
      </c>
      <c r="P80" s="118">
        <v>461</v>
      </c>
      <c r="Q80" s="118">
        <v>336</v>
      </c>
      <c r="R80" s="118">
        <v>524</v>
      </c>
      <c r="S80" s="118">
        <f t="shared" ref="S80:Y80" si="92">+S20-S51</f>
        <v>602</v>
      </c>
      <c r="T80" s="118">
        <f t="shared" si="92"/>
        <v>595</v>
      </c>
      <c r="U80" s="118">
        <f t="shared" si="92"/>
        <v>321</v>
      </c>
      <c r="V80" s="118">
        <f t="shared" si="92"/>
        <v>388</v>
      </c>
      <c r="W80" s="118">
        <f t="shared" si="92"/>
        <v>292</v>
      </c>
      <c r="X80" s="118">
        <f t="shared" si="92"/>
        <v>381</v>
      </c>
      <c r="Y80" s="118">
        <f t="shared" si="92"/>
        <v>301</v>
      </c>
      <c r="Z80" s="118">
        <f t="shared" ref="Z80:AE80" si="93">+Z20-Z51</f>
        <v>333</v>
      </c>
      <c r="AA80" s="118">
        <f t="shared" si="93"/>
        <v>323</v>
      </c>
      <c r="AB80" s="118">
        <f t="shared" si="93"/>
        <v>440</v>
      </c>
      <c r="AC80" s="118">
        <f t="shared" si="93"/>
        <v>283</v>
      </c>
      <c r="AD80" s="118">
        <f t="shared" si="93"/>
        <v>406</v>
      </c>
      <c r="AE80" s="118">
        <f t="shared" si="93"/>
        <v>389</v>
      </c>
      <c r="AF80" s="118">
        <f t="shared" ref="AF80:AL80" si="94">+AF20-AF51</f>
        <v>184</v>
      </c>
      <c r="AG80" s="118">
        <f t="shared" si="94"/>
        <v>81</v>
      </c>
      <c r="AH80" s="118">
        <f t="shared" si="94"/>
        <v>41</v>
      </c>
      <c r="AI80" s="118">
        <f t="shared" si="94"/>
        <v>37</v>
      </c>
      <c r="AJ80" s="118">
        <f t="shared" si="94"/>
        <v>37</v>
      </c>
      <c r="AK80" s="118">
        <f>+AK20-AK51</f>
        <v>32</v>
      </c>
      <c r="AL80" s="118">
        <f t="shared" si="94"/>
        <v>54</v>
      </c>
      <c r="AM80" s="118">
        <f t="shared" ref="AM80:AS80" si="95">+AM20-AM51</f>
        <v>70</v>
      </c>
      <c r="AN80" s="118">
        <f t="shared" si="95"/>
        <v>77</v>
      </c>
      <c r="AO80" s="118">
        <f t="shared" si="95"/>
        <v>47</v>
      </c>
      <c r="AP80" s="118">
        <f t="shared" si="95"/>
        <v>51</v>
      </c>
      <c r="AQ80" s="118">
        <f t="shared" si="95"/>
        <v>58</v>
      </c>
      <c r="AR80" s="118">
        <f t="shared" si="95"/>
        <v>71</v>
      </c>
      <c r="AS80" s="118">
        <f t="shared" si="95"/>
        <v>65</v>
      </c>
      <c r="AT80" s="118">
        <f>+AT20-AT51</f>
        <v>127</v>
      </c>
      <c r="AU80" s="118">
        <f>+AU20-AU51</f>
        <v>201</v>
      </c>
      <c r="AV80" s="118">
        <f>+AV20-AV51</f>
        <v>320</v>
      </c>
      <c r="AW80" s="118">
        <v>273</v>
      </c>
      <c r="AX80" s="118">
        <v>229</v>
      </c>
      <c r="AY80" s="118">
        <v>269</v>
      </c>
      <c r="AZ80" s="118">
        <f>+AZ20-AZ51</f>
        <v>234</v>
      </c>
      <c r="BA80" s="118">
        <f>+BA20-BA51</f>
        <v>195</v>
      </c>
      <c r="BB80" s="118">
        <f>+BB20-BB51</f>
        <v>234</v>
      </c>
      <c r="DD80"/>
      <c r="DE80"/>
      <c r="DF80"/>
      <c r="DG80"/>
      <c r="DH80"/>
      <c r="DI80"/>
      <c r="DJ80"/>
      <c r="DK80"/>
      <c r="DL80"/>
      <c r="DM80"/>
      <c r="DN80"/>
      <c r="DO80"/>
      <c r="DP80"/>
      <c r="DQ80"/>
      <c r="DR80"/>
      <c r="DS80"/>
      <c r="DT80"/>
      <c r="DW80" s="25"/>
      <c r="FN80"/>
    </row>
    <row r="81" spans="1:170" x14ac:dyDescent="0.2">
      <c r="A81" s="25" t="s">
        <v>146</v>
      </c>
      <c r="B81" s="25" t="s">
        <v>1047</v>
      </c>
      <c r="D81" s="129" t="str">
        <f>IF([1]RENAME!$H$3=1,B81,A81)</f>
        <v>Despesa de viagem</v>
      </c>
      <c r="E81" s="118">
        <f t="shared" ref="E81:O81" si="96">+E24-E52</f>
        <v>-2.7388000000000545</v>
      </c>
      <c r="F81" s="118">
        <f t="shared" si="96"/>
        <v>15.444800000000043</v>
      </c>
      <c r="G81" s="118">
        <f t="shared" si="96"/>
        <v>8.4469699999999648</v>
      </c>
      <c r="H81" s="118">
        <f t="shared" si="96"/>
        <v>3.0886999999999603</v>
      </c>
      <c r="I81" s="118">
        <f t="shared" si="96"/>
        <v>1.7280000000000086</v>
      </c>
      <c r="J81" s="118">
        <f t="shared" si="96"/>
        <v>3.3314999999999486</v>
      </c>
      <c r="K81" s="118">
        <f t="shared" si="96"/>
        <v>3.6031999999999584</v>
      </c>
      <c r="L81" s="118">
        <f t="shared" si="96"/>
        <v>3.3285400000000323</v>
      </c>
      <c r="M81" s="118">
        <f t="shared" si="96"/>
        <v>2.3491999999999962</v>
      </c>
      <c r="N81" s="118">
        <f t="shared" si="96"/>
        <v>3.4756000000000142</v>
      </c>
      <c r="O81" s="118">
        <f t="shared" si="96"/>
        <v>5.1751999999999612</v>
      </c>
      <c r="P81" s="118">
        <v>7</v>
      </c>
      <c r="Q81" s="118">
        <v>20</v>
      </c>
      <c r="R81" s="118">
        <v>12</v>
      </c>
      <c r="S81" s="118">
        <f t="shared" ref="S81:Y81" si="97">+S24-S52</f>
        <v>24</v>
      </c>
      <c r="T81" s="118">
        <f t="shared" si="97"/>
        <v>17</v>
      </c>
      <c r="U81" s="118">
        <f t="shared" si="97"/>
        <v>4</v>
      </c>
      <c r="V81" s="118">
        <f t="shared" si="97"/>
        <v>-1</v>
      </c>
      <c r="W81" s="118">
        <f t="shared" si="97"/>
        <v>1</v>
      </c>
      <c r="X81" s="118">
        <f t="shared" si="97"/>
        <v>-1</v>
      </c>
      <c r="Y81" s="118">
        <f t="shared" si="97"/>
        <v>0</v>
      </c>
      <c r="Z81" s="118">
        <f t="shared" ref="Z81:AE81" si="98">+Z24-Z52</f>
        <v>0</v>
      </c>
      <c r="AA81" s="118">
        <f t="shared" si="98"/>
        <v>9</v>
      </c>
      <c r="AB81" s="118">
        <f t="shared" si="98"/>
        <v>0</v>
      </c>
      <c r="AC81" s="118">
        <f t="shared" si="98"/>
        <v>0</v>
      </c>
      <c r="AD81" s="118">
        <f t="shared" si="98"/>
        <v>6</v>
      </c>
      <c r="AE81" s="118">
        <f t="shared" si="98"/>
        <v>0</v>
      </c>
      <c r="AF81" s="118">
        <f t="shared" ref="AF81:AL81" si="99">+AF24-AF52</f>
        <v>0</v>
      </c>
      <c r="AG81" s="118">
        <f t="shared" si="99"/>
        <v>1</v>
      </c>
      <c r="AH81" s="118">
        <f t="shared" si="99"/>
        <v>19</v>
      </c>
      <c r="AI81" s="118">
        <f t="shared" si="99"/>
        <v>6</v>
      </c>
      <c r="AJ81" s="118">
        <f t="shared" si="99"/>
        <v>19</v>
      </c>
      <c r="AK81" s="118">
        <f>+AK24-AK52</f>
        <v>107</v>
      </c>
      <c r="AL81" s="118">
        <f t="shared" si="99"/>
        <v>35</v>
      </c>
      <c r="AM81" s="118">
        <f t="shared" ref="AM81:AS81" si="100">+AM24-AM52</f>
        <v>67</v>
      </c>
      <c r="AN81" s="118">
        <f t="shared" si="100"/>
        <v>44</v>
      </c>
      <c r="AO81" s="118">
        <f t="shared" si="100"/>
        <v>39</v>
      </c>
      <c r="AP81" s="118">
        <f t="shared" si="100"/>
        <v>86</v>
      </c>
      <c r="AQ81" s="118">
        <f t="shared" si="100"/>
        <v>40</v>
      </c>
      <c r="AR81" s="118">
        <f t="shared" si="100"/>
        <v>41</v>
      </c>
      <c r="AS81" s="118">
        <f t="shared" si="100"/>
        <v>43</v>
      </c>
      <c r="AT81" s="118">
        <f>+AT24-AT52</f>
        <v>50</v>
      </c>
      <c r="AU81" s="118">
        <f>+AU24-AU52</f>
        <v>57</v>
      </c>
      <c r="AV81" s="118">
        <f>+AV24-AV52</f>
        <v>40</v>
      </c>
      <c r="AW81" s="118">
        <v>0</v>
      </c>
      <c r="AX81" s="118">
        <v>41</v>
      </c>
      <c r="AY81" s="118">
        <v>74</v>
      </c>
      <c r="AZ81" s="118">
        <f>+AZ24-AZ52</f>
        <v>73</v>
      </c>
      <c r="BA81" s="118">
        <f>+BA24-BA52</f>
        <v>106</v>
      </c>
      <c r="BB81" s="118">
        <f>+BB24-BB52</f>
        <v>127</v>
      </c>
      <c r="DD81"/>
      <c r="DE81"/>
      <c r="DF81"/>
      <c r="DG81"/>
      <c r="DH81"/>
      <c r="DI81"/>
      <c r="DJ81"/>
      <c r="DK81"/>
      <c r="DL81"/>
      <c r="DM81"/>
      <c r="DN81"/>
      <c r="DO81"/>
      <c r="DP81"/>
      <c r="DQ81"/>
      <c r="DR81"/>
      <c r="DS81"/>
      <c r="DT81"/>
      <c r="DW81" s="25"/>
      <c r="FN81"/>
    </row>
    <row r="82" spans="1:170" x14ac:dyDescent="0.2">
      <c r="A82" s="25" t="s">
        <v>147</v>
      </c>
      <c r="B82" s="25" t="s">
        <v>1046</v>
      </c>
      <c r="D82" s="129" t="str">
        <f>IF([1]RENAME!$H$3=1,B82,A82)</f>
        <v>Indenização de extravio</v>
      </c>
      <c r="E82" s="118">
        <f t="shared" ref="E82:O82" si="101">+E23-E53</f>
        <v>6772.3977000000004</v>
      </c>
      <c r="F82" s="118">
        <f t="shared" si="101"/>
        <v>-1302.7440800000002</v>
      </c>
      <c r="G82" s="118">
        <f t="shared" si="101"/>
        <v>8779.5152800000014</v>
      </c>
      <c r="H82" s="118">
        <f t="shared" si="101"/>
        <v>-2514.4006500000014</v>
      </c>
      <c r="I82" s="118">
        <f t="shared" si="101"/>
        <v>44.605710000000002</v>
      </c>
      <c r="J82" s="118">
        <f t="shared" si="101"/>
        <v>1.4139799999999809</v>
      </c>
      <c r="K82" s="118">
        <f t="shared" si="101"/>
        <v>62.758260000000007</v>
      </c>
      <c r="L82" s="118">
        <f t="shared" si="101"/>
        <v>54.057079999999956</v>
      </c>
      <c r="M82" s="118">
        <f t="shared" si="101"/>
        <v>11.095889999999997</v>
      </c>
      <c r="N82" s="118">
        <f t="shared" si="101"/>
        <v>147.23572999999993</v>
      </c>
      <c r="O82" s="118">
        <f t="shared" si="101"/>
        <v>16.66838000000007</v>
      </c>
      <c r="P82" s="118">
        <v>49</v>
      </c>
      <c r="Q82" s="118">
        <v>15</v>
      </c>
      <c r="R82" s="118">
        <v>17</v>
      </c>
      <c r="S82" s="118">
        <f t="shared" ref="S82:Y82" si="102">+S23-S53</f>
        <v>18</v>
      </c>
      <c r="T82" s="118">
        <f t="shared" si="102"/>
        <v>169</v>
      </c>
      <c r="U82" s="118">
        <f t="shared" si="102"/>
        <v>35</v>
      </c>
      <c r="V82" s="118">
        <f t="shared" si="102"/>
        <v>27</v>
      </c>
      <c r="W82" s="118">
        <f t="shared" si="102"/>
        <v>55</v>
      </c>
      <c r="X82" s="118">
        <f t="shared" si="102"/>
        <v>41</v>
      </c>
      <c r="Y82" s="118">
        <f t="shared" si="102"/>
        <v>0</v>
      </c>
      <c r="Z82" s="118">
        <f t="shared" ref="Z82:AE82" si="103">+Z23-Z53</f>
        <v>5</v>
      </c>
      <c r="AA82" s="118">
        <f t="shared" si="103"/>
        <v>-4</v>
      </c>
      <c r="AB82" s="118">
        <f t="shared" si="103"/>
        <v>257</v>
      </c>
      <c r="AC82" s="118">
        <f t="shared" si="103"/>
        <v>-163</v>
      </c>
      <c r="AD82" s="118">
        <f t="shared" si="103"/>
        <v>2</v>
      </c>
      <c r="AE82" s="118">
        <f t="shared" si="103"/>
        <v>0</v>
      </c>
      <c r="AF82" s="118">
        <f t="shared" ref="AF82:AL82" si="104">+AF23-AF53</f>
        <v>0</v>
      </c>
      <c r="AG82" s="118">
        <f t="shared" si="104"/>
        <v>0</v>
      </c>
      <c r="AH82" s="118">
        <f t="shared" si="104"/>
        <v>-1</v>
      </c>
      <c r="AI82" s="118">
        <f t="shared" si="104"/>
        <v>2</v>
      </c>
      <c r="AJ82" s="118">
        <f t="shared" si="104"/>
        <v>-2</v>
      </c>
      <c r="AK82" s="118">
        <f>+AK23-AK53</f>
        <v>0</v>
      </c>
      <c r="AL82" s="118">
        <f t="shared" si="104"/>
        <v>0</v>
      </c>
      <c r="AM82" s="118">
        <f t="shared" ref="AM82:AS82" si="105">+AM23-AM53</f>
        <v>0</v>
      </c>
      <c r="AN82" s="118">
        <f t="shared" si="105"/>
        <v>0</v>
      </c>
      <c r="AO82" s="118">
        <f t="shared" si="105"/>
        <v>0</v>
      </c>
      <c r="AP82" s="118">
        <f t="shared" si="105"/>
        <v>1</v>
      </c>
      <c r="AQ82" s="118">
        <f t="shared" si="105"/>
        <v>123</v>
      </c>
      <c r="AR82" s="118">
        <f t="shared" si="105"/>
        <v>1</v>
      </c>
      <c r="AS82" s="118">
        <f t="shared" si="105"/>
        <v>1</v>
      </c>
      <c r="AT82" s="118">
        <f>+AT23-AT53</f>
        <v>1</v>
      </c>
      <c r="AU82" s="118">
        <f>+AU23-AU53</f>
        <v>5</v>
      </c>
      <c r="AV82" s="118">
        <f>+AV23-AV53</f>
        <v>14</v>
      </c>
      <c r="AW82" s="118">
        <v>0</v>
      </c>
      <c r="AX82" s="118">
        <v>5</v>
      </c>
      <c r="AY82" s="118">
        <v>20</v>
      </c>
      <c r="AZ82" s="118">
        <f>+AZ23-AZ53</f>
        <v>42</v>
      </c>
      <c r="BA82" s="118">
        <f>+BA23-BA53</f>
        <v>19</v>
      </c>
      <c r="BB82" s="118">
        <f>+BB23-BB53</f>
        <v>31</v>
      </c>
      <c r="DD82"/>
      <c r="DE82"/>
      <c r="DF82"/>
      <c r="DG82"/>
      <c r="DH82"/>
      <c r="DI82"/>
      <c r="DJ82"/>
      <c r="DK82"/>
      <c r="DL82"/>
      <c r="DM82"/>
      <c r="DN82"/>
      <c r="DO82"/>
      <c r="DP82"/>
      <c r="DQ82"/>
      <c r="DR82"/>
      <c r="DS82"/>
      <c r="DT82"/>
      <c r="DW82" s="25"/>
      <c r="FN82"/>
    </row>
    <row r="83" spans="1:170" x14ac:dyDescent="0.2">
      <c r="A83" s="25" t="s">
        <v>145</v>
      </c>
      <c r="B83" s="25" t="s">
        <v>1045</v>
      </c>
      <c r="D83" s="129" t="str">
        <f>IF([1]RENAME!$H$3=1,B83,A83)</f>
        <v>Contribuições e doações</v>
      </c>
      <c r="E83" s="118">
        <f t="shared" ref="E83:O83" si="106">+E21-E54</f>
        <v>11.809869999999989</v>
      </c>
      <c r="F83" s="118">
        <f t="shared" si="106"/>
        <v>-5.7145399999998858</v>
      </c>
      <c r="G83" s="118">
        <f t="shared" si="106"/>
        <v>2.3984699999998611</v>
      </c>
      <c r="H83" s="118">
        <f t="shared" si="106"/>
        <v>75.974660000000029</v>
      </c>
      <c r="I83" s="118">
        <f t="shared" si="106"/>
        <v>1.0978000000000065</v>
      </c>
      <c r="J83" s="118">
        <f t="shared" si="106"/>
        <v>0</v>
      </c>
      <c r="K83" s="118">
        <f t="shared" si="106"/>
        <v>0</v>
      </c>
      <c r="L83" s="118">
        <f t="shared" si="106"/>
        <v>17.19996000000009</v>
      </c>
      <c r="M83" s="118">
        <f t="shared" si="106"/>
        <v>0</v>
      </c>
      <c r="N83" s="118">
        <f t="shared" si="106"/>
        <v>0</v>
      </c>
      <c r="O83" s="118">
        <f t="shared" si="106"/>
        <v>1.1368683772161603E-13</v>
      </c>
      <c r="P83" s="118">
        <v>5</v>
      </c>
      <c r="Q83" s="118">
        <v>4</v>
      </c>
      <c r="R83" s="118">
        <v>0</v>
      </c>
      <c r="S83" s="118">
        <f t="shared" ref="S83:Y83" si="107">+S21-S54</f>
        <v>1</v>
      </c>
      <c r="T83" s="118">
        <f t="shared" si="107"/>
        <v>12</v>
      </c>
      <c r="U83" s="118">
        <f t="shared" si="107"/>
        <v>1</v>
      </c>
      <c r="V83" s="118">
        <f t="shared" si="107"/>
        <v>1</v>
      </c>
      <c r="W83" s="118">
        <f t="shared" si="107"/>
        <v>1</v>
      </c>
      <c r="X83" s="118">
        <f t="shared" si="107"/>
        <v>0</v>
      </c>
      <c r="Y83" s="118">
        <f t="shared" si="107"/>
        <v>17</v>
      </c>
      <c r="Z83" s="118">
        <f t="shared" ref="Z83:AE83" si="108">+Z21-Z54</f>
        <v>13</v>
      </c>
      <c r="AA83" s="118">
        <f t="shared" si="108"/>
        <v>30</v>
      </c>
      <c r="AB83" s="118">
        <f t="shared" si="108"/>
        <v>30</v>
      </c>
      <c r="AC83" s="118">
        <f t="shared" si="108"/>
        <v>10</v>
      </c>
      <c r="AD83" s="118">
        <f t="shared" si="108"/>
        <v>1</v>
      </c>
      <c r="AE83" s="118">
        <f t="shared" si="108"/>
        <v>164</v>
      </c>
      <c r="AF83" s="118">
        <f t="shared" ref="AF83:AL83" si="109">+AF21-AF54</f>
        <v>0</v>
      </c>
      <c r="AG83" s="118">
        <f t="shared" si="109"/>
        <v>6</v>
      </c>
      <c r="AH83" s="118">
        <f t="shared" si="109"/>
        <v>0</v>
      </c>
      <c r="AI83" s="118">
        <f t="shared" si="109"/>
        <v>0</v>
      </c>
      <c r="AJ83" s="118">
        <f t="shared" si="109"/>
        <v>1</v>
      </c>
      <c r="AK83" s="118">
        <f>+AK21-AK54</f>
        <v>2</v>
      </c>
      <c r="AL83" s="118">
        <f t="shared" si="109"/>
        <v>0</v>
      </c>
      <c r="AM83" s="118">
        <f t="shared" ref="AM83:AS83" si="110">+AM21-AM54</f>
        <v>0</v>
      </c>
      <c r="AN83" s="118">
        <f t="shared" si="110"/>
        <v>13</v>
      </c>
      <c r="AO83" s="118">
        <f t="shared" si="110"/>
        <v>8</v>
      </c>
      <c r="AP83" s="118">
        <f t="shared" si="110"/>
        <v>5</v>
      </c>
      <c r="AQ83" s="118">
        <f t="shared" si="110"/>
        <v>6</v>
      </c>
      <c r="AR83" s="118">
        <f t="shared" si="110"/>
        <v>20</v>
      </c>
      <c r="AS83" s="118">
        <f t="shared" si="110"/>
        <v>0</v>
      </c>
      <c r="AT83" s="118">
        <f>+AT21-AT54</f>
        <v>4</v>
      </c>
      <c r="AU83" s="118">
        <f>+AU21-AU54</f>
        <v>12</v>
      </c>
      <c r="AV83" s="118">
        <f>+AV21-AV54</f>
        <v>2</v>
      </c>
      <c r="AW83" s="118">
        <v>3</v>
      </c>
      <c r="AX83" s="118">
        <v>1</v>
      </c>
      <c r="AY83" s="118">
        <v>2</v>
      </c>
      <c r="AZ83" s="118">
        <f>+AZ21-AZ54</f>
        <v>46</v>
      </c>
      <c r="BA83" s="118">
        <f>+BA21-BA54</f>
        <v>21</v>
      </c>
      <c r="BB83" s="118">
        <f>+BB21-BB54</f>
        <v>3</v>
      </c>
      <c r="DD83"/>
      <c r="DE83"/>
      <c r="DF83"/>
      <c r="DG83"/>
      <c r="DH83"/>
      <c r="DI83"/>
      <c r="DJ83"/>
      <c r="DK83"/>
      <c r="DL83"/>
      <c r="DM83"/>
      <c r="DN83"/>
      <c r="DO83"/>
      <c r="DP83"/>
      <c r="DQ83"/>
      <c r="DR83"/>
      <c r="DS83"/>
      <c r="DT83"/>
      <c r="DW83" s="25"/>
      <c r="FN83"/>
    </row>
    <row r="84" spans="1:170" x14ac:dyDescent="0.2">
      <c r="A84" s="25" t="s">
        <v>634</v>
      </c>
      <c r="B84" s="25" t="s">
        <v>1264</v>
      </c>
      <c r="D84" s="129" t="str">
        <f>IF([1]RENAME!$H$3=1,B84,A84)</f>
        <v>Provisão para perda de valores com vendas de controladas</v>
      </c>
      <c r="E84" s="118">
        <v>0</v>
      </c>
      <c r="F84" s="118">
        <v>0</v>
      </c>
      <c r="G84" s="118">
        <v>0</v>
      </c>
      <c r="H84" s="118">
        <v>0</v>
      </c>
      <c r="I84" s="118">
        <v>0</v>
      </c>
      <c r="J84" s="118">
        <v>0</v>
      </c>
      <c r="K84" s="118">
        <v>0</v>
      </c>
      <c r="L84" s="118">
        <v>0</v>
      </c>
      <c r="M84" s="118">
        <v>0</v>
      </c>
      <c r="N84" s="118">
        <v>0</v>
      </c>
      <c r="O84" s="118">
        <v>0</v>
      </c>
      <c r="P84" s="118">
        <v>0</v>
      </c>
      <c r="Q84" s="118">
        <v>0</v>
      </c>
      <c r="R84" s="118">
        <v>0</v>
      </c>
      <c r="S84" s="118">
        <f t="shared" ref="S84:Y84" si="111">+S29</f>
        <v>5733</v>
      </c>
      <c r="T84" s="118">
        <f t="shared" si="111"/>
        <v>5731</v>
      </c>
      <c r="U84" s="118">
        <f t="shared" si="111"/>
        <v>0</v>
      </c>
      <c r="V84" s="118">
        <f t="shared" si="111"/>
        <v>0</v>
      </c>
      <c r="W84" s="118">
        <f t="shared" si="111"/>
        <v>0</v>
      </c>
      <c r="X84" s="118">
        <f t="shared" si="111"/>
        <v>1907</v>
      </c>
      <c r="Y84" s="118">
        <f t="shared" si="111"/>
        <v>0</v>
      </c>
      <c r="Z84" s="118">
        <f t="shared" ref="Z84:AE84" si="112">+Z29</f>
        <v>0</v>
      </c>
      <c r="AA84" s="118">
        <f t="shared" si="112"/>
        <v>0</v>
      </c>
      <c r="AB84" s="118">
        <f t="shared" si="112"/>
        <v>0</v>
      </c>
      <c r="AC84" s="118">
        <f t="shared" si="112"/>
        <v>0</v>
      </c>
      <c r="AD84" s="118">
        <f t="shared" si="112"/>
        <v>0</v>
      </c>
      <c r="AE84" s="118">
        <f t="shared" si="112"/>
        <v>0</v>
      </c>
      <c r="AF84" s="118">
        <f t="shared" ref="AF84:AL84" si="113">+AF29</f>
        <v>0</v>
      </c>
      <c r="AG84" s="118">
        <f t="shared" si="113"/>
        <v>0</v>
      </c>
      <c r="AH84" s="118">
        <f t="shared" si="113"/>
        <v>0</v>
      </c>
      <c r="AI84" s="118">
        <f t="shared" si="113"/>
        <v>0</v>
      </c>
      <c r="AJ84" s="118">
        <f t="shared" si="113"/>
        <v>0</v>
      </c>
      <c r="AK84" s="118">
        <f>+AK29</f>
        <v>0</v>
      </c>
      <c r="AL84" s="118">
        <f t="shared" si="113"/>
        <v>0</v>
      </c>
      <c r="AM84" s="118">
        <f t="shared" ref="AM84:AS84" si="114">+AM29</f>
        <v>0</v>
      </c>
      <c r="AN84" s="118">
        <f t="shared" si="114"/>
        <v>0</v>
      </c>
      <c r="AO84" s="118">
        <f t="shared" si="114"/>
        <v>0</v>
      </c>
      <c r="AP84" s="118">
        <f t="shared" si="114"/>
        <v>0</v>
      </c>
      <c r="AQ84" s="118">
        <f t="shared" si="114"/>
        <v>0</v>
      </c>
      <c r="AR84" s="118">
        <f t="shared" si="114"/>
        <v>0</v>
      </c>
      <c r="AS84" s="118">
        <f t="shared" si="114"/>
        <v>0</v>
      </c>
      <c r="AT84" s="118">
        <f>+AT29</f>
        <v>0</v>
      </c>
      <c r="AU84" s="118">
        <f>+AU29</f>
        <v>0</v>
      </c>
      <c r="AV84" s="118">
        <f>+AV29</f>
        <v>0</v>
      </c>
      <c r="AW84" s="118">
        <v>0</v>
      </c>
      <c r="AX84" s="118">
        <v>0</v>
      </c>
      <c r="AY84" s="118">
        <v>0</v>
      </c>
      <c r="AZ84" s="118">
        <f>+AZ29</f>
        <v>0</v>
      </c>
      <c r="BA84" s="118">
        <f>+BA29</f>
        <v>0</v>
      </c>
      <c r="BB84" s="118">
        <f>+BB29</f>
        <v>0</v>
      </c>
      <c r="DW84" s="25"/>
      <c r="FN84"/>
    </row>
    <row r="85" spans="1:170" ht="57" x14ac:dyDescent="0.2">
      <c r="A85" s="1141" t="s">
        <v>2114</v>
      </c>
      <c r="B85" s="25" t="s">
        <v>2116</v>
      </c>
      <c r="D85" s="129" t="str">
        <f>IF([1]RENAME!$H$3=1,B85,A85)</f>
        <v>Perda por redução ao valor
   recuperável de contas a receber</v>
      </c>
      <c r="E85" s="118">
        <f t="shared" ref="E85:AP85" si="115">E28-E56</f>
        <v>0</v>
      </c>
      <c r="F85" s="118">
        <f t="shared" si="115"/>
        <v>0</v>
      </c>
      <c r="G85" s="118">
        <f t="shared" si="115"/>
        <v>0</v>
      </c>
      <c r="H85" s="118">
        <f t="shared" si="115"/>
        <v>0</v>
      </c>
      <c r="I85" s="118">
        <f t="shared" si="115"/>
        <v>0</v>
      </c>
      <c r="J85" s="118">
        <f t="shared" si="115"/>
        <v>0</v>
      </c>
      <c r="K85" s="118">
        <f t="shared" si="115"/>
        <v>0</v>
      </c>
      <c r="L85" s="118">
        <f t="shared" si="115"/>
        <v>0</v>
      </c>
      <c r="M85" s="118">
        <f t="shared" si="115"/>
        <v>0</v>
      </c>
      <c r="N85" s="118">
        <f t="shared" si="115"/>
        <v>0</v>
      </c>
      <c r="O85" s="118">
        <f t="shared" si="115"/>
        <v>0</v>
      </c>
      <c r="P85" s="118">
        <f t="shared" si="115"/>
        <v>0</v>
      </c>
      <c r="Q85" s="118">
        <f t="shared" si="115"/>
        <v>0</v>
      </c>
      <c r="R85" s="118">
        <f t="shared" si="115"/>
        <v>0</v>
      </c>
      <c r="S85" s="118">
        <f t="shared" si="115"/>
        <v>0</v>
      </c>
      <c r="T85" s="118">
        <f t="shared" si="115"/>
        <v>0</v>
      </c>
      <c r="U85" s="118">
        <f t="shared" si="115"/>
        <v>0</v>
      </c>
      <c r="V85" s="118">
        <f t="shared" si="115"/>
        <v>0</v>
      </c>
      <c r="W85" s="118">
        <f t="shared" si="115"/>
        <v>0</v>
      </c>
      <c r="X85" s="118">
        <f t="shared" si="115"/>
        <v>0</v>
      </c>
      <c r="Y85" s="118">
        <f t="shared" si="115"/>
        <v>0</v>
      </c>
      <c r="Z85" s="118">
        <f t="shared" si="115"/>
        <v>0</v>
      </c>
      <c r="AA85" s="118">
        <f t="shared" si="115"/>
        <v>0</v>
      </c>
      <c r="AB85" s="118">
        <f t="shared" si="115"/>
        <v>0</v>
      </c>
      <c r="AC85" s="118">
        <f t="shared" si="115"/>
        <v>0</v>
      </c>
      <c r="AD85" s="118">
        <f t="shared" si="115"/>
        <v>0</v>
      </c>
      <c r="AE85" s="118">
        <f t="shared" si="115"/>
        <v>0</v>
      </c>
      <c r="AF85" s="118">
        <f t="shared" si="115"/>
        <v>0</v>
      </c>
      <c r="AG85" s="118">
        <f t="shared" si="115"/>
        <v>0</v>
      </c>
      <c r="AH85" s="118">
        <f t="shared" si="115"/>
        <v>0</v>
      </c>
      <c r="AI85" s="118">
        <f t="shared" si="115"/>
        <v>0</v>
      </c>
      <c r="AJ85" s="118">
        <f t="shared" si="115"/>
        <v>0</v>
      </c>
      <c r="AK85" s="118">
        <f t="shared" si="115"/>
        <v>26</v>
      </c>
      <c r="AL85" s="118">
        <f t="shared" si="115"/>
        <v>77</v>
      </c>
      <c r="AM85" s="118">
        <f t="shared" si="115"/>
        <v>17</v>
      </c>
      <c r="AN85" s="118">
        <f t="shared" si="115"/>
        <v>72</v>
      </c>
      <c r="AO85" s="118">
        <f t="shared" si="115"/>
        <v>382</v>
      </c>
      <c r="AP85" s="118">
        <f t="shared" si="115"/>
        <v>-28</v>
      </c>
      <c r="AQ85" s="118">
        <f t="shared" ref="AQ85:AV85" si="116">AQ28-AQ56</f>
        <v>183</v>
      </c>
      <c r="AR85" s="118">
        <f t="shared" si="116"/>
        <v>48</v>
      </c>
      <c r="AS85" s="118">
        <f t="shared" si="116"/>
        <v>-58</v>
      </c>
      <c r="AT85" s="118">
        <f t="shared" si="116"/>
        <v>73</v>
      </c>
      <c r="AU85" s="118">
        <f t="shared" si="116"/>
        <v>185</v>
      </c>
      <c r="AV85" s="118">
        <f t="shared" si="116"/>
        <v>-4131</v>
      </c>
      <c r="AW85" s="118">
        <v>48</v>
      </c>
      <c r="AX85" s="118">
        <v>203</v>
      </c>
      <c r="AY85" s="118">
        <v>-360</v>
      </c>
      <c r="AZ85" s="118">
        <f>AZ28-AZ56</f>
        <v>201</v>
      </c>
      <c r="BA85" s="118">
        <f>BA28-BA56</f>
        <v>477</v>
      </c>
      <c r="BB85" s="118">
        <f>BB28-BB56</f>
        <v>163</v>
      </c>
      <c r="DW85" s="25"/>
      <c r="FN85"/>
    </row>
    <row r="86" spans="1:170" x14ac:dyDescent="0.2">
      <c r="A86" s="25" t="s">
        <v>479</v>
      </c>
      <c r="B86" s="25" t="s">
        <v>700</v>
      </c>
      <c r="D86" s="129" t="str">
        <f>IF([1]RENAME!$H$3=1,B86,A86)</f>
        <v>Crédito PIS/COFINS</v>
      </c>
      <c r="E86" s="118">
        <f t="shared" ref="E86:O86" si="117">+E22-E57</f>
        <v>-2467.0325000000048</v>
      </c>
      <c r="F86" s="118">
        <f t="shared" si="117"/>
        <v>-2703.6668299999947</v>
      </c>
      <c r="G86" s="118">
        <f t="shared" si="117"/>
        <v>-2524.9194800000114</v>
      </c>
      <c r="H86" s="118">
        <f t="shared" si="117"/>
        <v>-2446.2342099999842</v>
      </c>
      <c r="I86" s="118">
        <f t="shared" si="117"/>
        <v>-2445.1620999999977</v>
      </c>
      <c r="J86" s="118">
        <f t="shared" si="117"/>
        <v>-2492.1423099999993</v>
      </c>
      <c r="K86" s="118">
        <f t="shared" si="117"/>
        <v>-2619.0484900000029</v>
      </c>
      <c r="L86" s="118">
        <f t="shared" si="117"/>
        <v>-6128.3222099999875</v>
      </c>
      <c r="M86" s="118">
        <f t="shared" si="117"/>
        <v>-1863.7015500000016</v>
      </c>
      <c r="N86" s="118">
        <f t="shared" si="117"/>
        <v>-2071.065260000003</v>
      </c>
      <c r="O86" s="118">
        <f t="shared" si="117"/>
        <v>-1920.2331899999954</v>
      </c>
      <c r="P86" s="118">
        <v>-1179</v>
      </c>
      <c r="Q86" s="118">
        <v>-1604</v>
      </c>
      <c r="R86" s="118">
        <v>-1653</v>
      </c>
      <c r="S86" s="118">
        <f t="shared" ref="S86:Y86" si="118">+S22-S57</f>
        <v>-1513</v>
      </c>
      <c r="T86" s="118">
        <f t="shared" si="118"/>
        <v>-5665</v>
      </c>
      <c r="U86" s="118">
        <f t="shared" si="118"/>
        <v>-1276</v>
      </c>
      <c r="V86" s="118">
        <f t="shared" si="118"/>
        <v>-1192</v>
      </c>
      <c r="W86" s="118">
        <f t="shared" si="118"/>
        <v>-1659</v>
      </c>
      <c r="X86" s="118">
        <f t="shared" si="118"/>
        <v>-1496</v>
      </c>
      <c r="Y86" s="118">
        <f t="shared" si="118"/>
        <v>-1748</v>
      </c>
      <c r="Z86" s="118">
        <f t="shared" ref="Z86:AE86" si="119">+Z22-Z57</f>
        <v>-2784</v>
      </c>
      <c r="AA86" s="118">
        <f t="shared" si="119"/>
        <v>-1885</v>
      </c>
      <c r="AB86" s="118">
        <f t="shared" si="119"/>
        <v>-2563</v>
      </c>
      <c r="AC86" s="118">
        <f t="shared" si="119"/>
        <v>-2222</v>
      </c>
      <c r="AD86" s="118">
        <f t="shared" si="119"/>
        <v>-1734</v>
      </c>
      <c r="AE86" s="118">
        <f t="shared" si="119"/>
        <v>-2385</v>
      </c>
      <c r="AF86" s="118">
        <f t="shared" ref="AF86:AL86" si="120">+AF22-AF57</f>
        <v>-2610</v>
      </c>
      <c r="AG86" s="118">
        <f t="shared" si="120"/>
        <v>-2567</v>
      </c>
      <c r="AH86" s="118">
        <f t="shared" si="120"/>
        <v>-3424</v>
      </c>
      <c r="AI86" s="118">
        <f t="shared" si="120"/>
        <v>-2828</v>
      </c>
      <c r="AJ86" s="118">
        <f t="shared" si="120"/>
        <v>-3047</v>
      </c>
      <c r="AK86" s="118">
        <f>+AK22-AK57</f>
        <v>-3135</v>
      </c>
      <c r="AL86" s="118">
        <f t="shared" si="120"/>
        <v>-3493</v>
      </c>
      <c r="AM86" s="118">
        <f t="shared" ref="AM86:AS86" si="121">+AM22-AM57</f>
        <v>-4055</v>
      </c>
      <c r="AN86" s="118">
        <f t="shared" si="121"/>
        <v>-4741</v>
      </c>
      <c r="AO86" s="118">
        <f t="shared" si="121"/>
        <v>-4575</v>
      </c>
      <c r="AP86" s="118">
        <f t="shared" si="121"/>
        <v>-4091</v>
      </c>
      <c r="AQ86" s="118">
        <f t="shared" si="121"/>
        <v>-4869</v>
      </c>
      <c r="AR86" s="118">
        <f t="shared" si="121"/>
        <v>-5443</v>
      </c>
      <c r="AS86" s="118">
        <f t="shared" si="121"/>
        <v>-4698</v>
      </c>
      <c r="AT86" s="118">
        <f>+AT22-AT57</f>
        <v>-3669</v>
      </c>
      <c r="AU86" s="118">
        <f>+AU22-AU57</f>
        <v>-2642</v>
      </c>
      <c r="AV86" s="118">
        <f>+AV22-AV57</f>
        <v>-2210</v>
      </c>
      <c r="AW86" s="118">
        <v>-2800</v>
      </c>
      <c r="AX86" s="118">
        <v>-3229</v>
      </c>
      <c r="AY86" s="118">
        <v>-2139</v>
      </c>
      <c r="AZ86" s="118">
        <f>+AZ22-AZ57</f>
        <v>-2527</v>
      </c>
      <c r="BA86" s="118">
        <f>+BA22-BA57</f>
        <v>-3183</v>
      </c>
      <c r="BB86" s="118">
        <f>+BB22-BB57</f>
        <v>-3263</v>
      </c>
      <c r="DD86"/>
      <c r="DE86"/>
      <c r="DF86"/>
      <c r="DG86"/>
      <c r="DH86"/>
      <c r="DI86"/>
      <c r="DJ86"/>
      <c r="DK86"/>
      <c r="DL86"/>
      <c r="DM86"/>
      <c r="DN86"/>
      <c r="DO86"/>
      <c r="DP86"/>
      <c r="DQ86"/>
      <c r="DR86"/>
      <c r="DS86"/>
      <c r="DT86"/>
      <c r="DW86" s="25"/>
      <c r="FN86"/>
    </row>
    <row r="87" spans="1:170" s="249" customFormat="1" ht="14.25" hidden="1" customHeight="1" outlineLevel="1" x14ac:dyDescent="0.2">
      <c r="A87" s="249" t="s">
        <v>410</v>
      </c>
      <c r="B87" s="249" t="s">
        <v>1050</v>
      </c>
      <c r="C87" s="233"/>
      <c r="D87" s="250" t="str">
        <f>IF([1]RENAME!$H$3=1,B87,A87)</f>
        <v>Multas contratuais</v>
      </c>
      <c r="E87" s="218">
        <f t="shared" ref="E87:O87" si="122">+E27-E55</f>
        <v>0</v>
      </c>
      <c r="F87" s="218">
        <f t="shared" si="122"/>
        <v>0</v>
      </c>
      <c r="G87" s="218">
        <f t="shared" si="122"/>
        <v>0</v>
      </c>
      <c r="H87" s="218">
        <f t="shared" si="122"/>
        <v>0</v>
      </c>
      <c r="I87" s="218">
        <f t="shared" si="122"/>
        <v>0</v>
      </c>
      <c r="J87" s="218">
        <f t="shared" si="122"/>
        <v>3704.1926200000003</v>
      </c>
      <c r="K87" s="218">
        <f t="shared" si="122"/>
        <v>-1E-3</v>
      </c>
      <c r="L87" s="218">
        <f t="shared" si="122"/>
        <v>4006.04358</v>
      </c>
      <c r="M87" s="218">
        <f t="shared" si="122"/>
        <v>0</v>
      </c>
      <c r="N87" s="218">
        <f t="shared" si="122"/>
        <v>235.36089999999999</v>
      </c>
      <c r="O87" s="218">
        <f t="shared" si="122"/>
        <v>-0.36089999999999378</v>
      </c>
      <c r="P87" s="218">
        <v>15</v>
      </c>
      <c r="Q87" s="218">
        <v>5</v>
      </c>
      <c r="R87" s="218">
        <v>0</v>
      </c>
      <c r="S87" s="218">
        <f t="shared" ref="S87:Y87" si="123">+S27-S55</f>
        <v>0</v>
      </c>
      <c r="T87" s="218">
        <f t="shared" si="123"/>
        <v>0</v>
      </c>
      <c r="U87" s="218">
        <f t="shared" si="123"/>
        <v>0</v>
      </c>
      <c r="V87" s="218">
        <f t="shared" si="123"/>
        <v>0</v>
      </c>
      <c r="W87" s="218">
        <f t="shared" si="123"/>
        <v>0</v>
      </c>
      <c r="X87" s="218">
        <f t="shared" si="123"/>
        <v>0</v>
      </c>
      <c r="Y87" s="218">
        <f t="shared" si="123"/>
        <v>0</v>
      </c>
      <c r="Z87" s="218">
        <f t="shared" ref="Z87:AE87" si="124">+Z27-Z55</f>
        <v>0</v>
      </c>
      <c r="AA87" s="218">
        <f t="shared" si="124"/>
        <v>0</v>
      </c>
      <c r="AB87" s="218">
        <f t="shared" si="124"/>
        <v>242</v>
      </c>
      <c r="AC87" s="218">
        <f t="shared" si="124"/>
        <v>0</v>
      </c>
      <c r="AD87" s="218">
        <f t="shared" si="124"/>
        <v>0</v>
      </c>
      <c r="AE87" s="218">
        <f t="shared" si="124"/>
        <v>0</v>
      </c>
      <c r="AF87" s="218">
        <f t="shared" ref="AF87:AL87" si="125">+AF27-AF55</f>
        <v>-81</v>
      </c>
      <c r="AG87" s="218">
        <f t="shared" si="125"/>
        <v>0</v>
      </c>
      <c r="AH87" s="218">
        <f t="shared" si="125"/>
        <v>0</v>
      </c>
      <c r="AI87" s="218">
        <f t="shared" si="125"/>
        <v>0</v>
      </c>
      <c r="AJ87" s="218">
        <f t="shared" si="125"/>
        <v>0</v>
      </c>
      <c r="AK87" s="218">
        <f>+AK27-AK55</f>
        <v>0</v>
      </c>
      <c r="AL87" s="218">
        <f t="shared" si="125"/>
        <v>0</v>
      </c>
      <c r="AM87" s="218">
        <f t="shared" ref="AM87:AS87" si="126">+AM27-AM55</f>
        <v>0</v>
      </c>
      <c r="AN87" s="218">
        <f t="shared" si="126"/>
        <v>0</v>
      </c>
      <c r="AO87" s="218">
        <f t="shared" si="126"/>
        <v>0</v>
      </c>
      <c r="AP87" s="218">
        <f t="shared" si="126"/>
        <v>0</v>
      </c>
      <c r="AQ87" s="218">
        <f t="shared" si="126"/>
        <v>0</v>
      </c>
      <c r="AR87" s="218">
        <f t="shared" si="126"/>
        <v>0</v>
      </c>
      <c r="AS87" s="218">
        <f t="shared" si="126"/>
        <v>0</v>
      </c>
      <c r="AT87" s="218">
        <f>+AT27-AT55</f>
        <v>0</v>
      </c>
      <c r="AU87" s="218"/>
      <c r="AV87" s="218"/>
      <c r="AW87" s="218"/>
      <c r="AX87" s="218"/>
      <c r="AY87" s="218"/>
      <c r="AZ87" s="218"/>
      <c r="BA87" s="218"/>
      <c r="BB87" s="218"/>
      <c r="DD87" s="233"/>
      <c r="DE87" s="233"/>
      <c r="DF87" s="233"/>
      <c r="DG87" s="233"/>
      <c r="DH87" s="233"/>
      <c r="DI87" s="233"/>
      <c r="DJ87" s="233"/>
      <c r="DK87" s="233"/>
      <c r="DL87" s="233"/>
      <c r="DM87" s="233"/>
      <c r="DN87" s="233"/>
      <c r="DO87" s="233"/>
      <c r="DP87" s="233"/>
      <c r="DQ87" s="233"/>
      <c r="DR87" s="233"/>
      <c r="DS87" s="233"/>
      <c r="DT87" s="233"/>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row>
    <row r="88" spans="1:170" s="249" customFormat="1" ht="14.25" hidden="1" customHeight="1" outlineLevel="1" x14ac:dyDescent="0.2">
      <c r="A88" s="249" t="s">
        <v>488</v>
      </c>
      <c r="B88" s="249" t="s">
        <v>1049</v>
      </c>
      <c r="C88" s="233"/>
      <c r="D88" s="250" t="str">
        <f>IF([1]RENAME!$H$3=1,B88,A88)</f>
        <v>Reestruturação armazéns</v>
      </c>
      <c r="E88" s="218">
        <f t="shared" ref="E88:O88" si="127">+E30-E58</f>
        <v>0</v>
      </c>
      <c r="F88" s="218">
        <f t="shared" si="127"/>
        <v>0</v>
      </c>
      <c r="G88" s="218">
        <f t="shared" si="127"/>
        <v>0</v>
      </c>
      <c r="H88" s="218">
        <f t="shared" si="127"/>
        <v>0</v>
      </c>
      <c r="I88" s="218">
        <f t="shared" si="127"/>
        <v>0</v>
      </c>
      <c r="J88" s="218">
        <f t="shared" si="127"/>
        <v>0</v>
      </c>
      <c r="K88" s="218">
        <f t="shared" si="127"/>
        <v>0</v>
      </c>
      <c r="L88" s="218">
        <f t="shared" si="127"/>
        <v>2643</v>
      </c>
      <c r="M88" s="218">
        <f t="shared" si="127"/>
        <v>0</v>
      </c>
      <c r="N88" s="218">
        <f t="shared" si="127"/>
        <v>0</v>
      </c>
      <c r="O88" s="218">
        <f t="shared" si="127"/>
        <v>0</v>
      </c>
      <c r="P88" s="218">
        <v>0</v>
      </c>
      <c r="Q88" s="218">
        <v>0</v>
      </c>
      <c r="R88" s="218">
        <v>0</v>
      </c>
      <c r="S88" s="218">
        <f t="shared" ref="S88:Y88" si="128">+S30-S58</f>
        <v>0</v>
      </c>
      <c r="T88" s="218">
        <f t="shared" si="128"/>
        <v>0</v>
      </c>
      <c r="U88" s="218">
        <f t="shared" si="128"/>
        <v>0</v>
      </c>
      <c r="V88" s="218">
        <f t="shared" si="128"/>
        <v>0</v>
      </c>
      <c r="W88" s="218">
        <f t="shared" si="128"/>
        <v>0</v>
      </c>
      <c r="X88" s="218">
        <f t="shared" si="128"/>
        <v>0</v>
      </c>
      <c r="Y88" s="218">
        <f t="shared" si="128"/>
        <v>0</v>
      </c>
      <c r="Z88" s="218">
        <f t="shared" ref="Z88:AE88" si="129">+Z30-Z58</f>
        <v>0</v>
      </c>
      <c r="AA88" s="218">
        <f t="shared" si="129"/>
        <v>0</v>
      </c>
      <c r="AB88" s="218">
        <f t="shared" si="129"/>
        <v>0</v>
      </c>
      <c r="AC88" s="218">
        <f t="shared" si="129"/>
        <v>0</v>
      </c>
      <c r="AD88" s="218">
        <f t="shared" si="129"/>
        <v>0</v>
      </c>
      <c r="AE88" s="218">
        <f t="shared" si="129"/>
        <v>0</v>
      </c>
      <c r="AF88" s="218">
        <f t="shared" ref="AF88:AL88" si="130">+AF30-AF58</f>
        <v>2875</v>
      </c>
      <c r="AG88" s="218">
        <f t="shared" si="130"/>
        <v>0</v>
      </c>
      <c r="AH88" s="218">
        <f t="shared" si="130"/>
        <v>0</v>
      </c>
      <c r="AI88" s="218">
        <f t="shared" si="130"/>
        <v>0</v>
      </c>
      <c r="AJ88" s="218">
        <f t="shared" si="130"/>
        <v>0</v>
      </c>
      <c r="AK88" s="218">
        <f>+AK30-AK58</f>
        <v>0</v>
      </c>
      <c r="AL88" s="218">
        <f t="shared" si="130"/>
        <v>0</v>
      </c>
      <c r="AM88" s="218">
        <f t="shared" ref="AM88:AS88" si="131">+AM30-AM58</f>
        <v>0</v>
      </c>
      <c r="AN88" s="218">
        <f t="shared" si="131"/>
        <v>0</v>
      </c>
      <c r="AO88" s="218">
        <f t="shared" si="131"/>
        <v>0</v>
      </c>
      <c r="AP88" s="218">
        <f t="shared" si="131"/>
        <v>0</v>
      </c>
      <c r="AQ88" s="218">
        <f t="shared" si="131"/>
        <v>0</v>
      </c>
      <c r="AR88" s="218">
        <f t="shared" si="131"/>
        <v>0</v>
      </c>
      <c r="AS88" s="218">
        <f t="shared" si="131"/>
        <v>0</v>
      </c>
      <c r="AT88" s="218">
        <f>+AT30-AT58</f>
        <v>0</v>
      </c>
      <c r="AU88" s="218"/>
      <c r="AV88" s="218"/>
      <c r="AW88" s="218"/>
      <c r="AX88" s="218"/>
      <c r="AY88" s="218"/>
      <c r="AZ88" s="218"/>
      <c r="BA88" s="218"/>
      <c r="BB88" s="218"/>
      <c r="DD88" s="233"/>
      <c r="DE88" s="233"/>
      <c r="DF88" s="233"/>
      <c r="DG88" s="233"/>
      <c r="DH88" s="233"/>
      <c r="DI88" s="233"/>
      <c r="DJ88" s="233"/>
      <c r="DK88" s="233"/>
      <c r="DL88" s="233"/>
      <c r="DM88" s="233"/>
      <c r="DN88" s="233"/>
      <c r="DO88" s="233"/>
      <c r="DP88" s="233"/>
      <c r="DQ88" s="233"/>
      <c r="DR88" s="233"/>
      <c r="DS88" s="233"/>
      <c r="DT88" s="233"/>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row>
    <row r="89" spans="1:170" s="249" customFormat="1" ht="14.25" hidden="1" customHeight="1" outlineLevel="1" x14ac:dyDescent="0.2">
      <c r="A89" s="249" t="s">
        <v>489</v>
      </c>
      <c r="B89" s="249" t="s">
        <v>1052</v>
      </c>
      <c r="C89" s="233"/>
      <c r="D89" s="250" t="str">
        <f>IF([1]RENAME!$H$3=1,B89,A89)</f>
        <v>Processos trabalhistas</v>
      </c>
      <c r="E89" s="218">
        <f t="shared" ref="E89:O89" si="132">+E31-E60</f>
        <v>0</v>
      </c>
      <c r="F89" s="218">
        <f t="shared" si="132"/>
        <v>0</v>
      </c>
      <c r="G89" s="218">
        <f t="shared" si="132"/>
        <v>0</v>
      </c>
      <c r="H89" s="218">
        <f t="shared" si="132"/>
        <v>3637.7085200000001</v>
      </c>
      <c r="I89" s="218">
        <f t="shared" si="132"/>
        <v>0</v>
      </c>
      <c r="J89" s="218">
        <f t="shared" si="132"/>
        <v>0</v>
      </c>
      <c r="K89" s="218">
        <f t="shared" si="132"/>
        <v>0</v>
      </c>
      <c r="L89" s="218">
        <f t="shared" si="132"/>
        <v>0</v>
      </c>
      <c r="M89" s="218">
        <f t="shared" si="132"/>
        <v>0</v>
      </c>
      <c r="N89" s="218">
        <f t="shared" si="132"/>
        <v>0</v>
      </c>
      <c r="O89" s="218">
        <f t="shared" si="132"/>
        <v>0</v>
      </c>
      <c r="P89" s="218">
        <v>0</v>
      </c>
      <c r="Q89" s="218">
        <v>0</v>
      </c>
      <c r="R89" s="218">
        <v>0</v>
      </c>
      <c r="S89" s="218">
        <f t="shared" ref="S89:U90" si="133">+S31-S60</f>
        <v>0</v>
      </c>
      <c r="T89" s="218">
        <f t="shared" si="133"/>
        <v>0</v>
      </c>
      <c r="U89" s="218">
        <f t="shared" si="133"/>
        <v>0</v>
      </c>
      <c r="V89" s="218" t="s">
        <v>160</v>
      </c>
      <c r="W89" s="218" t="s">
        <v>160</v>
      </c>
      <c r="X89" s="218" t="s">
        <v>160</v>
      </c>
      <c r="Y89" s="218" t="s">
        <v>160</v>
      </c>
      <c r="Z89" s="218" t="s">
        <v>160</v>
      </c>
      <c r="AA89" s="218" t="s">
        <v>160</v>
      </c>
      <c r="AB89" s="218" t="s">
        <v>160</v>
      </c>
      <c r="AC89" s="218" t="s">
        <v>160</v>
      </c>
      <c r="AD89" s="218" t="s">
        <v>160</v>
      </c>
      <c r="AE89" s="218" t="s">
        <v>160</v>
      </c>
      <c r="AF89" s="218" t="s">
        <v>160</v>
      </c>
      <c r="AG89" s="218" t="s">
        <v>160</v>
      </c>
      <c r="AH89" s="218" t="s">
        <v>160</v>
      </c>
      <c r="AI89" s="218" t="s">
        <v>160</v>
      </c>
      <c r="AJ89" s="218" t="s">
        <v>160</v>
      </c>
      <c r="AK89" s="218" t="s">
        <v>160</v>
      </c>
      <c r="AL89" s="218" t="s">
        <v>160</v>
      </c>
      <c r="AM89" s="218" t="s">
        <v>160</v>
      </c>
      <c r="AN89" s="218" t="s">
        <v>160</v>
      </c>
      <c r="AO89" s="218" t="s">
        <v>160</v>
      </c>
      <c r="AP89" s="218" t="s">
        <v>160</v>
      </c>
      <c r="AQ89" s="218" t="s">
        <v>160</v>
      </c>
      <c r="AR89" s="218" t="s">
        <v>160</v>
      </c>
      <c r="AS89" s="218" t="s">
        <v>160</v>
      </c>
      <c r="AT89" s="218" t="s">
        <v>160</v>
      </c>
      <c r="AU89" s="218"/>
      <c r="AV89" s="218"/>
      <c r="AW89" s="218"/>
      <c r="AX89" s="218"/>
      <c r="AY89" s="218"/>
      <c r="AZ89" s="218"/>
      <c r="BA89" s="218"/>
      <c r="BB89" s="218"/>
      <c r="DD89" s="233"/>
      <c r="DE89" s="233"/>
      <c r="DF89" s="233"/>
      <c r="DG89" s="233"/>
      <c r="DH89" s="233"/>
      <c r="DI89" s="233"/>
      <c r="DJ89" s="233"/>
      <c r="DK89" s="233"/>
      <c r="DL89" s="233"/>
      <c r="DM89" s="233"/>
      <c r="DN89" s="233"/>
      <c r="DO89" s="233"/>
      <c r="DP89" s="233"/>
      <c r="DQ89" s="233"/>
      <c r="DR89" s="233"/>
      <c r="DS89" s="233"/>
      <c r="DT89" s="233"/>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row>
    <row r="90" spans="1:170" collapsed="1" x14ac:dyDescent="0.2">
      <c r="A90" s="25" t="s">
        <v>148</v>
      </c>
      <c r="B90" s="25" t="s">
        <v>148</v>
      </c>
      <c r="D90" s="126" t="str">
        <f>IF([1]RENAME!$H$3=1,B90,A90)</f>
        <v>Custo do serviços prestados, despesas gerais e administrativas e despesas comerciais</v>
      </c>
      <c r="E90" s="120">
        <f t="shared" ref="E90:O90" si="134">+E32-E61</f>
        <v>61096.568379999953</v>
      </c>
      <c r="F90" s="120">
        <f t="shared" si="134"/>
        <v>45899.205290000129</v>
      </c>
      <c r="G90" s="120">
        <f t="shared" si="134"/>
        <v>54634.289449999924</v>
      </c>
      <c r="H90" s="120">
        <f t="shared" si="134"/>
        <v>46866.906942599977</v>
      </c>
      <c r="I90" s="120">
        <f t="shared" si="134"/>
        <v>46183.605933950166</v>
      </c>
      <c r="J90" s="120">
        <f t="shared" si="134"/>
        <v>52155.658936749853</v>
      </c>
      <c r="K90" s="120">
        <f t="shared" si="134"/>
        <v>47353.829017950135</v>
      </c>
      <c r="L90" s="120">
        <f t="shared" si="134"/>
        <v>49261.225610000081</v>
      </c>
      <c r="M90" s="120">
        <f t="shared" si="134"/>
        <v>36005.654849999963</v>
      </c>
      <c r="N90" s="120">
        <f t="shared" si="134"/>
        <v>36346.00297000003</v>
      </c>
      <c r="O90" s="120">
        <f t="shared" si="134"/>
        <v>33747.342179999978</v>
      </c>
      <c r="P90" s="120">
        <f>+P32-P61</f>
        <v>32605</v>
      </c>
      <c r="Q90" s="120">
        <f>+Q32-Q61</f>
        <v>31035</v>
      </c>
      <c r="R90" s="120">
        <f>+R32-R61</f>
        <v>31523</v>
      </c>
      <c r="S90" s="120">
        <f t="shared" si="133"/>
        <v>31658</v>
      </c>
      <c r="T90" s="120">
        <f t="shared" si="133"/>
        <v>32848</v>
      </c>
      <c r="U90" s="120">
        <f t="shared" si="133"/>
        <v>28343</v>
      </c>
      <c r="V90" s="120">
        <f t="shared" ref="V90:AB90" si="135">+V32-V61</f>
        <v>25815</v>
      </c>
      <c r="W90" s="120">
        <f t="shared" si="135"/>
        <v>26493</v>
      </c>
      <c r="X90" s="120">
        <f t="shared" si="135"/>
        <v>29838</v>
      </c>
      <c r="Y90" s="120">
        <f t="shared" si="135"/>
        <v>26879</v>
      </c>
      <c r="Z90" s="120">
        <f t="shared" si="135"/>
        <v>37026</v>
      </c>
      <c r="AA90" s="120">
        <f t="shared" si="135"/>
        <v>37597</v>
      </c>
      <c r="AB90" s="120">
        <f t="shared" si="135"/>
        <v>40423</v>
      </c>
      <c r="AC90" s="120">
        <f t="shared" ref="AC90:AH90" si="136">+AC32-AC61</f>
        <v>33145</v>
      </c>
      <c r="AD90" s="120">
        <f t="shared" si="136"/>
        <v>31725</v>
      </c>
      <c r="AE90" s="120">
        <f t="shared" si="136"/>
        <v>36493</v>
      </c>
      <c r="AF90" s="120">
        <f t="shared" si="136"/>
        <v>39446</v>
      </c>
      <c r="AG90" s="120">
        <f t="shared" si="136"/>
        <v>35078</v>
      </c>
      <c r="AH90" s="120">
        <f t="shared" si="136"/>
        <v>38801</v>
      </c>
      <c r="AI90" s="120">
        <f t="shared" ref="AI90:AN90" si="137">+AI32-AI61</f>
        <v>36913</v>
      </c>
      <c r="AJ90" s="120">
        <f t="shared" si="137"/>
        <v>38532</v>
      </c>
      <c r="AK90" s="120">
        <f t="shared" si="137"/>
        <v>39568</v>
      </c>
      <c r="AL90" s="120">
        <f t="shared" si="137"/>
        <v>45749</v>
      </c>
      <c r="AM90" s="120">
        <f t="shared" si="137"/>
        <v>51742</v>
      </c>
      <c r="AN90" s="120">
        <f t="shared" si="137"/>
        <v>55514</v>
      </c>
      <c r="AO90" s="120">
        <f t="shared" ref="AO90:AU90" si="138">+AO32-AO61</f>
        <v>55567</v>
      </c>
      <c r="AP90" s="120">
        <f t="shared" si="138"/>
        <v>50901</v>
      </c>
      <c r="AQ90" s="120">
        <f t="shared" si="138"/>
        <v>57313</v>
      </c>
      <c r="AR90" s="120">
        <f t="shared" si="138"/>
        <v>59850</v>
      </c>
      <c r="AS90" s="120">
        <f t="shared" si="138"/>
        <v>64397</v>
      </c>
      <c r="AT90" s="120">
        <f>+AT32-AT61</f>
        <v>54597</v>
      </c>
      <c r="AU90" s="120">
        <f t="shared" si="138"/>
        <v>45256</v>
      </c>
      <c r="AV90" s="120">
        <f t="shared" ref="AV90:BB90" si="139">+AV32-AV61</f>
        <v>40985</v>
      </c>
      <c r="AW90" s="120">
        <f t="shared" si="139"/>
        <v>48025</v>
      </c>
      <c r="AX90" s="120">
        <f t="shared" si="139"/>
        <v>48787</v>
      </c>
      <c r="AY90" s="120">
        <f t="shared" si="139"/>
        <v>44574</v>
      </c>
      <c r="AZ90" s="120">
        <f t="shared" si="139"/>
        <v>52903</v>
      </c>
      <c r="BA90" s="120">
        <f>+BA32-BA61</f>
        <v>51422</v>
      </c>
      <c r="BB90" s="120">
        <f t="shared" si="139"/>
        <v>54110</v>
      </c>
      <c r="DD90"/>
      <c r="DE90"/>
      <c r="DF90"/>
      <c r="DG90"/>
      <c r="DH90"/>
      <c r="DI90"/>
      <c r="DJ90"/>
      <c r="DK90"/>
      <c r="DL90"/>
      <c r="DM90"/>
      <c r="DN90"/>
      <c r="DO90"/>
      <c r="DP90"/>
      <c r="DQ90"/>
      <c r="DR90"/>
      <c r="DS90"/>
      <c r="DT90"/>
      <c r="DW90" s="25"/>
      <c r="FN90"/>
    </row>
    <row r="91" spans="1:170" x14ac:dyDescent="0.2">
      <c r="D91" s="31"/>
      <c r="E91" s="31"/>
      <c r="F91" s="31"/>
      <c r="G91" s="30"/>
      <c r="H91" s="30"/>
      <c r="I91" s="30"/>
      <c r="J91" s="30"/>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DD91"/>
      <c r="DE91"/>
      <c r="DF91"/>
      <c r="DG91"/>
      <c r="DH91"/>
      <c r="DI91"/>
      <c r="DJ91"/>
      <c r="DK91"/>
      <c r="DL91"/>
      <c r="DM91"/>
      <c r="DN91"/>
      <c r="DO91"/>
      <c r="DP91"/>
      <c r="DQ91"/>
      <c r="DR91"/>
      <c r="DS91"/>
      <c r="DT91"/>
      <c r="DW91" s="25"/>
      <c r="FN91"/>
    </row>
    <row r="92" spans="1:170" x14ac:dyDescent="0.2">
      <c r="D92" s="31"/>
      <c r="E92" s="31"/>
      <c r="F92" s="31"/>
      <c r="G92" s="30"/>
      <c r="H92" s="30"/>
      <c r="I92" s="30"/>
      <c r="J92" s="30"/>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DW92" s="25"/>
      <c r="FN92"/>
    </row>
    <row r="93" spans="1:170" ht="15.75" customHeight="1" x14ac:dyDescent="0.2">
      <c r="D93" s="179"/>
      <c r="E93" s="179"/>
      <c r="F93" s="179"/>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78"/>
      <c r="AR93" s="178"/>
      <c r="AS93" s="178"/>
      <c r="AT93" s="178"/>
      <c r="AU93" s="178"/>
      <c r="AV93" s="178"/>
      <c r="AW93" s="178"/>
      <c r="AX93" s="178"/>
      <c r="AY93" s="178"/>
      <c r="AZ93" s="178"/>
      <c r="BA93" s="178"/>
      <c r="BB93" s="178"/>
      <c r="DW93" s="25"/>
      <c r="FN93"/>
    </row>
    <row r="94" spans="1:170" ht="15.75" customHeight="1" x14ac:dyDescent="0.2">
      <c r="DW94" s="25"/>
      <c r="FN94"/>
    </row>
    <row r="95" spans="1:170" x14ac:dyDescent="0.2">
      <c r="DW95" s="25"/>
      <c r="FN95"/>
    </row>
    <row r="96" spans="1:170" x14ac:dyDescent="0.2">
      <c r="DW96" s="25"/>
      <c r="FN96"/>
    </row>
    <row r="97" spans="127:170" x14ac:dyDescent="0.2">
      <c r="DW97" s="25"/>
      <c r="FN97"/>
    </row>
    <row r="98" spans="127:170" x14ac:dyDescent="0.2">
      <c r="DW98" s="25"/>
      <c r="FN98"/>
    </row>
    <row r="99" spans="127:170" x14ac:dyDescent="0.2">
      <c r="DW99" s="25"/>
      <c r="FN99"/>
    </row>
    <row r="100" spans="127:170" x14ac:dyDescent="0.2">
      <c r="DW100" s="25"/>
      <c r="FN100"/>
    </row>
    <row r="101" spans="127:170" ht="15.75" customHeight="1" x14ac:dyDescent="0.2">
      <c r="DW101" s="25"/>
      <c r="FN101"/>
    </row>
    <row r="102" spans="127:170" ht="24.75" customHeight="1" x14ac:dyDescent="0.2">
      <c r="DW102" s="25"/>
      <c r="FN102"/>
    </row>
    <row r="103" spans="127:170" x14ac:dyDescent="0.2">
      <c r="DW103" s="25"/>
      <c r="FN103"/>
    </row>
    <row r="104" spans="127:170" x14ac:dyDescent="0.2">
      <c r="DW104" s="25"/>
      <c r="FN104"/>
    </row>
    <row r="105" spans="127:170" x14ac:dyDescent="0.2">
      <c r="DW105" s="25"/>
      <c r="FN105"/>
    </row>
    <row r="106" spans="127:170" x14ac:dyDescent="0.2">
      <c r="DW106" s="25"/>
      <c r="FN106"/>
    </row>
    <row r="107" spans="127:170" ht="13.5" customHeight="1" x14ac:dyDescent="0.2">
      <c r="DW107" s="25"/>
      <c r="FN107"/>
    </row>
    <row r="108" spans="127:170" x14ac:dyDescent="0.2">
      <c r="DW108" s="25"/>
      <c r="FN108"/>
    </row>
    <row r="109" spans="127:170" x14ac:dyDescent="0.2">
      <c r="DW109" s="25"/>
      <c r="FN109"/>
    </row>
    <row r="110" spans="127:170" ht="15" customHeight="1" x14ac:dyDescent="0.2">
      <c r="DW110" s="25"/>
      <c r="FN110"/>
    </row>
    <row r="111" spans="127:170" ht="15.75" customHeight="1" x14ac:dyDescent="0.2">
      <c r="DW111" s="25"/>
      <c r="FN111"/>
    </row>
    <row r="112" spans="127:170" x14ac:dyDescent="0.2">
      <c r="DW112" s="25"/>
      <c r="FN112"/>
    </row>
    <row r="113" spans="127:170" x14ac:dyDescent="0.2">
      <c r="DW113" s="25"/>
      <c r="FN113"/>
    </row>
    <row r="114" spans="127:170" x14ac:dyDescent="0.2">
      <c r="DW114" s="25"/>
      <c r="FN114"/>
    </row>
    <row r="115" spans="127:170" x14ac:dyDescent="0.2">
      <c r="DW115" s="25"/>
      <c r="FN115"/>
    </row>
    <row r="116" spans="127:170" x14ac:dyDescent="0.2">
      <c r="DW116" s="25"/>
      <c r="FN116"/>
    </row>
    <row r="117" spans="127:170" x14ac:dyDescent="0.2">
      <c r="DW117" s="25"/>
      <c r="FN117"/>
    </row>
    <row r="118" spans="127:170" x14ac:dyDescent="0.2">
      <c r="DW118" s="25"/>
      <c r="FN118"/>
    </row>
    <row r="119" spans="127:170" x14ac:dyDescent="0.2">
      <c r="DW119" s="25"/>
      <c r="FN119"/>
    </row>
    <row r="120" spans="127:170" x14ac:dyDescent="0.2">
      <c r="DW120" s="25"/>
      <c r="FN120"/>
    </row>
    <row r="121" spans="127:170" x14ac:dyDescent="0.2">
      <c r="DW121" s="25"/>
      <c r="FN121"/>
    </row>
    <row r="122" spans="127:170" x14ac:dyDescent="0.2">
      <c r="DW122" s="25"/>
      <c r="FN122"/>
    </row>
    <row r="123" spans="127:170" x14ac:dyDescent="0.2">
      <c r="DW123" s="25"/>
      <c r="FN123"/>
    </row>
    <row r="124" spans="127:170" x14ac:dyDescent="0.2">
      <c r="DW124" s="25"/>
      <c r="FN124"/>
    </row>
    <row r="125" spans="127:170" x14ac:dyDescent="0.2">
      <c r="DW125" s="25"/>
      <c r="FN125"/>
    </row>
    <row r="126" spans="127:170" x14ac:dyDescent="0.2">
      <c r="DW126" s="25"/>
      <c r="FN126"/>
    </row>
    <row r="127" spans="127:170" x14ac:dyDescent="0.2">
      <c r="DW127" s="25"/>
      <c r="FN127"/>
    </row>
    <row r="128" spans="127:170" x14ac:dyDescent="0.2">
      <c r="DW128" s="25"/>
      <c r="FN128"/>
    </row>
    <row r="129" spans="127:170" x14ac:dyDescent="0.2">
      <c r="DW129" s="25"/>
      <c r="FN129"/>
    </row>
    <row r="130" spans="127:170" x14ac:dyDescent="0.2">
      <c r="DW130" s="25"/>
      <c r="FN130"/>
    </row>
    <row r="131" spans="127:170" x14ac:dyDescent="0.2">
      <c r="DW131" s="25"/>
      <c r="FN131"/>
    </row>
    <row r="132" spans="127:170" x14ac:dyDescent="0.2">
      <c r="DW132" s="25"/>
      <c r="FN132"/>
    </row>
    <row r="133" spans="127:170" x14ac:dyDescent="0.2">
      <c r="DW133" s="25"/>
      <c r="FN133"/>
    </row>
    <row r="134" spans="127:170" x14ac:dyDescent="0.2">
      <c r="DW134" s="25"/>
      <c r="FN134"/>
    </row>
    <row r="135" spans="127:170" x14ac:dyDescent="0.2">
      <c r="DW135" s="25"/>
      <c r="FN135"/>
    </row>
    <row r="136" spans="127:170" x14ac:dyDescent="0.2">
      <c r="DW136" s="25"/>
      <c r="FN136"/>
    </row>
    <row r="137" spans="127:170" x14ac:dyDescent="0.2">
      <c r="DW137" s="25"/>
      <c r="FN137"/>
    </row>
    <row r="138" spans="127:170" x14ac:dyDescent="0.2">
      <c r="DW138" s="25"/>
      <c r="FN138"/>
    </row>
    <row r="139" spans="127:170" x14ac:dyDescent="0.2">
      <c r="DW139" s="25"/>
      <c r="FN139"/>
    </row>
    <row r="140" spans="127:170" x14ac:dyDescent="0.2">
      <c r="DW140" s="25"/>
      <c r="FN140"/>
    </row>
    <row r="141" spans="127:170" x14ac:dyDescent="0.2">
      <c r="DW141" s="25"/>
      <c r="FN141"/>
    </row>
    <row r="142" spans="127:170" x14ac:dyDescent="0.2">
      <c r="DW142" s="25"/>
      <c r="FN142"/>
    </row>
    <row r="143" spans="127:170" x14ac:dyDescent="0.2">
      <c r="DW143" s="25"/>
      <c r="FN143"/>
    </row>
    <row r="144" spans="127:170" x14ac:dyDescent="0.2">
      <c r="DW144" s="25"/>
      <c r="FN144"/>
    </row>
    <row r="145" spans="127:170" x14ac:dyDescent="0.2">
      <c r="DW145" s="25"/>
      <c r="FN145"/>
    </row>
    <row r="146" spans="127:170" x14ac:dyDescent="0.2">
      <c r="DW146" s="25"/>
      <c r="FN146"/>
    </row>
    <row r="147" spans="127:170" x14ac:dyDescent="0.2">
      <c r="DW147" s="25"/>
      <c r="FN147"/>
    </row>
    <row r="148" spans="127:170" x14ac:dyDescent="0.2">
      <c r="DW148" s="25"/>
      <c r="FN148"/>
    </row>
    <row r="149" spans="127:170" x14ac:dyDescent="0.2">
      <c r="DW149" s="25"/>
      <c r="FN149"/>
    </row>
    <row r="150" spans="127:170" x14ac:dyDescent="0.2">
      <c r="DW150" s="25"/>
      <c r="FN150"/>
    </row>
    <row r="151" spans="127:170" x14ac:dyDescent="0.2">
      <c r="DW151" s="25"/>
      <c r="FN151"/>
    </row>
    <row r="152" spans="127:170" x14ac:dyDescent="0.2">
      <c r="DW152" s="25"/>
      <c r="FN152"/>
    </row>
    <row r="153" spans="127:170" x14ac:dyDescent="0.2">
      <c r="DW153" s="25"/>
      <c r="FN153"/>
    </row>
    <row r="154" spans="127:170" x14ac:dyDescent="0.2">
      <c r="DW154" s="25"/>
      <c r="FN154"/>
    </row>
    <row r="155" spans="127:170" x14ac:dyDescent="0.2">
      <c r="DW155" s="25"/>
      <c r="FN155"/>
    </row>
    <row r="156" spans="127:170" x14ac:dyDescent="0.2">
      <c r="DW156" s="25"/>
      <c r="FN156"/>
    </row>
    <row r="157" spans="127:170" x14ac:dyDescent="0.2">
      <c r="DW157" s="25"/>
      <c r="FN157"/>
    </row>
    <row r="158" spans="127:170" x14ac:dyDescent="0.2">
      <c r="DW158" s="25"/>
      <c r="FN158"/>
    </row>
    <row r="159" spans="127:170" x14ac:dyDescent="0.2">
      <c r="DW159" s="25"/>
      <c r="FN159"/>
    </row>
    <row r="160" spans="127:170" x14ac:dyDescent="0.2">
      <c r="DW160" s="25"/>
      <c r="FN160"/>
    </row>
    <row r="161" spans="127:170" x14ac:dyDescent="0.2">
      <c r="DW161" s="25"/>
      <c r="FN161"/>
    </row>
    <row r="162" spans="127:170" x14ac:dyDescent="0.2">
      <c r="DW162" s="25"/>
      <c r="FN162"/>
    </row>
    <row r="163" spans="127:170" x14ac:dyDescent="0.2">
      <c r="DW163" s="25"/>
      <c r="FN163"/>
    </row>
    <row r="164" spans="127:170" x14ac:dyDescent="0.2">
      <c r="DW164" s="25"/>
      <c r="FN164"/>
    </row>
    <row r="165" spans="127:170" x14ac:dyDescent="0.2">
      <c r="DW165" s="25"/>
      <c r="FN165"/>
    </row>
    <row r="166" spans="127:170" x14ac:dyDescent="0.2">
      <c r="DW166" s="25"/>
      <c r="FN166"/>
    </row>
    <row r="167" spans="127:170" x14ac:dyDescent="0.2">
      <c r="DW167" s="25"/>
      <c r="FN167"/>
    </row>
    <row r="168" spans="127:170" ht="15" customHeight="1" x14ac:dyDescent="0.2">
      <c r="DW168" s="25"/>
      <c r="FN168"/>
    </row>
    <row r="169" spans="127:170" x14ac:dyDescent="0.2">
      <c r="DW169" s="25"/>
      <c r="FN169"/>
    </row>
    <row r="170" spans="127:170" x14ac:dyDescent="0.2">
      <c r="DW170" s="25"/>
      <c r="FN170"/>
    </row>
    <row r="171" spans="127:170" x14ac:dyDescent="0.2">
      <c r="DW171" s="25"/>
      <c r="FN171"/>
    </row>
    <row r="172" spans="127:170" ht="14.25" customHeight="1" x14ac:dyDescent="0.2">
      <c r="DW172" s="25"/>
      <c r="FN172"/>
    </row>
    <row r="173" spans="127:170" x14ac:dyDescent="0.2">
      <c r="DW173" s="25"/>
      <c r="FN173"/>
    </row>
    <row r="174" spans="127:170" x14ac:dyDescent="0.2">
      <c r="DW174" s="25"/>
      <c r="FN174"/>
    </row>
    <row r="175" spans="127:170" x14ac:dyDescent="0.2">
      <c r="DW175" s="25"/>
      <c r="FN175"/>
    </row>
    <row r="176" spans="127:170" x14ac:dyDescent="0.2">
      <c r="DW176" s="25"/>
      <c r="FN176"/>
    </row>
    <row r="177" spans="127:170" x14ac:dyDescent="0.2">
      <c r="DW177" s="25"/>
      <c r="FN177"/>
    </row>
    <row r="178" spans="127:170" x14ac:dyDescent="0.2">
      <c r="DW178" s="25"/>
      <c r="FN178"/>
    </row>
    <row r="179" spans="127:170" x14ac:dyDescent="0.2">
      <c r="DW179" s="25"/>
      <c r="FN179"/>
    </row>
    <row r="180" spans="127:170" x14ac:dyDescent="0.2">
      <c r="DW180" s="25"/>
      <c r="FN180"/>
    </row>
    <row r="181" spans="127:170" x14ac:dyDescent="0.2">
      <c r="DW181" s="25"/>
      <c r="FN181"/>
    </row>
    <row r="182" spans="127:170" x14ac:dyDescent="0.2">
      <c r="DW182" s="25"/>
      <c r="FN182"/>
    </row>
    <row r="183" spans="127:170" x14ac:dyDescent="0.2">
      <c r="DW183" s="25"/>
      <c r="FN183"/>
    </row>
    <row r="184" spans="127:170" x14ac:dyDescent="0.2">
      <c r="DW184" s="25"/>
      <c r="FN184"/>
    </row>
    <row r="185" spans="127:170" x14ac:dyDescent="0.2">
      <c r="DW185" s="25"/>
      <c r="FN185"/>
    </row>
    <row r="186" spans="127:170" x14ac:dyDescent="0.2">
      <c r="DW186" s="25"/>
      <c r="FN186"/>
    </row>
    <row r="187" spans="127:170" x14ac:dyDescent="0.2">
      <c r="DW187" s="25"/>
      <c r="FN187"/>
    </row>
    <row r="188" spans="127:170" x14ac:dyDescent="0.2">
      <c r="DW188" s="25"/>
      <c r="FN188"/>
    </row>
    <row r="189" spans="127:170" x14ac:dyDescent="0.2">
      <c r="DW189" s="25"/>
      <c r="FN189"/>
    </row>
    <row r="190" spans="127:170" x14ac:dyDescent="0.2">
      <c r="DW190" s="25"/>
      <c r="FN190"/>
    </row>
    <row r="191" spans="127:170" x14ac:dyDescent="0.2">
      <c r="DW191" s="25"/>
      <c r="FN191"/>
    </row>
    <row r="192" spans="127:170" x14ac:dyDescent="0.2">
      <c r="DW192" s="25"/>
      <c r="FN192"/>
    </row>
    <row r="193" spans="127:170" x14ac:dyDescent="0.2">
      <c r="DW193" s="25"/>
      <c r="FN193"/>
    </row>
    <row r="194" spans="127:170" x14ac:dyDescent="0.2">
      <c r="DW194" s="25"/>
      <c r="FN194"/>
    </row>
    <row r="195" spans="127:170" ht="15" customHeight="1" x14ac:dyDescent="0.2">
      <c r="DW195" s="25"/>
      <c r="FN195"/>
    </row>
    <row r="196" spans="127:170" x14ac:dyDescent="0.2">
      <c r="DW196" s="25"/>
      <c r="FN196"/>
    </row>
    <row r="197" spans="127:170" x14ac:dyDescent="0.2">
      <c r="DW197" s="25"/>
      <c r="FN197"/>
    </row>
    <row r="198" spans="127:170" x14ac:dyDescent="0.2">
      <c r="DW198" s="25"/>
      <c r="FN198"/>
    </row>
    <row r="199" spans="127:170" ht="20.25" customHeight="1" x14ac:dyDescent="0.2">
      <c r="DW199" s="25"/>
      <c r="FN199"/>
    </row>
    <row r="200" spans="127:170" x14ac:dyDescent="0.2">
      <c r="DW200" s="25"/>
      <c r="FN200"/>
    </row>
    <row r="201" spans="127:170" x14ac:dyDescent="0.2">
      <c r="DW201" s="25"/>
      <c r="FN201"/>
    </row>
    <row r="202" spans="127:170" x14ac:dyDescent="0.2">
      <c r="DW202" s="25"/>
      <c r="FN202"/>
    </row>
    <row r="203" spans="127:170" x14ac:dyDescent="0.2">
      <c r="DW203" s="25"/>
      <c r="FN203"/>
    </row>
    <row r="204" spans="127:170" x14ac:dyDescent="0.2">
      <c r="DW204" s="25"/>
      <c r="FN204"/>
    </row>
    <row r="205" spans="127:170" x14ac:dyDescent="0.2">
      <c r="DW205" s="25"/>
      <c r="FN205"/>
    </row>
    <row r="206" spans="127:170" x14ac:dyDescent="0.2">
      <c r="DW206" s="25"/>
      <c r="FN206"/>
    </row>
    <row r="207" spans="127:170" x14ac:dyDescent="0.2">
      <c r="DW207" s="25"/>
      <c r="FN207"/>
    </row>
    <row r="208" spans="127:170" x14ac:dyDescent="0.2">
      <c r="DW208" s="25"/>
      <c r="FN208"/>
    </row>
    <row r="209" spans="127:170" x14ac:dyDescent="0.2">
      <c r="DW209" s="25"/>
      <c r="FN209"/>
    </row>
    <row r="210" spans="127:170" x14ac:dyDescent="0.2">
      <c r="DW210" s="25"/>
      <c r="FN210"/>
    </row>
    <row r="211" spans="127:170" x14ac:dyDescent="0.2">
      <c r="DW211" s="25"/>
      <c r="FN211"/>
    </row>
    <row r="212" spans="127:170" x14ac:dyDescent="0.2">
      <c r="DW212" s="25"/>
      <c r="FN212"/>
    </row>
    <row r="213" spans="127:170" x14ac:dyDescent="0.2">
      <c r="DW213" s="25"/>
      <c r="FN213"/>
    </row>
    <row r="214" spans="127:170" x14ac:dyDescent="0.2">
      <c r="DW214" s="25"/>
      <c r="FN214"/>
    </row>
    <row r="215" spans="127:170" x14ac:dyDescent="0.2">
      <c r="DW215" s="25"/>
      <c r="FN215"/>
    </row>
    <row r="216" spans="127:170" x14ac:dyDescent="0.2">
      <c r="DW216" s="25"/>
      <c r="FN216"/>
    </row>
    <row r="217" spans="127:170" x14ac:dyDescent="0.2">
      <c r="DW217" s="25"/>
      <c r="FN217"/>
    </row>
    <row r="218" spans="127:170" x14ac:dyDescent="0.2">
      <c r="DW218" s="25"/>
      <c r="FN218"/>
    </row>
    <row r="219" spans="127:170" x14ac:dyDescent="0.2">
      <c r="DW219" s="25"/>
      <c r="FN219"/>
    </row>
    <row r="220" spans="127:170" x14ac:dyDescent="0.2">
      <c r="DW220" s="25"/>
      <c r="FN220"/>
    </row>
    <row r="221" spans="127:170" x14ac:dyDescent="0.2">
      <c r="DW221" s="25"/>
      <c r="FN221"/>
    </row>
    <row r="222" spans="127:170" x14ac:dyDescent="0.2">
      <c r="DW222" s="25"/>
      <c r="FN222"/>
    </row>
    <row r="223" spans="127:170" x14ac:dyDescent="0.2">
      <c r="DW223" s="25"/>
      <c r="FN223"/>
    </row>
    <row r="224" spans="127:170" x14ac:dyDescent="0.2">
      <c r="DW224" s="25"/>
      <c r="FN224"/>
    </row>
    <row r="225" spans="127:170" ht="15" customHeight="1" x14ac:dyDescent="0.2">
      <c r="DW225" s="25"/>
      <c r="FN225"/>
    </row>
    <row r="226" spans="127:170" x14ac:dyDescent="0.2">
      <c r="DW226" s="25"/>
      <c r="FN226"/>
    </row>
    <row r="227" spans="127:170" x14ac:dyDescent="0.2">
      <c r="DW227" s="25"/>
      <c r="FN227"/>
    </row>
    <row r="228" spans="127:170" x14ac:dyDescent="0.2">
      <c r="DW228" s="25"/>
      <c r="FN228"/>
    </row>
    <row r="229" spans="127:170" x14ac:dyDescent="0.2">
      <c r="DW229" s="25"/>
      <c r="FN229"/>
    </row>
    <row r="230" spans="127:170" x14ac:dyDescent="0.2">
      <c r="DW230" s="25"/>
      <c r="FN230"/>
    </row>
    <row r="231" spans="127:170" x14ac:dyDescent="0.2">
      <c r="DW231" s="25"/>
      <c r="FN231"/>
    </row>
    <row r="232" spans="127:170" x14ac:dyDescent="0.2">
      <c r="DW232" s="25"/>
      <c r="FN232"/>
    </row>
    <row r="233" spans="127:170" x14ac:dyDescent="0.2">
      <c r="DW233" s="25"/>
      <c r="FN233"/>
    </row>
    <row r="234" spans="127:170" x14ac:dyDescent="0.2">
      <c r="DW234" s="25"/>
      <c r="FN234"/>
    </row>
    <row r="235" spans="127:170" x14ac:dyDescent="0.2">
      <c r="DW235" s="25"/>
      <c r="FN235"/>
    </row>
    <row r="236" spans="127:170" x14ac:dyDescent="0.2">
      <c r="DW236" s="25"/>
      <c r="FN236"/>
    </row>
    <row r="237" spans="127:170" x14ac:dyDescent="0.2">
      <c r="DW237" s="25"/>
      <c r="FN237"/>
    </row>
    <row r="238" spans="127:170" x14ac:dyDescent="0.2">
      <c r="DW238" s="25"/>
      <c r="FN238"/>
    </row>
    <row r="239" spans="127:170" x14ac:dyDescent="0.2">
      <c r="DW239" s="25"/>
      <c r="FN239"/>
    </row>
    <row r="240" spans="127:170" x14ac:dyDescent="0.2">
      <c r="DW240" s="25"/>
      <c r="FN240"/>
    </row>
    <row r="241" spans="3:183" x14ac:dyDescent="0.2">
      <c r="DW241" s="25"/>
      <c r="FN241"/>
    </row>
    <row r="242" spans="3:183" x14ac:dyDescent="0.2">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DW242" s="25"/>
      <c r="FN242"/>
    </row>
    <row r="243" spans="3:183" x14ac:dyDescent="0.2">
      <c r="DW243" s="25"/>
      <c r="FN243"/>
    </row>
    <row r="244" spans="3:183" x14ac:dyDescent="0.2">
      <c r="DW244" s="25"/>
      <c r="FN244"/>
    </row>
    <row r="245" spans="3:183" x14ac:dyDescent="0.2">
      <c r="DW245" s="25"/>
      <c r="FN245"/>
    </row>
    <row r="246" spans="3:183" ht="15" thickBot="1" x14ac:dyDescent="0.25">
      <c r="DW246" s="25"/>
      <c r="FN246"/>
    </row>
    <row r="247" spans="3:183" s="36" customFormat="1" ht="26.25" customHeight="1" thickBot="1" x14ac:dyDescent="0.25">
      <c r="C247"/>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P247" s="72"/>
      <c r="FQ247" s="73"/>
      <c r="FR247" s="32"/>
      <c r="FS247" s="32"/>
      <c r="FT247" s="32"/>
      <c r="FU247" s="74"/>
      <c r="FV247" s="72"/>
      <c r="FW247" s="73"/>
      <c r="FX247" s="75"/>
      <c r="FY247" s="32"/>
      <c r="FZ247" s="32"/>
      <c r="GA247" s="74"/>
    </row>
    <row r="248" spans="3:183" ht="14.25" customHeight="1" thickBot="1" x14ac:dyDescent="0.25">
      <c r="DW248" s="25"/>
      <c r="FN248"/>
      <c r="FP248" s="76"/>
      <c r="FQ248" s="77"/>
      <c r="FR248" s="33"/>
      <c r="FS248" s="33"/>
      <c r="FT248" s="33"/>
      <c r="FU248" s="78"/>
      <c r="FV248" s="76"/>
      <c r="FW248" s="77"/>
      <c r="FX248" s="79"/>
      <c r="FY248" s="33"/>
      <c r="FZ248" s="33"/>
      <c r="GA248" s="78"/>
    </row>
    <row r="249" spans="3:183" x14ac:dyDescent="0.2">
      <c r="DW249" s="25"/>
      <c r="FN249"/>
      <c r="FP249" s="80"/>
      <c r="FQ249" s="81"/>
      <c r="FR249" s="34"/>
      <c r="FS249" s="34"/>
      <c r="FT249" s="34"/>
      <c r="FU249" s="82"/>
      <c r="FV249" s="80"/>
      <c r="FW249" s="81"/>
      <c r="FX249" s="83"/>
      <c r="FY249" s="34"/>
      <c r="FZ249" s="34"/>
      <c r="GA249" s="82"/>
    </row>
    <row r="250" spans="3:183" x14ac:dyDescent="0.2">
      <c r="DW250" s="25"/>
      <c r="FN250"/>
      <c r="FP250" s="80"/>
      <c r="FQ250" s="81"/>
      <c r="FR250" s="34"/>
      <c r="FS250" s="34"/>
      <c r="FT250" s="34"/>
      <c r="FU250" s="82"/>
      <c r="FV250" s="80"/>
      <c r="FW250" s="81"/>
      <c r="FX250" s="83"/>
      <c r="FY250" s="34"/>
      <c r="FZ250" s="34"/>
      <c r="GA250" s="82"/>
    </row>
    <row r="251" spans="3:183" x14ac:dyDescent="0.2">
      <c r="DW251" s="25"/>
      <c r="FN251"/>
      <c r="FP251" s="80"/>
      <c r="FQ251" s="81"/>
      <c r="FR251" s="34"/>
      <c r="FS251" s="34"/>
      <c r="FT251" s="34"/>
      <c r="FU251" s="82"/>
      <c r="FV251" s="80"/>
      <c r="FW251" s="81"/>
      <c r="FX251" s="83"/>
      <c r="FY251" s="34"/>
      <c r="FZ251" s="34"/>
      <c r="GA251" s="82"/>
    </row>
    <row r="252" spans="3:183" x14ac:dyDescent="0.2">
      <c r="DW252" s="25"/>
      <c r="FN252"/>
      <c r="FP252" s="80"/>
      <c r="FQ252" s="81"/>
      <c r="FR252" s="34"/>
      <c r="FS252" s="34"/>
      <c r="FT252" s="34"/>
      <c r="FU252" s="82"/>
      <c r="FV252" s="80"/>
      <c r="FW252" s="81"/>
      <c r="FX252" s="83"/>
      <c r="FY252" s="34"/>
      <c r="FZ252" s="34"/>
      <c r="GA252" s="82"/>
    </row>
    <row r="253" spans="3:183" ht="15" thickBot="1" x14ac:dyDescent="0.25">
      <c r="DW253" s="25"/>
      <c r="FN253"/>
      <c r="FP253" s="84"/>
      <c r="FQ253" s="85"/>
      <c r="FR253" s="35"/>
      <c r="FS253" s="35"/>
      <c r="FT253" s="35"/>
      <c r="FU253" s="86"/>
      <c r="FV253" s="84"/>
      <c r="FW253" s="85"/>
      <c r="FX253" s="87"/>
      <c r="FY253" s="35"/>
      <c r="FZ253" s="35"/>
      <c r="GA253" s="86"/>
    </row>
    <row r="254" spans="3:183" x14ac:dyDescent="0.2">
      <c r="DW254" s="25"/>
      <c r="FN254"/>
    </row>
    <row r="255" spans="3:183" ht="14.25" customHeight="1" x14ac:dyDescent="0.2">
      <c r="DW255" s="25"/>
      <c r="FN255"/>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E67:H67"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tabColor rgb="FF70AD47"/>
    <outlinePr summaryBelow="0" summaryRight="0"/>
    <pageSetUpPr autoPageBreaks="0"/>
  </sheetPr>
  <dimension ref="A1:BU96"/>
  <sheetViews>
    <sheetView showGridLines="0" zoomScaleNormal="100" workbookViewId="0">
      <pane xSplit="4" ySplit="5" topLeftCell="BM6" activePane="bottomRight" state="frozen"/>
      <selection activeCell="AO35" sqref="AO35:AO49"/>
      <selection pane="topRight" activeCell="AO35" sqref="AO35:AO49"/>
      <selection pane="bottomLeft" activeCell="AO35" sqref="AO35:AO49"/>
      <selection pane="bottomRight" activeCell="BO62" sqref="BO62"/>
    </sheetView>
  </sheetViews>
  <sheetFormatPr defaultColWidth="21.42578125" defaultRowHeight="14.1" customHeight="1" outlineLevelRow="1" x14ac:dyDescent="0.2"/>
  <cols>
    <col min="1" max="2" width="21.42578125" style="478" hidden="1" customWidth="1"/>
    <col min="3" max="3" width="0.140625" style="266" customWidth="1"/>
    <col min="4" max="4" width="35.5703125" style="478" customWidth="1"/>
    <col min="5" max="70" width="9.85546875" style="513" customWidth="1"/>
    <col min="71" max="16384" width="21.42578125" style="478"/>
  </cols>
  <sheetData>
    <row r="1" spans="1:70" s="573" customFormat="1" ht="11.25" customHeight="1" x14ac:dyDescent="0.2">
      <c r="C1" s="266"/>
      <c r="E1" s="717" t="s">
        <v>539</v>
      </c>
      <c r="F1" s="717" t="s">
        <v>540</v>
      </c>
      <c r="G1" s="717" t="s">
        <v>541</v>
      </c>
      <c r="H1" s="717" t="s">
        <v>484</v>
      </c>
      <c r="I1" s="717" t="s">
        <v>60</v>
      </c>
      <c r="J1" s="717" t="str">
        <f>IF(LEFT(I1,1)="4","1T"&amp;RIGHT(I1,2)+1,LEFT(I1,1)+1&amp;RIGHT(I1,3))</f>
        <v>2T11</v>
      </c>
      <c r="K1" s="717" t="str">
        <f t="shared" ref="K1:AH1" si="0">IF(LEFT(J1,1)="4","1T"&amp;RIGHT(J1,2)+1,LEFT(J1,1)+1&amp;RIGHT(J1,3))</f>
        <v>3T11</v>
      </c>
      <c r="L1" s="717" t="str">
        <f t="shared" si="0"/>
        <v>4T11</v>
      </c>
      <c r="M1" s="717" t="str">
        <f t="shared" si="0"/>
        <v>1T12</v>
      </c>
      <c r="N1" s="717" t="str">
        <f t="shared" si="0"/>
        <v>2T12</v>
      </c>
      <c r="O1" s="717" t="str">
        <f t="shared" si="0"/>
        <v>3T12</v>
      </c>
      <c r="P1" s="717" t="str">
        <f t="shared" si="0"/>
        <v>4T12</v>
      </c>
      <c r="Q1" s="717" t="str">
        <f t="shared" si="0"/>
        <v>1T13</v>
      </c>
      <c r="R1" s="717" t="str">
        <f t="shared" si="0"/>
        <v>2T13</v>
      </c>
      <c r="S1" s="717" t="str">
        <f t="shared" si="0"/>
        <v>3T13</v>
      </c>
      <c r="T1" s="717" t="str">
        <f t="shared" si="0"/>
        <v>4T13</v>
      </c>
      <c r="U1" s="717" t="str">
        <f t="shared" si="0"/>
        <v>1T14</v>
      </c>
      <c r="V1" s="717" t="str">
        <f t="shared" si="0"/>
        <v>2T14</v>
      </c>
      <c r="W1" s="717" t="str">
        <f t="shared" si="0"/>
        <v>3T14</v>
      </c>
      <c r="X1" s="717" t="str">
        <f t="shared" si="0"/>
        <v>4T14</v>
      </c>
      <c r="Y1" s="717" t="str">
        <f t="shared" si="0"/>
        <v>1T15</v>
      </c>
      <c r="Z1" s="717" t="str">
        <f t="shared" si="0"/>
        <v>2T15</v>
      </c>
      <c r="AA1" s="717" t="str">
        <f t="shared" si="0"/>
        <v>3T15</v>
      </c>
      <c r="AB1" s="717" t="str">
        <f t="shared" si="0"/>
        <v>4T15</v>
      </c>
      <c r="AC1" s="717" t="str">
        <f t="shared" si="0"/>
        <v>1T16</v>
      </c>
      <c r="AD1" s="717" t="str">
        <f t="shared" si="0"/>
        <v>2T16</v>
      </c>
      <c r="AE1" s="717" t="str">
        <f t="shared" si="0"/>
        <v>3T16</v>
      </c>
      <c r="AF1" s="717" t="str">
        <f t="shared" si="0"/>
        <v>4T16</v>
      </c>
      <c r="AG1" s="717" t="str">
        <f t="shared" si="0"/>
        <v>1T17</v>
      </c>
      <c r="AH1" s="717" t="str">
        <f t="shared" si="0"/>
        <v>2T17</v>
      </c>
      <c r="AI1" s="717" t="str">
        <f t="shared" ref="AI1:AN1" si="1">IF(LEFT(AH1,1)="4","1T"&amp;RIGHT(AH1,2)+1,LEFT(AH1,1)+1&amp;RIGHT(AH1,3))</f>
        <v>3T17</v>
      </c>
      <c r="AJ1" s="717" t="str">
        <f t="shared" si="1"/>
        <v>4T17</v>
      </c>
      <c r="AK1" s="717" t="str">
        <f t="shared" si="1"/>
        <v>1T18</v>
      </c>
      <c r="AL1" s="717" t="str">
        <f t="shared" si="1"/>
        <v>2T18</v>
      </c>
      <c r="AM1" s="717" t="str">
        <f t="shared" si="1"/>
        <v>3T18</v>
      </c>
      <c r="AN1" s="717" t="str">
        <f t="shared" si="1"/>
        <v>4T18</v>
      </c>
      <c r="AO1" s="717" t="str">
        <f>IF(LEFT(AN1,1)="4","1T"&amp;RIGHT(AN1,2)+1,LEFT(AN1,1)+1&amp;RIGHT(AN1,3))</f>
        <v>1T19</v>
      </c>
      <c r="AP1" s="717" t="str">
        <f>IF(LEFT(AO1,1)="4","1T"&amp;RIGHT(AO1,2)+1,LEFT(AO1,1)+1&amp;RIGHT(AO1,3))</f>
        <v>2T19</v>
      </c>
      <c r="AQ1" s="717" t="str">
        <f>IF(LEFT(AP1,1)="4","1T"&amp;RIGHT(AP1,2)+1,LEFT(AP1,1)+1&amp;RIGHT(AP1,3))</f>
        <v>3T19</v>
      </c>
      <c r="AR1" s="717" t="s">
        <v>1411</v>
      </c>
      <c r="AS1" s="717" t="str">
        <f t="shared" ref="AS1:AZ1" si="2">IF(LEFT(AR1,1)="4","1T"&amp;RIGHT(AR1,2)+1,LEFT(AR1,1)+1&amp;RIGHT(AR1,3))</f>
        <v>1T20</v>
      </c>
      <c r="AT1" s="717" t="str">
        <f t="shared" si="2"/>
        <v>2T20</v>
      </c>
      <c r="AU1" s="717" t="str">
        <f t="shared" si="2"/>
        <v>3T20</v>
      </c>
      <c r="AV1" s="717" t="str">
        <f t="shared" si="2"/>
        <v>4T20</v>
      </c>
      <c r="AW1" s="717" t="str">
        <f t="shared" si="2"/>
        <v>1T21</v>
      </c>
      <c r="AX1" s="717" t="str">
        <f t="shared" si="2"/>
        <v>2T21</v>
      </c>
      <c r="AY1" s="717" t="str">
        <f t="shared" si="2"/>
        <v>3T21</v>
      </c>
      <c r="AZ1" s="717" t="str">
        <f t="shared" si="2"/>
        <v>4T21</v>
      </c>
      <c r="BA1" s="717" t="str">
        <f t="shared" ref="BA1:BH1" si="3">IF(LEFT(AZ1,1)="4","1T"&amp;RIGHT(AZ1,2)+1,LEFT(AZ1,1)+1&amp;RIGHT(AZ1,3))</f>
        <v>1T22</v>
      </c>
      <c r="BB1" s="717" t="str">
        <f t="shared" si="3"/>
        <v>2T22</v>
      </c>
      <c r="BC1" s="717" t="str">
        <f t="shared" si="3"/>
        <v>3T22</v>
      </c>
      <c r="BD1" s="717" t="str">
        <f t="shared" si="3"/>
        <v>4T22</v>
      </c>
      <c r="BE1" s="717" t="str">
        <f t="shared" si="3"/>
        <v>1T23</v>
      </c>
      <c r="BF1" s="717" t="str">
        <f t="shared" si="3"/>
        <v>2T23</v>
      </c>
      <c r="BG1" s="717" t="str">
        <f t="shared" si="3"/>
        <v>3T23</v>
      </c>
      <c r="BH1" s="717" t="str">
        <f t="shared" si="3"/>
        <v>4T23</v>
      </c>
      <c r="BI1" s="717" t="str">
        <f t="shared" ref="BI1:BR1" si="4">IF(LEFT(BH1,1)="4","1T"&amp;RIGHT(BH1,2)+1,LEFT(BH1,1)+1&amp;RIGHT(BH1,3))</f>
        <v>1T24</v>
      </c>
      <c r="BJ1" s="717" t="str">
        <f t="shared" si="4"/>
        <v>2T24</v>
      </c>
      <c r="BK1" s="717" t="str">
        <f t="shared" si="4"/>
        <v>3T24</v>
      </c>
      <c r="BL1" s="717" t="str">
        <f t="shared" si="4"/>
        <v>4T24</v>
      </c>
      <c r="BM1" s="717" t="str">
        <f t="shared" si="4"/>
        <v>1T25</v>
      </c>
      <c r="BN1" s="717" t="str">
        <f t="shared" si="4"/>
        <v>2T25</v>
      </c>
      <c r="BO1" s="717" t="str">
        <f t="shared" si="4"/>
        <v>3T25</v>
      </c>
      <c r="BP1" s="717" t="str">
        <f t="shared" si="4"/>
        <v>4T25</v>
      </c>
      <c r="BQ1" s="717" t="str">
        <f t="shared" si="4"/>
        <v>1T26</v>
      </c>
      <c r="BR1" s="717" t="str">
        <f t="shared" si="4"/>
        <v>2T26</v>
      </c>
    </row>
    <row r="2" spans="1:70" s="573" customFormat="1" ht="12.75" customHeight="1" x14ac:dyDescent="0.2">
      <c r="C2" s="266"/>
      <c r="E2" s="718" t="str">
        <f>SUBSTITUTE(E1,"T","Q")</f>
        <v>2007</v>
      </c>
      <c r="F2" s="718" t="str">
        <f t="shared" ref="F2:AG2" si="5">SUBSTITUTE(F1,"T","Q")</f>
        <v>2008</v>
      </c>
      <c r="G2" s="718" t="str">
        <f t="shared" si="5"/>
        <v>2009</v>
      </c>
      <c r="H2" s="718" t="str">
        <f t="shared" si="5"/>
        <v>2010</v>
      </c>
      <c r="I2" s="718" t="str">
        <f t="shared" si="5"/>
        <v>1Q11</v>
      </c>
      <c r="J2" s="718" t="str">
        <f t="shared" si="5"/>
        <v>2Q11</v>
      </c>
      <c r="K2" s="718" t="str">
        <f t="shared" si="5"/>
        <v>3Q11</v>
      </c>
      <c r="L2" s="718" t="str">
        <f t="shared" si="5"/>
        <v>4Q11</v>
      </c>
      <c r="M2" s="718" t="str">
        <f t="shared" si="5"/>
        <v>1Q12</v>
      </c>
      <c r="N2" s="718" t="str">
        <f t="shared" si="5"/>
        <v>2Q12</v>
      </c>
      <c r="O2" s="718" t="str">
        <f t="shared" si="5"/>
        <v>3Q12</v>
      </c>
      <c r="P2" s="718" t="str">
        <f t="shared" si="5"/>
        <v>4Q12</v>
      </c>
      <c r="Q2" s="718" t="str">
        <f t="shared" si="5"/>
        <v>1Q13</v>
      </c>
      <c r="R2" s="718" t="str">
        <f t="shared" si="5"/>
        <v>2Q13</v>
      </c>
      <c r="S2" s="718" t="str">
        <f t="shared" si="5"/>
        <v>3Q13</v>
      </c>
      <c r="T2" s="718" t="str">
        <f t="shared" si="5"/>
        <v>4Q13</v>
      </c>
      <c r="U2" s="718" t="str">
        <f t="shared" si="5"/>
        <v>1Q14</v>
      </c>
      <c r="V2" s="718" t="str">
        <f t="shared" si="5"/>
        <v>2Q14</v>
      </c>
      <c r="W2" s="718" t="str">
        <f t="shared" si="5"/>
        <v>3Q14</v>
      </c>
      <c r="X2" s="718" t="str">
        <f t="shared" si="5"/>
        <v>4Q14</v>
      </c>
      <c r="Y2" s="718" t="str">
        <f t="shared" si="5"/>
        <v>1Q15</v>
      </c>
      <c r="Z2" s="718" t="str">
        <f t="shared" si="5"/>
        <v>2Q15</v>
      </c>
      <c r="AA2" s="718" t="str">
        <f t="shared" si="5"/>
        <v>3Q15</v>
      </c>
      <c r="AB2" s="718" t="str">
        <f t="shared" si="5"/>
        <v>4Q15</v>
      </c>
      <c r="AC2" s="718" t="str">
        <f t="shared" si="5"/>
        <v>1Q16</v>
      </c>
      <c r="AD2" s="718" t="str">
        <f t="shared" si="5"/>
        <v>2Q16</v>
      </c>
      <c r="AE2" s="718" t="str">
        <f t="shared" si="5"/>
        <v>3Q16</v>
      </c>
      <c r="AF2" s="718" t="str">
        <f t="shared" si="5"/>
        <v>4Q16</v>
      </c>
      <c r="AG2" s="718" t="str">
        <f t="shared" si="5"/>
        <v>1Q17</v>
      </c>
      <c r="AH2" s="718" t="str">
        <f t="shared" ref="AH2:AM2" si="6">SUBSTITUTE(AH1,"T","Q")</f>
        <v>2Q17</v>
      </c>
      <c r="AI2" s="718" t="str">
        <f t="shared" si="6"/>
        <v>3Q17</v>
      </c>
      <c r="AJ2" s="718" t="str">
        <f t="shared" si="6"/>
        <v>4Q17</v>
      </c>
      <c r="AK2" s="718" t="str">
        <f t="shared" si="6"/>
        <v>1Q18</v>
      </c>
      <c r="AL2" s="806" t="str">
        <f t="shared" si="6"/>
        <v>2Q18</v>
      </c>
      <c r="AM2" s="806" t="str">
        <f t="shared" si="6"/>
        <v>3Q18</v>
      </c>
      <c r="AN2" s="806" t="str">
        <f>SUBSTITUTE(AN1,"T","Q")</f>
        <v>4Q18</v>
      </c>
      <c r="AO2" s="806" t="str">
        <f>SUBSTITUTE(AO1,"T","Q")</f>
        <v>1Q19</v>
      </c>
      <c r="AP2" s="806" t="str">
        <f>SUBSTITUTE(AP1,"T","Q")</f>
        <v>2Q19</v>
      </c>
      <c r="AQ2" s="806" t="str">
        <f>SUBSTITUTE(AQ1,"T","Q")</f>
        <v>3Q19</v>
      </c>
      <c r="AR2" s="806" t="s">
        <v>1514</v>
      </c>
      <c r="AS2" s="806" t="str">
        <f t="shared" ref="AS2:BA2" si="7">SUBSTITUTE(AS1,"T","Q")</f>
        <v>1Q20</v>
      </c>
      <c r="AT2" s="806" t="str">
        <f t="shared" si="7"/>
        <v>2Q20</v>
      </c>
      <c r="AU2" s="806" t="str">
        <f t="shared" si="7"/>
        <v>3Q20</v>
      </c>
      <c r="AV2" s="806" t="str">
        <f t="shared" si="7"/>
        <v>4Q20</v>
      </c>
      <c r="AW2" s="806" t="str">
        <f t="shared" si="7"/>
        <v>1Q21</v>
      </c>
      <c r="AX2" s="806" t="str">
        <f t="shared" si="7"/>
        <v>2Q21</v>
      </c>
      <c r="AY2" s="806" t="str">
        <f t="shared" si="7"/>
        <v>3Q21</v>
      </c>
      <c r="AZ2" s="806" t="str">
        <f t="shared" si="7"/>
        <v>4Q21</v>
      </c>
      <c r="BA2" s="806" t="str">
        <f t="shared" si="7"/>
        <v>1Q22</v>
      </c>
      <c r="BB2" s="806" t="str">
        <f t="shared" ref="BB2:BI2" si="8">SUBSTITUTE(BB1,"T","Q")</f>
        <v>2Q22</v>
      </c>
      <c r="BC2" s="806" t="str">
        <f t="shared" si="8"/>
        <v>3Q22</v>
      </c>
      <c r="BD2" s="806" t="str">
        <f t="shared" si="8"/>
        <v>4Q22</v>
      </c>
      <c r="BE2" s="806" t="str">
        <f t="shared" si="8"/>
        <v>1Q23</v>
      </c>
      <c r="BF2" s="806" t="str">
        <f t="shared" si="8"/>
        <v>2Q23</v>
      </c>
      <c r="BG2" s="806" t="str">
        <f t="shared" si="8"/>
        <v>3Q23</v>
      </c>
      <c r="BH2" s="806" t="str">
        <f t="shared" si="8"/>
        <v>4Q23</v>
      </c>
      <c r="BI2" s="806" t="str">
        <f t="shared" si="8"/>
        <v>1Q24</v>
      </c>
      <c r="BJ2" s="806" t="str">
        <f t="shared" ref="BJ2:BR2" si="9">SUBSTITUTE(BJ1,"T","Q")</f>
        <v>2Q24</v>
      </c>
      <c r="BK2" s="806" t="str">
        <f t="shared" si="9"/>
        <v>3Q24</v>
      </c>
      <c r="BL2" s="806" t="str">
        <f t="shared" si="9"/>
        <v>4Q24</v>
      </c>
      <c r="BM2" s="806" t="str">
        <f t="shared" si="9"/>
        <v>1Q25</v>
      </c>
      <c r="BN2" s="806" t="str">
        <f t="shared" si="9"/>
        <v>2Q25</v>
      </c>
      <c r="BO2" s="806" t="str">
        <f t="shared" si="9"/>
        <v>3Q25</v>
      </c>
      <c r="BP2" s="806" t="str">
        <f t="shared" si="9"/>
        <v>4Q25</v>
      </c>
      <c r="BQ2" s="806" t="str">
        <f>SUBSTITUTE(BQ1,"T","Q")</f>
        <v>1Q26</v>
      </c>
      <c r="BR2" s="806" t="str">
        <f t="shared" si="9"/>
        <v>2Q26</v>
      </c>
    </row>
    <row r="3" spans="1:70" s="533" customFormat="1" ht="12.75" customHeight="1" x14ac:dyDescent="0.2">
      <c r="C3" s="266"/>
      <c r="D3" s="534"/>
      <c r="E3" s="719"/>
      <c r="F3" s="719"/>
      <c r="G3" s="719"/>
      <c r="H3" s="719"/>
      <c r="I3" s="719"/>
      <c r="J3" s="719"/>
      <c r="K3" s="719"/>
      <c r="L3" s="719"/>
      <c r="M3" s="719"/>
      <c r="N3" s="719"/>
      <c r="O3" s="719"/>
      <c r="P3" s="719"/>
      <c r="Q3" s="719"/>
      <c r="R3" s="719"/>
      <c r="S3" s="719"/>
      <c r="T3" s="719"/>
      <c r="U3" s="719"/>
      <c r="V3" s="719"/>
      <c r="W3" s="719"/>
      <c r="X3" s="719"/>
      <c r="Y3" s="719"/>
      <c r="Z3" s="719"/>
      <c r="AA3" s="719"/>
      <c r="AB3" s="719"/>
      <c r="AC3" s="719"/>
      <c r="AD3" s="719"/>
      <c r="AE3" s="719"/>
      <c r="AF3" s="719"/>
      <c r="AG3" s="719"/>
      <c r="AH3" s="719"/>
      <c r="AI3" s="719"/>
      <c r="AJ3" s="719"/>
      <c r="AK3" s="719"/>
      <c r="AL3" s="719"/>
      <c r="AM3" s="719"/>
      <c r="AN3" s="719"/>
      <c r="AO3" s="719"/>
      <c r="AP3" s="719"/>
      <c r="AQ3" s="719"/>
      <c r="AR3" s="719"/>
      <c r="AS3" s="719"/>
      <c r="AT3" s="719"/>
      <c r="AU3" s="719"/>
      <c r="AV3" s="719"/>
      <c r="AW3" s="719"/>
      <c r="AX3" s="719"/>
      <c r="AY3" s="719"/>
      <c r="AZ3" s="719"/>
      <c r="BA3" s="719"/>
      <c r="BB3" s="719"/>
      <c r="BC3" s="719"/>
      <c r="BD3" s="719"/>
      <c r="BE3" s="719"/>
      <c r="BF3" s="719"/>
      <c r="BG3" s="719"/>
      <c r="BH3" s="719"/>
      <c r="BI3" s="719"/>
      <c r="BJ3" s="719"/>
      <c r="BK3" s="719"/>
      <c r="BL3" s="719"/>
      <c r="BM3" s="719"/>
      <c r="BN3" s="719"/>
      <c r="BO3" s="719"/>
      <c r="BP3" s="719"/>
      <c r="BQ3" s="719"/>
      <c r="BR3" s="719"/>
    </row>
    <row r="4" spans="1:70" ht="12.75" customHeight="1" x14ac:dyDescent="0.2">
      <c r="A4" s="518" t="s">
        <v>337</v>
      </c>
      <c r="B4" s="518" t="s">
        <v>689</v>
      </c>
      <c r="D4" s="519" t="str">
        <f>IF([1]RENAME!$H$3=1,B4,A4)</f>
        <v>(Em R$ Mil)</v>
      </c>
      <c r="E4" s="720"/>
      <c r="F4" s="720"/>
      <c r="G4" s="720"/>
      <c r="H4" s="720"/>
      <c r="I4" s="721"/>
      <c r="J4" s="722" t="str">
        <f>IF([1]RENAME!$H$3=1,"Direct Express Acquisition ==&gt;","Aquisição Direct Express ==&gt;")</f>
        <v>Aquisição Direct Express ==&gt;</v>
      </c>
      <c r="K4" s="718"/>
      <c r="L4" s="718"/>
      <c r="M4" s="723"/>
      <c r="N4" s="1248" t="str">
        <f>IF([1]RENAME!$H$3=1,"&lt;== with Catlog and Tegma Venezuela","&lt;== Com Catlog e Tegma Venezuela")</f>
        <v>&lt;== Com Catlog e Tegma Venezuela</v>
      </c>
      <c r="O4" s="1248"/>
      <c r="P4" s="1249"/>
      <c r="Q4" s="722" t="str">
        <f>IF([1]RENAME!$H$3=1,"Catlog e Tegma Venezuela in invest. ==&gt;","Catlog e Tegma Venezuela em investim. ==&gt;")</f>
        <v>Catlog e Tegma Venezuela em investim. ==&gt;</v>
      </c>
      <c r="R4" s="723"/>
      <c r="S4" s="723"/>
      <c r="T4" s="1248" t="str">
        <f>IF([1]RENAME!$H$3=1,"&lt;== with Direct Express","&lt;== Com Direct Express")</f>
        <v>&lt;== Com Direct Express</v>
      </c>
      <c r="U4" s="1249"/>
      <c r="V4" s="722" t="str">
        <f>IF([1]RENAME!$H$3=1,"without Direct ==&gt;","Sem Direct Express ==&gt;")</f>
        <v>Sem Direct Express ==&gt;</v>
      </c>
      <c r="W4" s="723"/>
      <c r="X4" s="514"/>
      <c r="Y4" s="514"/>
      <c r="Z4" s="514"/>
      <c r="AA4" s="514"/>
      <c r="AB4" s="514"/>
      <c r="AC4" s="514"/>
      <c r="AD4" s="514"/>
      <c r="AE4" s="514"/>
      <c r="AF4" s="514"/>
      <c r="AG4" s="514"/>
      <c r="AH4" s="514"/>
      <c r="AI4" s="514"/>
      <c r="AJ4" s="514"/>
      <c r="AK4" s="514"/>
      <c r="AL4" s="514"/>
      <c r="AM4" s="514"/>
      <c r="AN4" s="514"/>
      <c r="AO4" s="514"/>
      <c r="AP4" s="514"/>
      <c r="AQ4" s="514"/>
      <c r="AR4" s="514"/>
      <c r="AS4" s="514"/>
      <c r="AT4" s="514"/>
      <c r="AU4" s="514"/>
      <c r="AV4" s="514"/>
      <c r="AW4" s="514"/>
      <c r="AX4" s="805"/>
      <c r="AY4" s="805"/>
      <c r="AZ4" s="805"/>
      <c r="BA4" s="805"/>
      <c r="BB4" s="805"/>
      <c r="BC4" s="805"/>
      <c r="BD4" s="805"/>
      <c r="BE4" s="805"/>
      <c r="BF4" s="805"/>
      <c r="BG4" s="805"/>
      <c r="BH4" s="805"/>
      <c r="BI4" s="805"/>
      <c r="BJ4" s="805"/>
      <c r="BK4" s="805"/>
      <c r="BL4" s="805"/>
      <c r="BM4" s="805"/>
      <c r="BN4" s="805"/>
      <c r="BO4" s="805"/>
      <c r="BP4" s="805"/>
      <c r="BQ4" s="805"/>
      <c r="BR4" s="805"/>
    </row>
    <row r="5" spans="1:70" ht="12.75" customHeight="1" x14ac:dyDescent="0.2">
      <c r="A5" s="478" t="s">
        <v>449</v>
      </c>
      <c r="B5" s="478" t="s">
        <v>637</v>
      </c>
      <c r="D5" s="480" t="str">
        <f>IF([1]RENAME!$H$3=1,B5,A5)</f>
        <v>Balanço patrimonial consolidado</v>
      </c>
      <c r="E5" s="535" t="str">
        <f>IF([1]RENAME!$H$3=1,E2,E1)</f>
        <v>2007</v>
      </c>
      <c r="F5" s="535" t="str">
        <f>IF([1]RENAME!$H$3=1,F2,F1)</f>
        <v>2008</v>
      </c>
      <c r="G5" s="535" t="str">
        <f>IF([1]RENAME!$H$3=1,G2,G1)</f>
        <v>2009</v>
      </c>
      <c r="H5" s="535" t="str">
        <f>IF([1]RENAME!$H$3=1,H2,H1)</f>
        <v>2010</v>
      </c>
      <c r="I5" s="535" t="str">
        <f>IF([1]RENAME!$H$3=1,I2,I1)</f>
        <v>1T11</v>
      </c>
      <c r="J5" s="482" t="str">
        <f>IF([1]RENAME!$H$3=1,J2,J1)</f>
        <v>2T11</v>
      </c>
      <c r="K5" s="481" t="str">
        <f>IF([1]RENAME!$H$3=1,K2,K1)</f>
        <v>3T11</v>
      </c>
      <c r="L5" s="481" t="str">
        <f>IF([1]RENAME!$H$3=1,L2,L1)</f>
        <v>4T11</v>
      </c>
      <c r="M5" s="481" t="str">
        <f>IF([1]RENAME!$H$3=1,M2,M1)</f>
        <v>1T12</v>
      </c>
      <c r="N5" s="481" t="str">
        <f>IF([1]RENAME!$H$3=1,N2,N1)</f>
        <v>2T12</v>
      </c>
      <c r="O5" s="481" t="str">
        <f>IF([1]RENAME!$H$3=1,O2,O1)</f>
        <v>3T12</v>
      </c>
      <c r="P5" s="481" t="str">
        <f>IF([1]RENAME!$H$3=1,P2,P1)</f>
        <v>4T12</v>
      </c>
      <c r="Q5" s="482" t="str">
        <f>IF([1]RENAME!$H$3=1,Q2,Q1)</f>
        <v>1T13</v>
      </c>
      <c r="R5" s="481" t="str">
        <f>IF([1]RENAME!$H$3=1,R2,R1)</f>
        <v>2T13</v>
      </c>
      <c r="S5" s="481" t="str">
        <f>IF([1]RENAME!$H$3=1,S2,S1)</f>
        <v>3T13</v>
      </c>
      <c r="T5" s="481" t="str">
        <f>IF([1]RENAME!$H$3=1,T2,T1)</f>
        <v>4T13</v>
      </c>
      <c r="U5" s="481" t="str">
        <f>IF([1]RENAME!$H$3=1,U2,U1)</f>
        <v>1T14</v>
      </c>
      <c r="V5" s="482" t="str">
        <f>IF([1]RENAME!$H$3=1,V2,V1)</f>
        <v>2T14</v>
      </c>
      <c r="W5" s="481" t="str">
        <f>IF([1]RENAME!$H$3=1,W2,W1)</f>
        <v>3T14</v>
      </c>
      <c r="X5" s="481" t="str">
        <f>IF([1]RENAME!$H$3=1,X2,X1)</f>
        <v>4T14</v>
      </c>
      <c r="Y5" s="481" t="str">
        <f>IF([1]RENAME!$H$3=1,Y2,Y1)</f>
        <v>1T15</v>
      </c>
      <c r="Z5" s="481" t="str">
        <f>IF([1]RENAME!$H$3=1,Z2,Z1)</f>
        <v>2T15</v>
      </c>
      <c r="AA5" s="481" t="str">
        <f>IF([1]RENAME!$H$3=1,AA2,AA1)</f>
        <v>3T15</v>
      </c>
      <c r="AB5" s="481" t="str">
        <f>IF([1]RENAME!$H$3=1,AB2,AB1)</f>
        <v>4T15</v>
      </c>
      <c r="AC5" s="481" t="str">
        <f>IF([1]RENAME!$H$3=1,AC2,AC1)</f>
        <v>1T16</v>
      </c>
      <c r="AD5" s="481" t="str">
        <f>IF([1]RENAME!$H$3=1,AD2,AD1)</f>
        <v>2T16</v>
      </c>
      <c r="AE5" s="481" t="str">
        <f>IF([1]RENAME!$H$3=1,AE2,AE1)</f>
        <v>3T16</v>
      </c>
      <c r="AF5" s="481" t="str">
        <f>IF([1]RENAME!$H$3=1,AF2,AF1)</f>
        <v>4T16</v>
      </c>
      <c r="AG5" s="481" t="str">
        <f>IF([1]RENAME!$H$3=1,AG2,AG1)</f>
        <v>1T17</v>
      </c>
      <c r="AH5" s="481" t="s">
        <v>575</v>
      </c>
      <c r="AI5" s="535" t="str">
        <f>IF([1]RENAME!$H$3=1,AI2,AI1)</f>
        <v>3T17</v>
      </c>
      <c r="AJ5" s="535" t="str">
        <f>IF([1]RENAME!$H$3=1,AJ2,AJ1)</f>
        <v>4T17</v>
      </c>
      <c r="AK5" s="535" t="str">
        <f>IF([1]RENAME!$H$3=1,AK2,AK1)</f>
        <v>1T18</v>
      </c>
      <c r="AL5" s="535" t="str">
        <f>IF([1]RENAME!$H$3=1,AL2,AL1)</f>
        <v>2T18</v>
      </c>
      <c r="AM5" s="535" t="str">
        <f>IF([1]RENAME!$H$3=1,AM2,AM1)</f>
        <v>3T18</v>
      </c>
      <c r="AN5" s="535" t="str">
        <f>IF([1]RENAME!$H$3=1,AN2,AN1)</f>
        <v>4T18</v>
      </c>
      <c r="AO5" s="535" t="str">
        <f>IF([1]RENAME!$H$3=1,AO2,AO1)</f>
        <v>1T19</v>
      </c>
      <c r="AP5" s="535" t="str">
        <f>IF([1]RENAME!$H$3=1,AP2,AP1)</f>
        <v>2T19</v>
      </c>
      <c r="AQ5" s="535" t="str">
        <f>IF([1]RENAME!$H$3=1,AQ2,AQ1)</f>
        <v>3T19</v>
      </c>
      <c r="AR5" s="535" t="str">
        <f>IF([1]RENAME!$H$3=1,AR2,AR1)</f>
        <v>4T19</v>
      </c>
      <c r="AS5" s="535" t="str">
        <f>IF([1]RENAME!$H$3=1,AS2,AS1)</f>
        <v>1T20</v>
      </c>
      <c r="AT5" s="535" t="str">
        <f>IF([1]RENAME!$H$3=1,AT2,AT1)</f>
        <v>2T20</v>
      </c>
      <c r="AU5" s="535" t="str">
        <f>IF([1]RENAME!$H$3=1,AU2,AU1)</f>
        <v>3T20</v>
      </c>
      <c r="AV5" s="535" t="str">
        <f>IF([1]RENAME!$H$3=1,AV2,AV1)</f>
        <v>4T20</v>
      </c>
      <c r="AW5" s="535" t="str">
        <f>IF([1]RENAME!$H$3=1,AW2,AW1)</f>
        <v>1T21</v>
      </c>
      <c r="AX5" s="535" t="str">
        <f>IF([1]RENAME!$H$3=1,AX2,AX1)</f>
        <v>2T21</v>
      </c>
      <c r="AY5" s="535" t="str">
        <f>IF([1]RENAME!$H$3=1,AY2,AY1)</f>
        <v>3T21</v>
      </c>
      <c r="AZ5" s="535" t="str">
        <f>IF([1]RENAME!$H$3=1,AZ2,AZ1)</f>
        <v>4T21</v>
      </c>
      <c r="BA5" s="535" t="str">
        <f>IF([1]RENAME!$H$3=1,BA2,BA1)</f>
        <v>1T22</v>
      </c>
      <c r="BB5" s="535" t="s">
        <v>1942</v>
      </c>
      <c r="BC5" s="535" t="str">
        <f>IF([1]RENAME!$H$3=1,BC2,BC1)</f>
        <v>3T22</v>
      </c>
      <c r="BD5" s="535" t="str">
        <f>IF([1]RENAME!$H$3=1,BD2,BD1)</f>
        <v>4T22</v>
      </c>
      <c r="BE5" s="535" t="str">
        <f>IF([1]RENAME!$H$3=1,BE2,BE1)</f>
        <v>1T23</v>
      </c>
      <c r="BF5" s="535" t="str">
        <f>IF([1]RENAME!$H$3=1,BF2,BF1)</f>
        <v>2T23</v>
      </c>
      <c r="BG5" s="535" t="str">
        <f>IF([1]RENAME!$H$3=1,BG2,BG1)</f>
        <v>3T23</v>
      </c>
      <c r="BH5" s="535" t="str">
        <f>IF([1]RENAME!$H$3=1,BH2,BH1)</f>
        <v>4T23</v>
      </c>
      <c r="BI5" s="535" t="str">
        <f>IF([1]RENAME!$H$3=1,BI2,BI1)</f>
        <v>1T24</v>
      </c>
      <c r="BJ5" s="535" t="str">
        <f>IF([1]RENAME!$H$3=1,BJ2,BJ1)</f>
        <v>2T24</v>
      </c>
      <c r="BK5" s="535" t="str">
        <f>IF([1]RENAME!$H$3=1,BK2,BK1)</f>
        <v>3T24</v>
      </c>
      <c r="BL5" s="535" t="str">
        <f>IF([1]RENAME!$H$3=1,BL2,BL1)</f>
        <v>4T24</v>
      </c>
      <c r="BM5" s="535" t="str">
        <f>IF([1]RENAME!$H$3=1,BM2,BM1)</f>
        <v>1T25</v>
      </c>
      <c r="BN5" s="535" t="str">
        <f>IF([1]RENAME!$H$3=1,BN2,BN1)</f>
        <v>2T25</v>
      </c>
      <c r="BO5" s="535" t="str">
        <f>IF([1]RENAME!$H$3=1,BO2,BO1)</f>
        <v>3T25</v>
      </c>
      <c r="BP5" s="535" t="str">
        <f>IF([1]RENAME!$H$3=1,BP2,BP1)</f>
        <v>4T25</v>
      </c>
      <c r="BQ5" s="535" t="str">
        <f>IF([1]RENAME!$H$3=1,BQ2,BQ1)</f>
        <v>1T26</v>
      </c>
      <c r="BR5" s="535" t="str">
        <f>IF([1]RENAME!$H$3=1,BR2,BR1)</f>
        <v>2T26</v>
      </c>
    </row>
    <row r="6" spans="1:70" ht="14.1" customHeight="1" x14ac:dyDescent="0.2">
      <c r="A6" s="478" t="s">
        <v>35</v>
      </c>
      <c r="B6" s="478" t="s">
        <v>638</v>
      </c>
      <c r="D6" s="483" t="str">
        <f>IF([1]RENAME!$H$3=1,B6,A6)</f>
        <v>Ativo circulante</v>
      </c>
      <c r="E6" s="484">
        <f t="shared" ref="E6:AG6" si="10">SUM(E7:E19)</f>
        <v>385957</v>
      </c>
      <c r="F6" s="484">
        <f t="shared" si="10"/>
        <v>231219</v>
      </c>
      <c r="G6" s="484">
        <f t="shared" si="10"/>
        <v>229817</v>
      </c>
      <c r="H6" s="484">
        <f t="shared" si="10"/>
        <v>248772.09744374378</v>
      </c>
      <c r="I6" s="484">
        <f t="shared" si="10"/>
        <v>271782</v>
      </c>
      <c r="J6" s="485">
        <f t="shared" si="10"/>
        <v>290236</v>
      </c>
      <c r="K6" s="484">
        <f t="shared" si="10"/>
        <v>382886</v>
      </c>
      <c r="L6" s="484">
        <f t="shared" si="10"/>
        <v>387939</v>
      </c>
      <c r="M6" s="484">
        <f t="shared" si="10"/>
        <v>410842</v>
      </c>
      <c r="N6" s="484">
        <f t="shared" si="10"/>
        <v>476889</v>
      </c>
      <c r="O6" s="484">
        <f t="shared" si="10"/>
        <v>535704</v>
      </c>
      <c r="P6" s="484">
        <f t="shared" si="10"/>
        <v>530656</v>
      </c>
      <c r="Q6" s="485">
        <f t="shared" si="10"/>
        <v>760934</v>
      </c>
      <c r="R6" s="484">
        <f t="shared" si="10"/>
        <v>827145</v>
      </c>
      <c r="S6" s="484">
        <f t="shared" si="10"/>
        <v>622581</v>
      </c>
      <c r="T6" s="484">
        <f t="shared" si="10"/>
        <v>609659</v>
      </c>
      <c r="U6" s="484">
        <f t="shared" si="10"/>
        <v>582931</v>
      </c>
      <c r="V6" s="485">
        <f t="shared" si="10"/>
        <v>710465</v>
      </c>
      <c r="W6" s="484">
        <f t="shared" si="10"/>
        <v>595297</v>
      </c>
      <c r="X6" s="484">
        <f t="shared" si="10"/>
        <v>621340</v>
      </c>
      <c r="Y6" s="484">
        <f t="shared" si="10"/>
        <v>629227</v>
      </c>
      <c r="Z6" s="484">
        <f t="shared" si="10"/>
        <v>454963</v>
      </c>
      <c r="AA6" s="484">
        <f t="shared" si="10"/>
        <v>439710</v>
      </c>
      <c r="AB6" s="484">
        <f t="shared" si="10"/>
        <v>449610</v>
      </c>
      <c r="AC6" s="484">
        <f t="shared" si="10"/>
        <v>407506</v>
      </c>
      <c r="AD6" s="484">
        <f t="shared" si="10"/>
        <v>393313</v>
      </c>
      <c r="AE6" s="484">
        <f t="shared" si="10"/>
        <v>398950</v>
      </c>
      <c r="AF6" s="484">
        <f t="shared" si="10"/>
        <v>375977</v>
      </c>
      <c r="AG6" s="484">
        <f t="shared" si="10"/>
        <v>265863</v>
      </c>
      <c r="AH6" s="484">
        <v>343759</v>
      </c>
      <c r="AI6" s="484">
        <f t="shared" ref="AI6:AR6" si="11">SUM(AI7:AI19)</f>
        <v>301570.20061</v>
      </c>
      <c r="AJ6" s="484">
        <f t="shared" si="11"/>
        <v>374680</v>
      </c>
      <c r="AK6" s="484">
        <f t="shared" si="11"/>
        <v>301072</v>
      </c>
      <c r="AL6" s="484">
        <f t="shared" si="11"/>
        <v>282166</v>
      </c>
      <c r="AM6" s="484">
        <f t="shared" si="11"/>
        <v>304270</v>
      </c>
      <c r="AN6" s="484">
        <f t="shared" si="11"/>
        <v>337511</v>
      </c>
      <c r="AO6" s="484">
        <f t="shared" si="11"/>
        <v>338424</v>
      </c>
      <c r="AP6" s="484">
        <f t="shared" si="11"/>
        <v>350720</v>
      </c>
      <c r="AQ6" s="484">
        <f t="shared" si="11"/>
        <v>457387</v>
      </c>
      <c r="AR6" s="484">
        <f t="shared" si="11"/>
        <v>449072</v>
      </c>
      <c r="AS6" s="484">
        <f t="shared" ref="AS6:BB6" si="12">SUM(AS7:AS19)</f>
        <v>425365</v>
      </c>
      <c r="AT6" s="484">
        <f t="shared" si="12"/>
        <v>509845</v>
      </c>
      <c r="AU6" s="484">
        <f t="shared" si="12"/>
        <v>511246</v>
      </c>
      <c r="AV6" s="484">
        <f t="shared" si="12"/>
        <v>517707</v>
      </c>
      <c r="AW6" s="484">
        <f t="shared" si="12"/>
        <v>520283</v>
      </c>
      <c r="AX6" s="484">
        <f t="shared" si="12"/>
        <v>499034</v>
      </c>
      <c r="AY6" s="484">
        <f t="shared" si="12"/>
        <v>473722</v>
      </c>
      <c r="AZ6" s="484">
        <f t="shared" si="12"/>
        <v>507179</v>
      </c>
      <c r="BA6" s="484">
        <f t="shared" si="12"/>
        <v>493938</v>
      </c>
      <c r="BB6" s="484">
        <f t="shared" si="12"/>
        <v>447362</v>
      </c>
      <c r="BC6" s="484">
        <f t="shared" ref="BC6:BO6" si="13">SUM(BC7:BC19)</f>
        <v>496779</v>
      </c>
      <c r="BD6" s="484">
        <f t="shared" si="13"/>
        <v>552717</v>
      </c>
      <c r="BE6" s="484">
        <f t="shared" si="13"/>
        <v>549687</v>
      </c>
      <c r="BF6" s="484">
        <f t="shared" si="13"/>
        <v>543928</v>
      </c>
      <c r="BG6" s="484">
        <f t="shared" si="13"/>
        <v>578394</v>
      </c>
      <c r="BH6" s="484">
        <f t="shared" si="13"/>
        <v>612732</v>
      </c>
      <c r="BI6" s="484">
        <f t="shared" si="13"/>
        <v>625944</v>
      </c>
      <c r="BJ6" s="484">
        <f t="shared" si="13"/>
        <v>657428</v>
      </c>
      <c r="BK6" s="484">
        <f t="shared" si="13"/>
        <v>691781</v>
      </c>
      <c r="BL6" s="484">
        <f t="shared" si="13"/>
        <v>712728</v>
      </c>
      <c r="BM6" s="484">
        <f t="shared" si="13"/>
        <v>708253</v>
      </c>
      <c r="BN6" s="484">
        <f>SUM(BN7:BN19)</f>
        <v>751456</v>
      </c>
      <c r="BO6" s="484">
        <f t="shared" si="13"/>
        <v>720668</v>
      </c>
      <c r="BP6" s="484">
        <f>SUM(BP7:BP19)</f>
        <v>616898</v>
      </c>
      <c r="BQ6" s="484">
        <f>SUM(BQ7:BQ19)</f>
        <v>649708</v>
      </c>
      <c r="BR6" s="484">
        <f>SUM(BR7:BR19)</f>
        <v>783154</v>
      </c>
    </row>
    <row r="7" spans="1:70" ht="14.1" customHeight="1" x14ac:dyDescent="0.2">
      <c r="A7" s="478" t="s">
        <v>75</v>
      </c>
      <c r="B7" s="478" t="s">
        <v>639</v>
      </c>
      <c r="C7" s="266" t="str">
        <f>IF([1]RENAME!$H$3=1,B7,A7)</f>
        <v>Caixa e equivalentes de caixa</v>
      </c>
      <c r="D7" s="486" t="str">
        <f>IF([1]RENAME!$H$3=1,B7,A7)</f>
        <v>Caixa e equivalentes de caixa</v>
      </c>
      <c r="E7" s="487">
        <v>223477</v>
      </c>
      <c r="F7" s="487">
        <v>16441</v>
      </c>
      <c r="G7" s="487">
        <v>59128</v>
      </c>
      <c r="H7" s="487">
        <v>24852</v>
      </c>
      <c r="I7" s="487">
        <v>28692</v>
      </c>
      <c r="J7" s="488">
        <v>16854</v>
      </c>
      <c r="K7" s="487">
        <v>19754</v>
      </c>
      <c r="L7" s="487">
        <v>3884</v>
      </c>
      <c r="M7" s="487">
        <v>18127</v>
      </c>
      <c r="N7" s="487">
        <v>7496</v>
      </c>
      <c r="O7" s="487">
        <v>15445</v>
      </c>
      <c r="P7" s="487">
        <v>12360</v>
      </c>
      <c r="Q7" s="488">
        <v>12772</v>
      </c>
      <c r="R7" s="487">
        <v>13164</v>
      </c>
      <c r="S7" s="487">
        <v>13048</v>
      </c>
      <c r="T7" s="487">
        <v>204448</v>
      </c>
      <c r="U7" s="487">
        <v>221474</v>
      </c>
      <c r="V7" s="488">
        <v>179882</v>
      </c>
      <c r="W7" s="487">
        <v>186093</v>
      </c>
      <c r="X7" s="487">
        <v>227857</v>
      </c>
      <c r="Y7" s="487">
        <v>306960</v>
      </c>
      <c r="Z7" s="487">
        <v>131505</v>
      </c>
      <c r="AA7" s="487">
        <v>206751</v>
      </c>
      <c r="AB7" s="487">
        <v>214259</v>
      </c>
      <c r="AC7" s="487">
        <v>232693</v>
      </c>
      <c r="AD7" s="487">
        <v>219216</v>
      </c>
      <c r="AE7" s="487">
        <v>241918</v>
      </c>
      <c r="AF7" s="487">
        <v>192858</v>
      </c>
      <c r="AG7" s="487">
        <v>126013</v>
      </c>
      <c r="AH7" s="487">
        <v>183030</v>
      </c>
      <c r="AI7" s="487">
        <v>145307</v>
      </c>
      <c r="AJ7" s="487">
        <v>148732</v>
      </c>
      <c r="AK7" s="487">
        <v>125466</v>
      </c>
      <c r="AL7" s="487">
        <v>90689</v>
      </c>
      <c r="AM7" s="487">
        <v>97964</v>
      </c>
      <c r="AN7" s="487">
        <v>83542</v>
      </c>
      <c r="AO7" s="487">
        <v>107994</v>
      </c>
      <c r="AP7" s="487">
        <v>106775</v>
      </c>
      <c r="AQ7" s="487">
        <v>112108</v>
      </c>
      <c r="AR7" s="487">
        <v>67332</v>
      </c>
      <c r="AS7" s="487">
        <v>125940</v>
      </c>
      <c r="AT7" s="487">
        <v>286503</v>
      </c>
      <c r="AU7" s="487">
        <v>247793</v>
      </c>
      <c r="AV7" s="487">
        <v>260387</v>
      </c>
      <c r="AW7" s="487">
        <v>304909</v>
      </c>
      <c r="AX7" s="487">
        <v>244529</v>
      </c>
      <c r="AY7" s="487">
        <v>221421</v>
      </c>
      <c r="AZ7" s="487">
        <v>147128</v>
      </c>
      <c r="BA7" s="487">
        <v>210504</v>
      </c>
      <c r="BB7" s="487">
        <v>119723</v>
      </c>
      <c r="BC7" s="487">
        <v>137242</v>
      </c>
      <c r="BD7" s="487">
        <v>190299</v>
      </c>
      <c r="BE7" s="487">
        <v>242048</v>
      </c>
      <c r="BF7" s="487">
        <v>237038</v>
      </c>
      <c r="BG7" s="487">
        <v>258630</v>
      </c>
      <c r="BH7" s="487">
        <v>232539</v>
      </c>
      <c r="BI7" s="487">
        <v>299796</v>
      </c>
      <c r="BJ7" s="487">
        <v>282802</v>
      </c>
      <c r="BK7" s="487">
        <v>264126</v>
      </c>
      <c r="BL7" s="487">
        <v>241335</v>
      </c>
      <c r="BM7" s="487">
        <v>339197</v>
      </c>
      <c r="BN7" s="487">
        <v>347151</v>
      </c>
      <c r="BO7" s="487">
        <v>245664</v>
      </c>
      <c r="BP7" s="487">
        <v>113860</v>
      </c>
      <c r="BQ7" s="487">
        <v>184189</v>
      </c>
      <c r="BR7" s="487">
        <f>VLOOKUP($D$7,'[3]Balanço '!$A$5:$G$15,7,FALSE)</f>
        <v>196923</v>
      </c>
    </row>
    <row r="8" spans="1:70" ht="14.1" customHeight="1" x14ac:dyDescent="0.2">
      <c r="A8" s="478" t="s">
        <v>1255</v>
      </c>
      <c r="B8" s="478" t="s">
        <v>640</v>
      </c>
      <c r="C8" s="266" t="str">
        <f>IF([1]RENAME!$H$3=1,B8,A8)</f>
        <v>Contas a receber de clientes</v>
      </c>
      <c r="D8" s="486" t="str">
        <f>IF([1]RENAME!$H$3=1,B8,A8)</f>
        <v>Contas a receber de clientes</v>
      </c>
      <c r="E8" s="487">
        <v>106327</v>
      </c>
      <c r="F8" s="487">
        <v>125326</v>
      </c>
      <c r="G8" s="487">
        <v>137205</v>
      </c>
      <c r="H8" s="487">
        <v>180797</v>
      </c>
      <c r="I8" s="487">
        <v>192194</v>
      </c>
      <c r="J8" s="488">
        <v>220140</v>
      </c>
      <c r="K8" s="487">
        <v>239040</v>
      </c>
      <c r="L8" s="487">
        <v>274485</v>
      </c>
      <c r="M8" s="487">
        <v>294602</v>
      </c>
      <c r="N8" s="487">
        <v>331980</v>
      </c>
      <c r="O8" s="487">
        <v>352994</v>
      </c>
      <c r="P8" s="487">
        <v>361666</v>
      </c>
      <c r="Q8" s="488">
        <v>341441</v>
      </c>
      <c r="R8" s="487">
        <v>394608</v>
      </c>
      <c r="S8" s="487">
        <v>353269</v>
      </c>
      <c r="T8" s="487">
        <v>338425</v>
      </c>
      <c r="U8" s="487">
        <v>301539</v>
      </c>
      <c r="V8" s="488">
        <v>260290</v>
      </c>
      <c r="W8" s="487">
        <v>248659</v>
      </c>
      <c r="X8" s="487">
        <v>253604</v>
      </c>
      <c r="Y8" s="487">
        <v>199309</v>
      </c>
      <c r="Z8" s="487">
        <v>221868</v>
      </c>
      <c r="AA8" s="487">
        <v>182340</v>
      </c>
      <c r="AB8" s="487">
        <v>187600</v>
      </c>
      <c r="AC8" s="487">
        <v>129251</v>
      </c>
      <c r="AD8" s="487">
        <v>138728</v>
      </c>
      <c r="AE8" s="487">
        <v>126437</v>
      </c>
      <c r="AF8" s="487">
        <v>154255</v>
      </c>
      <c r="AG8" s="487">
        <v>116130</v>
      </c>
      <c r="AH8" s="487">
        <v>123239</v>
      </c>
      <c r="AI8" s="487">
        <v>137433</v>
      </c>
      <c r="AJ8" s="487">
        <v>171180</v>
      </c>
      <c r="AK8" s="487">
        <v>149456</v>
      </c>
      <c r="AL8" s="487">
        <v>175884</v>
      </c>
      <c r="AM8" s="487">
        <v>190482</v>
      </c>
      <c r="AN8" s="487">
        <v>226227</v>
      </c>
      <c r="AO8" s="487">
        <v>202605</v>
      </c>
      <c r="AP8" s="487">
        <v>215878</v>
      </c>
      <c r="AQ8" s="487">
        <v>222773</v>
      </c>
      <c r="AR8" s="487">
        <v>261173</v>
      </c>
      <c r="AS8" s="487">
        <v>208452</v>
      </c>
      <c r="AT8" s="487">
        <v>127444</v>
      </c>
      <c r="AU8" s="487">
        <v>199717</v>
      </c>
      <c r="AV8" s="487">
        <v>212138</v>
      </c>
      <c r="AW8" s="487">
        <v>169120</v>
      </c>
      <c r="AX8" s="487">
        <v>197088</v>
      </c>
      <c r="AY8" s="487">
        <v>196436</v>
      </c>
      <c r="AZ8" s="487">
        <v>302669</v>
      </c>
      <c r="BA8" s="487">
        <v>223696</v>
      </c>
      <c r="BB8" s="487">
        <v>266460</v>
      </c>
      <c r="BC8" s="487">
        <v>289087</v>
      </c>
      <c r="BD8" s="487">
        <v>314053</v>
      </c>
      <c r="BE8" s="487">
        <v>259933</v>
      </c>
      <c r="BF8" s="487">
        <v>264045</v>
      </c>
      <c r="BG8" s="487">
        <v>280755</v>
      </c>
      <c r="BH8" s="487">
        <v>345505</v>
      </c>
      <c r="BI8" s="487">
        <v>294190</v>
      </c>
      <c r="BJ8" s="487">
        <v>342942</v>
      </c>
      <c r="BK8" s="487">
        <v>395339</v>
      </c>
      <c r="BL8" s="487">
        <v>437934</v>
      </c>
      <c r="BM8" s="487">
        <v>328402</v>
      </c>
      <c r="BN8" s="487">
        <v>366152</v>
      </c>
      <c r="BO8" s="487">
        <v>419796</v>
      </c>
      <c r="BP8" s="487">
        <v>443159</v>
      </c>
      <c r="BQ8" s="487">
        <v>413218</v>
      </c>
      <c r="BR8" s="487">
        <f>VLOOKUP($D$8,'[3]Balanço '!$A$5:$G$15,7,FALSE)</f>
        <v>526955</v>
      </c>
    </row>
    <row r="9" spans="1:70" ht="14.1" customHeight="1" x14ac:dyDescent="0.2">
      <c r="A9" s="478" t="s">
        <v>25</v>
      </c>
      <c r="B9" s="478" t="s">
        <v>641</v>
      </c>
      <c r="C9" s="266" t="str">
        <f>IF([1]RENAME!$H$3=1,B9,A9)</f>
        <v>Partes relacionadas</v>
      </c>
      <c r="D9" s="486" t="str">
        <f>IF([1]RENAME!$H$3=1,B9,A9)</f>
        <v>Partes relacionadas</v>
      </c>
      <c r="E9" s="487">
        <v>0</v>
      </c>
      <c r="F9" s="487">
        <v>0</v>
      </c>
      <c r="G9" s="487">
        <v>0</v>
      </c>
      <c r="H9" s="487">
        <v>0</v>
      </c>
      <c r="I9" s="487">
        <v>0</v>
      </c>
      <c r="J9" s="488">
        <v>0</v>
      </c>
      <c r="K9" s="487">
        <v>0</v>
      </c>
      <c r="L9" s="487">
        <v>0</v>
      </c>
      <c r="M9" s="487">
        <v>0</v>
      </c>
      <c r="N9" s="487">
        <v>0</v>
      </c>
      <c r="O9" s="487">
        <v>0</v>
      </c>
      <c r="P9" s="487">
        <v>0</v>
      </c>
      <c r="Q9" s="488">
        <v>0</v>
      </c>
      <c r="R9" s="487">
        <v>621</v>
      </c>
      <c r="S9" s="487">
        <v>0</v>
      </c>
      <c r="T9" s="487">
        <v>0</v>
      </c>
      <c r="U9" s="487">
        <v>0</v>
      </c>
      <c r="V9" s="488">
        <v>532</v>
      </c>
      <c r="W9" s="487">
        <v>0</v>
      </c>
      <c r="X9" s="487">
        <v>12174</v>
      </c>
      <c r="Y9" s="487">
        <v>1</v>
      </c>
      <c r="Z9" s="487">
        <v>2071</v>
      </c>
      <c r="AA9" s="487">
        <v>1203</v>
      </c>
      <c r="AB9" s="487">
        <v>1851</v>
      </c>
      <c r="AC9" s="487">
        <v>798</v>
      </c>
      <c r="AD9" s="487">
        <v>334</v>
      </c>
      <c r="AE9" s="487">
        <v>810</v>
      </c>
      <c r="AF9" s="487">
        <v>770</v>
      </c>
      <c r="AG9" s="487">
        <v>513</v>
      </c>
      <c r="AH9" s="487">
        <v>462</v>
      </c>
      <c r="AI9" s="487">
        <v>614</v>
      </c>
      <c r="AJ9" s="487">
        <v>768</v>
      </c>
      <c r="AK9" s="487">
        <v>602</v>
      </c>
      <c r="AL9" s="487">
        <v>841</v>
      </c>
      <c r="AM9" s="487">
        <v>1556</v>
      </c>
      <c r="AN9" s="487">
        <v>4126</v>
      </c>
      <c r="AO9" s="487">
        <v>2641</v>
      </c>
      <c r="AP9" s="487">
        <v>3000</v>
      </c>
      <c r="AQ9" s="487">
        <v>201</v>
      </c>
      <c r="AR9" s="487">
        <v>684</v>
      </c>
      <c r="AS9" s="487">
        <v>558</v>
      </c>
      <c r="AT9" s="487">
        <v>112</v>
      </c>
      <c r="AU9" s="487">
        <v>127</v>
      </c>
      <c r="AV9" s="487">
        <v>182</v>
      </c>
      <c r="AW9" s="487">
        <v>247</v>
      </c>
      <c r="AX9" s="487">
        <v>112</v>
      </c>
      <c r="AY9" s="487">
        <v>93</v>
      </c>
      <c r="AZ9" s="487">
        <v>94</v>
      </c>
      <c r="BA9" s="487">
        <v>35</v>
      </c>
      <c r="BB9" s="487">
        <v>35</v>
      </c>
      <c r="BC9" s="487">
        <v>34</v>
      </c>
      <c r="BD9" s="487">
        <v>181</v>
      </c>
      <c r="BE9" s="487">
        <v>197</v>
      </c>
      <c r="BF9" s="487">
        <v>347</v>
      </c>
      <c r="BG9" s="487">
        <v>268</v>
      </c>
      <c r="BH9" s="487">
        <v>292</v>
      </c>
      <c r="BI9" s="487">
        <v>378</v>
      </c>
      <c r="BJ9" s="487">
        <v>435</v>
      </c>
      <c r="BK9" s="487">
        <v>1027</v>
      </c>
      <c r="BL9" s="487">
        <v>537</v>
      </c>
      <c r="BM9" s="487">
        <v>1030</v>
      </c>
      <c r="BN9" s="487">
        <v>1002</v>
      </c>
      <c r="BO9" s="487">
        <v>1040</v>
      </c>
      <c r="BP9" s="487">
        <v>1087</v>
      </c>
      <c r="BQ9" s="487">
        <v>805</v>
      </c>
      <c r="BR9" s="487">
        <f>VLOOKUP($D$9,'[3]Balanço '!$A$5:$G$15,7,FALSE)</f>
        <v>737</v>
      </c>
    </row>
    <row r="10" spans="1:70" ht="14.1" customHeight="1" x14ac:dyDescent="0.2">
      <c r="A10" s="478" t="s">
        <v>636</v>
      </c>
      <c r="B10" s="478" t="s">
        <v>642</v>
      </c>
      <c r="D10" s="489" t="str">
        <f>IF([1]RENAME!$H$3=1,B10,A10)</f>
        <v>Estoques (almoxarifado)</v>
      </c>
      <c r="E10" s="487">
        <v>1902</v>
      </c>
      <c r="F10" s="487">
        <v>1934</v>
      </c>
      <c r="G10" s="487">
        <v>1444</v>
      </c>
      <c r="H10" s="487">
        <v>1117.5131474000245</v>
      </c>
      <c r="I10" s="487">
        <v>1562</v>
      </c>
      <c r="J10" s="488">
        <v>2438</v>
      </c>
      <c r="K10" s="487">
        <v>2569</v>
      </c>
      <c r="L10" s="487">
        <v>4726</v>
      </c>
      <c r="M10" s="487">
        <v>4575</v>
      </c>
      <c r="N10" s="487">
        <v>3471</v>
      </c>
      <c r="O10" s="487">
        <v>3309</v>
      </c>
      <c r="P10" s="487">
        <v>2145</v>
      </c>
      <c r="Q10" s="488">
        <v>2915</v>
      </c>
      <c r="R10" s="487">
        <v>3880</v>
      </c>
      <c r="S10" s="487">
        <v>4037</v>
      </c>
      <c r="T10" s="487">
        <v>4184</v>
      </c>
      <c r="U10" s="487">
        <v>3862</v>
      </c>
      <c r="V10" s="488">
        <v>3452</v>
      </c>
      <c r="W10" s="487">
        <v>3416</v>
      </c>
      <c r="X10" s="487">
        <v>1993</v>
      </c>
      <c r="Y10" s="487">
        <v>2414</v>
      </c>
      <c r="Z10" s="487">
        <v>2339</v>
      </c>
      <c r="AA10" s="487">
        <v>2198</v>
      </c>
      <c r="AB10" s="487">
        <v>1533</v>
      </c>
      <c r="AC10" s="487">
        <v>923</v>
      </c>
      <c r="AD10" s="487">
        <v>637</v>
      </c>
      <c r="AE10" s="487">
        <v>392</v>
      </c>
      <c r="AF10" s="487">
        <v>209</v>
      </c>
      <c r="AG10" s="487">
        <v>213</v>
      </c>
      <c r="AH10" s="487">
        <v>214</v>
      </c>
      <c r="AI10" s="487">
        <v>227</v>
      </c>
      <c r="AJ10" s="487">
        <v>227</v>
      </c>
      <c r="AK10" s="487">
        <v>194</v>
      </c>
      <c r="AL10" s="487">
        <v>185</v>
      </c>
      <c r="AM10" s="487">
        <v>175</v>
      </c>
      <c r="AN10" s="487">
        <v>173</v>
      </c>
      <c r="AO10" s="487">
        <v>178</v>
      </c>
      <c r="AP10" s="487">
        <v>172</v>
      </c>
      <c r="AQ10" s="487">
        <v>85</v>
      </c>
      <c r="AR10" s="487">
        <v>75</v>
      </c>
      <c r="AS10" s="487">
        <v>76</v>
      </c>
      <c r="AT10" s="487">
        <v>74</v>
      </c>
      <c r="AU10" s="487">
        <v>88</v>
      </c>
      <c r="AV10" s="487">
        <v>82</v>
      </c>
      <c r="AW10" s="487">
        <v>429</v>
      </c>
      <c r="AX10" s="487">
        <v>829</v>
      </c>
      <c r="AY10" s="487">
        <v>1212</v>
      </c>
      <c r="AZ10" s="487">
        <v>1251</v>
      </c>
      <c r="BA10" s="487">
        <v>1313</v>
      </c>
      <c r="BB10" s="487">
        <v>1126</v>
      </c>
      <c r="BC10" s="487">
        <v>1166</v>
      </c>
      <c r="BD10" s="487">
        <v>1004</v>
      </c>
      <c r="BE10" s="487">
        <v>769</v>
      </c>
      <c r="BF10" s="487">
        <v>1012</v>
      </c>
      <c r="BG10" s="487">
        <v>804</v>
      </c>
      <c r="BH10" s="487">
        <v>810</v>
      </c>
      <c r="BI10" s="487">
        <v>732</v>
      </c>
      <c r="BJ10" s="487">
        <v>739</v>
      </c>
      <c r="BK10" s="487">
        <v>890</v>
      </c>
      <c r="BL10" s="487">
        <v>263</v>
      </c>
      <c r="BM10" s="487">
        <v>716</v>
      </c>
      <c r="BN10" s="487">
        <v>935</v>
      </c>
      <c r="BO10" s="487">
        <v>554</v>
      </c>
      <c r="BP10" s="487">
        <v>697</v>
      </c>
      <c r="BQ10" s="487">
        <v>2177</v>
      </c>
      <c r="BR10" s="487">
        <f>VLOOKUP($D$10,'[3]Balanço '!$A$5:$G$15,7,FALSE)</f>
        <v>4446</v>
      </c>
    </row>
    <row r="11" spans="1:70" ht="14.1" customHeight="1" x14ac:dyDescent="0.2">
      <c r="A11" s="631" t="s">
        <v>15</v>
      </c>
      <c r="B11" s="478" t="s">
        <v>669</v>
      </c>
      <c r="D11" s="489" t="str">
        <f>IF([1]RENAME!$H$3=1,B11,A11)</f>
        <v>Imposto de renda e contribuição social</v>
      </c>
      <c r="E11" s="487">
        <v>0</v>
      </c>
      <c r="F11" s="487">
        <v>0</v>
      </c>
      <c r="G11" s="487">
        <v>0</v>
      </c>
      <c r="H11" s="487">
        <v>0</v>
      </c>
      <c r="I11" s="487">
        <v>0</v>
      </c>
      <c r="J11" s="488">
        <v>0</v>
      </c>
      <c r="K11" s="487">
        <v>0</v>
      </c>
      <c r="L11" s="487">
        <v>0</v>
      </c>
      <c r="M11" s="487">
        <v>0</v>
      </c>
      <c r="N11" s="487">
        <v>0</v>
      </c>
      <c r="O11" s="487">
        <v>0</v>
      </c>
      <c r="P11" s="487">
        <v>0</v>
      </c>
      <c r="Q11" s="488">
        <v>0</v>
      </c>
      <c r="R11" s="487">
        <v>0</v>
      </c>
      <c r="S11" s="487">
        <v>0</v>
      </c>
      <c r="T11" s="487">
        <v>0</v>
      </c>
      <c r="U11" s="487">
        <v>0</v>
      </c>
      <c r="V11" s="488">
        <v>0</v>
      </c>
      <c r="W11" s="487">
        <v>0</v>
      </c>
      <c r="X11" s="487">
        <v>0</v>
      </c>
      <c r="Y11" s="487">
        <v>0</v>
      </c>
      <c r="Z11" s="487">
        <v>0</v>
      </c>
      <c r="AA11" s="487">
        <v>0</v>
      </c>
      <c r="AB11" s="487">
        <v>0</v>
      </c>
      <c r="AC11" s="487">
        <v>0</v>
      </c>
      <c r="AD11" s="487">
        <v>0</v>
      </c>
      <c r="AE11" s="487">
        <v>0</v>
      </c>
      <c r="AF11" s="487">
        <v>2837</v>
      </c>
      <c r="AG11" s="487">
        <v>2837</v>
      </c>
      <c r="AH11" s="487">
        <v>2837</v>
      </c>
      <c r="AI11" s="487">
        <v>2837</v>
      </c>
      <c r="AJ11" s="487">
        <v>5208</v>
      </c>
      <c r="AK11" s="487">
        <v>2353</v>
      </c>
      <c r="AL11" s="487">
        <v>1853</v>
      </c>
      <c r="AM11" s="487">
        <v>2539</v>
      </c>
      <c r="AN11" s="487">
        <v>3342</v>
      </c>
      <c r="AO11" s="487">
        <v>3479</v>
      </c>
      <c r="AP11" s="487">
        <v>3274</v>
      </c>
      <c r="AQ11" s="487">
        <v>2218</v>
      </c>
      <c r="AR11" s="487">
        <v>1130</v>
      </c>
      <c r="AS11" s="487">
        <v>766</v>
      </c>
      <c r="AT11" s="487">
        <v>772</v>
      </c>
      <c r="AU11" s="487">
        <v>775</v>
      </c>
      <c r="AV11" s="487">
        <v>829</v>
      </c>
      <c r="AW11" s="487">
        <v>835</v>
      </c>
      <c r="AX11" s="487">
        <v>1007</v>
      </c>
      <c r="AY11" s="487">
        <v>1083</v>
      </c>
      <c r="AZ11" s="487">
        <v>1157</v>
      </c>
      <c r="BA11" s="487">
        <v>1908</v>
      </c>
      <c r="BB11" s="487">
        <v>1937</v>
      </c>
      <c r="BC11" s="487">
        <v>2238</v>
      </c>
      <c r="BD11" s="487">
        <v>2263</v>
      </c>
      <c r="BE11" s="487">
        <v>2299</v>
      </c>
      <c r="BF11" s="487">
        <v>2397</v>
      </c>
      <c r="BG11" s="487">
        <v>2356</v>
      </c>
      <c r="BH11" s="487">
        <v>2398</v>
      </c>
      <c r="BI11" s="487">
        <v>2420</v>
      </c>
      <c r="BJ11" s="487">
        <v>2875</v>
      </c>
      <c r="BK11" s="487">
        <v>3019</v>
      </c>
      <c r="BL11" s="487">
        <v>2746</v>
      </c>
      <c r="BM11" s="487">
        <v>2790</v>
      </c>
      <c r="BN11" s="487">
        <v>2800</v>
      </c>
      <c r="BO11" s="487">
        <v>2875</v>
      </c>
      <c r="BP11" s="487">
        <v>8420</v>
      </c>
      <c r="BQ11" s="487">
        <v>3600</v>
      </c>
      <c r="BR11" s="487">
        <f>VLOOKUP($D$11,'[3]Balanço '!$A$5:$G$15,7,FALSE)</f>
        <v>3601</v>
      </c>
    </row>
    <row r="12" spans="1:70" ht="14.1" customHeight="1" x14ac:dyDescent="0.2">
      <c r="A12" s="478" t="s">
        <v>1261</v>
      </c>
      <c r="B12" s="478" t="s">
        <v>643</v>
      </c>
      <c r="C12" s="266" t="str">
        <f>IF([1]RENAME!$H$3=1,B12,A12)</f>
        <v>Impostos e contribuições a recuperar</v>
      </c>
      <c r="D12" s="486" t="str">
        <f>IF([1]RENAME!$H$3=1,B12,A12)</f>
        <v>Impostos e contribuições a recuperar</v>
      </c>
      <c r="E12" s="487">
        <v>13909</v>
      </c>
      <c r="F12" s="487">
        <v>15937</v>
      </c>
      <c r="G12" s="487">
        <v>9924</v>
      </c>
      <c r="H12" s="487">
        <v>10178</v>
      </c>
      <c r="I12" s="487">
        <v>9204</v>
      </c>
      <c r="J12" s="488">
        <v>11605</v>
      </c>
      <c r="K12" s="487">
        <v>12549</v>
      </c>
      <c r="L12" s="487">
        <v>18665</v>
      </c>
      <c r="M12" s="487">
        <v>22389</v>
      </c>
      <c r="N12" s="487">
        <v>19996</v>
      </c>
      <c r="O12" s="487">
        <v>20508</v>
      </c>
      <c r="P12" s="487">
        <v>21725</v>
      </c>
      <c r="Q12" s="488">
        <v>30329</v>
      </c>
      <c r="R12" s="487">
        <v>28898</v>
      </c>
      <c r="S12" s="487">
        <v>19495</v>
      </c>
      <c r="T12" s="487">
        <v>23889</v>
      </c>
      <c r="U12" s="487">
        <v>15987</v>
      </c>
      <c r="V12" s="488">
        <v>14510</v>
      </c>
      <c r="W12" s="487">
        <v>15375</v>
      </c>
      <c r="X12" s="487">
        <v>19086</v>
      </c>
      <c r="Y12" s="487">
        <v>22813</v>
      </c>
      <c r="Z12" s="487">
        <v>25649</v>
      </c>
      <c r="AA12" s="487">
        <v>22515</v>
      </c>
      <c r="AB12" s="487">
        <v>22710</v>
      </c>
      <c r="AC12" s="487">
        <v>19173</v>
      </c>
      <c r="AD12" s="487">
        <v>16057</v>
      </c>
      <c r="AE12" s="487">
        <v>13644</v>
      </c>
      <c r="AF12" s="487">
        <v>13032</v>
      </c>
      <c r="AG12" s="487">
        <v>2591</v>
      </c>
      <c r="AH12" s="490">
        <v>20551</v>
      </c>
      <c r="AI12" s="487">
        <v>6643.2006099999999</v>
      </c>
      <c r="AJ12" s="490">
        <v>42770</v>
      </c>
      <c r="AK12" s="487">
        <v>14837</v>
      </c>
      <c r="AL12" s="487">
        <v>3955</v>
      </c>
      <c r="AM12" s="487">
        <v>3001</v>
      </c>
      <c r="AN12" s="490">
        <v>12007</v>
      </c>
      <c r="AO12" s="487">
        <v>12317</v>
      </c>
      <c r="AP12" s="487">
        <v>12634</v>
      </c>
      <c r="AQ12" s="490">
        <v>104567</v>
      </c>
      <c r="AR12" s="487">
        <v>106280</v>
      </c>
      <c r="AS12" s="490">
        <v>57078</v>
      </c>
      <c r="AT12" s="487">
        <v>57277</v>
      </c>
      <c r="AU12" s="487">
        <v>50657</v>
      </c>
      <c r="AV12" s="487">
        <v>33989</v>
      </c>
      <c r="AW12" s="487">
        <v>30248</v>
      </c>
      <c r="AX12" s="490">
        <v>43566</v>
      </c>
      <c r="AY12" s="487">
        <v>42887</v>
      </c>
      <c r="AZ12" s="487">
        <v>43369</v>
      </c>
      <c r="BA12" s="487">
        <v>44063</v>
      </c>
      <c r="BB12" s="487">
        <v>44352</v>
      </c>
      <c r="BC12" s="487">
        <v>41196</v>
      </c>
      <c r="BD12" s="487">
        <v>24726</v>
      </c>
      <c r="BE12" s="487">
        <v>24340</v>
      </c>
      <c r="BF12" s="487">
        <v>20303</v>
      </c>
      <c r="BG12" s="487">
        <v>15773</v>
      </c>
      <c r="BH12" s="487">
        <v>11040</v>
      </c>
      <c r="BI12" s="487">
        <v>9955</v>
      </c>
      <c r="BJ12" s="487">
        <v>7913</v>
      </c>
      <c r="BK12" s="487">
        <v>4827</v>
      </c>
      <c r="BL12" s="487">
        <v>4380</v>
      </c>
      <c r="BM12" s="487">
        <v>6301</v>
      </c>
      <c r="BN12" s="487">
        <v>7828</v>
      </c>
      <c r="BO12" s="487">
        <v>7779</v>
      </c>
      <c r="BP12" s="487">
        <v>7142</v>
      </c>
      <c r="BQ12" s="487">
        <v>7171</v>
      </c>
      <c r="BR12" s="487">
        <f>VLOOKUP($D$12,'[3]Balanço '!$A$5:$G$15,7,FALSE)</f>
        <v>7617</v>
      </c>
    </row>
    <row r="13" spans="1:70" ht="14.1" customHeight="1" x14ac:dyDescent="0.2">
      <c r="A13" s="478" t="s">
        <v>26</v>
      </c>
      <c r="B13" s="478" t="s">
        <v>644</v>
      </c>
      <c r="C13" s="266" t="str">
        <f>IF([1]RENAME!$H$3=1,B13,A13)</f>
        <v>Demais contas a receber</v>
      </c>
      <c r="D13" s="486" t="str">
        <f>IF([1]RENAME!$H$3=1,B13,A13)</f>
        <v>Demais contas a receber</v>
      </c>
      <c r="E13" s="487">
        <v>10733</v>
      </c>
      <c r="F13" s="487">
        <v>8355</v>
      </c>
      <c r="G13" s="487">
        <v>8398</v>
      </c>
      <c r="H13" s="487">
        <v>14372.200566295001</v>
      </c>
      <c r="I13" s="487">
        <v>16118</v>
      </c>
      <c r="J13" s="488">
        <v>17216</v>
      </c>
      <c r="K13" s="487">
        <v>19141</v>
      </c>
      <c r="L13" s="487">
        <v>19442</v>
      </c>
      <c r="M13" s="487">
        <v>18988</v>
      </c>
      <c r="N13" s="487">
        <v>21592</v>
      </c>
      <c r="O13" s="487">
        <v>30204</v>
      </c>
      <c r="P13" s="487">
        <v>33668</v>
      </c>
      <c r="Q13" s="488">
        <v>35444</v>
      </c>
      <c r="R13" s="487">
        <v>41054</v>
      </c>
      <c r="S13" s="487">
        <v>50169</v>
      </c>
      <c r="T13" s="487">
        <v>29210</v>
      </c>
      <c r="U13" s="487">
        <v>22430</v>
      </c>
      <c r="V13" s="488">
        <v>20682</v>
      </c>
      <c r="W13" s="487">
        <v>134784</v>
      </c>
      <c r="X13" s="487">
        <v>104274</v>
      </c>
      <c r="Y13" s="487">
        <v>62780</v>
      </c>
      <c r="Z13" s="487">
        <v>65013.000000000007</v>
      </c>
      <c r="AA13" s="487">
        <v>20826</v>
      </c>
      <c r="AB13" s="487">
        <v>19738</v>
      </c>
      <c r="AC13" s="487">
        <v>17124</v>
      </c>
      <c r="AD13" s="487">
        <v>12954</v>
      </c>
      <c r="AE13" s="487">
        <v>12736</v>
      </c>
      <c r="AF13" s="487">
        <v>11048</v>
      </c>
      <c r="AG13" s="487">
        <v>10452</v>
      </c>
      <c r="AH13" s="487">
        <v>8277</v>
      </c>
      <c r="AI13" s="487">
        <v>5144</v>
      </c>
      <c r="AJ13" s="487">
        <v>4528</v>
      </c>
      <c r="AK13" s="487">
        <v>4997</v>
      </c>
      <c r="AL13" s="487">
        <v>5118</v>
      </c>
      <c r="AM13" s="487">
        <v>6055</v>
      </c>
      <c r="AN13" s="487">
        <v>6775</v>
      </c>
      <c r="AO13" s="487">
        <v>6217</v>
      </c>
      <c r="AP13" s="487">
        <v>5545</v>
      </c>
      <c r="AQ13" s="487">
        <v>6225</v>
      </c>
      <c r="AR13" s="487">
        <v>6687</v>
      </c>
      <c r="AS13" s="487">
        <v>8597</v>
      </c>
      <c r="AT13" s="487">
        <v>9426</v>
      </c>
      <c r="AU13" s="487">
        <v>9001</v>
      </c>
      <c r="AV13" s="487">
        <v>8266</v>
      </c>
      <c r="AW13" s="487">
        <v>9503</v>
      </c>
      <c r="AX13" s="487">
        <v>6835</v>
      </c>
      <c r="AY13" s="487">
        <v>7280</v>
      </c>
      <c r="AZ13" s="487">
        <v>8891</v>
      </c>
      <c r="BA13" s="487">
        <v>7570</v>
      </c>
      <c r="BB13" s="487">
        <v>8940</v>
      </c>
      <c r="BC13" s="487">
        <v>20280</v>
      </c>
      <c r="BD13" s="487">
        <v>15269</v>
      </c>
      <c r="BE13" s="487">
        <v>13492</v>
      </c>
      <c r="BF13" s="487">
        <v>13448</v>
      </c>
      <c r="BG13" s="487">
        <v>15088</v>
      </c>
      <c r="BH13" s="487">
        <v>14485</v>
      </c>
      <c r="BI13" s="487">
        <v>10566</v>
      </c>
      <c r="BJ13" s="487">
        <v>12863</v>
      </c>
      <c r="BK13" s="487">
        <v>16675</v>
      </c>
      <c r="BL13" s="487">
        <v>17922</v>
      </c>
      <c r="BM13" s="487">
        <v>17071</v>
      </c>
      <c r="BN13" s="487">
        <v>15732</v>
      </c>
      <c r="BO13" s="487">
        <v>34629</v>
      </c>
      <c r="BP13" s="487">
        <v>31704</v>
      </c>
      <c r="BQ13" s="487">
        <v>25649</v>
      </c>
      <c r="BR13" s="487">
        <f>VLOOKUP($D$13,'[3]Balanço '!$A$5:$G$15,7,FALSE)</f>
        <v>34100</v>
      </c>
    </row>
    <row r="14" spans="1:70" ht="14.1" customHeight="1" x14ac:dyDescent="0.2">
      <c r="A14" s="630" t="s">
        <v>54</v>
      </c>
      <c r="B14" s="478" t="s">
        <v>648</v>
      </c>
      <c r="D14" s="489" t="str">
        <f>IF([1]RENAME!$H$3=1,B14,A14)</f>
        <v>Dividendos a Receber</v>
      </c>
      <c r="E14" s="487">
        <v>0</v>
      </c>
      <c r="F14" s="487">
        <v>0</v>
      </c>
      <c r="G14" s="487">
        <v>0</v>
      </c>
      <c r="H14" s="487">
        <v>0</v>
      </c>
      <c r="I14" s="487">
        <v>0</v>
      </c>
      <c r="J14" s="488">
        <v>0</v>
      </c>
      <c r="K14" s="487">
        <v>0</v>
      </c>
      <c r="L14" s="487">
        <v>1844</v>
      </c>
      <c r="M14" s="487">
        <v>0</v>
      </c>
      <c r="N14" s="487">
        <v>0</v>
      </c>
      <c r="O14" s="487">
        <v>0</v>
      </c>
      <c r="P14" s="487">
        <v>0</v>
      </c>
      <c r="Q14" s="488">
        <v>0</v>
      </c>
      <c r="R14" s="487">
        <v>0</v>
      </c>
      <c r="S14" s="487">
        <v>0</v>
      </c>
      <c r="T14" s="487">
        <v>0</v>
      </c>
      <c r="U14" s="487">
        <v>0</v>
      </c>
      <c r="V14" s="488">
        <v>0</v>
      </c>
      <c r="W14" s="487">
        <v>0</v>
      </c>
      <c r="X14" s="487">
        <v>0</v>
      </c>
      <c r="Y14" s="487">
        <v>0</v>
      </c>
      <c r="Z14" s="487">
        <v>0</v>
      </c>
      <c r="AA14" s="487">
        <v>0</v>
      </c>
      <c r="AB14" s="487">
        <v>0</v>
      </c>
      <c r="AC14" s="487">
        <v>0</v>
      </c>
      <c r="AD14" s="487">
        <v>0</v>
      </c>
      <c r="AE14" s="487">
        <v>0</v>
      </c>
      <c r="AF14" s="487">
        <v>0</v>
      </c>
      <c r="AG14" s="487">
        <v>0</v>
      </c>
      <c r="AH14" s="487">
        <v>0</v>
      </c>
      <c r="AI14" s="487">
        <v>0</v>
      </c>
      <c r="AJ14" s="487">
        <v>0</v>
      </c>
      <c r="AK14" s="487">
        <v>0</v>
      </c>
      <c r="AL14" s="487">
        <v>0</v>
      </c>
      <c r="AM14" s="487">
        <v>0</v>
      </c>
      <c r="AN14" s="487">
        <v>0</v>
      </c>
      <c r="AO14" s="487">
        <v>85</v>
      </c>
      <c r="AP14" s="487">
        <v>0</v>
      </c>
      <c r="AQ14" s="487">
        <v>0</v>
      </c>
      <c r="AR14" s="487">
        <v>0</v>
      </c>
      <c r="AS14" s="487">
        <v>0</v>
      </c>
      <c r="AT14" s="487">
        <v>0</v>
      </c>
      <c r="AU14" s="487">
        <v>0</v>
      </c>
      <c r="AV14" s="487">
        <v>0</v>
      </c>
      <c r="AW14" s="487">
        <v>0</v>
      </c>
      <c r="AX14" s="487">
        <v>127</v>
      </c>
      <c r="AY14" s="487">
        <v>0</v>
      </c>
      <c r="AZ14" s="487">
        <v>0</v>
      </c>
      <c r="BA14" s="487">
        <v>0</v>
      </c>
      <c r="BB14" s="487">
        <v>0</v>
      </c>
      <c r="BC14" s="487">
        <v>0</v>
      </c>
      <c r="BD14" s="487">
        <v>0</v>
      </c>
      <c r="BE14" s="487">
        <v>0</v>
      </c>
      <c r="BF14" s="487">
        <v>0</v>
      </c>
      <c r="BG14" s="487">
        <v>0</v>
      </c>
      <c r="BH14" s="487">
        <v>0</v>
      </c>
      <c r="BI14" s="487">
        <v>0</v>
      </c>
      <c r="BJ14" s="487">
        <v>0</v>
      </c>
      <c r="BK14" s="487">
        <v>0</v>
      </c>
      <c r="BL14" s="487">
        <v>0</v>
      </c>
      <c r="BM14" s="487">
        <v>0</v>
      </c>
      <c r="BN14" s="487">
        <v>0</v>
      </c>
      <c r="BO14" s="487">
        <v>0</v>
      </c>
      <c r="BP14" s="487">
        <v>0</v>
      </c>
      <c r="BQ14" s="487">
        <v>0</v>
      </c>
      <c r="BR14" s="487">
        <f>VLOOKUP($D$14,'[3]Balanço '!$A$5:$G$15,7,FALSE)</f>
        <v>0</v>
      </c>
    </row>
    <row r="15" spans="1:70" ht="14.1" customHeight="1" x14ac:dyDescent="0.2">
      <c r="A15" s="630" t="s">
        <v>22</v>
      </c>
      <c r="B15" s="478" t="s">
        <v>645</v>
      </c>
      <c r="D15" s="489" t="str">
        <f>IF([1]RENAME!$H$3=1,B15,A15)</f>
        <v>Despesas antecipadas</v>
      </c>
      <c r="E15" s="487">
        <v>1852</v>
      </c>
      <c r="F15" s="487">
        <v>1491</v>
      </c>
      <c r="G15" s="487">
        <v>3618</v>
      </c>
      <c r="H15" s="487">
        <v>3728.3837300487498</v>
      </c>
      <c r="I15" s="487">
        <v>4479</v>
      </c>
      <c r="J15" s="488">
        <v>5017</v>
      </c>
      <c r="K15" s="487">
        <v>4601</v>
      </c>
      <c r="L15" s="487">
        <v>1960</v>
      </c>
      <c r="M15" s="487">
        <v>8965</v>
      </c>
      <c r="N15" s="487">
        <v>10480</v>
      </c>
      <c r="O15" s="487">
        <v>3666</v>
      </c>
      <c r="P15" s="487">
        <v>2555</v>
      </c>
      <c r="Q15" s="488">
        <v>7863</v>
      </c>
      <c r="R15" s="487">
        <v>7629</v>
      </c>
      <c r="S15" s="487">
        <v>4666</v>
      </c>
      <c r="T15" s="487">
        <v>1572</v>
      </c>
      <c r="U15" s="487">
        <v>7252</v>
      </c>
      <c r="V15" s="488">
        <v>5485</v>
      </c>
      <c r="W15" s="487">
        <v>3323</v>
      </c>
      <c r="X15" s="487">
        <v>1424</v>
      </c>
      <c r="Y15" s="487">
        <v>8193</v>
      </c>
      <c r="Z15" s="487">
        <v>6518</v>
      </c>
      <c r="AA15" s="487">
        <v>3877</v>
      </c>
      <c r="AB15" s="487">
        <v>1919</v>
      </c>
      <c r="AC15" s="487">
        <v>7544</v>
      </c>
      <c r="AD15" s="487">
        <v>5387</v>
      </c>
      <c r="AE15" s="487">
        <v>3013</v>
      </c>
      <c r="AF15" s="487">
        <v>968</v>
      </c>
      <c r="AG15" s="487">
        <v>7114</v>
      </c>
      <c r="AH15" s="487">
        <v>5149</v>
      </c>
      <c r="AI15" s="487">
        <v>3365</v>
      </c>
      <c r="AJ15" s="487">
        <v>1267</v>
      </c>
      <c r="AK15" s="487">
        <v>3167</v>
      </c>
      <c r="AL15" s="487">
        <v>3641</v>
      </c>
      <c r="AM15" s="487">
        <v>2498</v>
      </c>
      <c r="AN15" s="487">
        <v>1319</v>
      </c>
      <c r="AO15" s="487">
        <v>2908</v>
      </c>
      <c r="AP15" s="487">
        <v>3442</v>
      </c>
      <c r="AQ15" s="487">
        <v>3311</v>
      </c>
      <c r="AR15" s="487">
        <v>1972</v>
      </c>
      <c r="AS15" s="487">
        <v>3240</v>
      </c>
      <c r="AT15" s="487">
        <v>4366</v>
      </c>
      <c r="AU15" s="487">
        <v>3088</v>
      </c>
      <c r="AV15" s="487">
        <v>1834</v>
      </c>
      <c r="AW15" s="487">
        <v>4992</v>
      </c>
      <c r="AX15" s="487">
        <v>4941</v>
      </c>
      <c r="AY15" s="487">
        <v>3310</v>
      </c>
      <c r="AZ15" s="487">
        <v>2620</v>
      </c>
      <c r="BA15" s="487">
        <v>4849</v>
      </c>
      <c r="BB15" s="487">
        <v>4789</v>
      </c>
      <c r="BC15" s="487">
        <v>5536</v>
      </c>
      <c r="BD15" s="487">
        <v>4922</v>
      </c>
      <c r="BE15" s="487">
        <v>6609</v>
      </c>
      <c r="BF15" s="487">
        <v>5338</v>
      </c>
      <c r="BG15" s="487">
        <v>4720</v>
      </c>
      <c r="BH15" s="487">
        <v>5663</v>
      </c>
      <c r="BI15" s="487">
        <v>7907</v>
      </c>
      <c r="BJ15" s="487">
        <v>6859</v>
      </c>
      <c r="BK15" s="487">
        <v>5878</v>
      </c>
      <c r="BL15" s="487">
        <v>7611</v>
      </c>
      <c r="BM15" s="487">
        <v>12746</v>
      </c>
      <c r="BN15" s="487">
        <v>9856</v>
      </c>
      <c r="BO15" s="487">
        <v>8331</v>
      </c>
      <c r="BP15" s="487">
        <v>10829</v>
      </c>
      <c r="BQ15" s="487">
        <v>12899</v>
      </c>
      <c r="BR15" s="487">
        <f>VLOOKUP($D$15,'[3]Balanço '!$A$5:$G$15,7,FALSE)</f>
        <v>8775</v>
      </c>
    </row>
    <row r="16" spans="1:70" ht="14.1" customHeight="1" collapsed="1" x14ac:dyDescent="0.2">
      <c r="A16" s="630" t="s">
        <v>1340</v>
      </c>
      <c r="B16" s="478" t="s">
        <v>649</v>
      </c>
      <c r="D16" s="489" t="str">
        <f>IF([1]RENAME!$H$3=1,B16,A16)</f>
        <v>Instrumentos financeiros derivativos</v>
      </c>
      <c r="E16" s="487">
        <v>0</v>
      </c>
      <c r="F16" s="487">
        <v>0</v>
      </c>
      <c r="G16" s="487">
        <v>0</v>
      </c>
      <c r="H16" s="487">
        <v>0</v>
      </c>
      <c r="I16" s="487">
        <v>0</v>
      </c>
      <c r="J16" s="488">
        <v>0</v>
      </c>
      <c r="K16" s="487">
        <v>0</v>
      </c>
      <c r="L16" s="487">
        <v>0</v>
      </c>
      <c r="M16" s="487">
        <v>0</v>
      </c>
      <c r="N16" s="487">
        <v>35167</v>
      </c>
      <c r="O16" s="487">
        <v>44469</v>
      </c>
      <c r="P16" s="487">
        <v>42154</v>
      </c>
      <c r="Q16" s="488">
        <v>40143</v>
      </c>
      <c r="R16" s="487">
        <v>63174</v>
      </c>
      <c r="S16" s="487">
        <v>5530</v>
      </c>
      <c r="T16" s="487">
        <v>7931</v>
      </c>
      <c r="U16" s="487">
        <v>3815</v>
      </c>
      <c r="V16" s="488">
        <v>0</v>
      </c>
      <c r="W16" s="487">
        <v>154</v>
      </c>
      <c r="X16" s="487">
        <v>928</v>
      </c>
      <c r="Y16" s="487">
        <v>26757</v>
      </c>
      <c r="Z16" s="487">
        <v>0</v>
      </c>
      <c r="AA16" s="487">
        <v>0</v>
      </c>
      <c r="AB16" s="487">
        <v>0</v>
      </c>
      <c r="AC16" s="487">
        <v>0</v>
      </c>
      <c r="AD16" s="487">
        <v>0</v>
      </c>
      <c r="AE16" s="487">
        <v>0</v>
      </c>
      <c r="AF16" s="487">
        <v>0</v>
      </c>
      <c r="AG16" s="487">
        <v>0</v>
      </c>
      <c r="AH16" s="487">
        <v>0</v>
      </c>
      <c r="AI16" s="487">
        <v>0</v>
      </c>
      <c r="AJ16" s="487">
        <v>0</v>
      </c>
      <c r="AK16" s="487">
        <v>0</v>
      </c>
      <c r="AL16" s="487">
        <v>0</v>
      </c>
      <c r="AM16" s="487">
        <v>0</v>
      </c>
      <c r="AN16" s="487">
        <v>0</v>
      </c>
      <c r="AO16" s="487">
        <v>0</v>
      </c>
      <c r="AP16" s="487">
        <v>0</v>
      </c>
      <c r="AQ16" s="487">
        <v>5899</v>
      </c>
      <c r="AR16" s="487">
        <v>3739</v>
      </c>
      <c r="AS16" s="487">
        <v>20658</v>
      </c>
      <c r="AT16" s="487">
        <v>23871</v>
      </c>
      <c r="AU16" s="487">
        <v>0</v>
      </c>
      <c r="AV16" s="487">
        <v>0</v>
      </c>
      <c r="AW16" s="487">
        <v>0</v>
      </c>
      <c r="AX16" s="487">
        <v>0</v>
      </c>
      <c r="AY16" s="487">
        <v>0</v>
      </c>
      <c r="AZ16" s="487">
        <v>0</v>
      </c>
      <c r="BA16" s="487">
        <v>0</v>
      </c>
      <c r="BB16" s="487">
        <v>0</v>
      </c>
      <c r="BC16" s="487">
        <v>0</v>
      </c>
      <c r="BD16" s="487">
        <v>0</v>
      </c>
      <c r="BE16" s="487">
        <f>VLOOKUP($D$16,'[3]Balanço '!$A$5:$G$15,7,FALSE)</f>
        <v>0</v>
      </c>
      <c r="BF16" s="487">
        <v>0</v>
      </c>
      <c r="BG16" s="487">
        <v>0</v>
      </c>
      <c r="BH16" s="487">
        <v>0</v>
      </c>
      <c r="BI16" s="487">
        <v>0</v>
      </c>
      <c r="BJ16" s="487">
        <v>0</v>
      </c>
      <c r="BK16" s="487">
        <v>0</v>
      </c>
      <c r="BL16" s="487">
        <v>0</v>
      </c>
      <c r="BM16" s="487">
        <v>0</v>
      </c>
      <c r="BN16" s="487">
        <v>0</v>
      </c>
      <c r="BO16" s="487">
        <v>0</v>
      </c>
      <c r="BP16" s="487">
        <v>0</v>
      </c>
      <c r="BQ16" s="487">
        <v>0</v>
      </c>
      <c r="BR16" s="487">
        <f>VLOOKUP($D$16,'[3]Balanço '!$A$5:$G$15,7,FALSE)</f>
        <v>0</v>
      </c>
    </row>
    <row r="17" spans="1:70" ht="13.5" hidden="1" customHeight="1" outlineLevel="1" x14ac:dyDescent="0.2">
      <c r="A17" s="478" t="s">
        <v>58</v>
      </c>
      <c r="B17" s="478" t="s">
        <v>646</v>
      </c>
      <c r="D17" s="492" t="str">
        <f>IF([1]RENAME!$H$3=1,B17,A17)</f>
        <v>Ativos de operação descontinuada</v>
      </c>
      <c r="E17" s="493">
        <v>0</v>
      </c>
      <c r="F17" s="493">
        <v>0</v>
      </c>
      <c r="G17" s="493">
        <v>0</v>
      </c>
      <c r="H17" s="493">
        <v>0</v>
      </c>
      <c r="I17" s="493">
        <v>0</v>
      </c>
      <c r="J17" s="494">
        <v>0</v>
      </c>
      <c r="K17" s="493">
        <v>0</v>
      </c>
      <c r="L17" s="493">
        <v>0</v>
      </c>
      <c r="M17" s="493">
        <v>0</v>
      </c>
      <c r="N17" s="493">
        <v>0</v>
      </c>
      <c r="O17" s="493">
        <v>0</v>
      </c>
      <c r="P17" s="493">
        <v>0</v>
      </c>
      <c r="Q17" s="494">
        <v>0</v>
      </c>
      <c r="R17" s="493">
        <v>0</v>
      </c>
      <c r="S17" s="493">
        <v>0</v>
      </c>
      <c r="T17" s="493">
        <v>0</v>
      </c>
      <c r="U17" s="493">
        <v>0</v>
      </c>
      <c r="V17" s="494">
        <v>222913</v>
      </c>
      <c r="W17" s="493">
        <v>0</v>
      </c>
      <c r="X17" s="493">
        <v>0</v>
      </c>
      <c r="Y17" s="493">
        <v>0</v>
      </c>
      <c r="Z17" s="493">
        <v>0</v>
      </c>
      <c r="AA17" s="493">
        <v>0</v>
      </c>
      <c r="AB17" s="493">
        <v>0</v>
      </c>
      <c r="AC17" s="493">
        <v>0</v>
      </c>
      <c r="AD17" s="493">
        <v>0</v>
      </c>
      <c r="AE17" s="493">
        <v>0</v>
      </c>
      <c r="AF17" s="493">
        <v>0</v>
      </c>
      <c r="AG17" s="493">
        <v>0</v>
      </c>
      <c r="AH17" s="493">
        <v>0</v>
      </c>
      <c r="AI17" s="493">
        <v>0</v>
      </c>
      <c r="AJ17" s="493">
        <v>0</v>
      </c>
      <c r="AK17" s="487">
        <v>0</v>
      </c>
      <c r="AL17" s="487">
        <v>0</v>
      </c>
      <c r="AM17" s="487">
        <v>0</v>
      </c>
      <c r="AN17" s="487">
        <v>0</v>
      </c>
      <c r="AO17" s="487">
        <v>0</v>
      </c>
      <c r="AP17" s="487">
        <v>0</v>
      </c>
      <c r="AQ17" s="487">
        <v>0</v>
      </c>
      <c r="AR17" s="487">
        <v>0</v>
      </c>
      <c r="AS17" s="487">
        <v>0</v>
      </c>
      <c r="AT17" s="487">
        <v>0</v>
      </c>
      <c r="AU17" s="487">
        <v>0</v>
      </c>
      <c r="AV17" s="487">
        <v>0</v>
      </c>
      <c r="AW17" s="487">
        <v>0</v>
      </c>
      <c r="AX17" s="487">
        <v>0</v>
      </c>
      <c r="AY17" s="487">
        <v>0</v>
      </c>
      <c r="AZ17" s="487"/>
      <c r="BA17" s="487">
        <v>0</v>
      </c>
      <c r="BB17" s="487">
        <v>0</v>
      </c>
      <c r="BC17" s="487">
        <v>0</v>
      </c>
      <c r="BD17" s="487">
        <v>0</v>
      </c>
      <c r="BE17" s="487">
        <v>0</v>
      </c>
      <c r="BF17" s="487">
        <v>0</v>
      </c>
      <c r="BG17" s="487">
        <v>0</v>
      </c>
      <c r="BH17" s="487">
        <v>0</v>
      </c>
      <c r="BI17" s="487"/>
      <c r="BJ17" s="487"/>
      <c r="BK17" s="487"/>
      <c r="BL17" s="487">
        <v>0</v>
      </c>
      <c r="BM17" s="487"/>
      <c r="BN17" s="487">
        <v>0</v>
      </c>
      <c r="BO17" s="487">
        <v>0</v>
      </c>
      <c r="BP17" s="487">
        <v>0</v>
      </c>
      <c r="BQ17" s="487">
        <v>0</v>
      </c>
      <c r="BR17" s="487">
        <v>0</v>
      </c>
    </row>
    <row r="18" spans="1:70" ht="14.1" hidden="1" customHeight="1" outlineLevel="1" x14ac:dyDescent="0.2">
      <c r="A18" s="478" t="s">
        <v>78</v>
      </c>
      <c r="B18" s="478" t="s">
        <v>647</v>
      </c>
      <c r="D18" s="495" t="str">
        <f>IF([1]RENAME!$H$3=1,B18,A18)</f>
        <v>Imposto de renda e contribuição social a recuperar</v>
      </c>
      <c r="E18" s="493">
        <v>8694</v>
      </c>
      <c r="F18" s="493">
        <v>9520</v>
      </c>
      <c r="G18" s="493">
        <v>0</v>
      </c>
      <c r="H18" s="493">
        <v>0</v>
      </c>
      <c r="I18" s="493">
        <v>0</v>
      </c>
      <c r="J18" s="494">
        <v>0</v>
      </c>
      <c r="K18" s="493">
        <v>0</v>
      </c>
      <c r="L18" s="493">
        <v>0</v>
      </c>
      <c r="M18" s="493">
        <v>0</v>
      </c>
      <c r="N18" s="493">
        <v>0</v>
      </c>
      <c r="O18" s="493">
        <v>0</v>
      </c>
      <c r="P18" s="493">
        <v>0</v>
      </c>
      <c r="Q18" s="494">
        <v>0</v>
      </c>
      <c r="R18" s="493">
        <v>0</v>
      </c>
      <c r="S18" s="493">
        <v>0</v>
      </c>
      <c r="T18" s="493">
        <v>0</v>
      </c>
      <c r="U18" s="493">
        <v>6572</v>
      </c>
      <c r="V18" s="494">
        <v>2719</v>
      </c>
      <c r="W18" s="493">
        <v>3493</v>
      </c>
      <c r="X18" s="493">
        <v>0</v>
      </c>
      <c r="Y18" s="493">
        <v>0</v>
      </c>
      <c r="Z18" s="493">
        <v>0</v>
      </c>
      <c r="AA18" s="493">
        <v>0</v>
      </c>
      <c r="AB18" s="493">
        <v>0</v>
      </c>
      <c r="AC18" s="493">
        <v>0</v>
      </c>
      <c r="AD18" s="493">
        <v>0</v>
      </c>
      <c r="AE18" s="493">
        <v>0</v>
      </c>
      <c r="AF18" s="493">
        <v>0</v>
      </c>
      <c r="AG18" s="493">
        <v>0</v>
      </c>
      <c r="AH18" s="493">
        <v>0</v>
      </c>
      <c r="AI18" s="493">
        <v>0</v>
      </c>
      <c r="AJ18" s="493">
        <v>0</v>
      </c>
      <c r="AK18" s="487">
        <v>0</v>
      </c>
      <c r="AL18" s="487">
        <v>0</v>
      </c>
      <c r="AM18" s="487">
        <v>0</v>
      </c>
      <c r="AN18" s="487">
        <v>0</v>
      </c>
      <c r="AO18" s="487">
        <v>0</v>
      </c>
      <c r="AP18" s="487">
        <v>0</v>
      </c>
      <c r="AQ18" s="487">
        <v>0</v>
      </c>
      <c r="AR18" s="487">
        <v>0</v>
      </c>
      <c r="AS18" s="487">
        <v>0</v>
      </c>
      <c r="AT18" s="487">
        <v>0</v>
      </c>
      <c r="AU18" s="487">
        <v>0</v>
      </c>
      <c r="AV18" s="487">
        <v>0</v>
      </c>
      <c r="AW18" s="487">
        <v>0</v>
      </c>
      <c r="AX18" s="487">
        <v>0</v>
      </c>
      <c r="AY18" s="487">
        <v>0</v>
      </c>
      <c r="AZ18" s="487"/>
      <c r="BA18" s="487">
        <v>0</v>
      </c>
      <c r="BB18" s="487">
        <v>0</v>
      </c>
      <c r="BC18" s="487">
        <v>0</v>
      </c>
      <c r="BD18" s="487">
        <v>0</v>
      </c>
      <c r="BE18" s="487">
        <v>0</v>
      </c>
      <c r="BF18" s="487">
        <v>0</v>
      </c>
      <c r="BG18" s="487">
        <v>0</v>
      </c>
      <c r="BH18" s="487">
        <v>0</v>
      </c>
      <c r="BI18" s="487"/>
      <c r="BJ18" s="487"/>
      <c r="BK18" s="487"/>
      <c r="BL18" s="487">
        <v>0</v>
      </c>
      <c r="BM18" s="487"/>
      <c r="BN18" s="487">
        <v>0</v>
      </c>
      <c r="BO18" s="487">
        <v>0</v>
      </c>
      <c r="BP18" s="487">
        <v>0</v>
      </c>
      <c r="BQ18" s="487">
        <v>0</v>
      </c>
      <c r="BR18" s="487">
        <v>0</v>
      </c>
    </row>
    <row r="19" spans="1:70" ht="14.1" hidden="1" customHeight="1" outlineLevel="1" x14ac:dyDescent="0.2">
      <c r="A19" s="478" t="s">
        <v>17</v>
      </c>
      <c r="B19" s="478" t="s">
        <v>650</v>
      </c>
      <c r="D19" s="496" t="str">
        <f>IF([1]RENAME!$H$3=1,B19,A19)</f>
        <v>Aplicações financeiras</v>
      </c>
      <c r="E19" s="497">
        <v>19063</v>
      </c>
      <c r="F19" s="497">
        <v>52215</v>
      </c>
      <c r="G19" s="497">
        <v>10100</v>
      </c>
      <c r="H19" s="497">
        <v>13727</v>
      </c>
      <c r="I19" s="497">
        <v>19533</v>
      </c>
      <c r="J19" s="498">
        <v>16966</v>
      </c>
      <c r="K19" s="497">
        <v>85232</v>
      </c>
      <c r="L19" s="497">
        <v>62933</v>
      </c>
      <c r="M19" s="497">
        <v>43196</v>
      </c>
      <c r="N19" s="497">
        <v>46707</v>
      </c>
      <c r="O19" s="497">
        <v>65109</v>
      </c>
      <c r="P19" s="497">
        <v>54383</v>
      </c>
      <c r="Q19" s="498">
        <v>290027</v>
      </c>
      <c r="R19" s="497">
        <v>274117</v>
      </c>
      <c r="S19" s="497">
        <v>172367</v>
      </c>
      <c r="T19" s="497">
        <v>0</v>
      </c>
      <c r="U19" s="497">
        <v>0</v>
      </c>
      <c r="V19" s="498">
        <v>0</v>
      </c>
      <c r="W19" s="497">
        <v>0</v>
      </c>
      <c r="X19" s="497">
        <v>0</v>
      </c>
      <c r="Y19" s="497">
        <v>0</v>
      </c>
      <c r="Z19" s="497">
        <v>0</v>
      </c>
      <c r="AA19" s="497">
        <v>0</v>
      </c>
      <c r="AB19" s="497">
        <v>0</v>
      </c>
      <c r="AC19" s="497">
        <v>0</v>
      </c>
      <c r="AD19" s="497">
        <v>0</v>
      </c>
      <c r="AE19" s="497">
        <v>0</v>
      </c>
      <c r="AF19" s="497">
        <v>0</v>
      </c>
      <c r="AG19" s="497">
        <v>0</v>
      </c>
      <c r="AH19" s="497">
        <v>0</v>
      </c>
      <c r="AI19" s="497">
        <v>0</v>
      </c>
      <c r="AJ19" s="497">
        <v>0</v>
      </c>
      <c r="AK19" s="512">
        <v>0</v>
      </c>
      <c r="AL19" s="512">
        <v>0</v>
      </c>
      <c r="AM19" s="512">
        <v>0</v>
      </c>
      <c r="AN19" s="512">
        <v>0</v>
      </c>
      <c r="AO19" s="512">
        <v>0</v>
      </c>
      <c r="AP19" s="512">
        <v>0</v>
      </c>
      <c r="AQ19" s="512">
        <v>0</v>
      </c>
      <c r="AR19" s="512">
        <v>0</v>
      </c>
      <c r="AS19" s="512">
        <v>0</v>
      </c>
      <c r="AT19" s="512">
        <v>0</v>
      </c>
      <c r="AU19" s="512">
        <v>0</v>
      </c>
      <c r="AV19" s="512">
        <v>0</v>
      </c>
      <c r="AW19" s="512">
        <v>0</v>
      </c>
      <c r="AX19" s="512">
        <v>0</v>
      </c>
      <c r="AY19" s="512">
        <v>0</v>
      </c>
      <c r="AZ19" s="512"/>
      <c r="BA19" s="512">
        <v>0</v>
      </c>
      <c r="BB19" s="512">
        <v>0</v>
      </c>
      <c r="BC19" s="512">
        <v>0</v>
      </c>
      <c r="BD19" s="512">
        <v>0</v>
      </c>
      <c r="BE19" s="512">
        <v>0</v>
      </c>
      <c r="BF19" s="512">
        <v>0</v>
      </c>
      <c r="BG19" s="512">
        <v>0</v>
      </c>
      <c r="BH19" s="512">
        <v>0</v>
      </c>
      <c r="BI19" s="512"/>
      <c r="BJ19" s="512"/>
      <c r="BK19" s="512"/>
      <c r="BL19" s="512">
        <v>0</v>
      </c>
      <c r="BM19" s="512"/>
      <c r="BN19" s="512">
        <v>0</v>
      </c>
      <c r="BO19" s="512">
        <v>0</v>
      </c>
      <c r="BP19" s="512">
        <v>0</v>
      </c>
      <c r="BQ19" s="512">
        <v>0</v>
      </c>
      <c r="BR19" s="512">
        <v>0</v>
      </c>
    </row>
    <row r="20" spans="1:70" ht="6.75" hidden="1" customHeight="1" outlineLevel="1" x14ac:dyDescent="0.2">
      <c r="D20" s="499">
        <f>IF([1]RENAME!$H$3=1,B20,A20)</f>
        <v>0</v>
      </c>
      <c r="E20" s="724"/>
      <c r="F20" s="724"/>
      <c r="G20" s="724"/>
      <c r="H20" s="724">
        <v>0</v>
      </c>
      <c r="I20" s="724">
        <f t="shared" ref="I20:U20" si="14">I19+I7</f>
        <v>48225</v>
      </c>
      <c r="J20" s="725">
        <f t="shared" si="14"/>
        <v>33820</v>
      </c>
      <c r="K20" s="724">
        <f t="shared" si="14"/>
        <v>104986</v>
      </c>
      <c r="L20" s="724">
        <f t="shared" si="14"/>
        <v>66817</v>
      </c>
      <c r="M20" s="724">
        <f t="shared" si="14"/>
        <v>61323</v>
      </c>
      <c r="N20" s="724">
        <f t="shared" si="14"/>
        <v>54203</v>
      </c>
      <c r="O20" s="724">
        <f t="shared" si="14"/>
        <v>80554</v>
      </c>
      <c r="P20" s="724">
        <f t="shared" si="14"/>
        <v>66743</v>
      </c>
      <c r="Q20" s="724">
        <f t="shared" si="14"/>
        <v>302799</v>
      </c>
      <c r="R20" s="724">
        <f t="shared" si="14"/>
        <v>287281</v>
      </c>
      <c r="S20" s="724">
        <f t="shared" si="14"/>
        <v>185415</v>
      </c>
      <c r="T20" s="724">
        <f t="shared" si="14"/>
        <v>204448</v>
      </c>
      <c r="U20" s="724">
        <f t="shared" si="14"/>
        <v>221474</v>
      </c>
      <c r="V20" s="726"/>
      <c r="W20" s="727"/>
      <c r="X20" s="727"/>
      <c r="Y20" s="727"/>
      <c r="Z20" s="727"/>
      <c r="AA20" s="727"/>
      <c r="AB20" s="727"/>
      <c r="AC20" s="727"/>
      <c r="AD20" s="727"/>
      <c r="AE20" s="727"/>
      <c r="AF20" s="727"/>
      <c r="AG20" s="727"/>
      <c r="AH20" s="727"/>
      <c r="AI20" s="727"/>
      <c r="AJ20" s="727"/>
      <c r="AK20" s="727"/>
      <c r="AL20" s="727"/>
      <c r="AM20" s="727"/>
      <c r="AN20" s="727"/>
      <c r="AO20" s="727"/>
      <c r="AP20" s="727"/>
      <c r="AQ20" s="727"/>
      <c r="AR20" s="727"/>
      <c r="AS20" s="727"/>
      <c r="AT20" s="727"/>
      <c r="AU20" s="727"/>
      <c r="AV20" s="727"/>
      <c r="AW20" s="727"/>
      <c r="AX20" s="727"/>
      <c r="AY20" s="727"/>
      <c r="AZ20" s="727"/>
      <c r="BA20" s="727"/>
      <c r="BB20" s="727"/>
      <c r="BC20" s="727"/>
      <c r="BD20" s="727"/>
      <c r="BE20" s="727"/>
      <c r="BF20" s="727"/>
      <c r="BG20" s="727"/>
      <c r="BH20" s="727"/>
      <c r="BI20" s="727"/>
      <c r="BJ20" s="727"/>
      <c r="BK20" s="727"/>
      <c r="BL20" s="727"/>
      <c r="BM20" s="727"/>
      <c r="BN20" s="727"/>
      <c r="BO20" s="727"/>
      <c r="BP20" s="727"/>
      <c r="BQ20" s="727"/>
      <c r="BR20" s="727"/>
    </row>
    <row r="21" spans="1:70" ht="14.1" hidden="1" customHeight="1" outlineLevel="1" x14ac:dyDescent="0.2">
      <c r="A21" s="478" t="s">
        <v>79</v>
      </c>
      <c r="B21" s="478" t="s">
        <v>651</v>
      </c>
      <c r="D21" s="500" t="str">
        <f>IF([1]RENAME!$H$3=1,B21,A21)</f>
        <v>Ativos não circulantes mantidos para venda</v>
      </c>
      <c r="E21" s="501">
        <v>0</v>
      </c>
      <c r="F21" s="501">
        <v>0</v>
      </c>
      <c r="G21" s="501">
        <v>6519</v>
      </c>
      <c r="H21" s="501">
        <v>14698.745720000001</v>
      </c>
      <c r="I21" s="501">
        <v>14699</v>
      </c>
      <c r="J21" s="502">
        <v>12909</v>
      </c>
      <c r="K21" s="501">
        <v>12592</v>
      </c>
      <c r="L21" s="501">
        <v>12593</v>
      </c>
      <c r="M21" s="501">
        <v>6449</v>
      </c>
      <c r="N21" s="501">
        <v>4296</v>
      </c>
      <c r="O21" s="501">
        <v>3497</v>
      </c>
      <c r="P21" s="501">
        <v>2081</v>
      </c>
      <c r="Q21" s="503">
        <v>796</v>
      </c>
      <c r="R21" s="501">
        <v>0</v>
      </c>
      <c r="S21" s="501">
        <v>287</v>
      </c>
      <c r="T21" s="501">
        <v>287</v>
      </c>
      <c r="U21" s="501">
        <v>287</v>
      </c>
      <c r="V21" s="503">
        <v>287</v>
      </c>
      <c r="W21" s="501">
        <v>287</v>
      </c>
      <c r="X21" s="501">
        <v>0</v>
      </c>
      <c r="Y21" s="501">
        <v>0</v>
      </c>
      <c r="Z21" s="501">
        <v>0</v>
      </c>
      <c r="AA21" s="501">
        <v>0</v>
      </c>
      <c r="AB21" s="501">
        <v>0</v>
      </c>
      <c r="AC21" s="501">
        <v>0</v>
      </c>
      <c r="AD21" s="501">
        <v>0</v>
      </c>
      <c r="AE21" s="501">
        <v>0</v>
      </c>
      <c r="AF21" s="501">
        <v>0</v>
      </c>
      <c r="AG21" s="501">
        <v>0</v>
      </c>
      <c r="AH21" s="501">
        <v>0</v>
      </c>
      <c r="AI21" s="501">
        <v>0</v>
      </c>
      <c r="AJ21" s="501">
        <v>0</v>
      </c>
      <c r="AK21" s="484">
        <v>0</v>
      </c>
      <c r="AL21" s="484">
        <v>0</v>
      </c>
      <c r="AM21" s="484">
        <v>0</v>
      </c>
      <c r="AN21" s="484">
        <v>0</v>
      </c>
      <c r="AO21" s="484">
        <v>0</v>
      </c>
      <c r="AP21" s="484">
        <v>0</v>
      </c>
      <c r="AQ21" s="484">
        <v>0</v>
      </c>
      <c r="AR21" s="484">
        <v>0</v>
      </c>
      <c r="AS21" s="484">
        <v>0</v>
      </c>
      <c r="AT21" s="484">
        <v>0</v>
      </c>
      <c r="AU21" s="484">
        <v>0</v>
      </c>
      <c r="AV21" s="484">
        <v>0</v>
      </c>
      <c r="AW21" s="484">
        <v>0</v>
      </c>
      <c r="AX21" s="484">
        <v>0</v>
      </c>
      <c r="AY21" s="484">
        <v>0</v>
      </c>
      <c r="AZ21" s="484"/>
      <c r="BA21" s="484">
        <v>0</v>
      </c>
      <c r="BB21" s="484">
        <v>0</v>
      </c>
      <c r="BC21" s="484">
        <v>0</v>
      </c>
      <c r="BD21" s="484">
        <v>0</v>
      </c>
      <c r="BE21" s="484">
        <v>0</v>
      </c>
      <c r="BF21" s="484">
        <v>0</v>
      </c>
      <c r="BG21" s="484">
        <v>0</v>
      </c>
      <c r="BH21" s="484">
        <v>0</v>
      </c>
      <c r="BI21" s="484"/>
      <c r="BJ21" s="484"/>
      <c r="BK21" s="484"/>
      <c r="BL21" s="484">
        <v>0</v>
      </c>
      <c r="BM21" s="484"/>
      <c r="BN21" s="484">
        <v>0</v>
      </c>
      <c r="BO21" s="484">
        <v>0</v>
      </c>
      <c r="BP21" s="484">
        <v>0</v>
      </c>
      <c r="BQ21" s="484">
        <v>0</v>
      </c>
      <c r="BR21" s="484">
        <v>0</v>
      </c>
    </row>
    <row r="22" spans="1:70" ht="6.75" customHeight="1" x14ac:dyDescent="0.2">
      <c r="D22" s="504"/>
      <c r="E22" s="728"/>
      <c r="F22" s="728"/>
      <c r="G22" s="728"/>
      <c r="H22" s="728"/>
      <c r="I22" s="728"/>
      <c r="J22" s="727"/>
      <c r="K22" s="728"/>
      <c r="L22" s="728"/>
      <c r="M22" s="728"/>
      <c r="N22" s="728"/>
      <c r="O22" s="728"/>
      <c r="P22" s="728"/>
      <c r="Q22" s="729"/>
      <c r="R22" s="728"/>
      <c r="S22" s="728"/>
      <c r="T22" s="728"/>
      <c r="U22" s="728"/>
      <c r="V22" s="729"/>
      <c r="W22" s="728"/>
      <c r="X22" s="730"/>
      <c r="Y22" s="730"/>
      <c r="Z22" s="730"/>
      <c r="AA22" s="730"/>
      <c r="AB22" s="730"/>
      <c r="AC22" s="730"/>
      <c r="AD22" s="730"/>
      <c r="AE22" s="730"/>
      <c r="AF22" s="730"/>
      <c r="AG22" s="730"/>
      <c r="AH22" s="730"/>
      <c r="AI22" s="731" t="s">
        <v>89</v>
      </c>
      <c r="AJ22" s="731" t="s">
        <v>89</v>
      </c>
      <c r="AK22" s="731" t="s">
        <v>89</v>
      </c>
      <c r="AL22" s="731" t="s">
        <v>89</v>
      </c>
      <c r="AM22" s="731" t="s">
        <v>89</v>
      </c>
      <c r="AN22" s="731"/>
      <c r="AO22" s="731" t="s">
        <v>89</v>
      </c>
      <c r="AP22" s="731" t="s">
        <v>89</v>
      </c>
      <c r="AQ22" s="731" t="s">
        <v>89</v>
      </c>
      <c r="AR22" s="731" t="s">
        <v>89</v>
      </c>
      <c r="AS22" s="731" t="s">
        <v>89</v>
      </c>
      <c r="AT22" s="731" t="s">
        <v>89</v>
      </c>
      <c r="AU22" s="731" t="s">
        <v>89</v>
      </c>
      <c r="AV22" s="731" t="s">
        <v>89</v>
      </c>
      <c r="AW22" s="731" t="s">
        <v>89</v>
      </c>
      <c r="AX22" s="731" t="s">
        <v>89</v>
      </c>
      <c r="AY22" s="731" t="s">
        <v>89</v>
      </c>
      <c r="AZ22" s="731"/>
      <c r="BA22" s="731" t="s">
        <v>89</v>
      </c>
      <c r="BB22" s="731" t="s">
        <v>89</v>
      </c>
      <c r="BC22" s="731" t="s">
        <v>89</v>
      </c>
      <c r="BD22" s="731" t="s">
        <v>89</v>
      </c>
      <c r="BE22" s="731" t="s">
        <v>89</v>
      </c>
      <c r="BF22" s="731" t="s">
        <v>89</v>
      </c>
      <c r="BG22" s="731" t="s">
        <v>89</v>
      </c>
      <c r="BH22" s="731" t="s">
        <v>89</v>
      </c>
      <c r="BI22" s="731"/>
      <c r="BJ22" s="731"/>
      <c r="BK22" s="731"/>
      <c r="BL22" s="731" t="s">
        <v>89</v>
      </c>
      <c r="BM22" s="731"/>
      <c r="BN22" s="731" t="s">
        <v>89</v>
      </c>
      <c r="BO22" s="731" t="s">
        <v>89</v>
      </c>
      <c r="BP22" s="731" t="s">
        <v>89</v>
      </c>
      <c r="BQ22" s="731" t="s">
        <v>89</v>
      </c>
      <c r="BR22" s="731" t="s">
        <v>89</v>
      </c>
    </row>
    <row r="23" spans="1:70" ht="14.1" customHeight="1" x14ac:dyDescent="0.2">
      <c r="A23" s="478" t="s">
        <v>37</v>
      </c>
      <c r="B23" s="478" t="s">
        <v>652</v>
      </c>
      <c r="D23" s="483" t="str">
        <f>IF([1]RENAME!$H$3=1,B23,A23)</f>
        <v>Ativo não circulante</v>
      </c>
      <c r="E23" s="484">
        <f t="shared" ref="E23:AR23" si="15">SUM(E24:E32)</f>
        <v>9640</v>
      </c>
      <c r="F23" s="484">
        <f t="shared" si="15"/>
        <v>33160</v>
      </c>
      <c r="G23" s="484">
        <f t="shared" si="15"/>
        <v>30037</v>
      </c>
      <c r="H23" s="484">
        <f t="shared" si="15"/>
        <v>27923.705784500002</v>
      </c>
      <c r="I23" s="484">
        <f t="shared" si="15"/>
        <v>43942</v>
      </c>
      <c r="J23" s="485">
        <f t="shared" si="15"/>
        <v>57922</v>
      </c>
      <c r="K23" s="484">
        <f t="shared" si="15"/>
        <v>85983</v>
      </c>
      <c r="L23" s="484">
        <f t="shared" si="15"/>
        <v>80107</v>
      </c>
      <c r="M23" s="484">
        <f t="shared" si="15"/>
        <v>76148</v>
      </c>
      <c r="N23" s="484">
        <f t="shared" si="15"/>
        <v>58352</v>
      </c>
      <c r="O23" s="484">
        <f t="shared" si="15"/>
        <v>56065</v>
      </c>
      <c r="P23" s="484">
        <f t="shared" si="15"/>
        <v>53361</v>
      </c>
      <c r="Q23" s="485">
        <f t="shared" si="15"/>
        <v>59476</v>
      </c>
      <c r="R23" s="484">
        <f t="shared" si="15"/>
        <v>71443</v>
      </c>
      <c r="S23" s="484">
        <f t="shared" si="15"/>
        <v>97884</v>
      </c>
      <c r="T23" s="484">
        <f t="shared" si="15"/>
        <v>116766</v>
      </c>
      <c r="U23" s="484">
        <f t="shared" si="15"/>
        <v>108723</v>
      </c>
      <c r="V23" s="485">
        <f t="shared" si="15"/>
        <v>41653</v>
      </c>
      <c r="W23" s="484">
        <f t="shared" si="15"/>
        <v>70648</v>
      </c>
      <c r="X23" s="484">
        <f t="shared" si="15"/>
        <v>67770</v>
      </c>
      <c r="Y23" s="484">
        <f t="shared" si="15"/>
        <v>76386</v>
      </c>
      <c r="Z23" s="484">
        <f t="shared" si="15"/>
        <v>57857</v>
      </c>
      <c r="AA23" s="484">
        <f t="shared" si="15"/>
        <v>58935</v>
      </c>
      <c r="AB23" s="484">
        <f t="shared" si="15"/>
        <v>54178</v>
      </c>
      <c r="AC23" s="484">
        <f t="shared" si="15"/>
        <v>55989</v>
      </c>
      <c r="AD23" s="484">
        <f t="shared" si="15"/>
        <v>57230</v>
      </c>
      <c r="AE23" s="484">
        <f t="shared" si="15"/>
        <v>58256</v>
      </c>
      <c r="AF23" s="484">
        <f t="shared" si="15"/>
        <v>58185</v>
      </c>
      <c r="AG23" s="484">
        <f t="shared" si="15"/>
        <v>68766</v>
      </c>
      <c r="AH23" s="484">
        <f t="shared" si="15"/>
        <v>74282</v>
      </c>
      <c r="AI23" s="484">
        <f t="shared" si="15"/>
        <v>71903.79939</v>
      </c>
      <c r="AJ23" s="484">
        <f t="shared" si="15"/>
        <v>75966</v>
      </c>
      <c r="AK23" s="484">
        <f t="shared" si="15"/>
        <v>58406</v>
      </c>
      <c r="AL23" s="484">
        <f t="shared" si="15"/>
        <v>58878</v>
      </c>
      <c r="AM23" s="484">
        <f t="shared" si="15"/>
        <v>64765</v>
      </c>
      <c r="AN23" s="484">
        <f t="shared" si="15"/>
        <v>61358</v>
      </c>
      <c r="AO23" s="484">
        <f t="shared" si="15"/>
        <v>62082</v>
      </c>
      <c r="AP23" s="484">
        <f t="shared" si="15"/>
        <v>49698</v>
      </c>
      <c r="AQ23" s="484">
        <f t="shared" si="15"/>
        <v>45925</v>
      </c>
      <c r="AR23" s="484">
        <f t="shared" si="15"/>
        <v>46598</v>
      </c>
      <c r="AS23" s="484">
        <f t="shared" ref="AS23:BB23" si="16">SUM(AS24:AS32)</f>
        <v>46501</v>
      </c>
      <c r="AT23" s="484">
        <f t="shared" si="16"/>
        <v>48479</v>
      </c>
      <c r="AU23" s="484">
        <f t="shared" si="16"/>
        <v>46182</v>
      </c>
      <c r="AV23" s="484">
        <f t="shared" si="16"/>
        <v>46744</v>
      </c>
      <c r="AW23" s="484">
        <f t="shared" si="16"/>
        <v>45793</v>
      </c>
      <c r="AX23" s="484">
        <f t="shared" si="16"/>
        <v>42017</v>
      </c>
      <c r="AY23" s="484">
        <f t="shared" si="16"/>
        <v>55036</v>
      </c>
      <c r="AZ23" s="484">
        <f t="shared" si="16"/>
        <v>56267</v>
      </c>
      <c r="BA23" s="484">
        <f t="shared" si="16"/>
        <v>56361</v>
      </c>
      <c r="BB23" s="484">
        <f t="shared" si="16"/>
        <v>49978</v>
      </c>
      <c r="BC23" s="484">
        <f t="shared" ref="BC23:BO23" si="17">SUM(BC24:BC32)</f>
        <v>48391</v>
      </c>
      <c r="BD23" s="484">
        <f t="shared" si="17"/>
        <v>60689</v>
      </c>
      <c r="BE23" s="484">
        <f t="shared" si="17"/>
        <v>62028</v>
      </c>
      <c r="BF23" s="484">
        <f t="shared" si="17"/>
        <v>62623</v>
      </c>
      <c r="BG23" s="484">
        <f t="shared" si="17"/>
        <v>64378</v>
      </c>
      <c r="BH23" s="484">
        <f t="shared" si="17"/>
        <v>65203</v>
      </c>
      <c r="BI23" s="484">
        <f t="shared" si="17"/>
        <v>63475</v>
      </c>
      <c r="BJ23" s="484">
        <f t="shared" si="17"/>
        <v>65826</v>
      </c>
      <c r="BK23" s="484">
        <f t="shared" si="17"/>
        <v>52903</v>
      </c>
      <c r="BL23" s="484">
        <f t="shared" si="17"/>
        <v>53635</v>
      </c>
      <c r="BM23" s="484">
        <f t="shared" si="17"/>
        <v>53157</v>
      </c>
      <c r="BN23" s="484">
        <f>SUM(BN24:BN32)</f>
        <v>53804</v>
      </c>
      <c r="BO23" s="484">
        <f t="shared" si="17"/>
        <v>54528</v>
      </c>
      <c r="BP23" s="484">
        <f>SUM(BP24:BP32)</f>
        <v>54617</v>
      </c>
      <c r="BQ23" s="484">
        <f>SUM(BQ24:BQ32)</f>
        <v>55604</v>
      </c>
      <c r="BR23" s="484">
        <f>SUM(BR24:BR32)</f>
        <v>56215</v>
      </c>
    </row>
    <row r="24" spans="1:70" ht="14.1" customHeight="1" x14ac:dyDescent="0.2">
      <c r="A24" s="478" t="s">
        <v>1261</v>
      </c>
      <c r="B24" s="478" t="s">
        <v>643</v>
      </c>
      <c r="C24" s="266" t="str">
        <f>IF([1]RENAME!$H$3=1,B24,A24)</f>
        <v>Impostos e contribuições a recuperar</v>
      </c>
      <c r="D24" s="486" t="str">
        <f>IF([1]RENAME!$H$3=1,B24,A24)</f>
        <v>Impostos e contribuições a recuperar</v>
      </c>
      <c r="E24" s="487">
        <v>0</v>
      </c>
      <c r="F24" s="487">
        <v>0</v>
      </c>
      <c r="G24" s="487">
        <v>0</v>
      </c>
      <c r="H24" s="487">
        <v>0</v>
      </c>
      <c r="I24" s="487">
        <v>0</v>
      </c>
      <c r="J24" s="488">
        <v>0</v>
      </c>
      <c r="K24" s="487">
        <v>0</v>
      </c>
      <c r="L24" s="487">
        <v>0</v>
      </c>
      <c r="M24" s="487">
        <v>0</v>
      </c>
      <c r="N24" s="487">
        <v>0</v>
      </c>
      <c r="O24" s="487">
        <v>0</v>
      </c>
      <c r="P24" s="487">
        <v>0</v>
      </c>
      <c r="Q24" s="488">
        <v>0</v>
      </c>
      <c r="R24" s="487">
        <v>0</v>
      </c>
      <c r="S24" s="487">
        <v>0</v>
      </c>
      <c r="T24" s="487">
        <v>0</v>
      </c>
      <c r="U24" s="487">
        <v>0</v>
      </c>
      <c r="V24" s="488">
        <v>0</v>
      </c>
      <c r="W24" s="487">
        <v>0</v>
      </c>
      <c r="X24" s="487">
        <v>0</v>
      </c>
      <c r="Y24" s="487">
        <v>0</v>
      </c>
      <c r="Z24" s="487">
        <v>0</v>
      </c>
      <c r="AA24" s="487">
        <v>0</v>
      </c>
      <c r="AB24" s="487">
        <v>0</v>
      </c>
      <c r="AC24" s="487">
        <v>0</v>
      </c>
      <c r="AD24" s="487">
        <v>0</v>
      </c>
      <c r="AE24" s="487">
        <v>0</v>
      </c>
      <c r="AF24" s="487">
        <v>0</v>
      </c>
      <c r="AG24" s="490">
        <v>9942</v>
      </c>
      <c r="AH24" s="490">
        <v>18044</v>
      </c>
      <c r="AI24" s="487">
        <v>18897.79939</v>
      </c>
      <c r="AJ24" s="487">
        <v>23928</v>
      </c>
      <c r="AK24" s="487">
        <v>9201</v>
      </c>
      <c r="AL24" s="487">
        <v>9273</v>
      </c>
      <c r="AM24" s="487">
        <v>9348</v>
      </c>
      <c r="AN24" s="487">
        <v>9417</v>
      </c>
      <c r="AO24" s="487">
        <v>9487</v>
      </c>
      <c r="AP24" s="487">
        <v>9558</v>
      </c>
      <c r="AQ24" s="487">
        <v>9628</v>
      </c>
      <c r="AR24" s="487">
        <v>9689</v>
      </c>
      <c r="AS24" s="487">
        <v>9737</v>
      </c>
      <c r="AT24" s="487">
        <v>9777</v>
      </c>
      <c r="AU24" s="487">
        <v>9802</v>
      </c>
      <c r="AV24" s="487">
        <v>9544</v>
      </c>
      <c r="AW24" s="487">
        <v>9564</v>
      </c>
      <c r="AX24" s="487">
        <v>9594</v>
      </c>
      <c r="AY24" s="487">
        <v>9637</v>
      </c>
      <c r="AZ24" s="487">
        <v>9705</v>
      </c>
      <c r="BA24" s="487">
        <v>9079</v>
      </c>
      <c r="BB24" s="487">
        <v>5559</v>
      </c>
      <c r="BC24" s="487">
        <v>5621</v>
      </c>
      <c r="BD24" s="487">
        <v>19812</v>
      </c>
      <c r="BE24" s="487">
        <v>20037</v>
      </c>
      <c r="BF24" s="487">
        <v>20015</v>
      </c>
      <c r="BG24" s="487">
        <v>20227</v>
      </c>
      <c r="BH24" s="487">
        <v>20400</v>
      </c>
      <c r="BI24" s="487">
        <v>18959</v>
      </c>
      <c r="BJ24" s="487">
        <v>20188</v>
      </c>
      <c r="BK24" s="487">
        <v>5896</v>
      </c>
      <c r="BL24" s="487">
        <v>5943</v>
      </c>
      <c r="BM24" s="487">
        <v>5997</v>
      </c>
      <c r="BN24" s="487">
        <v>6008</v>
      </c>
      <c r="BO24" s="487">
        <v>6073</v>
      </c>
      <c r="BP24" s="487">
        <v>6138</v>
      </c>
      <c r="BQ24" s="487">
        <v>6200</v>
      </c>
      <c r="BR24" s="487">
        <f>VLOOKUP($D$24,'[3]Balanço '!$A$15:$G$31,7,FALSE)</f>
        <v>6260</v>
      </c>
    </row>
    <row r="25" spans="1:70" ht="14.1" customHeight="1" x14ac:dyDescent="0.2">
      <c r="A25" s="631" t="s">
        <v>15</v>
      </c>
      <c r="B25" s="478" t="s">
        <v>669</v>
      </c>
      <c r="D25" s="489" t="str">
        <f>IF([1]RENAME!$H$3=1,B25,A25)</f>
        <v>Imposto de renda e contribuição social</v>
      </c>
      <c r="E25" s="487">
        <v>0</v>
      </c>
      <c r="F25" s="487">
        <v>0</v>
      </c>
      <c r="G25" s="487">
        <v>0</v>
      </c>
      <c r="H25" s="487">
        <v>0</v>
      </c>
      <c r="I25" s="487">
        <v>0</v>
      </c>
      <c r="J25" s="487">
        <v>0</v>
      </c>
      <c r="K25" s="487">
        <v>0</v>
      </c>
      <c r="L25" s="487">
        <v>0</v>
      </c>
      <c r="M25" s="487">
        <v>0</v>
      </c>
      <c r="N25" s="487">
        <v>0</v>
      </c>
      <c r="O25" s="487">
        <v>0</v>
      </c>
      <c r="P25" s="487">
        <v>0</v>
      </c>
      <c r="Q25" s="487">
        <v>0</v>
      </c>
      <c r="R25" s="487">
        <v>0</v>
      </c>
      <c r="S25" s="487">
        <v>0</v>
      </c>
      <c r="T25" s="487">
        <v>0</v>
      </c>
      <c r="U25" s="487">
        <v>0</v>
      </c>
      <c r="V25" s="487">
        <v>0</v>
      </c>
      <c r="W25" s="487">
        <v>0</v>
      </c>
      <c r="X25" s="487">
        <v>0</v>
      </c>
      <c r="Y25" s="487">
        <v>0</v>
      </c>
      <c r="Z25" s="487">
        <v>0</v>
      </c>
      <c r="AA25" s="487">
        <v>0</v>
      </c>
      <c r="AB25" s="487">
        <v>0</v>
      </c>
      <c r="AC25" s="487">
        <v>0</v>
      </c>
      <c r="AD25" s="487">
        <v>0</v>
      </c>
      <c r="AE25" s="487">
        <v>0</v>
      </c>
      <c r="AF25" s="487">
        <v>0</v>
      </c>
      <c r="AG25" s="487">
        <v>0</v>
      </c>
      <c r="AH25" s="487">
        <v>0</v>
      </c>
      <c r="AI25" s="487">
        <v>0</v>
      </c>
      <c r="AJ25" s="487">
        <v>0</v>
      </c>
      <c r="AK25" s="487">
        <v>0</v>
      </c>
      <c r="AL25" s="487">
        <v>0</v>
      </c>
      <c r="AM25" s="487">
        <v>0</v>
      </c>
      <c r="AN25" s="487">
        <v>0</v>
      </c>
      <c r="AO25" s="487">
        <v>0</v>
      </c>
      <c r="AP25" s="487">
        <v>0</v>
      </c>
      <c r="AQ25" s="487">
        <v>0</v>
      </c>
      <c r="AR25" s="487">
        <v>0</v>
      </c>
      <c r="AS25" s="487">
        <v>0</v>
      </c>
      <c r="AT25" s="487">
        <v>0</v>
      </c>
      <c r="AU25" s="487">
        <v>0</v>
      </c>
      <c r="AV25" s="487">
        <v>0</v>
      </c>
      <c r="AW25" s="487">
        <v>0</v>
      </c>
      <c r="AX25" s="487">
        <v>0</v>
      </c>
      <c r="AY25" s="490">
        <v>12919</v>
      </c>
      <c r="AZ25" s="487">
        <v>12919</v>
      </c>
      <c r="BA25" s="487">
        <v>12919</v>
      </c>
      <c r="BB25" s="487">
        <v>13842</v>
      </c>
      <c r="BC25" s="487">
        <v>13842</v>
      </c>
      <c r="BD25" s="487">
        <v>13842</v>
      </c>
      <c r="BE25" s="487">
        <v>13842</v>
      </c>
      <c r="BF25" s="487">
        <v>16299</v>
      </c>
      <c r="BG25" s="487">
        <v>16723</v>
      </c>
      <c r="BH25" s="487">
        <v>17096</v>
      </c>
      <c r="BI25" s="487">
        <v>17440</v>
      </c>
      <c r="BJ25" s="487">
        <v>17769</v>
      </c>
      <c r="BK25" s="487">
        <v>18101</v>
      </c>
      <c r="BL25" s="487">
        <v>18432</v>
      </c>
      <c r="BM25" s="487">
        <v>18811</v>
      </c>
      <c r="BN25" s="487">
        <v>19219</v>
      </c>
      <c r="BO25" s="487">
        <v>19676</v>
      </c>
      <c r="BP25" s="487">
        <v>20135</v>
      </c>
      <c r="BQ25" s="487">
        <v>20571</v>
      </c>
      <c r="BR25" s="487">
        <f>VLOOKUP($D$25,'[3]Balanço '!$A$15:$G$31,7,FALSE)</f>
        <v>20856</v>
      </c>
    </row>
    <row r="26" spans="1:70" ht="14.1" customHeight="1" x14ac:dyDescent="0.2">
      <c r="A26" s="478" t="s">
        <v>26</v>
      </c>
      <c r="B26" s="478" t="s">
        <v>653</v>
      </c>
      <c r="C26" s="266" t="str">
        <f>IF([1]RENAME!$H$3=1,B26,A26)</f>
        <v>Demais contas a receber</v>
      </c>
      <c r="D26" s="486" t="str">
        <f>IF([1]RENAME!$H$3=1,B26,A26)</f>
        <v>Demais contas a receber</v>
      </c>
      <c r="E26" s="487">
        <v>300</v>
      </c>
      <c r="F26" s="487">
        <v>300</v>
      </c>
      <c r="G26" s="487">
        <v>0</v>
      </c>
      <c r="H26" s="487">
        <v>0</v>
      </c>
      <c r="I26" s="487">
        <v>20730</v>
      </c>
      <c r="J26" s="488">
        <v>20730</v>
      </c>
      <c r="K26" s="487">
        <v>20730</v>
      </c>
      <c r="L26" s="487">
        <v>20730</v>
      </c>
      <c r="M26" s="487">
        <v>20730</v>
      </c>
      <c r="N26" s="487">
        <v>20730</v>
      </c>
      <c r="O26" s="487">
        <v>20730</v>
      </c>
      <c r="P26" s="487">
        <v>20730</v>
      </c>
      <c r="Q26" s="488">
        <v>20730</v>
      </c>
      <c r="R26" s="487">
        <v>20730</v>
      </c>
      <c r="S26" s="487">
        <v>20730</v>
      </c>
      <c r="T26" s="487">
        <v>0</v>
      </c>
      <c r="U26" s="487">
        <v>0</v>
      </c>
      <c r="V26" s="488">
        <v>0</v>
      </c>
      <c r="W26" s="487">
        <v>13371</v>
      </c>
      <c r="X26" s="487">
        <v>13371</v>
      </c>
      <c r="Y26" s="487">
        <v>13371</v>
      </c>
      <c r="Z26" s="487">
        <v>13371</v>
      </c>
      <c r="AA26" s="487">
        <v>13371</v>
      </c>
      <c r="AB26" s="487">
        <v>13371</v>
      </c>
      <c r="AC26" s="487">
        <v>13371</v>
      </c>
      <c r="AD26" s="487">
        <v>13371</v>
      </c>
      <c r="AE26" s="487">
        <v>13371</v>
      </c>
      <c r="AF26" s="487">
        <v>13371</v>
      </c>
      <c r="AG26" s="487">
        <v>15003</v>
      </c>
      <c r="AH26" s="487">
        <v>15004</v>
      </c>
      <c r="AI26" s="490">
        <v>9272</v>
      </c>
      <c r="AJ26" s="490">
        <v>1907</v>
      </c>
      <c r="AK26" s="487">
        <v>6240</v>
      </c>
      <c r="AL26" s="487">
        <v>6206</v>
      </c>
      <c r="AM26" s="487">
        <v>6857</v>
      </c>
      <c r="AN26" s="487">
        <v>6670</v>
      </c>
      <c r="AO26" s="487">
        <v>6694</v>
      </c>
      <c r="AP26" s="487">
        <v>7165</v>
      </c>
      <c r="AQ26" s="490">
        <v>1814</v>
      </c>
      <c r="AR26" s="487">
        <v>1832</v>
      </c>
      <c r="AS26" s="487">
        <v>1850</v>
      </c>
      <c r="AT26" s="487">
        <v>1866</v>
      </c>
      <c r="AU26" s="487">
        <v>2290</v>
      </c>
      <c r="AV26" s="487">
        <v>2314</v>
      </c>
      <c r="AW26" s="487">
        <v>2344</v>
      </c>
      <c r="AX26" s="487">
        <v>1972</v>
      </c>
      <c r="AY26" s="487">
        <v>2002</v>
      </c>
      <c r="AZ26" s="487">
        <v>1461</v>
      </c>
      <c r="BA26" s="487">
        <v>1461</v>
      </c>
      <c r="BB26" s="487">
        <v>1462</v>
      </c>
      <c r="BC26" s="487">
        <v>1461</v>
      </c>
      <c r="BD26" s="487">
        <v>1485</v>
      </c>
      <c r="BE26" s="487">
        <v>1487</v>
      </c>
      <c r="BF26" s="487">
        <v>1018</v>
      </c>
      <c r="BG26" s="487">
        <v>1510</v>
      </c>
      <c r="BH26" s="487">
        <v>1628</v>
      </c>
      <c r="BI26" s="487">
        <v>1628</v>
      </c>
      <c r="BJ26" s="487">
        <v>1628</v>
      </c>
      <c r="BK26" s="487">
        <v>1628</v>
      </c>
      <c r="BL26" s="487">
        <v>1698</v>
      </c>
      <c r="BM26" s="487">
        <v>1698</v>
      </c>
      <c r="BN26" s="487">
        <v>1698</v>
      </c>
      <c r="BO26" s="487">
        <v>1698</v>
      </c>
      <c r="BP26" s="487">
        <v>1698</v>
      </c>
      <c r="BQ26" s="487">
        <v>1698</v>
      </c>
      <c r="BR26" s="487">
        <f>VLOOKUP($D$26,'[3]Balanço '!$A$15:$G$31,7,FALSE)</f>
        <v>1088</v>
      </c>
    </row>
    <row r="27" spans="1:70" ht="14.1" customHeight="1" x14ac:dyDescent="0.2">
      <c r="A27" s="478" t="s">
        <v>1256</v>
      </c>
      <c r="B27" s="478" t="s">
        <v>1259</v>
      </c>
      <c r="C27" s="266" t="str">
        <f>IF([1]RENAME!$H$3=1,B27,A27)</f>
        <v>Ativo fiscal diferido</v>
      </c>
      <c r="D27" s="712" t="str">
        <f>IF([1]RENAME!$H$3=1,B27,A27)</f>
        <v>Ativo fiscal diferido</v>
      </c>
      <c r="E27" s="487">
        <v>6602</v>
      </c>
      <c r="F27" s="487">
        <v>29719</v>
      </c>
      <c r="G27" s="487">
        <v>26934</v>
      </c>
      <c r="H27" s="487">
        <v>24122</v>
      </c>
      <c r="I27" s="487">
        <v>18405</v>
      </c>
      <c r="J27" s="488">
        <v>31302</v>
      </c>
      <c r="K27" s="487">
        <v>25902</v>
      </c>
      <c r="L27" s="487">
        <v>20035</v>
      </c>
      <c r="M27" s="487">
        <v>18742</v>
      </c>
      <c r="N27" s="487">
        <v>11292</v>
      </c>
      <c r="O27" s="487">
        <v>6950</v>
      </c>
      <c r="P27" s="487">
        <v>3835</v>
      </c>
      <c r="Q27" s="488">
        <v>9639</v>
      </c>
      <c r="R27" s="487">
        <v>2670</v>
      </c>
      <c r="S27" s="487">
        <v>29210</v>
      </c>
      <c r="T27" s="487">
        <v>61989</v>
      </c>
      <c r="U27" s="487">
        <v>69595</v>
      </c>
      <c r="V27" s="488">
        <v>21114</v>
      </c>
      <c r="W27" s="487">
        <v>23630</v>
      </c>
      <c r="X27" s="487">
        <v>13165</v>
      </c>
      <c r="Y27" s="487">
        <v>14057</v>
      </c>
      <c r="Z27" s="487">
        <v>17220</v>
      </c>
      <c r="AA27" s="487">
        <v>17954</v>
      </c>
      <c r="AB27" s="487">
        <v>18814</v>
      </c>
      <c r="AC27" s="487">
        <v>20296</v>
      </c>
      <c r="AD27" s="487">
        <v>21720</v>
      </c>
      <c r="AE27" s="487">
        <v>23296</v>
      </c>
      <c r="AF27" s="487">
        <v>23287</v>
      </c>
      <c r="AG27" s="487">
        <v>23288</v>
      </c>
      <c r="AH27" s="487">
        <v>23295</v>
      </c>
      <c r="AI27" s="487">
        <v>26097</v>
      </c>
      <c r="AJ27" s="490">
        <v>36560</v>
      </c>
      <c r="AK27" s="487">
        <v>14120</v>
      </c>
      <c r="AL27" s="487">
        <v>13687</v>
      </c>
      <c r="AM27" s="487">
        <v>14543</v>
      </c>
      <c r="AN27" s="487">
        <v>16129</v>
      </c>
      <c r="AO27" s="487">
        <v>15696</v>
      </c>
      <c r="AP27" s="487">
        <v>15712</v>
      </c>
      <c r="AQ27" s="487">
        <v>13994</v>
      </c>
      <c r="AR27" s="487">
        <v>16910</v>
      </c>
      <c r="AS27" s="487">
        <v>15538</v>
      </c>
      <c r="AT27" s="487">
        <v>17029</v>
      </c>
      <c r="AU27" s="487">
        <v>14293</v>
      </c>
      <c r="AV27" s="487">
        <v>14675</v>
      </c>
      <c r="AW27" s="487">
        <v>13569</v>
      </c>
      <c r="AX27" s="487">
        <v>10051</v>
      </c>
      <c r="AY27" s="487">
        <v>10694</v>
      </c>
      <c r="AZ27" s="487">
        <v>9259</v>
      </c>
      <c r="BA27" s="487">
        <v>8185</v>
      </c>
      <c r="BB27" s="487">
        <v>8091</v>
      </c>
      <c r="BC27" s="487">
        <v>7371</v>
      </c>
      <c r="BD27" s="487">
        <v>5654</v>
      </c>
      <c r="BE27" s="487">
        <v>6428</v>
      </c>
      <c r="BF27" s="487">
        <v>5137</v>
      </c>
      <c r="BG27" s="487">
        <v>5648</v>
      </c>
      <c r="BH27" s="487">
        <v>4708</v>
      </c>
      <c r="BI27" s="487">
        <v>3712</v>
      </c>
      <c r="BJ27" s="487">
        <v>2477</v>
      </c>
      <c r="BK27" s="487">
        <v>3218</v>
      </c>
      <c r="BL27" s="487">
        <v>3269</v>
      </c>
      <c r="BM27" s="487">
        <v>1970</v>
      </c>
      <c r="BN27" s="487">
        <v>1892</v>
      </c>
      <c r="BO27" s="487">
        <v>1857</v>
      </c>
      <c r="BP27" s="487">
        <v>953</v>
      </c>
      <c r="BQ27" s="487">
        <v>947</v>
      </c>
      <c r="BR27" s="487">
        <f>VLOOKUP($D$27,'[3]Balanço '!$A$15:$G$31,7,FALSE)</f>
        <v>1232</v>
      </c>
    </row>
    <row r="28" spans="1:70" ht="14.1" customHeight="1" x14ac:dyDescent="0.2">
      <c r="A28" s="478" t="s">
        <v>1550</v>
      </c>
      <c r="B28" s="478" t="s">
        <v>1567</v>
      </c>
      <c r="D28" s="712" t="str">
        <f>IF([1]RENAME!$H$3=1,B28,A28)</f>
        <v>Títulos e valores mobiliários</v>
      </c>
      <c r="E28" s="487">
        <v>0</v>
      </c>
      <c r="F28" s="487">
        <v>0</v>
      </c>
      <c r="G28" s="487">
        <v>0</v>
      </c>
      <c r="H28" s="487">
        <v>0</v>
      </c>
      <c r="I28" s="487">
        <v>0</v>
      </c>
      <c r="J28" s="488">
        <v>0</v>
      </c>
      <c r="K28" s="487">
        <v>0</v>
      </c>
      <c r="L28" s="487">
        <v>0</v>
      </c>
      <c r="M28" s="487">
        <v>0</v>
      </c>
      <c r="N28" s="487">
        <v>0</v>
      </c>
      <c r="O28" s="487">
        <v>0</v>
      </c>
      <c r="P28" s="487">
        <v>0</v>
      </c>
      <c r="Q28" s="488">
        <v>0</v>
      </c>
      <c r="R28" s="487">
        <v>0</v>
      </c>
      <c r="S28" s="487">
        <v>0</v>
      </c>
      <c r="T28" s="487">
        <v>0</v>
      </c>
      <c r="U28" s="487">
        <v>0</v>
      </c>
      <c r="V28" s="488">
        <v>0</v>
      </c>
      <c r="W28" s="487">
        <v>0</v>
      </c>
      <c r="X28" s="487">
        <v>0</v>
      </c>
      <c r="Y28" s="487">
        <v>0</v>
      </c>
      <c r="Z28" s="487">
        <v>0</v>
      </c>
      <c r="AA28" s="487">
        <v>0</v>
      </c>
      <c r="AB28" s="487">
        <v>0</v>
      </c>
      <c r="AC28" s="487">
        <v>0</v>
      </c>
      <c r="AD28" s="487">
        <v>0</v>
      </c>
      <c r="AE28" s="487">
        <v>0</v>
      </c>
      <c r="AF28" s="487">
        <v>0</v>
      </c>
      <c r="AG28" s="487">
        <v>0</v>
      </c>
      <c r="AH28" s="487">
        <v>0</v>
      </c>
      <c r="AI28" s="487">
        <v>0</v>
      </c>
      <c r="AJ28" s="490">
        <v>0</v>
      </c>
      <c r="AK28" s="487">
        <v>0</v>
      </c>
      <c r="AL28" s="487">
        <v>0</v>
      </c>
      <c r="AM28" s="487">
        <v>0</v>
      </c>
      <c r="AN28" s="487">
        <v>0</v>
      </c>
      <c r="AO28" s="487">
        <v>0</v>
      </c>
      <c r="AP28" s="487">
        <v>0</v>
      </c>
      <c r="AQ28" s="487">
        <v>2350</v>
      </c>
      <c r="AR28" s="487">
        <v>2600</v>
      </c>
      <c r="AS28" s="487">
        <v>3600</v>
      </c>
      <c r="AT28" s="487">
        <v>4600</v>
      </c>
      <c r="AU28" s="487">
        <v>4600</v>
      </c>
      <c r="AV28" s="487">
        <v>3956</v>
      </c>
      <c r="AW28" s="487">
        <v>3965</v>
      </c>
      <c r="AX28" s="487">
        <v>4253</v>
      </c>
      <c r="AY28" s="487">
        <v>3823</v>
      </c>
      <c r="AZ28" s="487">
        <v>3636</v>
      </c>
      <c r="BA28" s="487">
        <v>3753</v>
      </c>
      <c r="BB28" s="487">
        <v>0</v>
      </c>
      <c r="BC28" s="487">
        <v>0</v>
      </c>
      <c r="BD28" s="487">
        <v>0</v>
      </c>
      <c r="BE28" s="487">
        <v>0</v>
      </c>
      <c r="BF28" s="487">
        <v>0</v>
      </c>
      <c r="BG28" s="487">
        <v>0</v>
      </c>
      <c r="BH28" s="487">
        <v>0</v>
      </c>
      <c r="BI28" s="487">
        <v>0</v>
      </c>
      <c r="BJ28" s="487">
        <v>0</v>
      </c>
      <c r="BK28" s="487">
        <v>0</v>
      </c>
      <c r="BL28" s="487">
        <v>0</v>
      </c>
      <c r="BM28" s="487">
        <v>0</v>
      </c>
      <c r="BN28" s="487">
        <v>0</v>
      </c>
      <c r="BO28" s="487">
        <v>0</v>
      </c>
      <c r="BP28" s="487">
        <v>0</v>
      </c>
      <c r="BQ28" s="487">
        <v>0</v>
      </c>
      <c r="BR28" s="487">
        <f>VLOOKUP($D$28,'[3]Balanço '!$A$15:$G$31,7,FALSE)</f>
        <v>0</v>
      </c>
    </row>
    <row r="29" spans="1:70" ht="14.1" customHeight="1" x14ac:dyDescent="0.2">
      <c r="A29" s="478" t="s">
        <v>25</v>
      </c>
      <c r="B29" s="478" t="s">
        <v>641</v>
      </c>
      <c r="C29" s="266" t="str">
        <f>IF([1]RENAME!$H$3=1,B29,A29)</f>
        <v>Partes relacionadas</v>
      </c>
      <c r="D29" s="486" t="str">
        <f>IF([1]RENAME!$H$3=1,B29,A29)</f>
        <v>Partes relacionadas</v>
      </c>
      <c r="E29" s="487">
        <v>1447</v>
      </c>
      <c r="F29" s="487">
        <v>1653</v>
      </c>
      <c r="G29" s="487">
        <v>890</v>
      </c>
      <c r="H29" s="487">
        <v>859</v>
      </c>
      <c r="I29" s="487">
        <v>846</v>
      </c>
      <c r="J29" s="488">
        <v>822</v>
      </c>
      <c r="K29" s="487">
        <v>944</v>
      </c>
      <c r="L29" s="487">
        <v>1870</v>
      </c>
      <c r="M29" s="487">
        <v>933</v>
      </c>
      <c r="N29" s="487">
        <v>1021</v>
      </c>
      <c r="O29" s="487">
        <v>1011</v>
      </c>
      <c r="P29" s="487">
        <v>108</v>
      </c>
      <c r="Q29" s="488">
        <v>105</v>
      </c>
      <c r="R29" s="487">
        <v>140</v>
      </c>
      <c r="S29" s="487">
        <v>361</v>
      </c>
      <c r="T29" s="487">
        <v>402</v>
      </c>
      <c r="U29" s="487">
        <v>407</v>
      </c>
      <c r="V29" s="488">
        <v>439</v>
      </c>
      <c r="W29" s="487">
        <v>436</v>
      </c>
      <c r="X29" s="487">
        <v>436</v>
      </c>
      <c r="Y29" s="487">
        <v>358</v>
      </c>
      <c r="Z29" s="487">
        <v>124</v>
      </c>
      <c r="AA29" s="487">
        <v>124</v>
      </c>
      <c r="AB29" s="487">
        <v>124</v>
      </c>
      <c r="AC29" s="487">
        <v>124</v>
      </c>
      <c r="AD29" s="487">
        <v>0</v>
      </c>
      <c r="AE29" s="487">
        <v>0</v>
      </c>
      <c r="AF29" s="487">
        <v>0</v>
      </c>
      <c r="AG29" s="487">
        <v>0</v>
      </c>
      <c r="AH29" s="487">
        <v>0</v>
      </c>
      <c r="AI29" s="487">
        <v>0</v>
      </c>
      <c r="AJ29" s="487">
        <v>0</v>
      </c>
      <c r="AK29" s="487">
        <v>16440</v>
      </c>
      <c r="AL29" s="487">
        <v>17163</v>
      </c>
      <c r="AM29" s="487">
        <v>17713</v>
      </c>
      <c r="AN29" s="487">
        <v>15626</v>
      </c>
      <c r="AO29" s="487">
        <v>15964</v>
      </c>
      <c r="AP29" s="487">
        <v>3371</v>
      </c>
      <c r="AQ29" s="487">
        <v>3676</v>
      </c>
      <c r="AR29" s="487">
        <v>1115</v>
      </c>
      <c r="AS29" s="487">
        <v>1115</v>
      </c>
      <c r="AT29" s="487">
        <v>1115</v>
      </c>
      <c r="AU29" s="487">
        <v>1115</v>
      </c>
      <c r="AV29" s="487">
        <v>1115</v>
      </c>
      <c r="AW29" s="487">
        <v>1115</v>
      </c>
      <c r="AX29" s="487">
        <v>1115</v>
      </c>
      <c r="AY29" s="487">
        <v>1115</v>
      </c>
      <c r="AZ29" s="487">
        <v>1115</v>
      </c>
      <c r="BA29" s="487">
        <v>1115</v>
      </c>
      <c r="BB29" s="487">
        <v>1115</v>
      </c>
      <c r="BC29" s="487">
        <v>1115</v>
      </c>
      <c r="BD29" s="487">
        <v>1115</v>
      </c>
      <c r="BE29" s="487">
        <v>1115</v>
      </c>
      <c r="BF29" s="487">
        <v>1115</v>
      </c>
      <c r="BG29" s="487">
        <v>1115</v>
      </c>
      <c r="BH29" s="487">
        <v>1115</v>
      </c>
      <c r="BI29" s="487">
        <v>1115</v>
      </c>
      <c r="BJ29" s="487">
        <v>1115</v>
      </c>
      <c r="BK29" s="487">
        <v>1115</v>
      </c>
      <c r="BL29" s="487">
        <v>1115</v>
      </c>
      <c r="BM29" s="487">
        <v>1115</v>
      </c>
      <c r="BN29" s="487">
        <v>1115</v>
      </c>
      <c r="BO29" s="487">
        <v>1115</v>
      </c>
      <c r="BP29" s="487">
        <v>1115</v>
      </c>
      <c r="BQ29" s="487">
        <v>1115</v>
      </c>
      <c r="BR29" s="487">
        <f>VLOOKUP($D$29,'[3]Balanço '!$A$15:$G$31,7,FALSE)</f>
        <v>1115</v>
      </c>
    </row>
    <row r="30" spans="1:70" ht="14.1" customHeight="1" x14ac:dyDescent="0.2">
      <c r="A30" s="478" t="s">
        <v>1340</v>
      </c>
      <c r="B30" s="478" t="s">
        <v>649</v>
      </c>
      <c r="C30" s="1"/>
      <c r="D30" s="486" t="str">
        <f>IF([1]RENAME!$H$3=1,B30,A30)</f>
        <v>Instrumentos financeiros derivativos</v>
      </c>
      <c r="E30" s="487">
        <v>0</v>
      </c>
      <c r="F30" s="487"/>
      <c r="G30" s="487">
        <v>0</v>
      </c>
      <c r="H30" s="487"/>
      <c r="I30" s="487">
        <v>0</v>
      </c>
      <c r="J30" s="487">
        <v>0</v>
      </c>
      <c r="K30" s="487">
        <v>32316</v>
      </c>
      <c r="L30" s="487">
        <v>30461</v>
      </c>
      <c r="M30" s="487">
        <v>27447</v>
      </c>
      <c r="N30" s="487">
        <v>15195</v>
      </c>
      <c r="O30" s="487">
        <v>15839</v>
      </c>
      <c r="P30" s="487">
        <v>15683</v>
      </c>
      <c r="Q30" s="488">
        <v>14131</v>
      </c>
      <c r="R30" s="487">
        <v>31622</v>
      </c>
      <c r="S30" s="487">
        <v>30023</v>
      </c>
      <c r="T30" s="487">
        <v>35462</v>
      </c>
      <c r="U30" s="487">
        <v>17079</v>
      </c>
      <c r="V30" s="488">
        <v>0</v>
      </c>
      <c r="W30" s="487">
        <v>8205</v>
      </c>
      <c r="X30" s="487">
        <v>15095</v>
      </c>
      <c r="Y30" s="487">
        <v>22003</v>
      </c>
      <c r="Z30" s="487">
        <v>0</v>
      </c>
      <c r="AA30" s="487">
        <v>0</v>
      </c>
      <c r="AB30" s="487">
        <v>0</v>
      </c>
      <c r="AC30" s="487">
        <v>0</v>
      </c>
      <c r="AD30" s="487">
        <v>0</v>
      </c>
      <c r="AE30" s="487">
        <v>0</v>
      </c>
      <c r="AF30" s="487">
        <v>0</v>
      </c>
      <c r="AG30" s="487">
        <v>0</v>
      </c>
      <c r="AH30" s="487">
        <v>0</v>
      </c>
      <c r="AI30" s="487">
        <v>0</v>
      </c>
      <c r="AJ30" s="487">
        <v>0</v>
      </c>
      <c r="AK30" s="487">
        <v>0</v>
      </c>
      <c r="AL30" s="487">
        <v>0</v>
      </c>
      <c r="AM30" s="490">
        <v>3945</v>
      </c>
      <c r="AN30" s="487">
        <v>1614</v>
      </c>
      <c r="AO30" s="487">
        <v>2661</v>
      </c>
      <c r="AP30" s="487">
        <v>1942</v>
      </c>
      <c r="AQ30" s="487">
        <v>0</v>
      </c>
      <c r="AR30" s="487">
        <v>0</v>
      </c>
      <c r="AS30" s="487">
        <v>0</v>
      </c>
      <c r="AT30" s="487">
        <v>0</v>
      </c>
      <c r="AU30" s="487">
        <v>0</v>
      </c>
      <c r="AV30" s="487">
        <v>0</v>
      </c>
      <c r="AW30" s="487">
        <v>0</v>
      </c>
      <c r="AX30" s="487">
        <v>0</v>
      </c>
      <c r="AY30" s="487">
        <v>0</v>
      </c>
      <c r="AZ30" s="487">
        <v>0</v>
      </c>
      <c r="BA30" s="487">
        <v>0</v>
      </c>
      <c r="BB30" s="487">
        <v>0</v>
      </c>
      <c r="BC30" s="487">
        <v>0</v>
      </c>
      <c r="BD30" s="487">
        <v>0</v>
      </c>
      <c r="BE30" s="487">
        <v>0</v>
      </c>
      <c r="BF30" s="487">
        <v>0</v>
      </c>
      <c r="BG30" s="487">
        <v>0</v>
      </c>
      <c r="BH30" s="487">
        <v>0</v>
      </c>
      <c r="BI30" s="487">
        <v>0</v>
      </c>
      <c r="BJ30" s="487">
        <v>0</v>
      </c>
      <c r="BK30" s="487">
        <v>0</v>
      </c>
      <c r="BL30" s="487">
        <v>0</v>
      </c>
      <c r="BM30" s="487">
        <v>0</v>
      </c>
      <c r="BN30" s="487">
        <v>0</v>
      </c>
      <c r="BO30" s="487">
        <v>0</v>
      </c>
      <c r="BP30" s="487">
        <v>0</v>
      </c>
      <c r="BQ30" s="487">
        <v>0</v>
      </c>
      <c r="BR30" s="487">
        <f>VLOOKUP($D$30,'[3]Balanço '!$A$15:$G$31,7,FALSE)</f>
        <v>0</v>
      </c>
    </row>
    <row r="31" spans="1:70" ht="14.1" customHeight="1" x14ac:dyDescent="0.2">
      <c r="A31" s="478" t="s">
        <v>27</v>
      </c>
      <c r="B31" s="478" t="s">
        <v>654</v>
      </c>
      <c r="C31" s="266" t="str">
        <f>IF([1]RENAME!$H$3=1,B31,A31)</f>
        <v>Depósitos judiciais</v>
      </c>
      <c r="D31" s="486" t="str">
        <f>IF([1]RENAME!$H$3=1,B31,A31)</f>
        <v>Depósitos judiciais</v>
      </c>
      <c r="E31" s="487">
        <v>1291</v>
      </c>
      <c r="F31" s="487">
        <v>1488</v>
      </c>
      <c r="G31" s="487">
        <v>2213</v>
      </c>
      <c r="H31" s="487">
        <v>2942.7057844999999</v>
      </c>
      <c r="I31" s="487">
        <v>3961</v>
      </c>
      <c r="J31" s="488">
        <v>5068</v>
      </c>
      <c r="K31" s="487">
        <v>6091</v>
      </c>
      <c r="L31" s="487">
        <v>7011</v>
      </c>
      <c r="M31" s="487">
        <v>8296</v>
      </c>
      <c r="N31" s="487">
        <v>10114</v>
      </c>
      <c r="O31" s="487">
        <v>11535</v>
      </c>
      <c r="P31" s="487">
        <v>13005</v>
      </c>
      <c r="Q31" s="488">
        <v>14871</v>
      </c>
      <c r="R31" s="487">
        <v>16281</v>
      </c>
      <c r="S31" s="487">
        <v>17560</v>
      </c>
      <c r="T31" s="487">
        <v>18913</v>
      </c>
      <c r="U31" s="487">
        <v>21642</v>
      </c>
      <c r="V31" s="488">
        <v>20100</v>
      </c>
      <c r="W31" s="487">
        <v>25006</v>
      </c>
      <c r="X31" s="487">
        <v>25703</v>
      </c>
      <c r="Y31" s="487">
        <v>26597</v>
      </c>
      <c r="Z31" s="487">
        <v>27142</v>
      </c>
      <c r="AA31" s="487">
        <v>27486</v>
      </c>
      <c r="AB31" s="487">
        <v>21869</v>
      </c>
      <c r="AC31" s="487">
        <v>22198</v>
      </c>
      <c r="AD31" s="487">
        <v>22139</v>
      </c>
      <c r="AE31" s="487">
        <v>21589</v>
      </c>
      <c r="AF31" s="487">
        <v>21527</v>
      </c>
      <c r="AG31" s="487">
        <v>20533</v>
      </c>
      <c r="AH31" s="487">
        <v>17939</v>
      </c>
      <c r="AI31" s="487">
        <v>17637</v>
      </c>
      <c r="AJ31" s="487">
        <v>13571</v>
      </c>
      <c r="AK31" s="487">
        <v>12405</v>
      </c>
      <c r="AL31" s="487">
        <v>12549</v>
      </c>
      <c r="AM31" s="487">
        <v>12359</v>
      </c>
      <c r="AN31" s="487">
        <v>11902</v>
      </c>
      <c r="AO31" s="487">
        <v>11580</v>
      </c>
      <c r="AP31" s="487">
        <v>11950</v>
      </c>
      <c r="AQ31" s="487">
        <v>14463</v>
      </c>
      <c r="AR31" s="487">
        <v>14452</v>
      </c>
      <c r="AS31" s="487">
        <v>14661</v>
      </c>
      <c r="AT31" s="487">
        <v>14092</v>
      </c>
      <c r="AU31" s="487">
        <v>14082</v>
      </c>
      <c r="AV31" s="487">
        <v>15140</v>
      </c>
      <c r="AW31" s="487">
        <v>15236</v>
      </c>
      <c r="AX31" s="487">
        <v>15032</v>
      </c>
      <c r="AY31" s="487">
        <v>14846</v>
      </c>
      <c r="AZ31" s="487">
        <v>18172</v>
      </c>
      <c r="BA31" s="487">
        <v>19849</v>
      </c>
      <c r="BB31" s="487">
        <v>19909</v>
      </c>
      <c r="BC31" s="487">
        <v>18981</v>
      </c>
      <c r="BD31" s="487">
        <v>18781</v>
      </c>
      <c r="BE31" s="487">
        <v>19119</v>
      </c>
      <c r="BF31" s="487">
        <v>19039</v>
      </c>
      <c r="BG31" s="487">
        <v>19155</v>
      </c>
      <c r="BH31" s="487">
        <v>20256</v>
      </c>
      <c r="BI31" s="487">
        <v>20621</v>
      </c>
      <c r="BJ31" s="487">
        <v>22649</v>
      </c>
      <c r="BK31" s="487">
        <v>22945</v>
      </c>
      <c r="BL31" s="487">
        <v>23178</v>
      </c>
      <c r="BM31" s="487">
        <v>23566</v>
      </c>
      <c r="BN31" s="487">
        <v>23872</v>
      </c>
      <c r="BO31" s="487">
        <v>24109</v>
      </c>
      <c r="BP31" s="487">
        <v>24578</v>
      </c>
      <c r="BQ31" s="487">
        <v>25073</v>
      </c>
      <c r="BR31" s="487">
        <f>VLOOKUP($D$31,'[3]Balanço '!$A$15:$G$31,7,FALSE)</f>
        <v>25664</v>
      </c>
    </row>
    <row r="32" spans="1:70" ht="6.75" customHeight="1" x14ac:dyDescent="0.2">
      <c r="D32" s="504"/>
      <c r="E32" s="728"/>
      <c r="F32" s="728"/>
      <c r="G32" s="728"/>
      <c r="H32" s="728"/>
      <c r="I32" s="728"/>
      <c r="J32" s="727"/>
      <c r="K32" s="728"/>
      <c r="L32" s="728"/>
      <c r="M32" s="728"/>
      <c r="N32" s="728"/>
      <c r="O32" s="728"/>
      <c r="P32" s="728"/>
      <c r="Q32" s="729"/>
      <c r="R32" s="728"/>
      <c r="S32" s="728"/>
      <c r="T32" s="728"/>
      <c r="U32" s="728"/>
      <c r="V32" s="729"/>
      <c r="W32" s="728"/>
      <c r="X32" s="730"/>
      <c r="Y32" s="730"/>
      <c r="Z32" s="730"/>
      <c r="AA32" s="730"/>
      <c r="AB32" s="730"/>
      <c r="AC32" s="730"/>
      <c r="AD32" s="730"/>
      <c r="AE32" s="730"/>
      <c r="AF32" s="730"/>
      <c r="AG32" s="730"/>
      <c r="AH32" s="730"/>
      <c r="AI32" s="731"/>
      <c r="AJ32" s="731"/>
      <c r="AK32" s="731"/>
      <c r="AL32" s="731"/>
      <c r="AM32" s="731"/>
      <c r="AN32" s="731"/>
      <c r="AO32" s="731"/>
      <c r="AP32" s="731"/>
      <c r="AQ32" s="731"/>
      <c r="AR32" s="731"/>
      <c r="AS32" s="731"/>
      <c r="AT32" s="731"/>
      <c r="AU32" s="731"/>
      <c r="AV32" s="731"/>
      <c r="AW32" s="731"/>
      <c r="AX32" s="731"/>
      <c r="AY32" s="731"/>
      <c r="AZ32" s="731"/>
      <c r="BA32" s="731"/>
      <c r="BB32" s="731"/>
      <c r="BC32" s="731"/>
      <c r="BD32" s="731"/>
      <c r="BE32" s="731"/>
      <c r="BF32" s="731"/>
      <c r="BG32" s="731"/>
      <c r="BH32" s="731"/>
      <c r="BI32" s="731"/>
      <c r="BJ32" s="731"/>
      <c r="BK32" s="731"/>
      <c r="BL32" s="731"/>
      <c r="BM32" s="731"/>
      <c r="BN32" s="731"/>
      <c r="BO32" s="731"/>
      <c r="BP32" s="731"/>
      <c r="BQ32" s="731"/>
      <c r="BR32" s="731"/>
    </row>
    <row r="33" spans="1:70" ht="14.1" customHeight="1" x14ac:dyDescent="0.2">
      <c r="A33" s="781" t="s">
        <v>1569</v>
      </c>
      <c r="B33" s="478" t="s">
        <v>1568</v>
      </c>
      <c r="D33" s="483" t="str">
        <f>IF([1]RENAME!$H$3=1,B33,A33)</f>
        <v>Ativo realizável a longo prazo</v>
      </c>
      <c r="E33" s="484">
        <f t="shared" ref="E33:AR33" si="18">+SUM(E34:E37)</f>
        <v>119460</v>
      </c>
      <c r="F33" s="484">
        <f t="shared" si="18"/>
        <v>325112</v>
      </c>
      <c r="G33" s="484">
        <f t="shared" si="18"/>
        <v>315548</v>
      </c>
      <c r="H33" s="484">
        <f t="shared" si="18"/>
        <v>309553</v>
      </c>
      <c r="I33" s="484">
        <f t="shared" si="18"/>
        <v>406660</v>
      </c>
      <c r="J33" s="485">
        <f t="shared" si="18"/>
        <v>398948</v>
      </c>
      <c r="K33" s="484">
        <f t="shared" si="18"/>
        <v>428675</v>
      </c>
      <c r="L33" s="484">
        <f t="shared" si="18"/>
        <v>442048</v>
      </c>
      <c r="M33" s="484">
        <f t="shared" si="18"/>
        <v>482078</v>
      </c>
      <c r="N33" s="484">
        <f t="shared" si="18"/>
        <v>479870</v>
      </c>
      <c r="O33" s="484">
        <f t="shared" si="18"/>
        <v>476694</v>
      </c>
      <c r="P33" s="484">
        <f t="shared" si="18"/>
        <v>470562</v>
      </c>
      <c r="Q33" s="485">
        <f t="shared" si="18"/>
        <v>470018</v>
      </c>
      <c r="R33" s="484">
        <f t="shared" si="18"/>
        <v>464530</v>
      </c>
      <c r="S33" s="484">
        <f t="shared" si="18"/>
        <v>473057</v>
      </c>
      <c r="T33" s="484">
        <f t="shared" si="18"/>
        <v>473771</v>
      </c>
      <c r="U33" s="484">
        <f t="shared" si="18"/>
        <v>470242</v>
      </c>
      <c r="V33" s="485">
        <f t="shared" si="18"/>
        <v>343863</v>
      </c>
      <c r="W33" s="484">
        <f t="shared" si="18"/>
        <v>345140</v>
      </c>
      <c r="X33" s="484">
        <f t="shared" si="18"/>
        <v>365266</v>
      </c>
      <c r="Y33" s="484">
        <f t="shared" si="18"/>
        <v>370321</v>
      </c>
      <c r="Z33" s="484">
        <f t="shared" si="18"/>
        <v>381022</v>
      </c>
      <c r="AA33" s="484">
        <f t="shared" si="18"/>
        <v>398397</v>
      </c>
      <c r="AB33" s="484">
        <f t="shared" si="18"/>
        <v>405516</v>
      </c>
      <c r="AC33" s="484">
        <f t="shared" si="18"/>
        <v>406886</v>
      </c>
      <c r="AD33" s="484">
        <f t="shared" si="18"/>
        <v>407028</v>
      </c>
      <c r="AE33" s="484">
        <f t="shared" si="18"/>
        <v>403310</v>
      </c>
      <c r="AF33" s="484">
        <f t="shared" si="18"/>
        <v>393960</v>
      </c>
      <c r="AG33" s="484">
        <f t="shared" si="18"/>
        <v>394038</v>
      </c>
      <c r="AH33" s="484">
        <f t="shared" si="18"/>
        <v>392597</v>
      </c>
      <c r="AI33" s="484">
        <f t="shared" si="18"/>
        <v>390707</v>
      </c>
      <c r="AJ33" s="484">
        <f t="shared" si="18"/>
        <v>387205</v>
      </c>
      <c r="AK33" s="484">
        <f t="shared" si="18"/>
        <v>401027</v>
      </c>
      <c r="AL33" s="484">
        <f t="shared" si="18"/>
        <v>396110</v>
      </c>
      <c r="AM33" s="484">
        <f t="shared" si="18"/>
        <v>404094</v>
      </c>
      <c r="AN33" s="484">
        <f t="shared" si="18"/>
        <v>410564</v>
      </c>
      <c r="AO33" s="484">
        <f t="shared" si="18"/>
        <v>475476.45750000002</v>
      </c>
      <c r="AP33" s="484">
        <f t="shared" si="18"/>
        <v>499477</v>
      </c>
      <c r="AQ33" s="484">
        <f t="shared" si="18"/>
        <v>496904</v>
      </c>
      <c r="AR33" s="484">
        <f t="shared" si="18"/>
        <v>489751</v>
      </c>
      <c r="AS33" s="484">
        <f t="shared" ref="AS33:BB33" si="19">+SUM(AS34:AS37)</f>
        <v>497502</v>
      </c>
      <c r="AT33" s="484">
        <f t="shared" si="19"/>
        <v>485587</v>
      </c>
      <c r="AU33" s="484">
        <f t="shared" si="19"/>
        <v>473973</v>
      </c>
      <c r="AV33" s="484">
        <f t="shared" si="19"/>
        <v>462481</v>
      </c>
      <c r="AW33" s="484">
        <f t="shared" si="19"/>
        <v>493380</v>
      </c>
      <c r="AX33" s="484">
        <f t="shared" si="19"/>
        <v>487384</v>
      </c>
      <c r="AY33" s="484">
        <f t="shared" si="19"/>
        <v>485266</v>
      </c>
      <c r="AZ33" s="484">
        <f t="shared" si="19"/>
        <v>481332</v>
      </c>
      <c r="BA33" s="484">
        <f t="shared" si="19"/>
        <v>478566</v>
      </c>
      <c r="BB33" s="484">
        <f t="shared" si="19"/>
        <v>488602</v>
      </c>
      <c r="BC33" s="484">
        <f t="shared" ref="BC33:BO33" si="20">+SUM(BC34:BC37)</f>
        <v>490263</v>
      </c>
      <c r="BD33" s="484">
        <f t="shared" si="20"/>
        <v>497674</v>
      </c>
      <c r="BE33" s="484">
        <f t="shared" si="20"/>
        <v>519125</v>
      </c>
      <c r="BF33" s="484">
        <f t="shared" si="20"/>
        <v>523045</v>
      </c>
      <c r="BG33" s="484">
        <f t="shared" si="20"/>
        <v>523326</v>
      </c>
      <c r="BH33" s="484">
        <f t="shared" si="20"/>
        <v>521776</v>
      </c>
      <c r="BI33" s="484">
        <f t="shared" si="20"/>
        <v>532517</v>
      </c>
      <c r="BJ33" s="484">
        <f t="shared" si="20"/>
        <v>545125</v>
      </c>
      <c r="BK33" s="484">
        <f t="shared" si="20"/>
        <v>542856</v>
      </c>
      <c r="BL33" s="484">
        <f t="shared" si="20"/>
        <v>563031</v>
      </c>
      <c r="BM33" s="484">
        <f t="shared" si="20"/>
        <v>587894</v>
      </c>
      <c r="BN33" s="484">
        <f>+SUM(BN34:BN37)</f>
        <v>591818</v>
      </c>
      <c r="BO33" s="484">
        <f t="shared" si="20"/>
        <v>616918</v>
      </c>
      <c r="BP33" s="484">
        <f>+SUM(BP34:BP37)</f>
        <v>665230</v>
      </c>
      <c r="BQ33" s="484">
        <f>+SUM(BQ34:BQ37)</f>
        <v>661076</v>
      </c>
      <c r="BR33" s="484">
        <f>+SUM(BR34:BR37)</f>
        <v>688943</v>
      </c>
    </row>
    <row r="34" spans="1:70" ht="14.1" customHeight="1" x14ac:dyDescent="0.2">
      <c r="A34" s="478" t="s">
        <v>28</v>
      </c>
      <c r="B34" s="478" t="s">
        <v>655</v>
      </c>
      <c r="C34" s="266" t="str">
        <f>IF([1]RENAME!$H$3=1,B34,A34)</f>
        <v>Investimentos</v>
      </c>
      <c r="D34" s="712" t="str">
        <f>IF([1]RENAME!$H$3=1,B34,A34)</f>
        <v>Investimentos</v>
      </c>
      <c r="E34" s="487">
        <v>47625</v>
      </c>
      <c r="F34" s="487">
        <v>0</v>
      </c>
      <c r="G34" s="487">
        <v>0</v>
      </c>
      <c r="H34" s="487"/>
      <c r="I34" s="487">
        <v>0</v>
      </c>
      <c r="J34" s="488">
        <v>0</v>
      </c>
      <c r="K34" s="487">
        <v>0</v>
      </c>
      <c r="L34" s="487">
        <v>4017</v>
      </c>
      <c r="M34" s="487">
        <v>0</v>
      </c>
      <c r="N34" s="487">
        <v>0</v>
      </c>
      <c r="O34" s="487">
        <v>0</v>
      </c>
      <c r="P34" s="487">
        <v>3769</v>
      </c>
      <c r="Q34" s="488">
        <v>2580</v>
      </c>
      <c r="R34" s="487">
        <v>1808</v>
      </c>
      <c r="S34" s="487">
        <v>1914</v>
      </c>
      <c r="T34" s="487">
        <v>2263</v>
      </c>
      <c r="U34" s="487">
        <v>2058</v>
      </c>
      <c r="V34" s="488">
        <v>2107</v>
      </c>
      <c r="W34" s="487">
        <v>2566</v>
      </c>
      <c r="X34" s="487">
        <v>4705</v>
      </c>
      <c r="Y34" s="487">
        <v>5201</v>
      </c>
      <c r="Z34" s="487">
        <v>5429</v>
      </c>
      <c r="AA34" s="487">
        <v>5361</v>
      </c>
      <c r="AB34" s="487">
        <v>5777</v>
      </c>
      <c r="AC34" s="487">
        <v>4302</v>
      </c>
      <c r="AD34" s="487">
        <v>3398</v>
      </c>
      <c r="AE34" s="487">
        <v>3379</v>
      </c>
      <c r="AF34" s="487">
        <v>2999</v>
      </c>
      <c r="AG34" s="487">
        <v>2984</v>
      </c>
      <c r="AH34" s="487">
        <v>1339</v>
      </c>
      <c r="AI34" s="487">
        <v>1382</v>
      </c>
      <c r="AJ34" s="487">
        <v>1978</v>
      </c>
      <c r="AK34" s="487">
        <v>19190</v>
      </c>
      <c r="AL34" s="487">
        <v>18720</v>
      </c>
      <c r="AM34" s="487">
        <v>18571</v>
      </c>
      <c r="AN34" s="487">
        <v>35944</v>
      </c>
      <c r="AO34" s="487">
        <v>18637</v>
      </c>
      <c r="AP34" s="487">
        <v>18777</v>
      </c>
      <c r="AQ34" s="487">
        <v>19301</v>
      </c>
      <c r="AR34" s="487">
        <v>38343</v>
      </c>
      <c r="AS34" s="487">
        <v>39737</v>
      </c>
      <c r="AT34" s="487">
        <v>40582</v>
      </c>
      <c r="AU34" s="487">
        <v>39439</v>
      </c>
      <c r="AV34" s="487">
        <v>38092</v>
      </c>
      <c r="AW34" s="487">
        <v>38902</v>
      </c>
      <c r="AX34" s="487">
        <v>39493</v>
      </c>
      <c r="AY34" s="487">
        <v>39174</v>
      </c>
      <c r="AZ34" s="487">
        <v>40073</v>
      </c>
      <c r="BA34" s="487">
        <v>41942</v>
      </c>
      <c r="BB34" s="487">
        <v>49953</v>
      </c>
      <c r="BC34" s="487">
        <v>47132</v>
      </c>
      <c r="BD34" s="487">
        <v>47950</v>
      </c>
      <c r="BE34" s="487">
        <v>49532</v>
      </c>
      <c r="BF34" s="487">
        <v>49313</v>
      </c>
      <c r="BG34" s="487">
        <v>50407</v>
      </c>
      <c r="BH34" s="487">
        <v>49347</v>
      </c>
      <c r="BI34" s="487">
        <v>55951</v>
      </c>
      <c r="BJ34" s="487">
        <v>62131</v>
      </c>
      <c r="BK34" s="487">
        <v>62091</v>
      </c>
      <c r="BL34" s="487">
        <v>61456</v>
      </c>
      <c r="BM34" s="487">
        <v>67764</v>
      </c>
      <c r="BN34" s="487">
        <v>71180</v>
      </c>
      <c r="BO34" s="487">
        <v>73805</v>
      </c>
      <c r="BP34" s="487">
        <v>63642</v>
      </c>
      <c r="BQ34" s="487">
        <v>65073</v>
      </c>
      <c r="BR34" s="487">
        <f>VLOOKUP(D34,'[3]Balanço '!$A$15:$G$33,7,FALSE)</f>
        <v>70765</v>
      </c>
    </row>
    <row r="35" spans="1:70" ht="14.1" customHeight="1" x14ac:dyDescent="0.2">
      <c r="A35" s="478" t="s">
        <v>29</v>
      </c>
      <c r="B35" s="478" t="s">
        <v>656</v>
      </c>
      <c r="C35" s="266" t="str">
        <f>IF([1]RENAME!$H$3=1,B35,A35)</f>
        <v>Imobilizado</v>
      </c>
      <c r="D35" s="486" t="str">
        <f>IF([1]RENAME!$H$3=1,B35,A35)</f>
        <v>Imobilizado</v>
      </c>
      <c r="E35" s="487">
        <v>67151</v>
      </c>
      <c r="F35" s="487">
        <v>159217</v>
      </c>
      <c r="G35" s="487">
        <v>151187</v>
      </c>
      <c r="H35" s="487">
        <v>144864</v>
      </c>
      <c r="I35" s="487">
        <v>150696</v>
      </c>
      <c r="J35" s="488">
        <v>155892</v>
      </c>
      <c r="K35" s="487">
        <v>184487</v>
      </c>
      <c r="L35" s="487">
        <v>186506</v>
      </c>
      <c r="M35" s="487">
        <v>200043</v>
      </c>
      <c r="N35" s="487">
        <v>196631</v>
      </c>
      <c r="O35" s="487">
        <v>193071</v>
      </c>
      <c r="P35" s="487">
        <v>190153</v>
      </c>
      <c r="Q35" s="488">
        <v>190547</v>
      </c>
      <c r="R35" s="487">
        <v>186373</v>
      </c>
      <c r="S35" s="487">
        <v>194933</v>
      </c>
      <c r="T35" s="487">
        <v>194129</v>
      </c>
      <c r="U35" s="487">
        <v>191623</v>
      </c>
      <c r="V35" s="488">
        <v>170224</v>
      </c>
      <c r="W35" s="487">
        <v>171610</v>
      </c>
      <c r="X35" s="487">
        <v>189323</v>
      </c>
      <c r="Y35" s="487">
        <v>187366</v>
      </c>
      <c r="Z35" s="487">
        <v>197105</v>
      </c>
      <c r="AA35" s="487">
        <v>214192</v>
      </c>
      <c r="AB35" s="487">
        <v>221112</v>
      </c>
      <c r="AC35" s="487">
        <v>224998</v>
      </c>
      <c r="AD35" s="487">
        <v>224347</v>
      </c>
      <c r="AE35" s="487">
        <v>222245</v>
      </c>
      <c r="AF35" s="487">
        <v>214140</v>
      </c>
      <c r="AG35" s="487">
        <v>214161</v>
      </c>
      <c r="AH35" s="487">
        <v>216033</v>
      </c>
      <c r="AI35" s="487">
        <v>214285</v>
      </c>
      <c r="AJ35" s="487">
        <v>210100</v>
      </c>
      <c r="AK35" s="487">
        <v>193695</v>
      </c>
      <c r="AL35" s="487">
        <v>189509</v>
      </c>
      <c r="AM35" s="487">
        <v>197392</v>
      </c>
      <c r="AN35" s="487">
        <v>202166</v>
      </c>
      <c r="AO35" s="487">
        <v>201707</v>
      </c>
      <c r="AP35" s="487">
        <v>210345</v>
      </c>
      <c r="AQ35" s="487">
        <v>208236</v>
      </c>
      <c r="AR35" s="487">
        <v>209033</v>
      </c>
      <c r="AS35" s="487">
        <v>207833</v>
      </c>
      <c r="AT35" s="487">
        <v>204713</v>
      </c>
      <c r="AU35" s="487">
        <v>203615</v>
      </c>
      <c r="AV35" s="487">
        <v>202117</v>
      </c>
      <c r="AW35" s="487">
        <v>202115</v>
      </c>
      <c r="AX35" s="487">
        <v>202083</v>
      </c>
      <c r="AY35" s="487">
        <v>206653</v>
      </c>
      <c r="AZ35" s="487">
        <v>206881</v>
      </c>
      <c r="BA35" s="487">
        <v>204701</v>
      </c>
      <c r="BB35" s="487">
        <v>211132</v>
      </c>
      <c r="BC35" s="487">
        <v>212482</v>
      </c>
      <c r="BD35" s="487">
        <v>225154</v>
      </c>
      <c r="BE35" s="487">
        <v>223208</v>
      </c>
      <c r="BF35" s="487">
        <v>222276</v>
      </c>
      <c r="BG35" s="487">
        <v>228001</v>
      </c>
      <c r="BH35" s="487">
        <v>230500</v>
      </c>
      <c r="BI35" s="487">
        <v>234199</v>
      </c>
      <c r="BJ35" s="487">
        <v>238171</v>
      </c>
      <c r="BK35" s="487">
        <v>239710</v>
      </c>
      <c r="BL35" s="487">
        <v>245613</v>
      </c>
      <c r="BM35" s="487">
        <v>243995</v>
      </c>
      <c r="BN35" s="487">
        <v>247325</v>
      </c>
      <c r="BO35" s="487">
        <v>258572</v>
      </c>
      <c r="BP35" s="487">
        <v>321041</v>
      </c>
      <c r="BQ35" s="487">
        <v>323121</v>
      </c>
      <c r="BR35" s="487">
        <f>VLOOKUP(D35,'[3]Balanço '!$A$15:$G$33,7,FALSE)</f>
        <v>329572</v>
      </c>
    </row>
    <row r="36" spans="1:70" ht="14.1" customHeight="1" x14ac:dyDescent="0.2">
      <c r="A36" s="478" t="s">
        <v>30</v>
      </c>
      <c r="B36" s="478" t="s">
        <v>657</v>
      </c>
      <c r="C36" s="266" t="str">
        <f>IF([1]RENAME!$H$3=1,B36,A36)</f>
        <v>Intangível</v>
      </c>
      <c r="D36" s="486" t="str">
        <f>IF([1]RENAME!$H$3=1,B36,A36)</f>
        <v>Intangível</v>
      </c>
      <c r="E36" s="487">
        <v>4684</v>
      </c>
      <c r="F36" s="487">
        <v>165895</v>
      </c>
      <c r="G36" s="487">
        <v>164361</v>
      </c>
      <c r="H36" s="487">
        <v>164689</v>
      </c>
      <c r="I36" s="487">
        <v>255964</v>
      </c>
      <c r="J36" s="488">
        <v>243056</v>
      </c>
      <c r="K36" s="487">
        <v>244188</v>
      </c>
      <c r="L36" s="487">
        <v>251525</v>
      </c>
      <c r="M36" s="487">
        <v>282035</v>
      </c>
      <c r="N36" s="487">
        <v>283239</v>
      </c>
      <c r="O36" s="487">
        <v>283623</v>
      </c>
      <c r="P36" s="487">
        <v>276640</v>
      </c>
      <c r="Q36" s="488">
        <v>276891</v>
      </c>
      <c r="R36" s="487">
        <v>276349</v>
      </c>
      <c r="S36" s="487">
        <v>276210</v>
      </c>
      <c r="T36" s="487">
        <v>277379</v>
      </c>
      <c r="U36" s="487">
        <v>276561</v>
      </c>
      <c r="V36" s="488">
        <v>171532</v>
      </c>
      <c r="W36" s="487">
        <v>170964</v>
      </c>
      <c r="X36" s="487">
        <v>171238</v>
      </c>
      <c r="Y36" s="487">
        <v>177754</v>
      </c>
      <c r="Z36" s="487">
        <v>178488</v>
      </c>
      <c r="AA36" s="487">
        <v>178844</v>
      </c>
      <c r="AB36" s="487">
        <v>178627</v>
      </c>
      <c r="AC36" s="487">
        <v>177586</v>
      </c>
      <c r="AD36" s="487">
        <v>179283</v>
      </c>
      <c r="AE36" s="487">
        <v>177686</v>
      </c>
      <c r="AF36" s="487">
        <v>176821</v>
      </c>
      <c r="AG36" s="487">
        <v>176893</v>
      </c>
      <c r="AH36" s="487">
        <v>175225</v>
      </c>
      <c r="AI36" s="487">
        <v>175040</v>
      </c>
      <c r="AJ36" s="487">
        <v>175127</v>
      </c>
      <c r="AK36" s="487">
        <v>188142</v>
      </c>
      <c r="AL36" s="487">
        <v>187881</v>
      </c>
      <c r="AM36" s="487">
        <v>188131</v>
      </c>
      <c r="AN36" s="487">
        <v>172454</v>
      </c>
      <c r="AO36" s="487">
        <v>189339</v>
      </c>
      <c r="AP36" s="487">
        <v>188727</v>
      </c>
      <c r="AQ36" s="487">
        <v>188282</v>
      </c>
      <c r="AR36" s="487">
        <v>171446</v>
      </c>
      <c r="AS36" s="487">
        <v>171772</v>
      </c>
      <c r="AT36" s="487">
        <v>171692</v>
      </c>
      <c r="AU36" s="487">
        <v>171274</v>
      </c>
      <c r="AV36" s="487">
        <v>170769</v>
      </c>
      <c r="AW36" s="487">
        <v>171575</v>
      </c>
      <c r="AX36" s="487">
        <v>171745</v>
      </c>
      <c r="AY36" s="487">
        <v>171898</v>
      </c>
      <c r="AZ36" s="487">
        <v>172553</v>
      </c>
      <c r="BA36" s="487">
        <v>173531</v>
      </c>
      <c r="BB36" s="487">
        <v>173196</v>
      </c>
      <c r="BC36" s="487">
        <v>174278</v>
      </c>
      <c r="BD36" s="487">
        <v>176104</v>
      </c>
      <c r="BE36" s="487">
        <v>177314</v>
      </c>
      <c r="BF36" s="487">
        <v>177385</v>
      </c>
      <c r="BG36" s="487">
        <v>177219</v>
      </c>
      <c r="BH36" s="487">
        <v>176780</v>
      </c>
      <c r="BI36" s="487">
        <v>182300</v>
      </c>
      <c r="BJ36" s="487">
        <v>183893</v>
      </c>
      <c r="BK36" s="487">
        <v>187852</v>
      </c>
      <c r="BL36" s="487">
        <v>190943</v>
      </c>
      <c r="BM36" s="487">
        <v>194329</v>
      </c>
      <c r="BN36" s="487">
        <v>194667</v>
      </c>
      <c r="BO36" s="487">
        <v>211346</v>
      </c>
      <c r="BP36" s="487">
        <v>212297</v>
      </c>
      <c r="BQ36" s="487">
        <v>213544</v>
      </c>
      <c r="BR36" s="487">
        <f>VLOOKUP(D36,'[3]Balanço '!$A$15:$G$33,7,FALSE)</f>
        <v>212950</v>
      </c>
    </row>
    <row r="37" spans="1:70" ht="14.1" customHeight="1" x14ac:dyDescent="0.2">
      <c r="A37" s="478" t="s">
        <v>1426</v>
      </c>
      <c r="B37" s="478" t="s">
        <v>1446</v>
      </c>
      <c r="D37" s="711" t="str">
        <f>IF([1]RENAME!$H$3=1,B37,A37)</f>
        <v>Direito de uso</v>
      </c>
      <c r="E37" s="512">
        <v>0</v>
      </c>
      <c r="F37" s="512">
        <v>0</v>
      </c>
      <c r="G37" s="512">
        <v>0</v>
      </c>
      <c r="H37" s="512">
        <v>0</v>
      </c>
      <c r="I37" s="512">
        <v>0</v>
      </c>
      <c r="J37" s="512">
        <v>0</v>
      </c>
      <c r="K37" s="512">
        <v>0</v>
      </c>
      <c r="L37" s="512">
        <v>0</v>
      </c>
      <c r="M37" s="512">
        <v>0</v>
      </c>
      <c r="N37" s="512">
        <v>0</v>
      </c>
      <c r="O37" s="512">
        <v>0</v>
      </c>
      <c r="P37" s="512">
        <v>0</v>
      </c>
      <c r="Q37" s="491">
        <v>0</v>
      </c>
      <c r="R37" s="512">
        <v>0</v>
      </c>
      <c r="S37" s="512">
        <v>0</v>
      </c>
      <c r="T37" s="512">
        <v>0</v>
      </c>
      <c r="U37" s="512">
        <v>0</v>
      </c>
      <c r="V37" s="512">
        <v>0</v>
      </c>
      <c r="W37" s="512">
        <v>0</v>
      </c>
      <c r="X37" s="512">
        <v>0</v>
      </c>
      <c r="Y37" s="512">
        <v>0</v>
      </c>
      <c r="Z37" s="512">
        <v>0</v>
      </c>
      <c r="AA37" s="512">
        <v>0</v>
      </c>
      <c r="AB37" s="512">
        <v>0</v>
      </c>
      <c r="AC37" s="512">
        <v>0</v>
      </c>
      <c r="AD37" s="512">
        <v>0</v>
      </c>
      <c r="AE37" s="512">
        <v>0</v>
      </c>
      <c r="AF37" s="512">
        <v>0</v>
      </c>
      <c r="AG37" s="512">
        <v>0</v>
      </c>
      <c r="AH37" s="512">
        <v>0</v>
      </c>
      <c r="AI37" s="512">
        <v>0</v>
      </c>
      <c r="AJ37" s="512">
        <v>0</v>
      </c>
      <c r="AK37" s="512">
        <v>0</v>
      </c>
      <c r="AL37" s="512">
        <v>0</v>
      </c>
      <c r="AM37" s="512">
        <v>0</v>
      </c>
      <c r="AN37" s="512">
        <v>0</v>
      </c>
      <c r="AO37" s="512">
        <v>65793.457500000004</v>
      </c>
      <c r="AP37" s="512">
        <v>81628</v>
      </c>
      <c r="AQ37" s="512">
        <v>81085</v>
      </c>
      <c r="AR37" s="512">
        <v>70929</v>
      </c>
      <c r="AS37" s="512">
        <v>78160</v>
      </c>
      <c r="AT37" s="512">
        <v>68600</v>
      </c>
      <c r="AU37" s="512">
        <v>59645</v>
      </c>
      <c r="AV37" s="512">
        <v>51503</v>
      </c>
      <c r="AW37" s="512">
        <v>80788</v>
      </c>
      <c r="AX37" s="512">
        <v>74063</v>
      </c>
      <c r="AY37" s="512">
        <v>67541</v>
      </c>
      <c r="AZ37" s="512">
        <v>61825</v>
      </c>
      <c r="BA37" s="512">
        <v>58392</v>
      </c>
      <c r="BB37" s="512">
        <v>54321</v>
      </c>
      <c r="BC37" s="512">
        <v>56371</v>
      </c>
      <c r="BD37" s="512">
        <v>48466</v>
      </c>
      <c r="BE37" s="512">
        <v>69071</v>
      </c>
      <c r="BF37" s="512">
        <v>74071</v>
      </c>
      <c r="BG37" s="512">
        <v>67699</v>
      </c>
      <c r="BH37" s="512">
        <v>65149</v>
      </c>
      <c r="BI37" s="512">
        <v>60067</v>
      </c>
      <c r="BJ37" s="512">
        <v>60930</v>
      </c>
      <c r="BK37" s="512">
        <v>53203</v>
      </c>
      <c r="BL37" s="512">
        <v>65019</v>
      </c>
      <c r="BM37" s="512">
        <v>81806</v>
      </c>
      <c r="BN37" s="512">
        <v>78646</v>
      </c>
      <c r="BO37" s="512">
        <v>73195</v>
      </c>
      <c r="BP37" s="512">
        <v>68250</v>
      </c>
      <c r="BQ37" s="512">
        <v>59338</v>
      </c>
      <c r="BR37" s="512">
        <f>VLOOKUP(D37,'[3]Balanço '!$A$15:$G$33,7,FALSE)</f>
        <v>75656</v>
      </c>
    </row>
    <row r="38" spans="1:70" ht="6.75" customHeight="1" x14ac:dyDescent="0.2">
      <c r="D38" s="499"/>
      <c r="E38" s="727"/>
      <c r="F38" s="727"/>
      <c r="G38" s="727"/>
      <c r="H38" s="727"/>
      <c r="I38" s="727"/>
      <c r="J38" s="727"/>
      <c r="K38" s="727"/>
      <c r="L38" s="727"/>
      <c r="M38" s="727"/>
      <c r="N38" s="727"/>
      <c r="O38" s="727"/>
      <c r="P38" s="727"/>
      <c r="Q38" s="726"/>
      <c r="R38" s="727"/>
      <c r="S38" s="727"/>
      <c r="T38" s="727"/>
      <c r="U38" s="727"/>
      <c r="V38" s="724">
        <f t="shared" ref="V38:AE38" si="21">+V36-163924</f>
        <v>7608</v>
      </c>
      <c r="W38" s="724">
        <f t="shared" si="21"/>
        <v>7040</v>
      </c>
      <c r="X38" s="724">
        <f t="shared" si="21"/>
        <v>7314</v>
      </c>
      <c r="Y38" s="724">
        <f t="shared" si="21"/>
        <v>13830</v>
      </c>
      <c r="Z38" s="724">
        <f t="shared" si="21"/>
        <v>14564</v>
      </c>
      <c r="AA38" s="724">
        <f t="shared" si="21"/>
        <v>14920</v>
      </c>
      <c r="AB38" s="724">
        <f t="shared" si="21"/>
        <v>14703</v>
      </c>
      <c r="AC38" s="724">
        <f t="shared" si="21"/>
        <v>13662</v>
      </c>
      <c r="AD38" s="724">
        <f t="shared" si="21"/>
        <v>15359</v>
      </c>
      <c r="AE38" s="724">
        <f t="shared" si="21"/>
        <v>13762</v>
      </c>
      <c r="AF38" s="724">
        <v>12897</v>
      </c>
      <c r="AG38" s="724">
        <v>12969</v>
      </c>
      <c r="AH38" s="724">
        <v>11301</v>
      </c>
      <c r="AI38" s="732" t="s">
        <v>89</v>
      </c>
      <c r="AJ38" s="732" t="s">
        <v>89</v>
      </c>
      <c r="AK38" s="733" t="s">
        <v>89</v>
      </c>
      <c r="AL38" s="733" t="s">
        <v>89</v>
      </c>
      <c r="AM38" s="733" t="s">
        <v>89</v>
      </c>
      <c r="AN38" s="733" t="s">
        <v>89</v>
      </c>
      <c r="AO38" s="733" t="s">
        <v>89</v>
      </c>
      <c r="AP38" s="733" t="s">
        <v>89</v>
      </c>
      <c r="AQ38" s="733" t="s">
        <v>89</v>
      </c>
      <c r="AR38" s="733" t="s">
        <v>89</v>
      </c>
      <c r="AS38" s="733" t="s">
        <v>89</v>
      </c>
      <c r="AT38" s="733" t="s">
        <v>89</v>
      </c>
      <c r="AU38" s="733" t="s">
        <v>89</v>
      </c>
      <c r="AV38" s="733" t="s">
        <v>89</v>
      </c>
      <c r="AW38" s="733" t="s">
        <v>89</v>
      </c>
      <c r="AX38" s="733" t="s">
        <v>89</v>
      </c>
      <c r="AY38" s="733" t="s">
        <v>89</v>
      </c>
      <c r="AZ38" s="733"/>
      <c r="BA38" s="733"/>
      <c r="BB38" s="733" t="s">
        <v>89</v>
      </c>
      <c r="BC38" s="733" t="s">
        <v>89</v>
      </c>
      <c r="BD38" s="733" t="s">
        <v>89</v>
      </c>
      <c r="BE38" s="733" t="s">
        <v>89</v>
      </c>
      <c r="BF38" s="733" t="s">
        <v>89</v>
      </c>
      <c r="BG38" s="733" t="s">
        <v>89</v>
      </c>
      <c r="BH38" s="733" t="s">
        <v>89</v>
      </c>
      <c r="BI38" s="733"/>
      <c r="BJ38" s="733"/>
      <c r="BK38" s="733"/>
      <c r="BL38" s="733" t="s">
        <v>89</v>
      </c>
      <c r="BM38" s="733"/>
      <c r="BN38" s="733" t="s">
        <v>89</v>
      </c>
      <c r="BO38" s="733" t="s">
        <v>89</v>
      </c>
      <c r="BP38" s="733" t="s">
        <v>89</v>
      </c>
      <c r="BQ38" s="733" t="s">
        <v>89</v>
      </c>
      <c r="BR38" s="733" t="s">
        <v>89</v>
      </c>
    </row>
    <row r="39" spans="1:70" ht="14.1" customHeight="1" x14ac:dyDescent="0.2">
      <c r="A39" s="478" t="s">
        <v>38</v>
      </c>
      <c r="B39" s="478" t="s">
        <v>658</v>
      </c>
      <c r="D39" s="483" t="str">
        <f>IF([1]RENAME!$H$3=1,B39,A39)</f>
        <v>Total do ativo</v>
      </c>
      <c r="E39" s="484">
        <f t="shared" ref="E39:AR39" si="22">SUM(E6,E21,E23,E33)</f>
        <v>515057</v>
      </c>
      <c r="F39" s="484">
        <f t="shared" si="22"/>
        <v>589491</v>
      </c>
      <c r="G39" s="484">
        <f t="shared" si="22"/>
        <v>581921</v>
      </c>
      <c r="H39" s="484">
        <f t="shared" si="22"/>
        <v>600947.54894824373</v>
      </c>
      <c r="I39" s="484">
        <f t="shared" si="22"/>
        <v>737083</v>
      </c>
      <c r="J39" s="485">
        <f t="shared" si="22"/>
        <v>760015</v>
      </c>
      <c r="K39" s="484">
        <f t="shared" si="22"/>
        <v>910136</v>
      </c>
      <c r="L39" s="484">
        <f t="shared" si="22"/>
        <v>922687</v>
      </c>
      <c r="M39" s="484">
        <f t="shared" si="22"/>
        <v>975517</v>
      </c>
      <c r="N39" s="484">
        <f t="shared" si="22"/>
        <v>1019407</v>
      </c>
      <c r="O39" s="484">
        <f t="shared" si="22"/>
        <v>1071960</v>
      </c>
      <c r="P39" s="484">
        <f t="shared" si="22"/>
        <v>1056660</v>
      </c>
      <c r="Q39" s="485">
        <f t="shared" si="22"/>
        <v>1291224</v>
      </c>
      <c r="R39" s="484">
        <f t="shared" si="22"/>
        <v>1363118</v>
      </c>
      <c r="S39" s="484">
        <f t="shared" si="22"/>
        <v>1193809</v>
      </c>
      <c r="T39" s="484">
        <f t="shared" si="22"/>
        <v>1200483</v>
      </c>
      <c r="U39" s="484">
        <f t="shared" si="22"/>
        <v>1162183</v>
      </c>
      <c r="V39" s="485">
        <f t="shared" si="22"/>
        <v>1096268</v>
      </c>
      <c r="W39" s="484">
        <f t="shared" si="22"/>
        <v>1011372</v>
      </c>
      <c r="X39" s="484">
        <f t="shared" si="22"/>
        <v>1054376</v>
      </c>
      <c r="Y39" s="484">
        <f t="shared" si="22"/>
        <v>1075934</v>
      </c>
      <c r="Z39" s="484">
        <f t="shared" si="22"/>
        <v>893842</v>
      </c>
      <c r="AA39" s="484">
        <f t="shared" si="22"/>
        <v>897042</v>
      </c>
      <c r="AB39" s="484">
        <f t="shared" si="22"/>
        <v>909304</v>
      </c>
      <c r="AC39" s="484">
        <f t="shared" si="22"/>
        <v>870381</v>
      </c>
      <c r="AD39" s="484">
        <f t="shared" si="22"/>
        <v>857571</v>
      </c>
      <c r="AE39" s="484">
        <f t="shared" si="22"/>
        <v>860516</v>
      </c>
      <c r="AF39" s="484">
        <f t="shared" si="22"/>
        <v>828122</v>
      </c>
      <c r="AG39" s="484">
        <f t="shared" si="22"/>
        <v>728667</v>
      </c>
      <c r="AH39" s="484">
        <f t="shared" si="22"/>
        <v>810638</v>
      </c>
      <c r="AI39" s="484">
        <f t="shared" si="22"/>
        <v>764181</v>
      </c>
      <c r="AJ39" s="484">
        <f t="shared" si="22"/>
        <v>837851</v>
      </c>
      <c r="AK39" s="484">
        <f t="shared" si="22"/>
        <v>760505</v>
      </c>
      <c r="AL39" s="484">
        <f t="shared" si="22"/>
        <v>737154</v>
      </c>
      <c r="AM39" s="484">
        <f t="shared" si="22"/>
        <v>773129</v>
      </c>
      <c r="AN39" s="484">
        <f t="shared" si="22"/>
        <v>809433</v>
      </c>
      <c r="AO39" s="484">
        <f>SUM(AO6,AN21,AO23,AO33)</f>
        <v>875982.45750000002</v>
      </c>
      <c r="AP39" s="484">
        <f t="shared" si="22"/>
        <v>899895</v>
      </c>
      <c r="AQ39" s="484">
        <f t="shared" si="22"/>
        <v>1000216</v>
      </c>
      <c r="AR39" s="484">
        <f t="shared" si="22"/>
        <v>985421</v>
      </c>
      <c r="AS39" s="484">
        <f t="shared" ref="AS39:BB39" si="23">SUM(AS6,AS21,AS23,AS33)</f>
        <v>969368</v>
      </c>
      <c r="AT39" s="484">
        <f t="shared" si="23"/>
        <v>1043911</v>
      </c>
      <c r="AU39" s="484">
        <f t="shared" si="23"/>
        <v>1031401</v>
      </c>
      <c r="AV39" s="484">
        <f t="shared" si="23"/>
        <v>1026932</v>
      </c>
      <c r="AW39" s="484">
        <f t="shared" si="23"/>
        <v>1059456</v>
      </c>
      <c r="AX39" s="484">
        <f t="shared" si="23"/>
        <v>1028435</v>
      </c>
      <c r="AY39" s="484">
        <f t="shared" si="23"/>
        <v>1014024</v>
      </c>
      <c r="AZ39" s="484">
        <f t="shared" si="23"/>
        <v>1044778</v>
      </c>
      <c r="BA39" s="484">
        <f t="shared" si="23"/>
        <v>1028865</v>
      </c>
      <c r="BB39" s="484">
        <f t="shared" si="23"/>
        <v>985942</v>
      </c>
      <c r="BC39" s="484">
        <f t="shared" ref="BC39:BI39" si="24">SUM(BC6,BC21,BC23,BC33)</f>
        <v>1035433</v>
      </c>
      <c r="BD39" s="484">
        <f t="shared" si="24"/>
        <v>1111080</v>
      </c>
      <c r="BE39" s="484">
        <f t="shared" si="24"/>
        <v>1130840</v>
      </c>
      <c r="BF39" s="484">
        <f t="shared" si="24"/>
        <v>1129596</v>
      </c>
      <c r="BG39" s="484">
        <f t="shared" si="24"/>
        <v>1166098</v>
      </c>
      <c r="BH39" s="484">
        <f t="shared" si="24"/>
        <v>1199711</v>
      </c>
      <c r="BI39" s="484">
        <f t="shared" si="24"/>
        <v>1221936</v>
      </c>
      <c r="BJ39" s="484">
        <f t="shared" ref="BJ39:BO39" si="25">SUM(BJ6,BJ21,BJ23,BJ33)</f>
        <v>1268379</v>
      </c>
      <c r="BK39" s="484">
        <f t="shared" si="25"/>
        <v>1287540</v>
      </c>
      <c r="BL39" s="484">
        <f t="shared" si="25"/>
        <v>1329394</v>
      </c>
      <c r="BM39" s="484">
        <f t="shared" si="25"/>
        <v>1349304</v>
      </c>
      <c r="BN39" s="484">
        <f t="shared" si="25"/>
        <v>1397078</v>
      </c>
      <c r="BO39" s="484">
        <f t="shared" si="25"/>
        <v>1392114</v>
      </c>
      <c r="BP39" s="484">
        <f>SUM(BP6,BP21,BP23,BP33)</f>
        <v>1336745</v>
      </c>
      <c r="BQ39" s="484">
        <f>SUM(BQ6,BQ21,BQ23,BQ33)</f>
        <v>1366388</v>
      </c>
      <c r="BR39" s="484">
        <f>SUM(BR6,BR21,BR23,BR33)</f>
        <v>1528312</v>
      </c>
    </row>
    <row r="40" spans="1:70" ht="14.1" customHeight="1" x14ac:dyDescent="0.2">
      <c r="E40" s="734"/>
      <c r="F40" s="734"/>
      <c r="G40" s="734"/>
      <c r="H40" s="734"/>
      <c r="I40" s="734">
        <f t="shared" ref="I40:AG40" si="26">I43+I44+I62+I64+I57-I16-I30</f>
        <v>114814</v>
      </c>
      <c r="J40" s="734">
        <f t="shared" si="26"/>
        <v>175386</v>
      </c>
      <c r="K40" s="734">
        <f t="shared" si="26"/>
        <v>261128</v>
      </c>
      <c r="L40" s="734">
        <f t="shared" si="26"/>
        <v>263030</v>
      </c>
      <c r="M40" s="734">
        <f t="shared" si="26"/>
        <v>264571</v>
      </c>
      <c r="N40" s="734">
        <f t="shared" si="26"/>
        <v>280597</v>
      </c>
      <c r="O40" s="734">
        <f t="shared" si="26"/>
        <v>293629</v>
      </c>
      <c r="P40" s="734">
        <f t="shared" si="26"/>
        <v>302392</v>
      </c>
      <c r="Q40" s="734">
        <f t="shared" si="26"/>
        <v>536637</v>
      </c>
      <c r="R40" s="734">
        <f t="shared" si="26"/>
        <v>566387</v>
      </c>
      <c r="S40" s="734">
        <f t="shared" si="26"/>
        <v>461495</v>
      </c>
      <c r="T40" s="734">
        <f t="shared" si="26"/>
        <v>484647</v>
      </c>
      <c r="U40" s="734">
        <f t="shared" si="26"/>
        <v>495083</v>
      </c>
      <c r="V40" s="734">
        <f t="shared" si="26"/>
        <v>414446</v>
      </c>
      <c r="W40" s="734">
        <f t="shared" si="26"/>
        <v>489051</v>
      </c>
      <c r="X40" s="734">
        <f t="shared" si="26"/>
        <v>493332</v>
      </c>
      <c r="Y40" s="734">
        <f t="shared" si="26"/>
        <v>490649</v>
      </c>
      <c r="Z40" s="734">
        <f t="shared" si="26"/>
        <v>364474</v>
      </c>
      <c r="AA40" s="734">
        <f t="shared" si="26"/>
        <v>363556</v>
      </c>
      <c r="AB40" s="734">
        <f t="shared" si="26"/>
        <v>364297</v>
      </c>
      <c r="AC40" s="734">
        <f t="shared" si="26"/>
        <v>341865</v>
      </c>
      <c r="AD40" s="734">
        <f t="shared" si="26"/>
        <v>342593</v>
      </c>
      <c r="AE40" s="734">
        <f t="shared" si="26"/>
        <v>341733</v>
      </c>
      <c r="AF40" s="734">
        <f t="shared" si="26"/>
        <v>291577</v>
      </c>
      <c r="AG40" s="734">
        <f t="shared" si="26"/>
        <v>221452</v>
      </c>
      <c r="AH40" s="734">
        <v>273851</v>
      </c>
      <c r="AI40" s="734">
        <f t="shared" ref="AI40:AN40" si="27">AI43+AI44+AI62+AI64+AI57-AI16-AI30</f>
        <v>219975</v>
      </c>
      <c r="AJ40" s="734">
        <f t="shared" si="27"/>
        <v>222874</v>
      </c>
      <c r="AK40" s="734">
        <f t="shared" si="27"/>
        <v>154169</v>
      </c>
      <c r="AL40" s="734">
        <f t="shared" si="27"/>
        <v>148113</v>
      </c>
      <c r="AM40" s="734">
        <f t="shared" si="27"/>
        <v>158913</v>
      </c>
      <c r="AN40" s="734">
        <f t="shared" si="27"/>
        <v>158586</v>
      </c>
      <c r="AO40" s="734">
        <v>142726</v>
      </c>
      <c r="AP40" s="734">
        <v>138647</v>
      </c>
      <c r="AQ40" s="734">
        <v>140100</v>
      </c>
      <c r="AR40" s="734">
        <v>137418</v>
      </c>
      <c r="AS40" s="734">
        <f t="shared" ref="AS40:BA40" si="28">AS43+AS44+AS62+AS64+AS57-AS16-AS30</f>
        <v>133519</v>
      </c>
      <c r="AT40" s="734">
        <f t="shared" si="28"/>
        <v>223997</v>
      </c>
      <c r="AU40" s="734">
        <f t="shared" si="28"/>
        <v>193443</v>
      </c>
      <c r="AV40" s="734">
        <f t="shared" si="28"/>
        <v>193811</v>
      </c>
      <c r="AW40" s="734">
        <f t="shared" si="28"/>
        <v>194589</v>
      </c>
      <c r="AX40" s="734">
        <f t="shared" si="28"/>
        <v>152313</v>
      </c>
      <c r="AY40" s="734">
        <f t="shared" si="28"/>
        <v>127676</v>
      </c>
      <c r="AZ40" s="734">
        <f t="shared" si="28"/>
        <v>128886</v>
      </c>
      <c r="BA40" s="734">
        <f t="shared" si="28"/>
        <v>119250</v>
      </c>
      <c r="BB40" s="734">
        <v>68411</v>
      </c>
      <c r="BC40" s="734">
        <f t="shared" ref="BC40:BR40" si="29">BC43+BC44+BC62+BC64+BC57-BC16-BC30</f>
        <v>66432</v>
      </c>
      <c r="BD40" s="734">
        <f t="shared" si="29"/>
        <v>101740</v>
      </c>
      <c r="BE40" s="734">
        <f t="shared" si="29"/>
        <v>90366</v>
      </c>
      <c r="BF40" s="734">
        <f t="shared" si="29"/>
        <v>91267</v>
      </c>
      <c r="BG40" s="734">
        <f t="shared" si="29"/>
        <v>95806</v>
      </c>
      <c r="BH40" s="734">
        <f t="shared" si="29"/>
        <v>101599</v>
      </c>
      <c r="BI40" s="734">
        <f t="shared" si="29"/>
        <v>107217</v>
      </c>
      <c r="BJ40" s="734">
        <f t="shared" si="29"/>
        <v>105966</v>
      </c>
      <c r="BK40" s="734">
        <f t="shared" si="29"/>
        <v>105679</v>
      </c>
      <c r="BL40" s="734">
        <f t="shared" si="29"/>
        <v>105996</v>
      </c>
      <c r="BM40" s="734">
        <f t="shared" si="29"/>
        <v>110285</v>
      </c>
      <c r="BN40" s="734">
        <f t="shared" si="29"/>
        <v>111205</v>
      </c>
      <c r="BO40" s="734">
        <f t="shared" si="29"/>
        <v>85819</v>
      </c>
      <c r="BP40" s="734">
        <f t="shared" si="29"/>
        <v>125950</v>
      </c>
      <c r="BQ40" s="734">
        <f t="shared" si="29"/>
        <v>125204</v>
      </c>
      <c r="BR40" s="734">
        <f t="shared" si="29"/>
        <v>141014</v>
      </c>
    </row>
    <row r="41" spans="1:70" ht="14.1" customHeight="1" x14ac:dyDescent="0.2">
      <c r="A41" s="478" t="s">
        <v>449</v>
      </c>
      <c r="B41" s="478" t="s">
        <v>659</v>
      </c>
      <c r="D41" s="480" t="str">
        <f>IF([1]RENAME!$H$3=1,B41,A41)</f>
        <v>Balanço patrimonial consolidado</v>
      </c>
      <c r="E41" s="535" t="str">
        <f t="shared" ref="E41:AG41" si="30">E5</f>
        <v>2007</v>
      </c>
      <c r="F41" s="535" t="str">
        <f t="shared" si="30"/>
        <v>2008</v>
      </c>
      <c r="G41" s="535" t="str">
        <f t="shared" si="30"/>
        <v>2009</v>
      </c>
      <c r="H41" s="535" t="str">
        <f t="shared" si="30"/>
        <v>2010</v>
      </c>
      <c r="I41" s="535" t="str">
        <f t="shared" si="30"/>
        <v>1T11</v>
      </c>
      <c r="J41" s="482" t="str">
        <f t="shared" si="30"/>
        <v>2T11</v>
      </c>
      <c r="K41" s="481" t="str">
        <f t="shared" si="30"/>
        <v>3T11</v>
      </c>
      <c r="L41" s="481" t="str">
        <f t="shared" si="30"/>
        <v>4T11</v>
      </c>
      <c r="M41" s="481" t="str">
        <f t="shared" si="30"/>
        <v>1T12</v>
      </c>
      <c r="N41" s="481" t="str">
        <f t="shared" si="30"/>
        <v>2T12</v>
      </c>
      <c r="O41" s="481" t="str">
        <f t="shared" si="30"/>
        <v>3T12</v>
      </c>
      <c r="P41" s="481" t="str">
        <f t="shared" si="30"/>
        <v>4T12</v>
      </c>
      <c r="Q41" s="481" t="str">
        <f t="shared" si="30"/>
        <v>1T13</v>
      </c>
      <c r="R41" s="481" t="str">
        <f t="shared" si="30"/>
        <v>2T13</v>
      </c>
      <c r="S41" s="481" t="str">
        <f t="shared" si="30"/>
        <v>3T13</v>
      </c>
      <c r="T41" s="481" t="str">
        <f t="shared" si="30"/>
        <v>4T13</v>
      </c>
      <c r="U41" s="481" t="str">
        <f t="shared" si="30"/>
        <v>1T14</v>
      </c>
      <c r="V41" s="482" t="str">
        <f t="shared" si="30"/>
        <v>2T14</v>
      </c>
      <c r="W41" s="481" t="str">
        <f t="shared" si="30"/>
        <v>3T14</v>
      </c>
      <c r="X41" s="481" t="str">
        <f t="shared" si="30"/>
        <v>4T14</v>
      </c>
      <c r="Y41" s="481" t="str">
        <f t="shared" si="30"/>
        <v>1T15</v>
      </c>
      <c r="Z41" s="481" t="str">
        <f t="shared" si="30"/>
        <v>2T15</v>
      </c>
      <c r="AA41" s="481" t="str">
        <f t="shared" si="30"/>
        <v>3T15</v>
      </c>
      <c r="AB41" s="481" t="str">
        <f t="shared" si="30"/>
        <v>4T15</v>
      </c>
      <c r="AC41" s="481" t="str">
        <f t="shared" si="30"/>
        <v>1T16</v>
      </c>
      <c r="AD41" s="481" t="str">
        <f t="shared" si="30"/>
        <v>2T16</v>
      </c>
      <c r="AE41" s="481" t="str">
        <f t="shared" si="30"/>
        <v>3T16</v>
      </c>
      <c r="AF41" s="481" t="str">
        <f t="shared" si="30"/>
        <v>4T16</v>
      </c>
      <c r="AG41" s="481" t="str">
        <f t="shared" si="30"/>
        <v>1T17</v>
      </c>
      <c r="AH41" s="481" t="s">
        <v>575</v>
      </c>
      <c r="AI41" s="481" t="str">
        <f t="shared" ref="AI41:AS41" si="31">AI5</f>
        <v>3T17</v>
      </c>
      <c r="AJ41" s="481" t="str">
        <f t="shared" si="31"/>
        <v>4T17</v>
      </c>
      <c r="AK41" s="481" t="str">
        <f t="shared" si="31"/>
        <v>1T18</v>
      </c>
      <c r="AL41" s="481" t="str">
        <f t="shared" si="31"/>
        <v>2T18</v>
      </c>
      <c r="AM41" s="481" t="str">
        <f t="shared" si="31"/>
        <v>3T18</v>
      </c>
      <c r="AN41" s="481" t="str">
        <f t="shared" si="31"/>
        <v>4T18</v>
      </c>
      <c r="AO41" s="481" t="str">
        <f t="shared" si="31"/>
        <v>1T19</v>
      </c>
      <c r="AP41" s="481" t="str">
        <f t="shared" si="31"/>
        <v>2T19</v>
      </c>
      <c r="AQ41" s="481" t="str">
        <f t="shared" si="31"/>
        <v>3T19</v>
      </c>
      <c r="AR41" s="481" t="str">
        <f t="shared" si="31"/>
        <v>4T19</v>
      </c>
      <c r="AS41" s="481" t="str">
        <f t="shared" si="31"/>
        <v>1T20</v>
      </c>
      <c r="AT41" s="481" t="str">
        <f>AT5</f>
        <v>2T20</v>
      </c>
      <c r="AU41" s="481" t="str">
        <f>AU5</f>
        <v>3T20</v>
      </c>
      <c r="AV41" s="481" t="str">
        <f>AV5</f>
        <v>4T20</v>
      </c>
      <c r="AW41" s="481" t="str">
        <f>AW5</f>
        <v>1T21</v>
      </c>
      <c r="AX41" s="481" t="str">
        <f>AX5</f>
        <v>2T21</v>
      </c>
      <c r="AY41" s="481" t="str">
        <f t="shared" ref="AY41:BD41" si="32">AY5</f>
        <v>3T21</v>
      </c>
      <c r="AZ41" s="481" t="str">
        <f t="shared" si="32"/>
        <v>4T21</v>
      </c>
      <c r="BA41" s="481" t="str">
        <f t="shared" si="32"/>
        <v>1T22</v>
      </c>
      <c r="BB41" s="481" t="str">
        <f t="shared" si="32"/>
        <v>2T22</v>
      </c>
      <c r="BC41" s="481" t="str">
        <f t="shared" si="32"/>
        <v>3T22</v>
      </c>
      <c r="BD41" s="481" t="str">
        <f t="shared" si="32"/>
        <v>4T22</v>
      </c>
      <c r="BE41" s="481" t="str">
        <f t="shared" ref="BE41:BO41" si="33">BE5</f>
        <v>1T23</v>
      </c>
      <c r="BF41" s="481" t="str">
        <f t="shared" si="33"/>
        <v>2T23</v>
      </c>
      <c r="BG41" s="481" t="str">
        <f t="shared" si="33"/>
        <v>3T23</v>
      </c>
      <c r="BH41" s="481" t="str">
        <f t="shared" si="33"/>
        <v>4T23</v>
      </c>
      <c r="BI41" s="481" t="str">
        <f t="shared" si="33"/>
        <v>1T24</v>
      </c>
      <c r="BJ41" s="481" t="str">
        <f t="shared" si="33"/>
        <v>2T24</v>
      </c>
      <c r="BK41" s="481" t="str">
        <f t="shared" si="33"/>
        <v>3T24</v>
      </c>
      <c r="BL41" s="481" t="str">
        <f>BL5</f>
        <v>4T24</v>
      </c>
      <c r="BM41" s="481" t="str">
        <f>BM5</f>
        <v>1T25</v>
      </c>
      <c r="BN41" s="481" t="str">
        <f>BN5</f>
        <v>2T25</v>
      </c>
      <c r="BO41" s="481" t="str">
        <f t="shared" si="33"/>
        <v>3T25</v>
      </c>
      <c r="BP41" s="481" t="str">
        <f>BP5</f>
        <v>4T25</v>
      </c>
      <c r="BQ41" s="535" t="str">
        <f>BQ5</f>
        <v>1T26</v>
      </c>
      <c r="BR41" s="535" t="str">
        <f>BR5</f>
        <v>2T26</v>
      </c>
    </row>
    <row r="42" spans="1:70" ht="14.1" customHeight="1" x14ac:dyDescent="0.2">
      <c r="A42" s="478" t="s">
        <v>39</v>
      </c>
      <c r="B42" s="478" t="s">
        <v>660</v>
      </c>
      <c r="D42" s="483" t="str">
        <f>IF([1]RENAME!$H$3=1,B42,A42)</f>
        <v>Passivo circulante</v>
      </c>
      <c r="E42" s="484">
        <f t="shared" ref="E42:AG42" si="34">SUM(E43:E59)</f>
        <v>123214</v>
      </c>
      <c r="F42" s="484">
        <f t="shared" si="34"/>
        <v>172956</v>
      </c>
      <c r="G42" s="484">
        <f t="shared" si="34"/>
        <v>189702</v>
      </c>
      <c r="H42" s="484">
        <f t="shared" si="34"/>
        <v>142004</v>
      </c>
      <c r="I42" s="484">
        <f t="shared" si="34"/>
        <v>232269</v>
      </c>
      <c r="J42" s="485">
        <f t="shared" si="34"/>
        <v>267591</v>
      </c>
      <c r="K42" s="484">
        <f t="shared" si="34"/>
        <v>158434</v>
      </c>
      <c r="L42" s="484">
        <f t="shared" si="34"/>
        <v>150595</v>
      </c>
      <c r="M42" s="484">
        <f t="shared" si="34"/>
        <v>183699</v>
      </c>
      <c r="N42" s="484">
        <f t="shared" si="34"/>
        <v>410131</v>
      </c>
      <c r="O42" s="484">
        <f t="shared" si="34"/>
        <v>402365</v>
      </c>
      <c r="P42" s="484">
        <f t="shared" si="34"/>
        <v>398631</v>
      </c>
      <c r="Q42" s="485">
        <f t="shared" si="34"/>
        <v>427782</v>
      </c>
      <c r="R42" s="484">
        <f t="shared" si="34"/>
        <v>492462</v>
      </c>
      <c r="S42" s="484">
        <f t="shared" si="34"/>
        <v>379017</v>
      </c>
      <c r="T42" s="484">
        <f t="shared" si="34"/>
        <v>266364</v>
      </c>
      <c r="U42" s="484">
        <f t="shared" si="34"/>
        <v>241230</v>
      </c>
      <c r="V42" s="485">
        <f t="shared" si="34"/>
        <v>280021</v>
      </c>
      <c r="W42" s="484">
        <f t="shared" si="34"/>
        <v>161560</v>
      </c>
      <c r="X42" s="484">
        <f t="shared" si="34"/>
        <v>174059</v>
      </c>
      <c r="Y42" s="484">
        <f t="shared" si="34"/>
        <v>249546</v>
      </c>
      <c r="Z42" s="484">
        <f t="shared" si="34"/>
        <v>144036</v>
      </c>
      <c r="AA42" s="484">
        <f t="shared" si="34"/>
        <v>143964</v>
      </c>
      <c r="AB42" s="484">
        <f t="shared" si="34"/>
        <v>209648</v>
      </c>
      <c r="AC42" s="484">
        <f t="shared" si="34"/>
        <v>252074</v>
      </c>
      <c r="AD42" s="484">
        <f t="shared" si="34"/>
        <v>242992</v>
      </c>
      <c r="AE42" s="484">
        <f t="shared" si="34"/>
        <v>240793</v>
      </c>
      <c r="AF42" s="484">
        <f t="shared" si="34"/>
        <v>250848</v>
      </c>
      <c r="AG42" s="484">
        <f t="shared" si="34"/>
        <v>212116</v>
      </c>
      <c r="AH42" s="484">
        <v>206079</v>
      </c>
      <c r="AI42" s="484">
        <f t="shared" ref="AI42:BR42" si="35">+SUM(AI43:AI53)</f>
        <v>161436</v>
      </c>
      <c r="AJ42" s="484">
        <f t="shared" si="35"/>
        <v>187078</v>
      </c>
      <c r="AK42" s="484">
        <f t="shared" si="35"/>
        <v>145360</v>
      </c>
      <c r="AL42" s="484">
        <f t="shared" si="35"/>
        <v>176820</v>
      </c>
      <c r="AM42" s="484">
        <f t="shared" si="35"/>
        <v>151868</v>
      </c>
      <c r="AN42" s="484">
        <f t="shared" si="35"/>
        <v>170642</v>
      </c>
      <c r="AO42" s="484">
        <f t="shared" si="35"/>
        <v>134655.97785573493</v>
      </c>
      <c r="AP42" s="484">
        <f t="shared" si="35"/>
        <v>143636</v>
      </c>
      <c r="AQ42" s="484">
        <f t="shared" si="35"/>
        <v>269599</v>
      </c>
      <c r="AR42" s="484">
        <f t="shared" si="35"/>
        <v>268715</v>
      </c>
      <c r="AS42" s="484">
        <f t="shared" si="35"/>
        <v>224242</v>
      </c>
      <c r="AT42" s="484">
        <f t="shared" si="35"/>
        <v>268711</v>
      </c>
      <c r="AU42" s="484">
        <f t="shared" si="35"/>
        <v>211203</v>
      </c>
      <c r="AV42" s="484">
        <f t="shared" si="35"/>
        <v>205845</v>
      </c>
      <c r="AW42" s="484">
        <f t="shared" si="35"/>
        <v>201928</v>
      </c>
      <c r="AX42" s="484">
        <f t="shared" si="35"/>
        <v>216388</v>
      </c>
      <c r="AY42" s="484">
        <f t="shared" si="35"/>
        <v>197909</v>
      </c>
      <c r="AZ42" s="484">
        <f t="shared" si="35"/>
        <v>219730</v>
      </c>
      <c r="BA42" s="484">
        <f t="shared" si="35"/>
        <v>196907</v>
      </c>
      <c r="BB42" s="484">
        <f t="shared" si="35"/>
        <v>155290</v>
      </c>
      <c r="BC42" s="484">
        <f t="shared" si="35"/>
        <v>219791</v>
      </c>
      <c r="BD42" s="484">
        <f t="shared" si="35"/>
        <v>240365</v>
      </c>
      <c r="BE42" s="484">
        <f t="shared" si="35"/>
        <v>205045</v>
      </c>
      <c r="BF42" s="484">
        <f t="shared" si="35"/>
        <v>207866</v>
      </c>
      <c r="BG42" s="484">
        <f t="shared" si="35"/>
        <v>180813</v>
      </c>
      <c r="BH42" s="484">
        <f t="shared" si="35"/>
        <v>198094</v>
      </c>
      <c r="BI42" s="484">
        <f t="shared" si="35"/>
        <v>176361</v>
      </c>
      <c r="BJ42" s="484">
        <f t="shared" si="35"/>
        <v>201830</v>
      </c>
      <c r="BK42" s="484">
        <f t="shared" si="35"/>
        <v>246889</v>
      </c>
      <c r="BL42" s="484">
        <f t="shared" si="35"/>
        <v>262914</v>
      </c>
      <c r="BM42" s="484">
        <f t="shared" si="35"/>
        <v>221378</v>
      </c>
      <c r="BN42" s="484">
        <f t="shared" si="35"/>
        <v>248340</v>
      </c>
      <c r="BO42" s="484">
        <f t="shared" si="35"/>
        <v>275750</v>
      </c>
      <c r="BP42" s="484">
        <f t="shared" si="35"/>
        <v>293890</v>
      </c>
      <c r="BQ42" s="484">
        <f t="shared" si="35"/>
        <v>292320</v>
      </c>
      <c r="BR42" s="484">
        <f t="shared" si="35"/>
        <v>352891</v>
      </c>
    </row>
    <row r="43" spans="1:70" ht="14.1" customHeight="1" x14ac:dyDescent="0.2">
      <c r="A43" s="478" t="s">
        <v>16</v>
      </c>
      <c r="B43" s="478" t="s">
        <v>661</v>
      </c>
      <c r="C43" s="266" t="str">
        <f>IF([1]RENAME!$H$3=1,B43,A43)</f>
        <v>Empréstimos e financiamentos</v>
      </c>
      <c r="D43" s="486" t="str">
        <f>IF([1]RENAME!$H$3=1,B43,A43)</f>
        <v>Empréstimos e financiamentos</v>
      </c>
      <c r="E43" s="487">
        <v>7903</v>
      </c>
      <c r="F43" s="487">
        <v>34438</v>
      </c>
      <c r="G43" s="487">
        <v>39064</v>
      </c>
      <c r="H43" s="487">
        <v>18576</v>
      </c>
      <c r="I43" s="487">
        <v>78355</v>
      </c>
      <c r="J43" s="488">
        <v>138245</v>
      </c>
      <c r="K43" s="487">
        <v>12997</v>
      </c>
      <c r="L43" s="487">
        <v>18967</v>
      </c>
      <c r="M43" s="487">
        <v>20348</v>
      </c>
      <c r="N43" s="487">
        <v>235092</v>
      </c>
      <c r="O43" s="487">
        <v>214905</v>
      </c>
      <c r="P43" s="487">
        <v>225287</v>
      </c>
      <c r="Q43" s="488">
        <v>251932</v>
      </c>
      <c r="R43" s="487">
        <v>303395</v>
      </c>
      <c r="S43" s="487">
        <v>143918</v>
      </c>
      <c r="T43" s="487">
        <v>83235</v>
      </c>
      <c r="U43" s="487">
        <v>80949</v>
      </c>
      <c r="V43" s="488">
        <v>3909</v>
      </c>
      <c r="W43" s="487">
        <v>24323</v>
      </c>
      <c r="X43" s="487">
        <v>25980</v>
      </c>
      <c r="Y43" s="487">
        <v>100937</v>
      </c>
      <c r="Z43" s="487">
        <v>1949</v>
      </c>
      <c r="AA43" s="487">
        <v>1694</v>
      </c>
      <c r="AB43" s="487">
        <v>1295</v>
      </c>
      <c r="AC43" s="487">
        <v>1132</v>
      </c>
      <c r="AD43" s="487">
        <v>1087</v>
      </c>
      <c r="AE43" s="487">
        <v>1049</v>
      </c>
      <c r="AF43" s="487">
        <v>1048</v>
      </c>
      <c r="AG43" s="487">
        <v>921</v>
      </c>
      <c r="AH43" s="487">
        <v>953</v>
      </c>
      <c r="AI43" s="487">
        <v>1348</v>
      </c>
      <c r="AJ43" s="487">
        <v>1112</v>
      </c>
      <c r="AK43" s="487">
        <v>1507</v>
      </c>
      <c r="AL43" s="487">
        <v>43353</v>
      </c>
      <c r="AM43" s="487">
        <v>3990</v>
      </c>
      <c r="AN43" s="487">
        <v>6703</v>
      </c>
      <c r="AO43" s="487">
        <v>7558</v>
      </c>
      <c r="AP43" s="487">
        <v>8511</v>
      </c>
      <c r="AQ43" s="487">
        <v>64820</v>
      </c>
      <c r="AR43" s="487">
        <v>61022</v>
      </c>
      <c r="AS43" s="487">
        <v>73286</v>
      </c>
      <c r="AT43" s="487">
        <v>116354</v>
      </c>
      <c r="AU43" s="487">
        <v>43276</v>
      </c>
      <c r="AV43" s="487">
        <v>43764</v>
      </c>
      <c r="AW43" s="487">
        <v>54300</v>
      </c>
      <c r="AX43" s="487">
        <v>62243</v>
      </c>
      <c r="AY43" s="487">
        <v>62676</v>
      </c>
      <c r="AZ43" s="487">
        <v>63886</v>
      </c>
      <c r="BA43" s="487">
        <v>64250</v>
      </c>
      <c r="BB43" s="487">
        <v>13411</v>
      </c>
      <c r="BC43" s="487">
        <v>56432</v>
      </c>
      <c r="BD43" s="487">
        <v>59172</v>
      </c>
      <c r="BE43" s="487">
        <v>47798</v>
      </c>
      <c r="BF43" s="487">
        <v>58699</v>
      </c>
      <c r="BG43" s="487">
        <v>11972</v>
      </c>
      <c r="BH43" s="487">
        <v>12759</v>
      </c>
      <c r="BI43" s="487">
        <v>13485</v>
      </c>
      <c r="BJ43" s="487">
        <v>4523</v>
      </c>
      <c r="BK43" s="487">
        <v>27754</v>
      </c>
      <c r="BL43" s="487">
        <v>29089</v>
      </c>
      <c r="BM43" s="487">
        <v>27874</v>
      </c>
      <c r="BN43" s="487">
        <v>29996</v>
      </c>
      <c r="BO43" s="487">
        <v>28280</v>
      </c>
      <c r="BP43" s="487">
        <v>29767</v>
      </c>
      <c r="BQ43" s="487">
        <v>30440</v>
      </c>
      <c r="BR43" s="487">
        <f>VLOOKUP($D$43,'[3]Balanço '!$K$5:$Q$17,7,FALSE)</f>
        <v>34909</v>
      </c>
    </row>
    <row r="44" spans="1:70" ht="14.1" customHeight="1" x14ac:dyDescent="0.2">
      <c r="A44" s="478" t="s">
        <v>23</v>
      </c>
      <c r="B44" s="478" t="s">
        <v>662</v>
      </c>
      <c r="C44" s="266" t="str">
        <f>IF([1]RENAME!$H$3=1,B44,A44)</f>
        <v>Debêntures</v>
      </c>
      <c r="D44" s="486" t="str">
        <f>IF([1]RENAME!$H$3=1,B44,A44)</f>
        <v>Debêntures</v>
      </c>
      <c r="E44" s="487">
        <v>0</v>
      </c>
      <c r="F44" s="487">
        <v>0</v>
      </c>
      <c r="G44" s="487">
        <v>0</v>
      </c>
      <c r="H44" s="487">
        <v>0</v>
      </c>
      <c r="I44" s="487">
        <v>0</v>
      </c>
      <c r="J44" s="488">
        <v>0</v>
      </c>
      <c r="K44" s="487">
        <v>0</v>
      </c>
      <c r="L44" s="487">
        <v>0</v>
      </c>
      <c r="M44" s="487">
        <v>0</v>
      </c>
      <c r="N44" s="487">
        <v>0</v>
      </c>
      <c r="O44" s="487">
        <v>0</v>
      </c>
      <c r="P44" s="487">
        <v>0</v>
      </c>
      <c r="Q44" s="488">
        <v>0</v>
      </c>
      <c r="R44" s="487">
        <v>0</v>
      </c>
      <c r="S44" s="487">
        <v>0</v>
      </c>
      <c r="T44" s="487">
        <v>0</v>
      </c>
      <c r="U44" s="487">
        <v>0</v>
      </c>
      <c r="V44" s="488">
        <v>8630</v>
      </c>
      <c r="W44" s="487">
        <v>8318</v>
      </c>
      <c r="X44" s="487">
        <v>9798</v>
      </c>
      <c r="Y44" s="487">
        <v>28643</v>
      </c>
      <c r="Z44" s="487">
        <v>30485</v>
      </c>
      <c r="AA44" s="487">
        <v>30338</v>
      </c>
      <c r="AB44" s="487">
        <v>81814</v>
      </c>
      <c r="AC44" s="487">
        <v>126467</v>
      </c>
      <c r="AD44" s="487">
        <v>127502</v>
      </c>
      <c r="AE44" s="487">
        <v>126941</v>
      </c>
      <c r="AF44" s="487">
        <v>127043</v>
      </c>
      <c r="AG44" s="487">
        <v>122503</v>
      </c>
      <c r="AH44" s="487">
        <v>122017</v>
      </c>
      <c r="AI44" s="487">
        <v>68026</v>
      </c>
      <c r="AJ44" s="487">
        <v>71441</v>
      </c>
      <c r="AK44" s="487">
        <v>49296</v>
      </c>
      <c r="AL44" s="487">
        <v>48083</v>
      </c>
      <c r="AM44" s="487">
        <v>48304</v>
      </c>
      <c r="AN44" s="487">
        <v>48073</v>
      </c>
      <c r="AO44" s="487">
        <v>1150</v>
      </c>
      <c r="AP44" s="487">
        <v>130</v>
      </c>
      <c r="AQ44" s="487">
        <v>26174</v>
      </c>
      <c r="AR44" s="487">
        <v>25130</v>
      </c>
      <c r="AS44" s="487">
        <v>25886</v>
      </c>
      <c r="AT44" s="487">
        <v>26509</v>
      </c>
      <c r="AU44" s="487">
        <v>25167</v>
      </c>
      <c r="AV44" s="487">
        <v>25047</v>
      </c>
      <c r="AW44" s="487">
        <v>25289</v>
      </c>
      <c r="AX44" s="487">
        <v>25070</v>
      </c>
      <c r="AY44" s="487">
        <v>0</v>
      </c>
      <c r="AZ44" s="487">
        <v>0</v>
      </c>
      <c r="BA44" s="487">
        <v>0</v>
      </c>
      <c r="BB44" s="487">
        <v>0</v>
      </c>
      <c r="BC44" s="487">
        <v>0</v>
      </c>
      <c r="BD44" s="487">
        <v>0</v>
      </c>
      <c r="BE44" s="487">
        <v>0</v>
      </c>
      <c r="BF44" s="487">
        <v>0</v>
      </c>
      <c r="BG44" s="487">
        <v>0</v>
      </c>
      <c r="BH44" s="487">
        <v>0</v>
      </c>
      <c r="BI44" s="487">
        <v>0</v>
      </c>
      <c r="BJ44" s="487">
        <v>0</v>
      </c>
      <c r="BK44" s="487">
        <v>0</v>
      </c>
      <c r="BL44" s="487">
        <v>0</v>
      </c>
      <c r="BM44" s="487">
        <v>0</v>
      </c>
      <c r="BN44" s="487">
        <v>0</v>
      </c>
      <c r="BO44" s="487">
        <v>0</v>
      </c>
      <c r="BP44" s="487">
        <v>0</v>
      </c>
      <c r="BQ44" s="487">
        <v>0</v>
      </c>
      <c r="BR44" s="487">
        <v>0</v>
      </c>
    </row>
    <row r="45" spans="1:70" ht="14.1" customHeight="1" x14ac:dyDescent="0.2">
      <c r="A45" s="478" t="s">
        <v>1779</v>
      </c>
      <c r="B45" s="478" t="s">
        <v>1447</v>
      </c>
      <c r="D45" s="486" t="str">
        <f>IF([1]RENAME!$H$3=1,B45,A45)</f>
        <v>Arrendamento</v>
      </c>
      <c r="E45" s="487" t="s">
        <v>160</v>
      </c>
      <c r="F45" s="487" t="s">
        <v>160</v>
      </c>
      <c r="G45" s="487" t="s">
        <v>160</v>
      </c>
      <c r="H45" s="487" t="s">
        <v>160</v>
      </c>
      <c r="I45" s="487" t="s">
        <v>160</v>
      </c>
      <c r="J45" s="488" t="s">
        <v>160</v>
      </c>
      <c r="K45" s="487" t="s">
        <v>160</v>
      </c>
      <c r="L45" s="487" t="s">
        <v>160</v>
      </c>
      <c r="M45" s="487" t="s">
        <v>160</v>
      </c>
      <c r="N45" s="487" t="s">
        <v>160</v>
      </c>
      <c r="O45" s="487" t="s">
        <v>160</v>
      </c>
      <c r="P45" s="487" t="s">
        <v>160</v>
      </c>
      <c r="Q45" s="488" t="s">
        <v>160</v>
      </c>
      <c r="R45" s="487" t="s">
        <v>160</v>
      </c>
      <c r="S45" s="487" t="s">
        <v>160</v>
      </c>
      <c r="T45" s="487" t="s">
        <v>160</v>
      </c>
      <c r="U45" s="487" t="s">
        <v>160</v>
      </c>
      <c r="V45" s="488" t="s">
        <v>160</v>
      </c>
      <c r="W45" s="487" t="s">
        <v>160</v>
      </c>
      <c r="X45" s="487" t="s">
        <v>160</v>
      </c>
      <c r="Y45" s="487" t="s">
        <v>160</v>
      </c>
      <c r="Z45" s="487" t="s">
        <v>160</v>
      </c>
      <c r="AA45" s="487" t="s">
        <v>160</v>
      </c>
      <c r="AB45" s="487" t="s">
        <v>160</v>
      </c>
      <c r="AC45" s="487" t="s">
        <v>160</v>
      </c>
      <c r="AD45" s="487" t="s">
        <v>160</v>
      </c>
      <c r="AE45" s="487" t="s">
        <v>160</v>
      </c>
      <c r="AF45" s="487" t="s">
        <v>160</v>
      </c>
      <c r="AG45" s="487" t="s">
        <v>160</v>
      </c>
      <c r="AH45" s="487" t="s">
        <v>160</v>
      </c>
      <c r="AI45" s="487" t="s">
        <v>160</v>
      </c>
      <c r="AJ45" s="487" t="s">
        <v>160</v>
      </c>
      <c r="AK45" s="487">
        <v>0</v>
      </c>
      <c r="AL45" s="487" t="s">
        <v>160</v>
      </c>
      <c r="AM45" s="487" t="s">
        <v>160</v>
      </c>
      <c r="AN45" s="487">
        <v>0</v>
      </c>
      <c r="AO45" s="487">
        <v>27189.977855734931</v>
      </c>
      <c r="AP45" s="487">
        <v>29052</v>
      </c>
      <c r="AQ45" s="487">
        <v>30545</v>
      </c>
      <c r="AR45" s="487">
        <v>28867</v>
      </c>
      <c r="AS45" s="487">
        <v>33535</v>
      </c>
      <c r="AT45" s="487">
        <v>31676</v>
      </c>
      <c r="AU45" s="487">
        <v>29614</v>
      </c>
      <c r="AV45" s="487">
        <v>26980</v>
      </c>
      <c r="AW45" s="487">
        <v>32082</v>
      </c>
      <c r="AX45" s="487">
        <v>31287</v>
      </c>
      <c r="AY45" s="487">
        <v>28458</v>
      </c>
      <c r="AZ45" s="487">
        <v>30845</v>
      </c>
      <c r="BA45" s="487">
        <v>29942</v>
      </c>
      <c r="BB45" s="487">
        <v>32743</v>
      </c>
      <c r="BC45" s="487">
        <v>33765</v>
      </c>
      <c r="BD45" s="487">
        <v>33050</v>
      </c>
      <c r="BE45" s="487">
        <v>29874</v>
      </c>
      <c r="BF45" s="487">
        <v>27382</v>
      </c>
      <c r="BG45" s="487">
        <v>26895</v>
      </c>
      <c r="BH45" s="487">
        <v>29340</v>
      </c>
      <c r="BI45" s="487">
        <v>26366</v>
      </c>
      <c r="BJ45" s="487">
        <v>26338</v>
      </c>
      <c r="BK45" s="487">
        <v>23134</v>
      </c>
      <c r="BL45" s="487">
        <v>28680</v>
      </c>
      <c r="BM45" s="487">
        <v>37103</v>
      </c>
      <c r="BN45" s="487">
        <v>39288</v>
      </c>
      <c r="BO45" s="487">
        <v>39779</v>
      </c>
      <c r="BP45" s="487">
        <v>40031</v>
      </c>
      <c r="BQ45" s="487">
        <v>35940</v>
      </c>
      <c r="BR45" s="487">
        <f>VLOOKUP($D$45,'[3]Balanço '!$K$5:$Q$17,7,FALSE)</f>
        <v>41663</v>
      </c>
    </row>
    <row r="46" spans="1:70" ht="14.1" customHeight="1" x14ac:dyDescent="0.2">
      <c r="A46" s="478" t="s">
        <v>480</v>
      </c>
      <c r="B46" s="478" t="s">
        <v>663</v>
      </c>
      <c r="D46" s="489" t="str">
        <f>IF([1]RENAME!$H$3=1,B46,A46)</f>
        <v>Fornecedores e fretes</v>
      </c>
      <c r="E46" s="487">
        <v>36798</v>
      </c>
      <c r="F46" s="487">
        <v>18271</v>
      </c>
      <c r="G46" s="487">
        <v>29616</v>
      </c>
      <c r="H46" s="487">
        <v>42767</v>
      </c>
      <c r="I46" s="487">
        <v>40787</v>
      </c>
      <c r="J46" s="488">
        <v>35904</v>
      </c>
      <c r="K46" s="487">
        <v>46080</v>
      </c>
      <c r="L46" s="487">
        <v>36752</v>
      </c>
      <c r="M46" s="487">
        <v>45173</v>
      </c>
      <c r="N46" s="487">
        <v>47474</v>
      </c>
      <c r="O46" s="487">
        <v>43965</v>
      </c>
      <c r="P46" s="487">
        <v>32532</v>
      </c>
      <c r="Q46" s="488">
        <v>42104</v>
      </c>
      <c r="R46" s="487">
        <v>54771</v>
      </c>
      <c r="S46" s="487">
        <v>65269</v>
      </c>
      <c r="T46" s="487">
        <v>56817</v>
      </c>
      <c r="U46" s="487">
        <v>53213</v>
      </c>
      <c r="V46" s="488">
        <v>46278</v>
      </c>
      <c r="W46" s="487">
        <v>53006</v>
      </c>
      <c r="X46" s="487">
        <v>51894</v>
      </c>
      <c r="Y46" s="487">
        <v>48471</v>
      </c>
      <c r="Z46" s="487">
        <v>39196</v>
      </c>
      <c r="AA46" s="487">
        <f>11981+27508</f>
        <v>39489</v>
      </c>
      <c r="AB46" s="487">
        <v>45404</v>
      </c>
      <c r="AC46" s="487">
        <v>33904</v>
      </c>
      <c r="AD46" s="487">
        <v>30891</v>
      </c>
      <c r="AE46" s="487">
        <v>32399</v>
      </c>
      <c r="AF46" s="487">
        <v>43164</v>
      </c>
      <c r="AG46" s="487">
        <v>23189</v>
      </c>
      <c r="AH46" s="487">
        <v>23235</v>
      </c>
      <c r="AI46" s="487">
        <v>26706</v>
      </c>
      <c r="AJ46" s="487">
        <v>32237</v>
      </c>
      <c r="AK46" s="487">
        <v>28016</v>
      </c>
      <c r="AL46" s="487">
        <v>24553</v>
      </c>
      <c r="AM46" s="487">
        <v>27786</v>
      </c>
      <c r="AN46" s="487">
        <v>36898</v>
      </c>
      <c r="AO46" s="487">
        <v>32147</v>
      </c>
      <c r="AP46" s="487">
        <v>30700</v>
      </c>
      <c r="AQ46" s="487">
        <v>30325</v>
      </c>
      <c r="AR46" s="487">
        <v>36312</v>
      </c>
      <c r="AS46" s="487">
        <v>21287</v>
      </c>
      <c r="AT46" s="487">
        <v>17169</v>
      </c>
      <c r="AU46" s="487">
        <v>28173</v>
      </c>
      <c r="AV46" s="487">
        <v>31268</v>
      </c>
      <c r="AW46" s="487">
        <v>27426</v>
      </c>
      <c r="AX46" s="487">
        <v>29673</v>
      </c>
      <c r="AY46" s="487">
        <v>37709</v>
      </c>
      <c r="AZ46" s="487">
        <v>47838</v>
      </c>
      <c r="BA46" s="487">
        <v>39307</v>
      </c>
      <c r="BB46" s="487">
        <v>34064</v>
      </c>
      <c r="BC46" s="487">
        <v>30411</v>
      </c>
      <c r="BD46" s="487">
        <v>49406</v>
      </c>
      <c r="BE46" s="487">
        <v>36895</v>
      </c>
      <c r="BF46" s="487">
        <v>36160</v>
      </c>
      <c r="BG46" s="487">
        <v>43470</v>
      </c>
      <c r="BH46" s="487">
        <v>49620</v>
      </c>
      <c r="BI46" s="487">
        <v>45666</v>
      </c>
      <c r="BJ46" s="487">
        <v>54715</v>
      </c>
      <c r="BK46" s="487">
        <v>56527</v>
      </c>
      <c r="BL46" s="487">
        <v>62418</v>
      </c>
      <c r="BM46" s="487">
        <v>48147</v>
      </c>
      <c r="BN46" s="487">
        <v>52246</v>
      </c>
      <c r="BO46" s="487">
        <v>59589</v>
      </c>
      <c r="BP46" s="487">
        <v>62248</v>
      </c>
      <c r="BQ46" s="487">
        <v>68197</v>
      </c>
      <c r="BR46" s="487">
        <f>VLOOKUP("Fornecedores",'[3]Balanço '!$K$5:$Q$17,7,FALSE)+VLOOKUP("Fretes a pagar",'[3]Balanço '!$K$5:$Q$17,7,FALSE)</f>
        <v>77654</v>
      </c>
    </row>
    <row r="47" spans="1:70" ht="14.1" customHeight="1" x14ac:dyDescent="0.2">
      <c r="A47" s="478" t="s">
        <v>40</v>
      </c>
      <c r="B47" s="478" t="s">
        <v>664</v>
      </c>
      <c r="D47" s="489" t="str">
        <f>IF([1]RENAME!$H$3=1,B47,A47)</f>
        <v>Tributos a recolher</v>
      </c>
      <c r="E47" s="487">
        <v>5584</v>
      </c>
      <c r="F47" s="487">
        <v>7901</v>
      </c>
      <c r="G47" s="487">
        <v>10773</v>
      </c>
      <c r="H47" s="487">
        <v>12140</v>
      </c>
      <c r="I47" s="487">
        <v>18916</v>
      </c>
      <c r="J47" s="488">
        <v>12417</v>
      </c>
      <c r="K47" s="487">
        <v>14697</v>
      </c>
      <c r="L47" s="487">
        <v>18046</v>
      </c>
      <c r="M47" s="487">
        <v>0</v>
      </c>
      <c r="N47" s="487">
        <v>21094</v>
      </c>
      <c r="O47" s="487">
        <v>23153</v>
      </c>
      <c r="P47" s="487">
        <v>22971</v>
      </c>
      <c r="Q47" s="488">
        <v>25396</v>
      </c>
      <c r="R47" s="487">
        <v>24955</v>
      </c>
      <c r="S47" s="487">
        <v>22550</v>
      </c>
      <c r="T47" s="487">
        <v>23505</v>
      </c>
      <c r="U47" s="487">
        <v>21064</v>
      </c>
      <c r="V47" s="488">
        <v>14116</v>
      </c>
      <c r="W47" s="487">
        <v>16455</v>
      </c>
      <c r="X47" s="487">
        <v>17545</v>
      </c>
      <c r="Y47" s="487">
        <v>15426</v>
      </c>
      <c r="Z47" s="487">
        <v>14354</v>
      </c>
      <c r="AA47" s="487">
        <v>14333</v>
      </c>
      <c r="AB47" s="487">
        <v>13423</v>
      </c>
      <c r="AC47" s="487">
        <v>13233</v>
      </c>
      <c r="AD47" s="487">
        <v>12968</v>
      </c>
      <c r="AE47" s="487">
        <v>11593</v>
      </c>
      <c r="AF47" s="487">
        <v>13120</v>
      </c>
      <c r="AG47" s="487">
        <v>13442</v>
      </c>
      <c r="AH47" s="487">
        <v>11791</v>
      </c>
      <c r="AI47" s="487">
        <v>12059</v>
      </c>
      <c r="AJ47" s="487">
        <v>15453</v>
      </c>
      <c r="AK47" s="487">
        <v>13367</v>
      </c>
      <c r="AL47" s="487">
        <v>14799</v>
      </c>
      <c r="AM47" s="487">
        <v>13372</v>
      </c>
      <c r="AN47" s="487">
        <v>15095</v>
      </c>
      <c r="AO47" s="487">
        <v>15905</v>
      </c>
      <c r="AP47" s="487">
        <v>14780</v>
      </c>
      <c r="AQ47" s="487">
        <v>16497</v>
      </c>
      <c r="AR47" s="487">
        <v>19414</v>
      </c>
      <c r="AS47" s="487">
        <v>14872</v>
      </c>
      <c r="AT47" s="487">
        <v>16832</v>
      </c>
      <c r="AU47" s="487">
        <v>17593</v>
      </c>
      <c r="AV47" s="487">
        <v>16433</v>
      </c>
      <c r="AW47" s="487">
        <v>14132</v>
      </c>
      <c r="AX47" s="487">
        <v>13633</v>
      </c>
      <c r="AY47" s="487">
        <v>14177</v>
      </c>
      <c r="AZ47" s="487">
        <v>16183</v>
      </c>
      <c r="BA47" s="487">
        <v>14387</v>
      </c>
      <c r="BB47" s="487">
        <v>16746</v>
      </c>
      <c r="BC47" s="487">
        <v>19305</v>
      </c>
      <c r="BD47" s="487">
        <v>21043</v>
      </c>
      <c r="BE47" s="487">
        <v>21178</v>
      </c>
      <c r="BF47" s="487">
        <v>19485</v>
      </c>
      <c r="BG47" s="487">
        <v>21893</v>
      </c>
      <c r="BH47" s="487">
        <v>25863</v>
      </c>
      <c r="BI47" s="487">
        <v>23591</v>
      </c>
      <c r="BJ47" s="487">
        <v>28894</v>
      </c>
      <c r="BK47" s="487">
        <v>30330</v>
      </c>
      <c r="BL47" s="487">
        <v>31470</v>
      </c>
      <c r="BM47" s="487">
        <v>23517</v>
      </c>
      <c r="BN47" s="487">
        <v>25322</v>
      </c>
      <c r="BO47" s="487">
        <v>30141</v>
      </c>
      <c r="BP47" s="487">
        <v>33235</v>
      </c>
      <c r="BQ47" s="487">
        <v>35548</v>
      </c>
      <c r="BR47" s="487">
        <f>VLOOKUP($D$47,'[3]Balanço '!$K$5:$Q$17,7,FALSE)</f>
        <v>42313</v>
      </c>
    </row>
    <row r="48" spans="1:70" ht="14.1" customHeight="1" x14ac:dyDescent="0.2">
      <c r="A48" s="478" t="s">
        <v>18</v>
      </c>
      <c r="B48" s="478" t="s">
        <v>1134</v>
      </c>
      <c r="D48" s="489" t="str">
        <f>IF([1]RENAME!$H$3=1,B48,A48)</f>
        <v>Parcelamento de tributos</v>
      </c>
      <c r="E48" s="487"/>
      <c r="F48" s="487"/>
      <c r="G48" s="487"/>
      <c r="H48" s="487"/>
      <c r="I48" s="487"/>
      <c r="J48" s="488"/>
      <c r="K48" s="487"/>
      <c r="L48" s="487"/>
      <c r="M48" s="487"/>
      <c r="N48" s="487"/>
      <c r="O48" s="487"/>
      <c r="P48" s="487"/>
      <c r="Q48" s="488"/>
      <c r="R48" s="487"/>
      <c r="S48" s="487"/>
      <c r="T48" s="487"/>
      <c r="U48" s="487"/>
      <c r="V48" s="488"/>
      <c r="W48" s="487"/>
      <c r="X48" s="487"/>
      <c r="Y48" s="487"/>
      <c r="Z48" s="487"/>
      <c r="AA48" s="487"/>
      <c r="AB48" s="487"/>
      <c r="AC48" s="487"/>
      <c r="AD48" s="487"/>
      <c r="AE48" s="487"/>
      <c r="AF48" s="487"/>
      <c r="AG48" s="487"/>
      <c r="AH48" s="487"/>
      <c r="AI48" s="487"/>
      <c r="AJ48" s="487"/>
      <c r="AK48" s="487"/>
      <c r="AL48" s="487"/>
      <c r="AM48" s="487"/>
      <c r="AN48" s="487"/>
      <c r="AO48" s="487"/>
      <c r="AP48" s="487"/>
      <c r="AQ48" s="487"/>
      <c r="AR48" s="487"/>
      <c r="AS48" s="487"/>
      <c r="AT48" s="487"/>
      <c r="AU48" s="487"/>
      <c r="AV48" s="487"/>
      <c r="AW48" s="487"/>
      <c r="AX48" s="487"/>
      <c r="AY48" s="487"/>
      <c r="AZ48" s="487"/>
      <c r="BA48" s="487"/>
      <c r="BB48" s="487"/>
      <c r="BC48" s="487"/>
      <c r="BD48" s="487"/>
      <c r="BE48" s="487"/>
      <c r="BF48" s="487"/>
      <c r="BG48" s="487"/>
      <c r="BH48" s="487"/>
      <c r="BI48" s="487"/>
      <c r="BJ48" s="487"/>
      <c r="BK48" s="487"/>
      <c r="BL48" s="487"/>
      <c r="BM48" s="487"/>
      <c r="BN48" s="487"/>
      <c r="BO48" s="487">
        <v>40</v>
      </c>
      <c r="BP48" s="487">
        <v>17</v>
      </c>
      <c r="BQ48" s="487">
        <v>86</v>
      </c>
      <c r="BR48" s="487">
        <f>VLOOKUP($D$48,'[3]Balanço '!$K$5:$Q$17,7,FALSE)</f>
        <v>56</v>
      </c>
    </row>
    <row r="49" spans="1:73" ht="14.1" customHeight="1" x14ac:dyDescent="0.2">
      <c r="A49" s="478" t="s">
        <v>20</v>
      </c>
      <c r="B49" s="478" t="s">
        <v>666</v>
      </c>
      <c r="C49" s="266" t="str">
        <f>IF([1]RENAME!$H$3=1,B49,A49)</f>
        <v>Salários e encargos sociais</v>
      </c>
      <c r="D49" s="486" t="str">
        <f>IF([1]RENAME!$H$3=1,B49,A49)</f>
        <v>Salários e encargos sociais</v>
      </c>
      <c r="E49" s="487">
        <v>11493</v>
      </c>
      <c r="F49" s="487">
        <v>17331</v>
      </c>
      <c r="G49" s="487">
        <v>18994</v>
      </c>
      <c r="H49" s="487">
        <v>24622</v>
      </c>
      <c r="I49" s="487">
        <v>27418</v>
      </c>
      <c r="J49" s="488">
        <v>32320</v>
      </c>
      <c r="K49" s="487">
        <v>35501</v>
      </c>
      <c r="L49" s="487">
        <v>31111</v>
      </c>
      <c r="M49" s="487">
        <v>1825</v>
      </c>
      <c r="N49" s="487">
        <v>41949</v>
      </c>
      <c r="O49" s="487">
        <v>49767</v>
      </c>
      <c r="P49" s="487">
        <v>40201</v>
      </c>
      <c r="Q49" s="488">
        <v>38591</v>
      </c>
      <c r="R49" s="487">
        <v>42879</v>
      </c>
      <c r="S49" s="487">
        <v>48548</v>
      </c>
      <c r="T49" s="487">
        <v>42636</v>
      </c>
      <c r="U49" s="487">
        <v>30217</v>
      </c>
      <c r="V49" s="488">
        <v>26005</v>
      </c>
      <c r="W49" s="487">
        <v>32384.999999999996</v>
      </c>
      <c r="X49" s="487">
        <v>31728</v>
      </c>
      <c r="Y49" s="487">
        <v>30293</v>
      </c>
      <c r="Z49" s="487">
        <v>27767</v>
      </c>
      <c r="AA49" s="487">
        <v>31042</v>
      </c>
      <c r="AB49" s="487">
        <v>29908</v>
      </c>
      <c r="AC49" s="487">
        <v>27283</v>
      </c>
      <c r="AD49" s="487">
        <v>28528</v>
      </c>
      <c r="AE49" s="487">
        <v>31823</v>
      </c>
      <c r="AF49" s="487">
        <v>27489</v>
      </c>
      <c r="AG49" s="487">
        <v>27662</v>
      </c>
      <c r="AH49" s="490">
        <v>22533</v>
      </c>
      <c r="AI49" s="487">
        <v>26587</v>
      </c>
      <c r="AJ49" s="487">
        <v>24644</v>
      </c>
      <c r="AK49" s="487">
        <v>20662</v>
      </c>
      <c r="AL49" s="487">
        <v>22290</v>
      </c>
      <c r="AM49" s="487">
        <v>26340</v>
      </c>
      <c r="AN49" s="487">
        <v>24261</v>
      </c>
      <c r="AO49" s="487">
        <v>20598</v>
      </c>
      <c r="AP49" s="487">
        <v>24268</v>
      </c>
      <c r="AQ49" s="487">
        <v>28162</v>
      </c>
      <c r="AR49" s="487">
        <v>26263</v>
      </c>
      <c r="AS49" s="487">
        <v>22000</v>
      </c>
      <c r="AT49" s="487">
        <v>24867</v>
      </c>
      <c r="AU49" s="487">
        <v>26129</v>
      </c>
      <c r="AV49" s="487">
        <v>20741</v>
      </c>
      <c r="AW49" s="487">
        <v>18015</v>
      </c>
      <c r="AX49" s="487">
        <v>21742</v>
      </c>
      <c r="AY49" s="487">
        <v>25599</v>
      </c>
      <c r="AZ49" s="487">
        <v>24456</v>
      </c>
      <c r="BA49" s="487">
        <v>20259</v>
      </c>
      <c r="BB49" s="487">
        <v>22848</v>
      </c>
      <c r="BC49" s="487">
        <v>26993</v>
      </c>
      <c r="BD49" s="487">
        <v>26361</v>
      </c>
      <c r="BE49" s="487">
        <v>22583</v>
      </c>
      <c r="BF49" s="487">
        <v>27637</v>
      </c>
      <c r="BG49" s="487">
        <v>32381</v>
      </c>
      <c r="BH49" s="487">
        <v>30229</v>
      </c>
      <c r="BI49" s="487">
        <v>25225</v>
      </c>
      <c r="BJ49" s="487">
        <v>30130</v>
      </c>
      <c r="BK49" s="487">
        <v>35859</v>
      </c>
      <c r="BL49" s="487">
        <v>33430</v>
      </c>
      <c r="BM49" s="487">
        <v>29483</v>
      </c>
      <c r="BN49" s="487">
        <v>37558</v>
      </c>
      <c r="BO49" s="487">
        <v>44342</v>
      </c>
      <c r="BP49" s="487">
        <v>42682</v>
      </c>
      <c r="BQ49" s="487">
        <v>37527</v>
      </c>
      <c r="BR49" s="487">
        <f>VLOOKUP($D$49,'[3]Balanço '!$K$5:$Q$17,7,FALSE)</f>
        <v>45523</v>
      </c>
    </row>
    <row r="50" spans="1:73" ht="14.1" customHeight="1" x14ac:dyDescent="0.2">
      <c r="A50" s="478" t="s">
        <v>24</v>
      </c>
      <c r="B50" s="478" t="s">
        <v>667</v>
      </c>
      <c r="C50" s="266" t="str">
        <f>IF([1]RENAME!$H$3=1,B50,A50)</f>
        <v>Demais contas a pagar</v>
      </c>
      <c r="D50" s="486" t="str">
        <f>IF([1]RENAME!$H$3=1,B50,A50)</f>
        <v>Demais contas a pagar</v>
      </c>
      <c r="E50" s="487">
        <f>23763+27062</f>
        <v>50825</v>
      </c>
      <c r="F50" s="487">
        <f>24314+51634</f>
        <v>75948</v>
      </c>
      <c r="G50" s="487">
        <f>18205+19555+30000</f>
        <v>67760</v>
      </c>
      <c r="H50" s="487">
        <v>23430</v>
      </c>
      <c r="I50" s="487">
        <f>27134+18539</f>
        <v>45673</v>
      </c>
      <c r="J50" s="488">
        <v>28402</v>
      </c>
      <c r="K50" s="487">
        <v>32053</v>
      </c>
      <c r="L50" s="487">
        <v>31594</v>
      </c>
      <c r="M50" s="487">
        <v>31458</v>
      </c>
      <c r="N50" s="487">
        <v>34774</v>
      </c>
      <c r="O50" s="487">
        <v>48111</v>
      </c>
      <c r="P50" s="487">
        <v>69203</v>
      </c>
      <c r="Q50" s="488">
        <v>55856</v>
      </c>
      <c r="R50" s="487">
        <v>57399</v>
      </c>
      <c r="S50" s="487">
        <v>38783</v>
      </c>
      <c r="T50" s="487">
        <v>47352</v>
      </c>
      <c r="U50" s="487">
        <v>45861</v>
      </c>
      <c r="V50" s="488">
        <v>21772</v>
      </c>
      <c r="W50" s="487">
        <v>20672</v>
      </c>
      <c r="X50" s="487">
        <v>31656</v>
      </c>
      <c r="Y50" s="487">
        <v>22014</v>
      </c>
      <c r="Z50" s="487">
        <v>25575</v>
      </c>
      <c r="AA50" s="487">
        <v>17307</v>
      </c>
      <c r="AB50" s="487">
        <v>30643</v>
      </c>
      <c r="AC50" s="487">
        <v>31994</v>
      </c>
      <c r="AD50" s="487">
        <v>24228</v>
      </c>
      <c r="AE50" s="487">
        <v>22518</v>
      </c>
      <c r="AF50" s="487">
        <v>18011</v>
      </c>
      <c r="AG50" s="487">
        <v>19131</v>
      </c>
      <c r="AH50" s="487">
        <v>18806</v>
      </c>
      <c r="AI50" s="487">
        <v>20787</v>
      </c>
      <c r="AJ50" s="487">
        <v>26067</v>
      </c>
      <c r="AK50" s="487">
        <v>22736</v>
      </c>
      <c r="AL50" s="487">
        <v>22510</v>
      </c>
      <c r="AM50" s="487">
        <v>26432</v>
      </c>
      <c r="AN50" s="487">
        <v>30863</v>
      </c>
      <c r="AO50" s="487">
        <v>22572</v>
      </c>
      <c r="AP50" s="487">
        <v>25260</v>
      </c>
      <c r="AQ50" s="487">
        <v>31858</v>
      </c>
      <c r="AR50" s="487">
        <v>29637</v>
      </c>
      <c r="AS50" s="487">
        <v>28825</v>
      </c>
      <c r="AT50" s="487">
        <v>29862</v>
      </c>
      <c r="AU50" s="487">
        <v>30252</v>
      </c>
      <c r="AV50" s="487">
        <v>30588</v>
      </c>
      <c r="AW50" s="487">
        <v>25480</v>
      </c>
      <c r="AX50" s="487">
        <v>26483</v>
      </c>
      <c r="AY50" s="487">
        <v>23986</v>
      </c>
      <c r="AZ50" s="487">
        <v>27057</v>
      </c>
      <c r="BA50" s="487">
        <v>23261</v>
      </c>
      <c r="BB50" s="487">
        <v>26414</v>
      </c>
      <c r="BC50" s="487">
        <v>31363</v>
      </c>
      <c r="BD50" s="487">
        <v>39126</v>
      </c>
      <c r="BE50" s="487">
        <v>32255</v>
      </c>
      <c r="BF50" s="487">
        <v>30478</v>
      </c>
      <c r="BG50" s="487">
        <v>29824</v>
      </c>
      <c r="BH50" s="487">
        <v>36632</v>
      </c>
      <c r="BI50" s="487">
        <v>30730</v>
      </c>
      <c r="BJ50" s="487">
        <v>34519</v>
      </c>
      <c r="BK50" s="487">
        <v>38033</v>
      </c>
      <c r="BL50" s="487">
        <v>45780</v>
      </c>
      <c r="BM50" s="487">
        <v>41642</v>
      </c>
      <c r="BN50" s="487">
        <v>39066</v>
      </c>
      <c r="BO50" s="487">
        <v>42920</v>
      </c>
      <c r="BP50" s="487">
        <v>71554</v>
      </c>
      <c r="BQ50" s="487">
        <v>65281</v>
      </c>
      <c r="BR50" s="487">
        <f>VLOOKUP($D$50,'[3]Balanço '!$K$5:$Q$17,7,FALSE)</f>
        <v>72357</v>
      </c>
    </row>
    <row r="51" spans="1:73" ht="12.75" x14ac:dyDescent="0.2">
      <c r="A51" s="478" t="s">
        <v>25</v>
      </c>
      <c r="B51" s="478" t="s">
        <v>641</v>
      </c>
      <c r="C51" s="266" t="str">
        <f>IF([1]RENAME!$H$3=1,B51,A51)</f>
        <v>Partes relacionadas</v>
      </c>
      <c r="D51" s="486" t="str">
        <f>IF([1]RENAME!$H$3=1,B51,A51)</f>
        <v>Partes relacionadas</v>
      </c>
      <c r="E51" s="487">
        <v>680</v>
      </c>
      <c r="F51" s="487">
        <v>13716</v>
      </c>
      <c r="G51" s="487">
        <v>11687</v>
      </c>
      <c r="H51" s="487">
        <v>6537</v>
      </c>
      <c r="I51" s="487">
        <v>6871</v>
      </c>
      <c r="J51" s="488">
        <v>2054</v>
      </c>
      <c r="K51" s="487">
        <v>2306</v>
      </c>
      <c r="L51" s="487">
        <v>2191</v>
      </c>
      <c r="M51" s="487">
        <v>2295</v>
      </c>
      <c r="N51" s="487">
        <v>2458</v>
      </c>
      <c r="O51" s="487">
        <v>2572</v>
      </c>
      <c r="P51" s="487">
        <v>641</v>
      </c>
      <c r="Q51" s="488">
        <v>641</v>
      </c>
      <c r="R51" s="487">
        <v>641</v>
      </c>
      <c r="S51" s="487">
        <v>641</v>
      </c>
      <c r="T51" s="487">
        <v>7480</v>
      </c>
      <c r="U51" s="487">
        <v>756</v>
      </c>
      <c r="V51" s="488">
        <v>1420</v>
      </c>
      <c r="W51" s="487">
        <v>0</v>
      </c>
      <c r="X51" s="487">
        <v>757</v>
      </c>
      <c r="Y51" s="487">
        <v>0</v>
      </c>
      <c r="Z51" s="487">
        <v>785</v>
      </c>
      <c r="AA51" s="487">
        <v>6139</v>
      </c>
      <c r="AB51" s="487">
        <v>6139</v>
      </c>
      <c r="AC51" s="487">
        <v>6081</v>
      </c>
      <c r="AD51" s="487">
        <v>5822</v>
      </c>
      <c r="AE51" s="487">
        <v>903</v>
      </c>
      <c r="AF51" s="487">
        <v>1128</v>
      </c>
      <c r="AG51" s="487">
        <v>1158</v>
      </c>
      <c r="AH51" s="487">
        <v>882</v>
      </c>
      <c r="AI51" s="487">
        <v>826</v>
      </c>
      <c r="AJ51" s="487">
        <v>826</v>
      </c>
      <c r="AK51" s="487">
        <v>812</v>
      </c>
      <c r="AL51" s="487">
        <v>784</v>
      </c>
      <c r="AM51" s="487">
        <v>1588</v>
      </c>
      <c r="AN51" s="487">
        <v>2311</v>
      </c>
      <c r="AO51" s="487">
        <v>98</v>
      </c>
      <c r="AP51" s="487">
        <v>1025</v>
      </c>
      <c r="AQ51" s="487">
        <v>32</v>
      </c>
      <c r="AR51" s="487">
        <v>72</v>
      </c>
      <c r="AS51" s="487">
        <v>28</v>
      </c>
      <c r="AT51" s="487">
        <v>37</v>
      </c>
      <c r="AU51" s="487">
        <v>35</v>
      </c>
      <c r="AV51" s="487">
        <v>73</v>
      </c>
      <c r="AW51" s="487">
        <v>54</v>
      </c>
      <c r="AX51" s="487">
        <v>25</v>
      </c>
      <c r="AY51" s="487">
        <v>421</v>
      </c>
      <c r="AZ51" s="487">
        <v>141</v>
      </c>
      <c r="BA51" s="487">
        <v>69</v>
      </c>
      <c r="BB51" s="487">
        <v>137</v>
      </c>
      <c r="BC51" s="487">
        <v>169</v>
      </c>
      <c r="BD51" s="487">
        <v>806</v>
      </c>
      <c r="BE51" s="487">
        <v>749</v>
      </c>
      <c r="BF51" s="487">
        <v>684</v>
      </c>
      <c r="BG51" s="487">
        <v>656</v>
      </c>
      <c r="BH51" s="487">
        <v>731</v>
      </c>
      <c r="BI51" s="487">
        <v>1155</v>
      </c>
      <c r="BJ51" s="487">
        <v>894</v>
      </c>
      <c r="BK51" s="487">
        <v>869</v>
      </c>
      <c r="BL51" s="487">
        <v>661</v>
      </c>
      <c r="BM51" s="487">
        <v>1120</v>
      </c>
      <c r="BN51" s="487">
        <v>1021</v>
      </c>
      <c r="BO51" s="487">
        <v>885</v>
      </c>
      <c r="BP51" s="487">
        <v>950</v>
      </c>
      <c r="BQ51" s="487">
        <v>952</v>
      </c>
      <c r="BR51" s="487">
        <f>VLOOKUP($D$51,'[3]Balanço '!$K$5:$Q$17,7,FALSE)</f>
        <v>824</v>
      </c>
      <c r="BS51" s="1204"/>
      <c r="BT51" s="1204"/>
      <c r="BU51" s="1204"/>
    </row>
    <row r="52" spans="1:73" ht="14.1" customHeight="1" x14ac:dyDescent="0.2">
      <c r="A52" s="478" t="s">
        <v>15</v>
      </c>
      <c r="B52" s="478" t="s">
        <v>669</v>
      </c>
      <c r="C52" s="266" t="str">
        <f>IF([1]RENAME!$H$3=1,B52,A52)</f>
        <v>Imposto de renda e contribuição social</v>
      </c>
      <c r="D52" s="486" t="str">
        <f>IF([1]RENAME!$H$3=1,B52,A52)</f>
        <v>Imposto de renda e contribuição social</v>
      </c>
      <c r="E52" s="487">
        <v>2941</v>
      </c>
      <c r="F52" s="487">
        <v>168</v>
      </c>
      <c r="G52" s="487">
        <v>2240</v>
      </c>
      <c r="H52" s="487">
        <v>2416</v>
      </c>
      <c r="I52" s="487">
        <v>975</v>
      </c>
      <c r="J52" s="488">
        <v>2695</v>
      </c>
      <c r="K52" s="487">
        <v>2763</v>
      </c>
      <c r="L52" s="487">
        <v>110</v>
      </c>
      <c r="M52" s="487">
        <v>8068</v>
      </c>
      <c r="N52" s="487">
        <v>1358</v>
      </c>
      <c r="O52" s="487">
        <v>3323</v>
      </c>
      <c r="P52" s="487">
        <v>1676</v>
      </c>
      <c r="Q52" s="488">
        <v>4054</v>
      </c>
      <c r="R52" s="487">
        <v>0</v>
      </c>
      <c r="S52" s="487">
        <v>0</v>
      </c>
      <c r="T52" s="487">
        <v>0</v>
      </c>
      <c r="U52" s="487">
        <v>4016</v>
      </c>
      <c r="V52" s="488">
        <v>2286</v>
      </c>
      <c r="W52" s="487">
        <v>0</v>
      </c>
      <c r="X52" s="487">
        <v>0</v>
      </c>
      <c r="Y52" s="487">
        <v>0</v>
      </c>
      <c r="Z52" s="487">
        <v>422</v>
      </c>
      <c r="AA52" s="487">
        <v>69</v>
      </c>
      <c r="AB52" s="487">
        <v>993</v>
      </c>
      <c r="AC52" s="487">
        <v>585</v>
      </c>
      <c r="AD52" s="487">
        <v>188</v>
      </c>
      <c r="AE52" s="487">
        <v>1384</v>
      </c>
      <c r="AF52" s="487">
        <v>4001</v>
      </c>
      <c r="AG52" s="487">
        <v>826</v>
      </c>
      <c r="AH52" s="490">
        <v>5862</v>
      </c>
      <c r="AI52" s="487">
        <v>5097</v>
      </c>
      <c r="AJ52" s="490">
        <v>12170</v>
      </c>
      <c r="AK52" s="487">
        <v>5836</v>
      </c>
      <c r="AL52" s="487">
        <v>448</v>
      </c>
      <c r="AM52" s="487">
        <v>4056</v>
      </c>
      <c r="AN52" s="487">
        <v>6438</v>
      </c>
      <c r="AO52" s="487">
        <v>7438</v>
      </c>
      <c r="AP52" s="487">
        <v>9910</v>
      </c>
      <c r="AQ52" s="490">
        <v>41186</v>
      </c>
      <c r="AR52" s="487">
        <v>41998</v>
      </c>
      <c r="AS52" s="487">
        <v>4523</v>
      </c>
      <c r="AT52" s="487">
        <v>5405</v>
      </c>
      <c r="AU52" s="487">
        <v>10964</v>
      </c>
      <c r="AV52" s="487">
        <v>10951</v>
      </c>
      <c r="AW52" s="487">
        <v>5150</v>
      </c>
      <c r="AX52" s="487">
        <v>6232</v>
      </c>
      <c r="AY52" s="487">
        <v>4883</v>
      </c>
      <c r="AZ52" s="487">
        <v>9324</v>
      </c>
      <c r="BA52" s="487">
        <v>5432</v>
      </c>
      <c r="BB52" s="487">
        <v>8927</v>
      </c>
      <c r="BC52" s="487">
        <v>21353</v>
      </c>
      <c r="BD52" s="487">
        <v>11401</v>
      </c>
      <c r="BE52" s="487">
        <v>13713</v>
      </c>
      <c r="BF52" s="487">
        <v>7341</v>
      </c>
      <c r="BG52" s="487">
        <v>13722</v>
      </c>
      <c r="BH52" s="487">
        <v>12920</v>
      </c>
      <c r="BI52" s="487">
        <v>10143</v>
      </c>
      <c r="BJ52" s="487">
        <v>21817</v>
      </c>
      <c r="BK52" s="487">
        <v>34383</v>
      </c>
      <c r="BL52" s="487">
        <v>31386</v>
      </c>
      <c r="BM52" s="487">
        <v>12492</v>
      </c>
      <c r="BN52" s="487">
        <v>23843</v>
      </c>
      <c r="BO52" s="487">
        <v>29774</v>
      </c>
      <c r="BP52" s="487">
        <v>13406</v>
      </c>
      <c r="BQ52" s="487">
        <v>18349</v>
      </c>
      <c r="BR52" s="487">
        <f>VLOOKUP($D$52,'[3]Balanço '!$K$5:$Q$17,7,FALSE)</f>
        <v>37592</v>
      </c>
    </row>
    <row r="53" spans="1:73" ht="14.1" customHeight="1" collapsed="1" x14ac:dyDescent="0.2">
      <c r="A53" s="478" t="s">
        <v>566</v>
      </c>
      <c r="B53" s="478" t="s">
        <v>670</v>
      </c>
      <c r="D53" s="511" t="str">
        <f>IF([1]RENAME!$H$3=1,B53,A53)</f>
        <v>Dividendos a pagar</v>
      </c>
      <c r="E53" s="512">
        <v>0</v>
      </c>
      <c r="F53" s="512">
        <v>0</v>
      </c>
      <c r="G53" s="512">
        <v>0</v>
      </c>
      <c r="H53" s="512">
        <v>0</v>
      </c>
      <c r="I53" s="512">
        <v>0</v>
      </c>
      <c r="J53" s="491">
        <v>0</v>
      </c>
      <c r="K53" s="512">
        <v>0</v>
      </c>
      <c r="L53" s="512">
        <v>0</v>
      </c>
      <c r="M53" s="512">
        <v>0</v>
      </c>
      <c r="N53" s="512">
        <v>0</v>
      </c>
      <c r="O53" s="512">
        <v>0</v>
      </c>
      <c r="P53" s="512">
        <v>0</v>
      </c>
      <c r="Q53" s="491">
        <v>0</v>
      </c>
      <c r="R53" s="512">
        <v>0</v>
      </c>
      <c r="S53" s="512">
        <v>0</v>
      </c>
      <c r="T53" s="512">
        <v>0</v>
      </c>
      <c r="U53" s="512">
        <v>0</v>
      </c>
      <c r="V53" s="491">
        <v>0</v>
      </c>
      <c r="W53" s="512">
        <v>0</v>
      </c>
      <c r="X53" s="512">
        <v>0</v>
      </c>
      <c r="Y53" s="512">
        <v>0</v>
      </c>
      <c r="Z53" s="512">
        <v>0</v>
      </c>
      <c r="AA53" s="512">
        <v>0</v>
      </c>
      <c r="AB53" s="512">
        <v>0</v>
      </c>
      <c r="AC53" s="512">
        <v>0</v>
      </c>
      <c r="AD53" s="512">
        <v>0</v>
      </c>
      <c r="AE53" s="512">
        <v>0</v>
      </c>
      <c r="AF53" s="512">
        <v>3284</v>
      </c>
      <c r="AG53" s="512">
        <v>3284</v>
      </c>
      <c r="AH53" s="512">
        <v>0</v>
      </c>
      <c r="AI53" s="512">
        <v>0</v>
      </c>
      <c r="AJ53" s="512">
        <v>3128</v>
      </c>
      <c r="AK53" s="512">
        <v>3128</v>
      </c>
      <c r="AL53" s="512">
        <v>0</v>
      </c>
      <c r="AM53" s="512">
        <v>0</v>
      </c>
      <c r="AN53" s="512">
        <v>0</v>
      </c>
      <c r="AO53" s="512">
        <v>0</v>
      </c>
      <c r="AP53" s="512">
        <v>0</v>
      </c>
      <c r="AQ53" s="512">
        <v>0</v>
      </c>
      <c r="AR53" s="512">
        <v>0</v>
      </c>
      <c r="AS53" s="512">
        <v>0</v>
      </c>
      <c r="AT53" s="512">
        <v>0</v>
      </c>
      <c r="AU53" s="512">
        <v>0</v>
      </c>
      <c r="AV53" s="512">
        <v>0</v>
      </c>
      <c r="AW53" s="512">
        <v>0</v>
      </c>
      <c r="AX53" s="512">
        <v>0</v>
      </c>
      <c r="AY53" s="512">
        <v>0</v>
      </c>
      <c r="AZ53" s="512">
        <v>0</v>
      </c>
      <c r="BA53" s="512">
        <v>0</v>
      </c>
      <c r="BB53" s="512">
        <v>0</v>
      </c>
      <c r="BC53" s="512">
        <v>0</v>
      </c>
      <c r="BD53" s="512">
        <v>0</v>
      </c>
      <c r="BE53" s="512">
        <v>0</v>
      </c>
      <c r="BF53" s="512">
        <v>0</v>
      </c>
      <c r="BG53" s="512">
        <v>0</v>
      </c>
      <c r="BH53" s="512">
        <v>0</v>
      </c>
      <c r="BI53" s="512">
        <v>0</v>
      </c>
      <c r="BJ53" s="512">
        <v>0</v>
      </c>
      <c r="BK53" s="512">
        <v>0</v>
      </c>
      <c r="BL53" s="512">
        <v>0</v>
      </c>
      <c r="BM53" s="512">
        <v>0</v>
      </c>
      <c r="BN53" s="512">
        <v>0</v>
      </c>
      <c r="BO53" s="512">
        <v>0</v>
      </c>
      <c r="BP53" s="512">
        <v>0</v>
      </c>
      <c r="BQ53" s="512">
        <v>0</v>
      </c>
      <c r="BR53" s="512">
        <f>VLOOKUP($D$53,'[3]Balanço '!$K$5:$Q$17,7,FALSE)</f>
        <v>0</v>
      </c>
    </row>
    <row r="54" spans="1:73" ht="14.1" hidden="1" customHeight="1" outlineLevel="1" x14ac:dyDescent="0.2">
      <c r="A54" s="478" t="s">
        <v>371</v>
      </c>
      <c r="B54" s="478" t="s">
        <v>668</v>
      </c>
      <c r="C54" s="266" t="str">
        <f>IF([1]RENAME!$H$3=1,B54,A54)</f>
        <v>Aquisição de controlada</v>
      </c>
      <c r="D54" s="492" t="str">
        <f>IF([1]RENAME!$H$3=1,B54,A54)</f>
        <v>Aquisição de controlada</v>
      </c>
      <c r="E54" s="493">
        <v>0</v>
      </c>
      <c r="F54" s="493">
        <v>0</v>
      </c>
      <c r="G54" s="493">
        <v>0</v>
      </c>
      <c r="H54" s="493">
        <v>0</v>
      </c>
      <c r="I54" s="493">
        <v>0</v>
      </c>
      <c r="J54" s="493">
        <v>0</v>
      </c>
      <c r="K54" s="493">
        <v>0</v>
      </c>
      <c r="L54" s="493">
        <v>0</v>
      </c>
      <c r="M54" s="493">
        <v>19830</v>
      </c>
      <c r="N54" s="493">
        <v>15978</v>
      </c>
      <c r="O54" s="493">
        <v>6127</v>
      </c>
      <c r="P54" s="493">
        <v>0</v>
      </c>
      <c r="Q54" s="494">
        <v>0</v>
      </c>
      <c r="R54" s="493">
        <v>0</v>
      </c>
      <c r="S54" s="493">
        <v>0</v>
      </c>
      <c r="T54" s="493">
        <v>0</v>
      </c>
      <c r="U54" s="493">
        <v>0</v>
      </c>
      <c r="V54" s="494">
        <v>0</v>
      </c>
      <c r="W54" s="493">
        <v>0</v>
      </c>
      <c r="X54" s="493">
        <v>0</v>
      </c>
      <c r="Y54" s="493">
        <v>0</v>
      </c>
      <c r="Z54" s="493">
        <v>0</v>
      </c>
      <c r="AA54" s="493">
        <v>0</v>
      </c>
      <c r="AB54" s="493">
        <v>0</v>
      </c>
      <c r="AC54" s="493">
        <v>11366</v>
      </c>
      <c r="AD54" s="493">
        <v>11749</v>
      </c>
      <c r="AE54" s="493">
        <v>12157</v>
      </c>
      <c r="AF54" s="493">
        <v>12541</v>
      </c>
      <c r="AG54" s="493">
        <v>0</v>
      </c>
      <c r="AH54" s="493">
        <v>0</v>
      </c>
      <c r="AI54" s="493">
        <v>0</v>
      </c>
      <c r="AJ54" s="493">
        <v>0</v>
      </c>
      <c r="AK54" s="487">
        <v>0</v>
      </c>
      <c r="AL54" s="487">
        <v>0</v>
      </c>
      <c r="AM54" s="487">
        <v>0</v>
      </c>
      <c r="AN54" s="487">
        <v>0</v>
      </c>
      <c r="AO54" s="487">
        <v>0</v>
      </c>
      <c r="AP54" s="487">
        <v>0</v>
      </c>
      <c r="AQ54" s="487">
        <v>0</v>
      </c>
      <c r="AR54" s="487">
        <v>0</v>
      </c>
      <c r="AS54" s="487">
        <v>0</v>
      </c>
      <c r="AT54" s="487">
        <v>0</v>
      </c>
      <c r="AU54" s="487">
        <v>0</v>
      </c>
      <c r="AV54" s="487">
        <v>0</v>
      </c>
      <c r="AW54" s="487">
        <v>0</v>
      </c>
      <c r="AX54" s="487">
        <v>0</v>
      </c>
      <c r="AY54" s="487">
        <v>0</v>
      </c>
      <c r="AZ54" s="487"/>
      <c r="BA54" s="487">
        <v>0</v>
      </c>
      <c r="BB54" s="487">
        <v>0</v>
      </c>
      <c r="BC54" s="487">
        <v>0</v>
      </c>
      <c r="BD54" s="487">
        <v>0</v>
      </c>
      <c r="BE54" s="487">
        <v>0</v>
      </c>
      <c r="BF54" s="487">
        <v>0</v>
      </c>
      <c r="BG54" s="487">
        <v>0</v>
      </c>
      <c r="BH54" s="487">
        <v>0</v>
      </c>
      <c r="BI54" s="487"/>
      <c r="BJ54" s="487"/>
      <c r="BK54" s="487"/>
      <c r="BL54" s="487">
        <v>0</v>
      </c>
      <c r="BM54" s="487"/>
      <c r="BN54" s="487">
        <v>0</v>
      </c>
      <c r="BO54" s="487">
        <v>0</v>
      </c>
      <c r="BP54" s="487">
        <v>0</v>
      </c>
      <c r="BQ54" s="487">
        <v>0</v>
      </c>
      <c r="BR54" s="487">
        <v>0</v>
      </c>
    </row>
    <row r="55" spans="1:73" ht="14.1" hidden="1" customHeight="1" outlineLevel="1" x14ac:dyDescent="0.2">
      <c r="A55" s="478" t="s">
        <v>18</v>
      </c>
      <c r="B55" s="478" t="s">
        <v>665</v>
      </c>
      <c r="D55" s="492" t="str">
        <f>IF([1]RENAME!$H$3=1,B55,A55)</f>
        <v>Parcelamento de tributos</v>
      </c>
      <c r="E55" s="493">
        <v>2165</v>
      </c>
      <c r="F55" s="493">
        <v>1812</v>
      </c>
      <c r="G55" s="493">
        <v>1736</v>
      </c>
      <c r="H55" s="493">
        <v>2639</v>
      </c>
      <c r="I55" s="493">
        <v>3376</v>
      </c>
      <c r="J55" s="493">
        <v>2871</v>
      </c>
      <c r="K55" s="493">
        <v>2441</v>
      </c>
      <c r="L55" s="493">
        <v>1343</v>
      </c>
      <c r="M55" s="493">
        <v>18022</v>
      </c>
      <c r="N55" s="493">
        <v>1983</v>
      </c>
      <c r="O55" s="493">
        <v>1692</v>
      </c>
      <c r="P55" s="493">
        <v>2230</v>
      </c>
      <c r="Q55" s="494">
        <v>1854</v>
      </c>
      <c r="R55" s="493">
        <v>1164</v>
      </c>
      <c r="S55" s="493">
        <v>814</v>
      </c>
      <c r="T55" s="493">
        <v>1060</v>
      </c>
      <c r="U55" s="493">
        <v>1048</v>
      </c>
      <c r="V55" s="494">
        <v>104</v>
      </c>
      <c r="W55" s="493">
        <v>409</v>
      </c>
      <c r="X55" s="493">
        <v>28</v>
      </c>
      <c r="Y55" s="493">
        <v>9</v>
      </c>
      <c r="Z55" s="493">
        <v>29</v>
      </c>
      <c r="AA55" s="493">
        <v>26</v>
      </c>
      <c r="AB55" s="493">
        <v>29</v>
      </c>
      <c r="AC55" s="493">
        <v>29</v>
      </c>
      <c r="AD55" s="493">
        <v>29</v>
      </c>
      <c r="AE55" s="493">
        <v>26</v>
      </c>
      <c r="AF55" s="493">
        <v>19</v>
      </c>
      <c r="AG55" s="493">
        <v>0</v>
      </c>
      <c r="AH55" s="493">
        <v>0</v>
      </c>
      <c r="AI55" s="493">
        <v>386</v>
      </c>
      <c r="AJ55" s="493">
        <v>6034</v>
      </c>
      <c r="AK55" s="487">
        <v>0</v>
      </c>
      <c r="AL55" s="487">
        <v>0</v>
      </c>
      <c r="AM55" s="487">
        <v>0</v>
      </c>
      <c r="AN55" s="487">
        <v>0</v>
      </c>
      <c r="AO55" s="487">
        <v>0</v>
      </c>
      <c r="AP55" s="487">
        <v>0</v>
      </c>
      <c r="AQ55" s="487">
        <v>0</v>
      </c>
      <c r="AR55" s="487">
        <v>0</v>
      </c>
      <c r="AS55" s="487">
        <v>0</v>
      </c>
      <c r="AT55" s="487">
        <v>0</v>
      </c>
      <c r="AU55" s="487">
        <v>0</v>
      </c>
      <c r="AV55" s="487">
        <v>0</v>
      </c>
      <c r="AW55" s="487">
        <v>0</v>
      </c>
      <c r="AX55" s="487">
        <v>0</v>
      </c>
      <c r="AY55" s="487">
        <v>0</v>
      </c>
      <c r="AZ55" s="487"/>
      <c r="BA55" s="487">
        <v>0</v>
      </c>
      <c r="BB55" s="487">
        <v>0</v>
      </c>
      <c r="BC55" s="487">
        <f>VLOOKUP($D$55,'[3]Balanço '!$K$5:$Q$17,7,FALSE)</f>
        <v>56</v>
      </c>
      <c r="BD55" s="487">
        <f>VLOOKUP($D$55,'[3]Balanço '!$K$5:$Q$17,7,FALSE)</f>
        <v>56</v>
      </c>
      <c r="BE55" s="487">
        <f>VLOOKUP($D$55,'[3]Balanço '!$K$5:$Q$17,7,FALSE)</f>
        <v>56</v>
      </c>
      <c r="BF55" s="487">
        <f>VLOOKUP($D$55,'[3]Balanço '!$K$5:$Q$17,7,FALSE)</f>
        <v>56</v>
      </c>
      <c r="BG55" s="487">
        <f>VLOOKUP($D$55,'[3]Balanço '!$K$5:$Q$17,7,FALSE)</f>
        <v>56</v>
      </c>
      <c r="BH55" s="487">
        <f>VLOOKUP($D$55,'[3]Balanço '!$K$5:$Q$17,7,FALSE)</f>
        <v>56</v>
      </c>
      <c r="BI55" s="487"/>
      <c r="BJ55" s="487"/>
      <c r="BK55" s="487"/>
      <c r="BL55" s="487">
        <v>0</v>
      </c>
      <c r="BM55" s="487"/>
      <c r="BN55" s="487">
        <v>0</v>
      </c>
      <c r="BO55" s="487">
        <v>0</v>
      </c>
      <c r="BP55" s="487">
        <v>0</v>
      </c>
      <c r="BQ55" s="487">
        <v>0</v>
      </c>
      <c r="BR55" s="487">
        <v>0</v>
      </c>
    </row>
    <row r="56" spans="1:73" ht="14.1" hidden="1" customHeight="1" outlineLevel="1" x14ac:dyDescent="0.2">
      <c r="A56" s="478" t="s">
        <v>81</v>
      </c>
      <c r="B56" s="478" t="s">
        <v>671</v>
      </c>
      <c r="D56" s="492" t="str">
        <f>IF([1]RENAME!$H$3=1,B56,A56)</f>
        <v xml:space="preserve">Seguros e aluguéis a pagar </v>
      </c>
      <c r="E56" s="493">
        <v>4825</v>
      </c>
      <c r="F56" s="493">
        <v>3371</v>
      </c>
      <c r="G56" s="493">
        <v>7832</v>
      </c>
      <c r="H56" s="493">
        <v>8877</v>
      </c>
      <c r="I56" s="493">
        <v>8637</v>
      </c>
      <c r="J56" s="493">
        <v>8246</v>
      </c>
      <c r="K56" s="493">
        <v>9596</v>
      </c>
      <c r="L56" s="493">
        <v>5422</v>
      </c>
      <c r="M56" s="493">
        <v>35680</v>
      </c>
      <c r="N56" s="493">
        <v>7971</v>
      </c>
      <c r="O56" s="493">
        <v>8750</v>
      </c>
      <c r="P56" s="493">
        <v>3890</v>
      </c>
      <c r="Q56" s="494">
        <v>5580</v>
      </c>
      <c r="R56" s="493">
        <v>7258</v>
      </c>
      <c r="S56" s="493">
        <v>6254</v>
      </c>
      <c r="T56" s="493">
        <v>4279</v>
      </c>
      <c r="U56" s="493">
        <v>4106</v>
      </c>
      <c r="V56" s="494">
        <v>6459</v>
      </c>
      <c r="W56" s="493">
        <v>5992</v>
      </c>
      <c r="X56" s="493">
        <v>4673</v>
      </c>
      <c r="Y56" s="493">
        <v>3753</v>
      </c>
      <c r="Z56" s="493">
        <v>3474</v>
      </c>
      <c r="AA56" s="493">
        <v>3527</v>
      </c>
      <c r="AB56" s="493">
        <v>0</v>
      </c>
      <c r="AC56" s="493">
        <v>0</v>
      </c>
      <c r="AD56" s="493">
        <v>0</v>
      </c>
      <c r="AE56" s="493">
        <v>0</v>
      </c>
      <c r="AF56" s="493">
        <v>0</v>
      </c>
      <c r="AG56" s="493">
        <v>0</v>
      </c>
      <c r="AH56" s="493">
        <v>0</v>
      </c>
      <c r="AI56" s="493">
        <v>0</v>
      </c>
      <c r="AJ56" s="493">
        <v>0</v>
      </c>
      <c r="AK56" s="487">
        <v>0</v>
      </c>
      <c r="AL56" s="487">
        <v>0</v>
      </c>
      <c r="AM56" s="487">
        <v>0</v>
      </c>
      <c r="AN56" s="487">
        <v>0</v>
      </c>
      <c r="AO56" s="487">
        <v>0</v>
      </c>
      <c r="AP56" s="487">
        <v>0</v>
      </c>
      <c r="AQ56" s="487">
        <v>0</v>
      </c>
      <c r="AR56" s="487">
        <v>0</v>
      </c>
      <c r="AS56" s="487">
        <v>0</v>
      </c>
      <c r="AT56" s="487">
        <v>0</v>
      </c>
      <c r="AU56" s="487">
        <v>0</v>
      </c>
      <c r="AV56" s="487">
        <v>0</v>
      </c>
      <c r="AW56" s="487">
        <v>0</v>
      </c>
      <c r="AX56" s="487">
        <v>0</v>
      </c>
      <c r="AY56" s="487">
        <v>0</v>
      </c>
      <c r="AZ56" s="487"/>
      <c r="BA56" s="487">
        <v>0</v>
      </c>
      <c r="BB56" s="487">
        <v>0</v>
      </c>
      <c r="BC56" s="487">
        <v>0</v>
      </c>
      <c r="BD56" s="487">
        <v>0</v>
      </c>
      <c r="BE56" s="487">
        <v>0</v>
      </c>
      <c r="BF56" s="487">
        <v>0</v>
      </c>
      <c r="BG56" s="487">
        <v>0</v>
      </c>
      <c r="BH56" s="487">
        <v>0</v>
      </c>
      <c r="BI56" s="487"/>
      <c r="BJ56" s="487"/>
      <c r="BK56" s="487"/>
      <c r="BL56" s="487">
        <v>0</v>
      </c>
      <c r="BM56" s="487"/>
      <c r="BN56" s="487">
        <v>0</v>
      </c>
      <c r="BO56" s="487">
        <v>0</v>
      </c>
      <c r="BP56" s="487">
        <v>0</v>
      </c>
      <c r="BQ56" s="487">
        <v>0</v>
      </c>
      <c r="BR56" s="487">
        <v>0</v>
      </c>
    </row>
    <row r="57" spans="1:73" ht="14.1" hidden="1" customHeight="1" outlineLevel="1" x14ac:dyDescent="0.2">
      <c r="A57" s="478" t="s">
        <v>21</v>
      </c>
      <c r="B57" s="478" t="s">
        <v>649</v>
      </c>
      <c r="D57" s="492" t="str">
        <f>IF([1]RENAME!$H$3=1,B57,A57)</f>
        <v>Instrumentos financeiros derivativos - Swap</v>
      </c>
      <c r="E57" s="493">
        <v>0</v>
      </c>
      <c r="F57" s="493">
        <v>0</v>
      </c>
      <c r="G57" s="493">
        <v>0</v>
      </c>
      <c r="H57" s="493">
        <v>0</v>
      </c>
      <c r="I57" s="493">
        <v>1261</v>
      </c>
      <c r="J57" s="493">
        <v>4437</v>
      </c>
      <c r="K57" s="493">
        <v>0</v>
      </c>
      <c r="L57" s="493">
        <v>0</v>
      </c>
      <c r="M57" s="493">
        <v>1000</v>
      </c>
      <c r="N57" s="493">
        <v>0</v>
      </c>
      <c r="O57" s="493">
        <v>0</v>
      </c>
      <c r="P57" s="493">
        <v>0</v>
      </c>
      <c r="Q57" s="494">
        <v>1774</v>
      </c>
      <c r="R57" s="493">
        <v>0</v>
      </c>
      <c r="S57" s="493">
        <v>0</v>
      </c>
      <c r="T57" s="493">
        <v>0</v>
      </c>
      <c r="U57" s="493">
        <v>0</v>
      </c>
      <c r="V57" s="494">
        <v>0</v>
      </c>
      <c r="W57" s="493">
        <v>0</v>
      </c>
      <c r="X57" s="493">
        <v>0</v>
      </c>
      <c r="Y57" s="493">
        <v>0</v>
      </c>
      <c r="Z57" s="493">
        <v>0</v>
      </c>
      <c r="AA57" s="493">
        <v>0</v>
      </c>
      <c r="AB57" s="493">
        <v>0</v>
      </c>
      <c r="AC57" s="493">
        <v>0</v>
      </c>
      <c r="AD57" s="493">
        <v>0</v>
      </c>
      <c r="AE57" s="493">
        <v>0</v>
      </c>
      <c r="AF57" s="493">
        <v>0</v>
      </c>
      <c r="AG57" s="493">
        <v>0</v>
      </c>
      <c r="AH57" s="493">
        <v>0</v>
      </c>
      <c r="AI57" s="493">
        <v>0</v>
      </c>
      <c r="AJ57" s="493">
        <v>0</v>
      </c>
      <c r="AK57" s="487">
        <v>0</v>
      </c>
      <c r="AL57" s="487">
        <v>0</v>
      </c>
      <c r="AM57" s="487">
        <v>0</v>
      </c>
      <c r="AN57" s="487">
        <v>0</v>
      </c>
      <c r="AO57" s="487">
        <v>0</v>
      </c>
      <c r="AP57" s="487">
        <v>0</v>
      </c>
      <c r="AQ57" s="487">
        <v>0</v>
      </c>
      <c r="AR57" s="487">
        <v>0</v>
      </c>
      <c r="AS57" s="487">
        <v>0</v>
      </c>
      <c r="AT57" s="487">
        <v>0</v>
      </c>
      <c r="AU57" s="487">
        <v>0</v>
      </c>
      <c r="AV57" s="487">
        <v>0</v>
      </c>
      <c r="AW57" s="487">
        <v>0</v>
      </c>
      <c r="AX57" s="487">
        <v>0</v>
      </c>
      <c r="AY57" s="487">
        <v>0</v>
      </c>
      <c r="AZ57" s="487"/>
      <c r="BA57" s="487">
        <v>0</v>
      </c>
      <c r="BB57" s="487">
        <v>0</v>
      </c>
      <c r="BC57" s="487">
        <v>0</v>
      </c>
      <c r="BD57" s="487">
        <v>0</v>
      </c>
      <c r="BE57" s="487">
        <v>0</v>
      </c>
      <c r="BF57" s="487">
        <v>0</v>
      </c>
      <c r="BG57" s="487">
        <v>0</v>
      </c>
      <c r="BH57" s="487">
        <v>0</v>
      </c>
      <c r="BI57" s="487"/>
      <c r="BJ57" s="487"/>
      <c r="BK57" s="487"/>
      <c r="BL57" s="487">
        <v>0</v>
      </c>
      <c r="BM57" s="487"/>
      <c r="BN57" s="487">
        <v>0</v>
      </c>
      <c r="BO57" s="487">
        <v>0</v>
      </c>
      <c r="BP57" s="487">
        <v>0</v>
      </c>
      <c r="BQ57" s="487">
        <v>0</v>
      </c>
      <c r="BR57" s="487">
        <v>0</v>
      </c>
    </row>
    <row r="58" spans="1:73" ht="14.1" hidden="1" customHeight="1" outlineLevel="1" x14ac:dyDescent="0.2">
      <c r="A58" s="478" t="s">
        <v>41</v>
      </c>
      <c r="B58" s="478" t="s">
        <v>672</v>
      </c>
      <c r="D58" s="492" t="str">
        <f>IF([1]RENAME!$H$3=1,B58,A58)</f>
        <v>Opção de compra em controlada</v>
      </c>
      <c r="E58" s="493">
        <v>0</v>
      </c>
      <c r="F58" s="493">
        <v>0</v>
      </c>
      <c r="G58" s="493">
        <v>0</v>
      </c>
      <c r="H58" s="493">
        <v>0</v>
      </c>
      <c r="I58" s="493">
        <v>0</v>
      </c>
      <c r="J58" s="493">
        <v>0</v>
      </c>
      <c r="K58" s="493">
        <v>0</v>
      </c>
      <c r="L58" s="493">
        <v>5059</v>
      </c>
      <c r="M58" s="493">
        <v>0</v>
      </c>
      <c r="N58" s="493">
        <v>0</v>
      </c>
      <c r="O58" s="493">
        <v>0</v>
      </c>
      <c r="P58" s="493">
        <v>0</v>
      </c>
      <c r="Q58" s="494">
        <v>0</v>
      </c>
      <c r="R58" s="493">
        <v>0</v>
      </c>
      <c r="S58" s="493">
        <v>52240</v>
      </c>
      <c r="T58" s="493">
        <v>0</v>
      </c>
      <c r="U58" s="493">
        <v>0</v>
      </c>
      <c r="V58" s="494">
        <v>0</v>
      </c>
      <c r="W58" s="493">
        <v>0</v>
      </c>
      <c r="X58" s="493">
        <v>0</v>
      </c>
      <c r="Y58" s="493">
        <v>0</v>
      </c>
      <c r="Z58" s="493">
        <v>0</v>
      </c>
      <c r="AA58" s="493">
        <v>0</v>
      </c>
      <c r="AB58" s="493">
        <v>0</v>
      </c>
      <c r="AC58" s="493">
        <v>0</v>
      </c>
      <c r="AD58" s="493">
        <v>0</v>
      </c>
      <c r="AE58" s="493">
        <v>0</v>
      </c>
      <c r="AF58" s="493">
        <v>0</v>
      </c>
      <c r="AG58" s="493">
        <v>0</v>
      </c>
      <c r="AH58" s="493">
        <v>0</v>
      </c>
      <c r="AI58" s="493">
        <v>0</v>
      </c>
      <c r="AJ58" s="493">
        <v>0</v>
      </c>
      <c r="AK58" s="487">
        <v>0</v>
      </c>
      <c r="AL58" s="487">
        <v>0</v>
      </c>
      <c r="AM58" s="487">
        <v>0</v>
      </c>
      <c r="AN58" s="487">
        <v>0</v>
      </c>
      <c r="AO58" s="487">
        <v>0</v>
      </c>
      <c r="AP58" s="487">
        <v>0</v>
      </c>
      <c r="AQ58" s="487">
        <v>0</v>
      </c>
      <c r="AR58" s="487">
        <v>0</v>
      </c>
      <c r="AS58" s="487">
        <v>0</v>
      </c>
      <c r="AT58" s="487">
        <v>0</v>
      </c>
      <c r="AU58" s="487">
        <v>0</v>
      </c>
      <c r="AV58" s="487">
        <v>0</v>
      </c>
      <c r="AW58" s="487">
        <v>0</v>
      </c>
      <c r="AX58" s="487">
        <v>0</v>
      </c>
      <c r="AY58" s="487">
        <v>0</v>
      </c>
      <c r="AZ58" s="487"/>
      <c r="BA58" s="487">
        <v>0</v>
      </c>
      <c r="BB58" s="487">
        <v>0</v>
      </c>
      <c r="BC58" s="487">
        <v>0</v>
      </c>
      <c r="BD58" s="487">
        <v>0</v>
      </c>
      <c r="BE58" s="487">
        <v>0</v>
      </c>
      <c r="BF58" s="487">
        <v>0</v>
      </c>
      <c r="BG58" s="487">
        <v>0</v>
      </c>
      <c r="BH58" s="487">
        <v>0</v>
      </c>
      <c r="BI58" s="487"/>
      <c r="BJ58" s="487"/>
      <c r="BK58" s="487"/>
      <c r="BL58" s="487">
        <v>0</v>
      </c>
      <c r="BM58" s="487"/>
      <c r="BN58" s="487">
        <v>0</v>
      </c>
      <c r="BO58" s="487">
        <v>0</v>
      </c>
      <c r="BP58" s="487">
        <v>0</v>
      </c>
      <c r="BQ58" s="487">
        <v>0</v>
      </c>
      <c r="BR58" s="487">
        <v>0</v>
      </c>
    </row>
    <row r="59" spans="1:73" ht="14.1" hidden="1" customHeight="1" outlineLevel="1" x14ac:dyDescent="0.2">
      <c r="A59" s="478" t="s">
        <v>59</v>
      </c>
      <c r="B59" s="478" t="s">
        <v>673</v>
      </c>
      <c r="D59" s="506" t="str">
        <f>IF([1]RENAME!$H$3=1,B59,A59)</f>
        <v>Passivos de operação descontinuada</v>
      </c>
      <c r="E59" s="497">
        <v>0</v>
      </c>
      <c r="F59" s="497">
        <v>0</v>
      </c>
      <c r="G59" s="497">
        <v>0</v>
      </c>
      <c r="H59" s="497">
        <v>0</v>
      </c>
      <c r="I59" s="497">
        <v>0</v>
      </c>
      <c r="J59" s="497">
        <v>0</v>
      </c>
      <c r="K59" s="497">
        <v>0</v>
      </c>
      <c r="L59" s="497">
        <v>0</v>
      </c>
      <c r="M59" s="497">
        <v>0</v>
      </c>
      <c r="N59" s="497">
        <v>0</v>
      </c>
      <c r="O59" s="497">
        <v>0</v>
      </c>
      <c r="P59" s="497">
        <v>0</v>
      </c>
      <c r="Q59" s="498">
        <v>0</v>
      </c>
      <c r="R59" s="497">
        <v>0</v>
      </c>
      <c r="S59" s="497">
        <v>0</v>
      </c>
      <c r="T59" s="497">
        <v>0</v>
      </c>
      <c r="U59" s="497">
        <v>0</v>
      </c>
      <c r="V59" s="498">
        <v>149042</v>
      </c>
      <c r="W59" s="497">
        <v>0</v>
      </c>
      <c r="X59" s="497">
        <v>0</v>
      </c>
      <c r="Y59" s="497">
        <v>0</v>
      </c>
      <c r="Z59" s="497">
        <v>0</v>
      </c>
      <c r="AA59" s="497">
        <v>0</v>
      </c>
      <c r="AB59" s="497">
        <v>0</v>
      </c>
      <c r="AC59" s="497">
        <v>0</v>
      </c>
      <c r="AD59" s="497">
        <v>0</v>
      </c>
      <c r="AE59" s="497">
        <v>0</v>
      </c>
      <c r="AF59" s="497">
        <v>0</v>
      </c>
      <c r="AG59" s="497">
        <v>0</v>
      </c>
      <c r="AH59" s="497">
        <v>0</v>
      </c>
      <c r="AI59" s="497">
        <v>0</v>
      </c>
      <c r="AJ59" s="497">
        <v>0</v>
      </c>
      <c r="AK59" s="512">
        <v>0</v>
      </c>
      <c r="AL59" s="512">
        <v>0</v>
      </c>
      <c r="AM59" s="512">
        <v>0</v>
      </c>
      <c r="AN59" s="512">
        <v>0</v>
      </c>
      <c r="AO59" s="512">
        <v>0</v>
      </c>
      <c r="AP59" s="512">
        <v>0</v>
      </c>
      <c r="AQ59" s="512">
        <v>0</v>
      </c>
      <c r="AR59" s="512">
        <v>0</v>
      </c>
      <c r="AS59" s="512">
        <v>0</v>
      </c>
      <c r="AT59" s="512">
        <v>0</v>
      </c>
      <c r="AU59" s="512">
        <v>0</v>
      </c>
      <c r="AV59" s="512">
        <v>0</v>
      </c>
      <c r="AW59" s="512">
        <v>0</v>
      </c>
      <c r="AX59" s="512">
        <v>0</v>
      </c>
      <c r="AY59" s="512">
        <v>0</v>
      </c>
      <c r="AZ59" s="512"/>
      <c r="BA59" s="512">
        <v>0</v>
      </c>
      <c r="BB59" s="512">
        <v>0</v>
      </c>
      <c r="BC59" s="512">
        <v>0</v>
      </c>
      <c r="BD59" s="512">
        <v>0</v>
      </c>
      <c r="BE59" s="512">
        <v>0</v>
      </c>
      <c r="BF59" s="512">
        <v>0</v>
      </c>
      <c r="BG59" s="512">
        <v>0</v>
      </c>
      <c r="BH59" s="512">
        <v>0</v>
      </c>
      <c r="BI59" s="512"/>
      <c r="BJ59" s="512"/>
      <c r="BK59" s="512"/>
      <c r="BL59" s="512">
        <v>0</v>
      </c>
      <c r="BM59" s="512"/>
      <c r="BN59" s="512">
        <v>0</v>
      </c>
      <c r="BO59" s="512">
        <v>0</v>
      </c>
      <c r="BP59" s="512">
        <v>0</v>
      </c>
      <c r="BQ59" s="512">
        <v>0</v>
      </c>
      <c r="BR59" s="512">
        <v>0</v>
      </c>
    </row>
    <row r="60" spans="1:73" ht="6.75" customHeight="1" x14ac:dyDescent="0.2">
      <c r="D60" s="499"/>
      <c r="E60" s="727"/>
      <c r="F60" s="727"/>
      <c r="G60" s="727"/>
      <c r="H60" s="727"/>
      <c r="I60" s="727"/>
      <c r="J60" s="727"/>
      <c r="K60" s="727"/>
      <c r="L60" s="727"/>
      <c r="M60" s="727"/>
      <c r="N60" s="727"/>
      <c r="O60" s="727"/>
      <c r="P60" s="727"/>
      <c r="Q60" s="726"/>
      <c r="R60" s="727"/>
      <c r="S60" s="727"/>
      <c r="T60" s="727"/>
      <c r="U60" s="727"/>
      <c r="V60" s="735">
        <f t="shared" ref="V60:AE60" si="36">+V44+V43</f>
        <v>12539</v>
      </c>
      <c r="W60" s="736">
        <f t="shared" si="36"/>
        <v>32641</v>
      </c>
      <c r="X60" s="717">
        <f t="shared" si="36"/>
        <v>35778</v>
      </c>
      <c r="Y60" s="717">
        <f t="shared" si="36"/>
        <v>129580</v>
      </c>
      <c r="Z60" s="717">
        <f t="shared" si="36"/>
        <v>32434</v>
      </c>
      <c r="AA60" s="717">
        <f t="shared" si="36"/>
        <v>32032</v>
      </c>
      <c r="AB60" s="717">
        <f t="shared" si="36"/>
        <v>83109</v>
      </c>
      <c r="AC60" s="717">
        <f t="shared" si="36"/>
        <v>127599</v>
      </c>
      <c r="AD60" s="717">
        <f t="shared" si="36"/>
        <v>128589</v>
      </c>
      <c r="AE60" s="717">
        <f t="shared" si="36"/>
        <v>127990</v>
      </c>
      <c r="AF60" s="717">
        <v>128091</v>
      </c>
      <c r="AG60" s="717">
        <v>123424</v>
      </c>
      <c r="AH60" s="717">
        <v>122970</v>
      </c>
      <c r="AI60" s="737" t="s">
        <v>89</v>
      </c>
      <c r="AJ60" s="737"/>
      <c r="AK60" s="738"/>
      <c r="AL60" s="738"/>
      <c r="AM60" s="738"/>
      <c r="AN60" s="738"/>
      <c r="AO60" s="738"/>
      <c r="AP60" s="738"/>
      <c r="AQ60" s="738"/>
      <c r="AR60" s="738"/>
      <c r="AS60" s="738"/>
      <c r="AT60" s="738"/>
      <c r="AU60" s="738"/>
      <c r="AV60" s="738"/>
      <c r="AW60" s="738"/>
      <c r="AX60" s="738"/>
      <c r="AY60" s="738"/>
      <c r="AZ60" s="738"/>
      <c r="BA60" s="738"/>
      <c r="BB60" s="738"/>
      <c r="BC60" s="738"/>
      <c r="BD60" s="738"/>
      <c r="BE60" s="738"/>
      <c r="BF60" s="738"/>
      <c r="BG60" s="738"/>
      <c r="BH60" s="738"/>
      <c r="BI60" s="738"/>
      <c r="BJ60" s="738"/>
      <c r="BK60" s="738"/>
      <c r="BL60" s="738"/>
      <c r="BM60" s="738"/>
      <c r="BN60" s="738"/>
      <c r="BO60" s="738"/>
      <c r="BP60" s="738"/>
      <c r="BQ60" s="738"/>
      <c r="BR60" s="738"/>
    </row>
    <row r="61" spans="1:73" ht="14.1" customHeight="1" x14ac:dyDescent="0.2">
      <c r="A61" s="478" t="s">
        <v>42</v>
      </c>
      <c r="B61" s="478" t="s">
        <v>674</v>
      </c>
      <c r="D61" s="483" t="str">
        <f>IF([1]RENAME!$H$3=1,B61,A61)</f>
        <v>Passivo não circulante</v>
      </c>
      <c r="E61" s="484">
        <f t="shared" ref="E61:AG61" si="37">SUM(E62:E76)</f>
        <v>38284</v>
      </c>
      <c r="F61" s="484">
        <f t="shared" si="37"/>
        <v>92934</v>
      </c>
      <c r="G61" s="484">
        <f t="shared" si="37"/>
        <v>52326</v>
      </c>
      <c r="H61" s="484">
        <f t="shared" si="37"/>
        <v>39042</v>
      </c>
      <c r="I61" s="484">
        <f t="shared" si="37"/>
        <v>93499</v>
      </c>
      <c r="J61" s="485">
        <f t="shared" si="37"/>
        <v>90899</v>
      </c>
      <c r="K61" s="484">
        <f t="shared" si="37"/>
        <v>339243</v>
      </c>
      <c r="L61" s="484">
        <f t="shared" si="37"/>
        <v>374004</v>
      </c>
      <c r="M61" s="484">
        <f t="shared" si="37"/>
        <v>379179</v>
      </c>
      <c r="N61" s="484">
        <f t="shared" si="37"/>
        <v>207596</v>
      </c>
      <c r="O61" s="484">
        <f t="shared" si="37"/>
        <v>254583</v>
      </c>
      <c r="P61" s="484">
        <f t="shared" si="37"/>
        <v>242854</v>
      </c>
      <c r="Q61" s="485">
        <f t="shared" si="37"/>
        <v>447282</v>
      </c>
      <c r="R61" s="484">
        <f t="shared" si="37"/>
        <v>469050</v>
      </c>
      <c r="S61" s="484">
        <f t="shared" si="37"/>
        <v>409663</v>
      </c>
      <c r="T61" s="484">
        <f t="shared" si="37"/>
        <v>532521</v>
      </c>
      <c r="U61" s="484">
        <f t="shared" si="37"/>
        <v>517913</v>
      </c>
      <c r="V61" s="485">
        <f t="shared" si="37"/>
        <v>439801</v>
      </c>
      <c r="W61" s="484">
        <f t="shared" si="37"/>
        <v>501191</v>
      </c>
      <c r="X61" s="484">
        <f t="shared" si="37"/>
        <v>518145</v>
      </c>
      <c r="Y61" s="484">
        <f t="shared" si="37"/>
        <v>456558</v>
      </c>
      <c r="Z61" s="484">
        <f t="shared" si="37"/>
        <v>378711</v>
      </c>
      <c r="AA61" s="484">
        <f t="shared" si="37"/>
        <v>382094</v>
      </c>
      <c r="AB61" s="484">
        <f t="shared" si="37"/>
        <v>334293</v>
      </c>
      <c r="AC61" s="484">
        <f t="shared" si="37"/>
        <v>255525</v>
      </c>
      <c r="AD61" s="484">
        <f t="shared" si="37"/>
        <v>252525</v>
      </c>
      <c r="AE61" s="484">
        <f t="shared" si="37"/>
        <v>253828</v>
      </c>
      <c r="AF61" s="484">
        <f t="shared" si="37"/>
        <v>202197</v>
      </c>
      <c r="AG61" s="484">
        <f t="shared" si="37"/>
        <v>136023</v>
      </c>
      <c r="AH61" s="484">
        <v>204486</v>
      </c>
      <c r="AI61" s="484">
        <f t="shared" ref="AI61:BR61" si="38">SUM(AI62:AI76)</f>
        <v>201750</v>
      </c>
      <c r="AJ61" s="484">
        <f t="shared" si="38"/>
        <v>195933</v>
      </c>
      <c r="AK61" s="484">
        <f t="shared" si="38"/>
        <v>152343</v>
      </c>
      <c r="AL61" s="484">
        <f t="shared" si="38"/>
        <v>105075</v>
      </c>
      <c r="AM61" s="484">
        <f t="shared" si="38"/>
        <v>155846</v>
      </c>
      <c r="AN61" s="484">
        <f t="shared" si="38"/>
        <v>154419</v>
      </c>
      <c r="AO61" s="484">
        <f t="shared" si="38"/>
        <v>230321.47964426508</v>
      </c>
      <c r="AP61" s="484">
        <f t="shared" si="38"/>
        <v>240419</v>
      </c>
      <c r="AQ61" s="484">
        <f t="shared" si="38"/>
        <v>152882</v>
      </c>
      <c r="AR61" s="484">
        <f t="shared" si="38"/>
        <v>141627</v>
      </c>
      <c r="AS61" s="484">
        <f t="shared" si="38"/>
        <v>149995</v>
      </c>
      <c r="AT61" s="484">
        <f t="shared" si="38"/>
        <v>185112</v>
      </c>
      <c r="AU61" s="484">
        <f t="shared" si="38"/>
        <v>200251</v>
      </c>
      <c r="AV61" s="484">
        <f t="shared" si="38"/>
        <v>195448</v>
      </c>
      <c r="AW61" s="484">
        <f t="shared" si="38"/>
        <v>211731</v>
      </c>
      <c r="AX61" s="484">
        <f t="shared" si="38"/>
        <v>154635</v>
      </c>
      <c r="AY61" s="484">
        <f t="shared" si="38"/>
        <v>146667</v>
      </c>
      <c r="AZ61" s="484">
        <f t="shared" si="38"/>
        <v>143747</v>
      </c>
      <c r="BA61" s="484">
        <f t="shared" si="38"/>
        <v>131876</v>
      </c>
      <c r="BB61" s="484">
        <f t="shared" si="38"/>
        <v>122325</v>
      </c>
      <c r="BC61" s="484">
        <f t="shared" si="38"/>
        <v>78435</v>
      </c>
      <c r="BD61" s="484">
        <f t="shared" si="38"/>
        <v>103588</v>
      </c>
      <c r="BE61" s="484">
        <f t="shared" si="38"/>
        <v>123789</v>
      </c>
      <c r="BF61" s="484">
        <f t="shared" si="38"/>
        <v>119430</v>
      </c>
      <c r="BG61" s="484">
        <f t="shared" si="38"/>
        <v>164321</v>
      </c>
      <c r="BH61" s="484">
        <f t="shared" si="38"/>
        <v>165072</v>
      </c>
      <c r="BI61" s="484">
        <f t="shared" si="38"/>
        <v>171515</v>
      </c>
      <c r="BJ61" s="484">
        <f t="shared" si="38"/>
        <v>176687</v>
      </c>
      <c r="BK61" s="484">
        <f t="shared" si="38"/>
        <v>146788</v>
      </c>
      <c r="BL61" s="484">
        <f t="shared" si="38"/>
        <v>145071</v>
      </c>
      <c r="BM61" s="484">
        <f t="shared" si="38"/>
        <v>162783</v>
      </c>
      <c r="BN61" s="484">
        <f t="shared" si="38"/>
        <v>155379</v>
      </c>
      <c r="BO61" s="484">
        <f t="shared" si="38"/>
        <v>132130</v>
      </c>
      <c r="BP61" s="484">
        <f t="shared" si="38"/>
        <v>170622</v>
      </c>
      <c r="BQ61" s="484">
        <f t="shared" si="38"/>
        <v>163050</v>
      </c>
      <c r="BR61" s="484">
        <f t="shared" si="38"/>
        <v>181287</v>
      </c>
    </row>
    <row r="62" spans="1:73" ht="14.1" customHeight="1" x14ac:dyDescent="0.2">
      <c r="A62" s="478" t="s">
        <v>16</v>
      </c>
      <c r="B62" s="478" t="s">
        <v>661</v>
      </c>
      <c r="C62" s="266" t="str">
        <f>IF([1]RENAME!$H$3=1,B62,A62)</f>
        <v>Empréstimos e financiamentos</v>
      </c>
      <c r="D62" s="486" t="str">
        <f>IF([1]RENAME!$H$3=1,B62,A62)</f>
        <v>Empréstimos e financiamentos</v>
      </c>
      <c r="E62" s="487">
        <v>20251</v>
      </c>
      <c r="F62" s="487">
        <v>59503</v>
      </c>
      <c r="G62" s="487">
        <v>40791</v>
      </c>
      <c r="H62" s="487">
        <v>33013</v>
      </c>
      <c r="I62" s="487">
        <v>35198</v>
      </c>
      <c r="J62" s="488">
        <v>32704</v>
      </c>
      <c r="K62" s="487">
        <v>280447</v>
      </c>
      <c r="L62" s="487">
        <v>274524</v>
      </c>
      <c r="M62" s="487">
        <v>270670</v>
      </c>
      <c r="N62" s="487">
        <v>95867</v>
      </c>
      <c r="O62" s="487">
        <v>139032</v>
      </c>
      <c r="P62" s="487">
        <v>134942</v>
      </c>
      <c r="Q62" s="488">
        <v>137205</v>
      </c>
      <c r="R62" s="487">
        <v>151935</v>
      </c>
      <c r="S62" s="487">
        <v>150794</v>
      </c>
      <c r="T62" s="487">
        <v>156960</v>
      </c>
      <c r="U62" s="487">
        <v>149965</v>
      </c>
      <c r="V62" s="488">
        <v>51907</v>
      </c>
      <c r="W62" s="487">
        <v>114769</v>
      </c>
      <c r="X62" s="487">
        <v>123577</v>
      </c>
      <c r="Y62" s="487">
        <v>79827</v>
      </c>
      <c r="Z62" s="487">
        <v>2037.9999999999998</v>
      </c>
      <c r="AA62" s="487">
        <v>1522</v>
      </c>
      <c r="AB62" s="487">
        <v>1181</v>
      </c>
      <c r="AC62" s="487">
        <v>919</v>
      </c>
      <c r="AD62" s="487">
        <v>657</v>
      </c>
      <c r="AE62" s="487">
        <v>396</v>
      </c>
      <c r="AF62" s="487">
        <v>134</v>
      </c>
      <c r="AG62" s="487">
        <v>1342</v>
      </c>
      <c r="AH62" s="490">
        <v>54195</v>
      </c>
      <c r="AI62" s="507">
        <v>53915</v>
      </c>
      <c r="AJ62" s="507">
        <v>53635</v>
      </c>
      <c r="AK62" s="487">
        <v>53356</v>
      </c>
      <c r="AL62" s="487">
        <v>6667</v>
      </c>
      <c r="AM62" s="487">
        <v>60554</v>
      </c>
      <c r="AN62" s="487">
        <v>55414</v>
      </c>
      <c r="AO62" s="487">
        <v>86669</v>
      </c>
      <c r="AP62" s="487">
        <v>81938</v>
      </c>
      <c r="AQ62" s="487">
        <v>30000</v>
      </c>
      <c r="AR62" s="487">
        <v>30000</v>
      </c>
      <c r="AS62" s="487">
        <v>30000</v>
      </c>
      <c r="AT62" s="487">
        <v>80000</v>
      </c>
      <c r="AU62" s="487">
        <v>125000</v>
      </c>
      <c r="AV62" s="487">
        <v>125000</v>
      </c>
      <c r="AW62" s="487">
        <v>115000</v>
      </c>
      <c r="AX62" s="487">
        <v>65000</v>
      </c>
      <c r="AY62" s="487">
        <v>65000</v>
      </c>
      <c r="AZ62" s="487">
        <v>65000</v>
      </c>
      <c r="BA62" s="487">
        <v>55000</v>
      </c>
      <c r="BB62" s="487">
        <v>55000</v>
      </c>
      <c r="BC62" s="487">
        <v>10000</v>
      </c>
      <c r="BD62" s="487">
        <v>42568</v>
      </c>
      <c r="BE62" s="487">
        <v>42568</v>
      </c>
      <c r="BF62" s="487">
        <v>32568</v>
      </c>
      <c r="BG62" s="487">
        <v>83834</v>
      </c>
      <c r="BH62" s="487">
        <v>88840</v>
      </c>
      <c r="BI62" s="487">
        <v>93732</v>
      </c>
      <c r="BJ62" s="487">
        <v>101443</v>
      </c>
      <c r="BK62" s="487">
        <v>77925</v>
      </c>
      <c r="BL62" s="487">
        <v>76907</v>
      </c>
      <c r="BM62" s="487">
        <v>82411</v>
      </c>
      <c r="BN62" s="487">
        <v>81209</v>
      </c>
      <c r="BO62" s="487">
        <v>57539</v>
      </c>
      <c r="BP62" s="487">
        <v>96183</v>
      </c>
      <c r="BQ62" s="487">
        <v>94764</v>
      </c>
      <c r="BR62" s="487">
        <f>VLOOKUP($D$62,'[3]Balanço '!$K$17:$Q$60,7,FALSE)</f>
        <v>106105</v>
      </c>
    </row>
    <row r="63" spans="1:73" ht="14.1" customHeight="1" x14ac:dyDescent="0.2">
      <c r="A63" s="478" t="s">
        <v>25</v>
      </c>
      <c r="B63" s="478" t="s">
        <v>641</v>
      </c>
      <c r="C63" s="266" t="str">
        <f>IF([1]RENAME!$H$3=1,B63,A63)</f>
        <v>Partes relacionadas</v>
      </c>
      <c r="D63" s="486" t="str">
        <f>IF([1]RENAME!$H$3=1,B63,A63)</f>
        <v>Partes relacionadas</v>
      </c>
      <c r="E63" s="487" t="s">
        <v>160</v>
      </c>
      <c r="F63" s="487" t="s">
        <v>160</v>
      </c>
      <c r="G63" s="487" t="s">
        <v>160</v>
      </c>
      <c r="H63" s="487" t="s">
        <v>160</v>
      </c>
      <c r="I63" s="487" t="s">
        <v>160</v>
      </c>
      <c r="J63" s="488" t="s">
        <v>160</v>
      </c>
      <c r="K63" s="487" t="s">
        <v>160</v>
      </c>
      <c r="L63" s="487" t="s">
        <v>160</v>
      </c>
      <c r="M63" s="487" t="s">
        <v>160</v>
      </c>
      <c r="N63" s="487" t="s">
        <v>160</v>
      </c>
      <c r="O63" s="487" t="s">
        <v>160</v>
      </c>
      <c r="P63" s="487" t="s">
        <v>160</v>
      </c>
      <c r="Q63" s="488" t="s">
        <v>160</v>
      </c>
      <c r="R63" s="487" t="s">
        <v>160</v>
      </c>
      <c r="S63" s="487" t="s">
        <v>160</v>
      </c>
      <c r="T63" s="487" t="s">
        <v>160</v>
      </c>
      <c r="U63" s="487" t="s">
        <v>160</v>
      </c>
      <c r="V63" s="488" t="s">
        <v>160</v>
      </c>
      <c r="W63" s="487" t="s">
        <v>160</v>
      </c>
      <c r="X63" s="487" t="s">
        <v>160</v>
      </c>
      <c r="Y63" s="487" t="s">
        <v>160</v>
      </c>
      <c r="Z63" s="487" t="s">
        <v>160</v>
      </c>
      <c r="AA63" s="487" t="s">
        <v>160</v>
      </c>
      <c r="AB63" s="487" t="s">
        <v>160</v>
      </c>
      <c r="AC63" s="487" t="s">
        <v>160</v>
      </c>
      <c r="AD63" s="487" t="s">
        <v>160</v>
      </c>
      <c r="AE63" s="487" t="s">
        <v>160</v>
      </c>
      <c r="AF63" s="487" t="s">
        <v>160</v>
      </c>
      <c r="AG63" s="487" t="s">
        <v>160</v>
      </c>
      <c r="AH63" s="487" t="s">
        <v>160</v>
      </c>
      <c r="AI63" s="487" t="s">
        <v>160</v>
      </c>
      <c r="AJ63" s="487" t="s">
        <v>160</v>
      </c>
      <c r="AK63" s="487">
        <v>0</v>
      </c>
      <c r="AL63" s="487">
        <v>1042</v>
      </c>
      <c r="AM63" s="487">
        <v>1503</v>
      </c>
      <c r="AN63" s="487">
        <v>1958</v>
      </c>
      <c r="AO63" s="487">
        <v>2087</v>
      </c>
      <c r="AP63" s="487">
        <v>2445</v>
      </c>
      <c r="AQ63" s="487">
        <v>2829</v>
      </c>
      <c r="AR63" s="487">
        <v>542</v>
      </c>
      <c r="AS63" s="487">
        <v>663</v>
      </c>
      <c r="AT63" s="487">
        <v>700</v>
      </c>
      <c r="AU63" s="487">
        <v>592</v>
      </c>
      <c r="AV63" s="487">
        <v>559</v>
      </c>
      <c r="AW63" s="487">
        <v>559</v>
      </c>
      <c r="AX63" s="487">
        <v>553</v>
      </c>
      <c r="AY63" s="487">
        <v>553</v>
      </c>
      <c r="AZ63" s="487">
        <v>551</v>
      </c>
      <c r="BA63" s="487">
        <v>528</v>
      </c>
      <c r="BB63" s="487">
        <v>524</v>
      </c>
      <c r="BC63" s="487">
        <v>524</v>
      </c>
      <c r="BD63" s="487">
        <v>524</v>
      </c>
      <c r="BE63" s="487">
        <v>524</v>
      </c>
      <c r="BF63" s="487">
        <v>524</v>
      </c>
      <c r="BG63" s="487">
        <v>524</v>
      </c>
      <c r="BH63" s="487">
        <v>524</v>
      </c>
      <c r="BI63" s="487">
        <v>524</v>
      </c>
      <c r="BJ63" s="487">
        <v>524</v>
      </c>
      <c r="BK63" s="487">
        <v>524</v>
      </c>
      <c r="BL63" s="487">
        <v>524</v>
      </c>
      <c r="BM63" s="487">
        <v>524</v>
      </c>
      <c r="BN63" s="487">
        <v>524</v>
      </c>
      <c r="BO63" s="487">
        <v>7379</v>
      </c>
      <c r="BP63" s="487">
        <v>7379</v>
      </c>
      <c r="BQ63" s="487">
        <v>7379</v>
      </c>
      <c r="BR63" s="487">
        <f>VLOOKUP($D$63,'[3]Balanço '!$K$17:$Q$60,7,FALSE)</f>
        <v>7379</v>
      </c>
    </row>
    <row r="64" spans="1:73" ht="14.1" customHeight="1" x14ac:dyDescent="0.2">
      <c r="A64" s="478" t="s">
        <v>23</v>
      </c>
      <c r="B64" s="478" t="s">
        <v>662</v>
      </c>
      <c r="C64" s="266" t="str">
        <f>IF([1]RENAME!$H$3=1,B64,A64)</f>
        <v>Debêntures</v>
      </c>
      <c r="D64" s="486" t="str">
        <f>IF([1]RENAME!$H$3=1,B64,A64)</f>
        <v>Debêntures</v>
      </c>
      <c r="E64" s="487">
        <v>0</v>
      </c>
      <c r="F64" s="487">
        <v>0</v>
      </c>
      <c r="G64" s="487">
        <v>0</v>
      </c>
      <c r="H64" s="487">
        <v>0</v>
      </c>
      <c r="I64" s="487">
        <v>0</v>
      </c>
      <c r="J64" s="488">
        <v>0</v>
      </c>
      <c r="K64" s="487">
        <v>0</v>
      </c>
      <c r="L64" s="487">
        <v>0</v>
      </c>
      <c r="M64" s="487">
        <v>0</v>
      </c>
      <c r="N64" s="487">
        <v>0</v>
      </c>
      <c r="O64" s="487">
        <v>0</v>
      </c>
      <c r="P64" s="487">
        <v>0</v>
      </c>
      <c r="Q64" s="488">
        <v>200000</v>
      </c>
      <c r="R64" s="487">
        <v>205853</v>
      </c>
      <c r="S64" s="487">
        <v>202336</v>
      </c>
      <c r="T64" s="487">
        <v>287845</v>
      </c>
      <c r="U64" s="487">
        <v>285063</v>
      </c>
      <c r="V64" s="488">
        <v>350000</v>
      </c>
      <c r="W64" s="487">
        <v>350000</v>
      </c>
      <c r="X64" s="487">
        <v>350000</v>
      </c>
      <c r="Y64" s="487">
        <v>330002</v>
      </c>
      <c r="Z64" s="487">
        <v>330002</v>
      </c>
      <c r="AA64" s="487">
        <v>330002</v>
      </c>
      <c r="AB64" s="487">
        <v>280007</v>
      </c>
      <c r="AC64" s="487">
        <v>213347</v>
      </c>
      <c r="AD64" s="487">
        <v>213347</v>
      </c>
      <c r="AE64" s="487">
        <v>213347</v>
      </c>
      <c r="AF64" s="487">
        <v>163352</v>
      </c>
      <c r="AG64" s="487">
        <v>96686</v>
      </c>
      <c r="AH64" s="487">
        <v>96686</v>
      </c>
      <c r="AI64" s="507">
        <v>96686</v>
      </c>
      <c r="AJ64" s="507">
        <v>96686</v>
      </c>
      <c r="AK64" s="487">
        <v>50010</v>
      </c>
      <c r="AL64" s="487">
        <v>50010</v>
      </c>
      <c r="AM64" s="487">
        <v>50010</v>
      </c>
      <c r="AN64" s="487">
        <v>50010</v>
      </c>
      <c r="AO64" s="487">
        <v>50010</v>
      </c>
      <c r="AP64" s="487">
        <v>50010</v>
      </c>
      <c r="AQ64" s="487">
        <v>25005</v>
      </c>
      <c r="AR64" s="487">
        <v>25005</v>
      </c>
      <c r="AS64" s="487">
        <v>25005</v>
      </c>
      <c r="AT64" s="487">
        <v>25005</v>
      </c>
      <c r="AU64" s="487">
        <v>0</v>
      </c>
      <c r="AV64" s="487">
        <v>0</v>
      </c>
      <c r="AW64" s="487">
        <v>0</v>
      </c>
      <c r="AX64" s="487">
        <v>0</v>
      </c>
      <c r="AY64" s="487">
        <v>0</v>
      </c>
      <c r="AZ64" s="487">
        <v>0</v>
      </c>
      <c r="BA64" s="487">
        <v>0</v>
      </c>
      <c r="BB64" s="487">
        <v>0</v>
      </c>
      <c r="BC64" s="487">
        <v>0</v>
      </c>
      <c r="BD64" s="487">
        <v>0</v>
      </c>
      <c r="BE64" s="487">
        <v>0</v>
      </c>
      <c r="BF64" s="487">
        <v>0</v>
      </c>
      <c r="BG64" s="487">
        <v>0</v>
      </c>
      <c r="BH64" s="487">
        <v>0</v>
      </c>
      <c r="BI64" s="487">
        <v>0</v>
      </c>
      <c r="BJ64" s="487">
        <v>0</v>
      </c>
      <c r="BK64" s="487">
        <v>0</v>
      </c>
      <c r="BL64" s="487">
        <v>0</v>
      </c>
      <c r="BM64" s="487">
        <v>0</v>
      </c>
      <c r="BN64" s="487">
        <v>0</v>
      </c>
      <c r="BO64" s="487">
        <v>0</v>
      </c>
      <c r="BP64" s="487">
        <v>0</v>
      </c>
      <c r="BQ64" s="487">
        <v>0</v>
      </c>
      <c r="BR64" s="487">
        <v>0</v>
      </c>
    </row>
    <row r="65" spans="1:70" ht="14.1" customHeight="1" x14ac:dyDescent="0.2">
      <c r="A65" s="478" t="s">
        <v>1779</v>
      </c>
      <c r="B65" s="478" t="s">
        <v>1447</v>
      </c>
      <c r="D65" s="486" t="str">
        <f>IF([1]RENAME!$H$3=1,B65,A65)</f>
        <v>Arrendamento</v>
      </c>
      <c r="E65" s="487" t="s">
        <v>160</v>
      </c>
      <c r="F65" s="487" t="s">
        <v>160</v>
      </c>
      <c r="G65" s="487" t="s">
        <v>160</v>
      </c>
      <c r="H65" s="487" t="s">
        <v>160</v>
      </c>
      <c r="I65" s="487" t="s">
        <v>160</v>
      </c>
      <c r="J65" s="488" t="s">
        <v>160</v>
      </c>
      <c r="K65" s="487" t="s">
        <v>160</v>
      </c>
      <c r="L65" s="487" t="s">
        <v>160</v>
      </c>
      <c r="M65" s="487" t="s">
        <v>160</v>
      </c>
      <c r="N65" s="487" t="s">
        <v>160</v>
      </c>
      <c r="O65" s="487" t="s">
        <v>160</v>
      </c>
      <c r="P65" s="487" t="s">
        <v>160</v>
      </c>
      <c r="Q65" s="488" t="s">
        <v>160</v>
      </c>
      <c r="R65" s="487" t="s">
        <v>160</v>
      </c>
      <c r="S65" s="487" t="s">
        <v>160</v>
      </c>
      <c r="T65" s="487" t="s">
        <v>160</v>
      </c>
      <c r="U65" s="487" t="s">
        <v>160</v>
      </c>
      <c r="V65" s="488" t="s">
        <v>160</v>
      </c>
      <c r="W65" s="487" t="s">
        <v>160</v>
      </c>
      <c r="X65" s="487" t="s">
        <v>160</v>
      </c>
      <c r="Y65" s="487" t="s">
        <v>160</v>
      </c>
      <c r="Z65" s="487" t="s">
        <v>160</v>
      </c>
      <c r="AA65" s="487" t="s">
        <v>160</v>
      </c>
      <c r="AB65" s="487" t="s">
        <v>160</v>
      </c>
      <c r="AC65" s="487" t="s">
        <v>160</v>
      </c>
      <c r="AD65" s="487" t="s">
        <v>160</v>
      </c>
      <c r="AE65" s="487" t="s">
        <v>160</v>
      </c>
      <c r="AF65" s="487" t="s">
        <v>160</v>
      </c>
      <c r="AG65" s="487" t="s">
        <v>160</v>
      </c>
      <c r="AH65" s="487" t="s">
        <v>160</v>
      </c>
      <c r="AI65" s="487" t="s">
        <v>160</v>
      </c>
      <c r="AJ65" s="487" t="s">
        <v>160</v>
      </c>
      <c r="AK65" s="487">
        <v>0</v>
      </c>
      <c r="AL65" s="487" t="s">
        <v>160</v>
      </c>
      <c r="AM65" s="487" t="s">
        <v>160</v>
      </c>
      <c r="AN65" s="487">
        <v>0</v>
      </c>
      <c r="AO65" s="487">
        <v>42561.47964426507</v>
      </c>
      <c r="AP65" s="487">
        <v>57143</v>
      </c>
      <c r="AQ65" s="487">
        <v>55769</v>
      </c>
      <c r="AR65" s="487">
        <v>48055</v>
      </c>
      <c r="AS65" s="487">
        <v>50983</v>
      </c>
      <c r="AT65" s="487">
        <v>45194</v>
      </c>
      <c r="AU65" s="487">
        <v>39107</v>
      </c>
      <c r="AV65" s="487">
        <v>33561</v>
      </c>
      <c r="AW65" s="487">
        <v>57188</v>
      </c>
      <c r="AX65" s="487">
        <v>50884</v>
      </c>
      <c r="AY65" s="487">
        <v>47150</v>
      </c>
      <c r="AZ65" s="487">
        <v>38882</v>
      </c>
      <c r="BA65" s="487">
        <v>37376</v>
      </c>
      <c r="BB65" s="487">
        <v>31181</v>
      </c>
      <c r="BC65" s="487">
        <v>28026</v>
      </c>
      <c r="BD65" s="487">
        <v>20513</v>
      </c>
      <c r="BE65" s="487">
        <v>44279</v>
      </c>
      <c r="BF65" s="487">
        <v>51997</v>
      </c>
      <c r="BG65" s="487">
        <v>46263</v>
      </c>
      <c r="BH65" s="487">
        <v>41330</v>
      </c>
      <c r="BI65" s="487">
        <v>39809</v>
      </c>
      <c r="BJ65" s="487">
        <v>41139</v>
      </c>
      <c r="BK65" s="487">
        <v>36482</v>
      </c>
      <c r="BL65" s="487">
        <v>42397</v>
      </c>
      <c r="BM65" s="487">
        <v>51320</v>
      </c>
      <c r="BN65" s="487">
        <v>46570</v>
      </c>
      <c r="BO65" s="487">
        <v>41210</v>
      </c>
      <c r="BP65" s="487">
        <v>36036</v>
      </c>
      <c r="BQ65" s="487">
        <v>31251</v>
      </c>
      <c r="BR65" s="487">
        <f>VLOOKUP($D$65,'[3]Balanço '!$K$17:$Q$60,7,FALSE)</f>
        <v>41581</v>
      </c>
    </row>
    <row r="66" spans="1:70" ht="14.1" customHeight="1" x14ac:dyDescent="0.2">
      <c r="A66" s="478" t="s">
        <v>21</v>
      </c>
      <c r="B66" s="478" t="s">
        <v>649</v>
      </c>
      <c r="D66" s="489" t="str">
        <f>IF([1]RENAME!$H$3=1,B66,A66)</f>
        <v>Instrumentos financeiros derivativos - Swap</v>
      </c>
      <c r="E66" s="487">
        <v>0</v>
      </c>
      <c r="F66" s="487">
        <v>0</v>
      </c>
      <c r="G66" s="487">
        <v>0</v>
      </c>
      <c r="H66" s="487">
        <v>0</v>
      </c>
      <c r="I66" s="487">
        <v>0</v>
      </c>
      <c r="J66" s="488">
        <v>0</v>
      </c>
      <c r="K66" s="487">
        <v>0</v>
      </c>
      <c r="L66" s="487">
        <v>0</v>
      </c>
      <c r="M66" s="487">
        <v>0</v>
      </c>
      <c r="N66" s="487">
        <v>0</v>
      </c>
      <c r="O66" s="487">
        <v>0</v>
      </c>
      <c r="P66" s="487">
        <v>0</v>
      </c>
      <c r="Q66" s="488">
        <v>0</v>
      </c>
      <c r="R66" s="487">
        <v>0</v>
      </c>
      <c r="S66" s="487">
        <v>0</v>
      </c>
      <c r="T66" s="487">
        <v>0</v>
      </c>
      <c r="U66" s="487">
        <v>318</v>
      </c>
      <c r="V66" s="488">
        <v>1995</v>
      </c>
      <c r="W66" s="487">
        <v>0</v>
      </c>
      <c r="X66" s="487">
        <v>0</v>
      </c>
      <c r="Y66" s="487">
        <v>0</v>
      </c>
      <c r="Z66" s="487">
        <v>0</v>
      </c>
      <c r="AA66" s="487">
        <v>0</v>
      </c>
      <c r="AB66" s="487">
        <v>0</v>
      </c>
      <c r="AC66" s="487">
        <v>0</v>
      </c>
      <c r="AD66" s="487">
        <v>0</v>
      </c>
      <c r="AE66" s="487">
        <v>0</v>
      </c>
      <c r="AF66" s="487">
        <v>0</v>
      </c>
      <c r="AG66" s="487">
        <v>0</v>
      </c>
      <c r="AH66" s="490">
        <v>0</v>
      </c>
      <c r="AI66" s="507">
        <v>0</v>
      </c>
      <c r="AJ66" s="507">
        <v>0</v>
      </c>
      <c r="AK66" s="487">
        <v>0</v>
      </c>
      <c r="AL66" s="487">
        <v>0</v>
      </c>
      <c r="AM66" s="487">
        <v>0</v>
      </c>
      <c r="AN66" s="487">
        <v>0</v>
      </c>
      <c r="AO66" s="487">
        <v>0</v>
      </c>
      <c r="AP66" s="487">
        <v>0</v>
      </c>
      <c r="AQ66" s="487">
        <v>0</v>
      </c>
      <c r="AR66" s="487">
        <v>0</v>
      </c>
      <c r="AS66" s="487">
        <v>0</v>
      </c>
      <c r="AT66" s="487">
        <v>0</v>
      </c>
      <c r="AU66" s="487">
        <v>0</v>
      </c>
      <c r="AV66" s="487">
        <v>0</v>
      </c>
      <c r="AW66" s="487">
        <v>0</v>
      </c>
      <c r="AX66" s="487">
        <v>0</v>
      </c>
      <c r="AY66" s="487">
        <v>0</v>
      </c>
      <c r="AZ66" s="487"/>
      <c r="BA66" s="487">
        <v>0</v>
      </c>
      <c r="BB66" s="487">
        <v>0</v>
      </c>
      <c r="BC66" s="487">
        <v>0</v>
      </c>
      <c r="BD66" s="487">
        <v>0</v>
      </c>
      <c r="BE66" s="487">
        <v>0</v>
      </c>
      <c r="BF66" s="487">
        <v>0</v>
      </c>
      <c r="BG66" s="487">
        <v>0</v>
      </c>
      <c r="BH66" s="487">
        <v>0</v>
      </c>
      <c r="BI66" s="487"/>
      <c r="BJ66" s="487"/>
      <c r="BK66" s="487"/>
      <c r="BL66" s="487">
        <v>0</v>
      </c>
      <c r="BM66" s="487"/>
      <c r="BN66" s="487">
        <v>0</v>
      </c>
      <c r="BO66" s="487">
        <v>0</v>
      </c>
      <c r="BP66" s="487">
        <v>0</v>
      </c>
      <c r="BQ66" s="487">
        <v>0</v>
      </c>
      <c r="BR66" s="487">
        <f>VLOOKUP($D$66,'[3]Balanço '!$K$17:$Q$60,7,FALSE)</f>
        <v>308</v>
      </c>
    </row>
    <row r="67" spans="1:70" ht="14.1" customHeight="1" x14ac:dyDescent="0.2">
      <c r="A67" s="478" t="s">
        <v>1257</v>
      </c>
      <c r="B67" s="478" t="s">
        <v>1258</v>
      </c>
      <c r="C67" s="266" t="str">
        <f>IF([1]RENAME!$H$3=1,B67,A67)</f>
        <v>Passivo fiscal diferido</v>
      </c>
      <c r="D67" s="489" t="str">
        <f>IF([1]RENAME!$H$3=1,B67,A67)</f>
        <v>Passivo fiscal diferido</v>
      </c>
      <c r="E67" s="487">
        <v>2600</v>
      </c>
      <c r="F67" s="487">
        <v>1896</v>
      </c>
      <c r="G67" s="487">
        <v>4450</v>
      </c>
      <c r="H67" s="487">
        <v>0</v>
      </c>
      <c r="I67" s="487">
        <v>0</v>
      </c>
      <c r="J67" s="488">
        <v>0</v>
      </c>
      <c r="K67" s="487">
        <v>0</v>
      </c>
      <c r="L67" s="487">
        <v>0</v>
      </c>
      <c r="M67" s="487">
        <v>0</v>
      </c>
      <c r="N67" s="487">
        <v>0</v>
      </c>
      <c r="O67" s="487">
        <v>0</v>
      </c>
      <c r="P67" s="487">
        <v>0</v>
      </c>
      <c r="Q67" s="488">
        <v>0</v>
      </c>
      <c r="R67" s="487">
        <v>0</v>
      </c>
      <c r="S67" s="487">
        <v>0</v>
      </c>
      <c r="T67" s="487">
        <v>34569</v>
      </c>
      <c r="U67" s="487">
        <v>34139</v>
      </c>
      <c r="V67" s="488">
        <v>15181</v>
      </c>
      <c r="W67" s="487">
        <v>16526</v>
      </c>
      <c r="X67" s="487">
        <v>23325</v>
      </c>
      <c r="Y67" s="487">
        <v>27065</v>
      </c>
      <c r="Z67" s="487">
        <v>26494</v>
      </c>
      <c r="AA67" s="487">
        <v>29884</v>
      </c>
      <c r="AB67" s="487">
        <v>19327</v>
      </c>
      <c r="AC67" s="487">
        <v>19452</v>
      </c>
      <c r="AD67" s="487">
        <v>21499</v>
      </c>
      <c r="AE67" s="487">
        <v>24455</v>
      </c>
      <c r="AF67" s="487">
        <v>23577</v>
      </c>
      <c r="AG67" s="487">
        <v>22782</v>
      </c>
      <c r="AH67" s="490">
        <v>17002</v>
      </c>
      <c r="AI67" s="507">
        <v>16195</v>
      </c>
      <c r="AJ67" s="507">
        <v>6629</v>
      </c>
      <c r="AK67" s="487">
        <v>5207</v>
      </c>
      <c r="AL67" s="487">
        <v>6264</v>
      </c>
      <c r="AM67" s="487">
        <v>6945</v>
      </c>
      <c r="AN67" s="487">
        <v>2593</v>
      </c>
      <c r="AO67" s="487">
        <v>5792</v>
      </c>
      <c r="AP67" s="487">
        <v>6133</v>
      </c>
      <c r="AQ67" s="487">
        <v>2668</v>
      </c>
      <c r="AR67" s="487">
        <v>2759</v>
      </c>
      <c r="AS67" s="487">
        <v>6512</v>
      </c>
      <c r="AT67" s="487">
        <v>0</v>
      </c>
      <c r="AU67" s="487">
        <v>0</v>
      </c>
      <c r="AV67" s="487">
        <v>0</v>
      </c>
      <c r="AW67" s="487">
        <v>3428</v>
      </c>
      <c r="AX67" s="487">
        <v>3787</v>
      </c>
      <c r="AY67" s="487">
        <v>4866</v>
      </c>
      <c r="AZ67" s="487">
        <v>5572</v>
      </c>
      <c r="BA67" s="487">
        <v>6422</v>
      </c>
      <c r="BB67" s="487">
        <v>6314</v>
      </c>
      <c r="BC67" s="487">
        <v>4643</v>
      </c>
      <c r="BD67" s="487">
        <v>8875</v>
      </c>
      <c r="BE67" s="487">
        <v>5037</v>
      </c>
      <c r="BF67" s="487">
        <v>5137</v>
      </c>
      <c r="BG67" s="487">
        <v>4326</v>
      </c>
      <c r="BH67" s="487">
        <v>3888</v>
      </c>
      <c r="BI67" s="487">
        <v>6238</v>
      </c>
      <c r="BJ67" s="487">
        <v>1777</v>
      </c>
      <c r="BK67" s="487">
        <v>1249</v>
      </c>
      <c r="BL67" s="487">
        <v>1695</v>
      </c>
      <c r="BM67" s="487">
        <v>4581</v>
      </c>
      <c r="BN67" s="487">
        <v>2967</v>
      </c>
      <c r="BO67" s="487">
        <v>2404</v>
      </c>
      <c r="BP67" s="487">
        <v>8117</v>
      </c>
      <c r="BQ67" s="487">
        <v>7387</v>
      </c>
      <c r="BR67" s="487">
        <f>VLOOKUP($D$67,'[3]Balanço '!$K$17:$Q$60,7,FALSE)</f>
        <v>2959</v>
      </c>
    </row>
    <row r="68" spans="1:70" ht="14.1" customHeight="1" x14ac:dyDescent="0.2">
      <c r="A68" s="478" t="s">
        <v>82</v>
      </c>
      <c r="B68" s="478" t="s">
        <v>676</v>
      </c>
      <c r="C68" s="266" t="str">
        <f>IF([1]RENAME!$H$3=1,B68,A68)</f>
        <v>Provisões para demandas judiciais</v>
      </c>
      <c r="D68" s="486" t="str">
        <f>IF([1]RENAME!$H$3=1,B68,A68)</f>
        <v>Provisões para demandas judiciais</v>
      </c>
      <c r="E68" s="487">
        <v>2153</v>
      </c>
      <c r="F68" s="487">
        <v>1978</v>
      </c>
      <c r="G68" s="487">
        <v>1942</v>
      </c>
      <c r="H68" s="487">
        <v>3469</v>
      </c>
      <c r="I68" s="487">
        <v>24198</v>
      </c>
      <c r="J68" s="488">
        <v>24198</v>
      </c>
      <c r="K68" s="487">
        <v>24971</v>
      </c>
      <c r="L68" s="487">
        <v>24579</v>
      </c>
      <c r="M68" s="487">
        <v>25181</v>
      </c>
      <c r="N68" s="487">
        <v>25479</v>
      </c>
      <c r="O68" s="487">
        <v>25872</v>
      </c>
      <c r="P68" s="487">
        <v>26538</v>
      </c>
      <c r="Q68" s="488">
        <v>27095</v>
      </c>
      <c r="R68" s="487">
        <v>26368</v>
      </c>
      <c r="S68" s="487">
        <v>39871</v>
      </c>
      <c r="T68" s="487">
        <v>37197</v>
      </c>
      <c r="U68" s="487">
        <v>32167</v>
      </c>
      <c r="V68" s="488">
        <v>11047</v>
      </c>
      <c r="W68" s="487">
        <v>9656</v>
      </c>
      <c r="X68" s="487">
        <v>11486</v>
      </c>
      <c r="Y68" s="487">
        <v>9645</v>
      </c>
      <c r="Z68" s="487">
        <v>9861</v>
      </c>
      <c r="AA68" s="487">
        <v>10007</v>
      </c>
      <c r="AB68" s="487">
        <v>22751</v>
      </c>
      <c r="AC68" s="487">
        <v>21795</v>
      </c>
      <c r="AD68" s="487">
        <v>17017</v>
      </c>
      <c r="AE68" s="487">
        <v>15630</v>
      </c>
      <c r="AF68" s="487">
        <v>14938</v>
      </c>
      <c r="AG68" s="487">
        <v>14709</v>
      </c>
      <c r="AH68" s="490">
        <v>36603</v>
      </c>
      <c r="AI68" s="507">
        <v>34954</v>
      </c>
      <c r="AJ68" s="507">
        <v>38983</v>
      </c>
      <c r="AK68" s="487">
        <v>43770</v>
      </c>
      <c r="AL68" s="487">
        <v>41092</v>
      </c>
      <c r="AM68" s="487">
        <v>36834</v>
      </c>
      <c r="AN68" s="490">
        <v>44444</v>
      </c>
      <c r="AO68" s="487">
        <v>43202</v>
      </c>
      <c r="AP68" s="487">
        <v>42750</v>
      </c>
      <c r="AQ68" s="490">
        <v>36611</v>
      </c>
      <c r="AR68" s="487">
        <v>35266</v>
      </c>
      <c r="AS68" s="487">
        <v>36832</v>
      </c>
      <c r="AT68" s="487">
        <v>34213</v>
      </c>
      <c r="AU68" s="487">
        <v>35552</v>
      </c>
      <c r="AV68" s="487">
        <v>33878</v>
      </c>
      <c r="AW68" s="487">
        <v>33106</v>
      </c>
      <c r="AX68" s="487">
        <v>31961</v>
      </c>
      <c r="AY68" s="487">
        <v>26648</v>
      </c>
      <c r="AZ68" s="487">
        <v>30830</v>
      </c>
      <c r="BA68" s="487">
        <v>29638</v>
      </c>
      <c r="BB68" s="487">
        <v>26394</v>
      </c>
      <c r="BC68" s="487">
        <v>32330</v>
      </c>
      <c r="BD68" s="487">
        <v>28382</v>
      </c>
      <c r="BE68" s="487">
        <v>28655</v>
      </c>
      <c r="BF68" s="487">
        <v>26478</v>
      </c>
      <c r="BG68" s="487">
        <v>26648</v>
      </c>
      <c r="BH68" s="487">
        <v>28015</v>
      </c>
      <c r="BI68" s="487">
        <v>28737</v>
      </c>
      <c r="BJ68" s="487">
        <v>29329</v>
      </c>
      <c r="BK68" s="487">
        <v>28133</v>
      </c>
      <c r="BL68" s="487">
        <v>21692</v>
      </c>
      <c r="BM68" s="487">
        <v>22091</v>
      </c>
      <c r="BN68" s="487">
        <v>22253</v>
      </c>
      <c r="BO68" s="487">
        <v>21408</v>
      </c>
      <c r="BP68" s="487">
        <v>20664</v>
      </c>
      <c r="BQ68" s="487">
        <v>20125</v>
      </c>
      <c r="BR68" s="487">
        <f>VLOOKUP($D$68,'[3]Balanço '!$K$17:$Q$60,7,FALSE)</f>
        <v>20811</v>
      </c>
    </row>
    <row r="69" spans="1:70" ht="14.1" customHeight="1" x14ac:dyDescent="0.2">
      <c r="A69" s="478" t="s">
        <v>24</v>
      </c>
      <c r="B69" s="478" t="s">
        <v>667</v>
      </c>
      <c r="D69" s="489" t="str">
        <f>IF([1]RENAME!$H$3=1,B69,A69)</f>
        <v>Demais contas a pagar</v>
      </c>
      <c r="E69" s="487">
        <v>0</v>
      </c>
      <c r="F69" s="487">
        <v>0</v>
      </c>
      <c r="G69" s="487">
        <v>0</v>
      </c>
      <c r="H69" s="487">
        <v>0</v>
      </c>
      <c r="I69" s="487">
        <v>0</v>
      </c>
      <c r="J69" s="488">
        <v>0</v>
      </c>
      <c r="K69" s="487">
        <v>0</v>
      </c>
      <c r="L69" s="487">
        <v>0</v>
      </c>
      <c r="M69" s="487">
        <v>0</v>
      </c>
      <c r="N69" s="487">
        <v>0</v>
      </c>
      <c r="O69" s="487">
        <v>0</v>
      </c>
      <c r="P69" s="487">
        <v>0</v>
      </c>
      <c r="Q69" s="488">
        <v>0</v>
      </c>
      <c r="R69" s="487">
        <v>0</v>
      </c>
      <c r="S69" s="487">
        <v>0</v>
      </c>
      <c r="T69" s="487">
        <v>0</v>
      </c>
      <c r="U69" s="487">
        <v>0</v>
      </c>
      <c r="V69" s="488">
        <v>0</v>
      </c>
      <c r="W69" s="487">
        <v>0</v>
      </c>
      <c r="X69" s="487">
        <v>0</v>
      </c>
      <c r="Y69" s="487">
        <v>0</v>
      </c>
      <c r="Z69" s="487">
        <v>0</v>
      </c>
      <c r="AA69" s="487">
        <v>0</v>
      </c>
      <c r="AB69" s="487">
        <v>0</v>
      </c>
      <c r="AC69" s="487">
        <v>0</v>
      </c>
      <c r="AD69" s="487">
        <v>0</v>
      </c>
      <c r="AE69" s="487">
        <v>0</v>
      </c>
      <c r="AF69" s="487">
        <v>0</v>
      </c>
      <c r="AG69" s="487">
        <v>0</v>
      </c>
      <c r="AH69" s="490">
        <v>0</v>
      </c>
      <c r="AI69" s="507">
        <v>0</v>
      </c>
      <c r="AJ69" s="507">
        <v>0</v>
      </c>
      <c r="AK69" s="487">
        <v>0</v>
      </c>
      <c r="AL69" s="487">
        <v>0</v>
      </c>
      <c r="AM69" s="487">
        <v>0</v>
      </c>
      <c r="AN69" s="490">
        <v>0</v>
      </c>
      <c r="AO69" s="487">
        <v>0</v>
      </c>
      <c r="AP69" s="487">
        <v>0</v>
      </c>
      <c r="AQ69" s="490">
        <v>0</v>
      </c>
      <c r="AR69" s="487">
        <v>0</v>
      </c>
      <c r="AS69" s="487">
        <v>0</v>
      </c>
      <c r="AT69" s="487">
        <v>0</v>
      </c>
      <c r="AU69" s="487">
        <v>0</v>
      </c>
      <c r="AV69" s="487">
        <v>0</v>
      </c>
      <c r="AW69" s="487">
        <v>0</v>
      </c>
      <c r="AX69" s="487">
        <v>0</v>
      </c>
      <c r="AY69" s="487">
        <v>0</v>
      </c>
      <c r="AZ69" s="487">
        <v>0</v>
      </c>
      <c r="BA69" s="487">
        <v>0</v>
      </c>
      <c r="BB69" s="487">
        <v>0</v>
      </c>
      <c r="BC69" s="487">
        <v>0</v>
      </c>
      <c r="BD69" s="487">
        <v>0</v>
      </c>
      <c r="BE69" s="487">
        <v>0</v>
      </c>
      <c r="BF69" s="487">
        <v>0</v>
      </c>
      <c r="BG69" s="487">
        <v>0</v>
      </c>
      <c r="BH69" s="487">
        <v>0</v>
      </c>
      <c r="BI69" s="487">
        <v>0</v>
      </c>
      <c r="BJ69" s="487">
        <v>0</v>
      </c>
      <c r="BK69" s="487">
        <v>0</v>
      </c>
      <c r="BL69" s="487">
        <v>0</v>
      </c>
      <c r="BM69" s="487">
        <v>0</v>
      </c>
      <c r="BN69" s="487">
        <v>0</v>
      </c>
      <c r="BO69" s="487">
        <v>0</v>
      </c>
      <c r="BP69" s="487">
        <v>0</v>
      </c>
      <c r="BQ69" s="487">
        <v>0</v>
      </c>
      <c r="BR69" s="487">
        <v>0</v>
      </c>
    </row>
    <row r="70" spans="1:70" ht="14.1" customHeight="1" x14ac:dyDescent="0.2">
      <c r="A70" s="478" t="s">
        <v>18</v>
      </c>
      <c r="B70" s="478" t="s">
        <v>1134</v>
      </c>
      <c r="D70" s="489" t="str">
        <f>IF([1]RENAME!$H$3=1,B70,A70)</f>
        <v>Parcelamento de tributos</v>
      </c>
      <c r="E70" s="487">
        <v>0</v>
      </c>
      <c r="F70" s="487">
        <v>0</v>
      </c>
      <c r="G70" s="487">
        <v>0</v>
      </c>
      <c r="H70" s="487">
        <v>0</v>
      </c>
      <c r="I70" s="487">
        <v>0</v>
      </c>
      <c r="J70" s="488">
        <v>0</v>
      </c>
      <c r="K70" s="487">
        <v>0</v>
      </c>
      <c r="L70" s="487">
        <v>0</v>
      </c>
      <c r="M70" s="487">
        <v>0</v>
      </c>
      <c r="N70" s="487">
        <v>0</v>
      </c>
      <c r="O70" s="487">
        <v>0</v>
      </c>
      <c r="P70" s="487">
        <v>0</v>
      </c>
      <c r="Q70" s="488">
        <v>0</v>
      </c>
      <c r="R70" s="487">
        <v>0</v>
      </c>
      <c r="S70" s="487">
        <v>0</v>
      </c>
      <c r="T70" s="487">
        <v>0</v>
      </c>
      <c r="U70" s="487">
        <v>0</v>
      </c>
      <c r="V70" s="488">
        <v>0</v>
      </c>
      <c r="W70" s="487">
        <v>0</v>
      </c>
      <c r="X70" s="487">
        <v>0</v>
      </c>
      <c r="Y70" s="487">
        <v>0</v>
      </c>
      <c r="Z70" s="487">
        <v>0</v>
      </c>
      <c r="AA70" s="487">
        <v>0</v>
      </c>
      <c r="AB70" s="487">
        <v>0</v>
      </c>
      <c r="AC70" s="487">
        <v>0</v>
      </c>
      <c r="AD70" s="487">
        <v>0</v>
      </c>
      <c r="AE70" s="487">
        <v>0</v>
      </c>
      <c r="AF70" s="487">
        <v>0</v>
      </c>
      <c r="AG70" s="487">
        <v>0</v>
      </c>
      <c r="AH70" s="490">
        <v>0</v>
      </c>
      <c r="AI70" s="507">
        <v>0</v>
      </c>
      <c r="AJ70" s="507">
        <v>0</v>
      </c>
      <c r="AK70" s="487">
        <v>0</v>
      </c>
      <c r="AL70" s="487">
        <v>0</v>
      </c>
      <c r="AM70" s="487">
        <v>0</v>
      </c>
      <c r="AN70" s="490">
        <v>0</v>
      </c>
      <c r="AO70" s="487">
        <v>0</v>
      </c>
      <c r="AP70" s="487">
        <v>0</v>
      </c>
      <c r="AQ70" s="490">
        <v>0</v>
      </c>
      <c r="AR70" s="487">
        <v>0</v>
      </c>
      <c r="AS70" s="487">
        <v>0</v>
      </c>
      <c r="AT70" s="487">
        <v>0</v>
      </c>
      <c r="AU70" s="487">
        <v>0</v>
      </c>
      <c r="AV70" s="487">
        <v>0</v>
      </c>
      <c r="AW70" s="487">
        <v>0</v>
      </c>
      <c r="AX70" s="487">
        <v>0</v>
      </c>
      <c r="AY70" s="487">
        <v>0</v>
      </c>
      <c r="AZ70" s="487">
        <v>0</v>
      </c>
      <c r="BA70" s="487">
        <v>0</v>
      </c>
      <c r="BB70" s="487">
        <v>0</v>
      </c>
      <c r="BC70" s="487">
        <v>0</v>
      </c>
      <c r="BD70" s="487">
        <v>0</v>
      </c>
      <c r="BE70" s="487">
        <v>0</v>
      </c>
      <c r="BF70" s="487">
        <v>0</v>
      </c>
      <c r="BG70" s="487">
        <v>0</v>
      </c>
      <c r="BH70" s="487">
        <v>0</v>
      </c>
      <c r="BI70" s="487">
        <v>0</v>
      </c>
      <c r="BJ70" s="487">
        <v>0</v>
      </c>
      <c r="BK70" s="487">
        <v>0</v>
      </c>
      <c r="BL70" s="487">
        <v>0</v>
      </c>
      <c r="BM70" s="487">
        <v>0</v>
      </c>
      <c r="BN70" s="487">
        <v>0</v>
      </c>
      <c r="BO70" s="487">
        <v>334</v>
      </c>
      <c r="BP70" s="487">
        <v>334</v>
      </c>
      <c r="BQ70" s="487">
        <v>235</v>
      </c>
      <c r="BR70" s="487">
        <f>VLOOKUP($D$70,'[3]Balanço '!$K$17:$Q$60,7,FALSE)</f>
        <v>235</v>
      </c>
    </row>
    <row r="71" spans="1:70" ht="14.1" customHeight="1" collapsed="1" x14ac:dyDescent="0.2">
      <c r="A71" s="478" t="s">
        <v>1841</v>
      </c>
      <c r="B71" s="478" t="s">
        <v>1842</v>
      </c>
      <c r="C71" s="266" t="str">
        <f>IF([1]RENAME!$H$3=1,B71,A71)</f>
        <v>Passivo atuarial</v>
      </c>
      <c r="D71" s="489" t="str">
        <f>IF([1]RENAME!$H$3=1,B71,A71)</f>
        <v>Passivo atuarial</v>
      </c>
      <c r="E71" s="487">
        <v>0</v>
      </c>
      <c r="F71" s="487">
        <v>0</v>
      </c>
      <c r="G71" s="487">
        <v>0</v>
      </c>
      <c r="H71" s="487">
        <v>0</v>
      </c>
      <c r="I71" s="487">
        <v>0</v>
      </c>
      <c r="J71" s="488">
        <v>0</v>
      </c>
      <c r="K71" s="487">
        <v>0</v>
      </c>
      <c r="L71" s="487">
        <v>0</v>
      </c>
      <c r="M71" s="487">
        <v>0</v>
      </c>
      <c r="N71" s="487">
        <v>0</v>
      </c>
      <c r="O71" s="487">
        <v>0</v>
      </c>
      <c r="P71" s="487">
        <v>0</v>
      </c>
      <c r="Q71" s="488" t="s">
        <v>160</v>
      </c>
      <c r="R71" s="487" t="s">
        <v>160</v>
      </c>
      <c r="S71" s="487" t="s">
        <v>160</v>
      </c>
      <c r="T71" s="487" t="s">
        <v>160</v>
      </c>
      <c r="U71" s="487" t="s">
        <v>160</v>
      </c>
      <c r="V71" s="488" t="s">
        <v>160</v>
      </c>
      <c r="W71" s="487" t="s">
        <v>160</v>
      </c>
      <c r="X71" s="487" t="s">
        <v>160</v>
      </c>
      <c r="Y71" s="487" t="s">
        <v>160</v>
      </c>
      <c r="Z71" s="487" t="s">
        <v>160</v>
      </c>
      <c r="AA71" s="487" t="s">
        <v>160</v>
      </c>
      <c r="AB71" s="487" t="s">
        <v>160</v>
      </c>
      <c r="AC71" s="487" t="s">
        <v>160</v>
      </c>
      <c r="AD71" s="487" t="s">
        <v>160</v>
      </c>
      <c r="AE71" s="487" t="s">
        <v>160</v>
      </c>
      <c r="AF71" s="487" t="s">
        <v>160</v>
      </c>
      <c r="AG71" s="487" t="s">
        <v>160</v>
      </c>
      <c r="AH71" s="487" t="s">
        <v>160</v>
      </c>
      <c r="AI71" s="487" t="s">
        <v>160</v>
      </c>
      <c r="AJ71" s="487" t="s">
        <v>160</v>
      </c>
      <c r="AK71" s="487">
        <v>0</v>
      </c>
      <c r="AL71" s="487" t="s">
        <v>160</v>
      </c>
      <c r="AM71" s="487">
        <v>0</v>
      </c>
      <c r="AN71" s="487">
        <v>0</v>
      </c>
      <c r="AO71" s="487">
        <v>0</v>
      </c>
      <c r="AP71" s="487">
        <v>0</v>
      </c>
      <c r="AQ71" s="487">
        <v>0</v>
      </c>
      <c r="AR71" s="487">
        <v>0</v>
      </c>
      <c r="AS71" s="487">
        <v>0</v>
      </c>
      <c r="AT71" s="487">
        <v>0</v>
      </c>
      <c r="AU71" s="487">
        <v>0</v>
      </c>
      <c r="AV71" s="487">
        <v>2450</v>
      </c>
      <c r="AW71" s="487">
        <v>2450</v>
      </c>
      <c r="AX71" s="487">
        <v>2450</v>
      </c>
      <c r="AY71" s="487">
        <v>2450</v>
      </c>
      <c r="AZ71" s="487">
        <v>2912</v>
      </c>
      <c r="BA71" s="487">
        <v>2912</v>
      </c>
      <c r="BB71" s="487">
        <v>2912</v>
      </c>
      <c r="BC71" s="487">
        <v>2912</v>
      </c>
      <c r="BD71" s="487">
        <v>2726</v>
      </c>
      <c r="BE71" s="487">
        <v>2726</v>
      </c>
      <c r="BF71" s="487">
        <v>2726</v>
      </c>
      <c r="BG71" s="487">
        <v>2726</v>
      </c>
      <c r="BH71" s="487">
        <v>2475</v>
      </c>
      <c r="BI71" s="487">
        <v>2475</v>
      </c>
      <c r="BJ71" s="487">
        <v>2475</v>
      </c>
      <c r="BK71" s="487">
        <v>2475</v>
      </c>
      <c r="BL71" s="487">
        <v>1856</v>
      </c>
      <c r="BM71" s="487">
        <v>1856</v>
      </c>
      <c r="BN71" s="487">
        <v>1856</v>
      </c>
      <c r="BO71" s="487">
        <v>1856</v>
      </c>
      <c r="BP71" s="487">
        <v>1909</v>
      </c>
      <c r="BQ71" s="487">
        <v>1909</v>
      </c>
      <c r="BR71" s="487">
        <f>VLOOKUP($D$71,'[3]Balanço '!$K$17:$Q$60,7,FALSE)</f>
        <v>1909</v>
      </c>
    </row>
    <row r="72" spans="1:70" ht="14.1" hidden="1" customHeight="1" outlineLevel="1" x14ac:dyDescent="0.2">
      <c r="A72" s="478" t="s">
        <v>18</v>
      </c>
      <c r="B72" s="478" t="s">
        <v>677</v>
      </c>
      <c r="D72" s="495" t="str">
        <f>IF([1]RENAME!$H$3=1,B72,A72)</f>
        <v>Parcelamento de tributos</v>
      </c>
      <c r="E72" s="493">
        <v>13280</v>
      </c>
      <c r="F72" s="493">
        <v>10206</v>
      </c>
      <c r="G72" s="493">
        <v>5143</v>
      </c>
      <c r="H72" s="493">
        <v>2560</v>
      </c>
      <c r="I72" s="493">
        <v>10403</v>
      </c>
      <c r="J72" s="493">
        <v>10297</v>
      </c>
      <c r="K72" s="493">
        <v>9325</v>
      </c>
      <c r="L72" s="493">
        <v>10845</v>
      </c>
      <c r="M72" s="493">
        <v>9415</v>
      </c>
      <c r="N72" s="493">
        <v>8604</v>
      </c>
      <c r="O72" s="493">
        <v>8604</v>
      </c>
      <c r="P72" s="493">
        <v>8246</v>
      </c>
      <c r="Q72" s="494">
        <v>8139</v>
      </c>
      <c r="R72" s="493">
        <v>8207</v>
      </c>
      <c r="S72" s="493">
        <v>8098</v>
      </c>
      <c r="T72" s="493">
        <v>7188</v>
      </c>
      <c r="U72" s="493">
        <v>7083</v>
      </c>
      <c r="V72" s="494">
        <v>268</v>
      </c>
      <c r="W72" s="493">
        <v>586</v>
      </c>
      <c r="X72" s="493">
        <v>48</v>
      </c>
      <c r="Y72" s="493">
        <v>38</v>
      </c>
      <c r="Z72" s="493">
        <v>33</v>
      </c>
      <c r="AA72" s="493">
        <v>29</v>
      </c>
      <c r="AB72" s="493">
        <v>19</v>
      </c>
      <c r="AC72" s="493">
        <v>12</v>
      </c>
      <c r="AD72" s="493">
        <v>5</v>
      </c>
      <c r="AE72" s="493">
        <v>0</v>
      </c>
      <c r="AF72" s="493">
        <v>0</v>
      </c>
      <c r="AG72" s="493">
        <v>0</v>
      </c>
      <c r="AH72" s="493">
        <v>0</v>
      </c>
      <c r="AI72" s="493">
        <v>0</v>
      </c>
      <c r="AJ72" s="493">
        <v>0</v>
      </c>
      <c r="AK72" s="493">
        <v>0</v>
      </c>
      <c r="AL72" s="493">
        <v>0</v>
      </c>
      <c r="AM72" s="493">
        <v>0</v>
      </c>
      <c r="AN72" s="493">
        <v>0</v>
      </c>
      <c r="AO72" s="493">
        <v>0</v>
      </c>
      <c r="AP72" s="493">
        <v>0</v>
      </c>
      <c r="AQ72" s="493">
        <v>0</v>
      </c>
      <c r="AR72" s="493">
        <v>0</v>
      </c>
      <c r="AS72" s="493">
        <v>0</v>
      </c>
      <c r="AT72" s="493">
        <v>0</v>
      </c>
      <c r="AU72" s="493">
        <v>0</v>
      </c>
      <c r="AV72" s="493">
        <v>0</v>
      </c>
      <c r="AW72" s="493">
        <v>0</v>
      </c>
      <c r="AX72" s="493">
        <v>0</v>
      </c>
      <c r="AY72" s="493">
        <v>0</v>
      </c>
      <c r="AZ72" s="493"/>
      <c r="BA72" s="493">
        <v>0</v>
      </c>
      <c r="BB72" s="493">
        <v>0</v>
      </c>
      <c r="BC72" s="493">
        <v>0</v>
      </c>
      <c r="BD72" s="493">
        <v>0</v>
      </c>
      <c r="BE72" s="493">
        <v>0</v>
      </c>
      <c r="BF72" s="493">
        <v>0</v>
      </c>
      <c r="BG72" s="493">
        <v>0</v>
      </c>
      <c r="BH72" s="493">
        <v>0</v>
      </c>
      <c r="BI72" s="493"/>
      <c r="BJ72" s="493"/>
      <c r="BK72" s="493"/>
      <c r="BL72" s="493">
        <v>0</v>
      </c>
      <c r="BM72" s="493"/>
      <c r="BN72" s="493">
        <v>0</v>
      </c>
      <c r="BO72" s="493">
        <v>0</v>
      </c>
      <c r="BP72" s="493">
        <v>0</v>
      </c>
      <c r="BQ72" s="493">
        <v>0</v>
      </c>
      <c r="BR72" s="493">
        <v>0</v>
      </c>
    </row>
    <row r="73" spans="1:70" ht="14.1" hidden="1" customHeight="1" outlineLevel="1" x14ac:dyDescent="0.2">
      <c r="A73" s="478" t="s">
        <v>226</v>
      </c>
      <c r="B73" s="478" t="s">
        <v>675</v>
      </c>
      <c r="D73" s="495" t="str">
        <f>IF([1]RENAME!$H$3=1,B73,A73)</f>
        <v>Provisão para passivo a descoberto</v>
      </c>
      <c r="E73" s="493">
        <v>0</v>
      </c>
      <c r="F73" s="493">
        <v>0</v>
      </c>
      <c r="G73" s="493">
        <v>0</v>
      </c>
      <c r="H73" s="493">
        <v>0</v>
      </c>
      <c r="I73" s="493">
        <v>0</v>
      </c>
      <c r="J73" s="493">
        <v>0</v>
      </c>
      <c r="K73" s="493">
        <v>0</v>
      </c>
      <c r="L73" s="493">
        <v>0</v>
      </c>
      <c r="M73" s="493">
        <v>0</v>
      </c>
      <c r="N73" s="493">
        <v>0</v>
      </c>
      <c r="O73" s="493">
        <v>0</v>
      </c>
      <c r="P73" s="493">
        <v>0</v>
      </c>
      <c r="Q73" s="494">
        <v>0</v>
      </c>
      <c r="R73" s="493">
        <v>0</v>
      </c>
      <c r="S73" s="493">
        <v>0</v>
      </c>
      <c r="T73" s="493">
        <v>0</v>
      </c>
      <c r="U73" s="493">
        <v>0</v>
      </c>
      <c r="V73" s="494">
        <v>0</v>
      </c>
      <c r="W73" s="493">
        <v>0</v>
      </c>
      <c r="X73" s="493">
        <v>0</v>
      </c>
      <c r="Y73" s="493">
        <v>0</v>
      </c>
      <c r="Z73" s="493">
        <v>0</v>
      </c>
      <c r="AA73" s="493">
        <v>0</v>
      </c>
      <c r="AB73" s="493">
        <v>0</v>
      </c>
      <c r="AC73" s="493">
        <v>0</v>
      </c>
      <c r="AD73" s="493">
        <v>0</v>
      </c>
      <c r="AE73" s="493">
        <v>0</v>
      </c>
      <c r="AF73" s="493">
        <v>196</v>
      </c>
      <c r="AG73" s="493">
        <v>504</v>
      </c>
      <c r="AH73" s="493">
        <v>0</v>
      </c>
      <c r="AI73" s="493">
        <v>0</v>
      </c>
      <c r="AJ73" s="493">
        <v>0</v>
      </c>
      <c r="AK73" s="493">
        <v>0</v>
      </c>
      <c r="AL73" s="493">
        <v>0</v>
      </c>
      <c r="AM73" s="493">
        <v>0</v>
      </c>
      <c r="AN73" s="493">
        <v>0</v>
      </c>
      <c r="AO73" s="493">
        <v>0</v>
      </c>
      <c r="AP73" s="493">
        <v>0</v>
      </c>
      <c r="AQ73" s="493">
        <v>0</v>
      </c>
      <c r="AR73" s="493">
        <v>0</v>
      </c>
      <c r="AS73" s="493">
        <v>0</v>
      </c>
      <c r="AT73" s="493">
        <v>0</v>
      </c>
      <c r="AU73" s="493">
        <v>0</v>
      </c>
      <c r="AV73" s="493">
        <v>0</v>
      </c>
      <c r="AW73" s="493">
        <v>0</v>
      </c>
      <c r="AX73" s="493">
        <v>0</v>
      </c>
      <c r="AY73" s="493">
        <v>0</v>
      </c>
      <c r="AZ73" s="493"/>
      <c r="BA73" s="493">
        <v>0</v>
      </c>
      <c r="BB73" s="493">
        <v>0</v>
      </c>
      <c r="BC73" s="493">
        <v>0</v>
      </c>
      <c r="BD73" s="493">
        <v>0</v>
      </c>
      <c r="BE73" s="493">
        <v>0</v>
      </c>
      <c r="BF73" s="493">
        <v>0</v>
      </c>
      <c r="BG73" s="493">
        <v>0</v>
      </c>
      <c r="BH73" s="493">
        <v>0</v>
      </c>
      <c r="BI73" s="493"/>
      <c r="BJ73" s="493"/>
      <c r="BK73" s="493"/>
      <c r="BL73" s="493">
        <v>0</v>
      </c>
      <c r="BM73" s="493"/>
      <c r="BN73" s="493">
        <v>0</v>
      </c>
      <c r="BO73" s="493">
        <v>0</v>
      </c>
      <c r="BP73" s="493">
        <v>0</v>
      </c>
      <c r="BQ73" s="493">
        <v>0</v>
      </c>
      <c r="BR73" s="493">
        <v>0</v>
      </c>
    </row>
    <row r="74" spans="1:70" ht="14.1" hidden="1" customHeight="1" outlineLevel="1" x14ac:dyDescent="0.2">
      <c r="A74" s="478" t="s">
        <v>371</v>
      </c>
      <c r="B74" s="478" t="s">
        <v>678</v>
      </c>
      <c r="D74" s="495" t="str">
        <f>IF([1]RENAME!$H$3=1,B74,A74)</f>
        <v>Aquisição de controlada</v>
      </c>
      <c r="E74" s="493">
        <v>0</v>
      </c>
      <c r="F74" s="493">
        <v>0</v>
      </c>
      <c r="G74" s="493">
        <v>0</v>
      </c>
      <c r="H74" s="493">
        <v>0</v>
      </c>
      <c r="I74" s="493">
        <v>2600</v>
      </c>
      <c r="J74" s="493">
        <v>0</v>
      </c>
      <c r="K74" s="493">
        <v>0</v>
      </c>
      <c r="L74" s="493">
        <v>13056</v>
      </c>
      <c r="M74" s="493">
        <v>21589</v>
      </c>
      <c r="N74" s="493">
        <v>24000</v>
      </c>
      <c r="O74" s="493">
        <v>14062</v>
      </c>
      <c r="P74" s="493">
        <v>16552</v>
      </c>
      <c r="Q74" s="494">
        <v>16955</v>
      </c>
      <c r="R74" s="493">
        <v>17387</v>
      </c>
      <c r="S74" s="493">
        <v>8564</v>
      </c>
      <c r="T74" s="493">
        <v>8762</v>
      </c>
      <c r="U74" s="493">
        <v>8972</v>
      </c>
      <c r="V74" s="494">
        <v>9197</v>
      </c>
      <c r="W74" s="493">
        <v>9448</v>
      </c>
      <c r="X74" s="493">
        <v>9709</v>
      </c>
      <c r="Y74" s="493">
        <v>9981</v>
      </c>
      <c r="Z74" s="493">
        <v>10283</v>
      </c>
      <c r="AA74" s="493">
        <v>10650</v>
      </c>
      <c r="AB74" s="493">
        <v>11008</v>
      </c>
      <c r="AC74" s="493">
        <v>0</v>
      </c>
      <c r="AD74" s="493">
        <v>0</v>
      </c>
      <c r="AE74" s="493">
        <v>0</v>
      </c>
      <c r="AF74" s="493">
        <v>0</v>
      </c>
      <c r="AG74" s="493">
        <v>0</v>
      </c>
      <c r="AH74" s="493">
        <v>0</v>
      </c>
      <c r="AI74" s="493">
        <v>0</v>
      </c>
      <c r="AJ74" s="493">
        <v>0</v>
      </c>
      <c r="AK74" s="493">
        <v>0</v>
      </c>
      <c r="AL74" s="493">
        <v>0</v>
      </c>
      <c r="AM74" s="493">
        <v>0</v>
      </c>
      <c r="AN74" s="493">
        <v>0</v>
      </c>
      <c r="AO74" s="493">
        <v>0</v>
      </c>
      <c r="AP74" s="493">
        <v>0</v>
      </c>
      <c r="AQ74" s="493">
        <v>0</v>
      </c>
      <c r="AR74" s="493">
        <v>0</v>
      </c>
      <c r="AS74" s="493">
        <v>0</v>
      </c>
      <c r="AT74" s="493">
        <v>0</v>
      </c>
      <c r="AU74" s="493">
        <v>0</v>
      </c>
      <c r="AV74" s="493">
        <v>0</v>
      </c>
      <c r="AW74" s="493">
        <v>0</v>
      </c>
      <c r="AX74" s="493">
        <v>0</v>
      </c>
      <c r="AY74" s="493">
        <v>0</v>
      </c>
      <c r="AZ74" s="493"/>
      <c r="BA74" s="493">
        <v>0</v>
      </c>
      <c r="BB74" s="493">
        <v>0</v>
      </c>
      <c r="BC74" s="493">
        <v>0</v>
      </c>
      <c r="BD74" s="493">
        <v>0</v>
      </c>
      <c r="BE74" s="493">
        <v>0</v>
      </c>
      <c r="BF74" s="493">
        <v>0</v>
      </c>
      <c r="BG74" s="493">
        <v>0</v>
      </c>
      <c r="BH74" s="493">
        <v>0</v>
      </c>
      <c r="BI74" s="493"/>
      <c r="BJ74" s="493"/>
      <c r="BK74" s="493"/>
      <c r="BL74" s="493">
        <v>0</v>
      </c>
      <c r="BM74" s="493"/>
      <c r="BN74" s="493">
        <v>0</v>
      </c>
      <c r="BO74" s="493">
        <v>0</v>
      </c>
      <c r="BP74" s="493">
        <v>0</v>
      </c>
      <c r="BQ74" s="493">
        <v>0</v>
      </c>
      <c r="BR74" s="493">
        <v>0</v>
      </c>
    </row>
    <row r="75" spans="1:70" ht="14.1" hidden="1" customHeight="1" outlineLevel="1" x14ac:dyDescent="0.2">
      <c r="A75" s="478" t="s">
        <v>83</v>
      </c>
      <c r="B75" s="478" t="s">
        <v>667</v>
      </c>
      <c r="D75" s="492" t="str">
        <f>IF([1]RENAME!$H$3=1,B75,A75)</f>
        <v>Outros exigiveis a longo prazo</v>
      </c>
      <c r="E75" s="493">
        <v>0</v>
      </c>
      <c r="F75" s="493">
        <v>19351</v>
      </c>
      <c r="G75" s="493">
        <v>0</v>
      </c>
      <c r="H75" s="493">
        <v>0</v>
      </c>
      <c r="I75" s="493">
        <v>0</v>
      </c>
      <c r="J75" s="493">
        <v>0</v>
      </c>
      <c r="K75" s="493">
        <v>0</v>
      </c>
      <c r="L75" s="493">
        <v>0</v>
      </c>
      <c r="M75" s="493">
        <v>0</v>
      </c>
      <c r="N75" s="493">
        <v>0</v>
      </c>
      <c r="O75" s="493">
        <v>0</v>
      </c>
      <c r="P75" s="493">
        <v>0</v>
      </c>
      <c r="Q75" s="494">
        <v>0</v>
      </c>
      <c r="R75" s="493">
        <v>0</v>
      </c>
      <c r="S75" s="493">
        <v>0</v>
      </c>
      <c r="T75" s="493">
        <v>0</v>
      </c>
      <c r="U75" s="493">
        <v>206</v>
      </c>
      <c r="V75" s="494">
        <v>206</v>
      </c>
      <c r="W75" s="493">
        <v>206</v>
      </c>
      <c r="X75" s="493">
        <v>0</v>
      </c>
      <c r="Y75" s="493">
        <v>0</v>
      </c>
      <c r="Z75" s="493">
        <v>0</v>
      </c>
      <c r="AA75" s="493">
        <v>0</v>
      </c>
      <c r="AB75" s="493">
        <v>0</v>
      </c>
      <c r="AC75" s="493">
        <v>0</v>
      </c>
      <c r="AD75" s="493">
        <v>0</v>
      </c>
      <c r="AE75" s="493">
        <v>0</v>
      </c>
      <c r="AF75" s="493">
        <v>0</v>
      </c>
      <c r="AG75" s="493">
        <v>0</v>
      </c>
      <c r="AH75" s="493">
        <v>0</v>
      </c>
      <c r="AI75" s="493">
        <v>0</v>
      </c>
      <c r="AJ75" s="493">
        <v>0</v>
      </c>
      <c r="AK75" s="493">
        <v>0</v>
      </c>
      <c r="AL75" s="493">
        <v>0</v>
      </c>
      <c r="AM75" s="493">
        <v>0</v>
      </c>
      <c r="AN75" s="493">
        <v>0</v>
      </c>
      <c r="AO75" s="493">
        <v>0</v>
      </c>
      <c r="AP75" s="493">
        <v>0</v>
      </c>
      <c r="AQ75" s="493">
        <v>0</v>
      </c>
      <c r="AR75" s="493">
        <v>0</v>
      </c>
      <c r="AS75" s="493">
        <v>0</v>
      </c>
      <c r="AT75" s="493">
        <v>0</v>
      </c>
      <c r="AU75" s="493">
        <v>0</v>
      </c>
      <c r="AV75" s="493">
        <v>0</v>
      </c>
      <c r="AW75" s="493">
        <v>0</v>
      </c>
      <c r="AX75" s="493">
        <v>0</v>
      </c>
      <c r="AY75" s="493">
        <v>0</v>
      </c>
      <c r="AZ75" s="493"/>
      <c r="BA75" s="493">
        <v>0</v>
      </c>
      <c r="BB75" s="493">
        <v>0</v>
      </c>
      <c r="BC75" s="493">
        <v>0</v>
      </c>
      <c r="BD75" s="493">
        <v>0</v>
      </c>
      <c r="BE75" s="493">
        <v>0</v>
      </c>
      <c r="BF75" s="493">
        <v>0</v>
      </c>
      <c r="BG75" s="493">
        <v>0</v>
      </c>
      <c r="BH75" s="493">
        <v>0</v>
      </c>
      <c r="BI75" s="493"/>
      <c r="BJ75" s="493"/>
      <c r="BK75" s="493"/>
      <c r="BL75" s="493">
        <v>0</v>
      </c>
      <c r="BM75" s="493"/>
      <c r="BN75" s="493">
        <v>0</v>
      </c>
      <c r="BO75" s="493">
        <v>0</v>
      </c>
      <c r="BP75" s="493">
        <v>0</v>
      </c>
      <c r="BQ75" s="493">
        <v>0</v>
      </c>
      <c r="BR75" s="493">
        <v>0</v>
      </c>
    </row>
    <row r="76" spans="1:70" ht="14.1" hidden="1" customHeight="1" outlineLevel="1" x14ac:dyDescent="0.2">
      <c r="A76" s="478" t="s">
        <v>41</v>
      </c>
      <c r="B76" s="478" t="s">
        <v>672</v>
      </c>
      <c r="D76" s="506" t="str">
        <f>IF([1]RENAME!$H$3=1,B76,A76)</f>
        <v>Opção de compra em controlada</v>
      </c>
      <c r="E76" s="497">
        <v>0</v>
      </c>
      <c r="F76" s="497">
        <v>0</v>
      </c>
      <c r="G76" s="497">
        <v>0</v>
      </c>
      <c r="H76" s="497">
        <v>0</v>
      </c>
      <c r="I76" s="497">
        <v>21100</v>
      </c>
      <c r="J76" s="497">
        <v>23700</v>
      </c>
      <c r="K76" s="497">
        <v>24500</v>
      </c>
      <c r="L76" s="497">
        <v>51000</v>
      </c>
      <c r="M76" s="497">
        <v>52324</v>
      </c>
      <c r="N76" s="497">
        <v>53646</v>
      </c>
      <c r="O76" s="497">
        <v>67013</v>
      </c>
      <c r="P76" s="497">
        <v>56576</v>
      </c>
      <c r="Q76" s="498">
        <v>57888</v>
      </c>
      <c r="R76" s="497">
        <v>59300</v>
      </c>
      <c r="S76" s="497">
        <v>0</v>
      </c>
      <c r="T76" s="497">
        <v>0</v>
      </c>
      <c r="U76" s="497">
        <v>0</v>
      </c>
      <c r="V76" s="498">
        <v>0</v>
      </c>
      <c r="W76" s="497">
        <v>0</v>
      </c>
      <c r="X76" s="497">
        <v>0</v>
      </c>
      <c r="Y76" s="497">
        <v>0</v>
      </c>
      <c r="Z76" s="497">
        <v>0</v>
      </c>
      <c r="AA76" s="497">
        <v>0</v>
      </c>
      <c r="AB76" s="497">
        <v>0</v>
      </c>
      <c r="AC76" s="497">
        <v>0</v>
      </c>
      <c r="AD76" s="497">
        <v>0</v>
      </c>
      <c r="AE76" s="497">
        <v>0</v>
      </c>
      <c r="AF76" s="497">
        <v>0</v>
      </c>
      <c r="AG76" s="497">
        <v>0</v>
      </c>
      <c r="AH76" s="497">
        <v>0</v>
      </c>
      <c r="AI76" s="497">
        <v>0</v>
      </c>
      <c r="AJ76" s="497">
        <v>0</v>
      </c>
      <c r="AK76" s="497">
        <v>0</v>
      </c>
      <c r="AL76" s="497">
        <v>0</v>
      </c>
      <c r="AM76" s="497">
        <v>0</v>
      </c>
      <c r="AN76" s="497">
        <v>0</v>
      </c>
      <c r="AO76" s="497">
        <v>0</v>
      </c>
      <c r="AP76" s="497">
        <v>0</v>
      </c>
      <c r="AQ76" s="497">
        <v>0</v>
      </c>
      <c r="AR76" s="497">
        <v>0</v>
      </c>
      <c r="AS76" s="497">
        <v>0</v>
      </c>
      <c r="AT76" s="497">
        <v>0</v>
      </c>
      <c r="AU76" s="497">
        <v>0</v>
      </c>
      <c r="AV76" s="497">
        <v>0</v>
      </c>
      <c r="AW76" s="497">
        <v>0</v>
      </c>
      <c r="AX76" s="497">
        <v>0</v>
      </c>
      <c r="AY76" s="497">
        <v>0</v>
      </c>
      <c r="AZ76" s="497"/>
      <c r="BA76" s="497">
        <v>0</v>
      </c>
      <c r="BB76" s="497">
        <v>0</v>
      </c>
      <c r="BC76" s="497">
        <v>0</v>
      </c>
      <c r="BD76" s="497">
        <v>0</v>
      </c>
      <c r="BE76" s="497">
        <v>0</v>
      </c>
      <c r="BF76" s="497">
        <v>0</v>
      </c>
      <c r="BG76" s="497">
        <v>0</v>
      </c>
      <c r="BH76" s="497">
        <v>0</v>
      </c>
      <c r="BI76" s="497"/>
      <c r="BJ76" s="497"/>
      <c r="BK76" s="497"/>
      <c r="BL76" s="497">
        <v>0</v>
      </c>
      <c r="BM76" s="497"/>
      <c r="BN76" s="497">
        <v>0</v>
      </c>
      <c r="BO76" s="497">
        <v>0</v>
      </c>
      <c r="BP76" s="497">
        <v>0</v>
      </c>
      <c r="BQ76" s="497">
        <v>0</v>
      </c>
      <c r="BR76" s="497">
        <v>0</v>
      </c>
    </row>
    <row r="77" spans="1:70" ht="18" customHeight="1" x14ac:dyDescent="0.2">
      <c r="D77" s="505"/>
      <c r="E77" s="728"/>
      <c r="F77" s="728"/>
      <c r="G77" s="728"/>
      <c r="H77" s="728"/>
      <c r="I77" s="728"/>
      <c r="J77" s="728"/>
      <c r="K77" s="728"/>
      <c r="L77" s="728"/>
      <c r="M77" s="728"/>
      <c r="N77" s="728"/>
      <c r="O77" s="728"/>
      <c r="P77" s="728"/>
      <c r="Q77" s="729"/>
      <c r="R77" s="728"/>
      <c r="S77" s="728"/>
      <c r="T77" s="728"/>
      <c r="U77" s="728"/>
      <c r="V77" s="729"/>
      <c r="W77" s="728"/>
      <c r="X77" s="730"/>
      <c r="Y77" s="730"/>
      <c r="Z77" s="730"/>
      <c r="AA77" s="981"/>
      <c r="AB77" s="981"/>
      <c r="AC77" s="981"/>
      <c r="AD77" s="981"/>
      <c r="AE77" s="981"/>
      <c r="AF77" s="981"/>
      <c r="AG77" s="981"/>
      <c r="AH77" s="981"/>
      <c r="AI77" s="981"/>
      <c r="AJ77" s="981"/>
      <c r="AK77" s="981"/>
      <c r="AL77" s="981"/>
      <c r="AM77" s="981"/>
      <c r="AN77" s="981"/>
      <c r="AO77" s="981"/>
      <c r="AP77" s="981"/>
      <c r="AQ77" s="981"/>
      <c r="AR77" s="981"/>
      <c r="AS77" s="981"/>
      <c r="AT77" s="981"/>
      <c r="AU77" s="981"/>
      <c r="AV77" s="981"/>
      <c r="AW77" s="981"/>
      <c r="AX77" s="981"/>
      <c r="AY77" s="981"/>
      <c r="AZ77" s="981"/>
      <c r="BA77" s="981"/>
      <c r="BB77" s="981"/>
      <c r="BC77" s="981"/>
      <c r="BD77" s="981"/>
      <c r="BE77" s="981"/>
      <c r="BF77" s="981"/>
      <c r="BG77" s="981"/>
      <c r="BH77" s="981"/>
      <c r="BI77" s="981"/>
      <c r="BJ77" s="981"/>
      <c r="BK77" s="981"/>
      <c r="BL77" s="1232"/>
      <c r="BM77" s="1232"/>
      <c r="BN77" s="1232"/>
      <c r="BO77" s="1232"/>
      <c r="BP77" s="981"/>
      <c r="BQ77" s="981"/>
      <c r="BR77" s="981"/>
    </row>
    <row r="78" spans="1:70" ht="14.1" customHeight="1" thickBot="1" x14ac:dyDescent="0.25">
      <c r="A78" s="478" t="s">
        <v>43</v>
      </c>
      <c r="B78" s="478" t="s">
        <v>679</v>
      </c>
      <c r="D78" s="483" t="str">
        <f>IF([1]RENAME!$H$3=1,B78,A78)</f>
        <v>Patrimônio líquido</v>
      </c>
      <c r="E78" s="484">
        <f t="shared" ref="E78:AG78" si="39">SUM(E79:E86)</f>
        <v>353544</v>
      </c>
      <c r="F78" s="484">
        <f t="shared" si="39"/>
        <v>323597</v>
      </c>
      <c r="G78" s="484">
        <f t="shared" si="39"/>
        <v>339862</v>
      </c>
      <c r="H78" s="484">
        <f t="shared" si="39"/>
        <v>419862</v>
      </c>
      <c r="I78" s="484">
        <f t="shared" si="39"/>
        <v>418810</v>
      </c>
      <c r="J78" s="485">
        <f t="shared" si="39"/>
        <v>408402</v>
      </c>
      <c r="K78" s="484">
        <f t="shared" si="39"/>
        <v>419218</v>
      </c>
      <c r="L78" s="484">
        <f t="shared" si="39"/>
        <v>404086</v>
      </c>
      <c r="M78" s="484">
        <f t="shared" si="39"/>
        <v>418220</v>
      </c>
      <c r="N78" s="484">
        <f t="shared" si="39"/>
        <v>407478</v>
      </c>
      <c r="O78" s="484">
        <f t="shared" si="39"/>
        <v>423468</v>
      </c>
      <c r="P78" s="484">
        <f t="shared" si="39"/>
        <v>424064</v>
      </c>
      <c r="Q78" s="485">
        <f t="shared" si="39"/>
        <v>428272</v>
      </c>
      <c r="R78" s="484">
        <f t="shared" si="39"/>
        <v>416422</v>
      </c>
      <c r="S78" s="484">
        <f t="shared" si="39"/>
        <v>422689</v>
      </c>
      <c r="T78" s="484">
        <f t="shared" si="39"/>
        <v>401540</v>
      </c>
      <c r="U78" s="484">
        <f t="shared" si="39"/>
        <v>402978</v>
      </c>
      <c r="V78" s="485">
        <f t="shared" si="39"/>
        <v>376377</v>
      </c>
      <c r="W78" s="484">
        <f t="shared" si="39"/>
        <v>348548</v>
      </c>
      <c r="X78" s="484">
        <f t="shared" si="39"/>
        <v>362097</v>
      </c>
      <c r="Y78" s="484">
        <f t="shared" si="39"/>
        <v>369830</v>
      </c>
      <c r="Z78" s="484">
        <f t="shared" si="39"/>
        <v>371095</v>
      </c>
      <c r="AA78" s="484">
        <f t="shared" si="39"/>
        <v>370984</v>
      </c>
      <c r="AB78" s="484">
        <f t="shared" si="39"/>
        <v>365363</v>
      </c>
      <c r="AC78" s="484">
        <f t="shared" si="39"/>
        <v>362782</v>
      </c>
      <c r="AD78" s="484">
        <f t="shared" si="39"/>
        <v>362054</v>
      </c>
      <c r="AE78" s="484">
        <f t="shared" si="39"/>
        <v>365895</v>
      </c>
      <c r="AF78" s="484">
        <f t="shared" si="39"/>
        <v>375077</v>
      </c>
      <c r="AG78" s="484">
        <f t="shared" si="39"/>
        <v>380528</v>
      </c>
      <c r="AH78" s="484">
        <v>400073</v>
      </c>
      <c r="AI78" s="484">
        <f t="shared" ref="AI78:AR78" si="40">SUM(AI79:AI86)</f>
        <v>400609</v>
      </c>
      <c r="AJ78" s="484">
        <f t="shared" si="40"/>
        <v>448806</v>
      </c>
      <c r="AK78" s="484">
        <f t="shared" si="40"/>
        <v>462802</v>
      </c>
      <c r="AL78" s="484">
        <f t="shared" si="40"/>
        <v>455259</v>
      </c>
      <c r="AM78" s="484">
        <f t="shared" si="40"/>
        <v>465415</v>
      </c>
      <c r="AN78" s="484">
        <f t="shared" si="40"/>
        <v>484372</v>
      </c>
      <c r="AO78" s="484">
        <f t="shared" si="40"/>
        <v>511005</v>
      </c>
      <c r="AP78" s="484">
        <f t="shared" si="40"/>
        <v>515840</v>
      </c>
      <c r="AQ78" s="484">
        <f t="shared" si="40"/>
        <v>577735</v>
      </c>
      <c r="AR78" s="484">
        <f t="shared" si="40"/>
        <v>575079</v>
      </c>
      <c r="AS78" s="484">
        <f t="shared" ref="AS78:BB78" si="41">SUM(AS79:AS86)</f>
        <v>595131</v>
      </c>
      <c r="AT78" s="484">
        <f t="shared" si="41"/>
        <v>590088</v>
      </c>
      <c r="AU78" s="484">
        <f t="shared" si="41"/>
        <v>619947</v>
      </c>
      <c r="AV78" s="484">
        <f t="shared" si="41"/>
        <v>624663</v>
      </c>
      <c r="AW78" s="484">
        <f t="shared" si="41"/>
        <v>644911</v>
      </c>
      <c r="AX78" s="484">
        <f t="shared" si="41"/>
        <v>656554</v>
      </c>
      <c r="AY78" s="484">
        <f t="shared" si="41"/>
        <v>668634</v>
      </c>
      <c r="AZ78" s="484">
        <f t="shared" si="41"/>
        <v>680734</v>
      </c>
      <c r="BA78" s="484">
        <f t="shared" si="41"/>
        <v>699442</v>
      </c>
      <c r="BB78" s="484">
        <f t="shared" si="41"/>
        <v>707573</v>
      </c>
      <c r="BC78" s="484">
        <f t="shared" ref="BC78:BO78" si="42">SUM(BC79:BC86)</f>
        <v>736379</v>
      </c>
      <c r="BD78" s="484">
        <f t="shared" si="42"/>
        <v>766189</v>
      </c>
      <c r="BE78" s="484">
        <f t="shared" si="42"/>
        <v>800844</v>
      </c>
      <c r="BF78" s="484">
        <f t="shared" si="42"/>
        <v>800942</v>
      </c>
      <c r="BG78" s="484">
        <f t="shared" si="42"/>
        <v>819533</v>
      </c>
      <c r="BH78" s="484">
        <f t="shared" si="42"/>
        <v>835170</v>
      </c>
      <c r="BI78" s="484">
        <f t="shared" si="42"/>
        <v>872453</v>
      </c>
      <c r="BJ78" s="484">
        <f t="shared" si="42"/>
        <v>888230</v>
      </c>
      <c r="BK78" s="484">
        <f t="shared" si="42"/>
        <v>892007</v>
      </c>
      <c r="BL78" s="484">
        <f t="shared" si="42"/>
        <v>921409</v>
      </c>
      <c r="BM78" s="484">
        <f t="shared" si="42"/>
        <v>965143</v>
      </c>
      <c r="BN78" s="484">
        <f>SUM(BN79:BN86)</f>
        <v>993359</v>
      </c>
      <c r="BO78" s="484">
        <f t="shared" si="42"/>
        <v>984234</v>
      </c>
      <c r="BP78" s="484">
        <f>SUM(BP79:BP86)</f>
        <v>872233</v>
      </c>
      <c r="BQ78" s="484">
        <f>SUM(BQ79:BQ86)</f>
        <v>911018</v>
      </c>
      <c r="BR78" s="484">
        <f>SUM(BR79:BR86)</f>
        <v>994134</v>
      </c>
    </row>
    <row r="79" spans="1:70" ht="14.1" customHeight="1" x14ac:dyDescent="0.2">
      <c r="A79" s="478" t="s">
        <v>31</v>
      </c>
      <c r="B79" s="478" t="s">
        <v>680</v>
      </c>
      <c r="D79" s="508" t="str">
        <f>IF([1]RENAME!$H$3=1,B79,A79)</f>
        <v>Capital social</v>
      </c>
      <c r="E79" s="509">
        <v>144469</v>
      </c>
      <c r="F79" s="509">
        <v>144469</v>
      </c>
      <c r="G79" s="509">
        <v>144469</v>
      </c>
      <c r="H79" s="509">
        <v>144469</v>
      </c>
      <c r="I79" s="509">
        <v>144469</v>
      </c>
      <c r="J79" s="510">
        <v>144469</v>
      </c>
      <c r="K79" s="509">
        <v>144469</v>
      </c>
      <c r="L79" s="509">
        <v>144469</v>
      </c>
      <c r="M79" s="509">
        <v>144469</v>
      </c>
      <c r="N79" s="509">
        <v>144469</v>
      </c>
      <c r="O79" s="509">
        <v>144469</v>
      </c>
      <c r="P79" s="509">
        <v>144469</v>
      </c>
      <c r="Q79" s="510">
        <v>144469</v>
      </c>
      <c r="R79" s="509">
        <v>144469</v>
      </c>
      <c r="S79" s="509">
        <v>144469</v>
      </c>
      <c r="T79" s="509">
        <v>144469</v>
      </c>
      <c r="U79" s="509">
        <v>144469</v>
      </c>
      <c r="V79" s="510">
        <v>144469</v>
      </c>
      <c r="W79" s="509">
        <v>144469</v>
      </c>
      <c r="X79" s="509">
        <v>144469</v>
      </c>
      <c r="Y79" s="509">
        <v>144469</v>
      </c>
      <c r="Z79" s="509">
        <v>144469</v>
      </c>
      <c r="AA79" s="509">
        <v>144469</v>
      </c>
      <c r="AB79" s="509">
        <v>144469</v>
      </c>
      <c r="AC79" s="509">
        <v>144469</v>
      </c>
      <c r="AD79" s="509">
        <v>144469</v>
      </c>
      <c r="AE79" s="509">
        <v>144469</v>
      </c>
      <c r="AF79" s="509">
        <v>144469</v>
      </c>
      <c r="AG79" s="509">
        <v>144469</v>
      </c>
      <c r="AH79" s="509">
        <v>144469</v>
      </c>
      <c r="AI79" s="509">
        <v>144469</v>
      </c>
      <c r="AJ79" s="509">
        <v>144469</v>
      </c>
      <c r="AK79" s="509">
        <v>144469</v>
      </c>
      <c r="AL79" s="509">
        <v>144469</v>
      </c>
      <c r="AM79" s="509">
        <v>144469</v>
      </c>
      <c r="AN79" s="509">
        <v>144469</v>
      </c>
      <c r="AO79" s="509">
        <v>144469</v>
      </c>
      <c r="AP79" s="509">
        <v>144469</v>
      </c>
      <c r="AQ79" s="509">
        <v>144469</v>
      </c>
      <c r="AR79" s="509">
        <v>144469</v>
      </c>
      <c r="AS79" s="509">
        <v>144469</v>
      </c>
      <c r="AT79" s="509">
        <v>318524</v>
      </c>
      <c r="AU79" s="509">
        <v>318524</v>
      </c>
      <c r="AV79" s="509">
        <v>318524</v>
      </c>
      <c r="AW79" s="509">
        <v>318524</v>
      </c>
      <c r="AX79" s="509">
        <v>318524</v>
      </c>
      <c r="AY79" s="509">
        <v>318524</v>
      </c>
      <c r="AZ79" s="509">
        <v>318524</v>
      </c>
      <c r="BA79" s="509">
        <v>318524</v>
      </c>
      <c r="BB79" s="509">
        <v>318524</v>
      </c>
      <c r="BC79" s="509">
        <v>318524</v>
      </c>
      <c r="BD79" s="509">
        <v>318524</v>
      </c>
      <c r="BE79" s="509">
        <v>318524</v>
      </c>
      <c r="BF79" s="509">
        <v>318524</v>
      </c>
      <c r="BG79" s="509">
        <v>318524</v>
      </c>
      <c r="BH79" s="509">
        <v>318524</v>
      </c>
      <c r="BI79" s="509">
        <v>438839</v>
      </c>
      <c r="BJ79" s="509">
        <v>438839</v>
      </c>
      <c r="BK79" s="509">
        <v>438839</v>
      </c>
      <c r="BL79" s="509">
        <v>438839</v>
      </c>
      <c r="BM79" s="509">
        <v>438839</v>
      </c>
      <c r="BN79" s="509">
        <v>438839</v>
      </c>
      <c r="BO79" s="509">
        <v>438839</v>
      </c>
      <c r="BP79" s="509">
        <v>460000</v>
      </c>
      <c r="BQ79" s="509">
        <v>460000</v>
      </c>
      <c r="BR79" s="509">
        <f>VLOOKUP($D$79,'[3]Balanço '!$K$17:$Q$60,7,FALSE)</f>
        <v>460000</v>
      </c>
    </row>
    <row r="80" spans="1:70" ht="14.1" customHeight="1" x14ac:dyDescent="0.2">
      <c r="A80" s="478" t="s">
        <v>84</v>
      </c>
      <c r="B80" s="478" t="s">
        <v>681</v>
      </c>
      <c r="D80" s="489" t="str">
        <f>IF([1]RENAME!$H$3=1,B80,A80)</f>
        <v>Reservas de capital</v>
      </c>
      <c r="E80" s="487">
        <v>206861</v>
      </c>
      <c r="F80" s="487">
        <v>174055</v>
      </c>
      <c r="G80" s="487">
        <v>174055</v>
      </c>
      <c r="H80" s="487">
        <v>174055</v>
      </c>
      <c r="I80" s="487">
        <v>174055</v>
      </c>
      <c r="J80" s="488">
        <v>174055</v>
      </c>
      <c r="K80" s="487">
        <v>174055</v>
      </c>
      <c r="L80" s="487">
        <v>174090</v>
      </c>
      <c r="M80" s="487">
        <v>174332</v>
      </c>
      <c r="N80" s="487">
        <v>174400</v>
      </c>
      <c r="O80" s="487">
        <v>174468</v>
      </c>
      <c r="P80" s="487">
        <v>174815</v>
      </c>
      <c r="Q80" s="488">
        <v>175262</v>
      </c>
      <c r="R80" s="487">
        <v>175431</v>
      </c>
      <c r="S80" s="487">
        <v>175605</v>
      </c>
      <c r="T80" s="487">
        <v>175780</v>
      </c>
      <c r="U80" s="487">
        <v>175921</v>
      </c>
      <c r="V80" s="488">
        <v>176288</v>
      </c>
      <c r="W80" s="487">
        <v>176097</v>
      </c>
      <c r="X80" s="487">
        <v>176212</v>
      </c>
      <c r="Y80" s="487">
        <v>176322</v>
      </c>
      <c r="Z80" s="487">
        <v>176432</v>
      </c>
      <c r="AA80" s="487">
        <v>175829</v>
      </c>
      <c r="AB80" s="487">
        <v>174099</v>
      </c>
      <c r="AC80" s="487">
        <v>174099</v>
      </c>
      <c r="AD80" s="487">
        <v>174055</v>
      </c>
      <c r="AE80" s="487">
        <v>174055</v>
      </c>
      <c r="AF80" s="487">
        <v>174055</v>
      </c>
      <c r="AG80" s="487">
        <v>174055</v>
      </c>
      <c r="AH80" s="487">
        <v>174055</v>
      </c>
      <c r="AI80" s="487">
        <v>174055</v>
      </c>
      <c r="AJ80" s="487">
        <v>174055</v>
      </c>
      <c r="AK80" s="487">
        <v>174055</v>
      </c>
      <c r="AL80" s="487">
        <v>174055</v>
      </c>
      <c r="AM80" s="487">
        <v>174055</v>
      </c>
      <c r="AN80" s="487">
        <v>174055</v>
      </c>
      <c r="AO80" s="487">
        <v>174055</v>
      </c>
      <c r="AP80" s="487">
        <v>174055</v>
      </c>
      <c r="AQ80" s="487">
        <v>174055</v>
      </c>
      <c r="AR80" s="487">
        <v>174055</v>
      </c>
      <c r="AS80" s="487">
        <v>174055</v>
      </c>
      <c r="AT80" s="487">
        <v>0</v>
      </c>
      <c r="AU80" s="487">
        <v>0</v>
      </c>
      <c r="AV80" s="487">
        <v>0</v>
      </c>
      <c r="AW80" s="487">
        <v>0</v>
      </c>
      <c r="AX80" s="487">
        <v>0</v>
      </c>
      <c r="AY80" s="487">
        <v>0</v>
      </c>
      <c r="AZ80" s="487">
        <v>0</v>
      </c>
      <c r="BA80" s="487">
        <v>0</v>
      </c>
      <c r="BB80" s="487">
        <v>0</v>
      </c>
      <c r="BC80" s="487">
        <v>0</v>
      </c>
      <c r="BD80" s="487">
        <v>0</v>
      </c>
      <c r="BE80" s="487">
        <v>0</v>
      </c>
      <c r="BF80" s="487">
        <v>0</v>
      </c>
      <c r="BG80" s="487">
        <v>0</v>
      </c>
      <c r="BH80" s="487">
        <v>0</v>
      </c>
      <c r="BI80" s="487">
        <v>0</v>
      </c>
      <c r="BJ80" s="487">
        <v>0</v>
      </c>
      <c r="BK80" s="487">
        <v>0</v>
      </c>
      <c r="BL80" s="487">
        <v>0</v>
      </c>
      <c r="BM80" s="487">
        <v>0</v>
      </c>
      <c r="BN80" s="487">
        <v>0</v>
      </c>
      <c r="BO80" s="487">
        <v>0</v>
      </c>
      <c r="BP80" s="487">
        <v>0</v>
      </c>
      <c r="BQ80" s="487">
        <v>0</v>
      </c>
      <c r="BR80" s="487">
        <f>VLOOKUP($D$80,'[3]Balanço '!$K$17:$Q$60,7,FALSE)</f>
        <v>0</v>
      </c>
    </row>
    <row r="81" spans="1:70" ht="14.1" customHeight="1" x14ac:dyDescent="0.2">
      <c r="A81" s="478" t="s">
        <v>85</v>
      </c>
      <c r="B81" s="478" t="s">
        <v>682</v>
      </c>
      <c r="D81" s="489" t="str">
        <f>IF([1]RENAME!$H$3=1,B81,A81)</f>
        <v>Reservas de lucros</v>
      </c>
      <c r="E81" s="487">
        <v>2214</v>
      </c>
      <c r="F81" s="487">
        <v>5073</v>
      </c>
      <c r="G81" s="487">
        <v>21553</v>
      </c>
      <c r="H81" s="487">
        <v>101346</v>
      </c>
      <c r="I81" s="487">
        <v>121244</v>
      </c>
      <c r="J81" s="488">
        <v>110848</v>
      </c>
      <c r="K81" s="487">
        <v>121592</v>
      </c>
      <c r="L81" s="487">
        <v>132725</v>
      </c>
      <c r="M81" s="487">
        <v>132725</v>
      </c>
      <c r="N81" s="487">
        <v>102725</v>
      </c>
      <c r="O81" s="487">
        <v>102728</v>
      </c>
      <c r="P81" s="487">
        <v>152093</v>
      </c>
      <c r="Q81" s="488">
        <v>152093</v>
      </c>
      <c r="R81" s="487">
        <v>122094</v>
      </c>
      <c r="S81" s="487">
        <v>107093</v>
      </c>
      <c r="T81" s="487">
        <v>81570</v>
      </c>
      <c r="U81" s="487">
        <v>81570</v>
      </c>
      <c r="V81" s="488">
        <v>64588</v>
      </c>
      <c r="W81" s="487">
        <v>64587.999999999993</v>
      </c>
      <c r="X81" s="487">
        <v>41626</v>
      </c>
      <c r="Y81" s="487">
        <v>41626</v>
      </c>
      <c r="Z81" s="487">
        <v>41626</v>
      </c>
      <c r="AA81" s="487">
        <v>36626</v>
      </c>
      <c r="AB81" s="487">
        <v>46556</v>
      </c>
      <c r="AC81" s="487">
        <v>46556</v>
      </c>
      <c r="AD81" s="487">
        <v>46556</v>
      </c>
      <c r="AE81" s="487">
        <v>46556</v>
      </c>
      <c r="AF81" s="487">
        <v>52382</v>
      </c>
      <c r="AG81" s="487">
        <v>52382</v>
      </c>
      <c r="AH81" s="487">
        <v>52382</v>
      </c>
      <c r="AI81" s="487">
        <v>52382</v>
      </c>
      <c r="AJ81" s="487">
        <v>94896</v>
      </c>
      <c r="AK81" s="487">
        <v>94896</v>
      </c>
      <c r="AL81" s="487">
        <v>94896</v>
      </c>
      <c r="AM81" s="487">
        <v>94896</v>
      </c>
      <c r="AN81" s="487">
        <v>138195</v>
      </c>
      <c r="AO81" s="487">
        <v>138195</v>
      </c>
      <c r="AP81" s="487">
        <v>138195</v>
      </c>
      <c r="AQ81" s="487">
        <v>138195</v>
      </c>
      <c r="AR81" s="487">
        <v>256903</v>
      </c>
      <c r="AS81" s="487">
        <v>260946</v>
      </c>
      <c r="AT81" s="487">
        <v>262553</v>
      </c>
      <c r="AU81" s="487">
        <v>266821</v>
      </c>
      <c r="AV81" s="487">
        <v>295557</v>
      </c>
      <c r="AW81" s="487">
        <v>299149</v>
      </c>
      <c r="AX81" s="487">
        <v>302512</v>
      </c>
      <c r="AY81" s="487">
        <v>306111</v>
      </c>
      <c r="AZ81" s="487">
        <v>342489</v>
      </c>
      <c r="BA81" s="487">
        <v>345960</v>
      </c>
      <c r="BB81" s="487">
        <v>350661</v>
      </c>
      <c r="BC81" s="487">
        <v>357326</v>
      </c>
      <c r="BD81" s="487">
        <v>410601</v>
      </c>
      <c r="BE81" s="487">
        <v>415438</v>
      </c>
      <c r="BF81" s="487">
        <v>421332</v>
      </c>
      <c r="BG81" s="487">
        <v>428335</v>
      </c>
      <c r="BH81" s="487">
        <v>471347</v>
      </c>
      <c r="BI81" s="487">
        <v>351032</v>
      </c>
      <c r="BJ81" s="487">
        <v>351032</v>
      </c>
      <c r="BK81" s="487">
        <v>270588</v>
      </c>
      <c r="BL81" s="487">
        <v>450730</v>
      </c>
      <c r="BM81" s="487">
        <v>450730</v>
      </c>
      <c r="BN81" s="487">
        <v>450730</v>
      </c>
      <c r="BO81" s="487">
        <v>450730</v>
      </c>
      <c r="BP81" s="487">
        <v>419331</v>
      </c>
      <c r="BQ81" s="487">
        <v>419331</v>
      </c>
      <c r="BR81" s="487">
        <f>VLOOKUP($D$81,'[3]Balanço '!$K$17:$Q$60,7,FALSE)</f>
        <v>419331</v>
      </c>
    </row>
    <row r="82" spans="1:70" ht="14.1" customHeight="1" x14ac:dyDescent="0.2">
      <c r="A82" s="478" t="s">
        <v>2246</v>
      </c>
      <c r="B82" s="478" t="s">
        <v>2247</v>
      </c>
      <c r="D82" s="489" t="str">
        <f>IF([1]RENAME!$H$3=1,B82,A82)</f>
        <v>Transação de Capital</v>
      </c>
      <c r="E82" s="487" t="s">
        <v>160</v>
      </c>
      <c r="F82" s="487" t="s">
        <v>160</v>
      </c>
      <c r="G82" s="487" t="s">
        <v>160</v>
      </c>
      <c r="H82" s="487" t="s">
        <v>160</v>
      </c>
      <c r="I82" s="487" t="s">
        <v>160</v>
      </c>
      <c r="J82" s="488" t="s">
        <v>160</v>
      </c>
      <c r="K82" s="487" t="s">
        <v>160</v>
      </c>
      <c r="L82" s="487" t="s">
        <v>160</v>
      </c>
      <c r="M82" s="487" t="s">
        <v>160</v>
      </c>
      <c r="N82" s="487" t="s">
        <v>160</v>
      </c>
      <c r="O82" s="487" t="s">
        <v>160</v>
      </c>
      <c r="P82" s="487" t="s">
        <v>160</v>
      </c>
      <c r="Q82" s="488" t="s">
        <v>160</v>
      </c>
      <c r="R82" s="487" t="s">
        <v>160</v>
      </c>
      <c r="S82" s="487" t="s">
        <v>160</v>
      </c>
      <c r="T82" s="487" t="s">
        <v>160</v>
      </c>
      <c r="U82" s="487" t="s">
        <v>160</v>
      </c>
      <c r="V82" s="488" t="s">
        <v>160</v>
      </c>
      <c r="W82" s="487" t="s">
        <v>160</v>
      </c>
      <c r="X82" s="487" t="s">
        <v>160</v>
      </c>
      <c r="Y82" s="487" t="s">
        <v>160</v>
      </c>
      <c r="Z82" s="487" t="s">
        <v>160</v>
      </c>
      <c r="AA82" s="487" t="s">
        <v>160</v>
      </c>
      <c r="AB82" s="487" t="s">
        <v>160</v>
      </c>
      <c r="AC82" s="487" t="s">
        <v>160</v>
      </c>
      <c r="AD82" s="487" t="s">
        <v>160</v>
      </c>
      <c r="AE82" s="487" t="s">
        <v>160</v>
      </c>
      <c r="AF82" s="487" t="s">
        <v>160</v>
      </c>
      <c r="AG82" s="487" t="s">
        <v>160</v>
      </c>
      <c r="AH82" s="487" t="s">
        <v>160</v>
      </c>
      <c r="AI82" s="487" t="s">
        <v>160</v>
      </c>
      <c r="AJ82" s="487" t="s">
        <v>160</v>
      </c>
      <c r="AK82" s="487" t="s">
        <v>160</v>
      </c>
      <c r="AL82" s="487" t="s">
        <v>160</v>
      </c>
      <c r="AM82" s="487" t="s">
        <v>160</v>
      </c>
      <c r="AN82" s="487" t="s">
        <v>160</v>
      </c>
      <c r="AO82" s="487" t="s">
        <v>160</v>
      </c>
      <c r="AP82" s="487" t="s">
        <v>160</v>
      </c>
      <c r="AQ82" s="487" t="s">
        <v>160</v>
      </c>
      <c r="AR82" s="487" t="s">
        <v>160</v>
      </c>
      <c r="AS82" s="487" t="s">
        <v>160</v>
      </c>
      <c r="AT82" s="487" t="s">
        <v>160</v>
      </c>
      <c r="AU82" s="487" t="s">
        <v>160</v>
      </c>
      <c r="AV82" s="487" t="s">
        <v>160</v>
      </c>
      <c r="AW82" s="487" t="s">
        <v>160</v>
      </c>
      <c r="AX82" s="487" t="s">
        <v>160</v>
      </c>
      <c r="AY82" s="487" t="s">
        <v>160</v>
      </c>
      <c r="AZ82" s="487" t="s">
        <v>160</v>
      </c>
      <c r="BA82" s="487" t="s">
        <v>160</v>
      </c>
      <c r="BB82" s="487" t="s">
        <v>160</v>
      </c>
      <c r="BC82" s="487" t="s">
        <v>160</v>
      </c>
      <c r="BD82" s="487" t="s">
        <v>160</v>
      </c>
      <c r="BE82" s="487" t="s">
        <v>160</v>
      </c>
      <c r="BF82" s="487" t="s">
        <v>160</v>
      </c>
      <c r="BG82" s="487" t="s">
        <v>160</v>
      </c>
      <c r="BH82" s="487" t="s">
        <v>160</v>
      </c>
      <c r="BI82" s="487" t="s">
        <v>160</v>
      </c>
      <c r="BJ82" s="487" t="s">
        <v>160</v>
      </c>
      <c r="BK82" s="487" t="s">
        <v>160</v>
      </c>
      <c r="BL82" s="487">
        <v>-5296</v>
      </c>
      <c r="BM82" s="487">
        <v>-5296</v>
      </c>
      <c r="BN82" s="487">
        <v>-5296</v>
      </c>
      <c r="BO82" s="487">
        <v>-5296</v>
      </c>
      <c r="BP82" s="487">
        <v>-5296</v>
      </c>
      <c r="BQ82" s="487">
        <v>-5296</v>
      </c>
      <c r="BR82" s="487">
        <f>VLOOKUP($D$82,'[3]Balanço '!$K$17:$Q$60,7,FALSE)</f>
        <v>-5296</v>
      </c>
    </row>
    <row r="83" spans="1:70" ht="14.1" customHeight="1" x14ac:dyDescent="0.2">
      <c r="A83" s="478" t="s">
        <v>1296</v>
      </c>
      <c r="B83" s="478" t="s">
        <v>683</v>
      </c>
      <c r="D83" s="489" t="str">
        <f>IF([1]RENAME!$H$3=1,B83,A83)</f>
        <v>Lucros acumulados</v>
      </c>
      <c r="E83" s="487">
        <v>0</v>
      </c>
      <c r="F83" s="487">
        <v>0</v>
      </c>
      <c r="G83" s="487">
        <v>-342</v>
      </c>
      <c r="H83" s="487">
        <v>0</v>
      </c>
      <c r="I83" s="487">
        <v>0</v>
      </c>
      <c r="J83" s="488">
        <v>0</v>
      </c>
      <c r="K83" s="487">
        <v>0</v>
      </c>
      <c r="L83" s="487">
        <v>0</v>
      </c>
      <c r="M83" s="487">
        <v>13897</v>
      </c>
      <c r="N83" s="487">
        <v>33035</v>
      </c>
      <c r="O83" s="487">
        <v>48956</v>
      </c>
      <c r="P83" s="487">
        <v>0</v>
      </c>
      <c r="Q83" s="488">
        <v>4222</v>
      </c>
      <c r="R83" s="487">
        <v>22135</v>
      </c>
      <c r="S83" s="487">
        <v>43227</v>
      </c>
      <c r="T83" s="487">
        <v>0</v>
      </c>
      <c r="U83" s="487">
        <v>1299</v>
      </c>
      <c r="V83" s="488">
        <v>-8669</v>
      </c>
      <c r="W83" s="487">
        <v>-36357</v>
      </c>
      <c r="X83" s="487">
        <v>0</v>
      </c>
      <c r="Y83" s="487">
        <v>7500</v>
      </c>
      <c r="Z83" s="487">
        <v>8683</v>
      </c>
      <c r="AA83" s="487">
        <v>13784</v>
      </c>
      <c r="AB83" s="487">
        <v>0</v>
      </c>
      <c r="AC83" s="487">
        <v>-1903</v>
      </c>
      <c r="AD83" s="487">
        <v>-2591</v>
      </c>
      <c r="AE83" s="487">
        <v>1250</v>
      </c>
      <c r="AF83" s="487">
        <v>0</v>
      </c>
      <c r="AG83" s="487">
        <v>5452</v>
      </c>
      <c r="AH83" s="487">
        <v>29509</v>
      </c>
      <c r="AI83" s="487">
        <v>30045</v>
      </c>
      <c r="AJ83" s="487">
        <v>0</v>
      </c>
      <c r="AK83" s="487">
        <v>13996</v>
      </c>
      <c r="AL83" s="487">
        <v>42181</v>
      </c>
      <c r="AM83" s="487">
        <v>52198</v>
      </c>
      <c r="AN83" s="487">
        <v>0</v>
      </c>
      <c r="AO83" s="487">
        <v>26621</v>
      </c>
      <c r="AP83" s="487">
        <v>59135</v>
      </c>
      <c r="AQ83" s="487">
        <v>120959</v>
      </c>
      <c r="AR83" s="487">
        <v>0</v>
      </c>
      <c r="AS83" s="487">
        <v>15243</v>
      </c>
      <c r="AT83" s="487">
        <v>9273</v>
      </c>
      <c r="AU83" s="487">
        <v>34944</v>
      </c>
      <c r="AV83" s="487">
        <v>0</v>
      </c>
      <c r="AW83" s="487">
        <v>16656</v>
      </c>
      <c r="AX83" s="487">
        <v>37477</v>
      </c>
      <c r="AY83" s="487">
        <v>45958</v>
      </c>
      <c r="AZ83" s="487">
        <v>0</v>
      </c>
      <c r="BA83" s="487">
        <v>15237</v>
      </c>
      <c r="BB83" s="487">
        <v>41010</v>
      </c>
      <c r="BC83" s="487">
        <v>63151</v>
      </c>
      <c r="BD83" s="487">
        <v>0</v>
      </c>
      <c r="BE83" s="487">
        <v>29662</v>
      </c>
      <c r="BF83" s="487">
        <v>63428</v>
      </c>
      <c r="BG83" s="487">
        <v>75016</v>
      </c>
      <c r="BH83" s="487">
        <v>0</v>
      </c>
      <c r="BI83" s="487">
        <v>37283</v>
      </c>
      <c r="BJ83" s="487">
        <v>100535</v>
      </c>
      <c r="BK83" s="487">
        <v>184756</v>
      </c>
      <c r="BL83" s="487">
        <v>0</v>
      </c>
      <c r="BM83" s="487">
        <v>43734</v>
      </c>
      <c r="BN83" s="487">
        <v>110853</v>
      </c>
      <c r="BO83" s="487">
        <v>101728</v>
      </c>
      <c r="BP83" s="487">
        <v>0</v>
      </c>
      <c r="BQ83" s="487">
        <v>38785</v>
      </c>
      <c r="BR83" s="487">
        <f>VLOOKUP($D$83,'[3]Balanço '!$K$17:$Q$60,7,FALSE)</f>
        <v>121901</v>
      </c>
    </row>
    <row r="84" spans="1:70" ht="14.1" customHeight="1" x14ac:dyDescent="0.2">
      <c r="A84" s="478" t="s">
        <v>32</v>
      </c>
      <c r="B84" s="478" t="s">
        <v>684</v>
      </c>
      <c r="D84" s="489" t="str">
        <f>IF([1]RENAME!$H$3=1,B84,A84)</f>
        <v>Ações em tesouraria</v>
      </c>
      <c r="E84" s="487">
        <v>0</v>
      </c>
      <c r="F84" s="487">
        <v>0</v>
      </c>
      <c r="G84" s="487">
        <v>0</v>
      </c>
      <c r="H84" s="487">
        <v>-342</v>
      </c>
      <c r="I84" s="487">
        <v>-342</v>
      </c>
      <c r="J84" s="488">
        <v>-342</v>
      </c>
      <c r="K84" s="487">
        <v>-342</v>
      </c>
      <c r="L84" s="487">
        <v>-342</v>
      </c>
      <c r="M84" s="487">
        <v>-342</v>
      </c>
      <c r="N84" s="487">
        <v>-342</v>
      </c>
      <c r="O84" s="487">
        <v>-343</v>
      </c>
      <c r="P84" s="487">
        <v>-342</v>
      </c>
      <c r="Q84" s="488">
        <v>-342</v>
      </c>
      <c r="R84" s="487">
        <v>-342</v>
      </c>
      <c r="S84" s="487">
        <v>-342</v>
      </c>
      <c r="T84" s="487">
        <v>-342</v>
      </c>
      <c r="U84" s="487">
        <v>-342</v>
      </c>
      <c r="V84" s="488">
        <v>-342</v>
      </c>
      <c r="W84" s="487">
        <v>-342</v>
      </c>
      <c r="X84" s="487">
        <v>-342</v>
      </c>
      <c r="Y84" s="487">
        <v>-342</v>
      </c>
      <c r="Z84" s="487">
        <v>-342</v>
      </c>
      <c r="AA84" s="487">
        <v>-342</v>
      </c>
      <c r="AB84" s="487">
        <v>-342</v>
      </c>
      <c r="AC84" s="487">
        <v>-342</v>
      </c>
      <c r="AD84" s="487">
        <v>-342</v>
      </c>
      <c r="AE84" s="487">
        <v>-342</v>
      </c>
      <c r="AF84" s="487">
        <v>-342</v>
      </c>
      <c r="AG84" s="487">
        <v>-342</v>
      </c>
      <c r="AH84" s="487">
        <v>-342</v>
      </c>
      <c r="AI84" s="487">
        <v>-342</v>
      </c>
      <c r="AJ84" s="487">
        <v>-342</v>
      </c>
      <c r="AK84" s="487">
        <v>-342</v>
      </c>
      <c r="AL84" s="487">
        <v>-342</v>
      </c>
      <c r="AM84" s="487">
        <v>-342</v>
      </c>
      <c r="AN84" s="487">
        <v>-342</v>
      </c>
      <c r="AO84" s="487">
        <v>-342</v>
      </c>
      <c r="AP84" s="487">
        <v>-342</v>
      </c>
      <c r="AQ84" s="487">
        <v>-342</v>
      </c>
      <c r="AR84" s="487">
        <v>-342</v>
      </c>
      <c r="AS84" s="487">
        <v>-342</v>
      </c>
      <c r="AT84" s="487">
        <v>-342</v>
      </c>
      <c r="AU84" s="487">
        <v>-342</v>
      </c>
      <c r="AV84" s="487">
        <v>-342</v>
      </c>
      <c r="AW84" s="487">
        <v>-342</v>
      </c>
      <c r="AX84" s="487">
        <v>-342</v>
      </c>
      <c r="AY84" s="487">
        <v>-342</v>
      </c>
      <c r="AZ84" s="487">
        <v>-342</v>
      </c>
      <c r="BA84" s="487">
        <v>-342</v>
      </c>
      <c r="BB84" s="487">
        <v>-343</v>
      </c>
      <c r="BC84" s="487">
        <v>-343</v>
      </c>
      <c r="BD84" s="487">
        <v>-343</v>
      </c>
      <c r="BE84" s="487">
        <v>-343</v>
      </c>
      <c r="BF84" s="487">
        <v>-343</v>
      </c>
      <c r="BG84" s="487">
        <v>-343</v>
      </c>
      <c r="BH84" s="487">
        <v>-343</v>
      </c>
      <c r="BI84" s="487">
        <v>-343</v>
      </c>
      <c r="BJ84" s="487">
        <v>-343</v>
      </c>
      <c r="BK84" s="487">
        <v>-343</v>
      </c>
      <c r="BL84" s="487">
        <v>-343</v>
      </c>
      <c r="BM84" s="487">
        <v>-343</v>
      </c>
      <c r="BN84" s="487">
        <v>-343</v>
      </c>
      <c r="BO84" s="487">
        <v>-343</v>
      </c>
      <c r="BP84" s="487">
        <v>-343</v>
      </c>
      <c r="BQ84" s="487">
        <v>-343</v>
      </c>
      <c r="BR84" s="487">
        <f>VLOOKUP($D$84,'[3]Balanço '!$K$17:$Q$60,7,FALSE)</f>
        <v>-343</v>
      </c>
    </row>
    <row r="85" spans="1:70" ht="14.1" customHeight="1" x14ac:dyDescent="0.2">
      <c r="A85" s="478" t="s">
        <v>1341</v>
      </c>
      <c r="B85" s="478" t="s">
        <v>685</v>
      </c>
      <c r="D85" s="489" t="str">
        <f>IF([1]RENAME!$H$3=1,B85,A85)</f>
        <v>Ajuste de avaliação patrimonial</v>
      </c>
      <c r="E85" s="487">
        <v>0</v>
      </c>
      <c r="F85" s="487">
        <v>0</v>
      </c>
      <c r="G85" s="487">
        <v>127</v>
      </c>
      <c r="H85" s="487">
        <v>334</v>
      </c>
      <c r="I85" s="487">
        <v>-20616</v>
      </c>
      <c r="J85" s="488">
        <v>-20628</v>
      </c>
      <c r="K85" s="487">
        <v>-20556</v>
      </c>
      <c r="L85" s="487">
        <v>-46856</v>
      </c>
      <c r="M85" s="487">
        <v>-46861</v>
      </c>
      <c r="N85" s="487">
        <v>-46809</v>
      </c>
      <c r="O85" s="487">
        <v>-46810</v>
      </c>
      <c r="P85" s="487">
        <v>-46971</v>
      </c>
      <c r="Q85" s="488">
        <v>-47432</v>
      </c>
      <c r="R85" s="487">
        <v>-47365</v>
      </c>
      <c r="S85" s="487">
        <v>-47363</v>
      </c>
      <c r="T85" s="487">
        <v>63</v>
      </c>
      <c r="U85" s="487">
        <v>61</v>
      </c>
      <c r="V85" s="488">
        <v>43</v>
      </c>
      <c r="W85" s="487">
        <v>93</v>
      </c>
      <c r="X85" s="487">
        <v>132</v>
      </c>
      <c r="Y85" s="487">
        <v>255</v>
      </c>
      <c r="Z85" s="487">
        <v>227</v>
      </c>
      <c r="AA85" s="487">
        <v>618</v>
      </c>
      <c r="AB85" s="487">
        <v>581</v>
      </c>
      <c r="AC85" s="487">
        <v>-97</v>
      </c>
      <c r="AD85" s="487">
        <v>-93</v>
      </c>
      <c r="AE85" s="487">
        <v>-93</v>
      </c>
      <c r="AF85" s="487">
        <v>-203</v>
      </c>
      <c r="AG85" s="487">
        <v>-204</v>
      </c>
      <c r="AH85" s="487">
        <v>0</v>
      </c>
      <c r="AI85" s="487">
        <v>0</v>
      </c>
      <c r="AJ85" s="487">
        <v>0</v>
      </c>
      <c r="AK85" s="487">
        <v>0</v>
      </c>
      <c r="AL85" s="487" t="s">
        <v>160</v>
      </c>
      <c r="AM85" s="487">
        <v>139</v>
      </c>
      <c r="AN85" s="487">
        <v>-311</v>
      </c>
      <c r="AO85" s="487">
        <v>-299</v>
      </c>
      <c r="AP85" s="487">
        <v>328</v>
      </c>
      <c r="AQ85" s="487">
        <v>399</v>
      </c>
      <c r="AR85" s="487">
        <v>-6</v>
      </c>
      <c r="AS85" s="487">
        <v>760</v>
      </c>
      <c r="AT85" s="487">
        <v>80</v>
      </c>
      <c r="AU85" s="487">
        <v>0</v>
      </c>
      <c r="AV85" s="487">
        <v>-1617</v>
      </c>
      <c r="AW85" s="487">
        <v>-1617</v>
      </c>
      <c r="AX85" s="487">
        <v>-1617</v>
      </c>
      <c r="AY85" s="487">
        <v>-1617</v>
      </c>
      <c r="AZ85" s="487">
        <v>-2276</v>
      </c>
      <c r="BA85" s="487">
        <v>-2276</v>
      </c>
      <c r="BB85" s="487">
        <v>-2279</v>
      </c>
      <c r="BC85" s="487">
        <v>-2279</v>
      </c>
      <c r="BD85" s="487">
        <v>-2156</v>
      </c>
      <c r="BE85" s="487">
        <v>-2000</v>
      </c>
      <c r="BF85" s="487">
        <v>-1999</v>
      </c>
      <c r="BG85" s="487">
        <v>-1999</v>
      </c>
      <c r="BH85" s="487">
        <v>-1833</v>
      </c>
      <c r="BI85" s="487">
        <v>-1833</v>
      </c>
      <c r="BJ85" s="487">
        <v>-1833</v>
      </c>
      <c r="BK85" s="487">
        <v>-1833</v>
      </c>
      <c r="BL85" s="487">
        <v>-1424</v>
      </c>
      <c r="BM85" s="487">
        <v>-1424</v>
      </c>
      <c r="BN85" s="487">
        <v>-1424</v>
      </c>
      <c r="BO85" s="487">
        <v>-1424</v>
      </c>
      <c r="BP85" s="487">
        <v>-1459</v>
      </c>
      <c r="BQ85" s="487">
        <v>-1459</v>
      </c>
      <c r="BR85" s="487">
        <f>VLOOKUP($D$85,'[3]Balanço '!$K$17:$Q$60,7,FALSE)</f>
        <v>-1459</v>
      </c>
    </row>
    <row r="86" spans="1:70" ht="14.1" customHeight="1" x14ac:dyDescent="0.2">
      <c r="A86" s="478" t="s">
        <v>1260</v>
      </c>
      <c r="B86" s="478" t="s">
        <v>685</v>
      </c>
      <c r="D86" s="511" t="str">
        <f>IF([1]RENAME!$H$3=1,B86,A86)</f>
        <v>Dividendos adicionais propostos</v>
      </c>
      <c r="E86" s="512">
        <v>0</v>
      </c>
      <c r="F86" s="512">
        <v>0</v>
      </c>
      <c r="G86" s="512">
        <v>0</v>
      </c>
      <c r="H86" s="512">
        <v>0</v>
      </c>
      <c r="I86" s="512">
        <v>0</v>
      </c>
      <c r="J86" s="491">
        <v>0</v>
      </c>
      <c r="K86" s="512">
        <v>0</v>
      </c>
      <c r="L86" s="512">
        <v>0</v>
      </c>
      <c r="M86" s="512">
        <v>0</v>
      </c>
      <c r="N86" s="512">
        <v>0</v>
      </c>
      <c r="O86" s="512">
        <v>0</v>
      </c>
      <c r="P86" s="512">
        <v>0</v>
      </c>
      <c r="Q86" s="491">
        <v>0</v>
      </c>
      <c r="R86" s="512">
        <v>0</v>
      </c>
      <c r="S86" s="512">
        <v>0</v>
      </c>
      <c r="T86" s="512">
        <v>0</v>
      </c>
      <c r="U86" s="512">
        <v>0</v>
      </c>
      <c r="V86" s="491">
        <v>0</v>
      </c>
      <c r="W86" s="512">
        <v>0</v>
      </c>
      <c r="X86" s="512">
        <v>0</v>
      </c>
      <c r="Y86" s="512">
        <v>0</v>
      </c>
      <c r="Z86" s="512">
        <v>0</v>
      </c>
      <c r="AA86" s="512">
        <v>0</v>
      </c>
      <c r="AB86" s="512">
        <v>0</v>
      </c>
      <c r="AC86" s="512">
        <v>0</v>
      </c>
      <c r="AD86" s="512">
        <v>0</v>
      </c>
      <c r="AE86" s="512">
        <v>0</v>
      </c>
      <c r="AF86" s="512">
        <v>4716</v>
      </c>
      <c r="AG86" s="512">
        <v>4716</v>
      </c>
      <c r="AH86" s="512">
        <v>0</v>
      </c>
      <c r="AI86" s="512">
        <v>0</v>
      </c>
      <c r="AJ86" s="512">
        <v>35728</v>
      </c>
      <c r="AK86" s="512">
        <v>35728</v>
      </c>
      <c r="AL86" s="512">
        <v>0</v>
      </c>
      <c r="AM86" s="512">
        <v>0</v>
      </c>
      <c r="AN86" s="512">
        <v>28306</v>
      </c>
      <c r="AO86" s="512">
        <v>28306</v>
      </c>
      <c r="AP86" s="512">
        <v>0</v>
      </c>
      <c r="AQ86" s="512">
        <v>0</v>
      </c>
      <c r="AR86" s="512">
        <v>0</v>
      </c>
      <c r="AS86" s="512">
        <v>0</v>
      </c>
      <c r="AT86" s="512">
        <v>0</v>
      </c>
      <c r="AU86" s="512">
        <v>0</v>
      </c>
      <c r="AV86" s="512">
        <v>12541</v>
      </c>
      <c r="AW86" s="512">
        <v>12541</v>
      </c>
      <c r="AX86" s="512">
        <v>0</v>
      </c>
      <c r="AY86" s="512">
        <v>0</v>
      </c>
      <c r="AZ86" s="512">
        <v>22339</v>
      </c>
      <c r="BA86" s="512">
        <v>22339</v>
      </c>
      <c r="BB86" s="512">
        <v>0</v>
      </c>
      <c r="BC86" s="512">
        <v>0</v>
      </c>
      <c r="BD86" s="512">
        <v>39563</v>
      </c>
      <c r="BE86" s="512">
        <v>39563</v>
      </c>
      <c r="BF86" s="512">
        <v>0</v>
      </c>
      <c r="BG86" s="512">
        <v>0</v>
      </c>
      <c r="BH86" s="512">
        <v>47475</v>
      </c>
      <c r="BI86" s="512">
        <v>47475</v>
      </c>
      <c r="BJ86" s="512">
        <v>0</v>
      </c>
      <c r="BK86" s="512">
        <v>0</v>
      </c>
      <c r="BL86" s="512">
        <v>38903</v>
      </c>
      <c r="BM86" s="512">
        <v>38903</v>
      </c>
      <c r="BN86" s="512">
        <v>0</v>
      </c>
      <c r="BO86" s="512">
        <v>0</v>
      </c>
      <c r="BP86" s="512">
        <v>0</v>
      </c>
      <c r="BQ86" s="512">
        <v>0</v>
      </c>
      <c r="BR86" s="512">
        <f>VLOOKUP($D$86,'[3]Balanço '!$K$17:$Q$60,7,FALSE)</f>
        <v>0</v>
      </c>
    </row>
    <row r="87" spans="1:70" ht="6.75" customHeight="1" x14ac:dyDescent="0.2">
      <c r="D87" s="499"/>
      <c r="E87" s="727"/>
      <c r="F87" s="727"/>
      <c r="G87" s="727"/>
      <c r="H87" s="727"/>
      <c r="I87" s="727"/>
      <c r="J87" s="727"/>
      <c r="K87" s="727"/>
      <c r="L87" s="727"/>
      <c r="M87" s="727"/>
      <c r="N87" s="727"/>
      <c r="O87" s="727"/>
      <c r="P87" s="727"/>
      <c r="Q87" s="726"/>
      <c r="R87" s="727"/>
      <c r="S87" s="727"/>
      <c r="T87" s="727"/>
      <c r="U87" s="727"/>
      <c r="V87" s="726"/>
      <c r="W87" s="727"/>
    </row>
    <row r="88" spans="1:70" ht="14.1" customHeight="1" x14ac:dyDescent="0.2">
      <c r="A88" s="478" t="s">
        <v>86</v>
      </c>
      <c r="B88" s="478" t="s">
        <v>686</v>
      </c>
      <c r="C88" s="1"/>
      <c r="D88" s="957" t="str">
        <f>IF([1]RENAME!$H$3=1,B88,A88)</f>
        <v>Participação dos não controladores</v>
      </c>
      <c r="E88" s="958">
        <v>15</v>
      </c>
      <c r="F88" s="958">
        <v>4</v>
      </c>
      <c r="G88" s="958">
        <v>31</v>
      </c>
      <c r="H88" s="958">
        <v>40</v>
      </c>
      <c r="I88" s="958">
        <v>-7495</v>
      </c>
      <c r="J88" s="958">
        <v>-6877</v>
      </c>
      <c r="K88" s="958">
        <v>-6759</v>
      </c>
      <c r="L88" s="958">
        <v>-5998</v>
      </c>
      <c r="M88" s="958">
        <v>-5581</v>
      </c>
      <c r="N88" s="958">
        <v>-5798</v>
      </c>
      <c r="O88" s="958">
        <v>-8456</v>
      </c>
      <c r="P88" s="958">
        <v>-8889</v>
      </c>
      <c r="Q88" s="959">
        <v>-12112</v>
      </c>
      <c r="R88" s="958">
        <v>-14816</v>
      </c>
      <c r="S88" s="958">
        <v>-17560</v>
      </c>
      <c r="T88" s="958">
        <v>58</v>
      </c>
      <c r="U88" s="958">
        <v>62</v>
      </c>
      <c r="V88" s="959">
        <v>69</v>
      </c>
      <c r="W88" s="958">
        <v>73</v>
      </c>
      <c r="X88" s="958">
        <v>75</v>
      </c>
      <c r="Y88" s="958">
        <v>0</v>
      </c>
      <c r="Z88" s="958">
        <v>0</v>
      </c>
      <c r="AA88" s="958">
        <v>0</v>
      </c>
      <c r="AB88" s="958">
        <v>0</v>
      </c>
      <c r="AC88" s="958">
        <v>0</v>
      </c>
      <c r="AD88" s="958">
        <v>0</v>
      </c>
      <c r="AE88" s="958">
        <v>0</v>
      </c>
      <c r="AF88" s="958">
        <v>0</v>
      </c>
      <c r="AG88" s="958">
        <v>0</v>
      </c>
      <c r="AH88" s="958">
        <v>0</v>
      </c>
      <c r="AI88" s="958">
        <v>0</v>
      </c>
      <c r="AJ88" s="958">
        <v>0</v>
      </c>
      <c r="AK88" s="958">
        <v>0</v>
      </c>
      <c r="AL88" s="958">
        <v>0</v>
      </c>
      <c r="AM88" s="958">
        <v>0</v>
      </c>
      <c r="AN88" s="958">
        <v>0</v>
      </c>
      <c r="AO88" s="958">
        <v>0</v>
      </c>
      <c r="AP88" s="958">
        <v>0</v>
      </c>
      <c r="AQ88" s="958">
        <v>0</v>
      </c>
      <c r="AR88" s="958">
        <v>0</v>
      </c>
      <c r="AS88" s="958">
        <v>0</v>
      </c>
      <c r="AT88" s="958">
        <v>0</v>
      </c>
      <c r="AU88" s="958">
        <v>0</v>
      </c>
      <c r="AV88" s="958">
        <v>976</v>
      </c>
      <c r="AW88" s="958">
        <v>886</v>
      </c>
      <c r="AX88" s="958">
        <v>858</v>
      </c>
      <c r="AY88" s="958">
        <v>814</v>
      </c>
      <c r="AZ88" s="958">
        <v>567</v>
      </c>
      <c r="BA88" s="958">
        <v>640</v>
      </c>
      <c r="BB88" s="958">
        <v>754</v>
      </c>
      <c r="BC88" s="958">
        <v>828</v>
      </c>
      <c r="BD88" s="958">
        <v>938</v>
      </c>
      <c r="BE88" s="958">
        <v>1162</v>
      </c>
      <c r="BF88" s="958">
        <v>1358</v>
      </c>
      <c r="BG88" s="958">
        <v>1431</v>
      </c>
      <c r="BH88" s="958">
        <v>1375</v>
      </c>
      <c r="BI88" s="958">
        <v>1607</v>
      </c>
      <c r="BJ88" s="958">
        <v>1632</v>
      </c>
      <c r="BK88" s="958">
        <v>1856</v>
      </c>
      <c r="BL88" s="958">
        <v>0</v>
      </c>
      <c r="BM88" s="958">
        <v>0</v>
      </c>
      <c r="BN88" s="958">
        <v>0</v>
      </c>
      <c r="BO88" s="958">
        <v>0</v>
      </c>
      <c r="BP88" s="958">
        <v>0</v>
      </c>
      <c r="BQ88" s="958">
        <v>0</v>
      </c>
      <c r="BR88" s="958">
        <v>0</v>
      </c>
    </row>
    <row r="89" spans="1:70" ht="6.75" customHeight="1" x14ac:dyDescent="0.2">
      <c r="D89" s="479"/>
      <c r="E89" s="727"/>
      <c r="F89" s="727"/>
      <c r="G89" s="727"/>
      <c r="H89" s="727"/>
      <c r="I89" s="727"/>
      <c r="J89" s="727"/>
      <c r="K89" s="727"/>
      <c r="L89" s="727"/>
      <c r="M89" s="727"/>
      <c r="N89" s="727"/>
      <c r="O89" s="727"/>
      <c r="P89" s="727"/>
      <c r="Q89" s="726"/>
      <c r="R89" s="727"/>
      <c r="S89" s="727"/>
      <c r="T89" s="727"/>
      <c r="U89" s="727"/>
      <c r="V89" s="726"/>
      <c r="W89" s="727"/>
      <c r="AI89" s="738"/>
      <c r="AJ89" s="738"/>
      <c r="AK89" s="738"/>
      <c r="AL89" s="738"/>
      <c r="AM89" s="738"/>
      <c r="AN89" s="738"/>
      <c r="AO89" s="738"/>
      <c r="AP89" s="738"/>
      <c r="AQ89" s="738"/>
      <c r="AR89" s="738"/>
      <c r="AS89" s="738"/>
      <c r="AT89" s="738"/>
      <c r="AU89" s="738"/>
      <c r="AV89" s="738"/>
      <c r="AW89" s="738"/>
      <c r="AX89" s="738"/>
      <c r="AY89" s="738"/>
      <c r="AZ89" s="738"/>
      <c r="BA89" s="738"/>
      <c r="BB89" s="738"/>
      <c r="BC89" s="738"/>
      <c r="BD89" s="738"/>
      <c r="BE89" s="738"/>
      <c r="BF89" s="738"/>
      <c r="BG89" s="738"/>
      <c r="BH89" s="738"/>
      <c r="BI89" s="738"/>
      <c r="BJ89" s="738"/>
      <c r="BK89" s="738"/>
      <c r="BL89" s="738"/>
      <c r="BM89" s="738"/>
      <c r="BN89" s="738"/>
      <c r="BO89" s="738"/>
      <c r="BP89" s="738"/>
      <c r="BQ89" s="738"/>
      <c r="BR89" s="738"/>
    </row>
    <row r="90" spans="1:70" ht="14.1" customHeight="1" x14ac:dyDescent="0.2">
      <c r="A90" s="478" t="s">
        <v>44</v>
      </c>
      <c r="B90" s="478" t="s">
        <v>659</v>
      </c>
      <c r="D90" s="483" t="str">
        <f>IF([1]RENAME!$H$3=1,B90,A90)</f>
        <v>Total do passivo e do patrimônio líquido</v>
      </c>
      <c r="E90" s="484">
        <f t="shared" ref="E90:AG90" si="43">E42+E61+E78+E88</f>
        <v>515057</v>
      </c>
      <c r="F90" s="484">
        <f t="shared" si="43"/>
        <v>589491</v>
      </c>
      <c r="G90" s="484">
        <f t="shared" si="43"/>
        <v>581921</v>
      </c>
      <c r="H90" s="484">
        <f t="shared" si="43"/>
        <v>600948</v>
      </c>
      <c r="I90" s="484">
        <f t="shared" si="43"/>
        <v>737083</v>
      </c>
      <c r="J90" s="485">
        <f t="shared" si="43"/>
        <v>760015</v>
      </c>
      <c r="K90" s="484">
        <f t="shared" si="43"/>
        <v>910136</v>
      </c>
      <c r="L90" s="484">
        <f t="shared" si="43"/>
        <v>922687</v>
      </c>
      <c r="M90" s="484">
        <f t="shared" si="43"/>
        <v>975517</v>
      </c>
      <c r="N90" s="484">
        <f t="shared" si="43"/>
        <v>1019407</v>
      </c>
      <c r="O90" s="484">
        <f t="shared" si="43"/>
        <v>1071960</v>
      </c>
      <c r="P90" s="484">
        <f t="shared" si="43"/>
        <v>1056660</v>
      </c>
      <c r="Q90" s="485">
        <f t="shared" si="43"/>
        <v>1291224</v>
      </c>
      <c r="R90" s="484">
        <f t="shared" si="43"/>
        <v>1363118</v>
      </c>
      <c r="S90" s="484">
        <f t="shared" si="43"/>
        <v>1193809</v>
      </c>
      <c r="T90" s="484">
        <f t="shared" si="43"/>
        <v>1200483</v>
      </c>
      <c r="U90" s="484">
        <f t="shared" si="43"/>
        <v>1162183</v>
      </c>
      <c r="V90" s="485">
        <f t="shared" si="43"/>
        <v>1096268</v>
      </c>
      <c r="W90" s="484">
        <f t="shared" si="43"/>
        <v>1011372</v>
      </c>
      <c r="X90" s="484">
        <f t="shared" si="43"/>
        <v>1054376</v>
      </c>
      <c r="Y90" s="484">
        <f t="shared" si="43"/>
        <v>1075934</v>
      </c>
      <c r="Z90" s="484">
        <f t="shared" si="43"/>
        <v>893842</v>
      </c>
      <c r="AA90" s="484">
        <f t="shared" si="43"/>
        <v>897042</v>
      </c>
      <c r="AB90" s="484">
        <f t="shared" si="43"/>
        <v>909304</v>
      </c>
      <c r="AC90" s="484">
        <f t="shared" si="43"/>
        <v>870381</v>
      </c>
      <c r="AD90" s="484">
        <f t="shared" si="43"/>
        <v>857571</v>
      </c>
      <c r="AE90" s="484">
        <f t="shared" si="43"/>
        <v>860516</v>
      </c>
      <c r="AF90" s="484">
        <f t="shared" si="43"/>
        <v>828122</v>
      </c>
      <c r="AG90" s="484">
        <f t="shared" si="43"/>
        <v>728667</v>
      </c>
      <c r="AH90" s="484">
        <v>810638</v>
      </c>
      <c r="AI90" s="484">
        <f>AI42+AI61+AI78+AI88+AI55</f>
        <v>764181</v>
      </c>
      <c r="AJ90" s="484">
        <f>AJ42+AJ61+AJ78+AJ88+AJ55</f>
        <v>837851</v>
      </c>
      <c r="AK90" s="484">
        <f t="shared" ref="AK90:BR90" si="44">AK42+AK61+AK78+AK88</f>
        <v>760505</v>
      </c>
      <c r="AL90" s="484">
        <f t="shared" si="44"/>
        <v>737154</v>
      </c>
      <c r="AM90" s="484">
        <f t="shared" si="44"/>
        <v>773129</v>
      </c>
      <c r="AN90" s="484">
        <f t="shared" si="44"/>
        <v>809433</v>
      </c>
      <c r="AO90" s="484">
        <f t="shared" si="44"/>
        <v>875982.45750000002</v>
      </c>
      <c r="AP90" s="484">
        <f t="shared" si="44"/>
        <v>899895</v>
      </c>
      <c r="AQ90" s="484">
        <f t="shared" si="44"/>
        <v>1000216</v>
      </c>
      <c r="AR90" s="484">
        <f t="shared" si="44"/>
        <v>985421</v>
      </c>
      <c r="AS90" s="484">
        <f t="shared" si="44"/>
        <v>969368</v>
      </c>
      <c r="AT90" s="484">
        <f t="shared" si="44"/>
        <v>1043911</v>
      </c>
      <c r="AU90" s="484">
        <f t="shared" si="44"/>
        <v>1031401</v>
      </c>
      <c r="AV90" s="484">
        <f t="shared" si="44"/>
        <v>1026932</v>
      </c>
      <c r="AW90" s="484">
        <f t="shared" si="44"/>
        <v>1059456</v>
      </c>
      <c r="AX90" s="484">
        <f t="shared" si="44"/>
        <v>1028435</v>
      </c>
      <c r="AY90" s="484">
        <f t="shared" si="44"/>
        <v>1014024</v>
      </c>
      <c r="AZ90" s="484">
        <f t="shared" si="44"/>
        <v>1044778</v>
      </c>
      <c r="BA90" s="484">
        <f t="shared" si="44"/>
        <v>1028865</v>
      </c>
      <c r="BB90" s="484">
        <f t="shared" si="44"/>
        <v>985942</v>
      </c>
      <c r="BC90" s="484">
        <f t="shared" si="44"/>
        <v>1035433</v>
      </c>
      <c r="BD90" s="484">
        <f t="shared" si="44"/>
        <v>1111080</v>
      </c>
      <c r="BE90" s="484">
        <f t="shared" si="44"/>
        <v>1130840</v>
      </c>
      <c r="BF90" s="484">
        <f t="shared" si="44"/>
        <v>1129596</v>
      </c>
      <c r="BG90" s="484">
        <f t="shared" si="44"/>
        <v>1166098</v>
      </c>
      <c r="BH90" s="484">
        <f t="shared" si="44"/>
        <v>1199711</v>
      </c>
      <c r="BI90" s="484">
        <f t="shared" si="44"/>
        <v>1221936</v>
      </c>
      <c r="BJ90" s="484">
        <f t="shared" si="44"/>
        <v>1268379</v>
      </c>
      <c r="BK90" s="484">
        <f t="shared" si="44"/>
        <v>1287540</v>
      </c>
      <c r="BL90" s="484">
        <f t="shared" si="44"/>
        <v>1329394</v>
      </c>
      <c r="BM90" s="484">
        <f t="shared" si="44"/>
        <v>1349304</v>
      </c>
      <c r="BN90" s="484">
        <f t="shared" si="44"/>
        <v>1397078</v>
      </c>
      <c r="BO90" s="484">
        <f t="shared" si="44"/>
        <v>1392114</v>
      </c>
      <c r="BP90" s="484">
        <f t="shared" si="44"/>
        <v>1336745</v>
      </c>
      <c r="BQ90" s="484">
        <f t="shared" si="44"/>
        <v>1366388</v>
      </c>
      <c r="BR90" s="484">
        <f t="shared" si="44"/>
        <v>1528312</v>
      </c>
    </row>
    <row r="91" spans="1:70" s="513" customFormat="1" ht="14.1" customHeight="1" x14ac:dyDescent="0.2">
      <c r="B91" s="513" t="s">
        <v>687</v>
      </c>
      <c r="C91" s="550"/>
      <c r="D91" s="514"/>
      <c r="E91" s="515">
        <f t="shared" ref="E91:AG91" si="45">E90-E39</f>
        <v>0</v>
      </c>
      <c r="F91" s="515">
        <f t="shared" si="45"/>
        <v>0</v>
      </c>
      <c r="G91" s="515">
        <f t="shared" si="45"/>
        <v>0</v>
      </c>
      <c r="H91" s="515">
        <f t="shared" si="45"/>
        <v>0.45105175627395511</v>
      </c>
      <c r="I91" s="515">
        <f t="shared" si="45"/>
        <v>0</v>
      </c>
      <c r="J91" s="515">
        <f t="shared" si="45"/>
        <v>0</v>
      </c>
      <c r="K91" s="515">
        <f t="shared" si="45"/>
        <v>0</v>
      </c>
      <c r="L91" s="515">
        <f t="shared" si="45"/>
        <v>0</v>
      </c>
      <c r="M91" s="515">
        <f t="shared" si="45"/>
        <v>0</v>
      </c>
      <c r="N91" s="515">
        <f t="shared" si="45"/>
        <v>0</v>
      </c>
      <c r="O91" s="515">
        <f t="shared" si="45"/>
        <v>0</v>
      </c>
      <c r="P91" s="515">
        <f t="shared" si="45"/>
        <v>0</v>
      </c>
      <c r="Q91" s="515">
        <f t="shared" si="45"/>
        <v>0</v>
      </c>
      <c r="R91" s="515">
        <f t="shared" si="45"/>
        <v>0</v>
      </c>
      <c r="S91" s="515">
        <f t="shared" si="45"/>
        <v>0</v>
      </c>
      <c r="T91" s="515">
        <f t="shared" si="45"/>
        <v>0</v>
      </c>
      <c r="U91" s="515">
        <f t="shared" si="45"/>
        <v>0</v>
      </c>
      <c r="V91" s="515">
        <f t="shared" si="45"/>
        <v>0</v>
      </c>
      <c r="W91" s="515">
        <f t="shared" si="45"/>
        <v>0</v>
      </c>
      <c r="X91" s="515">
        <f t="shared" si="45"/>
        <v>0</v>
      </c>
      <c r="Y91" s="515">
        <f t="shared" si="45"/>
        <v>0</v>
      </c>
      <c r="Z91" s="515">
        <f t="shared" si="45"/>
        <v>0</v>
      </c>
      <c r="AA91" s="515">
        <f t="shared" si="45"/>
        <v>0</v>
      </c>
      <c r="AB91" s="515">
        <f t="shared" si="45"/>
        <v>0</v>
      </c>
      <c r="AC91" s="515">
        <f t="shared" si="45"/>
        <v>0</v>
      </c>
      <c r="AD91" s="515">
        <f t="shared" si="45"/>
        <v>0</v>
      </c>
      <c r="AE91" s="515">
        <f t="shared" si="45"/>
        <v>0</v>
      </c>
      <c r="AF91" s="515">
        <f t="shared" si="45"/>
        <v>0</v>
      </c>
      <c r="AG91" s="515">
        <f t="shared" si="45"/>
        <v>0</v>
      </c>
      <c r="AH91" s="515">
        <v>0</v>
      </c>
      <c r="AI91" s="515">
        <f t="shared" ref="AI91:AQ91" si="46">AI90-AI39</f>
        <v>0</v>
      </c>
      <c r="AJ91" s="515">
        <f t="shared" si="46"/>
        <v>0</v>
      </c>
      <c r="AK91" s="515">
        <f t="shared" si="46"/>
        <v>0</v>
      </c>
      <c r="AL91" s="515">
        <f t="shared" si="46"/>
        <v>0</v>
      </c>
      <c r="AM91" s="515">
        <f t="shared" si="46"/>
        <v>0</v>
      </c>
      <c r="AN91" s="515">
        <f t="shared" si="46"/>
        <v>0</v>
      </c>
      <c r="AO91" s="515">
        <f t="shared" si="46"/>
        <v>0</v>
      </c>
      <c r="AP91" s="515">
        <f t="shared" si="46"/>
        <v>0</v>
      </c>
      <c r="AQ91" s="515">
        <f t="shared" si="46"/>
        <v>0</v>
      </c>
      <c r="AR91" s="515">
        <v>0</v>
      </c>
      <c r="AS91" s="515">
        <f t="shared" ref="AS91:BR91" si="47">AS90-AS39</f>
        <v>0</v>
      </c>
      <c r="AT91" s="515">
        <f t="shared" si="47"/>
        <v>0</v>
      </c>
      <c r="AU91" s="515">
        <f t="shared" si="47"/>
        <v>0</v>
      </c>
      <c r="AV91" s="515">
        <f t="shared" si="47"/>
        <v>0</v>
      </c>
      <c r="AW91" s="515">
        <f t="shared" si="47"/>
        <v>0</v>
      </c>
      <c r="AX91" s="515">
        <f t="shared" si="47"/>
        <v>0</v>
      </c>
      <c r="AY91" s="515">
        <f t="shared" si="47"/>
        <v>0</v>
      </c>
      <c r="AZ91" s="515">
        <f t="shared" si="47"/>
        <v>0</v>
      </c>
      <c r="BA91" s="515">
        <f t="shared" si="47"/>
        <v>0</v>
      </c>
      <c r="BB91" s="515">
        <f t="shared" si="47"/>
        <v>0</v>
      </c>
      <c r="BC91" s="515">
        <f t="shared" si="47"/>
        <v>0</v>
      </c>
      <c r="BD91" s="515">
        <f t="shared" si="47"/>
        <v>0</v>
      </c>
      <c r="BE91" s="515">
        <f t="shared" si="47"/>
        <v>0</v>
      </c>
      <c r="BF91" s="515">
        <f t="shared" si="47"/>
        <v>0</v>
      </c>
      <c r="BG91" s="515">
        <f t="shared" si="47"/>
        <v>0</v>
      </c>
      <c r="BH91" s="515">
        <f t="shared" si="47"/>
        <v>0</v>
      </c>
      <c r="BI91" s="515">
        <f t="shared" si="47"/>
        <v>0</v>
      </c>
      <c r="BJ91" s="515">
        <f t="shared" si="47"/>
        <v>0</v>
      </c>
      <c r="BK91" s="515">
        <f t="shared" si="47"/>
        <v>0</v>
      </c>
      <c r="BL91" s="515">
        <f t="shared" si="47"/>
        <v>0</v>
      </c>
      <c r="BM91" s="515">
        <f t="shared" si="47"/>
        <v>0</v>
      </c>
      <c r="BN91" s="515">
        <f t="shared" si="47"/>
        <v>0</v>
      </c>
      <c r="BO91" s="515">
        <f t="shared" si="47"/>
        <v>0</v>
      </c>
      <c r="BP91" s="515">
        <f t="shared" si="47"/>
        <v>0</v>
      </c>
      <c r="BQ91" s="515">
        <f t="shared" si="47"/>
        <v>0</v>
      </c>
      <c r="BR91" s="515">
        <f t="shared" si="47"/>
        <v>0</v>
      </c>
    </row>
    <row r="92" spans="1:70" ht="14.1" customHeight="1" x14ac:dyDescent="0.2">
      <c r="B92" s="478" t="s">
        <v>688</v>
      </c>
      <c r="D92" s="479"/>
      <c r="AK92" s="739"/>
      <c r="AL92" s="739"/>
      <c r="AM92" s="739"/>
      <c r="AN92" s="515"/>
      <c r="AO92" s="515"/>
      <c r="AP92" s="739"/>
      <c r="AQ92" s="739"/>
      <c r="AR92" s="739"/>
      <c r="AS92" s="739"/>
      <c r="AT92" s="739"/>
      <c r="AU92" s="739"/>
      <c r="AV92" s="739"/>
      <c r="AW92" s="739"/>
      <c r="AX92" s="739"/>
      <c r="AY92" s="739"/>
      <c r="AZ92" s="739"/>
      <c r="BA92" s="739"/>
      <c r="BB92" s="739"/>
      <c r="BC92" s="739"/>
      <c r="BD92" s="739"/>
      <c r="BE92" s="739"/>
      <c r="BF92" s="739"/>
      <c r="BG92" s="739"/>
      <c r="BH92" s="739"/>
      <c r="BI92" s="739"/>
      <c r="BJ92" s="739"/>
      <c r="BK92" s="739"/>
      <c r="BL92" s="739"/>
      <c r="BM92" s="739"/>
      <c r="BN92" s="739"/>
      <c r="BO92" s="739"/>
      <c r="BP92" s="739"/>
      <c r="BQ92" s="739"/>
      <c r="BR92" s="739"/>
    </row>
    <row r="93" spans="1:70" ht="14.1" customHeight="1" x14ac:dyDescent="0.2">
      <c r="P93" s="740"/>
      <c r="Q93" s="740"/>
      <c r="R93" s="740"/>
      <c r="S93" s="740"/>
      <c r="T93" s="740"/>
      <c r="U93" s="740"/>
      <c r="V93" s="741"/>
      <c r="W93" s="741"/>
      <c r="X93" s="741"/>
      <c r="Y93" s="741"/>
      <c r="Z93" s="741"/>
      <c r="AA93" s="741"/>
      <c r="AB93" s="741"/>
      <c r="AC93" s="741"/>
      <c r="AD93" s="741"/>
      <c r="AE93" s="741"/>
      <c r="AF93" s="741"/>
      <c r="AG93" s="741"/>
      <c r="AH93" s="741"/>
      <c r="AI93" s="741"/>
      <c r="AJ93" s="741"/>
      <c r="AK93" s="741"/>
      <c r="AL93" s="741"/>
      <c r="AM93" s="741"/>
      <c r="AN93" s="741"/>
      <c r="AO93" s="741"/>
      <c r="AP93" s="741"/>
      <c r="AQ93" s="741"/>
      <c r="AR93" s="741"/>
      <c r="AS93" s="741"/>
      <c r="AT93" s="741"/>
      <c r="AU93" s="741"/>
      <c r="AV93" s="741"/>
      <c r="AW93" s="741"/>
      <c r="AX93" s="741"/>
      <c r="AY93" s="741"/>
      <c r="AZ93" s="741"/>
      <c r="BA93" s="741"/>
      <c r="BB93" s="741"/>
      <c r="BC93" s="741"/>
      <c r="BD93" s="741"/>
      <c r="BE93" s="741"/>
      <c r="BF93" s="741"/>
      <c r="BG93" s="741"/>
      <c r="BH93" s="741"/>
      <c r="BI93" s="741"/>
      <c r="BJ93" s="741"/>
      <c r="BK93" s="741"/>
      <c r="BL93" s="741"/>
      <c r="BM93" s="741"/>
      <c r="BN93" s="741"/>
      <c r="BO93" s="741"/>
      <c r="BP93" s="741"/>
      <c r="BQ93" s="741"/>
      <c r="BR93" s="741"/>
    </row>
    <row r="94" spans="1:70" ht="14.1" customHeight="1" x14ac:dyDescent="0.2">
      <c r="V94" s="741"/>
      <c r="W94" s="741"/>
      <c r="X94" s="741"/>
      <c r="Y94" s="741"/>
      <c r="Z94" s="741"/>
      <c r="AA94" s="741"/>
      <c r="AB94" s="741"/>
      <c r="AC94" s="741"/>
      <c r="AD94" s="741"/>
      <c r="AE94" s="741"/>
      <c r="AF94" s="741"/>
      <c r="AG94" s="741"/>
      <c r="AH94" s="741"/>
      <c r="AI94" s="741"/>
      <c r="AJ94" s="741"/>
      <c r="AK94" s="741"/>
      <c r="AL94" s="741"/>
      <c r="AM94" s="741"/>
      <c r="AN94" s="741"/>
      <c r="AO94" s="741"/>
      <c r="AP94" s="741"/>
      <c r="AQ94" s="741"/>
      <c r="AR94" s="741"/>
      <c r="AS94" s="741"/>
      <c r="AT94" s="741"/>
      <c r="AU94" s="741"/>
      <c r="AV94" s="741"/>
      <c r="AW94" s="741"/>
      <c r="AX94" s="741"/>
      <c r="AY94" s="741"/>
      <c r="AZ94" s="741"/>
      <c r="BA94" s="741"/>
      <c r="BB94" s="741"/>
      <c r="BC94" s="741"/>
      <c r="BD94" s="741"/>
      <c r="BE94" s="741"/>
      <c r="BF94" s="741"/>
      <c r="BG94" s="741"/>
      <c r="BH94" s="741"/>
      <c r="BI94" s="741"/>
      <c r="BJ94" s="741"/>
      <c r="BK94" s="741"/>
      <c r="BL94" s="741"/>
      <c r="BM94" s="741"/>
      <c r="BN94" s="741"/>
      <c r="BO94" s="741"/>
      <c r="BP94" s="741"/>
      <c r="BQ94" s="741"/>
      <c r="BR94" s="741"/>
    </row>
    <row r="95" spans="1:70" ht="14.1" customHeight="1" x14ac:dyDescent="0.2">
      <c r="V95" s="741"/>
      <c r="W95" s="741"/>
      <c r="X95" s="741">
        <f>X8-X46</f>
        <v>201710</v>
      </c>
      <c r="Y95" s="741"/>
      <c r="Z95" s="741"/>
      <c r="AA95" s="741"/>
      <c r="AB95" s="739">
        <f>AB8-AB46</f>
        <v>142196</v>
      </c>
      <c r="AC95" s="741"/>
      <c r="AD95" s="741"/>
      <c r="AE95" s="742"/>
      <c r="AF95" s="739"/>
      <c r="AG95" s="742"/>
      <c r="AH95" s="742"/>
      <c r="AI95" s="742"/>
      <c r="AJ95" s="739"/>
      <c r="AK95" s="742"/>
      <c r="AL95" s="742"/>
      <c r="AM95" s="742"/>
      <c r="AN95" s="739"/>
      <c r="AO95" s="742"/>
      <c r="AP95" s="742"/>
      <c r="AQ95" s="742"/>
      <c r="AR95" s="739"/>
      <c r="AS95" s="742"/>
      <c r="AT95" s="742"/>
      <c r="AU95" s="742"/>
      <c r="AV95" s="742"/>
      <c r="AW95" s="742"/>
      <c r="AX95" s="742"/>
      <c r="AY95" s="742"/>
      <c r="AZ95" s="742"/>
      <c r="BA95" s="742"/>
      <c r="BB95" s="742"/>
      <c r="BC95" s="742"/>
      <c r="BD95" s="742"/>
      <c r="BE95" s="742"/>
      <c r="BF95" s="742"/>
      <c r="BG95" s="742"/>
      <c r="BH95" s="742"/>
      <c r="BI95" s="742"/>
      <c r="BJ95" s="742"/>
      <c r="BK95" s="742"/>
      <c r="BL95" s="742"/>
      <c r="BM95" s="742"/>
      <c r="BN95" s="742"/>
      <c r="BO95" s="742"/>
      <c r="BP95" s="742"/>
      <c r="BQ95" s="742"/>
      <c r="BR95" s="742"/>
    </row>
    <row r="96" spans="1:70" ht="14.1" customHeight="1" x14ac:dyDescent="0.2">
      <c r="V96" s="741"/>
      <c r="W96" s="741"/>
      <c r="X96" s="741">
        <f>X95-T95</f>
        <v>201710</v>
      </c>
      <c r="Y96" s="741"/>
      <c r="Z96" s="741"/>
      <c r="AA96" s="741"/>
      <c r="AB96" s="739">
        <f>AB95-X95</f>
        <v>-59514</v>
      </c>
      <c r="AC96" s="741"/>
      <c r="AD96" s="741"/>
      <c r="AE96" s="742"/>
      <c r="AF96" s="739"/>
      <c r="AG96" s="742"/>
      <c r="AH96" s="742"/>
      <c r="AI96" s="742"/>
      <c r="AJ96" s="739"/>
      <c r="AK96" s="742"/>
      <c r="AL96" s="742"/>
      <c r="AM96" s="742"/>
      <c r="AN96" s="739"/>
      <c r="AO96" s="742"/>
      <c r="AP96" s="742"/>
      <c r="AQ96" s="742"/>
      <c r="AR96" s="739"/>
      <c r="AS96" s="742"/>
      <c r="AT96" s="742"/>
      <c r="AU96" s="742"/>
      <c r="AV96" s="742"/>
      <c r="AW96" s="742"/>
      <c r="AX96" s="742"/>
      <c r="AY96" s="742"/>
      <c r="AZ96" s="742"/>
      <c r="BA96" s="742"/>
      <c r="BB96" s="742"/>
      <c r="BC96" s="742"/>
      <c r="BD96" s="742"/>
      <c r="BE96" s="742"/>
      <c r="BF96" s="742"/>
      <c r="BG96" s="742"/>
      <c r="BH96" s="742"/>
      <c r="BI96" s="742"/>
      <c r="BJ96" s="742"/>
      <c r="BK96" s="742"/>
      <c r="BL96" s="742"/>
      <c r="BM96" s="742"/>
      <c r="BN96" s="742"/>
      <c r="BO96" s="742"/>
      <c r="BP96" s="742"/>
      <c r="BQ96" s="742"/>
      <c r="BR96" s="742"/>
    </row>
  </sheetData>
  <mergeCells count="2">
    <mergeCell ref="T4:U4"/>
    <mergeCell ref="N4:P4"/>
  </mergeCells>
  <hyperlinks>
    <hyperlink ref="D74" location="'Investimentos A'!A1" display="Investimentos" xr:uid="{00000000-0004-0000-0300-000000000000}"/>
    <hyperlink ref="D18" location="'Impostos a Recuperar'!A1" display="Imposto de renda e contribuição social a recuperar" xr:uid="{00000000-0004-0000-0300-000001000000}"/>
    <hyperlink ref="D19" location="'Caixa e Equivalente de Caixa'!A1" display="Aplicações financeiras" xr:uid="{00000000-0004-0000-0300-000002000000}"/>
    <hyperlink ref="D45" location="'Arrendamento Mercantil'!A1" display="'Arrendamento Mercantil'!A1" xr:uid="{00000000-0004-0000-0300-000003000000}"/>
    <hyperlink ref="D65" location="'Arrendamento Mercantil'!A1" display="'Arrendamento Mercantil'!A1" xr:uid="{00000000-0004-0000-0300-000004000000}"/>
    <hyperlink ref="D7" location="'Caixa e Equivalente de Caixa'!A1" display="'Caixa e Equivalente de Caixa'!A1" xr:uid="{00000000-0004-0000-0300-000005000000}"/>
    <hyperlink ref="D8" location="'Contas a Receber'!A1" display="'Contas a Receber'!A1" xr:uid="{00000000-0004-0000-0300-000006000000}"/>
    <hyperlink ref="D9" location="'Partes Relacionadas'!A1" display="'Partes Relacionadas'!A1" xr:uid="{00000000-0004-0000-0300-000007000000}"/>
    <hyperlink ref="D12" location="'Impostos a Recuperar'!A1" display="'Impostos a Recuperar'!A1" xr:uid="{00000000-0004-0000-0300-000008000000}"/>
    <hyperlink ref="D13" location="'Demais Contas a Receber'!A1" display="'Demais Contas a Receber'!A1" xr:uid="{00000000-0004-0000-0300-000009000000}"/>
    <hyperlink ref="D24" location="'Impostos a Recuperar'!A1" display="'Impostos a Recuperar'!A1" xr:uid="{00000000-0004-0000-0300-00000A000000}"/>
    <hyperlink ref="D26" location="'Demais Contas a Receber'!A1" display="'Demais Contas a Receber'!A1" xr:uid="{00000000-0004-0000-0300-00000B000000}"/>
    <hyperlink ref="D29" location="'Partes Relacionadas'!A1" display="'Partes Relacionadas'!A1" xr:uid="{00000000-0004-0000-0300-00000C000000}"/>
    <hyperlink ref="D51" location="'Partes Relacionadas'!A1" display="'Partes Relacionadas'!A1" xr:uid="{00000000-0004-0000-0300-00000D000000}"/>
    <hyperlink ref="D30" location="'Empréstimos e Financiamentos'!A1" display="'Empréstimos e Financiamentos'!A1" xr:uid="{00000000-0004-0000-0300-00000E000000}"/>
    <hyperlink ref="D31" location="'Riscos Judiciais'!A1" display="'Riscos Judiciais'!A1" xr:uid="{00000000-0004-0000-0300-00000F000000}"/>
    <hyperlink ref="D34" location="'Investimentos A'!A1" display="'Investimentos A'!A1" xr:uid="{00000000-0004-0000-0300-000010000000}"/>
    <hyperlink ref="D35" location="'Imobilizado '!A1" display="'Imobilizado '!A1" xr:uid="{00000000-0004-0000-0300-000011000000}"/>
    <hyperlink ref="D36" location="Intangível!A1" display="Intangível!A1" xr:uid="{00000000-0004-0000-0300-000012000000}"/>
    <hyperlink ref="D37" location="'Direito de Uso'!A1" display="'Direito de Uso'!A1" xr:uid="{00000000-0004-0000-0300-000013000000}"/>
    <hyperlink ref="D43" location="'Empréstimos e Financiamentos'!A1" display="'Empréstimos e Financiamentos'!A1" xr:uid="{00000000-0004-0000-0300-000014000000}"/>
    <hyperlink ref="D62" location="'Empréstimos e Financiamentos'!A1" display="'Empréstimos e Financiamentos'!A1" xr:uid="{00000000-0004-0000-0300-000015000000}"/>
    <hyperlink ref="D44" location="'Empréstimos e Financiamentos'!A1" display="'Empréstimos e Financiamentos'!A1" xr:uid="{00000000-0004-0000-0300-000016000000}"/>
    <hyperlink ref="D64" location="'Empréstimos e Financiamentos'!A1" display="'Empréstimos e Financiamentos'!A1" xr:uid="{00000000-0004-0000-0300-000017000000}"/>
    <hyperlink ref="D49" location="'Salários e Encargos Sociais'!A1" display="'Salários e Encargos Sociais'!A1" xr:uid="{00000000-0004-0000-0300-000018000000}"/>
    <hyperlink ref="D50" location="'Demais Contas a Pagar'!A1" display="'Demais Contas a Pagar'!A1" xr:uid="{00000000-0004-0000-0300-000019000000}"/>
    <hyperlink ref="D52" location="'IR e CS Diferidos'!A1" display="'IR e CS Diferidos'!A1" xr:uid="{00000000-0004-0000-0300-00001A000000}"/>
    <hyperlink ref="D63" location="'Partes Relacionadas'!A1" display="'Partes Relacionadas'!A1" xr:uid="{00000000-0004-0000-0300-00001B000000}"/>
    <hyperlink ref="D68" location="'Riscos Judiciais'!A1" display="Depósitos judiciais" xr:uid="{00000000-0004-0000-0300-00001C000000}"/>
  </hyperlinks>
  <pageMargins left="0.23622047244094491" right="0.23622047244094491" top="0.74803149606299213" bottom="0.74803149606299213" header="0.31496062992125984" footer="0.31496062992125984"/>
  <pageSetup paperSize="9" scale="80"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44">
    <pageSetUpPr autoPageBreaks="0"/>
  </sheetPr>
  <dimension ref="A1:BC54"/>
  <sheetViews>
    <sheetView showGridLines="0" workbookViewId="0">
      <pane xSplit="4" ySplit="5" topLeftCell="AK6" activePane="bottomRight" state="frozen"/>
      <selection activeCell="AY7" sqref="AY7"/>
      <selection pane="topRight" activeCell="AY7" sqref="AY7"/>
      <selection pane="bottomLeft" activeCell="AY7" sqref="AY7"/>
      <selection pane="bottomRight" activeCell="BC28" sqref="BC28"/>
    </sheetView>
  </sheetViews>
  <sheetFormatPr defaultRowHeight="12.75" outlineLevelRow="1" x14ac:dyDescent="0.2"/>
  <cols>
    <col min="1" max="2" width="9.140625" hidden="1" customWidth="1"/>
    <col min="3" max="3" width="1.42578125" customWidth="1"/>
    <col min="4" max="4" width="45.42578125" customWidth="1"/>
    <col min="5" max="54" width="10.85546875" customWidth="1"/>
  </cols>
  <sheetData>
    <row r="1" spans="1:55" s="547" customFormat="1" ht="7.5" customHeight="1" x14ac:dyDescent="0.2">
      <c r="E1" s="547">
        <v>2013</v>
      </c>
      <c r="F1" s="547" t="s">
        <v>45</v>
      </c>
      <c r="G1" s="547" t="str">
        <f>IF(LEFT(F1,1)="4","1T"&amp;RIGHT(F1,2)+1,LEFT(F1,1)+1&amp;RIGHT(F1,3))</f>
        <v>2T14</v>
      </c>
      <c r="H1" s="547" t="str">
        <f t="shared" ref="H1:W1" si="0">IF(LEFT(G1,1)="4","1T"&amp;RIGHT(G1,2)+1,LEFT(G1,1)+1&amp;RIGHT(G1,3))</f>
        <v>3T14</v>
      </c>
      <c r="I1" s="547" t="str">
        <f t="shared" si="0"/>
        <v>4T14</v>
      </c>
      <c r="J1" s="547" t="str">
        <f t="shared" si="0"/>
        <v>1T15</v>
      </c>
      <c r="K1" s="547" t="str">
        <f t="shared" si="0"/>
        <v>2T15</v>
      </c>
      <c r="L1" s="547" t="str">
        <f t="shared" si="0"/>
        <v>3T15</v>
      </c>
      <c r="M1" s="547" t="str">
        <f t="shared" si="0"/>
        <v>4T15</v>
      </c>
      <c r="N1" s="547" t="str">
        <f t="shared" si="0"/>
        <v>1T16</v>
      </c>
      <c r="O1" s="547" t="str">
        <f t="shared" si="0"/>
        <v>2T16</v>
      </c>
      <c r="P1" s="547" t="str">
        <f t="shared" si="0"/>
        <v>3T16</v>
      </c>
      <c r="Q1" s="547" t="str">
        <f t="shared" si="0"/>
        <v>4T16</v>
      </c>
      <c r="R1" s="547" t="str">
        <f t="shared" si="0"/>
        <v>1T17</v>
      </c>
      <c r="S1" s="547" t="str">
        <f t="shared" si="0"/>
        <v>2T17</v>
      </c>
      <c r="T1" s="547" t="str">
        <f t="shared" si="0"/>
        <v>3T17</v>
      </c>
      <c r="U1" s="547" t="str">
        <f t="shared" si="0"/>
        <v>4T17</v>
      </c>
      <c r="V1" s="547" t="str">
        <f t="shared" si="0"/>
        <v>1T18</v>
      </c>
      <c r="W1" s="547" t="str">
        <f t="shared" si="0"/>
        <v>2T18</v>
      </c>
      <c r="X1" s="547" t="str">
        <f t="shared" ref="X1:AF1" si="1">IF(LEFT(W1,1)="4","1T"&amp;RIGHT(W1,2)+1,LEFT(W1,1)+1&amp;RIGHT(W1,3))</f>
        <v>3T18</v>
      </c>
      <c r="Y1" s="547" t="str">
        <f t="shared" si="1"/>
        <v>4T18</v>
      </c>
      <c r="Z1" s="547" t="str">
        <f t="shared" si="1"/>
        <v>1T19</v>
      </c>
      <c r="AA1" s="547" t="str">
        <f t="shared" si="1"/>
        <v>2T19</v>
      </c>
      <c r="AB1" s="547" t="str">
        <f t="shared" si="1"/>
        <v>3T19</v>
      </c>
      <c r="AC1" s="547" t="s">
        <v>1411</v>
      </c>
      <c r="AD1" s="547" t="str">
        <f t="shared" si="1"/>
        <v>1T20</v>
      </c>
      <c r="AE1" s="547" t="str">
        <f t="shared" si="1"/>
        <v>2T20</v>
      </c>
      <c r="AF1" s="547" t="str">
        <f t="shared" si="1"/>
        <v>3T20</v>
      </c>
      <c r="AG1" s="547" t="str">
        <f t="shared" ref="AG1:AT1" si="2">IF(LEFT(AF1,1)="4","1T"&amp;RIGHT(AF1,2)+1,LEFT(AF1,1)+1&amp;RIGHT(AF1,3))</f>
        <v>4T20</v>
      </c>
      <c r="AH1" s="547" t="str">
        <f t="shared" si="2"/>
        <v>1T21</v>
      </c>
      <c r="AI1" s="547" t="str">
        <f t="shared" si="2"/>
        <v>2T21</v>
      </c>
      <c r="AJ1" s="547" t="str">
        <f t="shared" si="2"/>
        <v>3T21</v>
      </c>
      <c r="AK1" s="547" t="str">
        <f t="shared" si="2"/>
        <v>4T21</v>
      </c>
      <c r="AL1" s="547" t="str">
        <f t="shared" si="2"/>
        <v>1T22</v>
      </c>
      <c r="AM1" s="547" t="str">
        <f t="shared" si="2"/>
        <v>2T22</v>
      </c>
      <c r="AN1" s="547" t="str">
        <f t="shared" si="2"/>
        <v>3T22</v>
      </c>
      <c r="AO1" s="547" t="str">
        <f t="shared" si="2"/>
        <v>4T22</v>
      </c>
      <c r="AP1" s="547" t="str">
        <f t="shared" si="2"/>
        <v>1T23</v>
      </c>
      <c r="AQ1" s="547" t="str">
        <f t="shared" si="2"/>
        <v>2T23</v>
      </c>
      <c r="AR1" s="547" t="str">
        <f t="shared" si="2"/>
        <v>3T23</v>
      </c>
      <c r="AS1" s="547" t="str">
        <f t="shared" si="2"/>
        <v>4T23</v>
      </c>
      <c r="AT1" s="547" t="str">
        <f t="shared" si="2"/>
        <v>1T24</v>
      </c>
      <c r="AU1" s="547" t="str">
        <f t="shared" ref="AU1:BC1" si="3">IF(LEFT(AT1,1)="4","1T"&amp;RIGHT(AT1,2)+1,LEFT(AT1,1)+1&amp;RIGHT(AT1,3))</f>
        <v>2T24</v>
      </c>
      <c r="AV1" s="547" t="str">
        <f t="shared" si="3"/>
        <v>3T24</v>
      </c>
      <c r="AW1" s="547" t="str">
        <f t="shared" si="3"/>
        <v>4T24</v>
      </c>
      <c r="AX1" s="547" t="str">
        <f t="shared" si="3"/>
        <v>1T25</v>
      </c>
      <c r="AY1" s="547" t="str">
        <f t="shared" si="3"/>
        <v>2T25</v>
      </c>
      <c r="AZ1" s="547" t="str">
        <f t="shared" si="3"/>
        <v>3T25</v>
      </c>
      <c r="BA1" s="547" t="str">
        <f t="shared" si="3"/>
        <v>4T25</v>
      </c>
      <c r="BB1" s="547" t="str">
        <f t="shared" si="3"/>
        <v>1T26</v>
      </c>
      <c r="BC1" s="547" t="str">
        <f t="shared" si="3"/>
        <v>2T26</v>
      </c>
    </row>
    <row r="2" spans="1:55" s="547" customFormat="1" ht="12.75" customHeight="1" x14ac:dyDescent="0.25">
      <c r="E2" s="547" t="s">
        <v>1095</v>
      </c>
      <c r="F2" s="547" t="s">
        <v>946</v>
      </c>
      <c r="G2" s="557" t="str">
        <f t="shared" ref="G2:T2" si="4">SUBSTITUTE(G1,"T","Q")</f>
        <v>2Q14</v>
      </c>
      <c r="H2" s="547" t="str">
        <f t="shared" si="4"/>
        <v>3Q14</v>
      </c>
      <c r="I2" s="547" t="str">
        <f t="shared" si="4"/>
        <v>4Q14</v>
      </c>
      <c r="J2" s="547" t="str">
        <f t="shared" si="4"/>
        <v>1Q15</v>
      </c>
      <c r="K2" s="547" t="str">
        <f t="shared" si="4"/>
        <v>2Q15</v>
      </c>
      <c r="L2" s="547" t="str">
        <f t="shared" si="4"/>
        <v>3Q15</v>
      </c>
      <c r="M2" s="547" t="str">
        <f t="shared" si="4"/>
        <v>4Q15</v>
      </c>
      <c r="N2" s="547" t="str">
        <f t="shared" si="4"/>
        <v>1Q16</v>
      </c>
      <c r="O2" s="547" t="str">
        <f t="shared" si="4"/>
        <v>2Q16</v>
      </c>
      <c r="P2" s="547" t="str">
        <f t="shared" si="4"/>
        <v>3Q16</v>
      </c>
      <c r="Q2" s="547" t="str">
        <f t="shared" si="4"/>
        <v>4Q16</v>
      </c>
      <c r="R2" s="547" t="str">
        <f t="shared" si="4"/>
        <v>1Q17</v>
      </c>
      <c r="S2" s="547" t="str">
        <f t="shared" si="4"/>
        <v>2Q17</v>
      </c>
      <c r="T2" s="547" t="str">
        <f t="shared" si="4"/>
        <v>3Q17</v>
      </c>
      <c r="U2" s="547" t="str">
        <f t="shared" ref="U2:Z2" si="5">SUBSTITUTE(U1,"T","Q")</f>
        <v>4Q17</v>
      </c>
      <c r="V2" s="547" t="str">
        <f t="shared" si="5"/>
        <v>1Q18</v>
      </c>
      <c r="W2" s="547" t="str">
        <f t="shared" si="5"/>
        <v>2Q18</v>
      </c>
      <c r="X2" s="547" t="str">
        <f t="shared" si="5"/>
        <v>3Q18</v>
      </c>
      <c r="Y2" s="547" t="str">
        <f t="shared" si="5"/>
        <v>4Q18</v>
      </c>
      <c r="Z2" s="547" t="str">
        <f t="shared" si="5"/>
        <v>1Q19</v>
      </c>
      <c r="AA2" s="547" t="str">
        <f>SUBSTITUTE(AA1,"T","Q")</f>
        <v>2Q19</v>
      </c>
      <c r="AB2" s="547" t="str">
        <f>SUBSTITUTE(AB1,"T","Q")</f>
        <v>3Q19</v>
      </c>
      <c r="AC2" s="547" t="s">
        <v>1514</v>
      </c>
      <c r="AD2" s="547" t="str">
        <f>SUBSTITUTE(AD1,"T","Q")</f>
        <v>1Q20</v>
      </c>
      <c r="AE2" s="547" t="str">
        <f>SUBSTITUTE(AE1,"T","Q")</f>
        <v>2Q20</v>
      </c>
      <c r="AF2" s="547" t="str">
        <f>SUBSTITUTE(AF1,"T","Q")</f>
        <v>3Q20</v>
      </c>
      <c r="AG2" s="547" t="str">
        <f t="shared" ref="AG2:AM2" si="6">SUBSTITUTE(AG1,"T","Q")</f>
        <v>4Q20</v>
      </c>
      <c r="AH2" s="547" t="str">
        <f t="shared" si="6"/>
        <v>1Q21</v>
      </c>
      <c r="AI2" s="547" t="str">
        <f t="shared" si="6"/>
        <v>2Q21</v>
      </c>
      <c r="AJ2" s="547" t="str">
        <f t="shared" si="6"/>
        <v>3Q21</v>
      </c>
      <c r="AK2" s="547" t="str">
        <f t="shared" si="6"/>
        <v>4Q21</v>
      </c>
      <c r="AL2" s="547" t="str">
        <f t="shared" si="6"/>
        <v>1Q22</v>
      </c>
      <c r="AM2" s="547" t="str">
        <f t="shared" si="6"/>
        <v>2Q22</v>
      </c>
      <c r="AN2" s="547" t="str">
        <f t="shared" ref="AN2:AT2" si="7">SUBSTITUTE(AN1,"T","Q")</f>
        <v>3Q22</v>
      </c>
      <c r="AO2" s="547" t="str">
        <f t="shared" si="7"/>
        <v>4Q22</v>
      </c>
      <c r="AP2" s="547" t="str">
        <f t="shared" si="7"/>
        <v>1Q23</v>
      </c>
      <c r="AQ2" s="547" t="str">
        <f t="shared" si="7"/>
        <v>2Q23</v>
      </c>
      <c r="AR2" s="547" t="str">
        <f t="shared" si="7"/>
        <v>3Q23</v>
      </c>
      <c r="AS2" s="547" t="str">
        <f t="shared" si="7"/>
        <v>4Q23</v>
      </c>
      <c r="AT2" s="547" t="str">
        <f t="shared" si="7"/>
        <v>1Q24</v>
      </c>
      <c r="AU2" s="547" t="str">
        <f t="shared" ref="AU2:BC2" si="8">SUBSTITUTE(AU1,"T","Q")</f>
        <v>2Q24</v>
      </c>
      <c r="AV2" s="547" t="str">
        <f t="shared" si="8"/>
        <v>3Q24</v>
      </c>
      <c r="AW2" s="547" t="str">
        <f t="shared" si="8"/>
        <v>4Q24</v>
      </c>
      <c r="AX2" s="547" t="str">
        <f t="shared" si="8"/>
        <v>1Q25</v>
      </c>
      <c r="AY2" s="547" t="str">
        <f t="shared" si="8"/>
        <v>2Q25</v>
      </c>
      <c r="AZ2" s="547" t="str">
        <f t="shared" si="8"/>
        <v>3Q25</v>
      </c>
      <c r="BA2" s="547" t="str">
        <f t="shared" si="8"/>
        <v>4Q25</v>
      </c>
      <c r="BB2" s="547" t="str">
        <f>SUBSTITUTE(BB1,"T","Q")</f>
        <v>1Q26</v>
      </c>
      <c r="BC2" s="547" t="str">
        <f t="shared" si="8"/>
        <v>2Q26</v>
      </c>
    </row>
    <row r="3" spans="1:55" ht="12.75" customHeight="1" x14ac:dyDescent="0.2">
      <c r="Y3" s="327"/>
      <c r="Z3" s="547"/>
      <c r="AA3" s="547"/>
      <c r="AB3" s="547"/>
      <c r="AC3" s="547"/>
      <c r="AD3" s="547"/>
      <c r="AE3" s="547"/>
      <c r="AF3" s="547"/>
      <c r="AG3" s="547"/>
      <c r="AH3" s="547"/>
      <c r="AI3" s="547"/>
      <c r="AJ3" s="547"/>
      <c r="AK3" s="547"/>
      <c r="AL3" s="547"/>
      <c r="AM3" s="547"/>
      <c r="AN3" s="547"/>
      <c r="AO3" s="547"/>
      <c r="AP3" s="547"/>
      <c r="AQ3" s="547"/>
      <c r="AR3" s="547"/>
      <c r="AS3" s="547"/>
      <c r="AT3" s="547"/>
      <c r="AU3" s="547"/>
      <c r="AV3" s="547"/>
      <c r="AW3" s="547"/>
      <c r="AX3" s="547"/>
      <c r="AY3" s="547"/>
      <c r="AZ3" s="547"/>
      <c r="BA3" s="547"/>
      <c r="BB3" s="547"/>
      <c r="BC3" s="547"/>
    </row>
    <row r="4" spans="1:55" ht="12.75" customHeight="1" x14ac:dyDescent="0.2">
      <c r="E4" s="1253" t="str">
        <f>IF([1]RENAME!$H$3=1,"&lt;== with Direct Express","&lt;== Com Direct Express")</f>
        <v>&lt;== Com Direct Express</v>
      </c>
      <c r="F4" s="1254"/>
      <c r="G4" s="224" t="str">
        <f>IF([1]RENAME!$H$3=1,"without Direct Express ==&gt;","Sem Direct Express ==&gt;")</f>
        <v>Sem Direct Express ==&gt;</v>
      </c>
      <c r="Y4" s="327"/>
      <c r="Z4" s="547"/>
      <c r="AA4" s="547"/>
      <c r="AB4" s="547"/>
      <c r="AC4" s="547"/>
      <c r="AD4" s="547"/>
      <c r="AE4" s="547"/>
      <c r="AF4" s="547"/>
      <c r="AG4" s="547"/>
      <c r="AH4" s="547"/>
      <c r="AI4" s="547"/>
      <c r="AJ4" s="547"/>
      <c r="AK4" s="547"/>
      <c r="AL4" s="547"/>
      <c r="AM4" s="547"/>
      <c r="AN4" s="547"/>
      <c r="AO4" s="547"/>
      <c r="AP4" s="547"/>
      <c r="AQ4" s="547"/>
      <c r="AR4" s="547"/>
      <c r="AS4" s="547"/>
      <c r="AT4" s="547"/>
      <c r="AU4" s="547"/>
      <c r="AV4" s="547"/>
      <c r="AW4" s="547"/>
      <c r="AX4" s="547"/>
      <c r="AY4" s="547"/>
      <c r="AZ4" s="547"/>
      <c r="BA4" s="547"/>
      <c r="BB4" s="547"/>
      <c r="BC4" s="547"/>
    </row>
    <row r="5" spans="1:55" x14ac:dyDescent="0.2">
      <c r="A5" t="s">
        <v>96</v>
      </c>
      <c r="B5" t="s">
        <v>96</v>
      </c>
      <c r="D5" s="115" t="str">
        <f>IF([1]RENAME!$H$3=1,B5,A5)</f>
        <v>Consolidado</v>
      </c>
      <c r="E5" s="115">
        <f>IF([1]RENAME!$H$3=1,E2,E1)</f>
        <v>2013</v>
      </c>
      <c r="F5" s="115" t="str">
        <f>IF([1]RENAME!$H$3=1,F2,F1)</f>
        <v>1T14</v>
      </c>
      <c r="G5" s="222" t="str">
        <f>IF([1]RENAME!$H$3=1,G2,G1)</f>
        <v>2T14</v>
      </c>
      <c r="H5" s="115" t="str">
        <f>IF([1]RENAME!$H$3=1,H2,H1)</f>
        <v>3T14</v>
      </c>
      <c r="I5" s="115" t="str">
        <f>IF([1]RENAME!$H$3=1,I2,I1)</f>
        <v>4T14</v>
      </c>
      <c r="J5" s="115" t="str">
        <f>IF([1]RENAME!$H$3=1,J2,J1)</f>
        <v>1T15</v>
      </c>
      <c r="K5" s="115" t="str">
        <f>IF([1]RENAME!$H$3=1,K2,K1)</f>
        <v>2T15</v>
      </c>
      <c r="L5" s="115" t="str">
        <f>IF([1]RENAME!$H$3=1,L2,L1)</f>
        <v>3T15</v>
      </c>
      <c r="M5" s="115" t="str">
        <f>IF([1]RENAME!$H$3=1,M2,M1)</f>
        <v>4T15</v>
      </c>
      <c r="N5" s="115" t="str">
        <f>IF([1]RENAME!$H$3=1,N2,N1)</f>
        <v>1T16</v>
      </c>
      <c r="O5" s="115" t="str">
        <f>IF([1]RENAME!$H$3=1,O2,O1)</f>
        <v>2T16</v>
      </c>
      <c r="P5" s="115" t="str">
        <f>IF([1]RENAME!$H$3=1,P2,P1)</f>
        <v>3T16</v>
      </c>
      <c r="Q5" s="115" t="str">
        <f>IF([1]RENAME!$H$3=1,Q2,Q1)</f>
        <v>4T16</v>
      </c>
      <c r="R5" s="115" t="str">
        <f>IF([1]RENAME!$H$3=1,R2,R1)</f>
        <v>1T17</v>
      </c>
      <c r="S5" s="115" t="str">
        <f>IF([1]RENAME!$H$3=1,S2,S1)</f>
        <v>2T17</v>
      </c>
      <c r="T5" s="115" t="str">
        <f>IF([1]RENAME!$H$3=1,T2,T1)</f>
        <v>3T17</v>
      </c>
      <c r="U5" s="115" t="str">
        <f>IF([1]RENAME!$H$3=1,U2,U1)</f>
        <v>4T17</v>
      </c>
      <c r="V5" s="115" t="str">
        <f>IF([1]RENAME!$H$3=1,V2,V1)</f>
        <v>1T18</v>
      </c>
      <c r="W5" s="115" t="str">
        <f>IF([1]RENAME!$H$3=1,W2,W1)</f>
        <v>2T18</v>
      </c>
      <c r="X5" s="115" t="str">
        <f>IF([1]RENAME!$H$3=1,X2,X1)</f>
        <v>3T18</v>
      </c>
      <c r="Y5" s="115" t="str">
        <f>IF([1]RENAME!$H$3=1,Y2,Y1)</f>
        <v>4T18</v>
      </c>
      <c r="Z5" s="115" t="str">
        <f>IF([1]RENAME!$H$3=1,Z2,Z1)</f>
        <v>1T19</v>
      </c>
      <c r="AA5" s="115" t="str">
        <f>IF([1]RENAME!$H$3=1,AA2,AA1)</f>
        <v>2T19</v>
      </c>
      <c r="AB5" s="115" t="str">
        <f>IF([1]RENAME!$H$3=1,AB2,AB1)</f>
        <v>3T19</v>
      </c>
      <c r="AC5" s="115" t="str">
        <f>IF([1]RENAME!$H$3=1,AC2,AC1)</f>
        <v>4T19</v>
      </c>
      <c r="AD5" s="115" t="str">
        <f>IF([1]RENAME!$H$3=1,AD2,AD1)</f>
        <v>1T20</v>
      </c>
      <c r="AE5" s="115" t="str">
        <f>IF([1]RENAME!$H$3=1,AE2,AE1)</f>
        <v>2T20</v>
      </c>
      <c r="AF5" s="115" t="str">
        <f>IF([1]RENAME!$H$3=1,AF2,AF1)</f>
        <v>3T20</v>
      </c>
      <c r="AG5" s="115" t="str">
        <f>IF([1]RENAME!$H$3=1,AG2,AG1)</f>
        <v>4T20</v>
      </c>
      <c r="AH5" s="115" t="str">
        <f>IF([1]RENAME!$H$3=1,AH2,AH1)</f>
        <v>1T21</v>
      </c>
      <c r="AI5" s="115" t="str">
        <f>IF([1]RENAME!$H$3=1,AI2,AI1)</f>
        <v>2T21</v>
      </c>
      <c r="AJ5" s="115" t="str">
        <f>IF([1]RENAME!$H$3=1,AJ2,AJ1)</f>
        <v>3T21</v>
      </c>
      <c r="AK5" s="115" t="str">
        <f>IF([1]RENAME!$H$3=1,AK2,AK1)</f>
        <v>4T21</v>
      </c>
      <c r="AL5" s="115" t="str">
        <f>IF([1]RENAME!$H$3=1,AL2,AL1)</f>
        <v>1T22</v>
      </c>
      <c r="AM5" s="115" t="str">
        <f>IF([1]RENAME!$H$3=1,AM2,AM1)</f>
        <v>2T22</v>
      </c>
      <c r="AN5" s="115" t="str">
        <f>IF([1]RENAME!$H$3=1,AN2,AN1)</f>
        <v>3T22</v>
      </c>
      <c r="AO5" s="115" t="str">
        <f>IF([1]RENAME!$H$3=1,AO2,AO1)</f>
        <v>4T22</v>
      </c>
      <c r="AP5" s="115" t="str">
        <f>IF([1]RENAME!$H$3=1,AP2,AP1)</f>
        <v>1T23</v>
      </c>
      <c r="AQ5" s="115" t="str">
        <f>IF([1]RENAME!$H$3=1,AQ2,AQ1)</f>
        <v>2T23</v>
      </c>
      <c r="AR5" s="115" t="str">
        <f>IF([1]RENAME!$H$3=1,AR2,AR1)</f>
        <v>3T23</v>
      </c>
      <c r="AS5" s="115" t="str">
        <f>IF([1]RENAME!$H$3=1,AS2,AS1)</f>
        <v>4T23</v>
      </c>
      <c r="AT5" s="115" t="str">
        <f>IF([1]RENAME!$H$3=1,AT2,AT1)</f>
        <v>1T24</v>
      </c>
      <c r="AU5" s="115" t="str">
        <f>IF([1]RENAME!$H$3=1,AU2,AU1)</f>
        <v>2T24</v>
      </c>
      <c r="AV5" s="115" t="str">
        <f>IF([1]RENAME!$H$3=1,AV2,AV1)</f>
        <v>3T24</v>
      </c>
      <c r="AW5" s="115" t="str">
        <f>IF([1]RENAME!$H$3=1,AW2,AW1)</f>
        <v>4T24</v>
      </c>
      <c r="AX5" s="115" t="str">
        <f>IF([1]RENAME!$H$3=1,AX2,AX1)</f>
        <v>1T25</v>
      </c>
      <c r="AY5" s="115" t="str">
        <f>IF([1]RENAME!$H$3=1,AY2,AY1)</f>
        <v>2T25</v>
      </c>
      <c r="AZ5" s="115" t="str">
        <f>IF([1]RENAME!$H$3=1,AZ2,AZ1)</f>
        <v>3T25</v>
      </c>
      <c r="BA5" s="115" t="str">
        <f>IF([1]RENAME!$H$3=1,BA2,BA1)</f>
        <v>4T25</v>
      </c>
      <c r="BB5" s="247" t="str">
        <f>IF([1]RENAME!$H$3=1,BB2,BB1)</f>
        <v>1T26</v>
      </c>
      <c r="BC5" s="115" t="str">
        <f>IF([1]RENAME!$H$3=1,BC2,BC1)</f>
        <v>2T26</v>
      </c>
    </row>
    <row r="6" spans="1:55" x14ac:dyDescent="0.2">
      <c r="A6" t="s">
        <v>2112</v>
      </c>
      <c r="B6" t="s">
        <v>2113</v>
      </c>
      <c r="D6" s="129" t="str">
        <f>IF([1]RENAME!$H$3=1,B6,A6)</f>
        <v>Imposto de renda com prejuízos fiscais</v>
      </c>
      <c r="E6" s="118">
        <v>36191</v>
      </c>
      <c r="F6" s="118">
        <v>41304</v>
      </c>
      <c r="G6" s="160">
        <v>16484</v>
      </c>
      <c r="H6" s="118">
        <v>16195</v>
      </c>
      <c r="I6" s="118">
        <v>9914</v>
      </c>
      <c r="J6" s="118">
        <v>13470</v>
      </c>
      <c r="K6" s="118">
        <v>13147</v>
      </c>
      <c r="L6" s="118">
        <v>13839</v>
      </c>
      <c r="M6" s="118">
        <v>12728</v>
      </c>
      <c r="N6" s="118">
        <v>14153</v>
      </c>
      <c r="O6" s="118">
        <v>16126</v>
      </c>
      <c r="P6" s="118">
        <v>15352</v>
      </c>
      <c r="Q6" s="118">
        <v>15313</v>
      </c>
      <c r="R6" s="118">
        <v>15218</v>
      </c>
      <c r="S6" s="118">
        <v>15313.347779978187</v>
      </c>
      <c r="T6" s="118">
        <v>15487.211276228189</v>
      </c>
      <c r="U6" s="118">
        <v>27398</v>
      </c>
      <c r="V6" s="118">
        <v>10308</v>
      </c>
      <c r="W6" s="118">
        <v>10075</v>
      </c>
      <c r="X6" s="118">
        <v>10412</v>
      </c>
      <c r="Y6" s="118">
        <v>10286</v>
      </c>
      <c r="Z6" s="118">
        <v>10127</v>
      </c>
      <c r="AA6" s="118">
        <v>10421</v>
      </c>
      <c r="AB6" s="118">
        <v>10631</v>
      </c>
      <c r="AC6" s="118">
        <v>10298</v>
      </c>
      <c r="AD6" s="118">
        <v>9988</v>
      </c>
      <c r="AE6" s="118">
        <v>15458</v>
      </c>
      <c r="AF6" s="118">
        <v>12529</v>
      </c>
      <c r="AG6" s="118">
        <v>10807</v>
      </c>
      <c r="AH6" s="118">
        <v>10503</v>
      </c>
      <c r="AI6" s="118">
        <v>9662</v>
      </c>
      <c r="AJ6" s="118">
        <v>8898</v>
      </c>
      <c r="AK6" s="118">
        <v>7620</v>
      </c>
      <c r="AL6" s="118">
        <v>7054</v>
      </c>
      <c r="AM6" s="118">
        <v>6533</v>
      </c>
      <c r="AN6" s="118">
        <v>6076</v>
      </c>
      <c r="AO6" s="118">
        <v>4751</v>
      </c>
      <c r="AP6" s="118">
        <v>4286</v>
      </c>
      <c r="AQ6" s="118">
        <v>4202</v>
      </c>
      <c r="AR6" s="118">
        <v>3085</v>
      </c>
      <c r="AS6" s="118">
        <v>2885</v>
      </c>
      <c r="AT6" s="118">
        <v>2318</v>
      </c>
      <c r="AU6" s="118">
        <v>1619</v>
      </c>
      <c r="AV6" s="118">
        <v>1469</v>
      </c>
      <c r="AW6" s="118">
        <v>1979</v>
      </c>
      <c r="AX6" s="118">
        <v>1420</v>
      </c>
      <c r="AY6" s="118">
        <v>925</v>
      </c>
      <c r="AZ6" s="118">
        <v>1669</v>
      </c>
      <c r="BA6" s="118">
        <v>2024</v>
      </c>
      <c r="BB6" s="118">
        <v>1892</v>
      </c>
      <c r="BC6" s="118">
        <f>+'[3]17 IRD NL'!$AV$54</f>
        <v>1803</v>
      </c>
    </row>
    <row r="7" spans="1:55" x14ac:dyDescent="0.2">
      <c r="A7" t="s">
        <v>284</v>
      </c>
      <c r="B7" t="s">
        <v>996</v>
      </c>
      <c r="D7" s="129" t="str">
        <f>IF([1]RENAME!$H$3=1,B7,A7)</f>
        <v>Base negativa da contribuição social</v>
      </c>
      <c r="E7" s="118">
        <v>13235</v>
      </c>
      <c r="F7" s="118">
        <v>15081</v>
      </c>
      <c r="G7" s="160">
        <v>6083</v>
      </c>
      <c r="H7" s="118">
        <v>5964</v>
      </c>
      <c r="I7" s="118">
        <v>3706</v>
      </c>
      <c r="J7" s="118">
        <v>5005</v>
      </c>
      <c r="K7" s="118">
        <v>4785</v>
      </c>
      <c r="L7" s="118">
        <v>5035</v>
      </c>
      <c r="M7" s="118">
        <v>4756</v>
      </c>
      <c r="N7" s="118">
        <v>5269</v>
      </c>
      <c r="O7" s="118">
        <v>5980</v>
      </c>
      <c r="P7" s="118">
        <v>5537</v>
      </c>
      <c r="Q7" s="118">
        <v>5459</v>
      </c>
      <c r="R7" s="118">
        <v>5315</v>
      </c>
      <c r="S7" s="118">
        <v>5385.8722618721476</v>
      </c>
      <c r="T7" s="118">
        <v>5412.3133502621449</v>
      </c>
      <c r="U7" s="118">
        <v>9809</v>
      </c>
      <c r="V7" s="118">
        <v>3822</v>
      </c>
      <c r="W7" s="118">
        <v>3738</v>
      </c>
      <c r="X7" s="118">
        <v>3859</v>
      </c>
      <c r="Y7" s="118">
        <v>3816</v>
      </c>
      <c r="Z7" s="118">
        <v>3759</v>
      </c>
      <c r="AA7" s="118">
        <v>3865</v>
      </c>
      <c r="AB7" s="118">
        <v>3940</v>
      </c>
      <c r="AC7" s="118">
        <v>3820</v>
      </c>
      <c r="AD7" s="118">
        <v>3709</v>
      </c>
      <c r="AE7" s="118">
        <v>5678</v>
      </c>
      <c r="AF7" s="118">
        <v>4624</v>
      </c>
      <c r="AG7" s="118">
        <v>4004</v>
      </c>
      <c r="AH7" s="118">
        <v>3894</v>
      </c>
      <c r="AI7" s="118">
        <v>3591</v>
      </c>
      <c r="AJ7" s="118">
        <v>3316</v>
      </c>
      <c r="AK7" s="118">
        <v>2856</v>
      </c>
      <c r="AL7" s="118">
        <v>2653</v>
      </c>
      <c r="AM7" s="118">
        <v>2465</v>
      </c>
      <c r="AN7" s="118">
        <v>2300</v>
      </c>
      <c r="AO7" s="118">
        <v>2189</v>
      </c>
      <c r="AP7" s="118">
        <v>2035</v>
      </c>
      <c r="AQ7" s="118">
        <v>1991</v>
      </c>
      <c r="AR7" s="118">
        <v>1589</v>
      </c>
      <c r="AS7" s="118">
        <v>1517</v>
      </c>
      <c r="AT7" s="118">
        <v>1313</v>
      </c>
      <c r="AU7" s="118">
        <v>1061</v>
      </c>
      <c r="AV7" s="118">
        <v>1007</v>
      </c>
      <c r="AW7" s="118">
        <v>1191</v>
      </c>
      <c r="AX7" s="118">
        <v>990</v>
      </c>
      <c r="AY7" s="118">
        <v>811</v>
      </c>
      <c r="AZ7" s="118">
        <v>1079</v>
      </c>
      <c r="BA7" s="118">
        <v>1201</v>
      </c>
      <c r="BB7" s="118">
        <v>1059</v>
      </c>
      <c r="BC7" s="118">
        <f>+'[3]17 IRD NL'!$AV$55</f>
        <v>938</v>
      </c>
    </row>
    <row r="8" spans="1:55" x14ac:dyDescent="0.2">
      <c r="A8" t="s">
        <v>287</v>
      </c>
      <c r="B8" t="s">
        <v>972</v>
      </c>
      <c r="D8" s="129" t="str">
        <f>IF([1]RENAME!$H$3=1,B8,A8)</f>
        <v xml:space="preserve">    Provisões para PLR e gratificação</v>
      </c>
      <c r="E8" s="118">
        <v>2652</v>
      </c>
      <c r="F8" s="118">
        <v>1630</v>
      </c>
      <c r="G8" s="160">
        <v>1665</v>
      </c>
      <c r="H8" s="118">
        <v>1780</v>
      </c>
      <c r="I8" s="118">
        <v>3728</v>
      </c>
      <c r="J8" s="118">
        <v>3004</v>
      </c>
      <c r="K8" s="118">
        <v>1536</v>
      </c>
      <c r="L8" s="118">
        <v>2406</v>
      </c>
      <c r="M8" s="118">
        <v>2749</v>
      </c>
      <c r="N8" s="118">
        <v>2306</v>
      </c>
      <c r="O8" s="118">
        <v>1704</v>
      </c>
      <c r="P8" s="118">
        <v>2274</v>
      </c>
      <c r="Q8" s="118">
        <v>2330</v>
      </c>
      <c r="R8" s="118">
        <v>2470</v>
      </c>
      <c r="S8" s="118">
        <v>1618.6743629999994</v>
      </c>
      <c r="T8" s="118">
        <v>1968.8876705999999</v>
      </c>
      <c r="U8" s="118">
        <v>2646</v>
      </c>
      <c r="V8" s="118">
        <v>1232</v>
      </c>
      <c r="W8" s="118">
        <v>1381</v>
      </c>
      <c r="X8" s="118">
        <v>1883</v>
      </c>
      <c r="Y8" s="118">
        <v>2682</v>
      </c>
      <c r="Z8" s="118">
        <v>970</v>
      </c>
      <c r="AA8" s="118">
        <v>1641</v>
      </c>
      <c r="AB8" s="118">
        <v>2179</v>
      </c>
      <c r="AC8" s="118">
        <v>2997</v>
      </c>
      <c r="AD8" s="118">
        <v>1324</v>
      </c>
      <c r="AE8" s="118">
        <v>1555</v>
      </c>
      <c r="AF8" s="118">
        <v>1790</v>
      </c>
      <c r="AG8" s="118">
        <v>2091</v>
      </c>
      <c r="AH8" s="118">
        <v>854</v>
      </c>
      <c r="AI8" s="118">
        <v>1533</v>
      </c>
      <c r="AJ8" s="118">
        <v>1866</v>
      </c>
      <c r="AK8" s="118">
        <v>2854</v>
      </c>
      <c r="AL8" s="118">
        <v>1059</v>
      </c>
      <c r="AM8" s="118">
        <v>1480</v>
      </c>
      <c r="AN8" s="118">
        <v>2028</v>
      </c>
      <c r="AO8" s="118">
        <v>2860</v>
      </c>
      <c r="AP8" s="118">
        <v>1022</v>
      </c>
      <c r="AQ8" s="118">
        <v>1890</v>
      </c>
      <c r="AR8" s="118">
        <v>2525</v>
      </c>
      <c r="AS8" s="118">
        <v>3355</v>
      </c>
      <c r="AT8" s="118">
        <v>1091</v>
      </c>
      <c r="AU8" s="118">
        <v>1927</v>
      </c>
      <c r="AV8" s="118">
        <v>2604</v>
      </c>
      <c r="AW8" s="118">
        <v>3596</v>
      </c>
      <c r="AX8" s="118">
        <v>1159</v>
      </c>
      <c r="AY8" s="118">
        <v>2388</v>
      </c>
      <c r="AZ8" s="118">
        <v>3169</v>
      </c>
      <c r="BA8" s="118">
        <v>4264</v>
      </c>
      <c r="BB8" s="118">
        <v>1304</v>
      </c>
      <c r="BC8" s="118">
        <f>+'[3]17 IRD NL'!AV60</f>
        <v>2503</v>
      </c>
    </row>
    <row r="9" spans="1:55" x14ac:dyDescent="0.2">
      <c r="A9" t="s">
        <v>404</v>
      </c>
      <c r="B9" t="s">
        <v>885</v>
      </c>
      <c r="D9" s="192" t="str">
        <f>IF([1]RENAME!$H$3=1,B9,A9)</f>
        <v>Provisões para crédito de liquidação duvidosa</v>
      </c>
      <c r="E9" s="118">
        <v>1850</v>
      </c>
      <c r="F9" s="118">
        <v>2012</v>
      </c>
      <c r="G9" s="160">
        <v>1604</v>
      </c>
      <c r="H9" s="118">
        <v>1740</v>
      </c>
      <c r="I9" s="118">
        <v>4621</v>
      </c>
      <c r="J9" s="118">
        <v>4552</v>
      </c>
      <c r="K9" s="118">
        <v>4887</v>
      </c>
      <c r="L9" s="118">
        <v>5114</v>
      </c>
      <c r="M9" s="118">
        <v>4872</v>
      </c>
      <c r="N9" s="118">
        <v>5243</v>
      </c>
      <c r="O9" s="118">
        <v>5211</v>
      </c>
      <c r="P9" s="118">
        <v>5067</v>
      </c>
      <c r="Q9" s="118">
        <v>5060</v>
      </c>
      <c r="R9" s="118">
        <v>5061</v>
      </c>
      <c r="S9" s="118">
        <v>5062.6199070000002</v>
      </c>
      <c r="T9" s="118">
        <v>5442.4694282000009</v>
      </c>
      <c r="U9" s="118">
        <v>165</v>
      </c>
      <c r="V9" s="118">
        <v>647</v>
      </c>
      <c r="W9" s="118">
        <v>307</v>
      </c>
      <c r="X9" s="118">
        <v>403</v>
      </c>
      <c r="Y9" s="118">
        <v>999</v>
      </c>
      <c r="Z9" s="118">
        <v>1025</v>
      </c>
      <c r="AA9" s="118">
        <v>311</v>
      </c>
      <c r="AB9" s="118">
        <v>356</v>
      </c>
      <c r="AC9" s="118">
        <v>75</v>
      </c>
      <c r="AD9" s="118">
        <v>48</v>
      </c>
      <c r="AE9" s="118">
        <v>72</v>
      </c>
      <c r="AF9" s="118">
        <v>109</v>
      </c>
      <c r="AG9" s="118">
        <v>98</v>
      </c>
      <c r="AH9" s="118">
        <v>148</v>
      </c>
      <c r="AI9" s="118">
        <v>161</v>
      </c>
      <c r="AJ9" s="118">
        <v>256</v>
      </c>
      <c r="AK9" s="118">
        <v>301</v>
      </c>
      <c r="AL9" s="118">
        <v>334</v>
      </c>
      <c r="AM9" s="118">
        <v>350</v>
      </c>
      <c r="AN9" s="118">
        <v>332</v>
      </c>
      <c r="AO9" s="118">
        <v>336</v>
      </c>
      <c r="AP9" s="118">
        <v>552</v>
      </c>
      <c r="AQ9" s="118">
        <v>651</v>
      </c>
      <c r="AR9" s="118">
        <v>702</v>
      </c>
      <c r="AS9" s="118">
        <v>705</v>
      </c>
      <c r="AT9" s="118">
        <v>712</v>
      </c>
      <c r="AU9" s="118">
        <v>766</v>
      </c>
      <c r="AV9" s="118">
        <v>972</v>
      </c>
      <c r="AW9" s="118">
        <v>1255</v>
      </c>
      <c r="AX9" s="118">
        <v>1501</v>
      </c>
      <c r="AY9" s="118">
        <v>1281</v>
      </c>
      <c r="AZ9" s="118">
        <v>1052</v>
      </c>
      <c r="BA9" s="118">
        <v>961</v>
      </c>
      <c r="BB9" s="118">
        <v>1288</v>
      </c>
      <c r="BC9" s="118">
        <f>+'[3]17 IRD NL'!AV61</f>
        <v>1510</v>
      </c>
    </row>
    <row r="10" spans="1:55" x14ac:dyDescent="0.2">
      <c r="A10" t="s">
        <v>288</v>
      </c>
      <c r="B10" t="s">
        <v>982</v>
      </c>
      <c r="D10" s="129" t="str">
        <f>IF([1]RENAME!$H$3=1,B10,A10)</f>
        <v xml:space="preserve">    Provisões para demandas judiciais</v>
      </c>
      <c r="E10" s="118">
        <v>8047</v>
      </c>
      <c r="F10" s="118">
        <v>8009</v>
      </c>
      <c r="G10" s="160">
        <v>3756</v>
      </c>
      <c r="H10" s="118">
        <v>3283</v>
      </c>
      <c r="I10" s="118">
        <v>3905</v>
      </c>
      <c r="J10" s="118">
        <v>3280</v>
      </c>
      <c r="K10" s="118">
        <v>3353</v>
      </c>
      <c r="L10" s="118">
        <v>3402</v>
      </c>
      <c r="M10" s="118">
        <v>7735</v>
      </c>
      <c r="N10" s="118">
        <v>7410</v>
      </c>
      <c r="O10" s="118">
        <v>5786</v>
      </c>
      <c r="P10" s="118">
        <v>5314</v>
      </c>
      <c r="Q10" s="118">
        <v>5083</v>
      </c>
      <c r="R10" s="118">
        <v>4969</v>
      </c>
      <c r="S10" s="118">
        <v>11870.9876776</v>
      </c>
      <c r="T10" s="118">
        <v>11884.207979199999</v>
      </c>
      <c r="U10" s="118">
        <v>13254</v>
      </c>
      <c r="V10" s="118">
        <v>14882</v>
      </c>
      <c r="W10" s="118">
        <v>14326</v>
      </c>
      <c r="X10" s="118">
        <v>13035</v>
      </c>
      <c r="Y10" s="118">
        <v>15111</v>
      </c>
      <c r="Z10" s="118">
        <v>14689</v>
      </c>
      <c r="AA10" s="118">
        <v>14535</v>
      </c>
      <c r="AB10" s="118">
        <v>12448</v>
      </c>
      <c r="AC10" s="118">
        <v>11990</v>
      </c>
      <c r="AD10" s="118">
        <v>12523</v>
      </c>
      <c r="AE10" s="118">
        <v>11632</v>
      </c>
      <c r="AF10" s="118">
        <v>12088</v>
      </c>
      <c r="AG10" s="118">
        <v>11519</v>
      </c>
      <c r="AH10" s="118">
        <v>11256</v>
      </c>
      <c r="AI10" s="118">
        <v>10867</v>
      </c>
      <c r="AJ10" s="118">
        <v>9060</v>
      </c>
      <c r="AK10" s="118">
        <v>10483</v>
      </c>
      <c r="AL10" s="118">
        <v>10077</v>
      </c>
      <c r="AM10" s="118">
        <v>8974</v>
      </c>
      <c r="AN10" s="118">
        <v>10838</v>
      </c>
      <c r="AO10" s="118">
        <v>9494</v>
      </c>
      <c r="AP10" s="118">
        <v>9748</v>
      </c>
      <c r="AQ10" s="118">
        <v>9008</v>
      </c>
      <c r="AR10" s="118">
        <v>9066</v>
      </c>
      <c r="AS10" s="118">
        <v>9525</v>
      </c>
      <c r="AT10" s="118">
        <v>9771</v>
      </c>
      <c r="AU10" s="118">
        <v>10137</v>
      </c>
      <c r="AV10" s="118">
        <v>9730</v>
      </c>
      <c r="AW10" s="118">
        <v>7541</v>
      </c>
      <c r="AX10" s="118">
        <v>7676</v>
      </c>
      <c r="AY10" s="118">
        <v>7731</v>
      </c>
      <c r="AZ10" s="118">
        <v>7444</v>
      </c>
      <c r="BA10" s="118">
        <v>7191</v>
      </c>
      <c r="BB10" s="118">
        <v>7008</v>
      </c>
      <c r="BC10" s="118">
        <f>+'[3]17 IRD NL'!AV62</f>
        <v>7241</v>
      </c>
    </row>
    <row r="11" spans="1:55" x14ac:dyDescent="0.2">
      <c r="A11" t="s">
        <v>289</v>
      </c>
      <c r="B11" t="s">
        <v>999</v>
      </c>
      <c r="D11" s="129" t="str">
        <f>IF([1]RENAME!$H$3=1,B11,A11)</f>
        <v xml:space="preserve">    Provisões para fretes a pagar</v>
      </c>
      <c r="E11" s="118">
        <v>5206</v>
      </c>
      <c r="F11" s="118">
        <v>3117</v>
      </c>
      <c r="G11" s="160">
        <v>1075</v>
      </c>
      <c r="H11" s="118">
        <v>1223</v>
      </c>
      <c r="I11" s="118">
        <v>1200</v>
      </c>
      <c r="J11" s="118">
        <v>626</v>
      </c>
      <c r="K11" s="118">
        <v>613</v>
      </c>
      <c r="L11" s="118">
        <v>672</v>
      </c>
      <c r="M11" s="118">
        <v>1094</v>
      </c>
      <c r="N11" s="118">
        <v>655</v>
      </c>
      <c r="O11" s="118">
        <v>728</v>
      </c>
      <c r="P11" s="118">
        <v>621</v>
      </c>
      <c r="Q11" s="118">
        <v>592</v>
      </c>
      <c r="R11" s="118">
        <v>643</v>
      </c>
      <c r="S11" s="118">
        <v>756.66080640000018</v>
      </c>
      <c r="T11" s="118">
        <v>1098.8219722000001</v>
      </c>
      <c r="U11" s="118">
        <v>867</v>
      </c>
      <c r="V11" s="118">
        <v>809</v>
      </c>
      <c r="W11" s="118">
        <v>748</v>
      </c>
      <c r="X11" s="118">
        <v>732</v>
      </c>
      <c r="Y11" s="118">
        <v>882</v>
      </c>
      <c r="Z11" s="118">
        <v>889</v>
      </c>
      <c r="AA11" s="118">
        <v>954</v>
      </c>
      <c r="AB11" s="118">
        <v>875</v>
      </c>
      <c r="AC11" s="118">
        <v>1211</v>
      </c>
      <c r="AD11" s="118">
        <v>104</v>
      </c>
      <c r="AE11" s="118">
        <v>702</v>
      </c>
      <c r="AF11" s="118">
        <v>489</v>
      </c>
      <c r="AG11" s="118">
        <v>1371</v>
      </c>
      <c r="AH11" s="118">
        <v>436</v>
      </c>
      <c r="AI11" s="118">
        <v>765</v>
      </c>
      <c r="AJ11" s="118">
        <v>974</v>
      </c>
      <c r="AK11" s="118">
        <v>511</v>
      </c>
      <c r="AL11" s="118">
        <v>25</v>
      </c>
      <c r="AM11" s="118">
        <v>337</v>
      </c>
      <c r="AN11" s="118">
        <v>1438</v>
      </c>
      <c r="AO11" s="118">
        <v>1044</v>
      </c>
      <c r="AP11" s="118">
        <v>1859</v>
      </c>
      <c r="AQ11" s="118">
        <v>953</v>
      </c>
      <c r="AR11" s="118">
        <v>1232</v>
      </c>
      <c r="AS11" s="118">
        <v>1048</v>
      </c>
      <c r="AT11" s="118">
        <v>1664</v>
      </c>
      <c r="AU11" s="118">
        <v>2581</v>
      </c>
      <c r="AV11" s="118">
        <v>2379</v>
      </c>
      <c r="AW11" s="118">
        <v>2187</v>
      </c>
      <c r="AX11" s="118">
        <v>2344</v>
      </c>
      <c r="AY11" s="118">
        <v>1693</v>
      </c>
      <c r="AZ11" s="118">
        <v>1615</v>
      </c>
      <c r="BA11" s="118">
        <v>1338</v>
      </c>
      <c r="BB11" s="118">
        <v>1980</v>
      </c>
      <c r="BC11" s="118">
        <f>+'[3]17 IRD NL'!AV63</f>
        <v>2434</v>
      </c>
    </row>
    <row r="12" spans="1:55" x14ac:dyDescent="0.2">
      <c r="A12" t="s">
        <v>570</v>
      </c>
      <c r="B12" t="s">
        <v>1000</v>
      </c>
      <c r="D12" s="129" t="str">
        <f>IF([1]RENAME!$H$3=1,B12,A12)</f>
        <v xml:space="preserve">    Provisão de pedágios a pagar</v>
      </c>
      <c r="E12" s="118">
        <v>0</v>
      </c>
      <c r="F12" s="118">
        <v>0</v>
      </c>
      <c r="G12" s="160">
        <v>0</v>
      </c>
      <c r="H12" s="118">
        <v>0</v>
      </c>
      <c r="I12" s="118">
        <v>0</v>
      </c>
      <c r="J12" s="118">
        <v>0</v>
      </c>
      <c r="K12" s="118">
        <v>0</v>
      </c>
      <c r="L12" s="118">
        <v>0</v>
      </c>
      <c r="M12" s="118">
        <v>0</v>
      </c>
      <c r="N12" s="118">
        <v>0</v>
      </c>
      <c r="O12" s="118">
        <v>0</v>
      </c>
      <c r="P12" s="118">
        <v>0</v>
      </c>
      <c r="Q12" s="118">
        <v>0</v>
      </c>
      <c r="R12" s="118">
        <v>962</v>
      </c>
      <c r="S12" s="118">
        <v>1062.2958776</v>
      </c>
      <c r="T12" s="118">
        <v>1129.2767445999998</v>
      </c>
      <c r="U12" s="118">
        <v>1430</v>
      </c>
      <c r="V12" s="118">
        <v>1227</v>
      </c>
      <c r="W12" s="118">
        <v>429</v>
      </c>
      <c r="X12" s="118">
        <v>480</v>
      </c>
      <c r="Y12" s="118">
        <v>919</v>
      </c>
      <c r="Z12" s="118">
        <v>860</v>
      </c>
      <c r="AA12" s="118">
        <v>1295</v>
      </c>
      <c r="AB12" s="118">
        <v>771</v>
      </c>
      <c r="AC12" s="118">
        <v>859</v>
      </c>
      <c r="AD12" s="118">
        <v>498</v>
      </c>
      <c r="AE12" s="118">
        <v>448</v>
      </c>
      <c r="AF12" s="118">
        <v>603</v>
      </c>
      <c r="AG12" s="118">
        <v>1346</v>
      </c>
      <c r="AH12" s="118">
        <v>559</v>
      </c>
      <c r="AI12" s="118">
        <v>625</v>
      </c>
      <c r="AJ12" s="118">
        <v>625</v>
      </c>
      <c r="AK12" s="118">
        <v>724</v>
      </c>
      <c r="AL12" s="118">
        <v>455</v>
      </c>
      <c r="AM12" s="118">
        <v>598</v>
      </c>
      <c r="AN12" s="118">
        <v>633</v>
      </c>
      <c r="AO12" s="118">
        <v>185</v>
      </c>
      <c r="AP12" s="118">
        <v>845</v>
      </c>
      <c r="AQ12" s="118">
        <v>773</v>
      </c>
      <c r="AR12" s="118">
        <v>905</v>
      </c>
      <c r="AS12" s="118">
        <v>1021</v>
      </c>
      <c r="AT12" s="118">
        <v>889</v>
      </c>
      <c r="AU12" s="118">
        <v>2024</v>
      </c>
      <c r="AV12" s="118">
        <v>-290</v>
      </c>
      <c r="AW12" s="118">
        <v>3788</v>
      </c>
      <c r="AX12" s="118">
        <v>2029</v>
      </c>
      <c r="AY12" s="118">
        <v>1330</v>
      </c>
      <c r="AZ12" s="118">
        <v>1517</v>
      </c>
      <c r="BA12" s="118">
        <v>1485</v>
      </c>
      <c r="BB12" s="118">
        <v>1517</v>
      </c>
      <c r="BC12" s="118">
        <f>+'[3]17 IRD NL'!AV64</f>
        <v>1586</v>
      </c>
    </row>
    <row r="13" spans="1:55" x14ac:dyDescent="0.2">
      <c r="A13" t="s">
        <v>1537</v>
      </c>
      <c r="B13" t="s">
        <v>1538</v>
      </c>
      <c r="D13" s="129" t="str">
        <f>IF([1]RENAME!$H$3=1,B13,A13)</f>
        <v>Arrendamento Mercantil</v>
      </c>
      <c r="E13" s="118" t="s">
        <v>160</v>
      </c>
      <c r="F13" s="118" t="s">
        <v>160</v>
      </c>
      <c r="G13" s="160" t="s">
        <v>160</v>
      </c>
      <c r="H13" s="118" t="s">
        <v>160</v>
      </c>
      <c r="I13" s="118" t="s">
        <v>160</v>
      </c>
      <c r="J13" s="118" t="s">
        <v>160</v>
      </c>
      <c r="K13" s="118" t="s">
        <v>160</v>
      </c>
      <c r="L13" s="118" t="s">
        <v>160</v>
      </c>
      <c r="M13" s="118" t="s">
        <v>160</v>
      </c>
      <c r="N13" s="118" t="s">
        <v>160</v>
      </c>
      <c r="O13" s="118" t="s">
        <v>160</v>
      </c>
      <c r="P13" s="118" t="s">
        <v>160</v>
      </c>
      <c r="Q13" s="118" t="s">
        <v>160</v>
      </c>
      <c r="R13" s="118" t="s">
        <v>160</v>
      </c>
      <c r="S13" s="118" t="s">
        <v>160</v>
      </c>
      <c r="T13" s="118" t="s">
        <v>160</v>
      </c>
      <c r="U13" s="118" t="s">
        <v>160</v>
      </c>
      <c r="V13" s="118" t="s">
        <v>160</v>
      </c>
      <c r="W13" s="118" t="s">
        <v>160</v>
      </c>
      <c r="X13" s="118" t="s">
        <v>160</v>
      </c>
      <c r="Y13" s="118" t="s">
        <v>160</v>
      </c>
      <c r="Z13" s="118" t="s">
        <v>160</v>
      </c>
      <c r="AA13" s="118" t="s">
        <v>160</v>
      </c>
      <c r="AB13" s="118" t="s">
        <v>160</v>
      </c>
      <c r="AC13" s="118" t="s">
        <v>160</v>
      </c>
      <c r="AD13" s="118" t="s">
        <v>160</v>
      </c>
      <c r="AE13" s="118" t="s">
        <v>160</v>
      </c>
      <c r="AF13" s="118" t="s">
        <v>160</v>
      </c>
      <c r="AG13" s="118" t="s">
        <v>160</v>
      </c>
      <c r="AH13" s="118" t="s">
        <v>160</v>
      </c>
      <c r="AI13" s="118" t="s">
        <v>160</v>
      </c>
      <c r="AJ13" s="118" t="s">
        <v>160</v>
      </c>
      <c r="AK13" s="118" t="s">
        <v>160</v>
      </c>
      <c r="AL13" s="118" t="s">
        <v>160</v>
      </c>
      <c r="AM13" s="118" t="s">
        <v>160</v>
      </c>
      <c r="AN13" s="118" t="s">
        <v>160</v>
      </c>
      <c r="AO13" s="118" t="s">
        <v>160</v>
      </c>
      <c r="AP13" s="118" t="s">
        <v>160</v>
      </c>
      <c r="AQ13" s="118" t="s">
        <v>160</v>
      </c>
      <c r="AR13" s="118" t="s">
        <v>160</v>
      </c>
      <c r="AS13" s="118" t="s">
        <v>160</v>
      </c>
      <c r="AT13" s="118" t="s">
        <v>160</v>
      </c>
      <c r="AU13" s="118" t="s">
        <v>160</v>
      </c>
      <c r="AV13" s="118" t="s">
        <v>160</v>
      </c>
      <c r="AW13" s="118" t="s">
        <v>160</v>
      </c>
      <c r="AX13" s="118">
        <v>5263</v>
      </c>
      <c r="AY13" s="118">
        <v>7184</v>
      </c>
      <c r="AZ13" s="118">
        <v>7926</v>
      </c>
      <c r="BA13" s="118">
        <v>4039</v>
      </c>
      <c r="BB13" s="118">
        <v>4043</v>
      </c>
      <c r="BC13" s="118">
        <f>+'[3]17 IRD NL'!AV65</f>
        <v>3940</v>
      </c>
    </row>
    <row r="14" spans="1:55" x14ac:dyDescent="0.2">
      <c r="A14" t="s">
        <v>2260</v>
      </c>
      <c r="B14" t="s">
        <v>2261</v>
      </c>
      <c r="D14" s="129" t="str">
        <f>IF([1]RENAME!$H$3=1,B14,A14)</f>
        <v>Provisão de Benefícios</v>
      </c>
      <c r="E14" s="118" t="s">
        <v>160</v>
      </c>
      <c r="F14" s="118" t="s">
        <v>160</v>
      </c>
      <c r="G14" s="160" t="s">
        <v>160</v>
      </c>
      <c r="H14" s="118" t="s">
        <v>160</v>
      </c>
      <c r="I14" s="118" t="s">
        <v>160</v>
      </c>
      <c r="J14" s="118" t="s">
        <v>160</v>
      </c>
      <c r="K14" s="118" t="s">
        <v>160</v>
      </c>
      <c r="L14" s="118" t="s">
        <v>160</v>
      </c>
      <c r="M14" s="118" t="s">
        <v>160</v>
      </c>
      <c r="N14" s="118" t="s">
        <v>160</v>
      </c>
      <c r="O14" s="118" t="s">
        <v>160</v>
      </c>
      <c r="P14" s="118" t="s">
        <v>160</v>
      </c>
      <c r="Q14" s="118" t="s">
        <v>160</v>
      </c>
      <c r="R14" s="118" t="s">
        <v>160</v>
      </c>
      <c r="S14" s="118" t="s">
        <v>160</v>
      </c>
      <c r="T14" s="118" t="s">
        <v>160</v>
      </c>
      <c r="U14" s="118" t="s">
        <v>160</v>
      </c>
      <c r="V14" s="118" t="s">
        <v>160</v>
      </c>
      <c r="W14" s="118" t="s">
        <v>160</v>
      </c>
      <c r="X14" s="118" t="s">
        <v>160</v>
      </c>
      <c r="Y14" s="118" t="s">
        <v>160</v>
      </c>
      <c r="Z14" s="118" t="s">
        <v>160</v>
      </c>
      <c r="AA14" s="118" t="s">
        <v>160</v>
      </c>
      <c r="AB14" s="118" t="s">
        <v>160</v>
      </c>
      <c r="AC14" s="118" t="s">
        <v>160</v>
      </c>
      <c r="AD14" s="118" t="s">
        <v>160</v>
      </c>
      <c r="AE14" s="118" t="s">
        <v>160</v>
      </c>
      <c r="AF14" s="118" t="s">
        <v>160</v>
      </c>
      <c r="AG14" s="118" t="s">
        <v>160</v>
      </c>
      <c r="AH14" s="118" t="s">
        <v>160</v>
      </c>
      <c r="AI14" s="118" t="s">
        <v>160</v>
      </c>
      <c r="AJ14" s="118" t="s">
        <v>160</v>
      </c>
      <c r="AK14" s="118" t="s">
        <v>160</v>
      </c>
      <c r="AL14" s="118" t="s">
        <v>160</v>
      </c>
      <c r="AM14" s="118" t="s">
        <v>160</v>
      </c>
      <c r="AN14" s="118" t="s">
        <v>160</v>
      </c>
      <c r="AO14" s="118" t="s">
        <v>160</v>
      </c>
      <c r="AP14" s="118" t="s">
        <v>160</v>
      </c>
      <c r="AQ14" s="118" t="s">
        <v>160</v>
      </c>
      <c r="AR14" s="118" t="s">
        <v>160</v>
      </c>
      <c r="AS14" s="118" t="s">
        <v>160</v>
      </c>
      <c r="AT14" s="118" t="s">
        <v>160</v>
      </c>
      <c r="AU14" s="118" t="s">
        <v>160</v>
      </c>
      <c r="AV14" s="118" t="s">
        <v>160</v>
      </c>
      <c r="AW14" s="118" t="s">
        <v>160</v>
      </c>
      <c r="AX14" s="118">
        <v>1061</v>
      </c>
      <c r="AY14" s="118">
        <v>994</v>
      </c>
      <c r="AZ14" s="118">
        <v>1055</v>
      </c>
      <c r="BA14" s="118">
        <v>1015</v>
      </c>
      <c r="BB14" s="118">
        <v>1282</v>
      </c>
      <c r="BC14" s="118">
        <f>+'[3]17 IRD NL'!AV66</f>
        <v>415</v>
      </c>
    </row>
    <row r="15" spans="1:55" x14ac:dyDescent="0.2">
      <c r="A15" t="s">
        <v>2262</v>
      </c>
      <c r="B15" t="s">
        <v>2263</v>
      </c>
      <c r="D15" s="129" t="str">
        <f>IF([1]RENAME!$H$3=1,B15,A15)</f>
        <v>Provisão de Seguros</v>
      </c>
      <c r="E15" s="118"/>
      <c r="F15" s="118"/>
      <c r="G15" s="160"/>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v>965</v>
      </c>
      <c r="AY15" s="118">
        <v>1090</v>
      </c>
      <c r="AZ15" s="118">
        <v>1203</v>
      </c>
      <c r="BA15" s="118">
        <v>1320</v>
      </c>
      <c r="BB15" s="118">
        <v>1260</v>
      </c>
      <c r="BC15" s="118">
        <f>+'[3]17 IRD NL'!AV67</f>
        <v>2890</v>
      </c>
    </row>
    <row r="16" spans="1:55" x14ac:dyDescent="0.2">
      <c r="A16" t="s">
        <v>571</v>
      </c>
      <c r="B16" t="s">
        <v>1001</v>
      </c>
      <c r="D16" s="129" t="str">
        <f>IF([1]RENAME!$H$3=1,B16,A16)</f>
        <v xml:space="preserve">    Provisão cut-off</v>
      </c>
      <c r="E16" s="118">
        <v>0</v>
      </c>
      <c r="F16" s="118">
        <v>0</v>
      </c>
      <c r="G16" s="160">
        <v>0</v>
      </c>
      <c r="H16" s="118">
        <v>0</v>
      </c>
      <c r="I16" s="118">
        <v>0</v>
      </c>
      <c r="J16" s="118">
        <v>0</v>
      </c>
      <c r="K16" s="118">
        <v>0</v>
      </c>
      <c r="L16" s="118">
        <v>0</v>
      </c>
      <c r="M16" s="118">
        <v>0</v>
      </c>
      <c r="N16" s="118">
        <v>0</v>
      </c>
      <c r="O16" s="118">
        <v>0</v>
      </c>
      <c r="P16" s="118">
        <v>0</v>
      </c>
      <c r="Q16" s="118">
        <v>0</v>
      </c>
      <c r="R16" s="118">
        <v>1122</v>
      </c>
      <c r="S16" s="118">
        <v>1348.7877622000001</v>
      </c>
      <c r="T16" s="118">
        <v>1123.2933974000007</v>
      </c>
      <c r="U16" s="118">
        <v>1107</v>
      </c>
      <c r="V16" s="118">
        <v>4514</v>
      </c>
      <c r="W16" s="118">
        <v>5191</v>
      </c>
      <c r="X16" s="118">
        <v>4643</v>
      </c>
      <c r="Y16" s="118">
        <v>3518</v>
      </c>
      <c r="Z16" s="118">
        <v>1726</v>
      </c>
      <c r="AA16" s="118">
        <v>1507</v>
      </c>
      <c r="AB16" s="118">
        <v>2002</v>
      </c>
      <c r="AC16" s="118">
        <v>1790</v>
      </c>
      <c r="AD16" s="118">
        <v>956</v>
      </c>
      <c r="AE16" s="118">
        <v>1114</v>
      </c>
      <c r="AF16" s="118">
        <v>1696</v>
      </c>
      <c r="AG16" s="118">
        <v>1532</v>
      </c>
      <c r="AH16" s="118">
        <v>1236</v>
      </c>
      <c r="AI16" s="118">
        <v>1140</v>
      </c>
      <c r="AJ16" s="118">
        <v>1140</v>
      </c>
      <c r="AK16" s="118">
        <v>1136</v>
      </c>
      <c r="AL16" s="118">
        <v>2869</v>
      </c>
      <c r="AM16" s="118">
        <v>3787</v>
      </c>
      <c r="AN16" s="118">
        <v>4278</v>
      </c>
      <c r="AO16" s="118">
        <v>8343</v>
      </c>
      <c r="AP16" s="118">
        <v>4142</v>
      </c>
      <c r="AQ16" s="118">
        <v>3897</v>
      </c>
      <c r="AR16" s="118">
        <v>4334</v>
      </c>
      <c r="AS16" s="118">
        <v>3421</v>
      </c>
      <c r="AT16" s="118">
        <v>2695</v>
      </c>
      <c r="AU16" s="118">
        <v>4411</v>
      </c>
      <c r="AV16" s="118">
        <v>-2437</v>
      </c>
      <c r="AW16" s="118">
        <v>3444</v>
      </c>
      <c r="AX16" s="118">
        <v>4383</v>
      </c>
      <c r="AY16" s="118">
        <v>5439</v>
      </c>
      <c r="AZ16" s="118">
        <v>6100</v>
      </c>
      <c r="BA16" s="118">
        <v>4178</v>
      </c>
      <c r="BB16" s="118">
        <v>6450</v>
      </c>
      <c r="BC16" s="118">
        <f>+'[3]17 IRD NL'!AV68</f>
        <v>8413</v>
      </c>
    </row>
    <row r="17" spans="1:55" x14ac:dyDescent="0.2">
      <c r="A17" t="s">
        <v>1845</v>
      </c>
      <c r="B17" t="s">
        <v>1842</v>
      </c>
      <c r="D17" s="129" t="str">
        <f>IF([1]RENAME!$H$3=1,B17,A17)</f>
        <v xml:space="preserve">    Passivo atuarial</v>
      </c>
      <c r="E17" s="118">
        <v>0</v>
      </c>
      <c r="F17" s="118">
        <v>0</v>
      </c>
      <c r="G17" s="160">
        <v>0</v>
      </c>
      <c r="H17" s="118">
        <v>0</v>
      </c>
      <c r="I17" s="118">
        <v>0</v>
      </c>
      <c r="J17" s="118">
        <v>0</v>
      </c>
      <c r="K17" s="118">
        <v>0</v>
      </c>
      <c r="L17" s="118">
        <v>0</v>
      </c>
      <c r="M17" s="118">
        <v>0</v>
      </c>
      <c r="N17" s="118">
        <v>0</v>
      </c>
      <c r="O17" s="118">
        <v>0</v>
      </c>
      <c r="P17" s="118">
        <v>0</v>
      </c>
      <c r="Q17" s="118">
        <v>0</v>
      </c>
      <c r="R17" s="118">
        <v>0</v>
      </c>
      <c r="S17" s="118">
        <v>0</v>
      </c>
      <c r="T17" s="118">
        <v>0</v>
      </c>
      <c r="U17" s="118">
        <v>0</v>
      </c>
      <c r="V17" s="118">
        <v>0</v>
      </c>
      <c r="W17" s="118">
        <v>0</v>
      </c>
      <c r="X17" s="118">
        <v>0</v>
      </c>
      <c r="Y17" s="118">
        <v>0</v>
      </c>
      <c r="Z17" s="118">
        <v>0</v>
      </c>
      <c r="AA17" s="118">
        <v>0</v>
      </c>
      <c r="AB17" s="118">
        <v>0</v>
      </c>
      <c r="AC17" s="118">
        <v>0</v>
      </c>
      <c r="AD17" s="118">
        <v>0</v>
      </c>
      <c r="AE17" s="118">
        <v>0</v>
      </c>
      <c r="AF17" s="118">
        <v>0</v>
      </c>
      <c r="AG17" s="118">
        <v>833</v>
      </c>
      <c r="AH17" s="118">
        <v>833</v>
      </c>
      <c r="AI17" s="118">
        <v>833</v>
      </c>
      <c r="AJ17" s="118">
        <v>833</v>
      </c>
      <c r="AK17" s="118">
        <v>990</v>
      </c>
      <c r="AL17" s="118">
        <v>990</v>
      </c>
      <c r="AM17" s="118">
        <v>990</v>
      </c>
      <c r="AN17" s="118">
        <v>990</v>
      </c>
      <c r="AO17" s="118">
        <v>262</v>
      </c>
      <c r="AP17" s="118">
        <v>2726</v>
      </c>
      <c r="AQ17" s="118">
        <v>2726</v>
      </c>
      <c r="AR17" s="118">
        <v>2726</v>
      </c>
      <c r="AS17" s="118">
        <v>2475</v>
      </c>
      <c r="AT17" s="118">
        <v>2475</v>
      </c>
      <c r="AU17" s="118">
        <v>2475</v>
      </c>
      <c r="AV17" s="118">
        <v>2475</v>
      </c>
      <c r="AW17" s="118">
        <v>1856</v>
      </c>
      <c r="AX17" s="118">
        <v>1856</v>
      </c>
      <c r="AY17" s="118">
        <v>631.04000000000008</v>
      </c>
      <c r="AZ17" s="118">
        <v>631</v>
      </c>
      <c r="BA17" s="118">
        <v>649</v>
      </c>
      <c r="BB17" s="118">
        <v>649</v>
      </c>
      <c r="BC17" s="118">
        <f>+'[3]17 IRD NL'!AV69</f>
        <v>649</v>
      </c>
    </row>
    <row r="18" spans="1:55" x14ac:dyDescent="0.2">
      <c r="A18" t="s">
        <v>291</v>
      </c>
      <c r="B18" t="s">
        <v>728</v>
      </c>
      <c r="D18" s="129" t="str">
        <f>IF([1]RENAME!$H$3=1,B18,A18)</f>
        <v xml:space="preserve">    Outras</v>
      </c>
      <c r="E18" s="118">
        <v>10850</v>
      </c>
      <c r="F18" s="118">
        <v>12473</v>
      </c>
      <c r="G18" s="160">
        <v>5981</v>
      </c>
      <c r="H18" s="118">
        <v>7516</v>
      </c>
      <c r="I18" s="118">
        <v>6603</v>
      </c>
      <c r="J18" s="118">
        <v>4827</v>
      </c>
      <c r="K18" s="118">
        <v>6401</v>
      </c>
      <c r="L18" s="118">
        <v>4339</v>
      </c>
      <c r="M18" s="118">
        <v>7400</v>
      </c>
      <c r="N18" s="118">
        <v>7206</v>
      </c>
      <c r="O18" s="118">
        <v>5014</v>
      </c>
      <c r="P18" s="118">
        <v>4630</v>
      </c>
      <c r="Q18" s="118">
        <v>5622</v>
      </c>
      <c r="R18" s="118">
        <v>4495</v>
      </c>
      <c r="S18" s="118">
        <v>3551.2823502000006</v>
      </c>
      <c r="T18" s="118">
        <v>5719.0271699999994</v>
      </c>
      <c r="U18" s="118">
        <v>12214</v>
      </c>
      <c r="V18" s="118">
        <v>10046</v>
      </c>
      <c r="W18" s="118">
        <v>5627</v>
      </c>
      <c r="X18" s="118">
        <v>6236</v>
      </c>
      <c r="Y18" s="118">
        <v>7910</v>
      </c>
      <c r="Z18" s="118">
        <v>8082</v>
      </c>
      <c r="AA18" s="118">
        <v>7130</v>
      </c>
      <c r="AB18" s="118">
        <v>10089</v>
      </c>
      <c r="AC18" s="118">
        <v>8980</v>
      </c>
      <c r="AD18" s="118">
        <v>7650</v>
      </c>
      <c r="AE18" s="118">
        <v>8137</v>
      </c>
      <c r="AF18" s="118">
        <v>8129</v>
      </c>
      <c r="AG18" s="118">
        <v>8932</v>
      </c>
      <c r="AH18" s="118">
        <v>8383</v>
      </c>
      <c r="AI18" s="118">
        <v>8615</v>
      </c>
      <c r="AJ18" s="118">
        <v>9100</v>
      </c>
      <c r="AK18" s="118">
        <v>7899</v>
      </c>
      <c r="AL18" s="118">
        <v>8237</v>
      </c>
      <c r="AM18" s="118">
        <v>8270</v>
      </c>
      <c r="AN18" s="118">
        <v>7685</v>
      </c>
      <c r="AO18" s="118">
        <v>3519</v>
      </c>
      <c r="AP18" s="118">
        <v>7417</v>
      </c>
      <c r="AQ18" s="118">
        <v>7827</v>
      </c>
      <c r="AR18" s="118">
        <v>7654</v>
      </c>
      <c r="AS18" s="118">
        <v>7765</v>
      </c>
      <c r="AT18" s="118">
        <v>7843</v>
      </c>
      <c r="AU18" s="118">
        <v>7940</v>
      </c>
      <c r="AV18" s="118">
        <v>19091</v>
      </c>
      <c r="AW18" s="118">
        <v>10731</v>
      </c>
      <c r="AX18" s="118">
        <v>3789</v>
      </c>
      <c r="AY18" s="118">
        <v>5472.9599999999991</v>
      </c>
      <c r="AZ18" s="118">
        <v>5215</v>
      </c>
      <c r="BA18" s="118">
        <v>4451</v>
      </c>
      <c r="BB18" s="118">
        <v>6088</v>
      </c>
      <c r="BC18" s="118">
        <f>+'[3]17 IRD NL'!AV70</f>
        <v>7135</v>
      </c>
    </row>
    <row r="19" spans="1:55" s="310" customFormat="1" hidden="1" outlineLevel="1" x14ac:dyDescent="0.2">
      <c r="A19" s="310" t="s">
        <v>290</v>
      </c>
      <c r="B19" s="310" t="s">
        <v>1002</v>
      </c>
      <c r="D19" s="317" t="str">
        <f>IF([1]RENAME!$H$3=1,B19,A19)</f>
        <v xml:space="preserve">    Provisões para indenizações</v>
      </c>
      <c r="E19" s="311">
        <v>2874</v>
      </c>
      <c r="F19" s="311">
        <v>1242</v>
      </c>
      <c r="G19" s="318">
        <v>1098</v>
      </c>
      <c r="H19" s="311">
        <v>1516</v>
      </c>
      <c r="I19" s="311">
        <v>144</v>
      </c>
      <c r="J19" s="311">
        <v>153</v>
      </c>
      <c r="K19" s="311">
        <v>0</v>
      </c>
      <c r="L19" s="311">
        <v>0</v>
      </c>
      <c r="M19" s="311">
        <v>0</v>
      </c>
      <c r="N19" s="311">
        <v>0</v>
      </c>
      <c r="O19" s="311">
        <v>0</v>
      </c>
      <c r="P19" s="311">
        <v>0</v>
      </c>
      <c r="Q19" s="311">
        <v>0</v>
      </c>
      <c r="R19" s="311">
        <v>0</v>
      </c>
      <c r="S19" s="311">
        <v>0</v>
      </c>
      <c r="T19" s="311">
        <v>0</v>
      </c>
      <c r="U19" s="311">
        <v>0</v>
      </c>
      <c r="V19" s="311">
        <v>0</v>
      </c>
      <c r="W19" s="311">
        <v>0</v>
      </c>
      <c r="X19" s="311">
        <v>0</v>
      </c>
      <c r="Y19" s="311">
        <v>0</v>
      </c>
      <c r="Z19" s="311">
        <v>0</v>
      </c>
      <c r="AA19" s="311"/>
      <c r="AB19" s="311">
        <v>0</v>
      </c>
      <c r="AC19" s="311">
        <v>0</v>
      </c>
      <c r="AD19" s="311">
        <v>0</v>
      </c>
      <c r="AE19" s="311">
        <v>0</v>
      </c>
      <c r="AF19" s="311">
        <v>0</v>
      </c>
      <c r="AG19" s="311">
        <v>0</v>
      </c>
      <c r="AH19" s="311">
        <v>0</v>
      </c>
      <c r="AI19" s="311">
        <v>0</v>
      </c>
      <c r="AJ19" s="311">
        <v>0</v>
      </c>
      <c r="AK19" s="311"/>
      <c r="AL19" s="311">
        <v>0</v>
      </c>
      <c r="AM19" s="311">
        <v>0</v>
      </c>
      <c r="AN19" s="311">
        <v>0</v>
      </c>
      <c r="AO19" s="311">
        <v>0</v>
      </c>
      <c r="AP19" s="311">
        <v>0</v>
      </c>
      <c r="AQ19" s="311">
        <v>0</v>
      </c>
      <c r="AR19" s="311">
        <v>0</v>
      </c>
      <c r="AS19" s="311">
        <v>0</v>
      </c>
      <c r="AT19" s="311">
        <v>0</v>
      </c>
      <c r="AU19" s="311"/>
      <c r="AV19" s="311">
        <v>0</v>
      </c>
      <c r="AW19" s="311">
        <v>0</v>
      </c>
      <c r="AX19" s="311">
        <v>0</v>
      </c>
      <c r="AY19" s="311">
        <v>0</v>
      </c>
      <c r="AZ19" s="311">
        <v>0</v>
      </c>
      <c r="BA19" s="311">
        <v>0</v>
      </c>
      <c r="BB19" s="311">
        <v>0</v>
      </c>
      <c r="BC19" s="311">
        <v>0</v>
      </c>
    </row>
    <row r="20" spans="1:55" s="310" customFormat="1" hidden="1" outlineLevel="1" x14ac:dyDescent="0.2">
      <c r="A20" s="310" t="s">
        <v>1330</v>
      </c>
      <c r="B20" s="310" t="s">
        <v>1331</v>
      </c>
      <c r="D20" s="317" t="str">
        <f>IF([1]RENAME!$H$3=1,B20,A20)</f>
        <v xml:space="preserve">    Provisão perda com antiga controlada</v>
      </c>
      <c r="E20" s="311">
        <v>0</v>
      </c>
      <c r="F20" s="311">
        <v>0</v>
      </c>
      <c r="G20" s="318">
        <v>0</v>
      </c>
      <c r="H20" s="311">
        <v>0</v>
      </c>
      <c r="I20" s="311">
        <v>0</v>
      </c>
      <c r="J20" s="311">
        <v>0</v>
      </c>
      <c r="K20" s="311">
        <v>0</v>
      </c>
      <c r="L20" s="311">
        <v>0</v>
      </c>
      <c r="M20" s="311">
        <v>0</v>
      </c>
      <c r="N20" s="311">
        <v>0</v>
      </c>
      <c r="O20" s="311">
        <v>0</v>
      </c>
      <c r="P20" s="311">
        <v>0</v>
      </c>
      <c r="Q20" s="311">
        <v>0</v>
      </c>
      <c r="R20" s="311">
        <v>0</v>
      </c>
      <c r="S20" s="311">
        <v>0</v>
      </c>
      <c r="T20" s="311">
        <v>0</v>
      </c>
      <c r="U20" s="311">
        <v>0</v>
      </c>
      <c r="V20" s="311">
        <v>0</v>
      </c>
      <c r="W20" s="311">
        <v>3898</v>
      </c>
      <c r="X20" s="311">
        <v>3898</v>
      </c>
      <c r="Y20" s="311">
        <v>4546</v>
      </c>
      <c r="Z20" s="311">
        <v>4546</v>
      </c>
      <c r="AA20" s="311">
        <v>4546</v>
      </c>
      <c r="AB20" s="311">
        <v>4546</v>
      </c>
      <c r="AC20" s="311">
        <v>0</v>
      </c>
      <c r="AD20" s="311">
        <v>0</v>
      </c>
      <c r="AE20" s="311">
        <v>0</v>
      </c>
      <c r="AF20" s="311">
        <v>0</v>
      </c>
      <c r="AG20" s="311">
        <v>0</v>
      </c>
      <c r="AH20" s="311">
        <v>0</v>
      </c>
      <c r="AI20" s="311">
        <v>0</v>
      </c>
      <c r="AJ20" s="311">
        <v>0</v>
      </c>
      <c r="AK20" s="311">
        <v>0</v>
      </c>
      <c r="AL20" s="311">
        <v>0</v>
      </c>
      <c r="AM20" s="311">
        <v>0</v>
      </c>
      <c r="AN20" s="311">
        <v>0</v>
      </c>
      <c r="AO20" s="311">
        <v>0</v>
      </c>
      <c r="AP20" s="311">
        <v>0</v>
      </c>
      <c r="AQ20" s="311">
        <v>0</v>
      </c>
      <c r="AR20" s="311">
        <v>0</v>
      </c>
      <c r="AS20" s="311">
        <v>0</v>
      </c>
      <c r="AT20" s="311">
        <v>0</v>
      </c>
      <c r="AU20" s="311">
        <v>0</v>
      </c>
      <c r="AV20" s="311">
        <v>0</v>
      </c>
      <c r="AW20" s="311">
        <v>0</v>
      </c>
      <c r="AX20" s="311">
        <v>0</v>
      </c>
      <c r="AY20" s="311">
        <v>0</v>
      </c>
      <c r="AZ20" s="311">
        <v>0</v>
      </c>
      <c r="BA20" s="311">
        <v>0</v>
      </c>
      <c r="BB20" s="311">
        <v>0</v>
      </c>
      <c r="BC20" s="311">
        <v>0</v>
      </c>
    </row>
    <row r="21" spans="1:55" s="310" customFormat="1" hidden="1" outlineLevel="1" x14ac:dyDescent="0.2">
      <c r="A21" s="310" t="s">
        <v>285</v>
      </c>
      <c r="B21" s="310" t="s">
        <v>997</v>
      </c>
      <c r="D21" s="317" t="str">
        <f>IF([1]RENAME!$H$3=1,B21,A21)</f>
        <v>Ajuste projeção de alíquota efetiva</v>
      </c>
      <c r="E21" s="311">
        <v>0</v>
      </c>
      <c r="F21" s="311">
        <v>0</v>
      </c>
      <c r="G21" s="318">
        <v>-10946</v>
      </c>
      <c r="H21" s="311">
        <v>4068</v>
      </c>
      <c r="I21" s="311">
        <v>0</v>
      </c>
      <c r="J21" s="311">
        <v>0</v>
      </c>
      <c r="K21" s="311">
        <v>0</v>
      </c>
      <c r="L21" s="311">
        <v>0</v>
      </c>
      <c r="M21" s="311">
        <v>0</v>
      </c>
      <c r="N21" s="311">
        <v>0</v>
      </c>
      <c r="O21" s="311">
        <v>0</v>
      </c>
      <c r="P21" s="311">
        <v>0</v>
      </c>
      <c r="Q21" s="311">
        <v>0</v>
      </c>
      <c r="R21" s="311">
        <v>0</v>
      </c>
      <c r="S21" s="311">
        <v>0</v>
      </c>
      <c r="T21" s="311">
        <v>0</v>
      </c>
      <c r="U21" s="311">
        <v>0</v>
      </c>
      <c r="V21" s="311">
        <v>0</v>
      </c>
      <c r="W21" s="311">
        <v>0</v>
      </c>
      <c r="X21" s="311">
        <v>0</v>
      </c>
      <c r="Y21" s="311">
        <v>0</v>
      </c>
      <c r="Z21" s="311">
        <v>0</v>
      </c>
      <c r="AA21" s="311"/>
      <c r="AB21" s="311">
        <v>0</v>
      </c>
      <c r="AC21" s="311">
        <v>0</v>
      </c>
      <c r="AD21" s="311">
        <v>0</v>
      </c>
      <c r="AE21" s="311">
        <v>0</v>
      </c>
      <c r="AF21" s="311">
        <v>0</v>
      </c>
      <c r="AG21" s="311">
        <v>0</v>
      </c>
      <c r="AH21" s="311">
        <v>0</v>
      </c>
      <c r="AI21" s="311">
        <v>0</v>
      </c>
      <c r="AJ21" s="311">
        <v>0</v>
      </c>
      <c r="AK21" s="311"/>
      <c r="AL21" s="311">
        <v>0</v>
      </c>
      <c r="AM21" s="311">
        <v>0</v>
      </c>
      <c r="AN21" s="311">
        <v>0</v>
      </c>
      <c r="AO21" s="311">
        <v>0</v>
      </c>
      <c r="AP21" s="311">
        <v>0</v>
      </c>
      <c r="AQ21" s="311">
        <v>0</v>
      </c>
      <c r="AR21" s="311">
        <v>0</v>
      </c>
      <c r="AS21" s="311">
        <v>0</v>
      </c>
      <c r="AT21" s="311">
        <v>0</v>
      </c>
      <c r="AU21" s="311"/>
      <c r="AV21" s="311">
        <v>0</v>
      </c>
      <c r="AW21" s="311">
        <v>0</v>
      </c>
      <c r="AX21" s="311">
        <v>0</v>
      </c>
      <c r="AY21" s="311">
        <v>0</v>
      </c>
      <c r="AZ21" s="311">
        <v>0</v>
      </c>
      <c r="BA21" s="311">
        <v>0</v>
      </c>
      <c r="BB21" s="311">
        <v>0</v>
      </c>
      <c r="BC21" s="311">
        <v>0</v>
      </c>
    </row>
    <row r="22" spans="1:55" s="310" customFormat="1" hidden="1" outlineLevel="1" x14ac:dyDescent="0.2">
      <c r="A22" s="310" t="s">
        <v>286</v>
      </c>
      <c r="B22" s="310" t="s">
        <v>998</v>
      </c>
      <c r="D22" s="317" t="str">
        <f>IF([1]RENAME!$H$3=1,B22,A22)</f>
        <v>Diferenças temporárias</v>
      </c>
      <c r="E22" s="311">
        <v>0</v>
      </c>
      <c r="F22" s="311">
        <v>0</v>
      </c>
      <c r="G22" s="318">
        <v>0</v>
      </c>
      <c r="H22" s="311">
        <v>0</v>
      </c>
      <c r="I22" s="311">
        <v>0</v>
      </c>
      <c r="J22" s="311">
        <v>0</v>
      </c>
      <c r="K22" s="311">
        <v>0</v>
      </c>
      <c r="L22" s="311">
        <v>0</v>
      </c>
      <c r="M22" s="311">
        <v>0</v>
      </c>
      <c r="N22" s="311">
        <v>0</v>
      </c>
      <c r="O22" s="311">
        <v>0</v>
      </c>
      <c r="P22" s="311">
        <v>0</v>
      </c>
      <c r="Q22" s="311">
        <v>0</v>
      </c>
      <c r="R22" s="311">
        <v>0</v>
      </c>
      <c r="S22" s="311">
        <v>0</v>
      </c>
      <c r="T22" s="311">
        <v>0</v>
      </c>
      <c r="U22" s="311">
        <v>0</v>
      </c>
      <c r="V22" s="311">
        <v>0</v>
      </c>
      <c r="W22" s="311">
        <v>0</v>
      </c>
      <c r="X22" s="311">
        <v>0</v>
      </c>
      <c r="Y22" s="311">
        <v>0</v>
      </c>
      <c r="Z22" s="311">
        <v>0</v>
      </c>
      <c r="AA22" s="311">
        <v>0</v>
      </c>
      <c r="AB22" s="311">
        <v>0</v>
      </c>
      <c r="AC22" s="311">
        <v>0</v>
      </c>
      <c r="AD22" s="311">
        <v>0</v>
      </c>
      <c r="AE22" s="311">
        <v>0</v>
      </c>
      <c r="AF22" s="311">
        <v>0</v>
      </c>
      <c r="AG22" s="311">
        <v>0</v>
      </c>
      <c r="AH22" s="311">
        <v>0</v>
      </c>
      <c r="AI22" s="311">
        <v>0</v>
      </c>
      <c r="AJ22" s="311">
        <v>0</v>
      </c>
      <c r="AK22" s="311">
        <v>0</v>
      </c>
      <c r="AL22" s="311">
        <v>0</v>
      </c>
      <c r="AM22" s="311">
        <v>0</v>
      </c>
      <c r="AN22" s="311">
        <v>0</v>
      </c>
      <c r="AO22" s="311">
        <v>0</v>
      </c>
      <c r="AP22" s="311">
        <v>0</v>
      </c>
      <c r="AQ22" s="311">
        <v>0</v>
      </c>
      <c r="AR22" s="311">
        <v>0</v>
      </c>
      <c r="AS22" s="311">
        <v>0</v>
      </c>
      <c r="AT22" s="311">
        <v>0</v>
      </c>
      <c r="AU22" s="311"/>
      <c r="AV22" s="311">
        <v>0</v>
      </c>
      <c r="AW22" s="311">
        <v>0</v>
      </c>
      <c r="AX22" s="311">
        <v>0</v>
      </c>
      <c r="AY22" s="311">
        <v>0</v>
      </c>
      <c r="AZ22" s="311">
        <v>0</v>
      </c>
      <c r="BA22" s="311">
        <v>0</v>
      </c>
      <c r="BB22" s="311">
        <v>0</v>
      </c>
      <c r="BC22" s="311">
        <v>0</v>
      </c>
    </row>
    <row r="23" spans="1:55" s="310" customFormat="1" hidden="1" outlineLevel="1" x14ac:dyDescent="0.2">
      <c r="A23" s="310" t="s">
        <v>505</v>
      </c>
      <c r="B23" s="310" t="s">
        <v>1003</v>
      </c>
      <c r="D23" s="317" t="str">
        <f>IF([1]RENAME!$H$3=1,B23,A23)</f>
        <v xml:space="preserve">    Benefício fiscal do ágio na incorporação</v>
      </c>
      <c r="E23" s="311">
        <v>14612</v>
      </c>
      <c r="F23" s="311">
        <v>13406</v>
      </c>
      <c r="G23" s="318">
        <v>24478</v>
      </c>
      <c r="H23" s="311">
        <v>13077</v>
      </c>
      <c r="I23" s="311">
        <v>11185</v>
      </c>
      <c r="J23" s="311">
        <v>9293</v>
      </c>
      <c r="K23" s="311">
        <v>7401</v>
      </c>
      <c r="L23" s="311">
        <v>5509</v>
      </c>
      <c r="M23" s="311">
        <v>0</v>
      </c>
      <c r="N23" s="311">
        <v>0</v>
      </c>
      <c r="O23" s="311">
        <v>0</v>
      </c>
      <c r="P23" s="311">
        <v>0</v>
      </c>
      <c r="Q23" s="311">
        <v>0</v>
      </c>
      <c r="R23" s="311">
        <v>0</v>
      </c>
      <c r="S23" s="311">
        <v>0</v>
      </c>
      <c r="T23" s="311">
        <v>0</v>
      </c>
      <c r="U23" s="311">
        <v>0</v>
      </c>
      <c r="V23" s="311">
        <v>0</v>
      </c>
      <c r="W23" s="311">
        <v>0</v>
      </c>
      <c r="X23" s="311">
        <v>0</v>
      </c>
      <c r="Y23" s="311">
        <v>0</v>
      </c>
      <c r="Z23" s="311">
        <v>0</v>
      </c>
      <c r="AA23" s="311">
        <v>0</v>
      </c>
      <c r="AB23" s="311">
        <v>0</v>
      </c>
      <c r="AC23" s="311">
        <v>0</v>
      </c>
      <c r="AD23" s="311">
        <v>0</v>
      </c>
      <c r="AE23" s="311">
        <v>0</v>
      </c>
      <c r="AF23" s="311">
        <v>0</v>
      </c>
      <c r="AG23" s="311">
        <v>0</v>
      </c>
      <c r="AH23" s="311">
        <v>0</v>
      </c>
      <c r="AI23" s="311">
        <v>0</v>
      </c>
      <c r="AJ23" s="311">
        <v>0</v>
      </c>
      <c r="AK23" s="311">
        <v>0</v>
      </c>
      <c r="AL23" s="311">
        <v>0</v>
      </c>
      <c r="AM23" s="311">
        <v>0</v>
      </c>
      <c r="AN23" s="311">
        <v>0</v>
      </c>
      <c r="AO23" s="311">
        <v>0</v>
      </c>
      <c r="AP23" s="311">
        <v>0</v>
      </c>
      <c r="AQ23" s="311">
        <v>0</v>
      </c>
      <c r="AR23" s="311">
        <v>0</v>
      </c>
      <c r="AS23" s="311">
        <v>0</v>
      </c>
      <c r="AT23" s="311">
        <v>0</v>
      </c>
      <c r="AU23" s="311"/>
      <c r="AV23" s="311">
        <v>0</v>
      </c>
      <c r="AW23" s="311">
        <v>0</v>
      </c>
      <c r="AX23" s="311">
        <v>0</v>
      </c>
      <c r="AY23" s="311">
        <v>0</v>
      </c>
      <c r="AZ23" s="311">
        <v>0</v>
      </c>
      <c r="BA23" s="311">
        <v>0</v>
      </c>
      <c r="BB23" s="311">
        <v>0</v>
      </c>
      <c r="BC23" s="311">
        <v>0</v>
      </c>
    </row>
    <row r="24" spans="1:55" collapsed="1" x14ac:dyDescent="0.2">
      <c r="A24" t="s">
        <v>292</v>
      </c>
      <c r="B24" t="s">
        <v>292</v>
      </c>
      <c r="D24" s="126" t="str">
        <f>IF([1]RENAME!$H$3=1,B24,A24)</f>
        <v>Subtotal</v>
      </c>
      <c r="E24" s="120">
        <f t="shared" ref="E24:L24" si="9">SUM(E6:E23)</f>
        <v>95517</v>
      </c>
      <c r="F24" s="120">
        <f t="shared" si="9"/>
        <v>98274</v>
      </c>
      <c r="G24" s="162">
        <f t="shared" si="9"/>
        <v>51278</v>
      </c>
      <c r="H24" s="120">
        <f t="shared" si="9"/>
        <v>56362</v>
      </c>
      <c r="I24" s="120">
        <f t="shared" si="9"/>
        <v>45006</v>
      </c>
      <c r="J24" s="120">
        <f t="shared" si="9"/>
        <v>44210</v>
      </c>
      <c r="K24" s="120">
        <f t="shared" si="9"/>
        <v>42123</v>
      </c>
      <c r="L24" s="120">
        <f t="shared" si="9"/>
        <v>40316</v>
      </c>
      <c r="M24" s="120">
        <f>SUM(M6:M18)</f>
        <v>41334</v>
      </c>
      <c r="N24" s="120">
        <f>SUM(N6:N18)</f>
        <v>42242</v>
      </c>
      <c r="O24" s="120">
        <f>SUM(O6:O18)</f>
        <v>40549</v>
      </c>
      <c r="P24" s="120">
        <f t="shared" ref="P24:AW24" si="10">SUM(P6:P23)</f>
        <v>38795</v>
      </c>
      <c r="Q24" s="120">
        <f t="shared" si="10"/>
        <v>39459</v>
      </c>
      <c r="R24" s="120">
        <f t="shared" si="10"/>
        <v>40255</v>
      </c>
      <c r="S24" s="120">
        <f t="shared" si="10"/>
        <v>45970.528785850343</v>
      </c>
      <c r="T24" s="120">
        <f t="shared" si="10"/>
        <v>49265.50898869033</v>
      </c>
      <c r="U24" s="120">
        <f t="shared" si="10"/>
        <v>68890</v>
      </c>
      <c r="V24" s="120">
        <f t="shared" si="10"/>
        <v>47487</v>
      </c>
      <c r="W24" s="120">
        <f t="shared" si="10"/>
        <v>45720</v>
      </c>
      <c r="X24" s="120">
        <f t="shared" si="10"/>
        <v>45581</v>
      </c>
      <c r="Y24" s="120">
        <f t="shared" si="10"/>
        <v>50669</v>
      </c>
      <c r="Z24" s="120">
        <f t="shared" si="10"/>
        <v>46673</v>
      </c>
      <c r="AA24" s="120">
        <f t="shared" si="10"/>
        <v>46205</v>
      </c>
      <c r="AB24" s="120">
        <f t="shared" si="10"/>
        <v>47837</v>
      </c>
      <c r="AC24" s="120">
        <f t="shared" si="10"/>
        <v>42020</v>
      </c>
      <c r="AD24" s="120">
        <f t="shared" si="10"/>
        <v>36800</v>
      </c>
      <c r="AE24" s="120">
        <f t="shared" si="10"/>
        <v>44796</v>
      </c>
      <c r="AF24" s="120">
        <f t="shared" si="10"/>
        <v>42057</v>
      </c>
      <c r="AG24" s="120">
        <f t="shared" si="10"/>
        <v>42533</v>
      </c>
      <c r="AH24" s="120">
        <f t="shared" si="10"/>
        <v>38102</v>
      </c>
      <c r="AI24" s="120">
        <f t="shared" si="10"/>
        <v>37792</v>
      </c>
      <c r="AJ24" s="120">
        <f t="shared" si="10"/>
        <v>36068</v>
      </c>
      <c r="AK24" s="120">
        <f t="shared" si="10"/>
        <v>35374</v>
      </c>
      <c r="AL24" s="120">
        <f t="shared" si="10"/>
        <v>33753</v>
      </c>
      <c r="AM24" s="120">
        <f t="shared" si="10"/>
        <v>33784</v>
      </c>
      <c r="AN24" s="120">
        <f t="shared" si="10"/>
        <v>36598</v>
      </c>
      <c r="AO24" s="120">
        <f t="shared" si="10"/>
        <v>32983</v>
      </c>
      <c r="AP24" s="120">
        <f t="shared" si="10"/>
        <v>34632</v>
      </c>
      <c r="AQ24" s="120">
        <f t="shared" si="10"/>
        <v>33918</v>
      </c>
      <c r="AR24" s="120">
        <f t="shared" si="10"/>
        <v>33818</v>
      </c>
      <c r="AS24" s="120">
        <f t="shared" si="10"/>
        <v>33717</v>
      </c>
      <c r="AT24" s="120">
        <f t="shared" si="10"/>
        <v>30771</v>
      </c>
      <c r="AU24" s="120">
        <f t="shared" si="10"/>
        <v>34941</v>
      </c>
      <c r="AV24" s="120">
        <f t="shared" si="10"/>
        <v>37000</v>
      </c>
      <c r="AW24" s="120">
        <f t="shared" si="10"/>
        <v>37568</v>
      </c>
      <c r="AX24" s="120">
        <f t="shared" ref="AX24:BC24" si="11">SUM(AX6:AX23)</f>
        <v>34436</v>
      </c>
      <c r="AY24" s="120">
        <f t="shared" si="11"/>
        <v>36970</v>
      </c>
      <c r="AZ24" s="120">
        <f t="shared" si="11"/>
        <v>39675</v>
      </c>
      <c r="BA24" s="120">
        <f t="shared" si="11"/>
        <v>34116</v>
      </c>
      <c r="BB24" s="120">
        <f t="shared" si="11"/>
        <v>35820</v>
      </c>
      <c r="BC24" s="120">
        <f t="shared" si="11"/>
        <v>41457</v>
      </c>
    </row>
    <row r="25" spans="1:55" x14ac:dyDescent="0.2">
      <c r="A25" t="s">
        <v>506</v>
      </c>
      <c r="B25" t="s">
        <v>1004</v>
      </c>
      <c r="D25" s="129" t="str">
        <f>IF([1]RENAME!$H$3=1,B25,A25)</f>
        <v xml:space="preserve">Amortização de ágio fiscal </v>
      </c>
      <c r="E25" s="118">
        <v>-35578</v>
      </c>
      <c r="F25" s="118">
        <v>-37562</v>
      </c>
      <c r="G25" s="160">
        <v>-26858</v>
      </c>
      <c r="H25" s="118">
        <v>-27589</v>
      </c>
      <c r="I25" s="118">
        <v>-28320</v>
      </c>
      <c r="J25" s="118">
        <v>-29050</v>
      </c>
      <c r="K25" s="118">
        <v>-29781</v>
      </c>
      <c r="L25" s="118">
        <v>-30512</v>
      </c>
      <c r="M25" s="118">
        <v>-20459</v>
      </c>
      <c r="N25" s="118">
        <v>-20459</v>
      </c>
      <c r="O25" s="118">
        <v>-20459</v>
      </c>
      <c r="P25" s="118">
        <v>-20459</v>
      </c>
      <c r="Q25" s="118">
        <v>-20459</v>
      </c>
      <c r="R25" s="118">
        <v>-20459</v>
      </c>
      <c r="S25" s="118">
        <v>-20459</v>
      </c>
      <c r="T25" s="118">
        <v>-20459.16150242856</v>
      </c>
      <c r="U25" s="118">
        <v>-20459</v>
      </c>
      <c r="V25" s="118">
        <v>-20459</v>
      </c>
      <c r="W25" s="118">
        <v>-20459</v>
      </c>
      <c r="X25" s="118">
        <v>-20459</v>
      </c>
      <c r="Y25" s="118">
        <v>-20459</v>
      </c>
      <c r="Z25" s="118">
        <v>-20459</v>
      </c>
      <c r="AA25" s="118">
        <v>-20459</v>
      </c>
      <c r="AB25" s="118">
        <v>-20459</v>
      </c>
      <c r="AC25" s="118">
        <v>-20459</v>
      </c>
      <c r="AD25" s="118">
        <v>-20459</v>
      </c>
      <c r="AE25" s="118">
        <v>-20459</v>
      </c>
      <c r="AF25" s="118">
        <v>-20459</v>
      </c>
      <c r="AG25" s="118">
        <v>-20459</v>
      </c>
      <c r="AH25" s="118">
        <v>-20459</v>
      </c>
      <c r="AI25" s="118">
        <v>-20459</v>
      </c>
      <c r="AJ25" s="118">
        <v>-20459</v>
      </c>
      <c r="AK25" s="118">
        <v>-20459</v>
      </c>
      <c r="AL25" s="118">
        <v>-20459</v>
      </c>
      <c r="AM25" s="118">
        <v>-20459</v>
      </c>
      <c r="AN25" s="118">
        <v>-20459</v>
      </c>
      <c r="AO25" s="118">
        <v>-20459</v>
      </c>
      <c r="AP25" s="118">
        <v>-20459</v>
      </c>
      <c r="AQ25" s="118">
        <v>-20459</v>
      </c>
      <c r="AR25" s="118">
        <v>-20459</v>
      </c>
      <c r="AS25" s="118">
        <v>-20459</v>
      </c>
      <c r="AT25" s="118">
        <v>-20459</v>
      </c>
      <c r="AU25" s="118">
        <v>-20459</v>
      </c>
      <c r="AV25" s="118">
        <v>-20459</v>
      </c>
      <c r="AW25" s="118">
        <v>-20459</v>
      </c>
      <c r="AX25" s="118">
        <v>-20459</v>
      </c>
      <c r="AY25" s="118">
        <v>-20459</v>
      </c>
      <c r="AZ25" s="118">
        <v>-20459</v>
      </c>
      <c r="BA25" s="118">
        <v>-20459</v>
      </c>
      <c r="BB25" s="118">
        <v>-20459</v>
      </c>
      <c r="BC25" s="118">
        <f>+'[3]17 IRD NL'!AV76</f>
        <v>-20459</v>
      </c>
    </row>
    <row r="26" spans="1:55" x14ac:dyDescent="0.2">
      <c r="A26" t="s">
        <v>507</v>
      </c>
      <c r="B26" t="s">
        <v>1005</v>
      </c>
      <c r="D26" s="129" t="str">
        <f>IF([1]RENAME!$H$3=1,B26,A26)</f>
        <v>Diferença de taxa de depreciação</v>
      </c>
      <c r="E26" s="118">
        <v>-16016</v>
      </c>
      <c r="F26" s="118">
        <v>-18080</v>
      </c>
      <c r="G26" s="160">
        <v>-10316</v>
      </c>
      <c r="H26" s="118">
        <v>-18591</v>
      </c>
      <c r="I26" s="118">
        <v>-19649</v>
      </c>
      <c r="J26" s="118">
        <v>-19900</v>
      </c>
      <c r="K26" s="118">
        <v>-19867</v>
      </c>
      <c r="L26" s="118">
        <v>-19985</v>
      </c>
      <c r="M26" s="118">
        <v>-19639</v>
      </c>
      <c r="N26" s="118">
        <v>-19190</v>
      </c>
      <c r="O26" s="118">
        <v>-18120</v>
      </c>
      <c r="P26" s="118">
        <v>-17746</v>
      </c>
      <c r="Q26" s="118">
        <v>-17541</v>
      </c>
      <c r="R26" s="118">
        <v>-17541</v>
      </c>
      <c r="S26" s="118">
        <v>-17469.500855800005</v>
      </c>
      <c r="T26" s="118">
        <v>-17153.889378800006</v>
      </c>
      <c r="U26" s="118">
        <v>-16751</v>
      </c>
      <c r="V26" s="118">
        <v>-16366</v>
      </c>
      <c r="W26" s="118">
        <v>-16089</v>
      </c>
      <c r="X26" s="118">
        <v>-15775</v>
      </c>
      <c r="Y26" s="118">
        <v>-14925</v>
      </c>
      <c r="Z26" s="118">
        <v>-14561</v>
      </c>
      <c r="AA26" s="118">
        <v>-14418</v>
      </c>
      <c r="AB26" s="118">
        <v>-14303</v>
      </c>
      <c r="AC26" s="118">
        <v>-7410</v>
      </c>
      <c r="AD26" s="118">
        <v>-7315</v>
      </c>
      <c r="AE26" s="118">
        <v>-7308</v>
      </c>
      <c r="AF26" s="118">
        <v>-7305</v>
      </c>
      <c r="AG26" s="118">
        <v>-7399</v>
      </c>
      <c r="AH26" s="118">
        <v>-7502</v>
      </c>
      <c r="AI26" s="118">
        <v>-7568</v>
      </c>
      <c r="AJ26" s="118">
        <v>-7719</v>
      </c>
      <c r="AK26" s="118">
        <v>-7960</v>
      </c>
      <c r="AL26" s="118">
        <v>-8205</v>
      </c>
      <c r="AM26" s="118">
        <v>-8299</v>
      </c>
      <c r="AN26" s="118">
        <v>-8667</v>
      </c>
      <c r="AO26" s="118">
        <v>-8807</v>
      </c>
      <c r="AP26" s="118">
        <v>-9251</v>
      </c>
      <c r="AQ26" s="118">
        <v>-9906</v>
      </c>
      <c r="AR26" s="118">
        <v>-10546</v>
      </c>
      <c r="AS26" s="118">
        <v>-10947</v>
      </c>
      <c r="AT26" s="118">
        <v>-11273</v>
      </c>
      <c r="AU26" s="118">
        <v>-12146</v>
      </c>
      <c r="AV26" s="118">
        <v>-13008</v>
      </c>
      <c r="AW26" s="118">
        <v>-13873</v>
      </c>
      <c r="AX26" s="118">
        <v>-14843</v>
      </c>
      <c r="AY26" s="118">
        <v>-15606</v>
      </c>
      <c r="AZ26" s="118">
        <v>-16456</v>
      </c>
      <c r="BA26" s="118">
        <v>-17381</v>
      </c>
      <c r="BB26" s="118">
        <v>-18300</v>
      </c>
      <c r="BC26" s="118">
        <f>+'[3]17 IRD NL'!AV77</f>
        <v>-19235</v>
      </c>
    </row>
    <row r="27" spans="1:55" x14ac:dyDescent="0.2">
      <c r="A27" t="s">
        <v>128</v>
      </c>
      <c r="B27" t="s">
        <v>728</v>
      </c>
      <c r="D27" s="129" t="str">
        <f>IF([1]RENAME!$H$3=1,B27,A27)</f>
        <v>Outras</v>
      </c>
      <c r="E27" s="118">
        <v>-1749</v>
      </c>
      <c r="F27" s="118">
        <v>-72</v>
      </c>
      <c r="G27" s="160">
        <v>-8171</v>
      </c>
      <c r="H27" s="118">
        <v>-236</v>
      </c>
      <c r="I27" s="118">
        <v>-1749</v>
      </c>
      <c r="J27" s="118">
        <v>-1749</v>
      </c>
      <c r="K27" s="118">
        <v>-1749</v>
      </c>
      <c r="L27" s="118">
        <v>-1749</v>
      </c>
      <c r="M27" s="118">
        <v>-1749</v>
      </c>
      <c r="N27" s="118">
        <v>-1749</v>
      </c>
      <c r="O27" s="118">
        <v>-1749</v>
      </c>
      <c r="P27" s="118">
        <v>-1749</v>
      </c>
      <c r="Q27" s="118">
        <v>-1749</v>
      </c>
      <c r="R27" s="118">
        <v>-1749</v>
      </c>
      <c r="S27" s="118">
        <v>-1749</v>
      </c>
      <c r="T27" s="118">
        <v>-1749.4986586000002</v>
      </c>
      <c r="U27" s="118">
        <v>-1749</v>
      </c>
      <c r="V27" s="118">
        <v>-1749</v>
      </c>
      <c r="W27" s="118">
        <v>-1749</v>
      </c>
      <c r="X27" s="118">
        <v>-1749</v>
      </c>
      <c r="Y27" s="118">
        <v>1749</v>
      </c>
      <c r="Z27" s="118">
        <v>-1749</v>
      </c>
      <c r="AA27" s="118">
        <v>-1749</v>
      </c>
      <c r="AB27" s="118">
        <v>-1749</v>
      </c>
      <c r="AC27" s="118">
        <v>0</v>
      </c>
      <c r="AD27" s="118">
        <v>0</v>
      </c>
      <c r="AE27" s="118">
        <v>0</v>
      </c>
      <c r="AF27" s="118">
        <v>0</v>
      </c>
      <c r="AG27" s="118">
        <v>0</v>
      </c>
      <c r="AH27" s="118">
        <v>0</v>
      </c>
      <c r="AI27" s="118">
        <v>-3501</v>
      </c>
      <c r="AJ27" s="118">
        <v>-2062</v>
      </c>
      <c r="AK27" s="118">
        <v>-3268</v>
      </c>
      <c r="AL27" s="118">
        <v>-3326</v>
      </c>
      <c r="AM27" s="118">
        <v>-3249</v>
      </c>
      <c r="AN27" s="118">
        <v>-4744</v>
      </c>
      <c r="AO27" s="118">
        <v>-6938</v>
      </c>
      <c r="AP27" s="118">
        <v>-3531</v>
      </c>
      <c r="AQ27" s="118">
        <v>-3553</v>
      </c>
      <c r="AR27" s="118">
        <v>-1491</v>
      </c>
      <c r="AS27" s="118">
        <v>-1491</v>
      </c>
      <c r="AT27" s="118">
        <v>-1565</v>
      </c>
      <c r="AU27" s="118">
        <v>-1636</v>
      </c>
      <c r="AV27" s="118">
        <v>-1564</v>
      </c>
      <c r="AW27" s="118">
        <v>-1662</v>
      </c>
      <c r="AX27" s="118">
        <v>-1745</v>
      </c>
      <c r="AY27" s="118">
        <v>-1980</v>
      </c>
      <c r="AZ27" s="118">
        <v>-3307</v>
      </c>
      <c r="BA27" s="118">
        <v>-3440</v>
      </c>
      <c r="BB27" s="118">
        <v>-3501</v>
      </c>
      <c r="BC27" s="118">
        <f>+'[3]17 IRD NL'!AV79</f>
        <v>-3595</v>
      </c>
    </row>
    <row r="28" spans="1:55" s="310" customFormat="1" outlineLevel="1" x14ac:dyDescent="0.2">
      <c r="A28" s="310" t="s">
        <v>293</v>
      </c>
      <c r="B28" s="310" t="s">
        <v>293</v>
      </c>
      <c r="D28" s="317" t="str">
        <f>IF([1]RENAME!$H$3=1,B28,A28)</f>
        <v>Swap</v>
      </c>
      <c r="E28" s="311">
        <v>-14754</v>
      </c>
      <c r="F28" s="311">
        <v>-7104</v>
      </c>
      <c r="G28" s="318">
        <v>0</v>
      </c>
      <c r="H28" s="311">
        <v>-2842</v>
      </c>
      <c r="I28" s="311">
        <v>-5448</v>
      </c>
      <c r="J28" s="311">
        <v>-6519</v>
      </c>
      <c r="K28" s="311">
        <v>0</v>
      </c>
      <c r="L28" s="311">
        <v>0</v>
      </c>
      <c r="M28" s="311">
        <v>0</v>
      </c>
      <c r="N28" s="311">
        <v>0</v>
      </c>
      <c r="O28" s="311">
        <v>0</v>
      </c>
      <c r="P28" s="311">
        <v>0</v>
      </c>
      <c r="Q28" s="311">
        <v>0</v>
      </c>
      <c r="R28" s="311">
        <v>0</v>
      </c>
      <c r="S28" s="311">
        <v>0</v>
      </c>
      <c r="T28" s="311">
        <v>0</v>
      </c>
      <c r="U28" s="311">
        <v>0</v>
      </c>
      <c r="V28" s="311">
        <v>0</v>
      </c>
      <c r="W28" s="311">
        <v>0</v>
      </c>
      <c r="X28" s="311">
        <v>0</v>
      </c>
      <c r="Y28" s="311">
        <v>0</v>
      </c>
      <c r="Z28" s="311">
        <v>0</v>
      </c>
      <c r="AA28" s="311"/>
      <c r="AB28" s="311">
        <v>0</v>
      </c>
      <c r="AC28" s="311">
        <v>0</v>
      </c>
      <c r="AD28" s="311">
        <v>0</v>
      </c>
      <c r="AE28" s="311">
        <v>0</v>
      </c>
      <c r="AF28" s="311">
        <v>0</v>
      </c>
      <c r="AG28" s="311">
        <v>0</v>
      </c>
      <c r="AH28" s="311">
        <v>0</v>
      </c>
      <c r="AI28" s="311">
        <v>0</v>
      </c>
      <c r="AJ28" s="311">
        <v>0</v>
      </c>
      <c r="AK28" s="311"/>
      <c r="AL28" s="311">
        <v>0</v>
      </c>
      <c r="AM28" s="311">
        <v>0</v>
      </c>
      <c r="AN28" s="311">
        <v>0</v>
      </c>
      <c r="AO28" s="311">
        <v>0</v>
      </c>
      <c r="AP28" s="311">
        <v>0</v>
      </c>
      <c r="AQ28" s="311">
        <v>0</v>
      </c>
      <c r="AR28" s="311">
        <v>0</v>
      </c>
      <c r="AS28" s="311">
        <v>0</v>
      </c>
      <c r="AT28" s="311">
        <v>0</v>
      </c>
      <c r="AU28" s="311"/>
      <c r="AV28" s="311"/>
      <c r="AW28" s="311">
        <v>0</v>
      </c>
      <c r="AX28" s="311"/>
      <c r="AY28" s="311">
        <v>0</v>
      </c>
      <c r="AZ28" s="311">
        <v>0</v>
      </c>
      <c r="BA28" s="311">
        <v>0</v>
      </c>
      <c r="BB28" s="311">
        <v>0</v>
      </c>
      <c r="BC28" s="118">
        <f>+'[3]17 IRD NL'!AV78</f>
        <v>105</v>
      </c>
    </row>
    <row r="29" spans="1:55" x14ac:dyDescent="0.2">
      <c r="A29" t="s">
        <v>292</v>
      </c>
      <c r="B29" t="s">
        <v>292</v>
      </c>
      <c r="D29" s="126" t="str">
        <f>IF([1]RENAME!$H$3=1,B29,A29)</f>
        <v>Subtotal</v>
      </c>
      <c r="E29" s="120">
        <f t="shared" ref="E29:J29" si="12">SUM(E25:E28)</f>
        <v>-68097</v>
      </c>
      <c r="F29" s="120">
        <f t="shared" si="12"/>
        <v>-62818</v>
      </c>
      <c r="G29" s="162">
        <f t="shared" si="12"/>
        <v>-45345</v>
      </c>
      <c r="H29" s="120">
        <f t="shared" si="12"/>
        <v>-49258</v>
      </c>
      <c r="I29" s="120">
        <f t="shared" si="12"/>
        <v>-55166</v>
      </c>
      <c r="J29" s="120">
        <f t="shared" si="12"/>
        <v>-57218</v>
      </c>
      <c r="K29" s="120">
        <f>SUM(K25:K28)</f>
        <v>-51397</v>
      </c>
      <c r="L29" s="120">
        <f t="shared" ref="L29:BC29" si="13">SUM(L25:L28)</f>
        <v>-52246</v>
      </c>
      <c r="M29" s="120">
        <f t="shared" si="13"/>
        <v>-41847</v>
      </c>
      <c r="N29" s="120">
        <f t="shared" si="13"/>
        <v>-41398</v>
      </c>
      <c r="O29" s="120">
        <f t="shared" si="13"/>
        <v>-40328</v>
      </c>
      <c r="P29" s="120">
        <f t="shared" si="13"/>
        <v>-39954</v>
      </c>
      <c r="Q29" s="120">
        <f t="shared" si="13"/>
        <v>-39749</v>
      </c>
      <c r="R29" s="120">
        <f t="shared" si="13"/>
        <v>-39749</v>
      </c>
      <c r="S29" s="120">
        <f t="shared" si="13"/>
        <v>-39677.500855800005</v>
      </c>
      <c r="T29" s="120">
        <f t="shared" si="13"/>
        <v>-39362.549539828571</v>
      </c>
      <c r="U29" s="120">
        <f t="shared" si="13"/>
        <v>-38959</v>
      </c>
      <c r="V29" s="120">
        <f t="shared" si="13"/>
        <v>-38574</v>
      </c>
      <c r="W29" s="120">
        <f t="shared" si="13"/>
        <v>-38297</v>
      </c>
      <c r="X29" s="120">
        <f t="shared" si="13"/>
        <v>-37983</v>
      </c>
      <c r="Y29" s="120">
        <f t="shared" si="13"/>
        <v>-33635</v>
      </c>
      <c r="Z29" s="120">
        <f t="shared" si="13"/>
        <v>-36769</v>
      </c>
      <c r="AA29" s="120">
        <f t="shared" si="13"/>
        <v>-36626</v>
      </c>
      <c r="AB29" s="120">
        <f t="shared" si="13"/>
        <v>-36511</v>
      </c>
      <c r="AC29" s="120">
        <f t="shared" si="13"/>
        <v>-27869</v>
      </c>
      <c r="AD29" s="120">
        <f t="shared" si="13"/>
        <v>-27774</v>
      </c>
      <c r="AE29" s="120">
        <f t="shared" si="13"/>
        <v>-27767</v>
      </c>
      <c r="AF29" s="120">
        <f t="shared" si="13"/>
        <v>-27764</v>
      </c>
      <c r="AG29" s="120">
        <f t="shared" si="13"/>
        <v>-27858</v>
      </c>
      <c r="AH29" s="120">
        <f t="shared" si="13"/>
        <v>-27961</v>
      </c>
      <c r="AI29" s="120">
        <f t="shared" si="13"/>
        <v>-31528</v>
      </c>
      <c r="AJ29" s="120">
        <f t="shared" si="13"/>
        <v>-30240</v>
      </c>
      <c r="AK29" s="120">
        <f t="shared" si="13"/>
        <v>-31687</v>
      </c>
      <c r="AL29" s="120">
        <f t="shared" si="13"/>
        <v>-31990</v>
      </c>
      <c r="AM29" s="120">
        <f t="shared" si="13"/>
        <v>-32007</v>
      </c>
      <c r="AN29" s="120">
        <f t="shared" si="13"/>
        <v>-33870</v>
      </c>
      <c r="AO29" s="120">
        <f t="shared" si="13"/>
        <v>-36204</v>
      </c>
      <c r="AP29" s="120">
        <f t="shared" si="13"/>
        <v>-33241</v>
      </c>
      <c r="AQ29" s="120">
        <f t="shared" si="13"/>
        <v>-33918</v>
      </c>
      <c r="AR29" s="120">
        <f t="shared" si="13"/>
        <v>-32496</v>
      </c>
      <c r="AS29" s="120">
        <f t="shared" si="13"/>
        <v>-32897</v>
      </c>
      <c r="AT29" s="120">
        <f t="shared" si="13"/>
        <v>-33297</v>
      </c>
      <c r="AU29" s="120">
        <f t="shared" si="13"/>
        <v>-34241</v>
      </c>
      <c r="AV29" s="120">
        <f t="shared" si="13"/>
        <v>-35031</v>
      </c>
      <c r="AW29" s="120">
        <f t="shared" si="13"/>
        <v>-35994</v>
      </c>
      <c r="AX29" s="120">
        <f t="shared" si="13"/>
        <v>-37047</v>
      </c>
      <c r="AY29" s="120">
        <f t="shared" si="13"/>
        <v>-38045</v>
      </c>
      <c r="AZ29" s="120">
        <f t="shared" si="13"/>
        <v>-40222</v>
      </c>
      <c r="BA29" s="120">
        <f t="shared" si="13"/>
        <v>-41280</v>
      </c>
      <c r="BB29" s="120">
        <f t="shared" si="13"/>
        <v>-42260</v>
      </c>
      <c r="BC29" s="120">
        <f t="shared" si="13"/>
        <v>-43184</v>
      </c>
    </row>
    <row r="30" spans="1:55" x14ac:dyDescent="0.2">
      <c r="A30" t="s">
        <v>112</v>
      </c>
      <c r="B30" t="s">
        <v>112</v>
      </c>
      <c r="D30" s="126" t="str">
        <f>IF([1]RENAME!$H$3=1,B30,A30)</f>
        <v>Total</v>
      </c>
      <c r="E30" s="120">
        <f t="shared" ref="E30:S30" si="14">E29+E24</f>
        <v>27420</v>
      </c>
      <c r="F30" s="120">
        <f t="shared" si="14"/>
        <v>35456</v>
      </c>
      <c r="G30" s="162">
        <f t="shared" si="14"/>
        <v>5933</v>
      </c>
      <c r="H30" s="120">
        <f t="shared" si="14"/>
        <v>7104</v>
      </c>
      <c r="I30" s="120">
        <f t="shared" si="14"/>
        <v>-10160</v>
      </c>
      <c r="J30" s="120">
        <f t="shared" si="14"/>
        <v>-13008</v>
      </c>
      <c r="K30" s="120">
        <f t="shared" si="14"/>
        <v>-9274</v>
      </c>
      <c r="L30" s="120">
        <f t="shared" si="14"/>
        <v>-11930</v>
      </c>
      <c r="M30" s="120">
        <f t="shared" si="14"/>
        <v>-513</v>
      </c>
      <c r="N30" s="120">
        <f t="shared" si="14"/>
        <v>844</v>
      </c>
      <c r="O30" s="120">
        <f t="shared" si="14"/>
        <v>221</v>
      </c>
      <c r="P30" s="120">
        <f t="shared" si="14"/>
        <v>-1159</v>
      </c>
      <c r="Q30" s="120">
        <f t="shared" si="14"/>
        <v>-290</v>
      </c>
      <c r="R30" s="120">
        <f t="shared" si="14"/>
        <v>506</v>
      </c>
      <c r="S30" s="120">
        <f t="shared" si="14"/>
        <v>6293.0279300503389</v>
      </c>
      <c r="T30" s="120">
        <f t="shared" ref="T30:Z30" si="15">T29+T24</f>
        <v>9902.9594488617586</v>
      </c>
      <c r="U30" s="120">
        <f t="shared" si="15"/>
        <v>29931</v>
      </c>
      <c r="V30" s="120">
        <f t="shared" si="15"/>
        <v>8913</v>
      </c>
      <c r="W30" s="120">
        <f t="shared" si="15"/>
        <v>7423</v>
      </c>
      <c r="X30" s="120">
        <f t="shared" si="15"/>
        <v>7598</v>
      </c>
      <c r="Y30" s="120">
        <f t="shared" si="15"/>
        <v>17034</v>
      </c>
      <c r="Z30" s="120">
        <f t="shared" si="15"/>
        <v>9904</v>
      </c>
      <c r="AA30" s="120">
        <f t="shared" ref="AA30:AF30" si="16">AA29+AA24</f>
        <v>9579</v>
      </c>
      <c r="AB30" s="120">
        <f t="shared" si="16"/>
        <v>11326</v>
      </c>
      <c r="AC30" s="120">
        <f t="shared" si="16"/>
        <v>14151</v>
      </c>
      <c r="AD30" s="120">
        <f t="shared" si="16"/>
        <v>9026</v>
      </c>
      <c r="AE30" s="120">
        <f t="shared" si="16"/>
        <v>17029</v>
      </c>
      <c r="AF30" s="120">
        <f t="shared" si="16"/>
        <v>14293</v>
      </c>
      <c r="AG30" s="120">
        <f t="shared" ref="AG30:AL30" si="17">AG29+AG24</f>
        <v>14675</v>
      </c>
      <c r="AH30" s="120">
        <f t="shared" si="17"/>
        <v>10141</v>
      </c>
      <c r="AI30" s="120">
        <f t="shared" si="17"/>
        <v>6264</v>
      </c>
      <c r="AJ30" s="120">
        <f t="shared" si="17"/>
        <v>5828</v>
      </c>
      <c r="AK30" s="120">
        <f t="shared" si="17"/>
        <v>3687</v>
      </c>
      <c r="AL30" s="120">
        <f t="shared" si="17"/>
        <v>1763</v>
      </c>
      <c r="AM30" s="120">
        <f t="shared" ref="AM30:AR30" si="18">AM29+AM24</f>
        <v>1777</v>
      </c>
      <c r="AN30" s="120">
        <f t="shared" si="18"/>
        <v>2728</v>
      </c>
      <c r="AO30" s="120">
        <f t="shared" si="18"/>
        <v>-3221</v>
      </c>
      <c r="AP30" s="120">
        <f t="shared" si="18"/>
        <v>1391</v>
      </c>
      <c r="AQ30" s="120">
        <f t="shared" si="18"/>
        <v>0</v>
      </c>
      <c r="AR30" s="120">
        <f t="shared" si="18"/>
        <v>1322</v>
      </c>
      <c r="AS30" s="120">
        <f>AS29+AS24</f>
        <v>820</v>
      </c>
      <c r="AT30" s="120">
        <f>AT29+AT24</f>
        <v>-2526</v>
      </c>
      <c r="AU30" s="120">
        <f>AU29+AU24</f>
        <v>700</v>
      </c>
      <c r="AV30" s="120">
        <f>AV29+AV24</f>
        <v>1969</v>
      </c>
      <c r="AW30" s="120">
        <f>AW29+AW24</f>
        <v>1574</v>
      </c>
      <c r="AX30" s="120">
        <v>-2611</v>
      </c>
      <c r="AY30" s="120">
        <f>AY29+AY24</f>
        <v>-1075</v>
      </c>
      <c r="AZ30" s="120">
        <f>AZ29+AZ24</f>
        <v>-547</v>
      </c>
      <c r="BA30" s="120">
        <f>BA29+BA24</f>
        <v>-7164</v>
      </c>
      <c r="BB30" s="120">
        <f>BB29+BB24</f>
        <v>-6440</v>
      </c>
      <c r="BC30" s="120">
        <f>BC29+BC24</f>
        <v>-1727</v>
      </c>
    </row>
    <row r="41" hidden="1" outlineLevel="1" x14ac:dyDescent="0.2"/>
    <row r="42" hidden="1" outlineLevel="1" x14ac:dyDescent="0.2"/>
    <row r="43" hidden="1" outlineLevel="1" x14ac:dyDescent="0.2"/>
    <row r="44" hidden="1" outlineLevel="1" x14ac:dyDescent="0.2"/>
    <row r="45" hidden="1" outlineLevel="1" x14ac:dyDescent="0.2"/>
    <row r="46" hidden="1" outlineLevel="1" x14ac:dyDescent="0.2"/>
    <row r="47" hidden="1" outlineLevel="1" x14ac:dyDescent="0.2"/>
    <row r="48" collapsed="1" x14ac:dyDescent="0.2"/>
    <row r="53" hidden="1" outlineLevel="1" x14ac:dyDescent="0.2"/>
    <row r="54" collapsed="1" x14ac:dyDescent="0.2"/>
  </sheetData>
  <mergeCells count="1">
    <mergeCell ref="E4:F4"/>
  </mergeCells>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E2" numberStoredAsText="1"/>
  </ignoredErrors>
  <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10">
    <pageSetUpPr autoPageBreaks="0"/>
  </sheetPr>
  <dimension ref="A1:BB27"/>
  <sheetViews>
    <sheetView showGridLines="0" topLeftCell="D1" workbookViewId="0">
      <pane xSplit="1" ySplit="4" topLeftCell="AV5" activePane="bottomRight" state="frozen"/>
      <selection activeCell="D1" sqref="D1"/>
      <selection pane="topRight" activeCell="E1" sqref="E1"/>
      <selection pane="bottomLeft" activeCell="D5" sqref="D5"/>
      <selection pane="bottomRight" activeCell="BB9" sqref="BB9"/>
    </sheetView>
  </sheetViews>
  <sheetFormatPr defaultRowHeight="12.75" x14ac:dyDescent="0.2"/>
  <cols>
    <col min="1" max="2" width="9.140625" hidden="1" customWidth="1"/>
    <col min="3" max="3" width="1.42578125" customWidth="1"/>
    <col min="4" max="4" width="29.85546875" customWidth="1"/>
    <col min="5" max="53" width="10.85546875" customWidth="1"/>
  </cols>
  <sheetData>
    <row r="1" spans="1:54" s="547" customFormat="1" ht="7.5" customHeight="1" x14ac:dyDescent="0.2">
      <c r="E1" s="547" t="s">
        <v>45</v>
      </c>
      <c r="F1" s="547" t="str">
        <f>IF(LEFT(E1,1)="4","1T"&amp;RIGHT(E1,2)+1,LEFT(E1,1)+1&amp;RIGHT(E1,3))</f>
        <v>2T14</v>
      </c>
      <c r="G1" s="547" t="str">
        <f t="shared" ref="G1:V1" si="0">IF(LEFT(F1,1)="4","1T"&amp;RIGHT(F1,2)+1,LEFT(F1,1)+1&amp;RIGHT(F1,3))</f>
        <v>3T14</v>
      </c>
      <c r="H1" s="547" t="str">
        <f t="shared" si="0"/>
        <v>4T14</v>
      </c>
      <c r="I1" s="547" t="str">
        <f t="shared" si="0"/>
        <v>1T15</v>
      </c>
      <c r="J1" s="547" t="str">
        <f t="shared" si="0"/>
        <v>2T15</v>
      </c>
      <c r="K1" s="547" t="str">
        <f t="shared" si="0"/>
        <v>3T15</v>
      </c>
      <c r="L1" s="547" t="str">
        <f t="shared" si="0"/>
        <v>4T15</v>
      </c>
      <c r="M1" s="547" t="str">
        <f t="shared" si="0"/>
        <v>1T16</v>
      </c>
      <c r="N1" s="547" t="str">
        <f t="shared" si="0"/>
        <v>2T16</v>
      </c>
      <c r="O1" s="547" t="str">
        <f t="shared" si="0"/>
        <v>3T16</v>
      </c>
      <c r="P1" s="547" t="str">
        <f t="shared" si="0"/>
        <v>4T16</v>
      </c>
      <c r="Q1" s="547" t="str">
        <f t="shared" si="0"/>
        <v>1T17</v>
      </c>
      <c r="R1" s="547" t="str">
        <f t="shared" si="0"/>
        <v>2T17</v>
      </c>
      <c r="S1" s="547" t="str">
        <f t="shared" si="0"/>
        <v>3T17</v>
      </c>
      <c r="T1" s="547" t="str">
        <f t="shared" si="0"/>
        <v>4T17</v>
      </c>
      <c r="U1" s="547" t="str">
        <f t="shared" si="0"/>
        <v>1T18</v>
      </c>
      <c r="V1" s="547" t="str">
        <f t="shared" si="0"/>
        <v>2T18</v>
      </c>
      <c r="W1" s="547" t="str">
        <f t="shared" ref="W1:AH1" si="1">IF(LEFT(V1,1)="4","1T"&amp;RIGHT(V1,2)+1,LEFT(V1,1)+1&amp;RIGHT(V1,3))</f>
        <v>3T18</v>
      </c>
      <c r="X1" s="547" t="str">
        <f t="shared" si="1"/>
        <v>4T18</v>
      </c>
      <c r="Y1" s="547" t="str">
        <f t="shared" si="1"/>
        <v>1T19</v>
      </c>
      <c r="Z1" s="547" t="str">
        <f t="shared" si="1"/>
        <v>2T19</v>
      </c>
      <c r="AA1" s="547" t="str">
        <f t="shared" si="1"/>
        <v>3T19</v>
      </c>
      <c r="AB1" s="547" t="str">
        <f t="shared" si="1"/>
        <v>4T19</v>
      </c>
      <c r="AC1" s="547" t="str">
        <f t="shared" si="1"/>
        <v>1T20</v>
      </c>
      <c r="AD1" s="547" t="str">
        <f t="shared" si="1"/>
        <v>2T20</v>
      </c>
      <c r="AE1" s="547" t="str">
        <f t="shared" si="1"/>
        <v>3T20</v>
      </c>
      <c r="AF1" s="547" t="str">
        <f t="shared" si="1"/>
        <v>4T20</v>
      </c>
      <c r="AG1" s="547" t="str">
        <f t="shared" si="1"/>
        <v>1T21</v>
      </c>
      <c r="AH1" s="547" t="str">
        <f t="shared" si="1"/>
        <v>2T21</v>
      </c>
      <c r="AI1" s="547" t="str">
        <f t="shared" ref="AI1:AS1" si="2">IF(LEFT(AH1,1)="4","1T"&amp;RIGHT(AH1,2)+1,LEFT(AH1,1)+1&amp;RIGHT(AH1,3))</f>
        <v>3T21</v>
      </c>
      <c r="AJ1" s="547" t="str">
        <f t="shared" si="2"/>
        <v>4T21</v>
      </c>
      <c r="AK1" s="547" t="str">
        <f t="shared" si="2"/>
        <v>1T22</v>
      </c>
      <c r="AL1" s="547" t="str">
        <f t="shared" si="2"/>
        <v>2T22</v>
      </c>
      <c r="AM1" s="547" t="str">
        <f t="shared" si="2"/>
        <v>3T22</v>
      </c>
      <c r="AN1" s="547" t="str">
        <f t="shared" si="2"/>
        <v>4T22</v>
      </c>
      <c r="AO1" s="547" t="str">
        <f t="shared" si="2"/>
        <v>1T23</v>
      </c>
      <c r="AP1" s="547" t="str">
        <f t="shared" si="2"/>
        <v>2T23</v>
      </c>
      <c r="AQ1" s="547" t="str">
        <f t="shared" si="2"/>
        <v>3T23</v>
      </c>
      <c r="AR1" s="547" t="str">
        <f t="shared" si="2"/>
        <v>4T23</v>
      </c>
      <c r="AS1" s="547" t="str">
        <f t="shared" si="2"/>
        <v>1T24</v>
      </c>
      <c r="AT1" s="547" t="str">
        <f t="shared" ref="AT1:BB1" si="3">IF(LEFT(AS1,1)="4","1T"&amp;RIGHT(AS1,2)+1,LEFT(AS1,1)+1&amp;RIGHT(AS1,3))</f>
        <v>2T24</v>
      </c>
      <c r="AU1" s="547" t="str">
        <f t="shared" si="3"/>
        <v>3T24</v>
      </c>
      <c r="AV1" s="547" t="str">
        <f t="shared" si="3"/>
        <v>4T24</v>
      </c>
      <c r="AW1" s="547" t="str">
        <f t="shared" si="3"/>
        <v>1T25</v>
      </c>
      <c r="AX1" s="547" t="str">
        <f t="shared" si="3"/>
        <v>2T25</v>
      </c>
      <c r="AY1" s="547" t="str">
        <f t="shared" si="3"/>
        <v>3T25</v>
      </c>
      <c r="AZ1" s="547" t="str">
        <f t="shared" si="3"/>
        <v>4T25</v>
      </c>
      <c r="BA1" s="547" t="str">
        <f t="shared" si="3"/>
        <v>1T26</v>
      </c>
      <c r="BB1" s="547" t="str">
        <f t="shared" si="3"/>
        <v>2T26</v>
      </c>
    </row>
    <row r="2" spans="1:54" s="547" customFormat="1" ht="18" x14ac:dyDescent="0.25">
      <c r="E2" s="547" t="s">
        <v>946</v>
      </c>
      <c r="F2" s="557" t="str">
        <f t="shared" ref="F2:S2" si="4">SUBSTITUTE(F1,"T","Q")</f>
        <v>2Q14</v>
      </c>
      <c r="G2" s="547" t="str">
        <f t="shared" si="4"/>
        <v>3Q14</v>
      </c>
      <c r="H2" s="547" t="str">
        <f t="shared" si="4"/>
        <v>4Q14</v>
      </c>
      <c r="I2" s="547" t="str">
        <f t="shared" si="4"/>
        <v>1Q15</v>
      </c>
      <c r="J2" s="547" t="str">
        <f t="shared" si="4"/>
        <v>2Q15</v>
      </c>
      <c r="K2" s="547" t="str">
        <f t="shared" si="4"/>
        <v>3Q15</v>
      </c>
      <c r="L2" s="547" t="str">
        <f t="shared" si="4"/>
        <v>4Q15</v>
      </c>
      <c r="M2" s="547" t="str">
        <f t="shared" si="4"/>
        <v>1Q16</v>
      </c>
      <c r="N2" s="547" t="str">
        <f t="shared" si="4"/>
        <v>2Q16</v>
      </c>
      <c r="O2" s="547" t="str">
        <f t="shared" si="4"/>
        <v>3Q16</v>
      </c>
      <c r="P2" s="547" t="str">
        <f t="shared" si="4"/>
        <v>4Q16</v>
      </c>
      <c r="Q2" s="547" t="str">
        <f t="shared" si="4"/>
        <v>1Q17</v>
      </c>
      <c r="R2" s="547" t="str">
        <f t="shared" si="4"/>
        <v>2Q17</v>
      </c>
      <c r="S2" s="547" t="str">
        <f t="shared" si="4"/>
        <v>3Q17</v>
      </c>
      <c r="T2" s="547" t="str">
        <f t="shared" ref="T2:Y2" si="5">SUBSTITUTE(T1,"T","Q")</f>
        <v>4Q17</v>
      </c>
      <c r="U2" s="547" t="str">
        <f t="shared" si="5"/>
        <v>1Q18</v>
      </c>
      <c r="V2" s="547" t="str">
        <f t="shared" si="5"/>
        <v>2Q18</v>
      </c>
      <c r="W2" s="547" t="str">
        <f t="shared" si="5"/>
        <v>3Q18</v>
      </c>
      <c r="X2" s="547" t="str">
        <f t="shared" si="5"/>
        <v>4Q18</v>
      </c>
      <c r="Y2" s="547" t="str">
        <f t="shared" si="5"/>
        <v>1Q19</v>
      </c>
      <c r="Z2" s="547" t="str">
        <f t="shared" ref="Z2:AE2" si="6">SUBSTITUTE(Z1,"T","Q")</f>
        <v>2Q19</v>
      </c>
      <c r="AA2" s="547" t="str">
        <f t="shared" si="6"/>
        <v>3Q19</v>
      </c>
      <c r="AB2" s="547" t="str">
        <f t="shared" si="6"/>
        <v>4Q19</v>
      </c>
      <c r="AC2" s="547" t="str">
        <f t="shared" si="6"/>
        <v>1Q20</v>
      </c>
      <c r="AD2" s="547" t="str">
        <f t="shared" si="6"/>
        <v>2Q20</v>
      </c>
      <c r="AE2" s="547" t="str">
        <f t="shared" si="6"/>
        <v>3Q20</v>
      </c>
      <c r="AF2" s="547" t="str">
        <f t="shared" ref="AF2:AL2" si="7">SUBSTITUTE(AF1,"T","Q")</f>
        <v>4Q20</v>
      </c>
      <c r="AG2" s="547" t="str">
        <f t="shared" si="7"/>
        <v>1Q21</v>
      </c>
      <c r="AH2" s="547" t="str">
        <f t="shared" si="7"/>
        <v>2Q21</v>
      </c>
      <c r="AI2" s="547" t="str">
        <f t="shared" si="7"/>
        <v>3Q21</v>
      </c>
      <c r="AJ2" s="547" t="str">
        <f t="shared" si="7"/>
        <v>4Q21</v>
      </c>
      <c r="AK2" s="547" t="str">
        <f t="shared" si="7"/>
        <v>1Q22</v>
      </c>
      <c r="AL2" s="547" t="str">
        <f t="shared" si="7"/>
        <v>2Q22</v>
      </c>
      <c r="AM2" s="547" t="str">
        <f t="shared" ref="AM2:AS2" si="8">SUBSTITUTE(AM1,"T","Q")</f>
        <v>3Q22</v>
      </c>
      <c r="AN2" s="547" t="str">
        <f t="shared" si="8"/>
        <v>4Q22</v>
      </c>
      <c r="AO2" s="547" t="str">
        <f t="shared" si="8"/>
        <v>1Q23</v>
      </c>
      <c r="AP2" s="547" t="str">
        <f t="shared" si="8"/>
        <v>2Q23</v>
      </c>
      <c r="AQ2" s="547" t="str">
        <f t="shared" si="8"/>
        <v>3Q23</v>
      </c>
      <c r="AR2" s="547" t="str">
        <f t="shared" si="8"/>
        <v>4Q23</v>
      </c>
      <c r="AS2" s="547" t="str">
        <f t="shared" si="8"/>
        <v>1Q24</v>
      </c>
      <c r="AT2" s="547" t="str">
        <f t="shared" ref="AT2:BB2" si="9">SUBSTITUTE(AT1,"T","Q")</f>
        <v>2Q24</v>
      </c>
      <c r="AU2" s="547" t="str">
        <f t="shared" si="9"/>
        <v>3Q24</v>
      </c>
      <c r="AV2" s="547" t="str">
        <f t="shared" si="9"/>
        <v>4Q24</v>
      </c>
      <c r="AW2" s="547" t="str">
        <f t="shared" si="9"/>
        <v>1Q25</v>
      </c>
      <c r="AX2" s="547" t="str">
        <f t="shared" si="9"/>
        <v>2Q25</v>
      </c>
      <c r="AY2" s="547" t="str">
        <f t="shared" si="9"/>
        <v>3Q25</v>
      </c>
      <c r="AZ2" s="547" t="str">
        <f t="shared" si="9"/>
        <v>4Q25</v>
      </c>
      <c r="BA2" s="547" t="str">
        <f>SUBSTITUTE(BA1,"T","Q")</f>
        <v>1Q26</v>
      </c>
      <c r="BB2" s="547" t="str">
        <f t="shared" si="9"/>
        <v>2Q26</v>
      </c>
    </row>
    <row r="3" spans="1:54" x14ac:dyDescent="0.2">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row>
    <row r="4" spans="1:54" x14ac:dyDescent="0.2">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row>
    <row r="5" spans="1:54" x14ac:dyDescent="0.2">
      <c r="A5" t="s">
        <v>96</v>
      </c>
      <c r="B5" t="s">
        <v>866</v>
      </c>
      <c r="D5" s="115" t="str">
        <f>IF([1]RENAME!$H$3=1,B5,A5)</f>
        <v>Consolidado</v>
      </c>
      <c r="E5" s="115" t="str">
        <f>IF([1]RENAME!$H$3=1,E2,E1)</f>
        <v>1T14</v>
      </c>
      <c r="F5" s="115" t="str">
        <f>IF([1]RENAME!$H$3=1,F2,F1)</f>
        <v>2T14</v>
      </c>
      <c r="G5" s="115" t="str">
        <f>IF([1]RENAME!$H$3=1,G2,G1)</f>
        <v>3T14</v>
      </c>
      <c r="H5" s="115" t="str">
        <f>IF([1]RENAME!$H$3=1,H2,H1)</f>
        <v>4T14</v>
      </c>
      <c r="I5" s="115" t="str">
        <f>IF([1]RENAME!$H$3=1,I2,I1)</f>
        <v>1T15</v>
      </c>
      <c r="J5" s="115" t="str">
        <f>IF([1]RENAME!$H$3=1,J2,J1)</f>
        <v>2T15</v>
      </c>
      <c r="K5" s="115" t="str">
        <f>IF([1]RENAME!$H$3=1,K2,K1)</f>
        <v>3T15</v>
      </c>
      <c r="L5" s="115" t="str">
        <f>IF([1]RENAME!$H$3=1,L2,L1)</f>
        <v>4T15</v>
      </c>
      <c r="M5" s="115" t="str">
        <f>IF([1]RENAME!$H$3=1,M2,M1)</f>
        <v>1T16</v>
      </c>
      <c r="N5" s="115" t="str">
        <f>IF([1]RENAME!$H$3=1,N2,N1)</f>
        <v>2T16</v>
      </c>
      <c r="O5" s="115" t="str">
        <f>IF([1]RENAME!$H$3=1,O2,O1)</f>
        <v>3T16</v>
      </c>
      <c r="P5" s="115" t="str">
        <f>IF([1]RENAME!$H$3=1,P2,P1)</f>
        <v>4T16</v>
      </c>
      <c r="Q5" s="115" t="str">
        <f>IF([1]RENAME!$H$3=1,Q2,Q1)</f>
        <v>1T17</v>
      </c>
      <c r="R5" s="115" t="str">
        <f>IF([1]RENAME!$H$3=1,R2,R1)</f>
        <v>2T17</v>
      </c>
      <c r="S5" s="115" t="str">
        <f>IF([1]RENAME!$H$3=1,S2,S1)</f>
        <v>3T17</v>
      </c>
      <c r="T5" s="115" t="str">
        <f>IF([1]RENAME!$H$3=1,T2,T1)</f>
        <v>4T17</v>
      </c>
      <c r="U5" s="115" t="str">
        <f>IF([1]RENAME!$H$3=1,U2,U1)</f>
        <v>1T18</v>
      </c>
      <c r="V5" s="115" t="str">
        <f>IF([1]RENAME!$H$3=1,V2,V1)</f>
        <v>2T18</v>
      </c>
      <c r="W5" s="115" t="str">
        <f>IF([1]RENAME!$H$3=1,W2,W1)</f>
        <v>3T18</v>
      </c>
      <c r="X5" s="115" t="str">
        <f>IF([1]RENAME!$H$3=1,X2,X1)</f>
        <v>4T18</v>
      </c>
      <c r="Y5" s="115" t="str">
        <f>IF([1]RENAME!$H$3=1,Y2,Y1)</f>
        <v>1T19</v>
      </c>
      <c r="Z5" s="115" t="str">
        <f>IF([1]RENAME!$H$3=1,Z2,Z1)</f>
        <v>2T19</v>
      </c>
      <c r="AA5" s="115" t="str">
        <f>IF([1]RENAME!$H$3=1,AA2,AA1)</f>
        <v>3T19</v>
      </c>
      <c r="AB5" s="115" t="str">
        <f>IF([1]RENAME!$H$3=1,AB2,AB1)</f>
        <v>4T19</v>
      </c>
      <c r="AC5" s="115" t="str">
        <f>IF([1]RENAME!$H$3=1,AC2,AC1)</f>
        <v>1T20</v>
      </c>
      <c r="AD5" s="115" t="str">
        <f>IF([1]RENAME!$H$3=1,AD2,AD1)</f>
        <v>2T20</v>
      </c>
      <c r="AE5" s="115" t="str">
        <f>IF([1]RENAME!$H$3=1,AE2,AE1)</f>
        <v>3T20</v>
      </c>
      <c r="AF5" s="115" t="str">
        <f>IF([1]RENAME!$H$3=1,AF2,AF1)</f>
        <v>4T20</v>
      </c>
      <c r="AG5" s="115" t="str">
        <f>IF([1]RENAME!$H$3=1,AG2,AG1)</f>
        <v>1T21</v>
      </c>
      <c r="AH5" s="115" t="str">
        <f>IF([1]RENAME!$H$3=1,AH2,AH1)</f>
        <v>2T21</v>
      </c>
      <c r="AI5" s="115" t="str">
        <f>IF([1]RENAME!$H$3=1,AI2,AI1)</f>
        <v>3T21</v>
      </c>
      <c r="AJ5" s="115" t="str">
        <f>IF([1]RENAME!$H$3=1,AJ2,AJ1)</f>
        <v>4T21</v>
      </c>
      <c r="AK5" s="115" t="str">
        <f>IF([1]RENAME!$H$3=1,AK2,AK1)</f>
        <v>1T22</v>
      </c>
      <c r="AL5" s="115" t="str">
        <f>IF([1]RENAME!$H$3=1,AL2,AL1)</f>
        <v>2T22</v>
      </c>
      <c r="AM5" s="115" t="str">
        <f>IF([1]RENAME!$H$3=1,AM2,AM1)</f>
        <v>3T22</v>
      </c>
      <c r="AN5" s="115" t="str">
        <f>IF([1]RENAME!$H$3=1,AN2,AN1)</f>
        <v>4T22</v>
      </c>
      <c r="AO5" s="115" t="str">
        <f>IF([1]RENAME!$H$3=1,AO2,AO1)</f>
        <v>1T23</v>
      </c>
      <c r="AP5" s="115" t="str">
        <f>IF([1]RENAME!$H$3=1,AP2,AP1)</f>
        <v>2T23</v>
      </c>
      <c r="AQ5" s="115" t="str">
        <f>IF([1]RENAME!$H$3=1,AQ2,AQ1)</f>
        <v>3T23</v>
      </c>
      <c r="AR5" s="115" t="str">
        <f>IF([1]RENAME!$H$3=1,AR2,AR1)</f>
        <v>4T23</v>
      </c>
      <c r="AS5" s="115" t="str">
        <f>IF([1]RENAME!$H$3=1,AS2,AS1)</f>
        <v>1T24</v>
      </c>
      <c r="AT5" s="115" t="str">
        <f>IF([1]RENAME!$H$3=1,AT2,AT1)</f>
        <v>2T24</v>
      </c>
      <c r="AU5" s="115" t="str">
        <f>IF([1]RENAME!$H$3=1,AU2,AU1)</f>
        <v>3T24</v>
      </c>
      <c r="AV5" s="115" t="str">
        <f>IF([1]RENAME!$H$3=1,AV2,AV1)</f>
        <v>4T24</v>
      </c>
      <c r="AW5" s="115" t="str">
        <f>IF([1]RENAME!$H$3=1,AW2,AW1)</f>
        <v>1T25</v>
      </c>
      <c r="AX5" s="115" t="str">
        <f>IF([1]RENAME!$H$3=1,AX2,AX1)</f>
        <v>2T25</v>
      </c>
      <c r="AY5" s="115" t="str">
        <f>IF([1]RENAME!$H$3=1,AY2,AY1)</f>
        <v>3T25</v>
      </c>
      <c r="AZ5" s="115" t="str">
        <f>IF([1]RENAME!$H$3=1,AZ2,AZ1)</f>
        <v>4T25</v>
      </c>
      <c r="BA5" s="247" t="str">
        <f>IF([1]RENAME!$H$3=1,BA2,BA1)</f>
        <v>1T26</v>
      </c>
      <c r="BB5" s="115" t="str">
        <f>IF([1]RENAME!$H$3=1,BB2,BB1)</f>
        <v>2T26</v>
      </c>
    </row>
    <row r="6" spans="1:54" x14ac:dyDescent="0.2">
      <c r="A6" t="s">
        <v>242</v>
      </c>
      <c r="B6" t="s">
        <v>1031</v>
      </c>
      <c r="D6" s="129" t="str">
        <f>IF([1]RENAME!$H$3=1,B6,A6)</f>
        <v>Custo dos serviços prestados</v>
      </c>
      <c r="E6" s="118">
        <v>287036</v>
      </c>
      <c r="F6" s="118">
        <v>296034</v>
      </c>
      <c r="G6" s="118">
        <v>291384</v>
      </c>
      <c r="H6" s="118">
        <v>321521</v>
      </c>
      <c r="I6" s="118">
        <v>247048</v>
      </c>
      <c r="J6" s="118">
        <v>247044</v>
      </c>
      <c r="K6" s="118">
        <v>236869</v>
      </c>
      <c r="L6" s="118">
        <v>243493</v>
      </c>
      <c r="M6" s="118">
        <v>178906</v>
      </c>
      <c r="N6" s="118">
        <v>197419</v>
      </c>
      <c r="O6" s="118">
        <v>198284</v>
      </c>
      <c r="P6" s="118">
        <v>206731</v>
      </c>
      <c r="Q6" s="118">
        <v>180716</v>
      </c>
      <c r="R6" s="118">
        <v>211911</v>
      </c>
      <c r="S6" s="118">
        <v>232694</v>
      </c>
      <c r="T6" s="118">
        <v>224722</v>
      </c>
      <c r="U6" s="118">
        <v>213231</v>
      </c>
      <c r="V6" s="118">
        <v>238038</v>
      </c>
      <c r="W6" s="118">
        <v>264364</v>
      </c>
      <c r="X6" s="118">
        <v>280172</v>
      </c>
      <c r="Y6" s="118">
        <v>234141</v>
      </c>
      <c r="Z6" s="118">
        <v>262265</v>
      </c>
      <c r="AA6" s="118">
        <v>271446</v>
      </c>
      <c r="AB6" s="118">
        <v>292623</v>
      </c>
      <c r="AC6" s="118">
        <v>220892</v>
      </c>
      <c r="AD6" s="118">
        <v>118662</v>
      </c>
      <c r="AE6" s="118">
        <v>224486</v>
      </c>
      <c r="AF6" s="118">
        <v>247860</v>
      </c>
      <c r="AG6" s="118">
        <v>191342</v>
      </c>
      <c r="AH6" s="118">
        <v>192686</v>
      </c>
      <c r="AI6" s="118">
        <v>189558</v>
      </c>
      <c r="AJ6" s="118">
        <v>245819</v>
      </c>
      <c r="AK6" s="118">
        <v>201997</v>
      </c>
      <c r="AL6" s="118">
        <v>247123</v>
      </c>
      <c r="AM6" s="118">
        <v>319904</v>
      </c>
      <c r="AN6" s="118">
        <v>326806</v>
      </c>
      <c r="AO6" s="118">
        <v>276117</v>
      </c>
      <c r="AP6" s="118">
        <v>297706</v>
      </c>
      <c r="AQ6" s="118">
        <v>335592</v>
      </c>
      <c r="AR6" s="118">
        <v>362298</v>
      </c>
      <c r="AS6" s="118">
        <v>315602</v>
      </c>
      <c r="AT6" s="118">
        <v>376761</v>
      </c>
      <c r="AU6" s="118">
        <v>464226</v>
      </c>
      <c r="AV6" s="118">
        <v>482497</v>
      </c>
      <c r="AW6" s="118">
        <v>356019</v>
      </c>
      <c r="AX6" s="118">
        <v>429189</v>
      </c>
      <c r="AY6" s="118">
        <v>502429</v>
      </c>
      <c r="AZ6" s="118">
        <v>508637</v>
      </c>
      <c r="BA6" s="118">
        <v>437356</v>
      </c>
      <c r="BB6" s="118">
        <f>(-'[3]22 Desp Op NL'!$N$7)-BA6</f>
        <v>587528</v>
      </c>
    </row>
    <row r="7" spans="1:54" x14ac:dyDescent="0.2">
      <c r="A7" t="s">
        <v>243</v>
      </c>
      <c r="B7" t="s">
        <v>702</v>
      </c>
      <c r="D7" s="129" t="str">
        <f>IF([1]RENAME!$H$3=1,B7,A7)</f>
        <v>Despesas gerais e administrativas</v>
      </c>
      <c r="E7" s="118">
        <v>26572</v>
      </c>
      <c r="F7" s="118">
        <v>18136</v>
      </c>
      <c r="G7" s="118">
        <v>32850</v>
      </c>
      <c r="H7" s="118">
        <v>20480</v>
      </c>
      <c r="I7" s="118">
        <v>19731</v>
      </c>
      <c r="J7" s="118">
        <v>18842</v>
      </c>
      <c r="K7" s="118">
        <v>18396</v>
      </c>
      <c r="L7" s="118">
        <v>18583</v>
      </c>
      <c r="M7" s="118">
        <v>14726</v>
      </c>
      <c r="N7" s="118">
        <v>18134</v>
      </c>
      <c r="O7" s="118">
        <v>15850</v>
      </c>
      <c r="P7" s="118">
        <v>16129</v>
      </c>
      <c r="Q7" s="118">
        <v>13500</v>
      </c>
      <c r="R7" s="118">
        <v>13026.469440000001</v>
      </c>
      <c r="S7" s="118">
        <v>14400.737090000002</v>
      </c>
      <c r="T7" s="118">
        <v>22894.793469999997</v>
      </c>
      <c r="U7" s="118">
        <v>17666</v>
      </c>
      <c r="V7" s="118">
        <v>13285</v>
      </c>
      <c r="W7" s="118">
        <v>14878</v>
      </c>
      <c r="X7" s="118">
        <v>16671</v>
      </c>
      <c r="Y7" s="118">
        <v>15901</v>
      </c>
      <c r="Z7" s="118">
        <v>16517</v>
      </c>
      <c r="AA7" s="118">
        <v>17509</v>
      </c>
      <c r="AB7" s="118">
        <v>22818</v>
      </c>
      <c r="AC7" s="118">
        <v>26811</v>
      </c>
      <c r="AD7" s="118">
        <v>18589</v>
      </c>
      <c r="AE7" s="118">
        <v>17001</v>
      </c>
      <c r="AF7" s="118">
        <v>20873</v>
      </c>
      <c r="AG7" s="118">
        <v>17765</v>
      </c>
      <c r="AH7" s="118">
        <v>18735</v>
      </c>
      <c r="AI7" s="118">
        <v>18070</v>
      </c>
      <c r="AJ7" s="118">
        <v>21913</v>
      </c>
      <c r="AK7" s="118">
        <v>17708</v>
      </c>
      <c r="AL7" s="118">
        <v>21386</v>
      </c>
      <c r="AM7" s="118">
        <v>20295</v>
      </c>
      <c r="AN7" s="260">
        <v>23075</v>
      </c>
      <c r="AO7" s="118">
        <v>19898</v>
      </c>
      <c r="AP7" s="118">
        <v>22984</v>
      </c>
      <c r="AQ7" s="118">
        <v>25386</v>
      </c>
      <c r="AR7" s="118">
        <v>28550</v>
      </c>
      <c r="AS7" s="118">
        <v>27941</v>
      </c>
      <c r="AT7" s="118">
        <v>24401</v>
      </c>
      <c r="AU7" s="118">
        <v>26255</v>
      </c>
      <c r="AV7" s="118">
        <v>28949</v>
      </c>
      <c r="AW7" s="118">
        <v>29190</v>
      </c>
      <c r="AX7" s="118">
        <v>31325</v>
      </c>
      <c r="AY7" s="118">
        <v>30813</v>
      </c>
      <c r="AZ7" s="118">
        <v>34581</v>
      </c>
      <c r="BA7" s="118">
        <v>27624</v>
      </c>
      <c r="BB7" s="118">
        <f>(-'[3]22 Desp Op NL'!$N$8)-BA7</f>
        <v>28198</v>
      </c>
    </row>
    <row r="8" spans="1:54" x14ac:dyDescent="0.2">
      <c r="A8" t="s">
        <v>394</v>
      </c>
      <c r="B8" t="s">
        <v>812</v>
      </c>
      <c r="D8" s="129" t="str">
        <f>IF([1]RENAME!$H$3=1,B8,A8)</f>
        <v>Remuneração da administração</v>
      </c>
      <c r="E8" s="118">
        <v>2002</v>
      </c>
      <c r="F8" s="118">
        <v>3302</v>
      </c>
      <c r="G8" s="118">
        <v>1319</v>
      </c>
      <c r="H8" s="118">
        <v>1387</v>
      </c>
      <c r="I8" s="118">
        <v>2221</v>
      </c>
      <c r="J8" s="118">
        <v>2277</v>
      </c>
      <c r="K8" s="118">
        <v>1591</v>
      </c>
      <c r="L8" s="118">
        <v>680</v>
      </c>
      <c r="M8" s="118">
        <v>2631</v>
      </c>
      <c r="N8" s="118">
        <v>2746</v>
      </c>
      <c r="O8" s="118">
        <v>3188</v>
      </c>
      <c r="P8" s="118">
        <v>1731</v>
      </c>
      <c r="Q8" s="118">
        <v>2590</v>
      </c>
      <c r="R8" s="118">
        <v>2666.5305600000002</v>
      </c>
      <c r="S8" s="118">
        <v>2524.2629099999995</v>
      </c>
      <c r="T8" s="118">
        <v>2662.2065300000004</v>
      </c>
      <c r="U8" s="118">
        <v>2806</v>
      </c>
      <c r="V8" s="118">
        <v>2787</v>
      </c>
      <c r="W8" s="118">
        <v>2898</v>
      </c>
      <c r="X8" s="118">
        <v>3019</v>
      </c>
      <c r="Y8" s="118">
        <v>2794</v>
      </c>
      <c r="Z8" s="118">
        <v>3665</v>
      </c>
      <c r="AA8" s="118">
        <v>2879</v>
      </c>
      <c r="AB8" s="118">
        <v>2876</v>
      </c>
      <c r="AC8" s="259">
        <v>0</v>
      </c>
      <c r="AD8" s="118">
        <v>0</v>
      </c>
      <c r="AE8" s="118">
        <v>0</v>
      </c>
      <c r="AF8" s="118">
        <v>0</v>
      </c>
      <c r="AG8" s="118">
        <v>0</v>
      </c>
      <c r="AH8" s="118">
        <v>0</v>
      </c>
      <c r="AI8" s="118">
        <v>0</v>
      </c>
      <c r="AJ8" s="118">
        <v>0</v>
      </c>
      <c r="AK8" s="118">
        <v>0</v>
      </c>
      <c r="AL8" s="118">
        <v>0</v>
      </c>
      <c r="AM8" s="118">
        <v>0</v>
      </c>
      <c r="AN8" s="118">
        <v>0</v>
      </c>
      <c r="AO8" s="118">
        <v>0</v>
      </c>
      <c r="AP8" s="118">
        <v>0</v>
      </c>
      <c r="AQ8" s="118">
        <v>0</v>
      </c>
      <c r="AR8" s="118">
        <v>0</v>
      </c>
      <c r="AS8" s="118">
        <v>0</v>
      </c>
      <c r="AT8" s="118">
        <v>0</v>
      </c>
      <c r="AU8" s="118">
        <v>0</v>
      </c>
      <c r="AV8" s="118">
        <v>0</v>
      </c>
      <c r="AW8" s="118">
        <v>0</v>
      </c>
      <c r="AX8" s="118">
        <v>0</v>
      </c>
      <c r="AY8" s="118">
        <v>0</v>
      </c>
      <c r="AZ8" s="118">
        <v>0</v>
      </c>
      <c r="BA8" s="118">
        <v>0</v>
      </c>
      <c r="BB8" s="118">
        <f>(-'[3]22 desp por natureza'!$F$6-SUM(AV8))-BA8</f>
        <v>0</v>
      </c>
    </row>
    <row r="9" spans="1:54" x14ac:dyDescent="0.2">
      <c r="A9" t="s">
        <v>395</v>
      </c>
      <c r="B9" t="s">
        <v>1032</v>
      </c>
      <c r="D9" s="129" t="str">
        <f>IF([1]RENAME!$H$3=1,B9,A9)</f>
        <v>Despesas comerciais</v>
      </c>
      <c r="E9" s="118">
        <v>419</v>
      </c>
      <c r="F9" s="118">
        <v>342</v>
      </c>
      <c r="G9" s="118">
        <v>353</v>
      </c>
      <c r="H9" s="118">
        <v>358</v>
      </c>
      <c r="I9" s="118">
        <v>308</v>
      </c>
      <c r="J9" s="118">
        <v>377</v>
      </c>
      <c r="K9" s="118">
        <v>306</v>
      </c>
      <c r="L9" s="118">
        <v>327</v>
      </c>
      <c r="M9" s="118">
        <v>192</v>
      </c>
      <c r="N9" s="118">
        <v>112</v>
      </c>
      <c r="O9" s="118">
        <v>112</v>
      </c>
      <c r="P9" s="118">
        <v>112</v>
      </c>
      <c r="Q9" s="118">
        <v>130</v>
      </c>
      <c r="R9" s="118">
        <v>129</v>
      </c>
      <c r="S9" s="118">
        <v>5871</v>
      </c>
      <c r="T9" s="118">
        <v>5877</v>
      </c>
      <c r="U9" s="118">
        <v>127</v>
      </c>
      <c r="V9" s="118">
        <v>128</v>
      </c>
      <c r="W9" s="118">
        <v>125</v>
      </c>
      <c r="X9" s="118">
        <v>2030</v>
      </c>
      <c r="Y9" s="118">
        <v>125</v>
      </c>
      <c r="Z9" s="118">
        <v>121</v>
      </c>
      <c r="AA9" s="118">
        <v>120</v>
      </c>
      <c r="AB9" s="118">
        <v>112</v>
      </c>
      <c r="AC9" s="118">
        <v>123</v>
      </c>
      <c r="AD9" s="118">
        <v>90</v>
      </c>
      <c r="AE9" s="118">
        <v>113</v>
      </c>
      <c r="AF9" s="118">
        <v>540</v>
      </c>
      <c r="AG9" s="118">
        <v>300</v>
      </c>
      <c r="AH9" s="118">
        <v>302</v>
      </c>
      <c r="AI9" s="118">
        <v>315</v>
      </c>
      <c r="AJ9" s="118">
        <v>349</v>
      </c>
      <c r="AK9" s="118">
        <v>344</v>
      </c>
      <c r="AL9" s="118">
        <v>412</v>
      </c>
      <c r="AM9" s="118">
        <v>455</v>
      </c>
      <c r="AN9" s="118">
        <v>604</v>
      </c>
      <c r="AO9" s="118">
        <v>622</v>
      </c>
      <c r="AP9" s="118">
        <v>612</v>
      </c>
      <c r="AQ9" s="118">
        <v>559</v>
      </c>
      <c r="AR9" s="118">
        <v>611</v>
      </c>
      <c r="AS9" s="118">
        <v>574</v>
      </c>
      <c r="AT9" s="118">
        <v>658</v>
      </c>
      <c r="AU9" s="118">
        <v>694</v>
      </c>
      <c r="AV9" s="118">
        <v>938</v>
      </c>
      <c r="AW9" s="118">
        <v>1095</v>
      </c>
      <c r="AX9" s="118">
        <v>852</v>
      </c>
      <c r="AY9" s="118">
        <v>861</v>
      </c>
      <c r="AZ9" s="118">
        <v>1105</v>
      </c>
      <c r="BA9" s="118">
        <v>2161</v>
      </c>
      <c r="BB9" s="118">
        <f>(-'[3]22 Desp Op NL'!$N$9)-BA9</f>
        <v>2263</v>
      </c>
    </row>
    <row r="10" spans="1:54" ht="25.5" x14ac:dyDescent="0.2">
      <c r="A10" t="s">
        <v>2115</v>
      </c>
      <c r="B10" t="s">
        <v>2116</v>
      </c>
      <c r="D10" s="129" t="str">
        <f>IF([1]RENAME!$H$3=1,B10,A10)</f>
        <v>Perda por redução ao valor recuperável de contas a receber</v>
      </c>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0</v>
      </c>
      <c r="AA10" s="118">
        <v>0</v>
      </c>
      <c r="AB10" s="118">
        <v>0</v>
      </c>
      <c r="AC10" s="118">
        <v>0</v>
      </c>
      <c r="AD10" s="118">
        <v>0</v>
      </c>
      <c r="AE10" s="118">
        <v>0</v>
      </c>
      <c r="AF10" s="118">
        <v>0</v>
      </c>
      <c r="AG10" s="118">
        <v>0</v>
      </c>
      <c r="AH10" s="118">
        <v>0</v>
      </c>
      <c r="AI10" s="118">
        <v>0</v>
      </c>
      <c r="AJ10" s="118">
        <v>0</v>
      </c>
      <c r="AK10" s="118">
        <v>116</v>
      </c>
      <c r="AL10" s="118">
        <f>449-AK10</f>
        <v>333</v>
      </c>
      <c r="AM10" s="118">
        <f>395-SUM(AK10:AL10)</f>
        <v>-54</v>
      </c>
      <c r="AN10" s="118">
        <f>407-SUM(AK10:AM10)</f>
        <v>12</v>
      </c>
      <c r="AO10" s="118">
        <v>385</v>
      </c>
      <c r="AP10" s="118">
        <v>464</v>
      </c>
      <c r="AQ10" s="118">
        <v>249</v>
      </c>
      <c r="AR10" s="118">
        <v>36</v>
      </c>
      <c r="AS10" s="118">
        <v>19</v>
      </c>
      <c r="AT10" s="118">
        <v>195</v>
      </c>
      <c r="AU10" s="118">
        <v>825</v>
      </c>
      <c r="AV10" s="118">
        <v>2122</v>
      </c>
      <c r="AW10" s="118">
        <v>725</v>
      </c>
      <c r="AX10" s="118">
        <v>-648</v>
      </c>
      <c r="AY10" s="118">
        <v>-674</v>
      </c>
      <c r="AZ10" s="118">
        <v>-267</v>
      </c>
      <c r="BA10" s="118">
        <v>962</v>
      </c>
      <c r="BB10" s="118">
        <f>(-'[3]22 Desp Op NL'!$N$10)-BA10</f>
        <v>653</v>
      </c>
    </row>
    <row r="11" spans="1:54" x14ac:dyDescent="0.2">
      <c r="A11" t="s">
        <v>112</v>
      </c>
      <c r="B11" t="s">
        <v>112</v>
      </c>
      <c r="D11" s="126" t="str">
        <f>IF([1]RENAME!$H$3=1,B11,A11)</f>
        <v>Total</v>
      </c>
      <c r="E11" s="120">
        <f t="shared" ref="E11:AP11" si="10">SUM(E6:E10)</f>
        <v>316029</v>
      </c>
      <c r="F11" s="120">
        <f t="shared" si="10"/>
        <v>317814</v>
      </c>
      <c r="G11" s="120">
        <f t="shared" si="10"/>
        <v>325906</v>
      </c>
      <c r="H11" s="120">
        <f t="shared" si="10"/>
        <v>343746</v>
      </c>
      <c r="I11" s="120">
        <f t="shared" si="10"/>
        <v>269308</v>
      </c>
      <c r="J11" s="120">
        <f t="shared" si="10"/>
        <v>268540</v>
      </c>
      <c r="K11" s="120">
        <f t="shared" si="10"/>
        <v>257162</v>
      </c>
      <c r="L11" s="120">
        <f t="shared" si="10"/>
        <v>263083</v>
      </c>
      <c r="M11" s="120">
        <f t="shared" si="10"/>
        <v>196455</v>
      </c>
      <c r="N11" s="120">
        <f t="shared" si="10"/>
        <v>218411</v>
      </c>
      <c r="O11" s="120">
        <f t="shared" si="10"/>
        <v>217434</v>
      </c>
      <c r="P11" s="120">
        <f t="shared" si="10"/>
        <v>224703</v>
      </c>
      <c r="Q11" s="120">
        <f t="shared" si="10"/>
        <v>196936</v>
      </c>
      <c r="R11" s="120">
        <f t="shared" si="10"/>
        <v>227733.00000000003</v>
      </c>
      <c r="S11" s="120">
        <f t="shared" si="10"/>
        <v>255490</v>
      </c>
      <c r="T11" s="120">
        <f t="shared" si="10"/>
        <v>256156</v>
      </c>
      <c r="U11" s="120">
        <f t="shared" si="10"/>
        <v>233830</v>
      </c>
      <c r="V11" s="120">
        <f t="shared" si="10"/>
        <v>254238</v>
      </c>
      <c r="W11" s="120">
        <f t="shared" si="10"/>
        <v>282265</v>
      </c>
      <c r="X11" s="120">
        <f t="shared" si="10"/>
        <v>301892</v>
      </c>
      <c r="Y11" s="120">
        <f t="shared" si="10"/>
        <v>252961</v>
      </c>
      <c r="Z11" s="120">
        <f t="shared" si="10"/>
        <v>282568</v>
      </c>
      <c r="AA11" s="120">
        <f t="shared" si="10"/>
        <v>291954</v>
      </c>
      <c r="AB11" s="120">
        <f t="shared" si="10"/>
        <v>318429</v>
      </c>
      <c r="AC11" s="120">
        <f t="shared" si="10"/>
        <v>247826</v>
      </c>
      <c r="AD11" s="120">
        <f t="shared" si="10"/>
        <v>137341</v>
      </c>
      <c r="AE11" s="120">
        <f t="shared" si="10"/>
        <v>241600</v>
      </c>
      <c r="AF11" s="120">
        <f t="shared" si="10"/>
        <v>269273</v>
      </c>
      <c r="AG11" s="120">
        <f t="shared" si="10"/>
        <v>209407</v>
      </c>
      <c r="AH11" s="120">
        <f t="shared" si="10"/>
        <v>211723</v>
      </c>
      <c r="AI11" s="120">
        <f t="shared" si="10"/>
        <v>207943</v>
      </c>
      <c r="AJ11" s="120">
        <f t="shared" si="10"/>
        <v>268081</v>
      </c>
      <c r="AK11" s="120">
        <f t="shared" si="10"/>
        <v>220165</v>
      </c>
      <c r="AL11" s="120">
        <f t="shared" si="10"/>
        <v>269254</v>
      </c>
      <c r="AM11" s="120">
        <f t="shared" si="10"/>
        <v>340600</v>
      </c>
      <c r="AN11" s="120">
        <f t="shared" si="10"/>
        <v>350497</v>
      </c>
      <c r="AO11" s="120">
        <f t="shared" si="10"/>
        <v>297022</v>
      </c>
      <c r="AP11" s="120">
        <f t="shared" si="10"/>
        <v>321766</v>
      </c>
      <c r="AQ11" s="120">
        <f t="shared" ref="AQ11:AX11" si="11">SUM(AQ6:AQ10)</f>
        <v>361786</v>
      </c>
      <c r="AR11" s="120">
        <f t="shared" si="11"/>
        <v>391495</v>
      </c>
      <c r="AS11" s="120">
        <f t="shared" si="11"/>
        <v>344136</v>
      </c>
      <c r="AT11" s="120">
        <f t="shared" si="11"/>
        <v>402015</v>
      </c>
      <c r="AU11" s="120">
        <f t="shared" si="11"/>
        <v>492000</v>
      </c>
      <c r="AV11" s="120">
        <f t="shared" si="11"/>
        <v>514506</v>
      </c>
      <c r="AW11" s="120">
        <f t="shared" si="11"/>
        <v>387029</v>
      </c>
      <c r="AX11" s="120">
        <f t="shared" si="11"/>
        <v>460718</v>
      </c>
      <c r="AY11" s="120">
        <f>SUM(AY6:AY10)</f>
        <v>533429</v>
      </c>
      <c r="AZ11" s="120">
        <f>SUM(AZ6:AZ10)</f>
        <v>544056</v>
      </c>
      <c r="BA11" s="120">
        <f>SUM(BA6:BA10)</f>
        <v>468103</v>
      </c>
      <c r="BB11" s="120">
        <f>SUM(BB6:BB10)</f>
        <v>618642</v>
      </c>
    </row>
    <row r="13" spans="1:54" x14ac:dyDescent="0.2">
      <c r="A13" t="s">
        <v>97</v>
      </c>
      <c r="B13" t="s">
        <v>872</v>
      </c>
      <c r="D13" s="115" t="str">
        <f>IF([1]RENAME!$H$3=1,B13,A13)</f>
        <v>Controladora</v>
      </c>
      <c r="E13" s="115" t="str">
        <f>E5</f>
        <v>1T14</v>
      </c>
      <c r="F13" s="115" t="str">
        <f t="shared" ref="F13:S13" si="12">F5</f>
        <v>2T14</v>
      </c>
      <c r="G13" s="115" t="str">
        <f t="shared" si="12"/>
        <v>3T14</v>
      </c>
      <c r="H13" s="115" t="str">
        <f t="shared" si="12"/>
        <v>4T14</v>
      </c>
      <c r="I13" s="115" t="str">
        <f t="shared" si="12"/>
        <v>1T15</v>
      </c>
      <c r="J13" s="115" t="str">
        <f t="shared" si="12"/>
        <v>2T15</v>
      </c>
      <c r="K13" s="115" t="str">
        <f t="shared" si="12"/>
        <v>3T15</v>
      </c>
      <c r="L13" s="115" t="str">
        <f t="shared" si="12"/>
        <v>4T15</v>
      </c>
      <c r="M13" s="115" t="str">
        <f t="shared" si="12"/>
        <v>1T16</v>
      </c>
      <c r="N13" s="115" t="str">
        <f t="shared" si="12"/>
        <v>2T16</v>
      </c>
      <c r="O13" s="115" t="str">
        <f t="shared" si="12"/>
        <v>3T16</v>
      </c>
      <c r="P13" s="115" t="str">
        <f t="shared" si="12"/>
        <v>4T16</v>
      </c>
      <c r="Q13" s="115" t="str">
        <f t="shared" si="12"/>
        <v>1T17</v>
      </c>
      <c r="R13" s="115" t="str">
        <f t="shared" si="12"/>
        <v>2T17</v>
      </c>
      <c r="S13" s="115" t="str">
        <f t="shared" si="12"/>
        <v>3T17</v>
      </c>
      <c r="T13" s="115" t="str">
        <f t="shared" ref="T13:Y13" si="13">T5</f>
        <v>4T17</v>
      </c>
      <c r="U13" s="115" t="str">
        <f t="shared" si="13"/>
        <v>1T18</v>
      </c>
      <c r="V13" s="115" t="str">
        <f t="shared" si="13"/>
        <v>2T18</v>
      </c>
      <c r="W13" s="115" t="str">
        <f t="shared" si="13"/>
        <v>3T18</v>
      </c>
      <c r="X13" s="115" t="str">
        <f t="shared" si="13"/>
        <v>4T18</v>
      </c>
      <c r="Y13" s="115" t="str">
        <f t="shared" si="13"/>
        <v>1T19</v>
      </c>
      <c r="Z13" s="115" t="str">
        <f t="shared" ref="Z13:AE13" si="14">Z5</f>
        <v>2T19</v>
      </c>
      <c r="AA13" s="115" t="str">
        <f t="shared" si="14"/>
        <v>3T19</v>
      </c>
      <c r="AB13" s="115" t="str">
        <f t="shared" si="14"/>
        <v>4T19</v>
      </c>
      <c r="AC13" s="115" t="str">
        <f t="shared" si="14"/>
        <v>1T20</v>
      </c>
      <c r="AD13" s="115" t="str">
        <f t="shared" si="14"/>
        <v>2T20</v>
      </c>
      <c r="AE13" s="115" t="str">
        <f t="shared" si="14"/>
        <v>3T20</v>
      </c>
      <c r="AF13" s="115" t="str">
        <f t="shared" ref="AF13:AL13" si="15">AF5</f>
        <v>4T20</v>
      </c>
      <c r="AG13" s="115" t="str">
        <f t="shared" si="15"/>
        <v>1T21</v>
      </c>
      <c r="AH13" s="115" t="str">
        <f t="shared" si="15"/>
        <v>2T21</v>
      </c>
      <c r="AI13" s="115" t="str">
        <f t="shared" si="15"/>
        <v>3T21</v>
      </c>
      <c r="AJ13" s="115" t="str">
        <f t="shared" si="15"/>
        <v>4T21</v>
      </c>
      <c r="AK13" s="115" t="str">
        <f t="shared" si="15"/>
        <v>1T22</v>
      </c>
      <c r="AL13" s="115" t="str">
        <f t="shared" si="15"/>
        <v>2T22</v>
      </c>
      <c r="AM13" s="115" t="str">
        <f t="shared" ref="AM13:AT13" si="16">AM5</f>
        <v>3T22</v>
      </c>
      <c r="AN13" s="115" t="str">
        <f t="shared" si="16"/>
        <v>4T22</v>
      </c>
      <c r="AO13" s="115" t="str">
        <f t="shared" si="16"/>
        <v>1T23</v>
      </c>
      <c r="AP13" s="115" t="str">
        <f t="shared" si="16"/>
        <v>2T23</v>
      </c>
      <c r="AQ13" s="115" t="str">
        <f t="shared" si="16"/>
        <v>3T23</v>
      </c>
      <c r="AR13" s="115" t="str">
        <f t="shared" si="16"/>
        <v>4T23</v>
      </c>
      <c r="AS13" s="115" t="str">
        <f t="shared" si="16"/>
        <v>1T24</v>
      </c>
      <c r="AT13" s="115" t="str">
        <f t="shared" si="16"/>
        <v>2T24</v>
      </c>
      <c r="AU13" s="115" t="str">
        <f t="shared" ref="AU13:AZ13" si="17">AU5</f>
        <v>3T24</v>
      </c>
      <c r="AV13" s="115" t="str">
        <f t="shared" si="17"/>
        <v>4T24</v>
      </c>
      <c r="AW13" s="115" t="str">
        <f t="shared" si="17"/>
        <v>1T25</v>
      </c>
      <c r="AX13" s="115" t="str">
        <f t="shared" si="17"/>
        <v>2T25</v>
      </c>
      <c r="AY13" s="115" t="str">
        <f t="shared" si="17"/>
        <v>3T25</v>
      </c>
      <c r="AZ13" s="115" t="str">
        <f t="shared" si="17"/>
        <v>4T25</v>
      </c>
      <c r="BA13" s="247" t="str">
        <f>BA5</f>
        <v>1T26</v>
      </c>
      <c r="BB13" s="115" t="str">
        <f>BB5</f>
        <v>2T26</v>
      </c>
    </row>
    <row r="14" spans="1:54" x14ac:dyDescent="0.2">
      <c r="A14" t="s">
        <v>242</v>
      </c>
      <c r="B14" t="s">
        <v>1031</v>
      </c>
      <c r="D14" s="129" t="str">
        <f>IF([1]RENAME!$H$3=1,B14,A14)</f>
        <v>Custo dos serviços prestados</v>
      </c>
      <c r="E14" s="118">
        <v>228171</v>
      </c>
      <c r="F14" s="118">
        <v>250095</v>
      </c>
      <c r="G14" s="118">
        <v>246600</v>
      </c>
      <c r="H14" s="118">
        <v>271134</v>
      </c>
      <c r="I14" s="118">
        <v>202358</v>
      </c>
      <c r="J14" s="118">
        <v>196186</v>
      </c>
      <c r="K14" s="118">
        <v>190756</v>
      </c>
      <c r="L14" s="118">
        <v>196337</v>
      </c>
      <c r="M14" s="118">
        <v>143920</v>
      </c>
      <c r="N14" s="118">
        <v>161932</v>
      </c>
      <c r="O14" s="118">
        <v>165446</v>
      </c>
      <c r="P14" s="118">
        <v>174949</v>
      </c>
      <c r="Q14" s="118">
        <v>150327</v>
      </c>
      <c r="R14" s="118">
        <v>181027</v>
      </c>
      <c r="S14" s="118">
        <v>201659</v>
      </c>
      <c r="T14" s="118">
        <v>194055</v>
      </c>
      <c r="U14" s="118">
        <v>185471</v>
      </c>
      <c r="V14" s="118">
        <v>212787</v>
      </c>
      <c r="W14" s="118">
        <v>238068</v>
      </c>
      <c r="X14" s="118">
        <v>252560</v>
      </c>
      <c r="Y14" s="118">
        <v>207604</v>
      </c>
      <c r="Z14" s="118">
        <v>225643</v>
      </c>
      <c r="AA14" s="118">
        <v>234402</v>
      </c>
      <c r="AB14" s="118">
        <v>252670</v>
      </c>
      <c r="AC14" s="118">
        <v>188218</v>
      </c>
      <c r="AD14" s="118">
        <v>87254</v>
      </c>
      <c r="AE14" s="118">
        <v>188414</v>
      </c>
      <c r="AF14" s="118">
        <v>209213</v>
      </c>
      <c r="AG14" s="118">
        <v>156640</v>
      </c>
      <c r="AH14" s="118">
        <v>154276</v>
      </c>
      <c r="AI14" s="118">
        <v>152999</v>
      </c>
      <c r="AJ14" s="118">
        <v>207813</v>
      </c>
      <c r="AK14" s="118">
        <v>162887</v>
      </c>
      <c r="AL14" s="118">
        <v>202001</v>
      </c>
      <c r="AM14" s="118">
        <v>268664</v>
      </c>
      <c r="AN14" s="118">
        <v>272943</v>
      </c>
      <c r="AO14" s="118">
        <v>221879</v>
      </c>
      <c r="AP14" s="118">
        <v>247453</v>
      </c>
      <c r="AQ14" s="118">
        <v>278729</v>
      </c>
      <c r="AR14" s="118">
        <v>304786</v>
      </c>
      <c r="AS14" s="118">
        <v>256133</v>
      </c>
      <c r="AT14" s="118">
        <v>326498</v>
      </c>
      <c r="AU14" s="118">
        <v>423944</v>
      </c>
      <c r="AV14" s="118">
        <v>442548</v>
      </c>
      <c r="AW14" s="118">
        <v>313355</v>
      </c>
      <c r="AX14" s="118">
        <v>385827</v>
      </c>
      <c r="AY14" s="118">
        <v>463003</v>
      </c>
      <c r="AZ14" s="118">
        <v>462432</v>
      </c>
      <c r="BA14" s="118">
        <v>-918748</v>
      </c>
      <c r="BB14" s="118">
        <f>(-'[3]22 Desp Op NL'!$F$7-AZ14-AY14-AX14)-BA14</f>
        <v>540186</v>
      </c>
    </row>
    <row r="15" spans="1:54" x14ac:dyDescent="0.2">
      <c r="A15" t="s">
        <v>243</v>
      </c>
      <c r="B15" t="s">
        <v>702</v>
      </c>
      <c r="D15" s="129" t="str">
        <f>IF([1]RENAME!$H$3=1,B15,A15)</f>
        <v>Despesas gerais e administrativas</v>
      </c>
      <c r="E15" s="118">
        <v>24432</v>
      </c>
      <c r="F15" s="118">
        <v>17915</v>
      </c>
      <c r="G15" s="118">
        <v>23170</v>
      </c>
      <c r="H15" s="118">
        <v>21170</v>
      </c>
      <c r="I15" s="118">
        <v>18237</v>
      </c>
      <c r="J15" s="118">
        <v>17545</v>
      </c>
      <c r="K15" s="118">
        <v>17155</v>
      </c>
      <c r="L15" s="118">
        <v>16478</v>
      </c>
      <c r="M15" s="118">
        <v>13706</v>
      </c>
      <c r="N15" s="118">
        <v>17276</v>
      </c>
      <c r="O15" s="118">
        <v>14940</v>
      </c>
      <c r="P15" s="118">
        <v>15306</v>
      </c>
      <c r="Q15" s="118">
        <v>12854</v>
      </c>
      <c r="R15" s="118">
        <v>12387.469440000001</v>
      </c>
      <c r="S15" s="118">
        <v>13777.737090000002</v>
      </c>
      <c r="T15" s="118">
        <v>20713.793469999997</v>
      </c>
      <c r="U15" s="118">
        <v>17083</v>
      </c>
      <c r="V15" s="118">
        <v>12721</v>
      </c>
      <c r="W15" s="118">
        <v>14681</v>
      </c>
      <c r="X15" s="118">
        <v>16352</v>
      </c>
      <c r="Y15" s="118">
        <v>15559</v>
      </c>
      <c r="Z15" s="118">
        <v>16113</v>
      </c>
      <c r="AA15" s="118">
        <v>16956</v>
      </c>
      <c r="AB15" s="118">
        <v>22348</v>
      </c>
      <c r="AC15" s="118">
        <v>26340</v>
      </c>
      <c r="AD15" s="118">
        <v>18272</v>
      </c>
      <c r="AE15" s="118">
        <v>16580</v>
      </c>
      <c r="AF15" s="118">
        <v>20505</v>
      </c>
      <c r="AG15" s="118">
        <v>17568</v>
      </c>
      <c r="AH15" s="118">
        <v>18519</v>
      </c>
      <c r="AI15" s="118">
        <v>17903</v>
      </c>
      <c r="AJ15" s="118">
        <v>21609</v>
      </c>
      <c r="AK15" s="118">
        <v>17514</v>
      </c>
      <c r="AL15" s="118">
        <v>21122</v>
      </c>
      <c r="AM15" s="118">
        <v>20128</v>
      </c>
      <c r="AN15" s="260">
        <v>21954</v>
      </c>
      <c r="AO15" s="118">
        <v>19435</v>
      </c>
      <c r="AP15" s="118">
        <v>22747</v>
      </c>
      <c r="AQ15" s="118">
        <v>25527</v>
      </c>
      <c r="AR15" s="118">
        <v>26675</v>
      </c>
      <c r="AS15" s="118">
        <v>23377</v>
      </c>
      <c r="AT15" s="118">
        <v>20627</v>
      </c>
      <c r="AU15" s="118">
        <v>21982</v>
      </c>
      <c r="AV15" s="118">
        <v>24519</v>
      </c>
      <c r="AW15" s="118">
        <v>24754</v>
      </c>
      <c r="AX15" s="118">
        <v>26754</v>
      </c>
      <c r="AY15" s="118">
        <v>25979</v>
      </c>
      <c r="AZ15" s="118">
        <v>28948</v>
      </c>
      <c r="BA15" s="118">
        <v>-58238</v>
      </c>
      <c r="BB15" s="118">
        <f>(-'[3]22 Desp Op NL'!$F$8-AZ15-AY15-AX15)-BA15</f>
        <v>23619</v>
      </c>
    </row>
    <row r="16" spans="1:54" x14ac:dyDescent="0.2">
      <c r="A16" t="s">
        <v>394</v>
      </c>
      <c r="B16" t="s">
        <v>812</v>
      </c>
      <c r="D16" s="129" t="str">
        <f>IF([1]RENAME!$H$3=1,B16,A16)</f>
        <v>Remuneração da administração</v>
      </c>
      <c r="E16" s="118">
        <v>2002</v>
      </c>
      <c r="F16" s="118">
        <v>3302</v>
      </c>
      <c r="G16" s="118">
        <v>1319</v>
      </c>
      <c r="H16" s="118">
        <v>1387</v>
      </c>
      <c r="I16" s="118">
        <v>2221</v>
      </c>
      <c r="J16" s="118">
        <v>2277</v>
      </c>
      <c r="K16" s="118">
        <v>1591</v>
      </c>
      <c r="L16" s="118">
        <v>680</v>
      </c>
      <c r="M16" s="118">
        <v>2631</v>
      </c>
      <c r="N16" s="118">
        <v>2746</v>
      </c>
      <c r="O16" s="118">
        <v>3188</v>
      </c>
      <c r="P16" s="118">
        <v>1731</v>
      </c>
      <c r="Q16" s="118">
        <v>2590</v>
      </c>
      <c r="R16" s="118">
        <v>2666.5305600000002</v>
      </c>
      <c r="S16" s="118">
        <v>2524.2629099999995</v>
      </c>
      <c r="T16" s="118">
        <v>2662.2065300000004</v>
      </c>
      <c r="U16" s="118">
        <v>2806</v>
      </c>
      <c r="V16" s="118">
        <v>2787</v>
      </c>
      <c r="W16" s="118">
        <v>2898</v>
      </c>
      <c r="X16" s="118">
        <v>3019</v>
      </c>
      <c r="Y16" s="118">
        <v>2794</v>
      </c>
      <c r="Z16" s="118">
        <v>3665</v>
      </c>
      <c r="AA16" s="118">
        <v>2879</v>
      </c>
      <c r="AB16" s="118">
        <v>2876</v>
      </c>
      <c r="AC16" s="259">
        <v>0</v>
      </c>
      <c r="AD16" s="118">
        <v>0</v>
      </c>
      <c r="AE16" s="118">
        <v>0</v>
      </c>
      <c r="AF16" s="118">
        <v>0</v>
      </c>
      <c r="AG16" s="118">
        <v>0</v>
      </c>
      <c r="AH16" s="118">
        <v>0</v>
      </c>
      <c r="AI16" s="118">
        <v>0</v>
      </c>
      <c r="AJ16" s="118">
        <v>0</v>
      </c>
      <c r="AK16" s="118">
        <v>0</v>
      </c>
      <c r="AL16" s="118">
        <v>0</v>
      </c>
      <c r="AM16" s="118">
        <v>0</v>
      </c>
      <c r="AN16" s="118">
        <v>0</v>
      </c>
      <c r="AO16" s="118">
        <v>0</v>
      </c>
      <c r="AP16" s="118">
        <v>0</v>
      </c>
      <c r="AQ16" s="118">
        <v>0</v>
      </c>
      <c r="AR16" s="118">
        <v>0</v>
      </c>
      <c r="AS16" s="118">
        <v>0</v>
      </c>
      <c r="AT16" s="118">
        <v>0</v>
      </c>
      <c r="AU16" s="118">
        <v>0</v>
      </c>
      <c r="AV16" s="118">
        <v>0</v>
      </c>
      <c r="AW16" s="118">
        <v>0</v>
      </c>
      <c r="AX16" s="118">
        <v>0</v>
      </c>
      <c r="AY16" s="118">
        <v>0</v>
      </c>
      <c r="AZ16" s="118">
        <v>0</v>
      </c>
      <c r="BA16" s="118">
        <v>0</v>
      </c>
      <c r="BB16" s="118">
        <f>(-'[3]22 desp por natureza'!$B$6-SUM(AV16))-BA16</f>
        <v>0</v>
      </c>
    </row>
    <row r="17" spans="1:54" x14ac:dyDescent="0.2">
      <c r="A17" t="s">
        <v>395</v>
      </c>
      <c r="B17" t="s">
        <v>1032</v>
      </c>
      <c r="D17" s="129" t="str">
        <f>IF([1]RENAME!$H$3=1,B17,A17)</f>
        <v>Despesas comerciais</v>
      </c>
      <c r="E17" s="118">
        <v>419</v>
      </c>
      <c r="F17" s="118">
        <v>342</v>
      </c>
      <c r="G17" s="118">
        <v>353</v>
      </c>
      <c r="H17" s="118">
        <v>358</v>
      </c>
      <c r="I17" s="118">
        <v>308</v>
      </c>
      <c r="J17" s="118">
        <v>377</v>
      </c>
      <c r="K17" s="118">
        <v>306</v>
      </c>
      <c r="L17" s="118">
        <v>327</v>
      </c>
      <c r="M17" s="118">
        <v>192</v>
      </c>
      <c r="N17" s="118">
        <v>112</v>
      </c>
      <c r="O17" s="118">
        <v>112</v>
      </c>
      <c r="P17" s="118">
        <v>112</v>
      </c>
      <c r="Q17" s="118">
        <v>130</v>
      </c>
      <c r="R17" s="118">
        <v>129</v>
      </c>
      <c r="S17" s="118">
        <v>138</v>
      </c>
      <c r="T17" s="118">
        <v>146</v>
      </c>
      <c r="U17" s="118">
        <v>127</v>
      </c>
      <c r="V17" s="118">
        <v>128</v>
      </c>
      <c r="W17" s="118">
        <v>125</v>
      </c>
      <c r="X17" s="118">
        <v>123</v>
      </c>
      <c r="Y17" s="118">
        <v>125</v>
      </c>
      <c r="Z17" s="118">
        <v>121</v>
      </c>
      <c r="AA17" s="118">
        <v>120</v>
      </c>
      <c r="AB17" s="118">
        <v>112</v>
      </c>
      <c r="AC17" s="118">
        <v>123</v>
      </c>
      <c r="AD17" s="118">
        <v>90</v>
      </c>
      <c r="AE17" s="118">
        <v>113</v>
      </c>
      <c r="AF17" s="118">
        <v>109</v>
      </c>
      <c r="AG17" s="118">
        <v>121</v>
      </c>
      <c r="AH17" s="118">
        <v>127</v>
      </c>
      <c r="AI17" s="118">
        <v>128</v>
      </c>
      <c r="AJ17" s="118">
        <v>127</v>
      </c>
      <c r="AK17" s="118">
        <v>106</v>
      </c>
      <c r="AL17" s="118">
        <v>126</v>
      </c>
      <c r="AM17" s="118">
        <v>137</v>
      </c>
      <c r="AN17" s="118">
        <v>146</v>
      </c>
      <c r="AO17" s="118">
        <v>138</v>
      </c>
      <c r="AP17" s="118">
        <v>173</v>
      </c>
      <c r="AQ17" s="118">
        <v>151</v>
      </c>
      <c r="AR17" s="118">
        <v>196</v>
      </c>
      <c r="AS17" s="118">
        <v>152</v>
      </c>
      <c r="AT17" s="118">
        <v>171</v>
      </c>
      <c r="AU17" s="118">
        <v>178</v>
      </c>
      <c r="AV17" s="118">
        <v>201</v>
      </c>
      <c r="AW17" s="118">
        <v>218</v>
      </c>
      <c r="AX17" s="118">
        <v>201</v>
      </c>
      <c r="AY17" s="118">
        <v>187</v>
      </c>
      <c r="AZ17" s="118">
        <v>241</v>
      </c>
      <c r="BA17" s="118">
        <v>-390</v>
      </c>
      <c r="BB17" s="118">
        <f>(-'[3]22 Desp Op NL'!$F$9-AZ17-AY17-AX17)-BA17</f>
        <v>237</v>
      </c>
    </row>
    <row r="18" spans="1:54" ht="25.5" x14ac:dyDescent="0.2">
      <c r="A18" t="s">
        <v>2115</v>
      </c>
      <c r="B18" t="s">
        <v>2116</v>
      </c>
      <c r="D18" s="129" t="str">
        <f>IF([1]RENAME!$H$3=1,B18,A18)</f>
        <v>Perda por redução ao valor recuperável de contas a receber</v>
      </c>
      <c r="E18" s="118">
        <v>0</v>
      </c>
      <c r="F18" s="118">
        <v>0</v>
      </c>
      <c r="G18" s="118">
        <v>0</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0</v>
      </c>
      <c r="AB18" s="118">
        <v>0</v>
      </c>
      <c r="AC18" s="118">
        <v>0</v>
      </c>
      <c r="AD18" s="118">
        <v>0</v>
      </c>
      <c r="AE18" s="118">
        <v>0</v>
      </c>
      <c r="AF18" s="118">
        <v>0</v>
      </c>
      <c r="AG18" s="118">
        <v>0</v>
      </c>
      <c r="AH18" s="118">
        <v>0</v>
      </c>
      <c r="AI18" s="118">
        <v>0</v>
      </c>
      <c r="AJ18" s="118">
        <v>0</v>
      </c>
      <c r="AK18" s="118">
        <v>90</v>
      </c>
      <c r="AL18" s="118">
        <f>346-AK18</f>
        <v>256</v>
      </c>
      <c r="AM18" s="118">
        <f>275-SUM(AK18:AL18)</f>
        <v>-71</v>
      </c>
      <c r="AN18" s="118">
        <f>215-SUM(AK18:AM18)</f>
        <v>-60</v>
      </c>
      <c r="AO18" s="118">
        <v>3</v>
      </c>
      <c r="AP18" s="118">
        <v>492</v>
      </c>
      <c r="AQ18" s="118">
        <v>66</v>
      </c>
      <c r="AR18" s="118">
        <v>-12</v>
      </c>
      <c r="AS18" s="118">
        <v>77</v>
      </c>
      <c r="AT18" s="118">
        <v>122</v>
      </c>
      <c r="AU18" s="118">
        <v>640</v>
      </c>
      <c r="AV18" s="118">
        <v>2053</v>
      </c>
      <c r="AW18" s="118">
        <v>677</v>
      </c>
      <c r="AX18" s="118">
        <v>-851</v>
      </c>
      <c r="AY18" s="118">
        <v>-314</v>
      </c>
      <c r="AZ18" s="118">
        <v>-468</v>
      </c>
      <c r="BA18" s="118">
        <v>2118</v>
      </c>
      <c r="BB18" s="118">
        <f>(-'[3]22 Desp Op NL'!$F$10-AZ18-AY18-AX18)-BA18</f>
        <v>490</v>
      </c>
    </row>
    <row r="19" spans="1:54" x14ac:dyDescent="0.2">
      <c r="A19" t="s">
        <v>112</v>
      </c>
      <c r="B19" t="s">
        <v>112</v>
      </c>
      <c r="D19" s="126" t="str">
        <f>IF([1]RENAME!$H$3=1,B19,A19)</f>
        <v>Total</v>
      </c>
      <c r="E19" s="120">
        <f t="shared" ref="E19:AP19" si="18">SUM(E14:E18)</f>
        <v>255024</v>
      </c>
      <c r="F19" s="120">
        <f t="shared" si="18"/>
        <v>271654</v>
      </c>
      <c r="G19" s="120">
        <f t="shared" si="18"/>
        <v>271442</v>
      </c>
      <c r="H19" s="120">
        <f t="shared" si="18"/>
        <v>294049</v>
      </c>
      <c r="I19" s="120">
        <f t="shared" si="18"/>
        <v>223124</v>
      </c>
      <c r="J19" s="120">
        <f t="shared" si="18"/>
        <v>216385</v>
      </c>
      <c r="K19" s="120">
        <f t="shared" si="18"/>
        <v>209808</v>
      </c>
      <c r="L19" s="120">
        <f t="shared" si="18"/>
        <v>213822</v>
      </c>
      <c r="M19" s="120">
        <f t="shared" si="18"/>
        <v>160449</v>
      </c>
      <c r="N19" s="120">
        <f t="shared" si="18"/>
        <v>182066</v>
      </c>
      <c r="O19" s="120">
        <f t="shared" si="18"/>
        <v>183686</v>
      </c>
      <c r="P19" s="120">
        <f t="shared" si="18"/>
        <v>192098</v>
      </c>
      <c r="Q19" s="120">
        <f t="shared" si="18"/>
        <v>165901</v>
      </c>
      <c r="R19" s="120">
        <f t="shared" si="18"/>
        <v>196210.00000000003</v>
      </c>
      <c r="S19" s="120">
        <f t="shared" si="18"/>
        <v>218099</v>
      </c>
      <c r="T19" s="120">
        <f t="shared" si="18"/>
        <v>217577</v>
      </c>
      <c r="U19" s="120">
        <f t="shared" si="18"/>
        <v>205487</v>
      </c>
      <c r="V19" s="120">
        <f t="shared" si="18"/>
        <v>228423</v>
      </c>
      <c r="W19" s="120">
        <f t="shared" si="18"/>
        <v>255772</v>
      </c>
      <c r="X19" s="120">
        <f t="shared" si="18"/>
        <v>272054</v>
      </c>
      <c r="Y19" s="120">
        <f t="shared" si="18"/>
        <v>226082</v>
      </c>
      <c r="Z19" s="120">
        <f t="shared" si="18"/>
        <v>245542</v>
      </c>
      <c r="AA19" s="120">
        <f t="shared" si="18"/>
        <v>254357</v>
      </c>
      <c r="AB19" s="120">
        <f t="shared" si="18"/>
        <v>278006</v>
      </c>
      <c r="AC19" s="120">
        <f t="shared" si="18"/>
        <v>214681</v>
      </c>
      <c r="AD19" s="120">
        <f t="shared" si="18"/>
        <v>105616</v>
      </c>
      <c r="AE19" s="120">
        <f t="shared" si="18"/>
        <v>205107</v>
      </c>
      <c r="AF19" s="120">
        <f t="shared" si="18"/>
        <v>229827</v>
      </c>
      <c r="AG19" s="120">
        <f t="shared" si="18"/>
        <v>174329</v>
      </c>
      <c r="AH19" s="120">
        <f t="shared" si="18"/>
        <v>172922</v>
      </c>
      <c r="AI19" s="120">
        <f t="shared" si="18"/>
        <v>171030</v>
      </c>
      <c r="AJ19" s="120">
        <f t="shared" si="18"/>
        <v>229549</v>
      </c>
      <c r="AK19" s="120">
        <f t="shared" si="18"/>
        <v>180597</v>
      </c>
      <c r="AL19" s="120">
        <f t="shared" si="18"/>
        <v>223505</v>
      </c>
      <c r="AM19" s="120">
        <f t="shared" si="18"/>
        <v>288858</v>
      </c>
      <c r="AN19" s="120">
        <f t="shared" si="18"/>
        <v>294983</v>
      </c>
      <c r="AO19" s="120">
        <f t="shared" si="18"/>
        <v>241455</v>
      </c>
      <c r="AP19" s="120">
        <f t="shared" si="18"/>
        <v>270865</v>
      </c>
      <c r="AQ19" s="120">
        <f t="shared" ref="AQ19:AX19" si="19">SUM(AQ14:AQ18)</f>
        <v>304473</v>
      </c>
      <c r="AR19" s="120">
        <f t="shared" si="19"/>
        <v>331645</v>
      </c>
      <c r="AS19" s="120">
        <f t="shared" si="19"/>
        <v>279739</v>
      </c>
      <c r="AT19" s="120">
        <f t="shared" si="19"/>
        <v>347418</v>
      </c>
      <c r="AU19" s="120">
        <f t="shared" si="19"/>
        <v>446744</v>
      </c>
      <c r="AV19" s="120">
        <f t="shared" si="19"/>
        <v>469321</v>
      </c>
      <c r="AW19" s="120">
        <f t="shared" si="19"/>
        <v>339004</v>
      </c>
      <c r="AX19" s="120">
        <f t="shared" si="19"/>
        <v>411931</v>
      </c>
      <c r="AY19" s="120">
        <f>SUM(AY14:AY18)</f>
        <v>488855</v>
      </c>
      <c r="AZ19" s="120">
        <f>SUM(AZ14:AZ18)</f>
        <v>491153</v>
      </c>
      <c r="BA19" s="120">
        <f>SUM(BA14:BA18)</f>
        <v>-975258</v>
      </c>
      <c r="BB19" s="120">
        <f>SUM(BB14:BB18)</f>
        <v>564532</v>
      </c>
    </row>
    <row r="21" spans="1:54" x14ac:dyDescent="0.2">
      <c r="A21" t="s">
        <v>98</v>
      </c>
      <c r="B21" t="s">
        <v>876</v>
      </c>
      <c r="D21" s="115" t="str">
        <f>IF([1]RENAME!$H$3=1,B21,A21)</f>
        <v>Controladas</v>
      </c>
      <c r="E21" s="115" t="str">
        <f>E5</f>
        <v>1T14</v>
      </c>
      <c r="F21" s="115" t="str">
        <f t="shared" ref="F21:S21" si="20">F5</f>
        <v>2T14</v>
      </c>
      <c r="G21" s="115" t="str">
        <f t="shared" si="20"/>
        <v>3T14</v>
      </c>
      <c r="H21" s="115" t="str">
        <f t="shared" si="20"/>
        <v>4T14</v>
      </c>
      <c r="I21" s="115" t="str">
        <f t="shared" si="20"/>
        <v>1T15</v>
      </c>
      <c r="J21" s="115" t="str">
        <f t="shared" si="20"/>
        <v>2T15</v>
      </c>
      <c r="K21" s="115" t="str">
        <f t="shared" si="20"/>
        <v>3T15</v>
      </c>
      <c r="L21" s="115" t="str">
        <f t="shared" si="20"/>
        <v>4T15</v>
      </c>
      <c r="M21" s="115" t="str">
        <f t="shared" si="20"/>
        <v>1T16</v>
      </c>
      <c r="N21" s="115" t="str">
        <f t="shared" si="20"/>
        <v>2T16</v>
      </c>
      <c r="O21" s="115" t="str">
        <f t="shared" si="20"/>
        <v>3T16</v>
      </c>
      <c r="P21" s="115" t="str">
        <f t="shared" si="20"/>
        <v>4T16</v>
      </c>
      <c r="Q21" s="115" t="str">
        <f t="shared" si="20"/>
        <v>1T17</v>
      </c>
      <c r="R21" s="115" t="str">
        <f t="shared" si="20"/>
        <v>2T17</v>
      </c>
      <c r="S21" s="115" t="str">
        <f t="shared" si="20"/>
        <v>3T17</v>
      </c>
      <c r="T21" s="115" t="str">
        <f t="shared" ref="T21:Y21" si="21">T5</f>
        <v>4T17</v>
      </c>
      <c r="U21" s="115" t="str">
        <f t="shared" si="21"/>
        <v>1T18</v>
      </c>
      <c r="V21" s="115" t="str">
        <f t="shared" si="21"/>
        <v>2T18</v>
      </c>
      <c r="W21" s="115" t="str">
        <f t="shared" si="21"/>
        <v>3T18</v>
      </c>
      <c r="X21" s="115" t="str">
        <f t="shared" si="21"/>
        <v>4T18</v>
      </c>
      <c r="Y21" s="115" t="str">
        <f t="shared" si="21"/>
        <v>1T19</v>
      </c>
      <c r="Z21" s="115" t="str">
        <f t="shared" ref="Z21:AE21" si="22">Z5</f>
        <v>2T19</v>
      </c>
      <c r="AA21" s="115" t="str">
        <f t="shared" si="22"/>
        <v>3T19</v>
      </c>
      <c r="AB21" s="115" t="str">
        <f t="shared" si="22"/>
        <v>4T19</v>
      </c>
      <c r="AC21" s="115" t="str">
        <f t="shared" si="22"/>
        <v>1T20</v>
      </c>
      <c r="AD21" s="115" t="str">
        <f t="shared" si="22"/>
        <v>2T20</v>
      </c>
      <c r="AE21" s="115" t="str">
        <f t="shared" si="22"/>
        <v>3T20</v>
      </c>
      <c r="AF21" s="115" t="str">
        <f t="shared" ref="AF21:AL21" si="23">AF5</f>
        <v>4T20</v>
      </c>
      <c r="AG21" s="115" t="str">
        <f t="shared" si="23"/>
        <v>1T21</v>
      </c>
      <c r="AH21" s="115" t="str">
        <f t="shared" si="23"/>
        <v>2T21</v>
      </c>
      <c r="AI21" s="115" t="str">
        <f t="shared" si="23"/>
        <v>3T21</v>
      </c>
      <c r="AJ21" s="115" t="str">
        <f t="shared" si="23"/>
        <v>4T21</v>
      </c>
      <c r="AK21" s="115" t="str">
        <f>AK5</f>
        <v>1T22</v>
      </c>
      <c r="AL21" s="115" t="str">
        <f t="shared" si="23"/>
        <v>2T22</v>
      </c>
      <c r="AM21" s="115" t="str">
        <f t="shared" ref="AM21:AS21" si="24">AM5</f>
        <v>3T22</v>
      </c>
      <c r="AN21" s="115" t="str">
        <f t="shared" si="24"/>
        <v>4T22</v>
      </c>
      <c r="AO21" s="115" t="str">
        <f t="shared" si="24"/>
        <v>1T23</v>
      </c>
      <c r="AP21" s="115" t="str">
        <f t="shared" si="24"/>
        <v>2T23</v>
      </c>
      <c r="AQ21" s="115" t="str">
        <f t="shared" si="24"/>
        <v>3T23</v>
      </c>
      <c r="AR21" s="115" t="str">
        <f t="shared" si="24"/>
        <v>4T23</v>
      </c>
      <c r="AS21" s="115" t="str">
        <f t="shared" si="24"/>
        <v>1T24</v>
      </c>
      <c r="AT21" s="115" t="str">
        <f>AT5</f>
        <v>2T24</v>
      </c>
      <c r="AU21" s="115" t="str">
        <f t="shared" ref="AU21:AZ21" si="25">AU5</f>
        <v>3T24</v>
      </c>
      <c r="AV21" s="115" t="str">
        <f t="shared" si="25"/>
        <v>4T24</v>
      </c>
      <c r="AW21" s="115" t="str">
        <f t="shared" si="25"/>
        <v>1T25</v>
      </c>
      <c r="AX21" s="115" t="str">
        <f t="shared" si="25"/>
        <v>2T25</v>
      </c>
      <c r="AY21" s="115" t="str">
        <f t="shared" si="25"/>
        <v>3T25</v>
      </c>
      <c r="AZ21" s="115" t="str">
        <f t="shared" si="25"/>
        <v>4T25</v>
      </c>
      <c r="BA21" s="247" t="str">
        <f>BA5</f>
        <v>1T26</v>
      </c>
      <c r="BB21" s="115" t="str">
        <f>BB5</f>
        <v>2T26</v>
      </c>
    </row>
    <row r="22" spans="1:54" x14ac:dyDescent="0.2">
      <c r="A22" t="s">
        <v>242</v>
      </c>
      <c r="B22" t="s">
        <v>1031</v>
      </c>
      <c r="D22" s="129" t="str">
        <f>IF([1]RENAME!$H$3=1,B22,A22)</f>
        <v>Custo dos serviços prestados</v>
      </c>
      <c r="E22" s="118">
        <f t="shared" ref="E22:K22" si="26">+E6-E14</f>
        <v>58865</v>
      </c>
      <c r="F22" s="118">
        <f t="shared" si="26"/>
        <v>45939</v>
      </c>
      <c r="G22" s="118">
        <f t="shared" si="26"/>
        <v>44784</v>
      </c>
      <c r="H22" s="118">
        <f t="shared" si="26"/>
        <v>50387</v>
      </c>
      <c r="I22" s="118">
        <f t="shared" si="26"/>
        <v>44690</v>
      </c>
      <c r="J22" s="118">
        <f t="shared" si="26"/>
        <v>50858</v>
      </c>
      <c r="K22" s="118">
        <f t="shared" si="26"/>
        <v>46113</v>
      </c>
      <c r="L22" s="118">
        <f t="shared" ref="L22:T22" si="27">+L6-L14</f>
        <v>47156</v>
      </c>
      <c r="M22" s="118">
        <f t="shared" si="27"/>
        <v>34986</v>
      </c>
      <c r="N22" s="118">
        <f t="shared" si="27"/>
        <v>35487</v>
      </c>
      <c r="O22" s="118">
        <f t="shared" si="27"/>
        <v>32838</v>
      </c>
      <c r="P22" s="118">
        <f t="shared" si="27"/>
        <v>31782</v>
      </c>
      <c r="Q22" s="118">
        <f t="shared" si="27"/>
        <v>30389</v>
      </c>
      <c r="R22" s="118">
        <f t="shared" si="27"/>
        <v>30884</v>
      </c>
      <c r="S22" s="118">
        <f t="shared" si="27"/>
        <v>31035</v>
      </c>
      <c r="T22" s="118">
        <f t="shared" si="27"/>
        <v>30667</v>
      </c>
      <c r="U22" s="118">
        <v>27760</v>
      </c>
      <c r="V22" s="118">
        <f t="shared" ref="V22:AL22" si="28">+V6-V14</f>
        <v>25251</v>
      </c>
      <c r="W22" s="118">
        <f t="shared" si="28"/>
        <v>26296</v>
      </c>
      <c r="X22" s="118">
        <f t="shared" si="28"/>
        <v>27612</v>
      </c>
      <c r="Y22" s="118">
        <f t="shared" si="28"/>
        <v>26537</v>
      </c>
      <c r="Z22" s="118">
        <f t="shared" si="28"/>
        <v>36622</v>
      </c>
      <c r="AA22" s="118">
        <f t="shared" si="28"/>
        <v>37044</v>
      </c>
      <c r="AB22" s="118">
        <f t="shared" si="28"/>
        <v>39953</v>
      </c>
      <c r="AC22" s="118">
        <f t="shared" si="28"/>
        <v>32674</v>
      </c>
      <c r="AD22" s="118">
        <f t="shared" si="28"/>
        <v>31408</v>
      </c>
      <c r="AE22" s="118">
        <f t="shared" si="28"/>
        <v>36072</v>
      </c>
      <c r="AF22" s="118">
        <f t="shared" si="28"/>
        <v>38647</v>
      </c>
      <c r="AG22" s="118">
        <f t="shared" si="28"/>
        <v>34702</v>
      </c>
      <c r="AH22" s="118">
        <f t="shared" si="28"/>
        <v>38410</v>
      </c>
      <c r="AI22" s="118">
        <f t="shared" si="28"/>
        <v>36559</v>
      </c>
      <c r="AJ22" s="118">
        <f t="shared" si="28"/>
        <v>38006</v>
      </c>
      <c r="AK22" s="118">
        <f t="shared" si="28"/>
        <v>39110</v>
      </c>
      <c r="AL22" s="118">
        <f t="shared" si="28"/>
        <v>45122</v>
      </c>
      <c r="AM22" s="118">
        <f t="shared" ref="AM22:AS25" si="29">+AM6-AM14</f>
        <v>51240</v>
      </c>
      <c r="AN22" s="118">
        <f t="shared" si="29"/>
        <v>53863</v>
      </c>
      <c r="AO22" s="118">
        <f t="shared" si="29"/>
        <v>54238</v>
      </c>
      <c r="AP22" s="118">
        <f t="shared" si="29"/>
        <v>50253</v>
      </c>
      <c r="AQ22" s="118">
        <f t="shared" si="29"/>
        <v>56863</v>
      </c>
      <c r="AR22" s="118">
        <f t="shared" si="29"/>
        <v>57512</v>
      </c>
      <c r="AS22" s="118">
        <f t="shared" si="29"/>
        <v>59469</v>
      </c>
      <c r="AT22" s="118">
        <f t="shared" ref="AT22:AY22" si="30">+AT6-AT14</f>
        <v>50263</v>
      </c>
      <c r="AU22" s="118">
        <f t="shared" si="30"/>
        <v>40282</v>
      </c>
      <c r="AV22" s="118">
        <f t="shared" si="30"/>
        <v>39949</v>
      </c>
      <c r="AW22" s="118">
        <f t="shared" si="30"/>
        <v>42664</v>
      </c>
      <c r="AX22" s="118">
        <f t="shared" si="30"/>
        <v>43362</v>
      </c>
      <c r="AY22" s="118">
        <f t="shared" si="30"/>
        <v>39426</v>
      </c>
      <c r="AZ22" s="118">
        <v>46205</v>
      </c>
      <c r="BA22" s="118">
        <v>1356104</v>
      </c>
      <c r="BB22" s="118">
        <f>+BB6-BB14</f>
        <v>47342</v>
      </c>
    </row>
    <row r="23" spans="1:54" x14ac:dyDescent="0.2">
      <c r="A23" t="s">
        <v>243</v>
      </c>
      <c r="B23" t="s">
        <v>702</v>
      </c>
      <c r="D23" s="129" t="str">
        <f>IF([1]RENAME!$H$3=1,B23,A23)</f>
        <v>Despesas gerais e administrativas</v>
      </c>
      <c r="E23" s="118">
        <f t="shared" ref="E23:K23" si="31">+E7-E15</f>
        <v>2140</v>
      </c>
      <c r="F23" s="118">
        <f t="shared" si="31"/>
        <v>221</v>
      </c>
      <c r="G23" s="118">
        <f t="shared" si="31"/>
        <v>9680</v>
      </c>
      <c r="H23" s="118">
        <f t="shared" si="31"/>
        <v>-690</v>
      </c>
      <c r="I23" s="118">
        <f t="shared" si="31"/>
        <v>1494</v>
      </c>
      <c r="J23" s="118">
        <f t="shared" si="31"/>
        <v>1297</v>
      </c>
      <c r="K23" s="118">
        <f t="shared" si="31"/>
        <v>1241</v>
      </c>
      <c r="L23" s="118">
        <f t="shared" ref="L23:T23" si="32">+L7-L15</f>
        <v>2105</v>
      </c>
      <c r="M23" s="118">
        <f t="shared" si="32"/>
        <v>1020</v>
      </c>
      <c r="N23" s="118">
        <f t="shared" si="32"/>
        <v>858</v>
      </c>
      <c r="O23" s="118">
        <f t="shared" si="32"/>
        <v>910</v>
      </c>
      <c r="P23" s="118">
        <f t="shared" si="32"/>
        <v>823</v>
      </c>
      <c r="Q23" s="118">
        <f t="shared" si="32"/>
        <v>646</v>
      </c>
      <c r="R23" s="118">
        <f t="shared" si="32"/>
        <v>639</v>
      </c>
      <c r="S23" s="118">
        <f t="shared" si="32"/>
        <v>623</v>
      </c>
      <c r="T23" s="118">
        <f t="shared" si="32"/>
        <v>2181</v>
      </c>
      <c r="U23" s="118">
        <v>583</v>
      </c>
      <c r="V23" s="118">
        <f t="shared" ref="V23:AL23" si="33">+V7-V15</f>
        <v>564</v>
      </c>
      <c r="W23" s="118">
        <f t="shared" si="33"/>
        <v>197</v>
      </c>
      <c r="X23" s="118">
        <f t="shared" si="33"/>
        <v>319</v>
      </c>
      <c r="Y23" s="118">
        <f t="shared" si="33"/>
        <v>342</v>
      </c>
      <c r="Z23" s="118">
        <f t="shared" si="33"/>
        <v>404</v>
      </c>
      <c r="AA23" s="118">
        <f t="shared" si="33"/>
        <v>553</v>
      </c>
      <c r="AB23" s="118">
        <f t="shared" si="33"/>
        <v>470</v>
      </c>
      <c r="AC23" s="118">
        <f t="shared" si="33"/>
        <v>471</v>
      </c>
      <c r="AD23" s="118">
        <f t="shared" si="33"/>
        <v>317</v>
      </c>
      <c r="AE23" s="118">
        <f t="shared" si="33"/>
        <v>421</v>
      </c>
      <c r="AF23" s="118">
        <f t="shared" si="33"/>
        <v>368</v>
      </c>
      <c r="AG23" s="118">
        <f t="shared" si="33"/>
        <v>197</v>
      </c>
      <c r="AH23" s="118">
        <f t="shared" si="33"/>
        <v>216</v>
      </c>
      <c r="AI23" s="118">
        <f t="shared" si="33"/>
        <v>167</v>
      </c>
      <c r="AJ23" s="118">
        <f t="shared" si="33"/>
        <v>304</v>
      </c>
      <c r="AK23" s="118">
        <f t="shared" si="33"/>
        <v>194</v>
      </c>
      <c r="AL23" s="118">
        <f t="shared" si="33"/>
        <v>264</v>
      </c>
      <c r="AM23" s="118">
        <f t="shared" si="29"/>
        <v>167</v>
      </c>
      <c r="AN23" s="118">
        <f t="shared" si="29"/>
        <v>1121</v>
      </c>
      <c r="AO23" s="118">
        <f t="shared" si="29"/>
        <v>463</v>
      </c>
      <c r="AP23" s="118">
        <f t="shared" si="29"/>
        <v>237</v>
      </c>
      <c r="AQ23" s="118">
        <f t="shared" si="29"/>
        <v>-141</v>
      </c>
      <c r="AR23" s="118">
        <f t="shared" si="29"/>
        <v>1875</v>
      </c>
      <c r="AS23" s="118">
        <f t="shared" si="29"/>
        <v>4564</v>
      </c>
      <c r="AT23" s="118">
        <f t="shared" ref="AT23:AV26" si="34">+AT7-AT15</f>
        <v>3774</v>
      </c>
      <c r="AU23" s="118">
        <f t="shared" si="34"/>
        <v>4273</v>
      </c>
      <c r="AV23" s="118">
        <f t="shared" si="34"/>
        <v>4430</v>
      </c>
      <c r="AW23" s="118">
        <f t="shared" ref="AW23:AY26" si="35">+AW7-AW15</f>
        <v>4436</v>
      </c>
      <c r="AX23" s="118">
        <f t="shared" si="35"/>
        <v>4571</v>
      </c>
      <c r="AY23" s="118">
        <f t="shared" si="35"/>
        <v>4834</v>
      </c>
      <c r="AZ23" s="118">
        <v>5633</v>
      </c>
      <c r="BA23" s="118">
        <v>85862</v>
      </c>
      <c r="BB23" s="118">
        <f>+BB7-BB15</f>
        <v>4579</v>
      </c>
    </row>
    <row r="24" spans="1:54" x14ac:dyDescent="0.2">
      <c r="A24" t="s">
        <v>394</v>
      </c>
      <c r="B24" t="s">
        <v>812</v>
      </c>
      <c r="D24" s="129" t="str">
        <f>IF([1]RENAME!$H$3=1,B24,A24)</f>
        <v>Remuneração da administração</v>
      </c>
      <c r="E24" s="118">
        <f t="shared" ref="E24:K24" si="36">+E8-E16</f>
        <v>0</v>
      </c>
      <c r="F24" s="118">
        <f t="shared" si="36"/>
        <v>0</v>
      </c>
      <c r="G24" s="118">
        <f t="shared" si="36"/>
        <v>0</v>
      </c>
      <c r="H24" s="118">
        <f t="shared" si="36"/>
        <v>0</v>
      </c>
      <c r="I24" s="118">
        <f t="shared" si="36"/>
        <v>0</v>
      </c>
      <c r="J24" s="118">
        <f t="shared" si="36"/>
        <v>0</v>
      </c>
      <c r="K24" s="118">
        <f t="shared" si="36"/>
        <v>0</v>
      </c>
      <c r="L24" s="118">
        <f t="shared" ref="L24:T24" si="37">+L8-L16</f>
        <v>0</v>
      </c>
      <c r="M24" s="118">
        <f t="shared" si="37"/>
        <v>0</v>
      </c>
      <c r="N24" s="118">
        <f t="shared" si="37"/>
        <v>0</v>
      </c>
      <c r="O24" s="118">
        <f t="shared" si="37"/>
        <v>0</v>
      </c>
      <c r="P24" s="118">
        <f t="shared" si="37"/>
        <v>0</v>
      </c>
      <c r="Q24" s="118">
        <f t="shared" si="37"/>
        <v>0</v>
      </c>
      <c r="R24" s="118">
        <f t="shared" si="37"/>
        <v>0</v>
      </c>
      <c r="S24" s="118">
        <f t="shared" si="37"/>
        <v>0</v>
      </c>
      <c r="T24" s="118">
        <f t="shared" si="37"/>
        <v>0</v>
      </c>
      <c r="U24" s="118">
        <v>0</v>
      </c>
      <c r="V24" s="118">
        <f t="shared" ref="V24:AL24" si="38">+V8-V16</f>
        <v>0</v>
      </c>
      <c r="W24" s="118">
        <f t="shared" si="38"/>
        <v>0</v>
      </c>
      <c r="X24" s="118">
        <f t="shared" si="38"/>
        <v>0</v>
      </c>
      <c r="Y24" s="118">
        <f t="shared" si="38"/>
        <v>0</v>
      </c>
      <c r="Z24" s="118">
        <f t="shared" si="38"/>
        <v>0</v>
      </c>
      <c r="AA24" s="118">
        <f t="shared" si="38"/>
        <v>0</v>
      </c>
      <c r="AB24" s="118">
        <f t="shared" si="38"/>
        <v>0</v>
      </c>
      <c r="AC24" s="118">
        <f t="shared" si="38"/>
        <v>0</v>
      </c>
      <c r="AD24" s="118">
        <f t="shared" si="38"/>
        <v>0</v>
      </c>
      <c r="AE24" s="118">
        <f t="shared" si="38"/>
        <v>0</v>
      </c>
      <c r="AF24" s="118">
        <f t="shared" si="38"/>
        <v>0</v>
      </c>
      <c r="AG24" s="118">
        <f t="shared" si="38"/>
        <v>0</v>
      </c>
      <c r="AH24" s="118">
        <f t="shared" si="38"/>
        <v>0</v>
      </c>
      <c r="AI24" s="118">
        <f t="shared" si="38"/>
        <v>0</v>
      </c>
      <c r="AJ24" s="118">
        <f t="shared" si="38"/>
        <v>0</v>
      </c>
      <c r="AK24" s="118">
        <f t="shared" si="38"/>
        <v>0</v>
      </c>
      <c r="AL24" s="118">
        <f t="shared" si="38"/>
        <v>0</v>
      </c>
      <c r="AM24" s="118">
        <f t="shared" si="29"/>
        <v>0</v>
      </c>
      <c r="AN24" s="118">
        <f t="shared" si="29"/>
        <v>0</v>
      </c>
      <c r="AO24" s="118">
        <f t="shared" si="29"/>
        <v>0</v>
      </c>
      <c r="AP24" s="118">
        <f t="shared" si="29"/>
        <v>0</v>
      </c>
      <c r="AQ24" s="118">
        <f t="shared" si="29"/>
        <v>0</v>
      </c>
      <c r="AR24" s="118">
        <f t="shared" si="29"/>
        <v>0</v>
      </c>
      <c r="AS24" s="118">
        <f t="shared" si="29"/>
        <v>0</v>
      </c>
      <c r="AT24" s="118">
        <f t="shared" si="34"/>
        <v>0</v>
      </c>
      <c r="AU24" s="118">
        <f t="shared" si="34"/>
        <v>0</v>
      </c>
      <c r="AV24" s="118">
        <f t="shared" si="34"/>
        <v>0</v>
      </c>
      <c r="AW24" s="118">
        <f t="shared" ref="AW24:AX26" si="39">+AW8-AW16</f>
        <v>0</v>
      </c>
      <c r="AX24" s="118">
        <f t="shared" si="39"/>
        <v>0</v>
      </c>
      <c r="AY24" s="118">
        <f t="shared" si="35"/>
        <v>0</v>
      </c>
      <c r="AZ24" s="118">
        <v>0</v>
      </c>
      <c r="BA24" s="118">
        <v>0</v>
      </c>
      <c r="BB24" s="118">
        <f>+BB8-BB16</f>
        <v>0</v>
      </c>
    </row>
    <row r="25" spans="1:54" x14ac:dyDescent="0.2">
      <c r="A25" t="s">
        <v>395</v>
      </c>
      <c r="B25" t="s">
        <v>1032</v>
      </c>
      <c r="D25" s="129" t="str">
        <f>IF([1]RENAME!$H$3=1,B25,A25)</f>
        <v>Despesas comerciais</v>
      </c>
      <c r="E25" s="118">
        <f t="shared" ref="E25:T26" si="40">+E9-E17</f>
        <v>0</v>
      </c>
      <c r="F25" s="118">
        <f t="shared" si="40"/>
        <v>0</v>
      </c>
      <c r="G25" s="118">
        <f t="shared" si="40"/>
        <v>0</v>
      </c>
      <c r="H25" s="118">
        <f t="shared" si="40"/>
        <v>0</v>
      </c>
      <c r="I25" s="118">
        <f t="shared" si="40"/>
        <v>0</v>
      </c>
      <c r="J25" s="118">
        <f t="shared" si="40"/>
        <v>0</v>
      </c>
      <c r="K25" s="118">
        <f t="shared" si="40"/>
        <v>0</v>
      </c>
      <c r="L25" s="118">
        <f t="shared" si="40"/>
        <v>0</v>
      </c>
      <c r="M25" s="118">
        <f t="shared" si="40"/>
        <v>0</v>
      </c>
      <c r="N25" s="118">
        <f t="shared" si="40"/>
        <v>0</v>
      </c>
      <c r="O25" s="118">
        <f t="shared" si="40"/>
        <v>0</v>
      </c>
      <c r="P25" s="118">
        <f t="shared" si="40"/>
        <v>0</v>
      </c>
      <c r="Q25" s="118">
        <f t="shared" si="40"/>
        <v>0</v>
      </c>
      <c r="R25" s="118">
        <f t="shared" si="40"/>
        <v>0</v>
      </c>
      <c r="S25" s="118">
        <f t="shared" si="40"/>
        <v>5733</v>
      </c>
      <c r="T25" s="118">
        <f t="shared" si="40"/>
        <v>5731</v>
      </c>
      <c r="U25" s="118">
        <v>0</v>
      </c>
      <c r="V25" s="118">
        <f t="shared" ref="V25:AL25" si="41">+V9-V17</f>
        <v>0</v>
      </c>
      <c r="W25" s="118">
        <f t="shared" si="41"/>
        <v>0</v>
      </c>
      <c r="X25" s="118">
        <f t="shared" si="41"/>
        <v>1907</v>
      </c>
      <c r="Y25" s="118">
        <f t="shared" si="41"/>
        <v>0</v>
      </c>
      <c r="Z25" s="118">
        <f t="shared" si="41"/>
        <v>0</v>
      </c>
      <c r="AA25" s="118">
        <f t="shared" si="41"/>
        <v>0</v>
      </c>
      <c r="AB25" s="118">
        <f t="shared" si="41"/>
        <v>0</v>
      </c>
      <c r="AC25" s="118">
        <f t="shared" si="41"/>
        <v>0</v>
      </c>
      <c r="AD25" s="118">
        <f t="shared" si="41"/>
        <v>0</v>
      </c>
      <c r="AE25" s="118">
        <f t="shared" si="41"/>
        <v>0</v>
      </c>
      <c r="AF25" s="118">
        <f t="shared" si="41"/>
        <v>431</v>
      </c>
      <c r="AG25" s="118">
        <f t="shared" si="41"/>
        <v>179</v>
      </c>
      <c r="AH25" s="118">
        <f t="shared" si="41"/>
        <v>175</v>
      </c>
      <c r="AI25" s="118">
        <f t="shared" si="41"/>
        <v>187</v>
      </c>
      <c r="AJ25" s="118">
        <f t="shared" si="41"/>
        <v>222</v>
      </c>
      <c r="AK25" s="118">
        <f t="shared" si="41"/>
        <v>238</v>
      </c>
      <c r="AL25" s="118">
        <f t="shared" si="41"/>
        <v>286</v>
      </c>
      <c r="AM25" s="118">
        <f t="shared" si="29"/>
        <v>318</v>
      </c>
      <c r="AN25" s="118">
        <f t="shared" si="29"/>
        <v>458</v>
      </c>
      <c r="AO25" s="118">
        <f t="shared" si="29"/>
        <v>484</v>
      </c>
      <c r="AP25" s="118">
        <f t="shared" si="29"/>
        <v>439</v>
      </c>
      <c r="AQ25" s="118">
        <f t="shared" si="29"/>
        <v>408</v>
      </c>
      <c r="AR25" s="118">
        <f t="shared" si="29"/>
        <v>415</v>
      </c>
      <c r="AS25" s="118">
        <f t="shared" si="29"/>
        <v>422</v>
      </c>
      <c r="AT25" s="118">
        <f t="shared" si="34"/>
        <v>487</v>
      </c>
      <c r="AU25" s="118">
        <f t="shared" si="34"/>
        <v>516</v>
      </c>
      <c r="AV25" s="118">
        <f t="shared" si="34"/>
        <v>737</v>
      </c>
      <c r="AW25" s="118">
        <f t="shared" si="39"/>
        <v>877</v>
      </c>
      <c r="AX25" s="118">
        <f t="shared" si="39"/>
        <v>651</v>
      </c>
      <c r="AY25" s="118">
        <f t="shared" si="35"/>
        <v>674</v>
      </c>
      <c r="AZ25" s="118">
        <v>864</v>
      </c>
      <c r="BA25" s="118">
        <v>2551</v>
      </c>
      <c r="BB25" s="118">
        <f>+BB9-BB17</f>
        <v>2026</v>
      </c>
    </row>
    <row r="26" spans="1:54" ht="25.5" x14ac:dyDescent="0.2">
      <c r="A26" t="s">
        <v>2115</v>
      </c>
      <c r="B26" t="s">
        <v>2116</v>
      </c>
      <c r="D26" s="129" t="str">
        <f>IF([1]RENAME!$H$3=1,B26,A26)</f>
        <v>Perda por redução ao valor recuperável de contas a receber</v>
      </c>
      <c r="E26" s="118">
        <f t="shared" si="40"/>
        <v>0</v>
      </c>
      <c r="F26" s="118">
        <f t="shared" si="40"/>
        <v>0</v>
      </c>
      <c r="G26" s="118">
        <f t="shared" si="40"/>
        <v>0</v>
      </c>
      <c r="H26" s="118">
        <f t="shared" si="40"/>
        <v>0</v>
      </c>
      <c r="I26" s="118">
        <f t="shared" si="40"/>
        <v>0</v>
      </c>
      <c r="J26" s="118">
        <f t="shared" si="40"/>
        <v>0</v>
      </c>
      <c r="K26" s="118">
        <f t="shared" si="40"/>
        <v>0</v>
      </c>
      <c r="L26" s="118">
        <f t="shared" si="40"/>
        <v>0</v>
      </c>
      <c r="M26" s="118">
        <f t="shared" si="40"/>
        <v>0</v>
      </c>
      <c r="N26" s="118">
        <f t="shared" si="40"/>
        <v>0</v>
      </c>
      <c r="O26" s="118">
        <f t="shared" si="40"/>
        <v>0</v>
      </c>
      <c r="P26" s="118">
        <f t="shared" si="40"/>
        <v>0</v>
      </c>
      <c r="Q26" s="118">
        <f t="shared" si="40"/>
        <v>0</v>
      </c>
      <c r="R26" s="118">
        <f t="shared" si="40"/>
        <v>0</v>
      </c>
      <c r="S26" s="118">
        <f t="shared" si="40"/>
        <v>0</v>
      </c>
      <c r="T26" s="118">
        <f t="shared" si="40"/>
        <v>0</v>
      </c>
      <c r="U26" s="118">
        <f t="shared" ref="U26:AQ26" si="42">+U10-U18</f>
        <v>0</v>
      </c>
      <c r="V26" s="118">
        <f t="shared" si="42"/>
        <v>0</v>
      </c>
      <c r="W26" s="118">
        <f t="shared" si="42"/>
        <v>0</v>
      </c>
      <c r="X26" s="118">
        <f t="shared" si="42"/>
        <v>0</v>
      </c>
      <c r="Y26" s="118">
        <f t="shared" si="42"/>
        <v>0</v>
      </c>
      <c r="Z26" s="118">
        <f t="shared" si="42"/>
        <v>0</v>
      </c>
      <c r="AA26" s="118">
        <f t="shared" si="42"/>
        <v>0</v>
      </c>
      <c r="AB26" s="118">
        <f t="shared" si="42"/>
        <v>0</v>
      </c>
      <c r="AC26" s="118">
        <f t="shared" si="42"/>
        <v>0</v>
      </c>
      <c r="AD26" s="118">
        <f t="shared" si="42"/>
        <v>0</v>
      </c>
      <c r="AE26" s="118">
        <f t="shared" si="42"/>
        <v>0</v>
      </c>
      <c r="AF26" s="118">
        <f t="shared" si="42"/>
        <v>0</v>
      </c>
      <c r="AG26" s="118">
        <f t="shared" si="42"/>
        <v>0</v>
      </c>
      <c r="AH26" s="118">
        <f t="shared" si="42"/>
        <v>0</v>
      </c>
      <c r="AI26" s="118">
        <f t="shared" si="42"/>
        <v>0</v>
      </c>
      <c r="AJ26" s="118">
        <f t="shared" si="42"/>
        <v>0</v>
      </c>
      <c r="AK26" s="118">
        <f t="shared" si="42"/>
        <v>26</v>
      </c>
      <c r="AL26" s="118">
        <f t="shared" si="42"/>
        <v>77</v>
      </c>
      <c r="AM26" s="118">
        <f t="shared" si="42"/>
        <v>17</v>
      </c>
      <c r="AN26" s="118">
        <f t="shared" si="42"/>
        <v>72</v>
      </c>
      <c r="AO26" s="118">
        <f t="shared" si="42"/>
        <v>382</v>
      </c>
      <c r="AP26" s="118">
        <f t="shared" si="42"/>
        <v>-28</v>
      </c>
      <c r="AQ26" s="118">
        <f t="shared" si="42"/>
        <v>183</v>
      </c>
      <c r="AR26" s="118">
        <f>+AR10-AR18</f>
        <v>48</v>
      </c>
      <c r="AS26" s="118">
        <f>+AS10-AS18</f>
        <v>-58</v>
      </c>
      <c r="AT26" s="118">
        <f t="shared" si="34"/>
        <v>73</v>
      </c>
      <c r="AU26" s="118">
        <f t="shared" si="34"/>
        <v>185</v>
      </c>
      <c r="AV26" s="118">
        <f t="shared" si="34"/>
        <v>69</v>
      </c>
      <c r="AW26" s="118">
        <f t="shared" si="39"/>
        <v>48</v>
      </c>
      <c r="AX26" s="118">
        <f t="shared" si="39"/>
        <v>203</v>
      </c>
      <c r="AY26" s="118">
        <f t="shared" si="35"/>
        <v>-360</v>
      </c>
      <c r="AZ26" s="118">
        <v>201</v>
      </c>
      <c r="BA26" s="118">
        <v>-1156</v>
      </c>
      <c r="BB26" s="118">
        <f>+BB10-BB18</f>
        <v>163</v>
      </c>
    </row>
    <row r="27" spans="1:54" x14ac:dyDescent="0.2">
      <c r="A27" t="s">
        <v>112</v>
      </c>
      <c r="B27" t="s">
        <v>112</v>
      </c>
      <c r="D27" s="126" t="str">
        <f>IF([1]RENAME!$H$3=1,B27,A27)</f>
        <v>Total</v>
      </c>
      <c r="E27" s="120">
        <f t="shared" ref="E27:AP27" si="43">SUM(E22:E26)</f>
        <v>61005</v>
      </c>
      <c r="F27" s="120">
        <f t="shared" si="43"/>
        <v>46160</v>
      </c>
      <c r="G27" s="120">
        <f t="shared" si="43"/>
        <v>54464</v>
      </c>
      <c r="H27" s="120">
        <f t="shared" si="43"/>
        <v>49697</v>
      </c>
      <c r="I27" s="120">
        <f t="shared" si="43"/>
        <v>46184</v>
      </c>
      <c r="J27" s="120">
        <f t="shared" si="43"/>
        <v>52155</v>
      </c>
      <c r="K27" s="120">
        <f t="shared" si="43"/>
        <v>47354</v>
      </c>
      <c r="L27" s="120">
        <f t="shared" si="43"/>
        <v>49261</v>
      </c>
      <c r="M27" s="120">
        <f t="shared" si="43"/>
        <v>36006</v>
      </c>
      <c r="N27" s="120">
        <f t="shared" si="43"/>
        <v>36345</v>
      </c>
      <c r="O27" s="120">
        <f t="shared" si="43"/>
        <v>33748</v>
      </c>
      <c r="P27" s="120">
        <f t="shared" si="43"/>
        <v>32605</v>
      </c>
      <c r="Q27" s="120">
        <f t="shared" si="43"/>
        <v>31035</v>
      </c>
      <c r="R27" s="120">
        <f t="shared" si="43"/>
        <v>31523</v>
      </c>
      <c r="S27" s="120">
        <f t="shared" si="43"/>
        <v>37391</v>
      </c>
      <c r="T27" s="120">
        <f t="shared" si="43"/>
        <v>38579</v>
      </c>
      <c r="U27" s="120">
        <f t="shared" si="43"/>
        <v>28343</v>
      </c>
      <c r="V27" s="120">
        <f t="shared" si="43"/>
        <v>25815</v>
      </c>
      <c r="W27" s="120">
        <f t="shared" si="43"/>
        <v>26493</v>
      </c>
      <c r="X27" s="120">
        <f t="shared" si="43"/>
        <v>29838</v>
      </c>
      <c r="Y27" s="120">
        <f t="shared" si="43"/>
        <v>26879</v>
      </c>
      <c r="Z27" s="120">
        <f t="shared" si="43"/>
        <v>37026</v>
      </c>
      <c r="AA27" s="120">
        <f t="shared" si="43"/>
        <v>37597</v>
      </c>
      <c r="AB27" s="120">
        <f t="shared" si="43"/>
        <v>40423</v>
      </c>
      <c r="AC27" s="120">
        <f t="shared" si="43"/>
        <v>33145</v>
      </c>
      <c r="AD27" s="120">
        <f t="shared" si="43"/>
        <v>31725</v>
      </c>
      <c r="AE27" s="120">
        <f t="shared" si="43"/>
        <v>36493</v>
      </c>
      <c r="AF27" s="120">
        <f t="shared" si="43"/>
        <v>39446</v>
      </c>
      <c r="AG27" s="120">
        <f t="shared" si="43"/>
        <v>35078</v>
      </c>
      <c r="AH27" s="120">
        <f t="shared" si="43"/>
        <v>38801</v>
      </c>
      <c r="AI27" s="120">
        <f t="shared" si="43"/>
        <v>36913</v>
      </c>
      <c r="AJ27" s="120">
        <f t="shared" si="43"/>
        <v>38532</v>
      </c>
      <c r="AK27" s="120">
        <f t="shared" si="43"/>
        <v>39568</v>
      </c>
      <c r="AL27" s="120">
        <f t="shared" si="43"/>
        <v>45749</v>
      </c>
      <c r="AM27" s="120">
        <f t="shared" si="43"/>
        <v>51742</v>
      </c>
      <c r="AN27" s="120">
        <f t="shared" si="43"/>
        <v>55514</v>
      </c>
      <c r="AO27" s="120">
        <f t="shared" si="43"/>
        <v>55567</v>
      </c>
      <c r="AP27" s="120">
        <f t="shared" si="43"/>
        <v>50901</v>
      </c>
      <c r="AQ27" s="120">
        <f t="shared" ref="AQ27:BB27" si="44">SUM(AQ22:AQ26)</f>
        <v>57313</v>
      </c>
      <c r="AR27" s="120">
        <f t="shared" si="44"/>
        <v>59850</v>
      </c>
      <c r="AS27" s="120">
        <f t="shared" si="44"/>
        <v>64397</v>
      </c>
      <c r="AT27" s="120">
        <f t="shared" si="44"/>
        <v>54597</v>
      </c>
      <c r="AU27" s="120">
        <f t="shared" si="44"/>
        <v>45256</v>
      </c>
      <c r="AV27" s="120">
        <f t="shared" si="44"/>
        <v>45185</v>
      </c>
      <c r="AW27" s="120">
        <f t="shared" si="44"/>
        <v>48025</v>
      </c>
      <c r="AX27" s="120">
        <f t="shared" si="44"/>
        <v>48787</v>
      </c>
      <c r="AY27" s="120">
        <f t="shared" si="44"/>
        <v>44574</v>
      </c>
      <c r="AZ27" s="120">
        <f t="shared" si="44"/>
        <v>52903</v>
      </c>
      <c r="BA27" s="120">
        <f>SUM(BA22:BA26)</f>
        <v>1443361</v>
      </c>
      <c r="BB27" s="120">
        <f t="shared" si="44"/>
        <v>54110</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X11:AX13 AX19:AX21" formulaRange="1"/>
  </ignoredErrors>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51">
    <pageSetUpPr autoPageBreaks="0"/>
  </sheetPr>
  <dimension ref="A1:BB186"/>
  <sheetViews>
    <sheetView showGridLines="0" zoomScaleNormal="100" workbookViewId="0">
      <pane xSplit="4" ySplit="5" topLeftCell="AK6" activePane="bottomRight" state="frozen"/>
      <selection activeCell="AY7" sqref="AY7"/>
      <selection pane="topRight" activeCell="AY7" sqref="AY7"/>
      <selection pane="bottomLeft" activeCell="AY7" sqref="AY7"/>
      <selection pane="bottomRight" activeCell="AO18" sqref="AO18"/>
    </sheetView>
  </sheetViews>
  <sheetFormatPr defaultColWidth="9.140625" defaultRowHeight="15" customHeight="1" outlineLevelRow="1" x14ac:dyDescent="0.2"/>
  <cols>
    <col min="1" max="1" width="29.85546875" style="25" hidden="1" customWidth="1"/>
    <col min="2" max="2" width="25.5703125" style="25" hidden="1" customWidth="1"/>
    <col min="3" max="3" width="1.42578125" style="25" customWidth="1"/>
    <col min="4" max="4" width="47.85546875" style="25" bestFit="1" customWidth="1"/>
    <col min="5" max="53" width="10.85546875" style="25" customWidth="1"/>
    <col min="54" max="54" width="8.85546875" customWidth="1"/>
    <col min="55" max="55" width="9.140625" customWidth="1"/>
    <col min="56" max="56" width="1.85546875" customWidth="1"/>
    <col min="57" max="58" width="8.140625" customWidth="1"/>
    <col min="59" max="59" width="1.140625" customWidth="1"/>
    <col min="60" max="61" width="8.85546875" customWidth="1"/>
    <col min="62" max="62" width="2.85546875" customWidth="1"/>
    <col min="63" max="63" width="8.85546875" customWidth="1"/>
    <col min="64" max="64" width="9.140625" customWidth="1"/>
    <col min="65" max="65" width="1.85546875" customWidth="1"/>
    <col min="66" max="67" width="8.140625" customWidth="1"/>
    <col min="68" max="68" width="1.140625" customWidth="1"/>
    <col min="69" max="70" width="8.85546875" customWidth="1"/>
    <col min="72" max="72" width="11.42578125" customWidth="1"/>
    <col min="73" max="73" width="11" customWidth="1"/>
    <col min="74" max="74" width="12.140625" customWidth="1"/>
    <col min="75" max="75" width="10.140625" customWidth="1"/>
    <col min="77" max="77" width="13.140625" customWidth="1"/>
    <col min="78" max="78" width="14.5703125" customWidth="1"/>
    <col min="79" max="79" width="11.42578125" customWidth="1"/>
    <col min="80" max="80" width="12.42578125" customWidth="1"/>
    <col min="81" max="81" width="11.85546875" customWidth="1"/>
    <col min="82" max="82" width="10.85546875" customWidth="1"/>
  </cols>
  <sheetData>
    <row r="1" spans="1:54" ht="7.5" customHeight="1" x14ac:dyDescent="0.2">
      <c r="A1" s="552"/>
      <c r="B1" s="552"/>
      <c r="C1" s="552"/>
      <c r="D1" s="552"/>
      <c r="E1" s="552" t="s">
        <v>45</v>
      </c>
      <c r="F1" s="547" t="str">
        <f>IF(LEFT(E1,1)="4","1T"&amp;RIGHT(E1,2)+1,LEFT(E1,1)+1&amp;RIGHT(E1,3))</f>
        <v>2T14</v>
      </c>
      <c r="G1" s="552" t="str">
        <f t="shared" ref="G1:V1" si="0">IF(LEFT(F1,1)="4","1T"&amp;RIGHT(F1,2)+1,LEFT(F1,1)+1&amp;RIGHT(F1,3))</f>
        <v>3T14</v>
      </c>
      <c r="H1" s="552" t="str">
        <f t="shared" si="0"/>
        <v>4T14</v>
      </c>
      <c r="I1" s="552" t="str">
        <f t="shared" si="0"/>
        <v>1T15</v>
      </c>
      <c r="J1" s="552" t="str">
        <f t="shared" si="0"/>
        <v>2T15</v>
      </c>
      <c r="K1" s="552" t="str">
        <f t="shared" si="0"/>
        <v>3T15</v>
      </c>
      <c r="L1" s="552" t="str">
        <f t="shared" si="0"/>
        <v>4T15</v>
      </c>
      <c r="M1" s="552" t="str">
        <f t="shared" si="0"/>
        <v>1T16</v>
      </c>
      <c r="N1" s="552" t="str">
        <f t="shared" si="0"/>
        <v>2T16</v>
      </c>
      <c r="O1" s="552" t="str">
        <f t="shared" si="0"/>
        <v>3T16</v>
      </c>
      <c r="P1" s="552" t="str">
        <f t="shared" si="0"/>
        <v>4T16</v>
      </c>
      <c r="Q1" s="552" t="str">
        <f t="shared" si="0"/>
        <v>1T17</v>
      </c>
      <c r="R1" s="552" t="str">
        <f t="shared" si="0"/>
        <v>2T17</v>
      </c>
      <c r="S1" s="552" t="str">
        <f t="shared" si="0"/>
        <v>3T17</v>
      </c>
      <c r="T1" s="552" t="str">
        <f t="shared" si="0"/>
        <v>4T17</v>
      </c>
      <c r="U1" s="552" t="str">
        <f t="shared" si="0"/>
        <v>1T18</v>
      </c>
      <c r="V1" s="552" t="str">
        <f t="shared" si="0"/>
        <v>2T18</v>
      </c>
      <c r="W1" s="552" t="str">
        <f t="shared" ref="W1:AG1" si="1">IF(LEFT(V1,1)="4","1T"&amp;RIGHT(V1,2)+1,LEFT(V1,1)+1&amp;RIGHT(V1,3))</f>
        <v>3T18</v>
      </c>
      <c r="X1" s="552" t="str">
        <f t="shared" si="1"/>
        <v>4T18</v>
      </c>
      <c r="Y1" s="552" t="str">
        <f t="shared" si="1"/>
        <v>1T19</v>
      </c>
      <c r="Z1" s="552" t="str">
        <f t="shared" si="1"/>
        <v>2T19</v>
      </c>
      <c r="AA1" s="552" t="str">
        <f t="shared" si="1"/>
        <v>3T19</v>
      </c>
      <c r="AB1" s="552" t="str">
        <f t="shared" si="1"/>
        <v>4T19</v>
      </c>
      <c r="AC1" s="552" t="str">
        <f t="shared" si="1"/>
        <v>1T20</v>
      </c>
      <c r="AD1" s="552" t="str">
        <f t="shared" si="1"/>
        <v>2T20</v>
      </c>
      <c r="AE1" s="552" t="str">
        <f t="shared" si="1"/>
        <v>3T20</v>
      </c>
      <c r="AF1" s="552" t="str">
        <f t="shared" si="1"/>
        <v>4T20</v>
      </c>
      <c r="AG1" s="552" t="str">
        <f t="shared" si="1"/>
        <v>1T21</v>
      </c>
      <c r="AH1" s="552" t="str">
        <f t="shared" ref="AH1:AS1" si="2">IF(LEFT(AG1,1)="4","1T"&amp;RIGHT(AG1,2)+1,LEFT(AG1,1)+1&amp;RIGHT(AG1,3))</f>
        <v>2T21</v>
      </c>
      <c r="AI1" s="552" t="str">
        <f t="shared" si="2"/>
        <v>3T21</v>
      </c>
      <c r="AJ1" s="552" t="str">
        <f t="shared" si="2"/>
        <v>4T21</v>
      </c>
      <c r="AK1" s="552" t="str">
        <f t="shared" si="2"/>
        <v>1T22</v>
      </c>
      <c r="AL1" s="552" t="str">
        <f t="shared" si="2"/>
        <v>2T22</v>
      </c>
      <c r="AM1" s="552" t="str">
        <f t="shared" si="2"/>
        <v>3T22</v>
      </c>
      <c r="AN1" s="552" t="str">
        <f t="shared" si="2"/>
        <v>4T22</v>
      </c>
      <c r="AO1" s="552" t="str">
        <f t="shared" si="2"/>
        <v>1T23</v>
      </c>
      <c r="AP1" s="552" t="str">
        <f t="shared" si="2"/>
        <v>2T23</v>
      </c>
      <c r="AQ1" s="552" t="str">
        <f t="shared" si="2"/>
        <v>3T23</v>
      </c>
      <c r="AR1" s="552" t="str">
        <f t="shared" si="2"/>
        <v>4T23</v>
      </c>
      <c r="AS1" s="552" t="str">
        <f t="shared" si="2"/>
        <v>1T24</v>
      </c>
      <c r="AT1" s="552" t="str">
        <f t="shared" ref="AT1:BB1" si="3">IF(LEFT(AS1,1)="4","1T"&amp;RIGHT(AS1,2)+1,LEFT(AS1,1)+1&amp;RIGHT(AS1,3))</f>
        <v>2T24</v>
      </c>
      <c r="AU1" s="552" t="str">
        <f t="shared" si="3"/>
        <v>3T24</v>
      </c>
      <c r="AV1" s="552" t="str">
        <f t="shared" si="3"/>
        <v>4T24</v>
      </c>
      <c r="AW1" s="552" t="str">
        <f t="shared" si="3"/>
        <v>1T25</v>
      </c>
      <c r="AX1" s="552" t="str">
        <f t="shared" si="3"/>
        <v>2T25</v>
      </c>
      <c r="AY1" s="552" t="str">
        <f t="shared" si="3"/>
        <v>3T25</v>
      </c>
      <c r="AZ1" s="552" t="str">
        <f t="shared" si="3"/>
        <v>4T25</v>
      </c>
      <c r="BA1" s="552" t="str">
        <f t="shared" si="3"/>
        <v>1T26</v>
      </c>
      <c r="BB1" s="552" t="str">
        <f t="shared" si="3"/>
        <v>2T26</v>
      </c>
    </row>
    <row r="2" spans="1:54" ht="12.75" customHeight="1" x14ac:dyDescent="0.25">
      <c r="A2" s="552"/>
      <c r="B2" s="552"/>
      <c r="C2" s="552"/>
      <c r="D2" s="552"/>
      <c r="E2" s="552" t="str">
        <f>SUBSTITUTE(E1,"T","Q")</f>
        <v>1Q14</v>
      </c>
      <c r="F2" s="557" t="str">
        <f t="shared" ref="F2:S2" si="4">SUBSTITUTE(F1,"T","Q")</f>
        <v>2Q14</v>
      </c>
      <c r="G2" s="552" t="str">
        <f t="shared" si="4"/>
        <v>3Q14</v>
      </c>
      <c r="H2" s="552" t="str">
        <f t="shared" si="4"/>
        <v>4Q14</v>
      </c>
      <c r="I2" s="552" t="str">
        <f t="shared" si="4"/>
        <v>1Q15</v>
      </c>
      <c r="J2" s="552" t="str">
        <f t="shared" si="4"/>
        <v>2Q15</v>
      </c>
      <c r="K2" s="552" t="str">
        <f t="shared" si="4"/>
        <v>3Q15</v>
      </c>
      <c r="L2" s="552" t="str">
        <f t="shared" si="4"/>
        <v>4Q15</v>
      </c>
      <c r="M2" s="552" t="str">
        <f t="shared" si="4"/>
        <v>1Q16</v>
      </c>
      <c r="N2" s="552" t="str">
        <f t="shared" si="4"/>
        <v>2Q16</v>
      </c>
      <c r="O2" s="552" t="str">
        <f t="shared" si="4"/>
        <v>3Q16</v>
      </c>
      <c r="P2" s="552" t="str">
        <f t="shared" si="4"/>
        <v>4Q16</v>
      </c>
      <c r="Q2" s="552" t="str">
        <f t="shared" si="4"/>
        <v>1Q17</v>
      </c>
      <c r="R2" s="552" t="str">
        <f t="shared" si="4"/>
        <v>2Q17</v>
      </c>
      <c r="S2" s="552" t="str">
        <f t="shared" si="4"/>
        <v>3Q17</v>
      </c>
      <c r="T2" s="552" t="str">
        <f t="shared" ref="T2:Z2" si="5">SUBSTITUTE(T1,"T","Q")</f>
        <v>4Q17</v>
      </c>
      <c r="U2" s="552" t="str">
        <f t="shared" si="5"/>
        <v>1Q18</v>
      </c>
      <c r="V2" s="552" t="str">
        <f t="shared" si="5"/>
        <v>2Q18</v>
      </c>
      <c r="W2" s="552" t="str">
        <f t="shared" si="5"/>
        <v>3Q18</v>
      </c>
      <c r="X2" s="552" t="str">
        <f t="shared" si="5"/>
        <v>4Q18</v>
      </c>
      <c r="Y2" s="552" t="str">
        <f t="shared" si="5"/>
        <v>1Q19</v>
      </c>
      <c r="Z2" s="552" t="str">
        <f t="shared" si="5"/>
        <v>2Q19</v>
      </c>
      <c r="AA2" s="552" t="str">
        <f t="shared" ref="AA2:AG2" si="6">SUBSTITUTE(AA1,"T","Q")</f>
        <v>3Q19</v>
      </c>
      <c r="AB2" s="552" t="str">
        <f t="shared" si="6"/>
        <v>4Q19</v>
      </c>
      <c r="AC2" s="552" t="str">
        <f t="shared" si="6"/>
        <v>1Q20</v>
      </c>
      <c r="AD2" s="552" t="str">
        <f t="shared" si="6"/>
        <v>2Q20</v>
      </c>
      <c r="AE2" s="552" t="str">
        <f t="shared" si="6"/>
        <v>3Q20</v>
      </c>
      <c r="AF2" s="552" t="str">
        <f t="shared" si="6"/>
        <v>4Q20</v>
      </c>
      <c r="AG2" s="552" t="str">
        <f t="shared" si="6"/>
        <v>1Q21</v>
      </c>
      <c r="AH2" s="552" t="str">
        <f t="shared" ref="AH2:AS2" si="7">SUBSTITUTE(AH1,"T","Q")</f>
        <v>2Q21</v>
      </c>
      <c r="AI2" s="552" t="str">
        <f t="shared" si="7"/>
        <v>3Q21</v>
      </c>
      <c r="AJ2" s="552" t="str">
        <f t="shared" si="7"/>
        <v>4Q21</v>
      </c>
      <c r="AK2" s="552" t="str">
        <f t="shared" si="7"/>
        <v>1Q22</v>
      </c>
      <c r="AL2" s="552" t="str">
        <f t="shared" si="7"/>
        <v>2Q22</v>
      </c>
      <c r="AM2" s="552" t="str">
        <f t="shared" si="7"/>
        <v>3Q22</v>
      </c>
      <c r="AN2" s="552" t="str">
        <f t="shared" si="7"/>
        <v>4Q22</v>
      </c>
      <c r="AO2" s="552" t="str">
        <f t="shared" si="7"/>
        <v>1Q23</v>
      </c>
      <c r="AP2" s="552" t="str">
        <f t="shared" si="7"/>
        <v>2Q23</v>
      </c>
      <c r="AQ2" s="552" t="str">
        <f t="shared" si="7"/>
        <v>3Q23</v>
      </c>
      <c r="AR2" s="552" t="str">
        <f t="shared" si="7"/>
        <v>4Q23</v>
      </c>
      <c r="AS2" s="552" t="str">
        <f t="shared" si="7"/>
        <v>1Q24</v>
      </c>
      <c r="AT2" s="552" t="str">
        <f t="shared" ref="AT2:BB2" si="8">SUBSTITUTE(AT1,"T","Q")</f>
        <v>2Q24</v>
      </c>
      <c r="AU2" s="552" t="str">
        <f t="shared" si="8"/>
        <v>3Q24</v>
      </c>
      <c r="AV2" s="552" t="str">
        <f t="shared" si="8"/>
        <v>4Q24</v>
      </c>
      <c r="AW2" s="552" t="str">
        <f t="shared" si="8"/>
        <v>1Q25</v>
      </c>
      <c r="AX2" s="552" t="str">
        <f t="shared" si="8"/>
        <v>2Q25</v>
      </c>
      <c r="AY2" s="552" t="str">
        <f t="shared" si="8"/>
        <v>3Q25</v>
      </c>
      <c r="AZ2" s="552" t="str">
        <f t="shared" si="8"/>
        <v>4Q25</v>
      </c>
      <c r="BA2" s="552" t="str">
        <f>SUBSTITUTE(BA1,"T","Q")</f>
        <v>1Q26</v>
      </c>
      <c r="BB2" s="552" t="str">
        <f t="shared" si="8"/>
        <v>2Q26</v>
      </c>
    </row>
    <row r="3" spans="1:54" ht="12.75" customHeight="1" x14ac:dyDescent="0.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352"/>
      <c r="BB3" s="352"/>
    </row>
    <row r="4" spans="1:54" ht="12.75" customHeight="1" x14ac:dyDescent="0.2">
      <c r="E4" s="216">
        <f t="shared" ref="E4:J4" si="9">+SUM(E11,E10,E14,E17,E21)</f>
        <v>-9847</v>
      </c>
      <c r="F4" s="216">
        <f t="shared" si="9"/>
        <v>-11943</v>
      </c>
      <c r="G4" s="216">
        <f t="shared" si="9"/>
        <v>-15471</v>
      </c>
      <c r="H4" s="216">
        <f t="shared" si="9"/>
        <v>-17751</v>
      </c>
      <c r="I4" s="216">
        <f t="shared" si="9"/>
        <v>-15773</v>
      </c>
      <c r="J4" s="216">
        <f t="shared" si="9"/>
        <v>-13166</v>
      </c>
      <c r="K4" s="216">
        <f>+SUM(K11,K14,K21)</f>
        <v>-13415</v>
      </c>
      <c r="L4" s="216">
        <f>+SUM(L11,L14,L21)</f>
        <v>-13124</v>
      </c>
      <c r="M4" s="216">
        <f>+SUM(M11,M14,M21)</f>
        <v>-12308</v>
      </c>
      <c r="N4" s="216">
        <f>+SUM(N11,N14,N21)</f>
        <v>-12501</v>
      </c>
      <c r="O4" s="216">
        <f>+SUM(O11,O14,O21)</f>
        <v>-12758</v>
      </c>
      <c r="P4" s="216">
        <v>-11783</v>
      </c>
      <c r="Q4" s="216">
        <v>-8528</v>
      </c>
      <c r="R4" s="216">
        <v>-6348</v>
      </c>
      <c r="S4" s="216">
        <f t="shared" ref="S4:Z4" si="10">+SUM(S11,S14,S21)</f>
        <v>-7147</v>
      </c>
      <c r="T4" s="216">
        <f t="shared" si="10"/>
        <v>-4690</v>
      </c>
      <c r="U4" s="216">
        <f t="shared" si="10"/>
        <v>-3734</v>
      </c>
      <c r="V4" s="216">
        <f t="shared" si="10"/>
        <v>-3010</v>
      </c>
      <c r="W4" s="216">
        <f t="shared" si="10"/>
        <v>882</v>
      </c>
      <c r="X4" s="216">
        <f t="shared" si="10"/>
        <v>-4774</v>
      </c>
      <c r="Y4" s="216">
        <f t="shared" si="10"/>
        <v>-1242</v>
      </c>
      <c r="Z4" s="216">
        <f t="shared" si="10"/>
        <v>-4091</v>
      </c>
      <c r="AA4" s="216"/>
      <c r="AB4" s="216">
        <f t="shared" ref="AB4:AI4" si="11">+SUM(AB11,AB14,AB21)</f>
        <v>-3648</v>
      </c>
      <c r="AC4" s="216">
        <f t="shared" si="11"/>
        <v>13337</v>
      </c>
      <c r="AD4" s="216">
        <f t="shared" si="11"/>
        <v>1223</v>
      </c>
      <c r="AE4" s="216">
        <f t="shared" si="11"/>
        <v>-5763</v>
      </c>
      <c r="AF4" s="216">
        <f t="shared" si="11"/>
        <v>-2312</v>
      </c>
      <c r="AG4" s="216">
        <f t="shared" si="11"/>
        <v>-2312</v>
      </c>
      <c r="AH4" s="216">
        <f t="shared" si="11"/>
        <v>-2177</v>
      </c>
      <c r="AI4" s="216">
        <f t="shared" si="11"/>
        <v>-2577</v>
      </c>
      <c r="AJ4" s="216"/>
      <c r="AK4" s="216"/>
      <c r="AL4" s="216">
        <f t="shared" ref="AL4:AX4" si="12">+SUM(AL11,AL14,AL21)</f>
        <v>-2320</v>
      </c>
      <c r="AM4" s="216">
        <f t="shared" si="12"/>
        <v>-2564</v>
      </c>
      <c r="AN4" s="216">
        <f t="shared" si="12"/>
        <v>-2739</v>
      </c>
      <c r="AO4" s="216">
        <f t="shared" si="12"/>
        <v>-3682</v>
      </c>
      <c r="AP4" s="216">
        <f t="shared" si="12"/>
        <v>-3293</v>
      </c>
      <c r="AQ4" s="216">
        <f t="shared" si="12"/>
        <v>-2518</v>
      </c>
      <c r="AR4" s="216">
        <f t="shared" si="12"/>
        <v>-3127</v>
      </c>
      <c r="AS4" s="216">
        <f t="shared" si="12"/>
        <v>-3111</v>
      </c>
      <c r="AT4" s="216">
        <f t="shared" si="12"/>
        <v>-2960</v>
      </c>
      <c r="AU4" s="216">
        <f>+SUM(AU11,AU14,AU21)</f>
        <v>-3222</v>
      </c>
      <c r="AV4" s="216">
        <f t="shared" si="12"/>
        <v>-3186</v>
      </c>
      <c r="AW4" s="216">
        <f t="shared" si="12"/>
        <v>-3523</v>
      </c>
      <c r="AX4" s="216">
        <f t="shared" si="12"/>
        <v>-4047</v>
      </c>
      <c r="AY4" s="216">
        <f>+SUM(AY11,AY14,AY21)</f>
        <v>-4167</v>
      </c>
      <c r="AZ4" s="216">
        <f>+SUM(AZ11,AZ14,AZ21)</f>
        <v>-3502</v>
      </c>
      <c r="BA4" s="216">
        <f>+SUM(BA11,BA14,BA21)</f>
        <v>-4651</v>
      </c>
      <c r="BB4" s="216">
        <f>+SUM(BB11,BB14,BB21)</f>
        <v>-4681</v>
      </c>
    </row>
    <row r="5" spans="1:54" ht="14.25" x14ac:dyDescent="0.2">
      <c r="A5" s="25" t="s">
        <v>96</v>
      </c>
      <c r="B5" s="25" t="s">
        <v>866</v>
      </c>
      <c r="D5" s="115" t="str">
        <f>IF([1]RENAME!$H$3=1,B5,A5)</f>
        <v>Consolidado</v>
      </c>
      <c r="E5" s="115" t="str">
        <f>IF([1]RENAME!$H$3=1,E2,E1)</f>
        <v>1T14</v>
      </c>
      <c r="F5" s="115" t="str">
        <f>IF([1]RENAME!$H$3=1,F2,F1)</f>
        <v>2T14</v>
      </c>
      <c r="G5" s="115" t="str">
        <f>IF([1]RENAME!$H$3=1,G2,G1)</f>
        <v>3T14</v>
      </c>
      <c r="H5" s="115" t="str">
        <f>IF([1]RENAME!$H$3=1,H2,H1)</f>
        <v>4T14</v>
      </c>
      <c r="I5" s="115" t="str">
        <f>IF([1]RENAME!$H$3=1,I2,I1)</f>
        <v>1T15</v>
      </c>
      <c r="J5" s="115" t="str">
        <f>IF([1]RENAME!$H$3=1,J2,J1)</f>
        <v>2T15</v>
      </c>
      <c r="K5" s="145" t="str">
        <f>IF([1]RENAME!$H$3=1,K2,K1)</f>
        <v>3T15</v>
      </c>
      <c r="L5" s="145" t="str">
        <f>IF([1]RENAME!$H$3=1,L2,L1)</f>
        <v>4T15</v>
      </c>
      <c r="M5" s="145" t="str">
        <f>IF([1]RENAME!$H$3=1,M2,M1)</f>
        <v>1T16</v>
      </c>
      <c r="N5" s="145" t="str">
        <f>IF([1]RENAME!$H$3=1,N2,N1)</f>
        <v>2T16</v>
      </c>
      <c r="O5" s="145" t="str">
        <f>IF([1]RENAME!$H$3=1,O2,O1)</f>
        <v>3T16</v>
      </c>
      <c r="P5" s="145" t="str">
        <f>IF([1]RENAME!$H$3=1,P2,P1)</f>
        <v>4T16</v>
      </c>
      <c r="Q5" s="145" t="str">
        <f>IF([1]RENAME!$H$3=1,Q2,Q1)</f>
        <v>1T17</v>
      </c>
      <c r="R5" s="145" t="str">
        <f>IF([1]RENAME!$H$3=1,R2,R1)</f>
        <v>2T17</v>
      </c>
      <c r="S5" s="145" t="str">
        <f>IF([1]RENAME!$H$3=1,S2,S1)</f>
        <v>3T17</v>
      </c>
      <c r="T5" s="145" t="str">
        <f>IF([1]RENAME!$H$3=1,T2,T1)</f>
        <v>4T17</v>
      </c>
      <c r="U5" s="145" t="str">
        <f>IF([1]RENAME!$H$3=1,U2,U1)</f>
        <v>1T18</v>
      </c>
      <c r="V5" s="145" t="str">
        <f>IF([1]RENAME!$H$3=1,V2,V1)</f>
        <v>2T18</v>
      </c>
      <c r="W5" s="145" t="str">
        <f>IF([1]RENAME!$H$3=1,W2,W1)</f>
        <v>3T18</v>
      </c>
      <c r="X5" s="145" t="str">
        <f>IF([1]RENAME!$H$3=1,X2,X1)</f>
        <v>4T18</v>
      </c>
      <c r="Y5" s="145" t="str">
        <f>IF([1]RENAME!$H$3=1,Y2,Y1)</f>
        <v>1T19</v>
      </c>
      <c r="Z5" s="145" t="str">
        <f>IF([1]RENAME!$H$3=1,Z2,Z1)</f>
        <v>2T19</v>
      </c>
      <c r="AA5" s="145" t="str">
        <f>IF([1]RENAME!$H$3=1,AA2,AA1)</f>
        <v>3T19</v>
      </c>
      <c r="AB5" s="145" t="str">
        <f>IF([1]RENAME!$H$3=1,AB2,AB1)</f>
        <v>4T19</v>
      </c>
      <c r="AC5" s="145" t="str">
        <f>IF([1]RENAME!$H$3=1,AC2,AC1)</f>
        <v>1T20</v>
      </c>
      <c r="AD5" s="145" t="str">
        <f>IF([1]RENAME!$H$3=1,AD2,AD1)</f>
        <v>2T20</v>
      </c>
      <c r="AE5" s="145" t="str">
        <f>IF([1]RENAME!$H$3=1,AE2,AE1)</f>
        <v>3T20</v>
      </c>
      <c r="AF5" s="145" t="str">
        <f>IF([1]RENAME!$H$3=1,AF2,AF1)</f>
        <v>4T20</v>
      </c>
      <c r="AG5" s="145" t="str">
        <f>IF([1]RENAME!$H$3=1,AG2,AG1)</f>
        <v>1T21</v>
      </c>
      <c r="AH5" s="145" t="str">
        <f>IF([1]RENAME!$H$3=1,AH2,AH1)</f>
        <v>2T21</v>
      </c>
      <c r="AI5" s="145" t="str">
        <f>IF([1]RENAME!$H$3=1,AI2,AI1)</f>
        <v>3T21</v>
      </c>
      <c r="AJ5" s="145" t="str">
        <f>IF([1]RENAME!$H$3=1,AJ2,AJ1)</f>
        <v>4T21</v>
      </c>
      <c r="AK5" s="145" t="str">
        <f>IF([1]RENAME!$H$3=1,AK2,AK1)</f>
        <v>1T22</v>
      </c>
      <c r="AL5" s="145" t="str">
        <f>IF([1]RENAME!$H$3=1,AL2,AL1)</f>
        <v>2T22</v>
      </c>
      <c r="AM5" s="145" t="str">
        <f>IF([1]RENAME!$H$3=1,AM2,AM1)</f>
        <v>3T22</v>
      </c>
      <c r="AN5" s="145" t="str">
        <f>IF([1]RENAME!$H$3=1,AN2,AN1)</f>
        <v>4T22</v>
      </c>
      <c r="AO5" s="145" t="str">
        <f>IF([1]RENAME!$H$3=1,AO2,AO1)</f>
        <v>1T23</v>
      </c>
      <c r="AP5" s="145" t="str">
        <f>IF([1]RENAME!$H$3=1,AP2,AP1)</f>
        <v>2T23</v>
      </c>
      <c r="AQ5" s="145" t="str">
        <f>IF([1]RENAME!$H$3=1,AQ2,AQ1)</f>
        <v>3T23</v>
      </c>
      <c r="AR5" s="145" t="str">
        <f>IF([1]RENAME!$H$3=1,AR2,AR1)</f>
        <v>4T23</v>
      </c>
      <c r="AS5" s="145" t="str">
        <f>IF([1]RENAME!$H$3=1,AS2,AS1)</f>
        <v>1T24</v>
      </c>
      <c r="AT5" s="145" t="str">
        <f>IF([1]RENAME!$H$3=1,AT2,AT1)</f>
        <v>2T24</v>
      </c>
      <c r="AU5" s="145" t="str">
        <f>IF([1]RENAME!$H$3=1,AU2,AU1)</f>
        <v>3T24</v>
      </c>
      <c r="AV5" s="145" t="str">
        <f>IF([1]RENAME!$H$3=1,AV2,AV1)</f>
        <v>4T24</v>
      </c>
      <c r="AW5" s="145" t="str">
        <f>IF([1]RENAME!$H$3=1,AW2,AW1)</f>
        <v>1T25</v>
      </c>
      <c r="AX5" s="145" t="str">
        <f>IF([1]RENAME!$H$3=1,AX2,AX1)</f>
        <v>2T25</v>
      </c>
      <c r="AY5" s="145" t="str">
        <f>IF([1]RENAME!$H$3=1,AY2,AY1)</f>
        <v>3T25</v>
      </c>
      <c r="AZ5" s="145" t="str">
        <f>IF([1]RENAME!$H$3=1,AZ2,AZ1)</f>
        <v>4T25</v>
      </c>
      <c r="BA5" s="542" t="str">
        <f>IF([1]RENAME!$H$3=1,BA2,BA1)</f>
        <v>1T26</v>
      </c>
      <c r="BB5" s="145" t="str">
        <f>IF([1]RENAME!$H$3=1,BB2,BB1)</f>
        <v>2T26</v>
      </c>
    </row>
    <row r="6" spans="1:54" ht="15" customHeight="1" x14ac:dyDescent="0.25">
      <c r="A6" s="743" t="s">
        <v>1429</v>
      </c>
      <c r="B6" s="25" t="s">
        <v>1430</v>
      </c>
      <c r="D6" s="129" t="str">
        <f>IF([1]RENAME!$H$3=1,B6,A6)</f>
        <v>Receita de aplicação financeira</v>
      </c>
      <c r="E6" s="118">
        <v>4153</v>
      </c>
      <c r="F6" s="118">
        <v>4453</v>
      </c>
      <c r="G6" s="118">
        <v>4310</v>
      </c>
      <c r="H6" s="118">
        <v>5331</v>
      </c>
      <c r="I6" s="118">
        <v>7011</v>
      </c>
      <c r="J6" s="118">
        <v>6609</v>
      </c>
      <c r="K6" s="118">
        <v>5864</v>
      </c>
      <c r="L6" s="118">
        <v>6879</v>
      </c>
      <c r="M6" s="118">
        <v>6923</v>
      </c>
      <c r="N6" s="118">
        <v>7547</v>
      </c>
      <c r="O6" s="118">
        <v>7708</v>
      </c>
      <c r="P6" s="118">
        <v>7967</v>
      </c>
      <c r="Q6" s="118">
        <v>4938</v>
      </c>
      <c r="R6" s="118">
        <v>3554</v>
      </c>
      <c r="S6" s="118">
        <v>4394</v>
      </c>
      <c r="T6" s="118">
        <v>2821</v>
      </c>
      <c r="U6" s="118">
        <v>2471</v>
      </c>
      <c r="V6" s="118">
        <v>1842</v>
      </c>
      <c r="W6" s="118">
        <v>1537</v>
      </c>
      <c r="X6" s="118">
        <v>1734</v>
      </c>
      <c r="Y6" s="118">
        <v>1377</v>
      </c>
      <c r="Z6" s="118">
        <v>1851</v>
      </c>
      <c r="AA6" s="118">
        <v>1901</v>
      </c>
      <c r="AB6" s="320">
        <v>1457</v>
      </c>
      <c r="AC6" s="320">
        <v>1269</v>
      </c>
      <c r="AD6" s="320">
        <v>2012</v>
      </c>
      <c r="AE6" s="320">
        <v>1345</v>
      </c>
      <c r="AF6" s="320">
        <v>1286</v>
      </c>
      <c r="AG6" s="320">
        <v>1353</v>
      </c>
      <c r="AH6" s="320">
        <v>2018</v>
      </c>
      <c r="AI6" s="320">
        <v>2973</v>
      </c>
      <c r="AJ6" s="320">
        <v>3438</v>
      </c>
      <c r="AK6" s="320">
        <v>4952</v>
      </c>
      <c r="AL6" s="320">
        <v>3689</v>
      </c>
      <c r="AM6" s="320">
        <v>3916</v>
      </c>
      <c r="AN6" s="320">
        <v>5075</v>
      </c>
      <c r="AO6" s="320">
        <v>7197</v>
      </c>
      <c r="AP6" s="320">
        <v>7077</v>
      </c>
      <c r="AQ6" s="320">
        <v>7258</v>
      </c>
      <c r="AR6" s="320">
        <v>7758</v>
      </c>
      <c r="AS6" s="320">
        <v>7489</v>
      </c>
      <c r="AT6" s="320">
        <v>7313</v>
      </c>
      <c r="AU6" s="320">
        <v>6938</v>
      </c>
      <c r="AV6" s="320">
        <v>7133</v>
      </c>
      <c r="AW6" s="320">
        <v>9199</v>
      </c>
      <c r="AX6" s="320">
        <v>11022</v>
      </c>
      <c r="AY6" s="320">
        <v>12000</v>
      </c>
      <c r="AZ6" s="320">
        <v>9142</v>
      </c>
      <c r="BA6" s="320">
        <v>6727</v>
      </c>
      <c r="BB6" s="320">
        <f>('[3]24 Resul. Fin. NL'!$N$10)-BA6</f>
        <v>6121</v>
      </c>
    </row>
    <row r="7" spans="1:54" ht="15" customHeight="1" x14ac:dyDescent="0.2">
      <c r="A7" s="25" t="s">
        <v>152</v>
      </c>
      <c r="B7" s="25" t="s">
        <v>1053</v>
      </c>
      <c r="D7" s="129" t="str">
        <f>IF([1]RENAME!$H$3=1,B7,A7)</f>
        <v>Juros ativos</v>
      </c>
      <c r="E7" s="118">
        <v>58</v>
      </c>
      <c r="F7" s="118">
        <v>63</v>
      </c>
      <c r="G7" s="118">
        <v>1832</v>
      </c>
      <c r="H7" s="118">
        <v>2925</v>
      </c>
      <c r="I7" s="118">
        <v>1942</v>
      </c>
      <c r="J7" s="118">
        <v>3171</v>
      </c>
      <c r="K7" s="118">
        <v>203</v>
      </c>
      <c r="L7" s="118">
        <v>954</v>
      </c>
      <c r="M7" s="118">
        <v>466</v>
      </c>
      <c r="N7" s="118">
        <v>142</v>
      </c>
      <c r="O7" s="118">
        <v>168</v>
      </c>
      <c r="P7" s="118">
        <v>1357</v>
      </c>
      <c r="Q7" s="118">
        <v>350</v>
      </c>
      <c r="R7" s="260">
        <v>8100</v>
      </c>
      <c r="S7" s="118">
        <v>1155</v>
      </c>
      <c r="T7" s="260">
        <v>11064</v>
      </c>
      <c r="U7" s="118">
        <v>181</v>
      </c>
      <c r="V7" s="118">
        <v>1067</v>
      </c>
      <c r="W7" s="118">
        <v>134</v>
      </c>
      <c r="X7" s="118">
        <v>731</v>
      </c>
      <c r="Y7" s="118">
        <v>1391</v>
      </c>
      <c r="Z7" s="118">
        <v>447</v>
      </c>
      <c r="AA7" s="260">
        <v>35329</v>
      </c>
      <c r="AB7" s="320">
        <v>1115</v>
      </c>
      <c r="AC7" s="320">
        <v>616</v>
      </c>
      <c r="AD7" s="320">
        <v>399</v>
      </c>
      <c r="AE7" s="320">
        <v>255</v>
      </c>
      <c r="AF7" s="320">
        <v>581</v>
      </c>
      <c r="AG7" s="320">
        <v>170</v>
      </c>
      <c r="AH7" s="260">
        <v>3685</v>
      </c>
      <c r="AI7" s="118">
        <v>478</v>
      </c>
      <c r="AJ7" s="118">
        <v>594</v>
      </c>
      <c r="AK7" s="118">
        <v>565</v>
      </c>
      <c r="AL7" s="118">
        <v>1776</v>
      </c>
      <c r="AM7" s="118">
        <v>899</v>
      </c>
      <c r="AN7" s="260">
        <v>6234</v>
      </c>
      <c r="AO7" s="118">
        <v>736</v>
      </c>
      <c r="AP7" s="260">
        <v>3071</v>
      </c>
      <c r="AQ7" s="260">
        <v>1185</v>
      </c>
      <c r="AR7" s="320">
        <v>1112</v>
      </c>
      <c r="AS7" s="320">
        <v>938</v>
      </c>
      <c r="AT7" s="260">
        <v>3034</v>
      </c>
      <c r="AU7" s="118">
        <v>630</v>
      </c>
      <c r="AV7" s="118">
        <v>158</v>
      </c>
      <c r="AW7" s="118">
        <v>600</v>
      </c>
      <c r="AX7" s="320">
        <v>251</v>
      </c>
      <c r="AY7" s="320">
        <v>406</v>
      </c>
      <c r="AZ7" s="320">
        <v>787</v>
      </c>
      <c r="BA7" s="320">
        <v>1110</v>
      </c>
      <c r="BB7" s="320">
        <f>('[3]24 Resul. Fin. NL'!$N$8)-BA7</f>
        <v>562</v>
      </c>
    </row>
    <row r="8" spans="1:54" ht="15" customHeight="1" x14ac:dyDescent="0.25">
      <c r="A8" s="743" t="s">
        <v>1938</v>
      </c>
      <c r="B8" s="743" t="s">
        <v>1939</v>
      </c>
      <c r="C8" s="249"/>
      <c r="D8" s="129" t="str">
        <f>IF([1]RENAME!$H$3=1,B8,A8)</f>
        <v>Atualização monetária INSS FAP</v>
      </c>
      <c r="E8" s="118">
        <v>0</v>
      </c>
      <c r="F8" s="118">
        <v>0</v>
      </c>
      <c r="G8" s="118">
        <v>0</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18">
        <v>0</v>
      </c>
      <c r="Y8" s="118">
        <v>0</v>
      </c>
      <c r="Z8" s="118">
        <v>0</v>
      </c>
      <c r="AA8" s="118">
        <v>0</v>
      </c>
      <c r="AB8" s="118">
        <v>0</v>
      </c>
      <c r="AC8" s="118">
        <v>0</v>
      </c>
      <c r="AD8" s="118">
        <v>0</v>
      </c>
      <c r="AE8" s="118">
        <v>0</v>
      </c>
      <c r="AF8" s="118">
        <v>0</v>
      </c>
      <c r="AG8" s="118">
        <v>0</v>
      </c>
      <c r="AH8" s="118">
        <v>0</v>
      </c>
      <c r="AI8" s="118">
        <v>0</v>
      </c>
      <c r="AJ8" s="118">
        <v>3546</v>
      </c>
      <c r="AK8" s="118">
        <v>739</v>
      </c>
      <c r="AL8" s="118">
        <v>255</v>
      </c>
      <c r="AM8" s="118">
        <v>219</v>
      </c>
      <c r="AN8" s="118">
        <v>180</v>
      </c>
      <c r="AO8" s="118">
        <v>213</v>
      </c>
      <c r="AP8" s="118">
        <v>215</v>
      </c>
      <c r="AQ8" s="320">
        <v>29</v>
      </c>
      <c r="AR8" s="320">
        <v>509</v>
      </c>
      <c r="AS8" s="320">
        <v>178</v>
      </c>
      <c r="AT8" s="320">
        <v>170</v>
      </c>
      <c r="AU8" s="320">
        <v>177</v>
      </c>
      <c r="AV8" s="320">
        <v>659</v>
      </c>
      <c r="AW8" s="320">
        <v>624</v>
      </c>
      <c r="AX8" s="320">
        <v>647</v>
      </c>
      <c r="AY8" s="320">
        <v>590</v>
      </c>
      <c r="AZ8" s="320">
        <v>319</v>
      </c>
      <c r="BA8" s="320">
        <v>144</v>
      </c>
      <c r="BB8" s="320">
        <f>('[3]24 Resul. Fin. NL'!$N$9)-BA8</f>
        <v>199</v>
      </c>
    </row>
    <row r="9" spans="1:54" ht="17.25" customHeight="1" x14ac:dyDescent="0.2">
      <c r="A9" s="249" t="s">
        <v>2118</v>
      </c>
      <c r="B9" s="249" t="s">
        <v>2117</v>
      </c>
      <c r="C9" s="249"/>
      <c r="D9" s="129" t="str">
        <f>IF([1]RENAME!$H$3=1,B9,A9)</f>
        <v>Outras receitas financeiras</v>
      </c>
      <c r="E9" s="118">
        <v>17</v>
      </c>
      <c r="F9" s="118">
        <v>8</v>
      </c>
      <c r="G9" s="118">
        <v>4</v>
      </c>
      <c r="H9" s="118">
        <v>23</v>
      </c>
      <c r="I9" s="118">
        <v>7</v>
      </c>
      <c r="J9" s="118">
        <v>20</v>
      </c>
      <c r="K9" s="118">
        <v>34</v>
      </c>
      <c r="L9" s="118">
        <v>24</v>
      </c>
      <c r="M9" s="118">
        <v>23</v>
      </c>
      <c r="N9" s="118">
        <v>13</v>
      </c>
      <c r="O9" s="118">
        <v>0</v>
      </c>
      <c r="P9" s="118">
        <v>0</v>
      </c>
      <c r="Q9" s="118">
        <v>0</v>
      </c>
      <c r="R9" s="118">
        <v>0</v>
      </c>
      <c r="S9" s="118">
        <v>0</v>
      </c>
      <c r="T9" s="118">
        <v>0</v>
      </c>
      <c r="U9" s="118">
        <v>0</v>
      </c>
      <c r="V9" s="118">
        <v>0</v>
      </c>
      <c r="W9" s="118">
        <v>0</v>
      </c>
      <c r="X9" s="118">
        <v>0</v>
      </c>
      <c r="Y9" s="118">
        <v>0</v>
      </c>
      <c r="Z9" s="118"/>
      <c r="AA9" s="118">
        <v>0</v>
      </c>
      <c r="AB9" s="118">
        <v>0</v>
      </c>
      <c r="AC9" s="118">
        <v>0</v>
      </c>
      <c r="AD9" s="118">
        <v>0</v>
      </c>
      <c r="AE9" s="118">
        <v>0</v>
      </c>
      <c r="AF9" s="118">
        <v>0</v>
      </c>
      <c r="AG9" s="118">
        <v>0</v>
      </c>
      <c r="AH9" s="118">
        <v>0</v>
      </c>
      <c r="AI9" s="118">
        <v>0</v>
      </c>
      <c r="AJ9" s="118">
        <v>5</v>
      </c>
      <c r="AK9" s="118">
        <v>17</v>
      </c>
      <c r="AL9" s="118">
        <v>0</v>
      </c>
      <c r="AM9" s="118">
        <v>54</v>
      </c>
      <c r="AN9" s="118">
        <v>133</v>
      </c>
      <c r="AO9" s="118">
        <v>3</v>
      </c>
      <c r="AP9" s="118">
        <v>150</v>
      </c>
      <c r="AQ9" s="320">
        <v>71</v>
      </c>
      <c r="AR9" s="320">
        <v>2</v>
      </c>
      <c r="AS9" s="320">
        <v>56</v>
      </c>
      <c r="AT9" s="320">
        <v>1</v>
      </c>
      <c r="AU9" s="320">
        <v>1</v>
      </c>
      <c r="AV9" s="320">
        <v>13</v>
      </c>
      <c r="AW9" s="320">
        <v>504</v>
      </c>
      <c r="AX9" s="320">
        <v>189</v>
      </c>
      <c r="AY9" s="320">
        <v>-9</v>
      </c>
      <c r="AZ9" s="320">
        <v>223</v>
      </c>
      <c r="BA9" s="320">
        <v>-32</v>
      </c>
      <c r="BB9" s="320">
        <f>('[3]24 Resul. Fin. NL'!$N$12)-BA9</f>
        <v>59</v>
      </c>
    </row>
    <row r="10" spans="1:54" ht="17.25" customHeight="1" x14ac:dyDescent="0.2">
      <c r="A10" s="249" t="s">
        <v>151</v>
      </c>
      <c r="B10" s="249" t="s">
        <v>1054</v>
      </c>
      <c r="C10" s="249"/>
      <c r="D10" s="129" t="str">
        <f>IF([1]RENAME!$H$3=1,B10,A10)</f>
        <v>Ganhos cambiais</v>
      </c>
      <c r="E10" s="118">
        <v>1554</v>
      </c>
      <c r="F10" s="118">
        <v>1145</v>
      </c>
      <c r="G10" s="118">
        <v>0</v>
      </c>
      <c r="H10" s="118">
        <v>0</v>
      </c>
      <c r="I10" s="118">
        <v>0</v>
      </c>
      <c r="J10" s="118">
        <v>0</v>
      </c>
      <c r="K10" s="118">
        <v>120</v>
      </c>
      <c r="L10" s="118">
        <v>0</v>
      </c>
      <c r="M10" s="118">
        <v>0</v>
      </c>
      <c r="N10" s="118">
        <v>0</v>
      </c>
      <c r="O10" s="118">
        <v>0</v>
      </c>
      <c r="P10" s="118">
        <v>23</v>
      </c>
      <c r="Q10" s="118">
        <v>0</v>
      </c>
      <c r="R10" s="118">
        <v>0</v>
      </c>
      <c r="S10" s="118">
        <v>0</v>
      </c>
      <c r="T10" s="118">
        <v>255</v>
      </c>
      <c r="U10" s="118">
        <v>0</v>
      </c>
      <c r="V10" s="118">
        <v>51</v>
      </c>
      <c r="W10" s="118">
        <v>0</v>
      </c>
      <c r="X10" s="118">
        <v>1812</v>
      </c>
      <c r="Y10" s="118">
        <v>0</v>
      </c>
      <c r="Z10" s="118">
        <v>91</v>
      </c>
      <c r="AA10" s="118">
        <v>-91</v>
      </c>
      <c r="AB10" s="118">
        <v>0</v>
      </c>
      <c r="AC10" s="118">
        <v>0</v>
      </c>
      <c r="AD10" s="118">
        <v>0</v>
      </c>
      <c r="AE10" s="118">
        <v>0</v>
      </c>
      <c r="AF10" s="118">
        <v>0</v>
      </c>
      <c r="AG10" s="118">
        <v>0</v>
      </c>
      <c r="AH10" s="118">
        <v>0</v>
      </c>
      <c r="AI10" s="118">
        <v>0</v>
      </c>
      <c r="AJ10" s="118">
        <v>0</v>
      </c>
      <c r="AK10" s="118">
        <v>0</v>
      </c>
      <c r="AL10" s="118">
        <v>0</v>
      </c>
      <c r="AM10" s="118">
        <v>0</v>
      </c>
      <c r="AN10" s="118">
        <v>0</v>
      </c>
      <c r="AO10" s="118">
        <v>0</v>
      </c>
      <c r="AP10" s="118">
        <v>0</v>
      </c>
      <c r="AQ10" s="320">
        <v>0</v>
      </c>
      <c r="AR10" s="320">
        <v>0</v>
      </c>
      <c r="AS10" s="320">
        <v>0</v>
      </c>
      <c r="AT10" s="320">
        <v>0</v>
      </c>
      <c r="AU10" s="320">
        <v>115</v>
      </c>
      <c r="AV10" s="320">
        <v>284</v>
      </c>
      <c r="AW10" s="320">
        <v>0</v>
      </c>
      <c r="AX10" s="320">
        <v>0</v>
      </c>
      <c r="AY10" s="320">
        <v>0</v>
      </c>
      <c r="AZ10" s="320">
        <v>0</v>
      </c>
      <c r="BA10" s="320">
        <v>0</v>
      </c>
      <c r="BB10" s="320">
        <f>(+'[3]24 Resul. Fin. NL'!$N$11)-BA10</f>
        <v>0</v>
      </c>
    </row>
    <row r="11" spans="1:54" ht="17.25" customHeight="1" x14ac:dyDescent="0.2">
      <c r="A11" s="249" t="s">
        <v>150</v>
      </c>
      <c r="B11" s="249" t="s">
        <v>1055</v>
      </c>
      <c r="C11" s="249"/>
      <c r="D11" s="129" t="str">
        <f>IF([1]RENAME!$H$3=1,B11,A11)</f>
        <v>Resultado positivo de operação de Swap</v>
      </c>
      <c r="E11" s="118">
        <v>0</v>
      </c>
      <c r="F11" s="118">
        <v>0</v>
      </c>
      <c r="G11" s="118">
        <v>9154</v>
      </c>
      <c r="H11" s="118">
        <v>0</v>
      </c>
      <c r="I11" s="118">
        <v>0</v>
      </c>
      <c r="J11" s="118">
        <v>1193</v>
      </c>
      <c r="K11" s="118">
        <v>0</v>
      </c>
      <c r="L11" s="118">
        <v>0</v>
      </c>
      <c r="M11" s="118">
        <v>0</v>
      </c>
      <c r="N11" s="118">
        <v>0</v>
      </c>
      <c r="O11" s="118">
        <v>0</v>
      </c>
      <c r="P11" s="118">
        <v>0</v>
      </c>
      <c r="Q11" s="118">
        <v>0</v>
      </c>
      <c r="R11" s="118">
        <v>0</v>
      </c>
      <c r="S11" s="118">
        <v>0</v>
      </c>
      <c r="T11" s="118">
        <v>0</v>
      </c>
      <c r="U11" s="118">
        <v>0</v>
      </c>
      <c r="V11" s="118">
        <v>0</v>
      </c>
      <c r="W11" s="118">
        <v>3735</v>
      </c>
      <c r="X11" s="118">
        <v>0</v>
      </c>
      <c r="Y11" s="118">
        <v>1028</v>
      </c>
      <c r="Z11" s="118">
        <v>-1028</v>
      </c>
      <c r="AA11" s="118">
        <v>3208</v>
      </c>
      <c r="AB11" s="118">
        <v>-1546</v>
      </c>
      <c r="AC11" s="118">
        <v>15165</v>
      </c>
      <c r="AD11" s="118">
        <v>4243</v>
      </c>
      <c r="AE11" s="118">
        <v>-3089</v>
      </c>
      <c r="AF11" s="118">
        <v>0</v>
      </c>
      <c r="AG11" s="118">
        <v>0</v>
      </c>
      <c r="AH11" s="118">
        <v>0</v>
      </c>
      <c r="AI11" s="118">
        <v>0</v>
      </c>
      <c r="AJ11" s="118">
        <v>0</v>
      </c>
      <c r="AK11" s="118">
        <v>0</v>
      </c>
      <c r="AL11" s="118">
        <v>0</v>
      </c>
      <c r="AM11" s="118">
        <v>0</v>
      </c>
      <c r="AN11" s="118">
        <v>0</v>
      </c>
      <c r="AO11" s="118">
        <v>0</v>
      </c>
      <c r="AP11" s="118">
        <v>0</v>
      </c>
      <c r="AQ11" s="320">
        <v>0</v>
      </c>
      <c r="AR11" s="320">
        <v>0</v>
      </c>
      <c r="AS11" s="320">
        <v>0</v>
      </c>
      <c r="AT11" s="320">
        <v>0</v>
      </c>
      <c r="AU11" s="320">
        <v>0</v>
      </c>
      <c r="AV11" s="320">
        <v>0</v>
      </c>
      <c r="AW11" s="320">
        <v>0</v>
      </c>
      <c r="AX11" s="320">
        <v>0</v>
      </c>
      <c r="AY11" s="320">
        <v>0</v>
      </c>
      <c r="AZ11" s="320">
        <v>0</v>
      </c>
      <c r="BA11" s="320">
        <v>0</v>
      </c>
      <c r="BB11" s="320">
        <v>0</v>
      </c>
    </row>
    <row r="12" spans="1:54" ht="15" hidden="1" customHeight="1" outlineLevel="1" x14ac:dyDescent="0.2">
      <c r="A12" s="249" t="s">
        <v>1249</v>
      </c>
      <c r="B12" s="249" t="s">
        <v>1250</v>
      </c>
      <c r="C12" s="249"/>
      <c r="D12" s="250" t="str">
        <f>IF([1]RENAME!$H$3=1,B12,A12)</f>
        <v>Juros ativos parcelamento (REFIS)</v>
      </c>
      <c r="E12" s="218">
        <v>0</v>
      </c>
      <c r="F12" s="218">
        <v>0</v>
      </c>
      <c r="G12" s="218">
        <v>0</v>
      </c>
      <c r="H12" s="218">
        <v>0</v>
      </c>
      <c r="I12" s="218">
        <v>0</v>
      </c>
      <c r="J12" s="218">
        <v>0</v>
      </c>
      <c r="K12" s="218">
        <v>0</v>
      </c>
      <c r="L12" s="218">
        <v>0</v>
      </c>
      <c r="M12" s="218">
        <v>0</v>
      </c>
      <c r="N12" s="218">
        <v>0</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c r="AN12" s="218">
        <v>0</v>
      </c>
      <c r="AO12" s="218">
        <v>0</v>
      </c>
      <c r="AP12" s="218">
        <v>0</v>
      </c>
      <c r="AQ12" s="218">
        <v>0</v>
      </c>
      <c r="AR12" s="218">
        <v>0</v>
      </c>
      <c r="AS12" s="218">
        <v>0</v>
      </c>
      <c r="AT12" s="218">
        <v>0</v>
      </c>
      <c r="AU12" s="218">
        <v>0</v>
      </c>
      <c r="AV12" s="218">
        <v>0</v>
      </c>
      <c r="AW12" s="218">
        <v>0</v>
      </c>
      <c r="AX12" s="218">
        <v>0</v>
      </c>
      <c r="AY12" s="218">
        <v>0</v>
      </c>
      <c r="AZ12" s="218">
        <v>0</v>
      </c>
      <c r="BA12" s="218">
        <v>0</v>
      </c>
      <c r="BB12" s="218">
        <v>0</v>
      </c>
    </row>
    <row r="13" spans="1:54" ht="15" customHeight="1" collapsed="1" x14ac:dyDescent="0.2">
      <c r="A13" s="25" t="s">
        <v>153</v>
      </c>
      <c r="B13" s="25" t="s">
        <v>1056</v>
      </c>
      <c r="D13" s="126" t="str">
        <f>IF([1]RENAME!$H$3=1,B13,A13)</f>
        <v>Receitas  financeiras</v>
      </c>
      <c r="E13" s="120">
        <f t="shared" ref="E13:AL13" si="13">SUM(E6:E12)</f>
        <v>5782</v>
      </c>
      <c r="F13" s="120">
        <f t="shared" si="13"/>
        <v>5669</v>
      </c>
      <c r="G13" s="120">
        <f t="shared" si="13"/>
        <v>15300</v>
      </c>
      <c r="H13" s="120">
        <f t="shared" si="13"/>
        <v>8279</v>
      </c>
      <c r="I13" s="120">
        <f t="shared" si="13"/>
        <v>8960</v>
      </c>
      <c r="J13" s="120">
        <f t="shared" si="13"/>
        <v>10993</v>
      </c>
      <c r="K13" s="120">
        <f t="shared" si="13"/>
        <v>6221</v>
      </c>
      <c r="L13" s="120">
        <f t="shared" si="13"/>
        <v>7857</v>
      </c>
      <c r="M13" s="120">
        <f t="shared" si="13"/>
        <v>7412</v>
      </c>
      <c r="N13" s="120">
        <f t="shared" si="13"/>
        <v>7702</v>
      </c>
      <c r="O13" s="120">
        <f t="shared" si="13"/>
        <v>7876</v>
      </c>
      <c r="P13" s="120">
        <f t="shared" si="13"/>
        <v>9347</v>
      </c>
      <c r="Q13" s="120">
        <f t="shared" si="13"/>
        <v>5288</v>
      </c>
      <c r="R13" s="120">
        <f t="shared" si="13"/>
        <v>11654</v>
      </c>
      <c r="S13" s="120">
        <f t="shared" si="13"/>
        <v>5549</v>
      </c>
      <c r="T13" s="120">
        <f t="shared" si="13"/>
        <v>14140</v>
      </c>
      <c r="U13" s="120">
        <f t="shared" si="13"/>
        <v>2652</v>
      </c>
      <c r="V13" s="120">
        <f t="shared" si="13"/>
        <v>2960</v>
      </c>
      <c r="W13" s="120">
        <f t="shared" si="13"/>
        <v>5406</v>
      </c>
      <c r="X13" s="120">
        <f t="shared" si="13"/>
        <v>4277</v>
      </c>
      <c r="Y13" s="120">
        <f t="shared" si="13"/>
        <v>3796</v>
      </c>
      <c r="Z13" s="120">
        <f t="shared" si="13"/>
        <v>1361</v>
      </c>
      <c r="AA13" s="120">
        <f t="shared" si="13"/>
        <v>40347</v>
      </c>
      <c r="AB13" s="120">
        <f t="shared" si="13"/>
        <v>1026</v>
      </c>
      <c r="AC13" s="120">
        <f t="shared" si="13"/>
        <v>17050</v>
      </c>
      <c r="AD13" s="120">
        <f t="shared" si="13"/>
        <v>6654</v>
      </c>
      <c r="AE13" s="120">
        <f t="shared" si="13"/>
        <v>-1489</v>
      </c>
      <c r="AF13" s="120">
        <f t="shared" si="13"/>
        <v>1867</v>
      </c>
      <c r="AG13" s="120">
        <f t="shared" si="13"/>
        <v>1523</v>
      </c>
      <c r="AH13" s="120">
        <f t="shared" si="13"/>
        <v>5703</v>
      </c>
      <c r="AI13" s="120">
        <f t="shared" si="13"/>
        <v>3451</v>
      </c>
      <c r="AJ13" s="120">
        <f t="shared" si="13"/>
        <v>7583</v>
      </c>
      <c r="AK13" s="120">
        <f t="shared" si="13"/>
        <v>6273</v>
      </c>
      <c r="AL13" s="120">
        <f t="shared" si="13"/>
        <v>5720</v>
      </c>
      <c r="AM13" s="120">
        <f t="shared" ref="AM13:AW13" si="14">SUM(AM6:AM12)</f>
        <v>5088</v>
      </c>
      <c r="AN13" s="120">
        <f t="shared" si="14"/>
        <v>11622</v>
      </c>
      <c r="AO13" s="120">
        <f t="shared" si="14"/>
        <v>8149</v>
      </c>
      <c r="AP13" s="120">
        <f t="shared" si="14"/>
        <v>10513</v>
      </c>
      <c r="AQ13" s="120">
        <f t="shared" si="14"/>
        <v>8543</v>
      </c>
      <c r="AR13" s="120">
        <f t="shared" si="14"/>
        <v>9381</v>
      </c>
      <c r="AS13" s="120">
        <f t="shared" si="14"/>
        <v>8661</v>
      </c>
      <c r="AT13" s="120">
        <f t="shared" si="14"/>
        <v>10518</v>
      </c>
      <c r="AU13" s="120">
        <f t="shared" si="14"/>
        <v>7861</v>
      </c>
      <c r="AV13" s="120">
        <f t="shared" si="14"/>
        <v>8247</v>
      </c>
      <c r="AW13" s="120">
        <f t="shared" si="14"/>
        <v>10927</v>
      </c>
      <c r="AX13" s="120">
        <f>SUM(AX6:AX12)</f>
        <v>12109</v>
      </c>
      <c r="AY13" s="120">
        <f>SUM(AY6:AY12)</f>
        <v>12987</v>
      </c>
      <c r="AZ13" s="120">
        <f>SUM(AZ6:AZ12)</f>
        <v>10471</v>
      </c>
      <c r="BA13" s="120">
        <f>SUM(BA6:BA12)</f>
        <v>7949</v>
      </c>
      <c r="BB13" s="120">
        <f>SUM(BB6:BB12)</f>
        <v>6941</v>
      </c>
    </row>
    <row r="14" spans="1:54" ht="15" customHeight="1" x14ac:dyDescent="0.2">
      <c r="A14" s="25" t="s">
        <v>154</v>
      </c>
      <c r="B14" s="25" t="s">
        <v>1057</v>
      </c>
      <c r="D14" s="129" t="str">
        <f>IF([1]RENAME!$H$3=1,B14,A14)</f>
        <v>Juros sobre financiamentos bancários</v>
      </c>
      <c r="E14" s="118">
        <v>-8186</v>
      </c>
      <c r="F14" s="118">
        <v>-10327</v>
      </c>
      <c r="G14" s="118">
        <v>-12267</v>
      </c>
      <c r="H14" s="118">
        <v>-14992</v>
      </c>
      <c r="I14" s="118">
        <v>-15045</v>
      </c>
      <c r="J14" s="118">
        <v>-14065</v>
      </c>
      <c r="K14" s="118">
        <v>-13415</v>
      </c>
      <c r="L14" s="118">
        <v>-13124</v>
      </c>
      <c r="M14" s="118">
        <v>-12308</v>
      </c>
      <c r="N14" s="118">
        <v>-12501</v>
      </c>
      <c r="O14" s="118">
        <v>-12758</v>
      </c>
      <c r="P14" s="118">
        <v>-11783</v>
      </c>
      <c r="Q14" s="118">
        <v>-8528</v>
      </c>
      <c r="R14" s="118">
        <v>-6348</v>
      </c>
      <c r="S14" s="118">
        <v>-7147</v>
      </c>
      <c r="T14" s="118">
        <v>-4690</v>
      </c>
      <c r="U14" s="118">
        <v>-3734</v>
      </c>
      <c r="V14" s="118">
        <v>-3010</v>
      </c>
      <c r="W14" s="118">
        <v>-2853</v>
      </c>
      <c r="X14" s="118">
        <v>-2740</v>
      </c>
      <c r="Y14" s="118">
        <v>-2270</v>
      </c>
      <c r="Z14" s="118">
        <v>-2422</v>
      </c>
      <c r="AA14" s="118">
        <v>-2391</v>
      </c>
      <c r="AB14" s="118">
        <v>-2102</v>
      </c>
      <c r="AC14" s="118">
        <v>-1828</v>
      </c>
      <c r="AD14" s="118">
        <v>-3020</v>
      </c>
      <c r="AE14" s="118">
        <v>-2674</v>
      </c>
      <c r="AF14" s="118">
        <v>-2312</v>
      </c>
      <c r="AG14" s="118">
        <v>-2312</v>
      </c>
      <c r="AH14" s="118">
        <v>-2177</v>
      </c>
      <c r="AI14" s="118">
        <v>-2577</v>
      </c>
      <c r="AJ14" s="118">
        <v>-3201</v>
      </c>
      <c r="AK14" s="118">
        <v>-3957</v>
      </c>
      <c r="AL14" s="118">
        <v>-2320</v>
      </c>
      <c r="AM14" s="118">
        <v>-2564</v>
      </c>
      <c r="AN14" s="118">
        <v>-2739</v>
      </c>
      <c r="AO14" s="118">
        <v>-3682</v>
      </c>
      <c r="AP14" s="118">
        <v>-3293</v>
      </c>
      <c r="AQ14" s="118">
        <v>-2518</v>
      </c>
      <c r="AR14" s="118">
        <v>-3127</v>
      </c>
      <c r="AS14" s="118">
        <v>-3111</v>
      </c>
      <c r="AT14" s="118">
        <v>-2960</v>
      </c>
      <c r="AU14" s="118">
        <v>-3222</v>
      </c>
      <c r="AV14" s="118">
        <v>-3186</v>
      </c>
      <c r="AW14" s="118">
        <v>-3523</v>
      </c>
      <c r="AX14" s="118">
        <v>-4047</v>
      </c>
      <c r="AY14" s="118">
        <v>-4167</v>
      </c>
      <c r="AZ14" s="118">
        <v>-3502</v>
      </c>
      <c r="BA14" s="118">
        <v>-4651</v>
      </c>
      <c r="BB14" s="118">
        <f>('[3]24 Resul. Fin. NL'!$N$18)-BA14</f>
        <v>-4673</v>
      </c>
    </row>
    <row r="15" spans="1:54" ht="15" customHeight="1" x14ac:dyDescent="0.2">
      <c r="A15" s="25" t="s">
        <v>157</v>
      </c>
      <c r="B15" s="25" t="s">
        <v>1058</v>
      </c>
      <c r="D15" s="129" t="str">
        <f>IF([1]RENAME!$H$3=1,B15,A15)</f>
        <v>Despesas bancárias</v>
      </c>
      <c r="E15" s="118">
        <v>-492</v>
      </c>
      <c r="F15" s="118">
        <v>-542</v>
      </c>
      <c r="G15" s="118">
        <v>-496</v>
      </c>
      <c r="H15" s="118">
        <v>-486</v>
      </c>
      <c r="I15" s="118">
        <v>-393</v>
      </c>
      <c r="J15" s="118">
        <v>-1004</v>
      </c>
      <c r="K15" s="118">
        <v>-346</v>
      </c>
      <c r="L15" s="118">
        <v>-341</v>
      </c>
      <c r="M15" s="118">
        <v>-306</v>
      </c>
      <c r="N15" s="118">
        <v>-314</v>
      </c>
      <c r="O15" s="118">
        <v>-334</v>
      </c>
      <c r="P15" s="118">
        <v>-313</v>
      </c>
      <c r="Q15" s="118">
        <v>-351</v>
      </c>
      <c r="R15" s="118">
        <v>-342</v>
      </c>
      <c r="S15" s="118">
        <v>-415</v>
      </c>
      <c r="T15" s="118">
        <v>-514</v>
      </c>
      <c r="U15" s="118">
        <v>-374</v>
      </c>
      <c r="V15" s="118">
        <v>-437</v>
      </c>
      <c r="W15" s="118">
        <v>-480</v>
      </c>
      <c r="X15" s="118">
        <v>-467</v>
      </c>
      <c r="Y15" s="118">
        <v>-416</v>
      </c>
      <c r="Z15" s="118">
        <v>-422</v>
      </c>
      <c r="AA15" s="118">
        <v>-442</v>
      </c>
      <c r="AB15" s="118">
        <v>-474</v>
      </c>
      <c r="AC15" s="118">
        <v>-328</v>
      </c>
      <c r="AD15" s="118">
        <v>-186</v>
      </c>
      <c r="AE15" s="118">
        <v>-344</v>
      </c>
      <c r="AF15" s="118">
        <v>-397</v>
      </c>
      <c r="AG15" s="118">
        <v>-361</v>
      </c>
      <c r="AH15" s="118">
        <v>-327</v>
      </c>
      <c r="AI15" s="118">
        <v>-322</v>
      </c>
      <c r="AJ15" s="118">
        <v>-413</v>
      </c>
      <c r="AK15" s="118">
        <v>-325</v>
      </c>
      <c r="AL15" s="118">
        <v>-335</v>
      </c>
      <c r="AM15" s="118">
        <v>-534</v>
      </c>
      <c r="AN15" s="118">
        <v>-407</v>
      </c>
      <c r="AO15" s="118">
        <v>-443</v>
      </c>
      <c r="AP15" s="118">
        <v>-456</v>
      </c>
      <c r="AQ15" s="118">
        <v>-508</v>
      </c>
      <c r="AR15" s="118">
        <v>-501</v>
      </c>
      <c r="AS15" s="118">
        <v>-418</v>
      </c>
      <c r="AT15" s="118">
        <v>-498</v>
      </c>
      <c r="AU15" s="118">
        <v>-596</v>
      </c>
      <c r="AV15" s="118">
        <v>-562</v>
      </c>
      <c r="AW15" s="118">
        <v>-416</v>
      </c>
      <c r="AX15" s="118">
        <v>-458</v>
      </c>
      <c r="AY15" s="118">
        <v>-515</v>
      </c>
      <c r="AZ15" s="118">
        <v>-503</v>
      </c>
      <c r="BA15" s="118">
        <v>-436</v>
      </c>
      <c r="BB15" s="118">
        <f>('[3]24 Resul. Fin. NL'!$N$19)-BA15</f>
        <v>-549</v>
      </c>
    </row>
    <row r="16" spans="1:54" ht="15" customHeight="1" x14ac:dyDescent="0.2">
      <c r="A16" s="25" t="s">
        <v>1428</v>
      </c>
      <c r="B16" s="25" t="s">
        <v>1431</v>
      </c>
      <c r="D16" s="129" t="str">
        <f>IF([1]RENAME!$H$3=1,B16,A16)</f>
        <v>Juros sobre arrendamento mercantil</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0</v>
      </c>
      <c r="X16" s="118">
        <v>0</v>
      </c>
      <c r="Y16" s="118">
        <v>-1307</v>
      </c>
      <c r="Z16" s="118">
        <v>-1616</v>
      </c>
      <c r="AA16" s="118">
        <v>-1718</v>
      </c>
      <c r="AB16" s="118">
        <v>-1799</v>
      </c>
      <c r="AC16" s="118">
        <v>-1573</v>
      </c>
      <c r="AD16" s="118">
        <v>-1492</v>
      </c>
      <c r="AE16" s="118">
        <v>-1260</v>
      </c>
      <c r="AF16" s="118">
        <v>-1126</v>
      </c>
      <c r="AG16" s="118">
        <v>-1511</v>
      </c>
      <c r="AH16" s="118">
        <v>-1165</v>
      </c>
      <c r="AI16" s="118">
        <v>-1256</v>
      </c>
      <c r="AJ16" s="118">
        <v>-1089</v>
      </c>
      <c r="AK16" s="118">
        <v>-1243</v>
      </c>
      <c r="AL16" s="118">
        <v>-1073</v>
      </c>
      <c r="AM16" s="118">
        <v>-1422</v>
      </c>
      <c r="AN16" s="118">
        <v>-1514</v>
      </c>
      <c r="AO16" s="118">
        <v>-1829</v>
      </c>
      <c r="AP16" s="118">
        <v>-2733</v>
      </c>
      <c r="AQ16" s="118">
        <v>-2518</v>
      </c>
      <c r="AR16" s="118">
        <v>-2492</v>
      </c>
      <c r="AS16" s="118">
        <v>-2389</v>
      </c>
      <c r="AT16" s="118">
        <v>-2352</v>
      </c>
      <c r="AU16" s="118">
        <v>-2229</v>
      </c>
      <c r="AV16" s="118">
        <v>-1867</v>
      </c>
      <c r="AW16" s="118">
        <v>-3118</v>
      </c>
      <c r="AX16" s="118">
        <v>-2944</v>
      </c>
      <c r="AY16" s="118">
        <v>-2986</v>
      </c>
      <c r="AZ16" s="118">
        <v>-2690</v>
      </c>
      <c r="BA16" s="118">
        <v>-2310</v>
      </c>
      <c r="BB16" s="118">
        <f>('[3]24 Resul. Fin. NL'!$N$21)-BA16</f>
        <v>-2587</v>
      </c>
    </row>
    <row r="17" spans="1:54" ht="15" customHeight="1" x14ac:dyDescent="0.2">
      <c r="A17" s="25" t="s">
        <v>155</v>
      </c>
      <c r="B17" s="25" t="s">
        <v>1059</v>
      </c>
      <c r="D17" s="319" t="str">
        <f>IF([1]RENAME!$H$3=1,B17,A17)</f>
        <v>Perdas cambiais</v>
      </c>
      <c r="E17" s="320">
        <v>0</v>
      </c>
      <c r="F17" s="320">
        <v>0</v>
      </c>
      <c r="G17" s="320">
        <v>-12358</v>
      </c>
      <c r="H17" s="320">
        <v>-201</v>
      </c>
      <c r="I17" s="320">
        <v>-244</v>
      </c>
      <c r="J17" s="320">
        <v>-294</v>
      </c>
      <c r="K17" s="320">
        <v>0</v>
      </c>
      <c r="L17" s="320">
        <v>-81</v>
      </c>
      <c r="M17" s="320">
        <v>-376</v>
      </c>
      <c r="N17" s="320">
        <v>-180</v>
      </c>
      <c r="O17" s="320">
        <v>-89</v>
      </c>
      <c r="P17" s="320">
        <v>0</v>
      </c>
      <c r="Q17" s="320">
        <v>-36</v>
      </c>
      <c r="R17" s="320">
        <v>-24</v>
      </c>
      <c r="S17" s="118">
        <v>-27</v>
      </c>
      <c r="T17" s="118">
        <v>0</v>
      </c>
      <c r="U17" s="118">
        <v>-18</v>
      </c>
      <c r="V17" s="118">
        <v>0</v>
      </c>
      <c r="W17" s="118">
        <v>-3944</v>
      </c>
      <c r="X17" s="118">
        <v>0</v>
      </c>
      <c r="Y17" s="118">
        <v>-1308</v>
      </c>
      <c r="Z17" s="118">
        <v>1308</v>
      </c>
      <c r="AA17" s="118">
        <v>-3968</v>
      </c>
      <c r="AB17" s="118">
        <v>1480</v>
      </c>
      <c r="AC17" s="118">
        <v>-15071</v>
      </c>
      <c r="AD17" s="118">
        <v>-3857</v>
      </c>
      <c r="AE17" s="118">
        <v>3121</v>
      </c>
      <c r="AF17" s="118">
        <v>-49</v>
      </c>
      <c r="AG17" s="118">
        <v>-15</v>
      </c>
      <c r="AH17" s="118">
        <v>-26</v>
      </c>
      <c r="AI17" s="118">
        <v>-40</v>
      </c>
      <c r="AJ17" s="118">
        <v>45</v>
      </c>
      <c r="AK17" s="118">
        <v>-228</v>
      </c>
      <c r="AL17" s="118">
        <v>-297</v>
      </c>
      <c r="AM17" s="118">
        <v>-14</v>
      </c>
      <c r="AN17" s="118">
        <v>-52</v>
      </c>
      <c r="AO17" s="118">
        <v>-311</v>
      </c>
      <c r="AP17" s="118">
        <v>-353</v>
      </c>
      <c r="AQ17" s="118">
        <v>2</v>
      </c>
      <c r="AR17" s="118">
        <v>-49</v>
      </c>
      <c r="AS17" s="118">
        <v>-74</v>
      </c>
      <c r="AT17" s="118">
        <v>3</v>
      </c>
      <c r="AU17" s="118">
        <v>71</v>
      </c>
      <c r="AV17" s="118">
        <v>0</v>
      </c>
      <c r="AW17" s="118">
        <v>-211</v>
      </c>
      <c r="AX17" s="118">
        <v>-263</v>
      </c>
      <c r="AY17" s="118">
        <v>-566</v>
      </c>
      <c r="AZ17" s="118">
        <v>186</v>
      </c>
      <c r="BA17" s="118">
        <v>-579</v>
      </c>
      <c r="BB17" s="118">
        <f>('[3]24 Resul. Fin. NL'!$N$20)-BA17</f>
        <v>-63</v>
      </c>
    </row>
    <row r="18" spans="1:54" ht="15" customHeight="1" x14ac:dyDescent="0.2">
      <c r="A18" s="25" t="s">
        <v>158</v>
      </c>
      <c r="B18" s="25" t="s">
        <v>1060</v>
      </c>
      <c r="D18" s="129" t="str">
        <f>IF([1]RENAME!$H$3=1,B18,A18)</f>
        <v>Juros passivos</v>
      </c>
      <c r="E18" s="118">
        <v>44</v>
      </c>
      <c r="F18" s="118">
        <v>-91</v>
      </c>
      <c r="G18" s="118">
        <v>-556</v>
      </c>
      <c r="H18" s="118">
        <v>-812</v>
      </c>
      <c r="I18" s="118">
        <v>-439</v>
      </c>
      <c r="J18" s="118">
        <v>-819</v>
      </c>
      <c r="K18" s="118">
        <v>-648</v>
      </c>
      <c r="L18" s="118">
        <v>-713</v>
      </c>
      <c r="M18" s="118">
        <v>-582</v>
      </c>
      <c r="N18" s="118">
        <v>-539</v>
      </c>
      <c r="O18" s="118">
        <v>-782</v>
      </c>
      <c r="P18" s="118">
        <v>-621</v>
      </c>
      <c r="Q18" s="118">
        <v>-336</v>
      </c>
      <c r="R18" s="118">
        <v>-655</v>
      </c>
      <c r="S18" s="118">
        <v>-449</v>
      </c>
      <c r="T18" s="118">
        <v>485</v>
      </c>
      <c r="U18" s="118">
        <v>-221</v>
      </c>
      <c r="V18" s="118">
        <v>-183</v>
      </c>
      <c r="W18" s="260">
        <v>-2215</v>
      </c>
      <c r="X18" s="118">
        <v>-287</v>
      </c>
      <c r="Y18" s="118">
        <v>-140</v>
      </c>
      <c r="Z18" s="118">
        <v>-207</v>
      </c>
      <c r="AA18" s="118">
        <v>-130</v>
      </c>
      <c r="AB18" s="118">
        <v>-1192</v>
      </c>
      <c r="AC18" s="118">
        <v>-99</v>
      </c>
      <c r="AD18" s="118">
        <v>-36</v>
      </c>
      <c r="AE18" s="118">
        <v>-43</v>
      </c>
      <c r="AF18" s="118">
        <v>-46</v>
      </c>
      <c r="AG18" s="118">
        <v>-147</v>
      </c>
      <c r="AH18" s="118">
        <v>-29</v>
      </c>
      <c r="AI18" s="118">
        <v>-16</v>
      </c>
      <c r="AJ18" s="118">
        <v>-88</v>
      </c>
      <c r="AK18" s="118">
        <v>-36</v>
      </c>
      <c r="AL18" s="118">
        <v>-96</v>
      </c>
      <c r="AM18" s="118">
        <v>-106</v>
      </c>
      <c r="AN18" s="118">
        <v>961</v>
      </c>
      <c r="AO18" s="118">
        <v>-11</v>
      </c>
      <c r="AP18" s="118">
        <v>-26</v>
      </c>
      <c r="AQ18" s="118">
        <v>-36</v>
      </c>
      <c r="AR18" s="118">
        <v>-102</v>
      </c>
      <c r="AS18" s="118">
        <v>-89</v>
      </c>
      <c r="AT18" s="118">
        <v>-15</v>
      </c>
      <c r="AU18" s="118">
        <v>-81</v>
      </c>
      <c r="AV18" s="118">
        <v>-168</v>
      </c>
      <c r="AW18" s="118">
        <v>-125</v>
      </c>
      <c r="AX18" s="118">
        <v>-37</v>
      </c>
      <c r="AY18" s="118">
        <v>-126</v>
      </c>
      <c r="AZ18" s="118">
        <v>-107</v>
      </c>
      <c r="BA18" s="118">
        <v>-169</v>
      </c>
      <c r="BB18" s="118">
        <f>('[3]24 Resul. Fin. NL'!$N$23)-BA18</f>
        <v>-111</v>
      </c>
    </row>
    <row r="19" spans="1:54" ht="15" customHeight="1" x14ac:dyDescent="0.25">
      <c r="A19" s="743" t="s">
        <v>1938</v>
      </c>
      <c r="B19" s="743" t="s">
        <v>1939</v>
      </c>
      <c r="C19" s="249"/>
      <c r="D19" s="319" t="str">
        <f>IF([1]RENAME!$H$3=1,B19,A19)</f>
        <v>Atualização monetária INSS FAP</v>
      </c>
      <c r="E19" s="118">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18">
        <v>0</v>
      </c>
      <c r="AD19" s="118">
        <v>0</v>
      </c>
      <c r="AE19" s="118">
        <v>0</v>
      </c>
      <c r="AF19" s="118">
        <v>0</v>
      </c>
      <c r="AG19" s="118">
        <v>0</v>
      </c>
      <c r="AH19" s="118">
        <v>0</v>
      </c>
      <c r="AI19" s="118">
        <v>0</v>
      </c>
      <c r="AJ19" s="118">
        <v>-3546</v>
      </c>
      <c r="AK19" s="118">
        <v>-739</v>
      </c>
      <c r="AL19" s="118">
        <v>-255</v>
      </c>
      <c r="AM19" s="118">
        <v>-219</v>
      </c>
      <c r="AN19" s="118">
        <v>-180</v>
      </c>
      <c r="AO19" s="118">
        <v>-213</v>
      </c>
      <c r="AP19" s="118">
        <v>-215</v>
      </c>
      <c r="AQ19" s="118">
        <v>-29</v>
      </c>
      <c r="AR19" s="118">
        <v>-509</v>
      </c>
      <c r="AS19" s="118">
        <v>-178</v>
      </c>
      <c r="AT19" s="118">
        <v>-170</v>
      </c>
      <c r="AU19" s="118">
        <v>-177</v>
      </c>
      <c r="AV19" s="118">
        <v>-659</v>
      </c>
      <c r="AW19" s="118">
        <v>-624</v>
      </c>
      <c r="AX19" s="118">
        <v>-647</v>
      </c>
      <c r="AY19" s="118">
        <v>-590</v>
      </c>
      <c r="AZ19" s="118">
        <v>-319</v>
      </c>
      <c r="BA19" s="118">
        <v>-144</v>
      </c>
      <c r="BB19" s="118">
        <f>('[3]24 Resul. Fin. NL'!$N$22)-BA19</f>
        <v>-199</v>
      </c>
    </row>
    <row r="20" spans="1:54" ht="15" customHeight="1" x14ac:dyDescent="0.2">
      <c r="A20" s="25" t="s">
        <v>387</v>
      </c>
      <c r="B20" s="25" t="s">
        <v>1062</v>
      </c>
      <c r="D20" s="129" t="str">
        <f>IF([1]RENAME!$H$3=1,B20,A20)</f>
        <v>Outras despesas financeiras</v>
      </c>
      <c r="E20" s="118">
        <v>-29</v>
      </c>
      <c r="F20" s="118">
        <v>2</v>
      </c>
      <c r="G20" s="118">
        <v>-97</v>
      </c>
      <c r="H20" s="118">
        <v>-3454</v>
      </c>
      <c r="I20" s="118">
        <v>-33</v>
      </c>
      <c r="J20" s="118">
        <v>-10</v>
      </c>
      <c r="K20" s="118">
        <v>-305</v>
      </c>
      <c r="L20" s="118">
        <v>-5183</v>
      </c>
      <c r="M20" s="118">
        <v>-2635</v>
      </c>
      <c r="N20" s="118">
        <v>-373</v>
      </c>
      <c r="O20" s="118">
        <v>-4986</v>
      </c>
      <c r="P20" s="118">
        <v>-434</v>
      </c>
      <c r="Q20" s="118">
        <v>-324</v>
      </c>
      <c r="R20" s="118">
        <v>-718</v>
      </c>
      <c r="S20" s="118">
        <v>-625</v>
      </c>
      <c r="T20" s="118">
        <v>-522</v>
      </c>
      <c r="U20" s="118">
        <v>-194</v>
      </c>
      <c r="V20" s="118">
        <v>-156</v>
      </c>
      <c r="W20" s="118">
        <v>-905</v>
      </c>
      <c r="X20" s="118">
        <v>-163</v>
      </c>
      <c r="Y20" s="118">
        <v>-253</v>
      </c>
      <c r="Z20" s="118">
        <v>-49</v>
      </c>
      <c r="AA20" s="260">
        <v>-1810</v>
      </c>
      <c r="AB20" s="320">
        <v>-185</v>
      </c>
      <c r="AC20" s="320">
        <v>-158</v>
      </c>
      <c r="AD20" s="320">
        <v>-276</v>
      </c>
      <c r="AE20" s="320">
        <v>-96</v>
      </c>
      <c r="AF20" s="320">
        <v>-89</v>
      </c>
      <c r="AG20" s="320">
        <v>-71</v>
      </c>
      <c r="AH20" s="320">
        <v>-259</v>
      </c>
      <c r="AI20" s="320">
        <v>-136</v>
      </c>
      <c r="AJ20" s="320">
        <v>-244</v>
      </c>
      <c r="AK20" s="320">
        <v>-286</v>
      </c>
      <c r="AL20" s="320">
        <v>-1180</v>
      </c>
      <c r="AM20" s="320">
        <v>-282</v>
      </c>
      <c r="AN20" s="320">
        <v>-548</v>
      </c>
      <c r="AO20" s="320">
        <v>-381</v>
      </c>
      <c r="AP20" s="320">
        <v>-504</v>
      </c>
      <c r="AQ20" s="118">
        <v>-419</v>
      </c>
      <c r="AR20" s="118">
        <v>-391</v>
      </c>
      <c r="AS20" s="118">
        <v>-363</v>
      </c>
      <c r="AT20" s="118">
        <v>-468</v>
      </c>
      <c r="AU20" s="118">
        <v>-410</v>
      </c>
      <c r="AV20" s="118">
        <v>-344</v>
      </c>
      <c r="AW20" s="118">
        <v>-559</v>
      </c>
      <c r="AX20" s="118">
        <v>-452</v>
      </c>
      <c r="AY20" s="118">
        <v>-730</v>
      </c>
      <c r="AZ20" s="118">
        <v>-966</v>
      </c>
      <c r="BA20" s="118">
        <v>-782</v>
      </c>
      <c r="BB20" s="118">
        <f>('[3]24 Resul. Fin. NL'!$N$24)-BA20</f>
        <v>-82</v>
      </c>
    </row>
    <row r="21" spans="1:54" ht="15" customHeight="1" x14ac:dyDescent="0.2">
      <c r="A21" s="25" t="s">
        <v>156</v>
      </c>
      <c r="B21" s="25" t="s">
        <v>1061</v>
      </c>
      <c r="D21" s="129" t="str">
        <f>IF([1]RENAME!$H$3=1,B21,A21)</f>
        <v>Resultado negativo de operação de Swap</v>
      </c>
      <c r="E21" s="118">
        <v>-3215</v>
      </c>
      <c r="F21" s="118">
        <v>-2761</v>
      </c>
      <c r="G21" s="118">
        <v>0</v>
      </c>
      <c r="H21" s="118">
        <v>-2558</v>
      </c>
      <c r="I21" s="118">
        <v>-484</v>
      </c>
      <c r="J21" s="118">
        <v>0</v>
      </c>
      <c r="K21" s="118">
        <v>0</v>
      </c>
      <c r="L21" s="118">
        <v>0</v>
      </c>
      <c r="M21" s="118">
        <v>0</v>
      </c>
      <c r="N21" s="118">
        <v>0</v>
      </c>
      <c r="O21" s="118">
        <v>0</v>
      </c>
      <c r="P21" s="118">
        <v>0</v>
      </c>
      <c r="Q21" s="118">
        <v>0</v>
      </c>
      <c r="R21" s="118">
        <v>0</v>
      </c>
      <c r="S21" s="118">
        <v>0</v>
      </c>
      <c r="T21" s="118">
        <v>0</v>
      </c>
      <c r="U21" s="118">
        <v>0</v>
      </c>
      <c r="V21" s="118">
        <v>0</v>
      </c>
      <c r="W21" s="118">
        <v>0</v>
      </c>
      <c r="X21" s="118">
        <v>-2034</v>
      </c>
      <c r="Y21" s="118">
        <v>0</v>
      </c>
      <c r="Z21" s="118">
        <v>-641</v>
      </c>
      <c r="AA21" s="260">
        <v>641</v>
      </c>
      <c r="AB21" s="320">
        <v>0</v>
      </c>
      <c r="AC21" s="320">
        <v>0</v>
      </c>
      <c r="AD21" s="320">
        <v>0</v>
      </c>
      <c r="AE21" s="320">
        <v>0</v>
      </c>
      <c r="AF21" s="320">
        <v>0</v>
      </c>
      <c r="AG21" s="320">
        <v>0</v>
      </c>
      <c r="AH21" s="320">
        <v>0</v>
      </c>
      <c r="AI21" s="320">
        <v>0</v>
      </c>
      <c r="AJ21" s="320">
        <v>0</v>
      </c>
      <c r="AK21" s="320">
        <v>0</v>
      </c>
      <c r="AL21" s="320">
        <v>0</v>
      </c>
      <c r="AM21" s="320">
        <v>0</v>
      </c>
      <c r="AN21" s="320">
        <v>0</v>
      </c>
      <c r="AO21" s="320">
        <v>0</v>
      </c>
      <c r="AP21" s="320">
        <v>0</v>
      </c>
      <c r="AQ21" s="118">
        <v>0</v>
      </c>
      <c r="AR21" s="118">
        <v>0</v>
      </c>
      <c r="AS21" s="118">
        <v>0</v>
      </c>
      <c r="AT21" s="118"/>
      <c r="AU21" s="118"/>
      <c r="AV21" s="118"/>
      <c r="AW21" s="118"/>
      <c r="AX21" s="118">
        <v>0</v>
      </c>
      <c r="AY21" s="118">
        <v>0</v>
      </c>
      <c r="AZ21" s="118">
        <v>0</v>
      </c>
      <c r="BA21" s="118">
        <v>0</v>
      </c>
      <c r="BB21" s="118">
        <f>+'[3]24 Resul. Fin. NL'!$N$17</f>
        <v>-8</v>
      </c>
    </row>
    <row r="22" spans="1:54" ht="15" customHeight="1" outlineLevel="1" x14ac:dyDescent="0.2">
      <c r="A22" s="249" t="s">
        <v>1248</v>
      </c>
      <c r="B22" s="249" t="s">
        <v>1251</v>
      </c>
      <c r="C22" s="249"/>
      <c r="D22" s="250" t="str">
        <f>IF([1]RENAME!$H$3=1,B22,A22)</f>
        <v>Juros parcelamento (REFIS)</v>
      </c>
      <c r="E22" s="218">
        <v>0</v>
      </c>
      <c r="F22" s="218">
        <v>0</v>
      </c>
      <c r="G22" s="218">
        <v>0</v>
      </c>
      <c r="H22" s="218">
        <v>0</v>
      </c>
      <c r="I22" s="218">
        <v>0</v>
      </c>
      <c r="J22" s="218">
        <v>0</v>
      </c>
      <c r="K22" s="218">
        <v>0</v>
      </c>
      <c r="L22" s="218">
        <v>0</v>
      </c>
      <c r="M22" s="218">
        <v>0</v>
      </c>
      <c r="N22" s="218">
        <v>0</v>
      </c>
      <c r="O22" s="218">
        <v>0</v>
      </c>
      <c r="P22" s="218">
        <v>0</v>
      </c>
      <c r="Q22" s="218">
        <v>0</v>
      </c>
      <c r="R22" s="218">
        <v>0</v>
      </c>
      <c r="S22" s="218">
        <v>0</v>
      </c>
      <c r="T22" s="218">
        <v>-186</v>
      </c>
      <c r="U22" s="218">
        <v>0</v>
      </c>
      <c r="V22" s="218">
        <v>0</v>
      </c>
      <c r="W22" s="218">
        <v>0</v>
      </c>
      <c r="X22" s="218">
        <v>0</v>
      </c>
      <c r="Y22" s="218">
        <v>0</v>
      </c>
      <c r="Z22" s="218"/>
      <c r="AA22" s="218">
        <v>0</v>
      </c>
      <c r="AB22" s="218">
        <v>0</v>
      </c>
      <c r="AC22" s="218">
        <v>0</v>
      </c>
      <c r="AD22" s="218">
        <v>0</v>
      </c>
      <c r="AE22" s="218">
        <v>0</v>
      </c>
      <c r="AF22" s="218">
        <v>0</v>
      </c>
      <c r="AG22" s="218">
        <v>0</v>
      </c>
      <c r="AH22" s="218">
        <v>0</v>
      </c>
      <c r="AI22" s="218">
        <v>0</v>
      </c>
      <c r="AJ22" s="218"/>
      <c r="AK22" s="218">
        <v>0</v>
      </c>
      <c r="AL22" s="218">
        <v>0</v>
      </c>
      <c r="AM22" s="218">
        <v>0</v>
      </c>
      <c r="AN22" s="218">
        <v>0</v>
      </c>
      <c r="AO22" s="218">
        <v>0</v>
      </c>
      <c r="AP22" s="218">
        <v>0</v>
      </c>
      <c r="AQ22" s="218">
        <v>0</v>
      </c>
      <c r="AR22" s="218">
        <v>0</v>
      </c>
      <c r="AS22" s="218">
        <v>0</v>
      </c>
      <c r="AT22" s="218"/>
      <c r="AU22" s="218"/>
      <c r="AV22" s="218"/>
      <c r="AW22" s="218"/>
      <c r="AX22" s="218">
        <v>0</v>
      </c>
      <c r="AY22" s="218">
        <v>0</v>
      </c>
      <c r="AZ22" s="218">
        <v>0</v>
      </c>
      <c r="BA22" s="218">
        <v>0</v>
      </c>
      <c r="BB22" s="218">
        <v>0</v>
      </c>
    </row>
    <row r="23" spans="1:54" ht="15" customHeight="1" x14ac:dyDescent="0.2">
      <c r="A23" s="25" t="s">
        <v>159</v>
      </c>
      <c r="B23" s="25" t="s">
        <v>1063</v>
      </c>
      <c r="D23" s="126" t="str">
        <f>IF([1]RENAME!$H$3=1,B23,A23)</f>
        <v>Despesas  financeiras</v>
      </c>
      <c r="E23" s="120">
        <f t="shared" ref="E23:AJ23" si="15">SUM(E14:E22)</f>
        <v>-11878</v>
      </c>
      <c r="F23" s="120">
        <f t="shared" si="15"/>
        <v>-13719</v>
      </c>
      <c r="G23" s="120">
        <f t="shared" si="15"/>
        <v>-25774</v>
      </c>
      <c r="H23" s="120">
        <f t="shared" si="15"/>
        <v>-22503</v>
      </c>
      <c r="I23" s="120">
        <f t="shared" si="15"/>
        <v>-16638</v>
      </c>
      <c r="J23" s="120">
        <f t="shared" si="15"/>
        <v>-16192</v>
      </c>
      <c r="K23" s="120">
        <f t="shared" si="15"/>
        <v>-14714</v>
      </c>
      <c r="L23" s="120">
        <f t="shared" si="15"/>
        <v>-19442</v>
      </c>
      <c r="M23" s="120">
        <f t="shared" si="15"/>
        <v>-16207</v>
      </c>
      <c r="N23" s="120">
        <f t="shared" si="15"/>
        <v>-13907</v>
      </c>
      <c r="O23" s="120">
        <f t="shared" si="15"/>
        <v>-18949</v>
      </c>
      <c r="P23" s="120">
        <f t="shared" si="15"/>
        <v>-13151</v>
      </c>
      <c r="Q23" s="120">
        <f t="shared" si="15"/>
        <v>-9575</v>
      </c>
      <c r="R23" s="120">
        <f t="shared" si="15"/>
        <v>-8087</v>
      </c>
      <c r="S23" s="120">
        <f t="shared" si="15"/>
        <v>-8663</v>
      </c>
      <c r="T23" s="120">
        <f t="shared" si="15"/>
        <v>-5427</v>
      </c>
      <c r="U23" s="120">
        <f t="shared" si="15"/>
        <v>-4541</v>
      </c>
      <c r="V23" s="120">
        <f t="shared" si="15"/>
        <v>-3786</v>
      </c>
      <c r="W23" s="120">
        <f t="shared" si="15"/>
        <v>-10397</v>
      </c>
      <c r="X23" s="120">
        <f t="shared" si="15"/>
        <v>-5691</v>
      </c>
      <c r="Y23" s="120">
        <f t="shared" si="15"/>
        <v>-5694</v>
      </c>
      <c r="Z23" s="120">
        <f t="shared" si="15"/>
        <v>-4049</v>
      </c>
      <c r="AA23" s="120">
        <f t="shared" si="15"/>
        <v>-9818</v>
      </c>
      <c r="AB23" s="120">
        <f t="shared" si="15"/>
        <v>-4272</v>
      </c>
      <c r="AC23" s="120">
        <f t="shared" si="15"/>
        <v>-19057</v>
      </c>
      <c r="AD23" s="120">
        <f t="shared" si="15"/>
        <v>-8867</v>
      </c>
      <c r="AE23" s="120">
        <f t="shared" si="15"/>
        <v>-1296</v>
      </c>
      <c r="AF23" s="120">
        <f t="shared" si="15"/>
        <v>-4019</v>
      </c>
      <c r="AG23" s="120">
        <f t="shared" si="15"/>
        <v>-4417</v>
      </c>
      <c r="AH23" s="120">
        <f t="shared" si="15"/>
        <v>-3983</v>
      </c>
      <c r="AI23" s="120">
        <f t="shared" si="15"/>
        <v>-4347</v>
      </c>
      <c r="AJ23" s="120">
        <f t="shared" si="15"/>
        <v>-8536</v>
      </c>
      <c r="AK23" s="120">
        <f>SUM(AK14:AK22)</f>
        <v>-6814</v>
      </c>
      <c r="AL23" s="120">
        <f t="shared" ref="AL23:BB23" si="16">SUM(AL14:AL22)</f>
        <v>-5556</v>
      </c>
      <c r="AM23" s="120">
        <f t="shared" si="16"/>
        <v>-5141</v>
      </c>
      <c r="AN23" s="120">
        <f t="shared" si="16"/>
        <v>-4479</v>
      </c>
      <c r="AO23" s="120">
        <f t="shared" si="16"/>
        <v>-6870</v>
      </c>
      <c r="AP23" s="120">
        <f t="shared" si="16"/>
        <v>-7580</v>
      </c>
      <c r="AQ23" s="120">
        <f t="shared" si="16"/>
        <v>-6026</v>
      </c>
      <c r="AR23" s="120">
        <f t="shared" si="16"/>
        <v>-7171</v>
      </c>
      <c r="AS23" s="120">
        <f t="shared" si="16"/>
        <v>-6622</v>
      </c>
      <c r="AT23" s="120">
        <f t="shared" si="16"/>
        <v>-6460</v>
      </c>
      <c r="AU23" s="120">
        <f t="shared" si="16"/>
        <v>-6644</v>
      </c>
      <c r="AV23" s="120">
        <f t="shared" si="16"/>
        <v>-6786</v>
      </c>
      <c r="AW23" s="120">
        <f t="shared" si="16"/>
        <v>-8576</v>
      </c>
      <c r="AX23" s="120">
        <f t="shared" si="16"/>
        <v>-8848</v>
      </c>
      <c r="AY23" s="120">
        <f t="shared" si="16"/>
        <v>-9680</v>
      </c>
      <c r="AZ23" s="120">
        <f t="shared" si="16"/>
        <v>-7901</v>
      </c>
      <c r="BA23" s="120">
        <f t="shared" si="16"/>
        <v>-9071</v>
      </c>
      <c r="BB23" s="120">
        <f t="shared" si="16"/>
        <v>-8272</v>
      </c>
    </row>
    <row r="24" spans="1:54" ht="15" customHeight="1" x14ac:dyDescent="0.2">
      <c r="A24" s="25" t="s">
        <v>331</v>
      </c>
      <c r="B24" s="25" t="s">
        <v>1064</v>
      </c>
      <c r="D24" s="126" t="str">
        <f>IF([1]RENAME!$H$3=1,B24,A24)</f>
        <v>Resultado financeiro</v>
      </c>
      <c r="E24" s="120">
        <f t="shared" ref="E24:AL24" si="17">E23+E13</f>
        <v>-6096</v>
      </c>
      <c r="F24" s="120">
        <f t="shared" si="17"/>
        <v>-8050</v>
      </c>
      <c r="G24" s="120">
        <f t="shared" si="17"/>
        <v>-10474</v>
      </c>
      <c r="H24" s="120">
        <f t="shared" si="17"/>
        <v>-14224</v>
      </c>
      <c r="I24" s="120">
        <f t="shared" si="17"/>
        <v>-7678</v>
      </c>
      <c r="J24" s="120">
        <f t="shared" si="17"/>
        <v>-5199</v>
      </c>
      <c r="K24" s="120">
        <f t="shared" si="17"/>
        <v>-8493</v>
      </c>
      <c r="L24" s="120">
        <f t="shared" si="17"/>
        <v>-11585</v>
      </c>
      <c r="M24" s="120">
        <f t="shared" si="17"/>
        <v>-8795</v>
      </c>
      <c r="N24" s="120">
        <f t="shared" si="17"/>
        <v>-6205</v>
      </c>
      <c r="O24" s="120">
        <f t="shared" si="17"/>
        <v>-11073</v>
      </c>
      <c r="P24" s="120">
        <f t="shared" si="17"/>
        <v>-3804</v>
      </c>
      <c r="Q24" s="120">
        <f t="shared" si="17"/>
        <v>-4287</v>
      </c>
      <c r="R24" s="120">
        <f t="shared" si="17"/>
        <v>3567</v>
      </c>
      <c r="S24" s="120">
        <f t="shared" si="17"/>
        <v>-3114</v>
      </c>
      <c r="T24" s="120">
        <f t="shared" si="17"/>
        <v>8713</v>
      </c>
      <c r="U24" s="120">
        <f t="shared" si="17"/>
        <v>-1889</v>
      </c>
      <c r="V24" s="120">
        <f t="shared" si="17"/>
        <v>-826</v>
      </c>
      <c r="W24" s="120">
        <f t="shared" si="17"/>
        <v>-4991</v>
      </c>
      <c r="X24" s="120">
        <f t="shared" si="17"/>
        <v>-1414</v>
      </c>
      <c r="Y24" s="120">
        <f t="shared" si="17"/>
        <v>-1898</v>
      </c>
      <c r="Z24" s="120">
        <f t="shared" si="17"/>
        <v>-2688</v>
      </c>
      <c r="AA24" s="120">
        <f t="shared" si="17"/>
        <v>30529</v>
      </c>
      <c r="AB24" s="120">
        <f t="shared" si="17"/>
        <v>-3246</v>
      </c>
      <c r="AC24" s="120">
        <f t="shared" si="17"/>
        <v>-2007</v>
      </c>
      <c r="AD24" s="120">
        <f t="shared" si="17"/>
        <v>-2213</v>
      </c>
      <c r="AE24" s="120">
        <f t="shared" si="17"/>
        <v>-2785</v>
      </c>
      <c r="AF24" s="120">
        <f t="shared" si="17"/>
        <v>-2152</v>
      </c>
      <c r="AG24" s="120">
        <f t="shared" si="17"/>
        <v>-2894</v>
      </c>
      <c r="AH24" s="120">
        <f t="shared" si="17"/>
        <v>1720</v>
      </c>
      <c r="AI24" s="120">
        <f t="shared" si="17"/>
        <v>-896</v>
      </c>
      <c r="AJ24" s="120">
        <f t="shared" si="17"/>
        <v>-953</v>
      </c>
      <c r="AK24" s="120">
        <f t="shared" si="17"/>
        <v>-541</v>
      </c>
      <c r="AL24" s="120">
        <f t="shared" si="17"/>
        <v>164</v>
      </c>
      <c r="AM24" s="120">
        <f t="shared" ref="AM24:AS24" si="18">AM23+AM13</f>
        <v>-53</v>
      </c>
      <c r="AN24" s="120">
        <f t="shared" si="18"/>
        <v>7143</v>
      </c>
      <c r="AO24" s="120">
        <f t="shared" si="18"/>
        <v>1279</v>
      </c>
      <c r="AP24" s="120">
        <f t="shared" si="18"/>
        <v>2933</v>
      </c>
      <c r="AQ24" s="120">
        <f t="shared" si="18"/>
        <v>2517</v>
      </c>
      <c r="AR24" s="120">
        <f t="shared" si="18"/>
        <v>2210</v>
      </c>
      <c r="AS24" s="120">
        <f t="shared" si="18"/>
        <v>2039</v>
      </c>
      <c r="AT24" s="120">
        <f t="shared" ref="AT24:BB24" si="19">AT23+AT13</f>
        <v>4058</v>
      </c>
      <c r="AU24" s="120">
        <f t="shared" si="19"/>
        <v>1217</v>
      </c>
      <c r="AV24" s="120">
        <f t="shared" si="19"/>
        <v>1461</v>
      </c>
      <c r="AW24" s="120">
        <f t="shared" si="19"/>
        <v>2351</v>
      </c>
      <c r="AX24" s="120">
        <f t="shared" si="19"/>
        <v>3261</v>
      </c>
      <c r="AY24" s="120">
        <f t="shared" si="19"/>
        <v>3307</v>
      </c>
      <c r="AZ24" s="120">
        <f t="shared" si="19"/>
        <v>2570</v>
      </c>
      <c r="BA24" s="120">
        <f>BA23+BA13</f>
        <v>-1122</v>
      </c>
      <c r="BB24" s="120">
        <f t="shared" si="19"/>
        <v>-1331</v>
      </c>
    </row>
    <row r="25" spans="1:54" ht="15" customHeight="1" x14ac:dyDescent="0.2">
      <c r="D25" s="180"/>
      <c r="E25" s="772"/>
      <c r="F25" s="772"/>
      <c r="G25" s="772"/>
      <c r="H25" s="772"/>
      <c r="I25" s="772"/>
      <c r="J25" s="772"/>
      <c r="K25" s="772"/>
      <c r="L25" s="772"/>
      <c r="M25" s="772"/>
      <c r="N25" s="772"/>
      <c r="O25" s="772"/>
      <c r="P25" s="772"/>
      <c r="Q25" s="772"/>
      <c r="R25" s="771"/>
      <c r="S25" s="771"/>
      <c r="T25" s="833">
        <f>+DRE!AG21-T24</f>
        <v>3904.6183699999983</v>
      </c>
      <c r="U25" s="833">
        <f>+DRE!AH21-U24</f>
        <v>-0.45195000000057917</v>
      </c>
      <c r="V25" s="833">
        <f>+DRE!AI21-V24</f>
        <v>0.74929999999994834</v>
      </c>
      <c r="W25" s="833">
        <f>+DRE!AJ21-W24</f>
        <v>-0.25160999999934575</v>
      </c>
      <c r="X25" s="833">
        <f>+DRE!AK21-X24</f>
        <v>0.14075000000048021</v>
      </c>
      <c r="Y25" s="833">
        <f>+DRE!AL21-Y24</f>
        <v>0</v>
      </c>
      <c r="Z25" s="833">
        <f>+DRE!AM21-Z24</f>
        <v>0</v>
      </c>
      <c r="AA25" s="833">
        <f>+DRE!AN21-AA24</f>
        <v>0</v>
      </c>
      <c r="AB25" s="833">
        <f>+DRE!AO21-AB24</f>
        <v>0.45946999999978289</v>
      </c>
      <c r="AC25" s="833">
        <f>+DRE!AP21-AC24</f>
        <v>-0.30313999999998487</v>
      </c>
      <c r="AD25" s="833">
        <f>+DRE!AQ21-AD24</f>
        <v>0.25329000000238011</v>
      </c>
      <c r="AE25" s="833">
        <f>+DRE!AR21-AE24</f>
        <v>0.11339000000043598</v>
      </c>
      <c r="AF25" s="833">
        <f>+DRE!AS21-AF24</f>
        <v>-3.1480000000556174E-2</v>
      </c>
      <c r="AG25" s="833">
        <f>+DRE!AT21-AG24</f>
        <v>0.47916000000032</v>
      </c>
      <c r="AH25" s="833">
        <f>+DRE!AU21-AH24</f>
        <v>-0.42277999999987514</v>
      </c>
      <c r="AI25" s="833">
        <f>+DRE!AV21-AI24</f>
        <v>-9.4010000000253058E-2</v>
      </c>
      <c r="AJ25" s="833">
        <f>+DRE!AW21-AJ24</f>
        <v>0.62840999999934866</v>
      </c>
      <c r="AK25" s="833">
        <v>9.0949470177292824E-13</v>
      </c>
      <c r="AL25" s="833">
        <f>+DRE!AY21-AL24</f>
        <v>0.84838000000036118</v>
      </c>
      <c r="AM25" s="833">
        <f>+DRE!AZ21-AM24</f>
        <v>0.20974000000114756</v>
      </c>
      <c r="AN25" s="833">
        <f>+DRE!BA21-AN24</f>
        <v>0.27959999999984575</v>
      </c>
      <c r="AO25" s="833">
        <f>+DRE!BB21-AO24</f>
        <v>0.28911000000061904</v>
      </c>
      <c r="AP25" s="833">
        <f>+DRE!BC21-AP24</f>
        <v>2.794999999787251E-2</v>
      </c>
      <c r="AQ25" s="833">
        <f>+DRE!BD21-AQ24</f>
        <v>0.94306999999844265</v>
      </c>
      <c r="AR25" s="833">
        <f>+DRE!BE21-AR24</f>
        <v>-1.4882100000004357</v>
      </c>
      <c r="AS25" s="833">
        <f>+DRE!BF21-AS24</f>
        <v>0.73438000000078318</v>
      </c>
      <c r="AT25" s="833">
        <f>+DRE!BG21-AT24</f>
        <v>-1.4396699999997509</v>
      </c>
      <c r="AU25" s="833">
        <f>+DRE!BH21-AU24</f>
        <v>1.2220500000021275</v>
      </c>
      <c r="AV25" s="833">
        <f>+DRE!BI21-AV24</f>
        <v>-0.57879999999931897</v>
      </c>
      <c r="AW25" s="833">
        <f>+DRE!BJ21-AW24</f>
        <v>0.32704000000012456</v>
      </c>
      <c r="AX25" s="833">
        <f>+DRE!BK21-AX24</f>
        <v>-0.13969999999790161</v>
      </c>
      <c r="AY25" s="833">
        <f>+DRE!BL21-AY24</f>
        <v>-6.6659999994953978E-2</v>
      </c>
      <c r="AZ25" s="833">
        <f>+DRE!BM21-AZ24</f>
        <v>-1.1863700000012614</v>
      </c>
      <c r="BA25" s="833">
        <f>+DRE!BN21-BA24</f>
        <v>0.31525999999939813</v>
      </c>
      <c r="BB25" s="833">
        <f>+DRE!BO21-BB24</f>
        <v>-0.17119999999977153</v>
      </c>
    </row>
    <row r="26" spans="1:54" ht="12.75" x14ac:dyDescent="0.2">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row>
    <row r="27" spans="1:54" ht="15" customHeight="1" x14ac:dyDescent="0.2">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row>
    <row r="28" spans="1:54" ht="15" customHeight="1" x14ac:dyDescent="0.2">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row>
    <row r="29" spans="1:54" ht="15" customHeight="1" x14ac:dyDescent="0.2">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row>
    <row r="30" spans="1:54" ht="15" customHeight="1" x14ac:dyDescent="0.2">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row>
    <row r="31" spans="1:54" ht="15" customHeight="1" outlineLevel="1" x14ac:dyDescent="0.2">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row>
    <row r="32" spans="1:54" ht="15" customHeight="1" outlineLevel="1" x14ac:dyDescent="0.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row>
    <row r="33" spans="1:54" ht="15" customHeight="1" outlineLevel="1" x14ac:dyDescent="0.2">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row>
    <row r="34" spans="1:54" ht="15" customHeight="1" x14ac:dyDescent="0.2">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row>
    <row r="35" spans="1:54" ht="15" customHeight="1" x14ac:dyDescent="0.2">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row>
    <row r="36" spans="1:54" ht="15" customHeight="1" x14ac:dyDescent="0.2">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row>
    <row r="37" spans="1:54" ht="15" customHeight="1" x14ac:dyDescent="0.2">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row>
    <row r="38" spans="1:54" ht="15" customHeight="1" x14ac:dyDescent="0.2">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row>
    <row r="39" spans="1:54" ht="15" customHeight="1"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row>
    <row r="40" spans="1:54" ht="15" customHeight="1"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row>
    <row r="41" spans="1:54" ht="15" customHeight="1"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row>
    <row r="42" spans="1:54" ht="15" hidden="1" customHeight="1" outlineLevel="1"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row>
    <row r="43" spans="1:54" ht="15" hidden="1" customHeight="1" outlineLevel="1"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row>
    <row r="44" spans="1:54" ht="15" customHeight="1" collapsed="1"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row>
    <row r="45" spans="1:54" ht="15" customHeight="1"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row>
    <row r="46" spans="1:54" ht="15" customHeight="1" x14ac:dyDescent="0.2">
      <c r="E46" s="773"/>
      <c r="F46" s="773"/>
      <c r="G46" s="773"/>
      <c r="H46" s="773"/>
      <c r="I46" s="773"/>
      <c r="J46" s="773"/>
      <c r="K46" s="773"/>
      <c r="L46" s="773"/>
      <c r="M46" s="773"/>
      <c r="N46" s="773"/>
      <c r="O46" s="773"/>
      <c r="P46" s="773"/>
      <c r="Q46" s="773"/>
      <c r="R46" s="773"/>
      <c r="S46" s="773"/>
      <c r="T46" s="773"/>
      <c r="U46" s="773"/>
      <c r="V46" s="773"/>
      <c r="W46" s="773"/>
      <c r="X46" s="773"/>
      <c r="Y46" s="773"/>
      <c r="Z46" s="773"/>
      <c r="AA46" s="773"/>
      <c r="AB46" s="773"/>
      <c r="AC46" s="773"/>
      <c r="AD46" s="773"/>
      <c r="AE46" s="773"/>
      <c r="AF46" s="773"/>
      <c r="AG46" s="773"/>
      <c r="AH46" s="773"/>
      <c r="AI46" s="773"/>
      <c r="AJ46" s="773"/>
      <c r="AK46" s="773"/>
      <c r="AL46" s="773"/>
      <c r="AM46" s="773"/>
      <c r="AN46" s="773"/>
      <c r="AO46" s="773"/>
      <c r="AP46" s="773"/>
      <c r="AQ46" s="773"/>
      <c r="AR46" s="773"/>
      <c r="AS46" s="773"/>
      <c r="AT46" s="773"/>
      <c r="AU46" s="773"/>
      <c r="AV46" s="773"/>
      <c r="AW46" s="773"/>
      <c r="AX46" s="773"/>
      <c r="AY46" s="773"/>
      <c r="AZ46" s="773"/>
      <c r="BA46" s="773"/>
      <c r="BB46" s="773"/>
    </row>
    <row r="47" spans="1:54" ht="25.5" customHeight="1"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row>
    <row r="48" spans="1:54" ht="15" customHeight="1"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row>
    <row r="49" customFormat="1" ht="15" customHeight="1" x14ac:dyDescent="0.2"/>
    <row r="50" customFormat="1" ht="15" customHeight="1" x14ac:dyDescent="0.2"/>
    <row r="51" customFormat="1" ht="15" customHeight="1" x14ac:dyDescent="0.2"/>
    <row r="52" customFormat="1" ht="15" hidden="1" customHeight="1" outlineLevel="1" x14ac:dyDescent="0.2"/>
    <row r="53" customFormat="1" ht="15" hidden="1" customHeight="1" outlineLevel="1" x14ac:dyDescent="0.2"/>
    <row r="54" customFormat="1" ht="15" hidden="1" customHeight="1" outlineLevel="1" x14ac:dyDescent="0.2"/>
    <row r="55" customFormat="1" ht="15" customHeight="1" collapsed="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hidden="1" customHeight="1" outlineLevel="1" x14ac:dyDescent="0.2"/>
    <row r="64" customFormat="1" ht="15" hidden="1" customHeight="1" outlineLevel="1" x14ac:dyDescent="0.2"/>
    <row r="65" spans="1:54" ht="15" customHeight="1" collapsed="1"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row>
    <row r="66" spans="1:54" ht="15" customHeight="1"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row>
    <row r="67" spans="1:54" ht="15" customHeight="1" x14ac:dyDescent="0.2">
      <c r="A67" s="766"/>
      <c r="B67" s="766"/>
      <c r="C67" s="766"/>
      <c r="D67" s="766"/>
      <c r="E67" s="766"/>
      <c r="F67" s="766"/>
      <c r="G67" s="766"/>
      <c r="H67" s="766"/>
      <c r="I67" s="766"/>
      <c r="J67" s="766"/>
      <c r="K67" s="766"/>
      <c r="L67" s="766"/>
      <c r="M67" s="766"/>
      <c r="N67" s="766"/>
      <c r="O67" s="766"/>
      <c r="P67" s="766"/>
      <c r="Q67" s="766"/>
      <c r="R67" s="766"/>
      <c r="S67" s="766"/>
      <c r="T67" s="766"/>
      <c r="U67" s="766"/>
      <c r="V67" s="766"/>
      <c r="W67" s="766"/>
      <c r="X67" s="766"/>
      <c r="Y67" s="766"/>
      <c r="Z67" s="766"/>
      <c r="AA67" s="766"/>
      <c r="AB67" s="766"/>
      <c r="AC67" s="766"/>
      <c r="AD67" s="766"/>
      <c r="AE67" s="766"/>
      <c r="AF67" s="766"/>
      <c r="AG67" s="766"/>
      <c r="AH67" s="766"/>
      <c r="AI67" s="766"/>
      <c r="AJ67" s="766"/>
      <c r="AK67" s="766"/>
      <c r="AL67" s="766"/>
      <c r="AM67" s="766"/>
      <c r="AN67" s="766"/>
      <c r="AO67" s="766"/>
      <c r="AP67" s="766"/>
      <c r="AQ67" s="766"/>
      <c r="AR67" s="766"/>
      <c r="AS67" s="766"/>
      <c r="AT67" s="766"/>
      <c r="AU67" s="766"/>
      <c r="AV67" s="766"/>
      <c r="AW67" s="766"/>
      <c r="AX67" s="766"/>
      <c r="AY67" s="766"/>
      <c r="AZ67" s="766"/>
      <c r="BA67" s="766"/>
      <c r="BB67" s="766"/>
    </row>
    <row r="68" spans="1:54" ht="15" customHeight="1" x14ac:dyDescent="0.2">
      <c r="A68" s="766"/>
      <c r="B68" s="766"/>
      <c r="C68" s="766"/>
      <c r="D68" s="766"/>
      <c r="E68" s="766"/>
      <c r="F68" s="766"/>
      <c r="G68" s="766"/>
      <c r="H68" s="766"/>
      <c r="I68" s="766"/>
      <c r="J68" s="766"/>
      <c r="K68" s="766"/>
      <c r="L68" s="766"/>
      <c r="M68" s="766"/>
      <c r="N68" s="766"/>
      <c r="O68" s="766"/>
      <c r="P68" s="766"/>
      <c r="Q68" s="766"/>
      <c r="R68" s="766"/>
      <c r="S68" s="766"/>
      <c r="T68" s="766"/>
      <c r="U68" s="766"/>
      <c r="V68" s="766"/>
      <c r="W68" s="766"/>
      <c r="X68" s="766"/>
      <c r="Y68" s="766"/>
      <c r="Z68" s="766"/>
      <c r="AA68" s="766"/>
      <c r="AB68" s="766"/>
      <c r="AC68" s="766"/>
      <c r="AD68" s="766"/>
      <c r="AE68" s="766"/>
      <c r="AF68" s="766"/>
      <c r="AG68" s="766"/>
      <c r="AH68" s="766"/>
      <c r="AI68" s="766"/>
      <c r="AJ68" s="766"/>
      <c r="AK68" s="766"/>
      <c r="AL68" s="766"/>
      <c r="AM68" s="766"/>
      <c r="AN68" s="766"/>
      <c r="AO68" s="766"/>
      <c r="AP68" s="766"/>
      <c r="AQ68" s="766"/>
      <c r="AR68" s="766"/>
      <c r="AS68" s="766"/>
      <c r="AT68" s="766"/>
      <c r="AU68" s="766"/>
      <c r="AV68" s="766"/>
      <c r="AW68" s="766"/>
      <c r="AX68" s="766"/>
      <c r="AY68" s="766"/>
      <c r="AZ68" s="766"/>
      <c r="BA68" s="766"/>
      <c r="BB68" s="766"/>
    </row>
    <row r="69" spans="1:54" ht="15" customHeight="1" x14ac:dyDescent="0.2">
      <c r="A69" s="552"/>
      <c r="B69" s="552"/>
      <c r="C69" s="552"/>
      <c r="D69" s="552"/>
      <c r="E69" s="552"/>
      <c r="F69" s="552"/>
      <c r="G69" s="552"/>
      <c r="H69" s="552"/>
      <c r="I69" s="840"/>
      <c r="J69" s="840"/>
      <c r="K69" s="840"/>
      <c r="L69" s="840"/>
      <c r="M69" s="840"/>
      <c r="N69" s="840"/>
      <c r="O69" s="840"/>
      <c r="P69" s="840"/>
      <c r="Q69" s="840"/>
      <c r="R69" s="840"/>
      <c r="S69" s="840"/>
      <c r="T69" s="840"/>
      <c r="U69" s="840"/>
      <c r="V69" s="840"/>
      <c r="W69" s="840"/>
      <c r="X69" s="840"/>
      <c r="Y69" s="841"/>
      <c r="Z69" s="841"/>
      <c r="AA69" s="841"/>
      <c r="AB69" s="841"/>
      <c r="AC69" s="841"/>
      <c r="AD69" s="841"/>
      <c r="AE69" s="841"/>
      <c r="AF69" s="841"/>
      <c r="AG69" s="841"/>
      <c r="AH69" s="841"/>
      <c r="AI69" s="841"/>
      <c r="AJ69" s="841"/>
      <c r="AK69" s="841"/>
      <c r="AL69" s="841"/>
      <c r="AM69" s="841"/>
      <c r="AN69" s="841"/>
      <c r="AO69" s="841"/>
      <c r="AP69" s="841"/>
      <c r="AQ69" s="841"/>
      <c r="AR69" s="841"/>
      <c r="AS69" s="841"/>
      <c r="AT69" s="841"/>
      <c r="AU69" s="841"/>
      <c r="AV69" s="841"/>
      <c r="AW69" s="841"/>
      <c r="AX69" s="841"/>
      <c r="AY69" s="841"/>
      <c r="AZ69" s="841"/>
      <c r="BA69" s="841"/>
      <c r="BB69" s="841"/>
    </row>
    <row r="70" spans="1:54" ht="15" customHeight="1" x14ac:dyDescent="0.2">
      <c r="A70" s="766"/>
      <c r="B70" s="766"/>
      <c r="C70" s="766"/>
      <c r="D70" s="766"/>
      <c r="E70" s="766"/>
      <c r="F70" s="766"/>
      <c r="G70" s="766"/>
      <c r="H70" s="766"/>
      <c r="I70" s="766"/>
      <c r="J70" s="766"/>
      <c r="K70" s="766"/>
      <c r="L70" s="766"/>
      <c r="M70" s="766"/>
      <c r="N70" s="766"/>
      <c r="O70" s="766"/>
      <c r="P70" s="766"/>
      <c r="Q70" s="766"/>
      <c r="R70" s="766"/>
      <c r="S70" s="766"/>
      <c r="T70" s="766"/>
      <c r="U70" s="766"/>
      <c r="V70" s="766"/>
      <c r="W70" s="766"/>
      <c r="X70" s="766"/>
      <c r="Y70" s="766"/>
      <c r="Z70" s="766"/>
      <c r="AA70" s="766"/>
      <c r="AB70" s="766"/>
      <c r="AC70" s="766"/>
      <c r="AD70" s="766"/>
      <c r="AE70" s="766"/>
      <c r="AF70" s="766"/>
      <c r="AG70" s="766"/>
      <c r="AH70" s="766"/>
      <c r="AI70" s="766"/>
      <c r="AJ70" s="766"/>
      <c r="AK70" s="766"/>
      <c r="AL70" s="766"/>
      <c r="AM70" s="766"/>
      <c r="AN70" s="766"/>
      <c r="AO70" s="766"/>
      <c r="AP70" s="766"/>
      <c r="AQ70" s="766"/>
      <c r="AR70" s="766"/>
      <c r="AS70" s="766"/>
      <c r="AT70" s="766"/>
      <c r="AU70" s="766"/>
      <c r="AV70" s="766"/>
      <c r="AW70" s="766"/>
      <c r="AX70" s="766"/>
      <c r="AY70" s="766"/>
      <c r="AZ70" s="766"/>
      <c r="BA70" s="766"/>
      <c r="BB70" s="766"/>
    </row>
    <row r="71" spans="1:54" ht="15" customHeight="1" x14ac:dyDescent="0.2">
      <c r="A71" s="766"/>
      <c r="B71" s="766"/>
      <c r="C71" s="766"/>
      <c r="D71" s="766"/>
      <c r="E71" s="766"/>
      <c r="F71" s="766"/>
      <c r="G71" s="766"/>
      <c r="H71" s="766"/>
      <c r="I71" s="766"/>
      <c r="J71" s="766"/>
      <c r="K71" s="766"/>
      <c r="L71" s="766"/>
      <c r="M71" s="766"/>
      <c r="N71" s="766"/>
      <c r="O71" s="766"/>
      <c r="P71" s="766"/>
      <c r="Q71" s="766"/>
      <c r="R71" s="766"/>
      <c r="S71" s="766"/>
      <c r="T71" s="766"/>
      <c r="U71" s="766"/>
      <c r="V71" s="766"/>
      <c r="W71" s="766"/>
      <c r="X71" s="766"/>
      <c r="Y71" s="766"/>
      <c r="Z71" s="766"/>
      <c r="AA71" s="766"/>
      <c r="AB71" s="766"/>
      <c r="AC71" s="766"/>
      <c r="AD71" s="766"/>
      <c r="AE71" s="766"/>
      <c r="AF71" s="766"/>
      <c r="AG71" s="766"/>
      <c r="AH71" s="766"/>
      <c r="AI71" s="766"/>
      <c r="AJ71" s="766"/>
      <c r="AK71" s="766"/>
      <c r="AL71" s="766"/>
      <c r="AM71" s="766"/>
      <c r="AN71" s="766"/>
      <c r="AO71" s="766"/>
      <c r="AP71" s="766"/>
      <c r="AQ71" s="766"/>
      <c r="AR71" s="766"/>
      <c r="AS71" s="766"/>
      <c r="AT71" s="766"/>
      <c r="AU71" s="766"/>
      <c r="AV71" s="766"/>
      <c r="AW71" s="766"/>
      <c r="AX71" s="766"/>
      <c r="AY71" s="766"/>
      <c r="AZ71" s="766"/>
      <c r="BA71" s="766"/>
      <c r="BB71" s="766"/>
    </row>
    <row r="72" spans="1:54" ht="15" customHeight="1" x14ac:dyDescent="0.2">
      <c r="A72" s="766"/>
      <c r="B72" s="766"/>
      <c r="C72" s="766"/>
      <c r="D72" s="766"/>
      <c r="E72" s="766"/>
      <c r="F72" s="766"/>
      <c r="G72" s="766"/>
      <c r="H72" s="766"/>
      <c r="I72" s="766"/>
      <c r="J72" s="766"/>
      <c r="K72" s="766"/>
      <c r="L72" s="766"/>
      <c r="M72" s="766"/>
      <c r="N72" s="766"/>
      <c r="O72" s="766"/>
      <c r="P72" s="766"/>
      <c r="Q72" s="766"/>
      <c r="R72" s="766"/>
      <c r="S72" s="766"/>
      <c r="T72" s="766"/>
      <c r="U72" s="766"/>
      <c r="V72" s="766"/>
      <c r="W72" s="766"/>
      <c r="X72" s="766"/>
      <c r="Y72" s="766"/>
      <c r="Z72" s="766"/>
      <c r="AA72" s="766"/>
      <c r="AB72" s="766"/>
      <c r="AC72" s="766"/>
      <c r="AD72" s="766"/>
      <c r="AE72" s="766"/>
      <c r="AF72" s="766"/>
      <c r="AG72" s="766"/>
      <c r="AH72" s="766"/>
      <c r="AI72" s="766"/>
      <c r="AJ72" s="766"/>
      <c r="AK72" s="766"/>
      <c r="AL72" s="766"/>
      <c r="AM72" s="766"/>
      <c r="AN72" s="766"/>
      <c r="AO72" s="766"/>
      <c r="AP72" s="766"/>
      <c r="AQ72" s="766"/>
      <c r="AR72" s="766"/>
      <c r="AS72" s="766"/>
      <c r="AT72" s="766"/>
      <c r="AU72" s="766"/>
      <c r="AV72" s="766"/>
      <c r="AW72" s="766"/>
      <c r="AX72" s="766"/>
      <c r="AY72" s="766"/>
      <c r="AZ72" s="766"/>
      <c r="BA72" s="766"/>
      <c r="BB72" s="766"/>
    </row>
    <row r="73" spans="1:54" ht="15" customHeight="1" x14ac:dyDescent="0.2">
      <c r="A73" s="766"/>
      <c r="B73" s="766"/>
      <c r="C73" s="766"/>
      <c r="D73" s="766"/>
      <c r="E73" s="766"/>
      <c r="F73" s="766"/>
      <c r="G73" s="766"/>
      <c r="H73" s="766"/>
      <c r="I73" s="766"/>
      <c r="J73" s="766"/>
      <c r="K73" s="766"/>
      <c r="L73" s="766"/>
      <c r="M73" s="766"/>
      <c r="N73" s="766"/>
      <c r="O73" s="766"/>
      <c r="P73" s="766"/>
      <c r="Q73" s="766"/>
      <c r="R73" s="766"/>
      <c r="S73" s="766"/>
      <c r="T73" s="766"/>
      <c r="U73" s="766"/>
      <c r="V73" s="766"/>
      <c r="W73" s="766"/>
      <c r="X73" s="766"/>
      <c r="Y73" s="766"/>
      <c r="Z73" s="766"/>
      <c r="AA73" s="766"/>
      <c r="AB73" s="766"/>
      <c r="AC73" s="766"/>
      <c r="AD73" s="766"/>
      <c r="AE73" s="766"/>
      <c r="AF73" s="766"/>
      <c r="AG73" s="766"/>
      <c r="AH73" s="766"/>
      <c r="AI73" s="766"/>
      <c r="AJ73" s="766"/>
      <c r="AK73" s="766"/>
      <c r="AL73" s="766"/>
      <c r="AM73" s="766"/>
      <c r="AN73" s="766"/>
      <c r="AO73" s="766"/>
      <c r="AP73" s="766"/>
      <c r="AQ73" s="766"/>
      <c r="AR73" s="766"/>
      <c r="AS73" s="766"/>
      <c r="AT73" s="766"/>
      <c r="AU73" s="766"/>
      <c r="AV73" s="766"/>
      <c r="AW73" s="766"/>
      <c r="AX73" s="766"/>
      <c r="AY73" s="766"/>
      <c r="AZ73" s="766"/>
      <c r="BA73" s="766"/>
      <c r="BB73" s="766"/>
    </row>
    <row r="74" spans="1:54" ht="15" customHeight="1" x14ac:dyDescent="0.2">
      <c r="A74" s="766"/>
      <c r="B74" s="766"/>
      <c r="C74" s="766"/>
      <c r="D74" s="766"/>
      <c r="E74" s="766"/>
      <c r="F74" s="766"/>
      <c r="G74" s="766"/>
      <c r="H74" s="766"/>
      <c r="I74" s="766"/>
      <c r="J74" s="766"/>
      <c r="K74" s="766"/>
      <c r="L74" s="766"/>
      <c r="M74" s="766"/>
      <c r="N74" s="766"/>
      <c r="O74" s="766"/>
      <c r="P74" s="766"/>
      <c r="Q74" s="766"/>
      <c r="R74" s="766"/>
      <c r="S74" s="766"/>
      <c r="T74" s="766"/>
      <c r="U74" s="766"/>
      <c r="V74" s="766"/>
      <c r="W74" s="766"/>
      <c r="X74" s="766"/>
      <c r="Y74" s="766"/>
      <c r="Z74" s="766"/>
      <c r="AA74" s="766"/>
      <c r="AB74" s="766"/>
      <c r="AC74" s="766"/>
      <c r="AD74" s="766"/>
      <c r="AE74" s="766"/>
      <c r="AF74" s="766"/>
      <c r="AG74" s="766"/>
      <c r="AH74" s="766"/>
      <c r="AI74" s="766"/>
      <c r="AJ74" s="766"/>
      <c r="AK74" s="766"/>
      <c r="AL74" s="766"/>
      <c r="AM74" s="766"/>
      <c r="AN74" s="766"/>
      <c r="AO74" s="766"/>
      <c r="AP74" s="766"/>
      <c r="AQ74" s="766"/>
      <c r="AR74" s="766"/>
      <c r="AS74" s="766"/>
      <c r="AT74" s="766"/>
      <c r="AU74" s="766"/>
      <c r="AV74" s="766"/>
      <c r="AW74" s="766"/>
      <c r="AX74" s="766"/>
      <c r="AY74" s="766"/>
      <c r="AZ74" s="766"/>
      <c r="BA74" s="766"/>
      <c r="BB74" s="766"/>
    </row>
    <row r="75" spans="1:54" ht="15" customHeight="1" x14ac:dyDescent="0.2">
      <c r="BB75" s="25"/>
    </row>
    <row r="76" spans="1:54" ht="15" customHeight="1" x14ac:dyDescent="0.2">
      <c r="BB76" s="25"/>
    </row>
    <row r="77" spans="1:54" ht="15" customHeight="1" x14ac:dyDescent="0.2">
      <c r="BB77" s="25"/>
    </row>
    <row r="78" spans="1:54" ht="15" customHeight="1" x14ac:dyDescent="0.2">
      <c r="BB78" s="25"/>
    </row>
    <row r="79" spans="1:54" ht="15" customHeight="1" x14ac:dyDescent="0.2">
      <c r="BB79" s="25"/>
    </row>
    <row r="80" spans="1:54" ht="15" customHeight="1" x14ac:dyDescent="0.2">
      <c r="BB80" s="25"/>
    </row>
    <row r="81" spans="54:54" ht="15" customHeight="1" x14ac:dyDescent="0.2">
      <c r="BB81" s="25"/>
    </row>
    <row r="82" spans="54:54" ht="15" customHeight="1" x14ac:dyDescent="0.2">
      <c r="BB82" s="25"/>
    </row>
    <row r="83" spans="54:54" ht="15" customHeight="1" x14ac:dyDescent="0.2">
      <c r="BB83" s="25"/>
    </row>
    <row r="84" spans="54:54" ht="15" customHeight="1" x14ac:dyDescent="0.2">
      <c r="BB84" s="25"/>
    </row>
    <row r="85" spans="54:54" ht="15" customHeight="1" x14ac:dyDescent="0.2">
      <c r="BB85" s="25"/>
    </row>
    <row r="86" spans="54:54" ht="15" customHeight="1" x14ac:dyDescent="0.2">
      <c r="BB86" s="25"/>
    </row>
    <row r="87" spans="54:54" ht="15" customHeight="1" x14ac:dyDescent="0.2">
      <c r="BB87" s="25"/>
    </row>
    <row r="88" spans="54:54" ht="15" customHeight="1" x14ac:dyDescent="0.2">
      <c r="BB88" s="25"/>
    </row>
    <row r="89" spans="54:54" ht="15" customHeight="1" x14ac:dyDescent="0.2">
      <c r="BB89" s="25"/>
    </row>
    <row r="90" spans="54:54" ht="15" customHeight="1" x14ac:dyDescent="0.2">
      <c r="BB90" s="25"/>
    </row>
    <row r="91" spans="54:54" ht="15" customHeight="1" x14ac:dyDescent="0.2">
      <c r="BB91" s="25"/>
    </row>
    <row r="92" spans="54:54" ht="15" customHeight="1" x14ac:dyDescent="0.2">
      <c r="BB92" s="25"/>
    </row>
    <row r="93" spans="54:54" ht="15" customHeight="1" x14ac:dyDescent="0.2">
      <c r="BB93" s="25"/>
    </row>
    <row r="94" spans="54:54" ht="15" customHeight="1" x14ac:dyDescent="0.2">
      <c r="BB94" s="25"/>
    </row>
    <row r="95" spans="54:54" ht="15" customHeight="1" x14ac:dyDescent="0.2">
      <c r="BB95" s="25"/>
    </row>
    <row r="96" spans="54:54" ht="15" customHeight="1" x14ac:dyDescent="0.2">
      <c r="BB96" s="25"/>
    </row>
    <row r="97" spans="54:54" ht="15" customHeight="1" x14ac:dyDescent="0.2">
      <c r="BB97" s="25"/>
    </row>
    <row r="98" spans="54:54" ht="15" customHeight="1" x14ac:dyDescent="0.2">
      <c r="BB98" s="25"/>
    </row>
    <row r="99" spans="54:54" ht="15" customHeight="1" x14ac:dyDescent="0.2">
      <c r="BB99" s="25"/>
    </row>
    <row r="100" spans="54:54" ht="15" customHeight="1" x14ac:dyDescent="0.2">
      <c r="BB100" s="25"/>
    </row>
    <row r="101" spans="54:54" ht="15" customHeight="1" x14ac:dyDescent="0.2">
      <c r="BB101" s="25"/>
    </row>
    <row r="102" spans="54:54" ht="15" customHeight="1" x14ac:dyDescent="0.2">
      <c r="BB102" s="25"/>
    </row>
    <row r="103" spans="54:54" ht="15" customHeight="1" x14ac:dyDescent="0.2">
      <c r="BB103" s="25"/>
    </row>
    <row r="104" spans="54:54" ht="15" customHeight="1" x14ac:dyDescent="0.2">
      <c r="BB104" s="25"/>
    </row>
    <row r="105" spans="54:54" ht="15" customHeight="1" x14ac:dyDescent="0.2">
      <c r="BB105" s="25"/>
    </row>
    <row r="106" spans="54:54" ht="15" customHeight="1" x14ac:dyDescent="0.2">
      <c r="BB106" s="25"/>
    </row>
    <row r="107" spans="54:54" ht="15" customHeight="1" x14ac:dyDescent="0.2">
      <c r="BB107" s="25"/>
    </row>
    <row r="108" spans="54:54" ht="15" customHeight="1" x14ac:dyDescent="0.2">
      <c r="BB108" s="25"/>
    </row>
    <row r="109" spans="54:54" ht="15" customHeight="1" x14ac:dyDescent="0.2">
      <c r="BB109" s="25"/>
    </row>
    <row r="110" spans="54:54" ht="15" customHeight="1" x14ac:dyDescent="0.2">
      <c r="BB110" s="25"/>
    </row>
    <row r="111" spans="54:54" ht="15" customHeight="1" x14ac:dyDescent="0.2">
      <c r="BB111" s="25"/>
    </row>
    <row r="112" spans="54:54" ht="15" customHeight="1" x14ac:dyDescent="0.2">
      <c r="BB112" s="25"/>
    </row>
    <row r="113" spans="54:54" ht="15" customHeight="1" x14ac:dyDescent="0.2">
      <c r="BB113" s="25"/>
    </row>
    <row r="114" spans="54:54" ht="15" customHeight="1" x14ac:dyDescent="0.2">
      <c r="BB114" s="25"/>
    </row>
    <row r="115" spans="54:54" ht="15" customHeight="1" x14ac:dyDescent="0.2">
      <c r="BB115" s="25"/>
    </row>
    <row r="116" spans="54:54" ht="15" customHeight="1" x14ac:dyDescent="0.2">
      <c r="BB116" s="25"/>
    </row>
    <row r="117" spans="54:54" ht="15" customHeight="1" x14ac:dyDescent="0.2">
      <c r="BB117" s="25"/>
    </row>
    <row r="118" spans="54:54" ht="15" customHeight="1" x14ac:dyDescent="0.2">
      <c r="BB118" s="25"/>
    </row>
    <row r="119" spans="54:54" ht="15" customHeight="1" x14ac:dyDescent="0.2">
      <c r="BB119" s="25"/>
    </row>
    <row r="120" spans="54:54" ht="15" customHeight="1" x14ac:dyDescent="0.2">
      <c r="BB120" s="25"/>
    </row>
    <row r="121" spans="54:54" ht="15" customHeight="1" x14ac:dyDescent="0.2">
      <c r="BB121" s="25"/>
    </row>
    <row r="122" spans="54:54" ht="15" customHeight="1" x14ac:dyDescent="0.2">
      <c r="BB122" s="25"/>
    </row>
    <row r="123" spans="54:54" ht="15" customHeight="1" x14ac:dyDescent="0.2">
      <c r="BB123" s="25"/>
    </row>
    <row r="124" spans="54:54" ht="15" customHeight="1" x14ac:dyDescent="0.2">
      <c r="BB124" s="25"/>
    </row>
    <row r="125" spans="54:54" ht="15" customHeight="1" x14ac:dyDescent="0.2">
      <c r="BB125" s="25"/>
    </row>
    <row r="126" spans="54:54" ht="15" customHeight="1" x14ac:dyDescent="0.2">
      <c r="BB126" s="25"/>
    </row>
    <row r="127" spans="54:54" ht="15" customHeight="1" x14ac:dyDescent="0.2">
      <c r="BB127" s="25"/>
    </row>
    <row r="128" spans="54:54" ht="15" customHeight="1" x14ac:dyDescent="0.2">
      <c r="BB128" s="25"/>
    </row>
    <row r="129" spans="54:54" ht="15" customHeight="1" x14ac:dyDescent="0.2">
      <c r="BB129" s="25"/>
    </row>
    <row r="130" spans="54:54" ht="15" customHeight="1" x14ac:dyDescent="0.2">
      <c r="BB130" s="25"/>
    </row>
    <row r="131" spans="54:54" ht="15" customHeight="1" x14ac:dyDescent="0.2">
      <c r="BB131" s="25"/>
    </row>
    <row r="132" spans="54:54" ht="15" customHeight="1" x14ac:dyDescent="0.2">
      <c r="BB132" s="25"/>
    </row>
    <row r="133" spans="54:54" ht="15" customHeight="1" x14ac:dyDescent="0.2">
      <c r="BB133" s="25"/>
    </row>
    <row r="134" spans="54:54" ht="15" customHeight="1" x14ac:dyDescent="0.2">
      <c r="BB134" s="25"/>
    </row>
    <row r="135" spans="54:54" ht="15" customHeight="1" x14ac:dyDescent="0.2">
      <c r="BB135" s="25"/>
    </row>
    <row r="136" spans="54:54" ht="15" customHeight="1" x14ac:dyDescent="0.2">
      <c r="BB136" s="25"/>
    </row>
    <row r="137" spans="54:54" ht="15" customHeight="1" x14ac:dyDescent="0.2">
      <c r="BB137" s="25"/>
    </row>
    <row r="138" spans="54:54" ht="15" customHeight="1" x14ac:dyDescent="0.2">
      <c r="BB138" s="25"/>
    </row>
    <row r="139" spans="54:54" ht="15" customHeight="1" x14ac:dyDescent="0.2">
      <c r="BB139" s="25"/>
    </row>
    <row r="140" spans="54:54" ht="15" customHeight="1" x14ac:dyDescent="0.2">
      <c r="BB140" s="25"/>
    </row>
    <row r="141" spans="54:54" ht="15" customHeight="1" x14ac:dyDescent="0.2">
      <c r="BB141" s="25"/>
    </row>
    <row r="142" spans="54:54" ht="15" customHeight="1" x14ac:dyDescent="0.2">
      <c r="BB142" s="25"/>
    </row>
    <row r="143" spans="54:54" ht="15" customHeight="1" x14ac:dyDescent="0.2">
      <c r="BB143" s="25"/>
    </row>
    <row r="144" spans="54:54" ht="15" customHeight="1" x14ac:dyDescent="0.2">
      <c r="BB144" s="25"/>
    </row>
    <row r="145" spans="54:54" ht="15" customHeight="1" x14ac:dyDescent="0.2">
      <c r="BB145" s="25"/>
    </row>
    <row r="146" spans="54:54" ht="15" customHeight="1" x14ac:dyDescent="0.2">
      <c r="BB146" s="25"/>
    </row>
    <row r="147" spans="54:54" ht="15" customHeight="1" x14ac:dyDescent="0.2">
      <c r="BB147" s="25"/>
    </row>
    <row r="148" spans="54:54" ht="15" customHeight="1" x14ac:dyDescent="0.2">
      <c r="BB148" s="25"/>
    </row>
    <row r="149" spans="54:54" ht="15" customHeight="1" x14ac:dyDescent="0.2">
      <c r="BB149" s="25"/>
    </row>
    <row r="150" spans="54:54" ht="15" customHeight="1" x14ac:dyDescent="0.2">
      <c r="BB150" s="25"/>
    </row>
    <row r="151" spans="54:54" ht="15" customHeight="1" x14ac:dyDescent="0.2">
      <c r="BB151" s="25"/>
    </row>
    <row r="152" spans="54:54" ht="15" customHeight="1" x14ac:dyDescent="0.2">
      <c r="BB152" s="25"/>
    </row>
    <row r="153" spans="54:54" ht="15" customHeight="1" x14ac:dyDescent="0.2">
      <c r="BB153" s="25"/>
    </row>
    <row r="154" spans="54:54" ht="15" customHeight="1" x14ac:dyDescent="0.2">
      <c r="BB154" s="25"/>
    </row>
    <row r="155" spans="54:54" ht="15" customHeight="1" x14ac:dyDescent="0.2">
      <c r="BB155" s="25"/>
    </row>
    <row r="156" spans="54:54" ht="15" customHeight="1" x14ac:dyDescent="0.2">
      <c r="BB156" s="25"/>
    </row>
    <row r="157" spans="54:54" ht="15" customHeight="1" x14ac:dyDescent="0.2">
      <c r="BB157" s="25"/>
    </row>
    <row r="158" spans="54:54" ht="15" customHeight="1" x14ac:dyDescent="0.2">
      <c r="BB158" s="25"/>
    </row>
    <row r="159" spans="54:54" ht="15" customHeight="1" x14ac:dyDescent="0.2">
      <c r="BB159" s="25"/>
    </row>
    <row r="160" spans="54:54" ht="15" customHeight="1" x14ac:dyDescent="0.2">
      <c r="BB160" s="25"/>
    </row>
    <row r="161" spans="54:54" ht="15" customHeight="1" x14ac:dyDescent="0.2">
      <c r="BB161" s="25"/>
    </row>
    <row r="162" spans="54:54" ht="15" customHeight="1" x14ac:dyDescent="0.2">
      <c r="BB162" s="25"/>
    </row>
    <row r="163" spans="54:54" ht="15" customHeight="1" x14ac:dyDescent="0.2">
      <c r="BB163" s="25"/>
    </row>
    <row r="164" spans="54:54" ht="15" customHeight="1" x14ac:dyDescent="0.2">
      <c r="BB164" s="25"/>
    </row>
    <row r="165" spans="54:54" ht="15" customHeight="1" x14ac:dyDescent="0.2">
      <c r="BB165" s="25"/>
    </row>
    <row r="166" spans="54:54" ht="15" customHeight="1" x14ac:dyDescent="0.2">
      <c r="BB166" s="25"/>
    </row>
    <row r="167" spans="54:54" ht="15" customHeight="1" x14ac:dyDescent="0.2">
      <c r="BB167" s="25"/>
    </row>
    <row r="168" spans="54:54" ht="15" customHeight="1" x14ac:dyDescent="0.2">
      <c r="BB168" s="25"/>
    </row>
    <row r="169" spans="54:54" ht="15" customHeight="1" x14ac:dyDescent="0.2">
      <c r="BB169" s="25"/>
    </row>
    <row r="170" spans="54:54" ht="15" customHeight="1" x14ac:dyDescent="0.2">
      <c r="BB170" s="25"/>
    </row>
    <row r="171" spans="54:54" ht="15" customHeight="1" x14ac:dyDescent="0.2">
      <c r="BB171" s="25"/>
    </row>
    <row r="172" spans="54:54" ht="15" customHeight="1" x14ac:dyDescent="0.2">
      <c r="BB172" s="25"/>
    </row>
    <row r="173" spans="54:54" ht="15" customHeight="1" x14ac:dyDescent="0.2">
      <c r="BB173" s="25"/>
    </row>
    <row r="174" spans="54:54" ht="15" customHeight="1" x14ac:dyDescent="0.2">
      <c r="BB174" s="25"/>
    </row>
    <row r="175" spans="54:54" ht="15" customHeight="1" x14ac:dyDescent="0.2">
      <c r="BB175" s="25"/>
    </row>
    <row r="176" spans="54:54" ht="15" customHeight="1" x14ac:dyDescent="0.2">
      <c r="BB176" s="25"/>
    </row>
    <row r="177" spans="1:54" ht="15" customHeight="1" x14ac:dyDescent="0.2">
      <c r="BB177" s="25"/>
    </row>
    <row r="178" spans="1:54" ht="15" customHeight="1" x14ac:dyDescent="0.2">
      <c r="BB178" s="25"/>
    </row>
    <row r="179" spans="1:54" ht="15" customHeight="1" x14ac:dyDescent="0.2">
      <c r="BB179" s="25"/>
    </row>
    <row r="180" spans="1:54" ht="15" customHeight="1" x14ac:dyDescent="0.2">
      <c r="BB180" s="25"/>
    </row>
    <row r="181" spans="1:54" ht="15" customHeight="1" x14ac:dyDescent="0.2">
      <c r="BB181" s="25"/>
    </row>
    <row r="182" spans="1:54" ht="15" customHeight="1" x14ac:dyDescent="0.2">
      <c r="BB182" s="25"/>
    </row>
    <row r="183" spans="1:54" ht="15" customHeight="1" x14ac:dyDescent="0.2">
      <c r="BB183" s="25"/>
    </row>
    <row r="184" spans="1:54" ht="15" customHeight="1" x14ac:dyDescent="0.2">
      <c r="BB184" s="25"/>
    </row>
    <row r="185" spans="1:54" ht="15" customHeight="1" x14ac:dyDescent="0.2">
      <c r="C185" s="36"/>
      <c r="BB185" s="25"/>
    </row>
    <row r="186" spans="1:54" ht="15" customHeight="1" x14ac:dyDescent="0.2">
      <c r="A186" s="36"/>
      <c r="B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row>
  </sheetData>
  <pageMargins left="0.511811024" right="0.511811024" top="0.78740157499999996" bottom="0.78740157499999996" header="0.31496062000000002" footer="0.31496062000000002"/>
  <pageSetup paperSize="9" orientation="landscape"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X24 AX21:AX22" formulaRange="1"/>
  </ignoredErrors>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12">
    <pageSetUpPr autoPageBreaks="0"/>
  </sheetPr>
  <dimension ref="A1:BB15"/>
  <sheetViews>
    <sheetView showGridLines="0" workbookViewId="0">
      <pane xSplit="4" ySplit="4" topLeftCell="AI5" activePane="bottomRight" state="frozen"/>
      <selection activeCell="AY7" sqref="AY7"/>
      <selection pane="topRight" activeCell="AY7" sqref="AY7"/>
      <selection pane="bottomLeft" activeCell="AY7" sqref="AY7"/>
      <selection pane="bottomRight" activeCell="BB6" sqref="BB6"/>
    </sheetView>
  </sheetViews>
  <sheetFormatPr defaultRowHeight="12.75" x14ac:dyDescent="0.2"/>
  <cols>
    <col min="1" max="2" width="9.140625" hidden="1" customWidth="1"/>
    <col min="3" max="3" width="1.42578125" customWidth="1"/>
    <col min="4" max="4" width="50.85546875" bestFit="1" customWidth="1"/>
    <col min="5" max="10" width="10.85546875" customWidth="1"/>
    <col min="12" max="15" width="10.140625" bestFit="1" customWidth="1"/>
    <col min="16" max="18" width="10.140625" customWidth="1"/>
    <col min="19" max="22" width="10.140625" bestFit="1" customWidth="1"/>
    <col min="23" max="23" width="10.140625" customWidth="1"/>
    <col min="24" max="24" width="10.140625" bestFit="1" customWidth="1"/>
    <col min="25" max="27" width="10.140625" customWidth="1"/>
    <col min="28" max="35" width="10.140625" bestFit="1" customWidth="1"/>
    <col min="36" max="37" width="10.140625" customWidth="1"/>
    <col min="38" max="45" width="10.140625" bestFit="1" customWidth="1"/>
    <col min="46" max="49" width="10.140625" customWidth="1"/>
    <col min="50" max="53" width="10.140625" bestFit="1" customWidth="1"/>
  </cols>
  <sheetData>
    <row r="1" spans="1:54" s="547" customFormat="1" ht="7.5" customHeight="1" x14ac:dyDescent="0.2">
      <c r="E1" s="552" t="s">
        <v>45</v>
      </c>
      <c r="F1" s="547" t="str">
        <f>IF(LEFT(E1,1)="4","1T"&amp;RIGHT(E1,2)+1,LEFT(E1,1)+1&amp;RIGHT(E1,3))</f>
        <v>2T14</v>
      </c>
      <c r="G1" s="552" t="str">
        <f t="shared" ref="G1:V1" si="0">IF(LEFT(F1,1)="4","1T"&amp;RIGHT(F1,2)+1,LEFT(F1,1)+1&amp;RIGHT(F1,3))</f>
        <v>3T14</v>
      </c>
      <c r="H1" s="552" t="str">
        <f t="shared" si="0"/>
        <v>4T14</v>
      </c>
      <c r="I1" s="552" t="str">
        <f t="shared" si="0"/>
        <v>1T15</v>
      </c>
      <c r="J1" s="552" t="str">
        <f t="shared" si="0"/>
        <v>2T15</v>
      </c>
      <c r="K1" s="552" t="str">
        <f t="shared" si="0"/>
        <v>3T15</v>
      </c>
      <c r="L1" s="552" t="str">
        <f t="shared" si="0"/>
        <v>4T15</v>
      </c>
      <c r="M1" s="552" t="str">
        <f t="shared" si="0"/>
        <v>1T16</v>
      </c>
      <c r="N1" s="552" t="str">
        <f t="shared" si="0"/>
        <v>2T16</v>
      </c>
      <c r="O1" s="552" t="str">
        <f t="shared" si="0"/>
        <v>3T16</v>
      </c>
      <c r="P1" s="552" t="str">
        <f t="shared" si="0"/>
        <v>4T16</v>
      </c>
      <c r="Q1" s="552" t="str">
        <f t="shared" si="0"/>
        <v>1T17</v>
      </c>
      <c r="R1" s="552" t="str">
        <f t="shared" si="0"/>
        <v>2T17</v>
      </c>
      <c r="S1" s="552" t="str">
        <f t="shared" si="0"/>
        <v>3T17</v>
      </c>
      <c r="T1" s="552" t="str">
        <f t="shared" si="0"/>
        <v>4T17</v>
      </c>
      <c r="U1" s="552" t="str">
        <f t="shared" si="0"/>
        <v>1T18</v>
      </c>
      <c r="V1" s="552" t="str">
        <f t="shared" si="0"/>
        <v>2T18</v>
      </c>
      <c r="W1" s="552" t="str">
        <f t="shared" ref="W1:AH1" si="1">IF(LEFT(V1,1)="4","1T"&amp;RIGHT(V1,2)+1,LEFT(V1,1)+1&amp;RIGHT(V1,3))</f>
        <v>3T18</v>
      </c>
      <c r="X1" s="552" t="str">
        <f t="shared" si="1"/>
        <v>4T18</v>
      </c>
      <c r="Y1" s="552" t="str">
        <f t="shared" si="1"/>
        <v>1T19</v>
      </c>
      <c r="Z1" s="552" t="str">
        <f t="shared" si="1"/>
        <v>2T19</v>
      </c>
      <c r="AA1" s="552" t="str">
        <f t="shared" si="1"/>
        <v>3T19</v>
      </c>
      <c r="AB1" s="552" t="str">
        <f t="shared" si="1"/>
        <v>4T19</v>
      </c>
      <c r="AC1" s="552" t="str">
        <f t="shared" si="1"/>
        <v>1T20</v>
      </c>
      <c r="AD1" s="552" t="str">
        <f t="shared" si="1"/>
        <v>2T20</v>
      </c>
      <c r="AE1" s="552" t="str">
        <f t="shared" si="1"/>
        <v>3T20</v>
      </c>
      <c r="AF1" s="552" t="str">
        <f t="shared" si="1"/>
        <v>4T20</v>
      </c>
      <c r="AG1" s="552" t="str">
        <f t="shared" si="1"/>
        <v>1T21</v>
      </c>
      <c r="AH1" s="552" t="str">
        <f t="shared" si="1"/>
        <v>2T21</v>
      </c>
      <c r="AI1" s="552" t="str">
        <f t="shared" ref="AI1:AS1" si="2">IF(LEFT(AH1,1)="4","1T"&amp;RIGHT(AH1,2)+1,LEFT(AH1,1)+1&amp;RIGHT(AH1,3))</f>
        <v>3T21</v>
      </c>
      <c r="AJ1" s="552" t="str">
        <f t="shared" si="2"/>
        <v>4T21</v>
      </c>
      <c r="AK1" s="552" t="str">
        <f t="shared" si="2"/>
        <v>1T22</v>
      </c>
      <c r="AL1" s="552" t="str">
        <f t="shared" si="2"/>
        <v>2T22</v>
      </c>
      <c r="AM1" s="552" t="str">
        <f t="shared" si="2"/>
        <v>3T22</v>
      </c>
      <c r="AN1" s="552" t="str">
        <f t="shared" si="2"/>
        <v>4T22</v>
      </c>
      <c r="AO1" s="552" t="str">
        <f t="shared" si="2"/>
        <v>1T23</v>
      </c>
      <c r="AP1" s="552" t="str">
        <f t="shared" si="2"/>
        <v>2T23</v>
      </c>
      <c r="AQ1" s="552" t="str">
        <f t="shared" si="2"/>
        <v>3T23</v>
      </c>
      <c r="AR1" s="552" t="str">
        <f t="shared" si="2"/>
        <v>4T23</v>
      </c>
      <c r="AS1" s="552" t="str">
        <f t="shared" si="2"/>
        <v>1T24</v>
      </c>
      <c r="AT1" s="552" t="str">
        <f t="shared" ref="AT1:AZ1" si="3">IF(LEFT(AS1,1)="4","1T"&amp;RIGHT(AS1,2)+1,LEFT(AS1,1)+1&amp;RIGHT(AS1,3))</f>
        <v>2T24</v>
      </c>
      <c r="AU1" s="552" t="str">
        <f t="shared" si="3"/>
        <v>3T24</v>
      </c>
      <c r="AV1" s="552" t="str">
        <f t="shared" si="3"/>
        <v>4T24</v>
      </c>
      <c r="AW1" s="552" t="str">
        <f t="shared" si="3"/>
        <v>1T25</v>
      </c>
      <c r="AX1" s="552" t="str">
        <f t="shared" si="3"/>
        <v>2T25</v>
      </c>
      <c r="AY1" s="552" t="str">
        <f t="shared" si="3"/>
        <v>3T25</v>
      </c>
      <c r="AZ1" s="552" t="str">
        <f t="shared" si="3"/>
        <v>4T25</v>
      </c>
      <c r="BA1" s="552" t="str">
        <f>IF(LEFT(AZ1,1)="4","1T"&amp;RIGHT(AZ1,2)+1,LEFT(AZ1,1)+1&amp;RIGHT(AZ1,3))</f>
        <v>1T26</v>
      </c>
      <c r="BB1" s="552" t="str">
        <f>IF(LEFT(BA1,1)="4","1T"&amp;RIGHT(BA1,2)+1,LEFT(BA1,1)+1&amp;RIGHT(BA1,3))</f>
        <v>2T26</v>
      </c>
    </row>
    <row r="2" spans="1:54" s="547" customFormat="1" ht="18" x14ac:dyDescent="0.25">
      <c r="E2" s="552" t="str">
        <f>SUBSTITUTE(E1,"T","Q")</f>
        <v>1Q14</v>
      </c>
      <c r="F2" s="557" t="str">
        <f t="shared" ref="F2:S2" si="4">SUBSTITUTE(F1,"T","Q")</f>
        <v>2Q14</v>
      </c>
      <c r="G2" s="552" t="str">
        <f t="shared" si="4"/>
        <v>3Q14</v>
      </c>
      <c r="H2" s="552" t="str">
        <f t="shared" si="4"/>
        <v>4Q14</v>
      </c>
      <c r="I2" s="552" t="str">
        <f t="shared" si="4"/>
        <v>1Q15</v>
      </c>
      <c r="J2" s="552" t="str">
        <f t="shared" si="4"/>
        <v>2Q15</v>
      </c>
      <c r="K2" s="552" t="str">
        <f t="shared" si="4"/>
        <v>3Q15</v>
      </c>
      <c r="L2" s="552" t="str">
        <f t="shared" si="4"/>
        <v>4Q15</v>
      </c>
      <c r="M2" s="552" t="str">
        <f t="shared" si="4"/>
        <v>1Q16</v>
      </c>
      <c r="N2" s="552" t="str">
        <f t="shared" si="4"/>
        <v>2Q16</v>
      </c>
      <c r="O2" s="552" t="str">
        <f t="shared" si="4"/>
        <v>3Q16</v>
      </c>
      <c r="P2" s="552" t="str">
        <f t="shared" si="4"/>
        <v>4Q16</v>
      </c>
      <c r="Q2" s="552" t="str">
        <f t="shared" si="4"/>
        <v>1Q17</v>
      </c>
      <c r="R2" s="552" t="str">
        <f t="shared" si="4"/>
        <v>2Q17</v>
      </c>
      <c r="S2" s="552" t="str">
        <f t="shared" si="4"/>
        <v>3Q17</v>
      </c>
      <c r="T2" s="552" t="str">
        <f t="shared" ref="T2:Y2" si="5">SUBSTITUTE(T1,"T","Q")</f>
        <v>4Q17</v>
      </c>
      <c r="U2" s="552" t="str">
        <f t="shared" si="5"/>
        <v>1Q18</v>
      </c>
      <c r="V2" s="552" t="str">
        <f t="shared" si="5"/>
        <v>2Q18</v>
      </c>
      <c r="W2" s="552" t="str">
        <f t="shared" si="5"/>
        <v>3Q18</v>
      </c>
      <c r="X2" s="552" t="str">
        <f t="shared" si="5"/>
        <v>4Q18</v>
      </c>
      <c r="Y2" s="552" t="str">
        <f t="shared" si="5"/>
        <v>1Q19</v>
      </c>
      <c r="Z2" s="552" t="str">
        <f t="shared" ref="Z2:AE2" si="6">SUBSTITUTE(Z1,"T","Q")</f>
        <v>2Q19</v>
      </c>
      <c r="AA2" s="552" t="str">
        <f t="shared" si="6"/>
        <v>3Q19</v>
      </c>
      <c r="AB2" s="552" t="str">
        <f t="shared" si="6"/>
        <v>4Q19</v>
      </c>
      <c r="AC2" s="552" t="str">
        <f t="shared" si="6"/>
        <v>1Q20</v>
      </c>
      <c r="AD2" s="552" t="str">
        <f t="shared" si="6"/>
        <v>2Q20</v>
      </c>
      <c r="AE2" s="552" t="str">
        <f t="shared" si="6"/>
        <v>3Q20</v>
      </c>
      <c r="AF2" s="552" t="str">
        <f t="shared" ref="AF2:AL2" si="7">SUBSTITUTE(AF1,"T","Q")</f>
        <v>4Q20</v>
      </c>
      <c r="AG2" s="552" t="str">
        <f t="shared" si="7"/>
        <v>1Q21</v>
      </c>
      <c r="AH2" s="552" t="str">
        <f t="shared" si="7"/>
        <v>2Q21</v>
      </c>
      <c r="AI2" s="552" t="str">
        <f t="shared" si="7"/>
        <v>3Q21</v>
      </c>
      <c r="AJ2" s="552" t="str">
        <f t="shared" si="7"/>
        <v>4Q21</v>
      </c>
      <c r="AK2" s="552" t="str">
        <f t="shared" si="7"/>
        <v>1Q22</v>
      </c>
      <c r="AL2" s="552" t="str">
        <f t="shared" si="7"/>
        <v>2Q22</v>
      </c>
      <c r="AM2" s="552" t="str">
        <f t="shared" ref="AM2:AS2" si="8">SUBSTITUTE(AM1,"T","Q")</f>
        <v>3Q22</v>
      </c>
      <c r="AN2" s="552" t="str">
        <f t="shared" si="8"/>
        <v>4Q22</v>
      </c>
      <c r="AO2" s="552" t="str">
        <f t="shared" si="8"/>
        <v>1Q23</v>
      </c>
      <c r="AP2" s="552" t="str">
        <f t="shared" si="8"/>
        <v>2Q23</v>
      </c>
      <c r="AQ2" s="552" t="str">
        <f t="shared" si="8"/>
        <v>3Q23</v>
      </c>
      <c r="AR2" s="552" t="str">
        <f t="shared" si="8"/>
        <v>4Q23</v>
      </c>
      <c r="AS2" s="552" t="str">
        <f t="shared" si="8"/>
        <v>1Q24</v>
      </c>
      <c r="AT2" s="552" t="str">
        <f t="shared" ref="AT2:BB2" si="9">SUBSTITUTE(AT1,"T","Q")</f>
        <v>2Q24</v>
      </c>
      <c r="AU2" s="552" t="str">
        <f t="shared" si="9"/>
        <v>3Q24</v>
      </c>
      <c r="AV2" s="552" t="str">
        <f t="shared" si="9"/>
        <v>4Q24</v>
      </c>
      <c r="AW2" s="552" t="str">
        <f t="shared" si="9"/>
        <v>1Q25</v>
      </c>
      <c r="AX2" s="552" t="str">
        <f t="shared" si="9"/>
        <v>2Q25</v>
      </c>
      <c r="AY2" s="552" t="str">
        <f t="shared" si="9"/>
        <v>3Q25</v>
      </c>
      <c r="AZ2" s="552" t="str">
        <f t="shared" si="9"/>
        <v>4Q25</v>
      </c>
      <c r="BA2" s="552" t="str">
        <f>SUBSTITUTE(BA1,"T","Q")</f>
        <v>1Q26</v>
      </c>
      <c r="BB2" s="552" t="str">
        <f t="shared" si="9"/>
        <v>2Q26</v>
      </c>
    </row>
    <row r="3" spans="1:54" x14ac:dyDescent="0.2">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row>
    <row r="5" spans="1:54" x14ac:dyDescent="0.2">
      <c r="A5" t="s">
        <v>396</v>
      </c>
      <c r="B5" t="s">
        <v>1065</v>
      </c>
      <c r="D5" s="115" t="str">
        <f>IF([1]RENAME!$H$3=1,B5,A5)</f>
        <v>Consolidado e Controladora</v>
      </c>
      <c r="E5" s="115" t="str">
        <f>IF([1]RENAME!$H$3=1,E2,E1)</f>
        <v>1T14</v>
      </c>
      <c r="F5" s="115" t="str">
        <f>IF([1]RENAME!$H$3=1,F2,F1)</f>
        <v>2T14</v>
      </c>
      <c r="G5" s="115" t="str">
        <f>IF([1]RENAME!$H$3=1,G2,G1)</f>
        <v>3T14</v>
      </c>
      <c r="H5" s="115" t="str">
        <f>IF([1]RENAME!$H$3=1,H2,H1)</f>
        <v>4T14</v>
      </c>
      <c r="I5" s="115" t="str">
        <f>IF([1]RENAME!$H$3=1,I2,I1)</f>
        <v>1T15</v>
      </c>
      <c r="J5" s="115" t="str">
        <f>IF([1]RENAME!$H$3=1,J2,J1)</f>
        <v>2T15</v>
      </c>
      <c r="K5" s="115" t="str">
        <f>IF([1]RENAME!$H$3=1,K2,K1)</f>
        <v>3T15</v>
      </c>
      <c r="L5" s="115" t="str">
        <f>IF([1]RENAME!$H$3=1,L2,L1)</f>
        <v>4T15</v>
      </c>
      <c r="M5" s="115" t="str">
        <f>IF([1]RENAME!$H$3=1,M2,M1)</f>
        <v>1T16</v>
      </c>
      <c r="N5" s="115" t="str">
        <f>IF([1]RENAME!$H$3=1,N2,N1)</f>
        <v>2T16</v>
      </c>
      <c r="O5" s="115" t="str">
        <f>IF([1]RENAME!$H$3=1,O2,O1)</f>
        <v>3T16</v>
      </c>
      <c r="P5" s="115" t="str">
        <f>IF([1]RENAME!$H$3=1,P2,P1)</f>
        <v>4T16</v>
      </c>
      <c r="Q5" s="115" t="str">
        <f>IF([1]RENAME!$H$3=1,Q2,Q1)</f>
        <v>1T17</v>
      </c>
      <c r="R5" s="115" t="str">
        <f>IF([1]RENAME!$H$3=1,R2,R1)</f>
        <v>2T17</v>
      </c>
      <c r="S5" s="115" t="str">
        <f>IF([1]RENAME!$H$3=1,S2,S1)</f>
        <v>3T17</v>
      </c>
      <c r="T5" s="115" t="str">
        <f>IF([1]RENAME!$H$3=1,T2,T1)</f>
        <v>4T17</v>
      </c>
      <c r="U5" s="115" t="str">
        <f>IF([1]RENAME!$H$3=1,U2,U1)</f>
        <v>1T18</v>
      </c>
      <c r="V5" s="115" t="str">
        <f>IF([1]RENAME!$H$3=1,V2,V1)</f>
        <v>2T18</v>
      </c>
      <c r="W5" s="115" t="str">
        <f>IF([1]RENAME!$H$3=1,W2,W1)</f>
        <v>3T18</v>
      </c>
      <c r="X5" s="115" t="str">
        <f>IF([1]RENAME!$H$3=1,X2,X1)</f>
        <v>4T18</v>
      </c>
      <c r="Y5" s="115" t="str">
        <f>IF([1]RENAME!$H$3=1,Y2,Y1)</f>
        <v>1T19</v>
      </c>
      <c r="Z5" s="115" t="str">
        <f>IF([1]RENAME!$H$3=1,Z2,Z1)</f>
        <v>2T19</v>
      </c>
      <c r="AA5" s="115" t="str">
        <f>IF([1]RENAME!$H$3=1,AA2,AA1)</f>
        <v>3T19</v>
      </c>
      <c r="AB5" s="115" t="str">
        <f>IF([1]RENAME!$H$3=1,AB2,AB1)</f>
        <v>4T19</v>
      </c>
      <c r="AC5" s="115" t="str">
        <f>IF([1]RENAME!$H$3=1,AC2,AC1)</f>
        <v>1T20</v>
      </c>
      <c r="AD5" s="115" t="str">
        <f>IF([1]RENAME!$H$3=1,AD2,AD1)</f>
        <v>2T20</v>
      </c>
      <c r="AE5" s="115" t="str">
        <f>IF([1]RENAME!$H$3=1,AE2,AE1)</f>
        <v>3T20</v>
      </c>
      <c r="AF5" s="115" t="str">
        <f>IF([1]RENAME!$H$3=1,AF2,AF1)</f>
        <v>4T20</v>
      </c>
      <c r="AG5" s="115" t="str">
        <f>IF([1]RENAME!$H$3=1,AG2,AG1)</f>
        <v>1T21</v>
      </c>
      <c r="AH5" s="115" t="str">
        <f>IF([1]RENAME!$H$3=1,AH2,AH1)</f>
        <v>2T21</v>
      </c>
      <c r="AI5" s="115" t="str">
        <f>IF([1]RENAME!$H$3=1,AI2,AI1)</f>
        <v>3T21</v>
      </c>
      <c r="AJ5" s="115" t="str">
        <f>IF([1]RENAME!$H$3=1,AJ2,AJ1)</f>
        <v>4T21</v>
      </c>
      <c r="AK5" s="115" t="str">
        <f>IF([1]RENAME!$H$3=1,AK2,AK1)</f>
        <v>1T22</v>
      </c>
      <c r="AL5" s="115" t="str">
        <f>IF([1]RENAME!$H$3=1,AL2,AL1)</f>
        <v>2T22</v>
      </c>
      <c r="AM5" s="115" t="str">
        <f>IF([1]RENAME!$H$3=1,AM2,AM1)</f>
        <v>3T22</v>
      </c>
      <c r="AN5" s="115" t="str">
        <f>IF([1]RENAME!$H$3=1,AN2,AN1)</f>
        <v>4T22</v>
      </c>
      <c r="AO5" s="115" t="str">
        <f>IF([1]RENAME!$H$3=1,AO2,AO1)</f>
        <v>1T23</v>
      </c>
      <c r="AP5" s="115" t="str">
        <f>IF([1]RENAME!$H$3=1,AP2,AP1)</f>
        <v>2T23</v>
      </c>
      <c r="AQ5" s="115" t="str">
        <f>IF([1]RENAME!$H$3=1,AQ2,AQ1)</f>
        <v>3T23</v>
      </c>
      <c r="AR5" s="115" t="str">
        <f>IF([1]RENAME!$H$3=1,AR2,AR1)</f>
        <v>4T23</v>
      </c>
      <c r="AS5" s="115" t="str">
        <f>IF([1]RENAME!$H$3=1,AS2,AS1)</f>
        <v>1T24</v>
      </c>
      <c r="AT5" s="115" t="str">
        <f>IF([1]RENAME!$H$3=1,AT2,AT1)</f>
        <v>2T24</v>
      </c>
      <c r="AU5" s="115" t="str">
        <f>IF([1]RENAME!$H$3=1,AU2,AU1)</f>
        <v>3T24</v>
      </c>
      <c r="AV5" s="115" t="str">
        <f>IF([1]RENAME!$H$3=1,AV2,AV1)</f>
        <v>4T24</v>
      </c>
      <c r="AW5" s="115" t="str">
        <f>IF([1]RENAME!$H$3=1,AW2,AW1)</f>
        <v>1T25</v>
      </c>
      <c r="AX5" s="115" t="str">
        <f>IF([1]RENAME!$H$3=1,AX2,AX1)</f>
        <v>2T25</v>
      </c>
      <c r="AY5" s="115" t="str">
        <f>IF([1]RENAME!$H$3=1,AY2,AY1)</f>
        <v>3T25</v>
      </c>
      <c r="AZ5" s="115" t="str">
        <f>IF([1]RENAME!$H$3=1,AZ2,AZ1)</f>
        <v>4T25</v>
      </c>
      <c r="BA5" s="247" t="str">
        <f>IF([1]RENAME!$H$3=1,BA2,BA1)</f>
        <v>1T26</v>
      </c>
      <c r="BB5" s="115" t="str">
        <f>IF([1]RENAME!$H$3=1,BB2,BB1)</f>
        <v>2T26</v>
      </c>
    </row>
    <row r="6" spans="1:54" x14ac:dyDescent="0.2">
      <c r="A6" t="s">
        <v>397</v>
      </c>
      <c r="B6" t="s">
        <v>1066</v>
      </c>
      <c r="D6" s="129" t="str">
        <f>IF([1]RENAME!$H$3=1,B6,A6)</f>
        <v>Salários e encargos (Diretores)</v>
      </c>
      <c r="E6" s="118">
        <v>1046</v>
      </c>
      <c r="F6" s="118">
        <v>1367</v>
      </c>
      <c r="G6" s="118">
        <v>1121</v>
      </c>
      <c r="H6" s="118">
        <v>863</v>
      </c>
      <c r="I6" s="118">
        <v>1373</v>
      </c>
      <c r="J6" s="118">
        <v>1412</v>
      </c>
      <c r="K6" s="118">
        <v>1422</v>
      </c>
      <c r="L6" s="118">
        <v>1176</v>
      </c>
      <c r="M6" s="118">
        <v>1674</v>
      </c>
      <c r="N6" s="118">
        <v>1834</v>
      </c>
      <c r="O6" s="118">
        <v>2231</v>
      </c>
      <c r="P6" s="118">
        <v>813</v>
      </c>
      <c r="Q6" s="118">
        <v>1521</v>
      </c>
      <c r="R6" s="118">
        <v>1476</v>
      </c>
      <c r="S6" s="118">
        <v>1373</v>
      </c>
      <c r="T6" s="118">
        <v>1462</v>
      </c>
      <c r="U6" s="118">
        <v>1580</v>
      </c>
      <c r="V6" s="118">
        <v>1524</v>
      </c>
      <c r="W6" s="118">
        <v>1679</v>
      </c>
      <c r="X6" s="118">
        <v>1724</v>
      </c>
      <c r="Y6" s="118">
        <v>1467</v>
      </c>
      <c r="Z6" s="118">
        <v>2382</v>
      </c>
      <c r="AA6" s="118">
        <v>1574</v>
      </c>
      <c r="AB6" s="118">
        <v>1570</v>
      </c>
      <c r="AC6" s="260">
        <v>3566</v>
      </c>
      <c r="AD6" s="118">
        <v>994</v>
      </c>
      <c r="AE6" s="118">
        <v>1256</v>
      </c>
      <c r="AF6" s="118">
        <v>1256</v>
      </c>
      <c r="AG6" s="118">
        <v>1122</v>
      </c>
      <c r="AH6" s="118">
        <v>1213</v>
      </c>
      <c r="AI6" s="118">
        <v>1289</v>
      </c>
      <c r="AJ6" s="118">
        <v>1406</v>
      </c>
      <c r="AK6" s="118">
        <v>1307</v>
      </c>
      <c r="AL6" s="118">
        <v>2397</v>
      </c>
      <c r="AM6" s="118">
        <v>1774</v>
      </c>
      <c r="AN6" s="118">
        <v>1642</v>
      </c>
      <c r="AO6" s="118">
        <v>1771</v>
      </c>
      <c r="AP6" s="118">
        <v>1858</v>
      </c>
      <c r="AQ6" s="118">
        <v>2689</v>
      </c>
      <c r="AR6" s="118">
        <v>1576</v>
      </c>
      <c r="AS6" s="118">
        <v>1522</v>
      </c>
      <c r="AT6" s="118">
        <v>2056</v>
      </c>
      <c r="AU6" s="118">
        <v>1329</v>
      </c>
      <c r="AV6" s="118">
        <v>1473</v>
      </c>
      <c r="AW6" s="118">
        <v>1549</v>
      </c>
      <c r="AX6" s="118">
        <v>2137</v>
      </c>
      <c r="AY6" s="118">
        <v>1426</v>
      </c>
      <c r="AZ6" s="118">
        <v>1498</v>
      </c>
      <c r="BA6" s="118">
        <v>1564</v>
      </c>
      <c r="BB6" s="118">
        <f>(-'[3]26b Remuneração NL'!$F$7)-BA6</f>
        <v>1489</v>
      </c>
    </row>
    <row r="7" spans="1:54" x14ac:dyDescent="0.2">
      <c r="A7" t="s">
        <v>601</v>
      </c>
      <c r="B7" t="s">
        <v>1067</v>
      </c>
      <c r="D7" s="129" t="str">
        <f>IF([1]RENAME!$H$3=1,B7,A7)</f>
        <v>Honorários de Diretoria (Conselheiros)</v>
      </c>
      <c r="E7" s="118">
        <v>367</v>
      </c>
      <c r="F7" s="118">
        <v>377</v>
      </c>
      <c r="G7" s="118">
        <v>389</v>
      </c>
      <c r="H7" s="118">
        <v>409</v>
      </c>
      <c r="I7" s="118">
        <v>389</v>
      </c>
      <c r="J7" s="118">
        <v>406</v>
      </c>
      <c r="K7" s="118">
        <v>423</v>
      </c>
      <c r="L7" s="118">
        <v>452</v>
      </c>
      <c r="M7" s="118">
        <v>508</v>
      </c>
      <c r="N7" s="118">
        <v>507</v>
      </c>
      <c r="O7" s="118">
        <v>508</v>
      </c>
      <c r="P7" s="118">
        <v>507</v>
      </c>
      <c r="Q7" s="118">
        <v>508</v>
      </c>
      <c r="R7" s="118">
        <v>630</v>
      </c>
      <c r="S7" s="118">
        <v>687</v>
      </c>
      <c r="T7" s="118">
        <v>688</v>
      </c>
      <c r="U7" s="118">
        <v>688</v>
      </c>
      <c r="V7" s="118">
        <v>723</v>
      </c>
      <c r="W7" s="118">
        <v>680</v>
      </c>
      <c r="X7" s="118">
        <v>705</v>
      </c>
      <c r="Y7" s="118">
        <v>705</v>
      </c>
      <c r="Z7" s="118">
        <v>704</v>
      </c>
      <c r="AA7" s="118">
        <v>705</v>
      </c>
      <c r="AB7" s="118">
        <v>705</v>
      </c>
      <c r="AC7" s="118">
        <v>705</v>
      </c>
      <c r="AD7" s="118">
        <v>704</v>
      </c>
      <c r="AE7" s="118">
        <v>705</v>
      </c>
      <c r="AF7" s="118">
        <v>705</v>
      </c>
      <c r="AG7" s="118">
        <v>733</v>
      </c>
      <c r="AH7" s="118">
        <v>849</v>
      </c>
      <c r="AI7" s="118">
        <v>808</v>
      </c>
      <c r="AJ7" s="118">
        <v>808</v>
      </c>
      <c r="AK7" s="118">
        <v>808</v>
      </c>
      <c r="AL7" s="118">
        <v>961</v>
      </c>
      <c r="AM7" s="118">
        <v>890</v>
      </c>
      <c r="AN7" s="118">
        <v>940</v>
      </c>
      <c r="AO7" s="118">
        <v>940</v>
      </c>
      <c r="AP7" s="118">
        <v>969</v>
      </c>
      <c r="AQ7" s="118">
        <v>984</v>
      </c>
      <c r="AR7" s="118">
        <v>984</v>
      </c>
      <c r="AS7" s="118">
        <v>984</v>
      </c>
      <c r="AT7" s="118">
        <v>1017</v>
      </c>
      <c r="AU7" s="118">
        <v>1033</v>
      </c>
      <c r="AV7" s="118">
        <v>1033</v>
      </c>
      <c r="AW7" s="118">
        <v>1033</v>
      </c>
      <c r="AX7" s="118">
        <v>1229</v>
      </c>
      <c r="AY7" s="118">
        <v>1327</v>
      </c>
      <c r="AZ7" s="118">
        <v>1339</v>
      </c>
      <c r="BA7" s="118">
        <v>1327</v>
      </c>
      <c r="BB7" s="118">
        <f>(-'[3]26b Remuneração NL'!$F$8)-BA7</f>
        <v>1345</v>
      </c>
    </row>
    <row r="8" spans="1:54" x14ac:dyDescent="0.2">
      <c r="A8" t="s">
        <v>398</v>
      </c>
      <c r="B8" t="s">
        <v>1068</v>
      </c>
      <c r="D8" s="129" t="str">
        <f>IF([1]RENAME!$H$3=1,B8,A8)</f>
        <v>Participação nos lucros</v>
      </c>
      <c r="E8" s="118">
        <v>448</v>
      </c>
      <c r="F8" s="118">
        <v>1191</v>
      </c>
      <c r="G8" s="118">
        <v>0</v>
      </c>
      <c r="H8" s="118">
        <v>0</v>
      </c>
      <c r="I8" s="118">
        <v>349</v>
      </c>
      <c r="J8" s="118">
        <v>349</v>
      </c>
      <c r="K8" s="118">
        <v>349</v>
      </c>
      <c r="L8" s="118">
        <v>349</v>
      </c>
      <c r="M8" s="118">
        <v>449</v>
      </c>
      <c r="N8" s="118">
        <v>449</v>
      </c>
      <c r="O8" s="118">
        <v>449</v>
      </c>
      <c r="P8" s="118">
        <v>411</v>
      </c>
      <c r="Q8" s="118">
        <v>561</v>
      </c>
      <c r="R8" s="118">
        <v>561</v>
      </c>
      <c r="S8" s="118">
        <v>464</v>
      </c>
      <c r="T8" s="118">
        <v>512</v>
      </c>
      <c r="U8" s="118">
        <v>538</v>
      </c>
      <c r="V8" s="118">
        <v>540</v>
      </c>
      <c r="W8" s="118">
        <v>539</v>
      </c>
      <c r="X8" s="118">
        <v>590</v>
      </c>
      <c r="Y8" s="118">
        <v>622</v>
      </c>
      <c r="Z8" s="118">
        <v>579</v>
      </c>
      <c r="AA8" s="118">
        <v>600</v>
      </c>
      <c r="AB8" s="118">
        <v>601</v>
      </c>
      <c r="AC8" s="118">
        <v>654</v>
      </c>
      <c r="AD8" s="118">
        <v>653</v>
      </c>
      <c r="AE8" s="118">
        <v>654</v>
      </c>
      <c r="AF8" s="118">
        <v>8</v>
      </c>
      <c r="AG8" s="118">
        <v>492</v>
      </c>
      <c r="AH8" s="118">
        <v>892</v>
      </c>
      <c r="AI8" s="118">
        <v>692</v>
      </c>
      <c r="AJ8" s="118">
        <v>788</v>
      </c>
      <c r="AK8" s="118">
        <v>716</v>
      </c>
      <c r="AL8" s="118">
        <v>802</v>
      </c>
      <c r="AM8" s="118">
        <v>903</v>
      </c>
      <c r="AN8" s="118">
        <v>863</v>
      </c>
      <c r="AO8" s="118">
        <v>926</v>
      </c>
      <c r="AP8" s="118">
        <v>1014</v>
      </c>
      <c r="AQ8" s="118">
        <v>920</v>
      </c>
      <c r="AR8" s="118">
        <v>824</v>
      </c>
      <c r="AS8" s="118">
        <v>718</v>
      </c>
      <c r="AT8" s="118">
        <v>791</v>
      </c>
      <c r="AU8" s="118">
        <v>789</v>
      </c>
      <c r="AV8" s="118">
        <v>765</v>
      </c>
      <c r="AW8" s="118">
        <v>766</v>
      </c>
      <c r="AX8" s="118">
        <v>858</v>
      </c>
      <c r="AY8" s="118">
        <v>811</v>
      </c>
      <c r="AZ8" s="118">
        <v>812</v>
      </c>
      <c r="BA8" s="118">
        <v>812</v>
      </c>
      <c r="BB8" s="118">
        <f>(-'[3]26b Remuneração NL'!$F$9)-BA8</f>
        <v>878</v>
      </c>
    </row>
    <row r="9" spans="1:54" x14ac:dyDescent="0.2">
      <c r="A9" t="s">
        <v>521</v>
      </c>
      <c r="B9" t="s">
        <v>112</v>
      </c>
      <c r="D9" s="126" t="str">
        <f>IF([1]RENAME!$H$3=1,B9,A9)</f>
        <v>Remuneração do pessoal-chave da Administração</v>
      </c>
      <c r="E9" s="120">
        <f t="shared" ref="E9:AJ9" si="10">SUM(E6:E8)</f>
        <v>1861</v>
      </c>
      <c r="F9" s="120">
        <f t="shared" si="10"/>
        <v>2935</v>
      </c>
      <c r="G9" s="120">
        <f t="shared" si="10"/>
        <v>1510</v>
      </c>
      <c r="H9" s="120">
        <f t="shared" si="10"/>
        <v>1272</v>
      </c>
      <c r="I9" s="120">
        <f t="shared" si="10"/>
        <v>2111</v>
      </c>
      <c r="J9" s="120">
        <f t="shared" si="10"/>
        <v>2167</v>
      </c>
      <c r="K9" s="120">
        <f t="shared" si="10"/>
        <v>2194</v>
      </c>
      <c r="L9" s="120">
        <f t="shared" si="10"/>
        <v>1977</v>
      </c>
      <c r="M9" s="120">
        <f t="shared" si="10"/>
        <v>2631</v>
      </c>
      <c r="N9" s="120">
        <f t="shared" si="10"/>
        <v>2790</v>
      </c>
      <c r="O9" s="120">
        <f t="shared" si="10"/>
        <v>3188</v>
      </c>
      <c r="P9" s="120">
        <f t="shared" si="10"/>
        <v>1731</v>
      </c>
      <c r="Q9" s="120">
        <f t="shared" si="10"/>
        <v>2590</v>
      </c>
      <c r="R9" s="120">
        <f t="shared" si="10"/>
        <v>2667</v>
      </c>
      <c r="S9" s="120">
        <f t="shared" si="10"/>
        <v>2524</v>
      </c>
      <c r="T9" s="120">
        <f t="shared" si="10"/>
        <v>2662</v>
      </c>
      <c r="U9" s="120">
        <f t="shared" si="10"/>
        <v>2806</v>
      </c>
      <c r="V9" s="120">
        <f t="shared" si="10"/>
        <v>2787</v>
      </c>
      <c r="W9" s="120">
        <f t="shared" si="10"/>
        <v>2898</v>
      </c>
      <c r="X9" s="120">
        <f t="shared" si="10"/>
        <v>3019</v>
      </c>
      <c r="Y9" s="120">
        <f t="shared" si="10"/>
        <v>2794</v>
      </c>
      <c r="Z9" s="120">
        <f t="shared" si="10"/>
        <v>3665</v>
      </c>
      <c r="AA9" s="120">
        <f t="shared" si="10"/>
        <v>2879</v>
      </c>
      <c r="AB9" s="120">
        <f t="shared" si="10"/>
        <v>2876</v>
      </c>
      <c r="AC9" s="120">
        <f t="shared" si="10"/>
        <v>4925</v>
      </c>
      <c r="AD9" s="120">
        <f t="shared" si="10"/>
        <v>2351</v>
      </c>
      <c r="AE9" s="120">
        <f t="shared" si="10"/>
        <v>2615</v>
      </c>
      <c r="AF9" s="120">
        <f t="shared" si="10"/>
        <v>1969</v>
      </c>
      <c r="AG9" s="120">
        <f t="shared" si="10"/>
        <v>2347</v>
      </c>
      <c r="AH9" s="120">
        <f t="shared" si="10"/>
        <v>2954</v>
      </c>
      <c r="AI9" s="120">
        <f t="shared" si="10"/>
        <v>2789</v>
      </c>
      <c r="AJ9" s="120">
        <f t="shared" si="10"/>
        <v>3002</v>
      </c>
      <c r="AK9" s="120">
        <f t="shared" ref="AK9:BB9" si="11">SUM(AK6:AK8)</f>
        <v>2831</v>
      </c>
      <c r="AL9" s="120">
        <f t="shared" si="11"/>
        <v>4160</v>
      </c>
      <c r="AM9" s="120">
        <f t="shared" si="11"/>
        <v>3567</v>
      </c>
      <c r="AN9" s="120">
        <f t="shared" si="11"/>
        <v>3445</v>
      </c>
      <c r="AO9" s="120">
        <f t="shared" si="11"/>
        <v>3637</v>
      </c>
      <c r="AP9" s="120">
        <f t="shared" si="11"/>
        <v>3841</v>
      </c>
      <c r="AQ9" s="120">
        <f t="shared" si="11"/>
        <v>4593</v>
      </c>
      <c r="AR9" s="120">
        <f t="shared" si="11"/>
        <v>3384</v>
      </c>
      <c r="AS9" s="120">
        <f t="shared" si="11"/>
        <v>3224</v>
      </c>
      <c r="AT9" s="120">
        <f t="shared" si="11"/>
        <v>3864</v>
      </c>
      <c r="AU9" s="120">
        <f t="shared" si="11"/>
        <v>3151</v>
      </c>
      <c r="AV9" s="120">
        <f t="shared" si="11"/>
        <v>3271</v>
      </c>
      <c r="AW9" s="120">
        <f t="shared" si="11"/>
        <v>3348</v>
      </c>
      <c r="AX9" s="120">
        <f t="shared" si="11"/>
        <v>4224</v>
      </c>
      <c r="AY9" s="120">
        <f t="shared" si="11"/>
        <v>3564</v>
      </c>
      <c r="AZ9" s="120">
        <f t="shared" si="11"/>
        <v>3649</v>
      </c>
      <c r="BA9" s="120">
        <f t="shared" si="11"/>
        <v>3703</v>
      </c>
      <c r="BB9" s="120">
        <f t="shared" si="11"/>
        <v>3712</v>
      </c>
    </row>
    <row r="15" spans="1:54" x14ac:dyDescent="0.2">
      <c r="T15" s="758"/>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55">
    <pageSetUpPr autoPageBreaks="0"/>
  </sheetPr>
  <dimension ref="A1:X31"/>
  <sheetViews>
    <sheetView showGridLines="0" zoomScaleNormal="100" workbookViewId="0">
      <pane xSplit="4" ySplit="4" topLeftCell="P5" activePane="bottomRight" state="frozen"/>
      <selection activeCell="AY7" sqref="AY7"/>
      <selection pane="topRight" activeCell="AY7" sqref="AY7"/>
      <selection pane="bottomLeft" activeCell="AY7" sqref="AY7"/>
      <selection pane="bottomRight" activeCell="X6" sqref="X6"/>
    </sheetView>
  </sheetViews>
  <sheetFormatPr defaultRowHeight="12.75" outlineLevelRow="1" x14ac:dyDescent="0.2"/>
  <cols>
    <col min="1" max="2" width="9.140625" hidden="1" customWidth="1"/>
    <col min="3" max="3" width="1.42578125" customWidth="1"/>
    <col min="4" max="4" width="48.42578125" customWidth="1"/>
    <col min="5" max="24" width="10.85546875" customWidth="1"/>
  </cols>
  <sheetData>
    <row r="1" spans="1:24" s="547" customFormat="1" ht="7.5" customHeight="1" x14ac:dyDescent="0.2">
      <c r="E1" s="547" t="s">
        <v>45</v>
      </c>
      <c r="F1" s="547" t="str">
        <f>IF(LEFT(E1,1)="4","1T"&amp;RIGHT(E1,2)+1,LEFT(E1,1)+1&amp;RIGHT(E1,3))</f>
        <v>2T14</v>
      </c>
      <c r="G1" s="547" t="str">
        <f t="shared" ref="G1:V1" si="0">IF(LEFT(F1,1)="4","1T"&amp;RIGHT(F1,2)+1,LEFT(F1,1)+1&amp;RIGHT(F1,3))</f>
        <v>3T14</v>
      </c>
      <c r="H1" s="547" t="str">
        <f t="shared" si="0"/>
        <v>4T14</v>
      </c>
      <c r="I1" s="547" t="str">
        <f t="shared" si="0"/>
        <v>1T15</v>
      </c>
      <c r="J1" s="547" t="str">
        <f t="shared" si="0"/>
        <v>2T15</v>
      </c>
      <c r="K1" s="547" t="str">
        <f t="shared" si="0"/>
        <v>3T15</v>
      </c>
      <c r="L1" s="547" t="str">
        <f t="shared" si="0"/>
        <v>4T15</v>
      </c>
      <c r="M1" s="547" t="str">
        <f t="shared" si="0"/>
        <v>1T16</v>
      </c>
      <c r="N1" s="547" t="str">
        <f t="shared" si="0"/>
        <v>2T16</v>
      </c>
      <c r="O1" s="547" t="str">
        <f t="shared" si="0"/>
        <v>3T16</v>
      </c>
      <c r="P1" s="547" t="str">
        <f t="shared" si="0"/>
        <v>4T16</v>
      </c>
      <c r="Q1" s="547" t="str">
        <f t="shared" si="0"/>
        <v>1T17</v>
      </c>
      <c r="R1" s="547" t="str">
        <f t="shared" si="0"/>
        <v>2T17</v>
      </c>
      <c r="S1" s="547" t="str">
        <f t="shared" si="0"/>
        <v>3T17</v>
      </c>
      <c r="T1" s="547" t="str">
        <f t="shared" si="0"/>
        <v>4T17</v>
      </c>
      <c r="U1" s="547" t="str">
        <f t="shared" si="0"/>
        <v>1T18</v>
      </c>
      <c r="V1" s="547" t="str">
        <f t="shared" si="0"/>
        <v>2T18</v>
      </c>
      <c r="W1" s="547" t="str">
        <f>IF(LEFT(V1,1)="4","1T"&amp;RIGHT(V1,2)+1,LEFT(V1,1)+1&amp;RIGHT(V1,3))</f>
        <v>3T18</v>
      </c>
      <c r="X1" s="547" t="str">
        <f>IF(LEFT(W1,1)="4","1T"&amp;RIGHT(W1,2)+1,LEFT(W1,1)+1&amp;RIGHT(W1,3))</f>
        <v>4T18</v>
      </c>
    </row>
    <row r="2" spans="1:24" s="547" customFormat="1" ht="12.75" customHeight="1" x14ac:dyDescent="0.25">
      <c r="E2" s="547" t="s">
        <v>946</v>
      </c>
      <c r="F2" s="557" t="str">
        <f t="shared" ref="F2:S2" si="1">SUBSTITUTE(F1,"T","Q")</f>
        <v>2Q14</v>
      </c>
      <c r="G2" s="547" t="str">
        <f t="shared" si="1"/>
        <v>3Q14</v>
      </c>
      <c r="H2" s="547" t="str">
        <f t="shared" si="1"/>
        <v>4Q14</v>
      </c>
      <c r="I2" s="547" t="str">
        <f t="shared" si="1"/>
        <v>1Q15</v>
      </c>
      <c r="J2" s="547" t="str">
        <f t="shared" si="1"/>
        <v>2Q15</v>
      </c>
      <c r="K2" s="547" t="str">
        <f t="shared" si="1"/>
        <v>3Q15</v>
      </c>
      <c r="L2" s="547" t="str">
        <f t="shared" si="1"/>
        <v>4Q15</v>
      </c>
      <c r="M2" s="547" t="str">
        <f t="shared" si="1"/>
        <v>1Q16</v>
      </c>
      <c r="N2" s="547" t="str">
        <f t="shared" si="1"/>
        <v>2Q16</v>
      </c>
      <c r="O2" s="547" t="str">
        <f t="shared" si="1"/>
        <v>3Q16</v>
      </c>
      <c r="P2" s="547" t="str">
        <f t="shared" si="1"/>
        <v>4Q16</v>
      </c>
      <c r="Q2" s="547" t="str">
        <f t="shared" si="1"/>
        <v>1Q17</v>
      </c>
      <c r="R2" s="547" t="str">
        <f t="shared" si="1"/>
        <v>2Q17</v>
      </c>
      <c r="S2" s="547" t="str">
        <f t="shared" si="1"/>
        <v>3Q17</v>
      </c>
      <c r="T2" s="547" t="str">
        <f>SUBSTITUTE(T1,"T","Q")</f>
        <v>4Q17</v>
      </c>
      <c r="U2" s="547" t="str">
        <f>SUBSTITUTE(U1,"T","Q")</f>
        <v>1Q18</v>
      </c>
      <c r="V2" s="547" t="str">
        <f>SUBSTITUTE(V1,"T","Q")</f>
        <v>2Q18</v>
      </c>
      <c r="W2" s="547" t="str">
        <f>SUBSTITUTE(W1,"T","Q")</f>
        <v>3Q18</v>
      </c>
      <c r="X2" s="547" t="str">
        <f>SUBSTITUTE(X1,"T","Q")</f>
        <v>4Q18</v>
      </c>
    </row>
    <row r="3" spans="1:24" ht="12.75" customHeight="1" x14ac:dyDescent="0.2"/>
    <row r="4" spans="1:24" ht="12.75" customHeight="1" x14ac:dyDescent="0.2"/>
    <row r="5" spans="1:24" x14ac:dyDescent="0.2">
      <c r="A5" t="s">
        <v>96</v>
      </c>
      <c r="B5" t="s">
        <v>866</v>
      </c>
      <c r="D5" s="115" t="str">
        <f>IF([1]RENAME!$H$3=1,B5,A5)</f>
        <v>Consolidado</v>
      </c>
      <c r="E5" s="115" t="str">
        <f>IF([1]RENAME!$H$3=1,E2,E1)</f>
        <v>1T14</v>
      </c>
      <c r="F5" s="115" t="str">
        <f>IF([1]RENAME!$H$3=1,F2,F1)</f>
        <v>2T14</v>
      </c>
      <c r="G5" s="115" t="str">
        <f>IF([1]RENAME!$H$3=1,G2,G1)</f>
        <v>3T14</v>
      </c>
      <c r="H5" s="115" t="str">
        <f>IF([1]RENAME!$H$3=1,H2,H1)</f>
        <v>4T14</v>
      </c>
      <c r="I5" s="115" t="str">
        <f>IF([1]RENAME!$H$3=1,I2,I1)</f>
        <v>1T15</v>
      </c>
      <c r="J5" s="115" t="str">
        <f>IF([1]RENAME!$H$3=1,J2,J1)</f>
        <v>2T15</v>
      </c>
      <c r="K5" s="115" t="str">
        <f>IF([1]RENAME!$H$3=1,K2,K1)</f>
        <v>3T15</v>
      </c>
      <c r="L5" s="115" t="str">
        <f>IF([1]RENAME!$H$3=1,L2,L1)</f>
        <v>4T15</v>
      </c>
      <c r="M5" s="115" t="str">
        <f>IF([1]RENAME!$H$3=1,M2,M1)</f>
        <v>1T16</v>
      </c>
      <c r="N5" s="115" t="str">
        <f>IF([1]RENAME!$H$3=1,N2,N1)</f>
        <v>2T16</v>
      </c>
      <c r="O5" s="115" t="str">
        <f>IF([1]RENAME!$H$3=1,O2,O1)</f>
        <v>3T16</v>
      </c>
      <c r="P5" s="115" t="str">
        <f>IF([1]RENAME!$H$3=1,P2,P1)</f>
        <v>4T16</v>
      </c>
      <c r="Q5" s="115" t="str">
        <f>IF([1]RENAME!$H$3=1,Q2,Q1)</f>
        <v>1T17</v>
      </c>
      <c r="R5" s="115" t="str">
        <f>IF([1]RENAME!$H$3=1,R2,R1)</f>
        <v>2T17</v>
      </c>
      <c r="S5" s="115" t="str">
        <f>IF([1]RENAME!$H$3=1,S2,S1)</f>
        <v>3T17</v>
      </c>
      <c r="T5" s="115" t="str">
        <f>IF([1]RENAME!$H$3=1,T2,T1)</f>
        <v>4T17</v>
      </c>
      <c r="U5" s="115" t="str">
        <f>IF([1]RENAME!$H$3=1,U2,U1)</f>
        <v>1T18</v>
      </c>
      <c r="V5" s="115" t="str">
        <f>IF([1]RENAME!$H$3=1,V2,V1)</f>
        <v>2T18</v>
      </c>
      <c r="W5" s="115" t="str">
        <f>IF([1]RENAME!$H$3=1,W2,W1)</f>
        <v>3T18</v>
      </c>
      <c r="X5" s="115" t="str">
        <f>IF([1]RENAME!$H$3=1,X2,X1)</f>
        <v>4T18</v>
      </c>
    </row>
    <row r="6" spans="1:24" x14ac:dyDescent="0.2">
      <c r="A6" t="s">
        <v>302</v>
      </c>
      <c r="B6" t="s">
        <v>1069</v>
      </c>
      <c r="D6" s="129" t="str">
        <f>IF([1]RENAME!$H$3=1,B6,A6)</f>
        <v>Até um ano</v>
      </c>
      <c r="E6" s="118">
        <v>41149</v>
      </c>
      <c r="F6" s="118">
        <v>47815</v>
      </c>
      <c r="G6" s="118">
        <v>111023</v>
      </c>
      <c r="H6" s="118">
        <v>51768</v>
      </c>
      <c r="I6" s="118">
        <v>48869</v>
      </c>
      <c r="J6" s="118">
        <v>44566</v>
      </c>
      <c r="K6" s="118">
        <v>31687</v>
      </c>
      <c r="L6" s="118">
        <v>28761</v>
      </c>
      <c r="M6" s="118">
        <v>21546</v>
      </c>
      <c r="N6" s="118">
        <v>27301</v>
      </c>
      <c r="O6" s="118">
        <v>25366</v>
      </c>
      <c r="P6" s="118">
        <v>24174</v>
      </c>
      <c r="Q6" s="118">
        <v>32943</v>
      </c>
      <c r="R6" s="118">
        <v>35570.208710000006</v>
      </c>
      <c r="S6" s="118">
        <v>35609.230280000003</v>
      </c>
      <c r="T6" s="118">
        <v>35826</v>
      </c>
      <c r="U6" s="118">
        <v>31566</v>
      </c>
      <c r="V6" s="118">
        <v>30906</v>
      </c>
      <c r="W6" s="118">
        <v>33578</v>
      </c>
      <c r="X6" s="118">
        <v>34380</v>
      </c>
    </row>
    <row r="7" spans="1:24" x14ac:dyDescent="0.2">
      <c r="A7" t="s">
        <v>303</v>
      </c>
      <c r="B7" t="s">
        <v>1070</v>
      </c>
      <c r="D7" s="129" t="str">
        <f>IF([1]RENAME!$H$3=1,B7,A7)</f>
        <v>De dois a cinco anos</v>
      </c>
      <c r="E7" s="118">
        <v>97244</v>
      </c>
      <c r="F7" s="118">
        <v>74829</v>
      </c>
      <c r="G7" s="118">
        <v>35341</v>
      </c>
      <c r="H7" s="118">
        <v>80624</v>
      </c>
      <c r="I7" s="118">
        <v>72840</v>
      </c>
      <c r="J7" s="118">
        <v>80328</v>
      </c>
      <c r="K7" s="118">
        <v>78722</v>
      </c>
      <c r="L7" s="118">
        <v>48854</v>
      </c>
      <c r="M7" s="118">
        <v>51568</v>
      </c>
      <c r="N7" s="118">
        <v>65497</v>
      </c>
      <c r="O7" s="118">
        <v>60347</v>
      </c>
      <c r="P7" s="118">
        <v>55546</v>
      </c>
      <c r="Q7" s="118">
        <v>66223</v>
      </c>
      <c r="R7" s="118">
        <v>63528.074639999999</v>
      </c>
      <c r="S7" s="118">
        <v>55540.486290000001</v>
      </c>
      <c r="T7" s="118">
        <v>48369</v>
      </c>
      <c r="U7" s="118">
        <v>41902</v>
      </c>
      <c r="V7" s="118">
        <v>36069</v>
      </c>
      <c r="W7" s="118">
        <v>48441</v>
      </c>
      <c r="X7" s="118">
        <v>41853</v>
      </c>
    </row>
    <row r="8" spans="1:24" x14ac:dyDescent="0.2">
      <c r="A8" t="s">
        <v>304</v>
      </c>
      <c r="B8" t="s">
        <v>1071</v>
      </c>
      <c r="D8" s="129" t="str">
        <f>IF([1]RENAME!$H$3=1,B8,A8)</f>
        <v>Acima de cinco anos</v>
      </c>
      <c r="E8" s="118">
        <v>41616</v>
      </c>
      <c r="F8" s="118">
        <v>57394</v>
      </c>
      <c r="G8" s="118">
        <v>24490</v>
      </c>
      <c r="H8" s="118">
        <v>41939</v>
      </c>
      <c r="I8" s="118">
        <v>45100</v>
      </c>
      <c r="J8" s="118">
        <v>45212</v>
      </c>
      <c r="K8" s="118">
        <v>19290</v>
      </c>
      <c r="L8" s="118">
        <v>14862</v>
      </c>
      <c r="M8" s="118">
        <v>13238</v>
      </c>
      <c r="N8" s="118">
        <v>12375</v>
      </c>
      <c r="O8" s="118">
        <v>11224</v>
      </c>
      <c r="P8" s="118">
        <v>10360</v>
      </c>
      <c r="Q8" s="118">
        <v>9497</v>
      </c>
      <c r="R8" s="118">
        <v>8633.7318000000014</v>
      </c>
      <c r="S8" s="118">
        <v>7770.35862</v>
      </c>
      <c r="T8" s="118">
        <v>6907</v>
      </c>
      <c r="U8" s="118">
        <v>6044</v>
      </c>
      <c r="V8" s="118">
        <v>5180</v>
      </c>
      <c r="W8" s="118">
        <v>4317</v>
      </c>
      <c r="X8" s="118">
        <v>3453</v>
      </c>
    </row>
    <row r="9" spans="1:24" ht="25.5" x14ac:dyDescent="0.2">
      <c r="A9" t="s">
        <v>301</v>
      </c>
      <c r="B9" t="s">
        <v>1072</v>
      </c>
      <c r="D9" s="126" t="str">
        <f>IF([1]RENAME!$H$3=1,B9,A9)</f>
        <v>Obrigações brutas de arrendamento operacional - Pagamentos mínimos de arrendamento</v>
      </c>
      <c r="E9" s="120">
        <f t="shared" ref="E9:K9" si="2">SUM(E6:E8)</f>
        <v>180009</v>
      </c>
      <c r="F9" s="120">
        <f t="shared" si="2"/>
        <v>180038</v>
      </c>
      <c r="G9" s="120">
        <f t="shared" si="2"/>
        <v>170854</v>
      </c>
      <c r="H9" s="120">
        <f t="shared" si="2"/>
        <v>174331</v>
      </c>
      <c r="I9" s="120">
        <f t="shared" si="2"/>
        <v>166809</v>
      </c>
      <c r="J9" s="120">
        <f t="shared" si="2"/>
        <v>170106</v>
      </c>
      <c r="K9" s="120">
        <f t="shared" si="2"/>
        <v>129699</v>
      </c>
      <c r="L9" s="120">
        <f t="shared" ref="L9:X9" si="3">SUM(L6:L8)</f>
        <v>92477</v>
      </c>
      <c r="M9" s="120">
        <f t="shared" si="3"/>
        <v>86352</v>
      </c>
      <c r="N9" s="120">
        <f t="shared" si="3"/>
        <v>105173</v>
      </c>
      <c r="O9" s="120">
        <f t="shared" si="3"/>
        <v>96937</v>
      </c>
      <c r="P9" s="120">
        <f t="shared" si="3"/>
        <v>90080</v>
      </c>
      <c r="Q9" s="120">
        <f t="shared" si="3"/>
        <v>108663</v>
      </c>
      <c r="R9" s="120">
        <f t="shared" si="3"/>
        <v>107732.01515000002</v>
      </c>
      <c r="S9" s="120">
        <f t="shared" si="3"/>
        <v>98920.075190000003</v>
      </c>
      <c r="T9" s="120">
        <f t="shared" si="3"/>
        <v>91102</v>
      </c>
      <c r="U9" s="120">
        <f t="shared" si="3"/>
        <v>79512</v>
      </c>
      <c r="V9" s="120">
        <f t="shared" si="3"/>
        <v>72155</v>
      </c>
      <c r="W9" s="120">
        <f t="shared" si="3"/>
        <v>86336</v>
      </c>
      <c r="X9" s="120">
        <f t="shared" si="3"/>
        <v>79686</v>
      </c>
    </row>
    <row r="10" spans="1:24" x14ac:dyDescent="0.2">
      <c r="D10" s="47"/>
      <c r="F10" s="106"/>
      <c r="G10" s="46"/>
      <c r="H10" s="46"/>
      <c r="I10" s="46"/>
      <c r="J10" s="46"/>
      <c r="K10" s="46"/>
      <c r="L10" s="46"/>
      <c r="M10" s="46"/>
      <c r="N10" s="46"/>
      <c r="O10" s="46"/>
      <c r="P10" s="46"/>
      <c r="Q10" s="46"/>
      <c r="R10" s="46"/>
      <c r="S10" s="46"/>
      <c r="T10" s="46"/>
      <c r="U10" s="46"/>
      <c r="V10" s="46"/>
      <c r="W10" s="46"/>
      <c r="X10" s="46"/>
    </row>
    <row r="11" spans="1:24" x14ac:dyDescent="0.2">
      <c r="A11" t="s">
        <v>97</v>
      </c>
      <c r="B11" t="s">
        <v>872</v>
      </c>
      <c r="D11" s="115" t="str">
        <f>IF([1]RENAME!$H$3=1,B11,A11)</f>
        <v>Controladora</v>
      </c>
      <c r="E11" s="115" t="str">
        <f>E5</f>
        <v>1T14</v>
      </c>
      <c r="F11" s="115" t="str">
        <f t="shared" ref="F11:S11" si="4">F5</f>
        <v>2T14</v>
      </c>
      <c r="G11" s="115" t="str">
        <f t="shared" si="4"/>
        <v>3T14</v>
      </c>
      <c r="H11" s="115" t="str">
        <f t="shared" si="4"/>
        <v>4T14</v>
      </c>
      <c r="I11" s="115" t="str">
        <f t="shared" si="4"/>
        <v>1T15</v>
      </c>
      <c r="J11" s="115" t="str">
        <f t="shared" si="4"/>
        <v>2T15</v>
      </c>
      <c r="K11" s="115" t="str">
        <f t="shared" si="4"/>
        <v>3T15</v>
      </c>
      <c r="L11" s="115" t="str">
        <f t="shared" si="4"/>
        <v>4T15</v>
      </c>
      <c r="M11" s="115" t="str">
        <f t="shared" si="4"/>
        <v>1T16</v>
      </c>
      <c r="N11" s="115" t="str">
        <f t="shared" si="4"/>
        <v>2T16</v>
      </c>
      <c r="O11" s="115" t="str">
        <f t="shared" si="4"/>
        <v>3T16</v>
      </c>
      <c r="P11" s="115" t="str">
        <f t="shared" si="4"/>
        <v>4T16</v>
      </c>
      <c r="Q11" s="115" t="str">
        <f t="shared" si="4"/>
        <v>1T17</v>
      </c>
      <c r="R11" s="115" t="str">
        <f t="shared" si="4"/>
        <v>2T17</v>
      </c>
      <c r="S11" s="115" t="str">
        <f t="shared" si="4"/>
        <v>3T17</v>
      </c>
      <c r="T11" s="115" t="str">
        <f>T5</f>
        <v>4T17</v>
      </c>
      <c r="U11" s="115" t="str">
        <f>U5</f>
        <v>1T18</v>
      </c>
      <c r="V11" s="115" t="str">
        <f>V5</f>
        <v>2T18</v>
      </c>
      <c r="W11" s="115" t="str">
        <f>W5</f>
        <v>3T18</v>
      </c>
      <c r="X11" s="115" t="str">
        <f>X5</f>
        <v>4T18</v>
      </c>
    </row>
    <row r="12" spans="1:24" x14ac:dyDescent="0.2">
      <c r="A12" t="s">
        <v>302</v>
      </c>
      <c r="B12" t="s">
        <v>1069</v>
      </c>
      <c r="D12" s="129" t="str">
        <f>IF([1]RENAME!$H$3=1,B12,A12)</f>
        <v>Até um ano</v>
      </c>
      <c r="E12" s="118">
        <v>12011</v>
      </c>
      <c r="F12" s="118">
        <v>22608</v>
      </c>
      <c r="G12" s="118">
        <v>22831</v>
      </c>
      <c r="H12" s="118">
        <v>22146</v>
      </c>
      <c r="I12" s="118">
        <v>18782</v>
      </c>
      <c r="J12" s="118">
        <v>17368</v>
      </c>
      <c r="K12" s="118">
        <v>15138</v>
      </c>
      <c r="L12" s="118">
        <v>14844</v>
      </c>
      <c r="M12" s="118">
        <v>11476</v>
      </c>
      <c r="N12" s="118">
        <v>12310</v>
      </c>
      <c r="O12" s="118">
        <v>11828</v>
      </c>
      <c r="P12" s="118">
        <v>12090</v>
      </c>
      <c r="Q12" s="118">
        <v>15156</v>
      </c>
      <c r="R12" s="118">
        <v>17786.139190000005</v>
      </c>
      <c r="S12" s="118">
        <v>17488.906200000001</v>
      </c>
      <c r="T12" s="118">
        <v>17964</v>
      </c>
      <c r="U12" s="118">
        <v>16067</v>
      </c>
      <c r="V12" s="118">
        <v>15010</v>
      </c>
      <c r="W12" s="118">
        <v>18326</v>
      </c>
      <c r="X12" s="118">
        <v>18939</v>
      </c>
    </row>
    <row r="13" spans="1:24" x14ac:dyDescent="0.2">
      <c r="A13" t="s">
        <v>303</v>
      </c>
      <c r="B13" t="s">
        <v>1070</v>
      </c>
      <c r="D13" s="129" t="str">
        <f>IF([1]RENAME!$H$3=1,B13,A13)</f>
        <v>De dois a cinco anos</v>
      </c>
      <c r="E13" s="118">
        <v>34861</v>
      </c>
      <c r="F13" s="118">
        <v>32758</v>
      </c>
      <c r="G13" s="118">
        <v>30670</v>
      </c>
      <c r="H13" s="118">
        <v>41301</v>
      </c>
      <c r="I13" s="118">
        <v>33531</v>
      </c>
      <c r="J13" s="118">
        <v>33003</v>
      </c>
      <c r="K13" s="118">
        <v>37198</v>
      </c>
      <c r="L13" s="118">
        <v>30614</v>
      </c>
      <c r="M13" s="118">
        <v>28743</v>
      </c>
      <c r="N13" s="118">
        <v>28149</v>
      </c>
      <c r="O13" s="118">
        <v>26011</v>
      </c>
      <c r="P13" s="118">
        <v>24221</v>
      </c>
      <c r="Q13" s="118">
        <v>28010</v>
      </c>
      <c r="R13" s="118">
        <v>29595.479330000002</v>
      </c>
      <c r="S13" s="118">
        <v>25987.188040000001</v>
      </c>
      <c r="T13" s="118">
        <v>23207</v>
      </c>
      <c r="U13" s="118">
        <v>20074</v>
      </c>
      <c r="V13" s="118">
        <v>18030</v>
      </c>
      <c r="W13" s="118">
        <v>34490</v>
      </c>
      <c r="X13" s="118">
        <v>31691</v>
      </c>
    </row>
    <row r="14" spans="1:24" x14ac:dyDescent="0.2">
      <c r="A14" t="s">
        <v>304</v>
      </c>
      <c r="B14" t="s">
        <v>1071</v>
      </c>
      <c r="D14" s="129" t="str">
        <f>IF([1]RENAME!$H$3=1,B14,A14)</f>
        <v>Acima de cinco anos</v>
      </c>
      <c r="E14" s="118">
        <v>6187</v>
      </c>
      <c r="F14" s="118">
        <v>26690</v>
      </c>
      <c r="G14" s="118">
        <v>24496</v>
      </c>
      <c r="H14" s="118">
        <v>16318</v>
      </c>
      <c r="I14" s="118">
        <v>21628</v>
      </c>
      <c r="J14" s="118">
        <v>19680</v>
      </c>
      <c r="K14" s="118">
        <v>14965</v>
      </c>
      <c r="L14" s="118">
        <v>14102</v>
      </c>
      <c r="M14" s="118">
        <v>13238</v>
      </c>
      <c r="N14" s="118">
        <v>12375</v>
      </c>
      <c r="O14" s="118">
        <v>11224</v>
      </c>
      <c r="P14" s="118">
        <v>10360</v>
      </c>
      <c r="Q14" s="118">
        <v>9497</v>
      </c>
      <c r="R14" s="118">
        <v>8633.7318000000014</v>
      </c>
      <c r="S14" s="118">
        <v>7770.35862</v>
      </c>
      <c r="T14" s="118">
        <v>6907</v>
      </c>
      <c r="U14" s="118">
        <v>6044</v>
      </c>
      <c r="V14" s="118">
        <v>5180</v>
      </c>
      <c r="W14" s="118">
        <v>4317</v>
      </c>
      <c r="X14" s="118">
        <v>3453</v>
      </c>
    </row>
    <row r="15" spans="1:24" ht="25.5" x14ac:dyDescent="0.2">
      <c r="A15" t="s">
        <v>301</v>
      </c>
      <c r="B15" t="s">
        <v>1072</v>
      </c>
      <c r="D15" s="126" t="str">
        <f>IF([1]RENAME!$H$3=1,B15,A15)</f>
        <v>Obrigações brutas de arrendamento operacional - Pagamentos mínimos de arrendamento</v>
      </c>
      <c r="E15" s="120">
        <f t="shared" ref="E15:K15" si="5">SUM(E12:E14)</f>
        <v>53059</v>
      </c>
      <c r="F15" s="120">
        <f t="shared" si="5"/>
        <v>82056</v>
      </c>
      <c r="G15" s="120">
        <f t="shared" si="5"/>
        <v>77997</v>
      </c>
      <c r="H15" s="120">
        <f t="shared" si="5"/>
        <v>79765</v>
      </c>
      <c r="I15" s="120">
        <f t="shared" si="5"/>
        <v>73941</v>
      </c>
      <c r="J15" s="120">
        <f t="shared" si="5"/>
        <v>70051</v>
      </c>
      <c r="K15" s="120">
        <f t="shared" si="5"/>
        <v>67301</v>
      </c>
      <c r="L15" s="120">
        <f t="shared" ref="L15:X15" si="6">SUM(L12:L14)</f>
        <v>59560</v>
      </c>
      <c r="M15" s="120">
        <f t="shared" si="6"/>
        <v>53457</v>
      </c>
      <c r="N15" s="120">
        <f t="shared" si="6"/>
        <v>52834</v>
      </c>
      <c r="O15" s="120">
        <f t="shared" si="6"/>
        <v>49063</v>
      </c>
      <c r="P15" s="120">
        <f t="shared" si="6"/>
        <v>46671</v>
      </c>
      <c r="Q15" s="120">
        <f t="shared" si="6"/>
        <v>52663</v>
      </c>
      <c r="R15" s="120">
        <f t="shared" si="6"/>
        <v>56015.350320000005</v>
      </c>
      <c r="S15" s="120">
        <f t="shared" si="6"/>
        <v>51246.452860000005</v>
      </c>
      <c r="T15" s="120">
        <f t="shared" si="6"/>
        <v>48078</v>
      </c>
      <c r="U15" s="120">
        <f t="shared" si="6"/>
        <v>42185</v>
      </c>
      <c r="V15" s="120">
        <f t="shared" si="6"/>
        <v>38220</v>
      </c>
      <c r="W15" s="120">
        <f t="shared" si="6"/>
        <v>57133</v>
      </c>
      <c r="X15" s="120">
        <f t="shared" si="6"/>
        <v>54083</v>
      </c>
    </row>
    <row r="17" spans="1:24" x14ac:dyDescent="0.2">
      <c r="A17" t="s">
        <v>98</v>
      </c>
      <c r="B17" t="s">
        <v>876</v>
      </c>
      <c r="D17" s="115" t="str">
        <f>IF([1]RENAME!$H$3=1,B17,A17)</f>
        <v>Controladas</v>
      </c>
      <c r="E17" s="115" t="str">
        <f>E5</f>
        <v>1T14</v>
      </c>
      <c r="F17" s="115" t="str">
        <f t="shared" ref="F17:S17" si="7">F5</f>
        <v>2T14</v>
      </c>
      <c r="G17" s="115" t="str">
        <f t="shared" si="7"/>
        <v>3T14</v>
      </c>
      <c r="H17" s="115" t="str">
        <f t="shared" si="7"/>
        <v>4T14</v>
      </c>
      <c r="I17" s="115" t="str">
        <f t="shared" si="7"/>
        <v>1T15</v>
      </c>
      <c r="J17" s="115" t="str">
        <f t="shared" si="7"/>
        <v>2T15</v>
      </c>
      <c r="K17" s="115" t="str">
        <f t="shared" si="7"/>
        <v>3T15</v>
      </c>
      <c r="L17" s="115" t="str">
        <f t="shared" si="7"/>
        <v>4T15</v>
      </c>
      <c r="M17" s="115" t="str">
        <f t="shared" si="7"/>
        <v>1T16</v>
      </c>
      <c r="N17" s="115" t="str">
        <f t="shared" si="7"/>
        <v>2T16</v>
      </c>
      <c r="O17" s="115" t="str">
        <f t="shared" si="7"/>
        <v>3T16</v>
      </c>
      <c r="P17" s="115" t="str">
        <f t="shared" si="7"/>
        <v>4T16</v>
      </c>
      <c r="Q17" s="115" t="str">
        <f t="shared" si="7"/>
        <v>1T17</v>
      </c>
      <c r="R17" s="115" t="str">
        <f t="shared" si="7"/>
        <v>2T17</v>
      </c>
      <c r="S17" s="115" t="str">
        <f t="shared" si="7"/>
        <v>3T17</v>
      </c>
      <c r="T17" s="115" t="str">
        <f>T5</f>
        <v>4T17</v>
      </c>
      <c r="U17" s="115" t="str">
        <f>U5</f>
        <v>1T18</v>
      </c>
      <c r="V17" s="115" t="str">
        <f>V5</f>
        <v>2T18</v>
      </c>
      <c r="W17" s="115" t="str">
        <f>W5</f>
        <v>3T18</v>
      </c>
      <c r="X17" s="115" t="str">
        <f>X5</f>
        <v>4T18</v>
      </c>
    </row>
    <row r="18" spans="1:24" x14ac:dyDescent="0.2">
      <c r="A18" t="s">
        <v>302</v>
      </c>
      <c r="B18" t="s">
        <v>1069</v>
      </c>
      <c r="D18" s="129" t="str">
        <f>IF([1]RENAME!$H$3=1,B18,A18)</f>
        <v>Até um ano</v>
      </c>
      <c r="E18" s="118">
        <f>+E6-E12</f>
        <v>29138</v>
      </c>
      <c r="F18" s="118">
        <f t="shared" ref="F18:K18" si="8">+F6-F12</f>
        <v>25207</v>
      </c>
      <c r="G18" s="118">
        <f t="shared" si="8"/>
        <v>88192</v>
      </c>
      <c r="H18" s="118">
        <f t="shared" si="8"/>
        <v>29622</v>
      </c>
      <c r="I18" s="118">
        <f t="shared" si="8"/>
        <v>30087</v>
      </c>
      <c r="J18" s="118">
        <f t="shared" si="8"/>
        <v>27198</v>
      </c>
      <c r="K18" s="118">
        <f t="shared" si="8"/>
        <v>16549</v>
      </c>
      <c r="L18" s="118">
        <f t="shared" ref="L18:O20" si="9">+L6-L12</f>
        <v>13917</v>
      </c>
      <c r="M18" s="118">
        <f t="shared" si="9"/>
        <v>10070</v>
      </c>
      <c r="N18" s="118">
        <f t="shared" si="9"/>
        <v>14991</v>
      </c>
      <c r="O18" s="118">
        <f t="shared" si="9"/>
        <v>13538</v>
      </c>
      <c r="P18" s="118">
        <f t="shared" ref="P18:R20" si="10">+P6-P12</f>
        <v>12084</v>
      </c>
      <c r="Q18" s="118">
        <f t="shared" si="10"/>
        <v>17787</v>
      </c>
      <c r="R18" s="118">
        <f t="shared" si="10"/>
        <v>17784.069520000001</v>
      </c>
      <c r="S18" s="118">
        <f t="shared" ref="S18:T20" si="11">+S6-S12</f>
        <v>18120.324080000002</v>
      </c>
      <c r="T18" s="118">
        <f t="shared" si="11"/>
        <v>17862</v>
      </c>
      <c r="U18" s="118">
        <v>15499</v>
      </c>
      <c r="V18" s="118">
        <f t="shared" ref="V18:X20" si="12">+V6-V12</f>
        <v>15896</v>
      </c>
      <c r="W18" s="118">
        <f t="shared" si="12"/>
        <v>15252</v>
      </c>
      <c r="X18" s="118">
        <f t="shared" si="12"/>
        <v>15441</v>
      </c>
    </row>
    <row r="19" spans="1:24" x14ac:dyDescent="0.2">
      <c r="A19" t="s">
        <v>303</v>
      </c>
      <c r="B19" t="s">
        <v>1070</v>
      </c>
      <c r="D19" s="129" t="str">
        <f>IF([1]RENAME!$H$3=1,B19,A19)</f>
        <v>De dois a cinco anos</v>
      </c>
      <c r="E19" s="118">
        <f t="shared" ref="E19:K19" si="13">+E7-E13</f>
        <v>62383</v>
      </c>
      <c r="F19" s="118">
        <f t="shared" si="13"/>
        <v>42071</v>
      </c>
      <c r="G19" s="118">
        <f t="shared" si="13"/>
        <v>4671</v>
      </c>
      <c r="H19" s="118">
        <f t="shared" si="13"/>
        <v>39323</v>
      </c>
      <c r="I19" s="118">
        <f t="shared" si="13"/>
        <v>39309</v>
      </c>
      <c r="J19" s="118">
        <f t="shared" si="13"/>
        <v>47325</v>
      </c>
      <c r="K19" s="118">
        <f t="shared" si="13"/>
        <v>41524</v>
      </c>
      <c r="L19" s="118">
        <f t="shared" si="9"/>
        <v>18240</v>
      </c>
      <c r="M19" s="118">
        <f t="shared" si="9"/>
        <v>22825</v>
      </c>
      <c r="N19" s="118">
        <f t="shared" si="9"/>
        <v>37348</v>
      </c>
      <c r="O19" s="118">
        <f t="shared" si="9"/>
        <v>34336</v>
      </c>
      <c r="P19" s="118">
        <f t="shared" si="10"/>
        <v>31325</v>
      </c>
      <c r="Q19" s="118">
        <f t="shared" si="10"/>
        <v>38213</v>
      </c>
      <c r="R19" s="118">
        <f t="shared" si="10"/>
        <v>33932.595309999997</v>
      </c>
      <c r="S19" s="118">
        <f t="shared" si="11"/>
        <v>29553.29825</v>
      </c>
      <c r="T19" s="118">
        <f t="shared" si="11"/>
        <v>25162</v>
      </c>
      <c r="U19" s="118">
        <v>21828</v>
      </c>
      <c r="V19" s="118">
        <f t="shared" si="12"/>
        <v>18039</v>
      </c>
      <c r="W19" s="118">
        <f t="shared" si="12"/>
        <v>13951</v>
      </c>
      <c r="X19" s="118">
        <f t="shared" si="12"/>
        <v>10162</v>
      </c>
    </row>
    <row r="20" spans="1:24" s="233" customFormat="1" hidden="1" outlineLevel="1" x14ac:dyDescent="0.2">
      <c r="A20" s="233" t="s">
        <v>304</v>
      </c>
      <c r="B20" s="233" t="s">
        <v>1071</v>
      </c>
      <c r="D20" s="250" t="str">
        <f>IF([1]RENAME!$H$3=1,B20,A20)</f>
        <v>Acima de cinco anos</v>
      </c>
      <c r="E20" s="218">
        <f t="shared" ref="E20:K20" si="14">+E8-E14</f>
        <v>35429</v>
      </c>
      <c r="F20" s="218">
        <f t="shared" si="14"/>
        <v>30704</v>
      </c>
      <c r="G20" s="218">
        <f t="shared" si="14"/>
        <v>-6</v>
      </c>
      <c r="H20" s="218">
        <f t="shared" si="14"/>
        <v>25621</v>
      </c>
      <c r="I20" s="218">
        <f t="shared" si="14"/>
        <v>23472</v>
      </c>
      <c r="J20" s="218">
        <f t="shared" si="14"/>
        <v>25532</v>
      </c>
      <c r="K20" s="218">
        <f t="shared" si="14"/>
        <v>4325</v>
      </c>
      <c r="L20" s="218">
        <f t="shared" si="9"/>
        <v>760</v>
      </c>
      <c r="M20" s="218">
        <f t="shared" si="9"/>
        <v>0</v>
      </c>
      <c r="N20" s="218">
        <f t="shared" si="9"/>
        <v>0</v>
      </c>
      <c r="O20" s="218">
        <f t="shared" si="9"/>
        <v>0</v>
      </c>
      <c r="P20" s="218">
        <f t="shared" si="10"/>
        <v>0</v>
      </c>
      <c r="Q20" s="218">
        <f t="shared" si="10"/>
        <v>0</v>
      </c>
      <c r="R20" s="218">
        <f t="shared" si="10"/>
        <v>0</v>
      </c>
      <c r="S20" s="218">
        <f t="shared" si="11"/>
        <v>0</v>
      </c>
      <c r="T20" s="218">
        <f t="shared" si="11"/>
        <v>0</v>
      </c>
      <c r="U20" s="218">
        <v>0</v>
      </c>
      <c r="V20" s="218">
        <f t="shared" si="12"/>
        <v>0</v>
      </c>
      <c r="W20" s="218">
        <f t="shared" si="12"/>
        <v>0</v>
      </c>
      <c r="X20" s="218">
        <f t="shared" si="12"/>
        <v>0</v>
      </c>
    </row>
    <row r="21" spans="1:24" ht="25.5" collapsed="1" x14ac:dyDescent="0.2">
      <c r="A21" t="s">
        <v>301</v>
      </c>
      <c r="B21" t="s">
        <v>1072</v>
      </c>
      <c r="D21" s="126" t="str">
        <f>IF([1]RENAME!$H$3=1,B21,A21)</f>
        <v>Obrigações brutas de arrendamento operacional - Pagamentos mínimos de arrendamento</v>
      </c>
      <c r="E21" s="120">
        <f>SUM(E18:E20)</f>
        <v>126950</v>
      </c>
      <c r="F21" s="120">
        <f t="shared" ref="F21:K21" si="15">SUM(F18:F20)</f>
        <v>97982</v>
      </c>
      <c r="G21" s="120">
        <f t="shared" si="15"/>
        <v>92857</v>
      </c>
      <c r="H21" s="120">
        <f t="shared" si="15"/>
        <v>94566</v>
      </c>
      <c r="I21" s="120">
        <f t="shared" si="15"/>
        <v>92868</v>
      </c>
      <c r="J21" s="120">
        <f t="shared" si="15"/>
        <v>100055</v>
      </c>
      <c r="K21" s="120">
        <f t="shared" si="15"/>
        <v>62398</v>
      </c>
      <c r="L21" s="120">
        <f>SUM(L18:L20)</f>
        <v>32917</v>
      </c>
      <c r="M21" s="120">
        <f>SUM(M18:M20)</f>
        <v>32895</v>
      </c>
      <c r="N21" s="120">
        <f>SUM(N18:N20)</f>
        <v>52339</v>
      </c>
      <c r="O21" s="120">
        <f>SUM(O18:O20)</f>
        <v>47874</v>
      </c>
      <c r="P21" s="120">
        <v>43409</v>
      </c>
      <c r="Q21" s="120">
        <v>56000</v>
      </c>
      <c r="R21" s="120">
        <v>51716.664829999994</v>
      </c>
      <c r="S21" s="120">
        <f t="shared" ref="S21:X21" si="16">SUM(S18:S20)</f>
        <v>47673.622329999998</v>
      </c>
      <c r="T21" s="120">
        <f t="shared" si="16"/>
        <v>43024</v>
      </c>
      <c r="U21" s="120">
        <f t="shared" si="16"/>
        <v>37327</v>
      </c>
      <c r="V21" s="120">
        <f t="shared" si="16"/>
        <v>33935</v>
      </c>
      <c r="W21" s="120">
        <f t="shared" si="16"/>
        <v>29203</v>
      </c>
      <c r="X21" s="120">
        <f t="shared" si="16"/>
        <v>25603</v>
      </c>
    </row>
    <row r="25" spans="1:24" x14ac:dyDescent="0.2">
      <c r="D25" s="47"/>
      <c r="E25" s="89"/>
      <c r="F25" s="89"/>
    </row>
    <row r="26" spans="1:24" x14ac:dyDescent="0.2">
      <c r="D26" s="47"/>
      <c r="E26" s="45"/>
    </row>
    <row r="27" spans="1:24" x14ac:dyDescent="0.2">
      <c r="D27" s="47"/>
      <c r="E27" s="107"/>
    </row>
    <row r="28" spans="1:24" x14ac:dyDescent="0.2">
      <c r="D28" s="47"/>
      <c r="E28" s="95"/>
    </row>
    <row r="29" spans="1:24" x14ac:dyDescent="0.2">
      <c r="D29" s="47"/>
      <c r="E29" s="95"/>
    </row>
    <row r="30" spans="1:24" x14ac:dyDescent="0.2">
      <c r="D30" s="47"/>
      <c r="E30" s="95"/>
    </row>
    <row r="31" spans="1:24" x14ac:dyDescent="0.2">
      <c r="D31" s="40"/>
      <c r="E31" s="94"/>
    </row>
  </sheetData>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15">
    <pageSetUpPr autoPageBreaks="0"/>
  </sheetPr>
  <dimension ref="A1:CS161"/>
  <sheetViews>
    <sheetView showGridLines="0" zoomScale="115" zoomScaleNormal="115" workbookViewId="0">
      <pane xSplit="33" ySplit="5" topLeftCell="AV31" activePane="bottomRight" state="frozen"/>
      <selection activeCell="AY7" sqref="AY7"/>
      <selection pane="topRight" activeCell="AY7" sqref="AY7"/>
      <selection pane="bottomLeft" activeCell="AY7" sqref="AY7"/>
      <selection pane="bottomRight" activeCell="BA39" sqref="BA39"/>
    </sheetView>
  </sheetViews>
  <sheetFormatPr defaultColWidth="9.140625" defaultRowHeight="12.75" outlineLevelRow="2" outlineLevelCol="1" x14ac:dyDescent="0.2"/>
  <cols>
    <col min="1" max="2" width="9.140625" style="201" hidden="1" customWidth="1"/>
    <col min="3" max="3" width="2.140625" style="201" customWidth="1"/>
    <col min="4" max="4" width="59.85546875" style="201" customWidth="1"/>
    <col min="5" max="26" width="10.85546875" style="203" hidden="1" customWidth="1" outlineLevel="1"/>
    <col min="27" max="33" width="11.140625" style="203" hidden="1" customWidth="1" outlineLevel="1"/>
    <col min="34" max="34" width="8.140625" style="203" bestFit="1" customWidth="1" collapsed="1"/>
    <col min="35" max="40" width="8.140625" style="203" bestFit="1" customWidth="1"/>
    <col min="41" max="42" width="8.140625" style="202" bestFit="1" customWidth="1"/>
    <col min="43" max="46" width="8.140625" style="202" customWidth="1"/>
    <col min="47" max="48" width="8.140625" style="202" bestFit="1" customWidth="1"/>
    <col min="49" max="49" width="8.85546875" style="202" bestFit="1" customWidth="1"/>
    <col min="50" max="50" width="8.85546875" style="202" customWidth="1"/>
    <col min="51" max="51" width="8.140625" style="202" customWidth="1"/>
    <col min="52" max="66" width="10.85546875" style="201" customWidth="1"/>
    <col min="67" max="67" width="8.42578125" style="201" customWidth="1"/>
    <col min="68" max="86" width="10.85546875" style="201" customWidth="1"/>
    <col min="87" max="16384" width="9.140625" style="201"/>
  </cols>
  <sheetData>
    <row r="1" spans="1:97" s="565" customFormat="1" x14ac:dyDescent="0.2">
      <c r="E1" s="563">
        <v>42004</v>
      </c>
      <c r="F1" s="563">
        <v>42185</v>
      </c>
      <c r="G1" s="563">
        <v>42277</v>
      </c>
      <c r="H1" s="563">
        <v>42369</v>
      </c>
      <c r="I1" s="563">
        <v>42460</v>
      </c>
      <c r="J1" s="563">
        <v>42551</v>
      </c>
      <c r="K1" s="564">
        <v>42643</v>
      </c>
      <c r="L1" s="564">
        <v>42735</v>
      </c>
      <c r="M1" s="564">
        <v>42825</v>
      </c>
      <c r="N1" s="564">
        <v>42916</v>
      </c>
      <c r="O1" s="588">
        <v>43008</v>
      </c>
      <c r="P1" s="588">
        <v>43099</v>
      </c>
      <c r="Q1" s="674">
        <v>43189</v>
      </c>
      <c r="R1" s="674">
        <v>43281</v>
      </c>
      <c r="S1" s="674">
        <v>43373</v>
      </c>
      <c r="T1" s="674">
        <v>43464</v>
      </c>
      <c r="U1" s="674">
        <v>43555</v>
      </c>
      <c r="V1" s="674">
        <v>43646</v>
      </c>
      <c r="W1" s="674">
        <v>43738</v>
      </c>
      <c r="X1" s="674">
        <v>43829</v>
      </c>
      <c r="Y1" s="674">
        <v>43921</v>
      </c>
      <c r="Z1" s="674" t="s">
        <v>1676</v>
      </c>
      <c r="AA1" s="674" t="s">
        <v>1784</v>
      </c>
      <c r="AB1" s="674">
        <v>44195</v>
      </c>
      <c r="AC1" s="674">
        <v>44285</v>
      </c>
      <c r="AD1" s="674">
        <v>44377</v>
      </c>
      <c r="AE1" s="674">
        <v>44469</v>
      </c>
      <c r="AF1" s="674">
        <v>44561</v>
      </c>
      <c r="AG1" s="674">
        <v>44651</v>
      </c>
      <c r="AH1" s="674">
        <v>44742</v>
      </c>
      <c r="AI1" s="674">
        <v>44834</v>
      </c>
      <c r="AJ1" s="674">
        <v>44926</v>
      </c>
      <c r="AK1" s="674">
        <v>45016</v>
      </c>
      <c r="AL1" s="674">
        <v>45107</v>
      </c>
      <c r="AM1" s="674">
        <v>45199</v>
      </c>
      <c r="AN1" s="674">
        <v>45291</v>
      </c>
      <c r="AO1" s="674">
        <v>45382</v>
      </c>
      <c r="AP1" s="674">
        <v>45473</v>
      </c>
      <c r="AQ1" s="674">
        <v>45565</v>
      </c>
      <c r="AR1" s="674">
        <v>45657</v>
      </c>
      <c r="AS1" s="674">
        <v>45747</v>
      </c>
      <c r="AT1" s="674">
        <v>45838</v>
      </c>
      <c r="AU1" s="674">
        <v>45930</v>
      </c>
      <c r="AV1" s="674">
        <v>46022</v>
      </c>
      <c r="AW1" s="674">
        <v>46112</v>
      </c>
      <c r="AX1" s="674">
        <v>46203</v>
      </c>
      <c r="AY1" s="674"/>
      <c r="AZ1" s="547" t="e">
        <f>IF(LEFT(AY1,1)="4","1T"&amp;RIGHT(AY1,2)+1,LEFT(AY1,1)+1&amp;RIGHT(AY1,3))</f>
        <v>#VALUE!</v>
      </c>
      <c r="BA1" s="563" t="e">
        <f t="shared" ref="BA1:BL1" si="0">IF(LEFT(AZ1,1)="4","1T"&amp;RIGHT(AZ1,2)+1,LEFT(AZ1,1)+1&amp;RIGHT(AZ1,3))</f>
        <v>#VALUE!</v>
      </c>
      <c r="BB1" s="563" t="e">
        <f t="shared" si="0"/>
        <v>#VALUE!</v>
      </c>
      <c r="BC1" s="563" t="e">
        <f t="shared" si="0"/>
        <v>#VALUE!</v>
      </c>
      <c r="BD1" s="563" t="e">
        <f t="shared" si="0"/>
        <v>#VALUE!</v>
      </c>
      <c r="BE1" s="564" t="e">
        <f t="shared" si="0"/>
        <v>#VALUE!</v>
      </c>
      <c r="BF1" s="564" t="e">
        <f t="shared" si="0"/>
        <v>#VALUE!</v>
      </c>
      <c r="BG1" s="564" t="e">
        <f t="shared" si="0"/>
        <v>#VALUE!</v>
      </c>
      <c r="BH1" s="564" t="e">
        <f t="shared" si="0"/>
        <v>#VALUE!</v>
      </c>
      <c r="BI1" s="565" t="e">
        <f t="shared" si="0"/>
        <v>#VALUE!</v>
      </c>
      <c r="BJ1" s="812" t="e">
        <f t="shared" si="0"/>
        <v>#VALUE!</v>
      </c>
      <c r="BK1" s="812" t="e">
        <f t="shared" si="0"/>
        <v>#VALUE!</v>
      </c>
      <c r="BL1" s="812" t="e">
        <f t="shared" si="0"/>
        <v>#VALUE!</v>
      </c>
      <c r="BM1" s="812" t="e">
        <f t="shared" ref="BM1:BX1" si="1">IF(LEFT(BL1,1)="4","1T"&amp;RIGHT(BL1,2)+1,LEFT(BL1,1)+1&amp;RIGHT(BL1,3))</f>
        <v>#VALUE!</v>
      </c>
      <c r="BN1" s="812" t="e">
        <f t="shared" si="1"/>
        <v>#VALUE!</v>
      </c>
      <c r="BO1" s="812" t="e">
        <f t="shared" si="1"/>
        <v>#VALUE!</v>
      </c>
      <c r="BP1" s="812" t="e">
        <f t="shared" si="1"/>
        <v>#VALUE!</v>
      </c>
      <c r="BQ1" s="812" t="e">
        <f t="shared" si="1"/>
        <v>#VALUE!</v>
      </c>
      <c r="BR1" s="812" t="e">
        <f t="shared" si="1"/>
        <v>#VALUE!</v>
      </c>
      <c r="BS1" s="812" t="e">
        <f t="shared" si="1"/>
        <v>#VALUE!</v>
      </c>
      <c r="BT1" s="812" t="e">
        <f t="shared" si="1"/>
        <v>#VALUE!</v>
      </c>
      <c r="BU1" s="812" t="e">
        <f t="shared" si="1"/>
        <v>#VALUE!</v>
      </c>
      <c r="BV1" s="812" t="e">
        <f t="shared" si="1"/>
        <v>#VALUE!</v>
      </c>
      <c r="BW1" s="812" t="e">
        <f t="shared" si="1"/>
        <v>#VALUE!</v>
      </c>
      <c r="BX1" s="812" t="e">
        <f t="shared" si="1"/>
        <v>#VALUE!</v>
      </c>
      <c r="BY1" s="812" t="e">
        <f>IF(LEFT(BX1,1)="4","1T"&amp;RIGHT(BX1,2)+1,LEFT(BX1,1)+1&amp;RIGHT(BX1,3))</f>
        <v>#VALUE!</v>
      </c>
      <c r="BZ1" s="812" t="e">
        <f>IF(LEFT(BY1,1)="4","1T"&amp;RIGHT(BY1,2)+1,LEFT(BY1,1)+1&amp;RIGHT(BY1,3))</f>
        <v>#VALUE!</v>
      </c>
      <c r="CA1" s="812" t="e">
        <f t="shared" ref="CA1:CH1" si="2">IF(LEFT(BZ1,1)="4","1T"&amp;RIGHT(BZ1,2)+1,LEFT(BZ1,1)+1&amp;RIGHT(BZ1,3))</f>
        <v>#VALUE!</v>
      </c>
      <c r="CB1" s="812" t="e">
        <f t="shared" si="2"/>
        <v>#VALUE!</v>
      </c>
      <c r="CC1" s="812" t="e">
        <f t="shared" si="2"/>
        <v>#VALUE!</v>
      </c>
      <c r="CD1" s="812" t="e">
        <f t="shared" si="2"/>
        <v>#VALUE!</v>
      </c>
      <c r="CE1" s="812" t="e">
        <f t="shared" si="2"/>
        <v>#VALUE!</v>
      </c>
      <c r="CF1" s="812" t="e">
        <f t="shared" si="2"/>
        <v>#VALUE!</v>
      </c>
      <c r="CG1" s="812" t="e">
        <f t="shared" si="2"/>
        <v>#VALUE!</v>
      </c>
      <c r="CH1" s="812" t="e">
        <f t="shared" si="2"/>
        <v>#VALUE!</v>
      </c>
      <c r="CI1" s="812" t="e">
        <f t="shared" ref="CI1:CP1" si="3">IF(LEFT(CH1,1)="4","1T"&amp;RIGHT(CH1,2)+1,LEFT(CH1,1)+1&amp;RIGHT(CH1,3))</f>
        <v>#VALUE!</v>
      </c>
      <c r="CJ1" s="812" t="e">
        <f t="shared" si="3"/>
        <v>#VALUE!</v>
      </c>
      <c r="CK1" s="812" t="e">
        <f t="shared" si="3"/>
        <v>#VALUE!</v>
      </c>
      <c r="CL1" s="812" t="e">
        <f t="shared" si="3"/>
        <v>#VALUE!</v>
      </c>
      <c r="CM1" s="812" t="e">
        <f t="shared" si="3"/>
        <v>#VALUE!</v>
      </c>
      <c r="CN1" s="812" t="e">
        <f t="shared" si="3"/>
        <v>#VALUE!</v>
      </c>
      <c r="CO1" s="812" t="e">
        <f t="shared" si="3"/>
        <v>#VALUE!</v>
      </c>
      <c r="CP1" s="812" t="e">
        <f t="shared" si="3"/>
        <v>#VALUE!</v>
      </c>
      <c r="CQ1" s="1198"/>
      <c r="CR1" s="1198"/>
      <c r="CS1" s="1198"/>
    </row>
    <row r="2" spans="1:97" s="565" customFormat="1" ht="18" x14ac:dyDescent="0.25">
      <c r="E2" s="563"/>
      <c r="F2" s="563"/>
      <c r="G2" s="563"/>
      <c r="H2" s="563"/>
      <c r="I2" s="563"/>
      <c r="J2" s="563"/>
      <c r="K2" s="563"/>
      <c r="L2" s="563"/>
      <c r="M2" s="563"/>
      <c r="N2" s="563"/>
      <c r="O2" s="588"/>
      <c r="P2" s="588"/>
      <c r="Q2" s="588"/>
      <c r="R2" s="588"/>
      <c r="S2" s="588"/>
      <c r="T2" s="588"/>
      <c r="U2" s="588"/>
      <c r="V2" s="588"/>
      <c r="W2" s="588"/>
      <c r="X2" s="588"/>
      <c r="Y2" s="588"/>
      <c r="Z2" s="1040"/>
      <c r="AA2" s="1040"/>
      <c r="AB2" s="1040"/>
      <c r="AC2" s="1040"/>
      <c r="AD2" s="1040"/>
      <c r="AE2" s="1040"/>
      <c r="AF2" s="1040"/>
      <c r="AG2" s="1040"/>
      <c r="AH2" s="588"/>
      <c r="AI2" s="588"/>
      <c r="AJ2" s="588"/>
      <c r="AK2" s="588"/>
      <c r="AL2" s="588"/>
      <c r="AM2" s="588"/>
      <c r="AN2" s="588"/>
      <c r="AO2" s="589"/>
      <c r="AP2" s="589"/>
      <c r="AQ2" s="589"/>
      <c r="AR2" s="589"/>
      <c r="AS2" s="589"/>
      <c r="AT2" s="589"/>
      <c r="AU2" s="589"/>
      <c r="AV2" s="589"/>
      <c r="AW2" s="589"/>
      <c r="AX2" s="589"/>
      <c r="AY2" s="589"/>
      <c r="AZ2" s="557" t="e">
        <f t="shared" ref="AZ2:BI2" si="4">SUBSTITUTE(AZ1,"T","Q")</f>
        <v>#VALUE!</v>
      </c>
      <c r="BA2" s="563" t="e">
        <f t="shared" si="4"/>
        <v>#VALUE!</v>
      </c>
      <c r="BB2" s="563" t="e">
        <f t="shared" si="4"/>
        <v>#VALUE!</v>
      </c>
      <c r="BC2" s="563" t="e">
        <f t="shared" si="4"/>
        <v>#VALUE!</v>
      </c>
      <c r="BD2" s="563" t="e">
        <f t="shared" si="4"/>
        <v>#VALUE!</v>
      </c>
      <c r="BE2" s="565" t="e">
        <f t="shared" si="4"/>
        <v>#VALUE!</v>
      </c>
      <c r="BF2" s="565" t="e">
        <f t="shared" si="4"/>
        <v>#VALUE!</v>
      </c>
      <c r="BG2" s="565" t="e">
        <f t="shared" si="4"/>
        <v>#VALUE!</v>
      </c>
      <c r="BH2" s="565" t="e">
        <f t="shared" si="4"/>
        <v>#VALUE!</v>
      </c>
      <c r="BI2" s="565" t="e">
        <f t="shared" si="4"/>
        <v>#VALUE!</v>
      </c>
      <c r="BJ2" s="812" t="e">
        <f t="shared" ref="BJ2:BO2" si="5">SUBSTITUTE(BJ1,"T","Q")</f>
        <v>#VALUE!</v>
      </c>
      <c r="BK2" s="812" t="e">
        <f t="shared" si="5"/>
        <v>#VALUE!</v>
      </c>
      <c r="BL2" s="812" t="e">
        <f t="shared" si="5"/>
        <v>#VALUE!</v>
      </c>
      <c r="BM2" s="812" t="e">
        <f t="shared" si="5"/>
        <v>#VALUE!</v>
      </c>
      <c r="BN2" s="812" t="e">
        <f t="shared" si="5"/>
        <v>#VALUE!</v>
      </c>
      <c r="BO2" s="812" t="e">
        <f t="shared" si="5"/>
        <v>#VALUE!</v>
      </c>
      <c r="BP2" s="812" t="e">
        <f t="shared" ref="BP2:BU2" si="6">SUBSTITUTE(BP1,"T","Q")</f>
        <v>#VALUE!</v>
      </c>
      <c r="BQ2" s="812" t="e">
        <f t="shared" si="6"/>
        <v>#VALUE!</v>
      </c>
      <c r="BR2" s="812" t="e">
        <f t="shared" si="6"/>
        <v>#VALUE!</v>
      </c>
      <c r="BS2" s="812" t="e">
        <f t="shared" si="6"/>
        <v>#VALUE!</v>
      </c>
      <c r="BT2" s="812" t="e">
        <f t="shared" si="6"/>
        <v>#VALUE!</v>
      </c>
      <c r="BU2" s="812" t="e">
        <f t="shared" si="6"/>
        <v>#VALUE!</v>
      </c>
      <c r="BV2" s="812" t="e">
        <f t="shared" ref="BV2:CI2" si="7">SUBSTITUTE(BV1,"T","Q")</f>
        <v>#VALUE!</v>
      </c>
      <c r="BW2" s="812" t="e">
        <f t="shared" si="7"/>
        <v>#VALUE!</v>
      </c>
      <c r="BX2" s="812" t="e">
        <f t="shared" si="7"/>
        <v>#VALUE!</v>
      </c>
      <c r="BY2" s="812" t="e">
        <f t="shared" si="7"/>
        <v>#VALUE!</v>
      </c>
      <c r="BZ2" s="812" t="e">
        <f t="shared" si="7"/>
        <v>#VALUE!</v>
      </c>
      <c r="CA2" s="812" t="e">
        <f t="shared" si="7"/>
        <v>#VALUE!</v>
      </c>
      <c r="CB2" s="812" t="e">
        <f t="shared" si="7"/>
        <v>#VALUE!</v>
      </c>
      <c r="CC2" s="812" t="e">
        <f t="shared" si="7"/>
        <v>#VALUE!</v>
      </c>
      <c r="CD2" s="812" t="e">
        <f t="shared" si="7"/>
        <v>#VALUE!</v>
      </c>
      <c r="CE2" s="812" t="e">
        <f t="shared" si="7"/>
        <v>#VALUE!</v>
      </c>
      <c r="CF2" s="812" t="e">
        <f t="shared" si="7"/>
        <v>#VALUE!</v>
      </c>
      <c r="CG2" s="812" t="e">
        <f t="shared" si="7"/>
        <v>#VALUE!</v>
      </c>
      <c r="CH2" s="812" t="e">
        <f t="shared" si="7"/>
        <v>#VALUE!</v>
      </c>
      <c r="CI2" s="812" t="e">
        <f t="shared" si="7"/>
        <v>#VALUE!</v>
      </c>
      <c r="CJ2" s="812" t="e">
        <f>SUBSTITUTE(CJ1,"T","Q")</f>
        <v>#VALUE!</v>
      </c>
      <c r="CK2" s="812" t="e">
        <f>IF(LEFT(CJ2,1)="4","1T"&amp;RIGHT(CJ2,2)+1,LEFT(CJ2,1)+1&amp;RIGHT(CJ2,3))</f>
        <v>#VALUE!</v>
      </c>
      <c r="CL2" s="812" t="e">
        <f>IF(LEFT(CK2,1)="4","1T"&amp;RIGHT(CK2,2)+1,LEFT(CK2,1)+1&amp;RIGHT(CK2,3))</f>
        <v>#VALUE!</v>
      </c>
      <c r="CM2" s="812" t="e">
        <f>IF(LEFT(CL2,1)="4","1T"&amp;RIGHT(CL2,2)+1,LEFT(CL2,1)+1&amp;RIGHT(CL2,3))</f>
        <v>#VALUE!</v>
      </c>
      <c r="CN2" s="1198"/>
      <c r="CO2" s="1198"/>
      <c r="CP2" s="1198"/>
      <c r="CQ2" s="1198"/>
      <c r="CR2" s="1198"/>
      <c r="CS2" s="1198"/>
    </row>
    <row r="3" spans="1:97" s="565" customFormat="1" x14ac:dyDescent="0.2">
      <c r="A3" s="565" t="s">
        <v>89</v>
      </c>
      <c r="D3" s="565" t="s">
        <v>89</v>
      </c>
      <c r="E3" s="564"/>
      <c r="F3" s="564"/>
      <c r="G3" s="564"/>
      <c r="H3" s="564"/>
      <c r="I3" s="564"/>
      <c r="J3" s="564"/>
      <c r="K3" s="564"/>
      <c r="L3" s="564"/>
      <c r="M3" s="564"/>
      <c r="N3" s="564"/>
      <c r="O3" s="588"/>
      <c r="P3" s="588"/>
      <c r="Q3" s="588"/>
      <c r="R3" s="588"/>
      <c r="S3" s="588"/>
      <c r="T3" s="588"/>
      <c r="U3" s="588"/>
      <c r="V3" s="588"/>
      <c r="W3" s="588"/>
      <c r="X3" s="588"/>
      <c r="Y3" s="588"/>
      <c r="Z3" s="588"/>
      <c r="AA3" s="588"/>
      <c r="AB3" s="588"/>
      <c r="AC3" s="588"/>
      <c r="AD3" s="588"/>
      <c r="AE3" s="588"/>
      <c r="AF3" s="588"/>
      <c r="AG3" s="588"/>
      <c r="AH3" s="1040"/>
      <c r="AI3" s="1040"/>
      <c r="AJ3" s="1040"/>
      <c r="AK3" s="1040"/>
      <c r="AL3" s="1040"/>
      <c r="AM3" s="1040"/>
      <c r="AN3" s="1040"/>
      <c r="AO3" s="1179"/>
      <c r="AP3" s="1179"/>
      <c r="AQ3" s="1179"/>
      <c r="AR3" s="1179"/>
      <c r="AS3" s="1179"/>
      <c r="AT3" s="1179"/>
      <c r="AU3" s="1179"/>
      <c r="AV3" s="1179"/>
      <c r="AW3" s="1179"/>
      <c r="AX3" s="1179"/>
      <c r="AY3" s="1179"/>
      <c r="AZ3" s="564"/>
      <c r="BA3" s="564"/>
      <c r="BB3" s="564"/>
      <c r="BC3" s="564"/>
      <c r="BD3" s="564"/>
      <c r="BE3" s="564"/>
      <c r="BF3" s="564"/>
      <c r="BG3" s="564"/>
      <c r="BH3" s="564"/>
      <c r="BI3" s="564"/>
      <c r="BJ3" s="813"/>
      <c r="BK3" s="813"/>
      <c r="BL3" s="813"/>
      <c r="BM3" s="813"/>
      <c r="BN3" s="813"/>
      <c r="BO3" s="813"/>
      <c r="BP3" s="813"/>
      <c r="BQ3" s="813"/>
      <c r="BR3" s="813"/>
      <c r="BS3" s="813"/>
      <c r="BT3" s="813"/>
      <c r="BU3" s="813"/>
      <c r="BV3" s="813"/>
      <c r="BW3" s="813"/>
      <c r="BX3" s="813"/>
      <c r="BY3" s="813"/>
      <c r="BZ3" s="813"/>
      <c r="CA3" s="813"/>
      <c r="CB3" s="813"/>
      <c r="CC3" s="813"/>
      <c r="CD3" s="813"/>
      <c r="CE3" s="813"/>
      <c r="CF3" s="813"/>
      <c r="CG3" s="813"/>
      <c r="CH3" s="813"/>
      <c r="CN3" s="1198"/>
      <c r="CO3" s="1198"/>
      <c r="CP3" s="1198"/>
      <c r="CQ3" s="1198"/>
      <c r="CR3" s="1198"/>
      <c r="CS3" s="1198"/>
    </row>
    <row r="4" spans="1:97" s="565" customFormat="1" x14ac:dyDescent="0.2">
      <c r="B4" s="565" t="s">
        <v>89</v>
      </c>
      <c r="E4" s="564"/>
      <c r="F4" s="564"/>
      <c r="G4" s="564"/>
      <c r="H4" s="564"/>
      <c r="I4" s="564"/>
      <c r="J4" s="564"/>
      <c r="K4" s="564"/>
      <c r="L4" s="564"/>
      <c r="M4" s="564"/>
      <c r="N4" s="564"/>
      <c r="O4" s="588"/>
      <c r="P4" s="588"/>
      <c r="Q4" s="588"/>
      <c r="R4" s="588"/>
      <c r="S4" s="588"/>
      <c r="T4" s="588"/>
      <c r="U4" s="588"/>
      <c r="V4" s="588"/>
      <c r="W4" s="588"/>
      <c r="X4" s="588"/>
      <c r="Y4" s="588"/>
      <c r="Z4" s="588"/>
      <c r="AA4" s="588"/>
      <c r="AB4" s="588"/>
      <c r="AC4" s="588"/>
      <c r="AD4" s="588"/>
      <c r="AE4" s="588"/>
      <c r="AF4" s="588"/>
      <c r="AG4" s="588"/>
      <c r="AH4" s="1040"/>
      <c r="AI4" s="1040"/>
      <c r="AJ4" s="1040"/>
      <c r="AK4" s="1040"/>
      <c r="AL4" s="1040"/>
      <c r="AM4" s="1040"/>
      <c r="AN4" s="1040"/>
      <c r="AO4" s="1179"/>
      <c r="AP4" s="1179"/>
      <c r="AQ4" s="1179"/>
      <c r="AR4" s="1179"/>
      <c r="AS4" s="1179"/>
      <c r="AT4" s="1179"/>
      <c r="AU4" s="1179"/>
      <c r="AV4" s="1179"/>
      <c r="AW4" s="1179"/>
      <c r="AX4" s="1179"/>
      <c r="AY4" s="1179"/>
      <c r="AZ4" s="564"/>
      <c r="BA4" s="564"/>
      <c r="BB4" s="564"/>
      <c r="BC4" s="564"/>
      <c r="BD4" s="564"/>
      <c r="BE4" s="564"/>
      <c r="BF4" s="564"/>
      <c r="BG4" s="564"/>
      <c r="BH4" s="564"/>
      <c r="BI4" s="564"/>
      <c r="BJ4" s="564"/>
      <c r="BK4" s="564"/>
      <c r="BL4" s="564"/>
      <c r="BM4" s="564"/>
      <c r="BN4" s="564"/>
      <c r="BO4" s="564"/>
      <c r="BP4" s="564"/>
      <c r="BQ4" s="564"/>
      <c r="BR4" s="564"/>
      <c r="BS4" s="564"/>
      <c r="BT4" s="564"/>
      <c r="BU4" s="564"/>
      <c r="BV4" s="564"/>
      <c r="BW4" s="564"/>
      <c r="BX4" s="564"/>
      <c r="BY4" s="564"/>
      <c r="BZ4" s="564"/>
      <c r="CA4" s="564"/>
      <c r="CB4" s="564"/>
      <c r="CC4" s="564"/>
      <c r="CD4" s="564"/>
      <c r="CE4" s="564"/>
      <c r="CF4" s="564"/>
      <c r="CG4" s="564"/>
      <c r="CH4" s="564"/>
      <c r="CN4" s="1198"/>
      <c r="CO4" s="1198"/>
      <c r="CP4" s="1198"/>
      <c r="CQ4" s="1198"/>
      <c r="CR4" s="1198"/>
      <c r="CS4" s="1198"/>
    </row>
    <row r="5" spans="1:97" x14ac:dyDescent="0.2">
      <c r="A5" s="201" t="s">
        <v>440</v>
      </c>
      <c r="B5" s="201" t="s">
        <v>1073</v>
      </c>
      <c r="D5" s="115" t="str">
        <f>IF([1]RENAME!$H$3=1,B5,A5)</f>
        <v>Balanço patrimonial</v>
      </c>
      <c r="E5" s="205">
        <f>IF([1]RENAME!$H$3=0,E1,TEXT(E1,"m/d/aa;@"))</f>
        <v>42004</v>
      </c>
      <c r="F5" s="205">
        <v>42094</v>
      </c>
      <c r="G5" s="205">
        <f>IF([1]RENAME!$H$3=0,F1,TEXT(F1,"m/d/aa;@"))</f>
        <v>42185</v>
      </c>
      <c r="H5" s="205">
        <f>IF([1]RENAME!$H$3=0,G1,TEXT(G1,"m/d/aa;@"))</f>
        <v>42277</v>
      </c>
      <c r="I5" s="205">
        <f>IF([1]RENAME!$H$3=0,H1,TEXT(H1,"m/d/aa;@"))</f>
        <v>42369</v>
      </c>
      <c r="J5" s="205">
        <f>IF([1]RENAME!$H$3=0,I1,TEXT(I1,"m/d/aa;@"))</f>
        <v>42460</v>
      </c>
      <c r="K5" s="205">
        <f>IF([1]RENAME!$H$3=0,J1,TEXT(J1,"m/d/aa;@"))</f>
        <v>42551</v>
      </c>
      <c r="L5" s="205">
        <f>IF([1]RENAME!$H$3=0,K1,TEXT(K1,"m/d/aa;@"))</f>
        <v>42643</v>
      </c>
      <c r="M5" s="205">
        <f>IF([1]RENAME!$H$3=0,L1,TEXT(L1,"m/d/aa;@"))</f>
        <v>42735</v>
      </c>
      <c r="N5" s="205">
        <f>IF([1]RENAME!$H$3=0,M1,TEXT(M1,"m/d/aa;@"))</f>
        <v>42825</v>
      </c>
      <c r="O5" s="205">
        <f>IF([1]RENAME!$H$3=0,N1,TEXT(N1,"m/d/aa;@"))</f>
        <v>42916</v>
      </c>
      <c r="P5" s="205">
        <v>43008</v>
      </c>
      <c r="Q5" s="205">
        <f>IF([1]RENAME!$H$3=0,P1,TEXT(P1,"m/d/aa;@"))</f>
        <v>43099</v>
      </c>
      <c r="R5" s="205">
        <f>IF([1]RENAME!$H$3=0,Q1,TEXT(Q1,"m/d/aa;@"))</f>
        <v>43189</v>
      </c>
      <c r="S5" s="205">
        <f>IF([1]RENAME!$H$3=0,R1,TEXT(R1,"m/d/aa;@"))</f>
        <v>43281</v>
      </c>
      <c r="T5" s="205">
        <f>IF([1]RENAME!$H$3=0,S1,TEXT(S1,"m/d/aa;@"))</f>
        <v>43373</v>
      </c>
      <c r="U5" s="205">
        <f>IF([1]RENAME!$H$3=0,T1,TEXT(T1,"m/d/aa;@"))</f>
        <v>43464</v>
      </c>
      <c r="V5" s="205">
        <f>IF([1]RENAME!$H$3=0,U1,TEXT(U1,"m/d/aa;@"))</f>
        <v>43555</v>
      </c>
      <c r="W5" s="205">
        <f>IF([1]RENAME!$H$3=0,V1,TEXT(V1,"m/d/aa;@"))</f>
        <v>43646</v>
      </c>
      <c r="X5" s="205">
        <v>43738</v>
      </c>
      <c r="Y5" s="205">
        <f>IF([1]RENAME!$H$3=0,X1,TEXT(X1,"m/d/aa;@"))</f>
        <v>43829</v>
      </c>
      <c r="Z5" s="205">
        <f>IF([1]RENAME!$H$3=0,Y1,TEXT(Y1,"m/d/aa;@"))</f>
        <v>43921</v>
      </c>
      <c r="AA5" s="205" t="str">
        <f>IF([1]RENAME!$H$3=0,Z1,TEXT(Z1,"m/d/aa;@"))</f>
        <v>31/06/2020</v>
      </c>
      <c r="AB5" s="205" t="str">
        <f>IF([1]RENAME!$H$3=0,AA1,TEXT(AA1,"m/d/aa;@"))</f>
        <v>31/09/2020</v>
      </c>
      <c r="AC5" s="205">
        <f>IF([1]RENAME!$H$3=0,AB1,TEXT(AB1,"m/d/aa;@"))</f>
        <v>44195</v>
      </c>
      <c r="AD5" s="205">
        <f>IF([1]RENAME!$H$3=0,AC1,TEXT(AC1,"m/d/aa;@"))</f>
        <v>44285</v>
      </c>
      <c r="AE5" s="205">
        <f>IF([1]RENAME!$H$3=0,AD1,TEXT(AD1,"m/d/aa;@"))</f>
        <v>44377</v>
      </c>
      <c r="AF5" s="205">
        <f>IF([1]RENAME!$H$3=0,AE1,TEXT(AE1,"m/d/aa;@"))</f>
        <v>44469</v>
      </c>
      <c r="AG5" s="205">
        <f>IF([1]RENAME!$H$3=0,AF1,TEXT(AF1,"m/d/aa;@"))</f>
        <v>44561</v>
      </c>
      <c r="AH5" s="205">
        <f>IF([1]RENAME!$H$3=0,AG1,TEXT(AG1,"m/d/aa;@"))</f>
        <v>44651</v>
      </c>
      <c r="AI5" s="205">
        <f>IF([1]RENAME!$H$3=0,AH1,TEXT(AH1,"m/d/aa;@"))</f>
        <v>44742</v>
      </c>
      <c r="AJ5" s="205">
        <f>IF([1]RENAME!$H$3=0,AI1,TEXT(AI1,"m/d/aa;@"))</f>
        <v>44834</v>
      </c>
      <c r="AK5" s="205">
        <f>IF([1]RENAME!$H$3=0,AJ1,TEXT(AJ1,"m/d/aa;@"))</f>
        <v>44926</v>
      </c>
      <c r="AL5" s="205">
        <f>IF([1]RENAME!$H$3=0,AK1,TEXT(AK1,"m/d/aa;@"))</f>
        <v>45016</v>
      </c>
      <c r="AM5" s="205">
        <f>IF([1]RENAME!$H$3=0,AL1,TEXT(AL1,"m/d/aa;@"))</f>
        <v>45107</v>
      </c>
      <c r="AN5" s="205">
        <f>IF([1]RENAME!$H$3=0,AM1,TEXT(AM1,"m/d/aa;@"))</f>
        <v>45199</v>
      </c>
      <c r="AO5" s="205">
        <f>IF([1]RENAME!$H$3=0,AN1,TEXT(AN1,"m/d/aa;@"))</f>
        <v>45291</v>
      </c>
      <c r="AP5" s="205">
        <f>IF([1]RENAME!$H$3=0,AO1,TEXT(AO1,"m/d/aa;@"))</f>
        <v>45382</v>
      </c>
      <c r="AQ5" s="205">
        <f>IF([1]RENAME!$H$3=0,AP1,TEXT(AP1,"m/d/aa;@"))</f>
        <v>45473</v>
      </c>
      <c r="AR5" s="205">
        <f>IF([1]RENAME!$H$3=0,AQ1,TEXT(AQ1,"m/d/aa;@"))</f>
        <v>45565</v>
      </c>
      <c r="AS5" s="205">
        <f>IF([1]RENAME!$H$3=0,AR1,TEXT(AR1,"m/d/aa;@"))</f>
        <v>45657</v>
      </c>
      <c r="AT5" s="205">
        <f>IF([1]RENAME!$H$3=0,AS1,TEXT(AS1,"m/d/aa;@"))</f>
        <v>45747</v>
      </c>
      <c r="AU5" s="205">
        <f>IF([1]RENAME!$H$3=0,AT1,TEXT(AU1,"m/d/aa;@"))</f>
        <v>45838</v>
      </c>
      <c r="AV5" s="205">
        <f>IF([1]RENAME!$H$3=0,AU1,TEXT(AV1,"m/d/aa;@"))</f>
        <v>45930</v>
      </c>
      <c r="AW5" s="205">
        <f>IF([1]RENAME!$H$3=0,AV1,TEXT(AW1,"m/d/aa;@"))</f>
        <v>46022</v>
      </c>
      <c r="AX5" s="205">
        <f>IF([1]RENAME!$H$3=0,AW1,TEXT(AX1,"m/d/aa;@"))</f>
        <v>46112</v>
      </c>
      <c r="AY5" s="205">
        <f>IF([1]RENAME!$H$3=0,AX1,TEXT(AY1,"m/d/aa;@"))</f>
        <v>46203</v>
      </c>
    </row>
    <row r="6" spans="1:97" x14ac:dyDescent="0.2">
      <c r="D6" s="129" t="s">
        <v>445</v>
      </c>
      <c r="E6" s="118">
        <v>1473</v>
      </c>
      <c r="F6" s="118"/>
      <c r="G6" s="118">
        <v>1101</v>
      </c>
      <c r="H6" s="118">
        <v>382</v>
      </c>
      <c r="I6" s="118">
        <v>590</v>
      </c>
      <c r="J6" s="118">
        <v>401</v>
      </c>
      <c r="K6" s="118">
        <v>203</v>
      </c>
      <c r="L6" s="118">
        <v>199</v>
      </c>
      <c r="M6" s="118">
        <v>134</v>
      </c>
      <c r="N6" s="118">
        <v>186</v>
      </c>
      <c r="O6" s="118">
        <v>275.68777999999969</v>
      </c>
      <c r="P6" s="118">
        <v>264.46657999999985</v>
      </c>
      <c r="Q6" s="118">
        <v>264.46657999999985</v>
      </c>
      <c r="R6" s="118">
        <v>243</v>
      </c>
      <c r="S6" s="118">
        <v>294</v>
      </c>
      <c r="T6" s="118">
        <v>395</v>
      </c>
      <c r="U6" s="118">
        <v>565</v>
      </c>
      <c r="V6" s="118">
        <v>496</v>
      </c>
      <c r="W6" s="118">
        <v>179</v>
      </c>
      <c r="X6" s="118">
        <v>147</v>
      </c>
      <c r="Y6" s="118">
        <v>244</v>
      </c>
      <c r="Z6" s="118">
        <v>84</v>
      </c>
      <c r="AA6" s="118">
        <v>46</v>
      </c>
      <c r="AB6" s="118">
        <v>70</v>
      </c>
      <c r="AC6" s="118">
        <v>95</v>
      </c>
      <c r="AD6" s="118">
        <v>168</v>
      </c>
      <c r="AE6" s="118">
        <v>64</v>
      </c>
      <c r="AF6" s="118">
        <v>31</v>
      </c>
      <c r="AG6" s="118">
        <v>0</v>
      </c>
      <c r="AH6" s="118">
        <v>0</v>
      </c>
      <c r="AI6" s="118">
        <v>0</v>
      </c>
      <c r="AJ6" s="118">
        <v>0</v>
      </c>
      <c r="AK6" s="118">
        <v>3</v>
      </c>
      <c r="AL6" s="118">
        <v>49</v>
      </c>
      <c r="AM6" s="118">
        <v>198</v>
      </c>
      <c r="AN6" s="118">
        <v>164</v>
      </c>
      <c r="AO6" s="118">
        <v>188</v>
      </c>
      <c r="AP6" s="118">
        <v>274</v>
      </c>
      <c r="AQ6" s="118">
        <v>364</v>
      </c>
      <c r="AR6" s="118">
        <v>993</v>
      </c>
      <c r="AS6" s="118">
        <v>503</v>
      </c>
      <c r="AT6" s="118">
        <v>748</v>
      </c>
      <c r="AU6" s="118">
        <v>596</v>
      </c>
      <c r="AV6" s="118">
        <v>592</v>
      </c>
      <c r="AW6" s="118">
        <v>666</v>
      </c>
      <c r="AX6" s="118">
        <v>370</v>
      </c>
      <c r="AY6" s="118">
        <f>'[3]26a Part Relac NL (2)'!$H$9</f>
        <v>572</v>
      </c>
    </row>
    <row r="7" spans="1:97" x14ac:dyDescent="0.2">
      <c r="D7" s="129" t="s">
        <v>442</v>
      </c>
      <c r="E7" s="118">
        <v>9583</v>
      </c>
      <c r="F7" s="118"/>
      <c r="G7" s="118"/>
      <c r="H7" s="118">
        <v>0</v>
      </c>
      <c r="I7" s="118">
        <v>0</v>
      </c>
      <c r="J7" s="118">
        <v>0</v>
      </c>
      <c r="K7" s="118">
        <v>0</v>
      </c>
      <c r="L7" s="118">
        <v>0</v>
      </c>
      <c r="M7" s="118">
        <v>0</v>
      </c>
      <c r="N7" s="118">
        <v>0</v>
      </c>
      <c r="O7" s="118">
        <v>0</v>
      </c>
      <c r="P7" s="118">
        <v>0</v>
      </c>
      <c r="Q7" s="118">
        <v>0</v>
      </c>
      <c r="R7" s="118">
        <v>0</v>
      </c>
      <c r="S7" s="118">
        <v>0</v>
      </c>
      <c r="T7" s="118">
        <v>0</v>
      </c>
      <c r="U7" s="118">
        <v>0</v>
      </c>
      <c r="V7" s="118">
        <v>85</v>
      </c>
      <c r="W7" s="118">
        <v>0</v>
      </c>
      <c r="X7" s="118">
        <v>0</v>
      </c>
      <c r="Y7" s="118">
        <v>0</v>
      </c>
      <c r="Z7" s="118">
        <v>4</v>
      </c>
      <c r="AA7" s="118">
        <v>6</v>
      </c>
      <c r="AB7" s="118">
        <v>8</v>
      </c>
      <c r="AC7" s="118">
        <v>6</v>
      </c>
      <c r="AD7" s="118">
        <v>0</v>
      </c>
      <c r="AE7" s="118">
        <v>0</v>
      </c>
      <c r="AF7" s="118">
        <v>6</v>
      </c>
      <c r="AG7" s="118">
        <v>1</v>
      </c>
      <c r="AH7" s="118">
        <v>0</v>
      </c>
      <c r="AI7" s="118">
        <v>1</v>
      </c>
      <c r="AJ7" s="118">
        <v>0</v>
      </c>
      <c r="AK7" s="118">
        <v>0</v>
      </c>
      <c r="AL7" s="118">
        <v>0</v>
      </c>
      <c r="AM7" s="118">
        <v>0</v>
      </c>
      <c r="AN7" s="118">
        <v>0</v>
      </c>
      <c r="AO7" s="118">
        <v>0</v>
      </c>
      <c r="AP7" s="118">
        <v>0</v>
      </c>
      <c r="AQ7" s="118">
        <v>0</v>
      </c>
      <c r="AR7" s="118">
        <v>0</v>
      </c>
      <c r="AS7" s="118">
        <v>0</v>
      </c>
      <c r="AT7" s="118">
        <v>0</v>
      </c>
      <c r="AU7" s="118">
        <v>0</v>
      </c>
      <c r="AV7" s="118">
        <v>0</v>
      </c>
      <c r="AW7" s="118">
        <v>0</v>
      </c>
      <c r="AX7" s="118">
        <v>0</v>
      </c>
      <c r="AY7" s="118">
        <f>+'[3]24 Partes Relacionadas'!$F$13</f>
        <v>0</v>
      </c>
    </row>
    <row r="8" spans="1:97" x14ac:dyDescent="0.2">
      <c r="D8" s="129" t="s">
        <v>437</v>
      </c>
      <c r="E8" s="118">
        <v>312</v>
      </c>
      <c r="F8" s="118"/>
      <c r="G8" s="118">
        <v>0</v>
      </c>
      <c r="H8" s="118">
        <v>0</v>
      </c>
      <c r="I8" s="118">
        <v>0</v>
      </c>
      <c r="J8" s="214">
        <v>0</v>
      </c>
      <c r="K8" s="214">
        <v>0</v>
      </c>
      <c r="L8" s="214">
        <v>0</v>
      </c>
      <c r="M8" s="214">
        <v>0</v>
      </c>
      <c r="N8" s="214">
        <v>34</v>
      </c>
      <c r="O8" s="214">
        <v>34.156109999999998</v>
      </c>
      <c r="P8" s="214">
        <v>34.156109999999998</v>
      </c>
      <c r="Q8" s="214">
        <v>34.156109999999998</v>
      </c>
      <c r="R8" s="214">
        <v>34</v>
      </c>
      <c r="S8" s="214">
        <v>34</v>
      </c>
      <c r="T8" s="214">
        <v>34</v>
      </c>
      <c r="U8" s="214">
        <v>34</v>
      </c>
      <c r="V8" s="214">
        <v>34</v>
      </c>
      <c r="W8" s="214">
        <v>34</v>
      </c>
      <c r="X8" s="214">
        <v>34</v>
      </c>
      <c r="Y8" s="214">
        <v>34</v>
      </c>
      <c r="Z8" s="214">
        <v>34</v>
      </c>
      <c r="AA8" s="214">
        <v>34</v>
      </c>
      <c r="AB8" s="214">
        <v>34</v>
      </c>
      <c r="AC8" s="214">
        <v>34</v>
      </c>
      <c r="AD8" s="214">
        <v>34</v>
      </c>
      <c r="AE8" s="214">
        <v>34</v>
      </c>
      <c r="AF8" s="214">
        <v>34</v>
      </c>
      <c r="AG8" s="214">
        <v>34</v>
      </c>
      <c r="AH8" s="214">
        <v>34</v>
      </c>
      <c r="AI8" s="214">
        <v>34</v>
      </c>
      <c r="AJ8" s="214">
        <v>34</v>
      </c>
      <c r="AK8" s="214">
        <v>34</v>
      </c>
      <c r="AL8" s="214">
        <v>34</v>
      </c>
      <c r="AM8" s="214">
        <v>34</v>
      </c>
      <c r="AN8" s="214">
        <v>34</v>
      </c>
      <c r="AO8" s="214">
        <v>34</v>
      </c>
      <c r="AP8" s="214">
        <v>34</v>
      </c>
      <c r="AQ8" s="214">
        <v>34</v>
      </c>
      <c r="AR8" s="214">
        <v>34</v>
      </c>
      <c r="AS8" s="214">
        <v>34</v>
      </c>
      <c r="AT8" s="214">
        <v>34</v>
      </c>
      <c r="AU8" s="214">
        <v>34</v>
      </c>
      <c r="AV8" s="214">
        <v>34</v>
      </c>
      <c r="AW8" s="214">
        <v>34</v>
      </c>
      <c r="AX8" s="214">
        <v>34</v>
      </c>
      <c r="AY8" s="214">
        <f>'[3]26a Part Relac NL (2)'!$H$10</f>
        <v>34</v>
      </c>
    </row>
    <row r="9" spans="1:97" x14ac:dyDescent="0.2">
      <c r="D9" s="129" t="s">
        <v>1619</v>
      </c>
      <c r="E9" s="118">
        <v>0</v>
      </c>
      <c r="F9" s="118"/>
      <c r="G9" s="118">
        <v>0</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18">
        <v>0</v>
      </c>
      <c r="Y9" s="118">
        <v>0</v>
      </c>
      <c r="Z9" s="118">
        <v>0</v>
      </c>
      <c r="AA9" s="118">
        <v>0</v>
      </c>
      <c r="AB9" s="118">
        <v>0</v>
      </c>
      <c r="AC9" s="118">
        <v>0</v>
      </c>
      <c r="AD9" s="118">
        <v>0</v>
      </c>
      <c r="AE9" s="118">
        <v>0</v>
      </c>
      <c r="AF9" s="118">
        <v>0</v>
      </c>
      <c r="AG9" s="118">
        <v>0</v>
      </c>
      <c r="AH9" s="118">
        <v>0</v>
      </c>
      <c r="AI9" s="118">
        <v>0</v>
      </c>
      <c r="AJ9" s="118">
        <v>0</v>
      </c>
      <c r="AK9" s="118">
        <v>69</v>
      </c>
      <c r="AL9" s="118">
        <v>37</v>
      </c>
      <c r="AM9" s="118">
        <v>37</v>
      </c>
      <c r="AN9" s="118">
        <v>37</v>
      </c>
      <c r="AO9" s="118">
        <v>37</v>
      </c>
      <c r="AP9" s="118">
        <v>37</v>
      </c>
      <c r="AQ9" s="118">
        <v>37</v>
      </c>
      <c r="AR9" s="118">
        <v>0</v>
      </c>
      <c r="AS9" s="118">
        <v>0</v>
      </c>
      <c r="AT9" s="118">
        <v>0</v>
      </c>
      <c r="AU9" s="118">
        <v>0</v>
      </c>
      <c r="AV9" s="118">
        <v>0</v>
      </c>
      <c r="AW9" s="118">
        <v>0</v>
      </c>
      <c r="AX9" s="118">
        <v>0</v>
      </c>
      <c r="AY9" s="118">
        <f>+'[3]26a Part Relac NL (2)'!$H$13</f>
        <v>0</v>
      </c>
    </row>
    <row r="10" spans="1:97" x14ac:dyDescent="0.2">
      <c r="D10" s="129" t="s">
        <v>1869</v>
      </c>
      <c r="E10" s="118">
        <v>0</v>
      </c>
      <c r="F10" s="118"/>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214">
        <v>0</v>
      </c>
      <c r="AA10" s="214">
        <v>0</v>
      </c>
      <c r="AB10" s="214">
        <v>0</v>
      </c>
      <c r="AC10" s="214">
        <v>0</v>
      </c>
      <c r="AD10" s="214">
        <v>0</v>
      </c>
      <c r="AE10" s="214">
        <v>127</v>
      </c>
      <c r="AF10" s="214">
        <v>21</v>
      </c>
      <c r="AG10" s="214">
        <v>59</v>
      </c>
      <c r="AH10" s="214">
        <v>1</v>
      </c>
      <c r="AI10" s="214">
        <v>0</v>
      </c>
      <c r="AJ10" s="214">
        <v>0</v>
      </c>
      <c r="AK10" s="214">
        <v>0</v>
      </c>
      <c r="AL10" s="214">
        <v>0</v>
      </c>
      <c r="AM10" s="214">
        <v>0</v>
      </c>
      <c r="AN10" s="214">
        <v>0</v>
      </c>
      <c r="AO10" s="214">
        <v>0</v>
      </c>
      <c r="AP10" s="214">
        <v>0</v>
      </c>
      <c r="AQ10" s="214">
        <v>0</v>
      </c>
      <c r="AR10" s="214">
        <v>0</v>
      </c>
      <c r="AS10" s="214">
        <v>0</v>
      </c>
      <c r="AT10" s="214">
        <v>0</v>
      </c>
      <c r="AU10" s="214">
        <v>116</v>
      </c>
      <c r="AV10" s="214">
        <v>412</v>
      </c>
      <c r="AW10" s="214">
        <v>382</v>
      </c>
      <c r="AX10" s="214">
        <v>382</v>
      </c>
      <c r="AY10" s="214">
        <f>'[3]26a Part Relac NL (2)'!$H$11</f>
        <v>0</v>
      </c>
    </row>
    <row r="11" spans="1:97" x14ac:dyDescent="0.2">
      <c r="A11" s="201" t="s">
        <v>49</v>
      </c>
      <c r="B11" s="201" t="s">
        <v>699</v>
      </c>
      <c r="D11" s="129" t="str">
        <f>IF([1]RENAME!$H$3=1,B11,A11)</f>
        <v>Outros</v>
      </c>
      <c r="E11" s="118">
        <v>0</v>
      </c>
      <c r="F11" s="118"/>
      <c r="G11" s="118">
        <v>0</v>
      </c>
      <c r="H11" s="118">
        <v>0</v>
      </c>
      <c r="I11" s="118">
        <v>0</v>
      </c>
      <c r="J11" s="118">
        <v>0</v>
      </c>
      <c r="K11" s="118">
        <v>0</v>
      </c>
      <c r="L11" s="118">
        <v>0</v>
      </c>
      <c r="M11" s="118">
        <v>0</v>
      </c>
      <c r="N11" s="118">
        <v>0</v>
      </c>
      <c r="O11" s="118">
        <v>0</v>
      </c>
      <c r="P11" s="118">
        <v>0</v>
      </c>
      <c r="Q11" s="118">
        <v>0</v>
      </c>
      <c r="R11" s="118">
        <v>0</v>
      </c>
      <c r="S11" s="118">
        <v>0</v>
      </c>
      <c r="T11" s="118">
        <v>0</v>
      </c>
      <c r="U11" s="118">
        <v>0</v>
      </c>
      <c r="V11" s="118">
        <v>0</v>
      </c>
      <c r="W11" s="118">
        <v>0</v>
      </c>
      <c r="X11" s="118">
        <v>0</v>
      </c>
      <c r="Y11" s="118">
        <v>0</v>
      </c>
      <c r="Z11" s="118">
        <v>0</v>
      </c>
      <c r="AA11" s="118">
        <v>0</v>
      </c>
      <c r="AB11" s="118">
        <v>0</v>
      </c>
      <c r="AC11" s="118">
        <v>0</v>
      </c>
      <c r="AD11" s="118">
        <v>0</v>
      </c>
      <c r="AE11" s="118">
        <v>0</v>
      </c>
      <c r="AF11" s="118">
        <v>0</v>
      </c>
      <c r="AG11" s="118">
        <v>0</v>
      </c>
      <c r="AH11" s="118">
        <v>0</v>
      </c>
      <c r="AI11" s="118">
        <v>0</v>
      </c>
      <c r="AJ11" s="118">
        <v>0</v>
      </c>
      <c r="AK11" s="118">
        <v>75</v>
      </c>
      <c r="AL11" s="118">
        <v>77</v>
      </c>
      <c r="AM11" s="118">
        <v>78</v>
      </c>
      <c r="AN11" s="118">
        <v>33</v>
      </c>
      <c r="AO11" s="118">
        <v>33</v>
      </c>
      <c r="AP11" s="118">
        <v>33</v>
      </c>
      <c r="AQ11" s="118">
        <v>0</v>
      </c>
      <c r="AR11" s="118">
        <v>0</v>
      </c>
      <c r="AS11" s="118">
        <v>0</v>
      </c>
      <c r="AT11" s="118">
        <v>248</v>
      </c>
      <c r="AU11" s="118">
        <v>256</v>
      </c>
      <c r="AV11" s="118">
        <v>2</v>
      </c>
      <c r="AW11" s="118">
        <v>5</v>
      </c>
      <c r="AX11" s="118">
        <v>19</v>
      </c>
      <c r="AY11" s="118">
        <f>'[3]26a Part Relac NL (2)'!$H$18</f>
        <v>131</v>
      </c>
    </row>
    <row r="12" spans="1:97" hidden="1" outlineLevel="1" x14ac:dyDescent="0.2">
      <c r="D12" s="250" t="s">
        <v>433</v>
      </c>
      <c r="E12" s="218">
        <v>0</v>
      </c>
      <c r="F12" s="218"/>
      <c r="G12" s="218"/>
      <c r="H12" s="218">
        <v>0</v>
      </c>
      <c r="I12" s="218">
        <v>0</v>
      </c>
      <c r="J12" s="218">
        <v>0</v>
      </c>
      <c r="K12" s="218">
        <v>0</v>
      </c>
      <c r="L12" s="218">
        <v>0</v>
      </c>
      <c r="M12" s="218">
        <v>0</v>
      </c>
      <c r="N12" s="218">
        <v>0</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c r="AN12" s="218">
        <v>0</v>
      </c>
      <c r="AO12" s="218">
        <v>0</v>
      </c>
      <c r="AP12" s="218">
        <v>0</v>
      </c>
      <c r="AQ12" s="218"/>
      <c r="AR12" s="218">
        <v>0</v>
      </c>
      <c r="AS12" s="218">
        <v>0</v>
      </c>
      <c r="AT12" s="218"/>
      <c r="AU12" s="218">
        <v>0</v>
      </c>
      <c r="AV12" s="218">
        <v>0</v>
      </c>
      <c r="AW12" s="218">
        <v>0</v>
      </c>
      <c r="AX12" s="218">
        <v>0</v>
      </c>
      <c r="AY12" s="218">
        <v>0</v>
      </c>
    </row>
    <row r="13" spans="1:97" hidden="1" outlineLevel="1" x14ac:dyDescent="0.2">
      <c r="D13" s="250" t="s">
        <v>1433</v>
      </c>
      <c r="E13" s="218"/>
      <c r="F13" s="218"/>
      <c r="G13" s="218"/>
      <c r="H13" s="218"/>
      <c r="I13" s="218"/>
      <c r="J13" s="218"/>
      <c r="K13" s="218"/>
      <c r="L13" s="218"/>
      <c r="M13" s="218"/>
      <c r="N13" s="218"/>
      <c r="O13" s="218"/>
      <c r="P13" s="218"/>
      <c r="Q13" s="218">
        <v>0</v>
      </c>
      <c r="R13" s="218"/>
      <c r="S13" s="218"/>
      <c r="T13" s="218"/>
      <c r="U13" s="218"/>
      <c r="V13" s="218">
        <v>38</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c r="AN13" s="218">
        <v>0</v>
      </c>
      <c r="AO13" s="218">
        <f>'[3]24 Partes Relacionadas'!$F$8</f>
        <v>0</v>
      </c>
      <c r="AP13" s="218">
        <f>'[3]24 Partes Relacionadas'!$F$8</f>
        <v>0</v>
      </c>
      <c r="AQ13" s="218"/>
      <c r="AR13" s="218">
        <v>0</v>
      </c>
      <c r="AS13" s="218">
        <v>0</v>
      </c>
      <c r="AT13" s="218"/>
      <c r="AU13" s="218">
        <f>'[3]24 Partes Relacionadas'!$F$8</f>
        <v>0</v>
      </c>
      <c r="AV13" s="218">
        <f>'[3]24 Partes Relacionadas'!$F$8</f>
        <v>0</v>
      </c>
      <c r="AW13" s="218">
        <f>'[3]24 Partes Relacionadas'!$F$8</f>
        <v>0</v>
      </c>
      <c r="AX13" s="218">
        <v>0</v>
      </c>
      <c r="AY13" s="218">
        <f>'[3]24 Partes Relacionadas'!$F$8</f>
        <v>0</v>
      </c>
    </row>
    <row r="14" spans="1:97" hidden="1" outlineLevel="1" x14ac:dyDescent="0.2">
      <c r="D14" s="250" t="s">
        <v>441</v>
      </c>
      <c r="E14" s="218">
        <v>1118</v>
      </c>
      <c r="F14" s="218"/>
      <c r="G14" s="218">
        <v>102</v>
      </c>
      <c r="H14" s="218">
        <v>175</v>
      </c>
      <c r="I14" s="218">
        <v>1261</v>
      </c>
      <c r="J14" s="218">
        <v>397</v>
      </c>
      <c r="K14" s="218">
        <v>131</v>
      </c>
      <c r="L14" s="218">
        <v>611</v>
      </c>
      <c r="M14" s="218">
        <v>636</v>
      </c>
      <c r="N14" s="218">
        <v>293</v>
      </c>
      <c r="O14" s="218">
        <v>152.40390999999997</v>
      </c>
      <c r="P14" s="218">
        <v>315.459190000001</v>
      </c>
      <c r="Q14" s="218">
        <v>315.459190000001</v>
      </c>
      <c r="R14" s="218">
        <v>192</v>
      </c>
      <c r="S14" s="218">
        <v>3</v>
      </c>
      <c r="T14" s="218">
        <v>1</v>
      </c>
      <c r="U14" s="218">
        <v>1</v>
      </c>
      <c r="V14" s="218">
        <v>1</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c r="AN14" s="218">
        <v>0</v>
      </c>
      <c r="AO14" s="218">
        <v>0</v>
      </c>
      <c r="AP14" s="218">
        <v>0</v>
      </c>
      <c r="AQ14" s="218"/>
      <c r="AR14" s="218">
        <v>0</v>
      </c>
      <c r="AS14" s="218">
        <v>0</v>
      </c>
      <c r="AT14" s="218"/>
      <c r="AU14" s="218">
        <v>0</v>
      </c>
      <c r="AV14" s="218">
        <v>0</v>
      </c>
      <c r="AW14" s="218">
        <v>0</v>
      </c>
      <c r="AX14" s="218">
        <v>0</v>
      </c>
      <c r="AY14" s="218">
        <v>0</v>
      </c>
    </row>
    <row r="15" spans="1:97" ht="12.75" hidden="1" customHeight="1" outlineLevel="1" x14ac:dyDescent="0.2">
      <c r="D15" s="250" t="s">
        <v>434</v>
      </c>
      <c r="E15" s="218">
        <v>0</v>
      </c>
      <c r="F15" s="218"/>
      <c r="G15" s="218">
        <v>105</v>
      </c>
      <c r="H15" s="218">
        <v>23</v>
      </c>
      <c r="I15" s="218">
        <v>0</v>
      </c>
      <c r="J15" s="218">
        <v>0</v>
      </c>
      <c r="K15" s="218">
        <v>0</v>
      </c>
      <c r="L15" s="218">
        <v>0</v>
      </c>
      <c r="M15" s="218">
        <v>0</v>
      </c>
      <c r="N15" s="218">
        <v>0</v>
      </c>
      <c r="O15" s="218">
        <v>0</v>
      </c>
      <c r="P15" s="218">
        <v>0</v>
      </c>
      <c r="Q15" s="218">
        <v>0</v>
      </c>
      <c r="R15" s="218">
        <v>133</v>
      </c>
      <c r="S15" s="218">
        <v>594</v>
      </c>
      <c r="T15" s="218">
        <v>1077</v>
      </c>
      <c r="U15" s="218">
        <v>3477</v>
      </c>
      <c r="V15" s="218">
        <v>2072</v>
      </c>
      <c r="W15" s="218">
        <v>2785</v>
      </c>
      <c r="X15" s="218">
        <v>19</v>
      </c>
      <c r="Y15" s="218">
        <v>405</v>
      </c>
      <c r="Z15" s="218">
        <v>435</v>
      </c>
      <c r="AA15" s="218">
        <v>25</v>
      </c>
      <c r="AB15" s="218">
        <v>14</v>
      </c>
      <c r="AC15" s="218">
        <v>46</v>
      </c>
      <c r="AD15" s="218">
        <v>39</v>
      </c>
      <c r="AE15" s="218">
        <v>13</v>
      </c>
      <c r="AF15" s="218">
        <v>0</v>
      </c>
      <c r="AG15" s="218">
        <v>0</v>
      </c>
      <c r="AH15" s="218">
        <v>0</v>
      </c>
      <c r="AI15" s="218">
        <v>0</v>
      </c>
      <c r="AJ15" s="218">
        <v>0</v>
      </c>
      <c r="AK15" s="218">
        <v>0</v>
      </c>
      <c r="AL15" s="218">
        <v>0</v>
      </c>
      <c r="AM15" s="218">
        <v>0</v>
      </c>
      <c r="AN15" s="218">
        <v>0</v>
      </c>
      <c r="AO15" s="218">
        <f>+'[3]24 Partes Relacionadas'!$F$7</f>
        <v>0</v>
      </c>
      <c r="AP15" s="218">
        <f>+'[3]24 Partes Relacionadas'!$F$7</f>
        <v>0</v>
      </c>
      <c r="AQ15" s="218"/>
      <c r="AR15" s="218">
        <v>0</v>
      </c>
      <c r="AS15" s="218">
        <v>0</v>
      </c>
      <c r="AT15" s="218"/>
      <c r="AU15" s="218">
        <f>+'[3]24 Partes Relacionadas'!$F$7</f>
        <v>0</v>
      </c>
      <c r="AV15" s="218">
        <f>+'[3]24 Partes Relacionadas'!$F$7</f>
        <v>0</v>
      </c>
      <c r="AW15" s="218">
        <f>+'[3]24 Partes Relacionadas'!$F$7</f>
        <v>0</v>
      </c>
      <c r="AX15" s="218">
        <v>0</v>
      </c>
      <c r="AY15" s="218">
        <f>+'[3]24 Partes Relacionadas'!$F$7</f>
        <v>0</v>
      </c>
    </row>
    <row r="16" spans="1:97" hidden="1" outlineLevel="1" x14ac:dyDescent="0.2">
      <c r="D16" s="250" t="s">
        <v>1532</v>
      </c>
      <c r="E16" s="218">
        <v>0</v>
      </c>
      <c r="F16" s="218"/>
      <c r="G16" s="218">
        <v>0</v>
      </c>
      <c r="H16" s="218">
        <v>0</v>
      </c>
      <c r="I16" s="218">
        <v>0</v>
      </c>
      <c r="J16" s="1151">
        <v>0</v>
      </c>
      <c r="K16" s="1151">
        <v>0</v>
      </c>
      <c r="L16" s="1151">
        <v>0</v>
      </c>
      <c r="M16" s="1151">
        <v>0</v>
      </c>
      <c r="N16" s="1151">
        <v>0</v>
      </c>
      <c r="O16" s="1151">
        <v>0</v>
      </c>
      <c r="P16" s="1151">
        <v>0</v>
      </c>
      <c r="Q16" s="1151">
        <v>0</v>
      </c>
      <c r="R16" s="1151">
        <v>0</v>
      </c>
      <c r="S16" s="1151">
        <v>0</v>
      </c>
      <c r="T16" s="1151">
        <v>0</v>
      </c>
      <c r="U16" s="1151">
        <v>0</v>
      </c>
      <c r="V16" s="1151">
        <v>0</v>
      </c>
      <c r="W16" s="1151">
        <v>2</v>
      </c>
      <c r="X16" s="1151">
        <v>1</v>
      </c>
      <c r="Y16" s="1151">
        <v>1</v>
      </c>
      <c r="Z16" s="1151">
        <v>0</v>
      </c>
      <c r="AA16" s="1151">
        <v>0</v>
      </c>
      <c r="AB16" s="1151">
        <v>1</v>
      </c>
      <c r="AC16" s="1151">
        <v>1</v>
      </c>
      <c r="AD16" s="1151">
        <v>1</v>
      </c>
      <c r="AE16" s="1151">
        <v>1</v>
      </c>
      <c r="AF16" s="1151">
        <v>1</v>
      </c>
      <c r="AG16" s="1151">
        <v>0</v>
      </c>
      <c r="AH16" s="1151">
        <v>0</v>
      </c>
      <c r="AI16" s="1151">
        <v>0</v>
      </c>
      <c r="AJ16" s="1151">
        <v>0</v>
      </c>
      <c r="AK16" s="1151">
        <v>0</v>
      </c>
      <c r="AL16" s="1151">
        <v>0</v>
      </c>
      <c r="AM16" s="1151">
        <v>0</v>
      </c>
      <c r="AN16" s="1151">
        <v>0</v>
      </c>
      <c r="AO16" s="1151">
        <f>'[3]24 Partes Relacionadas'!$F$12</f>
        <v>0</v>
      </c>
      <c r="AP16" s="1151">
        <f>'[3]24 Partes Relacionadas'!$F$12</f>
        <v>0</v>
      </c>
      <c r="AQ16" s="1151"/>
      <c r="AR16" s="1151">
        <v>0</v>
      </c>
      <c r="AS16" s="1151">
        <v>0</v>
      </c>
      <c r="AT16" s="1151"/>
      <c r="AU16" s="1151">
        <f>'[3]24 Partes Relacionadas'!$F$12</f>
        <v>0</v>
      </c>
      <c r="AV16" s="1151">
        <f>'[3]24 Partes Relacionadas'!$F$12</f>
        <v>0</v>
      </c>
      <c r="AW16" s="1151">
        <f>'[3]24 Partes Relacionadas'!$F$12</f>
        <v>0</v>
      </c>
      <c r="AX16" s="1151">
        <v>0</v>
      </c>
      <c r="AY16" s="1151">
        <f>'[3]24 Partes Relacionadas'!$F$12</f>
        <v>0</v>
      </c>
    </row>
    <row r="17" spans="1:51" hidden="1" outlineLevel="1" x14ac:dyDescent="0.2">
      <c r="D17" s="250" t="s">
        <v>435</v>
      </c>
      <c r="E17" s="218">
        <v>0</v>
      </c>
      <c r="F17" s="218"/>
      <c r="G17" s="218">
        <v>66</v>
      </c>
      <c r="H17" s="218">
        <v>4</v>
      </c>
      <c r="I17" s="218">
        <v>0</v>
      </c>
      <c r="J17" s="218">
        <v>0</v>
      </c>
      <c r="K17" s="218">
        <v>0</v>
      </c>
      <c r="L17" s="218">
        <v>0</v>
      </c>
      <c r="M17" s="218">
        <v>0</v>
      </c>
      <c r="N17" s="218">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c r="AN17" s="218">
        <v>0</v>
      </c>
      <c r="AO17" s="218">
        <v>0</v>
      </c>
      <c r="AP17" s="218">
        <v>0</v>
      </c>
      <c r="AQ17" s="218">
        <v>0</v>
      </c>
      <c r="AR17" s="218">
        <v>0</v>
      </c>
      <c r="AS17" s="218">
        <v>0</v>
      </c>
      <c r="AT17" s="218">
        <v>0</v>
      </c>
      <c r="AU17" s="218">
        <v>0</v>
      </c>
      <c r="AV17" s="218">
        <v>0</v>
      </c>
      <c r="AW17" s="218">
        <v>0</v>
      </c>
      <c r="AX17" s="218">
        <v>0</v>
      </c>
      <c r="AY17" s="218">
        <v>0</v>
      </c>
    </row>
    <row r="18" spans="1:51" hidden="1" outlineLevel="1" x14ac:dyDescent="0.2">
      <c r="D18" s="250" t="s">
        <v>2011</v>
      </c>
      <c r="E18" s="218">
        <v>0</v>
      </c>
      <c r="F18" s="218"/>
      <c r="G18" s="218">
        <v>0</v>
      </c>
      <c r="H18" s="218">
        <v>0</v>
      </c>
      <c r="I18" s="218">
        <v>0</v>
      </c>
      <c r="J18" s="218">
        <v>0</v>
      </c>
      <c r="K18" s="218">
        <v>0</v>
      </c>
      <c r="L18" s="218">
        <v>0</v>
      </c>
      <c r="M18" s="218">
        <v>0</v>
      </c>
      <c r="N18" s="218">
        <v>0</v>
      </c>
      <c r="O18" s="218">
        <v>0</v>
      </c>
      <c r="P18" s="218">
        <v>0</v>
      </c>
      <c r="Q18" s="218">
        <v>0</v>
      </c>
      <c r="R18" s="218">
        <v>0</v>
      </c>
      <c r="S18" s="218">
        <v>0</v>
      </c>
      <c r="T18" s="218">
        <v>0</v>
      </c>
      <c r="U18" s="218">
        <v>0</v>
      </c>
      <c r="V18" s="218">
        <v>0</v>
      </c>
      <c r="W18" s="218">
        <v>0</v>
      </c>
      <c r="X18" s="218">
        <v>0</v>
      </c>
      <c r="Y18" s="218">
        <v>0</v>
      </c>
      <c r="Z18" s="218">
        <v>0</v>
      </c>
      <c r="AA18" s="218">
        <v>0</v>
      </c>
      <c r="AB18" s="218">
        <v>0</v>
      </c>
      <c r="AC18" s="218">
        <v>0</v>
      </c>
      <c r="AD18" s="218">
        <v>0</v>
      </c>
      <c r="AE18" s="218">
        <v>0</v>
      </c>
      <c r="AF18" s="218">
        <v>0</v>
      </c>
      <c r="AG18" s="218">
        <v>0</v>
      </c>
      <c r="AH18" s="218">
        <v>0</v>
      </c>
      <c r="AI18" s="218">
        <v>0</v>
      </c>
      <c r="AJ18" s="218">
        <v>0</v>
      </c>
      <c r="AK18" s="218">
        <v>0</v>
      </c>
      <c r="AL18" s="218">
        <v>0</v>
      </c>
      <c r="AM18" s="218">
        <v>0</v>
      </c>
      <c r="AN18" s="218">
        <v>0</v>
      </c>
      <c r="AO18" s="218">
        <v>0</v>
      </c>
      <c r="AP18" s="218">
        <v>0</v>
      </c>
      <c r="AQ18" s="218">
        <v>0</v>
      </c>
      <c r="AR18" s="218">
        <v>0</v>
      </c>
      <c r="AS18" s="218">
        <v>0</v>
      </c>
      <c r="AT18" s="218">
        <v>0</v>
      </c>
      <c r="AU18" s="218">
        <v>0</v>
      </c>
      <c r="AV18" s="218">
        <v>0</v>
      </c>
      <c r="AW18" s="218">
        <v>0</v>
      </c>
      <c r="AX18" s="218">
        <v>0</v>
      </c>
      <c r="AY18" s="218">
        <v>0</v>
      </c>
    </row>
    <row r="19" spans="1:51" ht="14.25" hidden="1" customHeight="1" outlineLevel="1" x14ac:dyDescent="0.2">
      <c r="D19" s="250" t="s">
        <v>436</v>
      </c>
      <c r="E19" s="218">
        <v>0</v>
      </c>
      <c r="F19" s="218"/>
      <c r="G19" s="218"/>
      <c r="H19" s="218">
        <v>0</v>
      </c>
      <c r="I19" s="218">
        <v>0</v>
      </c>
      <c r="J19" s="218">
        <v>0</v>
      </c>
      <c r="K19" s="218">
        <v>0</v>
      </c>
      <c r="L19" s="218">
        <v>0</v>
      </c>
      <c r="M19" s="218">
        <v>0</v>
      </c>
      <c r="N19" s="218">
        <v>0</v>
      </c>
      <c r="O19" s="218">
        <v>0</v>
      </c>
      <c r="P19" s="218">
        <v>0</v>
      </c>
      <c r="Q19" s="218">
        <v>0</v>
      </c>
      <c r="R19" s="218">
        <v>0</v>
      </c>
      <c r="S19" s="218">
        <v>0</v>
      </c>
      <c r="T19" s="218">
        <v>0</v>
      </c>
      <c r="U19" s="218">
        <v>0</v>
      </c>
      <c r="V19" s="218">
        <v>0</v>
      </c>
      <c r="W19" s="218">
        <v>0</v>
      </c>
      <c r="X19" s="218">
        <v>0</v>
      </c>
      <c r="Y19" s="218">
        <v>0</v>
      </c>
      <c r="Z19" s="218">
        <v>1</v>
      </c>
      <c r="AA19" s="218">
        <v>1</v>
      </c>
      <c r="AB19" s="218">
        <v>0</v>
      </c>
      <c r="AC19" s="218">
        <v>0</v>
      </c>
      <c r="AD19" s="218">
        <v>0</v>
      </c>
      <c r="AE19" s="218">
        <v>0</v>
      </c>
      <c r="AF19" s="218">
        <v>0</v>
      </c>
      <c r="AG19" s="218">
        <v>0</v>
      </c>
      <c r="AH19" s="218">
        <v>0</v>
      </c>
      <c r="AI19" s="218">
        <v>0</v>
      </c>
      <c r="AJ19" s="218">
        <v>0</v>
      </c>
      <c r="AK19" s="218">
        <v>0</v>
      </c>
      <c r="AL19" s="218">
        <v>0</v>
      </c>
      <c r="AM19" s="218">
        <v>0</v>
      </c>
      <c r="AN19" s="218">
        <v>0</v>
      </c>
      <c r="AO19" s="218">
        <f>'[3]24 Partes Relacionadas'!$F$10</f>
        <v>0</v>
      </c>
      <c r="AP19" s="218">
        <f>'[3]24 Partes Relacionadas'!$F$10</f>
        <v>0</v>
      </c>
      <c r="AQ19" s="218"/>
      <c r="AR19" s="218">
        <v>0</v>
      </c>
      <c r="AS19" s="218">
        <v>0</v>
      </c>
      <c r="AT19" s="218"/>
      <c r="AU19" s="218">
        <f>'[3]24 Partes Relacionadas'!$F$10</f>
        <v>0</v>
      </c>
      <c r="AV19" s="218">
        <f>'[3]24 Partes Relacionadas'!$F$10</f>
        <v>0</v>
      </c>
      <c r="AW19" s="218">
        <f>'[3]24 Partes Relacionadas'!$F$10</f>
        <v>0</v>
      </c>
      <c r="AX19" s="218">
        <v>0</v>
      </c>
      <c r="AY19" s="218">
        <f>'[3]24 Partes Relacionadas'!$F$10</f>
        <v>0</v>
      </c>
    </row>
    <row r="20" spans="1:51" collapsed="1" x14ac:dyDescent="0.2">
      <c r="A20" s="201" t="s">
        <v>432</v>
      </c>
      <c r="B20" s="201" t="s">
        <v>1074</v>
      </c>
      <c r="D20" s="206" t="str">
        <f>IF([1]RENAME!$H$3=1,B20,A20)</f>
        <v>Ativo Circulante</v>
      </c>
      <c r="E20" s="207">
        <f>SUM(E6:E19)</f>
        <v>12486</v>
      </c>
      <c r="F20" s="207">
        <f>SUM(F6:F19)</f>
        <v>0</v>
      </c>
      <c r="G20" s="207">
        <f t="shared" ref="G20:AY20" si="8">SUM(G6:G19)</f>
        <v>1374</v>
      </c>
      <c r="H20" s="207">
        <f t="shared" si="8"/>
        <v>584</v>
      </c>
      <c r="I20" s="207">
        <f t="shared" si="8"/>
        <v>1851</v>
      </c>
      <c r="J20" s="207">
        <f t="shared" si="8"/>
        <v>798</v>
      </c>
      <c r="K20" s="207">
        <f t="shared" si="8"/>
        <v>334</v>
      </c>
      <c r="L20" s="207">
        <f t="shared" si="8"/>
        <v>810</v>
      </c>
      <c r="M20" s="207">
        <f t="shared" si="8"/>
        <v>770</v>
      </c>
      <c r="N20" s="207">
        <f t="shared" si="8"/>
        <v>513</v>
      </c>
      <c r="O20" s="207">
        <f t="shared" si="8"/>
        <v>462.24779999999964</v>
      </c>
      <c r="P20" s="207">
        <f>SUM(P6:P19)</f>
        <v>614.08188000000087</v>
      </c>
      <c r="Q20" s="207">
        <f t="shared" si="8"/>
        <v>614.08188000000087</v>
      </c>
      <c r="R20" s="207">
        <f t="shared" si="8"/>
        <v>602</v>
      </c>
      <c r="S20" s="207">
        <f t="shared" si="8"/>
        <v>925</v>
      </c>
      <c r="T20" s="207">
        <f t="shared" si="8"/>
        <v>1507</v>
      </c>
      <c r="U20" s="207">
        <f t="shared" si="8"/>
        <v>4077</v>
      </c>
      <c r="V20" s="207">
        <f t="shared" si="8"/>
        <v>2726</v>
      </c>
      <c r="W20" s="207">
        <f t="shared" si="8"/>
        <v>3000</v>
      </c>
      <c r="X20" s="207">
        <f t="shared" si="8"/>
        <v>201</v>
      </c>
      <c r="Y20" s="207">
        <f t="shared" si="8"/>
        <v>684</v>
      </c>
      <c r="Z20" s="207">
        <f t="shared" si="8"/>
        <v>558</v>
      </c>
      <c r="AA20" s="207">
        <f t="shared" si="8"/>
        <v>112</v>
      </c>
      <c r="AB20" s="207">
        <f t="shared" si="8"/>
        <v>127</v>
      </c>
      <c r="AC20" s="207">
        <f t="shared" si="8"/>
        <v>182</v>
      </c>
      <c r="AD20" s="207">
        <f t="shared" si="8"/>
        <v>242</v>
      </c>
      <c r="AE20" s="207">
        <f t="shared" si="8"/>
        <v>239</v>
      </c>
      <c r="AF20" s="207">
        <f t="shared" si="8"/>
        <v>93</v>
      </c>
      <c r="AG20" s="207">
        <f t="shared" si="8"/>
        <v>94</v>
      </c>
      <c r="AH20" s="207">
        <f t="shared" si="8"/>
        <v>35</v>
      </c>
      <c r="AI20" s="207">
        <f t="shared" si="8"/>
        <v>35</v>
      </c>
      <c r="AJ20" s="207">
        <f t="shared" si="8"/>
        <v>34</v>
      </c>
      <c r="AK20" s="207">
        <f t="shared" si="8"/>
        <v>181</v>
      </c>
      <c r="AL20" s="207">
        <f t="shared" si="8"/>
        <v>197</v>
      </c>
      <c r="AM20" s="207">
        <f t="shared" si="8"/>
        <v>347</v>
      </c>
      <c r="AN20" s="207">
        <f t="shared" si="8"/>
        <v>268</v>
      </c>
      <c r="AO20" s="207">
        <f t="shared" si="8"/>
        <v>292</v>
      </c>
      <c r="AP20" s="207">
        <f t="shared" si="8"/>
        <v>378</v>
      </c>
      <c r="AQ20" s="207">
        <f t="shared" si="8"/>
        <v>435</v>
      </c>
      <c r="AR20" s="207">
        <f t="shared" si="8"/>
        <v>1027</v>
      </c>
      <c r="AS20" s="207">
        <f t="shared" si="8"/>
        <v>537</v>
      </c>
      <c r="AT20" s="207">
        <f t="shared" si="8"/>
        <v>1030</v>
      </c>
      <c r="AU20" s="207">
        <f t="shared" si="8"/>
        <v>1002</v>
      </c>
      <c r="AV20" s="207">
        <f t="shared" si="8"/>
        <v>1040</v>
      </c>
      <c r="AW20" s="207">
        <f t="shared" si="8"/>
        <v>1087</v>
      </c>
      <c r="AX20" s="207">
        <f t="shared" si="8"/>
        <v>805</v>
      </c>
      <c r="AY20" s="207">
        <f t="shared" si="8"/>
        <v>737</v>
      </c>
    </row>
    <row r="21" spans="1:51" x14ac:dyDescent="0.2">
      <c r="D21" s="129" t="s">
        <v>438</v>
      </c>
      <c r="E21" s="118">
        <v>124</v>
      </c>
      <c r="F21" s="118"/>
      <c r="G21" s="118">
        <v>124</v>
      </c>
      <c r="H21" s="118">
        <v>124</v>
      </c>
      <c r="I21" s="118">
        <v>124</v>
      </c>
      <c r="J21" s="214">
        <v>124</v>
      </c>
      <c r="K21" s="214">
        <v>0</v>
      </c>
      <c r="L21" s="214">
        <v>0</v>
      </c>
      <c r="M21" s="214">
        <v>0</v>
      </c>
      <c r="N21" s="214">
        <v>0</v>
      </c>
      <c r="O21" s="214">
        <v>0</v>
      </c>
      <c r="P21" s="214">
        <v>0</v>
      </c>
      <c r="Q21" s="214">
        <v>0</v>
      </c>
      <c r="R21" s="214">
        <v>0</v>
      </c>
      <c r="S21" s="214">
        <v>0</v>
      </c>
      <c r="T21" s="214">
        <v>0</v>
      </c>
      <c r="U21" s="214">
        <v>0</v>
      </c>
      <c r="V21" s="214">
        <v>0</v>
      </c>
      <c r="W21" s="214">
        <v>0</v>
      </c>
      <c r="X21" s="214">
        <v>0</v>
      </c>
      <c r="Y21" s="214">
        <v>0</v>
      </c>
      <c r="Z21" s="214">
        <v>0</v>
      </c>
      <c r="AA21" s="214">
        <v>0</v>
      </c>
      <c r="AB21" s="214">
        <v>0</v>
      </c>
      <c r="AC21" s="214">
        <v>0</v>
      </c>
      <c r="AD21" s="214">
        <v>0</v>
      </c>
      <c r="AE21" s="214"/>
      <c r="AF21" s="214"/>
      <c r="AG21" s="214"/>
      <c r="AH21" s="214">
        <v>0</v>
      </c>
      <c r="AI21" s="214">
        <v>0</v>
      </c>
      <c r="AJ21" s="214">
        <v>0</v>
      </c>
      <c r="AK21" s="214">
        <v>0</v>
      </c>
      <c r="AL21" s="214">
        <v>0</v>
      </c>
      <c r="AM21" s="214">
        <v>0</v>
      </c>
      <c r="AN21" s="214">
        <v>0</v>
      </c>
      <c r="AO21" s="214">
        <v>0</v>
      </c>
      <c r="AP21" s="214">
        <v>0</v>
      </c>
      <c r="AQ21" s="214" t="s">
        <v>160</v>
      </c>
      <c r="AR21" s="214">
        <v>0</v>
      </c>
      <c r="AS21" s="214">
        <v>0</v>
      </c>
      <c r="AT21" s="214">
        <v>0</v>
      </c>
      <c r="AU21" s="214">
        <v>0</v>
      </c>
      <c r="AV21" s="214">
        <v>0</v>
      </c>
      <c r="AW21" s="214">
        <v>0</v>
      </c>
      <c r="AX21" s="214">
        <v>0</v>
      </c>
      <c r="AY21" s="214">
        <v>0</v>
      </c>
    </row>
    <row r="22" spans="1:51" x14ac:dyDescent="0.2">
      <c r="D22" s="129" t="s">
        <v>2012</v>
      </c>
      <c r="E22" s="118" t="s">
        <v>160</v>
      </c>
      <c r="F22" s="118"/>
      <c r="G22" s="118" t="s">
        <v>160</v>
      </c>
      <c r="H22" s="118" t="s">
        <v>160</v>
      </c>
      <c r="I22" s="118" t="s">
        <v>160</v>
      </c>
      <c r="J22" s="118" t="s">
        <v>160</v>
      </c>
      <c r="K22" s="118" t="s">
        <v>160</v>
      </c>
      <c r="L22" s="118" t="s">
        <v>160</v>
      </c>
      <c r="M22" s="118" t="s">
        <v>160</v>
      </c>
      <c r="N22" s="118" t="s">
        <v>160</v>
      </c>
      <c r="O22" s="118" t="s">
        <v>160</v>
      </c>
      <c r="P22" s="118" t="s">
        <v>160</v>
      </c>
      <c r="Q22" s="118">
        <v>0</v>
      </c>
      <c r="R22" s="118" t="s">
        <v>160</v>
      </c>
      <c r="S22" s="118" t="s">
        <v>160</v>
      </c>
      <c r="T22" s="118">
        <v>17713</v>
      </c>
      <c r="U22" s="118">
        <v>15626</v>
      </c>
      <c r="V22" s="118">
        <v>15964</v>
      </c>
      <c r="W22" s="260">
        <v>3371</v>
      </c>
      <c r="X22" s="118">
        <v>3676</v>
      </c>
      <c r="Y22" s="118">
        <v>1115</v>
      </c>
      <c r="Z22" s="118">
        <v>1115</v>
      </c>
      <c r="AA22" s="118">
        <v>1115</v>
      </c>
      <c r="AB22" s="118">
        <v>1115</v>
      </c>
      <c r="AC22" s="118">
        <v>1115</v>
      </c>
      <c r="AD22" s="118">
        <v>1115</v>
      </c>
      <c r="AE22" s="118">
        <f>+AD22</f>
        <v>1115</v>
      </c>
      <c r="AF22" s="118">
        <f>+AE22</f>
        <v>1115</v>
      </c>
      <c r="AG22" s="118">
        <f>+AF22</f>
        <v>1115</v>
      </c>
      <c r="AH22" s="118">
        <v>1115</v>
      </c>
      <c r="AI22" s="118">
        <v>1115</v>
      </c>
      <c r="AJ22" s="118">
        <v>1115</v>
      </c>
      <c r="AK22" s="118">
        <v>1115</v>
      </c>
      <c r="AL22" s="118">
        <v>1115</v>
      </c>
      <c r="AM22" s="118">
        <v>1115</v>
      </c>
      <c r="AN22" s="118">
        <v>1115</v>
      </c>
      <c r="AO22" s="118">
        <v>1115</v>
      </c>
      <c r="AP22" s="118">
        <v>1115</v>
      </c>
      <c r="AQ22" s="118">
        <v>1115</v>
      </c>
      <c r="AR22" s="118">
        <v>1115</v>
      </c>
      <c r="AS22" s="118">
        <v>1115</v>
      </c>
      <c r="AT22" s="118">
        <v>1115</v>
      </c>
      <c r="AU22" s="118">
        <v>1115</v>
      </c>
      <c r="AV22" s="118">
        <v>1115</v>
      </c>
      <c r="AW22" s="118">
        <v>1115</v>
      </c>
      <c r="AX22" s="118">
        <v>1115</v>
      </c>
      <c r="AY22" s="118">
        <f>'[3]26a Part Relac NL (2)'!$H$34</f>
        <v>1115</v>
      </c>
    </row>
    <row r="23" spans="1:51" x14ac:dyDescent="0.2">
      <c r="A23" s="201" t="s">
        <v>37</v>
      </c>
      <c r="B23" s="201" t="s">
        <v>1075</v>
      </c>
      <c r="D23" s="206" t="str">
        <f>IF([1]RENAME!$H$3=1,B23,A23)</f>
        <v>Ativo não circulante</v>
      </c>
      <c r="E23" s="207">
        <f t="shared" ref="E23:Y23" si="9">SUM(E21:E22)</f>
        <v>124</v>
      </c>
      <c r="F23" s="207"/>
      <c r="G23" s="207">
        <f t="shared" si="9"/>
        <v>124</v>
      </c>
      <c r="H23" s="207">
        <f t="shared" si="9"/>
        <v>124</v>
      </c>
      <c r="I23" s="207">
        <f t="shared" si="9"/>
        <v>124</v>
      </c>
      <c r="J23" s="207">
        <f t="shared" si="9"/>
        <v>124</v>
      </c>
      <c r="K23" s="207">
        <f t="shared" si="9"/>
        <v>0</v>
      </c>
      <c r="L23" s="207">
        <f t="shared" si="9"/>
        <v>0</v>
      </c>
      <c r="M23" s="207">
        <f t="shared" si="9"/>
        <v>0</v>
      </c>
      <c r="N23" s="207">
        <f t="shared" si="9"/>
        <v>0</v>
      </c>
      <c r="O23" s="207">
        <f t="shared" si="9"/>
        <v>0</v>
      </c>
      <c r="P23" s="207">
        <f t="shared" si="9"/>
        <v>0</v>
      </c>
      <c r="Q23" s="207">
        <f t="shared" si="9"/>
        <v>0</v>
      </c>
      <c r="R23" s="207">
        <f t="shared" si="9"/>
        <v>0</v>
      </c>
      <c r="S23" s="207">
        <f t="shared" si="9"/>
        <v>0</v>
      </c>
      <c r="T23" s="207">
        <f t="shared" si="9"/>
        <v>17713</v>
      </c>
      <c r="U23" s="207">
        <f t="shared" si="9"/>
        <v>15626</v>
      </c>
      <c r="V23" s="207">
        <f t="shared" si="9"/>
        <v>15964</v>
      </c>
      <c r="W23" s="207">
        <f t="shared" si="9"/>
        <v>3371</v>
      </c>
      <c r="X23" s="207">
        <f t="shared" si="9"/>
        <v>3676</v>
      </c>
      <c r="Y23" s="207">
        <f t="shared" si="9"/>
        <v>1115</v>
      </c>
      <c r="Z23" s="207">
        <f t="shared" ref="Z23:AI23" si="10">SUM(Z21:Z22)</f>
        <v>1115</v>
      </c>
      <c r="AA23" s="207">
        <f t="shared" si="10"/>
        <v>1115</v>
      </c>
      <c r="AB23" s="207">
        <f t="shared" si="10"/>
        <v>1115</v>
      </c>
      <c r="AC23" s="207">
        <f t="shared" si="10"/>
        <v>1115</v>
      </c>
      <c r="AD23" s="207">
        <f t="shared" si="10"/>
        <v>1115</v>
      </c>
      <c r="AE23" s="207">
        <f t="shared" si="10"/>
        <v>1115</v>
      </c>
      <c r="AF23" s="207">
        <f t="shared" si="10"/>
        <v>1115</v>
      </c>
      <c r="AG23" s="207">
        <f t="shared" si="10"/>
        <v>1115</v>
      </c>
      <c r="AH23" s="207">
        <f t="shared" si="10"/>
        <v>1115</v>
      </c>
      <c r="AI23" s="207">
        <f t="shared" si="10"/>
        <v>1115</v>
      </c>
      <c r="AJ23" s="207">
        <f t="shared" ref="AJ23:AP23" si="11">SUM(AJ21:AJ22)</f>
        <v>1115</v>
      </c>
      <c r="AK23" s="207">
        <f t="shared" si="11"/>
        <v>1115</v>
      </c>
      <c r="AL23" s="207">
        <f t="shared" si="11"/>
        <v>1115</v>
      </c>
      <c r="AM23" s="207">
        <f t="shared" si="11"/>
        <v>1115</v>
      </c>
      <c r="AN23" s="207">
        <f t="shared" si="11"/>
        <v>1115</v>
      </c>
      <c r="AO23" s="207">
        <f t="shared" si="11"/>
        <v>1115</v>
      </c>
      <c r="AP23" s="207">
        <f t="shared" si="11"/>
        <v>1115</v>
      </c>
      <c r="AQ23" s="207">
        <f t="shared" ref="AQ23:AV23" si="12">SUM(AQ21:AQ22)</f>
        <v>1115</v>
      </c>
      <c r="AR23" s="207">
        <f t="shared" si="12"/>
        <v>1115</v>
      </c>
      <c r="AS23" s="207">
        <f t="shared" si="12"/>
        <v>1115</v>
      </c>
      <c r="AT23" s="207">
        <f t="shared" si="12"/>
        <v>1115</v>
      </c>
      <c r="AU23" s="207">
        <f t="shared" si="12"/>
        <v>1115</v>
      </c>
      <c r="AV23" s="207">
        <f t="shared" si="12"/>
        <v>1115</v>
      </c>
      <c r="AW23" s="207">
        <f>SUM(AW21:AW22)</f>
        <v>1115</v>
      </c>
      <c r="AX23" s="207">
        <f>SUM(AX21:AX22)</f>
        <v>1115</v>
      </c>
      <c r="AY23" s="207">
        <f>SUM(AY21:AY22)</f>
        <v>1115</v>
      </c>
    </row>
    <row r="24" spans="1:51" x14ac:dyDescent="0.2">
      <c r="D24" s="129" t="s">
        <v>1532</v>
      </c>
      <c r="E24" s="118">
        <v>0</v>
      </c>
      <c r="F24" s="118"/>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0</v>
      </c>
      <c r="Y24" s="118">
        <v>1400</v>
      </c>
      <c r="Z24" s="118">
        <v>1400</v>
      </c>
      <c r="AA24" s="118">
        <v>1400</v>
      </c>
      <c r="AB24" s="118">
        <v>1400</v>
      </c>
      <c r="AC24" s="118">
        <v>756</v>
      </c>
      <c r="AD24" s="118">
        <v>765</v>
      </c>
      <c r="AE24" s="118">
        <v>777</v>
      </c>
      <c r="AF24" s="118">
        <v>278</v>
      </c>
      <c r="AG24" s="118">
        <v>0</v>
      </c>
      <c r="AH24" s="118">
        <v>0</v>
      </c>
      <c r="AI24" s="118">
        <v>0</v>
      </c>
      <c r="AJ24" s="118">
        <v>0</v>
      </c>
      <c r="AK24" s="118">
        <v>0</v>
      </c>
      <c r="AL24" s="118">
        <v>0</v>
      </c>
      <c r="AM24" s="118">
        <v>0</v>
      </c>
      <c r="AN24" s="118">
        <v>0</v>
      </c>
      <c r="AO24" s="118">
        <v>0</v>
      </c>
      <c r="AP24" s="118">
        <v>0</v>
      </c>
      <c r="AQ24" s="118">
        <v>0</v>
      </c>
      <c r="AR24" s="118">
        <v>0</v>
      </c>
      <c r="AS24" s="118">
        <v>0</v>
      </c>
      <c r="AT24" s="118">
        <v>0</v>
      </c>
      <c r="AU24" s="118">
        <v>0</v>
      </c>
      <c r="AV24" s="118">
        <v>0</v>
      </c>
      <c r="AW24" s="118">
        <v>0</v>
      </c>
      <c r="AX24" s="118">
        <v>0</v>
      </c>
      <c r="AY24" s="118">
        <v>0</v>
      </c>
    </row>
    <row r="25" spans="1:51" x14ac:dyDescent="0.2">
      <c r="D25" s="129" t="s">
        <v>1604</v>
      </c>
      <c r="E25" s="118">
        <v>0</v>
      </c>
      <c r="F25" s="118"/>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18">
        <v>0</v>
      </c>
      <c r="Y25" s="118">
        <v>1200</v>
      </c>
      <c r="Z25" s="118">
        <v>2200</v>
      </c>
      <c r="AA25" s="118">
        <v>3200</v>
      </c>
      <c r="AB25" s="118">
        <v>3200</v>
      </c>
      <c r="AC25" s="118">
        <v>3200</v>
      </c>
      <c r="AD25" s="118">
        <v>3200</v>
      </c>
      <c r="AE25" s="118">
        <v>3476</v>
      </c>
      <c r="AF25" s="118">
        <v>3546</v>
      </c>
      <c r="AG25" s="118">
        <v>3636</v>
      </c>
      <c r="AH25" s="118">
        <v>3753</v>
      </c>
      <c r="AI25" s="118">
        <v>0</v>
      </c>
      <c r="AJ25" s="118">
        <v>0</v>
      </c>
      <c r="AK25" s="118">
        <v>0</v>
      </c>
      <c r="AL25" s="118">
        <v>0</v>
      </c>
      <c r="AM25" s="118">
        <v>0</v>
      </c>
      <c r="AN25" s="118">
        <v>0</v>
      </c>
      <c r="AO25" s="118">
        <v>0</v>
      </c>
      <c r="AP25" s="118">
        <v>0</v>
      </c>
      <c r="AQ25" s="118">
        <v>0</v>
      </c>
      <c r="AR25" s="118">
        <v>0</v>
      </c>
      <c r="AS25" s="118">
        <v>0</v>
      </c>
      <c r="AT25" s="118">
        <v>0</v>
      </c>
      <c r="AU25" s="118">
        <v>0</v>
      </c>
      <c r="AV25" s="118">
        <v>0</v>
      </c>
      <c r="AW25" s="118">
        <v>0</v>
      </c>
      <c r="AX25" s="118">
        <v>0</v>
      </c>
      <c r="AY25" s="118">
        <v>0</v>
      </c>
    </row>
    <row r="26" spans="1:51" x14ac:dyDescent="0.2">
      <c r="A26" s="201" t="s">
        <v>1550</v>
      </c>
      <c r="B26" s="201" t="s">
        <v>1567</v>
      </c>
      <c r="D26" s="206" t="str">
        <f>IF([1]RENAME!$H$3=1,B26,A26)</f>
        <v>Títulos e valores mobiliários</v>
      </c>
      <c r="E26" s="207">
        <f>SUM(E24:E25)</f>
        <v>0</v>
      </c>
      <c r="F26" s="207"/>
      <c r="G26" s="207">
        <f t="shared" ref="G26:Y26" si="13">SUM(G24:G25)</f>
        <v>0</v>
      </c>
      <c r="H26" s="207">
        <f t="shared" si="13"/>
        <v>0</v>
      </c>
      <c r="I26" s="207">
        <f t="shared" si="13"/>
        <v>0</v>
      </c>
      <c r="J26" s="207">
        <f t="shared" si="13"/>
        <v>0</v>
      </c>
      <c r="K26" s="207">
        <f t="shared" si="13"/>
        <v>0</v>
      </c>
      <c r="L26" s="207">
        <f t="shared" si="13"/>
        <v>0</v>
      </c>
      <c r="M26" s="207">
        <f t="shared" si="13"/>
        <v>0</v>
      </c>
      <c r="N26" s="207">
        <f t="shared" si="13"/>
        <v>0</v>
      </c>
      <c r="O26" s="207">
        <f t="shared" si="13"/>
        <v>0</v>
      </c>
      <c r="P26" s="207">
        <f t="shared" si="13"/>
        <v>0</v>
      </c>
      <c r="Q26" s="207">
        <f t="shared" si="13"/>
        <v>0</v>
      </c>
      <c r="R26" s="207">
        <f t="shared" si="13"/>
        <v>0</v>
      </c>
      <c r="S26" s="207">
        <f t="shared" si="13"/>
        <v>0</v>
      </c>
      <c r="T26" s="207">
        <f t="shared" si="13"/>
        <v>0</v>
      </c>
      <c r="U26" s="207">
        <f t="shared" si="13"/>
        <v>0</v>
      </c>
      <c r="V26" s="207">
        <f t="shared" si="13"/>
        <v>0</v>
      </c>
      <c r="W26" s="207">
        <f t="shared" si="13"/>
        <v>0</v>
      </c>
      <c r="X26" s="207">
        <f t="shared" si="13"/>
        <v>0</v>
      </c>
      <c r="Y26" s="207">
        <f t="shared" si="13"/>
        <v>2600</v>
      </c>
      <c r="Z26" s="207">
        <f t="shared" ref="Z26:AE26" si="14">SUM(Z24:Z25)</f>
        <v>3600</v>
      </c>
      <c r="AA26" s="207">
        <f t="shared" si="14"/>
        <v>4600</v>
      </c>
      <c r="AB26" s="207">
        <f t="shared" si="14"/>
        <v>4600</v>
      </c>
      <c r="AC26" s="207">
        <f t="shared" si="14"/>
        <v>3956</v>
      </c>
      <c r="AD26" s="207">
        <f t="shared" si="14"/>
        <v>3965</v>
      </c>
      <c r="AE26" s="207">
        <f t="shared" si="14"/>
        <v>4253</v>
      </c>
      <c r="AF26" s="207">
        <f t="shared" ref="AF26:AP26" si="15">SUM(AF24:AF25)</f>
        <v>3824</v>
      </c>
      <c r="AG26" s="207">
        <f t="shared" si="15"/>
        <v>3636</v>
      </c>
      <c r="AH26" s="207">
        <f t="shared" si="15"/>
        <v>3753</v>
      </c>
      <c r="AI26" s="207">
        <f t="shared" si="15"/>
        <v>0</v>
      </c>
      <c r="AJ26" s="207">
        <f t="shared" si="15"/>
        <v>0</v>
      </c>
      <c r="AK26" s="207">
        <f t="shared" si="15"/>
        <v>0</v>
      </c>
      <c r="AL26" s="207">
        <f t="shared" si="15"/>
        <v>0</v>
      </c>
      <c r="AM26" s="207">
        <f t="shared" si="15"/>
        <v>0</v>
      </c>
      <c r="AN26" s="207">
        <f t="shared" si="15"/>
        <v>0</v>
      </c>
      <c r="AO26" s="207">
        <f t="shared" si="15"/>
        <v>0</v>
      </c>
      <c r="AP26" s="207">
        <f t="shared" si="15"/>
        <v>0</v>
      </c>
      <c r="AQ26" s="207">
        <f>SUM(AQ24:AQ25)</f>
        <v>0</v>
      </c>
      <c r="AR26" s="207">
        <v>0</v>
      </c>
      <c r="AS26" s="207">
        <v>0</v>
      </c>
      <c r="AT26" s="207">
        <f>SUM(AT24:AT25)</f>
        <v>0</v>
      </c>
      <c r="AU26" s="207">
        <f>SUM(AU24:AU25)</f>
        <v>0</v>
      </c>
      <c r="AV26" s="207">
        <f>SUM(AV24:AV25)</f>
        <v>0</v>
      </c>
      <c r="AW26" s="207">
        <f>SUM(AW24:AW25)</f>
        <v>0</v>
      </c>
      <c r="AX26" s="207">
        <v>0</v>
      </c>
      <c r="AY26" s="207">
        <f>SUM(AY24:AY25)</f>
        <v>0</v>
      </c>
    </row>
    <row r="27" spans="1:51" ht="13.5" customHeight="1" x14ac:dyDescent="0.2">
      <c r="D27" s="129" t="s">
        <v>1604</v>
      </c>
      <c r="E27" s="118">
        <v>0</v>
      </c>
      <c r="F27" s="118"/>
      <c r="G27" s="118">
        <v>0</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18">
        <v>0</v>
      </c>
      <c r="Y27" s="118">
        <v>0</v>
      </c>
      <c r="Z27" s="118">
        <v>0</v>
      </c>
      <c r="AA27" s="118">
        <v>0</v>
      </c>
      <c r="AB27" s="118">
        <v>0</v>
      </c>
      <c r="AC27" s="118">
        <v>0</v>
      </c>
      <c r="AD27" s="1152">
        <v>0</v>
      </c>
      <c r="AE27" s="118">
        <v>0</v>
      </c>
      <c r="AF27" s="118">
        <v>0</v>
      </c>
      <c r="AG27" s="118">
        <v>0</v>
      </c>
      <c r="AH27" s="118">
        <v>0</v>
      </c>
      <c r="AI27" s="118">
        <v>0</v>
      </c>
      <c r="AJ27" s="118">
        <v>0</v>
      </c>
      <c r="AK27" s="118">
        <v>0</v>
      </c>
      <c r="AL27" s="118">
        <v>0</v>
      </c>
      <c r="AM27" s="118">
        <v>0</v>
      </c>
      <c r="AN27" s="118">
        <v>0</v>
      </c>
      <c r="AO27" s="118">
        <v>0</v>
      </c>
      <c r="AP27" s="118">
        <v>0</v>
      </c>
      <c r="AQ27" s="118">
        <v>0</v>
      </c>
      <c r="AR27" s="118">
        <v>0</v>
      </c>
      <c r="AS27" s="118">
        <v>0</v>
      </c>
      <c r="AT27" s="118">
        <v>0</v>
      </c>
      <c r="AU27" s="118">
        <v>0</v>
      </c>
      <c r="AV27" s="118">
        <v>0</v>
      </c>
      <c r="AW27" s="118">
        <v>0</v>
      </c>
      <c r="AX27" s="118">
        <v>0</v>
      </c>
      <c r="AY27" s="118">
        <v>0</v>
      </c>
    </row>
    <row r="28" spans="1:51" ht="15" customHeight="1" x14ac:dyDescent="0.2">
      <c r="A28" s="201" t="s">
        <v>2013</v>
      </c>
      <c r="B28" s="201" t="s">
        <v>2149</v>
      </c>
      <c r="D28" s="206" t="str">
        <f>IF([1]RENAME!$H$3=1,B28,A28)</f>
        <v>Investimento em instrumentos patrimoniais</v>
      </c>
      <c r="E28" s="207">
        <f t="shared" ref="E28:AJ28" si="16">E27</f>
        <v>0</v>
      </c>
      <c r="F28" s="207"/>
      <c r="G28" s="207">
        <f t="shared" si="16"/>
        <v>0</v>
      </c>
      <c r="H28" s="207">
        <f t="shared" si="16"/>
        <v>0</v>
      </c>
      <c r="I28" s="207">
        <f t="shared" si="16"/>
        <v>0</v>
      </c>
      <c r="J28" s="207">
        <f t="shared" si="16"/>
        <v>0</v>
      </c>
      <c r="K28" s="207">
        <f t="shared" si="16"/>
        <v>0</v>
      </c>
      <c r="L28" s="207">
        <f t="shared" si="16"/>
        <v>0</v>
      </c>
      <c r="M28" s="207">
        <f t="shared" si="16"/>
        <v>0</v>
      </c>
      <c r="N28" s="207">
        <f t="shared" si="16"/>
        <v>0</v>
      </c>
      <c r="O28" s="207">
        <f t="shared" si="16"/>
        <v>0</v>
      </c>
      <c r="P28" s="207">
        <f t="shared" si="16"/>
        <v>0</v>
      </c>
      <c r="Q28" s="207">
        <f t="shared" si="16"/>
        <v>0</v>
      </c>
      <c r="R28" s="207">
        <f t="shared" si="16"/>
        <v>0</v>
      </c>
      <c r="S28" s="207">
        <f t="shared" si="16"/>
        <v>0</v>
      </c>
      <c r="T28" s="207">
        <f t="shared" si="16"/>
        <v>0</v>
      </c>
      <c r="U28" s="207">
        <f t="shared" si="16"/>
        <v>0</v>
      </c>
      <c r="V28" s="207">
        <f t="shared" si="16"/>
        <v>0</v>
      </c>
      <c r="W28" s="207">
        <f t="shared" si="16"/>
        <v>0</v>
      </c>
      <c r="X28" s="207">
        <f t="shared" si="16"/>
        <v>0</v>
      </c>
      <c r="Y28" s="207">
        <f t="shared" si="16"/>
        <v>0</v>
      </c>
      <c r="Z28" s="207">
        <f t="shared" si="16"/>
        <v>0</v>
      </c>
      <c r="AA28" s="207">
        <f t="shared" si="16"/>
        <v>0</v>
      </c>
      <c r="AB28" s="207">
        <f t="shared" si="16"/>
        <v>0</v>
      </c>
      <c r="AC28" s="207">
        <f t="shared" si="16"/>
        <v>0</v>
      </c>
      <c r="AD28" s="1152">
        <f t="shared" si="16"/>
        <v>0</v>
      </c>
      <c r="AE28" s="207">
        <f t="shared" si="16"/>
        <v>0</v>
      </c>
      <c r="AF28" s="207">
        <f t="shared" si="16"/>
        <v>0</v>
      </c>
      <c r="AG28" s="207">
        <f t="shared" si="16"/>
        <v>0</v>
      </c>
      <c r="AH28" s="207">
        <f t="shared" si="16"/>
        <v>0</v>
      </c>
      <c r="AI28" s="207">
        <f t="shared" si="16"/>
        <v>0</v>
      </c>
      <c r="AJ28" s="207">
        <f t="shared" si="16"/>
        <v>0</v>
      </c>
      <c r="AK28" s="207">
        <f t="shared" ref="AK28:AP28" si="17">AK27</f>
        <v>0</v>
      </c>
      <c r="AL28" s="207">
        <f t="shared" si="17"/>
        <v>0</v>
      </c>
      <c r="AM28" s="207">
        <f t="shared" si="17"/>
        <v>0</v>
      </c>
      <c r="AN28" s="207">
        <f t="shared" si="17"/>
        <v>0</v>
      </c>
      <c r="AO28" s="207">
        <f t="shared" si="17"/>
        <v>0</v>
      </c>
      <c r="AP28" s="207">
        <f t="shared" si="17"/>
        <v>0</v>
      </c>
      <c r="AQ28" s="207">
        <f>AQ27</f>
        <v>0</v>
      </c>
      <c r="AR28" s="207">
        <v>0</v>
      </c>
      <c r="AS28" s="207">
        <v>0</v>
      </c>
      <c r="AT28" s="207">
        <f>AT27</f>
        <v>0</v>
      </c>
      <c r="AU28" s="207">
        <f>AU27</f>
        <v>0</v>
      </c>
      <c r="AV28" s="207">
        <f>AV27</f>
        <v>0</v>
      </c>
      <c r="AW28" s="207">
        <f>AW27</f>
        <v>0</v>
      </c>
      <c r="AX28" s="207">
        <v>0</v>
      </c>
      <c r="AY28" s="207">
        <f>AY27</f>
        <v>0</v>
      </c>
    </row>
    <row r="29" spans="1:51" ht="15" customHeight="1" x14ac:dyDescent="0.2">
      <c r="D29" s="129" t="s">
        <v>2012</v>
      </c>
      <c r="E29" s="118">
        <v>0</v>
      </c>
      <c r="F29" s="118"/>
      <c r="G29" s="118">
        <v>0</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18">
        <v>0</v>
      </c>
      <c r="Y29" s="118">
        <v>0</v>
      </c>
      <c r="Z29" s="118">
        <v>0</v>
      </c>
      <c r="AA29" s="118">
        <v>0</v>
      </c>
      <c r="AB29" s="118">
        <v>0</v>
      </c>
      <c r="AC29" s="118">
        <v>0</v>
      </c>
      <c r="AD29" s="118">
        <v>0</v>
      </c>
      <c r="AE29" s="118">
        <v>0</v>
      </c>
      <c r="AF29" s="118">
        <v>0</v>
      </c>
      <c r="AG29" s="118">
        <v>0</v>
      </c>
      <c r="AH29" s="118">
        <v>0</v>
      </c>
      <c r="AI29" s="118">
        <v>609</v>
      </c>
      <c r="AJ29" s="118">
        <v>742</v>
      </c>
      <c r="AK29" s="118">
        <v>603</v>
      </c>
      <c r="AL29" s="118">
        <v>464</v>
      </c>
      <c r="AM29" s="118">
        <v>325</v>
      </c>
      <c r="AN29" s="118">
        <v>767</v>
      </c>
      <c r="AO29" s="118">
        <v>192</v>
      </c>
      <c r="AP29" s="118">
        <v>3967</v>
      </c>
      <c r="AQ29" s="118">
        <v>3469</v>
      </c>
      <c r="AR29" s="118">
        <v>2921</v>
      </c>
      <c r="AS29" s="118">
        <v>2374</v>
      </c>
      <c r="AT29" s="118">
        <v>1917</v>
      </c>
      <c r="AU29" s="118">
        <v>1342</v>
      </c>
      <c r="AV29" s="118">
        <v>2832</v>
      </c>
      <c r="AW29" s="118">
        <v>2301</v>
      </c>
      <c r="AX29" s="118">
        <v>1862</v>
      </c>
      <c r="AY29" s="118">
        <f>+'[3]26a Part Relac NL (2)'!$H$41</f>
        <v>1303</v>
      </c>
    </row>
    <row r="30" spans="1:51" x14ac:dyDescent="0.2">
      <c r="D30" s="129" t="s">
        <v>443</v>
      </c>
      <c r="E30" s="118">
        <v>0</v>
      </c>
      <c r="F30" s="118"/>
      <c r="G30" s="118">
        <v>0</v>
      </c>
      <c r="H30" s="118">
        <v>0</v>
      </c>
      <c r="I30" s="118">
        <v>0</v>
      </c>
      <c r="J30" s="118">
        <v>0</v>
      </c>
      <c r="K30" s="118">
        <v>0</v>
      </c>
      <c r="L30" s="118">
        <v>0</v>
      </c>
      <c r="M30" s="118">
        <v>0</v>
      </c>
      <c r="N30" s="118">
        <v>0</v>
      </c>
      <c r="O30" s="118">
        <v>0</v>
      </c>
      <c r="P30" s="118">
        <v>0</v>
      </c>
      <c r="Q30" s="118">
        <v>0</v>
      </c>
      <c r="R30" s="118">
        <v>0</v>
      </c>
      <c r="S30" s="118">
        <v>0</v>
      </c>
      <c r="T30" s="118">
        <v>0</v>
      </c>
      <c r="U30" s="118">
        <v>0</v>
      </c>
      <c r="V30" s="118">
        <v>0</v>
      </c>
      <c r="W30" s="118">
        <v>0</v>
      </c>
      <c r="X30" s="118">
        <v>0</v>
      </c>
      <c r="Y30" s="118">
        <v>0</v>
      </c>
      <c r="Z30" s="118">
        <v>0</v>
      </c>
      <c r="AA30" s="118">
        <v>0</v>
      </c>
      <c r="AB30" s="118">
        <v>0</v>
      </c>
      <c r="AC30" s="118">
        <v>0</v>
      </c>
      <c r="AD30" s="118">
        <v>0</v>
      </c>
      <c r="AE30" s="118">
        <v>0</v>
      </c>
      <c r="AF30" s="118">
        <v>0</v>
      </c>
      <c r="AG30" s="118">
        <v>0</v>
      </c>
      <c r="AH30" s="118">
        <v>0</v>
      </c>
      <c r="AI30" s="118">
        <v>6714</v>
      </c>
      <c r="AJ30" s="118">
        <v>14609</v>
      </c>
      <c r="AK30" s="118">
        <v>13750</v>
      </c>
      <c r="AL30" s="118">
        <v>13708</v>
      </c>
      <c r="AM30" s="118">
        <v>12795</v>
      </c>
      <c r="AN30" s="118">
        <v>11881</v>
      </c>
      <c r="AO30" s="118">
        <v>10967</v>
      </c>
      <c r="AP30" s="118">
        <v>10575</v>
      </c>
      <c r="AQ30" s="118">
        <v>9614</v>
      </c>
      <c r="AR30" s="118">
        <v>8652</v>
      </c>
      <c r="AS30" s="118">
        <v>7691</v>
      </c>
      <c r="AT30" s="118">
        <v>7142</v>
      </c>
      <c r="AU30" s="118">
        <v>6121</v>
      </c>
      <c r="AV30" s="118">
        <v>5101</v>
      </c>
      <c r="AW30" s="118">
        <v>4081</v>
      </c>
      <c r="AX30" s="118">
        <v>3244</v>
      </c>
      <c r="AY30" s="118">
        <f>+'[3]26a Part Relac NL (2)'!$H$43</f>
        <v>2163</v>
      </c>
    </row>
    <row r="31" spans="1:51" x14ac:dyDescent="0.2">
      <c r="A31" s="201" t="s">
        <v>1426</v>
      </c>
      <c r="B31" s="201" t="s">
        <v>2150</v>
      </c>
      <c r="D31" s="206" t="str">
        <f>IF([1]RENAME!$H$3=1,B31,A31)</f>
        <v>Direito de uso</v>
      </c>
      <c r="E31" s="207">
        <f>SUM(E29:E30)</f>
        <v>0</v>
      </c>
      <c r="F31" s="207"/>
      <c r="G31" s="207">
        <f t="shared" ref="G31:AK31" si="18">SUM(G29:G30)</f>
        <v>0</v>
      </c>
      <c r="H31" s="207">
        <f t="shared" si="18"/>
        <v>0</v>
      </c>
      <c r="I31" s="207">
        <f t="shared" si="18"/>
        <v>0</v>
      </c>
      <c r="J31" s="207">
        <f t="shared" si="18"/>
        <v>0</v>
      </c>
      <c r="K31" s="207">
        <f t="shared" si="18"/>
        <v>0</v>
      </c>
      <c r="L31" s="207">
        <f t="shared" si="18"/>
        <v>0</v>
      </c>
      <c r="M31" s="207">
        <f t="shared" si="18"/>
        <v>0</v>
      </c>
      <c r="N31" s="207">
        <f t="shared" si="18"/>
        <v>0</v>
      </c>
      <c r="O31" s="207">
        <f t="shared" si="18"/>
        <v>0</v>
      </c>
      <c r="P31" s="207">
        <f t="shared" si="18"/>
        <v>0</v>
      </c>
      <c r="Q31" s="207">
        <f t="shared" si="18"/>
        <v>0</v>
      </c>
      <c r="R31" s="207">
        <f t="shared" si="18"/>
        <v>0</v>
      </c>
      <c r="S31" s="207">
        <f t="shared" si="18"/>
        <v>0</v>
      </c>
      <c r="T31" s="207">
        <f t="shared" si="18"/>
        <v>0</v>
      </c>
      <c r="U31" s="207">
        <f t="shared" si="18"/>
        <v>0</v>
      </c>
      <c r="V31" s="207">
        <f t="shared" si="18"/>
        <v>0</v>
      </c>
      <c r="W31" s="207">
        <f t="shared" si="18"/>
        <v>0</v>
      </c>
      <c r="X31" s="207">
        <f t="shared" si="18"/>
        <v>0</v>
      </c>
      <c r="Y31" s="207">
        <f t="shared" si="18"/>
        <v>0</v>
      </c>
      <c r="Z31" s="207">
        <f t="shared" si="18"/>
        <v>0</v>
      </c>
      <c r="AA31" s="207">
        <f t="shared" si="18"/>
        <v>0</v>
      </c>
      <c r="AB31" s="207">
        <f t="shared" si="18"/>
        <v>0</v>
      </c>
      <c r="AC31" s="207">
        <f t="shared" si="18"/>
        <v>0</v>
      </c>
      <c r="AD31" s="207">
        <f t="shared" si="18"/>
        <v>0</v>
      </c>
      <c r="AE31" s="207">
        <f t="shared" si="18"/>
        <v>0</v>
      </c>
      <c r="AF31" s="207">
        <f t="shared" si="18"/>
        <v>0</v>
      </c>
      <c r="AG31" s="207">
        <f t="shared" si="18"/>
        <v>0</v>
      </c>
      <c r="AH31" s="207">
        <f t="shared" si="18"/>
        <v>0</v>
      </c>
      <c r="AI31" s="207">
        <f t="shared" si="18"/>
        <v>7323</v>
      </c>
      <c r="AJ31" s="207">
        <f t="shared" si="18"/>
        <v>15351</v>
      </c>
      <c r="AK31" s="207">
        <f t="shared" si="18"/>
        <v>14353</v>
      </c>
      <c r="AL31" s="207">
        <f t="shared" ref="AL31:AU31" si="19">SUM(AL29:AL30)</f>
        <v>14172</v>
      </c>
      <c r="AM31" s="207">
        <f t="shared" si="19"/>
        <v>13120</v>
      </c>
      <c r="AN31" s="207">
        <f t="shared" si="19"/>
        <v>12648</v>
      </c>
      <c r="AO31" s="207">
        <f t="shared" si="19"/>
        <v>11159</v>
      </c>
      <c r="AP31" s="207">
        <f t="shared" si="19"/>
        <v>14542</v>
      </c>
      <c r="AQ31" s="207">
        <f>SUM(AQ29:AQ30)</f>
        <v>13083</v>
      </c>
      <c r="AR31" s="207">
        <f>SUM(AR29:AR30)</f>
        <v>11573</v>
      </c>
      <c r="AS31" s="207">
        <f>SUM(AS29:AS30)</f>
        <v>10065</v>
      </c>
      <c r="AT31" s="207">
        <f t="shared" si="19"/>
        <v>9059</v>
      </c>
      <c r="AU31" s="207">
        <f t="shared" si="19"/>
        <v>7463</v>
      </c>
      <c r="AV31" s="207">
        <f>SUM(AV29:AV30)</f>
        <v>7933</v>
      </c>
      <c r="AW31" s="207">
        <f>SUM(AW29:AW30)</f>
        <v>6382</v>
      </c>
      <c r="AX31" s="207">
        <f>SUM(AX29:AX30)</f>
        <v>5106</v>
      </c>
      <c r="AY31" s="207">
        <f>SUM(AY29:AY30)</f>
        <v>3466</v>
      </c>
    </row>
    <row r="32" spans="1:51" x14ac:dyDescent="0.2">
      <c r="A32" s="201" t="s">
        <v>2151</v>
      </c>
      <c r="B32" s="201" t="s">
        <v>1378</v>
      </c>
      <c r="D32" s="126" t="str">
        <f>IF([1]RENAME!$H$3=1,B32,A32)</f>
        <v>Total do Ativo</v>
      </c>
      <c r="E32" s="120">
        <f t="shared" ref="E32:AH32" si="20">E20+E23+E26+E31</f>
        <v>12610</v>
      </c>
      <c r="F32" s="120"/>
      <c r="G32" s="120">
        <f t="shared" si="20"/>
        <v>1498</v>
      </c>
      <c r="H32" s="120">
        <f t="shared" si="20"/>
        <v>708</v>
      </c>
      <c r="I32" s="120">
        <f t="shared" si="20"/>
        <v>1975</v>
      </c>
      <c r="J32" s="120">
        <f t="shared" si="20"/>
        <v>922</v>
      </c>
      <c r="K32" s="120">
        <f t="shared" si="20"/>
        <v>334</v>
      </c>
      <c r="L32" s="120">
        <f t="shared" si="20"/>
        <v>810</v>
      </c>
      <c r="M32" s="120">
        <f t="shared" si="20"/>
        <v>770</v>
      </c>
      <c r="N32" s="120">
        <f t="shared" si="20"/>
        <v>513</v>
      </c>
      <c r="O32" s="120">
        <f t="shared" si="20"/>
        <v>462.24779999999964</v>
      </c>
      <c r="P32" s="120">
        <f t="shared" si="20"/>
        <v>614.08188000000087</v>
      </c>
      <c r="Q32" s="120">
        <f t="shared" si="20"/>
        <v>614.08188000000087</v>
      </c>
      <c r="R32" s="120">
        <f t="shared" si="20"/>
        <v>602</v>
      </c>
      <c r="S32" s="120">
        <f t="shared" si="20"/>
        <v>925</v>
      </c>
      <c r="T32" s="120">
        <f t="shared" si="20"/>
        <v>19220</v>
      </c>
      <c r="U32" s="120">
        <f t="shared" si="20"/>
        <v>19703</v>
      </c>
      <c r="V32" s="120">
        <f t="shared" si="20"/>
        <v>18690</v>
      </c>
      <c r="W32" s="120">
        <f t="shared" si="20"/>
        <v>6371</v>
      </c>
      <c r="X32" s="120">
        <f t="shared" si="20"/>
        <v>3877</v>
      </c>
      <c r="Y32" s="120">
        <f t="shared" si="20"/>
        <v>4399</v>
      </c>
      <c r="Z32" s="120">
        <f t="shared" si="20"/>
        <v>5273</v>
      </c>
      <c r="AA32" s="120">
        <f t="shared" si="20"/>
        <v>5827</v>
      </c>
      <c r="AB32" s="120">
        <f t="shared" si="20"/>
        <v>5842</v>
      </c>
      <c r="AC32" s="120">
        <f t="shared" si="20"/>
        <v>5253</v>
      </c>
      <c r="AD32" s="120">
        <f t="shared" si="20"/>
        <v>5322</v>
      </c>
      <c r="AE32" s="120">
        <f t="shared" si="20"/>
        <v>5607</v>
      </c>
      <c r="AF32" s="120">
        <f t="shared" si="20"/>
        <v>5032</v>
      </c>
      <c r="AG32" s="120">
        <f t="shared" si="20"/>
        <v>4845</v>
      </c>
      <c r="AH32" s="120">
        <f t="shared" si="20"/>
        <v>4903</v>
      </c>
      <c r="AI32" s="120">
        <f>AI20+AI23+AI26+AI31+AI28</f>
        <v>8473</v>
      </c>
      <c r="AJ32" s="120">
        <f t="shared" ref="AJ32:AO32" si="21">AJ20+AJ23+AJ26+AJ31</f>
        <v>16500</v>
      </c>
      <c r="AK32" s="120">
        <f t="shared" si="21"/>
        <v>15649</v>
      </c>
      <c r="AL32" s="120">
        <f t="shared" si="21"/>
        <v>15484</v>
      </c>
      <c r="AM32" s="120">
        <f t="shared" si="21"/>
        <v>14582</v>
      </c>
      <c r="AN32" s="120">
        <f t="shared" si="21"/>
        <v>14031</v>
      </c>
      <c r="AO32" s="120">
        <f t="shared" si="21"/>
        <v>12566</v>
      </c>
      <c r="AP32" s="120">
        <f t="shared" ref="AP32:AU32" si="22">AP20+AP23+AP26+AP31</f>
        <v>16035</v>
      </c>
      <c r="AQ32" s="120">
        <f t="shared" si="22"/>
        <v>14633</v>
      </c>
      <c r="AR32" s="120">
        <f t="shared" si="22"/>
        <v>13715</v>
      </c>
      <c r="AS32" s="120">
        <f t="shared" si="22"/>
        <v>11717</v>
      </c>
      <c r="AT32" s="120">
        <f t="shared" si="22"/>
        <v>11204</v>
      </c>
      <c r="AU32" s="120">
        <f t="shared" si="22"/>
        <v>9580</v>
      </c>
      <c r="AV32" s="120">
        <f>AV20+AV23+AV26+AV31</f>
        <v>10088</v>
      </c>
      <c r="AW32" s="120">
        <f>AW20+AW23+AW26+AW31</f>
        <v>8584</v>
      </c>
      <c r="AX32" s="120">
        <f>AX20+AX23+AX26+AX31</f>
        <v>7026</v>
      </c>
      <c r="AY32" s="120">
        <f>AY20+AY23+AY26+AY31</f>
        <v>5318</v>
      </c>
    </row>
    <row r="33" spans="1:51" ht="15" customHeight="1" x14ac:dyDescent="0.2">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row>
    <row r="34" spans="1:51" ht="15" customHeight="1" x14ac:dyDescent="0.2">
      <c r="D34" s="129" t="s">
        <v>1961</v>
      </c>
      <c r="E34" s="118">
        <v>0</v>
      </c>
      <c r="F34" s="118"/>
      <c r="G34" s="118">
        <v>8893</v>
      </c>
      <c r="H34" s="118">
        <v>8925</v>
      </c>
      <c r="I34" s="118">
        <v>0</v>
      </c>
      <c r="J34" s="214">
        <v>0</v>
      </c>
      <c r="K34" s="214">
        <v>0</v>
      </c>
      <c r="L34" s="214">
        <v>0</v>
      </c>
      <c r="M34" s="214">
        <v>0</v>
      </c>
      <c r="N34" s="214">
        <v>0</v>
      </c>
      <c r="O34" s="214">
        <v>0</v>
      </c>
      <c r="P34" s="214">
        <v>0</v>
      </c>
      <c r="Q34" s="214">
        <v>0</v>
      </c>
      <c r="R34" s="214">
        <v>367</v>
      </c>
      <c r="S34" s="214">
        <v>0</v>
      </c>
      <c r="T34" s="214">
        <v>1135</v>
      </c>
      <c r="U34" s="214">
        <v>1865</v>
      </c>
      <c r="V34" s="214">
        <v>70</v>
      </c>
      <c r="W34" s="214">
        <v>1023</v>
      </c>
      <c r="X34" s="214">
        <v>30</v>
      </c>
      <c r="Y34" s="214">
        <v>70</v>
      </c>
      <c r="Z34" s="214">
        <v>28</v>
      </c>
      <c r="AA34" s="214">
        <v>35</v>
      </c>
      <c r="AB34" s="214">
        <v>31</v>
      </c>
      <c r="AC34" s="214">
        <v>25</v>
      </c>
      <c r="AD34" s="214">
        <v>27</v>
      </c>
      <c r="AE34" s="214">
        <v>15</v>
      </c>
      <c r="AF34" s="214">
        <v>378</v>
      </c>
      <c r="AG34" s="214">
        <v>89</v>
      </c>
      <c r="AH34" s="214">
        <v>63</v>
      </c>
      <c r="AI34" s="214">
        <v>92</v>
      </c>
      <c r="AJ34" s="214">
        <v>51</v>
      </c>
      <c r="AK34" s="214">
        <v>180</v>
      </c>
      <c r="AL34" s="214">
        <v>136</v>
      </c>
      <c r="AM34" s="214">
        <v>108</v>
      </c>
      <c r="AN34" s="214">
        <v>110</v>
      </c>
      <c r="AO34" s="214">
        <v>110</v>
      </c>
      <c r="AP34" s="214">
        <v>543</v>
      </c>
      <c r="AQ34" s="214">
        <v>287</v>
      </c>
      <c r="AR34" s="214">
        <v>299</v>
      </c>
      <c r="AS34" s="214">
        <v>114</v>
      </c>
      <c r="AT34" s="214">
        <v>552</v>
      </c>
      <c r="AU34" s="214">
        <v>453</v>
      </c>
      <c r="AV34" s="214">
        <v>217</v>
      </c>
      <c r="AW34" s="214">
        <v>382</v>
      </c>
      <c r="AX34" s="214">
        <v>304</v>
      </c>
      <c r="AY34" s="214">
        <f>'[3]26a Part Relac NL (2)'!$T$67</f>
        <v>236</v>
      </c>
    </row>
    <row r="35" spans="1:51" x14ac:dyDescent="0.2">
      <c r="D35" s="129" t="s">
        <v>443</v>
      </c>
      <c r="E35" s="118">
        <v>252</v>
      </c>
      <c r="F35" s="118"/>
      <c r="G35" s="118">
        <v>261</v>
      </c>
      <c r="H35" s="118">
        <v>261</v>
      </c>
      <c r="I35" s="118">
        <v>5615</v>
      </c>
      <c r="J35" s="214">
        <v>5615</v>
      </c>
      <c r="K35" s="214">
        <v>5353</v>
      </c>
      <c r="L35" s="214">
        <v>421</v>
      </c>
      <c r="M35" s="214">
        <v>661</v>
      </c>
      <c r="N35" s="214">
        <v>360</v>
      </c>
      <c r="O35" s="214">
        <v>359.5</v>
      </c>
      <c r="P35" s="214">
        <v>359.5</v>
      </c>
      <c r="Q35" s="214">
        <v>359.5</v>
      </c>
      <c r="R35" s="214">
        <v>360</v>
      </c>
      <c r="S35" s="214">
        <v>231</v>
      </c>
      <c r="T35" s="214">
        <v>360</v>
      </c>
      <c r="U35" s="214">
        <v>360</v>
      </c>
      <c r="V35" s="214">
        <v>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404</v>
      </c>
      <c r="AL35" s="214">
        <v>427</v>
      </c>
      <c r="AM35" s="214">
        <v>427</v>
      </c>
      <c r="AN35" s="214">
        <v>427</v>
      </c>
      <c r="AO35" s="214">
        <v>427</v>
      </c>
      <c r="AP35" s="214">
        <v>447</v>
      </c>
      <c r="AQ35" s="214">
        <v>447</v>
      </c>
      <c r="AR35" s="214">
        <v>447</v>
      </c>
      <c r="AS35" s="214">
        <v>447</v>
      </c>
      <c r="AT35" s="214">
        <v>468</v>
      </c>
      <c r="AU35" s="214">
        <v>468</v>
      </c>
      <c r="AV35" s="214">
        <v>468</v>
      </c>
      <c r="AW35" s="214">
        <v>468</v>
      </c>
      <c r="AX35" s="214">
        <v>488</v>
      </c>
      <c r="AY35" s="214">
        <f>'[3]26a Part Relac NL (2)'!$T$69</f>
        <v>488</v>
      </c>
    </row>
    <row r="36" spans="1:51" x14ac:dyDescent="0.2">
      <c r="D36" s="129" t="s">
        <v>1619</v>
      </c>
      <c r="E36" s="118">
        <v>227</v>
      </c>
      <c r="F36" s="118"/>
      <c r="G36" s="118">
        <v>235</v>
      </c>
      <c r="H36" s="118">
        <v>235</v>
      </c>
      <c r="I36" s="118">
        <v>235</v>
      </c>
      <c r="J36" s="214">
        <v>235</v>
      </c>
      <c r="K36" s="214">
        <v>235</v>
      </c>
      <c r="L36" s="214">
        <v>235</v>
      </c>
      <c r="M36" s="214">
        <v>235</v>
      </c>
      <c r="N36" s="214">
        <v>558</v>
      </c>
      <c r="O36" s="214">
        <v>235.39260999999999</v>
      </c>
      <c r="P36" s="214">
        <v>231.10809</v>
      </c>
      <c r="Q36" s="214">
        <v>235</v>
      </c>
      <c r="R36" s="214">
        <v>85</v>
      </c>
      <c r="S36" s="214">
        <v>360</v>
      </c>
      <c r="T36" s="214">
        <v>93</v>
      </c>
      <c r="U36" s="214">
        <v>86</v>
      </c>
      <c r="V36" s="214">
        <v>0</v>
      </c>
      <c r="W36" s="214">
        <v>0</v>
      </c>
      <c r="X36" s="214">
        <v>0</v>
      </c>
      <c r="Y36" s="214">
        <v>0</v>
      </c>
      <c r="Z36" s="214">
        <v>0</v>
      </c>
      <c r="AA36" s="214">
        <v>0</v>
      </c>
      <c r="AB36" s="214">
        <v>0</v>
      </c>
      <c r="AC36" s="214">
        <v>44</v>
      </c>
      <c r="AD36" s="214">
        <v>25</v>
      </c>
      <c r="AE36" s="214">
        <v>8</v>
      </c>
      <c r="AF36" s="214">
        <v>39</v>
      </c>
      <c r="AG36" s="214">
        <v>47</v>
      </c>
      <c r="AH36" s="214">
        <v>0</v>
      </c>
      <c r="AI36" s="214">
        <v>38</v>
      </c>
      <c r="AJ36" s="214">
        <v>111</v>
      </c>
      <c r="AK36" s="214">
        <v>216</v>
      </c>
      <c r="AL36" s="214">
        <v>186</v>
      </c>
      <c r="AM36" s="214">
        <v>149</v>
      </c>
      <c r="AN36" s="214">
        <v>119</v>
      </c>
      <c r="AO36" s="214">
        <v>194</v>
      </c>
      <c r="AP36" s="214">
        <v>165</v>
      </c>
      <c r="AQ36" s="214">
        <v>160</v>
      </c>
      <c r="AR36" s="214">
        <v>123</v>
      </c>
      <c r="AS36" s="214">
        <v>100</v>
      </c>
      <c r="AT36" s="214">
        <v>100</v>
      </c>
      <c r="AU36" s="214">
        <v>100</v>
      </c>
      <c r="AV36" s="214">
        <v>200</v>
      </c>
      <c r="AW36" s="214">
        <v>100</v>
      </c>
      <c r="AX36" s="214">
        <v>100</v>
      </c>
      <c r="AY36" s="214">
        <f>'[3]26a Part Relac NL (2)'!$T$71</f>
        <v>100</v>
      </c>
    </row>
    <row r="37" spans="1:51" x14ac:dyDescent="0.2">
      <c r="D37" s="129" t="s">
        <v>445</v>
      </c>
      <c r="E37" s="118">
        <v>0</v>
      </c>
      <c r="F37" s="118"/>
      <c r="G37" s="118">
        <v>0</v>
      </c>
      <c r="H37" s="118">
        <v>0</v>
      </c>
      <c r="I37" s="118">
        <v>0</v>
      </c>
      <c r="J37" s="214">
        <v>0</v>
      </c>
      <c r="K37" s="214">
        <v>0</v>
      </c>
      <c r="L37" s="214">
        <v>0</v>
      </c>
      <c r="M37" s="214">
        <v>0</v>
      </c>
      <c r="N37" s="214">
        <v>9</v>
      </c>
      <c r="O37" s="214">
        <v>0</v>
      </c>
      <c r="P37" s="214">
        <v>0</v>
      </c>
      <c r="Q37" s="214">
        <v>0</v>
      </c>
      <c r="R37" s="214">
        <v>0</v>
      </c>
      <c r="S37" s="214">
        <v>0</v>
      </c>
      <c r="T37" s="214">
        <v>0</v>
      </c>
      <c r="U37" s="214">
        <v>0</v>
      </c>
      <c r="V37" s="214">
        <v>2</v>
      </c>
      <c r="W37" s="214">
        <v>0</v>
      </c>
      <c r="X37" s="214">
        <v>0</v>
      </c>
      <c r="Y37" s="214">
        <v>0</v>
      </c>
      <c r="Z37" s="214">
        <v>0</v>
      </c>
      <c r="AA37" s="214">
        <v>0</v>
      </c>
      <c r="AB37" s="214">
        <v>0</v>
      </c>
      <c r="AC37" s="214">
        <v>0</v>
      </c>
      <c r="AD37" s="214">
        <v>0</v>
      </c>
      <c r="AE37" s="214">
        <v>0</v>
      </c>
      <c r="AF37" s="214">
        <v>0</v>
      </c>
      <c r="AG37" s="214">
        <v>5</v>
      </c>
      <c r="AH37" s="214">
        <v>6</v>
      </c>
      <c r="AI37" s="214">
        <v>7</v>
      </c>
      <c r="AJ37" s="214">
        <v>7</v>
      </c>
      <c r="AK37" s="214">
        <v>6</v>
      </c>
      <c r="AL37" s="214">
        <v>0</v>
      </c>
      <c r="AM37" s="214">
        <v>0</v>
      </c>
      <c r="AN37" s="214">
        <v>0</v>
      </c>
      <c r="AO37" s="214">
        <v>0</v>
      </c>
      <c r="AP37" s="214">
        <v>0</v>
      </c>
      <c r="AQ37" s="214">
        <v>0</v>
      </c>
      <c r="AR37" s="214">
        <v>0</v>
      </c>
      <c r="AS37" s="214">
        <v>0</v>
      </c>
      <c r="AT37" s="214">
        <v>0</v>
      </c>
      <c r="AU37" s="214">
        <v>0</v>
      </c>
      <c r="AV37" s="214">
        <v>0</v>
      </c>
      <c r="AW37" s="214">
        <v>0</v>
      </c>
      <c r="AX37" s="214">
        <v>0</v>
      </c>
      <c r="AY37" s="214">
        <v>0</v>
      </c>
    </row>
    <row r="38" spans="1:51" x14ac:dyDescent="0.2">
      <c r="D38" s="129" t="s">
        <v>1532</v>
      </c>
      <c r="E38" s="118">
        <v>0</v>
      </c>
      <c r="F38" s="118"/>
      <c r="G38" s="118">
        <v>0</v>
      </c>
      <c r="H38" s="118">
        <v>0</v>
      </c>
      <c r="I38" s="118">
        <v>0</v>
      </c>
      <c r="J38" s="214">
        <v>0</v>
      </c>
      <c r="K38" s="214">
        <v>0</v>
      </c>
      <c r="L38" s="214">
        <v>0</v>
      </c>
      <c r="M38" s="214">
        <v>0</v>
      </c>
      <c r="N38" s="214">
        <v>0</v>
      </c>
      <c r="O38" s="214">
        <v>0</v>
      </c>
      <c r="P38" s="214">
        <v>0</v>
      </c>
      <c r="Q38" s="214">
        <v>0</v>
      </c>
      <c r="R38" s="214">
        <v>0</v>
      </c>
      <c r="S38" s="214">
        <v>0</v>
      </c>
      <c r="T38" s="214">
        <v>0</v>
      </c>
      <c r="U38" s="214">
        <v>0</v>
      </c>
      <c r="V38" s="214">
        <v>19</v>
      </c>
      <c r="W38" s="214">
        <v>2</v>
      </c>
      <c r="X38" s="214">
        <v>2</v>
      </c>
      <c r="Y38" s="214">
        <v>2</v>
      </c>
      <c r="Z38" s="214">
        <v>0</v>
      </c>
      <c r="AA38" s="214">
        <v>2</v>
      </c>
      <c r="AB38" s="214">
        <v>4</v>
      </c>
      <c r="AC38" s="214">
        <v>4</v>
      </c>
      <c r="AD38" s="214">
        <v>2</v>
      </c>
      <c r="AE38" s="214">
        <v>2</v>
      </c>
      <c r="AF38" s="214">
        <v>4</v>
      </c>
      <c r="AG38" s="214">
        <v>0</v>
      </c>
      <c r="AH38" s="214">
        <v>0</v>
      </c>
      <c r="AI38" s="214">
        <f>'[3]24 Partes Relacionadas'!$F$44</f>
        <v>6</v>
      </c>
      <c r="AJ38" s="214">
        <v>0</v>
      </c>
      <c r="AK38" s="214">
        <v>0</v>
      </c>
      <c r="AL38" s="214">
        <v>0</v>
      </c>
      <c r="AM38" s="214">
        <v>0</v>
      </c>
      <c r="AN38" s="214">
        <v>0</v>
      </c>
      <c r="AO38" s="214">
        <v>0</v>
      </c>
      <c r="AP38" s="214">
        <v>0</v>
      </c>
      <c r="AQ38" s="214">
        <v>0</v>
      </c>
      <c r="AR38" s="214">
        <v>0</v>
      </c>
      <c r="AS38" s="214">
        <v>0</v>
      </c>
      <c r="AT38" s="214">
        <v>0</v>
      </c>
      <c r="AU38" s="214">
        <v>0</v>
      </c>
      <c r="AV38" s="214">
        <v>0</v>
      </c>
      <c r="AW38" s="214">
        <v>0</v>
      </c>
      <c r="AX38" s="214">
        <v>0</v>
      </c>
      <c r="AY38" s="214">
        <f>'[3]24 Partes Relacionadas'!$F$45</f>
        <v>0</v>
      </c>
    </row>
    <row r="39" spans="1:51" x14ac:dyDescent="0.2">
      <c r="D39" s="129" t="s">
        <v>49</v>
      </c>
      <c r="E39" s="218">
        <v>0</v>
      </c>
      <c r="F39" s="218"/>
      <c r="G39" s="218">
        <v>311</v>
      </c>
      <c r="H39" s="218">
        <v>311</v>
      </c>
      <c r="I39" s="218">
        <v>0</v>
      </c>
      <c r="J39" s="1151">
        <v>0</v>
      </c>
      <c r="K39" s="1151">
        <v>0</v>
      </c>
      <c r="L39" s="1151">
        <v>0</v>
      </c>
      <c r="M39" s="1151">
        <v>0</v>
      </c>
      <c r="N39" s="1151">
        <v>0</v>
      </c>
      <c r="O39" s="1151">
        <v>0</v>
      </c>
      <c r="P39" s="1151">
        <v>0</v>
      </c>
      <c r="Q39" s="1151">
        <v>0</v>
      </c>
      <c r="R39" s="1151">
        <v>0</v>
      </c>
      <c r="S39" s="1151">
        <v>0</v>
      </c>
      <c r="T39" s="1151">
        <v>0</v>
      </c>
      <c r="U39" s="1151">
        <v>0</v>
      </c>
      <c r="V39" s="1151">
        <v>0</v>
      </c>
      <c r="W39" s="1151">
        <v>0</v>
      </c>
      <c r="X39" s="1151">
        <v>0</v>
      </c>
      <c r="Y39" s="1151">
        <v>0</v>
      </c>
      <c r="Z39" s="1151">
        <v>0</v>
      </c>
      <c r="AA39" s="1151">
        <v>0</v>
      </c>
      <c r="AB39" s="1151">
        <v>0</v>
      </c>
      <c r="AC39" s="1151">
        <v>0</v>
      </c>
      <c r="AD39" s="1151">
        <v>0</v>
      </c>
      <c r="AE39" s="1151">
        <v>0</v>
      </c>
      <c r="AF39" s="1151">
        <v>0</v>
      </c>
      <c r="AG39" s="1151">
        <v>0</v>
      </c>
      <c r="AH39" s="1151">
        <v>0</v>
      </c>
      <c r="AI39" s="1151">
        <v>0</v>
      </c>
      <c r="AJ39" s="1151">
        <v>0</v>
      </c>
      <c r="AK39" s="1151">
        <v>0</v>
      </c>
      <c r="AL39" s="1151">
        <v>0</v>
      </c>
      <c r="AM39" s="1151">
        <v>0</v>
      </c>
      <c r="AN39" s="1151">
        <v>0</v>
      </c>
      <c r="AO39" s="1151">
        <v>0</v>
      </c>
      <c r="AP39" s="1151">
        <v>0</v>
      </c>
      <c r="AQ39" s="1151"/>
      <c r="AR39" s="1151">
        <v>0</v>
      </c>
      <c r="AS39" s="214">
        <v>0</v>
      </c>
      <c r="AT39" s="214"/>
      <c r="AU39" s="214">
        <v>0</v>
      </c>
      <c r="AV39" s="214">
        <v>0</v>
      </c>
      <c r="AW39" s="214">
        <v>0</v>
      </c>
      <c r="AX39" s="214">
        <v>60</v>
      </c>
      <c r="AY39" s="214">
        <f>'[3]26a Part Relac NL (2)'!$T$73</f>
        <v>0</v>
      </c>
    </row>
    <row r="40" spans="1:51" ht="15" hidden="1" customHeight="1" outlineLevel="1" x14ac:dyDescent="0.2">
      <c r="D40" s="250" t="s">
        <v>439</v>
      </c>
      <c r="E40" s="218">
        <v>0</v>
      </c>
      <c r="F40" s="218"/>
      <c r="G40" s="218">
        <v>0</v>
      </c>
      <c r="H40" s="218">
        <v>42</v>
      </c>
      <c r="I40" s="218">
        <v>0</v>
      </c>
      <c r="J40" s="1151">
        <v>0</v>
      </c>
      <c r="K40" s="1151">
        <v>0</v>
      </c>
      <c r="L40" s="1151">
        <v>0</v>
      </c>
      <c r="M40" s="1151">
        <v>0</v>
      </c>
      <c r="N40" s="1151">
        <v>0</v>
      </c>
      <c r="O40" s="1151">
        <v>0</v>
      </c>
      <c r="P40" s="1151">
        <v>0</v>
      </c>
      <c r="Q40" s="1151">
        <v>0</v>
      </c>
      <c r="R40" s="1151">
        <v>0</v>
      </c>
      <c r="S40" s="1151">
        <v>0</v>
      </c>
      <c r="T40" s="1151">
        <v>0</v>
      </c>
      <c r="U40" s="1151">
        <v>0</v>
      </c>
      <c r="V40" s="1151">
        <v>0</v>
      </c>
      <c r="W40" s="1151">
        <v>0</v>
      </c>
      <c r="X40" s="1151">
        <v>0</v>
      </c>
      <c r="Y40" s="1151">
        <v>0</v>
      </c>
      <c r="Z40" s="1151">
        <v>0</v>
      </c>
      <c r="AA40" s="1151">
        <v>0</v>
      </c>
      <c r="AB40" s="1151">
        <v>0</v>
      </c>
      <c r="AC40" s="1151">
        <v>0</v>
      </c>
      <c r="AD40" s="1151">
        <v>0</v>
      </c>
      <c r="AE40" s="1151">
        <v>0</v>
      </c>
      <c r="AF40" s="1151">
        <v>0</v>
      </c>
      <c r="AG40" s="1151">
        <v>0</v>
      </c>
      <c r="AH40" s="1151">
        <v>0</v>
      </c>
      <c r="AI40" s="1151">
        <v>0</v>
      </c>
      <c r="AJ40" s="1151">
        <v>0</v>
      </c>
      <c r="AK40" s="1151">
        <v>0</v>
      </c>
      <c r="AL40" s="1151">
        <v>0</v>
      </c>
      <c r="AM40" s="1151">
        <v>0</v>
      </c>
      <c r="AN40" s="1151">
        <v>0</v>
      </c>
      <c r="AO40" s="1151">
        <v>0</v>
      </c>
      <c r="AP40" s="1151">
        <v>0</v>
      </c>
      <c r="AQ40" s="1151"/>
      <c r="AR40" s="1151">
        <v>0</v>
      </c>
      <c r="AS40" s="1151">
        <v>0</v>
      </c>
      <c r="AT40" s="1151"/>
      <c r="AU40" s="1151">
        <v>0</v>
      </c>
      <c r="AV40" s="1151">
        <v>0</v>
      </c>
      <c r="AW40" s="1151">
        <v>0</v>
      </c>
      <c r="AX40" s="1151">
        <v>0</v>
      </c>
      <c r="AY40" s="1151">
        <v>0</v>
      </c>
    </row>
    <row r="41" spans="1:51" ht="15" hidden="1" customHeight="1" outlineLevel="1" x14ac:dyDescent="0.2">
      <c r="D41" s="250" t="s">
        <v>1433</v>
      </c>
      <c r="E41" s="218"/>
      <c r="F41" s="218"/>
      <c r="G41" s="218"/>
      <c r="H41" s="218"/>
      <c r="I41" s="218"/>
      <c r="J41" s="1151"/>
      <c r="K41" s="1151"/>
      <c r="L41" s="1151"/>
      <c r="M41" s="1151"/>
      <c r="N41" s="1151"/>
      <c r="O41" s="1151"/>
      <c r="P41" s="1151"/>
      <c r="Q41" s="1151">
        <v>0</v>
      </c>
      <c r="R41" s="1151"/>
      <c r="S41" s="1151"/>
      <c r="T41" s="1151"/>
      <c r="U41" s="1151"/>
      <c r="V41" s="1151">
        <v>7</v>
      </c>
      <c r="W41" s="1151">
        <v>0</v>
      </c>
      <c r="X41" s="1151">
        <v>0</v>
      </c>
      <c r="Y41" s="1151">
        <v>0</v>
      </c>
      <c r="Z41" s="1151">
        <v>0</v>
      </c>
      <c r="AA41" s="1151">
        <v>0</v>
      </c>
      <c r="AB41" s="1151">
        <v>0</v>
      </c>
      <c r="AC41" s="1151">
        <v>0</v>
      </c>
      <c r="AD41" s="1151">
        <v>0</v>
      </c>
      <c r="AE41" s="1151">
        <v>0</v>
      </c>
      <c r="AF41" s="1151">
        <v>0</v>
      </c>
      <c r="AG41" s="1151">
        <v>0</v>
      </c>
      <c r="AH41" s="1151">
        <v>0</v>
      </c>
      <c r="AI41" s="1151">
        <v>0</v>
      </c>
      <c r="AJ41" s="1151">
        <v>0</v>
      </c>
      <c r="AK41" s="1151">
        <v>0</v>
      </c>
      <c r="AL41" s="1151">
        <v>0</v>
      </c>
      <c r="AM41" s="1151">
        <v>0</v>
      </c>
      <c r="AN41" s="1151">
        <v>0</v>
      </c>
      <c r="AO41" s="1151">
        <v>0</v>
      </c>
      <c r="AP41" s="1151">
        <v>0</v>
      </c>
      <c r="AQ41" s="1151"/>
      <c r="AR41" s="1151">
        <v>0</v>
      </c>
      <c r="AS41" s="1151">
        <v>0</v>
      </c>
      <c r="AT41" s="1151"/>
      <c r="AU41" s="1151">
        <v>0</v>
      </c>
      <c r="AV41" s="1151">
        <v>0</v>
      </c>
      <c r="AW41" s="1151">
        <v>0</v>
      </c>
      <c r="AX41" s="1151">
        <v>0</v>
      </c>
      <c r="AY41" s="1151">
        <v>0</v>
      </c>
    </row>
    <row r="42" spans="1:51" ht="15" hidden="1" customHeight="1" outlineLevel="1" x14ac:dyDescent="0.2">
      <c r="D42" s="250" t="s">
        <v>446</v>
      </c>
      <c r="E42" s="218">
        <v>0</v>
      </c>
      <c r="F42" s="218"/>
      <c r="G42" s="218">
        <v>0</v>
      </c>
      <c r="H42" s="218">
        <v>0</v>
      </c>
      <c r="I42" s="218">
        <v>0</v>
      </c>
      <c r="J42" s="1151">
        <v>0</v>
      </c>
      <c r="K42" s="1151">
        <v>2</v>
      </c>
      <c r="L42" s="1151">
        <v>15</v>
      </c>
      <c r="M42" s="1151">
        <v>0</v>
      </c>
      <c r="N42" s="1151">
        <v>0</v>
      </c>
      <c r="O42" s="1151">
        <v>0</v>
      </c>
      <c r="P42" s="1151">
        <v>0</v>
      </c>
      <c r="Q42" s="1151">
        <v>0</v>
      </c>
      <c r="R42" s="1151">
        <v>0</v>
      </c>
      <c r="S42" s="1151">
        <v>0</v>
      </c>
      <c r="T42" s="1151">
        <v>0</v>
      </c>
      <c r="U42" s="1151">
        <v>0</v>
      </c>
      <c r="V42" s="1151">
        <v>0</v>
      </c>
      <c r="W42" s="1151">
        <v>0</v>
      </c>
      <c r="X42" s="1151">
        <v>0</v>
      </c>
      <c r="Y42" s="1151">
        <v>0</v>
      </c>
      <c r="Z42" s="1151">
        <v>0</v>
      </c>
      <c r="AA42" s="1151">
        <v>0</v>
      </c>
      <c r="AB42" s="1151">
        <v>0</v>
      </c>
      <c r="AC42" s="1151">
        <v>0</v>
      </c>
      <c r="AD42" s="1151">
        <v>0</v>
      </c>
      <c r="AE42" s="1151">
        <v>0</v>
      </c>
      <c r="AF42" s="1151">
        <v>0</v>
      </c>
      <c r="AG42" s="1151">
        <v>0</v>
      </c>
      <c r="AH42" s="1151">
        <v>0</v>
      </c>
      <c r="AI42" s="1151">
        <v>0</v>
      </c>
      <c r="AJ42" s="1151">
        <v>0</v>
      </c>
      <c r="AK42" s="1151">
        <v>0</v>
      </c>
      <c r="AL42" s="1151">
        <v>0</v>
      </c>
      <c r="AM42" s="1151">
        <v>0</v>
      </c>
      <c r="AN42" s="1151">
        <v>0</v>
      </c>
      <c r="AO42" s="1151">
        <v>0</v>
      </c>
      <c r="AP42" s="1151">
        <v>0</v>
      </c>
      <c r="AQ42" s="1151"/>
      <c r="AR42" s="1151">
        <v>0</v>
      </c>
      <c r="AS42" s="1151">
        <v>0</v>
      </c>
      <c r="AT42" s="1151"/>
      <c r="AU42" s="1151">
        <v>0</v>
      </c>
      <c r="AV42" s="1151">
        <v>0</v>
      </c>
      <c r="AW42" s="1151">
        <v>0</v>
      </c>
      <c r="AX42" s="1151">
        <v>0</v>
      </c>
      <c r="AY42" s="1151">
        <v>0</v>
      </c>
    </row>
    <row r="43" spans="1:51" hidden="1" outlineLevel="1" x14ac:dyDescent="0.2">
      <c r="D43" s="250" t="s">
        <v>441</v>
      </c>
      <c r="E43" s="1151">
        <v>0</v>
      </c>
      <c r="F43" s="1151"/>
      <c r="G43" s="1151">
        <v>0</v>
      </c>
      <c r="H43" s="1151">
        <v>0</v>
      </c>
      <c r="I43" s="1151">
        <v>0</v>
      </c>
      <c r="J43" s="1151">
        <v>0</v>
      </c>
      <c r="K43" s="1151">
        <v>0</v>
      </c>
      <c r="L43" s="1151">
        <v>0</v>
      </c>
      <c r="M43" s="1151">
        <v>0</v>
      </c>
      <c r="N43" s="1151">
        <v>0</v>
      </c>
      <c r="O43" s="1151">
        <v>0</v>
      </c>
      <c r="P43" s="1151">
        <v>0</v>
      </c>
      <c r="Q43" s="1151">
        <v>0</v>
      </c>
      <c r="R43" s="1151">
        <v>0</v>
      </c>
      <c r="S43" s="1151">
        <v>0</v>
      </c>
      <c r="T43" s="1151">
        <v>0</v>
      </c>
      <c r="U43" s="1151">
        <v>0</v>
      </c>
      <c r="V43" s="1151">
        <v>0</v>
      </c>
      <c r="W43" s="1151">
        <v>0</v>
      </c>
      <c r="X43" s="1151">
        <v>0</v>
      </c>
      <c r="Y43" s="1151">
        <v>0</v>
      </c>
      <c r="Z43" s="1151">
        <v>0</v>
      </c>
      <c r="AA43" s="1151">
        <v>0</v>
      </c>
      <c r="AB43" s="1151">
        <v>0</v>
      </c>
      <c r="AC43" s="1151">
        <v>0</v>
      </c>
      <c r="AD43" s="1151">
        <v>0</v>
      </c>
      <c r="AE43" s="1151">
        <v>0</v>
      </c>
      <c r="AF43" s="1151">
        <v>0</v>
      </c>
      <c r="AG43" s="1151">
        <v>0</v>
      </c>
      <c r="AH43" s="1151">
        <v>0</v>
      </c>
      <c r="AI43" s="1151">
        <v>0</v>
      </c>
      <c r="AJ43" s="1151">
        <v>0</v>
      </c>
      <c r="AK43" s="1151">
        <v>0</v>
      </c>
      <c r="AL43" s="1151">
        <v>0</v>
      </c>
      <c r="AM43" s="1151">
        <v>0</v>
      </c>
      <c r="AN43" s="1151">
        <v>0</v>
      </c>
      <c r="AO43" s="1151">
        <v>0</v>
      </c>
      <c r="AP43" s="1151">
        <v>0</v>
      </c>
      <c r="AQ43" s="1151"/>
      <c r="AR43" s="1151">
        <v>0</v>
      </c>
      <c r="AS43" s="1151">
        <v>0</v>
      </c>
      <c r="AT43" s="1151"/>
      <c r="AU43" s="1151">
        <v>0</v>
      </c>
      <c r="AV43" s="1151">
        <v>0</v>
      </c>
      <c r="AW43" s="1151">
        <v>0</v>
      </c>
      <c r="AX43" s="1151">
        <v>0</v>
      </c>
      <c r="AY43" s="1151">
        <v>0</v>
      </c>
    </row>
    <row r="44" spans="1:51" hidden="1" outlineLevel="1" x14ac:dyDescent="0.2">
      <c r="D44" s="250" t="s">
        <v>444</v>
      </c>
      <c r="E44" s="218">
        <v>278</v>
      </c>
      <c r="F44" s="218"/>
      <c r="G44" s="218">
        <v>0</v>
      </c>
      <c r="H44" s="218">
        <v>0</v>
      </c>
      <c r="I44" s="218">
        <v>289</v>
      </c>
      <c r="J44" s="1151">
        <v>289</v>
      </c>
      <c r="K44" s="1151">
        <v>232</v>
      </c>
      <c r="L44" s="1151">
        <v>232</v>
      </c>
      <c r="M44" s="1151">
        <v>232</v>
      </c>
      <c r="N44" s="1151">
        <v>231</v>
      </c>
      <c r="O44" s="1151">
        <v>231.10809</v>
      </c>
      <c r="P44" s="1151">
        <v>231.10809</v>
      </c>
      <c r="Q44" s="1151">
        <v>231.10809</v>
      </c>
      <c r="R44" s="1151">
        <v>0</v>
      </c>
      <c r="S44" s="1151">
        <v>0</v>
      </c>
      <c r="T44" s="1151">
        <v>0</v>
      </c>
      <c r="U44" s="1151">
        <v>0</v>
      </c>
      <c r="V44" s="1151">
        <v>0</v>
      </c>
      <c r="W44" s="1151">
        <v>0</v>
      </c>
      <c r="X44" s="1151">
        <v>0</v>
      </c>
      <c r="Y44" s="1151">
        <v>0</v>
      </c>
      <c r="Z44" s="1151">
        <v>0</v>
      </c>
      <c r="AA44" s="1151">
        <v>0</v>
      </c>
      <c r="AB44" s="1151">
        <v>0</v>
      </c>
      <c r="AC44" s="1151">
        <v>0</v>
      </c>
      <c r="AD44" s="1151">
        <v>0</v>
      </c>
      <c r="AE44" s="1151">
        <v>0</v>
      </c>
      <c r="AF44" s="1151">
        <v>0</v>
      </c>
      <c r="AG44" s="1151">
        <v>0</v>
      </c>
      <c r="AH44" s="1151">
        <v>0</v>
      </c>
      <c r="AI44" s="1151">
        <v>0</v>
      </c>
      <c r="AJ44" s="1151">
        <v>0</v>
      </c>
      <c r="AK44" s="1151">
        <v>0</v>
      </c>
      <c r="AL44" s="1151">
        <v>0</v>
      </c>
      <c r="AM44" s="1151">
        <v>0</v>
      </c>
      <c r="AN44" s="1151">
        <v>0</v>
      </c>
      <c r="AO44" s="1151">
        <v>0</v>
      </c>
      <c r="AP44" s="1151">
        <v>0</v>
      </c>
      <c r="AQ44" s="1151"/>
      <c r="AR44" s="1151">
        <v>0</v>
      </c>
      <c r="AS44" s="1151">
        <v>0</v>
      </c>
      <c r="AT44" s="1151"/>
      <c r="AU44" s="1151">
        <v>0</v>
      </c>
      <c r="AV44" s="1151">
        <v>0</v>
      </c>
      <c r="AW44" s="1151">
        <v>0</v>
      </c>
      <c r="AX44" s="1151">
        <v>0</v>
      </c>
      <c r="AY44" s="1151">
        <v>0</v>
      </c>
    </row>
    <row r="45" spans="1:51" collapsed="1" x14ac:dyDescent="0.2">
      <c r="A45" s="201" t="s">
        <v>292</v>
      </c>
      <c r="B45" s="201" t="s">
        <v>292</v>
      </c>
      <c r="D45" s="206" t="str">
        <f>IF([1]RENAME!$H$3=1,B45,A45)</f>
        <v>Subtotal</v>
      </c>
      <c r="E45" s="120">
        <f>(SUM(E34:E44))</f>
        <v>757</v>
      </c>
      <c r="F45" s="120"/>
      <c r="G45" s="120">
        <f t="shared" ref="G45:AO45" si="23">(SUM(G34:G44))</f>
        <v>9700</v>
      </c>
      <c r="H45" s="120">
        <f t="shared" si="23"/>
        <v>9774</v>
      </c>
      <c r="I45" s="120">
        <f t="shared" si="23"/>
        <v>6139</v>
      </c>
      <c r="J45" s="120">
        <f t="shared" si="23"/>
        <v>6139</v>
      </c>
      <c r="K45" s="120">
        <f t="shared" si="23"/>
        <v>5822</v>
      </c>
      <c r="L45" s="120">
        <f t="shared" si="23"/>
        <v>903</v>
      </c>
      <c r="M45" s="120">
        <f t="shared" si="23"/>
        <v>1128</v>
      </c>
      <c r="N45" s="120">
        <f t="shared" si="23"/>
        <v>1158</v>
      </c>
      <c r="O45" s="120">
        <f t="shared" si="23"/>
        <v>826.00070000000005</v>
      </c>
      <c r="P45" s="120">
        <f t="shared" si="23"/>
        <v>821.71617999999989</v>
      </c>
      <c r="Q45" s="120">
        <f t="shared" si="23"/>
        <v>825.60808999999995</v>
      </c>
      <c r="R45" s="120">
        <f t="shared" si="23"/>
        <v>812</v>
      </c>
      <c r="S45" s="120">
        <f t="shared" si="23"/>
        <v>591</v>
      </c>
      <c r="T45" s="120">
        <f t="shared" si="23"/>
        <v>1588</v>
      </c>
      <c r="U45" s="120">
        <f t="shared" si="23"/>
        <v>2311</v>
      </c>
      <c r="V45" s="120">
        <f t="shared" si="23"/>
        <v>98</v>
      </c>
      <c r="W45" s="120">
        <f t="shared" si="23"/>
        <v>1025</v>
      </c>
      <c r="X45" s="120">
        <f t="shared" si="23"/>
        <v>32</v>
      </c>
      <c r="Y45" s="120">
        <f t="shared" si="23"/>
        <v>72</v>
      </c>
      <c r="Z45" s="120">
        <f t="shared" si="23"/>
        <v>28</v>
      </c>
      <c r="AA45" s="120">
        <f t="shared" si="23"/>
        <v>37</v>
      </c>
      <c r="AB45" s="120">
        <f t="shared" si="23"/>
        <v>35</v>
      </c>
      <c r="AC45" s="120">
        <f t="shared" si="23"/>
        <v>73</v>
      </c>
      <c r="AD45" s="120">
        <f t="shared" si="23"/>
        <v>54</v>
      </c>
      <c r="AE45" s="120">
        <f t="shared" si="23"/>
        <v>25</v>
      </c>
      <c r="AF45" s="120">
        <f t="shared" si="23"/>
        <v>421</v>
      </c>
      <c r="AG45" s="120">
        <f t="shared" si="23"/>
        <v>141</v>
      </c>
      <c r="AH45" s="120">
        <f t="shared" si="23"/>
        <v>69</v>
      </c>
      <c r="AI45" s="120">
        <f t="shared" si="23"/>
        <v>143</v>
      </c>
      <c r="AJ45" s="120">
        <f t="shared" si="23"/>
        <v>169</v>
      </c>
      <c r="AK45" s="120">
        <f t="shared" si="23"/>
        <v>806</v>
      </c>
      <c r="AL45" s="120">
        <f t="shared" si="23"/>
        <v>749</v>
      </c>
      <c r="AM45" s="120">
        <f t="shared" si="23"/>
        <v>684</v>
      </c>
      <c r="AN45" s="120">
        <f t="shared" si="23"/>
        <v>656</v>
      </c>
      <c r="AO45" s="120">
        <f t="shared" si="23"/>
        <v>731</v>
      </c>
      <c r="AP45" s="120">
        <f t="shared" ref="AP45:AV45" si="24">(SUM(AP34:AP44))</f>
        <v>1155</v>
      </c>
      <c r="AQ45" s="120">
        <f t="shared" si="24"/>
        <v>894</v>
      </c>
      <c r="AR45" s="120">
        <f t="shared" si="24"/>
        <v>869</v>
      </c>
      <c r="AS45" s="120">
        <f t="shared" si="24"/>
        <v>661</v>
      </c>
      <c r="AT45" s="120">
        <f t="shared" si="24"/>
        <v>1120</v>
      </c>
      <c r="AU45" s="120">
        <f t="shared" si="24"/>
        <v>1021</v>
      </c>
      <c r="AV45" s="120">
        <f t="shared" si="24"/>
        <v>885</v>
      </c>
      <c r="AW45" s="120">
        <f>(SUM(AW34:AW44))</f>
        <v>950</v>
      </c>
      <c r="AX45" s="120">
        <f>(SUM(AX34:AX44))</f>
        <v>952</v>
      </c>
      <c r="AY45" s="120">
        <f>(SUM(AY34:AY44))</f>
        <v>824</v>
      </c>
    </row>
    <row r="46" spans="1:51" x14ac:dyDescent="0.2">
      <c r="D46" s="129" t="s">
        <v>1961</v>
      </c>
      <c r="E46" s="214">
        <v>0</v>
      </c>
      <c r="F46" s="214"/>
      <c r="G46" s="214">
        <v>0</v>
      </c>
      <c r="H46" s="214">
        <v>0</v>
      </c>
      <c r="I46" s="214">
        <v>0</v>
      </c>
      <c r="J46" s="214">
        <v>0</v>
      </c>
      <c r="K46" s="214">
        <v>0</v>
      </c>
      <c r="L46" s="214">
        <v>0</v>
      </c>
      <c r="M46" s="214">
        <v>0</v>
      </c>
      <c r="N46" s="214">
        <v>0</v>
      </c>
      <c r="O46" s="214">
        <v>0</v>
      </c>
      <c r="P46" s="214">
        <v>0</v>
      </c>
      <c r="Q46" s="214">
        <v>0</v>
      </c>
      <c r="R46" s="214">
        <v>0</v>
      </c>
      <c r="S46" s="214">
        <v>0</v>
      </c>
      <c r="T46" s="214">
        <v>0</v>
      </c>
      <c r="U46" s="214">
        <v>0</v>
      </c>
      <c r="V46" s="214">
        <v>346</v>
      </c>
      <c r="W46" s="214">
        <v>457</v>
      </c>
      <c r="X46" s="214">
        <v>300</v>
      </c>
      <c r="Y46" s="214">
        <v>333</v>
      </c>
      <c r="Z46" s="214">
        <v>374</v>
      </c>
      <c r="AA46" s="214">
        <v>455</v>
      </c>
      <c r="AB46" s="214">
        <v>461</v>
      </c>
      <c r="AC46" s="214">
        <v>507</v>
      </c>
      <c r="AD46" s="214">
        <v>512</v>
      </c>
      <c r="AE46" s="214">
        <v>400</v>
      </c>
      <c r="AF46" s="214">
        <v>239</v>
      </c>
      <c r="AG46" s="214">
        <v>166</v>
      </c>
      <c r="AH46" s="214">
        <v>94</v>
      </c>
      <c r="AI46" s="214">
        <v>566</v>
      </c>
      <c r="AJ46" s="214">
        <v>545</v>
      </c>
      <c r="AK46" s="214">
        <v>564</v>
      </c>
      <c r="AL46" s="214">
        <v>481</v>
      </c>
      <c r="AM46" s="214">
        <v>343</v>
      </c>
      <c r="AN46" s="214">
        <v>414</v>
      </c>
      <c r="AO46" s="214">
        <v>105</v>
      </c>
      <c r="AP46" s="214">
        <v>1942</v>
      </c>
      <c r="AQ46" s="214">
        <v>2039</v>
      </c>
      <c r="AR46" s="214">
        <v>2099</v>
      </c>
      <c r="AS46" s="214">
        <v>2181</v>
      </c>
      <c r="AT46" s="214">
        <v>1918</v>
      </c>
      <c r="AU46" s="214">
        <v>1361</v>
      </c>
      <c r="AV46" s="214">
        <v>2233</v>
      </c>
      <c r="AW46" s="214">
        <v>2233</v>
      </c>
      <c r="AX46" s="214">
        <v>1967</v>
      </c>
      <c r="AY46" s="214">
        <f>'[3]26a Part Relac NL (2)'!$T$60</f>
        <v>1403</v>
      </c>
    </row>
    <row r="47" spans="1:51" x14ac:dyDescent="0.2">
      <c r="D47" s="129" t="s">
        <v>443</v>
      </c>
      <c r="E47" s="214">
        <v>0</v>
      </c>
      <c r="F47" s="214"/>
      <c r="G47" s="214">
        <v>0</v>
      </c>
      <c r="H47" s="214">
        <v>0</v>
      </c>
      <c r="I47" s="214">
        <v>0</v>
      </c>
      <c r="J47" s="214">
        <v>0</v>
      </c>
      <c r="K47" s="214">
        <v>0</v>
      </c>
      <c r="L47" s="214">
        <v>0</v>
      </c>
      <c r="M47" s="214">
        <v>0</v>
      </c>
      <c r="N47" s="214">
        <v>0</v>
      </c>
      <c r="O47" s="214">
        <v>0</v>
      </c>
      <c r="P47" s="214">
        <v>0</v>
      </c>
      <c r="Q47" s="214">
        <v>0</v>
      </c>
      <c r="R47" s="214">
        <v>0</v>
      </c>
      <c r="S47" s="214">
        <v>0</v>
      </c>
      <c r="T47" s="214">
        <v>0</v>
      </c>
      <c r="U47" s="214">
        <v>0</v>
      </c>
      <c r="V47" s="214">
        <v>3170</v>
      </c>
      <c r="W47" s="214">
        <v>2309</v>
      </c>
      <c r="X47" s="214">
        <v>1375</v>
      </c>
      <c r="Y47" s="214">
        <v>373</v>
      </c>
      <c r="Z47" s="214">
        <v>3930</v>
      </c>
      <c r="AA47" s="214">
        <v>3796</v>
      </c>
      <c r="AB47" s="214">
        <v>4272</v>
      </c>
      <c r="AC47" s="214">
        <v>4190</v>
      </c>
      <c r="AD47" s="214">
        <v>3601</v>
      </c>
      <c r="AE47" s="214">
        <v>3963</v>
      </c>
      <c r="AF47" s="214">
        <v>4001</v>
      </c>
      <c r="AG47" s="214">
        <v>4307</v>
      </c>
      <c r="AH47" s="214">
        <v>4286</v>
      </c>
      <c r="AI47" s="214">
        <v>4364</v>
      </c>
      <c r="AJ47" s="214">
        <v>2755</v>
      </c>
      <c r="AK47" s="214">
        <v>2860</v>
      </c>
      <c r="AL47" s="214">
        <v>3140</v>
      </c>
      <c r="AM47" s="214">
        <v>3259</v>
      </c>
      <c r="AN47" s="214">
        <v>3383</v>
      </c>
      <c r="AO47" s="214">
        <v>3511</v>
      </c>
      <c r="AP47" s="214">
        <v>3813</v>
      </c>
      <c r="AQ47" s="214">
        <v>3958</v>
      </c>
      <c r="AR47" s="214">
        <v>4108</v>
      </c>
      <c r="AS47" s="214">
        <v>4953</v>
      </c>
      <c r="AT47" s="214">
        <v>5189</v>
      </c>
      <c r="AU47" s="214">
        <v>5189</v>
      </c>
      <c r="AV47" s="214">
        <v>5190</v>
      </c>
      <c r="AW47" s="214">
        <v>5192</v>
      </c>
      <c r="AX47" s="214">
        <v>4133</v>
      </c>
      <c r="AY47" s="214">
        <f>'[3]26a Part Relac NL (2)'!$T$61</f>
        <v>2805</v>
      </c>
    </row>
    <row r="48" spans="1:51" hidden="1" outlineLevel="2" x14ac:dyDescent="0.2">
      <c r="D48" s="250" t="s">
        <v>447</v>
      </c>
      <c r="E48" s="1151">
        <v>0</v>
      </c>
      <c r="F48" s="1151"/>
      <c r="G48" s="1151">
        <v>0</v>
      </c>
      <c r="H48" s="1151">
        <v>0</v>
      </c>
      <c r="I48" s="1151">
        <v>0</v>
      </c>
      <c r="J48" s="1151">
        <v>0</v>
      </c>
      <c r="K48" s="1151">
        <v>0</v>
      </c>
      <c r="L48" s="1151">
        <v>0</v>
      </c>
      <c r="M48" s="1151">
        <v>0</v>
      </c>
      <c r="N48" s="1151">
        <v>0</v>
      </c>
      <c r="O48" s="1151">
        <v>0</v>
      </c>
      <c r="P48" s="1151">
        <v>0</v>
      </c>
      <c r="Q48" s="1151">
        <v>0</v>
      </c>
      <c r="R48" s="1151">
        <v>0</v>
      </c>
      <c r="S48" s="1151">
        <v>0</v>
      </c>
      <c r="T48" s="1151">
        <v>0</v>
      </c>
      <c r="U48" s="1151">
        <v>0</v>
      </c>
      <c r="V48" s="1151">
        <v>1062</v>
      </c>
      <c r="W48" s="1151">
        <v>1099</v>
      </c>
      <c r="X48" s="1151">
        <v>1107</v>
      </c>
      <c r="Y48" s="1151">
        <v>0</v>
      </c>
      <c r="Z48" s="1151">
        <v>0</v>
      </c>
      <c r="AA48" s="1151">
        <v>0</v>
      </c>
      <c r="AB48" s="1151">
        <v>0</v>
      </c>
      <c r="AC48" s="1151">
        <v>0</v>
      </c>
      <c r="AD48" s="1151">
        <v>0</v>
      </c>
      <c r="AE48" s="1151">
        <v>0</v>
      </c>
      <c r="AF48" s="1151" t="s">
        <v>160</v>
      </c>
      <c r="AG48" s="1151" t="s">
        <v>160</v>
      </c>
      <c r="AH48" s="1151">
        <v>0</v>
      </c>
      <c r="AI48" s="1151">
        <v>0</v>
      </c>
      <c r="AJ48" s="1151">
        <v>0</v>
      </c>
      <c r="AK48" s="1151">
        <v>0</v>
      </c>
      <c r="AL48" s="1151">
        <v>0</v>
      </c>
      <c r="AM48" s="1151">
        <v>0</v>
      </c>
      <c r="AN48" s="1151">
        <v>0</v>
      </c>
      <c r="AO48" s="1151">
        <v>0</v>
      </c>
      <c r="AP48" s="1151">
        <v>0</v>
      </c>
      <c r="AQ48" s="1151"/>
      <c r="AR48" s="1151">
        <v>0</v>
      </c>
      <c r="AS48" s="1151">
        <v>0</v>
      </c>
      <c r="AT48" s="1151"/>
      <c r="AU48" s="1151">
        <v>0</v>
      </c>
      <c r="AV48" s="1151">
        <v>0</v>
      </c>
      <c r="AW48" s="1151">
        <v>0</v>
      </c>
      <c r="AX48" s="1151">
        <v>0</v>
      </c>
      <c r="AY48" s="1151">
        <v>0</v>
      </c>
    </row>
    <row r="49" spans="1:51" hidden="1" outlineLevel="2" x14ac:dyDescent="0.2">
      <c r="D49" s="250" t="s">
        <v>433</v>
      </c>
      <c r="E49" s="1151">
        <v>0</v>
      </c>
      <c r="F49" s="1151"/>
      <c r="G49" s="1151">
        <v>0</v>
      </c>
      <c r="H49" s="1151">
        <v>0</v>
      </c>
      <c r="I49" s="1151">
        <v>0</v>
      </c>
      <c r="J49" s="1151">
        <v>0</v>
      </c>
      <c r="K49" s="1151">
        <v>0</v>
      </c>
      <c r="L49" s="1151">
        <v>0</v>
      </c>
      <c r="M49" s="1151">
        <v>0</v>
      </c>
      <c r="N49" s="1151">
        <v>0</v>
      </c>
      <c r="O49" s="1151">
        <v>0</v>
      </c>
      <c r="P49" s="1151">
        <v>0</v>
      </c>
      <c r="Q49" s="1151">
        <v>0</v>
      </c>
      <c r="R49" s="1151">
        <v>0</v>
      </c>
      <c r="S49" s="1151">
        <v>0</v>
      </c>
      <c r="T49" s="1151">
        <v>0</v>
      </c>
      <c r="U49" s="1151">
        <v>0</v>
      </c>
      <c r="V49" s="1151">
        <v>0</v>
      </c>
      <c r="W49" s="1151">
        <v>0</v>
      </c>
      <c r="X49" s="1151" t="s">
        <v>160</v>
      </c>
      <c r="Y49" s="1151" t="s">
        <v>160</v>
      </c>
      <c r="Z49" s="1151" t="s">
        <v>160</v>
      </c>
      <c r="AA49" s="1151" t="s">
        <v>160</v>
      </c>
      <c r="AB49" s="1151" t="s">
        <v>160</v>
      </c>
      <c r="AC49" s="1151" t="s">
        <v>160</v>
      </c>
      <c r="AD49" s="1151" t="s">
        <v>160</v>
      </c>
      <c r="AE49" s="1151">
        <v>0</v>
      </c>
      <c r="AF49" s="1151" t="s">
        <v>160</v>
      </c>
      <c r="AG49" s="1151" t="s">
        <v>160</v>
      </c>
      <c r="AH49" s="1151" t="s">
        <v>160</v>
      </c>
      <c r="AI49" s="1151" t="s">
        <v>160</v>
      </c>
      <c r="AJ49" s="1151" t="s">
        <v>160</v>
      </c>
      <c r="AK49" s="1151" t="s">
        <v>160</v>
      </c>
      <c r="AL49" s="1151" t="s">
        <v>160</v>
      </c>
      <c r="AM49" s="1151" t="s">
        <v>160</v>
      </c>
      <c r="AN49" s="1151" t="s">
        <v>160</v>
      </c>
      <c r="AO49" s="1151" t="s">
        <v>160</v>
      </c>
      <c r="AP49" s="1151" t="s">
        <v>160</v>
      </c>
      <c r="AQ49" s="1151"/>
      <c r="AR49" s="1151" t="s">
        <v>160</v>
      </c>
      <c r="AS49" s="1151" t="s">
        <v>160</v>
      </c>
      <c r="AT49" s="1151"/>
      <c r="AU49" s="1151" t="s">
        <v>160</v>
      </c>
      <c r="AV49" s="1151" t="s">
        <v>160</v>
      </c>
      <c r="AW49" s="1151" t="s">
        <v>160</v>
      </c>
      <c r="AX49" s="1151" t="s">
        <v>160</v>
      </c>
      <c r="AY49" s="1151" t="s">
        <v>160</v>
      </c>
    </row>
    <row r="50" spans="1:51" collapsed="1" x14ac:dyDescent="0.2">
      <c r="A50" s="201" t="s">
        <v>1537</v>
      </c>
      <c r="B50" s="201" t="s">
        <v>1538</v>
      </c>
      <c r="D50" s="206" t="str">
        <f>IF([1]RENAME!$H$3=1,B50,A50)</f>
        <v>Arrendamento Mercantil</v>
      </c>
      <c r="E50" s="120">
        <f>SUM(E46:E48)</f>
        <v>0</v>
      </c>
      <c r="F50" s="120"/>
      <c r="G50" s="120">
        <f t="shared" ref="G50:AO50" si="25">SUM(G46:G48)</f>
        <v>0</v>
      </c>
      <c r="H50" s="120">
        <f t="shared" si="25"/>
        <v>0</v>
      </c>
      <c r="I50" s="120">
        <f t="shared" si="25"/>
        <v>0</v>
      </c>
      <c r="J50" s="120">
        <f t="shared" si="25"/>
        <v>0</v>
      </c>
      <c r="K50" s="120">
        <f t="shared" si="25"/>
        <v>0</v>
      </c>
      <c r="L50" s="120">
        <f t="shared" si="25"/>
        <v>0</v>
      </c>
      <c r="M50" s="120">
        <f t="shared" si="25"/>
        <v>0</v>
      </c>
      <c r="N50" s="120">
        <f t="shared" si="25"/>
        <v>0</v>
      </c>
      <c r="O50" s="120">
        <f t="shared" si="25"/>
        <v>0</v>
      </c>
      <c r="P50" s="120">
        <f t="shared" si="25"/>
        <v>0</v>
      </c>
      <c r="Q50" s="120">
        <f t="shared" si="25"/>
        <v>0</v>
      </c>
      <c r="R50" s="120">
        <f t="shared" si="25"/>
        <v>0</v>
      </c>
      <c r="S50" s="120">
        <f t="shared" si="25"/>
        <v>0</v>
      </c>
      <c r="T50" s="120">
        <f t="shared" si="25"/>
        <v>0</v>
      </c>
      <c r="U50" s="120">
        <f t="shared" si="25"/>
        <v>0</v>
      </c>
      <c r="V50" s="120">
        <f t="shared" si="25"/>
        <v>4578</v>
      </c>
      <c r="W50" s="120">
        <f t="shared" si="25"/>
        <v>3865</v>
      </c>
      <c r="X50" s="120">
        <f t="shared" si="25"/>
        <v>2782</v>
      </c>
      <c r="Y50" s="120">
        <f t="shared" si="25"/>
        <v>706</v>
      </c>
      <c r="Z50" s="120">
        <f t="shared" si="25"/>
        <v>4304</v>
      </c>
      <c r="AA50" s="120">
        <f t="shared" si="25"/>
        <v>4251</v>
      </c>
      <c r="AB50" s="120">
        <f t="shared" si="25"/>
        <v>4733</v>
      </c>
      <c r="AC50" s="120">
        <f t="shared" si="25"/>
        <v>4697</v>
      </c>
      <c r="AD50" s="120">
        <f t="shared" si="25"/>
        <v>4113</v>
      </c>
      <c r="AE50" s="120">
        <f t="shared" si="25"/>
        <v>4363</v>
      </c>
      <c r="AF50" s="120">
        <f t="shared" si="25"/>
        <v>4240</v>
      </c>
      <c r="AG50" s="120">
        <f t="shared" si="25"/>
        <v>4473</v>
      </c>
      <c r="AH50" s="120">
        <f t="shared" si="25"/>
        <v>4380</v>
      </c>
      <c r="AI50" s="120">
        <f t="shared" si="25"/>
        <v>4930</v>
      </c>
      <c r="AJ50" s="120">
        <f t="shared" si="25"/>
        <v>3300</v>
      </c>
      <c r="AK50" s="120">
        <f t="shared" si="25"/>
        <v>3424</v>
      </c>
      <c r="AL50" s="120">
        <f t="shared" si="25"/>
        <v>3621</v>
      </c>
      <c r="AM50" s="120">
        <f t="shared" si="25"/>
        <v>3602</v>
      </c>
      <c r="AN50" s="120">
        <f t="shared" si="25"/>
        <v>3797</v>
      </c>
      <c r="AO50" s="120">
        <f t="shared" si="25"/>
        <v>3616</v>
      </c>
      <c r="AP50" s="120">
        <f t="shared" ref="AP50:AU50" si="26">SUM(AP46:AP48)</f>
        <v>5755</v>
      </c>
      <c r="AQ50" s="120">
        <f t="shared" si="26"/>
        <v>5997</v>
      </c>
      <c r="AR50" s="120">
        <f t="shared" si="26"/>
        <v>6207</v>
      </c>
      <c r="AS50" s="120">
        <f t="shared" si="26"/>
        <v>7134</v>
      </c>
      <c r="AT50" s="120">
        <f t="shared" si="26"/>
        <v>7107</v>
      </c>
      <c r="AU50" s="120">
        <f t="shared" si="26"/>
        <v>6550</v>
      </c>
      <c r="AV50" s="120">
        <f>SUM(AV46:AV48)</f>
        <v>7423</v>
      </c>
      <c r="AW50" s="120">
        <f>SUM(AW46:AW48)</f>
        <v>7425</v>
      </c>
      <c r="AX50" s="120">
        <f>SUM(AX46:AX48)</f>
        <v>6100</v>
      </c>
      <c r="AY50" s="120">
        <f>SUM(AY46:AY48)</f>
        <v>4208</v>
      </c>
    </row>
    <row r="51" spans="1:51" x14ac:dyDescent="0.2">
      <c r="A51" s="201" t="s">
        <v>1536</v>
      </c>
      <c r="B51" s="201" t="s">
        <v>935</v>
      </c>
      <c r="D51" s="206" t="str">
        <f>IF([1]RENAME!$H$3=1,B51,A51)</f>
        <v>Passivo Circulante</v>
      </c>
      <c r="E51" s="120">
        <f>E50+E45</f>
        <v>757</v>
      </c>
      <c r="F51" s="120"/>
      <c r="G51" s="120">
        <f t="shared" ref="G51:AO51" si="27">G50+G45</f>
        <v>9700</v>
      </c>
      <c r="H51" s="120">
        <f t="shared" si="27"/>
        <v>9774</v>
      </c>
      <c r="I51" s="120">
        <f t="shared" si="27"/>
        <v>6139</v>
      </c>
      <c r="J51" s="120">
        <f t="shared" si="27"/>
        <v>6139</v>
      </c>
      <c r="K51" s="120">
        <f t="shared" si="27"/>
        <v>5822</v>
      </c>
      <c r="L51" s="120">
        <f t="shared" si="27"/>
        <v>903</v>
      </c>
      <c r="M51" s="120">
        <f t="shared" si="27"/>
        <v>1128</v>
      </c>
      <c r="N51" s="120">
        <f t="shared" si="27"/>
        <v>1158</v>
      </c>
      <c r="O51" s="120">
        <f t="shared" si="27"/>
        <v>826.00070000000005</v>
      </c>
      <c r="P51" s="120">
        <f t="shared" si="27"/>
        <v>821.71617999999989</v>
      </c>
      <c r="Q51" s="120">
        <f t="shared" si="27"/>
        <v>825.60808999999995</v>
      </c>
      <c r="R51" s="120">
        <f t="shared" si="27"/>
        <v>812</v>
      </c>
      <c r="S51" s="120">
        <f t="shared" si="27"/>
        <v>591</v>
      </c>
      <c r="T51" s="120">
        <f t="shared" si="27"/>
        <v>1588</v>
      </c>
      <c r="U51" s="120">
        <f t="shared" si="27"/>
        <v>2311</v>
      </c>
      <c r="V51" s="120">
        <f t="shared" si="27"/>
        <v>4676</v>
      </c>
      <c r="W51" s="120">
        <f t="shared" si="27"/>
        <v>4890</v>
      </c>
      <c r="X51" s="120">
        <f t="shared" si="27"/>
        <v>2814</v>
      </c>
      <c r="Y51" s="120">
        <f t="shared" si="27"/>
        <v>778</v>
      </c>
      <c r="Z51" s="120">
        <f t="shared" si="27"/>
        <v>4332</v>
      </c>
      <c r="AA51" s="120">
        <f t="shared" si="27"/>
        <v>4288</v>
      </c>
      <c r="AB51" s="120">
        <f t="shared" si="27"/>
        <v>4768</v>
      </c>
      <c r="AC51" s="120">
        <f t="shared" si="27"/>
        <v>4770</v>
      </c>
      <c r="AD51" s="120">
        <f t="shared" si="27"/>
        <v>4167</v>
      </c>
      <c r="AE51" s="120">
        <f t="shared" si="27"/>
        <v>4388</v>
      </c>
      <c r="AF51" s="120">
        <f t="shared" si="27"/>
        <v>4661</v>
      </c>
      <c r="AG51" s="120">
        <f t="shared" si="27"/>
        <v>4614</v>
      </c>
      <c r="AH51" s="120">
        <f t="shared" si="27"/>
        <v>4449</v>
      </c>
      <c r="AI51" s="120">
        <f t="shared" si="27"/>
        <v>5073</v>
      </c>
      <c r="AJ51" s="120">
        <f t="shared" si="27"/>
        <v>3469</v>
      </c>
      <c r="AK51" s="120">
        <f t="shared" si="27"/>
        <v>4230</v>
      </c>
      <c r="AL51" s="120">
        <f t="shared" si="27"/>
        <v>4370</v>
      </c>
      <c r="AM51" s="120">
        <f t="shared" si="27"/>
        <v>4286</v>
      </c>
      <c r="AN51" s="120">
        <f t="shared" si="27"/>
        <v>4453</v>
      </c>
      <c r="AO51" s="120">
        <f t="shared" si="27"/>
        <v>4347</v>
      </c>
      <c r="AP51" s="120">
        <f t="shared" ref="AP51:AV51" si="28">AP50+AP45</f>
        <v>6910</v>
      </c>
      <c r="AQ51" s="120">
        <f t="shared" si="28"/>
        <v>6891</v>
      </c>
      <c r="AR51" s="120">
        <f t="shared" si="28"/>
        <v>7076</v>
      </c>
      <c r="AS51" s="120">
        <f t="shared" si="28"/>
        <v>7795</v>
      </c>
      <c r="AT51" s="120">
        <f t="shared" si="28"/>
        <v>8227</v>
      </c>
      <c r="AU51" s="120">
        <f t="shared" si="28"/>
        <v>7571</v>
      </c>
      <c r="AV51" s="120">
        <f t="shared" si="28"/>
        <v>8308</v>
      </c>
      <c r="AW51" s="120">
        <f>AW50+AW45</f>
        <v>8375</v>
      </c>
      <c r="AX51" s="120">
        <f>AX50+AX45</f>
        <v>7052</v>
      </c>
      <c r="AY51" s="120">
        <f>AY50+AY45</f>
        <v>5032</v>
      </c>
    </row>
    <row r="52" spans="1:51" x14ac:dyDescent="0.2">
      <c r="D52" s="129" t="s">
        <v>1961</v>
      </c>
      <c r="E52" s="214">
        <v>0</v>
      </c>
      <c r="F52" s="214"/>
      <c r="G52" s="214">
        <v>0</v>
      </c>
      <c r="H52" s="214">
        <v>0</v>
      </c>
      <c r="I52" s="214">
        <v>0</v>
      </c>
      <c r="J52" s="214">
        <v>0</v>
      </c>
      <c r="K52" s="214">
        <v>0</v>
      </c>
      <c r="L52" s="214">
        <v>0</v>
      </c>
      <c r="M52" s="214">
        <v>0</v>
      </c>
      <c r="N52" s="214">
        <v>0</v>
      </c>
      <c r="O52" s="214">
        <v>0</v>
      </c>
      <c r="P52" s="214">
        <v>0</v>
      </c>
      <c r="Q52" s="214">
        <v>0</v>
      </c>
      <c r="R52" s="214">
        <v>0</v>
      </c>
      <c r="S52" s="214">
        <v>0</v>
      </c>
      <c r="T52" s="214">
        <v>0</v>
      </c>
      <c r="U52" s="214">
        <v>0</v>
      </c>
      <c r="V52" s="214">
        <v>2087</v>
      </c>
      <c r="W52" s="214">
        <v>2445</v>
      </c>
      <c r="X52" s="214">
        <v>2829</v>
      </c>
      <c r="Y52" s="214">
        <v>542</v>
      </c>
      <c r="Z52" s="214">
        <v>663</v>
      </c>
      <c r="AA52" s="214">
        <v>700</v>
      </c>
      <c r="AB52" s="214">
        <v>592</v>
      </c>
      <c r="AC52" s="214">
        <v>559</v>
      </c>
      <c r="AD52" s="214">
        <v>559</v>
      </c>
      <c r="AE52" s="214">
        <v>553</v>
      </c>
      <c r="AF52" s="214">
        <v>553</v>
      </c>
      <c r="AG52" s="214">
        <v>551</v>
      </c>
      <c r="AH52" s="214">
        <v>528</v>
      </c>
      <c r="AI52" s="214">
        <v>524</v>
      </c>
      <c r="AJ52" s="214">
        <v>524</v>
      </c>
      <c r="AK52" s="214">
        <v>524</v>
      </c>
      <c r="AL52" s="214">
        <v>524</v>
      </c>
      <c r="AM52" s="214">
        <v>524</v>
      </c>
      <c r="AN52" s="214">
        <v>524</v>
      </c>
      <c r="AO52" s="214">
        <v>524</v>
      </c>
      <c r="AP52" s="214">
        <v>524</v>
      </c>
      <c r="AQ52" s="214">
        <v>524</v>
      </c>
      <c r="AR52" s="214">
        <v>524</v>
      </c>
      <c r="AS52" s="214">
        <v>524</v>
      </c>
      <c r="AT52" s="214">
        <v>524</v>
      </c>
      <c r="AU52" s="214">
        <v>524</v>
      </c>
      <c r="AV52" s="214">
        <v>524</v>
      </c>
      <c r="AW52" s="214">
        <v>524</v>
      </c>
      <c r="AX52" s="214">
        <v>524</v>
      </c>
      <c r="AY52" s="214">
        <f>'[3]26a Part Relac NL (2)'!$T$88</f>
        <v>524</v>
      </c>
    </row>
    <row r="53" spans="1:51" x14ac:dyDescent="0.2">
      <c r="D53" s="129" t="s">
        <v>2289</v>
      </c>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v>0</v>
      </c>
      <c r="AI53" s="214">
        <v>0</v>
      </c>
      <c r="AJ53" s="214">
        <v>0</v>
      </c>
      <c r="AK53" s="214">
        <v>0</v>
      </c>
      <c r="AL53" s="214">
        <v>0</v>
      </c>
      <c r="AM53" s="214">
        <v>0</v>
      </c>
      <c r="AN53" s="214">
        <v>0</v>
      </c>
      <c r="AO53" s="214">
        <v>0</v>
      </c>
      <c r="AP53" s="214">
        <v>0</v>
      </c>
      <c r="AQ53" s="214">
        <v>0</v>
      </c>
      <c r="AR53" s="214">
        <v>0</v>
      </c>
      <c r="AS53" s="214">
        <v>0</v>
      </c>
      <c r="AT53" s="214">
        <v>0</v>
      </c>
      <c r="AU53" s="214">
        <v>0</v>
      </c>
      <c r="AV53" s="214">
        <v>6855</v>
      </c>
      <c r="AW53" s="214">
        <v>6855</v>
      </c>
      <c r="AX53" s="214">
        <v>6855</v>
      </c>
      <c r="AY53" s="214">
        <f>'[3]26a Part Relac NL (2)'!$T$89</f>
        <v>6855</v>
      </c>
    </row>
    <row r="54" spans="1:51" x14ac:dyDescent="0.2">
      <c r="A54" s="201" t="s">
        <v>292</v>
      </c>
      <c r="B54" s="201" t="s">
        <v>292</v>
      </c>
      <c r="D54" s="206" t="str">
        <f>IF([1]RENAME!$H$3=1,B54,A54)</f>
        <v>Subtotal</v>
      </c>
      <c r="E54" s="120">
        <f>E52</f>
        <v>0</v>
      </c>
      <c r="F54" s="120"/>
      <c r="G54" s="120">
        <f t="shared" ref="G54:Y54" si="29">G52</f>
        <v>0</v>
      </c>
      <c r="H54" s="120">
        <f t="shared" si="29"/>
        <v>0</v>
      </c>
      <c r="I54" s="120">
        <f t="shared" si="29"/>
        <v>0</v>
      </c>
      <c r="J54" s="120">
        <f t="shared" si="29"/>
        <v>0</v>
      </c>
      <c r="K54" s="120">
        <f t="shared" si="29"/>
        <v>0</v>
      </c>
      <c r="L54" s="120">
        <f t="shared" si="29"/>
        <v>0</v>
      </c>
      <c r="M54" s="120">
        <f t="shared" si="29"/>
        <v>0</v>
      </c>
      <c r="N54" s="120">
        <f t="shared" si="29"/>
        <v>0</v>
      </c>
      <c r="O54" s="120">
        <f t="shared" si="29"/>
        <v>0</v>
      </c>
      <c r="P54" s="120">
        <f t="shared" si="29"/>
        <v>0</v>
      </c>
      <c r="Q54" s="120">
        <f t="shared" si="29"/>
        <v>0</v>
      </c>
      <c r="R54" s="120">
        <f t="shared" si="29"/>
        <v>0</v>
      </c>
      <c r="S54" s="120">
        <f t="shared" si="29"/>
        <v>0</v>
      </c>
      <c r="T54" s="120">
        <f t="shared" si="29"/>
        <v>0</v>
      </c>
      <c r="U54" s="120">
        <f t="shared" si="29"/>
        <v>0</v>
      </c>
      <c r="V54" s="120">
        <f t="shared" si="29"/>
        <v>2087</v>
      </c>
      <c r="W54" s="120">
        <f t="shared" si="29"/>
        <v>2445</v>
      </c>
      <c r="X54" s="120">
        <f t="shared" si="29"/>
        <v>2829</v>
      </c>
      <c r="Y54" s="120">
        <f t="shared" si="29"/>
        <v>542</v>
      </c>
      <c r="Z54" s="120">
        <f t="shared" ref="Z54:AI54" si="30">Z52</f>
        <v>663</v>
      </c>
      <c r="AA54" s="120">
        <f t="shared" si="30"/>
        <v>700</v>
      </c>
      <c r="AB54" s="120">
        <f t="shared" si="30"/>
        <v>592</v>
      </c>
      <c r="AC54" s="120">
        <f t="shared" si="30"/>
        <v>559</v>
      </c>
      <c r="AD54" s="120">
        <f t="shared" si="30"/>
        <v>559</v>
      </c>
      <c r="AE54" s="120">
        <f t="shared" si="30"/>
        <v>553</v>
      </c>
      <c r="AF54" s="120">
        <f t="shared" si="30"/>
        <v>553</v>
      </c>
      <c r="AG54" s="120">
        <f t="shared" si="30"/>
        <v>551</v>
      </c>
      <c r="AH54" s="120">
        <f t="shared" si="30"/>
        <v>528</v>
      </c>
      <c r="AI54" s="120">
        <f t="shared" si="30"/>
        <v>524</v>
      </c>
      <c r="AJ54" s="120">
        <f t="shared" ref="AJ54:AS54" si="31">AJ52</f>
        <v>524</v>
      </c>
      <c r="AK54" s="120">
        <f t="shared" si="31"/>
        <v>524</v>
      </c>
      <c r="AL54" s="120">
        <f t="shared" si="31"/>
        <v>524</v>
      </c>
      <c r="AM54" s="120">
        <f t="shared" si="31"/>
        <v>524</v>
      </c>
      <c r="AN54" s="120">
        <f t="shared" si="31"/>
        <v>524</v>
      </c>
      <c r="AO54" s="120">
        <f t="shared" si="31"/>
        <v>524</v>
      </c>
      <c r="AP54" s="120">
        <f t="shared" si="31"/>
        <v>524</v>
      </c>
      <c r="AQ54" s="120">
        <f t="shared" si="31"/>
        <v>524</v>
      </c>
      <c r="AR54" s="120">
        <f t="shared" si="31"/>
        <v>524</v>
      </c>
      <c r="AS54" s="120">
        <f t="shared" si="31"/>
        <v>524</v>
      </c>
      <c r="AT54" s="120">
        <f>AT52</f>
        <v>524</v>
      </c>
      <c r="AU54" s="120">
        <f>AU52</f>
        <v>524</v>
      </c>
      <c r="AV54" s="120">
        <f>AV52+AV53</f>
        <v>7379</v>
      </c>
      <c r="AW54" s="120">
        <f>AW52+AW53</f>
        <v>7379</v>
      </c>
      <c r="AX54" s="120">
        <f>AX52+AX53</f>
        <v>7379</v>
      </c>
      <c r="AY54" s="120">
        <f>AY52+AY53</f>
        <v>7379</v>
      </c>
    </row>
    <row r="55" spans="1:51" x14ac:dyDescent="0.2">
      <c r="D55" s="129" t="s">
        <v>1961</v>
      </c>
      <c r="E55" s="214" t="s">
        <v>160</v>
      </c>
      <c r="F55" s="214"/>
      <c r="G55" s="214" t="s">
        <v>160</v>
      </c>
      <c r="H55" s="214" t="s">
        <v>160</v>
      </c>
      <c r="I55" s="214" t="s">
        <v>160</v>
      </c>
      <c r="J55" s="214" t="s">
        <v>160</v>
      </c>
      <c r="K55" s="214" t="s">
        <v>160</v>
      </c>
      <c r="L55" s="214" t="s">
        <v>160</v>
      </c>
      <c r="M55" s="214" t="s">
        <v>160</v>
      </c>
      <c r="N55" s="214" t="s">
        <v>160</v>
      </c>
      <c r="O55" s="214" t="s">
        <v>160</v>
      </c>
      <c r="P55" s="214" t="s">
        <v>160</v>
      </c>
      <c r="Q55" s="214" t="s">
        <v>160</v>
      </c>
      <c r="R55" s="214" t="s">
        <v>160</v>
      </c>
      <c r="S55" s="214" t="s">
        <v>160</v>
      </c>
      <c r="T55" s="214" t="s">
        <v>160</v>
      </c>
      <c r="U55" s="214" t="s">
        <v>160</v>
      </c>
      <c r="V55" s="214" t="s">
        <v>160</v>
      </c>
      <c r="W55" s="214" t="s">
        <v>160</v>
      </c>
      <c r="X55" s="214" t="s">
        <v>160</v>
      </c>
      <c r="Y55" s="214" t="s">
        <v>160</v>
      </c>
      <c r="Z55" s="214" t="s">
        <v>160</v>
      </c>
      <c r="AA55" s="214" t="s">
        <v>160</v>
      </c>
      <c r="AB55" s="214" t="s">
        <v>160</v>
      </c>
      <c r="AC55" s="214" t="s">
        <v>160</v>
      </c>
      <c r="AD55" s="214" t="s">
        <v>160</v>
      </c>
      <c r="AE55" s="214" t="s">
        <v>160</v>
      </c>
      <c r="AF55" s="214" t="s">
        <v>160</v>
      </c>
      <c r="AG55" s="214" t="s">
        <v>160</v>
      </c>
      <c r="AH55" s="214" t="s">
        <v>160</v>
      </c>
      <c r="AI55" s="214">
        <v>194</v>
      </c>
      <c r="AJ55" s="214">
        <v>199</v>
      </c>
      <c r="AK55" s="214">
        <v>51</v>
      </c>
      <c r="AL55" s="214">
        <v>0</v>
      </c>
      <c r="AM55" s="214">
        <v>0</v>
      </c>
      <c r="AN55" s="214">
        <v>0</v>
      </c>
      <c r="AO55" s="214">
        <v>0</v>
      </c>
      <c r="AP55" s="214">
        <v>1822</v>
      </c>
      <c r="AQ55" s="214">
        <v>1302</v>
      </c>
      <c r="AR55" s="214">
        <v>755</v>
      </c>
      <c r="AS55" s="214">
        <v>171</v>
      </c>
      <c r="AT55" s="214">
        <v>0</v>
      </c>
      <c r="AU55" s="214">
        <v>0</v>
      </c>
      <c r="AV55" s="214">
        <v>0</v>
      </c>
      <c r="AW55" s="214">
        <v>171</v>
      </c>
      <c r="AX55" s="214">
        <v>0</v>
      </c>
      <c r="AY55" s="214">
        <f>'[3]26a Part Relac NL (2)'!$T$81</f>
        <v>0</v>
      </c>
    </row>
    <row r="56" spans="1:51" x14ac:dyDescent="0.2">
      <c r="D56" s="129" t="s">
        <v>2290</v>
      </c>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v>0</v>
      </c>
      <c r="AW56" s="214">
        <v>0</v>
      </c>
      <c r="AX56" s="214">
        <v>0</v>
      </c>
      <c r="AY56" s="214">
        <f>'[3]26a Part Relac NL (2)'!$T$80</f>
        <v>0</v>
      </c>
    </row>
    <row r="57" spans="1:51" x14ac:dyDescent="0.2">
      <c r="D57" s="129" t="s">
        <v>443</v>
      </c>
      <c r="E57" s="214">
        <v>0</v>
      </c>
      <c r="F57" s="214"/>
      <c r="G57" s="214">
        <v>0</v>
      </c>
      <c r="H57" s="214">
        <v>0</v>
      </c>
      <c r="I57" s="214">
        <v>0</v>
      </c>
      <c r="J57" s="214">
        <v>0</v>
      </c>
      <c r="K57" s="214">
        <v>0</v>
      </c>
      <c r="L57" s="214">
        <v>0</v>
      </c>
      <c r="M57" s="214">
        <v>0</v>
      </c>
      <c r="N57" s="214">
        <v>0</v>
      </c>
      <c r="O57" s="214">
        <v>0</v>
      </c>
      <c r="P57" s="214">
        <v>0</v>
      </c>
      <c r="Q57" s="214">
        <v>0</v>
      </c>
      <c r="R57" s="214">
        <v>0</v>
      </c>
      <c r="S57" s="214">
        <v>0</v>
      </c>
      <c r="T57" s="214">
        <v>0</v>
      </c>
      <c r="U57" s="214">
        <v>0</v>
      </c>
      <c r="V57" s="214">
        <v>5195</v>
      </c>
      <c r="W57" s="214">
        <v>5074</v>
      </c>
      <c r="X57" s="214">
        <v>4797</v>
      </c>
      <c r="Y57" s="214">
        <v>0</v>
      </c>
      <c r="Z57" s="214">
        <v>7750</v>
      </c>
      <c r="AA57" s="214">
        <v>3796</v>
      </c>
      <c r="AB57" s="214">
        <v>5721</v>
      </c>
      <c r="AC57" s="214">
        <v>4683</v>
      </c>
      <c r="AD57" s="214">
        <v>7676</v>
      </c>
      <c r="AE57" s="214">
        <v>6631</v>
      </c>
      <c r="AF57" s="214">
        <v>5667</v>
      </c>
      <c r="AG57" s="214">
        <v>5043</v>
      </c>
      <c r="AH57" s="214">
        <v>4091</v>
      </c>
      <c r="AI57" s="214">
        <v>2935</v>
      </c>
      <c r="AJ57" s="214">
        <v>12400</v>
      </c>
      <c r="AK57" s="214">
        <v>11644</v>
      </c>
      <c r="AL57" s="214">
        <v>11489</v>
      </c>
      <c r="AM57" s="214">
        <v>10628</v>
      </c>
      <c r="AN57" s="214">
        <v>9734</v>
      </c>
      <c r="AO57" s="214">
        <v>8807</v>
      </c>
      <c r="AP57" s="214">
        <v>8206</v>
      </c>
      <c r="AQ57" s="214">
        <v>7161</v>
      </c>
      <c r="AR57" s="214">
        <v>6076</v>
      </c>
      <c r="AS57" s="214">
        <v>4268</v>
      </c>
      <c r="AT57" s="214">
        <v>3415</v>
      </c>
      <c r="AU57" s="214">
        <v>2319</v>
      </c>
      <c r="AV57" s="214">
        <v>1181</v>
      </c>
      <c r="AW57" s="214">
        <v>0</v>
      </c>
      <c r="AX57" s="214">
        <v>0</v>
      </c>
      <c r="AY57" s="214">
        <f>'[3]26a Part Relac NL (2)'!$T$82</f>
        <v>0</v>
      </c>
    </row>
    <row r="58" spans="1:51" x14ac:dyDescent="0.2">
      <c r="D58" s="129" t="s">
        <v>434</v>
      </c>
      <c r="E58" s="214">
        <v>0</v>
      </c>
      <c r="F58" s="214"/>
      <c r="G58" s="214">
        <v>0</v>
      </c>
      <c r="H58" s="214">
        <v>0</v>
      </c>
      <c r="I58" s="214">
        <v>0</v>
      </c>
      <c r="J58" s="214">
        <v>0</v>
      </c>
      <c r="K58" s="214">
        <v>0</v>
      </c>
      <c r="L58" s="214">
        <v>0</v>
      </c>
      <c r="M58" s="214">
        <v>0</v>
      </c>
      <c r="N58" s="214">
        <v>0</v>
      </c>
      <c r="O58" s="214">
        <v>0</v>
      </c>
      <c r="P58" s="214">
        <v>0</v>
      </c>
      <c r="Q58" s="214">
        <v>0</v>
      </c>
      <c r="R58" s="214">
        <v>0</v>
      </c>
      <c r="S58" s="214">
        <v>0</v>
      </c>
      <c r="T58" s="214">
        <v>0</v>
      </c>
      <c r="U58" s="214">
        <v>0</v>
      </c>
      <c r="V58" s="214">
        <v>1170</v>
      </c>
      <c r="W58" s="214">
        <v>1096</v>
      </c>
      <c r="X58" s="214">
        <v>1021</v>
      </c>
      <c r="Y58" s="214">
        <v>1040</v>
      </c>
      <c r="Z58" s="214">
        <v>954</v>
      </c>
      <c r="AA58" s="214">
        <v>355</v>
      </c>
      <c r="AB58" s="214">
        <v>238</v>
      </c>
      <c r="AC58" s="214">
        <v>120</v>
      </c>
      <c r="AD58" s="214">
        <v>0</v>
      </c>
      <c r="AE58" s="214">
        <v>0</v>
      </c>
      <c r="AF58" s="214" t="s">
        <v>160</v>
      </c>
      <c r="AG58" s="214" t="s">
        <v>160</v>
      </c>
      <c r="AH58" s="214">
        <v>0</v>
      </c>
      <c r="AI58" s="214">
        <v>0</v>
      </c>
      <c r="AJ58" s="214">
        <v>0</v>
      </c>
      <c r="AK58" s="214">
        <v>0</v>
      </c>
      <c r="AL58" s="214">
        <v>0</v>
      </c>
      <c r="AM58" s="214">
        <f>'[3]24 Partes Relacionadas'!$F$61</f>
        <v>0</v>
      </c>
      <c r="AN58" s="214">
        <v>0</v>
      </c>
      <c r="AO58" s="214">
        <f>'[3]24 Partes Relacionadas'!$F$61</f>
        <v>0</v>
      </c>
      <c r="AP58" s="214">
        <v>0</v>
      </c>
      <c r="AQ58" s="214">
        <v>0</v>
      </c>
      <c r="AR58" s="214">
        <v>0</v>
      </c>
      <c r="AS58" s="214">
        <v>0</v>
      </c>
      <c r="AT58" s="214">
        <v>0</v>
      </c>
      <c r="AU58" s="214">
        <v>0</v>
      </c>
      <c r="AV58" s="214">
        <v>0</v>
      </c>
      <c r="AW58" s="214">
        <v>0</v>
      </c>
      <c r="AX58" s="214">
        <v>0</v>
      </c>
      <c r="AY58" s="214">
        <f>'[3]24 Partes Relacionadas'!$F$61</f>
        <v>0</v>
      </c>
    </row>
    <row r="59" spans="1:51" x14ac:dyDescent="0.2">
      <c r="A59" s="201" t="s">
        <v>1537</v>
      </c>
      <c r="B59" s="201" t="s">
        <v>1538</v>
      </c>
      <c r="D59" s="206" t="str">
        <f>IF([1]RENAME!$H$3=1,B59,A59)</f>
        <v>Arrendamento Mercantil</v>
      </c>
      <c r="E59" s="120">
        <f t="shared" ref="E59:AN59" si="32">SUM(E55:E58)</f>
        <v>0</v>
      </c>
      <c r="F59" s="120"/>
      <c r="G59" s="120">
        <f t="shared" si="32"/>
        <v>0</v>
      </c>
      <c r="H59" s="120">
        <f t="shared" si="32"/>
        <v>0</v>
      </c>
      <c r="I59" s="120">
        <f t="shared" si="32"/>
        <v>0</v>
      </c>
      <c r="J59" s="120">
        <f t="shared" si="32"/>
        <v>0</v>
      </c>
      <c r="K59" s="120">
        <f t="shared" si="32"/>
        <v>0</v>
      </c>
      <c r="L59" s="120">
        <f t="shared" si="32"/>
        <v>0</v>
      </c>
      <c r="M59" s="120">
        <f t="shared" si="32"/>
        <v>0</v>
      </c>
      <c r="N59" s="120">
        <f t="shared" si="32"/>
        <v>0</v>
      </c>
      <c r="O59" s="120">
        <f t="shared" si="32"/>
        <v>0</v>
      </c>
      <c r="P59" s="120">
        <f t="shared" si="32"/>
        <v>0</v>
      </c>
      <c r="Q59" s="120">
        <f t="shared" si="32"/>
        <v>0</v>
      </c>
      <c r="R59" s="120">
        <f t="shared" si="32"/>
        <v>0</v>
      </c>
      <c r="S59" s="120">
        <f t="shared" si="32"/>
        <v>0</v>
      </c>
      <c r="T59" s="120">
        <f t="shared" si="32"/>
        <v>0</v>
      </c>
      <c r="U59" s="120">
        <f t="shared" si="32"/>
        <v>0</v>
      </c>
      <c r="V59" s="120">
        <f t="shared" si="32"/>
        <v>6365</v>
      </c>
      <c r="W59" s="120">
        <f t="shared" si="32"/>
        <v>6170</v>
      </c>
      <c r="X59" s="120">
        <f t="shared" si="32"/>
        <v>5818</v>
      </c>
      <c r="Y59" s="120">
        <f t="shared" si="32"/>
        <v>1040</v>
      </c>
      <c r="Z59" s="120">
        <f t="shared" si="32"/>
        <v>8704</v>
      </c>
      <c r="AA59" s="120">
        <f t="shared" si="32"/>
        <v>4151</v>
      </c>
      <c r="AB59" s="120">
        <f t="shared" si="32"/>
        <v>5959</v>
      </c>
      <c r="AC59" s="120">
        <f t="shared" si="32"/>
        <v>4803</v>
      </c>
      <c r="AD59" s="120">
        <f t="shared" si="32"/>
        <v>7676</v>
      </c>
      <c r="AE59" s="120">
        <f t="shared" si="32"/>
        <v>6631</v>
      </c>
      <c r="AF59" s="120">
        <f t="shared" si="32"/>
        <v>5667</v>
      </c>
      <c r="AG59" s="120">
        <f t="shared" si="32"/>
        <v>5043</v>
      </c>
      <c r="AH59" s="120">
        <f t="shared" si="32"/>
        <v>4091</v>
      </c>
      <c r="AI59" s="120">
        <f t="shared" si="32"/>
        <v>3129</v>
      </c>
      <c r="AJ59" s="120">
        <f t="shared" si="32"/>
        <v>12599</v>
      </c>
      <c r="AK59" s="120">
        <f t="shared" si="32"/>
        <v>11695</v>
      </c>
      <c r="AL59" s="120">
        <f t="shared" si="32"/>
        <v>11489</v>
      </c>
      <c r="AM59" s="120">
        <f t="shared" si="32"/>
        <v>10628</v>
      </c>
      <c r="AN59" s="120">
        <f t="shared" si="32"/>
        <v>9734</v>
      </c>
      <c r="AO59" s="120">
        <f t="shared" ref="AO59:AU59" si="33">SUM(AO55:AO58)</f>
        <v>8807</v>
      </c>
      <c r="AP59" s="120">
        <f t="shared" si="33"/>
        <v>10028</v>
      </c>
      <c r="AQ59" s="120">
        <f t="shared" si="33"/>
        <v>8463</v>
      </c>
      <c r="AR59" s="120">
        <f t="shared" si="33"/>
        <v>6831</v>
      </c>
      <c r="AS59" s="120">
        <f t="shared" si="33"/>
        <v>4439</v>
      </c>
      <c r="AT59" s="120">
        <f>SUM(AT55:AT58)</f>
        <v>3415</v>
      </c>
      <c r="AU59" s="120">
        <f t="shared" si="33"/>
        <v>2319</v>
      </c>
      <c r="AV59" s="120">
        <f>SUM(AV55:AV58)</f>
        <v>1181</v>
      </c>
      <c r="AW59" s="120">
        <f>SUM(AW55:AW58)</f>
        <v>171</v>
      </c>
      <c r="AX59" s="120">
        <f>SUM(AX55:AX58)</f>
        <v>0</v>
      </c>
      <c r="AY59" s="120">
        <f>SUM(AY55:AY58)</f>
        <v>0</v>
      </c>
    </row>
    <row r="60" spans="1:51" x14ac:dyDescent="0.2">
      <c r="A60" s="201" t="s">
        <v>42</v>
      </c>
      <c r="B60" s="201" t="s">
        <v>674</v>
      </c>
      <c r="D60" s="206" t="str">
        <f>IF([1]RENAME!$H$3=1,B60,A60)</f>
        <v>Passivo não circulante</v>
      </c>
      <c r="E60" s="120">
        <f>E59+E54</f>
        <v>0</v>
      </c>
      <c r="F60" s="120"/>
      <c r="G60" s="120">
        <f t="shared" ref="G60:AV60" si="34">G59+G54</f>
        <v>0</v>
      </c>
      <c r="H60" s="120">
        <f t="shared" si="34"/>
        <v>0</v>
      </c>
      <c r="I60" s="120">
        <f t="shared" si="34"/>
        <v>0</v>
      </c>
      <c r="J60" s="120">
        <f t="shared" si="34"/>
        <v>0</v>
      </c>
      <c r="K60" s="120">
        <f t="shared" si="34"/>
        <v>0</v>
      </c>
      <c r="L60" s="120">
        <f t="shared" si="34"/>
        <v>0</v>
      </c>
      <c r="M60" s="120">
        <f t="shared" si="34"/>
        <v>0</v>
      </c>
      <c r="N60" s="120">
        <f t="shared" si="34"/>
        <v>0</v>
      </c>
      <c r="O60" s="120">
        <f t="shared" si="34"/>
        <v>0</v>
      </c>
      <c r="P60" s="120">
        <f t="shared" si="34"/>
        <v>0</v>
      </c>
      <c r="Q60" s="120">
        <f t="shared" si="34"/>
        <v>0</v>
      </c>
      <c r="R60" s="120">
        <f t="shared" si="34"/>
        <v>0</v>
      </c>
      <c r="S60" s="120">
        <f t="shared" si="34"/>
        <v>0</v>
      </c>
      <c r="T60" s="120">
        <f t="shared" si="34"/>
        <v>0</v>
      </c>
      <c r="U60" s="120">
        <f t="shared" si="34"/>
        <v>0</v>
      </c>
      <c r="V60" s="120">
        <f t="shared" si="34"/>
        <v>8452</v>
      </c>
      <c r="W60" s="120">
        <f t="shared" si="34"/>
        <v>8615</v>
      </c>
      <c r="X60" s="120">
        <f t="shared" si="34"/>
        <v>8647</v>
      </c>
      <c r="Y60" s="120">
        <f t="shared" si="34"/>
        <v>1582</v>
      </c>
      <c r="Z60" s="120">
        <f t="shared" si="34"/>
        <v>9367</v>
      </c>
      <c r="AA60" s="120">
        <f t="shared" si="34"/>
        <v>4851</v>
      </c>
      <c r="AB60" s="120">
        <f t="shared" si="34"/>
        <v>6551</v>
      </c>
      <c r="AC60" s="120">
        <f t="shared" si="34"/>
        <v>5362</v>
      </c>
      <c r="AD60" s="120">
        <f t="shared" si="34"/>
        <v>8235</v>
      </c>
      <c r="AE60" s="120">
        <f t="shared" si="34"/>
        <v>7184</v>
      </c>
      <c r="AF60" s="120">
        <f t="shared" si="34"/>
        <v>6220</v>
      </c>
      <c r="AG60" s="120">
        <f t="shared" si="34"/>
        <v>5594</v>
      </c>
      <c r="AH60" s="120">
        <f t="shared" si="34"/>
        <v>4619</v>
      </c>
      <c r="AI60" s="120">
        <f t="shared" si="34"/>
        <v>3653</v>
      </c>
      <c r="AJ60" s="120">
        <f t="shared" si="34"/>
        <v>13123</v>
      </c>
      <c r="AK60" s="120">
        <f t="shared" si="34"/>
        <v>12219</v>
      </c>
      <c r="AL60" s="120">
        <f t="shared" si="34"/>
        <v>12013</v>
      </c>
      <c r="AM60" s="120">
        <f t="shared" si="34"/>
        <v>11152</v>
      </c>
      <c r="AN60" s="120">
        <f t="shared" si="34"/>
        <v>10258</v>
      </c>
      <c r="AO60" s="120">
        <f t="shared" si="34"/>
        <v>9331</v>
      </c>
      <c r="AP60" s="120">
        <f t="shared" si="34"/>
        <v>10552</v>
      </c>
      <c r="AQ60" s="120">
        <f t="shared" si="34"/>
        <v>8987</v>
      </c>
      <c r="AR60" s="120">
        <f t="shared" si="34"/>
        <v>7355</v>
      </c>
      <c r="AS60" s="120">
        <f t="shared" si="34"/>
        <v>4963</v>
      </c>
      <c r="AT60" s="120">
        <f t="shared" si="34"/>
        <v>3939</v>
      </c>
      <c r="AU60" s="120">
        <f t="shared" si="34"/>
        <v>2843</v>
      </c>
      <c r="AV60" s="120">
        <f t="shared" si="34"/>
        <v>8560</v>
      </c>
      <c r="AW60" s="120">
        <f>AW59+AW54</f>
        <v>7550</v>
      </c>
      <c r="AX60" s="120">
        <f>AX59+AX54</f>
        <v>7379</v>
      </c>
      <c r="AY60" s="120">
        <f>AY59+AY54</f>
        <v>7379</v>
      </c>
    </row>
    <row r="61" spans="1:51" x14ac:dyDescent="0.2">
      <c r="A61" s="201" t="s">
        <v>296</v>
      </c>
      <c r="B61" s="201" t="s">
        <v>1076</v>
      </c>
      <c r="D61" s="206" t="str">
        <f>IF([1]RENAME!$H$3=1,B61,A61)</f>
        <v>Total do passivo</v>
      </c>
      <c r="E61" s="120">
        <f>E60+E51</f>
        <v>757</v>
      </c>
      <c r="F61" s="120"/>
      <c r="G61" s="120">
        <f t="shared" ref="G61:AV61" si="35">G60+G51</f>
        <v>9700</v>
      </c>
      <c r="H61" s="120">
        <f t="shared" si="35"/>
        <v>9774</v>
      </c>
      <c r="I61" s="120">
        <f t="shared" si="35"/>
        <v>6139</v>
      </c>
      <c r="J61" s="120">
        <f t="shared" si="35"/>
        <v>6139</v>
      </c>
      <c r="K61" s="120">
        <f t="shared" si="35"/>
        <v>5822</v>
      </c>
      <c r="L61" s="120">
        <f t="shared" si="35"/>
        <v>903</v>
      </c>
      <c r="M61" s="120">
        <f t="shared" si="35"/>
        <v>1128</v>
      </c>
      <c r="N61" s="120">
        <f t="shared" si="35"/>
        <v>1158</v>
      </c>
      <c r="O61" s="120">
        <f t="shared" si="35"/>
        <v>826.00070000000005</v>
      </c>
      <c r="P61" s="120">
        <f t="shared" si="35"/>
        <v>821.71617999999989</v>
      </c>
      <c r="Q61" s="120">
        <f t="shared" si="35"/>
        <v>825.60808999999995</v>
      </c>
      <c r="R61" s="120">
        <f t="shared" si="35"/>
        <v>812</v>
      </c>
      <c r="S61" s="120">
        <f t="shared" si="35"/>
        <v>591</v>
      </c>
      <c r="T61" s="120">
        <f t="shared" si="35"/>
        <v>1588</v>
      </c>
      <c r="U61" s="120">
        <f t="shared" si="35"/>
        <v>2311</v>
      </c>
      <c r="V61" s="120">
        <f t="shared" si="35"/>
        <v>13128</v>
      </c>
      <c r="W61" s="120">
        <f t="shared" si="35"/>
        <v>13505</v>
      </c>
      <c r="X61" s="120">
        <f t="shared" si="35"/>
        <v>11461</v>
      </c>
      <c r="Y61" s="120">
        <f t="shared" si="35"/>
        <v>2360</v>
      </c>
      <c r="Z61" s="120">
        <f t="shared" si="35"/>
        <v>13699</v>
      </c>
      <c r="AA61" s="120">
        <f t="shared" si="35"/>
        <v>9139</v>
      </c>
      <c r="AB61" s="120">
        <f t="shared" si="35"/>
        <v>11319</v>
      </c>
      <c r="AC61" s="120">
        <f t="shared" si="35"/>
        <v>10132</v>
      </c>
      <c r="AD61" s="120">
        <f t="shared" si="35"/>
        <v>12402</v>
      </c>
      <c r="AE61" s="120">
        <f t="shared" si="35"/>
        <v>11572</v>
      </c>
      <c r="AF61" s="120">
        <f t="shared" si="35"/>
        <v>10881</v>
      </c>
      <c r="AG61" s="120">
        <f t="shared" si="35"/>
        <v>10208</v>
      </c>
      <c r="AH61" s="120">
        <f t="shared" si="35"/>
        <v>9068</v>
      </c>
      <c r="AI61" s="120">
        <f t="shared" si="35"/>
        <v>8726</v>
      </c>
      <c r="AJ61" s="120">
        <f t="shared" si="35"/>
        <v>16592</v>
      </c>
      <c r="AK61" s="120">
        <f t="shared" si="35"/>
        <v>16449</v>
      </c>
      <c r="AL61" s="120">
        <f t="shared" si="35"/>
        <v>16383</v>
      </c>
      <c r="AM61" s="120">
        <f t="shared" si="35"/>
        <v>15438</v>
      </c>
      <c r="AN61" s="120">
        <f t="shared" si="35"/>
        <v>14711</v>
      </c>
      <c r="AO61" s="120">
        <f t="shared" si="35"/>
        <v>13678</v>
      </c>
      <c r="AP61" s="120">
        <f t="shared" si="35"/>
        <v>17462</v>
      </c>
      <c r="AQ61" s="120">
        <f t="shared" si="35"/>
        <v>15878</v>
      </c>
      <c r="AR61" s="120">
        <f t="shared" si="35"/>
        <v>14431</v>
      </c>
      <c r="AS61" s="120">
        <f t="shared" si="35"/>
        <v>12758</v>
      </c>
      <c r="AT61" s="120">
        <f t="shared" si="35"/>
        <v>12166</v>
      </c>
      <c r="AU61" s="120">
        <f t="shared" si="35"/>
        <v>10414</v>
      </c>
      <c r="AV61" s="120">
        <f t="shared" si="35"/>
        <v>16868</v>
      </c>
      <c r="AW61" s="120">
        <f>AW60+AW51</f>
        <v>15925</v>
      </c>
      <c r="AX61" s="120">
        <f>AX60+AX51</f>
        <v>14431</v>
      </c>
      <c r="AY61" s="120">
        <f>AY60+AY51</f>
        <v>12411</v>
      </c>
    </row>
    <row r="63" spans="1:51" x14ac:dyDescent="0.2">
      <c r="A63" s="201" t="s">
        <v>2043</v>
      </c>
      <c r="B63" s="201" t="s">
        <v>2145</v>
      </c>
      <c r="D63" s="247" t="str">
        <f>IF([1]RENAME!$H$3=1,B63,A63)</f>
        <v>Resultado</v>
      </c>
      <c r="E63" s="197">
        <v>2014</v>
      </c>
      <c r="F63" s="205">
        <f>IF([1]RENAME!$H$3=1,SUBSTITUTE(AY1,"T","Q"),AY1)</f>
        <v>0</v>
      </c>
      <c r="G63" s="205" t="e">
        <f>IF([1]RENAME!$H$3=1,SUBSTITUTE(AZ1,"T","Q"),AZ1)</f>
        <v>#VALUE!</v>
      </c>
      <c r="H63" s="205" t="e">
        <f>IF([1]RENAME!$H$3=1,SUBSTITUTE(BA1,"T","Q"),BA1)</f>
        <v>#VALUE!</v>
      </c>
      <c r="I63" s="205" t="e">
        <f>IF([1]RENAME!$H$3=1,SUBSTITUTE(BB1,"T","Q"),BB1)</f>
        <v>#VALUE!</v>
      </c>
      <c r="J63" s="205" t="e">
        <f>IF([1]RENAME!$H$3=1,SUBSTITUTE(BC1,"T","Q"),BC1)</f>
        <v>#VALUE!</v>
      </c>
      <c r="K63" s="205" t="e">
        <f>IF([1]RENAME!$H$3=1,SUBSTITUTE(BD1,"T","Q"),BD1)</f>
        <v>#VALUE!</v>
      </c>
      <c r="L63" s="205" t="e">
        <f>IF([1]RENAME!$H$3=1,SUBSTITUTE(BE1,"T","Q"),BE1)</f>
        <v>#VALUE!</v>
      </c>
      <c r="M63" s="205" t="e">
        <f>IF([1]RENAME!$H$3=1,SUBSTITUTE(BF1,"T","Q"),BF1)</f>
        <v>#VALUE!</v>
      </c>
      <c r="N63" s="205" t="e">
        <f>IF([1]RENAME!$H$3=1,SUBSTITUTE(BG1,"T","Q"),BG1)</f>
        <v>#VALUE!</v>
      </c>
      <c r="O63" s="205" t="e">
        <f>IF([1]RENAME!$H$3=1,SUBSTITUTE(BH1,"T","Q"),BH1)</f>
        <v>#VALUE!</v>
      </c>
      <c r="P63" s="205" t="e">
        <f>IF([1]RENAME!$H$3=1,SUBSTITUTE(BI1,"T","Q"),BI1)</f>
        <v>#VALUE!</v>
      </c>
      <c r="Q63" s="205" t="e">
        <f>IF([1]RENAME!$H$3=1,SUBSTITUTE(BJ1,"T","Q"),BJ1)</f>
        <v>#VALUE!</v>
      </c>
      <c r="R63" s="205" t="e">
        <f>IF([1]RENAME!$H$3=1,SUBSTITUTE(BK1,"T","Q"),BK1)</f>
        <v>#VALUE!</v>
      </c>
      <c r="S63" s="205" t="e">
        <f>IF([1]RENAME!$H$3=1,SUBSTITUTE(BL1,"T","Q"),BL1)</f>
        <v>#VALUE!</v>
      </c>
      <c r="T63" s="205" t="e">
        <f>IF([1]RENAME!$H$3=1,SUBSTITUTE(BM1,"T","Q"),BM1)</f>
        <v>#VALUE!</v>
      </c>
      <c r="U63" s="205" t="e">
        <f>IF([1]RENAME!$H$3=1,SUBSTITUTE(BN1,"T","Q"),BN1)</f>
        <v>#VALUE!</v>
      </c>
      <c r="V63" s="205" t="e">
        <f>IF([1]RENAME!$H$3=1,SUBSTITUTE(BO1,"T","Q"),BO1)</f>
        <v>#VALUE!</v>
      </c>
      <c r="W63" s="205" t="e">
        <f>IF([1]RENAME!$H$3=1,SUBSTITUTE(BP1,"T","Q"),BP1)</f>
        <v>#VALUE!</v>
      </c>
      <c r="X63" s="205" t="e">
        <f>IF([1]RENAME!$H$3=1,SUBSTITUTE(BQ1,"T","Q"),BQ1)</f>
        <v>#VALUE!</v>
      </c>
      <c r="Y63" s="205" t="e">
        <f>IF([1]RENAME!$H$3=1,SUBSTITUTE(BR1,"T","Q"),BR1)</f>
        <v>#VALUE!</v>
      </c>
      <c r="Z63" s="205" t="e">
        <f>IF([1]RENAME!$H$3=1,SUBSTITUTE(BS1,"T","Q"),BS1)</f>
        <v>#VALUE!</v>
      </c>
      <c r="AA63" s="205" t="e">
        <f>IF([1]RENAME!$H$3=1,SUBSTITUTE(BT1,"T","Q"),BT1)</f>
        <v>#VALUE!</v>
      </c>
      <c r="AB63" s="205" t="e">
        <f>IF([1]RENAME!$H$3=1,SUBSTITUTE(BU1,"T","Q"),BU1)</f>
        <v>#VALUE!</v>
      </c>
      <c r="AC63" s="205" t="e">
        <f>IF([1]RENAME!$H$3=1,SUBSTITUTE(BV1,"T","Q"),BV1)</f>
        <v>#VALUE!</v>
      </c>
      <c r="AD63" s="205" t="e">
        <f>IF([1]RENAME!$H$3=1,SUBSTITUTE(BW1,"T","Q"),BW1)</f>
        <v>#VALUE!</v>
      </c>
      <c r="AE63" s="205" t="e">
        <f>IF([1]RENAME!$H$3=1,SUBSTITUTE(BX1,"T","Q"),BX1)</f>
        <v>#VALUE!</v>
      </c>
      <c r="AF63" s="205" t="e">
        <f>IF([1]RENAME!$H$3=1,SUBSTITUTE(BY1,"T","Q"),BY1)</f>
        <v>#VALUE!</v>
      </c>
      <c r="AG63" s="205" t="e">
        <f>IF([1]RENAME!$H$3=1,SUBSTITUTE(BZ1,"T","Q"),BZ1)</f>
        <v>#VALUE!</v>
      </c>
      <c r="AH63" s="205">
        <f t="shared" ref="AH63:AW63" si="36">AH5</f>
        <v>44651</v>
      </c>
      <c r="AI63" s="205">
        <f t="shared" si="36"/>
        <v>44742</v>
      </c>
      <c r="AJ63" s="205">
        <f t="shared" si="36"/>
        <v>44834</v>
      </c>
      <c r="AK63" s="205">
        <f t="shared" si="36"/>
        <v>44926</v>
      </c>
      <c r="AL63" s="205">
        <f t="shared" si="36"/>
        <v>45016</v>
      </c>
      <c r="AM63" s="205">
        <f t="shared" si="36"/>
        <v>45107</v>
      </c>
      <c r="AN63" s="205">
        <f t="shared" si="36"/>
        <v>45199</v>
      </c>
      <c r="AO63" s="205">
        <f t="shared" si="36"/>
        <v>45291</v>
      </c>
      <c r="AP63" s="205">
        <f t="shared" si="36"/>
        <v>45382</v>
      </c>
      <c r="AQ63" s="205">
        <f t="shared" si="36"/>
        <v>45473</v>
      </c>
      <c r="AR63" s="205">
        <f t="shared" si="36"/>
        <v>45565</v>
      </c>
      <c r="AS63" s="205">
        <f t="shared" si="36"/>
        <v>45657</v>
      </c>
      <c r="AT63" s="205">
        <f t="shared" si="36"/>
        <v>45747</v>
      </c>
      <c r="AU63" s="205">
        <f t="shared" si="36"/>
        <v>45838</v>
      </c>
      <c r="AV63" s="205">
        <f t="shared" si="36"/>
        <v>45930</v>
      </c>
      <c r="AW63" s="205">
        <f t="shared" si="36"/>
        <v>46022</v>
      </c>
      <c r="AX63" s="205">
        <v>46112</v>
      </c>
      <c r="AY63" s="205">
        <f>AY5</f>
        <v>46203</v>
      </c>
    </row>
    <row r="64" spans="1:51" x14ac:dyDescent="0.2">
      <c r="D64" s="129" t="s">
        <v>2044</v>
      </c>
      <c r="E64" s="118">
        <v>6427</v>
      </c>
      <c r="F64" s="118">
        <v>1485</v>
      </c>
      <c r="G64" s="118">
        <v>1215</v>
      </c>
      <c r="H64" s="118">
        <v>953</v>
      </c>
      <c r="I64" s="118">
        <v>791</v>
      </c>
      <c r="J64" s="118">
        <v>523</v>
      </c>
      <c r="K64" s="118">
        <v>500</v>
      </c>
      <c r="L64" s="118">
        <v>556</v>
      </c>
      <c r="M64" s="118">
        <v>359</v>
      </c>
      <c r="N64" s="118">
        <v>318</v>
      </c>
      <c r="O64" s="118">
        <v>354.23901000000126</v>
      </c>
      <c r="P64" s="118">
        <v>510.42115000000069</v>
      </c>
      <c r="Q64" s="118">
        <v>621.33983999999816</v>
      </c>
      <c r="R64" s="118">
        <v>503</v>
      </c>
      <c r="S64" s="118">
        <v>380</v>
      </c>
      <c r="T64" s="118">
        <v>569</v>
      </c>
      <c r="U64" s="118">
        <v>143</v>
      </c>
      <c r="V64" s="118">
        <v>455</v>
      </c>
      <c r="W64" s="118">
        <v>304</v>
      </c>
      <c r="X64" s="118">
        <v>283</v>
      </c>
      <c r="Y64" s="118">
        <v>352</v>
      </c>
      <c r="Z64" s="118">
        <v>182</v>
      </c>
      <c r="AA64" s="118">
        <v>67</v>
      </c>
      <c r="AB64" s="118">
        <v>100</v>
      </c>
      <c r="AC64" s="118">
        <v>162</v>
      </c>
      <c r="AD64" s="118">
        <v>125</v>
      </c>
      <c r="AE64" s="118">
        <v>52</v>
      </c>
      <c r="AF64" s="118">
        <v>31</v>
      </c>
      <c r="AG64" s="118">
        <v>9</v>
      </c>
      <c r="AH64" s="118">
        <v>4</v>
      </c>
      <c r="AI64" s="118">
        <v>3</v>
      </c>
      <c r="AJ64" s="118">
        <v>1</v>
      </c>
      <c r="AK64" s="118">
        <v>0</v>
      </c>
      <c r="AL64" s="118">
        <v>57</v>
      </c>
      <c r="AM64" s="118">
        <v>158</v>
      </c>
      <c r="AN64" s="118">
        <v>193</v>
      </c>
      <c r="AO64" s="118">
        <v>134</v>
      </c>
      <c r="AP64" s="118">
        <v>177</v>
      </c>
      <c r="AQ64" s="118">
        <v>181</v>
      </c>
      <c r="AR64" s="118">
        <v>830</v>
      </c>
      <c r="AS64" s="118">
        <v>223</v>
      </c>
      <c r="AT64" s="118">
        <v>525</v>
      </c>
      <c r="AU64" s="118">
        <v>532</v>
      </c>
      <c r="AV64" s="118">
        <v>677</v>
      </c>
      <c r="AW64" s="118">
        <v>589</v>
      </c>
      <c r="AX64" s="118">
        <v>842</v>
      </c>
      <c r="AY64" s="118">
        <f>+'[3]26a Part Relac NL (2)'!$AK$102</f>
        <v>1914</v>
      </c>
    </row>
    <row r="65" spans="1:86" hidden="1" outlineLevel="1" x14ac:dyDescent="0.2">
      <c r="D65" s="250" t="s">
        <v>441</v>
      </c>
      <c r="E65" s="218">
        <v>14784</v>
      </c>
      <c r="F65" s="218">
        <v>4452</v>
      </c>
      <c r="G65" s="218">
        <v>3516</v>
      </c>
      <c r="H65" s="218">
        <v>7276</v>
      </c>
      <c r="I65" s="218">
        <v>2796</v>
      </c>
      <c r="J65" s="218">
        <v>1591</v>
      </c>
      <c r="K65" s="218">
        <v>3550</v>
      </c>
      <c r="L65" s="218">
        <v>2982</v>
      </c>
      <c r="M65" s="218">
        <v>2886</v>
      </c>
      <c r="N65" s="218">
        <v>2908</v>
      </c>
      <c r="O65" s="218">
        <v>3239.4688000000006</v>
      </c>
      <c r="P65" s="218">
        <v>2639.0250699999651</v>
      </c>
      <c r="Q65" s="218">
        <v>3480.5061300000343</v>
      </c>
      <c r="R65" s="218">
        <v>1966</v>
      </c>
      <c r="S65" s="218">
        <v>-41</v>
      </c>
      <c r="T65" s="218">
        <v>0</v>
      </c>
      <c r="U65" s="218">
        <v>0</v>
      </c>
      <c r="V65" s="218">
        <v>0</v>
      </c>
      <c r="W65" s="218" t="s">
        <v>160</v>
      </c>
      <c r="X65" s="218" t="s">
        <v>160</v>
      </c>
      <c r="Y65" s="218" t="s">
        <v>160</v>
      </c>
      <c r="Z65" s="218">
        <v>0</v>
      </c>
      <c r="AA65" s="218">
        <v>0</v>
      </c>
      <c r="AB65" s="218">
        <v>0</v>
      </c>
      <c r="AC65" s="218">
        <v>0</v>
      </c>
      <c r="AD65" s="218">
        <v>0</v>
      </c>
      <c r="AE65" s="218">
        <v>0</v>
      </c>
      <c r="AF65" s="218">
        <v>0</v>
      </c>
      <c r="AG65" s="218">
        <v>0</v>
      </c>
      <c r="AH65" s="218">
        <v>0</v>
      </c>
      <c r="AI65" s="218">
        <v>0</v>
      </c>
      <c r="AJ65" s="218">
        <v>0</v>
      </c>
      <c r="AK65" s="218">
        <v>0</v>
      </c>
      <c r="AL65" s="218">
        <v>0</v>
      </c>
      <c r="AM65" s="218">
        <v>0</v>
      </c>
      <c r="AN65" s="218">
        <v>0</v>
      </c>
      <c r="AO65" s="218">
        <v>0</v>
      </c>
      <c r="AP65" s="218">
        <v>0</v>
      </c>
      <c r="AQ65" s="218"/>
      <c r="AR65" s="218">
        <v>0</v>
      </c>
      <c r="AS65" s="218">
        <v>0</v>
      </c>
      <c r="AT65" s="218"/>
      <c r="AU65" s="218">
        <v>0</v>
      </c>
      <c r="AV65" s="218">
        <v>0</v>
      </c>
      <c r="AW65" s="218">
        <v>0</v>
      </c>
      <c r="AX65" s="218">
        <v>0</v>
      </c>
      <c r="AY65" s="218">
        <v>0</v>
      </c>
    </row>
    <row r="66" spans="1:86" hidden="1" outlineLevel="1" x14ac:dyDescent="0.2">
      <c r="D66" s="250" t="s">
        <v>1532</v>
      </c>
      <c r="E66" s="218">
        <v>0</v>
      </c>
      <c r="F66" s="218">
        <v>0</v>
      </c>
      <c r="G66" s="218">
        <v>0</v>
      </c>
      <c r="H66" s="218">
        <v>0</v>
      </c>
      <c r="I66" s="218">
        <v>0</v>
      </c>
      <c r="J66" s="218">
        <v>0</v>
      </c>
      <c r="K66" s="218">
        <v>0</v>
      </c>
      <c r="L66" s="218">
        <v>0</v>
      </c>
      <c r="M66" s="218">
        <v>0</v>
      </c>
      <c r="N66" s="218">
        <v>0</v>
      </c>
      <c r="O66" s="218">
        <v>0</v>
      </c>
      <c r="P66" s="218">
        <v>0</v>
      </c>
      <c r="Q66" s="218">
        <v>0</v>
      </c>
      <c r="R66" s="218">
        <v>0</v>
      </c>
      <c r="S66" s="218">
        <v>0</v>
      </c>
      <c r="T66" s="218">
        <v>0</v>
      </c>
      <c r="U66" s="218">
        <v>0</v>
      </c>
      <c r="V66" s="218">
        <v>3</v>
      </c>
      <c r="W66" s="218">
        <v>0</v>
      </c>
      <c r="X66" s="218">
        <v>32</v>
      </c>
      <c r="Y66" s="218">
        <v>-18</v>
      </c>
      <c r="Z66" s="218">
        <v>5</v>
      </c>
      <c r="AA66" s="218">
        <v>4</v>
      </c>
      <c r="AB66" s="218">
        <v>5</v>
      </c>
      <c r="AC66" s="218">
        <v>4</v>
      </c>
      <c r="AD66" s="218">
        <v>5</v>
      </c>
      <c r="AE66" s="218">
        <v>4</v>
      </c>
      <c r="AF66" s="218">
        <v>5</v>
      </c>
      <c r="AG66" s="218">
        <v>3</v>
      </c>
      <c r="AH66" s="218">
        <v>0</v>
      </c>
      <c r="AI66" s="218">
        <v>2</v>
      </c>
      <c r="AJ66" s="218">
        <v>0</v>
      </c>
      <c r="AK66" s="218">
        <v>-2</v>
      </c>
      <c r="AL66" s="218">
        <v>0</v>
      </c>
      <c r="AM66" s="218">
        <v>0</v>
      </c>
      <c r="AN66" s="218">
        <v>0</v>
      </c>
      <c r="AO66" s="218">
        <v>0</v>
      </c>
      <c r="AP66" s="218">
        <v>0</v>
      </c>
      <c r="AQ66" s="218">
        <v>0</v>
      </c>
      <c r="AR66" s="218">
        <v>0</v>
      </c>
      <c r="AS66" s="218">
        <v>0</v>
      </c>
      <c r="AT66" s="218"/>
      <c r="AU66" s="218">
        <v>0</v>
      </c>
      <c r="AV66" s="218">
        <v>0</v>
      </c>
      <c r="AW66" s="218">
        <f>+'[3]24 Partes Relacionadas'!$T$5-SUM(AR66)</f>
        <v>0</v>
      </c>
      <c r="AX66" s="218">
        <v>0</v>
      </c>
      <c r="AY66" s="218">
        <f>+'[3]24 Partes Relacionadas'!$T$5-SUM(AS66)</f>
        <v>0</v>
      </c>
    </row>
    <row r="67" spans="1:86" hidden="1" outlineLevel="1" x14ac:dyDescent="0.2">
      <c r="D67" s="250" t="s">
        <v>442</v>
      </c>
      <c r="E67" s="218">
        <v>59171</v>
      </c>
      <c r="F67" s="218">
        <v>364</v>
      </c>
      <c r="G67" s="218">
        <v>-357</v>
      </c>
      <c r="H67" s="218">
        <v>0</v>
      </c>
      <c r="I67" s="218">
        <v>0</v>
      </c>
      <c r="J67" s="218">
        <v>0</v>
      </c>
      <c r="K67" s="218">
        <v>0</v>
      </c>
      <c r="L67" s="218">
        <v>0</v>
      </c>
      <c r="M67" s="218">
        <v>0</v>
      </c>
      <c r="N67" s="218">
        <v>0</v>
      </c>
      <c r="O67" s="218">
        <v>0</v>
      </c>
      <c r="P67" s="218">
        <v>0</v>
      </c>
      <c r="Q67" s="218">
        <v>0</v>
      </c>
      <c r="R67" s="218">
        <v>0</v>
      </c>
      <c r="S67" s="218">
        <v>0</v>
      </c>
      <c r="T67" s="218">
        <v>0</v>
      </c>
      <c r="U67" s="218">
        <v>0</v>
      </c>
      <c r="V67" s="218">
        <v>0</v>
      </c>
      <c r="W67" s="218">
        <v>0</v>
      </c>
      <c r="X67" s="218">
        <v>0</v>
      </c>
      <c r="Y67" s="218">
        <v>0</v>
      </c>
      <c r="Z67" s="218">
        <v>0</v>
      </c>
      <c r="AA67" s="218">
        <v>0</v>
      </c>
      <c r="AB67" s="218">
        <v>0</v>
      </c>
      <c r="AC67" s="218">
        <v>0</v>
      </c>
      <c r="AD67" s="218">
        <v>0</v>
      </c>
      <c r="AE67" s="218">
        <v>0</v>
      </c>
      <c r="AF67" s="218">
        <v>0</v>
      </c>
      <c r="AG67" s="218">
        <v>0</v>
      </c>
      <c r="AH67" s="218">
        <v>0</v>
      </c>
      <c r="AI67" s="218">
        <v>0</v>
      </c>
      <c r="AJ67" s="218">
        <v>0</v>
      </c>
      <c r="AK67" s="218">
        <v>0</v>
      </c>
      <c r="AL67" s="218">
        <v>0</v>
      </c>
      <c r="AM67" s="218">
        <v>0</v>
      </c>
      <c r="AN67" s="218">
        <v>0</v>
      </c>
      <c r="AO67" s="218">
        <v>0</v>
      </c>
      <c r="AP67" s="218">
        <v>0</v>
      </c>
      <c r="AQ67" s="218"/>
      <c r="AR67" s="218">
        <v>0</v>
      </c>
      <c r="AS67" s="218">
        <v>0</v>
      </c>
      <c r="AT67" s="218"/>
      <c r="AU67" s="218">
        <v>0</v>
      </c>
      <c r="AV67" s="218">
        <v>0</v>
      </c>
      <c r="AW67" s="218">
        <v>0</v>
      </c>
      <c r="AX67" s="218">
        <v>0</v>
      </c>
      <c r="AY67" s="218">
        <v>0</v>
      </c>
    </row>
    <row r="68" spans="1:86" s="202" customFormat="1" hidden="1" outlineLevel="1" x14ac:dyDescent="0.2">
      <c r="A68" s="201"/>
      <c r="B68" s="201"/>
      <c r="C68" s="201"/>
      <c r="D68" s="250" t="s">
        <v>2045</v>
      </c>
      <c r="E68" s="218">
        <v>0</v>
      </c>
      <c r="F68" s="218">
        <v>0</v>
      </c>
      <c r="G68" s="218">
        <v>0</v>
      </c>
      <c r="H68" s="218">
        <v>0</v>
      </c>
      <c r="I68" s="218">
        <v>0</v>
      </c>
      <c r="J68" s="218">
        <v>0</v>
      </c>
      <c r="K68" s="218">
        <v>0</v>
      </c>
      <c r="L68" s="218">
        <v>0</v>
      </c>
      <c r="M68" s="218">
        <v>0</v>
      </c>
      <c r="N68" s="218">
        <v>0</v>
      </c>
      <c r="O68" s="218">
        <v>0</v>
      </c>
      <c r="P68" s="218">
        <v>0</v>
      </c>
      <c r="Q68" s="218">
        <v>0</v>
      </c>
      <c r="R68" s="218">
        <v>0</v>
      </c>
      <c r="S68" s="218">
        <v>0</v>
      </c>
      <c r="T68" s="218">
        <v>0</v>
      </c>
      <c r="U68" s="218">
        <v>0</v>
      </c>
      <c r="V68" s="218">
        <v>0</v>
      </c>
      <c r="W68" s="218">
        <v>0</v>
      </c>
      <c r="X68" s="218">
        <v>0</v>
      </c>
      <c r="Y68" s="218">
        <v>0</v>
      </c>
      <c r="Z68" s="218">
        <v>0</v>
      </c>
      <c r="AA68" s="218">
        <v>0</v>
      </c>
      <c r="AB68" s="218">
        <v>85</v>
      </c>
      <c r="AC68" s="218">
        <v>442</v>
      </c>
      <c r="AD68" s="218">
        <v>0</v>
      </c>
      <c r="AE68" s="218">
        <v>0</v>
      </c>
      <c r="AF68" s="218">
        <v>0</v>
      </c>
      <c r="AG68" s="218">
        <v>0</v>
      </c>
      <c r="AH68" s="218">
        <v>0</v>
      </c>
      <c r="AI68" s="218">
        <v>0</v>
      </c>
      <c r="AJ68" s="218">
        <v>0</v>
      </c>
      <c r="AK68" s="218">
        <v>0</v>
      </c>
      <c r="AL68" s="218">
        <v>0</v>
      </c>
      <c r="AM68" s="218">
        <v>0</v>
      </c>
      <c r="AN68" s="218">
        <v>0</v>
      </c>
      <c r="AO68" s="218">
        <v>0</v>
      </c>
      <c r="AP68" s="218">
        <v>0</v>
      </c>
      <c r="AQ68" s="218"/>
      <c r="AR68" s="218">
        <v>0</v>
      </c>
      <c r="AS68" s="218">
        <v>0</v>
      </c>
      <c r="AT68" s="218"/>
      <c r="AU68" s="218">
        <v>0</v>
      </c>
      <c r="AV68" s="218">
        <v>0</v>
      </c>
      <c r="AW68" s="218">
        <v>0</v>
      </c>
      <c r="AX68" s="218">
        <v>0</v>
      </c>
      <c r="AY68" s="218">
        <v>0</v>
      </c>
      <c r="AZ68" s="201"/>
      <c r="BA68" s="201"/>
      <c r="BB68" s="201"/>
      <c r="BC68" s="201"/>
      <c r="BD68" s="201"/>
      <c r="BE68" s="201"/>
      <c r="BF68" s="201"/>
      <c r="BG68" s="201"/>
      <c r="BH68" s="201"/>
      <c r="BI68" s="201"/>
      <c r="BJ68" s="201"/>
      <c r="BK68" s="201"/>
      <c r="BL68" s="201"/>
      <c r="BM68" s="201"/>
      <c r="BN68" s="201"/>
      <c r="BO68" s="201"/>
      <c r="BP68" s="201"/>
      <c r="BQ68" s="201"/>
      <c r="BR68" s="201"/>
      <c r="BS68" s="201"/>
      <c r="BT68" s="201"/>
      <c r="BU68" s="201"/>
      <c r="BV68" s="201"/>
      <c r="BW68" s="201"/>
      <c r="BX68" s="201"/>
      <c r="BY68" s="201"/>
      <c r="BZ68" s="201"/>
      <c r="CA68" s="201"/>
      <c r="CB68" s="201"/>
      <c r="CC68" s="201"/>
      <c r="CD68" s="201"/>
      <c r="CE68" s="201"/>
      <c r="CF68" s="201"/>
      <c r="CG68" s="201"/>
      <c r="CH68" s="201"/>
    </row>
    <row r="69" spans="1:86" collapsed="1" x14ac:dyDescent="0.2">
      <c r="A69" s="201" t="s">
        <v>2046</v>
      </c>
      <c r="B69" s="201" t="s">
        <v>801</v>
      </c>
      <c r="D69" s="126" t="str">
        <f>IF([1]RENAME!$H$3=1,B69,A69)</f>
        <v>Receita de serviços prestados</v>
      </c>
      <c r="E69" s="120">
        <f t="shared" ref="E69:U69" si="37">+SUM(E64:E67)</f>
        <v>80382</v>
      </c>
      <c r="F69" s="120">
        <f t="shared" si="37"/>
        <v>6301</v>
      </c>
      <c r="G69" s="120">
        <f t="shared" si="37"/>
        <v>4374</v>
      </c>
      <c r="H69" s="120">
        <f t="shared" si="37"/>
        <v>8229</v>
      </c>
      <c r="I69" s="120">
        <f t="shared" si="37"/>
        <v>3587</v>
      </c>
      <c r="J69" s="120">
        <f t="shared" si="37"/>
        <v>2114</v>
      </c>
      <c r="K69" s="120">
        <f t="shared" si="37"/>
        <v>4050</v>
      </c>
      <c r="L69" s="120">
        <f t="shared" si="37"/>
        <v>3538</v>
      </c>
      <c r="M69" s="120">
        <f t="shared" si="37"/>
        <v>3245</v>
      </c>
      <c r="N69" s="120">
        <f t="shared" si="37"/>
        <v>3226</v>
      </c>
      <c r="O69" s="120">
        <f t="shared" si="37"/>
        <v>3593.7078100000017</v>
      </c>
      <c r="P69" s="120">
        <f t="shared" si="37"/>
        <v>3149.4462199999657</v>
      </c>
      <c r="Q69" s="120">
        <f t="shared" si="37"/>
        <v>4101.8459700000321</v>
      </c>
      <c r="R69" s="120">
        <f t="shared" si="37"/>
        <v>2469</v>
      </c>
      <c r="S69" s="120">
        <f t="shared" si="37"/>
        <v>339</v>
      </c>
      <c r="T69" s="120">
        <f t="shared" si="37"/>
        <v>569</v>
      </c>
      <c r="U69" s="120">
        <f t="shared" si="37"/>
        <v>143</v>
      </c>
      <c r="V69" s="120">
        <f t="shared" ref="V69:AA69" si="38">+SUM(V64:V66)</f>
        <v>458</v>
      </c>
      <c r="W69" s="120">
        <f t="shared" si="38"/>
        <v>304</v>
      </c>
      <c r="X69" s="120">
        <f t="shared" si="38"/>
        <v>315</v>
      </c>
      <c r="Y69" s="120">
        <f t="shared" si="38"/>
        <v>334</v>
      </c>
      <c r="Z69" s="120">
        <f t="shared" si="38"/>
        <v>187</v>
      </c>
      <c r="AA69" s="120">
        <f t="shared" si="38"/>
        <v>71</v>
      </c>
      <c r="AB69" s="120">
        <f t="shared" ref="AB69:AT69" si="39">+SUM(AB64:AB68)</f>
        <v>190</v>
      </c>
      <c r="AC69" s="120">
        <f t="shared" si="39"/>
        <v>608</v>
      </c>
      <c r="AD69" s="120">
        <f t="shared" si="39"/>
        <v>130</v>
      </c>
      <c r="AE69" s="120">
        <f t="shared" si="39"/>
        <v>56</v>
      </c>
      <c r="AF69" s="120">
        <f t="shared" si="39"/>
        <v>36</v>
      </c>
      <c r="AG69" s="120">
        <f t="shared" si="39"/>
        <v>12</v>
      </c>
      <c r="AH69" s="120">
        <f t="shared" si="39"/>
        <v>4</v>
      </c>
      <c r="AI69" s="120">
        <f t="shared" si="39"/>
        <v>5</v>
      </c>
      <c r="AJ69" s="120">
        <f t="shared" si="39"/>
        <v>1</v>
      </c>
      <c r="AK69" s="120">
        <f t="shared" si="39"/>
        <v>-2</v>
      </c>
      <c r="AL69" s="120">
        <f t="shared" si="39"/>
        <v>57</v>
      </c>
      <c r="AM69" s="120">
        <f t="shared" si="39"/>
        <v>158</v>
      </c>
      <c r="AN69" s="120">
        <f t="shared" si="39"/>
        <v>193</v>
      </c>
      <c r="AO69" s="120">
        <f t="shared" si="39"/>
        <v>134</v>
      </c>
      <c r="AP69" s="120">
        <f t="shared" si="39"/>
        <v>177</v>
      </c>
      <c r="AQ69" s="120">
        <f t="shared" si="39"/>
        <v>181</v>
      </c>
      <c r="AR69" s="120">
        <f t="shared" si="39"/>
        <v>830</v>
      </c>
      <c r="AS69" s="120">
        <f t="shared" si="39"/>
        <v>223</v>
      </c>
      <c r="AT69" s="120">
        <f t="shared" si="39"/>
        <v>525</v>
      </c>
      <c r="AU69" s="120">
        <v>532</v>
      </c>
      <c r="AV69" s="120">
        <f>+SUM(AV64:AV68)</f>
        <v>677</v>
      </c>
      <c r="AW69" s="120">
        <f>+SUM(AW64:AW68)</f>
        <v>589</v>
      </c>
      <c r="AX69" s="120">
        <f>+SUM(AX64:AX68)</f>
        <v>842</v>
      </c>
      <c r="AY69" s="120">
        <f>+SUM(AY64:AY68)</f>
        <v>1914</v>
      </c>
    </row>
    <row r="70" spans="1:86" x14ac:dyDescent="0.2">
      <c r="D70" s="129" t="s">
        <v>2044</v>
      </c>
      <c r="E70" s="118">
        <v>212</v>
      </c>
      <c r="F70" s="118">
        <v>66</v>
      </c>
      <c r="G70" s="118">
        <v>396</v>
      </c>
      <c r="H70" s="118">
        <v>-317</v>
      </c>
      <c r="I70" s="118">
        <v>23</v>
      </c>
      <c r="J70" s="118">
        <v>26</v>
      </c>
      <c r="K70" s="118">
        <v>21</v>
      </c>
      <c r="L70" s="118">
        <v>30</v>
      </c>
      <c r="M70" s="118">
        <v>24</v>
      </c>
      <c r="N70" s="118">
        <v>19</v>
      </c>
      <c r="O70" s="118">
        <v>24.447770000000006</v>
      </c>
      <c r="P70" s="118">
        <v>15.183139999999995</v>
      </c>
      <c r="Q70" s="118">
        <v>52.36909</v>
      </c>
      <c r="R70" s="118">
        <v>36</v>
      </c>
      <c r="S70" s="118">
        <v>32</v>
      </c>
      <c r="T70" s="118">
        <v>29</v>
      </c>
      <c r="U70" s="118">
        <v>-97</v>
      </c>
      <c r="V70" s="118">
        <v>42</v>
      </c>
      <c r="W70" s="118">
        <v>19</v>
      </c>
      <c r="X70" s="118">
        <v>24</v>
      </c>
      <c r="Y70" s="118">
        <v>26</v>
      </c>
      <c r="Z70" s="118">
        <v>7</v>
      </c>
      <c r="AA70" s="118">
        <v>18</v>
      </c>
      <c r="AB70" s="118">
        <v>189</v>
      </c>
      <c r="AC70" s="118">
        <v>188</v>
      </c>
      <c r="AD70" s="118">
        <v>14</v>
      </c>
      <c r="AE70" s="118">
        <v>6</v>
      </c>
      <c r="AF70" s="118">
        <v>4</v>
      </c>
      <c r="AG70" s="118">
        <v>1</v>
      </c>
      <c r="AH70" s="118">
        <v>1</v>
      </c>
      <c r="AI70" s="118">
        <v>0</v>
      </c>
      <c r="AJ70" s="118">
        <v>0</v>
      </c>
      <c r="AK70" s="118">
        <v>0</v>
      </c>
      <c r="AL70" s="118">
        <v>0</v>
      </c>
      <c r="AM70" s="118">
        <v>4</v>
      </c>
      <c r="AN70" s="118">
        <v>7</v>
      </c>
      <c r="AO70" s="118">
        <v>3</v>
      </c>
      <c r="AP70" s="118">
        <v>5</v>
      </c>
      <c r="AQ70" s="118">
        <v>4</v>
      </c>
      <c r="AR70" s="118">
        <v>5</v>
      </c>
      <c r="AS70" s="118">
        <f>16-SUM(AP70:AR70)</f>
        <v>2</v>
      </c>
      <c r="AT70" s="118">
        <v>6</v>
      </c>
      <c r="AU70" s="118">
        <v>5</v>
      </c>
      <c r="AV70" s="118">
        <v>2</v>
      </c>
      <c r="AW70" s="118">
        <f>'[3]26a Part Relac NL (2)'!$AK$122-AV70-AU70-AT70</f>
        <v>-13</v>
      </c>
      <c r="AX70" s="118">
        <v>0</v>
      </c>
      <c r="AY70" s="118">
        <f>'[3]26a Part Relac NL (2)'!$AK$122</f>
        <v>0</v>
      </c>
    </row>
    <row r="71" spans="1:86" x14ac:dyDescent="0.2">
      <c r="D71" s="129" t="s">
        <v>1869</v>
      </c>
      <c r="E71" s="118" t="s">
        <v>160</v>
      </c>
      <c r="F71" s="118" t="s">
        <v>160</v>
      </c>
      <c r="G71" s="118" t="s">
        <v>160</v>
      </c>
      <c r="H71" s="118" t="s">
        <v>160</v>
      </c>
      <c r="I71" s="118" t="s">
        <v>160</v>
      </c>
      <c r="J71" s="118" t="s">
        <v>160</v>
      </c>
      <c r="K71" s="118" t="s">
        <v>160</v>
      </c>
      <c r="L71" s="118" t="s">
        <v>160</v>
      </c>
      <c r="M71" s="118" t="s">
        <v>160</v>
      </c>
      <c r="N71" s="118" t="s">
        <v>160</v>
      </c>
      <c r="O71" s="118" t="s">
        <v>160</v>
      </c>
      <c r="P71" s="118" t="s">
        <v>160</v>
      </c>
      <c r="Q71" s="118" t="s">
        <v>160</v>
      </c>
      <c r="R71" s="118" t="s">
        <v>160</v>
      </c>
      <c r="S71" s="118" t="s">
        <v>160</v>
      </c>
      <c r="T71" s="118" t="s">
        <v>160</v>
      </c>
      <c r="U71" s="118" t="s">
        <v>160</v>
      </c>
      <c r="V71" s="118" t="s">
        <v>160</v>
      </c>
      <c r="W71" s="118" t="s">
        <v>160</v>
      </c>
      <c r="X71" s="118" t="s">
        <v>160</v>
      </c>
      <c r="Y71" s="118" t="s">
        <v>160</v>
      </c>
      <c r="Z71" s="118" t="s">
        <v>160</v>
      </c>
      <c r="AA71" s="118" t="s">
        <v>160</v>
      </c>
      <c r="AB71" s="118" t="s">
        <v>160</v>
      </c>
      <c r="AC71" s="118" t="s">
        <v>160</v>
      </c>
      <c r="AD71" s="118" t="s">
        <v>160</v>
      </c>
      <c r="AE71" s="118" t="s">
        <v>160</v>
      </c>
      <c r="AF71" s="118" t="s">
        <v>160</v>
      </c>
      <c r="AG71" s="118" t="s">
        <v>160</v>
      </c>
      <c r="AH71" s="118">
        <v>28</v>
      </c>
      <c r="AI71" s="118">
        <v>0</v>
      </c>
      <c r="AJ71" s="118">
        <v>-28</v>
      </c>
      <c r="AK71" s="118">
        <v>291</v>
      </c>
      <c r="AL71" s="118">
        <v>0</v>
      </c>
      <c r="AM71" s="118">
        <v>0</v>
      </c>
      <c r="AN71" s="118">
        <v>0</v>
      </c>
      <c r="AO71" s="118">
        <v>0</v>
      </c>
      <c r="AP71" s="118">
        <v>0</v>
      </c>
      <c r="AQ71" s="118">
        <v>0</v>
      </c>
      <c r="AR71" s="118">
        <v>0</v>
      </c>
      <c r="AS71" s="118">
        <f>+'[3]26a Part Relac NL (2)'!$AK$121</f>
        <v>-5897</v>
      </c>
      <c r="AT71" s="118">
        <v>0</v>
      </c>
      <c r="AU71" s="118">
        <v>0</v>
      </c>
      <c r="AV71" s="118">
        <v>0</v>
      </c>
      <c r="AW71" s="118">
        <v>0</v>
      </c>
      <c r="AX71" s="118">
        <v>0</v>
      </c>
      <c r="AY71" s="118">
        <v>0</v>
      </c>
    </row>
    <row r="72" spans="1:86" hidden="1" outlineLevel="1" x14ac:dyDescent="0.2">
      <c r="D72" s="250" t="s">
        <v>442</v>
      </c>
      <c r="E72" s="218">
        <v>2765</v>
      </c>
      <c r="F72" s="218">
        <v>3</v>
      </c>
      <c r="G72" s="218">
        <v>-3</v>
      </c>
      <c r="H72" s="218">
        <v>462</v>
      </c>
      <c r="I72" s="218">
        <v>0</v>
      </c>
      <c r="J72" s="218">
        <v>0</v>
      </c>
      <c r="K72" s="218">
        <v>2</v>
      </c>
      <c r="L72" s="218">
        <v>0</v>
      </c>
      <c r="M72" s="218">
        <v>0</v>
      </c>
      <c r="N72" s="218">
        <v>0</v>
      </c>
      <c r="O72" s="218">
        <v>0</v>
      </c>
      <c r="P72" s="218">
        <v>0</v>
      </c>
      <c r="Q72" s="218">
        <v>0</v>
      </c>
      <c r="R72" s="218">
        <v>0</v>
      </c>
      <c r="S72" s="218">
        <v>0</v>
      </c>
      <c r="T72" s="218">
        <v>0</v>
      </c>
      <c r="U72" s="218">
        <v>0</v>
      </c>
      <c r="V72" s="218">
        <v>0</v>
      </c>
      <c r="W72" s="218">
        <v>0</v>
      </c>
      <c r="X72" s="218">
        <v>0</v>
      </c>
      <c r="Y72" s="218">
        <v>0</v>
      </c>
      <c r="Z72" s="218">
        <v>0</v>
      </c>
      <c r="AA72" s="218">
        <v>0</v>
      </c>
      <c r="AB72" s="218">
        <v>0</v>
      </c>
      <c r="AC72" s="218">
        <v>0</v>
      </c>
      <c r="AD72" s="218">
        <v>0</v>
      </c>
      <c r="AE72" s="218">
        <v>0</v>
      </c>
      <c r="AF72" s="218">
        <v>0</v>
      </c>
      <c r="AG72" s="218">
        <v>0</v>
      </c>
      <c r="AH72" s="218">
        <v>0</v>
      </c>
      <c r="AI72" s="218">
        <v>0</v>
      </c>
      <c r="AJ72" s="218">
        <v>0</v>
      </c>
      <c r="AK72" s="218">
        <v>0</v>
      </c>
      <c r="AL72" s="218">
        <v>0</v>
      </c>
      <c r="AM72" s="218">
        <v>0</v>
      </c>
      <c r="AN72" s="218">
        <v>0</v>
      </c>
      <c r="AO72" s="218">
        <v>0</v>
      </c>
      <c r="AP72" s="218">
        <v>0</v>
      </c>
      <c r="AQ72" s="218"/>
      <c r="AR72" s="218">
        <v>0</v>
      </c>
      <c r="AS72" s="218">
        <v>0</v>
      </c>
      <c r="AT72" s="218"/>
      <c r="AU72" s="218">
        <v>0</v>
      </c>
      <c r="AV72" s="218">
        <v>0</v>
      </c>
      <c r="AW72" s="218">
        <v>0</v>
      </c>
      <c r="AX72" s="218">
        <v>0</v>
      </c>
      <c r="AY72" s="218">
        <v>0</v>
      </c>
    </row>
    <row r="73" spans="1:86" hidden="1" outlineLevel="1" x14ac:dyDescent="0.2">
      <c r="A73" s="202"/>
      <c r="B73" s="202"/>
      <c r="D73" s="250" t="s">
        <v>2048</v>
      </c>
      <c r="E73" s="218">
        <v>0</v>
      </c>
      <c r="F73" s="218">
        <v>0</v>
      </c>
      <c r="G73" s="218">
        <v>0</v>
      </c>
      <c r="H73" s="218">
        <v>0</v>
      </c>
      <c r="I73" s="218">
        <v>0</v>
      </c>
      <c r="J73" s="218">
        <v>0</v>
      </c>
      <c r="K73" s="218">
        <v>0</v>
      </c>
      <c r="L73" s="218">
        <v>0</v>
      </c>
      <c r="M73" s="218">
        <v>0</v>
      </c>
      <c r="N73" s="218">
        <v>0</v>
      </c>
      <c r="O73" s="218">
        <v>0</v>
      </c>
      <c r="P73" s="218">
        <v>0</v>
      </c>
      <c r="Q73" s="218">
        <v>0</v>
      </c>
      <c r="R73" s="218">
        <v>0</v>
      </c>
      <c r="S73" s="218">
        <v>0</v>
      </c>
      <c r="T73" s="218">
        <v>0</v>
      </c>
      <c r="U73" s="218">
        <v>0</v>
      </c>
      <c r="V73" s="218">
        <v>0</v>
      </c>
      <c r="W73" s="218">
        <v>0</v>
      </c>
      <c r="X73" s="218">
        <v>0</v>
      </c>
      <c r="Y73" s="218">
        <v>0</v>
      </c>
      <c r="Z73" s="218">
        <v>0</v>
      </c>
      <c r="AA73" s="218">
        <v>0</v>
      </c>
      <c r="AB73" s="218">
        <v>0</v>
      </c>
      <c r="AC73" s="218">
        <v>0</v>
      </c>
      <c r="AD73" s="218">
        <v>0</v>
      </c>
      <c r="AE73" s="218">
        <v>0</v>
      </c>
      <c r="AF73" s="218">
        <v>0</v>
      </c>
      <c r="AG73" s="218">
        <v>0</v>
      </c>
      <c r="AH73" s="218">
        <v>0</v>
      </c>
      <c r="AI73" s="218">
        <v>0</v>
      </c>
      <c r="AJ73" s="218">
        <v>0</v>
      </c>
      <c r="AK73" s="218">
        <v>0</v>
      </c>
      <c r="AL73" s="218">
        <v>0</v>
      </c>
      <c r="AM73" s="218">
        <v>0</v>
      </c>
      <c r="AN73" s="218">
        <v>0</v>
      </c>
      <c r="AO73" s="218">
        <v>0</v>
      </c>
      <c r="AP73" s="218">
        <v>0</v>
      </c>
      <c r="AQ73" s="218"/>
      <c r="AR73" s="218">
        <v>0</v>
      </c>
      <c r="AS73" s="218">
        <v>0</v>
      </c>
      <c r="AT73" s="218"/>
      <c r="AU73" s="218">
        <v>0</v>
      </c>
      <c r="AV73" s="218">
        <v>0</v>
      </c>
      <c r="AW73" s="218">
        <v>0</v>
      </c>
      <c r="AX73" s="218">
        <v>0</v>
      </c>
      <c r="AY73" s="218">
        <v>0</v>
      </c>
    </row>
    <row r="74" spans="1:86" hidden="1" outlineLevel="1" x14ac:dyDescent="0.2">
      <c r="A74" s="202"/>
      <c r="B74" s="202"/>
      <c r="D74" s="250" t="s">
        <v>441</v>
      </c>
      <c r="E74" s="218">
        <v>204</v>
      </c>
      <c r="F74" s="218">
        <v>80</v>
      </c>
      <c r="G74" s="218">
        <v>-80</v>
      </c>
      <c r="H74" s="218">
        <v>151</v>
      </c>
      <c r="I74" s="218">
        <v>11</v>
      </c>
      <c r="J74" s="218">
        <v>26</v>
      </c>
      <c r="K74" s="218">
        <v>35</v>
      </c>
      <c r="L74" s="218">
        <v>46</v>
      </c>
      <c r="M74" s="218">
        <v>54</v>
      </c>
      <c r="N74" s="218">
        <v>56</v>
      </c>
      <c r="O74" s="218">
        <v>38.154379999999975</v>
      </c>
      <c r="P74" s="218">
        <v>-94.154379999999975</v>
      </c>
      <c r="Q74" s="218">
        <v>139</v>
      </c>
      <c r="R74" s="218">
        <v>0</v>
      </c>
      <c r="S74" s="218">
        <v>0</v>
      </c>
      <c r="T74" s="218">
        <v>0</v>
      </c>
      <c r="U74" s="218">
        <v>0</v>
      </c>
      <c r="V74" s="218">
        <v>0</v>
      </c>
      <c r="W74" s="218">
        <v>0</v>
      </c>
      <c r="X74" s="218">
        <v>0</v>
      </c>
      <c r="Y74" s="218">
        <v>0</v>
      </c>
      <c r="Z74" s="218">
        <v>0</v>
      </c>
      <c r="AA74" s="218">
        <v>0</v>
      </c>
      <c r="AB74" s="218">
        <v>0</v>
      </c>
      <c r="AC74" s="218">
        <v>0</v>
      </c>
      <c r="AD74" s="218">
        <v>0</v>
      </c>
      <c r="AE74" s="218">
        <v>0</v>
      </c>
      <c r="AF74" s="218">
        <v>0</v>
      </c>
      <c r="AG74" s="218">
        <v>0</v>
      </c>
      <c r="AH74" s="218">
        <v>0</v>
      </c>
      <c r="AI74" s="218">
        <v>0</v>
      </c>
      <c r="AJ74" s="218">
        <v>0</v>
      </c>
      <c r="AK74" s="218">
        <v>0</v>
      </c>
      <c r="AL74" s="218">
        <v>0</v>
      </c>
      <c r="AM74" s="218">
        <v>0</v>
      </c>
      <c r="AN74" s="218">
        <v>0</v>
      </c>
      <c r="AO74" s="218">
        <f>+'[3]24 Partes Relacionadas'!$S$14</f>
        <v>0</v>
      </c>
      <c r="AP74" s="218">
        <f>+'[3]24 Partes Relacionadas'!$S$14</f>
        <v>0</v>
      </c>
      <c r="AQ74" s="218"/>
      <c r="AR74" s="218">
        <v>0</v>
      </c>
      <c r="AS74" s="218">
        <v>0</v>
      </c>
      <c r="AT74" s="218"/>
      <c r="AU74" s="218">
        <v>0</v>
      </c>
      <c r="AV74" s="218">
        <v>0</v>
      </c>
      <c r="AW74" s="218">
        <f>+'[3]24 Partes Relacionadas'!$S$14</f>
        <v>0</v>
      </c>
      <c r="AX74" s="218">
        <v>0</v>
      </c>
      <c r="AY74" s="218">
        <f>+'[3]24 Partes Relacionadas'!$S$14</f>
        <v>0</v>
      </c>
    </row>
    <row r="75" spans="1:86" hidden="1" outlineLevel="1" x14ac:dyDescent="0.2">
      <c r="D75" s="250" t="s">
        <v>2047</v>
      </c>
      <c r="E75" s="218">
        <v>0</v>
      </c>
      <c r="F75" s="218">
        <v>0</v>
      </c>
      <c r="G75" s="218">
        <v>0</v>
      </c>
      <c r="H75" s="218">
        <v>0</v>
      </c>
      <c r="I75" s="218">
        <v>0</v>
      </c>
      <c r="J75" s="218">
        <v>0</v>
      </c>
      <c r="K75" s="218">
        <v>0</v>
      </c>
      <c r="L75" s="218">
        <v>0</v>
      </c>
      <c r="M75" s="218">
        <v>0</v>
      </c>
      <c r="N75" s="218">
        <v>0</v>
      </c>
      <c r="O75" s="218">
        <v>0</v>
      </c>
      <c r="P75" s="218">
        <v>0</v>
      </c>
      <c r="Q75" s="218">
        <v>0</v>
      </c>
      <c r="R75" s="218">
        <v>0</v>
      </c>
      <c r="S75" s="218">
        <v>0</v>
      </c>
      <c r="T75" s="218">
        <v>0</v>
      </c>
      <c r="U75" s="218">
        <v>0</v>
      </c>
      <c r="V75" s="218">
        <v>0</v>
      </c>
      <c r="W75" s="218">
        <v>0</v>
      </c>
      <c r="X75" s="218">
        <v>0</v>
      </c>
      <c r="Y75" s="218">
        <v>0</v>
      </c>
      <c r="Z75" s="218">
        <v>0</v>
      </c>
      <c r="AA75" s="218">
        <v>0</v>
      </c>
      <c r="AB75" s="218">
        <v>0</v>
      </c>
      <c r="AC75" s="218">
        <v>0</v>
      </c>
      <c r="AD75" s="218">
        <v>0</v>
      </c>
      <c r="AE75" s="218">
        <v>0</v>
      </c>
      <c r="AF75" s="218">
        <v>0</v>
      </c>
      <c r="AG75" s="218">
        <v>0</v>
      </c>
      <c r="AH75" s="218">
        <v>0</v>
      </c>
      <c r="AI75" s="218">
        <v>0</v>
      </c>
      <c r="AJ75" s="218">
        <v>0</v>
      </c>
      <c r="AK75" s="218">
        <v>0</v>
      </c>
      <c r="AL75" s="218">
        <v>0</v>
      </c>
      <c r="AM75" s="218">
        <v>0</v>
      </c>
      <c r="AN75" s="218">
        <v>0</v>
      </c>
      <c r="AO75" s="218">
        <f>+'[3]24 Partes Relacionadas'!$T$12</f>
        <v>0</v>
      </c>
      <c r="AP75" s="218">
        <f>+'[3]24 Partes Relacionadas'!$T$12</f>
        <v>0</v>
      </c>
      <c r="AQ75" s="218"/>
      <c r="AR75" s="218">
        <v>0</v>
      </c>
      <c r="AS75" s="218">
        <v>0</v>
      </c>
      <c r="AT75" s="218"/>
      <c r="AU75" s="218">
        <v>0</v>
      </c>
      <c r="AV75" s="218">
        <v>0</v>
      </c>
      <c r="AW75" s="218">
        <f>+'[3]24 Partes Relacionadas'!$T$12</f>
        <v>0</v>
      </c>
      <c r="AX75" s="218">
        <v>0</v>
      </c>
      <c r="AY75" s="218">
        <f>+'[3]24 Partes Relacionadas'!$T$12</f>
        <v>0</v>
      </c>
    </row>
    <row r="76" spans="1:86" hidden="1" outlineLevel="1" x14ac:dyDescent="0.2">
      <c r="D76" s="250" t="s">
        <v>434</v>
      </c>
      <c r="E76" s="218">
        <v>0</v>
      </c>
      <c r="F76" s="218">
        <v>0</v>
      </c>
      <c r="G76" s="218">
        <v>0</v>
      </c>
      <c r="H76" s="218">
        <v>0</v>
      </c>
      <c r="I76" s="218">
        <v>0</v>
      </c>
      <c r="J76" s="218">
        <v>0</v>
      </c>
      <c r="K76" s="218">
        <v>0</v>
      </c>
      <c r="L76" s="218">
        <v>0</v>
      </c>
      <c r="M76" s="218">
        <v>0</v>
      </c>
      <c r="N76" s="218">
        <v>0</v>
      </c>
      <c r="O76" s="218">
        <v>0</v>
      </c>
      <c r="P76" s="218">
        <v>0</v>
      </c>
      <c r="Q76" s="218">
        <v>0</v>
      </c>
      <c r="R76" s="218">
        <v>286</v>
      </c>
      <c r="S76" s="218">
        <v>5</v>
      </c>
      <c r="T76" s="218">
        <v>36</v>
      </c>
      <c r="U76" s="218">
        <v>-327</v>
      </c>
      <c r="V76" s="218">
        <v>68</v>
      </c>
      <c r="W76" s="218">
        <v>237</v>
      </c>
      <c r="X76" s="218">
        <v>59</v>
      </c>
      <c r="Y76" s="218">
        <v>74</v>
      </c>
      <c r="Z76" s="218">
        <v>74</v>
      </c>
      <c r="AA76" s="218">
        <v>39</v>
      </c>
      <c r="AB76" s="218">
        <v>-86</v>
      </c>
      <c r="AC76" s="218">
        <v>15</v>
      </c>
      <c r="AD76" s="218">
        <v>73</v>
      </c>
      <c r="AE76" s="218">
        <v>53</v>
      </c>
      <c r="AF76" s="218">
        <v>0</v>
      </c>
      <c r="AG76" s="218">
        <v>85</v>
      </c>
      <c r="AH76" s="218">
        <v>0</v>
      </c>
      <c r="AI76" s="218">
        <v>0</v>
      </c>
      <c r="AJ76" s="218">
        <v>0</v>
      </c>
      <c r="AK76" s="218">
        <v>0</v>
      </c>
      <c r="AL76" s="218">
        <v>0</v>
      </c>
      <c r="AM76" s="218">
        <v>0</v>
      </c>
      <c r="AN76" s="218">
        <v>0</v>
      </c>
      <c r="AO76" s="218">
        <v>0</v>
      </c>
      <c r="AP76" s="218">
        <v>0</v>
      </c>
      <c r="AQ76" s="218"/>
      <c r="AR76" s="218">
        <v>0</v>
      </c>
      <c r="AS76" s="218">
        <v>0</v>
      </c>
      <c r="AT76" s="218"/>
      <c r="AU76" s="218">
        <v>0</v>
      </c>
      <c r="AV76" s="218">
        <v>0</v>
      </c>
      <c r="AW76" s="218">
        <v>0</v>
      </c>
      <c r="AX76" s="218">
        <v>0</v>
      </c>
      <c r="AY76" s="218">
        <v>0</v>
      </c>
    </row>
    <row r="77" spans="1:86" hidden="1" outlineLevel="1" x14ac:dyDescent="0.2">
      <c r="D77" s="250" t="s">
        <v>442</v>
      </c>
      <c r="E77" s="218">
        <v>59171</v>
      </c>
      <c r="F77" s="218">
        <v>364</v>
      </c>
      <c r="G77" s="218">
        <v>-357</v>
      </c>
      <c r="H77" s="218">
        <v>0</v>
      </c>
      <c r="I77" s="218">
        <v>0</v>
      </c>
      <c r="J77" s="218">
        <v>0</v>
      </c>
      <c r="K77" s="218">
        <v>0</v>
      </c>
      <c r="L77" s="218">
        <v>0</v>
      </c>
      <c r="M77" s="218">
        <v>0</v>
      </c>
      <c r="N77" s="218">
        <v>0</v>
      </c>
      <c r="O77" s="218">
        <v>0</v>
      </c>
      <c r="P77" s="218">
        <v>0</v>
      </c>
      <c r="Q77" s="218">
        <v>0</v>
      </c>
      <c r="R77" s="218">
        <v>0</v>
      </c>
      <c r="S77" s="218">
        <v>0</v>
      </c>
      <c r="T77" s="218">
        <v>0</v>
      </c>
      <c r="U77" s="218">
        <v>0</v>
      </c>
      <c r="V77" s="218">
        <v>0</v>
      </c>
      <c r="W77" s="218">
        <v>0</v>
      </c>
      <c r="X77" s="218">
        <v>0</v>
      </c>
      <c r="Y77" s="218">
        <v>0</v>
      </c>
      <c r="Z77" s="218">
        <v>0</v>
      </c>
      <c r="AA77" s="218">
        <v>0</v>
      </c>
      <c r="AB77" s="218">
        <v>0</v>
      </c>
      <c r="AC77" s="218">
        <v>0</v>
      </c>
      <c r="AD77" s="218">
        <v>0</v>
      </c>
      <c r="AE77" s="218">
        <v>0</v>
      </c>
      <c r="AF77" s="218">
        <v>0</v>
      </c>
      <c r="AG77" s="218">
        <v>0</v>
      </c>
      <c r="AH77" s="218">
        <v>0</v>
      </c>
      <c r="AI77" s="218">
        <v>0</v>
      </c>
      <c r="AJ77" s="218">
        <v>0</v>
      </c>
      <c r="AK77" s="218">
        <v>0</v>
      </c>
      <c r="AL77" s="218">
        <v>0</v>
      </c>
      <c r="AM77" s="218">
        <v>0</v>
      </c>
      <c r="AN77" s="218">
        <v>0</v>
      </c>
      <c r="AO77" s="218">
        <v>0</v>
      </c>
      <c r="AP77" s="218">
        <v>0</v>
      </c>
      <c r="AQ77" s="218"/>
      <c r="AR77" s="218">
        <v>0</v>
      </c>
      <c r="AS77" s="218">
        <v>0</v>
      </c>
      <c r="AT77" s="218"/>
      <c r="AU77" s="218">
        <v>0</v>
      </c>
      <c r="AV77" s="218">
        <v>0</v>
      </c>
      <c r="AW77" s="218">
        <v>0</v>
      </c>
      <c r="AX77" s="218">
        <v>0</v>
      </c>
      <c r="AY77" s="218">
        <v>0</v>
      </c>
    </row>
    <row r="78" spans="1:86" collapsed="1" x14ac:dyDescent="0.2">
      <c r="A78" s="201" t="s">
        <v>2049</v>
      </c>
      <c r="B78" s="201" t="s">
        <v>2146</v>
      </c>
      <c r="D78" s="126" t="str">
        <f>IF([1]RENAME!$H$3=1,B78,A78)</f>
        <v>Outras receitas operacionais</v>
      </c>
      <c r="E78" s="120">
        <f t="shared" ref="E78:AO78" si="40">+SUM(E70:E77)</f>
        <v>62352</v>
      </c>
      <c r="F78" s="120">
        <f t="shared" si="40"/>
        <v>513</v>
      </c>
      <c r="G78" s="120">
        <f t="shared" si="40"/>
        <v>-44</v>
      </c>
      <c r="H78" s="120">
        <f t="shared" si="40"/>
        <v>296</v>
      </c>
      <c r="I78" s="120">
        <f t="shared" si="40"/>
        <v>34</v>
      </c>
      <c r="J78" s="120">
        <f t="shared" si="40"/>
        <v>52</v>
      </c>
      <c r="K78" s="120">
        <f t="shared" si="40"/>
        <v>58</v>
      </c>
      <c r="L78" s="120">
        <f t="shared" si="40"/>
        <v>76</v>
      </c>
      <c r="M78" s="120">
        <f t="shared" si="40"/>
        <v>78</v>
      </c>
      <c r="N78" s="120">
        <f t="shared" si="40"/>
        <v>75</v>
      </c>
      <c r="O78" s="120">
        <f t="shared" si="40"/>
        <v>62.60214999999998</v>
      </c>
      <c r="P78" s="120">
        <f t="shared" si="40"/>
        <v>-78.97123999999998</v>
      </c>
      <c r="Q78" s="120">
        <f t="shared" si="40"/>
        <v>191.36909</v>
      </c>
      <c r="R78" s="120">
        <f t="shared" si="40"/>
        <v>322</v>
      </c>
      <c r="S78" s="120">
        <f t="shared" si="40"/>
        <v>37</v>
      </c>
      <c r="T78" s="120">
        <f t="shared" si="40"/>
        <v>65</v>
      </c>
      <c r="U78" s="120">
        <f t="shared" si="40"/>
        <v>-424</v>
      </c>
      <c r="V78" s="120">
        <f t="shared" si="40"/>
        <v>110</v>
      </c>
      <c r="W78" s="120">
        <f t="shared" si="40"/>
        <v>256</v>
      </c>
      <c r="X78" s="120">
        <f t="shared" si="40"/>
        <v>83</v>
      </c>
      <c r="Y78" s="120">
        <f t="shared" si="40"/>
        <v>100</v>
      </c>
      <c r="Z78" s="120">
        <f t="shared" si="40"/>
        <v>81</v>
      </c>
      <c r="AA78" s="120">
        <f t="shared" si="40"/>
        <v>57</v>
      </c>
      <c r="AB78" s="120">
        <f t="shared" si="40"/>
        <v>103</v>
      </c>
      <c r="AC78" s="120">
        <f t="shared" si="40"/>
        <v>203</v>
      </c>
      <c r="AD78" s="120">
        <f t="shared" si="40"/>
        <v>87</v>
      </c>
      <c r="AE78" s="120">
        <f t="shared" si="40"/>
        <v>59</v>
      </c>
      <c r="AF78" s="120">
        <f t="shared" si="40"/>
        <v>4</v>
      </c>
      <c r="AG78" s="120">
        <f t="shared" si="40"/>
        <v>86</v>
      </c>
      <c r="AH78" s="120">
        <f t="shared" si="40"/>
        <v>29</v>
      </c>
      <c r="AI78" s="120">
        <f t="shared" si="40"/>
        <v>0</v>
      </c>
      <c r="AJ78" s="120">
        <f t="shared" si="40"/>
        <v>-28</v>
      </c>
      <c r="AK78" s="120">
        <f t="shared" si="40"/>
        <v>291</v>
      </c>
      <c r="AL78" s="120">
        <f t="shared" si="40"/>
        <v>0</v>
      </c>
      <c r="AM78" s="120">
        <f t="shared" si="40"/>
        <v>4</v>
      </c>
      <c r="AN78" s="120">
        <f t="shared" si="40"/>
        <v>7</v>
      </c>
      <c r="AO78" s="120">
        <f t="shared" si="40"/>
        <v>3</v>
      </c>
      <c r="AP78" s="120">
        <f>+SUM(AP70:AP77)</f>
        <v>5</v>
      </c>
      <c r="AQ78" s="120">
        <f>+SUM(AQ70:AQ77)</f>
        <v>4</v>
      </c>
      <c r="AR78" s="120">
        <f>+SUM(AR70:AR77)</f>
        <v>5</v>
      </c>
      <c r="AS78" s="120">
        <f>+SUM(AS70:AS77)</f>
        <v>-5895</v>
      </c>
      <c r="AT78" s="120">
        <f>+SUM(AT70:AT77)</f>
        <v>6</v>
      </c>
      <c r="AU78" s="120">
        <v>5</v>
      </c>
      <c r="AV78" s="120">
        <f>+SUM(AV70:AV77)</f>
        <v>2</v>
      </c>
      <c r="AW78" s="120">
        <f>+SUM(AW70:AW77)</f>
        <v>-13</v>
      </c>
      <c r="AX78" s="120">
        <f>+SUM(AX70:AX77)</f>
        <v>0</v>
      </c>
      <c r="AY78" s="120">
        <f>+SUM(AY70:AY77)</f>
        <v>0</v>
      </c>
    </row>
    <row r="79" spans="1:86" x14ac:dyDescent="0.2">
      <c r="D79" s="129" t="s">
        <v>49</v>
      </c>
      <c r="E79" s="118">
        <v>0</v>
      </c>
      <c r="F79" s="118">
        <v>0</v>
      </c>
      <c r="G79" s="118">
        <v>0</v>
      </c>
      <c r="H79" s="118">
        <v>0</v>
      </c>
      <c r="I79" s="118">
        <v>0</v>
      </c>
      <c r="J79" s="118">
        <v>0</v>
      </c>
      <c r="K79" s="118">
        <v>0</v>
      </c>
      <c r="L79" s="118">
        <v>0</v>
      </c>
      <c r="M79" s="118">
        <v>0</v>
      </c>
      <c r="N79" s="118">
        <v>0</v>
      </c>
      <c r="O79" s="118">
        <v>0</v>
      </c>
      <c r="P79" s="118">
        <v>0</v>
      </c>
      <c r="Q79" s="118">
        <v>0</v>
      </c>
      <c r="R79" s="118">
        <v>0</v>
      </c>
      <c r="S79" s="118">
        <v>0</v>
      </c>
      <c r="T79" s="118">
        <v>0</v>
      </c>
      <c r="U79" s="118">
        <v>0</v>
      </c>
      <c r="V79" s="118">
        <v>0</v>
      </c>
      <c r="W79" s="118">
        <v>0</v>
      </c>
      <c r="X79" s="118">
        <v>0</v>
      </c>
      <c r="Y79" s="118">
        <v>0</v>
      </c>
      <c r="Z79" s="118">
        <v>0</v>
      </c>
      <c r="AA79" s="118">
        <v>0</v>
      </c>
      <c r="AB79" s="118">
        <v>0</v>
      </c>
      <c r="AC79" s="118">
        <v>0</v>
      </c>
      <c r="AD79" s="118">
        <v>0</v>
      </c>
      <c r="AE79" s="118">
        <v>0</v>
      </c>
      <c r="AF79" s="118">
        <v>0</v>
      </c>
      <c r="AG79" s="118">
        <v>0</v>
      </c>
      <c r="AH79" s="118">
        <v>0</v>
      </c>
      <c r="AI79" s="118">
        <v>0</v>
      </c>
      <c r="AJ79" s="118">
        <v>0</v>
      </c>
      <c r="AK79" s="118">
        <v>0</v>
      </c>
      <c r="AL79" s="118">
        <v>1</v>
      </c>
      <c r="AM79" s="118">
        <v>1</v>
      </c>
      <c r="AN79" s="118">
        <v>1</v>
      </c>
      <c r="AO79" s="118">
        <v>0</v>
      </c>
      <c r="AP79" s="118">
        <v>0</v>
      </c>
      <c r="AQ79" s="118">
        <v>3</v>
      </c>
      <c r="AR79" s="118">
        <v>0</v>
      </c>
      <c r="AS79" s="118">
        <v>-3</v>
      </c>
      <c r="AT79" s="118">
        <v>0</v>
      </c>
      <c r="AU79" s="118">
        <v>0</v>
      </c>
      <c r="AV79" s="118">
        <v>13</v>
      </c>
      <c r="AW79" s="118">
        <f>+'[3]26a Part Relac NL (2)'!$AK$133-AV79</f>
        <v>-13</v>
      </c>
      <c r="AX79" s="118">
        <v>0</v>
      </c>
      <c r="AY79" s="118">
        <f>+'[3]26a Part Relac NL (2)'!$AK$133</f>
        <v>0</v>
      </c>
    </row>
    <row r="80" spans="1:86" x14ac:dyDescent="0.2">
      <c r="A80" s="201" t="s">
        <v>331</v>
      </c>
      <c r="B80" s="201" t="s">
        <v>2147</v>
      </c>
      <c r="D80" s="126" t="str">
        <f>IF([1]RENAME!$H$3=1,B80,A80)</f>
        <v>Resultado financeiro</v>
      </c>
      <c r="E80" s="120">
        <f>SUM(E79)</f>
        <v>0</v>
      </c>
      <c r="F80" s="120">
        <f t="shared" ref="F80:AL80" si="41">SUM(F79)</f>
        <v>0</v>
      </c>
      <c r="G80" s="120">
        <f t="shared" si="41"/>
        <v>0</v>
      </c>
      <c r="H80" s="120">
        <f t="shared" si="41"/>
        <v>0</v>
      </c>
      <c r="I80" s="120">
        <f t="shared" si="41"/>
        <v>0</v>
      </c>
      <c r="J80" s="120">
        <f t="shared" si="41"/>
        <v>0</v>
      </c>
      <c r="K80" s="120">
        <f t="shared" si="41"/>
        <v>0</v>
      </c>
      <c r="L80" s="120">
        <f t="shared" si="41"/>
        <v>0</v>
      </c>
      <c r="M80" s="120">
        <f t="shared" si="41"/>
        <v>0</v>
      </c>
      <c r="N80" s="120">
        <f t="shared" si="41"/>
        <v>0</v>
      </c>
      <c r="O80" s="120">
        <f t="shared" si="41"/>
        <v>0</v>
      </c>
      <c r="P80" s="120">
        <f t="shared" si="41"/>
        <v>0</v>
      </c>
      <c r="Q80" s="120">
        <f t="shared" si="41"/>
        <v>0</v>
      </c>
      <c r="R80" s="120">
        <f t="shared" si="41"/>
        <v>0</v>
      </c>
      <c r="S80" s="120">
        <f t="shared" si="41"/>
        <v>0</v>
      </c>
      <c r="T80" s="120">
        <f t="shared" si="41"/>
        <v>0</v>
      </c>
      <c r="U80" s="120">
        <f t="shared" si="41"/>
        <v>0</v>
      </c>
      <c r="V80" s="120">
        <f t="shared" si="41"/>
        <v>0</v>
      </c>
      <c r="W80" s="120">
        <f t="shared" si="41"/>
        <v>0</v>
      </c>
      <c r="X80" s="120">
        <f t="shared" si="41"/>
        <v>0</v>
      </c>
      <c r="Y80" s="120">
        <f t="shared" si="41"/>
        <v>0</v>
      </c>
      <c r="Z80" s="120">
        <f t="shared" si="41"/>
        <v>0</v>
      </c>
      <c r="AA80" s="120">
        <f t="shared" si="41"/>
        <v>0</v>
      </c>
      <c r="AB80" s="120">
        <f t="shared" si="41"/>
        <v>0</v>
      </c>
      <c r="AC80" s="120">
        <f t="shared" si="41"/>
        <v>0</v>
      </c>
      <c r="AD80" s="120">
        <f t="shared" si="41"/>
        <v>0</v>
      </c>
      <c r="AE80" s="120">
        <f t="shared" si="41"/>
        <v>0</v>
      </c>
      <c r="AF80" s="120">
        <f t="shared" si="41"/>
        <v>0</v>
      </c>
      <c r="AG80" s="120">
        <f t="shared" si="41"/>
        <v>0</v>
      </c>
      <c r="AH80" s="120">
        <f t="shared" si="41"/>
        <v>0</v>
      </c>
      <c r="AI80" s="120">
        <f t="shared" si="41"/>
        <v>0</v>
      </c>
      <c r="AJ80" s="120">
        <f t="shared" si="41"/>
        <v>0</v>
      </c>
      <c r="AK80" s="120">
        <f t="shared" si="41"/>
        <v>0</v>
      </c>
      <c r="AL80" s="120">
        <f t="shared" si="41"/>
        <v>1</v>
      </c>
      <c r="AM80" s="120">
        <f t="shared" ref="AM80:AS80" si="42">SUM(AM79)</f>
        <v>1</v>
      </c>
      <c r="AN80" s="120">
        <f t="shared" si="42"/>
        <v>1</v>
      </c>
      <c r="AO80" s="120">
        <f t="shared" si="42"/>
        <v>0</v>
      </c>
      <c r="AP80" s="120">
        <f t="shared" si="42"/>
        <v>0</v>
      </c>
      <c r="AQ80" s="120">
        <f t="shared" si="42"/>
        <v>3</v>
      </c>
      <c r="AR80" s="120">
        <f t="shared" si="42"/>
        <v>0</v>
      </c>
      <c r="AS80" s="120">
        <f t="shared" si="42"/>
        <v>-3</v>
      </c>
      <c r="AT80" s="120">
        <v>0</v>
      </c>
      <c r="AU80" s="120">
        <v>0</v>
      </c>
      <c r="AV80" s="120">
        <f>SUM(AV79)</f>
        <v>13</v>
      </c>
      <c r="AW80" s="120">
        <f>SUM(AW79)</f>
        <v>-13</v>
      </c>
      <c r="AX80" s="120">
        <f>SUM(AX79)</f>
        <v>0</v>
      </c>
      <c r="AY80" s="120">
        <f>SUM(AY79)</f>
        <v>0</v>
      </c>
    </row>
    <row r="81" spans="1:51" x14ac:dyDescent="0.2">
      <c r="D81" s="129" t="s">
        <v>443</v>
      </c>
      <c r="E81" s="118">
        <v>-3022</v>
      </c>
      <c r="F81" s="118">
        <v>-793</v>
      </c>
      <c r="G81" s="118">
        <v>-774</v>
      </c>
      <c r="H81" s="118">
        <v>-783</v>
      </c>
      <c r="I81" s="118">
        <v>-784</v>
      </c>
      <c r="J81" s="118">
        <v>-783</v>
      </c>
      <c r="K81" s="118">
        <v>-784</v>
      </c>
      <c r="L81" s="118">
        <v>-919</v>
      </c>
      <c r="M81" s="118">
        <v>-951</v>
      </c>
      <c r="N81" s="118">
        <v>-1078</v>
      </c>
      <c r="O81" s="118">
        <v>-1079</v>
      </c>
      <c r="P81" s="118">
        <v>-719.00000000000045</v>
      </c>
      <c r="Q81" s="118">
        <v>-1438.0000000000005</v>
      </c>
      <c r="R81" s="118">
        <v>-979</v>
      </c>
      <c r="S81" s="118">
        <v>-1178</v>
      </c>
      <c r="T81" s="118">
        <v>-979</v>
      </c>
      <c r="U81" s="118">
        <v>-3136</v>
      </c>
      <c r="V81" s="118">
        <v>-1105</v>
      </c>
      <c r="W81" s="118">
        <v>-1129</v>
      </c>
      <c r="X81" s="118">
        <v>-391</v>
      </c>
      <c r="Y81" s="118">
        <v>-1416</v>
      </c>
      <c r="Z81" s="118">
        <v>-1119</v>
      </c>
      <c r="AA81" s="118">
        <v>-1093</v>
      </c>
      <c r="AB81" s="118">
        <v>-1086</v>
      </c>
      <c r="AC81" s="118">
        <v>-1124</v>
      </c>
      <c r="AD81" s="118">
        <v>-980</v>
      </c>
      <c r="AE81" s="118">
        <v>-1041</v>
      </c>
      <c r="AF81" s="118">
        <v>-1072</v>
      </c>
      <c r="AG81" s="118">
        <v>-964</v>
      </c>
      <c r="AH81" s="118">
        <v>-1235</v>
      </c>
      <c r="AI81" s="118">
        <v>-1229</v>
      </c>
      <c r="AJ81" s="118">
        <v>-1381</v>
      </c>
      <c r="AK81" s="118">
        <v>-972</v>
      </c>
      <c r="AL81" s="118">
        <v>-1307</v>
      </c>
      <c r="AM81" s="118">
        <v>-1453</v>
      </c>
      <c r="AN81" s="118">
        <v>-1425</v>
      </c>
      <c r="AO81" s="118">
        <v>-1402</v>
      </c>
      <c r="AP81" s="118">
        <v>-1433</v>
      </c>
      <c r="AQ81" s="118">
        <v>-1401</v>
      </c>
      <c r="AR81" s="118">
        <v>-1367</v>
      </c>
      <c r="AS81" s="118">
        <f>+'[3]26a Part Relac NL (2)'!$AK$111-SUM(AP81:AR81)</f>
        <v>2400</v>
      </c>
      <c r="AT81" s="118">
        <v>-1339</v>
      </c>
      <c r="AU81" s="118">
        <v>-1328</v>
      </c>
      <c r="AV81" s="118">
        <v>-1289</v>
      </c>
      <c r="AW81" s="118">
        <v>-870</v>
      </c>
      <c r="AX81" s="118">
        <v>-1144</v>
      </c>
      <c r="AY81" s="118">
        <f>'[3]26a Part Relac NL (2)'!$AK$115-AX81</f>
        <v>-1317</v>
      </c>
    </row>
    <row r="82" spans="1:51" x14ac:dyDescent="0.2">
      <c r="D82" s="129" t="s">
        <v>2050</v>
      </c>
      <c r="E82" s="118" t="s">
        <v>160</v>
      </c>
      <c r="F82" s="118" t="s">
        <v>160</v>
      </c>
      <c r="G82" s="118" t="s">
        <v>160</v>
      </c>
      <c r="H82" s="118" t="s">
        <v>160</v>
      </c>
      <c r="I82" s="118" t="s">
        <v>160</v>
      </c>
      <c r="J82" s="118" t="s">
        <v>160</v>
      </c>
      <c r="K82" s="118" t="s">
        <v>160</v>
      </c>
      <c r="L82" s="118" t="s">
        <v>160</v>
      </c>
      <c r="M82" s="118" t="s">
        <v>160</v>
      </c>
      <c r="N82" s="118" t="s">
        <v>160</v>
      </c>
      <c r="O82" s="118" t="s">
        <v>160</v>
      </c>
      <c r="P82" s="118" t="s">
        <v>160</v>
      </c>
      <c r="Q82" s="118" t="s">
        <v>160</v>
      </c>
      <c r="R82" s="118">
        <v>-167</v>
      </c>
      <c r="S82" s="118">
        <v>-163</v>
      </c>
      <c r="T82" s="118">
        <v>-490</v>
      </c>
      <c r="U82" s="118">
        <v>-1439</v>
      </c>
      <c r="V82" s="118">
        <v>-237</v>
      </c>
      <c r="W82" s="118">
        <v>-305</v>
      </c>
      <c r="X82" s="118">
        <v>-900</v>
      </c>
      <c r="Y82" s="118">
        <v>-147</v>
      </c>
      <c r="Z82" s="118">
        <v>-225</v>
      </c>
      <c r="AA82" s="118">
        <v>-3</v>
      </c>
      <c r="AB82" s="118">
        <v>-171</v>
      </c>
      <c r="AC82" s="118">
        <v>-344</v>
      </c>
      <c r="AD82" s="118">
        <v>-119</v>
      </c>
      <c r="AE82" s="118">
        <v>-333</v>
      </c>
      <c r="AF82" s="118">
        <v>-244</v>
      </c>
      <c r="AG82" s="118">
        <v>-500</v>
      </c>
      <c r="AH82" s="118">
        <v>-85</v>
      </c>
      <c r="AI82" s="118">
        <v>-476</v>
      </c>
      <c r="AJ82" s="118">
        <v>-257</v>
      </c>
      <c r="AK82" s="118">
        <v>225</v>
      </c>
      <c r="AL82" s="118">
        <v>-238</v>
      </c>
      <c r="AM82" s="118">
        <v>-297</v>
      </c>
      <c r="AN82" s="118">
        <v>-198</v>
      </c>
      <c r="AO82" s="118">
        <v>-610</v>
      </c>
      <c r="AP82" s="118">
        <v>-512</v>
      </c>
      <c r="AQ82" s="118">
        <v>-1264</v>
      </c>
      <c r="AR82" s="118">
        <v>-983</v>
      </c>
      <c r="AS82" s="118">
        <f>+'[3]26a Part Relac NL (2)'!$AK$107-SUM(AP82:AR82)</f>
        <v>4673</v>
      </c>
      <c r="AT82" s="118">
        <v>-931</v>
      </c>
      <c r="AU82" s="118">
        <v>-939</v>
      </c>
      <c r="AV82" s="118">
        <v>-755</v>
      </c>
      <c r="AW82" s="118">
        <v>-728</v>
      </c>
      <c r="AX82" s="118">
        <v>-864</v>
      </c>
      <c r="AY82" s="118">
        <f>'[3]26a Part Relac NL (2)'!$AK$111-AX82</f>
        <v>-937</v>
      </c>
    </row>
    <row r="83" spans="1:51" x14ac:dyDescent="0.2">
      <c r="D83" s="129" t="s">
        <v>2052</v>
      </c>
      <c r="E83" s="118">
        <v>0</v>
      </c>
      <c r="F83" s="118">
        <v>0</v>
      </c>
      <c r="G83" s="118">
        <v>0</v>
      </c>
      <c r="H83" s="118">
        <v>0</v>
      </c>
      <c r="I83" s="118">
        <v>0</v>
      </c>
      <c r="J83" s="118">
        <v>0</v>
      </c>
      <c r="K83" s="118">
        <v>0</v>
      </c>
      <c r="L83" s="118">
        <v>0</v>
      </c>
      <c r="M83" s="118">
        <v>0</v>
      </c>
      <c r="N83" s="118">
        <v>0</v>
      </c>
      <c r="O83" s="118">
        <v>0</v>
      </c>
      <c r="P83" s="118">
        <v>0</v>
      </c>
      <c r="Q83" s="118">
        <v>0</v>
      </c>
      <c r="R83" s="118">
        <v>0</v>
      </c>
      <c r="S83" s="118">
        <v>0</v>
      </c>
      <c r="T83" s="118">
        <v>0</v>
      </c>
      <c r="U83" s="118">
        <v>0</v>
      </c>
      <c r="V83" s="118">
        <v>0</v>
      </c>
      <c r="W83" s="118">
        <v>0</v>
      </c>
      <c r="X83" s="118">
        <v>0</v>
      </c>
      <c r="Y83" s="118">
        <v>-185</v>
      </c>
      <c r="Z83" s="118">
        <v>0</v>
      </c>
      <c r="AA83" s="118">
        <v>0</v>
      </c>
      <c r="AB83" s="118">
        <v>-100</v>
      </c>
      <c r="AC83" s="118">
        <v>-50</v>
      </c>
      <c r="AD83" s="118">
        <v>-30</v>
      </c>
      <c r="AE83" s="118">
        <v>-35</v>
      </c>
      <c r="AF83" s="118">
        <v>-40</v>
      </c>
      <c r="AG83" s="118">
        <v>-11</v>
      </c>
      <c r="AH83" s="118">
        <v>-23</v>
      </c>
      <c r="AI83" s="118">
        <v>-52</v>
      </c>
      <c r="AJ83" s="118">
        <v>-79</v>
      </c>
      <c r="AK83" s="118">
        <v>-29</v>
      </c>
      <c r="AL83" s="118">
        <v>0</v>
      </c>
      <c r="AM83" s="118">
        <v>0</v>
      </c>
      <c r="AN83" s="118">
        <v>-70</v>
      </c>
      <c r="AO83" s="118">
        <v>-30</v>
      </c>
      <c r="AP83" s="118">
        <v>-61</v>
      </c>
      <c r="AQ83" s="118">
        <v>-179</v>
      </c>
      <c r="AR83" s="118">
        <v>-475</v>
      </c>
      <c r="AS83" s="118">
        <f>+'[3]26a Part Relac NL (2)'!$AK$114-SUM(AP83:AR83)</f>
        <v>715</v>
      </c>
      <c r="AT83" s="118">
        <v>-102</v>
      </c>
      <c r="AU83" s="118">
        <v>-160</v>
      </c>
      <c r="AV83" s="118">
        <v>-404</v>
      </c>
      <c r="AW83" s="118">
        <v>-265</v>
      </c>
      <c r="AX83" s="118">
        <v>-140</v>
      </c>
      <c r="AY83" s="118">
        <f>'[3]26a Part Relac NL (2)'!$AK$119-AX83</f>
        <v>-360</v>
      </c>
    </row>
    <row r="84" spans="1:51" x14ac:dyDescent="0.2">
      <c r="D84" s="129" t="s">
        <v>1619</v>
      </c>
      <c r="E84" s="118">
        <v>0</v>
      </c>
      <c r="F84" s="118">
        <v>0</v>
      </c>
      <c r="G84" s="118">
        <v>0</v>
      </c>
      <c r="H84" s="118">
        <v>0</v>
      </c>
      <c r="I84" s="118">
        <v>0</v>
      </c>
      <c r="J84" s="118">
        <v>0</v>
      </c>
      <c r="K84" s="118">
        <v>0</v>
      </c>
      <c r="L84" s="118">
        <v>0</v>
      </c>
      <c r="M84" s="118">
        <v>0</v>
      </c>
      <c r="N84" s="118">
        <v>0</v>
      </c>
      <c r="O84" s="118">
        <v>0</v>
      </c>
      <c r="P84" s="118">
        <v>0</v>
      </c>
      <c r="Q84" s="118">
        <v>0</v>
      </c>
      <c r="R84" s="118">
        <v>0</v>
      </c>
      <c r="S84" s="118">
        <v>0</v>
      </c>
      <c r="T84" s="118">
        <v>0</v>
      </c>
      <c r="U84" s="118">
        <v>0</v>
      </c>
      <c r="V84" s="118">
        <v>0</v>
      </c>
      <c r="W84" s="118">
        <v>0</v>
      </c>
      <c r="X84" s="118">
        <v>0</v>
      </c>
      <c r="Y84" s="118">
        <v>-83</v>
      </c>
      <c r="Z84" s="118">
        <v>-255</v>
      </c>
      <c r="AA84" s="118">
        <v>-73</v>
      </c>
      <c r="AB84" s="118">
        <v>-84</v>
      </c>
      <c r="AC84" s="118">
        <v>-196</v>
      </c>
      <c r="AD84" s="118">
        <v>-113</v>
      </c>
      <c r="AE84" s="118">
        <v>-117</v>
      </c>
      <c r="AF84" s="118">
        <v>-180</v>
      </c>
      <c r="AG84" s="118">
        <v>-149</v>
      </c>
      <c r="AH84" s="118">
        <v>-110</v>
      </c>
      <c r="AI84" s="118">
        <v>-162</v>
      </c>
      <c r="AJ84" s="118">
        <v>-145</v>
      </c>
      <c r="AK84" s="118">
        <v>-168</v>
      </c>
      <c r="AL84" s="118">
        <v>-178</v>
      </c>
      <c r="AM84" s="118">
        <v>-185</v>
      </c>
      <c r="AN84" s="118">
        <v>-246</v>
      </c>
      <c r="AO84" s="118">
        <v>-246</v>
      </c>
      <c r="AP84" s="118">
        <v>-271</v>
      </c>
      <c r="AQ84" s="118">
        <v>-325</v>
      </c>
      <c r="AR84" s="118">
        <v>-299</v>
      </c>
      <c r="AS84" s="118">
        <f>+'[3]26a Part Relac NL (2)'!$AK$112-SUM(AP84:AR84)</f>
        <v>895</v>
      </c>
      <c r="AT84" s="118">
        <v>-345</v>
      </c>
      <c r="AU84" s="118">
        <v>-300</v>
      </c>
      <c r="AV84" s="118">
        <v>-225</v>
      </c>
      <c r="AW84" s="118">
        <v>-300</v>
      </c>
      <c r="AX84" s="118">
        <v>-300</v>
      </c>
      <c r="AY84" s="118">
        <f>'[3]26a Part Relac NL (2)'!$AK$116-AX84</f>
        <v>-304</v>
      </c>
    </row>
    <row r="85" spans="1:51" x14ac:dyDescent="0.2">
      <c r="D85" s="129" t="s">
        <v>2044</v>
      </c>
      <c r="E85" s="118">
        <v>0</v>
      </c>
      <c r="F85" s="118">
        <v>0</v>
      </c>
      <c r="G85" s="118">
        <v>0</v>
      </c>
      <c r="H85" s="118">
        <v>0</v>
      </c>
      <c r="I85" s="118">
        <v>0</v>
      </c>
      <c r="J85" s="118">
        <v>0</v>
      </c>
      <c r="K85" s="118">
        <v>0</v>
      </c>
      <c r="L85" s="118">
        <v>0</v>
      </c>
      <c r="M85" s="118">
        <v>0</v>
      </c>
      <c r="N85" s="118">
        <v>0</v>
      </c>
      <c r="O85" s="118">
        <v>0</v>
      </c>
      <c r="P85" s="118">
        <v>0</v>
      </c>
      <c r="Q85" s="118">
        <v>0</v>
      </c>
      <c r="R85" s="118">
        <v>0</v>
      </c>
      <c r="S85" s="118">
        <v>0</v>
      </c>
      <c r="T85" s="118">
        <v>0</v>
      </c>
      <c r="U85" s="118">
        <v>0</v>
      </c>
      <c r="V85" s="118">
        <v>-4</v>
      </c>
      <c r="W85" s="118">
        <v>-8</v>
      </c>
      <c r="X85" s="118">
        <v>0</v>
      </c>
      <c r="Y85" s="118">
        <v>-5</v>
      </c>
      <c r="Z85" s="118">
        <v>-2</v>
      </c>
      <c r="AA85" s="118">
        <v>0</v>
      </c>
      <c r="AB85" s="118">
        <v>0</v>
      </c>
      <c r="AC85" s="118">
        <v>0</v>
      </c>
      <c r="AD85" s="118">
        <v>0</v>
      </c>
      <c r="AE85" s="118">
        <v>0</v>
      </c>
      <c r="AF85" s="118">
        <v>0</v>
      </c>
      <c r="AG85" s="118">
        <v>0</v>
      </c>
      <c r="AH85" s="118">
        <v>0</v>
      </c>
      <c r="AI85" s="118">
        <v>0</v>
      </c>
      <c r="AJ85" s="118">
        <v>0</v>
      </c>
      <c r="AK85" s="118">
        <v>0</v>
      </c>
      <c r="AL85" s="118">
        <v>0</v>
      </c>
      <c r="AM85" s="118">
        <v>0</v>
      </c>
      <c r="AN85" s="118">
        <v>0</v>
      </c>
      <c r="AO85" s="118">
        <v>0</v>
      </c>
      <c r="AP85" s="118">
        <v>0</v>
      </c>
      <c r="AQ85" s="118">
        <v>-10</v>
      </c>
      <c r="AR85" s="118">
        <v>-6</v>
      </c>
      <c r="AS85" s="118">
        <v>0</v>
      </c>
      <c r="AT85" s="118">
        <v>0</v>
      </c>
      <c r="AU85" s="118">
        <v>0</v>
      </c>
      <c r="AV85" s="118">
        <v>-1</v>
      </c>
      <c r="AW85" s="118">
        <v>0</v>
      </c>
      <c r="AX85" s="118">
        <v>0</v>
      </c>
      <c r="AY85" s="118">
        <v>0</v>
      </c>
    </row>
    <row r="86" spans="1:51" x14ac:dyDescent="0.2">
      <c r="D86" s="129" t="s">
        <v>2315</v>
      </c>
      <c r="E86" s="118"/>
      <c r="F86" s="118"/>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c r="AH86" s="118" t="s">
        <v>160</v>
      </c>
      <c r="AI86" s="118" t="s">
        <v>160</v>
      </c>
      <c r="AJ86" s="118" t="s">
        <v>160</v>
      </c>
      <c r="AK86" s="118" t="s">
        <v>160</v>
      </c>
      <c r="AL86" s="118" t="s">
        <v>160</v>
      </c>
      <c r="AM86" s="118" t="s">
        <v>160</v>
      </c>
      <c r="AN86" s="118" t="s">
        <v>160</v>
      </c>
      <c r="AO86" s="118" t="s">
        <v>160</v>
      </c>
      <c r="AP86" s="118" t="s">
        <v>160</v>
      </c>
      <c r="AQ86" s="118" t="s">
        <v>160</v>
      </c>
      <c r="AR86" s="118" t="s">
        <v>160</v>
      </c>
      <c r="AS86" s="118" t="s">
        <v>160</v>
      </c>
      <c r="AT86" s="118" t="s">
        <v>160</v>
      </c>
      <c r="AU86" s="118" t="s">
        <v>160</v>
      </c>
      <c r="AV86" s="118" t="s">
        <v>160</v>
      </c>
      <c r="AW86" s="118">
        <v>-1067</v>
      </c>
      <c r="AX86" s="118">
        <v>-265</v>
      </c>
      <c r="AY86" s="118">
        <f>'[3]26a Part Relac NL (2)'!$AK$117-AX86</f>
        <v>-266</v>
      </c>
    </row>
    <row r="87" spans="1:51" hidden="1" outlineLevel="1" x14ac:dyDescent="0.2">
      <c r="D87" s="250" t="s">
        <v>2051</v>
      </c>
      <c r="E87" s="218">
        <v>-2661</v>
      </c>
      <c r="F87" s="218">
        <v>-682</v>
      </c>
      <c r="G87" s="218">
        <v>-698</v>
      </c>
      <c r="H87" s="218">
        <v>-706</v>
      </c>
      <c r="I87" s="218">
        <v>-706</v>
      </c>
      <c r="J87" s="218">
        <v>-739</v>
      </c>
      <c r="K87" s="218">
        <v>-736</v>
      </c>
      <c r="L87" s="218">
        <v>-717</v>
      </c>
      <c r="M87" s="218">
        <v>-671</v>
      </c>
      <c r="N87" s="218">
        <v>-727</v>
      </c>
      <c r="O87" s="218">
        <v>-685.35565999999994</v>
      </c>
      <c r="P87" s="218">
        <v>-470.78522000000021</v>
      </c>
      <c r="Q87" s="218">
        <v>-941.85911999999962</v>
      </c>
      <c r="R87" s="218">
        <v>-504</v>
      </c>
      <c r="S87" s="218">
        <v>-842</v>
      </c>
      <c r="T87" s="218">
        <v>-238</v>
      </c>
      <c r="U87" s="218">
        <v>1584</v>
      </c>
      <c r="V87" s="218">
        <v>-422</v>
      </c>
      <c r="W87" s="218">
        <v>-337</v>
      </c>
      <c r="X87" s="218">
        <v>-137</v>
      </c>
      <c r="Y87" s="218">
        <v>-255</v>
      </c>
      <c r="Z87" s="218">
        <v>0</v>
      </c>
      <c r="AA87" s="218">
        <v>0</v>
      </c>
      <c r="AB87" s="218">
        <v>0</v>
      </c>
      <c r="AC87" s="218">
        <v>0</v>
      </c>
      <c r="AD87" s="218">
        <v>0</v>
      </c>
      <c r="AE87" s="218">
        <v>0</v>
      </c>
      <c r="AF87" s="218">
        <v>0</v>
      </c>
      <c r="AG87" s="218">
        <v>0</v>
      </c>
      <c r="AH87" s="218">
        <v>0</v>
      </c>
      <c r="AI87" s="218">
        <v>0</v>
      </c>
      <c r="AJ87" s="218">
        <v>0</v>
      </c>
      <c r="AK87" s="218">
        <v>0</v>
      </c>
      <c r="AL87" s="218">
        <v>0</v>
      </c>
      <c r="AM87" s="218">
        <v>0</v>
      </c>
      <c r="AN87" s="218">
        <v>0</v>
      </c>
      <c r="AO87" s="218">
        <v>0</v>
      </c>
      <c r="AP87" s="218">
        <v>0</v>
      </c>
      <c r="AQ87" s="218"/>
      <c r="AR87" s="218">
        <v>0</v>
      </c>
      <c r="AS87" s="218">
        <v>0</v>
      </c>
      <c r="AT87" s="218"/>
      <c r="AU87" s="218">
        <v>0</v>
      </c>
      <c r="AV87" s="218">
        <v>0</v>
      </c>
      <c r="AW87" s="218">
        <v>0</v>
      </c>
      <c r="AX87" s="218">
        <v>0</v>
      </c>
      <c r="AY87" s="218">
        <v>0</v>
      </c>
    </row>
    <row r="88" spans="1:51" hidden="1" outlineLevel="1" x14ac:dyDescent="0.2">
      <c r="D88" s="250" t="s">
        <v>444</v>
      </c>
      <c r="E88" s="218">
        <v>-3310</v>
      </c>
      <c r="F88" s="218">
        <v>-845</v>
      </c>
      <c r="G88" s="218">
        <v>-1145</v>
      </c>
      <c r="H88" s="218">
        <v>-676</v>
      </c>
      <c r="I88" s="218">
        <v>-923</v>
      </c>
      <c r="J88" s="218">
        <v>-700</v>
      </c>
      <c r="K88" s="218">
        <v>-694</v>
      </c>
      <c r="L88" s="218">
        <v>-672</v>
      </c>
      <c r="M88" s="218">
        <v>-629</v>
      </c>
      <c r="N88" s="218">
        <v>-693</v>
      </c>
      <c r="O88" s="218">
        <v>-693.64854000000014</v>
      </c>
      <c r="P88" s="218">
        <v>-231.10808999999972</v>
      </c>
      <c r="Q88" s="218">
        <v>-1155.2433700000001</v>
      </c>
      <c r="R88" s="218">
        <v>-210</v>
      </c>
      <c r="S88" s="218">
        <v>0</v>
      </c>
      <c r="T88" s="218">
        <v>0</v>
      </c>
      <c r="U88" s="218">
        <v>210</v>
      </c>
      <c r="V88" s="218">
        <v>0</v>
      </c>
      <c r="W88" s="218">
        <v>-135</v>
      </c>
      <c r="X88" s="218">
        <v>-35</v>
      </c>
      <c r="Y88" s="218">
        <v>170</v>
      </c>
      <c r="Z88" s="218">
        <v>0</v>
      </c>
      <c r="AA88" s="218">
        <v>0</v>
      </c>
      <c r="AB88" s="218">
        <v>0</v>
      </c>
      <c r="AC88" s="218">
        <v>0</v>
      </c>
      <c r="AD88" s="218">
        <v>0</v>
      </c>
      <c r="AE88" s="218">
        <v>0</v>
      </c>
      <c r="AF88" s="218">
        <v>0</v>
      </c>
      <c r="AG88" s="218">
        <v>0</v>
      </c>
      <c r="AH88" s="218">
        <v>0</v>
      </c>
      <c r="AI88" s="218">
        <v>0</v>
      </c>
      <c r="AJ88" s="218">
        <v>0</v>
      </c>
      <c r="AK88" s="218">
        <v>0</v>
      </c>
      <c r="AL88" s="218">
        <v>0</v>
      </c>
      <c r="AM88" s="218">
        <v>0</v>
      </c>
      <c r="AN88" s="218">
        <v>0</v>
      </c>
      <c r="AO88" s="218">
        <v>0</v>
      </c>
      <c r="AP88" s="218">
        <v>0</v>
      </c>
      <c r="AQ88" s="218"/>
      <c r="AR88" s="218">
        <v>0</v>
      </c>
      <c r="AS88" s="218">
        <v>0</v>
      </c>
      <c r="AT88" s="218"/>
      <c r="AU88" s="218">
        <v>0</v>
      </c>
      <c r="AV88" s="218">
        <v>0</v>
      </c>
      <c r="AW88" s="218">
        <v>0</v>
      </c>
      <c r="AX88" s="218">
        <v>0</v>
      </c>
      <c r="AY88" s="218">
        <v>0</v>
      </c>
    </row>
    <row r="89" spans="1:51" hidden="1" outlineLevel="1" x14ac:dyDescent="0.2">
      <c r="D89" s="250" t="s">
        <v>1532</v>
      </c>
      <c r="E89" s="218">
        <v>0</v>
      </c>
      <c r="F89" s="218">
        <v>0</v>
      </c>
      <c r="G89" s="218">
        <v>0</v>
      </c>
      <c r="H89" s="218">
        <v>0</v>
      </c>
      <c r="I89" s="218">
        <v>0</v>
      </c>
      <c r="J89" s="218">
        <v>0</v>
      </c>
      <c r="K89" s="218">
        <v>0</v>
      </c>
      <c r="L89" s="218">
        <v>0</v>
      </c>
      <c r="M89" s="218">
        <v>0</v>
      </c>
      <c r="N89" s="218">
        <v>0</v>
      </c>
      <c r="O89" s="218">
        <v>0</v>
      </c>
      <c r="P89" s="218">
        <v>0</v>
      </c>
      <c r="Q89" s="218">
        <v>0</v>
      </c>
      <c r="R89" s="218">
        <v>0</v>
      </c>
      <c r="S89" s="218">
        <v>0</v>
      </c>
      <c r="T89" s="218">
        <v>0</v>
      </c>
      <c r="U89" s="218">
        <v>0</v>
      </c>
      <c r="V89" s="218">
        <v>-23</v>
      </c>
      <c r="W89" s="218">
        <v>-9</v>
      </c>
      <c r="X89" s="218">
        <v>-9</v>
      </c>
      <c r="Y89" s="218">
        <v>-14</v>
      </c>
      <c r="Z89" s="218">
        <v>-9</v>
      </c>
      <c r="AA89" s="218">
        <v>-4</v>
      </c>
      <c r="AB89" s="218">
        <v>-10</v>
      </c>
      <c r="AC89" s="218">
        <v>-9</v>
      </c>
      <c r="AD89" s="218">
        <v>-11</v>
      </c>
      <c r="AE89" s="218">
        <v>-9</v>
      </c>
      <c r="AF89" s="218">
        <v>-7</v>
      </c>
      <c r="AG89" s="218">
        <v>-12</v>
      </c>
      <c r="AH89" s="218">
        <v>-2</v>
      </c>
      <c r="AI89" s="218">
        <v>0</v>
      </c>
      <c r="AJ89" s="218">
        <v>2</v>
      </c>
      <c r="AK89" s="218">
        <v>0</v>
      </c>
      <c r="AL89" s="218">
        <v>0</v>
      </c>
      <c r="AM89" s="218">
        <v>0</v>
      </c>
      <c r="AN89" s="218">
        <v>0</v>
      </c>
      <c r="AO89" s="218">
        <v>0</v>
      </c>
      <c r="AP89" s="218">
        <v>0</v>
      </c>
      <c r="AQ89" s="218"/>
      <c r="AR89" s="218">
        <v>0</v>
      </c>
      <c r="AS89" s="218">
        <v>0</v>
      </c>
      <c r="AT89" s="218"/>
      <c r="AU89" s="218">
        <v>0</v>
      </c>
      <c r="AV89" s="218">
        <v>0</v>
      </c>
      <c r="AW89" s="218">
        <v>0</v>
      </c>
      <c r="AX89" s="218">
        <v>0</v>
      </c>
      <c r="AY89" s="218">
        <v>0</v>
      </c>
    </row>
    <row r="90" spans="1:51" hidden="1" outlineLevel="1" x14ac:dyDescent="0.2">
      <c r="D90" s="250" t="s">
        <v>1869</v>
      </c>
      <c r="E90" s="218" t="s">
        <v>160</v>
      </c>
      <c r="F90" s="218" t="s">
        <v>160</v>
      </c>
      <c r="G90" s="218" t="s">
        <v>160</v>
      </c>
      <c r="H90" s="218" t="s">
        <v>160</v>
      </c>
      <c r="I90" s="218" t="s">
        <v>160</v>
      </c>
      <c r="J90" s="218" t="s">
        <v>160</v>
      </c>
      <c r="K90" s="218" t="s">
        <v>160</v>
      </c>
      <c r="L90" s="218" t="s">
        <v>160</v>
      </c>
      <c r="M90" s="218" t="s">
        <v>160</v>
      </c>
      <c r="N90" s="218" t="s">
        <v>160</v>
      </c>
      <c r="O90" s="218" t="s">
        <v>160</v>
      </c>
      <c r="P90" s="218" t="s">
        <v>160</v>
      </c>
      <c r="Q90" s="218" t="s">
        <v>160</v>
      </c>
      <c r="R90" s="218" t="s">
        <v>160</v>
      </c>
      <c r="S90" s="218" t="s">
        <v>160</v>
      </c>
      <c r="T90" s="218" t="s">
        <v>160</v>
      </c>
      <c r="U90" s="218" t="s">
        <v>160</v>
      </c>
      <c r="V90" s="218" t="s">
        <v>160</v>
      </c>
      <c r="W90" s="218" t="s">
        <v>160</v>
      </c>
      <c r="X90" s="218" t="s">
        <v>160</v>
      </c>
      <c r="Y90" s="218" t="s">
        <v>160</v>
      </c>
      <c r="Z90" s="218" t="s">
        <v>160</v>
      </c>
      <c r="AA90" s="218" t="s">
        <v>160</v>
      </c>
      <c r="AB90" s="218" t="s">
        <v>160</v>
      </c>
      <c r="AC90" s="218" t="s">
        <v>160</v>
      </c>
      <c r="AD90" s="218" t="s">
        <v>160</v>
      </c>
      <c r="AE90" s="218" t="s">
        <v>160</v>
      </c>
      <c r="AF90" s="218">
        <v>0</v>
      </c>
      <c r="AG90" s="218" t="s">
        <v>160</v>
      </c>
      <c r="AH90" s="218">
        <v>0</v>
      </c>
      <c r="AI90" s="218">
        <v>0</v>
      </c>
      <c r="AJ90" s="218">
        <v>0</v>
      </c>
      <c r="AK90" s="218">
        <v>0</v>
      </c>
      <c r="AL90" s="218">
        <v>0</v>
      </c>
      <c r="AM90" s="218">
        <v>0</v>
      </c>
      <c r="AN90" s="218">
        <v>0</v>
      </c>
      <c r="AO90" s="218">
        <v>0</v>
      </c>
      <c r="AP90" s="218">
        <v>0</v>
      </c>
      <c r="AQ90" s="218"/>
      <c r="AR90" s="218">
        <v>0</v>
      </c>
      <c r="AS90" s="218">
        <v>0</v>
      </c>
      <c r="AT90" s="218"/>
      <c r="AU90" s="218">
        <v>0</v>
      </c>
      <c r="AV90" s="218">
        <v>0</v>
      </c>
      <c r="AW90" s="218">
        <v>0</v>
      </c>
      <c r="AX90" s="218">
        <v>0</v>
      </c>
      <c r="AY90" s="218">
        <v>0</v>
      </c>
    </row>
    <row r="91" spans="1:51" hidden="1" outlineLevel="1" x14ac:dyDescent="0.2">
      <c r="D91" s="250" t="s">
        <v>2053</v>
      </c>
      <c r="E91" s="218">
        <v>-433</v>
      </c>
      <c r="F91" s="218">
        <v>-126</v>
      </c>
      <c r="G91" s="218">
        <v>-123</v>
      </c>
      <c r="H91" s="218">
        <v>0</v>
      </c>
      <c r="I91" s="218">
        <v>-40</v>
      </c>
      <c r="J91" s="218">
        <v>0</v>
      </c>
      <c r="K91" s="218">
        <v>0</v>
      </c>
      <c r="L91" s="218">
        <v>0</v>
      </c>
      <c r="M91" s="218">
        <v>0</v>
      </c>
      <c r="N91" s="218">
        <v>0</v>
      </c>
      <c r="O91" s="218">
        <v>0</v>
      </c>
      <c r="P91" s="218">
        <v>0</v>
      </c>
      <c r="Q91" s="218">
        <v>0</v>
      </c>
      <c r="R91" s="218">
        <v>0</v>
      </c>
      <c r="S91" s="218">
        <v>0</v>
      </c>
      <c r="T91" s="218">
        <v>0</v>
      </c>
      <c r="U91" s="218">
        <v>0</v>
      </c>
      <c r="V91" s="218">
        <v>0</v>
      </c>
      <c r="W91" s="218">
        <v>0</v>
      </c>
      <c r="X91" s="218">
        <v>0</v>
      </c>
      <c r="Y91" s="218">
        <v>0</v>
      </c>
      <c r="Z91" s="218">
        <v>0</v>
      </c>
      <c r="AA91" s="218">
        <v>0</v>
      </c>
      <c r="AB91" s="218">
        <v>0</v>
      </c>
      <c r="AC91" s="218">
        <v>0</v>
      </c>
      <c r="AD91" s="218">
        <v>0</v>
      </c>
      <c r="AE91" s="218">
        <v>0</v>
      </c>
      <c r="AF91" s="218">
        <v>0</v>
      </c>
      <c r="AG91" s="218">
        <v>0</v>
      </c>
      <c r="AH91" s="218">
        <v>0</v>
      </c>
      <c r="AI91" s="218">
        <v>0</v>
      </c>
      <c r="AJ91" s="218">
        <v>0</v>
      </c>
      <c r="AK91" s="218">
        <v>0</v>
      </c>
      <c r="AL91" s="218">
        <v>0</v>
      </c>
      <c r="AM91" s="218">
        <v>0</v>
      </c>
      <c r="AN91" s="218">
        <v>0</v>
      </c>
      <c r="AO91" s="218">
        <v>0</v>
      </c>
      <c r="AP91" s="218">
        <v>0</v>
      </c>
      <c r="AQ91" s="218"/>
      <c r="AR91" s="218">
        <v>0</v>
      </c>
      <c r="AS91" s="218">
        <v>0</v>
      </c>
      <c r="AT91" s="218"/>
      <c r="AU91" s="218">
        <v>0</v>
      </c>
      <c r="AV91" s="218">
        <v>0</v>
      </c>
      <c r="AW91" s="218">
        <v>0</v>
      </c>
      <c r="AX91" s="218">
        <v>0</v>
      </c>
      <c r="AY91" s="218">
        <v>0</v>
      </c>
    </row>
    <row r="92" spans="1:51" collapsed="1" x14ac:dyDescent="0.2">
      <c r="A92" s="201" t="s">
        <v>243</v>
      </c>
      <c r="B92" s="201" t="s">
        <v>2148</v>
      </c>
      <c r="D92" s="126" t="str">
        <f>IF([1]RENAME!$H$3=1,B92,A92)</f>
        <v>Despesas gerais e administrativas</v>
      </c>
      <c r="E92" s="120">
        <f t="shared" ref="E92:W92" si="43">SUM(E81:E91)</f>
        <v>-9426</v>
      </c>
      <c r="F92" s="120">
        <f t="shared" si="43"/>
        <v>-2446</v>
      </c>
      <c r="G92" s="120">
        <f t="shared" si="43"/>
        <v>-2740</v>
      </c>
      <c r="H92" s="120">
        <f t="shared" si="43"/>
        <v>-2165</v>
      </c>
      <c r="I92" s="120">
        <f t="shared" si="43"/>
        <v>-2453</v>
      </c>
      <c r="J92" s="120">
        <f t="shared" si="43"/>
        <v>-2222</v>
      </c>
      <c r="K92" s="120">
        <f t="shared" si="43"/>
        <v>-2214</v>
      </c>
      <c r="L92" s="120">
        <f t="shared" si="43"/>
        <v>-2308</v>
      </c>
      <c r="M92" s="120">
        <f t="shared" si="43"/>
        <v>-2251</v>
      </c>
      <c r="N92" s="120">
        <f t="shared" si="43"/>
        <v>-2498</v>
      </c>
      <c r="O92" s="120">
        <f t="shared" si="43"/>
        <v>-2458.0042000000003</v>
      </c>
      <c r="P92" s="120">
        <f t="shared" si="43"/>
        <v>-1420.8933100000004</v>
      </c>
      <c r="Q92" s="120">
        <f t="shared" si="43"/>
        <v>-3535.1024900000002</v>
      </c>
      <c r="R92" s="120">
        <f t="shared" si="43"/>
        <v>-1860</v>
      </c>
      <c r="S92" s="120">
        <f t="shared" si="43"/>
        <v>-2183</v>
      </c>
      <c r="T92" s="120">
        <f t="shared" si="43"/>
        <v>-1707</v>
      </c>
      <c r="U92" s="120">
        <f t="shared" si="43"/>
        <v>-2781</v>
      </c>
      <c r="V92" s="120">
        <f t="shared" si="43"/>
        <v>-1791</v>
      </c>
      <c r="W92" s="120">
        <f t="shared" si="43"/>
        <v>-1923</v>
      </c>
      <c r="X92" s="120">
        <v>-1472</v>
      </c>
      <c r="Y92" s="120">
        <f t="shared" ref="Y92:AO92" si="44">SUM(Y81:Y91)</f>
        <v>-1935</v>
      </c>
      <c r="Z92" s="120">
        <f t="shared" si="44"/>
        <v>-1610</v>
      </c>
      <c r="AA92" s="120">
        <f t="shared" si="44"/>
        <v>-1173</v>
      </c>
      <c r="AB92" s="120">
        <f t="shared" si="44"/>
        <v>-1451</v>
      </c>
      <c r="AC92" s="120">
        <f t="shared" si="44"/>
        <v>-1723</v>
      </c>
      <c r="AD92" s="120">
        <f t="shared" si="44"/>
        <v>-1253</v>
      </c>
      <c r="AE92" s="120">
        <f t="shared" si="44"/>
        <v>-1535</v>
      </c>
      <c r="AF92" s="120">
        <f t="shared" si="44"/>
        <v>-1543</v>
      </c>
      <c r="AG92" s="120">
        <f t="shared" si="44"/>
        <v>-1636</v>
      </c>
      <c r="AH92" s="120">
        <f t="shared" si="44"/>
        <v>-1455</v>
      </c>
      <c r="AI92" s="120">
        <f t="shared" si="44"/>
        <v>-1919</v>
      </c>
      <c r="AJ92" s="120">
        <f t="shared" si="44"/>
        <v>-1860</v>
      </c>
      <c r="AK92" s="120">
        <f t="shared" si="44"/>
        <v>-944</v>
      </c>
      <c r="AL92" s="120">
        <f t="shared" si="44"/>
        <v>-1723</v>
      </c>
      <c r="AM92" s="120">
        <f t="shared" si="44"/>
        <v>-1935</v>
      </c>
      <c r="AN92" s="120">
        <f t="shared" si="44"/>
        <v>-1939</v>
      </c>
      <c r="AO92" s="120">
        <f t="shared" si="44"/>
        <v>-2288</v>
      </c>
      <c r="AP92" s="120">
        <f t="shared" ref="AP92:AY92" si="45">SUM(AP81:AP91)</f>
        <v>-2277</v>
      </c>
      <c r="AQ92" s="120">
        <f t="shared" si="45"/>
        <v>-3179</v>
      </c>
      <c r="AR92" s="120">
        <f t="shared" si="45"/>
        <v>-3130</v>
      </c>
      <c r="AS92" s="120">
        <f t="shared" si="45"/>
        <v>8683</v>
      </c>
      <c r="AT92" s="120">
        <f t="shared" si="45"/>
        <v>-2717</v>
      </c>
      <c r="AU92" s="120">
        <f t="shared" si="45"/>
        <v>-2727</v>
      </c>
      <c r="AV92" s="120">
        <f t="shared" si="45"/>
        <v>-2674</v>
      </c>
      <c r="AW92" s="120">
        <f t="shared" si="45"/>
        <v>-3230</v>
      </c>
      <c r="AX92" s="120">
        <f t="shared" si="45"/>
        <v>-2713</v>
      </c>
      <c r="AY92" s="120">
        <f t="shared" si="45"/>
        <v>-3184</v>
      </c>
    </row>
    <row r="93" spans="1:51" x14ac:dyDescent="0.2">
      <c r="E93" s="204"/>
      <c r="F93" s="204"/>
      <c r="G93" s="204"/>
      <c r="H93" s="204"/>
      <c r="I93" s="204"/>
      <c r="J93" s="204"/>
      <c r="K93" s="204"/>
      <c r="L93" s="204"/>
      <c r="M93" s="204"/>
      <c r="N93" s="204"/>
      <c r="O93" s="204"/>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4"/>
      <c r="AN93" s="204"/>
      <c r="AO93" s="201"/>
      <c r="AP93" s="201"/>
      <c r="AQ93" s="201"/>
      <c r="AR93" s="201"/>
      <c r="AS93" s="201"/>
      <c r="AT93" s="201"/>
      <c r="AU93" s="201"/>
      <c r="AV93" s="201"/>
      <c r="AW93" s="201"/>
      <c r="AX93" s="201"/>
      <c r="AY93" s="201"/>
    </row>
    <row r="94" spans="1:51" x14ac:dyDescent="0.2">
      <c r="E94" s="204"/>
      <c r="F94" s="204"/>
      <c r="G94" s="204"/>
      <c r="H94" s="204"/>
      <c r="I94" s="204"/>
      <c r="J94" s="204"/>
      <c r="K94" s="204"/>
      <c r="L94" s="204"/>
      <c r="M94" s="204"/>
      <c r="N94" s="204"/>
      <c r="O94" s="204"/>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4"/>
      <c r="AN94" s="204"/>
      <c r="AO94" s="201"/>
      <c r="AP94" s="201"/>
      <c r="AQ94" s="201"/>
      <c r="AR94" s="201"/>
      <c r="AS94" s="201"/>
      <c r="AT94" s="201"/>
      <c r="AU94" s="201"/>
      <c r="AV94" s="201"/>
      <c r="AW94" s="201"/>
      <c r="AX94" s="201"/>
      <c r="AY94" s="201"/>
    </row>
    <row r="95" spans="1:51" x14ac:dyDescent="0.2">
      <c r="E95" s="204"/>
      <c r="F95" s="204"/>
      <c r="G95" s="204"/>
      <c r="H95" s="204"/>
      <c r="I95" s="204"/>
      <c r="J95" s="204"/>
      <c r="K95" s="204"/>
      <c r="L95" s="204"/>
      <c r="M95" s="204"/>
      <c r="N95" s="204"/>
      <c r="O95" s="204"/>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4"/>
      <c r="AN95" s="204"/>
      <c r="AO95" s="201"/>
      <c r="AP95" s="201"/>
      <c r="AQ95" s="201"/>
      <c r="AR95" s="201"/>
      <c r="AS95" s="201"/>
      <c r="AT95" s="201"/>
      <c r="AU95" s="201"/>
      <c r="AV95" s="201"/>
      <c r="AW95" s="201"/>
      <c r="AX95" s="201"/>
      <c r="AY95" s="201"/>
    </row>
    <row r="96" spans="1:51" x14ac:dyDescent="0.2">
      <c r="E96" s="204"/>
      <c r="F96" s="204"/>
      <c r="G96" s="204"/>
      <c r="H96" s="204"/>
      <c r="I96" s="204"/>
      <c r="J96" s="204"/>
      <c r="K96" s="204"/>
      <c r="L96" s="204"/>
      <c r="M96" s="204"/>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204"/>
      <c r="AM96" s="204"/>
      <c r="AN96" s="204"/>
      <c r="AO96" s="201"/>
      <c r="AP96" s="201"/>
      <c r="AQ96" s="201"/>
      <c r="AR96" s="201"/>
      <c r="AS96" s="201"/>
      <c r="AT96" s="201"/>
      <c r="AU96" s="201"/>
      <c r="AV96" s="201"/>
      <c r="AW96" s="201"/>
      <c r="AX96" s="201"/>
      <c r="AY96" s="201"/>
    </row>
    <row r="97" spans="5:51" x14ac:dyDescent="0.2">
      <c r="E97" s="204"/>
      <c r="F97" s="204"/>
      <c r="G97" s="204"/>
      <c r="H97" s="204"/>
      <c r="I97" s="204"/>
      <c r="J97" s="204"/>
      <c r="K97" s="204"/>
      <c r="L97" s="204"/>
      <c r="M97" s="204"/>
      <c r="N97" s="204"/>
      <c r="O97" s="204"/>
      <c r="P97" s="204"/>
      <c r="Q97" s="204"/>
      <c r="R97" s="204"/>
      <c r="S97" s="204"/>
      <c r="T97" s="204"/>
      <c r="U97" s="204"/>
      <c r="V97" s="204"/>
      <c r="W97" s="204"/>
      <c r="X97" s="204"/>
      <c r="Y97" s="204"/>
      <c r="Z97" s="204"/>
      <c r="AA97" s="204"/>
      <c r="AB97" s="204"/>
      <c r="AC97" s="204"/>
      <c r="AD97" s="204"/>
      <c r="AE97" s="204"/>
      <c r="AF97" s="204"/>
      <c r="AG97" s="204"/>
      <c r="AH97" s="204"/>
      <c r="AI97" s="204"/>
      <c r="AJ97" s="204"/>
      <c r="AK97" s="204"/>
      <c r="AL97" s="204"/>
      <c r="AM97" s="204"/>
      <c r="AN97" s="204"/>
      <c r="AO97" s="201"/>
      <c r="AP97" s="201"/>
      <c r="AQ97" s="201"/>
      <c r="AR97" s="201"/>
      <c r="AS97" s="201"/>
      <c r="AT97" s="201"/>
      <c r="AU97" s="201"/>
      <c r="AV97" s="201"/>
      <c r="AW97" s="201"/>
      <c r="AX97" s="201"/>
      <c r="AY97" s="201"/>
    </row>
    <row r="98" spans="5:51" x14ac:dyDescent="0.2">
      <c r="E98" s="204"/>
      <c r="F98" s="204"/>
      <c r="G98" s="204"/>
      <c r="H98" s="204"/>
      <c r="I98" s="204"/>
      <c r="J98" s="204"/>
      <c r="K98" s="204"/>
      <c r="L98" s="204"/>
      <c r="M98" s="204"/>
      <c r="N98" s="204"/>
      <c r="O98" s="204"/>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4"/>
      <c r="AN98" s="204"/>
      <c r="AO98" s="201"/>
      <c r="AP98" s="201"/>
      <c r="AQ98" s="201"/>
      <c r="AR98" s="201"/>
      <c r="AS98" s="201"/>
      <c r="AT98" s="201"/>
      <c r="AU98" s="201"/>
      <c r="AV98" s="201"/>
      <c r="AW98" s="201"/>
      <c r="AX98" s="201"/>
      <c r="AY98" s="201"/>
    </row>
    <row r="99" spans="5:51" x14ac:dyDescent="0.2">
      <c r="E99" s="204"/>
      <c r="F99" s="204"/>
      <c r="G99" s="204"/>
      <c r="H99" s="204"/>
      <c r="I99" s="204"/>
      <c r="J99" s="204"/>
      <c r="K99" s="204"/>
      <c r="L99" s="204"/>
      <c r="M99" s="204"/>
      <c r="N99" s="204"/>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4"/>
      <c r="AN99" s="204"/>
      <c r="AO99" s="201"/>
      <c r="AP99" s="201"/>
      <c r="AQ99" s="201"/>
      <c r="AR99" s="201"/>
      <c r="AS99" s="201"/>
      <c r="AT99" s="201"/>
      <c r="AU99" s="201"/>
      <c r="AV99" s="201"/>
      <c r="AW99" s="201"/>
      <c r="AX99" s="201"/>
      <c r="AY99" s="201"/>
    </row>
    <row r="100" spans="5:51" x14ac:dyDescent="0.2">
      <c r="E100" s="204"/>
      <c r="F100" s="204"/>
      <c r="G100" s="204"/>
      <c r="H100" s="204"/>
      <c r="I100" s="204"/>
      <c r="J100" s="204"/>
      <c r="K100" s="204"/>
      <c r="L100" s="204"/>
      <c r="M100" s="204"/>
      <c r="N100" s="204"/>
      <c r="O100" s="204"/>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1"/>
      <c r="AP100" s="201"/>
      <c r="AQ100" s="201"/>
      <c r="AR100" s="201"/>
      <c r="AS100" s="201"/>
      <c r="AT100" s="201"/>
      <c r="AU100" s="201"/>
      <c r="AV100" s="201"/>
      <c r="AW100" s="201"/>
      <c r="AX100" s="201"/>
      <c r="AY100" s="201"/>
    </row>
    <row r="101" spans="5:51" x14ac:dyDescent="0.2">
      <c r="E101" s="204"/>
      <c r="F101" s="204"/>
      <c r="G101" s="204"/>
      <c r="H101" s="204"/>
      <c r="I101" s="204"/>
      <c r="J101" s="204"/>
      <c r="K101" s="204"/>
      <c r="L101" s="204"/>
      <c r="M101" s="204"/>
      <c r="N101" s="204"/>
      <c r="O101" s="204"/>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4"/>
      <c r="AK101" s="204"/>
      <c r="AL101" s="204"/>
      <c r="AM101" s="204"/>
      <c r="AN101" s="204"/>
      <c r="AO101" s="201"/>
      <c r="AP101" s="201"/>
      <c r="AQ101" s="201"/>
      <c r="AR101" s="201"/>
      <c r="AS101" s="201"/>
      <c r="AT101" s="201"/>
      <c r="AU101" s="201"/>
      <c r="AV101" s="201"/>
      <c r="AW101" s="201"/>
      <c r="AX101" s="201"/>
      <c r="AY101" s="201"/>
    </row>
    <row r="102" spans="5:51" x14ac:dyDescent="0.2">
      <c r="E102" s="204"/>
      <c r="F102" s="204"/>
      <c r="G102" s="204"/>
      <c r="H102" s="204"/>
      <c r="I102" s="204"/>
      <c r="J102" s="204"/>
      <c r="K102" s="204"/>
      <c r="L102" s="204"/>
      <c r="M102" s="204"/>
      <c r="N102" s="204"/>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4"/>
      <c r="AL102" s="204"/>
      <c r="AM102" s="204"/>
      <c r="AN102" s="204"/>
      <c r="AO102" s="201"/>
      <c r="AP102" s="201"/>
      <c r="AQ102" s="201"/>
      <c r="AR102" s="201"/>
      <c r="AS102" s="201"/>
      <c r="AT102" s="201"/>
      <c r="AU102" s="201"/>
      <c r="AV102" s="201"/>
      <c r="AW102" s="201"/>
      <c r="AX102" s="201"/>
      <c r="AY102" s="201"/>
    </row>
    <row r="103" spans="5:51" x14ac:dyDescent="0.2">
      <c r="E103" s="204"/>
      <c r="F103" s="204"/>
      <c r="G103" s="204"/>
      <c r="H103" s="204"/>
      <c r="I103" s="204"/>
      <c r="J103" s="204"/>
      <c r="K103" s="204"/>
      <c r="L103" s="204"/>
      <c r="M103" s="204"/>
      <c r="N103" s="204"/>
      <c r="O103" s="204"/>
      <c r="P103" s="204"/>
      <c r="Q103" s="204"/>
      <c r="R103" s="204"/>
      <c r="S103" s="204"/>
      <c r="T103" s="204"/>
      <c r="U103" s="204"/>
      <c r="V103" s="204"/>
      <c r="W103" s="204"/>
      <c r="X103" s="204"/>
      <c r="Y103" s="204"/>
      <c r="Z103" s="204"/>
      <c r="AA103" s="204"/>
      <c r="AB103" s="204"/>
      <c r="AC103" s="204"/>
      <c r="AD103" s="204"/>
      <c r="AE103" s="204"/>
      <c r="AF103" s="204"/>
      <c r="AG103" s="204"/>
      <c r="AH103" s="204"/>
      <c r="AI103" s="204"/>
      <c r="AJ103" s="204"/>
      <c r="AK103" s="204"/>
      <c r="AL103" s="204"/>
      <c r="AM103" s="204"/>
      <c r="AN103" s="204"/>
      <c r="AO103" s="201"/>
      <c r="AP103" s="201"/>
      <c r="AQ103" s="201"/>
      <c r="AR103" s="201"/>
      <c r="AS103" s="201"/>
      <c r="AT103" s="201"/>
      <c r="AU103" s="201"/>
      <c r="AV103" s="201"/>
      <c r="AW103" s="201"/>
      <c r="AX103" s="201"/>
      <c r="AY103" s="201"/>
    </row>
    <row r="104" spans="5:51" x14ac:dyDescent="0.2">
      <c r="E104" s="204"/>
      <c r="F104" s="204"/>
      <c r="G104" s="204"/>
      <c r="H104" s="204"/>
      <c r="I104" s="204"/>
      <c r="J104" s="204"/>
      <c r="K104" s="204"/>
      <c r="L104" s="204"/>
      <c r="M104" s="204"/>
      <c r="N104" s="204"/>
      <c r="O104" s="204"/>
      <c r="P104" s="204"/>
      <c r="Q104" s="204"/>
      <c r="R104" s="204"/>
      <c r="S104" s="204"/>
      <c r="T104" s="204"/>
      <c r="U104" s="204"/>
      <c r="V104" s="204"/>
      <c r="W104" s="204"/>
      <c r="X104" s="204"/>
      <c r="Y104" s="204"/>
      <c r="Z104" s="204"/>
      <c r="AA104" s="204"/>
      <c r="AB104" s="204"/>
      <c r="AC104" s="204"/>
      <c r="AD104" s="204"/>
      <c r="AE104" s="204"/>
      <c r="AF104" s="204"/>
      <c r="AG104" s="204"/>
      <c r="AH104" s="204"/>
      <c r="AI104" s="204"/>
      <c r="AJ104" s="204"/>
      <c r="AK104" s="204"/>
      <c r="AL104" s="204"/>
      <c r="AM104" s="204"/>
      <c r="AN104" s="204"/>
      <c r="AO104" s="201"/>
      <c r="AP104" s="201"/>
      <c r="AQ104" s="201"/>
      <c r="AR104" s="201"/>
      <c r="AS104" s="201"/>
      <c r="AT104" s="201"/>
      <c r="AU104" s="201"/>
      <c r="AV104" s="201"/>
      <c r="AW104" s="201"/>
      <c r="AX104" s="201"/>
      <c r="AY104" s="201"/>
    </row>
    <row r="105" spans="5:51" x14ac:dyDescent="0.2">
      <c r="E105" s="204"/>
      <c r="F105" s="204"/>
      <c r="G105" s="204"/>
      <c r="H105" s="204"/>
      <c r="I105" s="204"/>
      <c r="J105" s="204"/>
      <c r="K105" s="204"/>
      <c r="L105" s="204"/>
      <c r="M105" s="204"/>
      <c r="N105" s="204"/>
      <c r="O105" s="204"/>
      <c r="P105" s="204"/>
      <c r="Q105" s="204"/>
      <c r="R105" s="204"/>
      <c r="S105" s="204"/>
      <c r="T105" s="204"/>
      <c r="U105" s="204"/>
      <c r="V105" s="204"/>
      <c r="W105" s="204"/>
      <c r="X105" s="204"/>
      <c r="Y105" s="204"/>
      <c r="Z105" s="204"/>
      <c r="AA105" s="204"/>
      <c r="AB105" s="204"/>
      <c r="AC105" s="204"/>
      <c r="AD105" s="204"/>
      <c r="AE105" s="204"/>
      <c r="AF105" s="204"/>
      <c r="AG105" s="204"/>
      <c r="AH105" s="204"/>
      <c r="AI105" s="204"/>
      <c r="AJ105" s="204"/>
      <c r="AK105" s="204"/>
      <c r="AL105" s="204"/>
      <c r="AM105" s="204"/>
      <c r="AN105" s="204"/>
      <c r="AO105" s="201"/>
      <c r="AP105" s="201"/>
      <c r="AQ105" s="201"/>
      <c r="AR105" s="201"/>
      <c r="AS105" s="201"/>
      <c r="AT105" s="201"/>
      <c r="AU105" s="201"/>
      <c r="AV105" s="201"/>
      <c r="AW105" s="201"/>
      <c r="AX105" s="201"/>
      <c r="AY105" s="201"/>
    </row>
    <row r="106" spans="5:51" x14ac:dyDescent="0.2">
      <c r="E106" s="204"/>
      <c r="F106" s="204"/>
      <c r="G106" s="204"/>
      <c r="H106" s="204"/>
      <c r="I106" s="204"/>
      <c r="J106" s="204"/>
      <c r="K106" s="204"/>
      <c r="L106" s="204"/>
      <c r="M106" s="204"/>
      <c r="N106" s="204"/>
      <c r="O106" s="204"/>
      <c r="P106" s="204"/>
      <c r="Q106" s="204"/>
      <c r="R106" s="204"/>
      <c r="S106" s="204"/>
      <c r="T106" s="204"/>
      <c r="U106" s="204"/>
      <c r="V106" s="204"/>
      <c r="W106" s="204"/>
      <c r="X106" s="204"/>
      <c r="Y106" s="204"/>
      <c r="Z106" s="204"/>
      <c r="AA106" s="204"/>
      <c r="AB106" s="204"/>
      <c r="AC106" s="204"/>
      <c r="AD106" s="204"/>
      <c r="AE106" s="204"/>
      <c r="AF106" s="204"/>
      <c r="AG106" s="204"/>
      <c r="AH106" s="204"/>
      <c r="AI106" s="204"/>
      <c r="AJ106" s="204"/>
      <c r="AK106" s="204"/>
      <c r="AL106" s="204"/>
      <c r="AM106" s="204"/>
      <c r="AN106" s="204"/>
      <c r="AO106" s="201"/>
      <c r="AP106" s="201"/>
      <c r="AQ106" s="201"/>
      <c r="AR106" s="201"/>
      <c r="AS106" s="201"/>
      <c r="AT106" s="201"/>
      <c r="AU106" s="201"/>
      <c r="AV106" s="201"/>
      <c r="AW106" s="201"/>
      <c r="AX106" s="201"/>
      <c r="AY106" s="201"/>
    </row>
    <row r="107" spans="5:51" x14ac:dyDescent="0.2">
      <c r="E107" s="204"/>
      <c r="F107" s="204"/>
      <c r="G107" s="204"/>
      <c r="H107" s="204"/>
      <c r="I107" s="204"/>
      <c r="J107" s="204"/>
      <c r="K107" s="204"/>
      <c r="L107" s="204"/>
      <c r="M107" s="204"/>
      <c r="N107" s="204"/>
      <c r="O107" s="204"/>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4"/>
      <c r="AN107" s="204"/>
      <c r="AO107" s="201"/>
      <c r="AP107" s="201"/>
      <c r="AQ107" s="201"/>
      <c r="AR107" s="201"/>
      <c r="AS107" s="201"/>
      <c r="AT107" s="201"/>
      <c r="AU107" s="201"/>
      <c r="AV107" s="201"/>
      <c r="AW107" s="201"/>
      <c r="AX107" s="201"/>
      <c r="AY107" s="201"/>
    </row>
    <row r="108" spans="5:51" x14ac:dyDescent="0.2">
      <c r="E108" s="204"/>
      <c r="F108" s="204"/>
      <c r="G108" s="204"/>
      <c r="H108" s="204"/>
      <c r="I108" s="204"/>
      <c r="J108" s="204"/>
      <c r="K108" s="204"/>
      <c r="L108" s="204"/>
      <c r="M108" s="204"/>
      <c r="N108" s="204"/>
      <c r="O108" s="204"/>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4"/>
      <c r="AN108" s="204"/>
      <c r="AO108" s="201"/>
      <c r="AP108" s="201"/>
      <c r="AQ108" s="201"/>
      <c r="AR108" s="201"/>
      <c r="AS108" s="201"/>
      <c r="AT108" s="201"/>
      <c r="AU108" s="201"/>
      <c r="AV108" s="201"/>
      <c r="AW108" s="201"/>
      <c r="AX108" s="201"/>
      <c r="AY108" s="201"/>
    </row>
    <row r="109" spans="5:51" x14ac:dyDescent="0.2">
      <c r="E109" s="204"/>
      <c r="F109" s="204"/>
      <c r="G109" s="204"/>
      <c r="H109" s="204"/>
      <c r="I109" s="204"/>
      <c r="J109" s="204"/>
      <c r="K109" s="204"/>
      <c r="L109" s="204"/>
      <c r="M109" s="204"/>
      <c r="N109" s="204"/>
      <c r="O109" s="204"/>
      <c r="P109" s="204"/>
      <c r="Q109" s="204"/>
      <c r="R109" s="204"/>
      <c r="S109" s="204"/>
      <c r="T109" s="204"/>
      <c r="U109" s="204"/>
      <c r="V109" s="204"/>
      <c r="W109" s="204"/>
      <c r="X109" s="204"/>
      <c r="Y109" s="204"/>
      <c r="Z109" s="204"/>
      <c r="AA109" s="204"/>
      <c r="AB109" s="204"/>
      <c r="AC109" s="204"/>
      <c r="AD109" s="204"/>
      <c r="AE109" s="204"/>
      <c r="AF109" s="204"/>
      <c r="AG109" s="204"/>
      <c r="AH109" s="204"/>
      <c r="AI109" s="204"/>
      <c r="AJ109" s="204"/>
      <c r="AK109" s="204"/>
      <c r="AL109" s="204"/>
      <c r="AM109" s="204"/>
      <c r="AN109" s="204"/>
      <c r="AO109" s="201"/>
      <c r="AP109" s="201"/>
      <c r="AQ109" s="201"/>
      <c r="AR109" s="201"/>
      <c r="AS109" s="201"/>
      <c r="AT109" s="201"/>
      <c r="AU109" s="201"/>
      <c r="AV109" s="201"/>
      <c r="AW109" s="201"/>
      <c r="AX109" s="201"/>
      <c r="AY109" s="201"/>
    </row>
    <row r="110" spans="5:51" x14ac:dyDescent="0.2">
      <c r="E110" s="204"/>
      <c r="F110" s="204"/>
      <c r="G110" s="204"/>
      <c r="H110" s="204"/>
      <c r="I110" s="204"/>
      <c r="J110" s="204"/>
      <c r="K110" s="204"/>
      <c r="L110" s="204"/>
      <c r="M110" s="204"/>
      <c r="N110" s="204"/>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1"/>
      <c r="AP110" s="201"/>
      <c r="AQ110" s="201"/>
      <c r="AR110" s="201"/>
      <c r="AS110" s="201"/>
      <c r="AT110" s="201"/>
      <c r="AU110" s="201"/>
      <c r="AV110" s="201"/>
      <c r="AW110" s="201"/>
      <c r="AX110" s="201"/>
      <c r="AY110" s="201"/>
    </row>
    <row r="111" spans="5:51" x14ac:dyDescent="0.2">
      <c r="E111" s="204"/>
      <c r="F111" s="204"/>
      <c r="G111" s="204"/>
      <c r="H111" s="204"/>
      <c r="I111" s="204"/>
      <c r="J111" s="204"/>
      <c r="K111" s="204"/>
      <c r="L111" s="204"/>
      <c r="M111" s="204"/>
      <c r="N111" s="204"/>
      <c r="O111" s="204"/>
      <c r="P111" s="204"/>
      <c r="Q111" s="204"/>
      <c r="R111" s="204"/>
      <c r="S111" s="204"/>
      <c r="T111" s="204"/>
      <c r="U111" s="204"/>
      <c r="V111" s="204"/>
      <c r="W111" s="204"/>
      <c r="X111" s="204"/>
      <c r="Y111" s="204"/>
      <c r="Z111" s="204"/>
      <c r="AA111" s="204"/>
      <c r="AB111" s="204"/>
      <c r="AC111" s="204"/>
      <c r="AD111" s="204"/>
      <c r="AE111" s="204"/>
      <c r="AF111" s="204"/>
      <c r="AG111" s="204"/>
      <c r="AH111" s="204"/>
      <c r="AI111" s="204"/>
      <c r="AJ111" s="204"/>
      <c r="AK111" s="204"/>
      <c r="AL111" s="204"/>
      <c r="AM111" s="204"/>
      <c r="AN111" s="204"/>
      <c r="AO111" s="201"/>
      <c r="AP111" s="201"/>
      <c r="AQ111" s="201"/>
      <c r="AR111" s="201"/>
      <c r="AS111" s="201"/>
      <c r="AT111" s="201"/>
      <c r="AU111" s="201"/>
      <c r="AV111" s="201"/>
      <c r="AW111" s="201"/>
      <c r="AX111" s="201"/>
      <c r="AY111" s="201"/>
    </row>
    <row r="112" spans="5:51" x14ac:dyDescent="0.2">
      <c r="E112" s="204"/>
      <c r="F112" s="204"/>
      <c r="G112" s="204"/>
      <c r="H112" s="204"/>
      <c r="I112" s="204"/>
      <c r="J112" s="204"/>
      <c r="K112" s="204"/>
      <c r="L112" s="204"/>
      <c r="M112" s="204"/>
      <c r="N112" s="204"/>
      <c r="O112" s="204"/>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1"/>
      <c r="AP112" s="201"/>
      <c r="AQ112" s="201"/>
      <c r="AR112" s="201"/>
      <c r="AS112" s="201"/>
      <c r="AT112" s="201"/>
      <c r="AU112" s="201"/>
      <c r="AV112" s="201"/>
      <c r="AW112" s="201"/>
      <c r="AX112" s="201"/>
      <c r="AY112" s="201"/>
    </row>
    <row r="113" spans="5:51" x14ac:dyDescent="0.2">
      <c r="E113" s="204"/>
      <c r="F113" s="204"/>
      <c r="G113" s="204"/>
      <c r="H113" s="204"/>
      <c r="I113" s="204"/>
      <c r="J113" s="204"/>
      <c r="K113" s="204"/>
      <c r="L113" s="204"/>
      <c r="M113" s="204"/>
      <c r="N113" s="204"/>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4"/>
      <c r="AL113" s="204"/>
      <c r="AM113" s="204"/>
      <c r="AN113" s="204"/>
      <c r="AO113" s="201"/>
      <c r="AP113" s="201"/>
      <c r="AQ113" s="201"/>
      <c r="AR113" s="201"/>
      <c r="AS113" s="201"/>
      <c r="AT113" s="201"/>
      <c r="AU113" s="201"/>
      <c r="AV113" s="201"/>
      <c r="AW113" s="201"/>
      <c r="AX113" s="201"/>
      <c r="AY113" s="201"/>
    </row>
    <row r="114" spans="5:51" x14ac:dyDescent="0.2">
      <c r="E114" s="204"/>
      <c r="F114" s="204"/>
      <c r="G114" s="204"/>
      <c r="H114" s="204"/>
      <c r="I114" s="204"/>
      <c r="J114" s="204"/>
      <c r="K114" s="204"/>
      <c r="L114" s="204"/>
      <c r="M114" s="204"/>
      <c r="N114" s="204"/>
      <c r="O114" s="204"/>
      <c r="P114" s="204"/>
      <c r="Q114" s="204"/>
      <c r="R114" s="204"/>
      <c r="S114" s="204"/>
      <c r="T114" s="204"/>
      <c r="U114" s="204"/>
      <c r="V114" s="204"/>
      <c r="W114" s="204"/>
      <c r="X114" s="204"/>
      <c r="Y114" s="204"/>
      <c r="Z114" s="204"/>
      <c r="AA114" s="204"/>
      <c r="AB114" s="204"/>
      <c r="AC114" s="204"/>
      <c r="AD114" s="204"/>
      <c r="AE114" s="204"/>
      <c r="AF114" s="204"/>
      <c r="AG114" s="204"/>
      <c r="AH114" s="204"/>
      <c r="AI114" s="204"/>
      <c r="AJ114" s="204"/>
      <c r="AK114" s="204"/>
      <c r="AL114" s="204"/>
      <c r="AM114" s="204"/>
      <c r="AN114" s="204"/>
      <c r="AO114" s="201"/>
      <c r="AP114" s="201"/>
      <c r="AQ114" s="201"/>
      <c r="AR114" s="201"/>
      <c r="AS114" s="201"/>
      <c r="AT114" s="201"/>
      <c r="AU114" s="201"/>
      <c r="AV114" s="201"/>
      <c r="AW114" s="201"/>
      <c r="AX114" s="201"/>
      <c r="AY114" s="201"/>
    </row>
    <row r="115" spans="5:51" x14ac:dyDescent="0.2">
      <c r="E115" s="204"/>
      <c r="F115" s="204"/>
      <c r="G115" s="204"/>
      <c r="H115" s="204"/>
      <c r="I115" s="204"/>
      <c r="J115" s="204"/>
      <c r="K115" s="204"/>
      <c r="L115" s="204"/>
      <c r="M115" s="204"/>
      <c r="N115" s="204"/>
      <c r="O115" s="204"/>
      <c r="P115" s="204"/>
      <c r="Q115" s="204"/>
      <c r="R115" s="204"/>
      <c r="S115" s="204"/>
      <c r="T115" s="204"/>
      <c r="U115" s="204"/>
      <c r="V115" s="204"/>
      <c r="W115" s="204"/>
      <c r="X115" s="204"/>
      <c r="Y115" s="204"/>
      <c r="Z115" s="204"/>
      <c r="AA115" s="204"/>
      <c r="AB115" s="204"/>
      <c r="AC115" s="204"/>
      <c r="AD115" s="204"/>
      <c r="AE115" s="204"/>
      <c r="AF115" s="204"/>
      <c r="AG115" s="204"/>
      <c r="AH115" s="204"/>
      <c r="AI115" s="204"/>
      <c r="AJ115" s="204"/>
      <c r="AK115" s="204"/>
      <c r="AL115" s="204"/>
      <c r="AM115" s="204"/>
      <c r="AN115" s="204"/>
      <c r="AO115" s="201"/>
      <c r="AP115" s="201"/>
      <c r="AQ115" s="201"/>
      <c r="AR115" s="201"/>
      <c r="AS115" s="201"/>
      <c r="AT115" s="201"/>
      <c r="AU115" s="201"/>
      <c r="AV115" s="201"/>
      <c r="AW115" s="201"/>
      <c r="AX115" s="201"/>
      <c r="AY115" s="201"/>
    </row>
    <row r="116" spans="5:51" x14ac:dyDescent="0.2">
      <c r="E116" s="204"/>
      <c r="F116" s="204"/>
      <c r="G116" s="204"/>
      <c r="H116" s="204"/>
      <c r="I116" s="204"/>
      <c r="J116" s="204"/>
      <c r="K116" s="204"/>
      <c r="L116" s="204"/>
      <c r="M116" s="204"/>
      <c r="N116" s="204"/>
      <c r="O116" s="204"/>
      <c r="P116" s="204"/>
      <c r="Q116" s="204"/>
      <c r="R116" s="204"/>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4"/>
      <c r="AN116" s="204"/>
      <c r="AO116" s="201"/>
      <c r="AP116" s="201"/>
      <c r="AQ116" s="201"/>
      <c r="AR116" s="201"/>
      <c r="AS116" s="201"/>
      <c r="AT116" s="201"/>
      <c r="AU116" s="201"/>
      <c r="AV116" s="201"/>
      <c r="AW116" s="201"/>
      <c r="AX116" s="201"/>
      <c r="AY116" s="201"/>
    </row>
    <row r="117" spans="5:51" x14ac:dyDescent="0.2">
      <c r="E117" s="204"/>
      <c r="F117" s="204"/>
      <c r="G117" s="204"/>
      <c r="H117" s="204"/>
      <c r="I117" s="204"/>
      <c r="J117" s="204"/>
      <c r="K117" s="204"/>
      <c r="L117" s="204"/>
      <c r="M117" s="204"/>
      <c r="N117" s="204"/>
      <c r="O117" s="204"/>
      <c r="P117" s="204"/>
      <c r="Q117" s="204"/>
      <c r="R117" s="204"/>
      <c r="S117" s="204"/>
      <c r="T117" s="204"/>
      <c r="U117" s="204"/>
      <c r="V117" s="204"/>
      <c r="W117" s="204"/>
      <c r="X117" s="204"/>
      <c r="Y117" s="204"/>
      <c r="Z117" s="204"/>
      <c r="AA117" s="204"/>
      <c r="AB117" s="204"/>
      <c r="AC117" s="204"/>
      <c r="AD117" s="204"/>
      <c r="AE117" s="204"/>
      <c r="AF117" s="204"/>
      <c r="AG117" s="204"/>
      <c r="AH117" s="204"/>
      <c r="AI117" s="204"/>
      <c r="AJ117" s="204"/>
      <c r="AK117" s="204"/>
      <c r="AL117" s="204"/>
      <c r="AM117" s="204"/>
      <c r="AN117" s="204"/>
      <c r="AO117" s="201"/>
      <c r="AP117" s="201"/>
      <c r="AQ117" s="201"/>
      <c r="AR117" s="201"/>
      <c r="AS117" s="201"/>
      <c r="AT117" s="201"/>
      <c r="AU117" s="201"/>
      <c r="AV117" s="201"/>
      <c r="AW117" s="201"/>
      <c r="AX117" s="201"/>
      <c r="AY117" s="201"/>
    </row>
    <row r="118" spans="5:51" x14ac:dyDescent="0.2">
      <c r="E118" s="204"/>
      <c r="F118" s="204"/>
      <c r="G118" s="204"/>
      <c r="H118" s="204"/>
      <c r="I118" s="204"/>
      <c r="J118" s="204"/>
      <c r="K118" s="204"/>
      <c r="L118" s="204"/>
      <c r="M118" s="204"/>
      <c r="N118" s="204"/>
      <c r="O118" s="204"/>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1"/>
      <c r="AP118" s="201"/>
      <c r="AQ118" s="201"/>
      <c r="AR118" s="201"/>
      <c r="AS118" s="201"/>
      <c r="AT118" s="201"/>
      <c r="AU118" s="201"/>
      <c r="AV118" s="201"/>
      <c r="AW118" s="201"/>
      <c r="AX118" s="201"/>
      <c r="AY118" s="201"/>
    </row>
    <row r="119" spans="5:51" x14ac:dyDescent="0.2">
      <c r="E119" s="204"/>
      <c r="F119" s="204"/>
      <c r="G119" s="204"/>
      <c r="H119" s="204"/>
      <c r="I119" s="204"/>
      <c r="J119" s="204"/>
      <c r="K119" s="204"/>
      <c r="L119" s="204"/>
      <c r="M119" s="204"/>
      <c r="N119" s="204"/>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4"/>
      <c r="AN119" s="204"/>
      <c r="AO119" s="201"/>
      <c r="AP119" s="201"/>
      <c r="AQ119" s="201"/>
      <c r="AR119" s="201"/>
      <c r="AS119" s="201"/>
      <c r="AT119" s="201"/>
      <c r="AU119" s="201"/>
      <c r="AV119" s="201"/>
      <c r="AW119" s="201"/>
      <c r="AX119" s="201"/>
      <c r="AY119" s="201"/>
    </row>
    <row r="120" spans="5:51" x14ac:dyDescent="0.2">
      <c r="E120" s="204"/>
      <c r="F120" s="204"/>
      <c r="G120" s="204"/>
      <c r="H120" s="204"/>
      <c r="I120" s="204"/>
      <c r="J120" s="204"/>
      <c r="K120" s="204"/>
      <c r="L120" s="204"/>
      <c r="M120" s="204"/>
      <c r="N120" s="204"/>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1"/>
      <c r="AP120" s="201"/>
      <c r="AQ120" s="201"/>
      <c r="AR120" s="201"/>
      <c r="AS120" s="201"/>
      <c r="AT120" s="201"/>
      <c r="AU120" s="201"/>
      <c r="AV120" s="201"/>
      <c r="AW120" s="201"/>
      <c r="AX120" s="201"/>
      <c r="AY120" s="201"/>
    </row>
    <row r="121" spans="5:51" x14ac:dyDescent="0.2">
      <c r="E121" s="204"/>
      <c r="F121" s="204"/>
      <c r="G121" s="204"/>
      <c r="H121" s="204"/>
      <c r="I121" s="204"/>
      <c r="J121" s="204"/>
      <c r="K121" s="204"/>
      <c r="L121" s="204"/>
      <c r="M121" s="204"/>
      <c r="N121" s="204"/>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1"/>
      <c r="AP121" s="201"/>
      <c r="AQ121" s="201"/>
      <c r="AR121" s="201"/>
      <c r="AS121" s="201"/>
      <c r="AT121" s="201"/>
      <c r="AU121" s="201"/>
      <c r="AV121" s="201"/>
      <c r="AW121" s="201"/>
      <c r="AX121" s="201"/>
      <c r="AY121" s="201"/>
    </row>
    <row r="122" spans="5:51" x14ac:dyDescent="0.2">
      <c r="E122" s="204"/>
      <c r="F122" s="204"/>
      <c r="G122" s="204"/>
      <c r="H122" s="204"/>
      <c r="I122" s="204"/>
      <c r="J122" s="204"/>
      <c r="K122" s="204"/>
      <c r="L122" s="204"/>
      <c r="M122" s="204"/>
      <c r="N122" s="204"/>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1"/>
      <c r="AP122" s="201"/>
      <c r="AQ122" s="201"/>
      <c r="AR122" s="201"/>
      <c r="AS122" s="201"/>
      <c r="AT122" s="201"/>
      <c r="AU122" s="201"/>
      <c r="AV122" s="201"/>
      <c r="AW122" s="201"/>
      <c r="AX122" s="201"/>
      <c r="AY122" s="201"/>
    </row>
    <row r="123" spans="5:51" x14ac:dyDescent="0.2">
      <c r="E123" s="204"/>
      <c r="F123" s="204"/>
      <c r="G123" s="204"/>
      <c r="H123" s="204"/>
      <c r="I123" s="204"/>
      <c r="J123" s="204"/>
      <c r="K123" s="204"/>
      <c r="L123" s="204"/>
      <c r="M123" s="204"/>
      <c r="N123" s="204"/>
      <c r="O123" s="204"/>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1"/>
      <c r="AP123" s="201"/>
      <c r="AQ123" s="201"/>
      <c r="AR123" s="201"/>
      <c r="AS123" s="201"/>
      <c r="AT123" s="201"/>
      <c r="AU123" s="201"/>
      <c r="AV123" s="201"/>
      <c r="AW123" s="201"/>
      <c r="AX123" s="201"/>
      <c r="AY123" s="201"/>
    </row>
    <row r="124" spans="5:51" x14ac:dyDescent="0.2">
      <c r="E124" s="204"/>
      <c r="F124" s="204"/>
      <c r="G124" s="204"/>
      <c r="H124" s="204"/>
      <c r="I124" s="204"/>
      <c r="J124" s="204"/>
      <c r="K124" s="204"/>
      <c r="L124" s="204"/>
      <c r="M124" s="204"/>
      <c r="N124" s="204"/>
      <c r="O124" s="204"/>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1"/>
      <c r="AP124" s="201"/>
      <c r="AQ124" s="201"/>
      <c r="AR124" s="201"/>
      <c r="AS124" s="201"/>
      <c r="AT124" s="201"/>
      <c r="AU124" s="201"/>
      <c r="AV124" s="201"/>
      <c r="AW124" s="201"/>
      <c r="AX124" s="201"/>
      <c r="AY124" s="201"/>
    </row>
    <row r="125" spans="5:51" x14ac:dyDescent="0.2">
      <c r="E125" s="204"/>
      <c r="F125" s="204"/>
      <c r="G125" s="204"/>
      <c r="H125" s="204"/>
      <c r="I125" s="204"/>
      <c r="J125" s="204"/>
      <c r="K125" s="204"/>
      <c r="L125" s="204"/>
      <c r="M125" s="204"/>
      <c r="N125" s="204"/>
      <c r="O125" s="204"/>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1"/>
      <c r="AP125" s="201"/>
      <c r="AQ125" s="201"/>
      <c r="AR125" s="201"/>
      <c r="AS125" s="201"/>
      <c r="AT125" s="201"/>
      <c r="AU125" s="201"/>
      <c r="AV125" s="201"/>
      <c r="AW125" s="201"/>
      <c r="AX125" s="201"/>
      <c r="AY125" s="201"/>
    </row>
    <row r="126" spans="5:51" x14ac:dyDescent="0.2">
      <c r="E126" s="204"/>
      <c r="F126" s="204"/>
      <c r="G126" s="204"/>
      <c r="H126" s="204"/>
      <c r="I126" s="204"/>
      <c r="J126" s="204"/>
      <c r="K126" s="204"/>
      <c r="L126" s="204"/>
      <c r="M126" s="204"/>
      <c r="N126" s="204"/>
      <c r="O126" s="204"/>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1"/>
      <c r="AP126" s="201"/>
      <c r="AQ126" s="201"/>
      <c r="AR126" s="201"/>
      <c r="AS126" s="201"/>
      <c r="AT126" s="201"/>
      <c r="AU126" s="201"/>
      <c r="AV126" s="201"/>
      <c r="AW126" s="201"/>
      <c r="AX126" s="201"/>
      <c r="AY126" s="201"/>
    </row>
    <row r="127" spans="5:51" x14ac:dyDescent="0.2">
      <c r="E127" s="204"/>
      <c r="F127" s="204"/>
      <c r="G127" s="204"/>
      <c r="H127" s="204"/>
      <c r="I127" s="204"/>
      <c r="J127" s="204"/>
      <c r="K127" s="204"/>
      <c r="L127" s="204"/>
      <c r="M127" s="204"/>
      <c r="N127" s="204"/>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1"/>
      <c r="AP127" s="201"/>
      <c r="AQ127" s="201"/>
      <c r="AR127" s="201"/>
      <c r="AS127" s="201"/>
      <c r="AT127" s="201"/>
      <c r="AU127" s="201"/>
      <c r="AV127" s="201"/>
      <c r="AW127" s="201"/>
      <c r="AX127" s="201"/>
      <c r="AY127" s="201"/>
    </row>
    <row r="128" spans="5:51" x14ac:dyDescent="0.2">
      <c r="E128" s="204"/>
      <c r="F128" s="204"/>
      <c r="G128" s="204"/>
      <c r="H128" s="204"/>
      <c r="I128" s="204"/>
      <c r="J128" s="204"/>
      <c r="K128" s="204"/>
      <c r="L128" s="204"/>
      <c r="M128" s="204"/>
      <c r="N128" s="204"/>
      <c r="O128" s="204"/>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1"/>
      <c r="AP128" s="201"/>
      <c r="AQ128" s="201"/>
      <c r="AR128" s="201"/>
      <c r="AS128" s="201"/>
      <c r="AT128" s="201"/>
      <c r="AU128" s="201"/>
      <c r="AV128" s="201"/>
      <c r="AW128" s="201"/>
      <c r="AX128" s="201"/>
      <c r="AY128" s="201"/>
    </row>
    <row r="129" spans="5:51" x14ac:dyDescent="0.2">
      <c r="E129" s="204"/>
      <c r="F129" s="204"/>
      <c r="G129" s="204"/>
      <c r="H129" s="204"/>
      <c r="I129" s="204"/>
      <c r="J129" s="204"/>
      <c r="K129" s="204"/>
      <c r="L129" s="204"/>
      <c r="M129" s="204"/>
      <c r="N129" s="204"/>
      <c r="O129" s="204"/>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1"/>
      <c r="AP129" s="201"/>
      <c r="AQ129" s="201"/>
      <c r="AR129" s="201"/>
      <c r="AS129" s="201"/>
      <c r="AT129" s="201"/>
      <c r="AU129" s="201"/>
      <c r="AV129" s="201"/>
      <c r="AW129" s="201"/>
      <c r="AX129" s="201"/>
      <c r="AY129" s="201"/>
    </row>
    <row r="130" spans="5:51" x14ac:dyDescent="0.2">
      <c r="E130" s="204"/>
      <c r="F130" s="204"/>
      <c r="G130" s="204"/>
      <c r="H130" s="204"/>
      <c r="I130" s="204"/>
      <c r="J130" s="204"/>
      <c r="K130" s="204"/>
      <c r="L130" s="204"/>
      <c r="M130" s="204"/>
      <c r="N130" s="204"/>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1"/>
      <c r="AP130" s="201"/>
      <c r="AQ130" s="201"/>
      <c r="AR130" s="201"/>
      <c r="AS130" s="201"/>
      <c r="AT130" s="201"/>
      <c r="AU130" s="201"/>
      <c r="AV130" s="201"/>
      <c r="AW130" s="201"/>
      <c r="AX130" s="201"/>
      <c r="AY130" s="201"/>
    </row>
    <row r="131" spans="5:51" x14ac:dyDescent="0.2">
      <c r="E131" s="204"/>
      <c r="F131" s="204"/>
      <c r="G131" s="204"/>
      <c r="H131" s="204"/>
      <c r="I131" s="204"/>
      <c r="J131" s="204"/>
      <c r="K131" s="204"/>
      <c r="L131" s="204"/>
      <c r="M131" s="204"/>
      <c r="N131" s="204"/>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1"/>
      <c r="AP131" s="201"/>
      <c r="AQ131" s="201"/>
      <c r="AR131" s="201"/>
      <c r="AS131" s="201"/>
      <c r="AT131" s="201"/>
      <c r="AU131" s="201"/>
      <c r="AV131" s="201"/>
      <c r="AW131" s="201"/>
      <c r="AX131" s="201"/>
      <c r="AY131" s="201"/>
    </row>
    <row r="132" spans="5:51" x14ac:dyDescent="0.2">
      <c r="E132" s="204"/>
      <c r="F132" s="204"/>
      <c r="G132" s="204"/>
      <c r="H132" s="204"/>
      <c r="I132" s="204"/>
      <c r="J132" s="204"/>
      <c r="K132" s="204"/>
      <c r="L132" s="204"/>
      <c r="M132" s="204"/>
      <c r="N132" s="204"/>
      <c r="O132" s="204"/>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1"/>
      <c r="AP132" s="201"/>
      <c r="AQ132" s="201"/>
      <c r="AR132" s="201"/>
      <c r="AS132" s="201"/>
      <c r="AT132" s="201"/>
      <c r="AU132" s="201"/>
      <c r="AV132" s="201"/>
      <c r="AW132" s="201"/>
      <c r="AX132" s="201"/>
      <c r="AY132" s="201"/>
    </row>
    <row r="133" spans="5:51" x14ac:dyDescent="0.2">
      <c r="E133" s="204"/>
      <c r="F133" s="204"/>
      <c r="G133" s="204"/>
      <c r="H133" s="204"/>
      <c r="I133" s="204"/>
      <c r="J133" s="204"/>
      <c r="K133" s="204"/>
      <c r="L133" s="204"/>
      <c r="M133" s="204"/>
      <c r="N133" s="204"/>
      <c r="O133" s="204"/>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1"/>
      <c r="AP133" s="201"/>
      <c r="AQ133" s="201"/>
      <c r="AR133" s="201"/>
      <c r="AS133" s="201"/>
      <c r="AT133" s="201"/>
      <c r="AU133" s="201"/>
      <c r="AV133" s="201"/>
      <c r="AW133" s="201"/>
      <c r="AX133" s="201"/>
      <c r="AY133" s="201"/>
    </row>
    <row r="134" spans="5:51" x14ac:dyDescent="0.2">
      <c r="E134" s="204"/>
      <c r="F134" s="204"/>
      <c r="G134" s="204"/>
      <c r="H134" s="204"/>
      <c r="I134" s="204"/>
      <c r="J134" s="204"/>
      <c r="K134" s="204"/>
      <c r="L134" s="204"/>
      <c r="M134" s="204"/>
      <c r="N134" s="204"/>
      <c r="O134" s="204"/>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1"/>
      <c r="AP134" s="201"/>
      <c r="AQ134" s="201"/>
      <c r="AR134" s="201"/>
      <c r="AS134" s="201"/>
      <c r="AT134" s="201"/>
      <c r="AU134" s="201"/>
      <c r="AV134" s="201"/>
      <c r="AW134" s="201"/>
      <c r="AX134" s="201"/>
      <c r="AY134" s="201"/>
    </row>
    <row r="135" spans="5:51" x14ac:dyDescent="0.2">
      <c r="E135" s="204"/>
      <c r="F135" s="204"/>
      <c r="G135" s="204"/>
      <c r="H135" s="204"/>
      <c r="I135" s="204"/>
      <c r="J135" s="204"/>
      <c r="K135" s="204"/>
      <c r="L135" s="204"/>
      <c r="M135" s="204"/>
      <c r="N135" s="204"/>
      <c r="O135" s="204"/>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1"/>
      <c r="AP135" s="201"/>
      <c r="AQ135" s="201"/>
      <c r="AR135" s="201"/>
      <c r="AS135" s="201"/>
      <c r="AT135" s="201"/>
      <c r="AU135" s="201"/>
      <c r="AV135" s="201"/>
      <c r="AW135" s="201"/>
      <c r="AX135" s="201"/>
      <c r="AY135" s="201"/>
    </row>
    <row r="136" spans="5:51" x14ac:dyDescent="0.2">
      <c r="E136" s="204"/>
      <c r="F136" s="204"/>
      <c r="G136" s="204"/>
      <c r="H136" s="204"/>
      <c r="I136" s="204"/>
      <c r="J136" s="204"/>
      <c r="K136" s="204"/>
      <c r="L136" s="204"/>
      <c r="M136" s="204"/>
      <c r="N136" s="204"/>
      <c r="O136" s="204"/>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1"/>
      <c r="AP136" s="201"/>
      <c r="AQ136" s="201"/>
      <c r="AR136" s="201"/>
      <c r="AS136" s="201"/>
      <c r="AT136" s="201"/>
      <c r="AU136" s="201"/>
      <c r="AV136" s="201"/>
      <c r="AW136" s="201"/>
      <c r="AX136" s="201"/>
      <c r="AY136" s="201"/>
    </row>
    <row r="137" spans="5:51" x14ac:dyDescent="0.2">
      <c r="E137" s="204"/>
      <c r="F137" s="204"/>
      <c r="G137" s="204"/>
      <c r="H137" s="204"/>
      <c r="I137" s="204"/>
      <c r="J137" s="204"/>
      <c r="K137" s="204"/>
      <c r="L137" s="204"/>
      <c r="M137" s="204"/>
      <c r="N137" s="204"/>
      <c r="O137" s="204"/>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1"/>
      <c r="AP137" s="201"/>
      <c r="AQ137" s="201"/>
      <c r="AR137" s="201"/>
      <c r="AS137" s="201"/>
      <c r="AT137" s="201"/>
      <c r="AU137" s="201"/>
      <c r="AV137" s="201"/>
      <c r="AW137" s="201"/>
      <c r="AX137" s="201"/>
      <c r="AY137" s="201"/>
    </row>
    <row r="138" spans="5:51" x14ac:dyDescent="0.2">
      <c r="E138" s="204"/>
      <c r="F138" s="204"/>
      <c r="G138" s="204"/>
      <c r="H138" s="204"/>
      <c r="I138" s="204"/>
      <c r="J138" s="204"/>
      <c r="K138" s="204"/>
      <c r="L138" s="204"/>
      <c r="M138" s="204"/>
      <c r="N138" s="204"/>
      <c r="O138" s="204"/>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1"/>
      <c r="AP138" s="201"/>
      <c r="AQ138" s="201"/>
      <c r="AR138" s="201"/>
      <c r="AS138" s="201"/>
      <c r="AT138" s="201"/>
      <c r="AU138" s="201"/>
      <c r="AV138" s="201"/>
      <c r="AW138" s="201"/>
      <c r="AX138" s="201"/>
      <c r="AY138" s="201"/>
    </row>
    <row r="139" spans="5:51" x14ac:dyDescent="0.2">
      <c r="E139" s="204"/>
      <c r="F139" s="204"/>
      <c r="G139" s="204"/>
      <c r="H139" s="204"/>
      <c r="I139" s="204"/>
      <c r="J139" s="204"/>
      <c r="K139" s="204"/>
      <c r="L139" s="204"/>
      <c r="M139" s="204"/>
      <c r="N139" s="204"/>
      <c r="O139" s="204"/>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1"/>
      <c r="AP139" s="201"/>
      <c r="AQ139" s="201"/>
      <c r="AR139" s="201"/>
      <c r="AS139" s="201"/>
      <c r="AT139" s="201"/>
      <c r="AU139" s="201"/>
      <c r="AV139" s="201"/>
      <c r="AW139" s="201"/>
      <c r="AX139" s="201"/>
      <c r="AY139" s="201"/>
    </row>
    <row r="140" spans="5:51" x14ac:dyDescent="0.2">
      <c r="E140" s="204"/>
      <c r="F140" s="204"/>
      <c r="G140" s="204"/>
      <c r="H140" s="204"/>
      <c r="I140" s="204"/>
      <c r="J140" s="204"/>
      <c r="K140" s="204"/>
      <c r="L140" s="204"/>
      <c r="M140" s="204"/>
      <c r="N140" s="204"/>
      <c r="O140" s="204"/>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1"/>
      <c r="AP140" s="201"/>
      <c r="AQ140" s="201"/>
      <c r="AR140" s="201"/>
      <c r="AS140" s="201"/>
      <c r="AT140" s="201"/>
      <c r="AU140" s="201"/>
      <c r="AV140" s="201"/>
      <c r="AW140" s="201"/>
      <c r="AX140" s="201"/>
      <c r="AY140" s="201"/>
    </row>
    <row r="141" spans="5:51" x14ac:dyDescent="0.2">
      <c r="E141" s="204"/>
      <c r="F141" s="204"/>
      <c r="G141" s="204"/>
      <c r="H141" s="204"/>
      <c r="I141" s="204"/>
      <c r="J141" s="204"/>
      <c r="K141" s="204"/>
      <c r="L141" s="204"/>
      <c r="M141" s="204"/>
      <c r="N141" s="204"/>
      <c r="O141" s="204"/>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1"/>
      <c r="AP141" s="201"/>
      <c r="AQ141" s="201"/>
      <c r="AR141" s="201"/>
      <c r="AS141" s="201"/>
      <c r="AT141" s="201"/>
      <c r="AU141" s="201"/>
      <c r="AV141" s="201"/>
      <c r="AW141" s="201"/>
      <c r="AX141" s="201"/>
      <c r="AY141" s="201"/>
    </row>
    <row r="142" spans="5:51" x14ac:dyDescent="0.2">
      <c r="E142" s="204"/>
      <c r="F142" s="204"/>
      <c r="G142" s="204"/>
      <c r="H142" s="204"/>
      <c r="I142" s="204"/>
      <c r="J142" s="204"/>
      <c r="K142" s="204"/>
      <c r="L142" s="204"/>
      <c r="M142" s="204"/>
      <c r="N142" s="204"/>
      <c r="O142" s="204"/>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1"/>
      <c r="AP142" s="201"/>
      <c r="AQ142" s="201"/>
      <c r="AR142" s="201"/>
      <c r="AS142" s="201"/>
      <c r="AT142" s="201"/>
      <c r="AU142" s="201"/>
      <c r="AV142" s="201"/>
      <c r="AW142" s="201"/>
      <c r="AX142" s="201"/>
      <c r="AY142" s="201"/>
    </row>
    <row r="143" spans="5:51" x14ac:dyDescent="0.2">
      <c r="E143" s="204"/>
      <c r="F143" s="204"/>
      <c r="G143" s="204"/>
      <c r="H143" s="204"/>
      <c r="I143" s="204"/>
      <c r="J143" s="204"/>
      <c r="K143" s="204"/>
      <c r="L143" s="204"/>
      <c r="M143" s="204"/>
      <c r="N143" s="204"/>
      <c r="O143" s="204"/>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1"/>
      <c r="AP143" s="201"/>
      <c r="AQ143" s="201"/>
      <c r="AR143" s="201"/>
      <c r="AS143" s="201"/>
      <c r="AT143" s="201"/>
      <c r="AU143" s="201"/>
      <c r="AV143" s="201"/>
      <c r="AW143" s="201"/>
      <c r="AX143" s="201"/>
      <c r="AY143" s="201"/>
    </row>
    <row r="144" spans="5:51" x14ac:dyDescent="0.2">
      <c r="E144" s="204"/>
      <c r="F144" s="204"/>
      <c r="G144" s="204"/>
      <c r="H144" s="204"/>
      <c r="I144" s="204"/>
      <c r="J144" s="204"/>
      <c r="K144" s="204"/>
      <c r="L144" s="204"/>
      <c r="M144" s="204"/>
      <c r="N144" s="204"/>
      <c r="O144" s="204"/>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1"/>
      <c r="AP144" s="201"/>
      <c r="AQ144" s="201"/>
      <c r="AR144" s="201"/>
      <c r="AS144" s="201"/>
      <c r="AT144" s="201"/>
      <c r="AU144" s="201"/>
      <c r="AV144" s="201"/>
      <c r="AW144" s="201"/>
      <c r="AX144" s="201"/>
      <c r="AY144" s="201"/>
    </row>
    <row r="145" spans="5:51" x14ac:dyDescent="0.2">
      <c r="E145" s="204"/>
      <c r="F145" s="204"/>
      <c r="G145" s="204"/>
      <c r="H145" s="204"/>
      <c r="I145" s="204"/>
      <c r="J145" s="204"/>
      <c r="K145" s="204"/>
      <c r="L145" s="204"/>
      <c r="M145" s="204"/>
      <c r="N145" s="204"/>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1"/>
      <c r="AP145" s="201"/>
      <c r="AQ145" s="201"/>
      <c r="AR145" s="201"/>
      <c r="AS145" s="201"/>
      <c r="AT145" s="201"/>
      <c r="AU145" s="201"/>
      <c r="AV145" s="201"/>
      <c r="AW145" s="201"/>
      <c r="AX145" s="201"/>
      <c r="AY145" s="201"/>
    </row>
    <row r="146" spans="5:51" x14ac:dyDescent="0.2">
      <c r="E146" s="204"/>
      <c r="F146" s="204"/>
      <c r="G146" s="204"/>
      <c r="H146" s="204"/>
      <c r="I146" s="204"/>
      <c r="J146" s="204"/>
      <c r="K146" s="204"/>
      <c r="L146" s="204"/>
      <c r="M146" s="204"/>
      <c r="N146" s="204"/>
      <c r="O146" s="204"/>
      <c r="P146" s="204"/>
      <c r="Q146" s="204"/>
      <c r="R146" s="204"/>
      <c r="S146" s="204"/>
      <c r="T146" s="204"/>
      <c r="U146" s="204"/>
      <c r="V146" s="204"/>
      <c r="W146" s="204"/>
      <c r="X146" s="204"/>
      <c r="Y146" s="204"/>
      <c r="Z146" s="204"/>
      <c r="AA146" s="204"/>
      <c r="AB146" s="204"/>
      <c r="AC146" s="204"/>
      <c r="AD146" s="204"/>
      <c r="AE146" s="204"/>
      <c r="AF146" s="204"/>
      <c r="AG146" s="204"/>
      <c r="AH146" s="204"/>
      <c r="AI146" s="204"/>
      <c r="AJ146" s="204"/>
      <c r="AK146" s="204"/>
      <c r="AL146" s="204"/>
      <c r="AM146" s="204"/>
      <c r="AN146" s="204"/>
      <c r="AO146" s="201"/>
      <c r="AP146" s="201"/>
      <c r="AQ146" s="201"/>
      <c r="AR146" s="201"/>
      <c r="AS146" s="201"/>
      <c r="AT146" s="201"/>
      <c r="AU146" s="201"/>
      <c r="AV146" s="201"/>
      <c r="AW146" s="201"/>
      <c r="AX146" s="201"/>
      <c r="AY146" s="201"/>
    </row>
    <row r="147" spans="5:51" x14ac:dyDescent="0.2">
      <c r="E147" s="204"/>
      <c r="F147" s="204"/>
      <c r="G147" s="204"/>
      <c r="H147" s="204"/>
      <c r="I147" s="204"/>
      <c r="J147" s="204"/>
      <c r="K147" s="204"/>
      <c r="L147" s="204"/>
      <c r="M147" s="204"/>
      <c r="N147" s="204"/>
      <c r="O147" s="204"/>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1"/>
      <c r="AP147" s="201"/>
      <c r="AQ147" s="201"/>
      <c r="AR147" s="201"/>
      <c r="AS147" s="201"/>
      <c r="AT147" s="201"/>
      <c r="AU147" s="201"/>
      <c r="AV147" s="201"/>
      <c r="AW147" s="201"/>
      <c r="AX147" s="201"/>
      <c r="AY147" s="201"/>
    </row>
    <row r="148" spans="5:51" x14ac:dyDescent="0.2">
      <c r="E148" s="204"/>
      <c r="F148" s="204"/>
      <c r="G148" s="204"/>
      <c r="H148" s="204"/>
      <c r="I148" s="204"/>
      <c r="J148" s="204"/>
      <c r="K148" s="204"/>
      <c r="L148" s="204"/>
      <c r="M148" s="204"/>
      <c r="N148" s="204"/>
      <c r="O148" s="204"/>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1"/>
      <c r="AP148" s="201"/>
      <c r="AQ148" s="201"/>
      <c r="AR148" s="201"/>
      <c r="AS148" s="201"/>
      <c r="AT148" s="201"/>
      <c r="AU148" s="201"/>
      <c r="AV148" s="201"/>
      <c r="AW148" s="201"/>
      <c r="AX148" s="201"/>
      <c r="AY148" s="201"/>
    </row>
    <row r="149" spans="5:51" x14ac:dyDescent="0.2">
      <c r="E149" s="204"/>
      <c r="F149" s="204"/>
      <c r="G149" s="204"/>
      <c r="H149" s="204"/>
      <c r="I149" s="204"/>
      <c r="J149" s="204"/>
      <c r="K149" s="204"/>
      <c r="L149" s="204"/>
      <c r="M149" s="204"/>
      <c r="N149" s="204"/>
      <c r="O149" s="204"/>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1"/>
      <c r="AP149" s="201"/>
      <c r="AQ149" s="201"/>
      <c r="AR149" s="201"/>
      <c r="AS149" s="201"/>
      <c r="AT149" s="201"/>
      <c r="AU149" s="201"/>
      <c r="AV149" s="201"/>
      <c r="AW149" s="201"/>
      <c r="AX149" s="201"/>
      <c r="AY149" s="201"/>
    </row>
    <row r="150" spans="5:51" x14ac:dyDescent="0.2">
      <c r="E150" s="204"/>
      <c r="F150" s="204"/>
      <c r="G150" s="204"/>
      <c r="H150" s="204"/>
      <c r="I150" s="204"/>
      <c r="J150" s="204"/>
      <c r="K150" s="204"/>
      <c r="L150" s="204"/>
      <c r="M150" s="204"/>
      <c r="N150" s="204"/>
      <c r="O150" s="204"/>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1"/>
      <c r="AP150" s="201"/>
      <c r="AQ150" s="201"/>
      <c r="AR150" s="201"/>
      <c r="AS150" s="201"/>
      <c r="AT150" s="201"/>
      <c r="AU150" s="201"/>
      <c r="AV150" s="201"/>
      <c r="AW150" s="201"/>
      <c r="AX150" s="201"/>
      <c r="AY150" s="201"/>
    </row>
    <row r="151" spans="5:51" x14ac:dyDescent="0.2">
      <c r="E151" s="204"/>
      <c r="F151" s="204"/>
      <c r="G151" s="204"/>
      <c r="H151" s="204"/>
      <c r="I151" s="204"/>
      <c r="J151" s="204"/>
      <c r="K151" s="204"/>
      <c r="L151" s="204"/>
      <c r="M151" s="204"/>
      <c r="N151" s="204"/>
      <c r="O151" s="204"/>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1"/>
      <c r="AP151" s="201"/>
      <c r="AQ151" s="201"/>
      <c r="AR151" s="201"/>
      <c r="AS151" s="201"/>
      <c r="AT151" s="201"/>
      <c r="AU151" s="201"/>
      <c r="AV151" s="201"/>
      <c r="AW151" s="201"/>
      <c r="AX151" s="201"/>
      <c r="AY151" s="201"/>
    </row>
    <row r="152" spans="5:51" x14ac:dyDescent="0.2">
      <c r="E152" s="204"/>
      <c r="F152" s="204"/>
      <c r="G152" s="204"/>
      <c r="H152" s="204"/>
      <c r="I152" s="204"/>
      <c r="J152" s="204"/>
      <c r="K152" s="204"/>
      <c r="L152" s="204"/>
      <c r="M152" s="204"/>
      <c r="N152" s="204"/>
      <c r="O152" s="204"/>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1"/>
      <c r="AP152" s="201"/>
      <c r="AQ152" s="201"/>
      <c r="AR152" s="201"/>
      <c r="AS152" s="201"/>
      <c r="AT152" s="201"/>
      <c r="AU152" s="201"/>
      <c r="AV152" s="201"/>
      <c r="AW152" s="201"/>
      <c r="AX152" s="201"/>
      <c r="AY152" s="201"/>
    </row>
    <row r="153" spans="5:51" x14ac:dyDescent="0.2">
      <c r="E153" s="204"/>
      <c r="F153" s="204"/>
      <c r="G153" s="204"/>
      <c r="H153" s="204"/>
      <c r="I153" s="204"/>
      <c r="J153" s="204"/>
      <c r="K153" s="204"/>
      <c r="L153" s="204"/>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1"/>
      <c r="AP153" s="201"/>
      <c r="AQ153" s="201"/>
      <c r="AR153" s="201"/>
      <c r="AS153" s="201"/>
      <c r="AT153" s="201"/>
      <c r="AU153" s="201"/>
      <c r="AV153" s="201"/>
      <c r="AW153" s="201"/>
      <c r="AX153" s="201"/>
      <c r="AY153" s="201"/>
    </row>
    <row r="154" spans="5:51" x14ac:dyDescent="0.2">
      <c r="E154" s="204"/>
      <c r="F154" s="204"/>
      <c r="G154" s="204"/>
      <c r="H154" s="204"/>
      <c r="I154" s="204"/>
      <c r="J154" s="204"/>
      <c r="K154" s="204"/>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1"/>
      <c r="AP154" s="201"/>
      <c r="AQ154" s="201"/>
      <c r="AR154" s="201"/>
      <c r="AS154" s="201"/>
      <c r="AT154" s="201"/>
      <c r="AU154" s="201"/>
      <c r="AV154" s="201"/>
      <c r="AW154" s="201"/>
      <c r="AX154" s="201"/>
      <c r="AY154" s="201"/>
    </row>
    <row r="155" spans="5:51" x14ac:dyDescent="0.2">
      <c r="E155" s="204"/>
      <c r="F155" s="204"/>
      <c r="G155" s="204"/>
      <c r="H155" s="204"/>
      <c r="I155" s="204"/>
      <c r="J155" s="204"/>
      <c r="K155" s="204"/>
      <c r="L155" s="204"/>
      <c r="M155" s="204"/>
      <c r="N155" s="204"/>
      <c r="O155" s="204"/>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1"/>
      <c r="AP155" s="201"/>
      <c r="AQ155" s="201"/>
      <c r="AR155" s="201"/>
      <c r="AS155" s="201"/>
      <c r="AT155" s="201"/>
      <c r="AU155" s="201"/>
      <c r="AV155" s="201"/>
      <c r="AW155" s="201"/>
      <c r="AX155" s="201"/>
      <c r="AY155" s="201"/>
    </row>
    <row r="156" spans="5:51" x14ac:dyDescent="0.2">
      <c r="E156" s="204"/>
      <c r="F156" s="204"/>
      <c r="G156" s="204"/>
      <c r="H156" s="204"/>
      <c r="I156" s="204"/>
      <c r="J156" s="204"/>
      <c r="K156" s="204"/>
      <c r="L156" s="204"/>
      <c r="M156" s="204"/>
      <c r="N156" s="204"/>
      <c r="O156" s="204"/>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1"/>
      <c r="AP156" s="201"/>
      <c r="AQ156" s="201"/>
      <c r="AR156" s="201"/>
      <c r="AS156" s="201"/>
      <c r="AT156" s="201"/>
      <c r="AU156" s="201"/>
      <c r="AV156" s="201"/>
      <c r="AW156" s="201"/>
      <c r="AX156" s="201"/>
      <c r="AY156" s="201"/>
    </row>
    <row r="157" spans="5:51" x14ac:dyDescent="0.2">
      <c r="E157" s="204"/>
      <c r="F157" s="204"/>
      <c r="G157" s="204"/>
      <c r="H157" s="204"/>
      <c r="I157" s="204"/>
      <c r="J157" s="204"/>
      <c r="K157" s="204"/>
      <c r="L157" s="204"/>
      <c r="M157" s="204"/>
      <c r="N157" s="204"/>
      <c r="O157" s="204"/>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1"/>
      <c r="AP157" s="201"/>
      <c r="AQ157" s="201"/>
      <c r="AR157" s="201"/>
      <c r="AS157" s="201"/>
      <c r="AT157" s="201"/>
      <c r="AU157" s="201"/>
      <c r="AV157" s="201"/>
      <c r="AW157" s="201"/>
      <c r="AX157" s="201"/>
      <c r="AY157" s="201"/>
    </row>
    <row r="158" spans="5:51" x14ac:dyDescent="0.2">
      <c r="E158" s="204"/>
      <c r="F158" s="204"/>
      <c r="G158" s="204"/>
      <c r="H158" s="204"/>
      <c r="I158" s="204"/>
      <c r="J158" s="204"/>
      <c r="K158" s="204"/>
      <c r="L158" s="204"/>
      <c r="M158" s="204"/>
      <c r="N158" s="204"/>
      <c r="O158" s="204"/>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1"/>
      <c r="AP158" s="201"/>
      <c r="AQ158" s="201"/>
      <c r="AR158" s="201"/>
      <c r="AS158" s="201"/>
      <c r="AT158" s="201"/>
      <c r="AU158" s="201"/>
      <c r="AV158" s="201"/>
      <c r="AW158" s="201"/>
      <c r="AX158" s="201"/>
      <c r="AY158" s="201"/>
    </row>
    <row r="159" spans="5:51" x14ac:dyDescent="0.2">
      <c r="E159" s="204"/>
      <c r="F159" s="204"/>
      <c r="G159" s="204"/>
      <c r="H159" s="204"/>
      <c r="I159" s="204"/>
      <c r="J159" s="204"/>
      <c r="K159" s="204"/>
      <c r="L159" s="204"/>
      <c r="M159" s="204"/>
      <c r="N159" s="204"/>
      <c r="O159" s="204"/>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1"/>
      <c r="AP159" s="201"/>
      <c r="AQ159" s="201"/>
      <c r="AR159" s="201"/>
      <c r="AS159" s="201"/>
      <c r="AT159" s="201"/>
      <c r="AU159" s="201"/>
      <c r="AV159" s="201"/>
      <c r="AW159" s="201"/>
      <c r="AX159" s="201"/>
      <c r="AY159" s="201"/>
    </row>
    <row r="160" spans="5:51" x14ac:dyDescent="0.2">
      <c r="E160" s="204"/>
      <c r="F160" s="204"/>
      <c r="G160" s="204"/>
      <c r="H160" s="204"/>
      <c r="I160" s="204"/>
      <c r="J160" s="204"/>
      <c r="K160" s="204"/>
      <c r="L160" s="204"/>
      <c r="M160" s="204"/>
      <c r="N160" s="204"/>
      <c r="O160" s="204"/>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1"/>
      <c r="AP160" s="201"/>
      <c r="AQ160" s="201"/>
      <c r="AR160" s="201"/>
      <c r="AS160" s="201"/>
      <c r="AT160" s="201"/>
      <c r="AU160" s="201"/>
      <c r="AV160" s="201"/>
      <c r="AW160" s="201"/>
      <c r="AX160" s="201"/>
      <c r="AY160" s="201"/>
    </row>
    <row r="161" spans="5:40" x14ac:dyDescent="0.2">
      <c r="E161" s="204"/>
      <c r="F161" s="204"/>
      <c r="G161" s="204"/>
      <c r="H161" s="204"/>
      <c r="I161" s="204"/>
      <c r="J161" s="204"/>
      <c r="K161" s="204"/>
      <c r="L161" s="204"/>
      <c r="M161" s="204"/>
      <c r="N161" s="204"/>
      <c r="O161" s="204"/>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F20 P20 X20 AR31:AS31" formulaRange="1"/>
    <ignoredError sqref="AI32" formula="1"/>
  </ignoredErrors>
  <drawing r:id="rId2"/>
  <legacy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ilha7">
    <pageSetUpPr autoPageBreaks="0"/>
  </sheetPr>
  <dimension ref="A1:P223"/>
  <sheetViews>
    <sheetView showGridLines="0" zoomScale="101" zoomScaleNormal="100" workbookViewId="0">
      <pane xSplit="3" ySplit="5" topLeftCell="D190" activePane="bottomRight" state="frozen"/>
      <selection activeCell="AY7" sqref="AY7"/>
      <selection pane="topRight" activeCell="AY7" sqref="AY7"/>
      <selection pane="bottomLeft" activeCell="AY7" sqref="AY7"/>
      <selection pane="bottomRight" activeCell="M224" sqref="M224"/>
    </sheetView>
  </sheetViews>
  <sheetFormatPr defaultColWidth="9.140625" defaultRowHeight="12.75" outlineLevelRow="1" x14ac:dyDescent="0.2"/>
  <cols>
    <col min="1" max="1" width="9.140625" style="532" hidden="1" customWidth="1"/>
    <col min="2" max="2" width="7.85546875" style="532" hidden="1" customWidth="1"/>
    <col min="3" max="3" width="1.5703125" customWidth="1"/>
    <col min="4" max="4" width="40.85546875" bestFit="1" customWidth="1"/>
    <col min="5" max="6" width="10.85546875" customWidth="1"/>
    <col min="7" max="7" width="12.85546875" customWidth="1"/>
    <col min="8" max="8" width="10.85546875" customWidth="1"/>
    <col min="9" max="10" width="9.140625" style="532" hidden="1" customWidth="1"/>
    <col min="11" max="11" width="3.140625" style="532" customWidth="1"/>
    <col min="12" max="12" width="40.85546875" style="532" customWidth="1"/>
    <col min="13" max="14" width="10.85546875" style="532" customWidth="1"/>
    <col min="15" max="15" width="12.85546875" style="532" customWidth="1"/>
    <col min="16" max="16" width="10.85546875" style="532" customWidth="1"/>
    <col min="17" max="16384" width="9.140625" style="532"/>
  </cols>
  <sheetData>
    <row r="1" spans="1:16" s="612" customFormat="1" ht="7.5" customHeight="1" x14ac:dyDescent="0.2">
      <c r="C1" s="547"/>
      <c r="D1" s="547"/>
      <c r="E1" s="547" t="s">
        <v>1437</v>
      </c>
      <c r="F1" s="547" t="s">
        <v>109</v>
      </c>
      <c r="G1" s="547" t="s">
        <v>1438</v>
      </c>
      <c r="H1" s="547" t="s">
        <v>1196</v>
      </c>
      <c r="M1" s="547" t="s">
        <v>1437</v>
      </c>
      <c r="N1" s="547" t="s">
        <v>109</v>
      </c>
      <c r="O1" s="547" t="s">
        <v>1438</v>
      </c>
      <c r="P1" s="547" t="s">
        <v>1196</v>
      </c>
    </row>
    <row r="2" spans="1:16" s="747" customFormat="1" ht="12.75" customHeight="1" x14ac:dyDescent="0.2">
      <c r="C2" s="547"/>
      <c r="D2" s="547"/>
      <c r="E2" s="547" t="s">
        <v>1454</v>
      </c>
      <c r="F2" s="547" t="s">
        <v>1118</v>
      </c>
      <c r="G2" s="547" t="s">
        <v>1455</v>
      </c>
      <c r="H2" s="547" t="s">
        <v>1196</v>
      </c>
      <c r="M2" s="547" t="s">
        <v>1454</v>
      </c>
      <c r="N2" s="547" t="s">
        <v>1118</v>
      </c>
      <c r="O2" s="547" t="s">
        <v>1455</v>
      </c>
      <c r="P2" s="547" t="s">
        <v>1196</v>
      </c>
    </row>
    <row r="5" spans="1:16" ht="25.5" x14ac:dyDescent="0.2">
      <c r="A5" s="532" t="s">
        <v>97</v>
      </c>
      <c r="B5" s="532" t="s">
        <v>872</v>
      </c>
      <c r="D5" s="141" t="str">
        <f>IF([1]RENAME!$H$3=1,B5,A5)</f>
        <v>Controladora</v>
      </c>
      <c r="E5" s="139" t="str">
        <f>IF([1]RENAME!$H$3=1,E2,E1)</f>
        <v>Imóveis</v>
      </c>
      <c r="F5" s="139" t="str">
        <f>IF([1]RENAME!$H$3=1,F2,F1)</f>
        <v>Veículos</v>
      </c>
      <c r="G5" s="139" t="str">
        <f>IF([1]RENAME!$H$3=1,G2,G1)</f>
        <v>Maquinas e equipamentos</v>
      </c>
      <c r="H5" s="139" t="str">
        <f>IF([1]RENAME!$H$3=1,H2,H1)</f>
        <v xml:space="preserve">Total </v>
      </c>
      <c r="I5" s="532" t="s">
        <v>96</v>
      </c>
      <c r="J5" s="532" t="s">
        <v>866</v>
      </c>
      <c r="L5" s="141" t="str">
        <f>IF([1]RENAME!$H$3=1,J5,I5)</f>
        <v>Consolidado</v>
      </c>
      <c r="M5" s="139" t="str">
        <f>IF([1]RENAME!$H$3=1,M2,M1)</f>
        <v>Imóveis</v>
      </c>
      <c r="N5" s="139" t="str">
        <f>IF([1]RENAME!$H$3=1,N2,N1)</f>
        <v>Veículos</v>
      </c>
      <c r="O5" s="139" t="str">
        <f>IF([1]RENAME!$H$3=1,O2,O1)</f>
        <v>Maquinas e equipamentos</v>
      </c>
      <c r="P5" s="139" t="str">
        <f>IF([1]RENAME!$H$3=1,P2,P1)</f>
        <v xml:space="preserve">Total </v>
      </c>
    </row>
    <row r="6" spans="1:16" x14ac:dyDescent="0.2">
      <c r="A6" s="532" t="s">
        <v>1393</v>
      </c>
      <c r="B6" s="532" t="s">
        <v>1452</v>
      </c>
      <c r="D6" s="126" t="str">
        <f>IF([1]RENAME!$H$3=1,B6,A6)</f>
        <v>Em 30 de dezembro de 2018</v>
      </c>
      <c r="E6" s="120" t="s">
        <v>160</v>
      </c>
      <c r="F6" s="120">
        <v>0</v>
      </c>
      <c r="G6" s="120" t="s">
        <v>1677</v>
      </c>
      <c r="H6" s="120">
        <f>SUM(E6:G6)</f>
        <v>0</v>
      </c>
      <c r="L6" s="126" t="str">
        <f>IF([1]RENAME!$H$3=1,B6,A6)</f>
        <v>Em 30 de dezembro de 2018</v>
      </c>
      <c r="M6" s="120">
        <v>0</v>
      </c>
      <c r="N6" s="120">
        <v>0</v>
      </c>
      <c r="O6" s="120">
        <v>0</v>
      </c>
      <c r="P6" s="120">
        <v>0</v>
      </c>
    </row>
    <row r="7" spans="1:16" s="606" customFormat="1" x14ac:dyDescent="0.2">
      <c r="C7"/>
      <c r="D7" s="149"/>
      <c r="E7" s="150"/>
      <c r="F7" s="150"/>
      <c r="G7" s="150"/>
      <c r="H7" s="150"/>
      <c r="L7" s="149"/>
      <c r="M7" s="150"/>
      <c r="N7" s="150"/>
      <c r="O7" s="150"/>
      <c r="P7" s="150"/>
    </row>
    <row r="8" spans="1:16" outlineLevel="1" x14ac:dyDescent="0.2">
      <c r="A8" s="532" t="s">
        <v>1439</v>
      </c>
      <c r="B8" s="532" t="s">
        <v>1453</v>
      </c>
      <c r="D8" s="129" t="str">
        <f>IF([1]RENAME!$H$3=1,B8,A8)</f>
        <v xml:space="preserve">Movimentações </v>
      </c>
      <c r="E8" s="118"/>
      <c r="F8" s="118"/>
      <c r="G8" s="118"/>
      <c r="H8" s="118"/>
      <c r="L8" s="129" t="str">
        <f>IF([1]RENAME!$H$3=1,B8,A8)</f>
        <v xml:space="preserve">Movimentações </v>
      </c>
      <c r="M8" s="118"/>
      <c r="N8" s="118"/>
      <c r="O8" s="118"/>
      <c r="P8" s="118"/>
    </row>
    <row r="9" spans="1:16" outlineLevel="1" x14ac:dyDescent="0.2">
      <c r="A9" s="532" t="s">
        <v>1533</v>
      </c>
      <c r="B9" s="532" t="s">
        <v>1534</v>
      </c>
      <c r="D9" s="129" t="str">
        <f>IF([1]RENAME!$H$3=1,B9,A9)</f>
        <v>Adoção Inicial</v>
      </c>
      <c r="E9" s="118">
        <v>42207.917499999996</v>
      </c>
      <c r="F9" s="118">
        <v>2158.0349999999999</v>
      </c>
      <c r="G9" s="118">
        <v>688.79250000000002</v>
      </c>
      <c r="H9" s="118">
        <f>+SUM(E9:G9)</f>
        <v>45054.745000000003</v>
      </c>
      <c r="L9" s="129" t="str">
        <f>IF([1]RENAME!$H$3=1,B9,A9)</f>
        <v>Adoção Inicial</v>
      </c>
      <c r="M9" s="118">
        <v>59158.924999999996</v>
      </c>
      <c r="N9" s="118">
        <v>3718.9349999999999</v>
      </c>
      <c r="O9" s="118">
        <v>5208.1424999999999</v>
      </c>
      <c r="P9" s="118">
        <f>+SUM(M9:O9)</f>
        <v>68086.002499999988</v>
      </c>
    </row>
    <row r="10" spans="1:16" outlineLevel="1" x14ac:dyDescent="0.2">
      <c r="A10" s="532" t="s">
        <v>189</v>
      </c>
      <c r="B10" s="532" t="s">
        <v>1123</v>
      </c>
      <c r="D10" s="129" t="str">
        <f>IF([1]RENAME!$H$3=1,B10,A10)</f>
        <v>Adições</v>
      </c>
      <c r="E10" s="118">
        <v>6420.5625</v>
      </c>
      <c r="F10" s="118">
        <v>0</v>
      </c>
      <c r="G10" s="118">
        <v>0</v>
      </c>
      <c r="H10" s="118">
        <f>+SUM(E10:G10)</f>
        <v>6420.5625</v>
      </c>
      <c r="L10" s="129" t="str">
        <f>IF([1]RENAME!$H$3=1,B10,A10)</f>
        <v>Adições</v>
      </c>
      <c r="M10" s="118">
        <v>6830.7524999999996</v>
      </c>
      <c r="N10" s="118">
        <v>0</v>
      </c>
      <c r="O10" s="118">
        <v>0</v>
      </c>
      <c r="P10" s="118">
        <f>+SUM(M10:O10)</f>
        <v>6830.7524999999996</v>
      </c>
    </row>
    <row r="11" spans="1:16" outlineLevel="1" x14ac:dyDescent="0.2">
      <c r="A11" s="532" t="s">
        <v>1440</v>
      </c>
      <c r="B11" s="532" t="s">
        <v>1535</v>
      </c>
      <c r="D11" s="129" t="str">
        <f>IF([1]RENAME!$H$3=1,B11,A11)</f>
        <v>Baixas</v>
      </c>
      <c r="E11" s="118">
        <v>0</v>
      </c>
      <c r="F11" s="118">
        <v>0</v>
      </c>
      <c r="G11" s="118">
        <v>0</v>
      </c>
      <c r="H11" s="118">
        <f>+SUM(E11:G11)</f>
        <v>0</v>
      </c>
      <c r="L11" s="129" t="str">
        <f>IF([1]RENAME!$H$3=1,B11,A11)</f>
        <v>Baixas</v>
      </c>
      <c r="M11" s="118">
        <v>-193.29749999999999</v>
      </c>
      <c r="N11" s="118">
        <v>0</v>
      </c>
      <c r="O11" s="118">
        <v>0</v>
      </c>
      <c r="P11" s="118">
        <f>+SUM(M11:O11)</f>
        <v>-193.29749999999999</v>
      </c>
    </row>
    <row r="12" spans="1:16" outlineLevel="1" x14ac:dyDescent="0.2">
      <c r="A12" s="532" t="s">
        <v>247</v>
      </c>
      <c r="B12" s="532" t="s">
        <v>1124</v>
      </c>
      <c r="D12" s="129" t="str">
        <f>IF([1]RENAME!$H$3=1,B12,A12)</f>
        <v>Amortização</v>
      </c>
      <c r="E12" s="118">
        <v>-5121</v>
      </c>
      <c r="F12" s="118">
        <v>-317</v>
      </c>
      <c r="G12" s="118">
        <v>-72</v>
      </c>
      <c r="H12" s="118">
        <f>+SUM(E12:G12)</f>
        <v>-5510</v>
      </c>
      <c r="L12" s="129" t="str">
        <f>IF([1]RENAME!$H$3=1,B12,A12)</f>
        <v>Amortização</v>
      </c>
      <c r="M12" s="118">
        <v>-7808</v>
      </c>
      <c r="N12" s="118">
        <v>-791</v>
      </c>
      <c r="O12" s="118">
        <v>-331</v>
      </c>
      <c r="P12" s="118">
        <f>+SUM(M12:O12)</f>
        <v>-8930</v>
      </c>
    </row>
    <row r="13" spans="1:16" ht="13.5" customHeight="1" x14ac:dyDescent="0.2">
      <c r="A13" s="532" t="s">
        <v>1424</v>
      </c>
      <c r="B13" s="532" t="s">
        <v>1425</v>
      </c>
      <c r="D13" s="126" t="str">
        <f>IF([1]RENAME!$H$3=1,B13,A13)</f>
        <v>Em 31 de março de 2019</v>
      </c>
      <c r="E13" s="120">
        <f>SUM(E6:E12)</f>
        <v>43507.479999999996</v>
      </c>
      <c r="F13" s="120">
        <f>SUM(F6:F12)</f>
        <v>1841.0349999999999</v>
      </c>
      <c r="G13" s="120">
        <f>SUM(G6:G12)</f>
        <v>616.79250000000002</v>
      </c>
      <c r="H13" s="120">
        <f>SUM(H6:H12)</f>
        <v>45965.307500000003</v>
      </c>
      <c r="L13" s="126" t="str">
        <f>IF([1]RENAME!$H$3=1,B13,A13)</f>
        <v>Em 31 de março de 2019</v>
      </c>
      <c r="M13" s="120">
        <f>SUM(M6:M12)</f>
        <v>57988.37999999999</v>
      </c>
      <c r="N13" s="120">
        <f>SUM(N6:N12)</f>
        <v>2927.9349999999999</v>
      </c>
      <c r="O13" s="120">
        <f>SUM(O6:O12)</f>
        <v>4877.1424999999999</v>
      </c>
      <c r="P13" s="120">
        <f>SUM(P6:P12)</f>
        <v>65793.45749999999</v>
      </c>
    </row>
    <row r="14" spans="1:16" s="606" customFormat="1" x14ac:dyDescent="0.2">
      <c r="C14"/>
      <c r="D14" s="149"/>
      <c r="E14" s="150"/>
      <c r="F14" s="150"/>
      <c r="G14" s="150"/>
      <c r="H14" s="150"/>
      <c r="L14" s="149"/>
      <c r="M14" s="150"/>
      <c r="N14" s="150"/>
      <c r="O14" s="150"/>
      <c r="P14" s="150"/>
    </row>
    <row r="15" spans="1:16" outlineLevel="1" x14ac:dyDescent="0.2">
      <c r="A15" s="532" t="s">
        <v>1439</v>
      </c>
      <c r="B15" s="532" t="s">
        <v>1453</v>
      </c>
      <c r="D15" s="129" t="str">
        <f>IF([1]RENAME!$H$3=1,B15,A15)</f>
        <v xml:space="preserve">Movimentações </v>
      </c>
      <c r="E15" s="118"/>
      <c r="F15" s="118"/>
      <c r="G15" s="118"/>
      <c r="H15" s="118"/>
      <c r="L15" s="129" t="str">
        <f>IF([1]RENAME!$H$3=1,B15,A15)</f>
        <v xml:space="preserve">Movimentações </v>
      </c>
      <c r="M15" s="118"/>
      <c r="N15" s="118"/>
      <c r="O15" s="118"/>
      <c r="P15" s="118"/>
    </row>
    <row r="16" spans="1:16" outlineLevel="1" x14ac:dyDescent="0.2">
      <c r="A16" s="532" t="s">
        <v>1533</v>
      </c>
      <c r="B16" s="532" t="s">
        <v>1534</v>
      </c>
      <c r="D16" s="129" t="str">
        <f>IF([1]RENAME!$H$3=1,B16,A16)</f>
        <v>Adoção Inicial</v>
      </c>
      <c r="E16" s="118">
        <v>-0.91749999999592546</v>
      </c>
      <c r="F16" s="118">
        <v>-3.4999999999854481E-2</v>
      </c>
      <c r="G16" s="118">
        <v>0.20749999999998181</v>
      </c>
      <c r="H16" s="118">
        <f>+SUM(E16:G16)</f>
        <v>-0.74499999999579813</v>
      </c>
      <c r="L16" s="129" t="str">
        <f>IF([1]RENAME!$H$3=1,B16,A16)</f>
        <v>Adoção Inicial</v>
      </c>
      <c r="M16" s="118">
        <v>2199.0750000000044</v>
      </c>
      <c r="N16" s="118">
        <v>-1443.9349999999999</v>
      </c>
      <c r="O16" s="118">
        <v>-754.14249999999993</v>
      </c>
      <c r="P16" s="118">
        <f>+SUM(M16:O16)</f>
        <v>0.9975000000044929</v>
      </c>
    </row>
    <row r="17" spans="1:16" outlineLevel="1" x14ac:dyDescent="0.2">
      <c r="A17" s="532" t="s">
        <v>189</v>
      </c>
      <c r="B17" s="532" t="s">
        <v>1123</v>
      </c>
      <c r="D17" s="129" t="str">
        <f>IF([1]RENAME!$H$3=1,B17,A17)</f>
        <v>Adições</v>
      </c>
      <c r="E17" s="118">
        <v>17398.4375</v>
      </c>
      <c r="F17" s="118">
        <v>220</v>
      </c>
      <c r="G17" s="118">
        <v>0</v>
      </c>
      <c r="H17" s="118">
        <f>+SUM(E17:G17)</f>
        <v>17618.4375</v>
      </c>
      <c r="L17" s="129" t="str">
        <f>IF([1]RENAME!$H$3=1,B17,A17)</f>
        <v>Adições</v>
      </c>
      <c r="M17" s="118">
        <v>22829.247500000001</v>
      </c>
      <c r="N17" s="118">
        <v>233</v>
      </c>
      <c r="O17" s="118">
        <v>0</v>
      </c>
      <c r="P17" s="118">
        <f>+SUM(M17:O17)</f>
        <v>23062.247500000001</v>
      </c>
    </row>
    <row r="18" spans="1:16" outlineLevel="1" x14ac:dyDescent="0.2">
      <c r="A18" s="532" t="s">
        <v>1440</v>
      </c>
      <c r="B18" s="532" t="s">
        <v>1535</v>
      </c>
      <c r="D18" s="129" t="str">
        <f>IF([1]RENAME!$H$3=1,B18,A18)</f>
        <v>Baixas</v>
      </c>
      <c r="E18" s="118">
        <v>0</v>
      </c>
      <c r="F18" s="118">
        <v>0</v>
      </c>
      <c r="G18" s="118">
        <v>0</v>
      </c>
      <c r="H18" s="118">
        <f>+SUM(E18:G18)</f>
        <v>0</v>
      </c>
      <c r="L18" s="129" t="str">
        <f>IF([1]RENAME!$H$3=1,B18,A18)</f>
        <v>Baixas</v>
      </c>
      <c r="M18" s="118">
        <v>-18.702500000000015</v>
      </c>
      <c r="N18" s="118">
        <v>0</v>
      </c>
      <c r="O18" s="118">
        <v>-67</v>
      </c>
      <c r="P18" s="118">
        <f>+SUM(M18:O18)</f>
        <v>-85.702500000000015</v>
      </c>
    </row>
    <row r="19" spans="1:16" outlineLevel="1" x14ac:dyDescent="0.2">
      <c r="A19" s="532" t="s">
        <v>247</v>
      </c>
      <c r="B19" s="532" t="s">
        <v>1124</v>
      </c>
      <c r="D19" s="129" t="str">
        <f>IF([1]RENAME!$H$3=1,B19,A19)</f>
        <v>Amortização</v>
      </c>
      <c r="E19" s="118">
        <v>-4228</v>
      </c>
      <c r="F19" s="118">
        <v>-298</v>
      </c>
      <c r="G19" s="118">
        <v>-58</v>
      </c>
      <c r="H19" s="118">
        <f>+SUM(E19:G19)</f>
        <v>-4584</v>
      </c>
      <c r="L19" s="129" t="str">
        <f>IF([1]RENAME!$H$3=1,B19,A19)</f>
        <v>Amortização</v>
      </c>
      <c r="M19" s="118">
        <v>-6176</v>
      </c>
      <c r="N19" s="118">
        <v>147</v>
      </c>
      <c r="O19" s="118">
        <v>-1114</v>
      </c>
      <c r="P19" s="118">
        <f>+SUM(M19:O19)</f>
        <v>-7143</v>
      </c>
    </row>
    <row r="20" spans="1:16" x14ac:dyDescent="0.2">
      <c r="A20" s="532" t="s">
        <v>1515</v>
      </c>
      <c r="B20" s="532" t="s">
        <v>1516</v>
      </c>
      <c r="D20" s="126" t="str">
        <f>IF([1]RENAME!$H$3=1,B20,A20)</f>
        <v>Em 30 de junho de 2019</v>
      </c>
      <c r="E20" s="120">
        <f>SUM(E13:E19)</f>
        <v>56677</v>
      </c>
      <c r="F20" s="120">
        <f>SUM(F13:F19)</f>
        <v>1763</v>
      </c>
      <c r="G20" s="120">
        <f>SUM(G13:G19)</f>
        <v>559</v>
      </c>
      <c r="H20" s="120">
        <f>SUM(H13:H19)</f>
        <v>58999.000000000007</v>
      </c>
      <c r="L20" s="126" t="str">
        <f>IF([1]RENAME!$H$3=1,B20,A20)</f>
        <v>Em 30 de junho de 2019</v>
      </c>
      <c r="M20" s="120">
        <f>SUM(M13:M19)</f>
        <v>76822</v>
      </c>
      <c r="N20" s="120">
        <f>SUM(N13:N19)</f>
        <v>1864</v>
      </c>
      <c r="O20" s="120">
        <f>SUM(O13:O19)</f>
        <v>2942</v>
      </c>
      <c r="P20" s="120">
        <f>SUM(P13:P19)</f>
        <v>81627.999999999985</v>
      </c>
    </row>
    <row r="21" spans="1:16" x14ac:dyDescent="0.2">
      <c r="C21" s="28"/>
      <c r="D21" s="153"/>
      <c r="E21" s="154"/>
      <c r="F21" s="154"/>
      <c r="G21" s="154"/>
      <c r="H21" s="154"/>
      <c r="L21" s="153"/>
      <c r="M21" s="154"/>
      <c r="N21" s="154"/>
      <c r="O21" s="154"/>
      <c r="P21" s="154"/>
    </row>
    <row r="22" spans="1:16" outlineLevel="1" x14ac:dyDescent="0.2">
      <c r="A22" s="532" t="s">
        <v>1439</v>
      </c>
      <c r="B22" s="532" t="s">
        <v>1453</v>
      </c>
      <c r="C22" s="28"/>
      <c r="D22" s="129" t="s">
        <v>1439</v>
      </c>
      <c r="E22" s="118"/>
      <c r="F22" s="118"/>
      <c r="G22" s="118"/>
      <c r="H22" s="118"/>
      <c r="L22" s="129" t="s">
        <v>1439</v>
      </c>
      <c r="M22" s="118"/>
      <c r="N22" s="118"/>
      <c r="O22" s="118"/>
      <c r="P22" s="118"/>
    </row>
    <row r="23" spans="1:16" outlineLevel="1" x14ac:dyDescent="0.2">
      <c r="A23" s="532" t="s">
        <v>1533</v>
      </c>
      <c r="B23" s="532" t="s">
        <v>1534</v>
      </c>
      <c r="C23" s="28"/>
      <c r="D23" s="129" t="s">
        <v>1533</v>
      </c>
      <c r="E23" s="118">
        <v>8318</v>
      </c>
      <c r="F23" s="118">
        <v>220</v>
      </c>
      <c r="G23" s="118">
        <v>70</v>
      </c>
      <c r="H23" s="118">
        <v>8607.9999999999927</v>
      </c>
      <c r="L23" s="129" t="s">
        <v>1533</v>
      </c>
      <c r="M23" s="118">
        <v>16034.999999999993</v>
      </c>
      <c r="N23" s="118">
        <v>233</v>
      </c>
      <c r="O23" s="118">
        <v>454</v>
      </c>
      <c r="P23" s="118">
        <v>16722.000000000015</v>
      </c>
    </row>
    <row r="24" spans="1:16" outlineLevel="1" x14ac:dyDescent="0.2">
      <c r="A24" s="532" t="s">
        <v>189</v>
      </c>
      <c r="B24" s="532" t="s">
        <v>1123</v>
      </c>
      <c r="C24" s="28"/>
      <c r="D24" s="129" t="s">
        <v>189</v>
      </c>
      <c r="E24" s="118">
        <v>-3505</v>
      </c>
      <c r="F24" s="118">
        <v>-113</v>
      </c>
      <c r="G24" s="118">
        <v>175</v>
      </c>
      <c r="H24" s="118">
        <v>-3443</v>
      </c>
      <c r="L24" s="129" t="s">
        <v>189</v>
      </c>
      <c r="M24" s="118">
        <v>-9203</v>
      </c>
      <c r="N24" s="118">
        <v>-69</v>
      </c>
      <c r="O24" s="118">
        <v>374</v>
      </c>
      <c r="P24" s="118">
        <v>-8898</v>
      </c>
    </row>
    <row r="25" spans="1:16" outlineLevel="1" x14ac:dyDescent="0.2">
      <c r="A25" s="532" t="s">
        <v>1440</v>
      </c>
      <c r="B25" s="532" t="s">
        <v>1535</v>
      </c>
      <c r="C25" s="28"/>
      <c r="D25" s="129" t="s">
        <v>1440</v>
      </c>
      <c r="E25" s="118">
        <v>-75</v>
      </c>
      <c r="F25" s="118">
        <v>-17</v>
      </c>
      <c r="G25" s="118">
        <v>0</v>
      </c>
      <c r="H25" s="118">
        <v>-92</v>
      </c>
      <c r="L25" s="129" t="s">
        <v>1440</v>
      </c>
      <c r="M25" s="118">
        <v>-75.000000000000028</v>
      </c>
      <c r="N25" s="118">
        <v>-17</v>
      </c>
      <c r="O25" s="118">
        <v>0</v>
      </c>
      <c r="P25" s="118">
        <v>-92.000000000000028</v>
      </c>
    </row>
    <row r="26" spans="1:16" outlineLevel="1" x14ac:dyDescent="0.2">
      <c r="A26" s="532" t="s">
        <v>247</v>
      </c>
      <c r="B26" s="532" t="s">
        <v>1124</v>
      </c>
      <c r="C26" s="28"/>
      <c r="D26" s="129" t="s">
        <v>247</v>
      </c>
      <c r="E26" s="118">
        <v>-4478</v>
      </c>
      <c r="F26" s="118">
        <v>-344</v>
      </c>
      <c r="G26" s="118">
        <v>-65</v>
      </c>
      <c r="H26" s="118">
        <v>-4887</v>
      </c>
      <c r="L26" s="129" t="s">
        <v>247</v>
      </c>
      <c r="M26" s="118">
        <v>-7196</v>
      </c>
      <c r="N26" s="118">
        <v>-359</v>
      </c>
      <c r="O26" s="118">
        <v>-720</v>
      </c>
      <c r="P26" s="118">
        <v>-8275</v>
      </c>
    </row>
    <row r="27" spans="1:16" x14ac:dyDescent="0.2">
      <c r="A27" s="532" t="s">
        <v>1542</v>
      </c>
      <c r="B27" s="532" t="s">
        <v>1546</v>
      </c>
      <c r="C27" s="28"/>
      <c r="D27" s="126" t="s">
        <v>1542</v>
      </c>
      <c r="E27" s="120">
        <f>SUM(E20:E26)</f>
        <v>56937</v>
      </c>
      <c r="F27" s="120">
        <f>SUM(F20:F26)</f>
        <v>1509</v>
      </c>
      <c r="G27" s="120">
        <f>SUM(G20:G26)</f>
        <v>739</v>
      </c>
      <c r="H27" s="120">
        <f>SUM(H20:H26)</f>
        <v>59185</v>
      </c>
      <c r="L27" s="126" t="str">
        <f>IF([1]RENAME!$H$3=1,B27,A27)</f>
        <v>Em 30 de setembro de 2019</v>
      </c>
      <c r="M27" s="120">
        <f>SUM(M20:M26)</f>
        <v>76383</v>
      </c>
      <c r="N27" s="120">
        <f>SUM(N20:N26)</f>
        <v>1652</v>
      </c>
      <c r="O27" s="120">
        <f>SUM(O20:O26)</f>
        <v>3050</v>
      </c>
      <c r="P27" s="120">
        <f>SUM(P20:P26)</f>
        <v>81085</v>
      </c>
    </row>
    <row r="28" spans="1:16" s="606" customFormat="1" x14ac:dyDescent="0.2">
      <c r="C28"/>
      <c r="D28" s="149"/>
      <c r="E28" s="150"/>
      <c r="F28" s="150"/>
      <c r="G28" s="150"/>
      <c r="H28" s="150"/>
      <c r="L28" s="149"/>
      <c r="M28" s="150"/>
      <c r="N28" s="150"/>
      <c r="O28" s="150"/>
      <c r="P28" s="150"/>
    </row>
    <row r="29" spans="1:16" outlineLevel="1" x14ac:dyDescent="0.2">
      <c r="A29" s="532" t="s">
        <v>1439</v>
      </c>
      <c r="B29" s="532" t="s">
        <v>1453</v>
      </c>
      <c r="D29" s="129" t="str">
        <f>IF([1]RENAME!$H$3=1,B29,A29)</f>
        <v xml:space="preserve">Movimentações </v>
      </c>
      <c r="E29" s="118"/>
      <c r="F29" s="118"/>
      <c r="G29" s="118"/>
      <c r="H29" s="118"/>
      <c r="L29" s="129" t="str">
        <f>IF([1]RENAME!$H$3=1,B29,A29)</f>
        <v xml:space="preserve">Movimentações </v>
      </c>
      <c r="M29" s="118"/>
      <c r="N29" s="118"/>
      <c r="O29" s="118"/>
      <c r="P29" s="118"/>
    </row>
    <row r="30" spans="1:16" outlineLevel="1" x14ac:dyDescent="0.2">
      <c r="A30" s="532" t="s">
        <v>1533</v>
      </c>
      <c r="B30" s="532" t="s">
        <v>1534</v>
      </c>
      <c r="D30" s="129" t="str">
        <f>IF([1]RENAME!$H$3=1,B30,A30)</f>
        <v>Adoção Inicial</v>
      </c>
      <c r="E30" s="118">
        <v>-1</v>
      </c>
      <c r="F30" s="118">
        <v>0</v>
      </c>
      <c r="G30" s="118">
        <v>0</v>
      </c>
      <c r="H30" s="118">
        <f>+SUM(E30:G30)</f>
        <v>-1</v>
      </c>
      <c r="L30" s="129" t="str">
        <f>IF([1]RENAME!$H$3=1,B30,A30)</f>
        <v>Adoção Inicial</v>
      </c>
      <c r="M30" s="118">
        <v>0</v>
      </c>
      <c r="N30" s="118">
        <v>0</v>
      </c>
      <c r="O30" s="118">
        <v>0</v>
      </c>
      <c r="P30" s="118">
        <f>+SUM(M30:O30)</f>
        <v>0</v>
      </c>
    </row>
    <row r="31" spans="1:16" outlineLevel="1" x14ac:dyDescent="0.2">
      <c r="A31" s="532" t="s">
        <v>189</v>
      </c>
      <c r="B31" s="532" t="s">
        <v>1123</v>
      </c>
      <c r="D31" s="129" t="str">
        <f>IF([1]RENAME!$H$3=1,B31,A31)</f>
        <v>Adições</v>
      </c>
      <c r="E31" s="118">
        <v>1676</v>
      </c>
      <c r="F31" s="118">
        <v>268</v>
      </c>
      <c r="G31" s="118">
        <v>-63</v>
      </c>
      <c r="H31" s="118">
        <f>+SUM(E31:G31)</f>
        <v>1881</v>
      </c>
      <c r="L31" s="129" t="str">
        <f>IF([1]RENAME!$H$3=1,B31,A31)</f>
        <v>Adições</v>
      </c>
      <c r="M31" s="118">
        <v>2586</v>
      </c>
      <c r="N31" s="118">
        <v>211</v>
      </c>
      <c r="O31" s="118">
        <v>-68</v>
      </c>
      <c r="P31" s="118">
        <f>+SUM(M31:O31)</f>
        <v>2729</v>
      </c>
    </row>
    <row r="32" spans="1:16" outlineLevel="1" x14ac:dyDescent="0.2">
      <c r="A32" s="532" t="s">
        <v>1440</v>
      </c>
      <c r="B32" s="532" t="s">
        <v>1535</v>
      </c>
      <c r="D32" s="129" t="str">
        <f>IF([1]RENAME!$H$3=1,B32,A32)</f>
        <v>Baixas</v>
      </c>
      <c r="E32" s="118">
        <v>-674</v>
      </c>
      <c r="F32" s="118">
        <v>-2</v>
      </c>
      <c r="G32" s="118">
        <v>0</v>
      </c>
      <c r="H32" s="118">
        <f>+SUM(E32:G32)</f>
        <v>-676</v>
      </c>
      <c r="L32" s="129" t="str">
        <f>IF([1]RENAME!$H$3=1,B32,A32)</f>
        <v>Baixas</v>
      </c>
      <c r="M32" s="118">
        <v>-1498</v>
      </c>
      <c r="N32" s="118">
        <v>-2</v>
      </c>
      <c r="O32" s="118">
        <v>-52</v>
      </c>
      <c r="P32" s="118">
        <f>+SUM(M32:O32)</f>
        <v>-1552</v>
      </c>
    </row>
    <row r="33" spans="1:16" outlineLevel="1" x14ac:dyDescent="0.2">
      <c r="A33" s="532" t="s">
        <v>247</v>
      </c>
      <c r="B33" s="532" t="s">
        <v>1124</v>
      </c>
      <c r="D33" s="129" t="str">
        <f>IF([1]RENAME!$H$3=1,B33,A33)</f>
        <v>Amortização</v>
      </c>
      <c r="E33" s="118">
        <v>-6161</v>
      </c>
      <c r="F33" s="118">
        <v>-356</v>
      </c>
      <c r="G33" s="118">
        <v>-114</v>
      </c>
      <c r="H33" s="118">
        <f>+SUM(E33:G33)</f>
        <v>-6631</v>
      </c>
      <c r="L33" s="129" t="str">
        <f>IF([1]RENAME!$H$3=1,B33,A33)</f>
        <v>Amortização</v>
      </c>
      <c r="M33" s="118">
        <v>-9899</v>
      </c>
      <c r="N33" s="118">
        <v>-369</v>
      </c>
      <c r="O33" s="118">
        <v>-1065</v>
      </c>
      <c r="P33" s="118">
        <f>+SUM(M33:O33)</f>
        <v>-11333</v>
      </c>
    </row>
    <row r="34" spans="1:16" x14ac:dyDescent="0.2">
      <c r="A34" s="532" t="s">
        <v>1586</v>
      </c>
      <c r="B34" s="532" t="s">
        <v>1589</v>
      </c>
      <c r="D34" s="126" t="str">
        <f>IF([1]RENAME!$H$3=1,B34,A34)</f>
        <v>Em 30 de dezembro de 2019</v>
      </c>
      <c r="E34" s="120">
        <f>SUM(E27:E33)</f>
        <v>51777</v>
      </c>
      <c r="F34" s="120">
        <f>SUM(F27:F33)</f>
        <v>1419</v>
      </c>
      <c r="G34" s="120">
        <f>SUM(G27:G33)</f>
        <v>562</v>
      </c>
      <c r="H34" s="120">
        <f>SUM(H27:H33)</f>
        <v>53758</v>
      </c>
      <c r="I34" s="606"/>
      <c r="J34" s="606"/>
      <c r="L34" s="126" t="str">
        <f>IF([1]RENAME!$H$3=1,B34,A34)</f>
        <v>Em 30 de dezembro de 2019</v>
      </c>
      <c r="M34" s="120">
        <f>SUM(M27:M33)</f>
        <v>67572</v>
      </c>
      <c r="N34" s="120">
        <f>SUM(N27:N33)</f>
        <v>1492</v>
      </c>
      <c r="O34" s="120">
        <f>SUM(O27:O33)</f>
        <v>1865</v>
      </c>
      <c r="P34" s="120">
        <f>SUM(P27:P33)</f>
        <v>70929</v>
      </c>
    </row>
    <row r="35" spans="1:16" s="606" customFormat="1" x14ac:dyDescent="0.2">
      <c r="C35"/>
      <c r="D35" s="149"/>
      <c r="E35" s="150"/>
      <c r="F35" s="150"/>
      <c r="G35" s="150"/>
      <c r="H35" s="150"/>
      <c r="L35" s="149"/>
      <c r="M35" s="150"/>
      <c r="N35" s="150"/>
      <c r="O35" s="150"/>
      <c r="P35" s="150"/>
    </row>
    <row r="36" spans="1:16" outlineLevel="1" x14ac:dyDescent="0.2">
      <c r="A36" s="532" t="s">
        <v>1439</v>
      </c>
      <c r="B36" s="532" t="s">
        <v>1453</v>
      </c>
      <c r="D36" s="129" t="str">
        <f>IF([1]RENAME!$H$3=1,B36,A36)</f>
        <v xml:space="preserve">Movimentações </v>
      </c>
      <c r="E36" s="118"/>
      <c r="F36" s="118"/>
      <c r="G36" s="118"/>
      <c r="H36" s="118"/>
      <c r="I36" s="606"/>
      <c r="J36" s="606"/>
      <c r="L36" s="129" t="str">
        <f>IF([1]RENAME!$H$3=1,B36,A36)</f>
        <v xml:space="preserve">Movimentações </v>
      </c>
      <c r="M36" s="118"/>
      <c r="N36" s="118"/>
      <c r="O36" s="118"/>
      <c r="P36" s="118"/>
    </row>
    <row r="37" spans="1:16" outlineLevel="1" x14ac:dyDescent="0.2">
      <c r="A37" s="532" t="s">
        <v>1533</v>
      </c>
      <c r="B37" s="532" t="s">
        <v>1534</v>
      </c>
      <c r="D37" s="129" t="str">
        <f>IF([1]RENAME!$H$3=1,B37,A37)</f>
        <v>Adoção Inicial</v>
      </c>
      <c r="E37" s="118"/>
      <c r="F37" s="118"/>
      <c r="G37" s="118"/>
      <c r="H37" s="118"/>
      <c r="I37" s="606"/>
      <c r="J37" s="606"/>
      <c r="L37" s="129" t="str">
        <f>IF([1]RENAME!$H$3=1,B37,A37)</f>
        <v>Adoção Inicial</v>
      </c>
      <c r="M37" s="118"/>
      <c r="N37" s="118"/>
      <c r="O37" s="118"/>
      <c r="P37" s="118"/>
    </row>
    <row r="38" spans="1:16" outlineLevel="1" x14ac:dyDescent="0.2">
      <c r="A38" s="532" t="s">
        <v>189</v>
      </c>
      <c r="B38" s="532" t="s">
        <v>1123</v>
      </c>
      <c r="D38" s="129" t="str">
        <f>IF([1]RENAME!$H$3=1,B38,A38)</f>
        <v>Adições</v>
      </c>
      <c r="E38" s="118">
        <v>18626</v>
      </c>
      <c r="F38" s="118">
        <v>27</v>
      </c>
      <c r="G38" s="118">
        <v>-100</v>
      </c>
      <c r="H38" s="118">
        <f>+SUM(E38:G38)</f>
        <v>18553</v>
      </c>
      <c r="I38" s="606"/>
      <c r="J38" s="606"/>
      <c r="L38" s="129" t="str">
        <f>IF([1]RENAME!$H$3=1,B38,A38)</f>
        <v>Adições</v>
      </c>
      <c r="M38" s="118">
        <v>14040</v>
      </c>
      <c r="N38" s="118">
        <v>27</v>
      </c>
      <c r="O38" s="118">
        <v>2008</v>
      </c>
      <c r="P38" s="118">
        <f>+SUM(M38:O38)</f>
        <v>16075</v>
      </c>
    </row>
    <row r="39" spans="1:16" outlineLevel="1" x14ac:dyDescent="0.2">
      <c r="A39" s="532" t="s">
        <v>1440</v>
      </c>
      <c r="B39" s="532" t="s">
        <v>1535</v>
      </c>
      <c r="D39" s="129" t="str">
        <f>IF([1]RENAME!$H$3=1,B39,A39)</f>
        <v>Baixas</v>
      </c>
      <c r="E39" s="118">
        <v>0</v>
      </c>
      <c r="F39" s="118">
        <v>0</v>
      </c>
      <c r="G39" s="118">
        <v>0</v>
      </c>
      <c r="H39" s="118">
        <f>+SUM(E39:G39)</f>
        <v>0</v>
      </c>
      <c r="I39" s="606"/>
      <c r="J39" s="606"/>
      <c r="L39" s="129" t="str">
        <f>IF([1]RENAME!$H$3=1,B39,A39)</f>
        <v>Baixas</v>
      </c>
      <c r="M39" s="118">
        <v>-206</v>
      </c>
      <c r="N39" s="118">
        <v>0</v>
      </c>
      <c r="O39" s="118">
        <v>0</v>
      </c>
      <c r="P39" s="118">
        <f>+SUM(M39:O39)</f>
        <v>-206</v>
      </c>
    </row>
    <row r="40" spans="1:16" outlineLevel="1" x14ac:dyDescent="0.2">
      <c r="A40" s="532" t="s">
        <v>247</v>
      </c>
      <c r="B40" s="532" t="s">
        <v>1124</v>
      </c>
      <c r="D40" s="129" t="str">
        <f>IF([1]RENAME!$H$3=1,B40,A40)</f>
        <v>Amortização</v>
      </c>
      <c r="E40" s="118">
        <v>-4679</v>
      </c>
      <c r="F40" s="118">
        <v>-339</v>
      </c>
      <c r="G40" s="118">
        <v>-52</v>
      </c>
      <c r="H40" s="118">
        <f>+SUM(E40:G40)</f>
        <v>-5070</v>
      </c>
      <c r="I40" s="606"/>
      <c r="J40" s="606"/>
      <c r="L40" s="129" t="str">
        <f>IF([1]RENAME!$H$3=1,B40,A40)</f>
        <v>Amortização</v>
      </c>
      <c r="M40" s="118">
        <v>-7472</v>
      </c>
      <c r="N40" s="118">
        <v>-353</v>
      </c>
      <c r="O40" s="118">
        <v>-813</v>
      </c>
      <c r="P40" s="118">
        <f>+SUM(M40:O40)</f>
        <v>-8638</v>
      </c>
    </row>
    <row r="41" spans="1:16" x14ac:dyDescent="0.2">
      <c r="A41" s="532" t="s">
        <v>1629</v>
      </c>
      <c r="B41" s="532" t="s">
        <v>1644</v>
      </c>
      <c r="D41" s="126" t="str">
        <f>IF([1]RENAME!$H$3=1,B41,A41)</f>
        <v>Em 31 de março de 2020</v>
      </c>
      <c r="E41" s="120">
        <f>SUM(E34:E40)</f>
        <v>65724</v>
      </c>
      <c r="F41" s="120">
        <f>SUM(F34:F40)</f>
        <v>1107</v>
      </c>
      <c r="G41" s="120">
        <f>SUM(G34:G40)</f>
        <v>410</v>
      </c>
      <c r="H41" s="120">
        <f>SUM(H34:H40)</f>
        <v>67241</v>
      </c>
      <c r="I41" s="606"/>
      <c r="J41" s="606"/>
      <c r="L41" s="126" t="str">
        <f>IF([1]RENAME!$H$3=1,B41,A41)</f>
        <v>Em 31 de março de 2020</v>
      </c>
      <c r="M41" s="120">
        <f>SUM(M34:M40)</f>
        <v>73934</v>
      </c>
      <c r="N41" s="120">
        <f>SUM(N34:N40)</f>
        <v>1166</v>
      </c>
      <c r="O41" s="120">
        <f>SUM(O34:O40)</f>
        <v>3060</v>
      </c>
      <c r="P41" s="120">
        <f>SUM(P34:P40)</f>
        <v>78160</v>
      </c>
    </row>
    <row r="42" spans="1:16" s="606" customFormat="1" x14ac:dyDescent="0.2">
      <c r="C42"/>
      <c r="D42" s="149"/>
      <c r="E42" s="150"/>
      <c r="F42" s="150"/>
      <c r="G42" s="150"/>
      <c r="H42" s="150"/>
      <c r="L42" s="149"/>
      <c r="M42" s="150"/>
      <c r="N42" s="150"/>
      <c r="O42" s="150"/>
      <c r="P42" s="150"/>
    </row>
    <row r="43" spans="1:16" outlineLevel="1" x14ac:dyDescent="0.2">
      <c r="A43" s="532" t="s">
        <v>1439</v>
      </c>
      <c r="B43" s="532" t="s">
        <v>1453</v>
      </c>
      <c r="D43" s="129" t="str">
        <f>IF([1]RENAME!$H$3=1,B43,A43)</f>
        <v xml:space="preserve">Movimentações </v>
      </c>
      <c r="E43" s="118"/>
      <c r="F43" s="118"/>
      <c r="G43" s="118"/>
      <c r="H43" s="118"/>
      <c r="I43" s="606"/>
      <c r="J43" s="606"/>
      <c r="L43" s="129" t="str">
        <f>IF([1]RENAME!$H$3=1,B43,A43)</f>
        <v xml:space="preserve">Movimentações </v>
      </c>
      <c r="M43" s="118"/>
      <c r="N43" s="118"/>
      <c r="O43" s="118"/>
      <c r="P43" s="118"/>
    </row>
    <row r="44" spans="1:16" outlineLevel="1" x14ac:dyDescent="0.2">
      <c r="A44" s="532" t="s">
        <v>1533</v>
      </c>
      <c r="B44" s="532" t="s">
        <v>1534</v>
      </c>
      <c r="D44" s="129" t="str">
        <f>IF([1]RENAME!$H$3=1,B44,A44)</f>
        <v>Adoção Inicial</v>
      </c>
      <c r="E44" s="118"/>
      <c r="F44" s="118"/>
      <c r="G44" s="118"/>
      <c r="H44" s="118"/>
      <c r="I44" s="606"/>
      <c r="J44" s="606"/>
      <c r="L44" s="129" t="str">
        <f>IF([1]RENAME!$H$3=1,B44,A44)</f>
        <v>Adoção Inicial</v>
      </c>
      <c r="M44" s="118"/>
      <c r="N44" s="118"/>
      <c r="O44" s="118"/>
      <c r="P44" s="118"/>
    </row>
    <row r="45" spans="1:16" outlineLevel="1" x14ac:dyDescent="0.2">
      <c r="A45" s="532" t="s">
        <v>189</v>
      </c>
      <c r="B45" s="532" t="s">
        <v>1123</v>
      </c>
      <c r="D45" s="129" t="str">
        <f>IF([1]RENAME!$H$3=1,B45,A45)</f>
        <v>Adições</v>
      </c>
      <c r="E45" s="118">
        <v>191</v>
      </c>
      <c r="F45" s="118">
        <v>831</v>
      </c>
      <c r="G45" s="118">
        <v>0</v>
      </c>
      <c r="H45" s="118">
        <v>1022</v>
      </c>
      <c r="I45" s="606"/>
      <c r="J45" s="606"/>
      <c r="L45" s="129" t="str">
        <f>IF([1]RENAME!$H$3=1,B45,A45)</f>
        <v>Adições</v>
      </c>
      <c r="M45" s="118">
        <v>191</v>
      </c>
      <c r="N45" s="118">
        <v>831</v>
      </c>
      <c r="O45" s="118">
        <v>37</v>
      </c>
      <c r="P45" s="118">
        <f>+SUM(M45:O45)</f>
        <v>1059</v>
      </c>
    </row>
    <row r="46" spans="1:16" outlineLevel="1" x14ac:dyDescent="0.2">
      <c r="A46" s="532" t="s">
        <v>1440</v>
      </c>
      <c r="B46" s="532" t="s">
        <v>1535</v>
      </c>
      <c r="D46" s="129" t="str">
        <f>IF([1]RENAME!$H$3=1,B46,A46)</f>
        <v>Baixas</v>
      </c>
      <c r="E46" s="118">
        <v>-462</v>
      </c>
      <c r="F46" s="118">
        <v>0</v>
      </c>
      <c r="G46" s="118">
        <v>0</v>
      </c>
      <c r="H46" s="118">
        <v>-462</v>
      </c>
      <c r="I46" s="606"/>
      <c r="J46" s="606"/>
      <c r="L46" s="129" t="str">
        <f>IF([1]RENAME!$H$3=1,B46,A46)</f>
        <v>Baixas</v>
      </c>
      <c r="M46" s="118">
        <v>-2208</v>
      </c>
      <c r="N46" s="118">
        <v>0</v>
      </c>
      <c r="O46" s="118">
        <v>0</v>
      </c>
      <c r="P46" s="118">
        <f>+SUM(M46:O46)</f>
        <v>-2208</v>
      </c>
    </row>
    <row r="47" spans="1:16" outlineLevel="1" x14ac:dyDescent="0.2">
      <c r="A47" s="532" t="s">
        <v>247</v>
      </c>
      <c r="B47" s="532" t="s">
        <v>1124</v>
      </c>
      <c r="D47" s="129" t="str">
        <f>IF([1]RENAME!$H$3=1,B47,A47)</f>
        <v>Amortização</v>
      </c>
      <c r="E47" s="118">
        <v>-4803</v>
      </c>
      <c r="F47" s="118">
        <v>-349</v>
      </c>
      <c r="G47" s="118">
        <v>-74</v>
      </c>
      <c r="H47" s="118">
        <v>-5226</v>
      </c>
      <c r="I47" s="606"/>
      <c r="J47" s="606"/>
      <c r="L47" s="129" t="str">
        <f>IF([1]RENAME!$H$3=1,B47,A47)</f>
        <v>Amortização</v>
      </c>
      <c r="M47" s="118">
        <v>-7287</v>
      </c>
      <c r="N47" s="118">
        <v>-364</v>
      </c>
      <c r="O47" s="118">
        <v>-760</v>
      </c>
      <c r="P47" s="118">
        <f>+SUM(M47:O47)</f>
        <v>-8411</v>
      </c>
    </row>
    <row r="48" spans="1:16" x14ac:dyDescent="0.2">
      <c r="A48" s="532" t="s">
        <v>1670</v>
      </c>
      <c r="B48" s="532" t="s">
        <v>1671</v>
      </c>
      <c r="D48" s="126" t="str">
        <f>IF([1]RENAME!$H$3=1,B48,A48)</f>
        <v>Em 30 de junho de 2020</v>
      </c>
      <c r="E48" s="120">
        <f>SUM(E41:E47)</f>
        <v>60650</v>
      </c>
      <c r="F48" s="120">
        <f>SUM(F41:F47)</f>
        <v>1589</v>
      </c>
      <c r="G48" s="120">
        <f>SUM(G41:G47)</f>
        <v>336</v>
      </c>
      <c r="H48" s="120">
        <f>SUM(H41:H47)</f>
        <v>62575</v>
      </c>
      <c r="I48" s="606"/>
      <c r="J48" s="606"/>
      <c r="L48" s="126" t="str">
        <f>IF([1]RENAME!$H$3=1,B48,A48)</f>
        <v>Em 30 de junho de 2020</v>
      </c>
      <c r="M48" s="120">
        <f>SUM(M41:M47)</f>
        <v>64630</v>
      </c>
      <c r="N48" s="120">
        <f>SUM(N41:N47)</f>
        <v>1633</v>
      </c>
      <c r="O48" s="120">
        <f>SUM(O41:O47)</f>
        <v>2337</v>
      </c>
      <c r="P48" s="120">
        <f>SUM(P41:P47)</f>
        <v>68600</v>
      </c>
    </row>
    <row r="49" spans="1:16" s="606" customFormat="1" x14ac:dyDescent="0.2">
      <c r="C49"/>
      <c r="D49" s="149"/>
      <c r="E49" s="150"/>
      <c r="F49" s="150"/>
      <c r="G49" s="150"/>
      <c r="H49" s="150"/>
      <c r="L49" s="149"/>
      <c r="M49" s="150"/>
      <c r="N49" s="150"/>
      <c r="O49" s="150"/>
      <c r="P49" s="150"/>
    </row>
    <row r="50" spans="1:16" outlineLevel="1" x14ac:dyDescent="0.2">
      <c r="A50" s="532" t="s">
        <v>1439</v>
      </c>
      <c r="B50" s="532" t="s">
        <v>1453</v>
      </c>
      <c r="D50" s="129" t="str">
        <f>IF([1]RENAME!$H$3=1,B50,A50)</f>
        <v xml:space="preserve">Movimentações </v>
      </c>
      <c r="E50" s="118"/>
      <c r="F50" s="118"/>
      <c r="G50" s="118"/>
      <c r="H50" s="118"/>
      <c r="I50" s="606"/>
      <c r="J50" s="606"/>
      <c r="L50" s="129" t="str">
        <f>IF([1]RENAME!$H$3=1,B50,A50)</f>
        <v xml:space="preserve">Movimentações </v>
      </c>
      <c r="M50" s="118"/>
      <c r="N50" s="118"/>
      <c r="O50" s="118"/>
      <c r="P50" s="118"/>
    </row>
    <row r="51" spans="1:16" outlineLevel="1" x14ac:dyDescent="0.2">
      <c r="A51" s="532" t="s">
        <v>1533</v>
      </c>
      <c r="B51" s="532" t="s">
        <v>1534</v>
      </c>
      <c r="D51" s="129" t="str">
        <f>IF([1]RENAME!$H$3=1,B51,A51)</f>
        <v>Adoção Inicial</v>
      </c>
      <c r="E51" s="118"/>
      <c r="F51" s="118"/>
      <c r="G51" s="118"/>
      <c r="H51" s="118"/>
      <c r="I51" s="606"/>
      <c r="J51" s="606"/>
      <c r="L51" s="129" t="str">
        <f>IF([1]RENAME!$H$3=1,B51,A51)</f>
        <v>Adoção Inicial</v>
      </c>
      <c r="M51" s="118"/>
      <c r="N51" s="118"/>
      <c r="O51" s="118"/>
      <c r="P51" s="118"/>
    </row>
    <row r="52" spans="1:16" outlineLevel="1" x14ac:dyDescent="0.2">
      <c r="A52" s="532" t="s">
        <v>189</v>
      </c>
      <c r="B52" s="532" t="s">
        <v>1123</v>
      </c>
      <c r="D52" s="129" t="str">
        <f>IF([1]RENAME!$H$3=1,B52,A52)</f>
        <v>Adições</v>
      </c>
      <c r="E52" s="118">
        <v>-389</v>
      </c>
      <c r="F52" s="118">
        <v>0</v>
      </c>
      <c r="G52" s="118">
        <v>0</v>
      </c>
      <c r="H52" s="118">
        <f>+SUM(E52:G52)</f>
        <v>-389</v>
      </c>
      <c r="I52" s="606"/>
      <c r="J52" s="606"/>
      <c r="L52" s="129" t="str">
        <f>IF([1]RENAME!$H$3=1,B52,A52)</f>
        <v>Adições</v>
      </c>
      <c r="M52" s="118">
        <v>-1356</v>
      </c>
      <c r="N52" s="118">
        <v>0</v>
      </c>
      <c r="O52" s="118">
        <v>0</v>
      </c>
      <c r="P52" s="118">
        <f>+SUM(M52:O52)</f>
        <v>-1356</v>
      </c>
    </row>
    <row r="53" spans="1:16" outlineLevel="1" x14ac:dyDescent="0.2">
      <c r="A53" s="532" t="s">
        <v>1440</v>
      </c>
      <c r="B53" s="532" t="s">
        <v>1535</v>
      </c>
      <c r="D53" s="129" t="str">
        <f>IF([1]RENAME!$H$3=1,B53,A53)</f>
        <v>Baixas</v>
      </c>
      <c r="E53" s="118">
        <v>30</v>
      </c>
      <c r="F53" s="118">
        <v>-440</v>
      </c>
      <c r="G53" s="118">
        <v>0</v>
      </c>
      <c r="H53" s="118">
        <f>+SUM(E53:G53)</f>
        <v>-410</v>
      </c>
      <c r="I53" s="606"/>
      <c r="J53" s="606"/>
      <c r="L53" s="129" t="str">
        <f>IF([1]RENAME!$H$3=1,B53,A53)</f>
        <v>Baixas</v>
      </c>
      <c r="M53" s="118">
        <v>997</v>
      </c>
      <c r="N53" s="118">
        <v>-447</v>
      </c>
      <c r="O53" s="118">
        <v>0</v>
      </c>
      <c r="P53" s="118">
        <f>+SUM(M53:O53)</f>
        <v>550</v>
      </c>
    </row>
    <row r="54" spans="1:16" outlineLevel="1" x14ac:dyDescent="0.2">
      <c r="A54" s="532" t="s">
        <v>247</v>
      </c>
      <c r="B54" s="532" t="s">
        <v>1124</v>
      </c>
      <c r="D54" s="129" t="str">
        <f>IF([1]RENAME!$H$3=1,B54,A54)</f>
        <v>Amortização</v>
      </c>
      <c r="E54" s="118">
        <v>-4785</v>
      </c>
      <c r="F54" s="118">
        <v>-254</v>
      </c>
      <c r="G54" s="118">
        <v>-73</v>
      </c>
      <c r="H54" s="118">
        <f>+SUM(E54:G54)</f>
        <v>-5112</v>
      </c>
      <c r="I54" s="606"/>
      <c r="J54" s="606"/>
      <c r="L54" s="129" t="str">
        <f>IF([1]RENAME!$H$3=1,B54,A54)</f>
        <v>Amortização</v>
      </c>
      <c r="M54" s="118">
        <v>-7042</v>
      </c>
      <c r="N54" s="118">
        <v>-266</v>
      </c>
      <c r="O54" s="118">
        <v>-841</v>
      </c>
      <c r="P54" s="118">
        <f>+SUM(M54:O54)</f>
        <v>-8149</v>
      </c>
    </row>
    <row r="55" spans="1:16" x14ac:dyDescent="0.2">
      <c r="A55" s="532" t="s">
        <v>1780</v>
      </c>
      <c r="B55" s="532" t="s">
        <v>1781</v>
      </c>
      <c r="D55" s="126" t="str">
        <f>IF([1]RENAME!$H$3=1,B55,A55)</f>
        <v>Em 30 de setembro de 2020</v>
      </c>
      <c r="E55" s="120">
        <f>SUM(E48:E54)</f>
        <v>55506</v>
      </c>
      <c r="F55" s="120">
        <f>SUM(F48:F54)</f>
        <v>895</v>
      </c>
      <c r="G55" s="120">
        <f>SUM(G48:G54)</f>
        <v>263</v>
      </c>
      <c r="H55" s="120">
        <f>SUM(H48:H54)</f>
        <v>56664</v>
      </c>
      <c r="I55" s="606"/>
      <c r="J55" s="606"/>
      <c r="L55" s="126" t="str">
        <f>IF([1]RENAME!$H$3=1,B55,A55)</f>
        <v>Em 30 de setembro de 2020</v>
      </c>
      <c r="M55" s="120">
        <f>SUM(M48:M54)</f>
        <v>57229</v>
      </c>
      <c r="N55" s="120">
        <f>SUM(N48:N54)</f>
        <v>920</v>
      </c>
      <c r="O55" s="120">
        <f>SUM(O48:O54)</f>
        <v>1496</v>
      </c>
      <c r="P55" s="120">
        <f>SUM(P48:P54)</f>
        <v>59645</v>
      </c>
    </row>
    <row r="57" spans="1:16" outlineLevel="1" x14ac:dyDescent="0.2">
      <c r="A57" s="532" t="s">
        <v>1439</v>
      </c>
      <c r="B57" s="532" t="s">
        <v>1453</v>
      </c>
      <c r="D57" s="129" t="str">
        <f>IF([1]RENAME!$H$3=1,B57,A57)</f>
        <v xml:space="preserve">Movimentações </v>
      </c>
      <c r="E57" s="118"/>
      <c r="F57" s="118"/>
      <c r="G57" s="118"/>
      <c r="H57" s="118"/>
      <c r="I57" s="606"/>
      <c r="J57" s="606"/>
      <c r="L57" s="129" t="str">
        <f>IF([1]RENAME!$H$3=1,B57,A57)</f>
        <v xml:space="preserve">Movimentações </v>
      </c>
      <c r="M57" s="118"/>
      <c r="N57" s="118"/>
      <c r="O57" s="118"/>
      <c r="P57" s="118"/>
    </row>
    <row r="58" spans="1:16" outlineLevel="1" x14ac:dyDescent="0.2">
      <c r="A58" s="532" t="s">
        <v>1533</v>
      </c>
      <c r="B58" s="532" t="s">
        <v>1534</v>
      </c>
      <c r="D58" s="129" t="str">
        <f>IF([1]RENAME!$H$3=1,B58,A58)</f>
        <v>Adoção Inicial</v>
      </c>
      <c r="E58" s="118"/>
      <c r="F58" s="118"/>
      <c r="G58" s="118"/>
      <c r="H58" s="118"/>
      <c r="I58" s="606"/>
      <c r="J58" s="606"/>
      <c r="L58" s="129" t="str">
        <f>IF([1]RENAME!$H$3=1,B58,A58)</f>
        <v>Adoção Inicial</v>
      </c>
      <c r="M58" s="118"/>
      <c r="N58" s="118"/>
      <c r="O58" s="118"/>
      <c r="P58" s="118"/>
    </row>
    <row r="59" spans="1:16" outlineLevel="1" x14ac:dyDescent="0.2">
      <c r="A59" s="532" t="s">
        <v>189</v>
      </c>
      <c r="B59" s="532" t="s">
        <v>1123</v>
      </c>
      <c r="D59" s="129" t="str">
        <f>IF([1]RENAME!$H$3=1,B59,A59)</f>
        <v>Adições</v>
      </c>
      <c r="E59" s="118">
        <v>3876</v>
      </c>
      <c r="F59" s="118">
        <v>0</v>
      </c>
      <c r="G59" s="118">
        <v>0</v>
      </c>
      <c r="H59" s="118">
        <v>3876</v>
      </c>
      <c r="I59" s="606"/>
      <c r="J59" s="606"/>
      <c r="L59" s="129" t="str">
        <f>IF([1]RENAME!$H$3=1,B59,A59)</f>
        <v>Adições</v>
      </c>
      <c r="M59" s="118">
        <v>314</v>
      </c>
      <c r="N59" s="118">
        <v>0</v>
      </c>
      <c r="O59" s="118">
        <v>0</v>
      </c>
      <c r="P59" s="118">
        <f>+SUM(M59:O59)</f>
        <v>314</v>
      </c>
    </row>
    <row r="60" spans="1:16" outlineLevel="1" x14ac:dyDescent="0.2">
      <c r="A60" s="532" t="s">
        <v>1440</v>
      </c>
      <c r="B60" s="532" t="s">
        <v>1535</v>
      </c>
      <c r="D60" s="129" t="str">
        <f>IF([1]RENAME!$H$3=1,B60,A60)</f>
        <v>Baixas</v>
      </c>
      <c r="E60" s="118">
        <v>0</v>
      </c>
      <c r="F60" s="118">
        <v>-7</v>
      </c>
      <c r="G60" s="118">
        <v>0</v>
      </c>
      <c r="H60" s="118">
        <v>-7</v>
      </c>
      <c r="I60" s="606"/>
      <c r="J60" s="606"/>
      <c r="L60" s="129" t="str">
        <f>IF([1]RENAME!$H$3=1,B60,A60)</f>
        <v>Baixas</v>
      </c>
      <c r="M60" s="118">
        <v>-23</v>
      </c>
      <c r="N60" s="118">
        <v>-7</v>
      </c>
      <c r="O60" s="118">
        <v>-464</v>
      </c>
      <c r="P60" s="118">
        <f>+SUM(M60:O60)</f>
        <v>-494</v>
      </c>
    </row>
    <row r="61" spans="1:16" outlineLevel="1" x14ac:dyDescent="0.2">
      <c r="A61" s="532" t="s">
        <v>247</v>
      </c>
      <c r="B61" s="532" t="s">
        <v>1124</v>
      </c>
      <c r="D61" s="129" t="str">
        <f>IF([1]RENAME!$H$3=1,B61,A61)</f>
        <v>Amortização</v>
      </c>
      <c r="E61" s="118">
        <v>-5355</v>
      </c>
      <c r="F61" s="118">
        <v>-247</v>
      </c>
      <c r="G61" s="118">
        <v>-73</v>
      </c>
      <c r="H61" s="118">
        <v>-5675</v>
      </c>
      <c r="I61" s="606"/>
      <c r="J61" s="606"/>
      <c r="L61" s="129" t="str">
        <f>IF([1]RENAME!$H$3=1,B61,A61)</f>
        <v>Amortização</v>
      </c>
      <c r="M61" s="118">
        <v>-6893</v>
      </c>
      <c r="N61" s="118">
        <v>-259</v>
      </c>
      <c r="O61" s="118">
        <v>-810</v>
      </c>
      <c r="P61" s="118">
        <f>+SUM(M61:O61)</f>
        <v>-7962</v>
      </c>
    </row>
    <row r="62" spans="1:16" x14ac:dyDescent="0.2">
      <c r="A62" s="532" t="s">
        <v>1819</v>
      </c>
      <c r="B62" s="532" t="s">
        <v>1820</v>
      </c>
      <c r="D62" s="126" t="str">
        <f>IF([1]RENAME!$H$3=1,B62,A62)</f>
        <v>Em 30 de dezembro de 2020</v>
      </c>
      <c r="E62" s="120">
        <f>SUM(E55:E61)</f>
        <v>54027</v>
      </c>
      <c r="F62" s="120">
        <f>SUM(F55:F61)</f>
        <v>641</v>
      </c>
      <c r="G62" s="120">
        <f>SUM(G55:G61)</f>
        <v>190</v>
      </c>
      <c r="H62" s="120">
        <f>SUM(H55:H61)</f>
        <v>54858</v>
      </c>
      <c r="I62" s="606"/>
      <c r="J62" s="606"/>
      <c r="L62" s="126" t="str">
        <f>IF([1]RENAME!$H$3=1,B62,A62)</f>
        <v>Em 30 de dezembro de 2020</v>
      </c>
      <c r="M62" s="120">
        <f>SUM(M55:M61)</f>
        <v>50627</v>
      </c>
      <c r="N62" s="120">
        <f>SUM(N55:N61)</f>
        <v>654</v>
      </c>
      <c r="O62" s="120">
        <f>SUM(O55:O61)</f>
        <v>222</v>
      </c>
      <c r="P62" s="120">
        <f>SUM(P55:P61)</f>
        <v>51503</v>
      </c>
    </row>
    <row r="64" spans="1:16" outlineLevel="1" x14ac:dyDescent="0.2">
      <c r="A64" s="532" t="s">
        <v>1439</v>
      </c>
      <c r="B64" s="532" t="s">
        <v>1453</v>
      </c>
      <c r="D64" s="129" t="str">
        <f>IF([1]RENAME!$H$3=1,B64,A64)</f>
        <v xml:space="preserve">Movimentações </v>
      </c>
      <c r="E64" s="118"/>
      <c r="F64" s="118"/>
      <c r="G64" s="118"/>
      <c r="H64" s="118"/>
      <c r="I64" s="606"/>
      <c r="J64" s="606"/>
      <c r="L64" s="129" t="str">
        <f>IF([1]RENAME!$H$3=1,B64,A64)</f>
        <v xml:space="preserve">Movimentações </v>
      </c>
      <c r="M64" s="118"/>
      <c r="N64" s="118"/>
      <c r="O64" s="118"/>
      <c r="P64" s="118"/>
    </row>
    <row r="65" spans="1:16" outlineLevel="1" x14ac:dyDescent="0.2">
      <c r="A65" s="532" t="s">
        <v>1533</v>
      </c>
      <c r="B65" s="532" t="s">
        <v>1534</v>
      </c>
      <c r="D65" s="129" t="str">
        <f>IF([1]RENAME!$H$3=1,B65,A65)</f>
        <v>Adoção Inicial</v>
      </c>
      <c r="E65" s="118"/>
      <c r="F65" s="118"/>
      <c r="G65" s="118"/>
      <c r="H65" s="118"/>
      <c r="I65" s="606"/>
      <c r="J65" s="606"/>
      <c r="L65" s="129" t="str">
        <f>IF([1]RENAME!$H$3=1,B65,A65)</f>
        <v>Adoção Inicial</v>
      </c>
      <c r="M65" s="118"/>
      <c r="N65" s="118"/>
      <c r="O65" s="118"/>
      <c r="P65" s="118"/>
    </row>
    <row r="66" spans="1:16" outlineLevel="1" x14ac:dyDescent="0.2">
      <c r="A66" s="532" t="s">
        <v>189</v>
      </c>
      <c r="B66" s="532" t="s">
        <v>1123</v>
      </c>
      <c r="D66" s="129" t="str">
        <f>IF([1]RENAME!$H$3=1,B66,A66)</f>
        <v>Adições</v>
      </c>
      <c r="E66" s="118">
        <v>21348</v>
      </c>
      <c r="F66" s="118">
        <v>72</v>
      </c>
      <c r="G66" s="118">
        <v>0</v>
      </c>
      <c r="H66" s="118">
        <f>+SUM(E66:G66)</f>
        <v>21420</v>
      </c>
      <c r="I66" s="606"/>
      <c r="J66" s="606"/>
      <c r="L66" s="129" t="str">
        <f>IF([1]RENAME!$H$3=1,B66,A66)</f>
        <v>Adições</v>
      </c>
      <c r="M66" s="118">
        <v>35337</v>
      </c>
      <c r="N66" s="118">
        <v>74</v>
      </c>
      <c r="O66" s="118">
        <v>2216</v>
      </c>
      <c r="P66" s="118">
        <f>+SUM(M66:O66)</f>
        <v>37627</v>
      </c>
    </row>
    <row r="67" spans="1:16" outlineLevel="1" x14ac:dyDescent="0.2">
      <c r="A67" s="532" t="s">
        <v>1440</v>
      </c>
      <c r="B67" s="532" t="s">
        <v>1535</v>
      </c>
      <c r="D67" s="129" t="str">
        <f>IF([1]RENAME!$H$3=1,B67,A67)</f>
        <v>Baixas</v>
      </c>
      <c r="E67" s="118">
        <v>0</v>
      </c>
      <c r="F67" s="118">
        <v>0</v>
      </c>
      <c r="G67" s="118">
        <v>0</v>
      </c>
      <c r="H67" s="118">
        <f>+SUM(E67:G67)</f>
        <v>0</v>
      </c>
      <c r="I67" s="606"/>
      <c r="J67" s="606"/>
      <c r="L67" s="129" t="str">
        <f>IF([1]RENAME!$H$3=1,B67,A67)</f>
        <v>Baixas</v>
      </c>
      <c r="M67" s="118">
        <v>-15</v>
      </c>
      <c r="N67" s="118">
        <v>0</v>
      </c>
      <c r="O67" s="118">
        <v>-5</v>
      </c>
      <c r="P67" s="118">
        <f>+SUM(M67:O67)</f>
        <v>-20</v>
      </c>
    </row>
    <row r="68" spans="1:16" outlineLevel="1" x14ac:dyDescent="0.2">
      <c r="A68" s="532" t="s">
        <v>247</v>
      </c>
      <c r="B68" s="532" t="s">
        <v>1124</v>
      </c>
      <c r="D68" s="129" t="str">
        <f>IF([1]RENAME!$H$3=1,B68,A68)</f>
        <v>Amortização</v>
      </c>
      <c r="E68" s="118">
        <v>-6447</v>
      </c>
      <c r="F68" s="118">
        <v>-252</v>
      </c>
      <c r="G68" s="118">
        <v>-73</v>
      </c>
      <c r="H68" s="118">
        <f>+SUM(E68:G68)</f>
        <v>-6772</v>
      </c>
      <c r="I68" s="606"/>
      <c r="J68" s="606"/>
      <c r="L68" s="129" t="str">
        <f>IF([1]RENAME!$H$3=1,B68,A68)</f>
        <v>Amortização</v>
      </c>
      <c r="M68" s="118">
        <v>-7412</v>
      </c>
      <c r="N68" s="118">
        <v>-264</v>
      </c>
      <c r="O68" s="118">
        <v>-646</v>
      </c>
      <c r="P68" s="118">
        <f>+SUM(M68:O68)</f>
        <v>-8322</v>
      </c>
    </row>
    <row r="69" spans="1:16" x14ac:dyDescent="0.2">
      <c r="A69" s="532" t="s">
        <v>1850</v>
      </c>
      <c r="B69" s="532" t="s">
        <v>1854</v>
      </c>
      <c r="D69" s="126" t="str">
        <f>IF([1]RENAME!$H$3=1,B69,A69)</f>
        <v>Em 31 de março de 2021</v>
      </c>
      <c r="E69" s="120">
        <f>SUM(E62:E68)</f>
        <v>68928</v>
      </c>
      <c r="F69" s="120">
        <f>SUM(F62:F68)</f>
        <v>461</v>
      </c>
      <c r="G69" s="120">
        <f>SUM(G62:G68)</f>
        <v>117</v>
      </c>
      <c r="H69" s="120">
        <f>SUM(H62:H68)</f>
        <v>69506</v>
      </c>
      <c r="I69" s="606"/>
      <c r="J69" s="606"/>
      <c r="L69" s="126" t="str">
        <f>IF([1]RENAME!$H$3=1,B69,A69)</f>
        <v>Em 31 de março de 2021</v>
      </c>
      <c r="M69" s="120">
        <f>SUM(M62:M68)</f>
        <v>78537</v>
      </c>
      <c r="N69" s="120">
        <f>SUM(N62:N68)</f>
        <v>464</v>
      </c>
      <c r="O69" s="120">
        <f>SUM(O62:O68)</f>
        <v>1787</v>
      </c>
      <c r="P69" s="120">
        <f>SUM(P62:P68)</f>
        <v>80788</v>
      </c>
    </row>
    <row r="70" spans="1:16" x14ac:dyDescent="0.2">
      <c r="D70" s="327"/>
      <c r="E70" s="327"/>
      <c r="F70" s="327"/>
      <c r="G70" s="327"/>
      <c r="H70" s="327"/>
      <c r="L70" s="995"/>
      <c r="M70" s="995"/>
      <c r="N70" s="995"/>
      <c r="O70" s="995"/>
      <c r="P70" s="995"/>
    </row>
    <row r="71" spans="1:16" outlineLevel="1" x14ac:dyDescent="0.2">
      <c r="A71" s="532" t="s">
        <v>1439</v>
      </c>
      <c r="B71" s="532" t="s">
        <v>1453</v>
      </c>
      <c r="D71" s="129" t="str">
        <f>IF([1]RENAME!$H$3=1,B71,A71)</f>
        <v xml:space="preserve">Movimentações </v>
      </c>
      <c r="E71" s="118"/>
      <c r="F71" s="118"/>
      <c r="G71" s="118"/>
      <c r="H71" s="118"/>
      <c r="I71" s="606"/>
      <c r="J71" s="606"/>
      <c r="L71" s="129" t="str">
        <f>IF([1]RENAME!$H$3=1,B71,A71)</f>
        <v xml:space="preserve">Movimentações </v>
      </c>
      <c r="M71" s="118"/>
      <c r="N71" s="118"/>
      <c r="O71" s="118"/>
      <c r="P71" s="118"/>
    </row>
    <row r="72" spans="1:16" outlineLevel="1" x14ac:dyDescent="0.2">
      <c r="A72" s="532" t="s">
        <v>1533</v>
      </c>
      <c r="B72" s="532" t="s">
        <v>1534</v>
      </c>
      <c r="D72" s="129" t="str">
        <f>IF([1]RENAME!$H$3=1,B72,A72)</f>
        <v>Adoção Inicial</v>
      </c>
      <c r="E72" s="118"/>
      <c r="F72" s="118"/>
      <c r="G72" s="118"/>
      <c r="H72" s="118"/>
      <c r="I72" s="606"/>
      <c r="J72" s="606"/>
      <c r="L72" s="129" t="str">
        <f>IF([1]RENAME!$H$3=1,B72,A72)</f>
        <v>Adoção Inicial</v>
      </c>
      <c r="M72" s="118"/>
      <c r="N72" s="118"/>
      <c r="O72" s="118"/>
      <c r="P72" s="118"/>
    </row>
    <row r="73" spans="1:16" outlineLevel="1" x14ac:dyDescent="0.2">
      <c r="A73" s="532" t="s">
        <v>189</v>
      </c>
      <c r="B73" s="532" t="s">
        <v>1123</v>
      </c>
      <c r="D73" s="129" t="str">
        <f>IF([1]RENAME!$H$3=1,B73,A73)</f>
        <v>Adições</v>
      </c>
      <c r="E73" s="118">
        <v>1558</v>
      </c>
      <c r="F73" s="118">
        <v>50</v>
      </c>
      <c r="G73" s="118">
        <v>0</v>
      </c>
      <c r="H73" s="118">
        <v>1608</v>
      </c>
      <c r="I73" s="606"/>
      <c r="J73" s="606"/>
      <c r="L73" s="129" t="str">
        <f>IF([1]RENAME!$H$3=1,B73,A73)</f>
        <v>Adições</v>
      </c>
      <c r="M73" s="118">
        <v>1671</v>
      </c>
      <c r="N73" s="118">
        <v>65</v>
      </c>
      <c r="O73" s="118">
        <v>0</v>
      </c>
      <c r="P73" s="118">
        <f>+SUM(M73:O73)</f>
        <v>1736</v>
      </c>
    </row>
    <row r="74" spans="1:16" outlineLevel="1" x14ac:dyDescent="0.2">
      <c r="A74" s="532" t="s">
        <v>1440</v>
      </c>
      <c r="B74" s="532" t="s">
        <v>1535</v>
      </c>
      <c r="D74" s="129" t="str">
        <f>IF([1]RENAME!$H$3=1,B74,A74)</f>
        <v>Baixas</v>
      </c>
      <c r="E74" s="118">
        <v>-466</v>
      </c>
      <c r="F74" s="118">
        <v>0</v>
      </c>
      <c r="G74" s="118">
        <v>0</v>
      </c>
      <c r="H74" s="118">
        <v>-466</v>
      </c>
      <c r="I74" s="606"/>
      <c r="J74" s="606"/>
      <c r="L74" s="129" t="str">
        <f>IF([1]RENAME!$H$3=1,B74,A74)</f>
        <v>Baixas</v>
      </c>
      <c r="M74" s="118">
        <v>-466</v>
      </c>
      <c r="N74" s="118">
        <v>0</v>
      </c>
      <c r="O74" s="118">
        <v>-1</v>
      </c>
      <c r="P74" s="118">
        <f>+SUM(M74:O74)</f>
        <v>-467</v>
      </c>
    </row>
    <row r="75" spans="1:16" outlineLevel="1" x14ac:dyDescent="0.2">
      <c r="A75" s="532" t="s">
        <v>247</v>
      </c>
      <c r="B75" s="532" t="s">
        <v>1124</v>
      </c>
      <c r="D75" s="129" t="str">
        <f>IF([1]RENAME!$H$3=1,B75,A75)</f>
        <v>Amortização</v>
      </c>
      <c r="E75" s="118">
        <v>-6713</v>
      </c>
      <c r="F75" s="118">
        <v>-225</v>
      </c>
      <c r="G75" s="118">
        <v>-73</v>
      </c>
      <c r="H75" s="118">
        <v>-7011</v>
      </c>
      <c r="I75" s="606"/>
      <c r="J75" s="606"/>
      <c r="L75" s="129" t="str">
        <f>IF([1]RENAME!$H$3=1,B75,A75)</f>
        <v>Amortização</v>
      </c>
      <c r="M75" s="118">
        <v>-7125</v>
      </c>
      <c r="N75" s="118">
        <v>-238</v>
      </c>
      <c r="O75" s="118">
        <v>-631</v>
      </c>
      <c r="P75" s="118">
        <f>+SUM(M75:O75)</f>
        <v>-7994</v>
      </c>
    </row>
    <row r="76" spans="1:16" x14ac:dyDescent="0.2">
      <c r="A76" s="532" t="s">
        <v>1859</v>
      </c>
      <c r="B76" s="532" t="s">
        <v>1863</v>
      </c>
      <c r="D76" s="126" t="str">
        <f>IF([1]RENAME!$H$3=1,B76,A76)</f>
        <v>Em 30 de junho de 2021</v>
      </c>
      <c r="E76" s="120">
        <f>SUM(E69:E75)</f>
        <v>63307</v>
      </c>
      <c r="F76" s="120">
        <f>SUM(F69:F75)</f>
        <v>286</v>
      </c>
      <c r="G76" s="120">
        <f>SUM(G69:G75)</f>
        <v>44</v>
      </c>
      <c r="H76" s="120">
        <f>SUM(H69:H75)</f>
        <v>63637</v>
      </c>
      <c r="I76" s="606"/>
      <c r="J76" s="606"/>
      <c r="L76" s="126" t="str">
        <f>IF([1]RENAME!$H$3=1,B76,A76)</f>
        <v>Em 30 de junho de 2021</v>
      </c>
      <c r="M76" s="120">
        <f>SUM(M69:M75)</f>
        <v>72617</v>
      </c>
      <c r="N76" s="120">
        <f>SUM(N69:N75)</f>
        <v>291</v>
      </c>
      <c r="O76" s="120">
        <f>SUM(O69:O75)</f>
        <v>1155</v>
      </c>
      <c r="P76" s="120">
        <f>SUM(P69:P75)</f>
        <v>74063</v>
      </c>
    </row>
    <row r="77" spans="1:16" x14ac:dyDescent="0.2">
      <c r="L77" s="995"/>
      <c r="M77" s="995"/>
      <c r="N77" s="995"/>
      <c r="O77" s="995"/>
      <c r="P77" s="995"/>
    </row>
    <row r="78" spans="1:16" outlineLevel="1" x14ac:dyDescent="0.2">
      <c r="A78" s="532" t="s">
        <v>1439</v>
      </c>
      <c r="B78" s="532" t="s">
        <v>1453</v>
      </c>
      <c r="D78" s="129" t="s">
        <v>1439</v>
      </c>
      <c r="E78" s="118"/>
      <c r="F78" s="118"/>
      <c r="G78" s="118"/>
      <c r="H78" s="118"/>
      <c r="I78" s="606"/>
      <c r="J78" s="606"/>
      <c r="L78" s="129" t="s">
        <v>1439</v>
      </c>
      <c r="M78" s="118"/>
      <c r="N78" s="118"/>
      <c r="O78" s="118"/>
      <c r="P78" s="118"/>
    </row>
    <row r="79" spans="1:16" outlineLevel="1" x14ac:dyDescent="0.2">
      <c r="A79" s="532" t="s">
        <v>1533</v>
      </c>
      <c r="B79" s="532" t="s">
        <v>1534</v>
      </c>
      <c r="D79" s="129" t="s">
        <v>1533</v>
      </c>
      <c r="E79" s="118"/>
      <c r="F79" s="118"/>
      <c r="G79" s="118"/>
      <c r="H79" s="118"/>
      <c r="I79" s="606"/>
      <c r="J79" s="606"/>
      <c r="L79" s="129" t="s">
        <v>1533</v>
      </c>
      <c r="M79" s="118"/>
      <c r="N79" s="118"/>
      <c r="O79" s="118"/>
      <c r="P79" s="118"/>
    </row>
    <row r="80" spans="1:16" outlineLevel="1" x14ac:dyDescent="0.2">
      <c r="A80" s="532" t="s">
        <v>189</v>
      </c>
      <c r="B80" s="532" t="s">
        <v>1123</v>
      </c>
      <c r="D80" s="129" t="s">
        <v>189</v>
      </c>
      <c r="E80" s="118">
        <v>1304</v>
      </c>
      <c r="F80" s="118">
        <v>74</v>
      </c>
      <c r="G80" s="118">
        <v>4</v>
      </c>
      <c r="H80" s="118">
        <v>1382</v>
      </c>
      <c r="I80" s="606"/>
      <c r="J80" s="606"/>
      <c r="L80" s="129" t="s">
        <v>189</v>
      </c>
      <c r="M80" s="118">
        <v>1125</v>
      </c>
      <c r="N80" s="118">
        <v>82</v>
      </c>
      <c r="O80" s="118">
        <v>5</v>
      </c>
      <c r="P80" s="118">
        <v>1212</v>
      </c>
    </row>
    <row r="81" spans="1:16" outlineLevel="1" x14ac:dyDescent="0.2">
      <c r="A81" s="532" t="s">
        <v>1440</v>
      </c>
      <c r="B81" s="532" t="s">
        <v>1535</v>
      </c>
      <c r="D81" s="129" t="s">
        <v>1440</v>
      </c>
      <c r="E81" s="118">
        <v>0</v>
      </c>
      <c r="F81" s="118">
        <v>0</v>
      </c>
      <c r="G81" s="118">
        <v>0</v>
      </c>
      <c r="H81" s="118">
        <v>0</v>
      </c>
      <c r="I81" s="606"/>
      <c r="J81" s="606"/>
      <c r="L81" s="129" t="s">
        <v>1440</v>
      </c>
      <c r="M81" s="118">
        <v>0</v>
      </c>
      <c r="N81" s="118">
        <v>0</v>
      </c>
      <c r="O81" s="118">
        <v>0</v>
      </c>
      <c r="P81" s="118">
        <v>0</v>
      </c>
    </row>
    <row r="82" spans="1:16" outlineLevel="1" x14ac:dyDescent="0.2">
      <c r="A82" s="532" t="s">
        <v>247</v>
      </c>
      <c r="B82" s="532" t="s">
        <v>1124</v>
      </c>
      <c r="D82" s="129" t="s">
        <v>247</v>
      </c>
      <c r="E82" s="118">
        <v>-6508</v>
      </c>
      <c r="F82" s="118">
        <v>-198</v>
      </c>
      <c r="G82" s="118">
        <v>-49</v>
      </c>
      <c r="H82" s="118">
        <v>-6755</v>
      </c>
      <c r="I82" s="606"/>
      <c r="J82" s="606"/>
      <c r="L82" s="129" t="s">
        <v>247</v>
      </c>
      <c r="M82" s="118">
        <v>-6917</v>
      </c>
      <c r="N82" s="118">
        <v>-211</v>
      </c>
      <c r="O82" s="118">
        <v>-606</v>
      </c>
      <c r="P82" s="118">
        <v>-7734</v>
      </c>
    </row>
    <row r="83" spans="1:16" x14ac:dyDescent="0.2">
      <c r="A83" s="532" t="s">
        <v>1905</v>
      </c>
      <c r="B83" s="532" t="s">
        <v>1909</v>
      </c>
      <c r="D83" s="126" t="str">
        <f>IF([1]RENAME!$H$3=1,B83,A83)</f>
        <v>Em 30 de setembro de 2021</v>
      </c>
      <c r="E83" s="120">
        <f>SUM(E76:E82)</f>
        <v>58103</v>
      </c>
      <c r="F83" s="120">
        <f>SUM(F76:F82)</f>
        <v>162</v>
      </c>
      <c r="G83" s="120">
        <f>SUM(G76:G82)</f>
        <v>-1</v>
      </c>
      <c r="H83" s="120">
        <f>SUM(H76:H82)</f>
        <v>58264</v>
      </c>
      <c r="I83" s="606"/>
      <c r="J83" s="606"/>
      <c r="L83" s="126" t="str">
        <f>IF([1]RENAME!$H$3=1,B83,A83)</f>
        <v>Em 30 de setembro de 2021</v>
      </c>
      <c r="M83" s="120">
        <f>SUM(M76:M82)</f>
        <v>66825</v>
      </c>
      <c r="N83" s="120">
        <f>SUM(N76:N82)</f>
        <v>162</v>
      </c>
      <c r="O83" s="120">
        <f>SUM(O76:O82)</f>
        <v>554</v>
      </c>
      <c r="P83" s="120">
        <f>SUM(P76:P82)</f>
        <v>67541</v>
      </c>
    </row>
    <row r="85" spans="1:16" x14ac:dyDescent="0.2">
      <c r="A85" s="532" t="s">
        <v>1439</v>
      </c>
      <c r="B85" s="532" t="s">
        <v>1453</v>
      </c>
      <c r="D85" s="129" t="str">
        <f>IF([1]RENAME!$H$3=1,B85,A85)</f>
        <v xml:space="preserve">Movimentações </v>
      </c>
      <c r="E85" s="118"/>
      <c r="F85" s="118"/>
      <c r="G85" s="118"/>
      <c r="H85" s="118"/>
      <c r="I85" s="606"/>
      <c r="J85" s="606"/>
      <c r="L85" s="129" t="str">
        <f>IF([1]RENAME!$H$3=1,B85,A85)</f>
        <v xml:space="preserve">Movimentações </v>
      </c>
      <c r="M85" s="118"/>
      <c r="N85" s="118"/>
      <c r="O85" s="118"/>
      <c r="P85" s="118"/>
    </row>
    <row r="86" spans="1:16" x14ac:dyDescent="0.2">
      <c r="A86" s="532" t="s">
        <v>1533</v>
      </c>
      <c r="B86" s="532" t="s">
        <v>1534</v>
      </c>
      <c r="D86" s="129" t="str">
        <f>IF([1]RENAME!$H$3=1,B86,A86)</f>
        <v>Adoção Inicial</v>
      </c>
      <c r="E86" s="118"/>
      <c r="F86" s="118"/>
      <c r="G86" s="118"/>
      <c r="H86" s="118"/>
      <c r="I86" s="606"/>
      <c r="J86" s="606"/>
      <c r="L86" s="129" t="str">
        <f>IF([1]RENAME!$H$3=1,B86,A86)</f>
        <v>Adoção Inicial</v>
      </c>
      <c r="M86" s="118"/>
      <c r="N86" s="118"/>
      <c r="O86" s="118"/>
      <c r="P86" s="118"/>
    </row>
    <row r="87" spans="1:16" x14ac:dyDescent="0.2">
      <c r="A87" s="532" t="s">
        <v>189</v>
      </c>
      <c r="B87" s="532" t="s">
        <v>1123</v>
      </c>
      <c r="D87" s="129" t="str">
        <f>IF([1]RENAME!$H$3=1,B87,A87)</f>
        <v>Adições</v>
      </c>
      <c r="E87" s="118">
        <v>653</v>
      </c>
      <c r="F87" s="118">
        <v>1191</v>
      </c>
      <c r="G87" s="118">
        <v>0</v>
      </c>
      <c r="H87" s="118">
        <v>1845</v>
      </c>
      <c r="I87" s="606"/>
      <c r="J87" s="606"/>
      <c r="L87" s="129" t="str">
        <f>IF([1]RENAME!$H$3=1,B87,A87)</f>
        <v>Adições</v>
      </c>
      <c r="M87" s="118">
        <v>642</v>
      </c>
      <c r="N87" s="118">
        <v>1298</v>
      </c>
      <c r="O87" s="118">
        <v>0</v>
      </c>
      <c r="P87" s="118">
        <v>1940</v>
      </c>
    </row>
    <row r="88" spans="1:16" x14ac:dyDescent="0.2">
      <c r="A88" s="532" t="s">
        <v>1440</v>
      </c>
      <c r="B88" s="532" t="s">
        <v>1535</v>
      </c>
      <c r="D88" s="129" t="str">
        <f>IF([1]RENAME!$H$3=1,B88,A88)</f>
        <v>Baixas</v>
      </c>
      <c r="E88" s="118">
        <v>0</v>
      </c>
      <c r="F88" s="118">
        <v>0</v>
      </c>
      <c r="G88" s="118">
        <v>0</v>
      </c>
      <c r="H88" s="118">
        <v>0</v>
      </c>
      <c r="I88" s="606"/>
      <c r="J88" s="606"/>
      <c r="L88" s="129" t="str">
        <f>IF([1]RENAME!$H$3=1,B88,A88)</f>
        <v>Baixas</v>
      </c>
      <c r="M88" s="118">
        <v>-3</v>
      </c>
      <c r="N88" s="118">
        <v>0</v>
      </c>
      <c r="O88" s="118">
        <v>0</v>
      </c>
      <c r="P88" s="118">
        <v>-3</v>
      </c>
    </row>
    <row r="89" spans="1:16" x14ac:dyDescent="0.2">
      <c r="A89" s="532" t="s">
        <v>247</v>
      </c>
      <c r="B89" s="532" t="s">
        <v>1124</v>
      </c>
      <c r="D89" s="129" t="str">
        <f>IF([1]RENAME!$H$3=1,B89,A89)</f>
        <v>Amortização</v>
      </c>
      <c r="E89" s="118">
        <v>-6387</v>
      </c>
      <c r="F89" s="118">
        <v>-200</v>
      </c>
      <c r="G89" s="118">
        <v>0</v>
      </c>
      <c r="H89" s="118">
        <v>-6587</v>
      </c>
      <c r="I89" s="606"/>
      <c r="J89" s="606"/>
      <c r="L89" s="129" t="str">
        <f>IF([1]RENAME!$H$3=1,B89,A89)</f>
        <v>Amortização</v>
      </c>
      <c r="M89" s="118">
        <v>-7265</v>
      </c>
      <c r="N89" s="118">
        <v>-204</v>
      </c>
      <c r="O89" s="118">
        <v>-184</v>
      </c>
      <c r="P89" s="118">
        <v>-7653</v>
      </c>
    </row>
    <row r="90" spans="1:16" x14ac:dyDescent="0.2">
      <c r="A90" s="532" t="s">
        <v>1921</v>
      </c>
      <c r="B90" s="532" t="s">
        <v>1927</v>
      </c>
      <c r="D90" s="126" t="str">
        <f>IF([1]RENAME!$H$3=1,B90,A90)</f>
        <v>Em 31 de dezembro de 2021</v>
      </c>
      <c r="E90" s="120">
        <f>SUM(E83:E89)</f>
        <v>52369</v>
      </c>
      <c r="F90" s="120">
        <f>SUM(F83:F89)</f>
        <v>1153</v>
      </c>
      <c r="G90" s="120">
        <f>SUM(G83:G89)</f>
        <v>-1</v>
      </c>
      <c r="H90" s="120">
        <f>SUM(H83:H89)</f>
        <v>53522</v>
      </c>
      <c r="I90" s="606"/>
      <c r="J90" s="606"/>
      <c r="L90" s="126" t="str">
        <f>IF([1]RENAME!$H$3=1,B90,A90)</f>
        <v>Em 31 de dezembro de 2021</v>
      </c>
      <c r="M90" s="120">
        <f>SUM(M83:M89)</f>
        <v>60199</v>
      </c>
      <c r="N90" s="120">
        <f>SUM(N83:N89)</f>
        <v>1256</v>
      </c>
      <c r="O90" s="120">
        <f>SUM(O83:O89)</f>
        <v>370</v>
      </c>
      <c r="P90" s="120">
        <f>SUM(P83:P89)</f>
        <v>61825</v>
      </c>
    </row>
    <row r="92" spans="1:16" x14ac:dyDescent="0.2">
      <c r="A92" s="532" t="s">
        <v>1439</v>
      </c>
      <c r="B92" s="532" t="s">
        <v>1453</v>
      </c>
      <c r="D92" s="129" t="str">
        <f>IF([1]RENAME!$H$3=1,B92,A92)</f>
        <v xml:space="preserve">Movimentações </v>
      </c>
      <c r="E92" s="118"/>
      <c r="F92" s="118"/>
      <c r="G92" s="118"/>
      <c r="H92" s="118"/>
      <c r="I92" s="606"/>
      <c r="J92" s="606"/>
      <c r="L92" s="129" t="str">
        <f>IF([1]RENAME!$H$3=1,B92,A92)</f>
        <v xml:space="preserve">Movimentações </v>
      </c>
      <c r="M92" s="118"/>
      <c r="N92" s="118"/>
      <c r="O92" s="118"/>
      <c r="P92" s="118"/>
    </row>
    <row r="93" spans="1:16" x14ac:dyDescent="0.2">
      <c r="A93" s="532" t="s">
        <v>1533</v>
      </c>
      <c r="B93" s="532" t="s">
        <v>1534</v>
      </c>
      <c r="D93" s="129" t="str">
        <f>IF([1]RENAME!$H$3=1,B93,A93)</f>
        <v>Adoção Inicial</v>
      </c>
      <c r="E93" s="118"/>
      <c r="F93" s="118"/>
      <c r="G93" s="118"/>
      <c r="H93" s="118"/>
      <c r="I93" s="606"/>
      <c r="J93" s="606"/>
      <c r="L93" s="129" t="str">
        <f>IF([1]RENAME!$H$3=1,B93,A93)</f>
        <v>Adoção Inicial</v>
      </c>
      <c r="M93" s="118"/>
      <c r="N93" s="118"/>
      <c r="O93" s="118"/>
      <c r="P93" s="118"/>
    </row>
    <row r="94" spans="1:16" x14ac:dyDescent="0.2">
      <c r="A94" s="532" t="s">
        <v>189</v>
      </c>
      <c r="B94" s="532" t="s">
        <v>1123</v>
      </c>
      <c r="D94" s="129" t="str">
        <f>IF([1]RENAME!$H$3=1,B94,A94)</f>
        <v>Adições</v>
      </c>
      <c r="E94" s="118">
        <v>2819</v>
      </c>
      <c r="F94" s="118">
        <v>0</v>
      </c>
      <c r="G94" s="118">
        <v>0</v>
      </c>
      <c r="H94" s="118">
        <v>2819</v>
      </c>
      <c r="I94" s="606"/>
      <c r="J94" s="606"/>
      <c r="L94" s="129" t="str">
        <f>IF([1]RENAME!$H$3=1,B94,A94)</f>
        <v>Adições</v>
      </c>
      <c r="M94" s="118">
        <v>2613</v>
      </c>
      <c r="N94" s="118">
        <v>0</v>
      </c>
      <c r="O94" s="118">
        <v>2635</v>
      </c>
      <c r="P94" s="118">
        <v>5248</v>
      </c>
    </row>
    <row r="95" spans="1:16" x14ac:dyDescent="0.2">
      <c r="A95" s="532" t="s">
        <v>1440</v>
      </c>
      <c r="B95" s="532" t="s">
        <v>1535</v>
      </c>
      <c r="D95" s="129" t="str">
        <f>IF([1]RENAME!$H$3=1,B95,A95)</f>
        <v>Baixas</v>
      </c>
      <c r="E95" s="118">
        <v>0</v>
      </c>
      <c r="F95" s="118">
        <v>0</v>
      </c>
      <c r="G95" s="118">
        <v>0</v>
      </c>
      <c r="H95" s="118">
        <v>0</v>
      </c>
      <c r="I95" s="606"/>
      <c r="J95" s="606"/>
      <c r="L95" s="129" t="str">
        <f>IF([1]RENAME!$H$3=1,B95,A95)</f>
        <v>Baixas</v>
      </c>
      <c r="M95" s="118">
        <v>0</v>
      </c>
      <c r="N95" s="118">
        <v>0</v>
      </c>
      <c r="O95" s="118">
        <v>0</v>
      </c>
      <c r="P95" s="118">
        <v>0</v>
      </c>
    </row>
    <row r="96" spans="1:16" x14ac:dyDescent="0.2">
      <c r="A96" s="532" t="s">
        <v>247</v>
      </c>
      <c r="B96" s="532" t="s">
        <v>1124</v>
      </c>
      <c r="D96" s="129" t="str">
        <f>IF([1]RENAME!$H$3=1,B96,A96)</f>
        <v>Amortização</v>
      </c>
      <c r="E96" s="118">
        <v>-7382</v>
      </c>
      <c r="F96" s="118">
        <v>-198</v>
      </c>
      <c r="G96" s="118">
        <v>0</v>
      </c>
      <c r="H96" s="118">
        <v>-7580</v>
      </c>
      <c r="I96" s="606"/>
      <c r="J96" s="606"/>
      <c r="L96" s="129" t="str">
        <f>IF([1]RENAME!$H$3=1,B96,A96)</f>
        <v>Amortização</v>
      </c>
      <c r="M96" s="118">
        <v>-7878</v>
      </c>
      <c r="N96" s="118">
        <v>-208</v>
      </c>
      <c r="O96" s="118">
        <v>-595</v>
      </c>
      <c r="P96" s="118">
        <v>-8681</v>
      </c>
    </row>
    <row r="97" spans="1:16" x14ac:dyDescent="0.2">
      <c r="A97" s="532" t="s">
        <v>1954</v>
      </c>
      <c r="B97" s="532" t="s">
        <v>1958</v>
      </c>
      <c r="D97" s="126" t="str">
        <f>IF([1]RENAME!$H$3=1,B97,A97)</f>
        <v>Em 31 de março de 2022</v>
      </c>
      <c r="E97" s="120">
        <f>SUM(E90:E96)</f>
        <v>47806</v>
      </c>
      <c r="F97" s="120">
        <f>SUM(F90:F96)</f>
        <v>955</v>
      </c>
      <c r="G97" s="120">
        <f>SUM(G90:G96)</f>
        <v>-1</v>
      </c>
      <c r="H97" s="120">
        <f>SUM(H90:H96)</f>
        <v>48761</v>
      </c>
      <c r="I97" s="606"/>
      <c r="J97" s="606"/>
      <c r="L97" s="126" t="str">
        <f>IF([1]RENAME!$H$3=1,B97,A97)</f>
        <v>Em 31 de março de 2022</v>
      </c>
      <c r="M97" s="120">
        <f>SUM(M90:M96)</f>
        <v>54934</v>
      </c>
      <c r="N97" s="120">
        <f>SUM(N90:N96)</f>
        <v>1048</v>
      </c>
      <c r="O97" s="120">
        <f>SUM(O90:O96)</f>
        <v>2410</v>
      </c>
      <c r="P97" s="120">
        <f>SUM(P90:P96)</f>
        <v>58392</v>
      </c>
    </row>
    <row r="99" spans="1:16" x14ac:dyDescent="0.2">
      <c r="A99" s="532" t="s">
        <v>1439</v>
      </c>
      <c r="B99" s="532" t="s">
        <v>1453</v>
      </c>
      <c r="D99" s="129" t="str">
        <f>IF([1]RENAME!$H$3=1,B99,A99)</f>
        <v xml:space="preserve">Movimentações </v>
      </c>
      <c r="E99" s="118"/>
      <c r="F99" s="118"/>
      <c r="G99" s="118"/>
      <c r="H99" s="118"/>
      <c r="I99" s="606"/>
      <c r="J99" s="606"/>
      <c r="L99" s="129" t="str">
        <f>IF([1]RENAME!$H$3=1,B99,A99)</f>
        <v xml:space="preserve">Movimentações </v>
      </c>
      <c r="M99" s="118"/>
      <c r="N99" s="118"/>
      <c r="O99" s="118"/>
      <c r="P99" s="118"/>
    </row>
    <row r="100" spans="1:16" x14ac:dyDescent="0.2">
      <c r="A100" s="532" t="s">
        <v>1533</v>
      </c>
      <c r="B100" s="532" t="s">
        <v>1534</v>
      </c>
      <c r="D100" s="129" t="str">
        <f>IF([1]RENAME!$H$3=1,B100,A100)</f>
        <v>Adoção Inicial</v>
      </c>
      <c r="E100" s="118"/>
      <c r="F100" s="118"/>
      <c r="G100" s="118"/>
      <c r="H100" s="118"/>
      <c r="I100" s="606"/>
      <c r="J100" s="606"/>
      <c r="L100" s="129" t="str">
        <f>IF([1]RENAME!$H$3=1,B100,A100)</f>
        <v>Adoção Inicial</v>
      </c>
      <c r="M100" s="118"/>
      <c r="N100" s="118"/>
      <c r="O100" s="118"/>
      <c r="P100" s="118"/>
    </row>
    <row r="101" spans="1:16" x14ac:dyDescent="0.2">
      <c r="A101" s="532" t="s">
        <v>189</v>
      </c>
      <c r="B101" s="532" t="s">
        <v>1123</v>
      </c>
      <c r="D101" s="129" t="str">
        <f>IF([1]RENAME!$H$3=1,B101,A101)</f>
        <v>Adições</v>
      </c>
      <c r="E101" s="118">
        <v>4557</v>
      </c>
      <c r="F101" s="118">
        <v>0</v>
      </c>
      <c r="G101" s="118">
        <v>0</v>
      </c>
      <c r="H101" s="118">
        <f>+SUM(E101:G101)</f>
        <v>4557</v>
      </c>
      <c r="I101" s="606"/>
      <c r="J101" s="606"/>
      <c r="L101" s="129" t="str">
        <f>IF([1]RENAME!$H$3=1,B101,A101)</f>
        <v>Adições</v>
      </c>
      <c r="M101" s="118">
        <v>4675</v>
      </c>
      <c r="N101" s="118">
        <v>10</v>
      </c>
      <c r="O101" s="118">
        <v>0</v>
      </c>
      <c r="P101" s="118">
        <f>+SUM(M101:O101)</f>
        <v>4685</v>
      </c>
    </row>
    <row r="102" spans="1:16" x14ac:dyDescent="0.2">
      <c r="A102" s="532" t="s">
        <v>1440</v>
      </c>
      <c r="B102" s="532" t="s">
        <v>1535</v>
      </c>
      <c r="D102" s="129" t="str">
        <f>IF([1]RENAME!$H$3=1,B102,A102)</f>
        <v>Baixas</v>
      </c>
      <c r="E102" s="118">
        <v>0</v>
      </c>
      <c r="F102" s="118">
        <v>0</v>
      </c>
      <c r="G102" s="118">
        <v>0</v>
      </c>
      <c r="H102" s="118">
        <f>+SUM(E102:G102)</f>
        <v>0</v>
      </c>
      <c r="I102" s="606"/>
      <c r="J102" s="606"/>
      <c r="L102" s="129" t="str">
        <f>IF([1]RENAME!$H$3=1,B102,A102)</f>
        <v>Baixas</v>
      </c>
      <c r="M102" s="118">
        <v>0</v>
      </c>
      <c r="N102" s="118">
        <v>0</v>
      </c>
      <c r="O102" s="118">
        <v>0</v>
      </c>
      <c r="P102" s="118">
        <f>+SUM(M102:O102)</f>
        <v>0</v>
      </c>
    </row>
    <row r="103" spans="1:16" x14ac:dyDescent="0.2">
      <c r="A103" s="532" t="s">
        <v>247</v>
      </c>
      <c r="B103" s="532" t="s">
        <v>1124</v>
      </c>
      <c r="D103" s="129" t="str">
        <f>IF([1]RENAME!$H$3=1,B103,A103)</f>
        <v>Amortização</v>
      </c>
      <c r="E103" s="118">
        <v>-7423</v>
      </c>
      <c r="F103" s="118">
        <v>-155</v>
      </c>
      <c r="G103" s="118">
        <v>0</v>
      </c>
      <c r="H103" s="118">
        <f>+SUM(E103:G103)</f>
        <v>-7578</v>
      </c>
      <c r="I103" s="606"/>
      <c r="J103" s="606"/>
      <c r="L103" s="129" t="str">
        <f>IF([1]RENAME!$H$3=1,B103,A103)</f>
        <v>Amortização</v>
      </c>
      <c r="M103" s="118">
        <v>-8362</v>
      </c>
      <c r="N103" s="118">
        <v>-168</v>
      </c>
      <c r="O103" s="118">
        <v>-226</v>
      </c>
      <c r="P103" s="118">
        <f>+SUM(M103:O103)</f>
        <v>-8756</v>
      </c>
    </row>
    <row r="104" spans="1:16" x14ac:dyDescent="0.2">
      <c r="A104" s="532" t="s">
        <v>1965</v>
      </c>
      <c r="B104" s="532" t="s">
        <v>1966</v>
      </c>
      <c r="D104" s="126" t="str">
        <f>IF([1]RENAME!$H$3=1,B104,A104)</f>
        <v>Em 30 de junho de 2022</v>
      </c>
      <c r="E104" s="120">
        <f>SUM(E97:E103)</f>
        <v>44940</v>
      </c>
      <c r="F104" s="120">
        <f>SUM(F97:F103)</f>
        <v>800</v>
      </c>
      <c r="G104" s="120">
        <f>SUM(G97:G103)</f>
        <v>-1</v>
      </c>
      <c r="H104" s="120">
        <f>SUM(H97:H103)</f>
        <v>45740</v>
      </c>
      <c r="I104" s="606"/>
      <c r="J104" s="606"/>
      <c r="L104" s="126" t="str">
        <f>IF([1]RENAME!$H$3=1,B104,A104)</f>
        <v>Em 30 de junho de 2022</v>
      </c>
      <c r="M104" s="120">
        <f>SUM(M97:M103)</f>
        <v>51247</v>
      </c>
      <c r="N104" s="120">
        <f>SUM(N97:N103)</f>
        <v>890</v>
      </c>
      <c r="O104" s="120">
        <f>SUM(O97:O103)</f>
        <v>2184</v>
      </c>
      <c r="P104" s="120">
        <f>SUM(P97:P103)</f>
        <v>54321</v>
      </c>
    </row>
    <row r="106" spans="1:16" x14ac:dyDescent="0.2">
      <c r="A106" s="532" t="s">
        <v>1439</v>
      </c>
      <c r="B106" s="532" t="s">
        <v>1453</v>
      </c>
      <c r="D106" s="129" t="str">
        <f>IF([1]RENAME!$H$3=1,B106,A106)</f>
        <v xml:space="preserve">Movimentações </v>
      </c>
      <c r="E106" s="118"/>
      <c r="F106" s="118"/>
      <c r="G106" s="118"/>
      <c r="H106" s="118"/>
      <c r="I106" s="606"/>
      <c r="J106" s="606"/>
      <c r="L106" s="129" t="str">
        <f>IF([1]RENAME!$H$3=1,B106,A106)</f>
        <v xml:space="preserve">Movimentações </v>
      </c>
      <c r="M106" s="118"/>
      <c r="N106" s="118"/>
      <c r="O106" s="118"/>
      <c r="P106" s="118"/>
    </row>
    <row r="107" spans="1:16" x14ac:dyDescent="0.2">
      <c r="A107" s="532" t="s">
        <v>1533</v>
      </c>
      <c r="B107" s="532" t="s">
        <v>1534</v>
      </c>
      <c r="D107" s="129" t="str">
        <f>IF([1]RENAME!$H$3=1,B107,A107)</f>
        <v>Adoção Inicial</v>
      </c>
      <c r="E107" s="118"/>
      <c r="F107" s="118"/>
      <c r="G107" s="118"/>
      <c r="H107" s="118"/>
      <c r="I107" s="606"/>
      <c r="J107" s="606"/>
      <c r="L107" s="129" t="str">
        <f>IF([1]RENAME!$H$3=1,B107,A107)</f>
        <v>Adoção Inicial</v>
      </c>
      <c r="M107" s="118"/>
      <c r="N107" s="118"/>
      <c r="O107" s="118"/>
      <c r="P107" s="118"/>
    </row>
    <row r="108" spans="1:16" x14ac:dyDescent="0.2">
      <c r="A108" s="532" t="s">
        <v>189</v>
      </c>
      <c r="B108" s="532" t="s">
        <v>1123</v>
      </c>
      <c r="D108" s="129" t="str">
        <f>IF([1]RENAME!$H$3=1,B108,A108)</f>
        <v>Adições</v>
      </c>
      <c r="E108" s="118">
        <v>15510</v>
      </c>
      <c r="F108" s="118">
        <v>127</v>
      </c>
      <c r="G108" s="118">
        <v>0</v>
      </c>
      <c r="H108" s="118">
        <f>+SUM(E108:G108)</f>
        <v>15637</v>
      </c>
      <c r="I108" s="606"/>
      <c r="J108" s="606"/>
      <c r="L108" s="129" t="str">
        <f>IF([1]RENAME!$H$3=1,B108,A108)</f>
        <v>Adições</v>
      </c>
      <c r="M108" s="118">
        <v>9669</v>
      </c>
      <c r="N108" s="118">
        <v>128</v>
      </c>
      <c r="O108" s="118">
        <v>-31</v>
      </c>
      <c r="P108" s="118">
        <f>+SUM(M108:O108)</f>
        <v>9766</v>
      </c>
    </row>
    <row r="109" spans="1:16" x14ac:dyDescent="0.2">
      <c r="A109" s="532" t="s">
        <v>1440</v>
      </c>
      <c r="B109" s="532" t="s">
        <v>1535</v>
      </c>
      <c r="D109" s="129" t="str">
        <f>IF([1]RENAME!$H$3=1,B109,A109)</f>
        <v>Baixas</v>
      </c>
      <c r="E109" s="118">
        <v>0</v>
      </c>
      <c r="F109" s="118">
        <v>0</v>
      </c>
      <c r="G109" s="118">
        <v>0</v>
      </c>
      <c r="H109" s="118">
        <f>+SUM(E109:G109)</f>
        <v>0</v>
      </c>
      <c r="I109" s="606"/>
      <c r="J109" s="606"/>
      <c r="L109" s="129" t="str">
        <f>IF([1]RENAME!$H$3=1,B109,A109)</f>
        <v>Baixas</v>
      </c>
      <c r="M109" s="118">
        <v>0</v>
      </c>
      <c r="N109" s="118">
        <v>0</v>
      </c>
      <c r="O109" s="118">
        <v>0</v>
      </c>
      <c r="P109" s="118">
        <f>+SUM(M109:O109)</f>
        <v>0</v>
      </c>
    </row>
    <row r="110" spans="1:16" x14ac:dyDescent="0.2">
      <c r="A110" s="532" t="s">
        <v>247</v>
      </c>
      <c r="B110" s="532" t="s">
        <v>1124</v>
      </c>
      <c r="D110" s="129" t="str">
        <f>IF([1]RENAME!$H$3=1,B110,A110)</f>
        <v>Amortização</v>
      </c>
      <c r="E110" s="118">
        <v>-6245</v>
      </c>
      <c r="F110" s="118">
        <v>-185</v>
      </c>
      <c r="G110" s="118">
        <v>0</v>
      </c>
      <c r="H110" s="118">
        <f>+SUM(E110:G110)</f>
        <v>-6430</v>
      </c>
      <c r="I110" s="606"/>
      <c r="J110" s="606"/>
      <c r="L110" s="129" t="str">
        <f>IF([1]RENAME!$H$3=1,B110,A110)</f>
        <v>Amortização</v>
      </c>
      <c r="M110" s="118">
        <v>-5997</v>
      </c>
      <c r="N110" s="118">
        <v>-217</v>
      </c>
      <c r="O110" s="118">
        <v>-1502</v>
      </c>
      <c r="P110" s="118">
        <f>+SUM(M110:O110)</f>
        <v>-7716</v>
      </c>
    </row>
    <row r="111" spans="1:16" x14ac:dyDescent="0.2">
      <c r="A111" s="532" t="s">
        <v>1986</v>
      </c>
      <c r="B111" s="532" t="s">
        <v>1987</v>
      </c>
      <c r="D111" s="126" t="str">
        <f>IF([1]RENAME!$H$3=1,B111,A111)</f>
        <v>Em 30 de setembro de 2022</v>
      </c>
      <c r="E111" s="120">
        <f>SUM(E104:E110)</f>
        <v>54205</v>
      </c>
      <c r="F111" s="120">
        <f>SUM(F104:F110)</f>
        <v>742</v>
      </c>
      <c r="G111" s="120">
        <f>SUM(G104:G110)</f>
        <v>-1</v>
      </c>
      <c r="H111" s="120">
        <f>SUM(H104:H110)</f>
        <v>54947</v>
      </c>
      <c r="I111" s="606"/>
      <c r="J111" s="606"/>
      <c r="L111" s="126" t="str">
        <f>IF([1]RENAME!$H$3=1,B111,A111)</f>
        <v>Em 30 de setembro de 2022</v>
      </c>
      <c r="M111" s="120">
        <f>SUM(M104:M110)</f>
        <v>54919</v>
      </c>
      <c r="N111" s="120">
        <f>SUM(N104:N110)</f>
        <v>801</v>
      </c>
      <c r="O111" s="120">
        <f>SUM(O104:O110)</f>
        <v>651</v>
      </c>
      <c r="P111" s="120">
        <f>SUM(P104:P110)</f>
        <v>56371</v>
      </c>
    </row>
    <row r="113" spans="1:16" x14ac:dyDescent="0.2">
      <c r="A113" s="532" t="s">
        <v>1439</v>
      </c>
      <c r="B113" s="532" t="s">
        <v>1453</v>
      </c>
      <c r="D113" s="129" t="str">
        <f>IF([1]RENAME!$H$3=1,B113,A113)</f>
        <v xml:space="preserve">Movimentações </v>
      </c>
      <c r="E113" s="118"/>
      <c r="F113" s="118"/>
      <c r="G113" s="118"/>
      <c r="H113" s="118"/>
      <c r="I113" s="606"/>
      <c r="J113" s="606"/>
      <c r="L113" s="129" t="str">
        <f>IF([1]RENAME!$H$3=1,B113,A113)</f>
        <v xml:space="preserve">Movimentações </v>
      </c>
      <c r="M113" s="118"/>
      <c r="N113" s="118"/>
      <c r="O113" s="118"/>
      <c r="P113" s="118"/>
    </row>
    <row r="114" spans="1:16" x14ac:dyDescent="0.2">
      <c r="A114" s="532" t="s">
        <v>1533</v>
      </c>
      <c r="B114" s="532" t="s">
        <v>1534</v>
      </c>
      <c r="D114" s="129" t="str">
        <f>IF([1]RENAME!$H$3=1,B114,A114)</f>
        <v>Adoção Inicial</v>
      </c>
      <c r="E114" s="118"/>
      <c r="F114" s="118"/>
      <c r="G114" s="118"/>
      <c r="H114" s="118"/>
      <c r="I114" s="606"/>
      <c r="J114" s="606"/>
      <c r="L114" s="129" t="str">
        <f>IF([1]RENAME!$H$3=1,B114,A114)</f>
        <v>Adoção Inicial</v>
      </c>
      <c r="M114" s="118"/>
      <c r="N114" s="118"/>
      <c r="O114" s="118"/>
      <c r="P114" s="118"/>
    </row>
    <row r="115" spans="1:16" x14ac:dyDescent="0.2">
      <c r="A115" s="532" t="s">
        <v>189</v>
      </c>
      <c r="B115" s="532" t="s">
        <v>1123</v>
      </c>
      <c r="D115" s="129" t="str">
        <f>IF([1]RENAME!$H$3=1,B115,A115)</f>
        <v>Adições</v>
      </c>
      <c r="E115" s="118">
        <v>4980</v>
      </c>
      <c r="F115" s="118">
        <v>0</v>
      </c>
      <c r="G115" s="118">
        <v>0</v>
      </c>
      <c r="H115" s="118">
        <f>+SUM(E115:G115)</f>
        <v>4980</v>
      </c>
      <c r="I115" s="606"/>
      <c r="J115" s="606"/>
      <c r="L115" s="129" t="str">
        <f>IF([1]RENAME!$H$3=1,B115,A115)</f>
        <v>Adições</v>
      </c>
      <c r="M115" s="118">
        <v>508</v>
      </c>
      <c r="N115" s="118">
        <v>0</v>
      </c>
      <c r="O115" s="118">
        <v>0</v>
      </c>
      <c r="P115" s="118">
        <f>+SUM(M115:O115)</f>
        <v>508</v>
      </c>
    </row>
    <row r="116" spans="1:16" x14ac:dyDescent="0.2">
      <c r="A116" s="532" t="s">
        <v>1440</v>
      </c>
      <c r="B116" s="532" t="s">
        <v>1535</v>
      </c>
      <c r="D116" s="129" t="str">
        <f>IF([1]RENAME!$H$3=1,B116,A116)</f>
        <v>Baixas</v>
      </c>
      <c r="E116" s="118">
        <v>0</v>
      </c>
      <c r="F116" s="118">
        <v>0</v>
      </c>
      <c r="G116" s="118">
        <v>0</v>
      </c>
      <c r="H116" s="118">
        <f>+SUM(E116:G116)</f>
        <v>0</v>
      </c>
      <c r="I116" s="606"/>
      <c r="J116" s="606"/>
      <c r="L116" s="129" t="str">
        <f>IF([1]RENAME!$H$3=1,B116,A116)</f>
        <v>Baixas</v>
      </c>
      <c r="M116" s="118">
        <v>0</v>
      </c>
      <c r="N116" s="118">
        <v>0</v>
      </c>
      <c r="O116" s="118">
        <v>0</v>
      </c>
      <c r="P116" s="118">
        <f>+SUM(M116:O116)</f>
        <v>0</v>
      </c>
    </row>
    <row r="117" spans="1:16" x14ac:dyDescent="0.2">
      <c r="A117" s="532" t="s">
        <v>247</v>
      </c>
      <c r="B117" s="532" t="s">
        <v>1124</v>
      </c>
      <c r="D117" s="129" t="str">
        <f>IF([1]RENAME!$H$3=1,B117,A117)</f>
        <v>Amortização</v>
      </c>
      <c r="E117" s="118">
        <v>-6948</v>
      </c>
      <c r="F117" s="118">
        <f>-704-F110-F103-F96</f>
        <v>-166</v>
      </c>
      <c r="G117" s="118">
        <v>0</v>
      </c>
      <c r="H117" s="118">
        <f>+SUM(E117:G117)</f>
        <v>-7114</v>
      </c>
      <c r="I117" s="606"/>
      <c r="J117" s="606"/>
      <c r="L117" s="129" t="str">
        <f>IF([1]RENAME!$H$3=1,B117,A117)</f>
        <v>Amortização</v>
      </c>
      <c r="M117" s="118">
        <v>-7586</v>
      </c>
      <c r="N117" s="118">
        <v>-176</v>
      </c>
      <c r="O117" s="118">
        <v>-651</v>
      </c>
      <c r="P117" s="118">
        <f>+SUM(M117:O117)</f>
        <v>-8413</v>
      </c>
    </row>
    <row r="118" spans="1:16" x14ac:dyDescent="0.2">
      <c r="A118" s="532" t="s">
        <v>2000</v>
      </c>
      <c r="B118" s="532" t="s">
        <v>2001</v>
      </c>
      <c r="D118" s="126" t="str">
        <f>IF([1]RENAME!$H$3=1,B118,A118)</f>
        <v>Em 31 de dezembro de 2022</v>
      </c>
      <c r="E118" s="120">
        <f>SUM(E111:E117)</f>
        <v>52237</v>
      </c>
      <c r="F118" s="120">
        <f>SUM(F111:F117)</f>
        <v>576</v>
      </c>
      <c r="G118" s="120">
        <f>SUM(G111:G117)</f>
        <v>-1</v>
      </c>
      <c r="H118" s="120">
        <f>SUM(H111:H117)</f>
        <v>52813</v>
      </c>
      <c r="I118" s="606"/>
      <c r="J118" s="606"/>
      <c r="L118" s="126" t="str">
        <f>IF([1]RENAME!$H$3=1,B118,A118)</f>
        <v>Em 31 de dezembro de 2022</v>
      </c>
      <c r="M118" s="120">
        <f>SUM(M111:M117)</f>
        <v>47841</v>
      </c>
      <c r="N118" s="120">
        <f>SUM(N111:N117)</f>
        <v>625</v>
      </c>
      <c r="O118" s="120">
        <f>SUM(O111:O117)</f>
        <v>0</v>
      </c>
      <c r="P118" s="120">
        <f>SUM(P111:P117)</f>
        <v>48466</v>
      </c>
    </row>
    <row r="120" spans="1:16" x14ac:dyDescent="0.2">
      <c r="A120" s="532" t="s">
        <v>1439</v>
      </c>
      <c r="B120" s="532" t="s">
        <v>1453</v>
      </c>
      <c r="D120" s="129" t="str">
        <f>IF([1]RENAME!$H$3=1,B120,A120)</f>
        <v xml:space="preserve">Movimentações </v>
      </c>
      <c r="E120" s="118"/>
      <c r="F120" s="118"/>
      <c r="G120" s="118"/>
      <c r="H120" s="118"/>
      <c r="I120" s="606"/>
      <c r="J120" s="606"/>
      <c r="L120" s="129" t="str">
        <f>IF([1]RENAME!$H$3=1,B120,A120)</f>
        <v xml:space="preserve">Movimentações </v>
      </c>
      <c r="M120" s="118"/>
      <c r="N120" s="118"/>
      <c r="O120" s="118"/>
      <c r="P120" s="118"/>
    </row>
    <row r="121" spans="1:16" x14ac:dyDescent="0.2">
      <c r="A121" s="532" t="s">
        <v>1533</v>
      </c>
      <c r="B121" s="532" t="s">
        <v>1534</v>
      </c>
      <c r="D121" s="129" t="str">
        <f>IF([1]RENAME!$H$3=1,B121,A121)</f>
        <v>Adoção Inicial</v>
      </c>
      <c r="E121" s="118"/>
      <c r="F121" s="118"/>
      <c r="G121" s="118"/>
      <c r="H121" s="118"/>
      <c r="I121" s="606"/>
      <c r="J121" s="606"/>
      <c r="L121" s="129" t="str">
        <f>IF([1]RENAME!$H$3=1,B121,A121)</f>
        <v>Adoção Inicial</v>
      </c>
      <c r="M121" s="118"/>
      <c r="N121" s="118"/>
      <c r="O121" s="118"/>
      <c r="P121" s="118"/>
    </row>
    <row r="122" spans="1:16" x14ac:dyDescent="0.2">
      <c r="A122" s="532" t="s">
        <v>189</v>
      </c>
      <c r="B122" s="532" t="s">
        <v>1123</v>
      </c>
      <c r="D122" s="129" t="str">
        <f>IF([1]RENAME!$H$3=1,B122,A122)</f>
        <v>Adições</v>
      </c>
      <c r="E122" s="118">
        <v>23498</v>
      </c>
      <c r="F122" s="118">
        <v>0</v>
      </c>
      <c r="G122" s="118">
        <v>0</v>
      </c>
      <c r="H122" s="118">
        <f>+SUM(E122:G122)</f>
        <v>23498</v>
      </c>
      <c r="I122" s="606"/>
      <c r="J122" s="606"/>
      <c r="L122" s="129" t="str">
        <f>IF([1]RENAME!$H$3=1,B122,A122)</f>
        <v>Adições</v>
      </c>
      <c r="M122" s="118">
        <v>18342</v>
      </c>
      <c r="N122" s="118">
        <v>0</v>
      </c>
      <c r="O122" s="118">
        <v>10391</v>
      </c>
      <c r="P122" s="118">
        <v>28733</v>
      </c>
    </row>
    <row r="123" spans="1:16" x14ac:dyDescent="0.2">
      <c r="A123" s="532" t="s">
        <v>1440</v>
      </c>
      <c r="B123" s="532" t="s">
        <v>1535</v>
      </c>
      <c r="D123" s="129" t="str">
        <f>IF([1]RENAME!$H$3=1,B123,A123)</f>
        <v>Baixas</v>
      </c>
      <c r="E123" s="118">
        <v>0</v>
      </c>
      <c r="F123" s="118">
        <v>0</v>
      </c>
      <c r="G123" s="118">
        <v>0</v>
      </c>
      <c r="H123" s="118">
        <f>+SUM(E123:G123)</f>
        <v>0</v>
      </c>
      <c r="I123" s="606"/>
      <c r="J123" s="606"/>
      <c r="L123" s="129" t="str">
        <f>IF([1]RENAME!$H$3=1,B123,A123)</f>
        <v>Baixas</v>
      </c>
      <c r="M123" s="118">
        <v>0</v>
      </c>
      <c r="N123" s="118">
        <v>0</v>
      </c>
      <c r="O123" s="118">
        <v>0</v>
      </c>
      <c r="P123" s="118">
        <v>0</v>
      </c>
    </row>
    <row r="124" spans="1:16" x14ac:dyDescent="0.2">
      <c r="A124" s="532" t="s">
        <v>247</v>
      </c>
      <c r="B124" s="532" t="s">
        <v>1124</v>
      </c>
      <c r="D124" s="129" t="str">
        <f>IF([1]RENAME!$H$3=1,B124,A124)</f>
        <v>Amortização</v>
      </c>
      <c r="E124" s="118">
        <v>-6805</v>
      </c>
      <c r="F124" s="118">
        <v>-166</v>
      </c>
      <c r="G124" s="118">
        <v>0</v>
      </c>
      <c r="H124" s="118">
        <f>+SUM(E124:G124)</f>
        <v>-6971</v>
      </c>
      <c r="I124" s="606"/>
      <c r="J124" s="606"/>
      <c r="L124" s="129" t="str">
        <f>IF([1]RENAME!$H$3=1,B124,A124)</f>
        <v>Amortização</v>
      </c>
      <c r="M124" s="118">
        <v>-7425</v>
      </c>
      <c r="N124" s="118">
        <v>-180</v>
      </c>
      <c r="O124" s="118">
        <v>-523</v>
      </c>
      <c r="P124" s="118">
        <v>-8128</v>
      </c>
    </row>
    <row r="125" spans="1:16" x14ac:dyDescent="0.2">
      <c r="A125" s="532" t="s">
        <v>2035</v>
      </c>
      <c r="B125" s="532" t="s">
        <v>2036</v>
      </c>
      <c r="D125" s="126" t="str">
        <f>IF([1]RENAME!$H$3=1,B125,A125)</f>
        <v>Em 31 de março de 2023</v>
      </c>
      <c r="E125" s="120">
        <f>SUM(E118:E124)</f>
        <v>68930</v>
      </c>
      <c r="F125" s="120">
        <f>SUM(F118:F124)</f>
        <v>410</v>
      </c>
      <c r="G125" s="120">
        <f>SUM(G118:G124)</f>
        <v>-1</v>
      </c>
      <c r="H125" s="120">
        <f>SUM(H118:H124)</f>
        <v>69340</v>
      </c>
      <c r="I125" s="606"/>
      <c r="J125" s="606"/>
      <c r="L125" s="126" t="str">
        <f>IF([1]RENAME!$H$3=1,B125,A125)</f>
        <v>Em 31 de março de 2023</v>
      </c>
      <c r="M125" s="120">
        <f>SUM(M118:M124)</f>
        <v>58758</v>
      </c>
      <c r="N125" s="120">
        <f>SUM(N118:N124)</f>
        <v>445</v>
      </c>
      <c r="O125" s="120">
        <f>SUM(O118:O124)</f>
        <v>9868</v>
      </c>
      <c r="P125" s="120">
        <f>SUM(P118:P124)</f>
        <v>69071</v>
      </c>
    </row>
    <row r="127" spans="1:16" x14ac:dyDescent="0.2">
      <c r="A127" s="532" t="s">
        <v>1439</v>
      </c>
      <c r="B127" s="532" t="s">
        <v>1453</v>
      </c>
      <c r="D127" s="129" t="str">
        <f>IF([1]RENAME!$H$3=1,B127,A127)</f>
        <v xml:space="preserve">Movimentações </v>
      </c>
      <c r="E127" s="118"/>
      <c r="F127" s="118"/>
      <c r="G127" s="118"/>
      <c r="H127" s="118"/>
      <c r="I127" s="606"/>
      <c r="J127" s="606"/>
      <c r="L127" s="129" t="str">
        <f>IF([1]RENAME!$H$3=1,B127,A127)</f>
        <v xml:space="preserve">Movimentações </v>
      </c>
      <c r="M127" s="118"/>
      <c r="N127" s="118"/>
      <c r="O127" s="118"/>
      <c r="P127" s="118"/>
    </row>
    <row r="128" spans="1:16" x14ac:dyDescent="0.2">
      <c r="A128" s="532" t="s">
        <v>1533</v>
      </c>
      <c r="B128" s="532" t="s">
        <v>1534</v>
      </c>
      <c r="D128" s="129" t="str">
        <f>IF([1]RENAME!$H$3=1,B128,A128)</f>
        <v>Adoção Inicial</v>
      </c>
      <c r="E128" s="118"/>
      <c r="F128" s="118"/>
      <c r="G128" s="118"/>
      <c r="H128" s="118"/>
      <c r="I128" s="606"/>
      <c r="J128" s="606"/>
      <c r="L128" s="129" t="str">
        <f>IF([1]RENAME!$H$3=1,B128,A128)</f>
        <v>Adoção Inicial</v>
      </c>
      <c r="M128" s="118"/>
      <c r="N128" s="118"/>
      <c r="O128" s="118"/>
      <c r="P128" s="118"/>
    </row>
    <row r="129" spans="1:16" x14ac:dyDescent="0.2">
      <c r="A129" s="532" t="s">
        <v>189</v>
      </c>
      <c r="B129" s="532" t="s">
        <v>1123</v>
      </c>
      <c r="D129" s="129" t="str">
        <f>IF([1]RENAME!$H$3=1,B129,A129)</f>
        <v>Adições</v>
      </c>
      <c r="E129" s="118">
        <v>8036</v>
      </c>
      <c r="F129" s="118">
        <v>0</v>
      </c>
      <c r="G129" s="118">
        <v>0</v>
      </c>
      <c r="H129" s="118">
        <f>+SUM(E129:G129)</f>
        <v>8036</v>
      </c>
      <c r="I129" s="606"/>
      <c r="J129" s="606"/>
      <c r="L129" s="129" t="str">
        <f>IF([1]RENAME!$H$3=1,B129,A129)</f>
        <v>Adições</v>
      </c>
      <c r="M129" s="118">
        <v>13077</v>
      </c>
      <c r="N129" s="118">
        <v>0</v>
      </c>
      <c r="O129" s="118">
        <v>0</v>
      </c>
      <c r="P129" s="118">
        <f>+SUM(M129:O129)</f>
        <v>13077</v>
      </c>
    </row>
    <row r="130" spans="1:16" x14ac:dyDescent="0.2">
      <c r="A130" s="532" t="s">
        <v>1440</v>
      </c>
      <c r="B130" s="532" t="s">
        <v>1535</v>
      </c>
      <c r="D130" s="129" t="str">
        <f>IF([1]RENAME!$H$3=1,B130,A130)</f>
        <v>Baixas</v>
      </c>
      <c r="E130" s="118">
        <v>0</v>
      </c>
      <c r="F130" s="118">
        <v>0</v>
      </c>
      <c r="G130" s="118">
        <v>0</v>
      </c>
      <c r="H130" s="118">
        <f>+SUM(E130:G130)</f>
        <v>0</v>
      </c>
      <c r="I130" s="606"/>
      <c r="J130" s="606"/>
      <c r="L130" s="129" t="str">
        <f>IF([1]RENAME!$H$3=1,B130,A130)</f>
        <v>Baixas</v>
      </c>
      <c r="M130" s="118">
        <v>0</v>
      </c>
      <c r="N130" s="118">
        <v>0</v>
      </c>
      <c r="O130" s="118">
        <v>0</v>
      </c>
      <c r="P130" s="118">
        <f>+SUM(M130:O130)</f>
        <v>0</v>
      </c>
    </row>
    <row r="131" spans="1:16" x14ac:dyDescent="0.2">
      <c r="A131" s="532" t="s">
        <v>247</v>
      </c>
      <c r="B131" s="532" t="s">
        <v>1124</v>
      </c>
      <c r="D131" s="129" t="str">
        <f>IF([1]RENAME!$H$3=1,B131,A131)</f>
        <v>Amortização</v>
      </c>
      <c r="E131" s="118">
        <v>-6531</v>
      </c>
      <c r="F131" s="118">
        <v>-166</v>
      </c>
      <c r="G131" s="118">
        <v>0</v>
      </c>
      <c r="H131" s="118">
        <f>+SUM(E131:G131)</f>
        <v>-6697</v>
      </c>
      <c r="I131" s="606"/>
      <c r="J131" s="606"/>
      <c r="L131" s="129" t="str">
        <f>IF([1]RENAME!$H$3=1,B131,A131)</f>
        <v>Amortização</v>
      </c>
      <c r="M131" s="118">
        <v>-7372</v>
      </c>
      <c r="N131" s="118">
        <v>-183</v>
      </c>
      <c r="O131" s="118">
        <v>-522</v>
      </c>
      <c r="P131" s="118">
        <f>+SUM(M131:O131)</f>
        <v>-8077</v>
      </c>
    </row>
    <row r="132" spans="1:16" x14ac:dyDescent="0.2">
      <c r="A132" s="532" t="s">
        <v>2074</v>
      </c>
      <c r="B132" s="532" t="s">
        <v>2073</v>
      </c>
      <c r="D132" s="126" t="str">
        <f>IF([1]RENAME!$H$3=1,B132,A132)</f>
        <v>Em 30 de junho de 2023</v>
      </c>
      <c r="E132" s="120">
        <f>SUM(E125:E131)</f>
        <v>70435</v>
      </c>
      <c r="F132" s="120">
        <f>SUM(F125:F131)</f>
        <v>244</v>
      </c>
      <c r="G132" s="120">
        <f>SUM(G125:G131)</f>
        <v>-1</v>
      </c>
      <c r="H132" s="120">
        <f>SUM(H125:H131)</f>
        <v>70679</v>
      </c>
      <c r="I132" s="606"/>
      <c r="J132" s="606"/>
      <c r="L132" s="126" t="str">
        <f>IF([1]RENAME!$H$3=1,B132,A132)</f>
        <v>Em 30 de junho de 2023</v>
      </c>
      <c r="M132" s="120">
        <f>SUM(M125:M131)</f>
        <v>64463</v>
      </c>
      <c r="N132" s="120">
        <f>SUM(N125:N131)</f>
        <v>262</v>
      </c>
      <c r="O132" s="120">
        <f>SUM(O125:O131)</f>
        <v>9346</v>
      </c>
      <c r="P132" s="120">
        <f>SUM(P125:P131)</f>
        <v>74071</v>
      </c>
    </row>
    <row r="134" spans="1:16" x14ac:dyDescent="0.2">
      <c r="A134" s="532" t="s">
        <v>1439</v>
      </c>
      <c r="B134" s="532" t="s">
        <v>1453</v>
      </c>
      <c r="D134" s="129" t="str">
        <f>IF([1]RENAME!$H$3=1,B134,A134)</f>
        <v xml:space="preserve">Movimentações </v>
      </c>
      <c r="E134" s="118"/>
      <c r="F134" s="118"/>
      <c r="G134" s="118"/>
      <c r="H134" s="118"/>
      <c r="I134" s="606"/>
      <c r="J134" s="606"/>
      <c r="L134" s="129" t="str">
        <f>IF([1]RENAME!$H$3=1,B134,A134)</f>
        <v xml:space="preserve">Movimentações </v>
      </c>
      <c r="M134" s="118"/>
      <c r="N134" s="118"/>
      <c r="O134" s="118"/>
      <c r="P134" s="118"/>
    </row>
    <row r="135" spans="1:16" x14ac:dyDescent="0.2">
      <c r="A135" s="532" t="s">
        <v>1533</v>
      </c>
      <c r="B135" s="532" t="s">
        <v>1534</v>
      </c>
      <c r="D135" s="129" t="str">
        <f>IF([1]RENAME!$H$3=1,B135,A135)</f>
        <v>Adoção Inicial</v>
      </c>
      <c r="E135" s="118"/>
      <c r="F135" s="118"/>
      <c r="G135" s="118"/>
      <c r="H135" s="118"/>
      <c r="I135" s="606"/>
      <c r="J135" s="606"/>
      <c r="L135" s="129" t="str">
        <f>IF([1]RENAME!$H$3=1,B135,A135)</f>
        <v>Adoção Inicial</v>
      </c>
      <c r="M135" s="118"/>
      <c r="N135" s="118"/>
      <c r="O135" s="118"/>
      <c r="P135" s="118"/>
    </row>
    <row r="136" spans="1:16" x14ac:dyDescent="0.2">
      <c r="A136" s="532" t="s">
        <v>189</v>
      </c>
      <c r="B136" s="532" t="s">
        <v>1123</v>
      </c>
      <c r="D136" s="129" t="str">
        <f>IF([1]RENAME!$H$3=1,B136,A136)</f>
        <v>Adições</v>
      </c>
      <c r="E136" s="118">
        <v>1023</v>
      </c>
      <c r="F136" s="118">
        <v>0</v>
      </c>
      <c r="G136" s="118">
        <v>976</v>
      </c>
      <c r="H136" s="118">
        <f>+SUM(E136:G136)</f>
        <v>1999</v>
      </c>
      <c r="I136" s="606"/>
      <c r="J136" s="606"/>
      <c r="L136" s="129" t="str">
        <f>IF([1]RENAME!$H$3=1,B136,A136)</f>
        <v>Adições</v>
      </c>
      <c r="M136" s="118">
        <v>1037</v>
      </c>
      <c r="N136" s="118">
        <v>0</v>
      </c>
      <c r="O136" s="118">
        <v>1275</v>
      </c>
      <c r="P136" s="118">
        <f>+SUM(M136:O136)</f>
        <v>2312</v>
      </c>
    </row>
    <row r="137" spans="1:16" x14ac:dyDescent="0.2">
      <c r="A137" s="532" t="s">
        <v>1440</v>
      </c>
      <c r="B137" s="532" t="s">
        <v>1535</v>
      </c>
      <c r="D137" s="129" t="str">
        <f>IF([1]RENAME!$H$3=1,B137,A137)</f>
        <v>Baixas</v>
      </c>
      <c r="E137" s="118">
        <v>0</v>
      </c>
      <c r="F137" s="118">
        <v>0</v>
      </c>
      <c r="G137" s="118">
        <v>0</v>
      </c>
      <c r="H137" s="118">
        <f>+SUM(E137:G137)</f>
        <v>0</v>
      </c>
      <c r="I137" s="606"/>
      <c r="J137" s="606"/>
      <c r="L137" s="129" t="str">
        <f>IF([1]RENAME!$H$3=1,B137,A137)</f>
        <v>Baixas</v>
      </c>
      <c r="M137" s="118">
        <v>0</v>
      </c>
      <c r="N137" s="118">
        <v>0</v>
      </c>
      <c r="O137" s="118">
        <v>-292</v>
      </c>
      <c r="P137" s="118">
        <f>+SUM(M137:O137)</f>
        <v>-292</v>
      </c>
    </row>
    <row r="138" spans="1:16" x14ac:dyDescent="0.2">
      <c r="A138" s="532" t="s">
        <v>247</v>
      </c>
      <c r="B138" s="532" t="s">
        <v>1124</v>
      </c>
      <c r="D138" s="129" t="str">
        <f>IF([1]RENAME!$H$3=1,B138,A138)</f>
        <v>Amortização</v>
      </c>
      <c r="E138" s="118">
        <v>-6688</v>
      </c>
      <c r="F138" s="118">
        <v>-166</v>
      </c>
      <c r="G138" s="118">
        <v>-67</v>
      </c>
      <c r="H138" s="118">
        <f>+SUM(E138:G138)</f>
        <v>-6921</v>
      </c>
      <c r="I138" s="606"/>
      <c r="J138" s="606"/>
      <c r="L138" s="129" t="str">
        <f>IF([1]RENAME!$H$3=1,B138,A138)</f>
        <v>Amortização</v>
      </c>
      <c r="M138" s="118">
        <v>-7579</v>
      </c>
      <c r="N138" s="118">
        <v>-178</v>
      </c>
      <c r="O138" s="118">
        <v>-635</v>
      </c>
      <c r="P138" s="118">
        <f>+SUM(M138:O138)</f>
        <v>-8392</v>
      </c>
    </row>
    <row r="139" spans="1:16" x14ac:dyDescent="0.2">
      <c r="A139" s="532" t="s">
        <v>2093</v>
      </c>
      <c r="B139" s="532" t="s">
        <v>2094</v>
      </c>
      <c r="D139" s="126" t="str">
        <f>IF([1]RENAME!$H$3=1,B139,A139)</f>
        <v>Em 30 de setembro de 2023</v>
      </c>
      <c r="E139" s="120">
        <f>SUM(E132:E138)</f>
        <v>64770</v>
      </c>
      <c r="F139" s="120">
        <f>SUM(F132:F138)</f>
        <v>78</v>
      </c>
      <c r="G139" s="120">
        <f>SUM(G132:G138)</f>
        <v>908</v>
      </c>
      <c r="H139" s="120">
        <f>SUM(H132:H138)</f>
        <v>65757</v>
      </c>
      <c r="I139" s="606"/>
      <c r="J139" s="606"/>
      <c r="L139" s="126" t="str">
        <f>IF([1]RENAME!$H$3=1,B139,A139)</f>
        <v>Em 30 de setembro de 2023</v>
      </c>
      <c r="M139" s="120">
        <f>SUM(M132:M138)</f>
        <v>57921</v>
      </c>
      <c r="N139" s="120">
        <f>SUM(N132:N138)</f>
        <v>84</v>
      </c>
      <c r="O139" s="120">
        <f>SUM(O132:O138)</f>
        <v>9694</v>
      </c>
      <c r="P139" s="120">
        <f>SUM(P132:P138)</f>
        <v>67699</v>
      </c>
    </row>
    <row r="141" spans="1:16" x14ac:dyDescent="0.2">
      <c r="A141" s="532" t="s">
        <v>1439</v>
      </c>
      <c r="B141" s="532" t="s">
        <v>1453</v>
      </c>
      <c r="D141" s="129" t="str">
        <f>IF([1]RENAME!$H$3=1,B141,A141)</f>
        <v xml:space="preserve">Movimentações </v>
      </c>
      <c r="E141" s="118"/>
      <c r="F141" s="118"/>
      <c r="G141" s="118"/>
      <c r="H141" s="118"/>
      <c r="I141" s="606"/>
      <c r="J141" s="606"/>
      <c r="L141" s="129" t="str">
        <f>IF([1]RENAME!$H$3=1,B141,A141)</f>
        <v xml:space="preserve">Movimentações </v>
      </c>
      <c r="M141" s="118"/>
      <c r="N141" s="118"/>
      <c r="O141" s="118"/>
      <c r="P141" s="118"/>
    </row>
    <row r="142" spans="1:16" x14ac:dyDescent="0.2">
      <c r="A142" s="532" t="s">
        <v>1533</v>
      </c>
      <c r="B142" s="532" t="s">
        <v>1534</v>
      </c>
      <c r="D142" s="129" t="str">
        <f>IF([1]RENAME!$H$3=1,B142,A142)</f>
        <v>Adoção Inicial</v>
      </c>
      <c r="E142" s="118"/>
      <c r="F142" s="118"/>
      <c r="G142" s="118"/>
      <c r="H142" s="118"/>
      <c r="I142" s="606"/>
      <c r="J142" s="606"/>
      <c r="L142" s="129" t="str">
        <f>IF([1]RENAME!$H$3=1,B142,A142)</f>
        <v>Adoção Inicial</v>
      </c>
      <c r="M142" s="118"/>
      <c r="N142" s="118"/>
      <c r="O142" s="118"/>
      <c r="P142" s="118"/>
    </row>
    <row r="143" spans="1:16" x14ac:dyDescent="0.2">
      <c r="A143" s="532" t="s">
        <v>189</v>
      </c>
      <c r="B143" s="532" t="s">
        <v>1123</v>
      </c>
      <c r="D143" s="129" t="str">
        <f>IF([1]RENAME!$H$3=1,B143,A143)</f>
        <v>Adições</v>
      </c>
      <c r="E143" s="118">
        <v>3998</v>
      </c>
      <c r="F143" s="118">
        <v>640</v>
      </c>
      <c r="G143" s="118">
        <v>0</v>
      </c>
      <c r="H143" s="118">
        <f>+SUM(E143:G143)</f>
        <v>4638</v>
      </c>
      <c r="I143" s="606"/>
      <c r="J143" s="606"/>
      <c r="L143" s="129" t="str">
        <f>IF([1]RENAME!$H$3=1,B143,A143)</f>
        <v>Adições</v>
      </c>
      <c r="M143" s="118">
        <v>5594</v>
      </c>
      <c r="N143" s="118">
        <v>698</v>
      </c>
      <c r="O143" s="118">
        <v>-17</v>
      </c>
      <c r="P143" s="118">
        <f>+SUM(M143:O143)</f>
        <v>6275</v>
      </c>
    </row>
    <row r="144" spans="1:16" x14ac:dyDescent="0.2">
      <c r="A144" s="532" t="s">
        <v>1440</v>
      </c>
      <c r="B144" s="532" t="s">
        <v>1535</v>
      </c>
      <c r="D144" s="129" t="str">
        <f>IF([1]RENAME!$H$3=1,B144,A144)</f>
        <v>Baixas</v>
      </c>
      <c r="E144" s="118">
        <v>0</v>
      </c>
      <c r="F144" s="118">
        <v>0</v>
      </c>
      <c r="G144" s="118">
        <v>0</v>
      </c>
      <c r="H144" s="118">
        <f>+SUM(E144:G144)</f>
        <v>0</v>
      </c>
      <c r="I144" s="606"/>
      <c r="J144" s="606"/>
      <c r="L144" s="129" t="str">
        <f>IF([1]RENAME!$H$3=1,B144,A144)</f>
        <v>Baixas</v>
      </c>
      <c r="M144" s="118">
        <v>0</v>
      </c>
      <c r="N144" s="118">
        <v>0</v>
      </c>
      <c r="O144" s="118">
        <v>0</v>
      </c>
      <c r="P144" s="118">
        <f>+SUM(M144:O144)</f>
        <v>0</v>
      </c>
    </row>
    <row r="145" spans="1:16" x14ac:dyDescent="0.2">
      <c r="A145" s="532" t="s">
        <v>247</v>
      </c>
      <c r="B145" s="532" t="s">
        <v>1124</v>
      </c>
      <c r="D145" s="129" t="str">
        <f>IF([1]RENAME!$H$3=1,B145,A145)</f>
        <v>Amortização</v>
      </c>
      <c r="E145" s="118">
        <v>-7125</v>
      </c>
      <c r="F145" s="118">
        <v>-169</v>
      </c>
      <c r="G145" s="118">
        <v>-101</v>
      </c>
      <c r="H145" s="118">
        <f>+SUM(E145:G145)</f>
        <v>-7395</v>
      </c>
      <c r="I145" s="606"/>
      <c r="J145" s="606"/>
      <c r="L145" s="129" t="str">
        <f>IF([1]RENAME!$H$3=1,B145,A145)</f>
        <v>Amortização</v>
      </c>
      <c r="M145" s="118">
        <v>-8009</v>
      </c>
      <c r="N145" s="118">
        <v>-182</v>
      </c>
      <c r="O145" s="118">
        <v>-634</v>
      </c>
      <c r="P145" s="118">
        <f>+SUM(M145:O145)</f>
        <v>-8825</v>
      </c>
    </row>
    <row r="146" spans="1:16" x14ac:dyDescent="0.2">
      <c r="A146" s="532" t="s">
        <v>2131</v>
      </c>
      <c r="B146" s="532" t="s">
        <v>2132</v>
      </c>
      <c r="D146" s="126" t="str">
        <f>IF([1]RENAME!$H$3=1,B146,A146)</f>
        <v>Em 31 de dezembro de 2023</v>
      </c>
      <c r="E146" s="120">
        <f>SUM(E139:E145)</f>
        <v>61643</v>
      </c>
      <c r="F146" s="120">
        <f>SUM(F139:F145)</f>
        <v>549</v>
      </c>
      <c r="G146" s="120">
        <f>SUM(G139:G145)</f>
        <v>807</v>
      </c>
      <c r="H146" s="120">
        <f>SUM(H139:H145)</f>
        <v>63000</v>
      </c>
      <c r="I146" s="606"/>
      <c r="J146" s="606"/>
      <c r="L146" s="126" t="str">
        <f>IF([1]RENAME!$H$3=1,B146,A146)</f>
        <v>Em 31 de dezembro de 2023</v>
      </c>
      <c r="M146" s="120">
        <f>SUM(M139:M145)</f>
        <v>55506</v>
      </c>
      <c r="N146" s="120">
        <f>SUM(N139:N145)</f>
        <v>600</v>
      </c>
      <c r="O146" s="120">
        <f>SUM(O139:O145)</f>
        <v>9043</v>
      </c>
      <c r="P146" s="120">
        <f>SUM(P139:P145)</f>
        <v>65149</v>
      </c>
    </row>
    <row r="148" spans="1:16" x14ac:dyDescent="0.2">
      <c r="A148" s="532" t="s">
        <v>1439</v>
      </c>
      <c r="B148" s="532" t="s">
        <v>1453</v>
      </c>
      <c r="D148" s="129" t="str">
        <f>IF([1]RENAME!$H$3=1,B148,A148)</f>
        <v xml:space="preserve">Movimentações </v>
      </c>
      <c r="E148" s="118"/>
      <c r="F148" s="118"/>
      <c r="G148" s="118"/>
      <c r="H148" s="118"/>
      <c r="I148" s="606"/>
      <c r="J148" s="606"/>
      <c r="L148" s="129" t="str">
        <f>IF([1]RENAME!$H$3=1,B148,A148)</f>
        <v xml:space="preserve">Movimentações </v>
      </c>
      <c r="M148" s="118"/>
      <c r="N148" s="118"/>
      <c r="O148" s="118"/>
      <c r="P148" s="118"/>
    </row>
    <row r="149" spans="1:16" x14ac:dyDescent="0.2">
      <c r="A149" s="532" t="s">
        <v>1533</v>
      </c>
      <c r="B149" s="532" t="s">
        <v>1534</v>
      </c>
      <c r="D149" s="129" t="str">
        <f>IF([1]RENAME!$H$3=1,B149,A149)</f>
        <v>Adoção Inicial</v>
      </c>
      <c r="E149" s="118"/>
      <c r="F149" s="118"/>
      <c r="G149" s="118"/>
      <c r="H149" s="118"/>
      <c r="I149" s="606"/>
      <c r="J149" s="606"/>
      <c r="L149" s="129" t="str">
        <f>IF([1]RENAME!$H$3=1,B149,A149)</f>
        <v>Adoção Inicial</v>
      </c>
      <c r="M149" s="118"/>
      <c r="N149" s="118"/>
      <c r="O149" s="118"/>
      <c r="P149" s="118"/>
    </row>
    <row r="150" spans="1:16" x14ac:dyDescent="0.2">
      <c r="A150" s="532" t="s">
        <v>189</v>
      </c>
      <c r="B150" s="532" t="s">
        <v>1123</v>
      </c>
      <c r="D150" s="129" t="str">
        <f>IF([1]RENAME!$H$3=1,B150,A150)</f>
        <v>Adições</v>
      </c>
      <c r="E150" s="118">
        <v>3664</v>
      </c>
      <c r="F150" s="118">
        <v>0</v>
      </c>
      <c r="G150" s="118">
        <v>0</v>
      </c>
      <c r="H150" s="118">
        <f>+SUM(E150:G150)</f>
        <v>3664</v>
      </c>
      <c r="I150" s="606"/>
      <c r="J150" s="606"/>
      <c r="L150" s="129" t="str">
        <f>IF([1]RENAME!$H$3=1,B150,A150)</f>
        <v>Adições</v>
      </c>
      <c r="M150" s="118">
        <v>3224</v>
      </c>
      <c r="N150" s="118">
        <v>0</v>
      </c>
      <c r="O150" s="118">
        <v>-57</v>
      </c>
      <c r="P150" s="118">
        <f>+SUM(M150:O150)</f>
        <v>3167</v>
      </c>
    </row>
    <row r="151" spans="1:16" x14ac:dyDescent="0.2">
      <c r="A151" s="532" t="s">
        <v>1440</v>
      </c>
      <c r="B151" s="532" t="s">
        <v>1535</v>
      </c>
      <c r="D151" s="129" t="str">
        <f>IF([1]RENAME!$H$3=1,B151,A151)</f>
        <v>Baixas</v>
      </c>
      <c r="E151" s="118">
        <v>0</v>
      </c>
      <c r="F151" s="118">
        <v>0</v>
      </c>
      <c r="G151" s="118">
        <v>0</v>
      </c>
      <c r="H151" s="118">
        <f>+SUM(E151:G151)</f>
        <v>0</v>
      </c>
      <c r="I151" s="606"/>
      <c r="J151" s="606"/>
      <c r="L151" s="129" t="str">
        <f>IF([1]RENAME!$H$3=1,B151,A151)</f>
        <v>Baixas</v>
      </c>
      <c r="M151" s="118">
        <v>0</v>
      </c>
      <c r="N151" s="118">
        <v>0</v>
      </c>
      <c r="O151" s="118">
        <v>0</v>
      </c>
      <c r="P151" s="118">
        <f>+SUM(M151:O151)</f>
        <v>0</v>
      </c>
    </row>
    <row r="152" spans="1:16" x14ac:dyDescent="0.2">
      <c r="A152" s="532" t="s">
        <v>247</v>
      </c>
      <c r="B152" s="532" t="s">
        <v>1124</v>
      </c>
      <c r="D152" s="129" t="str">
        <f>IF([1]RENAME!$H$3=1,B152,A152)</f>
        <v>Amortização</v>
      </c>
      <c r="E152" s="118">
        <v>-6573</v>
      </c>
      <c r="F152" s="118">
        <v>-161</v>
      </c>
      <c r="G152" s="118">
        <v>-100</v>
      </c>
      <c r="H152" s="118">
        <f>+SUM(E152:G152)</f>
        <v>-6834</v>
      </c>
      <c r="I152" s="606"/>
      <c r="J152" s="606"/>
      <c r="L152" s="129" t="str">
        <f>IF([1]RENAME!$H$3=1,B152,A152)</f>
        <v>Amortização</v>
      </c>
      <c r="M152" s="118">
        <v>-7446</v>
      </c>
      <c r="N152" s="118">
        <v>-176</v>
      </c>
      <c r="O152" s="118">
        <v>-627</v>
      </c>
      <c r="P152" s="118">
        <f>+SUM(M152:O152)</f>
        <v>-8249</v>
      </c>
    </row>
    <row r="153" spans="1:16" x14ac:dyDescent="0.2">
      <c r="A153" s="532" t="s">
        <v>2158</v>
      </c>
      <c r="B153" s="532" t="s">
        <v>2159</v>
      </c>
      <c r="D153" s="126" t="str">
        <f>IF([1]RENAME!$H$3=1,B153,A153)</f>
        <v>Em 31 de março de 2024</v>
      </c>
      <c r="E153" s="120">
        <f>SUM(E146:E152)</f>
        <v>58734</v>
      </c>
      <c r="F153" s="120">
        <f>SUM(F146:F152)</f>
        <v>388</v>
      </c>
      <c r="G153" s="120">
        <f>SUM(G146:G152)</f>
        <v>707</v>
      </c>
      <c r="H153" s="120">
        <f>SUM(H146:H152)</f>
        <v>59830</v>
      </c>
      <c r="I153" s="606"/>
      <c r="J153" s="606"/>
      <c r="L153" s="126" t="str">
        <f>IF([1]RENAME!$H$3=1,B153,A153)</f>
        <v>Em 31 de março de 2024</v>
      </c>
      <c r="M153" s="120">
        <f>SUM(M146:M152)</f>
        <v>51284</v>
      </c>
      <c r="N153" s="120">
        <f>SUM(N146:N152)</f>
        <v>424</v>
      </c>
      <c r="O153" s="120">
        <f>SUM(O146:O152)</f>
        <v>8359</v>
      </c>
      <c r="P153" s="120">
        <f>SUM(P146:P152)</f>
        <v>60067</v>
      </c>
    </row>
    <row r="155" spans="1:16" x14ac:dyDescent="0.2">
      <c r="A155" s="532" t="s">
        <v>1439</v>
      </c>
      <c r="B155" s="532" t="s">
        <v>1453</v>
      </c>
      <c r="D155" s="129" t="str">
        <f>IF([1]RENAME!$H$3=1,B155,A155)</f>
        <v xml:space="preserve">Movimentações </v>
      </c>
      <c r="E155" s="118"/>
      <c r="F155" s="118"/>
      <c r="G155" s="118"/>
      <c r="H155" s="118"/>
      <c r="I155" s="606"/>
      <c r="J155" s="606"/>
      <c r="L155" s="129" t="str">
        <f>IF([1]RENAME!$H$3=1,B155,A155)</f>
        <v xml:space="preserve">Movimentações </v>
      </c>
      <c r="M155" s="118"/>
      <c r="N155" s="118"/>
      <c r="O155" s="118"/>
      <c r="P155" s="118"/>
    </row>
    <row r="156" spans="1:16" x14ac:dyDescent="0.2">
      <c r="A156" s="532" t="s">
        <v>1533</v>
      </c>
      <c r="B156" s="532" t="s">
        <v>1534</v>
      </c>
      <c r="D156" s="129" t="str">
        <f>IF([1]RENAME!$H$3=1,B156,A156)</f>
        <v>Adoção Inicial</v>
      </c>
      <c r="E156" s="118"/>
      <c r="F156" s="118"/>
      <c r="G156" s="118"/>
      <c r="H156" s="118"/>
      <c r="I156" s="606"/>
      <c r="J156" s="606"/>
      <c r="L156" s="129" t="str">
        <f>IF([1]RENAME!$H$3=1,B156,A156)</f>
        <v>Adoção Inicial</v>
      </c>
      <c r="M156" s="118"/>
      <c r="N156" s="118"/>
      <c r="O156" s="118"/>
      <c r="P156" s="118"/>
    </row>
    <row r="157" spans="1:16" x14ac:dyDescent="0.2">
      <c r="A157" s="532" t="s">
        <v>189</v>
      </c>
      <c r="B157" s="532" t="s">
        <v>1123</v>
      </c>
      <c r="D157" s="129" t="str">
        <f>IF([1]RENAME!$H$3=1,B157,A157)</f>
        <v>Adições</v>
      </c>
      <c r="E157" s="118">
        <v>9214</v>
      </c>
      <c r="F157" s="118">
        <v>0</v>
      </c>
      <c r="G157" s="118">
        <v>0</v>
      </c>
      <c r="H157" s="118">
        <v>9214</v>
      </c>
      <c r="I157" s="606"/>
      <c r="J157" s="606"/>
      <c r="L157" s="129" t="str">
        <f>IF([1]RENAME!$H$3=1,B157,A157)</f>
        <v>Adições</v>
      </c>
      <c r="M157" s="118">
        <v>9159</v>
      </c>
      <c r="N157" s="118">
        <v>0</v>
      </c>
      <c r="O157" s="118">
        <v>-115</v>
      </c>
      <c r="P157" s="118">
        <v>9044</v>
      </c>
    </row>
    <row r="158" spans="1:16" x14ac:dyDescent="0.2">
      <c r="A158" s="532" t="s">
        <v>1440</v>
      </c>
      <c r="B158" s="532" t="s">
        <v>1535</v>
      </c>
      <c r="D158" s="129" t="str">
        <f>IF([1]RENAME!$H$3=1,B158,A158)</f>
        <v>Baixas</v>
      </c>
      <c r="E158" s="118">
        <v>0</v>
      </c>
      <c r="F158" s="118">
        <v>0</v>
      </c>
      <c r="G158" s="118">
        <v>0</v>
      </c>
      <c r="H158" s="118">
        <v>2884</v>
      </c>
      <c r="I158" s="606"/>
      <c r="J158" s="606"/>
      <c r="L158" s="129" t="str">
        <f>IF([1]RENAME!$H$3=1,B158,A158)</f>
        <v>Baixas</v>
      </c>
      <c r="M158" s="118">
        <v>0</v>
      </c>
      <c r="N158" s="118">
        <v>0</v>
      </c>
      <c r="O158" s="118">
        <v>0</v>
      </c>
      <c r="P158" s="118">
        <v>0</v>
      </c>
    </row>
    <row r="159" spans="1:16" x14ac:dyDescent="0.2">
      <c r="A159" s="532" t="s">
        <v>247</v>
      </c>
      <c r="B159" s="532" t="s">
        <v>1124</v>
      </c>
      <c r="D159" s="129" t="str">
        <f>IF([1]RENAME!$H$3=1,B159,A159)</f>
        <v>Amortização</v>
      </c>
      <c r="E159" s="118">
        <v>-6708</v>
      </c>
      <c r="F159" s="118">
        <v>-136</v>
      </c>
      <c r="G159" s="118">
        <v>-102</v>
      </c>
      <c r="H159" s="118">
        <v>-6946</v>
      </c>
      <c r="I159" s="606"/>
      <c r="J159" s="606"/>
      <c r="L159" s="129" t="str">
        <f>IF([1]RENAME!$H$3=1,B159,A159)</f>
        <v>Amortização</v>
      </c>
      <c r="M159" s="118">
        <v>-7407</v>
      </c>
      <c r="N159" s="118">
        <v>-153</v>
      </c>
      <c r="O159" s="118">
        <v>-621</v>
      </c>
      <c r="P159" s="118">
        <v>-8181</v>
      </c>
    </row>
    <row r="160" spans="1:16" x14ac:dyDescent="0.2">
      <c r="A160" s="532" t="s">
        <v>2177</v>
      </c>
      <c r="B160" s="532" t="s">
        <v>2176</v>
      </c>
      <c r="D160" s="126" t="str">
        <f>IF([1]RENAME!$H$3=1,B160,A160)</f>
        <v>Em 30 de junho de 2024</v>
      </c>
      <c r="E160" s="120">
        <f>SUM(E153:E159)</f>
        <v>61240</v>
      </c>
      <c r="F160" s="120">
        <f>SUM(F153:F159)</f>
        <v>252</v>
      </c>
      <c r="G160" s="120">
        <f>SUM(G153:G159)</f>
        <v>605</v>
      </c>
      <c r="H160" s="120">
        <f>SUM(H153:H159)</f>
        <v>64982</v>
      </c>
      <c r="I160" s="606"/>
      <c r="J160" s="606"/>
      <c r="L160" s="126" t="str">
        <f>IF([1]RENAME!$H$3=1,B160,A160)</f>
        <v>Em 30 de junho de 2024</v>
      </c>
      <c r="M160" s="120">
        <f>SUM(M153:M159)</f>
        <v>53036</v>
      </c>
      <c r="N160" s="120">
        <f>SUM(N153:N159)</f>
        <v>271</v>
      </c>
      <c r="O160" s="120">
        <f>SUM(O153:O159)</f>
        <v>7623</v>
      </c>
      <c r="P160" s="120">
        <f>SUM(P153:P159)</f>
        <v>60930</v>
      </c>
    </row>
    <row r="162" spans="1:16" x14ac:dyDescent="0.2">
      <c r="A162" s="532" t="s">
        <v>1439</v>
      </c>
      <c r="B162" s="532" t="s">
        <v>1453</v>
      </c>
      <c r="D162" s="129" t="str">
        <f>IF([1]RENAME!$H$3=1,B162,A162)</f>
        <v xml:space="preserve">Movimentações </v>
      </c>
      <c r="E162" s="118"/>
      <c r="F162" s="118"/>
      <c r="G162" s="118"/>
      <c r="H162" s="118"/>
      <c r="I162" s="606"/>
      <c r="J162" s="606"/>
      <c r="L162" s="129" t="str">
        <f>IF([1]RENAME!$H$3=1,B162,A162)</f>
        <v xml:space="preserve">Movimentações </v>
      </c>
      <c r="M162" s="118"/>
      <c r="N162" s="118"/>
      <c r="O162" s="118"/>
      <c r="P162" s="118"/>
    </row>
    <row r="163" spans="1:16" x14ac:dyDescent="0.2">
      <c r="A163" s="532" t="s">
        <v>1533</v>
      </c>
      <c r="B163" s="532" t="s">
        <v>1534</v>
      </c>
      <c r="D163" s="129" t="str">
        <f>IF([1]RENAME!$H$3=1,B163,A163)</f>
        <v>Adoção Inicial</v>
      </c>
      <c r="E163" s="118"/>
      <c r="F163" s="118"/>
      <c r="G163" s="118"/>
      <c r="H163" s="118"/>
      <c r="I163" s="606"/>
      <c r="J163" s="606"/>
      <c r="L163" s="129" t="str">
        <f>IF([1]RENAME!$H$3=1,B163,A163)</f>
        <v>Adoção Inicial</v>
      </c>
      <c r="M163" s="118"/>
      <c r="N163" s="118"/>
      <c r="O163" s="118"/>
      <c r="P163" s="118"/>
    </row>
    <row r="164" spans="1:16" x14ac:dyDescent="0.2">
      <c r="A164" s="532" t="s">
        <v>189</v>
      </c>
      <c r="B164" s="532" t="s">
        <v>1123</v>
      </c>
      <c r="D164" s="129" t="str">
        <f>IF([1]RENAME!$H$3=1,B164,A164)</f>
        <v>Adições</v>
      </c>
      <c r="E164" s="118">
        <v>468</v>
      </c>
      <c r="F164" s="118">
        <v>0</v>
      </c>
      <c r="G164" s="118">
        <v>177</v>
      </c>
      <c r="H164" s="118">
        <v>645</v>
      </c>
      <c r="I164" s="606"/>
      <c r="J164" s="606"/>
      <c r="L164" s="129" t="str">
        <f>IF([1]RENAME!$H$3=1,B164,A164)</f>
        <v>Adições</v>
      </c>
      <c r="M164" s="118">
        <v>332</v>
      </c>
      <c r="N164" s="118">
        <v>0</v>
      </c>
      <c r="O164" s="118">
        <v>-136</v>
      </c>
      <c r="P164" s="118">
        <f>+SUM(M164:O164)</f>
        <v>196</v>
      </c>
    </row>
    <row r="165" spans="1:16" x14ac:dyDescent="0.2">
      <c r="A165" s="532" t="s">
        <v>1440</v>
      </c>
      <c r="B165" s="532" t="s">
        <v>1535</v>
      </c>
      <c r="D165" s="129" t="str">
        <f>IF([1]RENAME!$H$3=1,B165,A165)</f>
        <v>Baixas</v>
      </c>
      <c r="E165" s="118">
        <v>1</v>
      </c>
      <c r="F165" s="118">
        <v>0</v>
      </c>
      <c r="G165" s="118">
        <v>0</v>
      </c>
      <c r="H165" s="118">
        <v>1</v>
      </c>
      <c r="I165" s="606"/>
      <c r="J165" s="606"/>
      <c r="L165" s="129" t="str">
        <f>IF([1]RENAME!$H$3=1,B165,A165)</f>
        <v>Baixas</v>
      </c>
      <c r="M165" s="118">
        <v>0</v>
      </c>
      <c r="N165" s="118">
        <v>0</v>
      </c>
      <c r="O165" s="118">
        <v>0</v>
      </c>
      <c r="P165" s="118">
        <f>+SUM(M165:O165)</f>
        <v>0</v>
      </c>
    </row>
    <row r="166" spans="1:16" x14ac:dyDescent="0.2">
      <c r="A166" s="532" t="s">
        <v>247</v>
      </c>
      <c r="B166" s="532" t="s">
        <v>1124</v>
      </c>
      <c r="D166" s="129" t="str">
        <f>IF([1]RENAME!$H$3=1,B166,A166)</f>
        <v>Amortização</v>
      </c>
      <c r="E166" s="118">
        <v>-6519</v>
      </c>
      <c r="F166" s="118">
        <v>-162</v>
      </c>
      <c r="G166" s="118">
        <v>-99</v>
      </c>
      <c r="H166" s="118">
        <v>-6780</v>
      </c>
      <c r="I166" s="606"/>
      <c r="J166" s="606"/>
      <c r="L166" s="129" t="str">
        <f>IF([1]RENAME!$H$3=1,B166,A166)</f>
        <v>Amortização</v>
      </c>
      <c r="M166" s="118">
        <v>-7134</v>
      </c>
      <c r="N166" s="118">
        <v>-176</v>
      </c>
      <c r="O166" s="118">
        <v>-613</v>
      </c>
      <c r="P166" s="118">
        <f>+SUM(M166:O166)</f>
        <v>-7923</v>
      </c>
    </row>
    <row r="167" spans="1:16" x14ac:dyDescent="0.2">
      <c r="A167" s="532" t="s">
        <v>2205</v>
      </c>
      <c r="B167" s="532" t="s">
        <v>2209</v>
      </c>
      <c r="D167" s="126" t="str">
        <f>IF([1]RENAME!$H$3=1,B167,A167)</f>
        <v>Em 30 de setembro de 2024</v>
      </c>
      <c r="E167" s="120">
        <f>SUM(E160:E166)</f>
        <v>55190</v>
      </c>
      <c r="F167" s="120">
        <f>SUM(F160:F166)</f>
        <v>90</v>
      </c>
      <c r="G167" s="120">
        <f>SUM(G160:G166)</f>
        <v>683</v>
      </c>
      <c r="H167" s="120">
        <f>SUM(H160:H166)</f>
        <v>58848</v>
      </c>
      <c r="I167" s="606"/>
      <c r="J167" s="606"/>
      <c r="L167" s="126" t="str">
        <f>IF([1]RENAME!$H$3=1,B167,A167)</f>
        <v>Em 30 de setembro de 2024</v>
      </c>
      <c r="M167" s="120">
        <f>SUM(M160:M166)</f>
        <v>46234</v>
      </c>
      <c r="N167" s="120">
        <f>SUM(N160:N166)</f>
        <v>95</v>
      </c>
      <c r="O167" s="120">
        <f>SUM(O160:O166)</f>
        <v>6874</v>
      </c>
      <c r="P167" s="120">
        <f>SUM(P160:P166)</f>
        <v>53203</v>
      </c>
    </row>
    <row r="169" spans="1:16" x14ac:dyDescent="0.2">
      <c r="A169" s="532" t="s">
        <v>1439</v>
      </c>
      <c r="B169" s="532" t="s">
        <v>1453</v>
      </c>
      <c r="D169" s="129" t="str">
        <f>IF([1]RENAME!$H$3=1,B169,A169)</f>
        <v xml:space="preserve">Movimentações </v>
      </c>
      <c r="E169" s="118"/>
      <c r="F169" s="118"/>
      <c r="G169" s="118"/>
      <c r="H169" s="118"/>
      <c r="I169" s="606"/>
      <c r="J169" s="606"/>
      <c r="L169" s="129" t="str">
        <f>IF([1]RENAME!$H$3=1,B169,A169)</f>
        <v xml:space="preserve">Movimentações </v>
      </c>
      <c r="M169" s="118"/>
      <c r="N169" s="118"/>
      <c r="O169" s="118"/>
      <c r="P169" s="118"/>
    </row>
    <row r="170" spans="1:16" x14ac:dyDescent="0.2">
      <c r="A170" s="532" t="s">
        <v>1533</v>
      </c>
      <c r="B170" s="532" t="s">
        <v>1534</v>
      </c>
      <c r="D170" s="129" t="str">
        <f>IF([1]RENAME!$H$3=1,B170,A170)</f>
        <v>Adoção Inicial</v>
      </c>
      <c r="E170" s="118"/>
      <c r="F170" s="118"/>
      <c r="G170" s="118"/>
      <c r="H170" s="118"/>
      <c r="I170" s="606"/>
      <c r="J170" s="606"/>
      <c r="L170" s="129" t="str">
        <f>IF([1]RENAME!$H$3=1,B170,A170)</f>
        <v>Adoção Inicial</v>
      </c>
      <c r="M170" s="118"/>
      <c r="N170" s="118"/>
      <c r="O170" s="118"/>
      <c r="P170" s="118"/>
    </row>
    <row r="171" spans="1:16" x14ac:dyDescent="0.2">
      <c r="A171" s="532" t="s">
        <v>189</v>
      </c>
      <c r="B171" s="532" t="s">
        <v>1123</v>
      </c>
      <c r="D171" s="129" t="str">
        <f>IF([1]RENAME!$H$3=1,B171,A171)</f>
        <v>Adições</v>
      </c>
      <c r="E171" s="118">
        <v>20095</v>
      </c>
      <c r="F171" s="118">
        <v>0</v>
      </c>
      <c r="G171" s="118">
        <v>0</v>
      </c>
      <c r="H171" s="118">
        <v>20095</v>
      </c>
      <c r="I171" s="606"/>
      <c r="J171" s="606"/>
      <c r="L171" s="129" t="str">
        <f>IF([1]RENAME!$H$3=1,B171,A171)</f>
        <v>Adições</v>
      </c>
      <c r="M171" s="118">
        <v>20177</v>
      </c>
      <c r="N171" s="118">
        <v>0</v>
      </c>
      <c r="O171" s="118">
        <v>3</v>
      </c>
      <c r="P171" s="118">
        <v>20180</v>
      </c>
    </row>
    <row r="172" spans="1:16" x14ac:dyDescent="0.2">
      <c r="A172" s="532" t="s">
        <v>1440</v>
      </c>
      <c r="B172" s="532" t="s">
        <v>2253</v>
      </c>
      <c r="D172" s="129" t="str">
        <f>IF([1]RENAME!$H$3=1,B172,A172)</f>
        <v>Baixas</v>
      </c>
      <c r="E172" s="118">
        <v>0</v>
      </c>
      <c r="F172" s="118">
        <v>0</v>
      </c>
      <c r="G172" s="118">
        <v>-475</v>
      </c>
      <c r="H172" s="118">
        <v>-475</v>
      </c>
      <c r="I172" s="606"/>
      <c r="J172" s="606"/>
      <c r="L172" s="129" t="str">
        <f>IF([1]RENAME!$H$3=1,B172,A172)</f>
        <v>Baixas</v>
      </c>
      <c r="M172" s="118">
        <v>0</v>
      </c>
      <c r="N172" s="118">
        <v>0</v>
      </c>
      <c r="O172" s="118">
        <v>-594</v>
      </c>
      <c r="P172" s="118">
        <v>-594</v>
      </c>
    </row>
    <row r="173" spans="1:16" x14ac:dyDescent="0.2">
      <c r="A173" s="532" t="s">
        <v>2202</v>
      </c>
      <c r="B173" s="532" t="s">
        <v>1125</v>
      </c>
      <c r="D173" s="129" t="str">
        <f>IF([1]RENAME!$H$3=1,B173,A173)</f>
        <v>Transferência</v>
      </c>
      <c r="E173" s="118">
        <v>2885</v>
      </c>
      <c r="F173" s="118"/>
      <c r="G173" s="118">
        <v>0</v>
      </c>
      <c r="H173" s="118"/>
      <c r="I173" s="606"/>
      <c r="J173" s="606"/>
      <c r="L173" s="129" t="str">
        <f>IF([1]RENAME!$H$3=1,B173,A173)</f>
        <v>Transferência</v>
      </c>
      <c r="M173" s="118"/>
      <c r="N173" s="118"/>
      <c r="O173" s="118"/>
      <c r="P173" s="118"/>
    </row>
    <row r="174" spans="1:16" x14ac:dyDescent="0.2">
      <c r="A174" s="532" t="s">
        <v>247</v>
      </c>
      <c r="B174" s="532" t="s">
        <v>1124</v>
      </c>
      <c r="D174" s="129" t="str">
        <f>IF([1]RENAME!$H$3=1,B174,A174)</f>
        <v>Amortização</v>
      </c>
      <c r="E174" s="118">
        <v>-6546</v>
      </c>
      <c r="F174" s="118">
        <v>-90</v>
      </c>
      <c r="G174" s="118">
        <v>-208</v>
      </c>
      <c r="H174" s="118">
        <v>-6843</v>
      </c>
      <c r="I174" s="606"/>
      <c r="J174" s="606"/>
      <c r="L174" s="129" t="str">
        <f>IF([1]RENAME!$H$3=1,B174,A174)</f>
        <v>Amortização</v>
      </c>
      <c r="M174" s="118">
        <v>-7152</v>
      </c>
      <c r="N174" s="118">
        <v>-95</v>
      </c>
      <c r="O174" s="118">
        <v>-523</v>
      </c>
      <c r="P174" s="118">
        <v>-7770</v>
      </c>
    </row>
    <row r="175" spans="1:16" x14ac:dyDescent="0.2">
      <c r="A175" s="532" t="s">
        <v>2229</v>
      </c>
      <c r="B175" s="532" t="s">
        <v>2228</v>
      </c>
      <c r="D175" s="126" t="str">
        <f>IF([1]RENAME!$H$3=1,B175,A175)</f>
        <v>Em 31 de dezembro de 2024</v>
      </c>
      <c r="E175" s="120">
        <f>SUM(E167:E174)</f>
        <v>71624</v>
      </c>
      <c r="F175" s="120">
        <f>SUM(F167:F174)</f>
        <v>0</v>
      </c>
      <c r="G175" s="120">
        <f>SUM(G167:G174)</f>
        <v>0</v>
      </c>
      <c r="H175" s="120">
        <f>SUM(H167:H174)</f>
        <v>71625</v>
      </c>
      <c r="I175" s="606"/>
      <c r="J175" s="606"/>
      <c r="L175" s="126" t="str">
        <f>IF([1]RENAME!$H$3=1,B175,A175)</f>
        <v>Em 31 de dezembro de 2024</v>
      </c>
      <c r="M175" s="120">
        <f>SUM(M167:M174)</f>
        <v>59259</v>
      </c>
      <c r="N175" s="120">
        <f>SUM(N167:N174)</f>
        <v>0</v>
      </c>
      <c r="O175" s="120">
        <f>SUM(O167:O174)</f>
        <v>5760</v>
      </c>
      <c r="P175" s="120">
        <f>SUM(P167:P174)</f>
        <v>65019</v>
      </c>
    </row>
    <row r="177" spans="1:16" x14ac:dyDescent="0.2">
      <c r="A177" s="532" t="s">
        <v>1439</v>
      </c>
      <c r="B177" s="532" t="s">
        <v>1453</v>
      </c>
      <c r="D177" s="129" t="str">
        <f>IF([1]RENAME!$H$3=1,B177,A177)</f>
        <v xml:space="preserve">Movimentações </v>
      </c>
      <c r="E177" s="118"/>
      <c r="F177" s="118"/>
      <c r="G177" s="118"/>
      <c r="H177" s="118"/>
      <c r="I177" s="606"/>
      <c r="J177" s="606"/>
      <c r="L177" s="129" t="str">
        <f>IF([1]RENAME!$H$3=1,B177,A177)</f>
        <v xml:space="preserve">Movimentações </v>
      </c>
      <c r="M177" s="118"/>
      <c r="N177" s="118"/>
      <c r="O177" s="118"/>
      <c r="P177" s="118"/>
    </row>
    <row r="178" spans="1:16" x14ac:dyDescent="0.2">
      <c r="A178" s="532" t="s">
        <v>1533</v>
      </c>
      <c r="B178" s="532" t="s">
        <v>1534</v>
      </c>
      <c r="D178" s="129" t="str">
        <f>IF([1]RENAME!$H$3=1,B178,A178)</f>
        <v>Adoção Inicial</v>
      </c>
      <c r="E178" s="118"/>
      <c r="F178" s="118"/>
      <c r="G178" s="118"/>
      <c r="H178" s="118"/>
      <c r="I178" s="606"/>
      <c r="J178" s="606"/>
      <c r="L178" s="129" t="str">
        <f>IF([1]RENAME!$H$3=1,B178,A178)</f>
        <v>Adoção Inicial</v>
      </c>
      <c r="M178" s="118"/>
      <c r="N178" s="118"/>
      <c r="O178" s="118"/>
      <c r="P178" s="118"/>
    </row>
    <row r="179" spans="1:16" x14ac:dyDescent="0.2">
      <c r="A179" s="532" t="s">
        <v>189</v>
      </c>
      <c r="B179" s="532" t="s">
        <v>1123</v>
      </c>
      <c r="D179" s="129" t="str">
        <f>IF([1]RENAME!$H$3=1,B179,A179)</f>
        <v>Adições</v>
      </c>
      <c r="E179" s="118">
        <v>3217</v>
      </c>
      <c r="F179" s="118">
        <v>0</v>
      </c>
      <c r="G179" s="118">
        <v>0</v>
      </c>
      <c r="H179" s="118">
        <v>3217</v>
      </c>
      <c r="I179" s="606"/>
      <c r="J179" s="606"/>
      <c r="L179" s="129" t="str">
        <f>IF([1]RENAME!$H$3=1,B179,A179)</f>
        <v>Adições</v>
      </c>
      <c r="M179" s="118">
        <v>19985</v>
      </c>
      <c r="N179" s="118">
        <v>0</v>
      </c>
      <c r="O179" s="118">
        <v>4809</v>
      </c>
      <c r="P179" s="118">
        <v>24794</v>
      </c>
    </row>
    <row r="180" spans="1:16" x14ac:dyDescent="0.2">
      <c r="A180" s="532" t="s">
        <v>1440</v>
      </c>
      <c r="B180" s="532" t="s">
        <v>2253</v>
      </c>
      <c r="D180" s="129" t="str">
        <f>IF([1]RENAME!$H$3=1,B180,A180)</f>
        <v>Baixas</v>
      </c>
      <c r="E180" s="118">
        <v>0</v>
      </c>
      <c r="F180" s="118">
        <v>0</v>
      </c>
      <c r="G180" s="118">
        <v>0</v>
      </c>
      <c r="H180" s="118">
        <v>0</v>
      </c>
      <c r="I180" s="606"/>
      <c r="J180" s="606"/>
      <c r="L180" s="129" t="str">
        <f>IF([1]RENAME!$H$3=1,B180,A180)</f>
        <v>Baixas</v>
      </c>
      <c r="M180" s="118">
        <v>0</v>
      </c>
      <c r="N180" s="118">
        <v>0</v>
      </c>
      <c r="O180" s="118" t="s">
        <v>160</v>
      </c>
      <c r="P180" s="118" t="s">
        <v>160</v>
      </c>
    </row>
    <row r="181" spans="1:16" x14ac:dyDescent="0.2">
      <c r="A181" s="532" t="s">
        <v>2202</v>
      </c>
      <c r="B181" s="532" t="s">
        <v>1125</v>
      </c>
      <c r="D181" s="129" t="str">
        <f>IF([1]RENAME!$H$3=1,B181,A181)</f>
        <v>Transferência</v>
      </c>
      <c r="E181" s="118">
        <v>0</v>
      </c>
      <c r="F181" s="118"/>
      <c r="G181" s="118">
        <v>0</v>
      </c>
      <c r="H181" s="118"/>
      <c r="I181" s="606"/>
      <c r="J181" s="606"/>
      <c r="L181" s="129" t="str">
        <f>IF([1]RENAME!$H$3=1,B181,A181)</f>
        <v>Transferência</v>
      </c>
      <c r="M181" s="118"/>
      <c r="N181" s="118"/>
      <c r="O181" s="118"/>
      <c r="P181" s="118"/>
    </row>
    <row r="182" spans="1:16" x14ac:dyDescent="0.2">
      <c r="A182" s="532" t="s">
        <v>247</v>
      </c>
      <c r="B182" s="532" t="s">
        <v>1124</v>
      </c>
      <c r="D182" s="129" t="str">
        <f>IF([1]RENAME!$H$3=1,B182,A182)</f>
        <v>Amortização</v>
      </c>
      <c r="E182" s="118">
        <v>-6691</v>
      </c>
      <c r="F182" s="118">
        <v>0</v>
      </c>
      <c r="G182" s="118">
        <v>0</v>
      </c>
      <c r="H182" s="118">
        <v>-6691</v>
      </c>
      <c r="I182" s="606"/>
      <c r="J182" s="606"/>
      <c r="L182" s="129" t="str">
        <f>IF([1]RENAME!$H$3=1,B182,A182)</f>
        <v>Amortização</v>
      </c>
      <c r="M182" s="118">
        <v>-7104</v>
      </c>
      <c r="N182" s="118">
        <v>0</v>
      </c>
      <c r="O182" s="118">
        <v>-903</v>
      </c>
      <c r="P182" s="118">
        <v>-8007</v>
      </c>
    </row>
    <row r="183" spans="1:16" x14ac:dyDescent="0.2">
      <c r="A183" s="532" t="s">
        <v>2256</v>
      </c>
      <c r="B183" s="532" t="s">
        <v>2257</v>
      </c>
      <c r="D183" s="126" t="str">
        <f>IF([1]RENAME!$H$3=1,B183,A183)</f>
        <v>Em 31 de março de 2025</v>
      </c>
      <c r="E183" s="120">
        <f>SUM(E175:E182)</f>
        <v>68150</v>
      </c>
      <c r="F183" s="120">
        <f>SUM(F175:F182)</f>
        <v>0</v>
      </c>
      <c r="G183" s="120">
        <f>SUM(G175:G182)</f>
        <v>0</v>
      </c>
      <c r="H183" s="120">
        <f>SUM(H175:H182)</f>
        <v>68151</v>
      </c>
      <c r="I183" s="606"/>
      <c r="J183" s="606"/>
      <c r="L183" s="126" t="str">
        <f>IF([1]RENAME!$H$3=1,B183,A183)</f>
        <v>Em 31 de março de 2025</v>
      </c>
      <c r="M183" s="120">
        <f>SUM(M175:M182)</f>
        <v>72140</v>
      </c>
      <c r="N183" s="120">
        <f>SUM(N175:N182)</f>
        <v>0</v>
      </c>
      <c r="O183" s="120">
        <f>SUM(O175:O182)</f>
        <v>9666</v>
      </c>
      <c r="P183" s="120">
        <f>SUM(P175:P182)</f>
        <v>81806</v>
      </c>
    </row>
    <row r="185" spans="1:16" x14ac:dyDescent="0.2">
      <c r="A185" s="532" t="s">
        <v>1439</v>
      </c>
      <c r="B185" s="532" t="s">
        <v>1453</v>
      </c>
      <c r="D185" s="129" t="str">
        <f>IF([1]RENAME!$H$3=1,B185,A185)</f>
        <v xml:space="preserve">Movimentações </v>
      </c>
      <c r="E185" s="118">
        <v>0</v>
      </c>
      <c r="F185" s="118">
        <v>0</v>
      </c>
      <c r="G185" s="118">
        <v>0</v>
      </c>
      <c r="H185" s="118">
        <v>0</v>
      </c>
      <c r="I185" s="606"/>
      <c r="J185" s="606"/>
      <c r="L185" s="129" t="str">
        <f>IF([1]RENAME!$H$3=1,B185,A185)</f>
        <v xml:space="preserve">Movimentações </v>
      </c>
      <c r="M185" s="118"/>
      <c r="N185" s="118"/>
      <c r="O185" s="118"/>
      <c r="P185" s="118"/>
    </row>
    <row r="186" spans="1:16" x14ac:dyDescent="0.2">
      <c r="A186" s="532" t="s">
        <v>1533</v>
      </c>
      <c r="B186" s="532" t="s">
        <v>1534</v>
      </c>
      <c r="D186" s="129" t="str">
        <f>IF([1]RENAME!$H$3=1,B186,A186)</f>
        <v>Adoção Inicial</v>
      </c>
      <c r="E186" s="118">
        <v>0</v>
      </c>
      <c r="F186" s="118">
        <v>0</v>
      </c>
      <c r="G186" s="118">
        <v>0</v>
      </c>
      <c r="H186" s="118">
        <v>0</v>
      </c>
      <c r="I186" s="606"/>
      <c r="J186" s="606"/>
      <c r="L186" s="129" t="str">
        <f>IF([1]RENAME!$H$3=1,B186,A186)</f>
        <v>Adoção Inicial</v>
      </c>
      <c r="M186" s="118"/>
      <c r="N186" s="118"/>
      <c r="O186" s="118"/>
      <c r="P186" s="118"/>
    </row>
    <row r="187" spans="1:16" x14ac:dyDescent="0.2">
      <c r="A187" s="532" t="s">
        <v>189</v>
      </c>
      <c r="B187" s="532" t="s">
        <v>1123</v>
      </c>
      <c r="D187" s="129" t="str">
        <f>IF([1]RENAME!$H$3=1,B187,A187)</f>
        <v>Adições</v>
      </c>
      <c r="E187" s="118">
        <v>4859</v>
      </c>
      <c r="F187" s="118">
        <v>0</v>
      </c>
      <c r="G187" s="118">
        <v>0</v>
      </c>
      <c r="H187" s="118">
        <v>4859</v>
      </c>
      <c r="I187" s="606"/>
      <c r="J187" s="606"/>
      <c r="L187" s="129" t="str">
        <f>IF([1]RENAME!$H$3=1,B187,A187)</f>
        <v>Adições</v>
      </c>
      <c r="M187" s="118">
        <v>4850</v>
      </c>
      <c r="N187" s="118">
        <v>0</v>
      </c>
      <c r="O187" s="118">
        <v>265</v>
      </c>
      <c r="P187" s="118">
        <v>5115</v>
      </c>
    </row>
    <row r="188" spans="1:16" x14ac:dyDescent="0.2">
      <c r="A188" s="532" t="s">
        <v>1440</v>
      </c>
      <c r="B188" s="532" t="s">
        <v>2253</v>
      </c>
      <c r="D188" s="129" t="str">
        <f>IF([1]RENAME!$H$3=1,B188,A188)</f>
        <v>Baixas</v>
      </c>
      <c r="E188" s="118">
        <v>0</v>
      </c>
      <c r="F188" s="118">
        <v>0</v>
      </c>
      <c r="G188" s="118">
        <v>0</v>
      </c>
      <c r="H188" s="118">
        <v>0</v>
      </c>
      <c r="I188" s="606"/>
      <c r="J188" s="606"/>
      <c r="L188" s="129" t="str">
        <f>IF([1]RENAME!$H$3=1,B188,A188)</f>
        <v>Baixas</v>
      </c>
      <c r="M188" s="118">
        <v>0</v>
      </c>
      <c r="N188" s="118">
        <v>0</v>
      </c>
      <c r="O188" s="118">
        <v>0</v>
      </c>
      <c r="P188" s="118">
        <v>0</v>
      </c>
    </row>
    <row r="189" spans="1:16" x14ac:dyDescent="0.2">
      <c r="A189" s="532" t="s">
        <v>2202</v>
      </c>
      <c r="B189" s="532" t="s">
        <v>1125</v>
      </c>
      <c r="D189" s="129" t="str">
        <f>IF([1]RENAME!$H$3=1,B189,A189)</f>
        <v>Transferência</v>
      </c>
      <c r="E189" s="118">
        <v>0</v>
      </c>
      <c r="F189" s="118">
        <v>0</v>
      </c>
      <c r="G189" s="118">
        <v>0</v>
      </c>
      <c r="H189" s="118">
        <v>0</v>
      </c>
      <c r="I189" s="606"/>
      <c r="J189" s="606"/>
      <c r="L189" s="129" t="str">
        <f>IF([1]RENAME!$H$3=1,B189,A189)</f>
        <v>Transferência</v>
      </c>
      <c r="M189" s="118"/>
      <c r="N189" s="118"/>
      <c r="O189" s="118"/>
      <c r="P189" s="118"/>
    </row>
    <row r="190" spans="1:16" x14ac:dyDescent="0.2">
      <c r="A190" s="532" t="s">
        <v>247</v>
      </c>
      <c r="B190" s="532" t="s">
        <v>1124</v>
      </c>
      <c r="D190" s="129" t="str">
        <f>IF([1]RENAME!$H$3=1,B190,A190)</f>
        <v>Amortização</v>
      </c>
      <c r="E190" s="118">
        <v>-6822</v>
      </c>
      <c r="F190" s="118">
        <v>0</v>
      </c>
      <c r="G190" s="118">
        <v>0</v>
      </c>
      <c r="H190" s="118">
        <v>-6822</v>
      </c>
      <c r="I190" s="606"/>
      <c r="J190" s="606"/>
      <c r="L190" s="129" t="str">
        <f>IF([1]RENAME!$H$3=1,B190,A190)</f>
        <v>Amortização</v>
      </c>
      <c r="M190" s="118">
        <v>-7354</v>
      </c>
      <c r="N190" s="118">
        <v>0</v>
      </c>
      <c r="O190" s="118">
        <v>-921</v>
      </c>
      <c r="P190" s="118">
        <v>-8275</v>
      </c>
    </row>
    <row r="191" spans="1:16" x14ac:dyDescent="0.2">
      <c r="A191" s="532" t="s">
        <v>2268</v>
      </c>
      <c r="B191" s="532" t="s">
        <v>2269</v>
      </c>
      <c r="D191" s="126" t="str">
        <f>IF([1]RENAME!$H$3=1,B191,A191)</f>
        <v>Em 30 de junho de 2025</v>
      </c>
      <c r="E191" s="120">
        <f>SUM(E183:E190)</f>
        <v>66187</v>
      </c>
      <c r="F191" s="120">
        <f>SUM(F183:F190)</f>
        <v>0</v>
      </c>
      <c r="G191" s="120">
        <f>SUM(G183:G190)</f>
        <v>0</v>
      </c>
      <c r="H191" s="120">
        <f>SUM(H183:H190)</f>
        <v>66188</v>
      </c>
      <c r="I191" s="606"/>
      <c r="J191" s="606"/>
      <c r="L191" s="126" t="str">
        <f>IF([1]RENAME!$H$3=1,B191,A191)</f>
        <v>Em 30 de junho de 2025</v>
      </c>
      <c r="M191" s="120">
        <f>SUM(M183:M190)</f>
        <v>69636</v>
      </c>
      <c r="N191" s="120">
        <f>SUM(N183:N190)</f>
        <v>0</v>
      </c>
      <c r="O191" s="120">
        <f>SUM(O183:O190)</f>
        <v>9010</v>
      </c>
      <c r="P191" s="120">
        <f>SUM(P183:P190)</f>
        <v>78646</v>
      </c>
    </row>
    <row r="193" spans="1:16" x14ac:dyDescent="0.2">
      <c r="A193" s="532" t="s">
        <v>1439</v>
      </c>
      <c r="B193" s="532" t="s">
        <v>1453</v>
      </c>
      <c r="D193" s="129" t="str">
        <f>IF([1]RENAME!$H$3=1,B193,A193)</f>
        <v xml:space="preserve">Movimentações </v>
      </c>
      <c r="E193" s="118">
        <v>0</v>
      </c>
      <c r="F193" s="118">
        <v>0</v>
      </c>
      <c r="G193" s="118">
        <v>0</v>
      </c>
      <c r="H193" s="118">
        <v>0</v>
      </c>
      <c r="I193" s="606"/>
      <c r="J193" s="606"/>
      <c r="L193" s="129" t="s">
        <v>1439</v>
      </c>
      <c r="M193" s="118"/>
      <c r="N193" s="118"/>
      <c r="O193" s="118"/>
      <c r="P193" s="118"/>
    </row>
    <row r="194" spans="1:16" x14ac:dyDescent="0.2">
      <c r="A194" s="532" t="s">
        <v>1533</v>
      </c>
      <c r="B194" s="532" t="s">
        <v>1534</v>
      </c>
      <c r="D194" s="129" t="str">
        <f>IF([1]RENAME!$H$3=1,B194,A194)</f>
        <v>Adoção Inicial</v>
      </c>
      <c r="E194" s="118">
        <v>0</v>
      </c>
      <c r="F194" s="118">
        <v>0</v>
      </c>
      <c r="G194" s="118">
        <v>0</v>
      </c>
      <c r="H194" s="118">
        <v>0</v>
      </c>
      <c r="I194" s="606"/>
      <c r="J194" s="606"/>
      <c r="L194" s="129" t="s">
        <v>1533</v>
      </c>
      <c r="M194" s="118"/>
      <c r="N194" s="118"/>
      <c r="O194" s="118"/>
      <c r="P194" s="118"/>
    </row>
    <row r="195" spans="1:16" x14ac:dyDescent="0.2">
      <c r="A195" s="532" t="s">
        <v>189</v>
      </c>
      <c r="B195" s="532" t="s">
        <v>1123</v>
      </c>
      <c r="D195" s="129" t="str">
        <f>IF([1]RENAME!$H$3=1,B195,A195)</f>
        <v>Adições</v>
      </c>
      <c r="E195" s="118">
        <v>2225</v>
      </c>
      <c r="F195" s="118">
        <v>0</v>
      </c>
      <c r="G195" s="118">
        <v>0</v>
      </c>
      <c r="H195" s="118">
        <v>2225</v>
      </c>
      <c r="I195" s="606"/>
      <c r="J195" s="606"/>
      <c r="L195" s="129" t="s">
        <v>189</v>
      </c>
      <c r="M195" s="118">
        <v>2992</v>
      </c>
      <c r="N195" s="118">
        <v>0</v>
      </c>
      <c r="O195" s="118">
        <v>0</v>
      </c>
      <c r="P195" s="118">
        <v>2992</v>
      </c>
    </row>
    <row r="196" spans="1:16" x14ac:dyDescent="0.2">
      <c r="A196" s="532" t="s">
        <v>1440</v>
      </c>
      <c r="B196" s="532" t="s">
        <v>2253</v>
      </c>
      <c r="D196" s="129" t="str">
        <f>IF([1]RENAME!$H$3=1,B196,A196)</f>
        <v>Baixas</v>
      </c>
      <c r="E196" s="118">
        <v>0</v>
      </c>
      <c r="F196" s="118">
        <v>0</v>
      </c>
      <c r="G196" s="118">
        <v>0</v>
      </c>
      <c r="H196" s="118">
        <v>0</v>
      </c>
      <c r="I196" s="606"/>
      <c r="J196" s="606"/>
      <c r="L196" s="129" t="s">
        <v>1440</v>
      </c>
      <c r="M196" s="118">
        <v>0</v>
      </c>
      <c r="N196" s="118">
        <v>0</v>
      </c>
      <c r="O196" s="118">
        <v>0</v>
      </c>
      <c r="P196" s="118">
        <v>0</v>
      </c>
    </row>
    <row r="197" spans="1:16" x14ac:dyDescent="0.2">
      <c r="A197" s="532" t="s">
        <v>2202</v>
      </c>
      <c r="B197" s="532" t="s">
        <v>1125</v>
      </c>
      <c r="D197" s="129" t="str">
        <f>IF([1]RENAME!$H$3=1,B197,A197)</f>
        <v>Transferência</v>
      </c>
      <c r="E197" s="118">
        <v>0</v>
      </c>
      <c r="F197" s="118">
        <v>0</v>
      </c>
      <c r="G197" s="118">
        <v>0</v>
      </c>
      <c r="H197" s="118">
        <v>0</v>
      </c>
      <c r="I197" s="606"/>
      <c r="J197" s="606"/>
      <c r="L197" s="129" t="s">
        <v>2202</v>
      </c>
      <c r="M197" s="118"/>
      <c r="N197" s="118"/>
      <c r="O197" s="118"/>
      <c r="P197" s="118"/>
    </row>
    <row r="198" spans="1:16" x14ac:dyDescent="0.2">
      <c r="A198" s="532" t="s">
        <v>247</v>
      </c>
      <c r="B198" s="532" t="s">
        <v>1124</v>
      </c>
      <c r="D198" s="129" t="str">
        <f>IF([1]RENAME!$H$3=1,B198,A198)</f>
        <v>Amortização</v>
      </c>
      <c r="E198" s="118">
        <v>-6896</v>
      </c>
      <c r="F198" s="118">
        <v>0</v>
      </c>
      <c r="G198" s="118">
        <v>0</v>
      </c>
      <c r="H198" s="118">
        <v>-6896</v>
      </c>
      <c r="I198" s="606"/>
      <c r="J198" s="606"/>
      <c r="L198" s="129" t="s">
        <v>247</v>
      </c>
      <c r="M198" s="118">
        <v>-7516</v>
      </c>
      <c r="N198" s="118">
        <v>0</v>
      </c>
      <c r="O198" s="118">
        <v>-927</v>
      </c>
      <c r="P198" s="118">
        <v>-8443</v>
      </c>
    </row>
    <row r="199" spans="1:16" x14ac:dyDescent="0.2">
      <c r="A199" s="532" t="s">
        <v>2279</v>
      </c>
      <c r="B199" s="532" t="s">
        <v>2280</v>
      </c>
      <c r="D199" s="126" t="str">
        <f>IF([1]RENAME!$H$3=1,B199,A199)</f>
        <v>Em 30 de setembro de 2025</v>
      </c>
      <c r="E199" s="120">
        <f>SUM(E191:E198)</f>
        <v>61516</v>
      </c>
      <c r="F199" s="120">
        <f>SUM(F175:F198)</f>
        <v>0</v>
      </c>
      <c r="G199" s="120">
        <f>SUM(G175:G198)</f>
        <v>0</v>
      </c>
      <c r="H199" s="120">
        <f>SUM(H191:H198)</f>
        <v>61517</v>
      </c>
      <c r="I199" s="606"/>
      <c r="J199" s="606"/>
      <c r="L199" s="126" t="str">
        <f>IF([1]RENAME!$H$3=1,B199,A199)</f>
        <v>Em 30 de setembro de 2025</v>
      </c>
      <c r="M199" s="120">
        <f>SUM(M191:M198)</f>
        <v>65112</v>
      </c>
      <c r="N199" s="120">
        <f>SUM(N183:N198)</f>
        <v>0</v>
      </c>
      <c r="O199" s="120">
        <f>SUM(O191:O198)</f>
        <v>8083</v>
      </c>
      <c r="P199" s="120">
        <f>SUM(P191:P198)</f>
        <v>73195</v>
      </c>
    </row>
    <row r="201" spans="1:16" x14ac:dyDescent="0.2">
      <c r="A201" s="532" t="s">
        <v>1439</v>
      </c>
      <c r="B201" s="532" t="s">
        <v>1453</v>
      </c>
      <c r="D201" s="129" t="str">
        <f>IF([1]RENAME!$H$3=1,B201,A201)</f>
        <v xml:space="preserve">Movimentações </v>
      </c>
      <c r="E201" s="118">
        <v>0</v>
      </c>
      <c r="F201" s="118">
        <v>0</v>
      </c>
      <c r="G201" s="118">
        <v>0</v>
      </c>
      <c r="H201" s="118">
        <v>0</v>
      </c>
      <c r="I201" s="606"/>
      <c r="J201" s="606"/>
      <c r="L201" s="129" t="str">
        <f>IF([1]RENAME!$H$3=1,B201,A201)</f>
        <v xml:space="preserve">Movimentações </v>
      </c>
      <c r="M201" s="118">
        <v>0</v>
      </c>
      <c r="N201" s="118">
        <v>0</v>
      </c>
      <c r="O201" s="118">
        <v>0</v>
      </c>
      <c r="P201" s="118">
        <v>0</v>
      </c>
    </row>
    <row r="202" spans="1:16" x14ac:dyDescent="0.2">
      <c r="A202" s="532" t="s">
        <v>1533</v>
      </c>
      <c r="B202" s="532" t="s">
        <v>1534</v>
      </c>
      <c r="D202" s="129" t="str">
        <f>IF([1]RENAME!$H$3=1,B202,A202)</f>
        <v>Adoção Inicial</v>
      </c>
      <c r="E202" s="118">
        <v>0</v>
      </c>
      <c r="F202" s="118">
        <v>0</v>
      </c>
      <c r="G202" s="118">
        <v>0</v>
      </c>
      <c r="H202" s="118">
        <v>0</v>
      </c>
      <c r="I202" s="606"/>
      <c r="J202" s="606"/>
      <c r="L202" s="129" t="str">
        <f>IF([1]RENAME!$H$3=1,B202,A202)</f>
        <v>Adoção Inicial</v>
      </c>
      <c r="M202" s="118">
        <v>0</v>
      </c>
      <c r="N202" s="118">
        <v>0</v>
      </c>
      <c r="O202" s="118">
        <v>0</v>
      </c>
      <c r="P202" s="118">
        <v>0</v>
      </c>
    </row>
    <row r="203" spans="1:16" x14ac:dyDescent="0.2">
      <c r="A203" s="532" t="s">
        <v>189</v>
      </c>
      <c r="B203" s="532" t="s">
        <v>1123</v>
      </c>
      <c r="D203" s="129" t="str">
        <f>IF([1]RENAME!$H$3=1,B203,A203)</f>
        <v>Adições</v>
      </c>
      <c r="E203" s="118">
        <v>761</v>
      </c>
      <c r="F203" s="118">
        <v>0</v>
      </c>
      <c r="G203" s="118">
        <v>0</v>
      </c>
      <c r="H203" s="118">
        <v>761</v>
      </c>
      <c r="I203" s="606"/>
      <c r="J203" s="606"/>
      <c r="L203" s="129" t="str">
        <f>IF([1]RENAME!$H$3=1,B203,A203)</f>
        <v>Adições</v>
      </c>
      <c r="M203" s="118">
        <v>3554</v>
      </c>
      <c r="N203" s="118">
        <v>0</v>
      </c>
      <c r="O203" s="118">
        <v>0</v>
      </c>
      <c r="P203" s="118">
        <f>+SUM(M203:O203)</f>
        <v>3554</v>
      </c>
    </row>
    <row r="204" spans="1:16" x14ac:dyDescent="0.2">
      <c r="A204" s="532" t="s">
        <v>1440</v>
      </c>
      <c r="B204" s="532" t="s">
        <v>2253</v>
      </c>
      <c r="D204" s="129" t="str">
        <f>IF([1]RENAME!$H$3=1,B204,A204)</f>
        <v>Baixas</v>
      </c>
      <c r="E204" s="118">
        <v>0</v>
      </c>
      <c r="F204" s="118">
        <v>0</v>
      </c>
      <c r="G204" s="118">
        <v>0</v>
      </c>
      <c r="H204" s="118">
        <v>0</v>
      </c>
      <c r="I204" s="606"/>
      <c r="J204" s="606"/>
      <c r="L204" s="129" t="str">
        <f>IF([1]RENAME!$H$3=1,B204,A204)</f>
        <v>Baixas</v>
      </c>
      <c r="M204" s="118">
        <v>0</v>
      </c>
      <c r="N204" s="118">
        <v>0</v>
      </c>
      <c r="O204" s="118">
        <v>0</v>
      </c>
      <c r="P204" s="118">
        <f>+SUM(M204:O204)</f>
        <v>0</v>
      </c>
    </row>
    <row r="205" spans="1:16" x14ac:dyDescent="0.2">
      <c r="A205" s="532" t="s">
        <v>2202</v>
      </c>
      <c r="B205" s="532" t="s">
        <v>1125</v>
      </c>
      <c r="D205" s="129" t="str">
        <f>IF([1]RENAME!$H$3=1,B205,A205)</f>
        <v>Transferência</v>
      </c>
      <c r="E205" s="118">
        <v>0</v>
      </c>
      <c r="F205" s="118">
        <v>0</v>
      </c>
      <c r="G205" s="118">
        <v>0</v>
      </c>
      <c r="H205" s="118">
        <v>0</v>
      </c>
      <c r="I205" s="606"/>
      <c r="J205" s="606"/>
      <c r="L205" s="129" t="str">
        <f>IF([1]RENAME!$H$3=1,B205,A205)</f>
        <v>Transferência</v>
      </c>
      <c r="M205" s="118">
        <v>0</v>
      </c>
      <c r="N205" s="118">
        <v>0</v>
      </c>
      <c r="O205" s="118">
        <f>-N207</f>
        <v>-3256</v>
      </c>
      <c r="P205" s="118">
        <f>+SUM(M205:O205)</f>
        <v>-3256</v>
      </c>
    </row>
    <row r="206" spans="1:16" x14ac:dyDescent="0.2">
      <c r="A206" s="532" t="s">
        <v>247</v>
      </c>
      <c r="B206" s="532" t="s">
        <v>1124</v>
      </c>
      <c r="D206" s="129" t="str">
        <f>IF([1]RENAME!$H$3=1,B206,A206)</f>
        <v>Amortização</v>
      </c>
      <c r="E206" s="118">
        <v>-6966</v>
      </c>
      <c r="F206" s="118">
        <v>0</v>
      </c>
      <c r="G206" s="118">
        <v>0</v>
      </c>
      <c r="H206" s="118">
        <v>-6966</v>
      </c>
      <c r="I206" s="606"/>
      <c r="J206" s="606"/>
      <c r="L206" s="129" t="str">
        <f>IF([1]RENAME!$H$3=1,B206,A206)</f>
        <v>Amortização</v>
      </c>
      <c r="M206" s="118">
        <v>-7573</v>
      </c>
      <c r="N206" s="118">
        <v>0</v>
      </c>
      <c r="O206" s="118">
        <v>-926</v>
      </c>
      <c r="P206" s="118">
        <f>+SUM(M206:O206)</f>
        <v>-8499</v>
      </c>
    </row>
    <row r="207" spans="1:16" x14ac:dyDescent="0.2">
      <c r="A207" s="532" t="s">
        <v>2297</v>
      </c>
      <c r="B207" s="532" t="s">
        <v>2298</v>
      </c>
      <c r="D207" s="126" t="str">
        <f>IF([1]RENAME!$H$3=1,B207,A207)</f>
        <v>Em 31 de dezembro de 2025</v>
      </c>
      <c r="E207" s="120">
        <f>SUM(E199:E206)</f>
        <v>55311</v>
      </c>
      <c r="F207" s="120">
        <f>SUM(F183:F206)</f>
        <v>0</v>
      </c>
      <c r="G207" s="120">
        <f>SUM(G183:G206)</f>
        <v>0</v>
      </c>
      <c r="H207" s="120">
        <f>SUM(H199:H206)-1</f>
        <v>55311</v>
      </c>
      <c r="I207" s="606"/>
      <c r="J207" s="606"/>
      <c r="L207" s="126" t="str">
        <f>IF([1]RENAME!$H$3=1,B207,A207)</f>
        <v>Em 31 de dezembro de 2025</v>
      </c>
      <c r="M207" s="120">
        <f>SUM(M199:M206)</f>
        <v>61093</v>
      </c>
      <c r="N207" s="120">
        <v>3256</v>
      </c>
      <c r="O207" s="120">
        <f>SUM(O199:O206)</f>
        <v>3901</v>
      </c>
      <c r="P207" s="120">
        <f>+SUM(M207:O207)</f>
        <v>68250</v>
      </c>
    </row>
    <row r="209" spans="1:16" x14ac:dyDescent="0.2">
      <c r="A209" s="532" t="s">
        <v>1439</v>
      </c>
      <c r="B209" s="532" t="s">
        <v>1453</v>
      </c>
      <c r="D209" s="129" t="str">
        <f>IF([1]RENAME!$H$3=1,B209,A209)</f>
        <v xml:space="preserve">Movimentações </v>
      </c>
      <c r="E209" s="118">
        <v>0</v>
      </c>
      <c r="F209" s="118">
        <f>'[3]26 Comprom arrendam operac'!$J$15</f>
        <v>0</v>
      </c>
      <c r="G209" s="118">
        <f>+'[3]13 Arrend NL'!$P$32</f>
        <v>0</v>
      </c>
      <c r="H209" s="118">
        <f t="shared" ref="H209:H214" si="0">+SUM(E209:G209)</f>
        <v>0</v>
      </c>
      <c r="I209" s="606"/>
      <c r="J209" s="606"/>
      <c r="L209" s="129" t="str">
        <f>IF([1]RENAME!$H$3=1,B209,A209)</f>
        <v xml:space="preserve">Movimentações </v>
      </c>
      <c r="M209" s="118">
        <v>0</v>
      </c>
      <c r="N209" s="118">
        <f>'[3]26 Comprom arrendam operac'!$J$15</f>
        <v>0</v>
      </c>
      <c r="O209" s="118">
        <f>+'[3]13 Arrend NL'!$P$32</f>
        <v>0</v>
      </c>
      <c r="P209" s="118">
        <f t="shared" ref="P209:P214" si="1">+SUM(M209:O209)</f>
        <v>0</v>
      </c>
    </row>
    <row r="210" spans="1:16" x14ac:dyDescent="0.2">
      <c r="A210" s="532" t="s">
        <v>1533</v>
      </c>
      <c r="B210" s="532" t="s">
        <v>1534</v>
      </c>
      <c r="D210" s="129" t="str">
        <f>IF([1]RENAME!$H$3=1,B210,A210)</f>
        <v>Adoção Inicial</v>
      </c>
      <c r="E210" s="118">
        <v>0</v>
      </c>
      <c r="F210" s="118">
        <f>'[3]26 Comprom arrendam operac'!$J$15</f>
        <v>0</v>
      </c>
      <c r="G210" s="118">
        <f>+'[3]13 Arrend NL'!$P$32</f>
        <v>0</v>
      </c>
      <c r="H210" s="118">
        <f t="shared" si="0"/>
        <v>0</v>
      </c>
      <c r="I210" s="606"/>
      <c r="J210" s="606"/>
      <c r="L210" s="129" t="str">
        <f>IF([1]RENAME!$H$3=1,B210,A210)</f>
        <v>Adoção Inicial</v>
      </c>
      <c r="M210" s="118">
        <v>0</v>
      </c>
      <c r="N210" s="118">
        <f>'[3]26 Comprom arrendam operac'!$J$15</f>
        <v>0</v>
      </c>
      <c r="O210" s="118">
        <f>+'[3]13 Arrend NL'!$P$32</f>
        <v>0</v>
      </c>
      <c r="P210" s="118">
        <f t="shared" si="1"/>
        <v>0</v>
      </c>
    </row>
    <row r="211" spans="1:16" x14ac:dyDescent="0.2">
      <c r="A211" s="532" t="s">
        <v>189</v>
      </c>
      <c r="B211" s="532" t="s">
        <v>1123</v>
      </c>
      <c r="D211" s="129" t="str">
        <f>IF([1]RENAME!$H$3=1,B211,A211)</f>
        <v>Adições</v>
      </c>
      <c r="E211" s="118">
        <v>1177</v>
      </c>
      <c r="F211" s="118">
        <v>0</v>
      </c>
      <c r="G211" s="118">
        <v>0</v>
      </c>
      <c r="H211" s="118">
        <f t="shared" si="0"/>
        <v>1177</v>
      </c>
      <c r="I211" s="606"/>
      <c r="J211" s="606"/>
      <c r="L211" s="129" t="str">
        <f>IF([1]RENAME!$H$3=1,B211,A211)</f>
        <v>Adições</v>
      </c>
      <c r="M211" s="118">
        <v>777</v>
      </c>
      <c r="N211" s="118">
        <v>0</v>
      </c>
      <c r="O211" s="118">
        <v>126</v>
      </c>
      <c r="P211" s="118">
        <f t="shared" si="1"/>
        <v>903</v>
      </c>
    </row>
    <row r="212" spans="1:16" x14ac:dyDescent="0.2">
      <c r="A212" s="532" t="s">
        <v>1440</v>
      </c>
      <c r="B212" s="532" t="s">
        <v>2253</v>
      </c>
      <c r="D212" s="129" t="str">
        <f>IF([1]RENAME!$H$3=1,B212,A212)</f>
        <v>Baixas</v>
      </c>
      <c r="E212" s="118">
        <v>0</v>
      </c>
      <c r="F212" s="118">
        <f>'[3]26 Comprom arrendam operac'!$J$15</f>
        <v>0</v>
      </c>
      <c r="G212" s="118">
        <f>+'[3]13 Arrend NL'!$P$32</f>
        <v>0</v>
      </c>
      <c r="H212" s="118">
        <f t="shared" si="0"/>
        <v>0</v>
      </c>
      <c r="I212" s="606"/>
      <c r="J212" s="606"/>
      <c r="L212" s="129" t="str">
        <f>IF([1]RENAME!$H$3=1,B212,A212)</f>
        <v>Baixas</v>
      </c>
      <c r="M212" s="118">
        <v>0</v>
      </c>
      <c r="N212" s="118">
        <v>0</v>
      </c>
      <c r="O212" s="118">
        <v>1265</v>
      </c>
      <c r="P212" s="118">
        <f t="shared" si="1"/>
        <v>1265</v>
      </c>
    </row>
    <row r="213" spans="1:16" x14ac:dyDescent="0.2">
      <c r="A213" s="532" t="s">
        <v>2202</v>
      </c>
      <c r="B213" s="532" t="s">
        <v>1125</v>
      </c>
      <c r="D213" s="129" t="str">
        <f>IF([1]RENAME!$H$3=1,B213,A213)</f>
        <v>Transferência</v>
      </c>
      <c r="E213" s="118">
        <v>0</v>
      </c>
      <c r="F213" s="118">
        <f>'[3]26 Comprom arrendam operac'!$J$15</f>
        <v>0</v>
      </c>
      <c r="G213" s="118">
        <f>+'[3]13 Arrend NL'!$P$32</f>
        <v>0</v>
      </c>
      <c r="H213" s="118">
        <f t="shared" si="0"/>
        <v>0</v>
      </c>
      <c r="I213" s="606"/>
      <c r="J213" s="606"/>
      <c r="L213" s="129" t="str">
        <f>IF([1]RENAME!$H$3=1,B213,A213)</f>
        <v>Transferência</v>
      </c>
      <c r="M213" s="118">
        <v>0</v>
      </c>
      <c r="N213" s="118">
        <v>0</v>
      </c>
      <c r="O213" s="118">
        <f>+O215-O207</f>
        <v>1335</v>
      </c>
      <c r="P213" s="118">
        <f t="shared" si="1"/>
        <v>1335</v>
      </c>
    </row>
    <row r="214" spans="1:16" x14ac:dyDescent="0.2">
      <c r="A214" s="532" t="s">
        <v>247</v>
      </c>
      <c r="B214" s="532" t="s">
        <v>1124</v>
      </c>
      <c r="D214" s="129" t="str">
        <f>IF([1]RENAME!$H$3=1,B214,A214)</f>
        <v>Amortização</v>
      </c>
      <c r="E214" s="118">
        <v>-7184</v>
      </c>
      <c r="F214" s="118">
        <v>0</v>
      </c>
      <c r="G214" s="118">
        <f>'[3]13 Arrend NL'!$P$34</f>
        <v>0</v>
      </c>
      <c r="H214" s="118">
        <f t="shared" si="0"/>
        <v>-7184</v>
      </c>
      <c r="I214" s="606"/>
      <c r="J214" s="606"/>
      <c r="L214" s="129" t="str">
        <f>IF([1]RENAME!$H$3=1,B214,A214)</f>
        <v>Amortização</v>
      </c>
      <c r="M214" s="118">
        <v>-7768</v>
      </c>
      <c r="N214" s="118">
        <v>0</v>
      </c>
      <c r="O214" s="118">
        <v>-782</v>
      </c>
      <c r="P214" s="118">
        <f t="shared" si="1"/>
        <v>-8550</v>
      </c>
    </row>
    <row r="215" spans="1:16" x14ac:dyDescent="0.2">
      <c r="A215" s="532" t="s">
        <v>2321</v>
      </c>
      <c r="B215" s="532" t="s">
        <v>2322</v>
      </c>
      <c r="D215" s="126" t="str">
        <f>IF([1]RENAME!$H$3=1,B215,A215)</f>
        <v>Em 31 de março de 2026</v>
      </c>
      <c r="E215" s="120">
        <f>SUM(E207:E214)</f>
        <v>49304</v>
      </c>
      <c r="F215" s="120">
        <f>SUM(F207:F214)</f>
        <v>0</v>
      </c>
      <c r="G215" s="120">
        <f>SUM(G207:G214)</f>
        <v>0</v>
      </c>
      <c r="H215" s="120">
        <f>SUM(H207:H214)</f>
        <v>49304</v>
      </c>
      <c r="I215" s="606"/>
      <c r="J215" s="606"/>
      <c r="L215" s="126" t="str">
        <f>IF([1]RENAME!$H$3=1,B215,A215)</f>
        <v>Em 31 de março de 2026</v>
      </c>
      <c r="M215" s="120">
        <f>SUM(M207:M214)</f>
        <v>54102</v>
      </c>
      <c r="N215" s="120">
        <v>0</v>
      </c>
      <c r="O215" s="120">
        <v>5236</v>
      </c>
      <c r="P215" s="120">
        <v>59338</v>
      </c>
    </row>
    <row r="217" spans="1:16" x14ac:dyDescent="0.2">
      <c r="A217" s="532" t="s">
        <v>1439</v>
      </c>
      <c r="B217" s="532" t="s">
        <v>1453</v>
      </c>
      <c r="D217" s="129" t="str">
        <f>IF([1]RENAME!$H$3=1,B217,A217)</f>
        <v xml:space="preserve">Movimentações </v>
      </c>
      <c r="E217" s="118">
        <v>0</v>
      </c>
      <c r="F217" s="118">
        <f>'[3]26 Comprom arrendam operac'!$J$15</f>
        <v>0</v>
      </c>
      <c r="G217" s="118">
        <f>+'[3]13 Arrend NL'!$P$32</f>
        <v>0</v>
      </c>
      <c r="H217" s="118">
        <f t="shared" ref="H217:H222" si="2">+SUM(E217:G217)</f>
        <v>0</v>
      </c>
      <c r="I217" s="606"/>
      <c r="J217" s="606"/>
      <c r="L217" s="129" t="str">
        <f>IF([1]RENAME!$H$3=1,B217,A217)</f>
        <v xml:space="preserve">Movimentações </v>
      </c>
      <c r="M217" s="118">
        <v>0</v>
      </c>
      <c r="N217" s="118">
        <f>'[3]26 Comprom arrendam operac'!$J$15</f>
        <v>0</v>
      </c>
      <c r="O217" s="118">
        <f>+'[3]13 Arrend NL'!$P$32</f>
        <v>0</v>
      </c>
      <c r="P217" s="118">
        <f t="shared" ref="P217" si="3">+SUM(M217:O217)</f>
        <v>0</v>
      </c>
    </row>
    <row r="218" spans="1:16" x14ac:dyDescent="0.2">
      <c r="A218" s="532" t="s">
        <v>1533</v>
      </c>
      <c r="B218" s="532" t="s">
        <v>1534</v>
      </c>
      <c r="D218" s="129" t="str">
        <f>IF([1]RENAME!$H$3=1,B218,A218)</f>
        <v>Adoção Inicial</v>
      </c>
      <c r="E218" s="118">
        <v>0</v>
      </c>
      <c r="F218" s="118">
        <f>'[3]26 Comprom arrendam operac'!$J$15</f>
        <v>0</v>
      </c>
      <c r="G218" s="118">
        <f>+'[3]13 Arrend NL'!$P$32</f>
        <v>0</v>
      </c>
      <c r="H218" s="118">
        <f t="shared" si="2"/>
        <v>0</v>
      </c>
      <c r="I218" s="606"/>
      <c r="J218" s="606"/>
      <c r="L218" s="129" t="str">
        <f>IF([1]RENAME!$H$3=1,B218,A218)</f>
        <v>Adoção Inicial</v>
      </c>
      <c r="M218" s="118">
        <v>0</v>
      </c>
      <c r="N218" s="118">
        <v>3256</v>
      </c>
      <c r="O218" s="118">
        <v>3901</v>
      </c>
      <c r="P218" s="118">
        <f>+SUM(M218:O218)</f>
        <v>7157</v>
      </c>
    </row>
    <row r="219" spans="1:16" x14ac:dyDescent="0.2">
      <c r="A219" s="532" t="s">
        <v>189</v>
      </c>
      <c r="B219" s="532" t="s">
        <v>1123</v>
      </c>
      <c r="D219" s="129" t="str">
        <f>IF([1]RENAME!$H$3=1,B219,A219)</f>
        <v>Adições</v>
      </c>
      <c r="E219" s="118">
        <f>+'[3]13 Arrend NL'!$L$31-E211</f>
        <v>24811</v>
      </c>
      <c r="F219" s="118">
        <f>+'[3]13 Arrend NL'!$N$31</f>
        <v>726</v>
      </c>
      <c r="G219" s="118">
        <v>0</v>
      </c>
      <c r="H219" s="118">
        <f t="shared" si="2"/>
        <v>25537</v>
      </c>
      <c r="I219" s="606"/>
      <c r="J219" s="606"/>
      <c r="L219" s="129" t="str">
        <f>IF([1]RENAME!$H$3=1,B219,A219)</f>
        <v>Adições</v>
      </c>
      <c r="M219" s="118">
        <f>'[3]13 Arrend NL'!$AF$69-M211</f>
        <v>24646</v>
      </c>
      <c r="N219" s="118">
        <v>879</v>
      </c>
      <c r="O219" s="118">
        <v>44</v>
      </c>
      <c r="P219" s="118">
        <f t="shared" ref="P219:P222" si="4">+SUM(M219:O219)</f>
        <v>25569</v>
      </c>
    </row>
    <row r="220" spans="1:16" x14ac:dyDescent="0.2">
      <c r="A220" s="532" t="s">
        <v>1440</v>
      </c>
      <c r="B220" s="532" t="s">
        <v>2253</v>
      </c>
      <c r="D220" s="129" t="str">
        <f>IF([1]RENAME!$H$3=1,B220,A220)</f>
        <v>Baixas</v>
      </c>
      <c r="E220" s="118">
        <v>0</v>
      </c>
      <c r="F220" s="118">
        <f>'[3]26 Comprom arrendam operac'!$J$15</f>
        <v>0</v>
      </c>
      <c r="G220" s="118">
        <f>+'[3]13 Arrend NL'!$P$32</f>
        <v>0</v>
      </c>
      <c r="H220" s="118">
        <f t="shared" si="2"/>
        <v>0</v>
      </c>
      <c r="I220" s="606"/>
      <c r="J220" s="606"/>
      <c r="L220" s="129" t="str">
        <f>IF([1]RENAME!$H$3=1,B220,A220)</f>
        <v>Baixas</v>
      </c>
      <c r="M220" s="118">
        <f>'[3]26 Comprom arrendam operac'!I99</f>
        <v>0</v>
      </c>
      <c r="N220" s="118">
        <f>'[3]26 Comprom arrendam operac'!J99</f>
        <v>0</v>
      </c>
      <c r="O220" s="118">
        <v>-1264</v>
      </c>
      <c r="P220" s="118">
        <f t="shared" si="4"/>
        <v>-1264</v>
      </c>
    </row>
    <row r="221" spans="1:16" x14ac:dyDescent="0.2">
      <c r="A221" s="532" t="s">
        <v>2202</v>
      </c>
      <c r="B221" s="532" t="s">
        <v>1125</v>
      </c>
      <c r="D221" s="129" t="str">
        <f>IF([1]RENAME!$H$3=1,B221,A221)</f>
        <v>Transferência</v>
      </c>
      <c r="E221" s="118">
        <f>+'[3]13 Arrend NL'!$L$33</f>
        <v>0</v>
      </c>
      <c r="F221" s="118">
        <f>'[3]26 Comprom arrendam operac'!$J$15</f>
        <v>0</v>
      </c>
      <c r="G221" s="118">
        <f>+'[3]13 Arrend NL'!$P$32</f>
        <v>0</v>
      </c>
      <c r="H221" s="118">
        <f t="shared" si="2"/>
        <v>0</v>
      </c>
      <c r="I221" s="606"/>
      <c r="J221" s="606"/>
      <c r="L221" s="129" t="str">
        <f>IF([1]RENAME!$H$3=1,B221,A221)</f>
        <v>Transferência</v>
      </c>
      <c r="M221" s="118">
        <f>'[3]26 Comprom arrendam operac'!I100</f>
        <v>0</v>
      </c>
      <c r="N221" s="118">
        <f>'[3]26 Comprom arrendam operac'!J100</f>
        <v>0</v>
      </c>
      <c r="O221" s="118">
        <v>0</v>
      </c>
      <c r="P221" s="118">
        <f t="shared" si="4"/>
        <v>0</v>
      </c>
    </row>
    <row r="222" spans="1:16" x14ac:dyDescent="0.2">
      <c r="A222" s="532" t="s">
        <v>247</v>
      </c>
      <c r="B222" s="532" t="s">
        <v>1124</v>
      </c>
      <c r="D222" s="129" t="str">
        <f>IF([1]RENAME!$H$3=1,B222,A222)</f>
        <v>Amortização</v>
      </c>
      <c r="E222" s="118">
        <f>+'[3]13 Arrend NL'!$L$34-E214</f>
        <v>-7766</v>
      </c>
      <c r="F222" s="118">
        <f>+'[3]13 Arrend NL'!$N$34</f>
        <v>-45</v>
      </c>
      <c r="G222" s="118">
        <f>'[3]13 Arrend NL'!$P$34</f>
        <v>0</v>
      </c>
      <c r="H222" s="118">
        <f t="shared" si="2"/>
        <v>-7811</v>
      </c>
      <c r="I222" s="606"/>
      <c r="J222" s="606"/>
      <c r="L222" s="129" t="str">
        <f>IF([1]RENAME!$H$3=1,B222,A222)</f>
        <v>Amortização</v>
      </c>
      <c r="M222" s="118">
        <f>'[3]13 Arrend NL'!$AF$71-M214</f>
        <v>-8296</v>
      </c>
      <c r="N222" s="118">
        <f>'[3]13 Arrend NL'!$AH$71-N214</f>
        <v>-964</v>
      </c>
      <c r="O222" s="118">
        <f>'[3]13 Arrend NL'!$AJ$71</f>
        <v>-648</v>
      </c>
      <c r="P222" s="118">
        <f t="shared" si="4"/>
        <v>-9908</v>
      </c>
    </row>
    <row r="223" spans="1:16" x14ac:dyDescent="0.2">
      <c r="A223" s="532" t="s">
        <v>2391</v>
      </c>
      <c r="B223" s="532" t="s">
        <v>2392</v>
      </c>
      <c r="D223" s="126" t="str">
        <f>IF([1]RENAME!$H$3=1,B223,A223)</f>
        <v>Em 30 de junho de 2026</v>
      </c>
      <c r="E223" s="120">
        <f>SUM(E215:E222)</f>
        <v>66349</v>
      </c>
      <c r="F223" s="120">
        <f>+SUM(F215:F222)</f>
        <v>681</v>
      </c>
      <c r="G223" s="120">
        <f>SUM(G191:G222)</f>
        <v>0</v>
      </c>
      <c r="H223" s="120">
        <f>SUM(H215:H222)</f>
        <v>67030</v>
      </c>
      <c r="I223" s="606"/>
      <c r="J223" s="606"/>
      <c r="L223" s="126" t="str">
        <f>IF([1]RENAME!$H$3=1,B223,A223)</f>
        <v>Em 30 de junho de 2026</v>
      </c>
      <c r="M223" s="120">
        <f>SUM(M215:M222)</f>
        <v>70452</v>
      </c>
      <c r="N223" s="120">
        <f>SUM(N215:N222)</f>
        <v>3171</v>
      </c>
      <c r="O223" s="120">
        <f>SUM(O218:O222)</f>
        <v>2033</v>
      </c>
      <c r="P223" s="120">
        <f>+SUM(M223:O223)</f>
        <v>75656</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ilha8">
    <pageSetUpPr autoPageBreaks="0"/>
  </sheetPr>
  <dimension ref="A1:AI1712"/>
  <sheetViews>
    <sheetView showGridLines="0" workbookViewId="0">
      <pane xSplit="4" ySplit="5" topLeftCell="P6" activePane="bottomRight" state="frozen"/>
      <selection activeCell="AY7" sqref="AY7"/>
      <selection pane="topRight" activeCell="AY7" sqref="AY7"/>
      <selection pane="bottomLeft" activeCell="AY7" sqref="AY7"/>
      <selection pane="bottomRight" activeCell="AI12" sqref="AI12"/>
    </sheetView>
  </sheetViews>
  <sheetFormatPr defaultColWidth="9.140625" defaultRowHeight="14.25" x14ac:dyDescent="0.2"/>
  <cols>
    <col min="1" max="2" width="9.140625" style="51" hidden="1" customWidth="1"/>
    <col min="3" max="3" width="1.140625" style="51" customWidth="1"/>
    <col min="4" max="4" width="37.85546875" style="51" customWidth="1"/>
    <col min="5" max="13" width="10.85546875" style="51" customWidth="1"/>
    <col min="14" max="34" width="10.85546875" style="1206" customWidth="1"/>
    <col min="35" max="16384" width="9.140625" style="51"/>
  </cols>
  <sheetData>
    <row r="1" spans="1:35" s="552" customFormat="1" ht="7.5" customHeight="1" x14ac:dyDescent="0.2">
      <c r="A1" s="552" t="s">
        <v>89</v>
      </c>
      <c r="D1" s="552" t="s">
        <v>625</v>
      </c>
      <c r="E1" s="812" t="str">
        <f t="shared" ref="E1:N1" si="0">IF(LEFT(D1,1)="4","1T"&amp;RIGHT(D1,2)+1,LEFT(D1,1)+1&amp;RIGHT(D1,3))</f>
        <v>4T18</v>
      </c>
      <c r="F1" s="812" t="str">
        <f t="shared" si="0"/>
        <v>1T19</v>
      </c>
      <c r="G1" s="812" t="str">
        <f t="shared" si="0"/>
        <v>2T19</v>
      </c>
      <c r="H1" s="812" t="str">
        <f t="shared" si="0"/>
        <v>3T19</v>
      </c>
      <c r="I1" s="812" t="str">
        <f t="shared" si="0"/>
        <v>4T19</v>
      </c>
      <c r="J1" s="812" t="str">
        <f t="shared" si="0"/>
        <v>1T20</v>
      </c>
      <c r="K1" s="812" t="str">
        <f t="shared" si="0"/>
        <v>2T20</v>
      </c>
      <c r="L1" s="812" t="str">
        <f t="shared" si="0"/>
        <v>3T20</v>
      </c>
      <c r="M1" s="812" t="str">
        <f t="shared" si="0"/>
        <v>4T20</v>
      </c>
      <c r="N1" s="812" t="str">
        <f t="shared" si="0"/>
        <v>1T21</v>
      </c>
      <c r="O1" s="812" t="str">
        <f t="shared" ref="O1:Z1" si="1">IF(LEFT(N1,1)="4","1T"&amp;RIGHT(N1,2)+1,LEFT(N1,1)+1&amp;RIGHT(N1,3))</f>
        <v>2T21</v>
      </c>
      <c r="P1" s="812" t="str">
        <f t="shared" si="1"/>
        <v>3T21</v>
      </c>
      <c r="Q1" s="812" t="str">
        <f t="shared" si="1"/>
        <v>4T21</v>
      </c>
      <c r="R1" s="812" t="str">
        <f t="shared" si="1"/>
        <v>1T22</v>
      </c>
      <c r="S1" s="812" t="str">
        <f t="shared" si="1"/>
        <v>2T22</v>
      </c>
      <c r="T1" s="812" t="str">
        <f t="shared" si="1"/>
        <v>3T22</v>
      </c>
      <c r="U1" s="812" t="str">
        <f t="shared" si="1"/>
        <v>4T22</v>
      </c>
      <c r="V1" s="812" t="str">
        <f t="shared" si="1"/>
        <v>1T23</v>
      </c>
      <c r="W1" s="812" t="str">
        <f t="shared" si="1"/>
        <v>2T23</v>
      </c>
      <c r="X1" s="812" t="str">
        <f t="shared" si="1"/>
        <v>3T23</v>
      </c>
      <c r="Y1" s="812" t="str">
        <f t="shared" si="1"/>
        <v>4T23</v>
      </c>
      <c r="Z1" s="812" t="str">
        <f t="shared" si="1"/>
        <v>1T24</v>
      </c>
      <c r="AA1" s="812" t="str">
        <f t="shared" ref="AA1:AI1" si="2">IF(LEFT(Z1,1)="4","1T"&amp;RIGHT(Z1,2)+1,LEFT(Z1,1)+1&amp;RIGHT(Z1,3))</f>
        <v>2T24</v>
      </c>
      <c r="AB1" s="812" t="str">
        <f t="shared" si="2"/>
        <v>3T24</v>
      </c>
      <c r="AC1" s="812" t="str">
        <f t="shared" si="2"/>
        <v>4T24</v>
      </c>
      <c r="AD1" s="812" t="str">
        <f t="shared" si="2"/>
        <v>1T25</v>
      </c>
      <c r="AE1" s="812" t="str">
        <f t="shared" si="2"/>
        <v>2T25</v>
      </c>
      <c r="AF1" s="812" t="str">
        <f t="shared" si="2"/>
        <v>3T25</v>
      </c>
      <c r="AG1" s="812" t="str">
        <f t="shared" si="2"/>
        <v>4T25</v>
      </c>
      <c r="AH1" s="812" t="str">
        <f t="shared" si="2"/>
        <v>1T26</v>
      </c>
      <c r="AI1" s="812" t="str">
        <f t="shared" si="2"/>
        <v>2T26</v>
      </c>
    </row>
    <row r="2" spans="1:35" s="552" customFormat="1" ht="12.75" customHeight="1" x14ac:dyDescent="0.2">
      <c r="E2" s="812" t="str">
        <f t="shared" ref="E2:J2" si="3">SUBSTITUTE(E1,"T","Q")</f>
        <v>4Q18</v>
      </c>
      <c r="F2" s="812" t="str">
        <f t="shared" si="3"/>
        <v>1Q19</v>
      </c>
      <c r="G2" s="812" t="str">
        <f t="shared" si="3"/>
        <v>2Q19</v>
      </c>
      <c r="H2" s="812" t="str">
        <f t="shared" si="3"/>
        <v>3Q19</v>
      </c>
      <c r="I2" s="812" t="str">
        <f t="shared" si="3"/>
        <v>4Q19</v>
      </c>
      <c r="J2" s="812" t="str">
        <f t="shared" si="3"/>
        <v>1Q20</v>
      </c>
      <c r="K2" s="812" t="str">
        <f t="shared" ref="K2:S2" si="4">SUBSTITUTE(K1,"T","Q")</f>
        <v>2Q20</v>
      </c>
      <c r="L2" s="812" t="str">
        <f t="shared" si="4"/>
        <v>3Q20</v>
      </c>
      <c r="M2" s="812" t="str">
        <f t="shared" si="4"/>
        <v>4Q20</v>
      </c>
      <c r="N2" s="812" t="str">
        <f t="shared" si="4"/>
        <v>1Q21</v>
      </c>
      <c r="O2" s="812" t="str">
        <f t="shared" si="4"/>
        <v>2Q21</v>
      </c>
      <c r="P2" s="812" t="str">
        <f t="shared" si="4"/>
        <v>3Q21</v>
      </c>
      <c r="Q2" s="812" t="str">
        <f t="shared" si="4"/>
        <v>4Q21</v>
      </c>
      <c r="R2" s="812" t="str">
        <f t="shared" si="4"/>
        <v>1Q22</v>
      </c>
      <c r="S2" s="812" t="str">
        <f t="shared" si="4"/>
        <v>2Q22</v>
      </c>
      <c r="T2" s="812" t="str">
        <f t="shared" ref="T2:Z2" si="5">SUBSTITUTE(T1,"T","Q")</f>
        <v>3Q22</v>
      </c>
      <c r="U2" s="812" t="str">
        <f t="shared" si="5"/>
        <v>4Q22</v>
      </c>
      <c r="V2" s="812" t="str">
        <f t="shared" si="5"/>
        <v>1Q23</v>
      </c>
      <c r="W2" s="812" t="str">
        <f t="shared" si="5"/>
        <v>2Q23</v>
      </c>
      <c r="X2" s="812" t="str">
        <f t="shared" si="5"/>
        <v>3Q23</v>
      </c>
      <c r="Y2" s="812" t="str">
        <f t="shared" si="5"/>
        <v>4Q23</v>
      </c>
      <c r="Z2" s="812" t="str">
        <f t="shared" si="5"/>
        <v>1Q24</v>
      </c>
      <c r="AA2" s="812" t="str">
        <f t="shared" ref="AA2:AI2" si="6">SUBSTITUTE(AA1,"T","Q")</f>
        <v>2Q24</v>
      </c>
      <c r="AB2" s="812" t="str">
        <f t="shared" si="6"/>
        <v>3Q24</v>
      </c>
      <c r="AC2" s="812" t="str">
        <f t="shared" si="6"/>
        <v>4Q24</v>
      </c>
      <c r="AD2" s="812" t="str">
        <f t="shared" si="6"/>
        <v>1Q25</v>
      </c>
      <c r="AE2" s="812" t="str">
        <f t="shared" si="6"/>
        <v>2Q25</v>
      </c>
      <c r="AF2" s="812" t="str">
        <f t="shared" si="6"/>
        <v>3Q25</v>
      </c>
      <c r="AG2" s="812" t="str">
        <f t="shared" si="6"/>
        <v>4Q25</v>
      </c>
      <c r="AH2" s="812" t="str">
        <f>SUBSTITUTE(AH1,"T","Q")</f>
        <v>1Q26</v>
      </c>
      <c r="AI2" s="812" t="str">
        <f t="shared" si="6"/>
        <v>2Q26</v>
      </c>
    </row>
    <row r="3" spans="1:35" s="25" customFormat="1" ht="12.75" customHeight="1" x14ac:dyDescent="0.2">
      <c r="N3" s="812"/>
      <c r="O3" s="812"/>
      <c r="P3" s="812"/>
      <c r="Q3" s="812"/>
      <c r="R3" s="812"/>
      <c r="S3" s="812"/>
      <c r="T3" s="812"/>
      <c r="U3" s="812"/>
      <c r="V3" s="812"/>
      <c r="W3" s="812"/>
      <c r="X3" s="1185"/>
      <c r="Y3" s="1185"/>
      <c r="Z3" s="1185"/>
      <c r="AA3" s="1185"/>
      <c r="AB3" s="1185"/>
      <c r="AC3" s="1185"/>
      <c r="AD3" s="1185"/>
      <c r="AE3" s="1185"/>
      <c r="AF3" s="1185"/>
      <c r="AG3" s="1185"/>
      <c r="AH3" s="1185"/>
      <c r="AI3" s="1185"/>
    </row>
    <row r="4" spans="1:35" s="25" customFormat="1" ht="12.75" customHeight="1" x14ac:dyDescent="0.2">
      <c r="D4" s="811"/>
      <c r="N4" s="352"/>
      <c r="O4" s="352"/>
      <c r="P4" s="352"/>
      <c r="Q4" s="352"/>
      <c r="R4" s="352"/>
      <c r="S4" s="352"/>
      <c r="T4" s="352"/>
      <c r="U4" s="352"/>
      <c r="V4" s="352"/>
      <c r="W4" s="352"/>
      <c r="X4" s="352"/>
      <c r="Y4" s="352"/>
      <c r="Z4" s="352"/>
      <c r="AA4" s="352"/>
      <c r="AB4" s="352"/>
      <c r="AC4" s="352"/>
      <c r="AD4" s="352"/>
      <c r="AE4" s="352"/>
      <c r="AF4" s="352"/>
      <c r="AG4" s="352"/>
      <c r="AH4" s="352"/>
      <c r="AI4" s="352"/>
    </row>
    <row r="5" spans="1:35" s="25" customFormat="1" x14ac:dyDescent="0.2">
      <c r="A5" s="532" t="s">
        <v>96</v>
      </c>
      <c r="B5" s="532" t="s">
        <v>866</v>
      </c>
      <c r="D5" s="115" t="str">
        <f>IF([1]RENAME!$H$3=1,B5,A5)</f>
        <v>Consolidado</v>
      </c>
      <c r="E5" s="115" t="str">
        <f>IF([1]RENAME!$H$3=1,E2,E1)</f>
        <v>4T18</v>
      </c>
      <c r="F5" s="115" t="str">
        <f>IF([1]RENAME!$H$3=1,F2,F1)</f>
        <v>1T19</v>
      </c>
      <c r="G5" s="115" t="str">
        <f>IF([1]RENAME!$H$3=1,G2,G1)</f>
        <v>2T19</v>
      </c>
      <c r="H5" s="115" t="str">
        <f>IF([1]RENAME!$H$3=1,H2,H1)</f>
        <v>3T19</v>
      </c>
      <c r="I5" s="115" t="str">
        <f>IF([1]RENAME!$H$3=1,I2,I1)</f>
        <v>4T19</v>
      </c>
      <c r="J5" s="115" t="str">
        <f>IF([1]RENAME!$H$3=1,J2,J1)</f>
        <v>1T20</v>
      </c>
      <c r="K5" s="115" t="str">
        <f>IF([1]RENAME!$H$3=1,K2,K1)</f>
        <v>2T20</v>
      </c>
      <c r="L5" s="115" t="str">
        <f>IF([1]RENAME!$H$3=1,L2,L1)</f>
        <v>3T20</v>
      </c>
      <c r="M5" s="115" t="str">
        <f>IF([1]RENAME!$H$3=1,M2,M1)</f>
        <v>4T20</v>
      </c>
      <c r="N5" s="115" t="str">
        <f>IF([1]RENAME!$H$3=1,N2,N1)</f>
        <v>1T21</v>
      </c>
      <c r="O5" s="115" t="str">
        <f>IF([1]RENAME!$H$3=1,O2,O1)</f>
        <v>2T21</v>
      </c>
      <c r="P5" s="115" t="str">
        <f>IF([1]RENAME!$H$3=1,P2,P1)</f>
        <v>3T21</v>
      </c>
      <c r="Q5" s="115" t="str">
        <f>IF([1]RENAME!$H$3=1,Q2,Q1)</f>
        <v>4T21</v>
      </c>
      <c r="R5" s="115" t="str">
        <f>IF([1]RENAME!$H$3=1,R2,R1)</f>
        <v>1T22</v>
      </c>
      <c r="S5" s="115" t="str">
        <f>IF([1]RENAME!$H$3=1,S2,S1)</f>
        <v>2T22</v>
      </c>
      <c r="T5" s="115" t="str">
        <f>IF([1]RENAME!$H$3=1,T2,T1)</f>
        <v>3T22</v>
      </c>
      <c r="U5" s="115" t="str">
        <f>IF([1]RENAME!$H$3=1,U2,U1)</f>
        <v>4T22</v>
      </c>
      <c r="V5" s="115" t="str">
        <f>IF([1]RENAME!$H$3=1,V2,V1)</f>
        <v>1T23</v>
      </c>
      <c r="W5" s="115" t="str">
        <f>IF([1]RENAME!$H$3=1,W2,W1)</f>
        <v>2T23</v>
      </c>
      <c r="X5" s="115" t="str">
        <f>IF([1]RENAME!$H$3=1,X2,X1)</f>
        <v>3T23</v>
      </c>
      <c r="Y5" s="115" t="str">
        <f>IF([1]RENAME!$H$3=1,Y2,Y1)</f>
        <v>4T23</v>
      </c>
      <c r="Z5" s="115" t="str">
        <f>IF([1]RENAME!$H$3=1,Z2,Z1)</f>
        <v>1T24</v>
      </c>
      <c r="AA5" s="115" t="str">
        <f>IF([1]RENAME!$H$3=1,AA2,AA1)</f>
        <v>2T24</v>
      </c>
      <c r="AB5" s="115" t="str">
        <f>IF([1]RENAME!$H$3=1,AB2,AB1)</f>
        <v>3T24</v>
      </c>
      <c r="AC5" s="115" t="str">
        <f>IF([1]RENAME!$H$3=1,AC2,AC1)</f>
        <v>4T24</v>
      </c>
      <c r="AD5" s="115" t="str">
        <f>IF([1]RENAME!$H$3=1,AD2,AD1)</f>
        <v>1T25</v>
      </c>
      <c r="AE5" s="115" t="str">
        <f>IF([1]RENAME!$H$3=1,AE2,AE1)</f>
        <v>2T25</v>
      </c>
      <c r="AF5" s="115" t="str">
        <f>IF([1]RENAME!$H$3=1,AF2,AF1)</f>
        <v>3T25</v>
      </c>
      <c r="AG5" s="115" t="str">
        <f>IF([1]RENAME!$H$3=1,AG2,AG1)</f>
        <v>4T25</v>
      </c>
      <c r="AH5" s="247" t="str">
        <f>IF([1]RENAME!$H$3=1,AH2,AH1)</f>
        <v>1T26</v>
      </c>
      <c r="AI5" s="115" t="str">
        <f>IF([1]RENAME!$H$3=1,AI2,AI1)</f>
        <v>2T26</v>
      </c>
    </row>
    <row r="6" spans="1:35" s="25" customFormat="1" x14ac:dyDescent="0.2">
      <c r="A6" s="532" t="s">
        <v>1533</v>
      </c>
      <c r="B6" s="532" t="s">
        <v>1534</v>
      </c>
      <c r="D6" s="129" t="str">
        <f>IF([1]RENAME!$H$3=1,B6,A6)</f>
        <v>Adoção Inicial</v>
      </c>
      <c r="E6" s="118">
        <v>0</v>
      </c>
      <c r="F6" s="118">
        <v>68087.002500000002</v>
      </c>
      <c r="G6" s="118">
        <v>-2.5000000023283064E-3</v>
      </c>
      <c r="H6" s="118">
        <v>16721.932959999947</v>
      </c>
      <c r="I6" s="118">
        <v>6.7040000052656978E-2</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0</v>
      </c>
      <c r="AA6" s="118">
        <v>0</v>
      </c>
      <c r="AB6" s="118">
        <v>0</v>
      </c>
      <c r="AC6" s="118">
        <v>0</v>
      </c>
      <c r="AD6" s="118">
        <v>0</v>
      </c>
      <c r="AE6" s="118">
        <v>0</v>
      </c>
      <c r="AF6" s="118">
        <v>0</v>
      </c>
      <c r="AG6" s="118">
        <v>0</v>
      </c>
      <c r="AH6" s="118">
        <v>0</v>
      </c>
      <c r="AI6" s="118">
        <v>0</v>
      </c>
    </row>
    <row r="7" spans="1:35" s="25" customFormat="1" x14ac:dyDescent="0.2">
      <c r="A7" s="532" t="s">
        <v>189</v>
      </c>
      <c r="B7" s="532" t="s">
        <v>1123</v>
      </c>
      <c r="D7" s="129" t="str">
        <f>IF([1]RENAME!$H$3=1,B7,A7)</f>
        <v>Adições</v>
      </c>
      <c r="E7" s="118">
        <v>0</v>
      </c>
      <c r="F7" s="118">
        <v>6637.4549999999999</v>
      </c>
      <c r="G7" s="118">
        <v>23255.544999999998</v>
      </c>
      <c r="H7" s="118">
        <v>-8897.9329599999455</v>
      </c>
      <c r="I7" s="118">
        <v>2728.9329599999455</v>
      </c>
      <c r="J7" s="118">
        <v>16075</v>
      </c>
      <c r="K7" s="118">
        <v>1059</v>
      </c>
      <c r="L7" s="118">
        <v>-1356</v>
      </c>
      <c r="M7" s="118">
        <v>314</v>
      </c>
      <c r="N7" s="118">
        <v>37627</v>
      </c>
      <c r="O7" s="118">
        <v>1736</v>
      </c>
      <c r="P7" s="118">
        <v>1212</v>
      </c>
      <c r="Q7" s="118">
        <v>1940</v>
      </c>
      <c r="R7" s="118">
        <v>5248</v>
      </c>
      <c r="S7" s="118">
        <v>4685</v>
      </c>
      <c r="T7" s="118">
        <v>9766</v>
      </c>
      <c r="U7" s="118">
        <v>508</v>
      </c>
      <c r="V7" s="118">
        <v>28733</v>
      </c>
      <c r="W7" s="118">
        <v>13077</v>
      </c>
      <c r="X7" s="118">
        <v>2312</v>
      </c>
      <c r="Y7" s="118">
        <v>6272</v>
      </c>
      <c r="Z7" s="118">
        <v>3167</v>
      </c>
      <c r="AA7" s="118">
        <v>9044</v>
      </c>
      <c r="AB7" s="118">
        <v>196</v>
      </c>
      <c r="AC7" s="118">
        <v>20180</v>
      </c>
      <c r="AD7" s="118">
        <v>24794</v>
      </c>
      <c r="AE7" s="118">
        <v>5115</v>
      </c>
      <c r="AF7" s="118">
        <v>2992</v>
      </c>
      <c r="AG7" s="118">
        <v>3554</v>
      </c>
      <c r="AH7" s="118">
        <v>903</v>
      </c>
      <c r="AI7" s="118">
        <f>('[3]13 Arrend NL'!$BF$153)-AH7</f>
        <v>25443</v>
      </c>
    </row>
    <row r="8" spans="1:35" s="25" customFormat="1" x14ac:dyDescent="0.2">
      <c r="A8" s="532" t="s">
        <v>1440</v>
      </c>
      <c r="B8" s="532" t="s">
        <v>1535</v>
      </c>
      <c r="D8" s="129" t="str">
        <f>IF([1]RENAME!$H$3=1,B8,A8)</f>
        <v>Baixas</v>
      </c>
      <c r="E8" s="118">
        <v>0</v>
      </c>
      <c r="F8" s="118">
        <v>0</v>
      </c>
      <c r="G8" s="118">
        <v>-279</v>
      </c>
      <c r="H8" s="118">
        <v>-102</v>
      </c>
      <c r="I8" s="118">
        <v>-1657</v>
      </c>
      <c r="J8" s="118">
        <v>-204</v>
      </c>
      <c r="K8" s="118">
        <v>-2246</v>
      </c>
      <c r="L8" s="118">
        <v>514</v>
      </c>
      <c r="M8" s="118">
        <v>-529</v>
      </c>
      <c r="N8" s="118">
        <v>-22</v>
      </c>
      <c r="O8" s="118">
        <v>-468</v>
      </c>
      <c r="P8" s="118">
        <v>0</v>
      </c>
      <c r="Q8" s="118">
        <v>0</v>
      </c>
      <c r="R8" s="118">
        <v>0</v>
      </c>
      <c r="S8" s="118">
        <v>0</v>
      </c>
      <c r="T8" s="118">
        <v>0</v>
      </c>
      <c r="U8" s="118">
        <v>0</v>
      </c>
      <c r="V8" s="118">
        <v>0</v>
      </c>
      <c r="W8" s="118">
        <v>0</v>
      </c>
      <c r="X8" s="118">
        <v>-292</v>
      </c>
      <c r="Y8" s="118">
        <v>0</v>
      </c>
      <c r="Z8" s="118">
        <v>0</v>
      </c>
      <c r="AA8" s="118">
        <v>0</v>
      </c>
      <c r="AB8" s="118">
        <v>0</v>
      </c>
      <c r="AC8" s="118">
        <v>-643</v>
      </c>
      <c r="AD8" s="118">
        <v>-5</v>
      </c>
      <c r="AE8" s="118">
        <v>0</v>
      </c>
      <c r="AF8" s="118">
        <v>0</v>
      </c>
      <c r="AG8" s="118">
        <v>0</v>
      </c>
      <c r="AH8" s="118">
        <v>-1264</v>
      </c>
      <c r="AI8" s="118">
        <f>('[3]13 Arrend NL'!$BF$154)-AH8</f>
        <v>0</v>
      </c>
    </row>
    <row r="9" spans="1:35" s="25" customFormat="1" x14ac:dyDescent="0.2">
      <c r="A9" s="532" t="s">
        <v>1441</v>
      </c>
      <c r="B9" s="532" t="s">
        <v>1456</v>
      </c>
      <c r="D9" s="129" t="str">
        <f>IF([1]RENAME!$H$3=1,B9,A9)</f>
        <v>Juros apropriados</v>
      </c>
      <c r="E9" s="118">
        <v>0</v>
      </c>
      <c r="F9" s="118">
        <v>1307</v>
      </c>
      <c r="G9" s="118">
        <v>1616</v>
      </c>
      <c r="H9" s="118">
        <v>1718</v>
      </c>
      <c r="I9" s="118">
        <v>1874</v>
      </c>
      <c r="J9" s="118">
        <v>1599</v>
      </c>
      <c r="K9" s="118">
        <v>1475</v>
      </c>
      <c r="L9" s="118">
        <v>1276</v>
      </c>
      <c r="M9" s="118">
        <v>1141</v>
      </c>
      <c r="N9" s="118">
        <v>1609</v>
      </c>
      <c r="O9" s="118">
        <v>1229</v>
      </c>
      <c r="P9" s="118">
        <v>1359</v>
      </c>
      <c r="Q9" s="118">
        <v>1143</v>
      </c>
      <c r="R9" s="118">
        <v>1380</v>
      </c>
      <c r="S9" s="118">
        <v>1320</v>
      </c>
      <c r="T9" s="118">
        <v>1394</v>
      </c>
      <c r="U9" s="118">
        <v>1643</v>
      </c>
      <c r="V9" s="118">
        <v>1764</v>
      </c>
      <c r="W9" s="118">
        <v>2469</v>
      </c>
      <c r="X9" s="118">
        <v>1865</v>
      </c>
      <c r="Y9" s="118">
        <v>3194</v>
      </c>
      <c r="Z9" s="118">
        <v>2421</v>
      </c>
      <c r="AA9" s="118">
        <v>2306</v>
      </c>
      <c r="AB9" s="118">
        <v>2130</v>
      </c>
      <c r="AC9" s="118">
        <v>1987</v>
      </c>
      <c r="AD9" s="118">
        <v>3265</v>
      </c>
      <c r="AE9" s="118">
        <v>3402</v>
      </c>
      <c r="AF9" s="118">
        <v>3229</v>
      </c>
      <c r="AG9" s="118">
        <v>3013</v>
      </c>
      <c r="AH9" s="118">
        <v>2660</v>
      </c>
      <c r="AI9" s="118">
        <f>('[3]13 Arrend NL'!$BF$155)-AH9</f>
        <v>3022</v>
      </c>
    </row>
    <row r="10" spans="1:35" s="25" customFormat="1" x14ac:dyDescent="0.2">
      <c r="A10" s="532" t="s">
        <v>1442</v>
      </c>
      <c r="B10" s="532" t="s">
        <v>1457</v>
      </c>
      <c r="D10" s="129" t="str">
        <f>IF([1]RENAME!$H$3=1,B10,A10)</f>
        <v>Pagamento do principal</v>
      </c>
      <c r="E10" s="118">
        <v>0</v>
      </c>
      <c r="F10" s="118">
        <v>-5514</v>
      </c>
      <c r="G10" s="118">
        <v>-6540</v>
      </c>
      <c r="H10" s="118">
        <v>-7697</v>
      </c>
      <c r="I10" s="118">
        <v>-10243</v>
      </c>
      <c r="J10" s="118">
        <v>-8318</v>
      </c>
      <c r="K10" s="118">
        <v>-6744</v>
      </c>
      <c r="L10" s="118">
        <v>-7498</v>
      </c>
      <c r="M10" s="118">
        <v>-7879</v>
      </c>
      <c r="N10" s="118">
        <v>-8938</v>
      </c>
      <c r="O10" s="118">
        <v>-7989</v>
      </c>
      <c r="P10" s="118">
        <v>-7821</v>
      </c>
      <c r="Q10" s="118">
        <v>-7801</v>
      </c>
      <c r="R10" s="118">
        <v>-7337</v>
      </c>
      <c r="S10" s="118">
        <v>-7711</v>
      </c>
      <c r="T10" s="118">
        <v>-11299</v>
      </c>
      <c r="U10" s="118">
        <v>-8738</v>
      </c>
      <c r="V10" s="118">
        <v>-8139</v>
      </c>
      <c r="W10" s="118">
        <v>-7850</v>
      </c>
      <c r="X10" s="118">
        <v>-8241</v>
      </c>
      <c r="Y10" s="118">
        <v>-8760</v>
      </c>
      <c r="Z10" s="118">
        <v>-7662</v>
      </c>
      <c r="AA10" s="118">
        <v>-7743</v>
      </c>
      <c r="AB10" s="118">
        <v>-8056</v>
      </c>
      <c r="AC10" s="118">
        <v>-8107</v>
      </c>
      <c r="AD10" s="118">
        <v>-7443</v>
      </c>
      <c r="AE10" s="118">
        <v>-7680</v>
      </c>
      <c r="AF10" s="118">
        <v>-7862</v>
      </c>
      <c r="AG10" s="118">
        <v>-8476</v>
      </c>
      <c r="AH10" s="118">
        <v>-8516</v>
      </c>
      <c r="AI10" s="118">
        <f>('[3]13 Arrend NL'!$BF$157)-AH10</f>
        <v>-9388</v>
      </c>
    </row>
    <row r="11" spans="1:35" s="25" customFormat="1" ht="13.5" customHeight="1" x14ac:dyDescent="0.2">
      <c r="A11" s="532" t="s">
        <v>1443</v>
      </c>
      <c r="B11" s="532" t="s">
        <v>1458</v>
      </c>
      <c r="D11" s="129" t="str">
        <f>IF([1]RENAME!$H$3=1,B11,A11)</f>
        <v>Pagamento de juros</v>
      </c>
      <c r="E11" s="118">
        <v>0</v>
      </c>
      <c r="F11" s="118">
        <v>-766</v>
      </c>
      <c r="G11" s="118">
        <v>-1609</v>
      </c>
      <c r="H11" s="118">
        <v>-1624</v>
      </c>
      <c r="I11" s="118">
        <v>-2095</v>
      </c>
      <c r="J11" s="118">
        <v>-1556</v>
      </c>
      <c r="K11" s="118">
        <v>-1192</v>
      </c>
      <c r="L11" s="118">
        <v>-1085</v>
      </c>
      <c r="M11" s="118">
        <v>-1227</v>
      </c>
      <c r="N11" s="118">
        <v>-1547</v>
      </c>
      <c r="O11" s="118">
        <v>-1607</v>
      </c>
      <c r="P11" s="118">
        <v>-1313</v>
      </c>
      <c r="Q11" s="118">
        <v>-1163</v>
      </c>
      <c r="R11" s="118">
        <v>-1700</v>
      </c>
      <c r="S11" s="118">
        <v>-1688</v>
      </c>
      <c r="T11" s="118">
        <v>-1994</v>
      </c>
      <c r="U11" s="118">
        <v>-1641</v>
      </c>
      <c r="V11" s="118">
        <v>-1768</v>
      </c>
      <c r="W11" s="118">
        <v>-2470</v>
      </c>
      <c r="X11" s="118">
        <v>-1865</v>
      </c>
      <c r="Y11" s="118">
        <v>-3194</v>
      </c>
      <c r="Z11" s="118">
        <v>-2421</v>
      </c>
      <c r="AA11" s="118">
        <v>-2305</v>
      </c>
      <c r="AB11" s="118">
        <v>-2131</v>
      </c>
      <c r="AC11" s="118">
        <v>-1956</v>
      </c>
      <c r="AD11" s="118">
        <v>-3265</v>
      </c>
      <c r="AE11" s="118">
        <v>-3402</v>
      </c>
      <c r="AF11" s="118">
        <v>-3228</v>
      </c>
      <c r="AG11" s="118">
        <v>-3013</v>
      </c>
      <c r="AH11" s="118">
        <v>-2659</v>
      </c>
      <c r="AI11" s="118">
        <f>('[3]13 Arrend NL'!$BF$158)-AH11</f>
        <v>-3024</v>
      </c>
    </row>
    <row r="12" spans="1:35" s="25" customFormat="1" x14ac:dyDescent="0.2">
      <c r="A12" s="532" t="s">
        <v>73</v>
      </c>
      <c r="B12" s="532" t="s">
        <v>73</v>
      </c>
      <c r="C12" s="27"/>
      <c r="D12" s="126" t="str">
        <f>IF([1]RENAME!$H$3=1,B12,A12)</f>
        <v>TOTAL</v>
      </c>
      <c r="E12" s="120">
        <f>SUM(E7:E11)</f>
        <v>0</v>
      </c>
      <c r="F12" s="120">
        <f>SUM(F6:F11)</f>
        <v>69751.457500000004</v>
      </c>
      <c r="G12" s="120">
        <f>F12+SUM(G7:G11)</f>
        <v>86195.002500000002</v>
      </c>
      <c r="H12" s="120">
        <f>G12+SUM(H6:H11)</f>
        <v>86314.002500000002</v>
      </c>
      <c r="I12" s="120">
        <f t="shared" ref="I12:R12" si="7">H12+SUM(I7:I11)</f>
        <v>76921.93545999995</v>
      </c>
      <c r="J12" s="120">
        <f t="shared" si="7"/>
        <v>84517.93545999995</v>
      </c>
      <c r="K12" s="120">
        <f t="shared" si="7"/>
        <v>76869.93545999995</v>
      </c>
      <c r="L12" s="120">
        <f t="shared" si="7"/>
        <v>68720.93545999995</v>
      </c>
      <c r="M12" s="120">
        <f t="shared" si="7"/>
        <v>60540.93545999995</v>
      </c>
      <c r="N12" s="120">
        <f t="shared" si="7"/>
        <v>89269.93545999995</v>
      </c>
      <c r="O12" s="120">
        <f t="shared" si="7"/>
        <v>82170.93545999995</v>
      </c>
      <c r="P12" s="120">
        <f t="shared" si="7"/>
        <v>75607.93545999995</v>
      </c>
      <c r="Q12" s="120">
        <f t="shared" si="7"/>
        <v>69726.93545999995</v>
      </c>
      <c r="R12" s="120">
        <f t="shared" si="7"/>
        <v>67317.93545999995</v>
      </c>
      <c r="S12" s="120">
        <f t="shared" ref="S12:AA12" si="8">R12+SUM(S7:S11)</f>
        <v>63923.93545999995</v>
      </c>
      <c r="T12" s="120">
        <f t="shared" si="8"/>
        <v>61790.93545999995</v>
      </c>
      <c r="U12" s="120">
        <f t="shared" si="8"/>
        <v>53562.93545999995</v>
      </c>
      <c r="V12" s="120">
        <f t="shared" si="8"/>
        <v>74152.93545999995</v>
      </c>
      <c r="W12" s="120">
        <f t="shared" si="8"/>
        <v>79378.93545999995</v>
      </c>
      <c r="X12" s="120">
        <f t="shared" si="8"/>
        <v>73157.93545999995</v>
      </c>
      <c r="Y12" s="120">
        <f t="shared" si="8"/>
        <v>70669.93545999995</v>
      </c>
      <c r="Z12" s="120">
        <f t="shared" si="8"/>
        <v>66174.93545999995</v>
      </c>
      <c r="AA12" s="120">
        <f t="shared" si="8"/>
        <v>67476.93545999995</v>
      </c>
      <c r="AB12" s="120">
        <f t="shared" ref="AB12:AG12" si="9">AA12+SUM(AB7:AB11)</f>
        <v>59615.93545999995</v>
      </c>
      <c r="AC12" s="120">
        <f t="shared" si="9"/>
        <v>71076.93545999995</v>
      </c>
      <c r="AD12" s="120">
        <f t="shared" si="9"/>
        <v>88422.93545999995</v>
      </c>
      <c r="AE12" s="120">
        <f t="shared" si="9"/>
        <v>85857.93545999995</v>
      </c>
      <c r="AF12" s="120">
        <f t="shared" si="9"/>
        <v>80988.93545999995</v>
      </c>
      <c r="AG12" s="120">
        <f t="shared" si="9"/>
        <v>76066.93545999995</v>
      </c>
      <c r="AH12" s="120">
        <f>AG12+SUM(AH7:AH11)</f>
        <v>67190.93545999995</v>
      </c>
      <c r="AI12" s="120">
        <f>AH12+SUM(AI7:AI11)</f>
        <v>83243.93545999995</v>
      </c>
    </row>
    <row r="13" spans="1:35" s="25" customFormat="1" x14ac:dyDescent="0.2">
      <c r="A13" s="532" t="s">
        <v>39</v>
      </c>
      <c r="B13" s="532" t="s">
        <v>935</v>
      </c>
      <c r="C13" s="27"/>
      <c r="D13" s="129" t="str">
        <f>IF([1]RENAME!$H$3=1,B13,A13)</f>
        <v>Passivo circulante</v>
      </c>
      <c r="E13" s="118">
        <v>0</v>
      </c>
      <c r="F13" s="118">
        <v>27189.977855734931</v>
      </c>
      <c r="G13" s="118">
        <v>29052</v>
      </c>
      <c r="H13" s="118">
        <v>30545</v>
      </c>
      <c r="I13" s="118">
        <v>28867</v>
      </c>
      <c r="J13" s="118">
        <v>33535</v>
      </c>
      <c r="K13" s="118">
        <v>31676</v>
      </c>
      <c r="L13" s="118">
        <v>29614</v>
      </c>
      <c r="M13" s="118">
        <v>26980</v>
      </c>
      <c r="N13" s="118">
        <v>32082</v>
      </c>
      <c r="O13" s="118">
        <v>31287</v>
      </c>
      <c r="P13" s="118">
        <v>28458</v>
      </c>
      <c r="Q13" s="118">
        <v>30845</v>
      </c>
      <c r="R13" s="118">
        <v>29942</v>
      </c>
      <c r="S13" s="118">
        <v>32743</v>
      </c>
      <c r="T13" s="118">
        <v>33765</v>
      </c>
      <c r="U13" s="118">
        <v>33050</v>
      </c>
      <c r="V13" s="118">
        <v>29874</v>
      </c>
      <c r="W13" s="118">
        <v>27382</v>
      </c>
      <c r="X13" s="118">
        <v>26895</v>
      </c>
      <c r="Y13" s="118">
        <v>29340</v>
      </c>
      <c r="Z13" s="118">
        <v>26366</v>
      </c>
      <c r="AA13" s="118">
        <v>26338</v>
      </c>
      <c r="AB13" s="118">
        <v>23134</v>
      </c>
      <c r="AC13" s="118">
        <v>28680</v>
      </c>
      <c r="AD13" s="118">
        <v>37103</v>
      </c>
      <c r="AE13" s="118">
        <v>39288</v>
      </c>
      <c r="AF13" s="118">
        <v>39779</v>
      </c>
      <c r="AG13" s="118">
        <v>40031</v>
      </c>
      <c r="AH13" s="118">
        <v>35940</v>
      </c>
      <c r="AI13" s="118">
        <f>'[3]13 Arrend NL'!$BF$162</f>
        <v>41663</v>
      </c>
    </row>
    <row r="14" spans="1:35" s="25" customFormat="1" x14ac:dyDescent="0.2">
      <c r="A14" s="532" t="s">
        <v>42</v>
      </c>
      <c r="B14" s="532" t="s">
        <v>936</v>
      </c>
      <c r="C14" s="27"/>
      <c r="D14" s="129" t="str">
        <f>IF([1]RENAME!$H$3=1,B14,A14)</f>
        <v>Passivo não circulante</v>
      </c>
      <c r="E14" s="118">
        <v>0</v>
      </c>
      <c r="F14" s="118">
        <v>42561.47964426507</v>
      </c>
      <c r="G14" s="118">
        <v>57143</v>
      </c>
      <c r="H14" s="118">
        <v>55769</v>
      </c>
      <c r="I14" s="118">
        <v>48055</v>
      </c>
      <c r="J14" s="118">
        <v>50983</v>
      </c>
      <c r="K14" s="118">
        <v>45194</v>
      </c>
      <c r="L14" s="118">
        <v>39107</v>
      </c>
      <c r="M14" s="118">
        <v>33561</v>
      </c>
      <c r="N14" s="118">
        <v>57188</v>
      </c>
      <c r="O14" s="118">
        <v>50884</v>
      </c>
      <c r="P14" s="118">
        <v>47150</v>
      </c>
      <c r="Q14" s="118">
        <v>38882</v>
      </c>
      <c r="R14" s="118">
        <v>37376</v>
      </c>
      <c r="S14" s="118">
        <v>31181</v>
      </c>
      <c r="T14" s="118">
        <v>28026</v>
      </c>
      <c r="U14" s="118">
        <v>20513</v>
      </c>
      <c r="V14" s="118">
        <v>44279</v>
      </c>
      <c r="W14" s="118">
        <v>51997</v>
      </c>
      <c r="X14" s="118">
        <v>46263</v>
      </c>
      <c r="Y14" s="118">
        <v>41330</v>
      </c>
      <c r="Z14" s="118">
        <v>39809</v>
      </c>
      <c r="AA14" s="118">
        <v>41139</v>
      </c>
      <c r="AB14" s="118">
        <v>36482</v>
      </c>
      <c r="AC14" s="118">
        <v>42397</v>
      </c>
      <c r="AD14" s="118">
        <v>51320</v>
      </c>
      <c r="AE14" s="118">
        <v>46570</v>
      </c>
      <c r="AF14" s="118">
        <v>41210</v>
      </c>
      <c r="AG14" s="118">
        <v>36036</v>
      </c>
      <c r="AH14" s="118">
        <v>31251</v>
      </c>
      <c r="AI14" s="118">
        <f>'[3]13 Arrend NL'!$BF$163</f>
        <v>41581</v>
      </c>
    </row>
    <row r="15" spans="1:35" s="25" customFormat="1" x14ac:dyDescent="0.2">
      <c r="A15" s="532" t="s">
        <v>73</v>
      </c>
      <c r="B15" s="532" t="s">
        <v>73</v>
      </c>
      <c r="C15" s="27"/>
      <c r="D15" s="126" t="str">
        <f>IF([1]RENAME!$H$3=1,B15,A15)</f>
        <v>TOTAL</v>
      </c>
      <c r="E15" s="120">
        <f t="shared" ref="E15:J15" si="10">SUM(E13:E14)</f>
        <v>0</v>
      </c>
      <c r="F15" s="120">
        <f t="shared" si="10"/>
        <v>69751.457500000004</v>
      </c>
      <c r="G15" s="120">
        <f t="shared" si="10"/>
        <v>86195</v>
      </c>
      <c r="H15" s="120">
        <f t="shared" si="10"/>
        <v>86314</v>
      </c>
      <c r="I15" s="120">
        <f t="shared" si="10"/>
        <v>76922</v>
      </c>
      <c r="J15" s="120">
        <f t="shared" si="10"/>
        <v>84518</v>
      </c>
      <c r="K15" s="120">
        <f t="shared" ref="K15:R15" si="11">SUM(K13:K14)</f>
        <v>76870</v>
      </c>
      <c r="L15" s="120">
        <f t="shared" si="11"/>
        <v>68721</v>
      </c>
      <c r="M15" s="120">
        <f t="shared" si="11"/>
        <v>60541</v>
      </c>
      <c r="N15" s="120">
        <f t="shared" si="11"/>
        <v>89270</v>
      </c>
      <c r="O15" s="120">
        <f t="shared" si="11"/>
        <v>82171</v>
      </c>
      <c r="P15" s="120">
        <f t="shared" si="11"/>
        <v>75608</v>
      </c>
      <c r="Q15" s="120">
        <f t="shared" si="11"/>
        <v>69727</v>
      </c>
      <c r="R15" s="120">
        <f t="shared" si="11"/>
        <v>67318</v>
      </c>
      <c r="S15" s="120">
        <f t="shared" ref="S15:X15" si="12">SUM(S13:S14)</f>
        <v>63924</v>
      </c>
      <c r="T15" s="120">
        <f t="shared" si="12"/>
        <v>61791</v>
      </c>
      <c r="U15" s="120">
        <f t="shared" si="12"/>
        <v>53563</v>
      </c>
      <c r="V15" s="120">
        <f t="shared" si="12"/>
        <v>74153</v>
      </c>
      <c r="W15" s="120">
        <f t="shared" si="12"/>
        <v>79379</v>
      </c>
      <c r="X15" s="120">
        <f t="shared" si="12"/>
        <v>73158</v>
      </c>
      <c r="Y15" s="120">
        <f t="shared" ref="Y15:AE15" si="13">SUM(Y13:Y14)</f>
        <v>70670</v>
      </c>
      <c r="Z15" s="120">
        <f t="shared" si="13"/>
        <v>66175</v>
      </c>
      <c r="AA15" s="120">
        <f t="shared" si="13"/>
        <v>67477</v>
      </c>
      <c r="AB15" s="120">
        <f t="shared" si="13"/>
        <v>59616</v>
      </c>
      <c r="AC15" s="120">
        <f t="shared" si="13"/>
        <v>71077</v>
      </c>
      <c r="AD15" s="120">
        <f t="shared" si="13"/>
        <v>88423</v>
      </c>
      <c r="AE15" s="120">
        <f t="shared" si="13"/>
        <v>85858</v>
      </c>
      <c r="AF15" s="120">
        <f>SUM(AF13:AF14)</f>
        <v>80989</v>
      </c>
      <c r="AG15" s="120">
        <f>SUM(AG13:AG14)</f>
        <v>76067</v>
      </c>
      <c r="AH15" s="120">
        <f>SUM(AH13:AH14)</f>
        <v>67191</v>
      </c>
      <c r="AI15" s="120">
        <f>SUM(AI13:AI14)</f>
        <v>83244</v>
      </c>
    </row>
    <row r="16" spans="1:35" s="25" customFormat="1" x14ac:dyDescent="0.2">
      <c r="A16" s="532" t="s">
        <v>1444</v>
      </c>
      <c r="B16" s="532" t="s">
        <v>1459</v>
      </c>
      <c r="C16" s="27"/>
      <c r="D16" s="129" t="str">
        <f>IF([1]RENAME!$H$3=1,B16,A16)</f>
        <v>Saldo com terceiros</v>
      </c>
      <c r="E16" s="118">
        <v>0</v>
      </c>
      <c r="F16" s="118">
        <v>58809.73</v>
      </c>
      <c r="G16" s="118">
        <v>76160</v>
      </c>
      <c r="H16" s="118">
        <v>77714</v>
      </c>
      <c r="I16" s="118">
        <v>76589</v>
      </c>
      <c r="J16" s="118">
        <v>71510</v>
      </c>
      <c r="K16" s="118">
        <v>68468</v>
      </c>
      <c r="L16" s="118">
        <v>58029</v>
      </c>
      <c r="M16" s="118">
        <v>51041</v>
      </c>
      <c r="N16" s="118">
        <v>77481</v>
      </c>
      <c r="O16" s="118">
        <v>71177</v>
      </c>
      <c r="P16" s="118">
        <v>65701</v>
      </c>
      <c r="Q16" s="118">
        <v>60211</v>
      </c>
      <c r="R16" s="118">
        <v>58847</v>
      </c>
      <c r="S16" s="118">
        <v>55865</v>
      </c>
      <c r="T16" s="118">
        <v>45892</v>
      </c>
      <c r="U16" s="118">
        <v>38444</v>
      </c>
      <c r="V16" s="118">
        <v>59043</v>
      </c>
      <c r="W16" s="118">
        <v>65149</v>
      </c>
      <c r="X16" s="118">
        <v>59627</v>
      </c>
      <c r="Y16" s="118">
        <v>58247</v>
      </c>
      <c r="Z16" s="118">
        <v>50392</v>
      </c>
      <c r="AA16" s="118">
        <v>53017</v>
      </c>
      <c r="AB16" s="118">
        <v>46578</v>
      </c>
      <c r="AC16" s="118">
        <v>59504</v>
      </c>
      <c r="AD16" s="118">
        <v>77901</v>
      </c>
      <c r="AE16" s="118">
        <v>76989</v>
      </c>
      <c r="AF16" s="118">
        <v>71715</v>
      </c>
      <c r="AG16" s="118">
        <v>68471</v>
      </c>
      <c r="AH16" s="118">
        <v>61091</v>
      </c>
      <c r="AI16" s="118">
        <f>'[3]13 Arrend NL'!$BF$167</f>
        <v>79036</v>
      </c>
    </row>
    <row r="17" spans="1:35" s="25" customFormat="1" x14ac:dyDescent="0.2">
      <c r="A17" s="532" t="s">
        <v>1445</v>
      </c>
      <c r="B17" s="532" t="s">
        <v>1460</v>
      </c>
      <c r="C17" s="27"/>
      <c r="D17" s="129" t="str">
        <f>IF([1]RENAME!$H$3=1,B17,A17)</f>
        <v>Saldo com partes relacionadas</v>
      </c>
      <c r="E17" s="118">
        <v>0</v>
      </c>
      <c r="F17" s="118">
        <v>10941.727499999999</v>
      </c>
      <c r="G17" s="118">
        <v>10035</v>
      </c>
      <c r="H17" s="118">
        <v>8600</v>
      </c>
      <c r="I17" s="118">
        <v>333</v>
      </c>
      <c r="J17" s="118">
        <v>13008</v>
      </c>
      <c r="K17" s="118">
        <v>8402</v>
      </c>
      <c r="L17" s="118">
        <v>10692</v>
      </c>
      <c r="M17" s="118">
        <v>9500</v>
      </c>
      <c r="N17" s="118">
        <v>11789</v>
      </c>
      <c r="O17" s="118">
        <v>10994</v>
      </c>
      <c r="P17" s="118">
        <v>9907</v>
      </c>
      <c r="Q17" s="118">
        <v>9516</v>
      </c>
      <c r="R17" s="118">
        <v>8471</v>
      </c>
      <c r="S17" s="118">
        <v>8059</v>
      </c>
      <c r="T17" s="118">
        <v>15899</v>
      </c>
      <c r="U17" s="118">
        <v>15119</v>
      </c>
      <c r="V17" s="118">
        <v>15110</v>
      </c>
      <c r="W17" s="118">
        <v>14230</v>
      </c>
      <c r="X17" s="118">
        <v>13531</v>
      </c>
      <c r="Y17" s="118">
        <v>12423</v>
      </c>
      <c r="Z17" s="118">
        <v>15783</v>
      </c>
      <c r="AA17" s="118">
        <v>14460</v>
      </c>
      <c r="AB17" s="118">
        <v>13038</v>
      </c>
      <c r="AC17" s="118">
        <v>11573</v>
      </c>
      <c r="AD17" s="118">
        <v>10522</v>
      </c>
      <c r="AE17" s="118">
        <v>8869</v>
      </c>
      <c r="AF17" s="118">
        <v>9274</v>
      </c>
      <c r="AG17" s="118">
        <v>7596</v>
      </c>
      <c r="AH17" s="118">
        <v>6100</v>
      </c>
      <c r="AI17" s="118">
        <f>'[3]13 Arrend NL'!$BF$168</f>
        <v>4208</v>
      </c>
    </row>
    <row r="18" spans="1:35" s="25" customFormat="1" x14ac:dyDescent="0.2">
      <c r="A18" s="532" t="s">
        <v>73</v>
      </c>
      <c r="B18" s="532" t="s">
        <v>73</v>
      </c>
      <c r="C18" s="27"/>
      <c r="D18" s="126" t="str">
        <f>IF([1]RENAME!$H$3=1,B18,A18)</f>
        <v>TOTAL</v>
      </c>
      <c r="E18" s="120">
        <f t="shared" ref="E18:J18" si="14">SUM(E16:E17)</f>
        <v>0</v>
      </c>
      <c r="F18" s="120">
        <f t="shared" si="14"/>
        <v>69751.457500000004</v>
      </c>
      <c r="G18" s="120">
        <f t="shared" si="14"/>
        <v>86195</v>
      </c>
      <c r="H18" s="120">
        <f t="shared" si="14"/>
        <v>86314</v>
      </c>
      <c r="I18" s="120">
        <f t="shared" si="14"/>
        <v>76922</v>
      </c>
      <c r="J18" s="120">
        <f t="shared" si="14"/>
        <v>84518</v>
      </c>
      <c r="K18" s="120">
        <f t="shared" ref="K18:R18" si="15">SUM(K16:K17)</f>
        <v>76870</v>
      </c>
      <c r="L18" s="120">
        <f t="shared" si="15"/>
        <v>68721</v>
      </c>
      <c r="M18" s="120">
        <f t="shared" si="15"/>
        <v>60541</v>
      </c>
      <c r="N18" s="120">
        <f t="shared" si="15"/>
        <v>89270</v>
      </c>
      <c r="O18" s="120">
        <f t="shared" si="15"/>
        <v>82171</v>
      </c>
      <c r="P18" s="120">
        <f t="shared" si="15"/>
        <v>75608</v>
      </c>
      <c r="Q18" s="120">
        <f t="shared" si="15"/>
        <v>69727</v>
      </c>
      <c r="R18" s="120">
        <f t="shared" si="15"/>
        <v>67318</v>
      </c>
      <c r="S18" s="120">
        <f t="shared" ref="S18:X18" si="16">SUM(S16:S17)</f>
        <v>63924</v>
      </c>
      <c r="T18" s="120">
        <f t="shared" si="16"/>
        <v>61791</v>
      </c>
      <c r="U18" s="120">
        <f t="shared" si="16"/>
        <v>53563</v>
      </c>
      <c r="V18" s="120">
        <f t="shared" si="16"/>
        <v>74153</v>
      </c>
      <c r="W18" s="120">
        <f t="shared" si="16"/>
        <v>79379</v>
      </c>
      <c r="X18" s="120">
        <f t="shared" si="16"/>
        <v>73158</v>
      </c>
      <c r="Y18" s="120">
        <f t="shared" ref="Y18:AE18" si="17">SUM(Y16:Y17)</f>
        <v>70670</v>
      </c>
      <c r="Z18" s="120">
        <f t="shared" si="17"/>
        <v>66175</v>
      </c>
      <c r="AA18" s="120">
        <f t="shared" si="17"/>
        <v>67477</v>
      </c>
      <c r="AB18" s="120">
        <f t="shared" si="17"/>
        <v>59616</v>
      </c>
      <c r="AC18" s="120">
        <f t="shared" si="17"/>
        <v>71077</v>
      </c>
      <c r="AD18" s="120">
        <f t="shared" si="17"/>
        <v>88423</v>
      </c>
      <c r="AE18" s="120">
        <f t="shared" si="17"/>
        <v>85858</v>
      </c>
      <c r="AF18" s="120">
        <f>SUM(AF16:AF17)</f>
        <v>80989</v>
      </c>
      <c r="AG18" s="120">
        <f>SUM(AG16:AG17)</f>
        <v>76067</v>
      </c>
      <c r="AH18" s="120">
        <f>SUM(AH16:AH17)</f>
        <v>67191</v>
      </c>
      <c r="AI18" s="120">
        <f>SUM(AI16:AI17)</f>
        <v>83244</v>
      </c>
    </row>
    <row r="19" spans="1:35" ht="15.75" customHeight="1" x14ac:dyDescent="0.2">
      <c r="A19" s="606"/>
      <c r="B19" s="606"/>
      <c r="C19" s="1205"/>
    </row>
    <row r="20" spans="1:35" customFormat="1" ht="15.75" customHeight="1" x14ac:dyDescent="0.2"/>
    <row r="21" spans="1:35" customFormat="1" ht="12.75" x14ac:dyDescent="0.2"/>
    <row r="22" spans="1:35" customFormat="1" ht="12.75" x14ac:dyDescent="0.2"/>
    <row r="23" spans="1:35" customFormat="1" ht="12.75" x14ac:dyDescent="0.2"/>
    <row r="24" spans="1:35" customFormat="1" ht="12.75" x14ac:dyDescent="0.2"/>
    <row r="25" spans="1:35" customFormat="1" ht="12.75" x14ac:dyDescent="0.2"/>
    <row r="26" spans="1:35" customFormat="1" ht="12.75" x14ac:dyDescent="0.2"/>
    <row r="27" spans="1:35" customFormat="1" ht="12.75" x14ac:dyDescent="0.2"/>
    <row r="28" spans="1:35" customFormat="1" ht="12.75" x14ac:dyDescent="0.2"/>
    <row r="29" spans="1:35" customFormat="1" ht="12.75" x14ac:dyDescent="0.2"/>
    <row r="30" spans="1:35" customFormat="1" ht="12.75" x14ac:dyDescent="0.2"/>
    <row r="31" spans="1:35" customFormat="1" ht="12.75" x14ac:dyDescent="0.2"/>
    <row r="32" spans="1:35" customFormat="1" ht="12.75" x14ac:dyDescent="0.2"/>
    <row r="33" spans="3:3" customFormat="1" ht="12.75" x14ac:dyDescent="0.2"/>
    <row r="34" spans="3:3" customFormat="1" ht="12.75" x14ac:dyDescent="0.2"/>
    <row r="35" spans="3:3" x14ac:dyDescent="0.2">
      <c r="C35"/>
    </row>
    <row r="36" spans="3:3" x14ac:dyDescent="0.2">
      <c r="C36"/>
    </row>
    <row r="37" spans="3:3" x14ac:dyDescent="0.2">
      <c r="C37"/>
    </row>
    <row r="38" spans="3:3" x14ac:dyDescent="0.2">
      <c r="C38"/>
    </row>
    <row r="39" spans="3:3" x14ac:dyDescent="0.2">
      <c r="C39"/>
    </row>
    <row r="40" spans="3:3" x14ac:dyDescent="0.2">
      <c r="C40"/>
    </row>
    <row r="41" spans="3:3" x14ac:dyDescent="0.2">
      <c r="C41"/>
    </row>
    <row r="42" spans="3:3" x14ac:dyDescent="0.2">
      <c r="C42"/>
    </row>
    <row r="43" spans="3:3" x14ac:dyDescent="0.2">
      <c r="C43"/>
    </row>
    <row r="44" spans="3:3" x14ac:dyDescent="0.2">
      <c r="C44"/>
    </row>
    <row r="45" spans="3:3" x14ac:dyDescent="0.2">
      <c r="C45"/>
    </row>
    <row r="46" spans="3:3" x14ac:dyDescent="0.2">
      <c r="C46"/>
    </row>
    <row r="47" spans="3:3" x14ac:dyDescent="0.2">
      <c r="C47"/>
    </row>
    <row r="48" spans="3:3" x14ac:dyDescent="0.2">
      <c r="C48"/>
    </row>
    <row r="49" spans="3:3" x14ac:dyDescent="0.2">
      <c r="C49"/>
    </row>
    <row r="50" spans="3:3" x14ac:dyDescent="0.2">
      <c r="C50"/>
    </row>
    <row r="51" spans="3:3" x14ac:dyDescent="0.2">
      <c r="C51"/>
    </row>
    <row r="52" spans="3:3" x14ac:dyDescent="0.2">
      <c r="C52"/>
    </row>
    <row r="53" spans="3:3" x14ac:dyDescent="0.2">
      <c r="C53"/>
    </row>
    <row r="54" spans="3:3" x14ac:dyDescent="0.2">
      <c r="C54"/>
    </row>
    <row r="55" spans="3:3" x14ac:dyDescent="0.2">
      <c r="C55"/>
    </row>
    <row r="56" spans="3:3" x14ac:dyDescent="0.2">
      <c r="C56"/>
    </row>
    <row r="57" spans="3:3" x14ac:dyDescent="0.2">
      <c r="C57"/>
    </row>
    <row r="58" spans="3:3" x14ac:dyDescent="0.2">
      <c r="C58"/>
    </row>
    <row r="59" spans="3:3" x14ac:dyDescent="0.2">
      <c r="C59"/>
    </row>
    <row r="60" spans="3:3" x14ac:dyDescent="0.2">
      <c r="C60"/>
    </row>
    <row r="61" spans="3:3" x14ac:dyDescent="0.2">
      <c r="C61"/>
    </row>
    <row r="62" spans="3:3" x14ac:dyDescent="0.2">
      <c r="C62"/>
    </row>
    <row r="63" spans="3:3" x14ac:dyDescent="0.2">
      <c r="C63"/>
    </row>
    <row r="64" spans="3:3" x14ac:dyDescent="0.2">
      <c r="C64"/>
    </row>
    <row r="65" spans="3:3" x14ac:dyDescent="0.2">
      <c r="C65"/>
    </row>
    <row r="66" spans="3:3" x14ac:dyDescent="0.2">
      <c r="C66"/>
    </row>
    <row r="67" spans="3:3" x14ac:dyDescent="0.2">
      <c r="C67"/>
    </row>
    <row r="68" spans="3:3" x14ac:dyDescent="0.2">
      <c r="C68"/>
    </row>
    <row r="69" spans="3:3" x14ac:dyDescent="0.2">
      <c r="C69"/>
    </row>
    <row r="70" spans="3:3" x14ac:dyDescent="0.2">
      <c r="C70"/>
    </row>
    <row r="71" spans="3:3" x14ac:dyDescent="0.2">
      <c r="C71"/>
    </row>
    <row r="72" spans="3:3" x14ac:dyDescent="0.2">
      <c r="C72"/>
    </row>
    <row r="73" spans="3:3" x14ac:dyDescent="0.2">
      <c r="C73"/>
    </row>
    <row r="74" spans="3:3" x14ac:dyDescent="0.2">
      <c r="C74"/>
    </row>
    <row r="75" spans="3:3" x14ac:dyDescent="0.2">
      <c r="C75"/>
    </row>
    <row r="76" spans="3:3" x14ac:dyDescent="0.2">
      <c r="C76"/>
    </row>
    <row r="77" spans="3:3" x14ac:dyDescent="0.2">
      <c r="C77"/>
    </row>
    <row r="78" spans="3:3" x14ac:dyDescent="0.2">
      <c r="C78"/>
    </row>
    <row r="79" spans="3:3" x14ac:dyDescent="0.2">
      <c r="C79"/>
    </row>
    <row r="80" spans="3:3" x14ac:dyDescent="0.2">
      <c r="C80"/>
    </row>
    <row r="81" spans="3:3" x14ac:dyDescent="0.2">
      <c r="C81"/>
    </row>
    <row r="82" spans="3:3" x14ac:dyDescent="0.2">
      <c r="C82"/>
    </row>
    <row r="83" spans="3:3" x14ac:dyDescent="0.2">
      <c r="C83"/>
    </row>
    <row r="84" spans="3:3" x14ac:dyDescent="0.2">
      <c r="C84"/>
    </row>
    <row r="85" spans="3:3" x14ac:dyDescent="0.2">
      <c r="C85"/>
    </row>
    <row r="86" spans="3:3" x14ac:dyDescent="0.2">
      <c r="C86"/>
    </row>
    <row r="87" spans="3:3" ht="15" customHeight="1" x14ac:dyDescent="0.2">
      <c r="C87"/>
    </row>
    <row r="88" spans="3:3" x14ac:dyDescent="0.2">
      <c r="C88"/>
    </row>
    <row r="89" spans="3:3" x14ac:dyDescent="0.2">
      <c r="C89"/>
    </row>
    <row r="90" spans="3:3" x14ac:dyDescent="0.2">
      <c r="C90"/>
    </row>
    <row r="91" spans="3:3" ht="14.25" customHeight="1" x14ac:dyDescent="0.2">
      <c r="C91"/>
    </row>
    <row r="92" spans="3:3" x14ac:dyDescent="0.2">
      <c r="C92"/>
    </row>
    <row r="93" spans="3:3" x14ac:dyDescent="0.2">
      <c r="C93"/>
    </row>
    <row r="94" spans="3:3" x14ac:dyDescent="0.2">
      <c r="C94"/>
    </row>
    <row r="95" spans="3:3" x14ac:dyDescent="0.2">
      <c r="C95"/>
    </row>
    <row r="96" spans="3:3" x14ac:dyDescent="0.2">
      <c r="C96"/>
    </row>
    <row r="97" spans="3:3" x14ac:dyDescent="0.2">
      <c r="C97"/>
    </row>
    <row r="98" spans="3:3" x14ac:dyDescent="0.2">
      <c r="C98"/>
    </row>
    <row r="99" spans="3:3" x14ac:dyDescent="0.2">
      <c r="C99"/>
    </row>
    <row r="100" spans="3:3" x14ac:dyDescent="0.2">
      <c r="C100"/>
    </row>
    <row r="101" spans="3:3" x14ac:dyDescent="0.2">
      <c r="C101"/>
    </row>
    <row r="102" spans="3:3" x14ac:dyDescent="0.2">
      <c r="C102"/>
    </row>
    <row r="103" spans="3:3" x14ac:dyDescent="0.2">
      <c r="C103"/>
    </row>
    <row r="104" spans="3:3" x14ac:dyDescent="0.2">
      <c r="C104"/>
    </row>
    <row r="105" spans="3:3" x14ac:dyDescent="0.2">
      <c r="C105"/>
    </row>
    <row r="106" spans="3:3" x14ac:dyDescent="0.2">
      <c r="C106"/>
    </row>
    <row r="107" spans="3:3" x14ac:dyDescent="0.2">
      <c r="C107"/>
    </row>
    <row r="108" spans="3:3" x14ac:dyDescent="0.2">
      <c r="C108"/>
    </row>
    <row r="109" spans="3:3" x14ac:dyDescent="0.2">
      <c r="C109"/>
    </row>
    <row r="110" spans="3:3" x14ac:dyDescent="0.2">
      <c r="C110"/>
    </row>
    <row r="111" spans="3:3" x14ac:dyDescent="0.2">
      <c r="C111"/>
    </row>
    <row r="112" spans="3:3" x14ac:dyDescent="0.2">
      <c r="C112"/>
    </row>
    <row r="113" spans="3:3" x14ac:dyDescent="0.2">
      <c r="C113"/>
    </row>
    <row r="114" spans="3:3" ht="15" customHeight="1" x14ac:dyDescent="0.2">
      <c r="C114"/>
    </row>
    <row r="115" spans="3:3" x14ac:dyDescent="0.2">
      <c r="C115"/>
    </row>
    <row r="116" spans="3:3" x14ac:dyDescent="0.2">
      <c r="C116"/>
    </row>
    <row r="117" spans="3:3" x14ac:dyDescent="0.2">
      <c r="C117"/>
    </row>
    <row r="118" spans="3:3" ht="20.25" customHeight="1" x14ac:dyDescent="0.2">
      <c r="C118"/>
    </row>
    <row r="119" spans="3:3" x14ac:dyDescent="0.2">
      <c r="C119"/>
    </row>
    <row r="120" spans="3:3" x14ac:dyDescent="0.2">
      <c r="C120"/>
    </row>
    <row r="121" spans="3:3" x14ac:dyDescent="0.2">
      <c r="C121"/>
    </row>
    <row r="122" spans="3:3" x14ac:dyDescent="0.2">
      <c r="C122"/>
    </row>
    <row r="123" spans="3:3" x14ac:dyDescent="0.2">
      <c r="C123"/>
    </row>
    <row r="124" spans="3:3" x14ac:dyDescent="0.2">
      <c r="C124"/>
    </row>
    <row r="125" spans="3:3" x14ac:dyDescent="0.2">
      <c r="C125"/>
    </row>
    <row r="126" spans="3:3" x14ac:dyDescent="0.2">
      <c r="C126"/>
    </row>
    <row r="127" spans="3:3" x14ac:dyDescent="0.2">
      <c r="C127"/>
    </row>
    <row r="128" spans="3:3" x14ac:dyDescent="0.2">
      <c r="C128"/>
    </row>
    <row r="129" spans="3:3" x14ac:dyDescent="0.2">
      <c r="C129"/>
    </row>
    <row r="130" spans="3:3" x14ac:dyDescent="0.2">
      <c r="C130"/>
    </row>
    <row r="131" spans="3:3" x14ac:dyDescent="0.2">
      <c r="C131"/>
    </row>
    <row r="132" spans="3:3" x14ac:dyDescent="0.2">
      <c r="C132"/>
    </row>
    <row r="133" spans="3:3" x14ac:dyDescent="0.2">
      <c r="C133"/>
    </row>
    <row r="134" spans="3:3" x14ac:dyDescent="0.2">
      <c r="C134"/>
    </row>
    <row r="135" spans="3:3" x14ac:dyDescent="0.2">
      <c r="C135"/>
    </row>
    <row r="136" spans="3:3" x14ac:dyDescent="0.2">
      <c r="C136"/>
    </row>
    <row r="137" spans="3:3" x14ac:dyDescent="0.2">
      <c r="C137"/>
    </row>
    <row r="138" spans="3:3" x14ac:dyDescent="0.2">
      <c r="C138"/>
    </row>
    <row r="139" spans="3:3" x14ac:dyDescent="0.2">
      <c r="C139"/>
    </row>
    <row r="140" spans="3:3" x14ac:dyDescent="0.2">
      <c r="C140"/>
    </row>
    <row r="141" spans="3:3" x14ac:dyDescent="0.2">
      <c r="C141"/>
    </row>
    <row r="142" spans="3:3" x14ac:dyDescent="0.2">
      <c r="C142"/>
    </row>
    <row r="143" spans="3:3" x14ac:dyDescent="0.2">
      <c r="C143"/>
    </row>
    <row r="144" spans="3:3" ht="15" customHeight="1" x14ac:dyDescent="0.2">
      <c r="C144"/>
    </row>
    <row r="145" spans="3:3" x14ac:dyDescent="0.2">
      <c r="C145"/>
    </row>
    <row r="146" spans="3:3" x14ac:dyDescent="0.2">
      <c r="C146"/>
    </row>
    <row r="147" spans="3:3" x14ac:dyDescent="0.2">
      <c r="C147"/>
    </row>
    <row r="148" spans="3:3" x14ac:dyDescent="0.2">
      <c r="C148"/>
    </row>
    <row r="149" spans="3:3" x14ac:dyDescent="0.2">
      <c r="C149"/>
    </row>
    <row r="150" spans="3:3" x14ac:dyDescent="0.2">
      <c r="C150"/>
    </row>
    <row r="151" spans="3:3" x14ac:dyDescent="0.2">
      <c r="C151"/>
    </row>
    <row r="152" spans="3:3" x14ac:dyDescent="0.2">
      <c r="C152"/>
    </row>
    <row r="153" spans="3:3" x14ac:dyDescent="0.2">
      <c r="C153"/>
    </row>
    <row r="154" spans="3:3" x14ac:dyDescent="0.2">
      <c r="C154"/>
    </row>
    <row r="155" spans="3:3" x14ac:dyDescent="0.2">
      <c r="C155"/>
    </row>
    <row r="156" spans="3:3" x14ac:dyDescent="0.2">
      <c r="C156"/>
    </row>
    <row r="157" spans="3:3" x14ac:dyDescent="0.2">
      <c r="C157"/>
    </row>
    <row r="158" spans="3:3" x14ac:dyDescent="0.2">
      <c r="C158"/>
    </row>
    <row r="159" spans="3:3" x14ac:dyDescent="0.2">
      <c r="C159"/>
    </row>
    <row r="160" spans="3:3" x14ac:dyDescent="0.2">
      <c r="C160"/>
    </row>
    <row r="161" spans="3:34" x14ac:dyDescent="0.2">
      <c r="C161"/>
    </row>
    <row r="162" spans="3:34" x14ac:dyDescent="0.2">
      <c r="C162"/>
    </row>
    <row r="163" spans="3:34" x14ac:dyDescent="0.2">
      <c r="C163"/>
    </row>
    <row r="164" spans="3:34" x14ac:dyDescent="0.2">
      <c r="C164"/>
    </row>
    <row r="165" spans="3:34" x14ac:dyDescent="0.2">
      <c r="C165"/>
    </row>
    <row r="166" spans="3:34" s="1207" customFormat="1" ht="26.25" customHeight="1" x14ac:dyDescent="0.2">
      <c r="C166"/>
      <c r="N166" s="1208"/>
      <c r="O166" s="1208"/>
      <c r="P166" s="1208"/>
      <c r="Q166" s="1208"/>
      <c r="R166" s="1208"/>
      <c r="S166" s="1208"/>
      <c r="T166" s="1208"/>
      <c r="U166" s="1208"/>
      <c r="V166" s="1208"/>
      <c r="W166" s="1208"/>
      <c r="X166" s="1208"/>
      <c r="Y166" s="1208"/>
      <c r="Z166" s="1208"/>
      <c r="AA166" s="1208"/>
      <c r="AB166" s="1208"/>
      <c r="AC166" s="1208"/>
      <c r="AD166" s="1208"/>
      <c r="AE166" s="1208"/>
      <c r="AF166" s="1208"/>
      <c r="AG166" s="1208"/>
      <c r="AH166" s="1208"/>
    </row>
    <row r="167" spans="3:34" ht="14.25" customHeight="1" x14ac:dyDescent="0.2">
      <c r="C167"/>
    </row>
    <row r="168" spans="3:34" x14ac:dyDescent="0.2">
      <c r="C168"/>
    </row>
    <row r="169" spans="3:34" x14ac:dyDescent="0.2">
      <c r="C169"/>
    </row>
    <row r="170" spans="3:34" x14ac:dyDescent="0.2">
      <c r="C170"/>
    </row>
    <row r="171" spans="3:34" x14ac:dyDescent="0.2">
      <c r="C171"/>
    </row>
    <row r="172" spans="3:34" x14ac:dyDescent="0.2">
      <c r="C172"/>
    </row>
    <row r="173" spans="3:34" x14ac:dyDescent="0.2">
      <c r="C173"/>
    </row>
    <row r="174" spans="3:34" ht="14.25" customHeight="1" x14ac:dyDescent="0.2">
      <c r="C174"/>
    </row>
    <row r="175" spans="3:34" x14ac:dyDescent="0.2">
      <c r="C175"/>
    </row>
    <row r="176" spans="3:34" x14ac:dyDescent="0.2">
      <c r="C176"/>
    </row>
    <row r="177" spans="3:3" x14ac:dyDescent="0.2">
      <c r="C177"/>
    </row>
    <row r="178" spans="3:3" x14ac:dyDescent="0.2">
      <c r="C178"/>
    </row>
    <row r="179" spans="3:3" x14ac:dyDescent="0.2">
      <c r="C179"/>
    </row>
    <row r="180" spans="3:3" x14ac:dyDescent="0.2">
      <c r="C180"/>
    </row>
    <row r="181" spans="3:3" x14ac:dyDescent="0.2">
      <c r="C181"/>
    </row>
    <row r="182" spans="3:3" x14ac:dyDescent="0.2">
      <c r="C182"/>
    </row>
    <row r="183" spans="3:3" x14ac:dyDescent="0.2">
      <c r="C183"/>
    </row>
    <row r="184" spans="3:3" x14ac:dyDescent="0.2">
      <c r="C184"/>
    </row>
    <row r="185" spans="3:3" x14ac:dyDescent="0.2">
      <c r="C185"/>
    </row>
    <row r="186" spans="3:3" x14ac:dyDescent="0.2">
      <c r="C186"/>
    </row>
    <row r="187" spans="3:3" x14ac:dyDescent="0.2">
      <c r="C187"/>
    </row>
    <row r="188" spans="3:3" x14ac:dyDescent="0.2">
      <c r="C188"/>
    </row>
    <row r="189" spans="3:3" x14ac:dyDescent="0.2">
      <c r="C189"/>
    </row>
    <row r="190" spans="3:3" x14ac:dyDescent="0.2">
      <c r="C190"/>
    </row>
    <row r="191" spans="3:3" x14ac:dyDescent="0.2">
      <c r="C191"/>
    </row>
    <row r="192" spans="3:3" x14ac:dyDescent="0.2">
      <c r="C192"/>
    </row>
    <row r="193" spans="3:3" x14ac:dyDescent="0.2">
      <c r="C193"/>
    </row>
    <row r="194" spans="3:3" x14ac:dyDescent="0.2">
      <c r="C194"/>
    </row>
    <row r="195" spans="3:3" x14ac:dyDescent="0.2">
      <c r="C195"/>
    </row>
    <row r="196" spans="3:3" x14ac:dyDescent="0.2">
      <c r="C196"/>
    </row>
    <row r="197" spans="3:3" x14ac:dyDescent="0.2">
      <c r="C197"/>
    </row>
    <row r="198" spans="3:3" x14ac:dyDescent="0.2">
      <c r="C198"/>
    </row>
    <row r="199" spans="3:3" x14ac:dyDescent="0.2">
      <c r="C199"/>
    </row>
    <row r="200" spans="3:3" x14ac:dyDescent="0.2">
      <c r="C200"/>
    </row>
    <row r="201" spans="3:3" x14ac:dyDescent="0.2">
      <c r="C201"/>
    </row>
    <row r="202" spans="3:3" x14ac:dyDescent="0.2">
      <c r="C202"/>
    </row>
    <row r="203" spans="3:3" x14ac:dyDescent="0.2">
      <c r="C203"/>
    </row>
    <row r="204" spans="3:3" x14ac:dyDescent="0.2">
      <c r="C204"/>
    </row>
    <row r="205" spans="3:3" x14ac:dyDescent="0.2">
      <c r="C205"/>
    </row>
    <row r="206" spans="3:3" x14ac:dyDescent="0.2">
      <c r="C206"/>
    </row>
    <row r="207" spans="3:3" x14ac:dyDescent="0.2">
      <c r="C207"/>
    </row>
    <row r="208" spans="3:3" x14ac:dyDescent="0.2">
      <c r="C208"/>
    </row>
    <row r="209" spans="3:3" x14ac:dyDescent="0.2">
      <c r="C209"/>
    </row>
    <row r="210" spans="3:3" x14ac:dyDescent="0.2">
      <c r="C210"/>
    </row>
    <row r="211" spans="3:3" x14ac:dyDescent="0.2">
      <c r="C211"/>
    </row>
    <row r="212" spans="3:3" x14ac:dyDescent="0.2">
      <c r="C212"/>
    </row>
    <row r="213" spans="3:3" x14ac:dyDescent="0.2">
      <c r="C213"/>
    </row>
    <row r="214" spans="3:3" x14ac:dyDescent="0.2">
      <c r="C214"/>
    </row>
    <row r="215" spans="3:3" x14ac:dyDescent="0.2">
      <c r="C215"/>
    </row>
    <row r="216" spans="3:3" x14ac:dyDescent="0.2">
      <c r="C216"/>
    </row>
    <row r="217" spans="3:3" x14ac:dyDescent="0.2">
      <c r="C217"/>
    </row>
    <row r="218" spans="3:3" x14ac:dyDescent="0.2">
      <c r="C218"/>
    </row>
    <row r="219" spans="3:3" x14ac:dyDescent="0.2">
      <c r="C219"/>
    </row>
    <row r="220" spans="3:3" x14ac:dyDescent="0.2">
      <c r="C220"/>
    </row>
    <row r="221" spans="3:3" x14ac:dyDescent="0.2">
      <c r="C221"/>
    </row>
    <row r="222" spans="3:3" x14ac:dyDescent="0.2">
      <c r="C222"/>
    </row>
    <row r="223" spans="3:3" x14ac:dyDescent="0.2">
      <c r="C223"/>
    </row>
    <row r="224" spans="3:3" x14ac:dyDescent="0.2">
      <c r="C224"/>
    </row>
    <row r="225" spans="3:3" x14ac:dyDescent="0.2">
      <c r="C225"/>
    </row>
    <row r="226" spans="3:3" x14ac:dyDescent="0.2">
      <c r="C226"/>
    </row>
    <row r="227" spans="3:3" x14ac:dyDescent="0.2">
      <c r="C227"/>
    </row>
    <row r="228" spans="3:3" x14ac:dyDescent="0.2">
      <c r="C228"/>
    </row>
    <row r="229" spans="3:3" x14ac:dyDescent="0.2">
      <c r="C229"/>
    </row>
    <row r="230" spans="3:3" x14ac:dyDescent="0.2">
      <c r="C230"/>
    </row>
    <row r="231" spans="3:3" x14ac:dyDescent="0.2">
      <c r="C231"/>
    </row>
    <row r="232" spans="3:3" x14ac:dyDescent="0.2">
      <c r="C232"/>
    </row>
    <row r="233" spans="3:3" x14ac:dyDescent="0.2">
      <c r="C233"/>
    </row>
    <row r="234" spans="3:3" x14ac:dyDescent="0.2">
      <c r="C234"/>
    </row>
    <row r="235" spans="3:3" x14ac:dyDescent="0.2">
      <c r="C235"/>
    </row>
    <row r="236" spans="3:3" x14ac:dyDescent="0.2">
      <c r="C236"/>
    </row>
    <row r="237" spans="3:3" x14ac:dyDescent="0.2">
      <c r="C237"/>
    </row>
    <row r="238" spans="3:3" x14ac:dyDescent="0.2">
      <c r="C238"/>
    </row>
    <row r="239" spans="3:3" x14ac:dyDescent="0.2">
      <c r="C239"/>
    </row>
    <row r="240" spans="3:3" x14ac:dyDescent="0.2">
      <c r="C240"/>
    </row>
    <row r="241" spans="3:3" x14ac:dyDescent="0.2">
      <c r="C241"/>
    </row>
    <row r="242" spans="3:3" x14ac:dyDescent="0.2">
      <c r="C242"/>
    </row>
    <row r="243" spans="3:3" x14ac:dyDescent="0.2">
      <c r="C243"/>
    </row>
    <row r="244" spans="3:3" x14ac:dyDescent="0.2">
      <c r="C244"/>
    </row>
    <row r="245" spans="3:3" x14ac:dyDescent="0.2">
      <c r="C245"/>
    </row>
    <row r="246" spans="3:3" x14ac:dyDescent="0.2">
      <c r="C246"/>
    </row>
    <row r="247" spans="3:3" x14ac:dyDescent="0.2">
      <c r="C247"/>
    </row>
    <row r="248" spans="3:3" x14ac:dyDescent="0.2">
      <c r="C248"/>
    </row>
    <row r="249" spans="3:3" x14ac:dyDescent="0.2">
      <c r="C249"/>
    </row>
    <row r="250" spans="3:3" x14ac:dyDescent="0.2">
      <c r="C250"/>
    </row>
    <row r="251" spans="3:3" x14ac:dyDescent="0.2">
      <c r="C251"/>
    </row>
    <row r="252" spans="3:3" x14ac:dyDescent="0.2">
      <c r="C252"/>
    </row>
    <row r="253" spans="3:3" x14ac:dyDescent="0.2">
      <c r="C253"/>
    </row>
    <row r="254" spans="3:3" x14ac:dyDescent="0.2">
      <c r="C254"/>
    </row>
    <row r="255" spans="3:3" x14ac:dyDescent="0.2">
      <c r="C255"/>
    </row>
    <row r="256" spans="3:3" x14ac:dyDescent="0.2">
      <c r="C256"/>
    </row>
    <row r="257" spans="3:3" x14ac:dyDescent="0.2">
      <c r="C257"/>
    </row>
    <row r="258" spans="3:3" x14ac:dyDescent="0.2">
      <c r="C258"/>
    </row>
    <row r="259" spans="3:3" x14ac:dyDescent="0.2">
      <c r="C259"/>
    </row>
    <row r="260" spans="3:3" x14ac:dyDescent="0.2">
      <c r="C260"/>
    </row>
    <row r="261" spans="3:3" x14ac:dyDescent="0.2">
      <c r="C261"/>
    </row>
    <row r="262" spans="3:3" x14ac:dyDescent="0.2">
      <c r="C262"/>
    </row>
    <row r="263" spans="3:3" x14ac:dyDescent="0.2">
      <c r="C263"/>
    </row>
    <row r="264" spans="3:3" x14ac:dyDescent="0.2">
      <c r="C264"/>
    </row>
    <row r="265" spans="3:3" x14ac:dyDescent="0.2">
      <c r="C265"/>
    </row>
    <row r="266" spans="3:3" x14ac:dyDescent="0.2">
      <c r="C266"/>
    </row>
    <row r="267" spans="3:3" x14ac:dyDescent="0.2">
      <c r="C267"/>
    </row>
    <row r="268" spans="3:3" x14ac:dyDescent="0.2">
      <c r="C268"/>
    </row>
    <row r="269" spans="3:3" x14ac:dyDescent="0.2">
      <c r="C269"/>
    </row>
    <row r="270" spans="3:3" x14ac:dyDescent="0.2">
      <c r="C270"/>
    </row>
    <row r="271" spans="3:3" x14ac:dyDescent="0.2">
      <c r="C271"/>
    </row>
    <row r="272" spans="3:3" x14ac:dyDescent="0.2">
      <c r="C272"/>
    </row>
    <row r="273" spans="3:3" x14ac:dyDescent="0.2">
      <c r="C273"/>
    </row>
    <row r="274" spans="3:3" x14ac:dyDescent="0.2">
      <c r="C274"/>
    </row>
    <row r="275" spans="3:3" x14ac:dyDescent="0.2">
      <c r="C275"/>
    </row>
    <row r="276" spans="3:3" x14ac:dyDescent="0.2">
      <c r="C276"/>
    </row>
    <row r="277" spans="3:3" x14ac:dyDescent="0.2">
      <c r="C277"/>
    </row>
    <row r="278" spans="3:3" x14ac:dyDescent="0.2">
      <c r="C278"/>
    </row>
    <row r="279" spans="3:3" x14ac:dyDescent="0.2">
      <c r="C279"/>
    </row>
    <row r="280" spans="3:3" x14ac:dyDescent="0.2">
      <c r="C280"/>
    </row>
    <row r="281" spans="3:3" x14ac:dyDescent="0.2">
      <c r="C281"/>
    </row>
    <row r="282" spans="3:3" x14ac:dyDescent="0.2">
      <c r="C282"/>
    </row>
    <row r="283" spans="3:3" x14ac:dyDescent="0.2">
      <c r="C283"/>
    </row>
    <row r="284" spans="3:3" x14ac:dyDescent="0.2">
      <c r="C284"/>
    </row>
    <row r="285" spans="3:3" x14ac:dyDescent="0.2">
      <c r="C285"/>
    </row>
    <row r="286" spans="3:3" x14ac:dyDescent="0.2">
      <c r="C286"/>
    </row>
    <row r="287" spans="3:3" x14ac:dyDescent="0.2">
      <c r="C287"/>
    </row>
    <row r="288" spans="3:3" x14ac:dyDescent="0.2">
      <c r="C288"/>
    </row>
    <row r="289" spans="3:3" x14ac:dyDescent="0.2">
      <c r="C289"/>
    </row>
    <row r="290" spans="3:3" x14ac:dyDescent="0.2">
      <c r="C290"/>
    </row>
    <row r="291" spans="3:3" x14ac:dyDescent="0.2">
      <c r="C291"/>
    </row>
    <row r="292" spans="3:3" x14ac:dyDescent="0.2">
      <c r="C292"/>
    </row>
    <row r="293" spans="3:3" x14ac:dyDescent="0.2">
      <c r="C293"/>
    </row>
    <row r="294" spans="3:3" x14ac:dyDescent="0.2">
      <c r="C294"/>
    </row>
    <row r="295" spans="3:3" x14ac:dyDescent="0.2">
      <c r="C295"/>
    </row>
    <row r="296" spans="3:3" x14ac:dyDescent="0.2">
      <c r="C296"/>
    </row>
    <row r="297" spans="3:3" x14ac:dyDescent="0.2">
      <c r="C297"/>
    </row>
    <row r="298" spans="3:3" x14ac:dyDescent="0.2">
      <c r="C298"/>
    </row>
    <row r="299" spans="3:3" x14ac:dyDescent="0.2">
      <c r="C299"/>
    </row>
    <row r="300" spans="3:3" x14ac:dyDescent="0.2">
      <c r="C300"/>
    </row>
    <row r="301" spans="3:3" x14ac:dyDescent="0.2">
      <c r="C301"/>
    </row>
    <row r="302" spans="3:3" x14ac:dyDescent="0.2">
      <c r="C302"/>
    </row>
    <row r="303" spans="3:3" x14ac:dyDescent="0.2">
      <c r="C303"/>
    </row>
    <row r="304" spans="3:3" x14ac:dyDescent="0.2">
      <c r="C304"/>
    </row>
    <row r="305" spans="3:3" x14ac:dyDescent="0.2">
      <c r="C305"/>
    </row>
    <row r="306" spans="3:3" x14ac:dyDescent="0.2">
      <c r="C306"/>
    </row>
    <row r="307" spans="3:3" x14ac:dyDescent="0.2">
      <c r="C307"/>
    </row>
    <row r="308" spans="3:3" x14ac:dyDescent="0.2">
      <c r="C308"/>
    </row>
    <row r="309" spans="3:3" x14ac:dyDescent="0.2">
      <c r="C309"/>
    </row>
    <row r="310" spans="3:3" x14ac:dyDescent="0.2">
      <c r="C310"/>
    </row>
    <row r="311" spans="3:3" x14ac:dyDescent="0.2">
      <c r="C311"/>
    </row>
    <row r="312" spans="3:3" x14ac:dyDescent="0.2">
      <c r="C312"/>
    </row>
    <row r="313" spans="3:3" x14ac:dyDescent="0.2">
      <c r="C313"/>
    </row>
    <row r="314" spans="3:3" x14ac:dyDescent="0.2">
      <c r="C314"/>
    </row>
    <row r="315" spans="3:3" x14ac:dyDescent="0.2">
      <c r="C315"/>
    </row>
    <row r="316" spans="3:3" x14ac:dyDescent="0.2">
      <c r="C316"/>
    </row>
    <row r="317" spans="3:3" x14ac:dyDescent="0.2">
      <c r="C317"/>
    </row>
    <row r="318" spans="3:3" x14ac:dyDescent="0.2">
      <c r="C318"/>
    </row>
    <row r="319" spans="3:3" x14ac:dyDescent="0.2">
      <c r="C319"/>
    </row>
    <row r="320" spans="3:3" x14ac:dyDescent="0.2">
      <c r="C320"/>
    </row>
    <row r="321" spans="3:3" x14ac:dyDescent="0.2">
      <c r="C321"/>
    </row>
    <row r="322" spans="3:3" x14ac:dyDescent="0.2">
      <c r="C322"/>
    </row>
    <row r="323" spans="3:3" x14ac:dyDescent="0.2">
      <c r="C323"/>
    </row>
    <row r="324" spans="3:3" x14ac:dyDescent="0.2">
      <c r="C324"/>
    </row>
    <row r="325" spans="3:3" x14ac:dyDescent="0.2">
      <c r="C325"/>
    </row>
    <row r="326" spans="3:3" x14ac:dyDescent="0.2">
      <c r="C326"/>
    </row>
    <row r="327" spans="3:3" x14ac:dyDescent="0.2">
      <c r="C327"/>
    </row>
    <row r="328" spans="3:3" x14ac:dyDescent="0.2">
      <c r="C328"/>
    </row>
    <row r="329" spans="3:3" x14ac:dyDescent="0.2">
      <c r="C329"/>
    </row>
    <row r="330" spans="3:3" x14ac:dyDescent="0.2">
      <c r="C330"/>
    </row>
    <row r="331" spans="3:3" x14ac:dyDescent="0.2">
      <c r="C331"/>
    </row>
    <row r="332" spans="3:3" x14ac:dyDescent="0.2">
      <c r="C332"/>
    </row>
    <row r="333" spans="3:3" x14ac:dyDescent="0.2">
      <c r="C333"/>
    </row>
    <row r="334" spans="3:3" x14ac:dyDescent="0.2">
      <c r="C334"/>
    </row>
    <row r="335" spans="3:3" x14ac:dyDescent="0.2">
      <c r="C335"/>
    </row>
    <row r="336" spans="3:3" x14ac:dyDescent="0.2">
      <c r="C336"/>
    </row>
    <row r="337" spans="3:3" x14ac:dyDescent="0.2">
      <c r="C337"/>
    </row>
    <row r="338" spans="3:3" x14ac:dyDescent="0.2">
      <c r="C338"/>
    </row>
    <row r="339" spans="3:3" x14ac:dyDescent="0.2">
      <c r="C339"/>
    </row>
    <row r="340" spans="3:3" x14ac:dyDescent="0.2">
      <c r="C340"/>
    </row>
    <row r="341" spans="3:3" x14ac:dyDescent="0.2">
      <c r="C341"/>
    </row>
    <row r="342" spans="3:3" x14ac:dyDescent="0.2">
      <c r="C342"/>
    </row>
    <row r="343" spans="3:3" x14ac:dyDescent="0.2">
      <c r="C343"/>
    </row>
    <row r="344" spans="3:3" x14ac:dyDescent="0.2">
      <c r="C344"/>
    </row>
    <row r="345" spans="3:3" x14ac:dyDescent="0.2">
      <c r="C345"/>
    </row>
    <row r="346" spans="3:3" x14ac:dyDescent="0.2">
      <c r="C346"/>
    </row>
    <row r="347" spans="3:3" x14ac:dyDescent="0.2">
      <c r="C347"/>
    </row>
    <row r="348" spans="3:3" x14ac:dyDescent="0.2">
      <c r="C348"/>
    </row>
    <row r="349" spans="3:3" x14ac:dyDescent="0.2">
      <c r="C349"/>
    </row>
    <row r="350" spans="3:3" x14ac:dyDescent="0.2">
      <c r="C350"/>
    </row>
    <row r="351" spans="3:3" x14ac:dyDescent="0.2">
      <c r="C351"/>
    </row>
    <row r="352" spans="3:3" x14ac:dyDescent="0.2">
      <c r="C352"/>
    </row>
    <row r="353" spans="3:3" x14ac:dyDescent="0.2">
      <c r="C353"/>
    </row>
    <row r="354" spans="3:3" x14ac:dyDescent="0.2">
      <c r="C354"/>
    </row>
    <row r="355" spans="3:3" x14ac:dyDescent="0.2">
      <c r="C355"/>
    </row>
    <row r="356" spans="3:3" x14ac:dyDescent="0.2">
      <c r="C356"/>
    </row>
    <row r="357" spans="3:3" x14ac:dyDescent="0.2">
      <c r="C357"/>
    </row>
    <row r="358" spans="3:3" x14ac:dyDescent="0.2">
      <c r="C358"/>
    </row>
    <row r="359" spans="3:3" x14ac:dyDescent="0.2">
      <c r="C359"/>
    </row>
    <row r="360" spans="3:3" x14ac:dyDescent="0.2">
      <c r="C360"/>
    </row>
    <row r="361" spans="3:3" x14ac:dyDescent="0.2">
      <c r="C361"/>
    </row>
    <row r="362" spans="3:3" x14ac:dyDescent="0.2">
      <c r="C362"/>
    </row>
    <row r="363" spans="3:3" x14ac:dyDescent="0.2">
      <c r="C363"/>
    </row>
    <row r="364" spans="3:3" x14ac:dyDescent="0.2">
      <c r="C364"/>
    </row>
    <row r="365" spans="3:3" x14ac:dyDescent="0.2">
      <c r="C365"/>
    </row>
    <row r="366" spans="3:3" x14ac:dyDescent="0.2">
      <c r="C366"/>
    </row>
    <row r="367" spans="3:3" x14ac:dyDescent="0.2">
      <c r="C367"/>
    </row>
    <row r="368" spans="3:3" x14ac:dyDescent="0.2">
      <c r="C368"/>
    </row>
    <row r="369" spans="3:3" x14ac:dyDescent="0.2">
      <c r="C369"/>
    </row>
    <row r="370" spans="3:3" x14ac:dyDescent="0.2">
      <c r="C370"/>
    </row>
    <row r="371" spans="3:3" x14ac:dyDescent="0.2">
      <c r="C371"/>
    </row>
    <row r="372" spans="3:3" x14ac:dyDescent="0.2">
      <c r="C372"/>
    </row>
    <row r="373" spans="3:3" x14ac:dyDescent="0.2">
      <c r="C373"/>
    </row>
    <row r="374" spans="3:3" x14ac:dyDescent="0.2">
      <c r="C374"/>
    </row>
    <row r="375" spans="3:3" x14ac:dyDescent="0.2">
      <c r="C375"/>
    </row>
    <row r="376" spans="3:3" x14ac:dyDescent="0.2">
      <c r="C376"/>
    </row>
    <row r="377" spans="3:3" x14ac:dyDescent="0.2">
      <c r="C377"/>
    </row>
    <row r="378" spans="3:3" x14ac:dyDescent="0.2">
      <c r="C378"/>
    </row>
    <row r="379" spans="3:3" x14ac:dyDescent="0.2">
      <c r="C379"/>
    </row>
    <row r="380" spans="3:3" x14ac:dyDescent="0.2">
      <c r="C380"/>
    </row>
    <row r="381" spans="3:3" x14ac:dyDescent="0.2">
      <c r="C381"/>
    </row>
    <row r="382" spans="3:3" x14ac:dyDescent="0.2">
      <c r="C382"/>
    </row>
    <row r="383" spans="3:3" x14ac:dyDescent="0.2">
      <c r="C383"/>
    </row>
    <row r="384" spans="3:3" x14ac:dyDescent="0.2">
      <c r="C384"/>
    </row>
    <row r="385" spans="3:3" x14ac:dyDescent="0.2">
      <c r="C385"/>
    </row>
    <row r="386" spans="3:3" x14ac:dyDescent="0.2">
      <c r="C386"/>
    </row>
    <row r="387" spans="3:3" x14ac:dyDescent="0.2">
      <c r="C387"/>
    </row>
    <row r="388" spans="3:3" x14ac:dyDescent="0.2">
      <c r="C388"/>
    </row>
    <row r="389" spans="3:3" x14ac:dyDescent="0.2">
      <c r="C389"/>
    </row>
    <row r="390" spans="3:3" x14ac:dyDescent="0.2">
      <c r="C390"/>
    </row>
    <row r="391" spans="3:3" x14ac:dyDescent="0.2">
      <c r="C391"/>
    </row>
    <row r="392" spans="3:3" x14ac:dyDescent="0.2">
      <c r="C392"/>
    </row>
    <row r="393" spans="3:3" x14ac:dyDescent="0.2">
      <c r="C393"/>
    </row>
    <row r="394" spans="3:3" x14ac:dyDescent="0.2">
      <c r="C394"/>
    </row>
    <row r="395" spans="3:3" x14ac:dyDescent="0.2">
      <c r="C395"/>
    </row>
    <row r="396" spans="3:3" x14ac:dyDescent="0.2">
      <c r="C396"/>
    </row>
    <row r="397" spans="3:3" x14ac:dyDescent="0.2">
      <c r="C397"/>
    </row>
    <row r="398" spans="3:3" x14ac:dyDescent="0.2">
      <c r="C398"/>
    </row>
    <row r="399" spans="3:3" x14ac:dyDescent="0.2">
      <c r="C399"/>
    </row>
    <row r="400" spans="3:3" x14ac:dyDescent="0.2">
      <c r="C400"/>
    </row>
    <row r="401" spans="3:3" x14ac:dyDescent="0.2">
      <c r="C401"/>
    </row>
    <row r="402" spans="3:3" x14ac:dyDescent="0.2">
      <c r="C402"/>
    </row>
    <row r="403" spans="3:3" x14ac:dyDescent="0.2">
      <c r="C403"/>
    </row>
    <row r="404" spans="3:3" x14ac:dyDescent="0.2">
      <c r="C404"/>
    </row>
    <row r="405" spans="3:3" x14ac:dyDescent="0.2">
      <c r="C405"/>
    </row>
    <row r="406" spans="3:3" x14ac:dyDescent="0.2">
      <c r="C406"/>
    </row>
    <row r="407" spans="3:3" x14ac:dyDescent="0.2">
      <c r="C407"/>
    </row>
    <row r="408" spans="3:3" x14ac:dyDescent="0.2">
      <c r="C408"/>
    </row>
    <row r="409" spans="3:3" x14ac:dyDescent="0.2">
      <c r="C409"/>
    </row>
    <row r="410" spans="3:3" x14ac:dyDescent="0.2">
      <c r="C410"/>
    </row>
    <row r="411" spans="3:3" x14ac:dyDescent="0.2">
      <c r="C411"/>
    </row>
    <row r="412" spans="3:3" x14ac:dyDescent="0.2">
      <c r="C412"/>
    </row>
    <row r="413" spans="3:3" x14ac:dyDescent="0.2">
      <c r="C413"/>
    </row>
    <row r="414" spans="3:3" x14ac:dyDescent="0.2">
      <c r="C414"/>
    </row>
    <row r="415" spans="3:3" x14ac:dyDescent="0.2">
      <c r="C415"/>
    </row>
    <row r="416" spans="3:3" x14ac:dyDescent="0.2">
      <c r="C416"/>
    </row>
    <row r="417" spans="3:3" x14ac:dyDescent="0.2">
      <c r="C417"/>
    </row>
    <row r="418" spans="3:3" x14ac:dyDescent="0.2">
      <c r="C418"/>
    </row>
    <row r="419" spans="3:3" x14ac:dyDescent="0.2">
      <c r="C419"/>
    </row>
    <row r="420" spans="3:3" x14ac:dyDescent="0.2">
      <c r="C420"/>
    </row>
    <row r="421" spans="3:3" x14ac:dyDescent="0.2">
      <c r="C421"/>
    </row>
    <row r="422" spans="3:3" x14ac:dyDescent="0.2">
      <c r="C422"/>
    </row>
    <row r="423" spans="3:3" x14ac:dyDescent="0.2">
      <c r="C423"/>
    </row>
    <row r="424" spans="3:3" x14ac:dyDescent="0.2">
      <c r="C424"/>
    </row>
    <row r="425" spans="3:3" x14ac:dyDescent="0.2">
      <c r="C425"/>
    </row>
    <row r="426" spans="3:3" x14ac:dyDescent="0.2">
      <c r="C426"/>
    </row>
    <row r="427" spans="3:3" x14ac:dyDescent="0.2">
      <c r="C427"/>
    </row>
    <row r="428" spans="3:3" x14ac:dyDescent="0.2">
      <c r="C428"/>
    </row>
    <row r="429" spans="3:3" x14ac:dyDescent="0.2">
      <c r="C429"/>
    </row>
    <row r="430" spans="3:3" x14ac:dyDescent="0.2">
      <c r="C430"/>
    </row>
    <row r="431" spans="3:3" x14ac:dyDescent="0.2">
      <c r="C431"/>
    </row>
    <row r="432" spans="3:3" x14ac:dyDescent="0.2">
      <c r="C432"/>
    </row>
    <row r="433" spans="3:3" x14ac:dyDescent="0.2">
      <c r="C433"/>
    </row>
    <row r="434" spans="3:3" x14ac:dyDescent="0.2">
      <c r="C434"/>
    </row>
    <row r="435" spans="3:3" x14ac:dyDescent="0.2">
      <c r="C435"/>
    </row>
    <row r="436" spans="3:3" x14ac:dyDescent="0.2">
      <c r="C436"/>
    </row>
    <row r="437" spans="3:3" x14ac:dyDescent="0.2">
      <c r="C437"/>
    </row>
    <row r="438" spans="3:3" x14ac:dyDescent="0.2">
      <c r="C438"/>
    </row>
    <row r="439" spans="3:3" x14ac:dyDescent="0.2">
      <c r="C439"/>
    </row>
    <row r="440" spans="3:3" x14ac:dyDescent="0.2">
      <c r="C440"/>
    </row>
    <row r="441" spans="3:3" x14ac:dyDescent="0.2">
      <c r="C441"/>
    </row>
    <row r="442" spans="3:3" x14ac:dyDescent="0.2">
      <c r="C442"/>
    </row>
    <row r="443" spans="3:3" x14ac:dyDescent="0.2">
      <c r="C443"/>
    </row>
    <row r="444" spans="3:3" x14ac:dyDescent="0.2">
      <c r="C444"/>
    </row>
    <row r="445" spans="3:3" x14ac:dyDescent="0.2">
      <c r="C445"/>
    </row>
    <row r="446" spans="3:3" x14ac:dyDescent="0.2">
      <c r="C446"/>
    </row>
    <row r="447" spans="3:3" x14ac:dyDescent="0.2">
      <c r="C447"/>
    </row>
    <row r="448" spans="3:3" x14ac:dyDescent="0.2">
      <c r="C448"/>
    </row>
    <row r="449" spans="3:3" x14ac:dyDescent="0.2">
      <c r="C449"/>
    </row>
    <row r="450" spans="3:3" x14ac:dyDescent="0.2">
      <c r="C450"/>
    </row>
    <row r="451" spans="3:3" x14ac:dyDescent="0.2">
      <c r="C451"/>
    </row>
    <row r="452" spans="3:3" x14ac:dyDescent="0.2">
      <c r="C452"/>
    </row>
    <row r="453" spans="3:3" x14ac:dyDescent="0.2">
      <c r="C453"/>
    </row>
    <row r="454" spans="3:3" x14ac:dyDescent="0.2">
      <c r="C454"/>
    </row>
    <row r="455" spans="3:3" x14ac:dyDescent="0.2">
      <c r="C455"/>
    </row>
    <row r="456" spans="3:3" x14ac:dyDescent="0.2">
      <c r="C456"/>
    </row>
    <row r="457" spans="3:3" x14ac:dyDescent="0.2">
      <c r="C457"/>
    </row>
    <row r="458" spans="3:3" x14ac:dyDescent="0.2">
      <c r="C458"/>
    </row>
    <row r="459" spans="3:3" x14ac:dyDescent="0.2">
      <c r="C459"/>
    </row>
    <row r="460" spans="3:3" x14ac:dyDescent="0.2">
      <c r="C460"/>
    </row>
    <row r="461" spans="3:3" x14ac:dyDescent="0.2">
      <c r="C461"/>
    </row>
    <row r="462" spans="3:3" x14ac:dyDescent="0.2">
      <c r="C462"/>
    </row>
    <row r="463" spans="3:3" x14ac:dyDescent="0.2">
      <c r="C463"/>
    </row>
    <row r="464" spans="3:3" x14ac:dyDescent="0.2">
      <c r="C464"/>
    </row>
    <row r="465" spans="3:3" x14ac:dyDescent="0.2">
      <c r="C465"/>
    </row>
    <row r="466" spans="3:3" x14ac:dyDescent="0.2">
      <c r="C466"/>
    </row>
    <row r="467" spans="3:3" x14ac:dyDescent="0.2">
      <c r="C467"/>
    </row>
    <row r="468" spans="3:3" x14ac:dyDescent="0.2">
      <c r="C468"/>
    </row>
    <row r="469" spans="3:3" x14ac:dyDescent="0.2">
      <c r="C469"/>
    </row>
    <row r="470" spans="3:3" x14ac:dyDescent="0.2">
      <c r="C470"/>
    </row>
    <row r="471" spans="3:3" x14ac:dyDescent="0.2">
      <c r="C471"/>
    </row>
    <row r="472" spans="3:3" x14ac:dyDescent="0.2">
      <c r="C472"/>
    </row>
    <row r="473" spans="3:3" x14ac:dyDescent="0.2">
      <c r="C473"/>
    </row>
    <row r="474" spans="3:3" x14ac:dyDescent="0.2">
      <c r="C474"/>
    </row>
    <row r="475" spans="3:3" x14ac:dyDescent="0.2">
      <c r="C475"/>
    </row>
    <row r="476" spans="3:3" x14ac:dyDescent="0.2">
      <c r="C476"/>
    </row>
    <row r="477" spans="3:3" x14ac:dyDescent="0.2">
      <c r="C477"/>
    </row>
    <row r="478" spans="3:3" x14ac:dyDescent="0.2">
      <c r="C478"/>
    </row>
    <row r="479" spans="3:3" x14ac:dyDescent="0.2">
      <c r="C479"/>
    </row>
    <row r="480" spans="3:3" x14ac:dyDescent="0.2">
      <c r="C480"/>
    </row>
    <row r="481" spans="3:3" x14ac:dyDescent="0.2">
      <c r="C481"/>
    </row>
    <row r="482" spans="3:3" x14ac:dyDescent="0.2">
      <c r="C482"/>
    </row>
    <row r="483" spans="3:3" x14ac:dyDescent="0.2">
      <c r="C483"/>
    </row>
    <row r="484" spans="3:3" x14ac:dyDescent="0.2">
      <c r="C484"/>
    </row>
    <row r="485" spans="3:3" x14ac:dyDescent="0.2">
      <c r="C485"/>
    </row>
    <row r="486" spans="3:3" x14ac:dyDescent="0.2">
      <c r="C486"/>
    </row>
    <row r="487" spans="3:3" x14ac:dyDescent="0.2">
      <c r="C487"/>
    </row>
    <row r="488" spans="3:3" x14ac:dyDescent="0.2">
      <c r="C488"/>
    </row>
    <row r="489" spans="3:3" x14ac:dyDescent="0.2">
      <c r="C489"/>
    </row>
    <row r="490" spans="3:3" x14ac:dyDescent="0.2">
      <c r="C490"/>
    </row>
    <row r="491" spans="3:3" x14ac:dyDescent="0.2">
      <c r="C491"/>
    </row>
    <row r="492" spans="3:3" x14ac:dyDescent="0.2">
      <c r="C492"/>
    </row>
    <row r="493" spans="3:3" x14ac:dyDescent="0.2">
      <c r="C493"/>
    </row>
    <row r="494" spans="3:3" x14ac:dyDescent="0.2">
      <c r="C494"/>
    </row>
    <row r="495" spans="3:3" x14ac:dyDescent="0.2">
      <c r="C495"/>
    </row>
    <row r="496" spans="3:3" x14ac:dyDescent="0.2">
      <c r="C496"/>
    </row>
    <row r="497" spans="3:3" x14ac:dyDescent="0.2">
      <c r="C497"/>
    </row>
    <row r="498" spans="3:3" x14ac:dyDescent="0.2">
      <c r="C498"/>
    </row>
    <row r="499" spans="3:3" x14ac:dyDescent="0.2">
      <c r="C499"/>
    </row>
    <row r="500" spans="3:3" x14ac:dyDescent="0.2">
      <c r="C500"/>
    </row>
    <row r="501" spans="3:3" x14ac:dyDescent="0.2">
      <c r="C501"/>
    </row>
    <row r="502" spans="3:3" x14ac:dyDescent="0.2">
      <c r="C502"/>
    </row>
    <row r="503" spans="3:3" x14ac:dyDescent="0.2">
      <c r="C503"/>
    </row>
    <row r="504" spans="3:3" x14ac:dyDescent="0.2">
      <c r="C504"/>
    </row>
    <row r="505" spans="3:3" x14ac:dyDescent="0.2">
      <c r="C505"/>
    </row>
    <row r="506" spans="3:3" x14ac:dyDescent="0.2">
      <c r="C506"/>
    </row>
    <row r="507" spans="3:3" x14ac:dyDescent="0.2">
      <c r="C507"/>
    </row>
    <row r="508" spans="3:3" x14ac:dyDescent="0.2">
      <c r="C508"/>
    </row>
    <row r="509" spans="3:3" x14ac:dyDescent="0.2">
      <c r="C509"/>
    </row>
    <row r="510" spans="3:3" x14ac:dyDescent="0.2">
      <c r="C510"/>
    </row>
    <row r="511" spans="3:3" x14ac:dyDescent="0.2">
      <c r="C511"/>
    </row>
    <row r="512" spans="3:3" x14ac:dyDescent="0.2">
      <c r="C512"/>
    </row>
    <row r="513" spans="3:3" x14ac:dyDescent="0.2">
      <c r="C513"/>
    </row>
    <row r="514" spans="3:3" x14ac:dyDescent="0.2">
      <c r="C514"/>
    </row>
    <row r="515" spans="3:3" x14ac:dyDescent="0.2">
      <c r="C515"/>
    </row>
    <row r="516" spans="3:3" x14ac:dyDescent="0.2">
      <c r="C516"/>
    </row>
    <row r="517" spans="3:3" x14ac:dyDescent="0.2">
      <c r="C517"/>
    </row>
    <row r="518" spans="3:3" x14ac:dyDescent="0.2">
      <c r="C518"/>
    </row>
    <row r="519" spans="3:3" x14ac:dyDescent="0.2">
      <c r="C519"/>
    </row>
    <row r="520" spans="3:3" x14ac:dyDescent="0.2">
      <c r="C520"/>
    </row>
    <row r="521" spans="3:3" x14ac:dyDescent="0.2">
      <c r="C521"/>
    </row>
    <row r="522" spans="3:3" x14ac:dyDescent="0.2">
      <c r="C522"/>
    </row>
    <row r="523" spans="3:3" x14ac:dyDescent="0.2">
      <c r="C523"/>
    </row>
    <row r="524" spans="3:3" x14ac:dyDescent="0.2">
      <c r="C524"/>
    </row>
    <row r="525" spans="3:3" x14ac:dyDescent="0.2">
      <c r="C525"/>
    </row>
    <row r="526" spans="3:3" x14ac:dyDescent="0.2">
      <c r="C526"/>
    </row>
    <row r="527" spans="3:3" x14ac:dyDescent="0.2">
      <c r="C527"/>
    </row>
    <row r="528" spans="3:3" x14ac:dyDescent="0.2">
      <c r="C528"/>
    </row>
    <row r="529" spans="3:3" x14ac:dyDescent="0.2">
      <c r="C529"/>
    </row>
    <row r="530" spans="3:3" x14ac:dyDescent="0.2">
      <c r="C530"/>
    </row>
    <row r="531" spans="3:3" x14ac:dyDescent="0.2">
      <c r="C531"/>
    </row>
    <row r="532" spans="3:3" x14ac:dyDescent="0.2">
      <c r="C532"/>
    </row>
    <row r="533" spans="3:3" x14ac:dyDescent="0.2">
      <c r="C533"/>
    </row>
    <row r="534" spans="3:3" x14ac:dyDescent="0.2">
      <c r="C534"/>
    </row>
    <row r="535" spans="3:3" x14ac:dyDescent="0.2">
      <c r="C535"/>
    </row>
    <row r="536" spans="3:3" x14ac:dyDescent="0.2">
      <c r="C536"/>
    </row>
    <row r="537" spans="3:3" x14ac:dyDescent="0.2">
      <c r="C537"/>
    </row>
    <row r="538" spans="3:3" x14ac:dyDescent="0.2">
      <c r="C538"/>
    </row>
    <row r="539" spans="3:3" x14ac:dyDescent="0.2">
      <c r="C539"/>
    </row>
    <row r="540" spans="3:3" x14ac:dyDescent="0.2">
      <c r="C540"/>
    </row>
    <row r="541" spans="3:3" x14ac:dyDescent="0.2">
      <c r="C541"/>
    </row>
    <row r="542" spans="3:3" x14ac:dyDescent="0.2">
      <c r="C542"/>
    </row>
    <row r="543" spans="3:3" x14ac:dyDescent="0.2">
      <c r="C543"/>
    </row>
    <row r="544" spans="3:3" x14ac:dyDescent="0.2">
      <c r="C544"/>
    </row>
    <row r="545" spans="3:3" x14ac:dyDescent="0.2">
      <c r="C545"/>
    </row>
    <row r="546" spans="3:3" x14ac:dyDescent="0.2">
      <c r="C546"/>
    </row>
    <row r="547" spans="3:3" x14ac:dyDescent="0.2">
      <c r="C547"/>
    </row>
    <row r="548" spans="3:3" x14ac:dyDescent="0.2">
      <c r="C548"/>
    </row>
    <row r="549" spans="3:3" x14ac:dyDescent="0.2">
      <c r="C549"/>
    </row>
    <row r="550" spans="3:3" x14ac:dyDescent="0.2">
      <c r="C550"/>
    </row>
    <row r="551" spans="3:3" x14ac:dyDescent="0.2">
      <c r="C551"/>
    </row>
    <row r="552" spans="3:3" x14ac:dyDescent="0.2">
      <c r="C552"/>
    </row>
    <row r="553" spans="3:3" x14ac:dyDescent="0.2">
      <c r="C553"/>
    </row>
    <row r="554" spans="3:3" x14ac:dyDescent="0.2">
      <c r="C554"/>
    </row>
    <row r="555" spans="3:3" x14ac:dyDescent="0.2">
      <c r="C555"/>
    </row>
    <row r="556" spans="3:3" x14ac:dyDescent="0.2">
      <c r="C556"/>
    </row>
    <row r="557" spans="3:3" x14ac:dyDescent="0.2">
      <c r="C557"/>
    </row>
    <row r="558" spans="3:3" x14ac:dyDescent="0.2">
      <c r="C558"/>
    </row>
    <row r="559" spans="3:3" x14ac:dyDescent="0.2">
      <c r="C559"/>
    </row>
    <row r="560" spans="3:3" x14ac:dyDescent="0.2">
      <c r="C560"/>
    </row>
    <row r="561" spans="3:3" x14ac:dyDescent="0.2">
      <c r="C561"/>
    </row>
    <row r="562" spans="3:3" x14ac:dyDescent="0.2">
      <c r="C562"/>
    </row>
    <row r="563" spans="3:3" x14ac:dyDescent="0.2">
      <c r="C563"/>
    </row>
    <row r="564" spans="3:3" x14ac:dyDescent="0.2">
      <c r="C564"/>
    </row>
    <row r="565" spans="3:3" x14ac:dyDescent="0.2">
      <c r="C565"/>
    </row>
    <row r="566" spans="3:3" x14ac:dyDescent="0.2">
      <c r="C566"/>
    </row>
    <row r="567" spans="3:3" x14ac:dyDescent="0.2">
      <c r="C567"/>
    </row>
    <row r="568" spans="3:3" x14ac:dyDescent="0.2">
      <c r="C568"/>
    </row>
    <row r="569" spans="3:3" x14ac:dyDescent="0.2">
      <c r="C569"/>
    </row>
    <row r="570" spans="3:3" x14ac:dyDescent="0.2">
      <c r="C570"/>
    </row>
    <row r="571" spans="3:3" x14ac:dyDescent="0.2">
      <c r="C571"/>
    </row>
    <row r="572" spans="3:3" x14ac:dyDescent="0.2">
      <c r="C572"/>
    </row>
    <row r="573" spans="3:3" x14ac:dyDescent="0.2">
      <c r="C573"/>
    </row>
    <row r="574" spans="3:3" x14ac:dyDescent="0.2">
      <c r="C574"/>
    </row>
    <row r="575" spans="3:3" x14ac:dyDescent="0.2">
      <c r="C575"/>
    </row>
    <row r="576" spans="3:3" x14ac:dyDescent="0.2">
      <c r="C576"/>
    </row>
    <row r="577" spans="3:3" x14ac:dyDescent="0.2">
      <c r="C577"/>
    </row>
    <row r="578" spans="3:3" x14ac:dyDescent="0.2">
      <c r="C578"/>
    </row>
    <row r="579" spans="3:3" x14ac:dyDescent="0.2">
      <c r="C579"/>
    </row>
    <row r="580" spans="3:3" x14ac:dyDescent="0.2">
      <c r="C580"/>
    </row>
    <row r="581" spans="3:3" x14ac:dyDescent="0.2">
      <c r="C581"/>
    </row>
    <row r="582" spans="3:3" x14ac:dyDescent="0.2">
      <c r="C582"/>
    </row>
    <row r="583" spans="3:3" x14ac:dyDescent="0.2">
      <c r="C583"/>
    </row>
    <row r="584" spans="3:3" x14ac:dyDescent="0.2">
      <c r="C584"/>
    </row>
    <row r="585" spans="3:3" x14ac:dyDescent="0.2">
      <c r="C585"/>
    </row>
    <row r="586" spans="3:3" x14ac:dyDescent="0.2">
      <c r="C586"/>
    </row>
    <row r="587" spans="3:3" x14ac:dyDescent="0.2">
      <c r="C587"/>
    </row>
    <row r="588" spans="3:3" x14ac:dyDescent="0.2">
      <c r="C588"/>
    </row>
    <row r="589" spans="3:3" x14ac:dyDescent="0.2">
      <c r="C589"/>
    </row>
    <row r="590" spans="3:3" x14ac:dyDescent="0.2">
      <c r="C590"/>
    </row>
    <row r="591" spans="3:3" x14ac:dyDescent="0.2">
      <c r="C591"/>
    </row>
    <row r="592" spans="3:3" x14ac:dyDescent="0.2">
      <c r="C592"/>
    </row>
    <row r="593" spans="3:3" x14ac:dyDescent="0.2">
      <c r="C593"/>
    </row>
    <row r="594" spans="3:3" x14ac:dyDescent="0.2">
      <c r="C594"/>
    </row>
    <row r="595" spans="3:3" x14ac:dyDescent="0.2">
      <c r="C595"/>
    </row>
    <row r="596" spans="3:3" x14ac:dyDescent="0.2">
      <c r="C596"/>
    </row>
    <row r="597" spans="3:3" x14ac:dyDescent="0.2">
      <c r="C597"/>
    </row>
    <row r="598" spans="3:3" x14ac:dyDescent="0.2">
      <c r="C598"/>
    </row>
    <row r="599" spans="3:3" x14ac:dyDescent="0.2">
      <c r="C599"/>
    </row>
    <row r="600" spans="3:3" x14ac:dyDescent="0.2">
      <c r="C600"/>
    </row>
    <row r="601" spans="3:3" x14ac:dyDescent="0.2">
      <c r="C601"/>
    </row>
    <row r="602" spans="3:3" x14ac:dyDescent="0.2">
      <c r="C602"/>
    </row>
    <row r="603" spans="3:3" x14ac:dyDescent="0.2">
      <c r="C603"/>
    </row>
    <row r="604" spans="3:3" x14ac:dyDescent="0.2">
      <c r="C604"/>
    </row>
    <row r="605" spans="3:3" x14ac:dyDescent="0.2">
      <c r="C605"/>
    </row>
    <row r="606" spans="3:3" x14ac:dyDescent="0.2">
      <c r="C606"/>
    </row>
    <row r="607" spans="3:3" x14ac:dyDescent="0.2">
      <c r="C607"/>
    </row>
    <row r="608" spans="3:3" x14ac:dyDescent="0.2">
      <c r="C608"/>
    </row>
    <row r="609" spans="3:3" x14ac:dyDescent="0.2">
      <c r="C609"/>
    </row>
    <row r="610" spans="3:3" x14ac:dyDescent="0.2">
      <c r="C610"/>
    </row>
    <row r="611" spans="3:3" x14ac:dyDescent="0.2">
      <c r="C611"/>
    </row>
    <row r="612" spans="3:3" x14ac:dyDescent="0.2">
      <c r="C612"/>
    </row>
    <row r="613" spans="3:3" x14ac:dyDescent="0.2">
      <c r="C613"/>
    </row>
    <row r="614" spans="3:3" x14ac:dyDescent="0.2">
      <c r="C614"/>
    </row>
    <row r="615" spans="3:3" x14ac:dyDescent="0.2">
      <c r="C615"/>
    </row>
    <row r="616" spans="3:3" x14ac:dyDescent="0.2">
      <c r="C616"/>
    </row>
    <row r="617" spans="3:3" x14ac:dyDescent="0.2">
      <c r="C617"/>
    </row>
    <row r="618" spans="3:3" x14ac:dyDescent="0.2">
      <c r="C618"/>
    </row>
    <row r="619" spans="3:3" x14ac:dyDescent="0.2">
      <c r="C619"/>
    </row>
    <row r="620" spans="3:3" x14ac:dyDescent="0.2">
      <c r="C620"/>
    </row>
    <row r="621" spans="3:3" x14ac:dyDescent="0.2">
      <c r="C621"/>
    </row>
    <row r="622" spans="3:3" x14ac:dyDescent="0.2">
      <c r="C622"/>
    </row>
    <row r="623" spans="3:3" x14ac:dyDescent="0.2">
      <c r="C623"/>
    </row>
    <row r="624" spans="3:3" x14ac:dyDescent="0.2">
      <c r="C624"/>
    </row>
    <row r="625" spans="3:3" x14ac:dyDescent="0.2">
      <c r="C625"/>
    </row>
    <row r="626" spans="3:3" x14ac:dyDescent="0.2">
      <c r="C626"/>
    </row>
    <row r="627" spans="3:3" x14ac:dyDescent="0.2">
      <c r="C627"/>
    </row>
    <row r="628" spans="3:3" x14ac:dyDescent="0.2">
      <c r="C628"/>
    </row>
    <row r="629" spans="3:3" x14ac:dyDescent="0.2">
      <c r="C629"/>
    </row>
    <row r="630" spans="3:3" x14ac:dyDescent="0.2">
      <c r="C630"/>
    </row>
    <row r="631" spans="3:3" x14ac:dyDescent="0.2">
      <c r="C631"/>
    </row>
    <row r="632" spans="3:3" x14ac:dyDescent="0.2">
      <c r="C632"/>
    </row>
    <row r="633" spans="3:3" x14ac:dyDescent="0.2">
      <c r="C633"/>
    </row>
    <row r="634" spans="3:3" x14ac:dyDescent="0.2">
      <c r="C634"/>
    </row>
    <row r="635" spans="3:3" x14ac:dyDescent="0.2">
      <c r="C635"/>
    </row>
    <row r="636" spans="3:3" x14ac:dyDescent="0.2">
      <c r="C636"/>
    </row>
    <row r="637" spans="3:3" x14ac:dyDescent="0.2">
      <c r="C637"/>
    </row>
    <row r="638" spans="3:3" x14ac:dyDescent="0.2">
      <c r="C638"/>
    </row>
    <row r="639" spans="3:3" x14ac:dyDescent="0.2">
      <c r="C639"/>
    </row>
    <row r="640" spans="3:3" x14ac:dyDescent="0.2">
      <c r="C640"/>
    </row>
    <row r="641" spans="3:3" x14ac:dyDescent="0.2">
      <c r="C641"/>
    </row>
    <row r="642" spans="3:3" x14ac:dyDescent="0.2">
      <c r="C642"/>
    </row>
    <row r="643" spans="3:3" x14ac:dyDescent="0.2">
      <c r="C643"/>
    </row>
    <row r="644" spans="3:3" x14ac:dyDescent="0.2">
      <c r="C644"/>
    </row>
    <row r="645" spans="3:3" x14ac:dyDescent="0.2">
      <c r="C645"/>
    </row>
    <row r="646" spans="3:3" x14ac:dyDescent="0.2">
      <c r="C646"/>
    </row>
    <row r="647" spans="3:3" x14ac:dyDescent="0.2">
      <c r="C647"/>
    </row>
    <row r="648" spans="3:3" x14ac:dyDescent="0.2">
      <c r="C648"/>
    </row>
    <row r="649" spans="3:3" x14ac:dyDescent="0.2">
      <c r="C649"/>
    </row>
    <row r="650" spans="3:3" x14ac:dyDescent="0.2">
      <c r="C650"/>
    </row>
    <row r="651" spans="3:3" x14ac:dyDescent="0.2">
      <c r="C651"/>
    </row>
    <row r="652" spans="3:3" x14ac:dyDescent="0.2">
      <c r="C652"/>
    </row>
    <row r="653" spans="3:3" x14ac:dyDescent="0.2">
      <c r="C653"/>
    </row>
    <row r="654" spans="3:3" x14ac:dyDescent="0.2">
      <c r="C654"/>
    </row>
    <row r="655" spans="3:3" x14ac:dyDescent="0.2">
      <c r="C655"/>
    </row>
    <row r="656" spans="3:3" x14ac:dyDescent="0.2">
      <c r="C656"/>
    </row>
    <row r="657" spans="3:3" x14ac:dyDescent="0.2">
      <c r="C657"/>
    </row>
    <row r="658" spans="3:3" x14ac:dyDescent="0.2">
      <c r="C658"/>
    </row>
    <row r="659" spans="3:3" x14ac:dyDescent="0.2">
      <c r="C659"/>
    </row>
    <row r="660" spans="3:3" x14ac:dyDescent="0.2">
      <c r="C660"/>
    </row>
    <row r="661" spans="3:3" x14ac:dyDescent="0.2">
      <c r="C661"/>
    </row>
    <row r="662" spans="3:3" x14ac:dyDescent="0.2">
      <c r="C662"/>
    </row>
    <row r="663" spans="3:3" x14ac:dyDescent="0.2">
      <c r="C663"/>
    </row>
    <row r="664" spans="3:3" x14ac:dyDescent="0.2">
      <c r="C664"/>
    </row>
    <row r="665" spans="3:3" x14ac:dyDescent="0.2">
      <c r="C665"/>
    </row>
    <row r="666" spans="3:3" x14ac:dyDescent="0.2">
      <c r="C666"/>
    </row>
    <row r="667" spans="3:3" x14ac:dyDescent="0.2">
      <c r="C667"/>
    </row>
    <row r="668" spans="3:3" x14ac:dyDescent="0.2">
      <c r="C668"/>
    </row>
    <row r="669" spans="3:3" x14ac:dyDescent="0.2">
      <c r="C669"/>
    </row>
    <row r="670" spans="3:3" x14ac:dyDescent="0.2">
      <c r="C670"/>
    </row>
    <row r="671" spans="3:3" x14ac:dyDescent="0.2">
      <c r="C671"/>
    </row>
    <row r="672" spans="3:3" x14ac:dyDescent="0.2">
      <c r="C672"/>
    </row>
    <row r="673" spans="3:3" x14ac:dyDescent="0.2">
      <c r="C673"/>
    </row>
    <row r="674" spans="3:3" x14ac:dyDescent="0.2">
      <c r="C674"/>
    </row>
    <row r="675" spans="3:3" x14ac:dyDescent="0.2">
      <c r="C675"/>
    </row>
    <row r="676" spans="3:3" x14ac:dyDescent="0.2">
      <c r="C676"/>
    </row>
    <row r="677" spans="3:3" x14ac:dyDescent="0.2">
      <c r="C677"/>
    </row>
    <row r="678" spans="3:3" x14ac:dyDescent="0.2">
      <c r="C678"/>
    </row>
    <row r="679" spans="3:3" x14ac:dyDescent="0.2">
      <c r="C679"/>
    </row>
    <row r="680" spans="3:3" x14ac:dyDescent="0.2">
      <c r="C680"/>
    </row>
    <row r="681" spans="3:3" x14ac:dyDescent="0.2">
      <c r="C681"/>
    </row>
    <row r="682" spans="3:3" x14ac:dyDescent="0.2">
      <c r="C682"/>
    </row>
    <row r="683" spans="3:3" x14ac:dyDescent="0.2">
      <c r="C683"/>
    </row>
    <row r="684" spans="3:3" x14ac:dyDescent="0.2">
      <c r="C684"/>
    </row>
    <row r="685" spans="3:3" x14ac:dyDescent="0.2">
      <c r="C685"/>
    </row>
    <row r="686" spans="3:3" x14ac:dyDescent="0.2">
      <c r="C686"/>
    </row>
    <row r="687" spans="3:3" x14ac:dyDescent="0.2">
      <c r="C687"/>
    </row>
    <row r="688" spans="3:3" x14ac:dyDescent="0.2">
      <c r="C688"/>
    </row>
    <row r="689" spans="3:3" x14ac:dyDescent="0.2">
      <c r="C689"/>
    </row>
    <row r="690" spans="3:3" x14ac:dyDescent="0.2">
      <c r="C690"/>
    </row>
    <row r="691" spans="3:3" x14ac:dyDescent="0.2">
      <c r="C691"/>
    </row>
    <row r="692" spans="3:3" x14ac:dyDescent="0.2">
      <c r="C692"/>
    </row>
    <row r="693" spans="3:3" x14ac:dyDescent="0.2">
      <c r="C693"/>
    </row>
    <row r="694" spans="3:3" x14ac:dyDescent="0.2">
      <c r="C694"/>
    </row>
    <row r="695" spans="3:3" x14ac:dyDescent="0.2">
      <c r="C695"/>
    </row>
    <row r="696" spans="3:3" x14ac:dyDescent="0.2">
      <c r="C696"/>
    </row>
    <row r="697" spans="3:3" x14ac:dyDescent="0.2">
      <c r="C697"/>
    </row>
    <row r="698" spans="3:3" x14ac:dyDescent="0.2">
      <c r="C698"/>
    </row>
    <row r="699" spans="3:3" x14ac:dyDescent="0.2">
      <c r="C699"/>
    </row>
    <row r="700" spans="3:3" x14ac:dyDescent="0.2">
      <c r="C700"/>
    </row>
    <row r="701" spans="3:3" x14ac:dyDescent="0.2">
      <c r="C701"/>
    </row>
    <row r="702" spans="3:3" x14ac:dyDescent="0.2">
      <c r="C702"/>
    </row>
    <row r="703" spans="3:3" x14ac:dyDescent="0.2">
      <c r="C703"/>
    </row>
    <row r="704" spans="3:3" x14ac:dyDescent="0.2">
      <c r="C704"/>
    </row>
    <row r="705" spans="3:3" x14ac:dyDescent="0.2">
      <c r="C705"/>
    </row>
    <row r="706" spans="3:3" x14ac:dyDescent="0.2">
      <c r="C706"/>
    </row>
    <row r="707" spans="3:3" x14ac:dyDescent="0.2">
      <c r="C707"/>
    </row>
    <row r="708" spans="3:3" x14ac:dyDescent="0.2">
      <c r="C708"/>
    </row>
    <row r="709" spans="3:3" x14ac:dyDescent="0.2">
      <c r="C709"/>
    </row>
    <row r="710" spans="3:3" x14ac:dyDescent="0.2">
      <c r="C710"/>
    </row>
    <row r="711" spans="3:3" x14ac:dyDescent="0.2">
      <c r="C711"/>
    </row>
    <row r="712" spans="3:3" x14ac:dyDescent="0.2">
      <c r="C712"/>
    </row>
    <row r="713" spans="3:3" x14ac:dyDescent="0.2">
      <c r="C713"/>
    </row>
    <row r="714" spans="3:3" x14ac:dyDescent="0.2">
      <c r="C714"/>
    </row>
    <row r="715" spans="3:3" x14ac:dyDescent="0.2">
      <c r="C715"/>
    </row>
    <row r="716" spans="3:3" x14ac:dyDescent="0.2">
      <c r="C716"/>
    </row>
    <row r="717" spans="3:3" x14ac:dyDescent="0.2">
      <c r="C717"/>
    </row>
    <row r="718" spans="3:3" x14ac:dyDescent="0.2">
      <c r="C718"/>
    </row>
    <row r="719" spans="3:3" x14ac:dyDescent="0.2">
      <c r="C719"/>
    </row>
    <row r="720" spans="3:3" x14ac:dyDescent="0.2">
      <c r="C720"/>
    </row>
    <row r="721" spans="3:3" x14ac:dyDescent="0.2">
      <c r="C721"/>
    </row>
    <row r="722" spans="3:3" x14ac:dyDescent="0.2">
      <c r="C722"/>
    </row>
    <row r="723" spans="3:3" x14ac:dyDescent="0.2">
      <c r="C723"/>
    </row>
    <row r="724" spans="3:3" x14ac:dyDescent="0.2">
      <c r="C724"/>
    </row>
    <row r="725" spans="3:3" x14ac:dyDescent="0.2">
      <c r="C725"/>
    </row>
    <row r="726" spans="3:3" x14ac:dyDescent="0.2">
      <c r="C726"/>
    </row>
    <row r="727" spans="3:3" x14ac:dyDescent="0.2">
      <c r="C727"/>
    </row>
    <row r="728" spans="3:3" x14ac:dyDescent="0.2">
      <c r="C728"/>
    </row>
    <row r="729" spans="3:3" x14ac:dyDescent="0.2">
      <c r="C729"/>
    </row>
    <row r="730" spans="3:3" x14ac:dyDescent="0.2">
      <c r="C730"/>
    </row>
    <row r="731" spans="3:3" x14ac:dyDescent="0.2">
      <c r="C731"/>
    </row>
    <row r="732" spans="3:3" x14ac:dyDescent="0.2">
      <c r="C732"/>
    </row>
    <row r="733" spans="3:3" x14ac:dyDescent="0.2">
      <c r="C733"/>
    </row>
    <row r="734" spans="3:3" x14ac:dyDescent="0.2">
      <c r="C734"/>
    </row>
    <row r="735" spans="3:3" x14ac:dyDescent="0.2">
      <c r="C735"/>
    </row>
    <row r="736" spans="3:3" x14ac:dyDescent="0.2">
      <c r="C736"/>
    </row>
    <row r="737" spans="3:3" x14ac:dyDescent="0.2">
      <c r="C737"/>
    </row>
    <row r="738" spans="3:3" x14ac:dyDescent="0.2">
      <c r="C738"/>
    </row>
    <row r="739" spans="3:3" x14ac:dyDescent="0.2">
      <c r="C739"/>
    </row>
    <row r="740" spans="3:3" x14ac:dyDescent="0.2">
      <c r="C740"/>
    </row>
    <row r="741" spans="3:3" x14ac:dyDescent="0.2">
      <c r="C741"/>
    </row>
    <row r="742" spans="3:3" x14ac:dyDescent="0.2">
      <c r="C742"/>
    </row>
    <row r="743" spans="3:3" x14ac:dyDescent="0.2">
      <c r="C743"/>
    </row>
    <row r="744" spans="3:3" x14ac:dyDescent="0.2">
      <c r="C744"/>
    </row>
    <row r="745" spans="3:3" x14ac:dyDescent="0.2">
      <c r="C745"/>
    </row>
    <row r="746" spans="3:3" x14ac:dyDescent="0.2">
      <c r="C746"/>
    </row>
    <row r="747" spans="3:3" x14ac:dyDescent="0.2">
      <c r="C747"/>
    </row>
    <row r="748" spans="3:3" x14ac:dyDescent="0.2">
      <c r="C748"/>
    </row>
    <row r="749" spans="3:3" x14ac:dyDescent="0.2">
      <c r="C749"/>
    </row>
    <row r="750" spans="3:3" x14ac:dyDescent="0.2">
      <c r="C750"/>
    </row>
    <row r="751" spans="3:3" x14ac:dyDescent="0.2">
      <c r="C751"/>
    </row>
    <row r="752" spans="3:3" x14ac:dyDescent="0.2">
      <c r="C752"/>
    </row>
    <row r="753" spans="3:3" x14ac:dyDescent="0.2">
      <c r="C753"/>
    </row>
    <row r="754" spans="3:3" x14ac:dyDescent="0.2">
      <c r="C754"/>
    </row>
    <row r="755" spans="3:3" x14ac:dyDescent="0.2">
      <c r="C755"/>
    </row>
    <row r="756" spans="3:3" x14ac:dyDescent="0.2">
      <c r="C756"/>
    </row>
    <row r="757" spans="3:3" x14ac:dyDescent="0.2">
      <c r="C757"/>
    </row>
    <row r="758" spans="3:3" x14ac:dyDescent="0.2">
      <c r="C758"/>
    </row>
    <row r="759" spans="3:3" x14ac:dyDescent="0.2">
      <c r="C759"/>
    </row>
    <row r="760" spans="3:3" x14ac:dyDescent="0.2">
      <c r="C760"/>
    </row>
    <row r="761" spans="3:3" x14ac:dyDescent="0.2">
      <c r="C761"/>
    </row>
    <row r="762" spans="3:3" x14ac:dyDescent="0.2">
      <c r="C762"/>
    </row>
    <row r="763" spans="3:3" x14ac:dyDescent="0.2">
      <c r="C763"/>
    </row>
    <row r="764" spans="3:3" x14ac:dyDescent="0.2">
      <c r="C764"/>
    </row>
    <row r="765" spans="3:3" x14ac:dyDescent="0.2">
      <c r="C765"/>
    </row>
    <row r="766" spans="3:3" x14ac:dyDescent="0.2">
      <c r="C766"/>
    </row>
    <row r="767" spans="3:3" x14ac:dyDescent="0.2">
      <c r="C767"/>
    </row>
    <row r="768" spans="3:3" x14ac:dyDescent="0.2">
      <c r="C768"/>
    </row>
    <row r="769" spans="3:3" x14ac:dyDescent="0.2">
      <c r="C769"/>
    </row>
    <row r="770" spans="3:3" x14ac:dyDescent="0.2">
      <c r="C770"/>
    </row>
    <row r="771" spans="3:3" x14ac:dyDescent="0.2">
      <c r="C771"/>
    </row>
    <row r="772" spans="3:3" x14ac:dyDescent="0.2">
      <c r="C772"/>
    </row>
    <row r="773" spans="3:3" x14ac:dyDescent="0.2">
      <c r="C773"/>
    </row>
    <row r="774" spans="3:3" x14ac:dyDescent="0.2">
      <c r="C774"/>
    </row>
    <row r="775" spans="3:3" x14ac:dyDescent="0.2">
      <c r="C775"/>
    </row>
    <row r="776" spans="3:3" x14ac:dyDescent="0.2">
      <c r="C776"/>
    </row>
    <row r="777" spans="3:3" x14ac:dyDescent="0.2">
      <c r="C777"/>
    </row>
    <row r="778" spans="3:3" x14ac:dyDescent="0.2">
      <c r="C778"/>
    </row>
    <row r="779" spans="3:3" x14ac:dyDescent="0.2">
      <c r="C779"/>
    </row>
    <row r="780" spans="3:3" x14ac:dyDescent="0.2">
      <c r="C780"/>
    </row>
    <row r="781" spans="3:3" x14ac:dyDescent="0.2">
      <c r="C781"/>
    </row>
    <row r="782" spans="3:3" x14ac:dyDescent="0.2">
      <c r="C782"/>
    </row>
    <row r="783" spans="3:3" x14ac:dyDescent="0.2">
      <c r="C783"/>
    </row>
    <row r="784" spans="3:3" x14ac:dyDescent="0.2">
      <c r="C784"/>
    </row>
    <row r="785" spans="3:3" x14ac:dyDescent="0.2">
      <c r="C785"/>
    </row>
    <row r="786" spans="3:3" x14ac:dyDescent="0.2">
      <c r="C786"/>
    </row>
    <row r="787" spans="3:3" x14ac:dyDescent="0.2">
      <c r="C787"/>
    </row>
    <row r="788" spans="3:3" x14ac:dyDescent="0.2">
      <c r="C788"/>
    </row>
    <row r="789" spans="3:3" x14ac:dyDescent="0.2">
      <c r="C789"/>
    </row>
    <row r="790" spans="3:3" x14ac:dyDescent="0.2">
      <c r="C790"/>
    </row>
    <row r="791" spans="3:3" x14ac:dyDescent="0.2">
      <c r="C791"/>
    </row>
    <row r="792" spans="3:3" x14ac:dyDescent="0.2">
      <c r="C792"/>
    </row>
    <row r="793" spans="3:3" x14ac:dyDescent="0.2">
      <c r="C793"/>
    </row>
    <row r="794" spans="3:3" x14ac:dyDescent="0.2">
      <c r="C794"/>
    </row>
    <row r="795" spans="3:3" x14ac:dyDescent="0.2">
      <c r="C795"/>
    </row>
    <row r="796" spans="3:3" x14ac:dyDescent="0.2">
      <c r="C796"/>
    </row>
    <row r="797" spans="3:3" x14ac:dyDescent="0.2">
      <c r="C797"/>
    </row>
    <row r="798" spans="3:3" x14ac:dyDescent="0.2">
      <c r="C798"/>
    </row>
    <row r="799" spans="3:3" x14ac:dyDescent="0.2">
      <c r="C799"/>
    </row>
    <row r="800" spans="3:3" x14ac:dyDescent="0.2">
      <c r="C800"/>
    </row>
    <row r="801" spans="3:3" x14ac:dyDescent="0.2">
      <c r="C801"/>
    </row>
    <row r="802" spans="3:3" x14ac:dyDescent="0.2">
      <c r="C802"/>
    </row>
    <row r="803" spans="3:3" x14ac:dyDescent="0.2">
      <c r="C803"/>
    </row>
    <row r="804" spans="3:3" x14ac:dyDescent="0.2">
      <c r="C804"/>
    </row>
    <row r="805" spans="3:3" x14ac:dyDescent="0.2">
      <c r="C805"/>
    </row>
    <row r="806" spans="3:3" x14ac:dyDescent="0.2">
      <c r="C806"/>
    </row>
    <row r="807" spans="3:3" x14ac:dyDescent="0.2">
      <c r="C807"/>
    </row>
    <row r="808" spans="3:3" x14ac:dyDescent="0.2">
      <c r="C808"/>
    </row>
    <row r="809" spans="3:3" x14ac:dyDescent="0.2">
      <c r="C809"/>
    </row>
    <row r="810" spans="3:3" x14ac:dyDescent="0.2">
      <c r="C810"/>
    </row>
    <row r="811" spans="3:3" x14ac:dyDescent="0.2">
      <c r="C811"/>
    </row>
    <row r="812" spans="3:3" x14ac:dyDescent="0.2">
      <c r="C812"/>
    </row>
    <row r="813" spans="3:3" x14ac:dyDescent="0.2">
      <c r="C813"/>
    </row>
    <row r="814" spans="3:3" x14ac:dyDescent="0.2">
      <c r="C814"/>
    </row>
    <row r="815" spans="3:3" x14ac:dyDescent="0.2">
      <c r="C815"/>
    </row>
    <row r="816" spans="3:3" x14ac:dyDescent="0.2">
      <c r="C816"/>
    </row>
    <row r="817" spans="3:3" x14ac:dyDescent="0.2">
      <c r="C817"/>
    </row>
    <row r="818" spans="3:3" x14ac:dyDescent="0.2">
      <c r="C818"/>
    </row>
    <row r="819" spans="3:3" x14ac:dyDescent="0.2">
      <c r="C819"/>
    </row>
    <row r="820" spans="3:3" x14ac:dyDescent="0.2">
      <c r="C820"/>
    </row>
    <row r="821" spans="3:3" x14ac:dyDescent="0.2">
      <c r="C821"/>
    </row>
    <row r="822" spans="3:3" x14ac:dyDescent="0.2">
      <c r="C822"/>
    </row>
    <row r="823" spans="3:3" x14ac:dyDescent="0.2">
      <c r="C823"/>
    </row>
    <row r="824" spans="3:3" x14ac:dyDescent="0.2">
      <c r="C824"/>
    </row>
    <row r="825" spans="3:3" x14ac:dyDescent="0.2">
      <c r="C825"/>
    </row>
    <row r="826" spans="3:3" x14ac:dyDescent="0.2">
      <c r="C826"/>
    </row>
    <row r="827" spans="3:3" x14ac:dyDescent="0.2">
      <c r="C827"/>
    </row>
    <row r="828" spans="3:3" x14ac:dyDescent="0.2">
      <c r="C828"/>
    </row>
    <row r="829" spans="3:3" x14ac:dyDescent="0.2">
      <c r="C829"/>
    </row>
    <row r="830" spans="3:3" x14ac:dyDescent="0.2">
      <c r="C830"/>
    </row>
    <row r="831" spans="3:3" x14ac:dyDescent="0.2">
      <c r="C831"/>
    </row>
    <row r="832" spans="3:3" x14ac:dyDescent="0.2">
      <c r="C832"/>
    </row>
    <row r="833" spans="3:3" x14ac:dyDescent="0.2">
      <c r="C833"/>
    </row>
    <row r="834" spans="3:3" x14ac:dyDescent="0.2">
      <c r="C834"/>
    </row>
    <row r="835" spans="3:3" x14ac:dyDescent="0.2">
      <c r="C835"/>
    </row>
    <row r="836" spans="3:3" x14ac:dyDescent="0.2">
      <c r="C836"/>
    </row>
    <row r="837" spans="3:3" x14ac:dyDescent="0.2">
      <c r="C837"/>
    </row>
    <row r="838" spans="3:3" x14ac:dyDescent="0.2">
      <c r="C838"/>
    </row>
    <row r="839" spans="3:3" x14ac:dyDescent="0.2">
      <c r="C839"/>
    </row>
    <row r="840" spans="3:3" x14ac:dyDescent="0.2">
      <c r="C840"/>
    </row>
    <row r="841" spans="3:3" x14ac:dyDescent="0.2">
      <c r="C841"/>
    </row>
    <row r="842" spans="3:3" x14ac:dyDescent="0.2">
      <c r="C842"/>
    </row>
    <row r="843" spans="3:3" x14ac:dyDescent="0.2">
      <c r="C843"/>
    </row>
    <row r="844" spans="3:3" x14ac:dyDescent="0.2">
      <c r="C844"/>
    </row>
    <row r="845" spans="3:3" x14ac:dyDescent="0.2">
      <c r="C845"/>
    </row>
    <row r="846" spans="3:3" x14ac:dyDescent="0.2">
      <c r="C846"/>
    </row>
    <row r="847" spans="3:3" x14ac:dyDescent="0.2">
      <c r="C847"/>
    </row>
    <row r="848" spans="3:3" x14ac:dyDescent="0.2">
      <c r="C848"/>
    </row>
    <row r="849" spans="3:3" x14ac:dyDescent="0.2">
      <c r="C849"/>
    </row>
    <row r="850" spans="3:3" x14ac:dyDescent="0.2">
      <c r="C850"/>
    </row>
    <row r="851" spans="3:3" x14ac:dyDescent="0.2">
      <c r="C851"/>
    </row>
    <row r="852" spans="3:3" x14ac:dyDescent="0.2">
      <c r="C852"/>
    </row>
    <row r="853" spans="3:3" x14ac:dyDescent="0.2">
      <c r="C853"/>
    </row>
    <row r="854" spans="3:3" x14ac:dyDescent="0.2">
      <c r="C854"/>
    </row>
    <row r="855" spans="3:3" x14ac:dyDescent="0.2">
      <c r="C855"/>
    </row>
    <row r="856" spans="3:3" x14ac:dyDescent="0.2">
      <c r="C856"/>
    </row>
    <row r="857" spans="3:3" x14ac:dyDescent="0.2">
      <c r="C857"/>
    </row>
    <row r="858" spans="3:3" x14ac:dyDescent="0.2">
      <c r="C858"/>
    </row>
    <row r="859" spans="3:3" x14ac:dyDescent="0.2">
      <c r="C859"/>
    </row>
    <row r="860" spans="3:3" x14ac:dyDescent="0.2">
      <c r="C860"/>
    </row>
    <row r="861" spans="3:3" x14ac:dyDescent="0.2">
      <c r="C861"/>
    </row>
    <row r="862" spans="3:3" x14ac:dyDescent="0.2">
      <c r="C862"/>
    </row>
    <row r="863" spans="3:3" x14ac:dyDescent="0.2">
      <c r="C863"/>
    </row>
    <row r="864" spans="3:3" x14ac:dyDescent="0.2">
      <c r="C864"/>
    </row>
    <row r="865" spans="3:3" x14ac:dyDescent="0.2">
      <c r="C865"/>
    </row>
    <row r="866" spans="3:3" x14ac:dyDescent="0.2">
      <c r="C866"/>
    </row>
    <row r="867" spans="3:3" x14ac:dyDescent="0.2">
      <c r="C867"/>
    </row>
    <row r="868" spans="3:3" x14ac:dyDescent="0.2">
      <c r="C868"/>
    </row>
    <row r="869" spans="3:3" x14ac:dyDescent="0.2">
      <c r="C869"/>
    </row>
    <row r="870" spans="3:3" x14ac:dyDescent="0.2">
      <c r="C870"/>
    </row>
    <row r="871" spans="3:3" x14ac:dyDescent="0.2">
      <c r="C871"/>
    </row>
    <row r="872" spans="3:3" x14ac:dyDescent="0.2">
      <c r="C872"/>
    </row>
    <row r="873" spans="3:3" x14ac:dyDescent="0.2">
      <c r="C873"/>
    </row>
    <row r="874" spans="3:3" x14ac:dyDescent="0.2">
      <c r="C874"/>
    </row>
    <row r="875" spans="3:3" x14ac:dyDescent="0.2">
      <c r="C875"/>
    </row>
    <row r="876" spans="3:3" x14ac:dyDescent="0.2">
      <c r="C876"/>
    </row>
    <row r="877" spans="3:3" x14ac:dyDescent="0.2">
      <c r="C877"/>
    </row>
    <row r="878" spans="3:3" x14ac:dyDescent="0.2">
      <c r="C878"/>
    </row>
    <row r="879" spans="3:3" x14ac:dyDescent="0.2">
      <c r="C879"/>
    </row>
    <row r="880" spans="3:3" x14ac:dyDescent="0.2">
      <c r="C880"/>
    </row>
    <row r="881" spans="3:3" x14ac:dyDescent="0.2">
      <c r="C881"/>
    </row>
    <row r="882" spans="3:3" x14ac:dyDescent="0.2">
      <c r="C882"/>
    </row>
    <row r="883" spans="3:3" x14ac:dyDescent="0.2">
      <c r="C883"/>
    </row>
    <row r="884" spans="3:3" x14ac:dyDescent="0.2">
      <c r="C884"/>
    </row>
    <row r="885" spans="3:3" x14ac:dyDescent="0.2">
      <c r="C885"/>
    </row>
    <row r="886" spans="3:3" x14ac:dyDescent="0.2">
      <c r="C886"/>
    </row>
    <row r="887" spans="3:3" x14ac:dyDescent="0.2">
      <c r="C887"/>
    </row>
    <row r="888" spans="3:3" x14ac:dyDescent="0.2">
      <c r="C888"/>
    </row>
    <row r="889" spans="3:3" x14ac:dyDescent="0.2">
      <c r="C889"/>
    </row>
    <row r="890" spans="3:3" x14ac:dyDescent="0.2">
      <c r="C890"/>
    </row>
    <row r="891" spans="3:3" x14ac:dyDescent="0.2">
      <c r="C891"/>
    </row>
    <row r="892" spans="3:3" x14ac:dyDescent="0.2">
      <c r="C892"/>
    </row>
    <row r="893" spans="3:3" x14ac:dyDescent="0.2">
      <c r="C893"/>
    </row>
    <row r="894" spans="3:3" x14ac:dyDescent="0.2">
      <c r="C894"/>
    </row>
    <row r="895" spans="3:3" x14ac:dyDescent="0.2">
      <c r="C895"/>
    </row>
    <row r="896" spans="3:3" x14ac:dyDescent="0.2">
      <c r="C896"/>
    </row>
    <row r="897" spans="3:3" x14ac:dyDescent="0.2">
      <c r="C897"/>
    </row>
    <row r="898" spans="3:3" x14ac:dyDescent="0.2">
      <c r="C898"/>
    </row>
    <row r="899" spans="3:3" x14ac:dyDescent="0.2">
      <c r="C899"/>
    </row>
    <row r="900" spans="3:3" x14ac:dyDescent="0.2">
      <c r="C900"/>
    </row>
    <row r="901" spans="3:3" x14ac:dyDescent="0.2">
      <c r="C901"/>
    </row>
    <row r="902" spans="3:3" x14ac:dyDescent="0.2">
      <c r="C902"/>
    </row>
    <row r="903" spans="3:3" x14ac:dyDescent="0.2">
      <c r="C903"/>
    </row>
    <row r="904" spans="3:3" x14ac:dyDescent="0.2">
      <c r="C904"/>
    </row>
    <row r="905" spans="3:3" x14ac:dyDescent="0.2">
      <c r="C905"/>
    </row>
    <row r="906" spans="3:3" x14ac:dyDescent="0.2">
      <c r="C906"/>
    </row>
    <row r="907" spans="3:3" x14ac:dyDescent="0.2">
      <c r="C907"/>
    </row>
    <row r="908" spans="3:3" x14ac:dyDescent="0.2">
      <c r="C908"/>
    </row>
    <row r="909" spans="3:3" x14ac:dyDescent="0.2">
      <c r="C909"/>
    </row>
    <row r="910" spans="3:3" x14ac:dyDescent="0.2">
      <c r="C910"/>
    </row>
    <row r="911" spans="3:3" x14ac:dyDescent="0.2">
      <c r="C911"/>
    </row>
    <row r="912" spans="3:3" x14ac:dyDescent="0.2">
      <c r="C912"/>
    </row>
    <row r="913" spans="3:3" x14ac:dyDescent="0.2">
      <c r="C913"/>
    </row>
    <row r="914" spans="3:3" x14ac:dyDescent="0.2">
      <c r="C914"/>
    </row>
    <row r="915" spans="3:3" x14ac:dyDescent="0.2">
      <c r="C915"/>
    </row>
    <row r="916" spans="3:3" x14ac:dyDescent="0.2">
      <c r="C916"/>
    </row>
    <row r="917" spans="3:3" x14ac:dyDescent="0.2">
      <c r="C917"/>
    </row>
    <row r="918" spans="3:3" x14ac:dyDescent="0.2">
      <c r="C918"/>
    </row>
    <row r="919" spans="3:3" x14ac:dyDescent="0.2">
      <c r="C919"/>
    </row>
    <row r="920" spans="3:3" x14ac:dyDescent="0.2">
      <c r="C920"/>
    </row>
    <row r="921" spans="3:3" x14ac:dyDescent="0.2">
      <c r="C921"/>
    </row>
    <row r="922" spans="3:3" x14ac:dyDescent="0.2">
      <c r="C922"/>
    </row>
    <row r="923" spans="3:3" x14ac:dyDescent="0.2">
      <c r="C923"/>
    </row>
    <row r="924" spans="3:3" x14ac:dyDescent="0.2">
      <c r="C924"/>
    </row>
    <row r="925" spans="3:3" x14ac:dyDescent="0.2">
      <c r="C925"/>
    </row>
    <row r="926" spans="3:3" x14ac:dyDescent="0.2">
      <c r="C926"/>
    </row>
    <row r="927" spans="3:3" x14ac:dyDescent="0.2">
      <c r="C927"/>
    </row>
    <row r="928" spans="3:3" x14ac:dyDescent="0.2">
      <c r="C928"/>
    </row>
    <row r="929" spans="3:3" x14ac:dyDescent="0.2">
      <c r="C929"/>
    </row>
    <row r="930" spans="3:3" x14ac:dyDescent="0.2">
      <c r="C930"/>
    </row>
    <row r="931" spans="3:3" x14ac:dyDescent="0.2">
      <c r="C931"/>
    </row>
    <row r="932" spans="3:3" x14ac:dyDescent="0.2">
      <c r="C932"/>
    </row>
    <row r="933" spans="3:3" x14ac:dyDescent="0.2">
      <c r="C933"/>
    </row>
    <row r="934" spans="3:3" x14ac:dyDescent="0.2">
      <c r="C934"/>
    </row>
    <row r="935" spans="3:3" x14ac:dyDescent="0.2">
      <c r="C935"/>
    </row>
    <row r="936" spans="3:3" x14ac:dyDescent="0.2">
      <c r="C936"/>
    </row>
    <row r="937" spans="3:3" x14ac:dyDescent="0.2">
      <c r="C937"/>
    </row>
    <row r="938" spans="3:3" x14ac:dyDescent="0.2">
      <c r="C938"/>
    </row>
    <row r="939" spans="3:3" x14ac:dyDescent="0.2">
      <c r="C939"/>
    </row>
    <row r="940" spans="3:3" x14ac:dyDescent="0.2">
      <c r="C940"/>
    </row>
    <row r="941" spans="3:3" x14ac:dyDescent="0.2">
      <c r="C941"/>
    </row>
    <row r="942" spans="3:3" x14ac:dyDescent="0.2">
      <c r="C942"/>
    </row>
    <row r="943" spans="3:3" x14ac:dyDescent="0.2">
      <c r="C943"/>
    </row>
    <row r="944" spans="3:3" x14ac:dyDescent="0.2">
      <c r="C944"/>
    </row>
    <row r="945" spans="3:3" x14ac:dyDescent="0.2">
      <c r="C945"/>
    </row>
    <row r="946" spans="3:3" x14ac:dyDescent="0.2">
      <c r="C946"/>
    </row>
    <row r="947" spans="3:3" x14ac:dyDescent="0.2">
      <c r="C947"/>
    </row>
    <row r="948" spans="3:3" x14ac:dyDescent="0.2">
      <c r="C948"/>
    </row>
    <row r="949" spans="3:3" x14ac:dyDescent="0.2">
      <c r="C949"/>
    </row>
    <row r="950" spans="3:3" x14ac:dyDescent="0.2">
      <c r="C950"/>
    </row>
    <row r="951" spans="3:3" x14ac:dyDescent="0.2">
      <c r="C951"/>
    </row>
    <row r="952" spans="3:3" x14ac:dyDescent="0.2">
      <c r="C952"/>
    </row>
    <row r="953" spans="3:3" x14ac:dyDescent="0.2">
      <c r="C953"/>
    </row>
    <row r="954" spans="3:3" x14ac:dyDescent="0.2">
      <c r="C954"/>
    </row>
    <row r="955" spans="3:3" x14ac:dyDescent="0.2">
      <c r="C955"/>
    </row>
    <row r="956" spans="3:3" x14ac:dyDescent="0.2">
      <c r="C956"/>
    </row>
    <row r="957" spans="3:3" x14ac:dyDescent="0.2">
      <c r="C957"/>
    </row>
    <row r="958" spans="3:3" x14ac:dyDescent="0.2">
      <c r="C958"/>
    </row>
    <row r="959" spans="3:3" x14ac:dyDescent="0.2">
      <c r="C959"/>
    </row>
    <row r="960" spans="3:3" x14ac:dyDescent="0.2">
      <c r="C960"/>
    </row>
    <row r="961" spans="3:3" x14ac:dyDescent="0.2">
      <c r="C961"/>
    </row>
    <row r="962" spans="3:3" x14ac:dyDescent="0.2">
      <c r="C962"/>
    </row>
    <row r="963" spans="3:3" x14ac:dyDescent="0.2">
      <c r="C963"/>
    </row>
    <row r="964" spans="3:3" x14ac:dyDescent="0.2">
      <c r="C964"/>
    </row>
    <row r="965" spans="3:3" x14ac:dyDescent="0.2">
      <c r="C965"/>
    </row>
    <row r="966" spans="3:3" x14ac:dyDescent="0.2">
      <c r="C966"/>
    </row>
    <row r="967" spans="3:3" x14ac:dyDescent="0.2">
      <c r="C967"/>
    </row>
    <row r="968" spans="3:3" x14ac:dyDescent="0.2">
      <c r="C968"/>
    </row>
    <row r="969" spans="3:3" x14ac:dyDescent="0.2">
      <c r="C969"/>
    </row>
    <row r="970" spans="3:3" x14ac:dyDescent="0.2">
      <c r="C970"/>
    </row>
    <row r="971" spans="3:3" x14ac:dyDescent="0.2">
      <c r="C971"/>
    </row>
    <row r="972" spans="3:3" x14ac:dyDescent="0.2">
      <c r="C972"/>
    </row>
    <row r="973" spans="3:3" x14ac:dyDescent="0.2">
      <c r="C973"/>
    </row>
    <row r="974" spans="3:3" x14ac:dyDescent="0.2">
      <c r="C974"/>
    </row>
    <row r="975" spans="3:3" x14ac:dyDescent="0.2">
      <c r="C975"/>
    </row>
    <row r="976" spans="3:3" x14ac:dyDescent="0.2">
      <c r="C976"/>
    </row>
    <row r="977" spans="3:3" x14ac:dyDescent="0.2">
      <c r="C977"/>
    </row>
    <row r="978" spans="3:3" x14ac:dyDescent="0.2">
      <c r="C978"/>
    </row>
    <row r="979" spans="3:3" x14ac:dyDescent="0.2">
      <c r="C979"/>
    </row>
    <row r="980" spans="3:3" x14ac:dyDescent="0.2">
      <c r="C980"/>
    </row>
    <row r="981" spans="3:3" x14ac:dyDescent="0.2">
      <c r="C981"/>
    </row>
    <row r="982" spans="3:3" x14ac:dyDescent="0.2">
      <c r="C982"/>
    </row>
    <row r="983" spans="3:3" x14ac:dyDescent="0.2">
      <c r="C983"/>
    </row>
    <row r="984" spans="3:3" x14ac:dyDescent="0.2">
      <c r="C984"/>
    </row>
    <row r="985" spans="3:3" x14ac:dyDescent="0.2">
      <c r="C985"/>
    </row>
    <row r="986" spans="3:3" x14ac:dyDescent="0.2">
      <c r="C986"/>
    </row>
    <row r="987" spans="3:3" x14ac:dyDescent="0.2">
      <c r="C987"/>
    </row>
    <row r="988" spans="3:3" x14ac:dyDescent="0.2">
      <c r="C988"/>
    </row>
    <row r="989" spans="3:3" x14ac:dyDescent="0.2">
      <c r="C989"/>
    </row>
    <row r="990" spans="3:3" x14ac:dyDescent="0.2">
      <c r="C990"/>
    </row>
    <row r="991" spans="3:3" x14ac:dyDescent="0.2">
      <c r="C991"/>
    </row>
    <row r="992" spans="3:3" x14ac:dyDescent="0.2">
      <c r="C992"/>
    </row>
    <row r="993" spans="3:3" x14ac:dyDescent="0.2">
      <c r="C993"/>
    </row>
    <row r="994" spans="3:3" x14ac:dyDescent="0.2">
      <c r="C994"/>
    </row>
    <row r="995" spans="3:3" x14ac:dyDescent="0.2">
      <c r="C995"/>
    </row>
    <row r="996" spans="3:3" x14ac:dyDescent="0.2">
      <c r="C996"/>
    </row>
    <row r="997" spans="3:3" x14ac:dyDescent="0.2">
      <c r="C997"/>
    </row>
    <row r="998" spans="3:3" x14ac:dyDescent="0.2">
      <c r="C998"/>
    </row>
    <row r="999" spans="3:3" x14ac:dyDescent="0.2">
      <c r="C999"/>
    </row>
    <row r="1000" spans="3:3" x14ac:dyDescent="0.2">
      <c r="C1000"/>
    </row>
    <row r="1001" spans="3:3" x14ac:dyDescent="0.2">
      <c r="C1001"/>
    </row>
    <row r="1002" spans="3:3" x14ac:dyDescent="0.2">
      <c r="C1002"/>
    </row>
    <row r="1003" spans="3:3" x14ac:dyDescent="0.2">
      <c r="C1003"/>
    </row>
    <row r="1004" spans="3:3" x14ac:dyDescent="0.2">
      <c r="C1004"/>
    </row>
    <row r="1005" spans="3:3" x14ac:dyDescent="0.2">
      <c r="C1005"/>
    </row>
    <row r="1006" spans="3:3" x14ac:dyDescent="0.2">
      <c r="C1006"/>
    </row>
    <row r="1007" spans="3:3" x14ac:dyDescent="0.2">
      <c r="C1007"/>
    </row>
    <row r="1008" spans="3:3" x14ac:dyDescent="0.2">
      <c r="C1008"/>
    </row>
    <row r="1009" spans="3:3" x14ac:dyDescent="0.2">
      <c r="C1009"/>
    </row>
    <row r="1010" spans="3:3" x14ac:dyDescent="0.2">
      <c r="C1010"/>
    </row>
    <row r="1011" spans="3:3" x14ac:dyDescent="0.2">
      <c r="C1011"/>
    </row>
    <row r="1012" spans="3:3" x14ac:dyDescent="0.2">
      <c r="C1012"/>
    </row>
    <row r="1013" spans="3:3" x14ac:dyDescent="0.2">
      <c r="C1013"/>
    </row>
    <row r="1014" spans="3:3" x14ac:dyDescent="0.2">
      <c r="C1014"/>
    </row>
    <row r="1015" spans="3:3" x14ac:dyDescent="0.2">
      <c r="C1015"/>
    </row>
    <row r="1016" spans="3:3" x14ac:dyDescent="0.2">
      <c r="C1016"/>
    </row>
    <row r="1017" spans="3:3" x14ac:dyDescent="0.2">
      <c r="C1017"/>
    </row>
    <row r="1018" spans="3:3" x14ac:dyDescent="0.2">
      <c r="C1018"/>
    </row>
    <row r="1019" spans="3:3" x14ac:dyDescent="0.2">
      <c r="C1019"/>
    </row>
    <row r="1020" spans="3:3" x14ac:dyDescent="0.2">
      <c r="C1020"/>
    </row>
    <row r="1021" spans="3:3" x14ac:dyDescent="0.2">
      <c r="C1021"/>
    </row>
    <row r="1022" spans="3:3" x14ac:dyDescent="0.2">
      <c r="C1022"/>
    </row>
    <row r="1023" spans="3:3" x14ac:dyDescent="0.2">
      <c r="C1023"/>
    </row>
    <row r="1024" spans="3:3" x14ac:dyDescent="0.2">
      <c r="C1024"/>
    </row>
    <row r="1025" spans="3:3" x14ac:dyDescent="0.2">
      <c r="C1025"/>
    </row>
    <row r="1026" spans="3:3" x14ac:dyDescent="0.2">
      <c r="C1026"/>
    </row>
    <row r="1027" spans="3:3" x14ac:dyDescent="0.2">
      <c r="C1027"/>
    </row>
    <row r="1028" spans="3:3" x14ac:dyDescent="0.2">
      <c r="C1028"/>
    </row>
    <row r="1029" spans="3:3" x14ac:dyDescent="0.2">
      <c r="C1029"/>
    </row>
    <row r="1030" spans="3:3" x14ac:dyDescent="0.2">
      <c r="C1030"/>
    </row>
    <row r="1031" spans="3:3" x14ac:dyDescent="0.2">
      <c r="C1031"/>
    </row>
    <row r="1032" spans="3:3" x14ac:dyDescent="0.2">
      <c r="C1032"/>
    </row>
    <row r="1033" spans="3:3" x14ac:dyDescent="0.2">
      <c r="C1033"/>
    </row>
    <row r="1034" spans="3:3" x14ac:dyDescent="0.2">
      <c r="C1034"/>
    </row>
    <row r="1035" spans="3:3" x14ac:dyDescent="0.2">
      <c r="C1035"/>
    </row>
    <row r="1036" spans="3:3" x14ac:dyDescent="0.2">
      <c r="C1036"/>
    </row>
    <row r="1037" spans="3:3" x14ac:dyDescent="0.2">
      <c r="C1037"/>
    </row>
    <row r="1038" spans="3:3" x14ac:dyDescent="0.2">
      <c r="C1038"/>
    </row>
    <row r="1039" spans="3:3" x14ac:dyDescent="0.2">
      <c r="C1039"/>
    </row>
    <row r="1040" spans="3:3" x14ac:dyDescent="0.2">
      <c r="C1040"/>
    </row>
    <row r="1041" spans="3:3" x14ac:dyDescent="0.2">
      <c r="C1041"/>
    </row>
    <row r="1042" spans="3:3" x14ac:dyDescent="0.2">
      <c r="C1042"/>
    </row>
    <row r="1043" spans="3:3" x14ac:dyDescent="0.2">
      <c r="C1043"/>
    </row>
    <row r="1044" spans="3:3" x14ac:dyDescent="0.2">
      <c r="C1044"/>
    </row>
    <row r="1045" spans="3:3" x14ac:dyDescent="0.2">
      <c r="C1045"/>
    </row>
    <row r="1046" spans="3:3" x14ac:dyDescent="0.2">
      <c r="C1046"/>
    </row>
    <row r="1047" spans="3:3" x14ac:dyDescent="0.2">
      <c r="C1047"/>
    </row>
    <row r="1048" spans="3:3" x14ac:dyDescent="0.2">
      <c r="C1048"/>
    </row>
    <row r="1049" spans="3:3" x14ac:dyDescent="0.2">
      <c r="C1049"/>
    </row>
    <row r="1050" spans="3:3" x14ac:dyDescent="0.2">
      <c r="C1050"/>
    </row>
    <row r="1051" spans="3:3" x14ac:dyDescent="0.2">
      <c r="C1051"/>
    </row>
    <row r="1052" spans="3:3" x14ac:dyDescent="0.2">
      <c r="C1052"/>
    </row>
    <row r="1053" spans="3:3" x14ac:dyDescent="0.2">
      <c r="C1053"/>
    </row>
    <row r="1054" spans="3:3" x14ac:dyDescent="0.2">
      <c r="C1054"/>
    </row>
    <row r="1055" spans="3:3" x14ac:dyDescent="0.2">
      <c r="C1055"/>
    </row>
    <row r="1056" spans="3:3" x14ac:dyDescent="0.2">
      <c r="C1056"/>
    </row>
    <row r="1057" spans="3:3" x14ac:dyDescent="0.2">
      <c r="C1057"/>
    </row>
    <row r="1058" spans="3:3" x14ac:dyDescent="0.2">
      <c r="C1058"/>
    </row>
    <row r="1059" spans="3:3" x14ac:dyDescent="0.2">
      <c r="C1059"/>
    </row>
    <row r="1060" spans="3:3" x14ac:dyDescent="0.2">
      <c r="C1060"/>
    </row>
    <row r="1061" spans="3:3" x14ac:dyDescent="0.2">
      <c r="C1061"/>
    </row>
    <row r="1062" spans="3:3" x14ac:dyDescent="0.2">
      <c r="C1062"/>
    </row>
    <row r="1063" spans="3:3" x14ac:dyDescent="0.2">
      <c r="C1063"/>
    </row>
    <row r="1064" spans="3:3" x14ac:dyDescent="0.2">
      <c r="C1064"/>
    </row>
    <row r="1065" spans="3:3" x14ac:dyDescent="0.2">
      <c r="C1065"/>
    </row>
    <row r="1066" spans="3:3" x14ac:dyDescent="0.2">
      <c r="C1066"/>
    </row>
    <row r="1067" spans="3:3" x14ac:dyDescent="0.2">
      <c r="C1067"/>
    </row>
    <row r="1068" spans="3:3" x14ac:dyDescent="0.2">
      <c r="C1068"/>
    </row>
    <row r="1069" spans="3:3" x14ac:dyDescent="0.2">
      <c r="C1069"/>
    </row>
    <row r="1070" spans="3:3" x14ac:dyDescent="0.2">
      <c r="C1070"/>
    </row>
    <row r="1071" spans="3:3" x14ac:dyDescent="0.2">
      <c r="C1071"/>
    </row>
    <row r="1072" spans="3:3" x14ac:dyDescent="0.2">
      <c r="C1072"/>
    </row>
    <row r="1073" spans="3:3" x14ac:dyDescent="0.2">
      <c r="C1073"/>
    </row>
    <row r="1074" spans="3:3" x14ac:dyDescent="0.2">
      <c r="C1074"/>
    </row>
    <row r="1075" spans="3:3" x14ac:dyDescent="0.2">
      <c r="C1075"/>
    </row>
    <row r="1076" spans="3:3" x14ac:dyDescent="0.2">
      <c r="C1076"/>
    </row>
    <row r="1077" spans="3:3" x14ac:dyDescent="0.2">
      <c r="C1077"/>
    </row>
    <row r="1078" spans="3:3" x14ac:dyDescent="0.2">
      <c r="C1078"/>
    </row>
    <row r="1079" spans="3:3" x14ac:dyDescent="0.2">
      <c r="C1079"/>
    </row>
    <row r="1080" spans="3:3" x14ac:dyDescent="0.2">
      <c r="C1080"/>
    </row>
    <row r="1081" spans="3:3" x14ac:dyDescent="0.2">
      <c r="C1081"/>
    </row>
    <row r="1082" spans="3:3" x14ac:dyDescent="0.2">
      <c r="C1082"/>
    </row>
    <row r="1083" spans="3:3" x14ac:dyDescent="0.2">
      <c r="C1083"/>
    </row>
    <row r="1084" spans="3:3" x14ac:dyDescent="0.2">
      <c r="C1084"/>
    </row>
    <row r="1085" spans="3:3" x14ac:dyDescent="0.2">
      <c r="C1085"/>
    </row>
    <row r="1086" spans="3:3" x14ac:dyDescent="0.2">
      <c r="C1086"/>
    </row>
    <row r="1087" spans="3:3" x14ac:dyDescent="0.2">
      <c r="C1087"/>
    </row>
    <row r="1088" spans="3:3" x14ac:dyDescent="0.2">
      <c r="C1088"/>
    </row>
    <row r="1089" spans="3:3" x14ac:dyDescent="0.2">
      <c r="C1089"/>
    </row>
    <row r="1090" spans="3:3" x14ac:dyDescent="0.2">
      <c r="C1090"/>
    </row>
    <row r="1091" spans="3:3" x14ac:dyDescent="0.2">
      <c r="C1091"/>
    </row>
    <row r="1092" spans="3:3" x14ac:dyDescent="0.2">
      <c r="C1092"/>
    </row>
    <row r="1093" spans="3:3" x14ac:dyDescent="0.2">
      <c r="C1093"/>
    </row>
    <row r="1094" spans="3:3" x14ac:dyDescent="0.2">
      <c r="C1094"/>
    </row>
    <row r="1095" spans="3:3" x14ac:dyDescent="0.2">
      <c r="C1095"/>
    </row>
    <row r="1096" spans="3:3" x14ac:dyDescent="0.2">
      <c r="C1096"/>
    </row>
    <row r="1097" spans="3:3" x14ac:dyDescent="0.2">
      <c r="C1097"/>
    </row>
    <row r="1098" spans="3:3" x14ac:dyDescent="0.2">
      <c r="C1098"/>
    </row>
    <row r="1099" spans="3:3" x14ac:dyDescent="0.2">
      <c r="C1099"/>
    </row>
    <row r="1100" spans="3:3" x14ac:dyDescent="0.2">
      <c r="C1100"/>
    </row>
    <row r="1101" spans="3:3" x14ac:dyDescent="0.2">
      <c r="C1101"/>
    </row>
    <row r="1102" spans="3:3" x14ac:dyDescent="0.2">
      <c r="C1102"/>
    </row>
    <row r="1103" spans="3:3" x14ac:dyDescent="0.2">
      <c r="C1103"/>
    </row>
    <row r="1104" spans="3:3" x14ac:dyDescent="0.2">
      <c r="C1104"/>
    </row>
    <row r="1105" spans="3:3" x14ac:dyDescent="0.2">
      <c r="C1105"/>
    </row>
    <row r="1106" spans="3:3" x14ac:dyDescent="0.2">
      <c r="C1106"/>
    </row>
    <row r="1107" spans="3:3" x14ac:dyDescent="0.2">
      <c r="C1107"/>
    </row>
    <row r="1108" spans="3:3" x14ac:dyDescent="0.2">
      <c r="C1108"/>
    </row>
    <row r="1109" spans="3:3" x14ac:dyDescent="0.2">
      <c r="C1109"/>
    </row>
    <row r="1110" spans="3:3" x14ac:dyDescent="0.2">
      <c r="C1110"/>
    </row>
    <row r="1111" spans="3:3" x14ac:dyDescent="0.2">
      <c r="C1111"/>
    </row>
    <row r="1112" spans="3:3" x14ac:dyDescent="0.2">
      <c r="C1112"/>
    </row>
    <row r="1113" spans="3:3" x14ac:dyDescent="0.2">
      <c r="C1113"/>
    </row>
    <row r="1114" spans="3:3" x14ac:dyDescent="0.2">
      <c r="C1114"/>
    </row>
    <row r="1115" spans="3:3" x14ac:dyDescent="0.2">
      <c r="C1115"/>
    </row>
    <row r="1116" spans="3:3" x14ac:dyDescent="0.2">
      <c r="C1116"/>
    </row>
    <row r="1117" spans="3:3" x14ac:dyDescent="0.2">
      <c r="C1117"/>
    </row>
    <row r="1118" spans="3:3" x14ac:dyDescent="0.2">
      <c r="C1118"/>
    </row>
    <row r="1119" spans="3:3" x14ac:dyDescent="0.2">
      <c r="C1119"/>
    </row>
    <row r="1120" spans="3:3" x14ac:dyDescent="0.2">
      <c r="C1120"/>
    </row>
    <row r="1121" spans="3:3" x14ac:dyDescent="0.2">
      <c r="C1121"/>
    </row>
    <row r="1122" spans="3:3" x14ac:dyDescent="0.2">
      <c r="C1122"/>
    </row>
    <row r="1123" spans="3:3" x14ac:dyDescent="0.2">
      <c r="C1123"/>
    </row>
    <row r="1124" spans="3:3" x14ac:dyDescent="0.2">
      <c r="C1124"/>
    </row>
    <row r="1125" spans="3:3" x14ac:dyDescent="0.2">
      <c r="C1125"/>
    </row>
    <row r="1126" spans="3:3" x14ac:dyDescent="0.2">
      <c r="C1126"/>
    </row>
    <row r="1127" spans="3:3" x14ac:dyDescent="0.2">
      <c r="C1127"/>
    </row>
    <row r="1128" spans="3:3" x14ac:dyDescent="0.2">
      <c r="C1128"/>
    </row>
    <row r="1129" spans="3:3" x14ac:dyDescent="0.2">
      <c r="C1129"/>
    </row>
    <row r="1130" spans="3:3" x14ac:dyDescent="0.2">
      <c r="C1130"/>
    </row>
    <row r="1131" spans="3:3" x14ac:dyDescent="0.2">
      <c r="C1131"/>
    </row>
    <row r="1132" spans="3:3" x14ac:dyDescent="0.2">
      <c r="C1132"/>
    </row>
    <row r="1133" spans="3:3" x14ac:dyDescent="0.2">
      <c r="C1133"/>
    </row>
    <row r="1134" spans="3:3" x14ac:dyDescent="0.2">
      <c r="C1134"/>
    </row>
    <row r="1135" spans="3:3" x14ac:dyDescent="0.2">
      <c r="C1135"/>
    </row>
    <row r="1136" spans="3:3" x14ac:dyDescent="0.2">
      <c r="C1136"/>
    </row>
    <row r="1137" spans="3:3" x14ac:dyDescent="0.2">
      <c r="C1137"/>
    </row>
    <row r="1138" spans="3:3" x14ac:dyDescent="0.2">
      <c r="C1138"/>
    </row>
    <row r="1139" spans="3:3" x14ac:dyDescent="0.2">
      <c r="C1139"/>
    </row>
    <row r="1140" spans="3:3" x14ac:dyDescent="0.2">
      <c r="C1140"/>
    </row>
    <row r="1141" spans="3:3" x14ac:dyDescent="0.2">
      <c r="C1141"/>
    </row>
    <row r="1142" spans="3:3" x14ac:dyDescent="0.2">
      <c r="C1142"/>
    </row>
    <row r="1143" spans="3:3" x14ac:dyDescent="0.2">
      <c r="C1143"/>
    </row>
    <row r="1144" spans="3:3" x14ac:dyDescent="0.2">
      <c r="C1144"/>
    </row>
    <row r="1145" spans="3:3" x14ac:dyDescent="0.2">
      <c r="C1145"/>
    </row>
    <row r="1146" spans="3:3" x14ac:dyDescent="0.2">
      <c r="C1146"/>
    </row>
    <row r="1147" spans="3:3" x14ac:dyDescent="0.2">
      <c r="C1147"/>
    </row>
    <row r="1148" spans="3:3" x14ac:dyDescent="0.2">
      <c r="C1148"/>
    </row>
    <row r="1149" spans="3:3" x14ac:dyDescent="0.2">
      <c r="C1149"/>
    </row>
    <row r="1150" spans="3:3" x14ac:dyDescent="0.2">
      <c r="C1150"/>
    </row>
    <row r="1151" spans="3:3" x14ac:dyDescent="0.2">
      <c r="C1151"/>
    </row>
    <row r="1152" spans="3:3" x14ac:dyDescent="0.2">
      <c r="C1152"/>
    </row>
    <row r="1153" spans="3:3" x14ac:dyDescent="0.2">
      <c r="C1153"/>
    </row>
    <row r="1154" spans="3:3" x14ac:dyDescent="0.2">
      <c r="C1154"/>
    </row>
    <row r="1155" spans="3:3" x14ac:dyDescent="0.2">
      <c r="C1155"/>
    </row>
    <row r="1156" spans="3:3" x14ac:dyDescent="0.2">
      <c r="C1156"/>
    </row>
    <row r="1157" spans="3:3" x14ac:dyDescent="0.2">
      <c r="C1157"/>
    </row>
    <row r="1158" spans="3:3" x14ac:dyDescent="0.2">
      <c r="C1158"/>
    </row>
    <row r="1159" spans="3:3" x14ac:dyDescent="0.2">
      <c r="C1159"/>
    </row>
    <row r="1160" spans="3:3" x14ac:dyDescent="0.2">
      <c r="C1160"/>
    </row>
    <row r="1161" spans="3:3" x14ac:dyDescent="0.2">
      <c r="C1161"/>
    </row>
    <row r="1162" spans="3:3" x14ac:dyDescent="0.2">
      <c r="C1162"/>
    </row>
    <row r="1163" spans="3:3" x14ac:dyDescent="0.2">
      <c r="C1163"/>
    </row>
    <row r="1164" spans="3:3" x14ac:dyDescent="0.2">
      <c r="C1164"/>
    </row>
    <row r="1165" spans="3:3" x14ac:dyDescent="0.2">
      <c r="C1165"/>
    </row>
    <row r="1166" spans="3:3" x14ac:dyDescent="0.2">
      <c r="C1166"/>
    </row>
    <row r="1167" spans="3:3" x14ac:dyDescent="0.2">
      <c r="C1167"/>
    </row>
    <row r="1168" spans="3:3" x14ac:dyDescent="0.2">
      <c r="C1168"/>
    </row>
    <row r="1169" spans="3:3" x14ac:dyDescent="0.2">
      <c r="C1169"/>
    </row>
    <row r="1170" spans="3:3" x14ac:dyDescent="0.2">
      <c r="C1170"/>
    </row>
    <row r="1171" spans="3:3" x14ac:dyDescent="0.2">
      <c r="C1171"/>
    </row>
    <row r="1172" spans="3:3" x14ac:dyDescent="0.2">
      <c r="C1172"/>
    </row>
    <row r="1173" spans="3:3" x14ac:dyDescent="0.2">
      <c r="C1173"/>
    </row>
    <row r="1174" spans="3:3" x14ac:dyDescent="0.2">
      <c r="C1174"/>
    </row>
    <row r="1175" spans="3:3" x14ac:dyDescent="0.2">
      <c r="C1175"/>
    </row>
    <row r="1176" spans="3:3" x14ac:dyDescent="0.2">
      <c r="C1176"/>
    </row>
    <row r="1177" spans="3:3" x14ac:dyDescent="0.2">
      <c r="C1177"/>
    </row>
    <row r="1178" spans="3:3" x14ac:dyDescent="0.2">
      <c r="C1178"/>
    </row>
    <row r="1179" spans="3:3" x14ac:dyDescent="0.2">
      <c r="C1179"/>
    </row>
    <row r="1180" spans="3:3" x14ac:dyDescent="0.2">
      <c r="C1180"/>
    </row>
    <row r="1181" spans="3:3" x14ac:dyDescent="0.2">
      <c r="C1181"/>
    </row>
    <row r="1182" spans="3:3" x14ac:dyDescent="0.2">
      <c r="C1182"/>
    </row>
    <row r="1183" spans="3:3" x14ac:dyDescent="0.2">
      <c r="C1183"/>
    </row>
    <row r="1184" spans="3:3" x14ac:dyDescent="0.2">
      <c r="C1184"/>
    </row>
    <row r="1185" spans="3:3" x14ac:dyDescent="0.2">
      <c r="C1185"/>
    </row>
    <row r="1186" spans="3:3" x14ac:dyDescent="0.2">
      <c r="C1186"/>
    </row>
    <row r="1187" spans="3:3" x14ac:dyDescent="0.2">
      <c r="C1187"/>
    </row>
    <row r="1188" spans="3:3" x14ac:dyDescent="0.2">
      <c r="C1188"/>
    </row>
    <row r="1189" spans="3:3" x14ac:dyDescent="0.2">
      <c r="C1189"/>
    </row>
    <row r="1190" spans="3:3" x14ac:dyDescent="0.2">
      <c r="C1190"/>
    </row>
    <row r="1191" spans="3:3" x14ac:dyDescent="0.2">
      <c r="C1191"/>
    </row>
    <row r="1192" spans="3:3" x14ac:dyDescent="0.2">
      <c r="C1192"/>
    </row>
    <row r="1193" spans="3:3" x14ac:dyDescent="0.2">
      <c r="C1193"/>
    </row>
    <row r="1194" spans="3:3" x14ac:dyDescent="0.2">
      <c r="C1194"/>
    </row>
    <row r="1195" spans="3:3" x14ac:dyDescent="0.2">
      <c r="C1195"/>
    </row>
    <row r="1196" spans="3:3" x14ac:dyDescent="0.2">
      <c r="C1196"/>
    </row>
    <row r="1197" spans="3:3" x14ac:dyDescent="0.2">
      <c r="C1197"/>
    </row>
    <row r="1198" spans="3:3" x14ac:dyDescent="0.2">
      <c r="C1198"/>
    </row>
    <row r="1199" spans="3:3" x14ac:dyDescent="0.2">
      <c r="C1199"/>
    </row>
    <row r="1200" spans="3:3" x14ac:dyDescent="0.2">
      <c r="C1200"/>
    </row>
    <row r="1201" spans="3:3" x14ac:dyDescent="0.2">
      <c r="C1201"/>
    </row>
    <row r="1202" spans="3:3" x14ac:dyDescent="0.2">
      <c r="C1202"/>
    </row>
    <row r="1203" spans="3:3" x14ac:dyDescent="0.2">
      <c r="C1203"/>
    </row>
    <row r="1204" spans="3:3" x14ac:dyDescent="0.2">
      <c r="C1204"/>
    </row>
    <row r="1205" spans="3:3" x14ac:dyDescent="0.2">
      <c r="C1205"/>
    </row>
    <row r="1206" spans="3:3" x14ac:dyDescent="0.2">
      <c r="C1206"/>
    </row>
    <row r="1207" spans="3:3" x14ac:dyDescent="0.2">
      <c r="C1207"/>
    </row>
    <row r="1208" spans="3:3" x14ac:dyDescent="0.2">
      <c r="C1208"/>
    </row>
    <row r="1209" spans="3:3" x14ac:dyDescent="0.2">
      <c r="C1209"/>
    </row>
    <row r="1210" spans="3:3" x14ac:dyDescent="0.2">
      <c r="C1210"/>
    </row>
    <row r="1211" spans="3:3" x14ac:dyDescent="0.2">
      <c r="C1211"/>
    </row>
    <row r="1212" spans="3:3" x14ac:dyDescent="0.2">
      <c r="C1212"/>
    </row>
    <row r="1213" spans="3:3" x14ac:dyDescent="0.2">
      <c r="C1213"/>
    </row>
    <row r="1214" spans="3:3" x14ac:dyDescent="0.2">
      <c r="C1214"/>
    </row>
    <row r="1215" spans="3:3" x14ac:dyDescent="0.2">
      <c r="C1215"/>
    </row>
    <row r="1216" spans="3:3" x14ac:dyDescent="0.2">
      <c r="C1216"/>
    </row>
    <row r="1217" spans="3:3" x14ac:dyDescent="0.2">
      <c r="C1217"/>
    </row>
    <row r="1218" spans="3:3" x14ac:dyDescent="0.2">
      <c r="C1218"/>
    </row>
    <row r="1219" spans="3:3" x14ac:dyDescent="0.2">
      <c r="C1219"/>
    </row>
    <row r="1220" spans="3:3" x14ac:dyDescent="0.2">
      <c r="C1220"/>
    </row>
    <row r="1221" spans="3:3" x14ac:dyDescent="0.2">
      <c r="C1221"/>
    </row>
    <row r="1222" spans="3:3" x14ac:dyDescent="0.2">
      <c r="C1222"/>
    </row>
    <row r="1223" spans="3:3" x14ac:dyDescent="0.2">
      <c r="C1223"/>
    </row>
    <row r="1224" spans="3:3" x14ac:dyDescent="0.2">
      <c r="C1224"/>
    </row>
    <row r="1225" spans="3:3" x14ac:dyDescent="0.2">
      <c r="C1225"/>
    </row>
    <row r="1226" spans="3:3" x14ac:dyDescent="0.2">
      <c r="C1226"/>
    </row>
    <row r="1227" spans="3:3" x14ac:dyDescent="0.2">
      <c r="C1227"/>
    </row>
    <row r="1228" spans="3:3" x14ac:dyDescent="0.2">
      <c r="C1228"/>
    </row>
    <row r="1229" spans="3:3" x14ac:dyDescent="0.2">
      <c r="C1229"/>
    </row>
    <row r="1230" spans="3:3" x14ac:dyDescent="0.2">
      <c r="C1230"/>
    </row>
    <row r="1231" spans="3:3" x14ac:dyDescent="0.2">
      <c r="C1231"/>
    </row>
    <row r="1232" spans="3:3" x14ac:dyDescent="0.2">
      <c r="C1232"/>
    </row>
    <row r="1233" spans="3:3" x14ac:dyDescent="0.2">
      <c r="C1233"/>
    </row>
    <row r="1234" spans="3:3" x14ac:dyDescent="0.2">
      <c r="C1234"/>
    </row>
    <row r="1235" spans="3:3" x14ac:dyDescent="0.2">
      <c r="C1235"/>
    </row>
    <row r="1236" spans="3:3" x14ac:dyDescent="0.2">
      <c r="C1236"/>
    </row>
    <row r="1237" spans="3:3" x14ac:dyDescent="0.2">
      <c r="C1237"/>
    </row>
    <row r="1238" spans="3:3" x14ac:dyDescent="0.2">
      <c r="C1238"/>
    </row>
    <row r="1239" spans="3:3" x14ac:dyDescent="0.2">
      <c r="C1239"/>
    </row>
    <row r="1240" spans="3:3" x14ac:dyDescent="0.2">
      <c r="C1240"/>
    </row>
    <row r="1241" spans="3:3" x14ac:dyDescent="0.2">
      <c r="C1241"/>
    </row>
    <row r="1242" spans="3:3" x14ac:dyDescent="0.2">
      <c r="C1242"/>
    </row>
    <row r="1243" spans="3:3" x14ac:dyDescent="0.2">
      <c r="C1243"/>
    </row>
    <row r="1244" spans="3:3" x14ac:dyDescent="0.2">
      <c r="C1244"/>
    </row>
    <row r="1245" spans="3:3" x14ac:dyDescent="0.2">
      <c r="C1245"/>
    </row>
    <row r="1246" spans="3:3" x14ac:dyDescent="0.2">
      <c r="C1246"/>
    </row>
    <row r="1247" spans="3:3" x14ac:dyDescent="0.2">
      <c r="C1247"/>
    </row>
    <row r="1248" spans="3:3" x14ac:dyDescent="0.2">
      <c r="C1248"/>
    </row>
    <row r="1249" spans="3:3" x14ac:dyDescent="0.2">
      <c r="C1249"/>
    </row>
    <row r="1250" spans="3:3" x14ac:dyDescent="0.2">
      <c r="C1250"/>
    </row>
    <row r="1251" spans="3:3" x14ac:dyDescent="0.2">
      <c r="C1251"/>
    </row>
    <row r="1252" spans="3:3" x14ac:dyDescent="0.2">
      <c r="C1252"/>
    </row>
    <row r="1253" spans="3:3" x14ac:dyDescent="0.2">
      <c r="C1253"/>
    </row>
    <row r="1254" spans="3:3" x14ac:dyDescent="0.2">
      <c r="C1254"/>
    </row>
    <row r="1255" spans="3:3" x14ac:dyDescent="0.2">
      <c r="C1255"/>
    </row>
    <row r="1256" spans="3:3" x14ac:dyDescent="0.2">
      <c r="C1256"/>
    </row>
    <row r="1257" spans="3:3" x14ac:dyDescent="0.2">
      <c r="C1257"/>
    </row>
    <row r="1258" spans="3:3" x14ac:dyDescent="0.2">
      <c r="C1258"/>
    </row>
    <row r="1259" spans="3:3" x14ac:dyDescent="0.2">
      <c r="C1259"/>
    </row>
    <row r="1260" spans="3:3" x14ac:dyDescent="0.2">
      <c r="C1260"/>
    </row>
    <row r="1261" spans="3:3" x14ac:dyDescent="0.2">
      <c r="C1261"/>
    </row>
    <row r="1262" spans="3:3" x14ac:dyDescent="0.2">
      <c r="C1262"/>
    </row>
    <row r="1263" spans="3:3" x14ac:dyDescent="0.2">
      <c r="C1263"/>
    </row>
    <row r="1264" spans="3:3" x14ac:dyDescent="0.2">
      <c r="C1264"/>
    </row>
    <row r="1265" spans="3:3" x14ac:dyDescent="0.2">
      <c r="C1265"/>
    </row>
    <row r="1266" spans="3:3" x14ac:dyDescent="0.2">
      <c r="C1266"/>
    </row>
    <row r="1267" spans="3:3" x14ac:dyDescent="0.2">
      <c r="C1267"/>
    </row>
    <row r="1268" spans="3:3" x14ac:dyDescent="0.2">
      <c r="C1268"/>
    </row>
    <row r="1269" spans="3:3" x14ac:dyDescent="0.2">
      <c r="C1269"/>
    </row>
    <row r="1270" spans="3:3" x14ac:dyDescent="0.2">
      <c r="C1270"/>
    </row>
    <row r="1271" spans="3:3" x14ac:dyDescent="0.2">
      <c r="C1271"/>
    </row>
    <row r="1272" spans="3:3" x14ac:dyDescent="0.2">
      <c r="C1272"/>
    </row>
    <row r="1273" spans="3:3" x14ac:dyDescent="0.2">
      <c r="C1273"/>
    </row>
    <row r="1274" spans="3:3" x14ac:dyDescent="0.2">
      <c r="C1274"/>
    </row>
    <row r="1275" spans="3:3" x14ac:dyDescent="0.2">
      <c r="C1275"/>
    </row>
    <row r="1276" spans="3:3" x14ac:dyDescent="0.2">
      <c r="C1276"/>
    </row>
    <row r="1277" spans="3:3" x14ac:dyDescent="0.2">
      <c r="C1277"/>
    </row>
    <row r="1278" spans="3:3" x14ac:dyDescent="0.2">
      <c r="C1278"/>
    </row>
    <row r="1279" spans="3:3" x14ac:dyDescent="0.2">
      <c r="C1279"/>
    </row>
    <row r="1280" spans="3:3" x14ac:dyDescent="0.2">
      <c r="C1280"/>
    </row>
    <row r="1281" spans="3:3" x14ac:dyDescent="0.2">
      <c r="C1281"/>
    </row>
    <row r="1282" spans="3:3" x14ac:dyDescent="0.2">
      <c r="C1282"/>
    </row>
    <row r="1283" spans="3:3" x14ac:dyDescent="0.2">
      <c r="C1283"/>
    </row>
    <row r="1284" spans="3:3" x14ac:dyDescent="0.2">
      <c r="C1284"/>
    </row>
    <row r="1285" spans="3:3" x14ac:dyDescent="0.2">
      <c r="C1285"/>
    </row>
    <row r="1286" spans="3:3" x14ac:dyDescent="0.2">
      <c r="C1286"/>
    </row>
    <row r="1287" spans="3:3" x14ac:dyDescent="0.2">
      <c r="C1287"/>
    </row>
    <row r="1288" spans="3:3" x14ac:dyDescent="0.2">
      <c r="C1288"/>
    </row>
    <row r="1289" spans="3:3" x14ac:dyDescent="0.2">
      <c r="C1289"/>
    </row>
    <row r="1290" spans="3:3" x14ac:dyDescent="0.2">
      <c r="C1290"/>
    </row>
    <row r="1291" spans="3:3" x14ac:dyDescent="0.2">
      <c r="C1291"/>
    </row>
    <row r="1292" spans="3:3" x14ac:dyDescent="0.2">
      <c r="C1292"/>
    </row>
    <row r="1293" spans="3:3" x14ac:dyDescent="0.2">
      <c r="C1293"/>
    </row>
    <row r="1294" spans="3:3" x14ac:dyDescent="0.2">
      <c r="C1294"/>
    </row>
    <row r="1295" spans="3:3" x14ac:dyDescent="0.2">
      <c r="C1295"/>
    </row>
    <row r="1296" spans="3:3" x14ac:dyDescent="0.2">
      <c r="C1296"/>
    </row>
    <row r="1297" spans="3:3" x14ac:dyDescent="0.2">
      <c r="C1297"/>
    </row>
    <row r="1298" spans="3:3" x14ac:dyDescent="0.2">
      <c r="C1298"/>
    </row>
    <row r="1299" spans="3:3" x14ac:dyDescent="0.2">
      <c r="C1299"/>
    </row>
    <row r="1300" spans="3:3" x14ac:dyDescent="0.2">
      <c r="C1300"/>
    </row>
    <row r="1301" spans="3:3" x14ac:dyDescent="0.2">
      <c r="C1301"/>
    </row>
    <row r="1302" spans="3:3" x14ac:dyDescent="0.2">
      <c r="C1302"/>
    </row>
    <row r="1303" spans="3:3" x14ac:dyDescent="0.2">
      <c r="C1303"/>
    </row>
    <row r="1304" spans="3:3" x14ac:dyDescent="0.2">
      <c r="C1304"/>
    </row>
    <row r="1305" spans="3:3" x14ac:dyDescent="0.2">
      <c r="C1305"/>
    </row>
    <row r="1306" spans="3:3" x14ac:dyDescent="0.2">
      <c r="C1306"/>
    </row>
    <row r="1307" spans="3:3" x14ac:dyDescent="0.2">
      <c r="C1307"/>
    </row>
    <row r="1308" spans="3:3" x14ac:dyDescent="0.2">
      <c r="C1308"/>
    </row>
    <row r="1309" spans="3:3" x14ac:dyDescent="0.2">
      <c r="C1309"/>
    </row>
    <row r="1310" spans="3:3" x14ac:dyDescent="0.2">
      <c r="C1310"/>
    </row>
    <row r="1311" spans="3:3" x14ac:dyDescent="0.2">
      <c r="C1311"/>
    </row>
    <row r="1312" spans="3:3" x14ac:dyDescent="0.2">
      <c r="C1312"/>
    </row>
    <row r="1313" spans="3:3" x14ac:dyDescent="0.2">
      <c r="C1313"/>
    </row>
    <row r="1314" spans="3:3" x14ac:dyDescent="0.2">
      <c r="C1314"/>
    </row>
    <row r="1315" spans="3:3" x14ac:dyDescent="0.2">
      <c r="C1315"/>
    </row>
    <row r="1316" spans="3:3" x14ac:dyDescent="0.2">
      <c r="C1316"/>
    </row>
    <row r="1317" spans="3:3" x14ac:dyDescent="0.2">
      <c r="C1317"/>
    </row>
    <row r="1318" spans="3:3" x14ac:dyDescent="0.2">
      <c r="C1318"/>
    </row>
    <row r="1319" spans="3:3" x14ac:dyDescent="0.2">
      <c r="C1319"/>
    </row>
    <row r="1320" spans="3:3" x14ac:dyDescent="0.2">
      <c r="C1320"/>
    </row>
    <row r="1321" spans="3:3" x14ac:dyDescent="0.2">
      <c r="C1321"/>
    </row>
    <row r="1322" spans="3:3" x14ac:dyDescent="0.2">
      <c r="C1322"/>
    </row>
    <row r="1323" spans="3:3" x14ac:dyDescent="0.2">
      <c r="C1323"/>
    </row>
    <row r="1324" spans="3:3" x14ac:dyDescent="0.2">
      <c r="C1324"/>
    </row>
    <row r="1325" spans="3:3" x14ac:dyDescent="0.2">
      <c r="C1325"/>
    </row>
    <row r="1326" spans="3:3" x14ac:dyDescent="0.2">
      <c r="C1326"/>
    </row>
    <row r="1327" spans="3:3" x14ac:dyDescent="0.2">
      <c r="C1327"/>
    </row>
    <row r="1328" spans="3:3" x14ac:dyDescent="0.2">
      <c r="C1328"/>
    </row>
    <row r="1329" spans="3:3" x14ac:dyDescent="0.2">
      <c r="C1329"/>
    </row>
    <row r="1330" spans="3:3" x14ac:dyDescent="0.2">
      <c r="C1330"/>
    </row>
    <row r="1331" spans="3:3" x14ac:dyDescent="0.2">
      <c r="C1331"/>
    </row>
    <row r="1332" spans="3:3" x14ac:dyDescent="0.2">
      <c r="C1332"/>
    </row>
    <row r="1333" spans="3:3" x14ac:dyDescent="0.2">
      <c r="C1333"/>
    </row>
    <row r="1334" spans="3:3" x14ac:dyDescent="0.2">
      <c r="C1334"/>
    </row>
    <row r="1335" spans="3:3" x14ac:dyDescent="0.2">
      <c r="C1335"/>
    </row>
    <row r="1336" spans="3:3" x14ac:dyDescent="0.2">
      <c r="C1336"/>
    </row>
    <row r="1337" spans="3:3" x14ac:dyDescent="0.2">
      <c r="C1337"/>
    </row>
    <row r="1338" spans="3:3" x14ac:dyDescent="0.2">
      <c r="C1338"/>
    </row>
    <row r="1339" spans="3:3" x14ac:dyDescent="0.2">
      <c r="C1339"/>
    </row>
    <row r="1340" spans="3:3" x14ac:dyDescent="0.2">
      <c r="C1340"/>
    </row>
    <row r="1341" spans="3:3" x14ac:dyDescent="0.2">
      <c r="C1341"/>
    </row>
    <row r="1342" spans="3:3" x14ac:dyDescent="0.2">
      <c r="C1342"/>
    </row>
    <row r="1343" spans="3:3" x14ac:dyDescent="0.2">
      <c r="C1343"/>
    </row>
    <row r="1344" spans="3:3" x14ac:dyDescent="0.2">
      <c r="C1344"/>
    </row>
    <row r="1345" spans="3:3" x14ac:dyDescent="0.2">
      <c r="C1345"/>
    </row>
    <row r="1346" spans="3:3" x14ac:dyDescent="0.2">
      <c r="C1346"/>
    </row>
    <row r="1347" spans="3:3" x14ac:dyDescent="0.2">
      <c r="C1347"/>
    </row>
    <row r="1348" spans="3:3" x14ac:dyDescent="0.2">
      <c r="C1348"/>
    </row>
    <row r="1349" spans="3:3" x14ac:dyDescent="0.2">
      <c r="C1349"/>
    </row>
    <row r="1350" spans="3:3" x14ac:dyDescent="0.2">
      <c r="C1350"/>
    </row>
    <row r="1351" spans="3:3" x14ac:dyDescent="0.2">
      <c r="C1351"/>
    </row>
    <row r="1352" spans="3:3" x14ac:dyDescent="0.2">
      <c r="C1352"/>
    </row>
    <row r="1353" spans="3:3" x14ac:dyDescent="0.2">
      <c r="C1353"/>
    </row>
    <row r="1354" spans="3:3" x14ac:dyDescent="0.2">
      <c r="C1354"/>
    </row>
    <row r="1355" spans="3:3" x14ac:dyDescent="0.2">
      <c r="C1355"/>
    </row>
    <row r="1356" spans="3:3" x14ac:dyDescent="0.2">
      <c r="C1356"/>
    </row>
    <row r="1357" spans="3:3" x14ac:dyDescent="0.2">
      <c r="C1357"/>
    </row>
    <row r="1358" spans="3:3" x14ac:dyDescent="0.2">
      <c r="C1358"/>
    </row>
    <row r="1359" spans="3:3" x14ac:dyDescent="0.2">
      <c r="C1359"/>
    </row>
    <row r="1360" spans="3:3" x14ac:dyDescent="0.2">
      <c r="C1360"/>
    </row>
    <row r="1361" spans="3:3" x14ac:dyDescent="0.2">
      <c r="C1361"/>
    </row>
    <row r="1362" spans="3:3" x14ac:dyDescent="0.2">
      <c r="C1362"/>
    </row>
    <row r="1363" spans="3:3" x14ac:dyDescent="0.2">
      <c r="C1363"/>
    </row>
    <row r="1364" spans="3:3" x14ac:dyDescent="0.2">
      <c r="C1364"/>
    </row>
    <row r="1365" spans="3:3" x14ac:dyDescent="0.2">
      <c r="C1365"/>
    </row>
    <row r="1366" spans="3:3" x14ac:dyDescent="0.2">
      <c r="C1366"/>
    </row>
    <row r="1367" spans="3:3" x14ac:dyDescent="0.2">
      <c r="C1367"/>
    </row>
    <row r="1368" spans="3:3" x14ac:dyDescent="0.2">
      <c r="C1368"/>
    </row>
    <row r="1369" spans="3:3" x14ac:dyDescent="0.2">
      <c r="C1369"/>
    </row>
    <row r="1370" spans="3:3" x14ac:dyDescent="0.2">
      <c r="C1370"/>
    </row>
    <row r="1371" spans="3:3" x14ac:dyDescent="0.2">
      <c r="C1371"/>
    </row>
    <row r="1372" spans="3:3" x14ac:dyDescent="0.2">
      <c r="C1372"/>
    </row>
    <row r="1373" spans="3:3" x14ac:dyDescent="0.2">
      <c r="C1373"/>
    </row>
    <row r="1374" spans="3:3" x14ac:dyDescent="0.2">
      <c r="C1374"/>
    </row>
    <row r="1375" spans="3:3" x14ac:dyDescent="0.2">
      <c r="C1375"/>
    </row>
    <row r="1376" spans="3:3" x14ac:dyDescent="0.2">
      <c r="C1376"/>
    </row>
    <row r="1377" spans="3:3" x14ac:dyDescent="0.2">
      <c r="C1377"/>
    </row>
    <row r="1378" spans="3:3" x14ac:dyDescent="0.2">
      <c r="C1378"/>
    </row>
    <row r="1379" spans="3:3" x14ac:dyDescent="0.2">
      <c r="C1379"/>
    </row>
    <row r="1380" spans="3:3" x14ac:dyDescent="0.2">
      <c r="C1380"/>
    </row>
    <row r="1381" spans="3:3" x14ac:dyDescent="0.2">
      <c r="C1381"/>
    </row>
    <row r="1382" spans="3:3" x14ac:dyDescent="0.2">
      <c r="C1382"/>
    </row>
    <row r="1383" spans="3:3" x14ac:dyDescent="0.2">
      <c r="C1383"/>
    </row>
    <row r="1384" spans="3:3" x14ac:dyDescent="0.2">
      <c r="C1384"/>
    </row>
    <row r="1385" spans="3:3" x14ac:dyDescent="0.2">
      <c r="C1385"/>
    </row>
    <row r="1386" spans="3:3" x14ac:dyDescent="0.2">
      <c r="C1386"/>
    </row>
    <row r="1387" spans="3:3" x14ac:dyDescent="0.2">
      <c r="C1387"/>
    </row>
    <row r="1388" spans="3:3" x14ac:dyDescent="0.2">
      <c r="C1388"/>
    </row>
    <row r="1389" spans="3:3" x14ac:dyDescent="0.2">
      <c r="C1389"/>
    </row>
    <row r="1390" spans="3:3" x14ac:dyDescent="0.2">
      <c r="C1390"/>
    </row>
    <row r="1391" spans="3:3" x14ac:dyDescent="0.2">
      <c r="C1391"/>
    </row>
    <row r="1392" spans="3:3" x14ac:dyDescent="0.2">
      <c r="C1392"/>
    </row>
    <row r="1393" spans="3:3" x14ac:dyDescent="0.2">
      <c r="C1393"/>
    </row>
    <row r="1394" spans="3:3" x14ac:dyDescent="0.2">
      <c r="C1394"/>
    </row>
    <row r="1395" spans="3:3" x14ac:dyDescent="0.2">
      <c r="C1395"/>
    </row>
    <row r="1396" spans="3:3" x14ac:dyDescent="0.2">
      <c r="C1396"/>
    </row>
    <row r="1397" spans="3:3" x14ac:dyDescent="0.2">
      <c r="C1397"/>
    </row>
    <row r="1398" spans="3:3" x14ac:dyDescent="0.2">
      <c r="C1398"/>
    </row>
    <row r="1399" spans="3:3" x14ac:dyDescent="0.2">
      <c r="C1399"/>
    </row>
    <row r="1400" spans="3:3" x14ac:dyDescent="0.2">
      <c r="C1400"/>
    </row>
    <row r="1401" spans="3:3" x14ac:dyDescent="0.2">
      <c r="C1401"/>
    </row>
    <row r="1402" spans="3:3" x14ac:dyDescent="0.2">
      <c r="C1402"/>
    </row>
    <row r="1403" spans="3:3" x14ac:dyDescent="0.2">
      <c r="C1403"/>
    </row>
    <row r="1404" spans="3:3" x14ac:dyDescent="0.2">
      <c r="C1404"/>
    </row>
    <row r="1405" spans="3:3" x14ac:dyDescent="0.2">
      <c r="C1405"/>
    </row>
    <row r="1406" spans="3:3" x14ac:dyDescent="0.2">
      <c r="C1406"/>
    </row>
    <row r="1407" spans="3:3" x14ac:dyDescent="0.2">
      <c r="C1407"/>
    </row>
    <row r="1408" spans="3:3" x14ac:dyDescent="0.2">
      <c r="C1408"/>
    </row>
    <row r="1409" spans="3:3" x14ac:dyDescent="0.2">
      <c r="C1409"/>
    </row>
    <row r="1410" spans="3:3" x14ac:dyDescent="0.2">
      <c r="C1410"/>
    </row>
    <row r="1411" spans="3:3" x14ac:dyDescent="0.2">
      <c r="C1411"/>
    </row>
    <row r="1412" spans="3:3" x14ac:dyDescent="0.2">
      <c r="C1412"/>
    </row>
    <row r="1413" spans="3:3" x14ac:dyDescent="0.2">
      <c r="C1413"/>
    </row>
    <row r="1414" spans="3:3" x14ac:dyDescent="0.2">
      <c r="C1414"/>
    </row>
    <row r="1415" spans="3:3" x14ac:dyDescent="0.2">
      <c r="C1415"/>
    </row>
    <row r="1416" spans="3:3" x14ac:dyDescent="0.2">
      <c r="C1416"/>
    </row>
    <row r="1417" spans="3:3" x14ac:dyDescent="0.2">
      <c r="C1417"/>
    </row>
    <row r="1418" spans="3:3" x14ac:dyDescent="0.2">
      <c r="C1418"/>
    </row>
    <row r="1419" spans="3:3" x14ac:dyDescent="0.2">
      <c r="C1419"/>
    </row>
    <row r="1420" spans="3:3" x14ac:dyDescent="0.2">
      <c r="C1420"/>
    </row>
    <row r="1421" spans="3:3" x14ac:dyDescent="0.2">
      <c r="C1421"/>
    </row>
    <row r="1422" spans="3:3" x14ac:dyDescent="0.2">
      <c r="C1422"/>
    </row>
    <row r="1423" spans="3:3" x14ac:dyDescent="0.2">
      <c r="C1423"/>
    </row>
    <row r="1424" spans="3:3" x14ac:dyDescent="0.2">
      <c r="C1424"/>
    </row>
    <row r="1425" spans="3:3" x14ac:dyDescent="0.2">
      <c r="C1425"/>
    </row>
    <row r="1426" spans="3:3" x14ac:dyDescent="0.2">
      <c r="C1426"/>
    </row>
    <row r="1427" spans="3:3" x14ac:dyDescent="0.2">
      <c r="C1427"/>
    </row>
    <row r="1428" spans="3:3" x14ac:dyDescent="0.2">
      <c r="C1428"/>
    </row>
    <row r="1429" spans="3:3" x14ac:dyDescent="0.2">
      <c r="C1429"/>
    </row>
    <row r="1430" spans="3:3" x14ac:dyDescent="0.2">
      <c r="C1430"/>
    </row>
    <row r="1431" spans="3:3" x14ac:dyDescent="0.2">
      <c r="C1431"/>
    </row>
    <row r="1432" spans="3:3" x14ac:dyDescent="0.2">
      <c r="C1432"/>
    </row>
    <row r="1433" spans="3:3" x14ac:dyDescent="0.2">
      <c r="C1433"/>
    </row>
    <row r="1434" spans="3:3" x14ac:dyDescent="0.2">
      <c r="C1434"/>
    </row>
    <row r="1435" spans="3:3" x14ac:dyDescent="0.2">
      <c r="C1435"/>
    </row>
    <row r="1436" spans="3:3" x14ac:dyDescent="0.2">
      <c r="C1436"/>
    </row>
    <row r="1437" spans="3:3" x14ac:dyDescent="0.2">
      <c r="C1437"/>
    </row>
    <row r="1438" spans="3:3" x14ac:dyDescent="0.2">
      <c r="C1438"/>
    </row>
    <row r="1439" spans="3:3" x14ac:dyDescent="0.2">
      <c r="C1439"/>
    </row>
    <row r="1440" spans="3:3" x14ac:dyDescent="0.2">
      <c r="C1440"/>
    </row>
    <row r="1441" spans="3:3" x14ac:dyDescent="0.2">
      <c r="C1441"/>
    </row>
    <row r="1442" spans="3:3" x14ac:dyDescent="0.2">
      <c r="C1442"/>
    </row>
    <row r="1443" spans="3:3" x14ac:dyDescent="0.2">
      <c r="C1443"/>
    </row>
    <row r="1444" spans="3:3" x14ac:dyDescent="0.2">
      <c r="C1444"/>
    </row>
    <row r="1445" spans="3:3" x14ac:dyDescent="0.2">
      <c r="C1445"/>
    </row>
    <row r="1446" spans="3:3" x14ac:dyDescent="0.2">
      <c r="C1446"/>
    </row>
    <row r="1447" spans="3:3" x14ac:dyDescent="0.2">
      <c r="C1447"/>
    </row>
    <row r="1448" spans="3:3" x14ac:dyDescent="0.2">
      <c r="C1448"/>
    </row>
    <row r="1449" spans="3:3" x14ac:dyDescent="0.2">
      <c r="C1449"/>
    </row>
    <row r="1450" spans="3:3" x14ac:dyDescent="0.2">
      <c r="C1450"/>
    </row>
    <row r="1451" spans="3:3" x14ac:dyDescent="0.2">
      <c r="C1451"/>
    </row>
    <row r="1452" spans="3:3" x14ac:dyDescent="0.2">
      <c r="C1452"/>
    </row>
    <row r="1453" spans="3:3" x14ac:dyDescent="0.2">
      <c r="C1453"/>
    </row>
    <row r="1454" spans="3:3" x14ac:dyDescent="0.2">
      <c r="C1454"/>
    </row>
    <row r="1455" spans="3:3" x14ac:dyDescent="0.2">
      <c r="C1455"/>
    </row>
    <row r="1456" spans="3:3" x14ac:dyDescent="0.2">
      <c r="C1456"/>
    </row>
    <row r="1457" spans="3:3" x14ac:dyDescent="0.2">
      <c r="C1457"/>
    </row>
    <row r="1458" spans="3:3" x14ac:dyDescent="0.2">
      <c r="C1458"/>
    </row>
    <row r="1459" spans="3:3" x14ac:dyDescent="0.2">
      <c r="C1459"/>
    </row>
    <row r="1460" spans="3:3" x14ac:dyDescent="0.2">
      <c r="C1460"/>
    </row>
    <row r="1461" spans="3:3" x14ac:dyDescent="0.2">
      <c r="C1461"/>
    </row>
    <row r="1462" spans="3:3" x14ac:dyDescent="0.2">
      <c r="C1462"/>
    </row>
    <row r="1463" spans="3:3" x14ac:dyDescent="0.2">
      <c r="C1463"/>
    </row>
    <row r="1464" spans="3:3" x14ac:dyDescent="0.2">
      <c r="C1464"/>
    </row>
    <row r="1465" spans="3:3" x14ac:dyDescent="0.2">
      <c r="C1465"/>
    </row>
    <row r="1466" spans="3:3" x14ac:dyDescent="0.2">
      <c r="C1466"/>
    </row>
    <row r="1467" spans="3:3" x14ac:dyDescent="0.2">
      <c r="C1467"/>
    </row>
    <row r="1468" spans="3:3" x14ac:dyDescent="0.2">
      <c r="C1468"/>
    </row>
    <row r="1469" spans="3:3" x14ac:dyDescent="0.2">
      <c r="C1469"/>
    </row>
    <row r="1470" spans="3:3" x14ac:dyDescent="0.2">
      <c r="C1470"/>
    </row>
    <row r="1471" spans="3:3" x14ac:dyDescent="0.2">
      <c r="C1471"/>
    </row>
    <row r="1472" spans="3:3" x14ac:dyDescent="0.2">
      <c r="C1472"/>
    </row>
    <row r="1473" spans="3:3" x14ac:dyDescent="0.2">
      <c r="C1473"/>
    </row>
    <row r="1474" spans="3:3" x14ac:dyDescent="0.2">
      <c r="C1474"/>
    </row>
    <row r="1475" spans="3:3" x14ac:dyDescent="0.2">
      <c r="C1475"/>
    </row>
    <row r="1476" spans="3:3" x14ac:dyDescent="0.2">
      <c r="C1476"/>
    </row>
    <row r="1477" spans="3:3" x14ac:dyDescent="0.2">
      <c r="C1477"/>
    </row>
    <row r="1478" spans="3:3" x14ac:dyDescent="0.2">
      <c r="C1478"/>
    </row>
    <row r="1479" spans="3:3" x14ac:dyDescent="0.2">
      <c r="C1479"/>
    </row>
    <row r="1480" spans="3:3" x14ac:dyDescent="0.2">
      <c r="C1480"/>
    </row>
    <row r="1481" spans="3:3" x14ac:dyDescent="0.2">
      <c r="C1481"/>
    </row>
    <row r="1482" spans="3:3" x14ac:dyDescent="0.2">
      <c r="C1482"/>
    </row>
    <row r="1483" spans="3:3" x14ac:dyDescent="0.2">
      <c r="C1483"/>
    </row>
    <row r="1484" spans="3:3" x14ac:dyDescent="0.2">
      <c r="C1484"/>
    </row>
    <row r="1485" spans="3:3" x14ac:dyDescent="0.2">
      <c r="C1485"/>
    </row>
    <row r="1486" spans="3:3" x14ac:dyDescent="0.2">
      <c r="C1486"/>
    </row>
    <row r="1487" spans="3:3" x14ac:dyDescent="0.2">
      <c r="C1487"/>
    </row>
    <row r="1488" spans="3:3" x14ac:dyDescent="0.2">
      <c r="C1488"/>
    </row>
    <row r="1489" spans="3:3" x14ac:dyDescent="0.2">
      <c r="C1489"/>
    </row>
    <row r="1490" spans="3:3" x14ac:dyDescent="0.2">
      <c r="C1490"/>
    </row>
    <row r="1491" spans="3:3" x14ac:dyDescent="0.2">
      <c r="C1491"/>
    </row>
    <row r="1492" spans="3:3" x14ac:dyDescent="0.2">
      <c r="C1492"/>
    </row>
    <row r="1493" spans="3:3" x14ac:dyDescent="0.2">
      <c r="C1493"/>
    </row>
    <row r="1494" spans="3:3" x14ac:dyDescent="0.2">
      <c r="C1494"/>
    </row>
    <row r="1495" spans="3:3" x14ac:dyDescent="0.2">
      <c r="C1495"/>
    </row>
    <row r="1496" spans="3:3" x14ac:dyDescent="0.2">
      <c r="C1496"/>
    </row>
    <row r="1497" spans="3:3" x14ac:dyDescent="0.2">
      <c r="C1497"/>
    </row>
    <row r="1498" spans="3:3" x14ac:dyDescent="0.2">
      <c r="C1498"/>
    </row>
    <row r="1499" spans="3:3" x14ac:dyDescent="0.2">
      <c r="C1499"/>
    </row>
    <row r="1500" spans="3:3" x14ac:dyDescent="0.2">
      <c r="C1500"/>
    </row>
    <row r="1501" spans="3:3" x14ac:dyDescent="0.2">
      <c r="C1501"/>
    </row>
    <row r="1502" spans="3:3" x14ac:dyDescent="0.2">
      <c r="C1502"/>
    </row>
    <row r="1503" spans="3:3" x14ac:dyDescent="0.2">
      <c r="C1503"/>
    </row>
    <row r="1504" spans="3:3" x14ac:dyDescent="0.2">
      <c r="C1504"/>
    </row>
    <row r="1505" spans="3:3" x14ac:dyDescent="0.2">
      <c r="C1505"/>
    </row>
    <row r="1506" spans="3:3" x14ac:dyDescent="0.2">
      <c r="C1506"/>
    </row>
    <row r="1507" spans="3:3" x14ac:dyDescent="0.2">
      <c r="C1507"/>
    </row>
    <row r="1508" spans="3:3" x14ac:dyDescent="0.2">
      <c r="C1508"/>
    </row>
    <row r="1509" spans="3:3" x14ac:dyDescent="0.2">
      <c r="C1509"/>
    </row>
    <row r="1510" spans="3:3" x14ac:dyDescent="0.2">
      <c r="C1510"/>
    </row>
    <row r="1511" spans="3:3" x14ac:dyDescent="0.2">
      <c r="C1511"/>
    </row>
    <row r="1512" spans="3:3" x14ac:dyDescent="0.2">
      <c r="C1512"/>
    </row>
    <row r="1513" spans="3:3" x14ac:dyDescent="0.2">
      <c r="C1513"/>
    </row>
    <row r="1514" spans="3:3" x14ac:dyDescent="0.2">
      <c r="C1514"/>
    </row>
    <row r="1515" spans="3:3" x14ac:dyDescent="0.2">
      <c r="C1515"/>
    </row>
    <row r="1516" spans="3:3" x14ac:dyDescent="0.2">
      <c r="C1516"/>
    </row>
    <row r="1517" spans="3:3" x14ac:dyDescent="0.2">
      <c r="C1517"/>
    </row>
    <row r="1518" spans="3:3" x14ac:dyDescent="0.2">
      <c r="C1518"/>
    </row>
    <row r="1519" spans="3:3" x14ac:dyDescent="0.2">
      <c r="C1519"/>
    </row>
    <row r="1520" spans="3:3" x14ac:dyDescent="0.2">
      <c r="C1520"/>
    </row>
    <row r="1521" spans="3:3" x14ac:dyDescent="0.2">
      <c r="C1521"/>
    </row>
    <row r="1522" spans="3:3" x14ac:dyDescent="0.2">
      <c r="C1522"/>
    </row>
    <row r="1523" spans="3:3" x14ac:dyDescent="0.2">
      <c r="C1523"/>
    </row>
    <row r="1524" spans="3:3" x14ac:dyDescent="0.2">
      <c r="C1524"/>
    </row>
    <row r="1525" spans="3:3" x14ac:dyDescent="0.2">
      <c r="C1525"/>
    </row>
    <row r="1526" spans="3:3" x14ac:dyDescent="0.2">
      <c r="C1526"/>
    </row>
    <row r="1527" spans="3:3" x14ac:dyDescent="0.2">
      <c r="C1527"/>
    </row>
    <row r="1528" spans="3:3" x14ac:dyDescent="0.2">
      <c r="C1528"/>
    </row>
    <row r="1529" spans="3:3" x14ac:dyDescent="0.2">
      <c r="C1529"/>
    </row>
    <row r="1530" spans="3:3" x14ac:dyDescent="0.2">
      <c r="C1530"/>
    </row>
    <row r="1531" spans="3:3" x14ac:dyDescent="0.2">
      <c r="C1531"/>
    </row>
    <row r="1532" spans="3:3" x14ac:dyDescent="0.2">
      <c r="C1532"/>
    </row>
    <row r="1533" spans="3:3" x14ac:dyDescent="0.2">
      <c r="C1533"/>
    </row>
    <row r="1534" spans="3:3" x14ac:dyDescent="0.2">
      <c r="C1534"/>
    </row>
    <row r="1535" spans="3:3" x14ac:dyDescent="0.2">
      <c r="C1535"/>
    </row>
    <row r="1536" spans="3:3" x14ac:dyDescent="0.2">
      <c r="C1536"/>
    </row>
    <row r="1537" spans="3:3" x14ac:dyDescent="0.2">
      <c r="C1537"/>
    </row>
    <row r="1538" spans="3:3" x14ac:dyDescent="0.2">
      <c r="C1538"/>
    </row>
    <row r="1539" spans="3:3" x14ac:dyDescent="0.2">
      <c r="C1539"/>
    </row>
    <row r="1540" spans="3:3" x14ac:dyDescent="0.2">
      <c r="C1540"/>
    </row>
    <row r="1541" spans="3:3" x14ac:dyDescent="0.2">
      <c r="C1541"/>
    </row>
    <row r="1542" spans="3:3" x14ac:dyDescent="0.2">
      <c r="C1542"/>
    </row>
    <row r="1543" spans="3:3" x14ac:dyDescent="0.2">
      <c r="C1543"/>
    </row>
    <row r="1544" spans="3:3" x14ac:dyDescent="0.2">
      <c r="C1544"/>
    </row>
    <row r="1545" spans="3:3" x14ac:dyDescent="0.2">
      <c r="C1545"/>
    </row>
    <row r="1546" spans="3:3" x14ac:dyDescent="0.2">
      <c r="C1546"/>
    </row>
    <row r="1547" spans="3:3" x14ac:dyDescent="0.2">
      <c r="C1547"/>
    </row>
    <row r="1548" spans="3:3" x14ac:dyDescent="0.2">
      <c r="C1548"/>
    </row>
    <row r="1549" spans="3:3" x14ac:dyDescent="0.2">
      <c r="C1549"/>
    </row>
    <row r="1550" spans="3:3" x14ac:dyDescent="0.2">
      <c r="C1550"/>
    </row>
    <row r="1551" spans="3:3" x14ac:dyDescent="0.2">
      <c r="C1551"/>
    </row>
    <row r="1552" spans="3:3" x14ac:dyDescent="0.2">
      <c r="C1552"/>
    </row>
    <row r="1553" spans="3:3" x14ac:dyDescent="0.2">
      <c r="C1553"/>
    </row>
    <row r="1554" spans="3:3" x14ac:dyDescent="0.2">
      <c r="C1554"/>
    </row>
    <row r="1555" spans="3:3" x14ac:dyDescent="0.2">
      <c r="C1555"/>
    </row>
    <row r="1556" spans="3:3" x14ac:dyDescent="0.2">
      <c r="C1556"/>
    </row>
    <row r="1557" spans="3:3" x14ac:dyDescent="0.2">
      <c r="C1557"/>
    </row>
    <row r="1558" spans="3:3" x14ac:dyDescent="0.2">
      <c r="C1558"/>
    </row>
    <row r="1559" spans="3:3" x14ac:dyDescent="0.2">
      <c r="C1559"/>
    </row>
    <row r="1560" spans="3:3" x14ac:dyDescent="0.2">
      <c r="C1560"/>
    </row>
    <row r="1561" spans="3:3" x14ac:dyDescent="0.2">
      <c r="C1561"/>
    </row>
    <row r="1562" spans="3:3" x14ac:dyDescent="0.2">
      <c r="C1562"/>
    </row>
    <row r="1563" spans="3:3" x14ac:dyDescent="0.2">
      <c r="C1563"/>
    </row>
    <row r="1564" spans="3:3" x14ac:dyDescent="0.2">
      <c r="C1564"/>
    </row>
    <row r="1565" spans="3:3" x14ac:dyDescent="0.2">
      <c r="C1565"/>
    </row>
    <row r="1566" spans="3:3" x14ac:dyDescent="0.2">
      <c r="C1566"/>
    </row>
    <row r="1567" spans="3:3" x14ac:dyDescent="0.2">
      <c r="C1567"/>
    </row>
    <row r="1568" spans="3:3" x14ac:dyDescent="0.2">
      <c r="C1568"/>
    </row>
    <row r="1569" spans="3:3" x14ac:dyDescent="0.2">
      <c r="C1569"/>
    </row>
    <row r="1570" spans="3:3" x14ac:dyDescent="0.2">
      <c r="C1570"/>
    </row>
    <row r="1571" spans="3:3" x14ac:dyDescent="0.2">
      <c r="C1571"/>
    </row>
    <row r="1572" spans="3:3" x14ac:dyDescent="0.2">
      <c r="C1572"/>
    </row>
    <row r="1573" spans="3:3" x14ac:dyDescent="0.2">
      <c r="C1573"/>
    </row>
    <row r="1574" spans="3:3" x14ac:dyDescent="0.2">
      <c r="C1574"/>
    </row>
    <row r="1575" spans="3:3" x14ac:dyDescent="0.2">
      <c r="C1575"/>
    </row>
    <row r="1576" spans="3:3" x14ac:dyDescent="0.2">
      <c r="C1576"/>
    </row>
    <row r="1577" spans="3:3" x14ac:dyDescent="0.2">
      <c r="C1577"/>
    </row>
    <row r="1578" spans="3:3" x14ac:dyDescent="0.2">
      <c r="C1578"/>
    </row>
    <row r="1579" spans="3:3" x14ac:dyDescent="0.2">
      <c r="C1579"/>
    </row>
    <row r="1580" spans="3:3" x14ac:dyDescent="0.2">
      <c r="C1580"/>
    </row>
    <row r="1581" spans="3:3" x14ac:dyDescent="0.2">
      <c r="C1581"/>
    </row>
    <row r="1582" spans="3:3" x14ac:dyDescent="0.2">
      <c r="C1582"/>
    </row>
    <row r="1583" spans="3:3" x14ac:dyDescent="0.2">
      <c r="C1583"/>
    </row>
    <row r="1584" spans="3:3" x14ac:dyDescent="0.2">
      <c r="C1584"/>
    </row>
    <row r="1585" spans="3:3" x14ac:dyDescent="0.2">
      <c r="C1585"/>
    </row>
    <row r="1586" spans="3:3" x14ac:dyDescent="0.2">
      <c r="C1586"/>
    </row>
    <row r="1587" spans="3:3" x14ac:dyDescent="0.2">
      <c r="C1587"/>
    </row>
    <row r="1588" spans="3:3" x14ac:dyDescent="0.2">
      <c r="C1588"/>
    </row>
    <row r="1589" spans="3:3" x14ac:dyDescent="0.2">
      <c r="C1589"/>
    </row>
    <row r="1590" spans="3:3" x14ac:dyDescent="0.2">
      <c r="C1590"/>
    </row>
    <row r="1591" spans="3:3" x14ac:dyDescent="0.2">
      <c r="C1591"/>
    </row>
    <row r="1592" spans="3:3" x14ac:dyDescent="0.2">
      <c r="C1592"/>
    </row>
    <row r="1593" spans="3:3" x14ac:dyDescent="0.2">
      <c r="C1593"/>
    </row>
    <row r="1594" spans="3:3" x14ac:dyDescent="0.2">
      <c r="C1594"/>
    </row>
    <row r="1595" spans="3:3" x14ac:dyDescent="0.2">
      <c r="C1595"/>
    </row>
    <row r="1596" spans="3:3" x14ac:dyDescent="0.2">
      <c r="C1596"/>
    </row>
    <row r="1597" spans="3:3" x14ac:dyDescent="0.2">
      <c r="C1597"/>
    </row>
    <row r="1598" spans="3:3" x14ac:dyDescent="0.2">
      <c r="C1598"/>
    </row>
    <row r="1599" spans="3:3" x14ac:dyDescent="0.2">
      <c r="C1599"/>
    </row>
    <row r="1600" spans="3:3" x14ac:dyDescent="0.2">
      <c r="C1600"/>
    </row>
    <row r="1601" spans="3:3" x14ac:dyDescent="0.2">
      <c r="C1601"/>
    </row>
    <row r="1602" spans="3:3" x14ac:dyDescent="0.2">
      <c r="C1602"/>
    </row>
    <row r="1603" spans="3:3" x14ac:dyDescent="0.2">
      <c r="C1603"/>
    </row>
    <row r="1604" spans="3:3" x14ac:dyDescent="0.2">
      <c r="C1604"/>
    </row>
    <row r="1605" spans="3:3" x14ac:dyDescent="0.2">
      <c r="C1605"/>
    </row>
    <row r="1606" spans="3:3" x14ac:dyDescent="0.2">
      <c r="C1606"/>
    </row>
    <row r="1607" spans="3:3" x14ac:dyDescent="0.2">
      <c r="C1607"/>
    </row>
    <row r="1608" spans="3:3" x14ac:dyDescent="0.2">
      <c r="C1608"/>
    </row>
    <row r="1609" spans="3:3" x14ac:dyDescent="0.2">
      <c r="C1609"/>
    </row>
    <row r="1610" spans="3:3" x14ac:dyDescent="0.2">
      <c r="C1610"/>
    </row>
    <row r="1611" spans="3:3" x14ac:dyDescent="0.2">
      <c r="C1611"/>
    </row>
    <row r="1612" spans="3:3" x14ac:dyDescent="0.2">
      <c r="C1612"/>
    </row>
    <row r="1613" spans="3:3" x14ac:dyDescent="0.2">
      <c r="C1613"/>
    </row>
    <row r="1614" spans="3:3" x14ac:dyDescent="0.2">
      <c r="C1614"/>
    </row>
    <row r="1615" spans="3:3" x14ac:dyDescent="0.2">
      <c r="C1615"/>
    </row>
    <row r="1616" spans="3:3" x14ac:dyDescent="0.2">
      <c r="C1616"/>
    </row>
    <row r="1617" spans="3:3" x14ac:dyDescent="0.2">
      <c r="C1617"/>
    </row>
    <row r="1618" spans="3:3" x14ac:dyDescent="0.2">
      <c r="C1618"/>
    </row>
    <row r="1619" spans="3:3" x14ac:dyDescent="0.2">
      <c r="C1619"/>
    </row>
    <row r="1620" spans="3:3" x14ac:dyDescent="0.2">
      <c r="C1620"/>
    </row>
    <row r="1621" spans="3:3" x14ac:dyDescent="0.2">
      <c r="C1621"/>
    </row>
    <row r="1622" spans="3:3" x14ac:dyDescent="0.2">
      <c r="C1622"/>
    </row>
    <row r="1623" spans="3:3" x14ac:dyDescent="0.2">
      <c r="C1623"/>
    </row>
    <row r="1624" spans="3:3" x14ac:dyDescent="0.2">
      <c r="C1624"/>
    </row>
    <row r="1625" spans="3:3" x14ac:dyDescent="0.2">
      <c r="C1625"/>
    </row>
    <row r="1626" spans="3:3" x14ac:dyDescent="0.2">
      <c r="C1626"/>
    </row>
    <row r="1627" spans="3:3" x14ac:dyDescent="0.2">
      <c r="C1627"/>
    </row>
    <row r="1628" spans="3:3" x14ac:dyDescent="0.2">
      <c r="C1628"/>
    </row>
    <row r="1629" spans="3:3" x14ac:dyDescent="0.2">
      <c r="C1629"/>
    </row>
    <row r="1630" spans="3:3" x14ac:dyDescent="0.2">
      <c r="C1630"/>
    </row>
    <row r="1631" spans="3:3" x14ac:dyDescent="0.2">
      <c r="C1631"/>
    </row>
    <row r="1632" spans="3:3" x14ac:dyDescent="0.2">
      <c r="C1632"/>
    </row>
    <row r="1633" spans="3:3" x14ac:dyDescent="0.2">
      <c r="C1633"/>
    </row>
    <row r="1634" spans="3:3" x14ac:dyDescent="0.2">
      <c r="C1634"/>
    </row>
    <row r="1635" spans="3:3" x14ac:dyDescent="0.2">
      <c r="C1635"/>
    </row>
    <row r="1636" spans="3:3" x14ac:dyDescent="0.2">
      <c r="C1636"/>
    </row>
    <row r="1637" spans="3:3" x14ac:dyDescent="0.2">
      <c r="C1637"/>
    </row>
    <row r="1638" spans="3:3" x14ac:dyDescent="0.2">
      <c r="C1638"/>
    </row>
    <row r="1639" spans="3:3" x14ac:dyDescent="0.2">
      <c r="C1639"/>
    </row>
    <row r="1640" spans="3:3" x14ac:dyDescent="0.2">
      <c r="C1640"/>
    </row>
    <row r="1641" spans="3:3" x14ac:dyDescent="0.2">
      <c r="C1641"/>
    </row>
    <row r="1642" spans="3:3" x14ac:dyDescent="0.2">
      <c r="C1642"/>
    </row>
    <row r="1643" spans="3:3" x14ac:dyDescent="0.2">
      <c r="C1643"/>
    </row>
    <row r="1644" spans="3:3" x14ac:dyDescent="0.2">
      <c r="C1644"/>
    </row>
    <row r="1645" spans="3:3" x14ac:dyDescent="0.2">
      <c r="C1645"/>
    </row>
    <row r="1646" spans="3:3" x14ac:dyDescent="0.2">
      <c r="C1646"/>
    </row>
    <row r="1647" spans="3:3" x14ac:dyDescent="0.2">
      <c r="C1647"/>
    </row>
    <row r="1648" spans="3:3" x14ac:dyDescent="0.2">
      <c r="C1648"/>
    </row>
    <row r="1649" spans="3:3" x14ac:dyDescent="0.2">
      <c r="C1649"/>
    </row>
    <row r="1650" spans="3:3" x14ac:dyDescent="0.2">
      <c r="C1650"/>
    </row>
    <row r="1651" spans="3:3" x14ac:dyDescent="0.2">
      <c r="C1651"/>
    </row>
    <row r="1652" spans="3:3" x14ac:dyDescent="0.2">
      <c r="C1652"/>
    </row>
    <row r="1653" spans="3:3" x14ac:dyDescent="0.2">
      <c r="C1653"/>
    </row>
    <row r="1654" spans="3:3" x14ac:dyDescent="0.2">
      <c r="C1654"/>
    </row>
    <row r="1655" spans="3:3" x14ac:dyDescent="0.2">
      <c r="C1655"/>
    </row>
    <row r="1656" spans="3:3" x14ac:dyDescent="0.2">
      <c r="C1656"/>
    </row>
    <row r="1657" spans="3:3" x14ac:dyDescent="0.2">
      <c r="C1657"/>
    </row>
    <row r="1658" spans="3:3" x14ac:dyDescent="0.2">
      <c r="C1658"/>
    </row>
    <row r="1659" spans="3:3" x14ac:dyDescent="0.2">
      <c r="C1659"/>
    </row>
    <row r="1660" spans="3:3" x14ac:dyDescent="0.2">
      <c r="C1660"/>
    </row>
    <row r="1661" spans="3:3" x14ac:dyDescent="0.2">
      <c r="C1661"/>
    </row>
    <row r="1662" spans="3:3" x14ac:dyDescent="0.2">
      <c r="C1662"/>
    </row>
    <row r="1663" spans="3:3" x14ac:dyDescent="0.2">
      <c r="C1663"/>
    </row>
    <row r="1664" spans="3:3" x14ac:dyDescent="0.2">
      <c r="C1664"/>
    </row>
    <row r="1665" spans="3:3" x14ac:dyDescent="0.2">
      <c r="C1665"/>
    </row>
    <row r="1666" spans="3:3" x14ac:dyDescent="0.2">
      <c r="C1666"/>
    </row>
    <row r="1667" spans="3:3" x14ac:dyDescent="0.2">
      <c r="C1667"/>
    </row>
    <row r="1668" spans="3:3" x14ac:dyDescent="0.2">
      <c r="C1668"/>
    </row>
    <row r="1669" spans="3:3" x14ac:dyDescent="0.2">
      <c r="C1669"/>
    </row>
    <row r="1670" spans="3:3" x14ac:dyDescent="0.2">
      <c r="C1670"/>
    </row>
    <row r="1671" spans="3:3" x14ac:dyDescent="0.2">
      <c r="C1671"/>
    </row>
    <row r="1672" spans="3:3" x14ac:dyDescent="0.2">
      <c r="C1672"/>
    </row>
    <row r="1673" spans="3:3" x14ac:dyDescent="0.2">
      <c r="C1673"/>
    </row>
    <row r="1674" spans="3:3" x14ac:dyDescent="0.2">
      <c r="C1674"/>
    </row>
    <row r="1675" spans="3:3" x14ac:dyDescent="0.2">
      <c r="C1675"/>
    </row>
    <row r="1676" spans="3:3" x14ac:dyDescent="0.2">
      <c r="C1676"/>
    </row>
    <row r="1677" spans="3:3" x14ac:dyDescent="0.2">
      <c r="C1677"/>
    </row>
    <row r="1678" spans="3:3" x14ac:dyDescent="0.2">
      <c r="C1678"/>
    </row>
    <row r="1679" spans="3:3" x14ac:dyDescent="0.2">
      <c r="C1679"/>
    </row>
    <row r="1680" spans="3:3" x14ac:dyDescent="0.2">
      <c r="C1680"/>
    </row>
    <row r="1681" spans="3:3" x14ac:dyDescent="0.2">
      <c r="C1681"/>
    </row>
    <row r="1682" spans="3:3" x14ac:dyDescent="0.2">
      <c r="C1682"/>
    </row>
    <row r="1683" spans="3:3" x14ac:dyDescent="0.2">
      <c r="C1683"/>
    </row>
    <row r="1684" spans="3:3" x14ac:dyDescent="0.2">
      <c r="C1684"/>
    </row>
    <row r="1685" spans="3:3" x14ac:dyDescent="0.2">
      <c r="C1685"/>
    </row>
    <row r="1686" spans="3:3" x14ac:dyDescent="0.2">
      <c r="C1686"/>
    </row>
    <row r="1687" spans="3:3" x14ac:dyDescent="0.2">
      <c r="C1687"/>
    </row>
    <row r="1688" spans="3:3" x14ac:dyDescent="0.2">
      <c r="C1688"/>
    </row>
    <row r="1689" spans="3:3" x14ac:dyDescent="0.2">
      <c r="C1689"/>
    </row>
    <row r="1690" spans="3:3" x14ac:dyDescent="0.2">
      <c r="C1690"/>
    </row>
    <row r="1691" spans="3:3" x14ac:dyDescent="0.2">
      <c r="C1691"/>
    </row>
    <row r="1692" spans="3:3" x14ac:dyDescent="0.2">
      <c r="C1692"/>
    </row>
    <row r="1693" spans="3:3" x14ac:dyDescent="0.2">
      <c r="C1693"/>
    </row>
    <row r="1694" spans="3:3" x14ac:dyDescent="0.2">
      <c r="C1694"/>
    </row>
    <row r="1695" spans="3:3" x14ac:dyDescent="0.2">
      <c r="C1695"/>
    </row>
    <row r="1696" spans="3:3" x14ac:dyDescent="0.2">
      <c r="C1696"/>
    </row>
    <row r="1697" spans="3:3" x14ac:dyDescent="0.2">
      <c r="C1697"/>
    </row>
    <row r="1698" spans="3:3" x14ac:dyDescent="0.2">
      <c r="C1698"/>
    </row>
    <row r="1699" spans="3:3" x14ac:dyDescent="0.2">
      <c r="C1699"/>
    </row>
    <row r="1700" spans="3:3" x14ac:dyDescent="0.2">
      <c r="C1700"/>
    </row>
    <row r="1701" spans="3:3" x14ac:dyDescent="0.2">
      <c r="C1701"/>
    </row>
    <row r="1702" spans="3:3" x14ac:dyDescent="0.2">
      <c r="C1702"/>
    </row>
    <row r="1703" spans="3:3" x14ac:dyDescent="0.2">
      <c r="C1703"/>
    </row>
    <row r="1704" spans="3:3" x14ac:dyDescent="0.2">
      <c r="C1704"/>
    </row>
    <row r="1705" spans="3:3" x14ac:dyDescent="0.2">
      <c r="C1705"/>
    </row>
    <row r="1706" spans="3:3" x14ac:dyDescent="0.2">
      <c r="C1706"/>
    </row>
    <row r="1707" spans="3:3" x14ac:dyDescent="0.2">
      <c r="C1707"/>
    </row>
    <row r="1708" spans="3:3" x14ac:dyDescent="0.2">
      <c r="C1708"/>
    </row>
    <row r="1709" spans="3:3" x14ac:dyDescent="0.2">
      <c r="C1709"/>
    </row>
    <row r="1710" spans="3:3" x14ac:dyDescent="0.2">
      <c r="C1710"/>
    </row>
    <row r="1711" spans="3:3" x14ac:dyDescent="0.2">
      <c r="C1711"/>
    </row>
    <row r="1712" spans="3:3" x14ac:dyDescent="0.2">
      <c r="C1712"/>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E15 AE18 E12 G12 I12" formulaRange="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56">
    <pageSetUpPr autoPageBreaks="0"/>
  </sheetPr>
  <dimension ref="A1:AE80"/>
  <sheetViews>
    <sheetView showGridLines="0" topLeftCell="C1" zoomScaleNormal="100" workbookViewId="0">
      <selection activeCell="L26" sqref="L26"/>
    </sheetView>
  </sheetViews>
  <sheetFormatPr defaultRowHeight="12.75" x14ac:dyDescent="0.2"/>
  <cols>
    <col min="1" max="2" width="9.140625" hidden="1" customWidth="1"/>
    <col min="3" max="3" width="1.42578125" customWidth="1"/>
    <col min="4" max="4" width="45.42578125" bestFit="1" customWidth="1"/>
    <col min="5" max="6" width="10.85546875" customWidth="1"/>
    <col min="7" max="7" width="1.85546875" style="28" customWidth="1"/>
    <col min="8" max="8" width="41.140625" bestFit="1" customWidth="1"/>
    <col min="9" max="10" width="10.85546875" customWidth="1"/>
    <col min="11" max="11" width="1.85546875" style="28" customWidth="1"/>
    <col min="12" max="12" width="48.85546875" bestFit="1" customWidth="1"/>
    <col min="13" max="19" width="10.85546875" customWidth="1"/>
    <col min="20" max="20" width="1.85546875" style="28" customWidth="1"/>
    <col min="21" max="21" width="25.85546875" bestFit="1" customWidth="1"/>
    <col min="22" max="27" width="10.85546875" customWidth="1"/>
    <col min="28" max="28" width="1.85546875" style="28" customWidth="1"/>
    <col min="29" max="29" width="41.85546875" bestFit="1" customWidth="1"/>
    <col min="30" max="31" width="10.85546875" customWidth="1"/>
    <col min="32" max="33" width="12" bestFit="1" customWidth="1"/>
  </cols>
  <sheetData>
    <row r="1" spans="1:31" s="547" customFormat="1" ht="7.5" customHeight="1" x14ac:dyDescent="0.2">
      <c r="E1" s="547" t="s">
        <v>272</v>
      </c>
      <c r="F1" s="547" t="s">
        <v>305</v>
      </c>
      <c r="G1" s="553"/>
      <c r="I1" s="547" t="s">
        <v>272</v>
      </c>
      <c r="J1" s="547" t="s">
        <v>305</v>
      </c>
      <c r="K1" s="553"/>
      <c r="M1" s="547" t="s">
        <v>306</v>
      </c>
      <c r="N1" s="547" t="s">
        <v>307</v>
      </c>
      <c r="O1" s="547" t="s">
        <v>308</v>
      </c>
      <c r="P1" s="547" t="s">
        <v>309</v>
      </c>
      <c r="Q1" s="547" t="s">
        <v>310</v>
      </c>
      <c r="R1" s="547" t="s">
        <v>311</v>
      </c>
      <c r="S1" s="547" t="s">
        <v>312</v>
      </c>
      <c r="T1" s="553"/>
      <c r="V1" s="547" t="s">
        <v>313</v>
      </c>
      <c r="W1" s="547" t="s">
        <v>306</v>
      </c>
      <c r="X1" s="547" t="s">
        <v>308</v>
      </c>
      <c r="Y1" s="547" t="s">
        <v>309</v>
      </c>
      <c r="Z1" s="547" t="s">
        <v>310</v>
      </c>
      <c r="AA1" s="547" t="s">
        <v>312</v>
      </c>
      <c r="AB1" s="553"/>
      <c r="AD1" s="547" t="s">
        <v>272</v>
      </c>
      <c r="AE1" s="547" t="s">
        <v>315</v>
      </c>
    </row>
    <row r="2" spans="1:31" s="547" customFormat="1" ht="12.75" customHeight="1" x14ac:dyDescent="0.2">
      <c r="G2" s="553"/>
      <c r="K2" s="553"/>
      <c r="M2" s="547" t="s">
        <v>1159</v>
      </c>
      <c r="N2" s="547" t="s">
        <v>1160</v>
      </c>
      <c r="O2" s="547" t="s">
        <v>1161</v>
      </c>
      <c r="P2" s="547" t="s">
        <v>1162</v>
      </c>
      <c r="Q2" s="547" t="s">
        <v>1163</v>
      </c>
      <c r="R2" s="547" t="s">
        <v>1164</v>
      </c>
      <c r="S2" s="547" t="s">
        <v>1165</v>
      </c>
      <c r="T2" s="553"/>
      <c r="V2" s="547" t="s">
        <v>1166</v>
      </c>
      <c r="W2" s="547" t="s">
        <v>1159</v>
      </c>
      <c r="X2" s="547" t="s">
        <v>1161</v>
      </c>
      <c r="Y2" s="547" t="s">
        <v>1162</v>
      </c>
      <c r="Z2" s="547" t="s">
        <v>1163</v>
      </c>
      <c r="AA2" s="547" t="s">
        <v>1165</v>
      </c>
      <c r="AB2" s="553"/>
    </row>
    <row r="3" spans="1:31" ht="12.75" customHeight="1" x14ac:dyDescent="0.2"/>
    <row r="4" spans="1:31" ht="12.75" customHeight="1" x14ac:dyDescent="0.2"/>
    <row r="5" spans="1:31" ht="37.5" customHeight="1" x14ac:dyDescent="0.2">
      <c r="A5" t="s">
        <v>234</v>
      </c>
      <c r="B5" t="s">
        <v>638</v>
      </c>
      <c r="D5" s="247" t="str">
        <f>IF([1]RENAME!$H$3=1,B5,A5)</f>
        <v>Ativo</v>
      </c>
      <c r="E5" s="247" t="str">
        <f>IF([1]RENAME!$H$3=0,E1,TEXT(E1,"m/d/aa;@"))</f>
        <v>30/06/2014</v>
      </c>
      <c r="F5" s="247" t="str">
        <f>IF([1]RENAME!$H$3=0,F1,TEXT(F1,"m/d/aa;@"))</f>
        <v>31/08/2014</v>
      </c>
      <c r="G5" s="167"/>
      <c r="H5" s="247" t="str">
        <f>IF([1]RENAME!$H$3=1,B23,A23)</f>
        <v>Passivo e patrimônio líquido</v>
      </c>
      <c r="I5" s="247" t="str">
        <f>IF([1]RENAME!$H$3=0,I1,TEXT(I1,"m/d/aa;@"))</f>
        <v>30/06/2014</v>
      </c>
      <c r="J5" s="247" t="str">
        <f>IF([1]RENAME!$H$3=0,J1,TEXT(J1,"m/d/aa;@"))</f>
        <v>31/08/2014</v>
      </c>
      <c r="K5" s="167"/>
      <c r="L5" s="115" t="s">
        <v>89</v>
      </c>
      <c r="M5" s="542" t="str">
        <f>IF([1]RENAME!$H$3=0,M1,M2)</f>
        <v>Jan/2013 a Set/2013</v>
      </c>
      <c r="N5" s="145" t="str">
        <f>IF([1]RENAME!$H$3=0,N1,N2)</f>
        <v>Out/2013 a Dez/2013</v>
      </c>
      <c r="O5" s="145" t="str">
        <f>IF([1]RENAME!$H$3=0,O1,O2)</f>
        <v>Jan/2013 a Dez/2013</v>
      </c>
      <c r="P5" s="145" t="str">
        <f>IF([1]RENAME!$H$3=0,P1,P2)</f>
        <v>Jan/2014 a Mar/2014</v>
      </c>
      <c r="Q5" s="145" t="str">
        <f>IF([1]RENAME!$H$3=0,Q1,Q2)</f>
        <v>Jan/2014 a Jun/2014</v>
      </c>
      <c r="R5" s="145" t="str">
        <f>IF([1]RENAME!$H$3=0,R1,R2)</f>
        <v>Jul/2014 a Ago/2014</v>
      </c>
      <c r="S5" s="145" t="str">
        <f>IF([1]RENAME!$H$3=0,S1,S2)</f>
        <v>Jan/2014 a Ago/2014</v>
      </c>
      <c r="T5" s="167"/>
      <c r="U5" s="115"/>
      <c r="V5" s="145" t="str">
        <f>IF([1]RENAME!$H$3=0,V1,V2)</f>
        <v>Jan/2013 a Jun/2013</v>
      </c>
      <c r="W5" s="145" t="str">
        <f>IF([1]RENAME!$H$3=0,W1,W2)</f>
        <v>Jan/2013 a Set/2013</v>
      </c>
      <c r="X5" s="145" t="str">
        <f>IF([1]RENAME!$H$3=0,X1,X2)</f>
        <v>Jan/2013 a Dez/2013</v>
      </c>
      <c r="Y5" s="145" t="str">
        <f>IF([1]RENAME!$H$3=0,Y1,Y2)</f>
        <v>Jan/2014 a Mar/2014</v>
      </c>
      <c r="Z5" s="145" t="str">
        <f>IF([1]RENAME!$H$3=0,Z1,Z2)</f>
        <v>Jan/2014 a Jun/2014</v>
      </c>
      <c r="AA5" s="145" t="str">
        <f>IF([1]RENAME!$H$3=0,AA1,AA2)</f>
        <v>Jan/2014 a Ago/2014</v>
      </c>
      <c r="AB5" s="167"/>
      <c r="AC5" s="247" t="str">
        <f>IF([1]RENAME!$H$3=1,B62,A62)</f>
        <v>Controladora</v>
      </c>
      <c r="AD5" s="247" t="str">
        <f>IF([1]RENAME!$H$3=0,AD1,TEXT(AD1,"m/d/aa;@"))</f>
        <v>30/06/2014</v>
      </c>
      <c r="AE5" s="247" t="str">
        <f>IF([1]RENAME!$H$3=0,AE1,TEXT(AE1,"m/d/aa;@"))</f>
        <v>31/12/2014</v>
      </c>
    </row>
    <row r="6" spans="1:31" x14ac:dyDescent="0.2">
      <c r="A6" t="s">
        <v>75</v>
      </c>
      <c r="B6" t="s">
        <v>874</v>
      </c>
      <c r="D6" s="129" t="str">
        <f>IF([1]RENAME!$H$3=1,B6,A6)</f>
        <v>Caixa e equivalentes de caixa</v>
      </c>
      <c r="E6" s="118">
        <v>1873</v>
      </c>
      <c r="F6" s="118">
        <v>18587</v>
      </c>
      <c r="G6" s="169"/>
      <c r="H6" s="129" t="str">
        <f>IF([1]RENAME!$H$3=1,B24,A24)</f>
        <v>Caixa e equivalentes de caixa</v>
      </c>
      <c r="I6" s="118">
        <v>16667</v>
      </c>
      <c r="J6" s="118">
        <v>0</v>
      </c>
      <c r="K6" s="169"/>
      <c r="L6" s="129" t="str">
        <f>IF([1]RENAME!$H$3=1,B42,A42)</f>
        <v>Receita líquida dos serviços prestados</v>
      </c>
      <c r="M6" s="118">
        <v>48855</v>
      </c>
      <c r="N6" s="118">
        <v>145725</v>
      </c>
      <c r="O6" s="118">
        <v>194580</v>
      </c>
      <c r="P6" s="118">
        <v>51117</v>
      </c>
      <c r="Q6" s="118">
        <v>100336</v>
      </c>
      <c r="R6" s="118">
        <v>30748</v>
      </c>
      <c r="S6" s="118">
        <v>131084</v>
      </c>
      <c r="T6" s="169"/>
      <c r="U6" s="129" t="str">
        <f>IF([1]RENAME!$H$3=1,B57,A57)</f>
        <v>Atividades operacionais</v>
      </c>
      <c r="V6" s="118">
        <v>-44703</v>
      </c>
      <c r="W6" s="118">
        <v>-66383</v>
      </c>
      <c r="X6" s="118">
        <v>-82690</v>
      </c>
      <c r="Y6" s="118">
        <v>-12823.90581893086</v>
      </c>
      <c r="Z6" s="118">
        <v>-19839</v>
      </c>
      <c r="AA6" s="118">
        <v>-37566</v>
      </c>
      <c r="AB6" s="169"/>
      <c r="AC6" s="129" t="str">
        <f>IF([1]RENAME!$H$3=1,B63,A63)</f>
        <v>Ativos líquidos Direct</v>
      </c>
      <c r="AD6" s="118">
        <v>185913</v>
      </c>
      <c r="AE6" s="118">
        <v>132435</v>
      </c>
    </row>
    <row r="7" spans="1:31" x14ac:dyDescent="0.2">
      <c r="A7" t="s">
        <v>36</v>
      </c>
      <c r="B7" t="s">
        <v>1127</v>
      </c>
      <c r="D7" s="129" t="str">
        <f>IF([1]RENAME!$H$3=1,B7,A7)</f>
        <v>Contas a receber</v>
      </c>
      <c r="E7" s="118">
        <v>59396</v>
      </c>
      <c r="F7" s="118">
        <v>41205</v>
      </c>
      <c r="G7" s="169"/>
      <c r="H7" s="129" t="str">
        <f>IF([1]RENAME!$H$3=1,B25,A25)</f>
        <v>Contas a receber</v>
      </c>
      <c r="I7" s="118"/>
      <c r="J7" s="118">
        <v>4765</v>
      </c>
      <c r="K7" s="169"/>
      <c r="L7" s="129" t="str">
        <f>IF([1]RENAME!$H$3=1,B43,A43)</f>
        <v>Custo dos serviços prestados</v>
      </c>
      <c r="M7" s="118">
        <v>-54122</v>
      </c>
      <c r="N7" s="118">
        <v>-171581</v>
      </c>
      <c r="O7" s="118">
        <v>-225703</v>
      </c>
      <c r="P7" s="118">
        <v>-52342</v>
      </c>
      <c r="Q7" s="118">
        <v>-107725</v>
      </c>
      <c r="R7" s="118">
        <v>-34426</v>
      </c>
      <c r="S7" s="118">
        <v>-142151</v>
      </c>
      <c r="T7" s="169"/>
      <c r="U7" s="129" t="str">
        <f>IF([1]RENAME!$H$3=1,B58,A58)</f>
        <v>Atividades de investimentos</v>
      </c>
      <c r="V7" s="118">
        <v>-2307</v>
      </c>
      <c r="W7" s="118">
        <v>-12763</v>
      </c>
      <c r="X7" s="118">
        <v>-19498</v>
      </c>
      <c r="Y7" s="118">
        <v>-6014</v>
      </c>
      <c r="Z7" s="118">
        <v>-9467</v>
      </c>
      <c r="AA7" s="118">
        <v>11831</v>
      </c>
      <c r="AB7" s="169"/>
      <c r="AC7" s="129" t="str">
        <f>IF([1]RENAME!$H$3=1,B64,A64)</f>
        <v>Investimento - baixa ágio (Nota 11 e 13)</v>
      </c>
      <c r="AD7" s="118">
        <v>80911</v>
      </c>
      <c r="AE7" s="118">
        <v>80911</v>
      </c>
    </row>
    <row r="8" spans="1:31" x14ac:dyDescent="0.2">
      <c r="A8" t="s">
        <v>25</v>
      </c>
      <c r="B8" t="s">
        <v>641</v>
      </c>
      <c r="C8" s="108"/>
      <c r="D8" s="129" t="str">
        <f>IF([1]RENAME!$H$3=1,B8,A8)</f>
        <v>Partes relacionadas</v>
      </c>
      <c r="E8" s="118">
        <v>692</v>
      </c>
      <c r="F8" s="118">
        <v>0</v>
      </c>
      <c r="G8" s="169"/>
      <c r="H8" s="129" t="str">
        <f>IF([1]RENAME!$H$3=1,B26,A26)</f>
        <v>Partes relacionadas</v>
      </c>
      <c r="I8" s="118">
        <v>2553</v>
      </c>
      <c r="J8" s="118">
        <v>2145</v>
      </c>
      <c r="K8" s="169"/>
      <c r="L8" s="126" t="str">
        <f>IF([1]RENAME!$H$3=1,B44,A44)</f>
        <v>Prejuízo bruto</v>
      </c>
      <c r="M8" s="120">
        <f>SUM(M6:M7)</f>
        <v>-5267</v>
      </c>
      <c r="N8" s="120">
        <f t="shared" ref="N8:S8" si="0">SUM(N6:N7)</f>
        <v>-25856</v>
      </c>
      <c r="O8" s="120">
        <f t="shared" si="0"/>
        <v>-31123</v>
      </c>
      <c r="P8" s="120">
        <f t="shared" si="0"/>
        <v>-1225</v>
      </c>
      <c r="Q8" s="120">
        <f t="shared" si="0"/>
        <v>-7389</v>
      </c>
      <c r="R8" s="120">
        <f t="shared" si="0"/>
        <v>-3678</v>
      </c>
      <c r="S8" s="120">
        <f t="shared" si="0"/>
        <v>-11067</v>
      </c>
      <c r="T8" s="169"/>
      <c r="U8" s="129" t="str">
        <f>IF([1]RENAME!$H$3=1,B59,A59)</f>
        <v>Atividades de financiamento</v>
      </c>
      <c r="V8" s="118">
        <v>47378</v>
      </c>
      <c r="W8" s="118">
        <v>80721</v>
      </c>
      <c r="X8" s="118">
        <v>106757</v>
      </c>
      <c r="Y8" s="118">
        <v>-1832.3703369329819</v>
      </c>
      <c r="Z8" s="118">
        <v>4447</v>
      </c>
      <c r="AA8" s="118">
        <v>17591</v>
      </c>
      <c r="AB8" s="169"/>
      <c r="AC8" s="129" t="str">
        <f>IF([1]RENAME!$H$3=1,B65,A65)</f>
        <v>Intángivel (Nota 13)</v>
      </c>
      <c r="AD8" s="118">
        <v>0</v>
      </c>
      <c r="AE8" s="118">
        <v>0</v>
      </c>
    </row>
    <row r="9" spans="1:31" x14ac:dyDescent="0.2">
      <c r="A9" t="s">
        <v>19</v>
      </c>
      <c r="B9" t="s">
        <v>768</v>
      </c>
      <c r="C9" s="109"/>
      <c r="D9" s="129" t="str">
        <f>IF([1]RENAME!$H$3=1,B9,A9)</f>
        <v>Impostos a recuperar</v>
      </c>
      <c r="E9" s="118">
        <v>4454</v>
      </c>
      <c r="F9" s="118">
        <v>2712</v>
      </c>
      <c r="G9" s="169"/>
      <c r="H9" s="129" t="str">
        <f>IF([1]RENAME!$H$3=1,B27,A27)</f>
        <v>Impostos a recuperar</v>
      </c>
      <c r="I9" s="118">
        <v>532</v>
      </c>
      <c r="J9" s="118">
        <v>0</v>
      </c>
      <c r="K9" s="169"/>
      <c r="L9" s="129" t="str">
        <f>IF([1]RENAME!$H$3=1,B45,A45)</f>
        <v>Despesas gerais e administrativas</v>
      </c>
      <c r="M9" s="118">
        <v>-5233</v>
      </c>
      <c r="N9" s="118">
        <v>-13728</v>
      </c>
      <c r="O9" s="118">
        <v>-18961</v>
      </c>
      <c r="P9" s="118">
        <v>-3899</v>
      </c>
      <c r="Q9" s="118">
        <v>-9506</v>
      </c>
      <c r="R9" s="118">
        <v>12418</v>
      </c>
      <c r="S9" s="118">
        <v>2912</v>
      </c>
      <c r="T9" s="169"/>
      <c r="U9" s="126" t="str">
        <f>IF([1]RENAME!$H$3=1,B60,A60)</f>
        <v>Caixa líquido (utilizado)</v>
      </c>
      <c r="V9" s="120">
        <f t="shared" ref="V9:AA9" si="1">SUM(V6:V8)</f>
        <v>368</v>
      </c>
      <c r="W9" s="120">
        <f t="shared" si="1"/>
        <v>1575</v>
      </c>
      <c r="X9" s="120">
        <f t="shared" si="1"/>
        <v>4569</v>
      </c>
      <c r="Y9" s="120">
        <f t="shared" si="1"/>
        <v>-20670.276155863841</v>
      </c>
      <c r="Z9" s="120">
        <f t="shared" si="1"/>
        <v>-24859</v>
      </c>
      <c r="AA9" s="120">
        <f t="shared" si="1"/>
        <v>-8144</v>
      </c>
      <c r="AB9" s="169"/>
      <c r="AC9" s="129" t="str">
        <f>IF([1]RENAME!$H$3=1,B66,A66)</f>
        <v>Perda por redução ao valor recuperável (i)</v>
      </c>
      <c r="AD9" s="118">
        <v>-43911</v>
      </c>
      <c r="AE9" s="118">
        <v>-43911</v>
      </c>
    </row>
    <row r="10" spans="1:31" x14ac:dyDescent="0.2">
      <c r="A10" t="s">
        <v>26</v>
      </c>
      <c r="B10" t="s">
        <v>653</v>
      </c>
      <c r="C10" s="108"/>
      <c r="D10" s="129" t="str">
        <f>IF([1]RENAME!$H$3=1,B10,A10)</f>
        <v>Demais contas a receber</v>
      </c>
      <c r="E10" s="118">
        <v>3024</v>
      </c>
      <c r="F10" s="118">
        <v>3245</v>
      </c>
      <c r="G10" s="169"/>
      <c r="H10" s="129" t="str">
        <f>IF([1]RENAME!$H$3=1,B28,A28)</f>
        <v>Tributos a recolher</v>
      </c>
      <c r="I10" s="118">
        <v>5827</v>
      </c>
      <c r="J10" s="118">
        <v>4207</v>
      </c>
      <c r="K10" s="169"/>
      <c r="L10" s="129" t="str">
        <f>IF([1]RENAME!$H$3=1,B46,A46)</f>
        <v>Outras receitas (despesas), líquidas</v>
      </c>
      <c r="M10" s="118">
        <v>-337</v>
      </c>
      <c r="N10" s="118">
        <v>-1027</v>
      </c>
      <c r="O10" s="118">
        <v>-1364</v>
      </c>
      <c r="P10" s="118">
        <v>993</v>
      </c>
      <c r="Q10" s="118">
        <v>1821</v>
      </c>
      <c r="R10" s="118">
        <v>-17453</v>
      </c>
      <c r="S10" s="118">
        <v>-15632</v>
      </c>
      <c r="T10" s="169"/>
      <c r="U10" s="108"/>
      <c r="V10" s="59"/>
      <c r="AB10" s="169"/>
      <c r="AC10" s="126" t="str">
        <f>IF([1]RENAME!$H$3=1,B67,A67)</f>
        <v>Total ativos de operação descontinuada</v>
      </c>
      <c r="AD10" s="120">
        <f>SUM(AD6:AD9)</f>
        <v>222913</v>
      </c>
      <c r="AE10" s="120">
        <f>SUM(AE6:AE9)</f>
        <v>169435</v>
      </c>
    </row>
    <row r="11" spans="1:31" ht="25.5" x14ac:dyDescent="0.2">
      <c r="A11" t="s">
        <v>22</v>
      </c>
      <c r="B11" t="s">
        <v>645</v>
      </c>
      <c r="C11" s="43"/>
      <c r="D11" s="129" t="str">
        <f>IF([1]RENAME!$H$3=1,B11,A11)</f>
        <v>Despesas antecipadas</v>
      </c>
      <c r="E11" s="118">
        <v>851</v>
      </c>
      <c r="F11" s="118">
        <v>811</v>
      </c>
      <c r="G11" s="169"/>
      <c r="H11" s="129" t="str">
        <f>IF([1]RENAME!$H$3=1,B29,A29)</f>
        <v>Parcelamento de tributos</v>
      </c>
      <c r="I11" s="118">
        <v>213</v>
      </c>
      <c r="J11" s="118">
        <v>0</v>
      </c>
      <c r="K11" s="169"/>
      <c r="L11" s="126" t="str">
        <f>IF([1]RENAME!$H$3=1,B47,A47)</f>
        <v>Prejuízo operacional antes do resultado financeiro e do imposto de renda e contribuição social</v>
      </c>
      <c r="M11" s="120">
        <f>SUM(M8:M10)</f>
        <v>-10837</v>
      </c>
      <c r="N11" s="120">
        <f t="shared" ref="N11:S11" si="2">SUM(N8:N10)</f>
        <v>-40611</v>
      </c>
      <c r="O11" s="120">
        <f t="shared" si="2"/>
        <v>-51448</v>
      </c>
      <c r="P11" s="120">
        <f t="shared" si="2"/>
        <v>-4131</v>
      </c>
      <c r="Q11" s="120">
        <f t="shared" si="2"/>
        <v>-15074</v>
      </c>
      <c r="R11" s="120">
        <f t="shared" si="2"/>
        <v>-8713</v>
      </c>
      <c r="S11" s="120">
        <f t="shared" si="2"/>
        <v>-23787</v>
      </c>
      <c r="T11" s="169"/>
      <c r="U11" s="108"/>
      <c r="V11" s="59"/>
      <c r="AB11" s="169"/>
      <c r="AC11" s="129" t="str">
        <f>IF([1]RENAME!$H$3=1,B68,A68)</f>
        <v>Passivos líquidos Direct</v>
      </c>
      <c r="AD11" s="118">
        <v>149042</v>
      </c>
      <c r="AE11" s="118">
        <v>26267</v>
      </c>
    </row>
    <row r="12" spans="1:31" x14ac:dyDescent="0.2">
      <c r="A12" t="s">
        <v>201</v>
      </c>
      <c r="B12" t="s">
        <v>907</v>
      </c>
      <c r="C12" s="108"/>
      <c r="D12" s="126" t="str">
        <f>IF([1]RENAME!$H$3=1,B12,A12)</f>
        <v>Circulante</v>
      </c>
      <c r="E12" s="120">
        <f>SUM(E6:E11)</f>
        <v>70290</v>
      </c>
      <c r="F12" s="120">
        <f>SUM(F6:F11)</f>
        <v>66560</v>
      </c>
      <c r="G12" s="154"/>
      <c r="H12" s="129" t="str">
        <f>IF([1]RENAME!$H$3=1,B30,A30)</f>
        <v>Salários e encargos sociais</v>
      </c>
      <c r="I12" s="118">
        <v>8023</v>
      </c>
      <c r="J12" s="118">
        <v>7625</v>
      </c>
      <c r="K12" s="154"/>
      <c r="L12" s="129" t="str">
        <f>IF([1]RENAME!$H$3=1,B48,A48)</f>
        <v>Receitas financeiras</v>
      </c>
      <c r="M12" s="118">
        <v>22056</v>
      </c>
      <c r="N12" s="118">
        <v>30959</v>
      </c>
      <c r="O12" s="118">
        <v>53015</v>
      </c>
      <c r="P12" s="118">
        <v>18483</v>
      </c>
      <c r="Q12" s="118">
        <v>24248</v>
      </c>
      <c r="R12" s="118">
        <v>2034</v>
      </c>
      <c r="S12" s="118">
        <v>26282</v>
      </c>
      <c r="T12" s="154"/>
      <c r="U12" s="108"/>
      <c r="V12" s="59"/>
      <c r="AB12" s="154"/>
      <c r="AC12" s="126" t="str">
        <f>IF([1]RENAME!$H$3=1,B69,A69)</f>
        <v>Total passivos de operação descontinuada</v>
      </c>
      <c r="AD12" s="120">
        <f>SUM(AD11)</f>
        <v>149042</v>
      </c>
      <c r="AE12" s="120">
        <f>SUM(AE11)</f>
        <v>26267</v>
      </c>
    </row>
    <row r="13" spans="1:31" ht="25.5" x14ac:dyDescent="0.2">
      <c r="A13" t="s">
        <v>276</v>
      </c>
      <c r="B13" t="s">
        <v>1128</v>
      </c>
      <c r="C13" s="108"/>
      <c r="D13" s="129" t="str">
        <f>IF([1]RENAME!$H$3=1,B13,A13)</f>
        <v>Instrumentos financeiros derivativos - swap</v>
      </c>
      <c r="E13" s="118">
        <v>13487</v>
      </c>
      <c r="F13" s="118">
        <v>0</v>
      </c>
      <c r="G13" s="169"/>
      <c r="H13" s="129" t="str">
        <f>IF([1]RENAME!$H$3=1,B31,A31)</f>
        <v xml:space="preserve">Seguros e aluguéis a pagar </v>
      </c>
      <c r="I13" s="118">
        <v>621</v>
      </c>
      <c r="J13" s="118">
        <v>403</v>
      </c>
      <c r="K13" s="169"/>
      <c r="L13" s="129" t="str">
        <f>IF([1]RENAME!$H$3=1,B49,A49)</f>
        <v>Despesas financeiras</v>
      </c>
      <c r="M13" s="118">
        <v>-30349</v>
      </c>
      <c r="N13" s="118">
        <v>-43215</v>
      </c>
      <c r="O13" s="118">
        <v>-73564</v>
      </c>
      <c r="P13" s="118">
        <v>-22622</v>
      </c>
      <c r="Q13" s="118">
        <v>-29503</v>
      </c>
      <c r="R13" s="118">
        <v>-4152</v>
      </c>
      <c r="S13" s="118">
        <v>-33655</v>
      </c>
      <c r="T13" s="169"/>
      <c r="U13" s="108"/>
      <c r="V13" s="59"/>
      <c r="AB13" s="169"/>
      <c r="AC13" s="126" t="str">
        <f>IF([1]RENAME!$H$3=1,B70,A70)</f>
        <v>Ativos líquidos diretamente associados ao grupo de operação descontinuada</v>
      </c>
      <c r="AD13" s="120">
        <f>SUM(AD6:AD9)-AD11</f>
        <v>73871</v>
      </c>
      <c r="AE13" s="120">
        <f>SUM(AE6:AE9)-AE11</f>
        <v>143168</v>
      </c>
    </row>
    <row r="14" spans="1:31" ht="15" x14ac:dyDescent="0.2">
      <c r="A14" t="s">
        <v>80</v>
      </c>
      <c r="B14" t="s">
        <v>1129</v>
      </c>
      <c r="C14" s="108"/>
      <c r="D14" s="129" t="str">
        <f>IF([1]RENAME!$H$3=1,B14,A14)</f>
        <v>Imposto de renda e contribuição social diferidos</v>
      </c>
      <c r="E14" s="118">
        <v>52414</v>
      </c>
      <c r="F14" s="118">
        <v>38224</v>
      </c>
      <c r="G14" s="169"/>
      <c r="H14" s="129" t="str">
        <f>IF([1]RENAME!$H$3=1,B32,A32)</f>
        <v>Demais contas a pagar</v>
      </c>
      <c r="I14" s="118">
        <v>18552</v>
      </c>
      <c r="J14" s="118">
        <v>7122</v>
      </c>
      <c r="K14" s="169"/>
      <c r="L14" s="126" t="str">
        <f>IF([1]RENAME!$H$3=1,B50,A50)</f>
        <v>Resultado financeiro</v>
      </c>
      <c r="M14" s="120">
        <f>SUM(M12:M13)</f>
        <v>-8293</v>
      </c>
      <c r="N14" s="120">
        <f t="shared" ref="N14:S14" si="3">SUM(N12:N13)</f>
        <v>-12256</v>
      </c>
      <c r="O14" s="120">
        <f t="shared" si="3"/>
        <v>-20549</v>
      </c>
      <c r="P14" s="120">
        <f t="shared" si="3"/>
        <v>-4139</v>
      </c>
      <c r="Q14" s="120">
        <f t="shared" si="3"/>
        <v>-5255</v>
      </c>
      <c r="R14" s="120">
        <f t="shared" si="3"/>
        <v>-2118</v>
      </c>
      <c r="S14" s="120">
        <f t="shared" si="3"/>
        <v>-7373</v>
      </c>
      <c r="T14" s="169"/>
      <c r="U14" s="108"/>
      <c r="V14" s="59"/>
      <c r="AB14" s="169"/>
      <c r="AE14" s="110"/>
    </row>
    <row r="15" spans="1:31" x14ac:dyDescent="0.2">
      <c r="A15" t="s">
        <v>27</v>
      </c>
      <c r="B15" t="s">
        <v>654</v>
      </c>
      <c r="D15" s="129" t="str">
        <f>IF([1]RENAME!$H$3=1,B15,A15)</f>
        <v>Depósitos judiciais</v>
      </c>
      <c r="E15" s="118">
        <v>5304</v>
      </c>
      <c r="F15" s="118">
        <v>6192</v>
      </c>
      <c r="G15" s="169"/>
      <c r="H15" s="126" t="str">
        <f>IF([1]RENAME!$H$3=1,B33,A33)</f>
        <v xml:space="preserve">Circulante </v>
      </c>
      <c r="I15" s="120">
        <f>SUM(I6:I14)</f>
        <v>52988</v>
      </c>
      <c r="J15" s="120">
        <f>SUM(J6:J14)</f>
        <v>26267</v>
      </c>
      <c r="K15" s="169"/>
      <c r="L15" s="126" t="str">
        <f>IF([1]RENAME!$H$3=1,B51,A51)</f>
        <v>Prejuízo antes do imposto de renda e da contribuição social</v>
      </c>
      <c r="M15" s="120">
        <f>SUM(M11:M13)</f>
        <v>-19130</v>
      </c>
      <c r="N15" s="120">
        <f t="shared" ref="N15:S15" si="4">SUM(N11:N13)</f>
        <v>-52867</v>
      </c>
      <c r="O15" s="120">
        <f t="shared" si="4"/>
        <v>-71997</v>
      </c>
      <c r="P15" s="120">
        <f t="shared" si="4"/>
        <v>-8270</v>
      </c>
      <c r="Q15" s="120">
        <f t="shared" si="4"/>
        <v>-20329</v>
      </c>
      <c r="R15" s="120">
        <f t="shared" si="4"/>
        <v>-10831</v>
      </c>
      <c r="S15" s="120">
        <f t="shared" si="4"/>
        <v>-31160</v>
      </c>
      <c r="T15" s="169"/>
      <c r="U15" s="108"/>
      <c r="V15" s="59"/>
      <c r="AB15" s="169"/>
      <c r="AC15" s="115" t="str">
        <f>IF([1]RENAME!$H$3=1,B72,A72)</f>
        <v>Consolidado</v>
      </c>
      <c r="AD15" s="145" t="s">
        <v>272</v>
      </c>
      <c r="AE15" s="145" t="s">
        <v>315</v>
      </c>
    </row>
    <row r="16" spans="1:31" x14ac:dyDescent="0.2">
      <c r="A16" t="s">
        <v>329</v>
      </c>
      <c r="B16" t="s">
        <v>1130</v>
      </c>
      <c r="D16" s="126" t="str">
        <f>IF([1]RENAME!$H$3=1,B16,A16)</f>
        <v>Realizável a longo prazo</v>
      </c>
      <c r="E16" s="120">
        <f>SUM(E13:E15)</f>
        <v>71205</v>
      </c>
      <c r="F16" s="120">
        <f>SUM(F13:F15)</f>
        <v>44416</v>
      </c>
      <c r="G16" s="154"/>
      <c r="H16" s="129" t="str">
        <f>IF([1]RENAME!$H$3=1,B34,A34)</f>
        <v>Empréstimos e financiamentos</v>
      </c>
      <c r="I16" s="118">
        <v>72856</v>
      </c>
      <c r="J16" s="118">
        <v>0</v>
      </c>
      <c r="K16" s="154"/>
      <c r="L16" s="129" t="str">
        <f>IF([1]RENAME!$H$3=1,B52,A52)</f>
        <v xml:space="preserve">Imposto de renda e contribuição social </v>
      </c>
      <c r="M16" s="118">
        <v>6123</v>
      </c>
      <c r="N16" s="118">
        <v>15956</v>
      </c>
      <c r="O16" s="118">
        <v>22079</v>
      </c>
      <c r="P16" s="118">
        <v>2767</v>
      </c>
      <c r="Q16" s="118">
        <v>6793</v>
      </c>
      <c r="R16" s="118">
        <v>-14306</v>
      </c>
      <c r="S16" s="118">
        <v>-7513</v>
      </c>
      <c r="T16" s="154"/>
      <c r="U16" s="108"/>
      <c r="V16" s="59"/>
      <c r="AB16" s="154"/>
      <c r="AC16" s="129" t="str">
        <f>IF([1]RENAME!$H$3=1,B73,A73)</f>
        <v>Ativos líquidos Direct</v>
      </c>
      <c r="AD16" s="118">
        <v>185913</v>
      </c>
      <c r="AE16" s="118">
        <v>132435</v>
      </c>
    </row>
    <row r="17" spans="1:31" x14ac:dyDescent="0.2">
      <c r="A17" t="s">
        <v>28</v>
      </c>
      <c r="B17" t="s">
        <v>655</v>
      </c>
      <c r="C17" s="108"/>
      <c r="D17" s="129" t="str">
        <f>IF([1]RENAME!$H$3=1,B17,A17)</f>
        <v>Investimentos</v>
      </c>
      <c r="E17" s="118">
        <v>21571</v>
      </c>
      <c r="F17" s="118"/>
      <c r="G17" s="169"/>
      <c r="H17" s="129" t="str">
        <f>IF([1]RENAME!$H$3=1,B35,A35)</f>
        <v>Provisões para demandas judiciais</v>
      </c>
      <c r="I17" s="118">
        <v>17271</v>
      </c>
      <c r="J17" s="118">
        <v>0</v>
      </c>
      <c r="K17" s="169"/>
      <c r="L17" s="126" t="str">
        <f>IF([1]RENAME!$H$3=1,B53,A53)</f>
        <v>Prejuízo líquido do período</v>
      </c>
      <c r="M17" s="120">
        <f>SUM(M15:M16)</f>
        <v>-13007</v>
      </c>
      <c r="N17" s="120">
        <f t="shared" ref="N17:S17" si="5">SUM(N15:N16)</f>
        <v>-36911</v>
      </c>
      <c r="O17" s="120">
        <f t="shared" si="5"/>
        <v>-49918</v>
      </c>
      <c r="P17" s="120">
        <f t="shared" si="5"/>
        <v>-5503</v>
      </c>
      <c r="Q17" s="120">
        <f t="shared" si="5"/>
        <v>-13536</v>
      </c>
      <c r="R17" s="120">
        <f t="shared" si="5"/>
        <v>-25137</v>
      </c>
      <c r="S17" s="120">
        <f t="shared" si="5"/>
        <v>-38673</v>
      </c>
      <c r="T17" s="169"/>
      <c r="U17" s="108"/>
      <c r="V17" s="59"/>
      <c r="AB17" s="169"/>
      <c r="AC17" s="129" t="str">
        <f>IF([1]RENAME!$H$3=1,B74,A74)</f>
        <v>Investimento - baixa ágio (Nota 11 e 13)</v>
      </c>
      <c r="AD17" s="118">
        <v>0</v>
      </c>
      <c r="AE17" s="118">
        <v>0</v>
      </c>
    </row>
    <row r="18" spans="1:31" x14ac:dyDescent="0.2">
      <c r="A18" t="s">
        <v>29</v>
      </c>
      <c r="B18" t="s">
        <v>1131</v>
      </c>
      <c r="C18" s="108"/>
      <c r="D18" s="129" t="str">
        <f>IF([1]RENAME!$H$3=1,B18,A18)</f>
        <v>Imobilizado</v>
      </c>
      <c r="E18" s="118">
        <v>21179</v>
      </c>
      <c r="F18" s="118">
        <v>19863</v>
      </c>
      <c r="G18" s="169"/>
      <c r="H18" s="129" t="str">
        <f>IF([1]RENAME!$H$3=1,B36,A36)</f>
        <v>Parcelamento de tributos</v>
      </c>
      <c r="I18" s="118">
        <v>333</v>
      </c>
      <c r="J18" s="118">
        <v>0</v>
      </c>
      <c r="K18" s="169"/>
      <c r="L18" s="129" t="str">
        <f>IF([1]RENAME!$H$3=1,B54,A54)</f>
        <v>Perda por redução ao valor recuperável</v>
      </c>
      <c r="M18" s="118"/>
      <c r="N18" s="118">
        <v>0</v>
      </c>
      <c r="O18" s="118">
        <v>0</v>
      </c>
      <c r="P18" s="118"/>
      <c r="Q18" s="118">
        <v>-43911</v>
      </c>
      <c r="R18" s="118">
        <v>-16168</v>
      </c>
      <c r="S18" s="118">
        <v>-60079</v>
      </c>
      <c r="T18" s="169"/>
      <c r="U18" s="108"/>
      <c r="V18" s="59"/>
      <c r="AB18" s="169"/>
      <c r="AC18" s="129" t="str">
        <f>IF([1]RENAME!$H$3=1,B75,A75)</f>
        <v>Intángivel (Nota 13)</v>
      </c>
      <c r="AD18" s="118">
        <v>80911</v>
      </c>
      <c r="AE18" s="118">
        <v>80911</v>
      </c>
    </row>
    <row r="19" spans="1:31" x14ac:dyDescent="0.2">
      <c r="A19" t="s">
        <v>30</v>
      </c>
      <c r="B19" t="s">
        <v>657</v>
      </c>
      <c r="C19" s="108"/>
      <c r="D19" s="129" t="str">
        <f>IF([1]RENAME!$H$3=1,B19,A19)</f>
        <v>Intangível</v>
      </c>
      <c r="E19" s="118">
        <v>1668</v>
      </c>
      <c r="F19" s="118">
        <v>1596</v>
      </c>
      <c r="G19" s="169"/>
      <c r="H19" s="126" t="str">
        <f>IF([1]RENAME!$H$3=1,B37,A37)</f>
        <v>Não circulante</v>
      </c>
      <c r="I19" s="120">
        <f>SUM(I16:I18)</f>
        <v>90460</v>
      </c>
      <c r="J19" s="120">
        <v>0</v>
      </c>
      <c r="K19" s="169"/>
      <c r="L19" s="126" t="str">
        <f>IF([1]RENAME!$H$3=1,B55,A55)</f>
        <v>Prejuízo do período das operações descontinuadas</v>
      </c>
      <c r="M19" s="120">
        <f>SUM(M17:M18)</f>
        <v>-13007</v>
      </c>
      <c r="N19" s="120">
        <v>-36911</v>
      </c>
      <c r="O19" s="120">
        <v>-49918</v>
      </c>
      <c r="P19" s="120"/>
      <c r="Q19" s="120">
        <v>-57447</v>
      </c>
      <c r="R19" s="120">
        <f>SUM(R17:R18)</f>
        <v>-41305</v>
      </c>
      <c r="S19" s="120">
        <f>SUM(S17:S18)</f>
        <v>-98752</v>
      </c>
      <c r="T19" s="169"/>
      <c r="U19" s="108"/>
      <c r="V19" s="59"/>
      <c r="AB19" s="169"/>
      <c r="AC19" s="129" t="str">
        <f>IF([1]RENAME!$H$3=1,B76,A76)</f>
        <v>Perda por redução ao valor recuperável (i)</v>
      </c>
      <c r="AD19" s="118">
        <v>-43911</v>
      </c>
      <c r="AE19" s="118">
        <v>-43911</v>
      </c>
    </row>
    <row r="20" spans="1:31" x14ac:dyDescent="0.2">
      <c r="A20" t="s">
        <v>328</v>
      </c>
      <c r="B20" t="s">
        <v>908</v>
      </c>
      <c r="C20" s="108"/>
      <c r="D20" s="126" t="str">
        <f>IF([1]RENAME!$H$3=1,B20,A20)</f>
        <v xml:space="preserve">Não circulante </v>
      </c>
      <c r="E20" s="120">
        <f>SUM(E17:E19,E13:E15)</f>
        <v>115623</v>
      </c>
      <c r="F20" s="120">
        <f>SUM(F17:F19,F13:F15)</f>
        <v>65875</v>
      </c>
      <c r="G20" s="154"/>
      <c r="H20" s="126" t="str">
        <f>IF([1]RENAME!$H$3=1,B38,A38)</f>
        <v>Total do passivo</v>
      </c>
      <c r="I20" s="120">
        <f>I15+I19</f>
        <v>143448</v>
      </c>
      <c r="J20" s="120">
        <f>J15+J19</f>
        <v>26267</v>
      </c>
      <c r="K20" s="154"/>
      <c r="T20" s="154"/>
      <c r="U20" s="108"/>
      <c r="V20" s="59"/>
      <c r="AB20" s="154"/>
      <c r="AC20" s="126" t="str">
        <f>IF([1]RENAME!$H$3=1,B77,A77)</f>
        <v>Total ativos de operação descontinuada</v>
      </c>
      <c r="AD20" s="120">
        <f>SUM(AD16:AD19)</f>
        <v>222913</v>
      </c>
      <c r="AE20" s="120">
        <f>SUM(AE16:AE19)</f>
        <v>169435</v>
      </c>
    </row>
    <row r="21" spans="1:31" x14ac:dyDescent="0.2">
      <c r="A21" t="s">
        <v>38</v>
      </c>
      <c r="B21" t="s">
        <v>658</v>
      </c>
      <c r="C21" s="108"/>
      <c r="D21" s="126" t="str">
        <f>IF([1]RENAME!$H$3=1,B21,A21)</f>
        <v>Total do ativo</v>
      </c>
      <c r="E21" s="120">
        <f>E20+E12</f>
        <v>185913</v>
      </c>
      <c r="F21" s="120">
        <f>F20+F12</f>
        <v>132435</v>
      </c>
      <c r="G21" s="154"/>
      <c r="H21" s="129" t="str">
        <f>IF([1]RENAME!$H$3=1,B39,A39)</f>
        <v>Patrimônio líquido</v>
      </c>
      <c r="I21" s="118">
        <v>36871</v>
      </c>
      <c r="J21" s="118">
        <v>106168</v>
      </c>
      <c r="K21" s="154"/>
      <c r="T21" s="154"/>
      <c r="U21" s="108"/>
      <c r="V21" s="59"/>
      <c r="AB21" s="154"/>
      <c r="AC21" s="129" t="str">
        <f>IF([1]RENAME!$H$3=1,B78,A78)</f>
        <v>Passivos líquidos Direct</v>
      </c>
      <c r="AD21" s="118">
        <v>149042</v>
      </c>
      <c r="AE21" s="118">
        <v>26267</v>
      </c>
    </row>
    <row r="22" spans="1:31" x14ac:dyDescent="0.2">
      <c r="D22" s="112"/>
      <c r="H22" s="126" t="str">
        <f>IF([1]RENAME!$H$3=1,B40,A40)</f>
        <v>Total do passivo e patrimônio líquido</v>
      </c>
      <c r="I22" s="120">
        <f>I21+I19+I15</f>
        <v>180319</v>
      </c>
      <c r="J22" s="120">
        <f>J21+J19+J15</f>
        <v>132435</v>
      </c>
      <c r="U22" s="108"/>
      <c r="V22" s="59"/>
      <c r="AC22" s="126" t="str">
        <f>IF([1]RENAME!$H$3=1,B79,A79)</f>
        <v>Total passivos de operação descontinuada</v>
      </c>
      <c r="AD22" s="120">
        <f>SUM(AD21)</f>
        <v>149042</v>
      </c>
      <c r="AE22" s="120">
        <f>SUM(AE21)</f>
        <v>26267</v>
      </c>
    </row>
    <row r="23" spans="1:31" ht="25.5" x14ac:dyDescent="0.2">
      <c r="A23" t="s">
        <v>239</v>
      </c>
      <c r="B23" t="s">
        <v>937</v>
      </c>
      <c r="D23" s="112"/>
      <c r="H23" s="112"/>
      <c r="U23" s="108"/>
      <c r="V23" s="59"/>
      <c r="Y23" s="111"/>
      <c r="AC23" s="126" t="str">
        <f>IF([1]RENAME!$H$3=1,B80,A80)</f>
        <v>Ativos líquidos diretamente associados ao grupo de operação descontinuada</v>
      </c>
      <c r="AD23" s="120">
        <f>AD20-AD22</f>
        <v>73871</v>
      </c>
      <c r="AE23" s="120">
        <f>AE20-AE22</f>
        <v>143168</v>
      </c>
    </row>
    <row r="24" spans="1:31" x14ac:dyDescent="0.2">
      <c r="A24" t="s">
        <v>75</v>
      </c>
      <c r="B24" t="s">
        <v>661</v>
      </c>
      <c r="D24" s="112"/>
      <c r="H24" s="112"/>
      <c r="U24" s="108"/>
      <c r="V24" s="59"/>
      <c r="Y24" s="111"/>
    </row>
    <row r="25" spans="1:31" x14ac:dyDescent="0.2">
      <c r="A25" t="s">
        <v>36</v>
      </c>
      <c r="B25" t="s">
        <v>1132</v>
      </c>
      <c r="D25" s="112"/>
      <c r="H25" s="112"/>
      <c r="I25" s="88"/>
      <c r="J25" s="88"/>
      <c r="U25" s="108"/>
      <c r="V25" s="59"/>
      <c r="Y25" s="111"/>
    </row>
    <row r="26" spans="1:31" x14ac:dyDescent="0.2">
      <c r="A26" t="s">
        <v>25</v>
      </c>
      <c r="B26" t="s">
        <v>1133</v>
      </c>
      <c r="D26" s="112"/>
      <c r="H26" s="112"/>
      <c r="U26" s="108"/>
      <c r="V26" s="59"/>
      <c r="Y26" s="111"/>
    </row>
    <row r="27" spans="1:31" x14ac:dyDescent="0.2">
      <c r="A27" t="s">
        <v>19</v>
      </c>
      <c r="B27" t="s">
        <v>641</v>
      </c>
      <c r="F27" s="88"/>
      <c r="G27" s="181"/>
      <c r="K27" s="181"/>
      <c r="T27" s="181"/>
      <c r="U27" s="108"/>
      <c r="V27" s="59"/>
      <c r="Y27" s="88"/>
      <c r="AB27" s="181"/>
    </row>
    <row r="28" spans="1:31" x14ac:dyDescent="0.2">
      <c r="A28" t="s">
        <v>40</v>
      </c>
      <c r="B28" t="s">
        <v>664</v>
      </c>
      <c r="H28" s="112"/>
    </row>
    <row r="29" spans="1:31" x14ac:dyDescent="0.2">
      <c r="A29" t="s">
        <v>18</v>
      </c>
      <c r="B29" t="s">
        <v>1134</v>
      </c>
    </row>
    <row r="30" spans="1:31" x14ac:dyDescent="0.2">
      <c r="A30" t="s">
        <v>20</v>
      </c>
      <c r="B30" t="s">
        <v>811</v>
      </c>
    </row>
    <row r="31" spans="1:31" x14ac:dyDescent="0.2">
      <c r="A31" t="s">
        <v>81</v>
      </c>
      <c r="B31" t="s">
        <v>1135</v>
      </c>
    </row>
    <row r="32" spans="1:31" x14ac:dyDescent="0.2">
      <c r="A32" t="s">
        <v>24</v>
      </c>
      <c r="B32" t="s">
        <v>667</v>
      </c>
    </row>
    <row r="33" spans="1:2" x14ac:dyDescent="0.2">
      <c r="A33" t="s">
        <v>316</v>
      </c>
      <c r="B33" t="s">
        <v>907</v>
      </c>
    </row>
    <row r="34" spans="1:2" x14ac:dyDescent="0.2">
      <c r="A34" t="s">
        <v>16</v>
      </c>
      <c r="B34" t="s">
        <v>661</v>
      </c>
    </row>
    <row r="35" spans="1:2" x14ac:dyDescent="0.2">
      <c r="A35" t="s">
        <v>82</v>
      </c>
      <c r="B35" t="s">
        <v>982</v>
      </c>
    </row>
    <row r="36" spans="1:2" x14ac:dyDescent="0.2">
      <c r="A36" t="s">
        <v>18</v>
      </c>
      <c r="B36" t="s">
        <v>1134</v>
      </c>
    </row>
    <row r="37" spans="1:2" x14ac:dyDescent="0.2">
      <c r="A37" t="s">
        <v>187</v>
      </c>
      <c r="B37" t="s">
        <v>908</v>
      </c>
    </row>
    <row r="38" spans="1:2" x14ac:dyDescent="0.2">
      <c r="A38" t="s">
        <v>296</v>
      </c>
      <c r="B38" t="s">
        <v>1076</v>
      </c>
    </row>
    <row r="39" spans="1:2" x14ac:dyDescent="0.2">
      <c r="A39" t="s">
        <v>43</v>
      </c>
      <c r="B39" t="s">
        <v>708</v>
      </c>
    </row>
    <row r="40" spans="1:2" x14ac:dyDescent="0.2">
      <c r="A40" t="s">
        <v>334</v>
      </c>
      <c r="B40" t="s">
        <v>1136</v>
      </c>
    </row>
    <row r="41" spans="1:2" x14ac:dyDescent="0.2">
      <c r="A41" t="s">
        <v>89</v>
      </c>
    </row>
    <row r="42" spans="1:2" x14ac:dyDescent="0.2">
      <c r="A42" t="s">
        <v>317</v>
      </c>
      <c r="B42" t="s">
        <v>1137</v>
      </c>
    </row>
    <row r="43" spans="1:2" x14ac:dyDescent="0.2">
      <c r="A43" t="s">
        <v>242</v>
      </c>
      <c r="B43" t="s">
        <v>802</v>
      </c>
    </row>
    <row r="44" spans="1:2" x14ac:dyDescent="0.2">
      <c r="A44" t="s">
        <v>322</v>
      </c>
      <c r="B44" t="s">
        <v>1138</v>
      </c>
    </row>
    <row r="45" spans="1:2" x14ac:dyDescent="0.2">
      <c r="A45" t="s">
        <v>243</v>
      </c>
      <c r="B45" t="s">
        <v>702</v>
      </c>
    </row>
    <row r="46" spans="1:2" x14ac:dyDescent="0.2">
      <c r="A46" t="s">
        <v>129</v>
      </c>
      <c r="B46" t="s">
        <v>939</v>
      </c>
    </row>
    <row r="47" spans="1:2" x14ac:dyDescent="0.2">
      <c r="A47" t="s">
        <v>373</v>
      </c>
      <c r="B47" t="s">
        <v>1139</v>
      </c>
    </row>
    <row r="48" spans="1:2" x14ac:dyDescent="0.2">
      <c r="A48" t="s">
        <v>295</v>
      </c>
      <c r="B48" t="s">
        <v>1140</v>
      </c>
    </row>
    <row r="49" spans="1:2" x14ac:dyDescent="0.2">
      <c r="A49" t="s">
        <v>294</v>
      </c>
      <c r="B49" t="s">
        <v>1063</v>
      </c>
    </row>
    <row r="50" spans="1:2" x14ac:dyDescent="0.2">
      <c r="A50" t="s">
        <v>331</v>
      </c>
      <c r="B50" t="s">
        <v>1141</v>
      </c>
    </row>
    <row r="51" spans="1:2" x14ac:dyDescent="0.2">
      <c r="A51" t="s">
        <v>372</v>
      </c>
      <c r="B51" t="s">
        <v>1142</v>
      </c>
    </row>
    <row r="52" spans="1:2" x14ac:dyDescent="0.2">
      <c r="A52" t="s">
        <v>332</v>
      </c>
      <c r="B52" t="s">
        <v>1143</v>
      </c>
    </row>
    <row r="53" spans="1:2" x14ac:dyDescent="0.2">
      <c r="A53" t="s">
        <v>333</v>
      </c>
      <c r="B53" t="s">
        <v>1144</v>
      </c>
    </row>
    <row r="54" spans="1:2" x14ac:dyDescent="0.2">
      <c r="A54" t="s">
        <v>335</v>
      </c>
      <c r="B54" t="s">
        <v>1145</v>
      </c>
    </row>
    <row r="55" spans="1:2" x14ac:dyDescent="0.2">
      <c r="A55" t="s">
        <v>336</v>
      </c>
      <c r="B55" t="s">
        <v>1146</v>
      </c>
    </row>
    <row r="57" spans="1:2" x14ac:dyDescent="0.2">
      <c r="A57" t="s">
        <v>314</v>
      </c>
      <c r="B57" t="s">
        <v>1147</v>
      </c>
    </row>
    <row r="58" spans="1:2" x14ac:dyDescent="0.2">
      <c r="A58" t="s">
        <v>318</v>
      </c>
      <c r="B58" t="s">
        <v>1148</v>
      </c>
    </row>
    <row r="59" spans="1:2" x14ac:dyDescent="0.2">
      <c r="A59" t="s">
        <v>319</v>
      </c>
      <c r="B59" t="s">
        <v>1149</v>
      </c>
    </row>
    <row r="60" spans="1:2" x14ac:dyDescent="0.2">
      <c r="A60" t="s">
        <v>323</v>
      </c>
      <c r="B60" t="s">
        <v>1150</v>
      </c>
    </row>
    <row r="62" spans="1:2" x14ac:dyDescent="0.2">
      <c r="A62" t="s">
        <v>97</v>
      </c>
      <c r="B62" t="s">
        <v>872</v>
      </c>
    </row>
    <row r="63" spans="1:2" x14ac:dyDescent="0.2">
      <c r="A63" t="s">
        <v>320</v>
      </c>
      <c r="B63" t="s">
        <v>1151</v>
      </c>
    </row>
    <row r="64" spans="1:2" x14ac:dyDescent="0.2">
      <c r="A64" t="s">
        <v>321</v>
      </c>
      <c r="B64" t="s">
        <v>1152</v>
      </c>
    </row>
    <row r="65" spans="1:2" x14ac:dyDescent="0.2">
      <c r="A65" t="s">
        <v>324</v>
      </c>
      <c r="B65" t="s">
        <v>657</v>
      </c>
    </row>
    <row r="66" spans="1:2" x14ac:dyDescent="0.2">
      <c r="A66" t="s">
        <v>325</v>
      </c>
      <c r="B66" t="s">
        <v>1153</v>
      </c>
    </row>
    <row r="67" spans="1:2" x14ac:dyDescent="0.2">
      <c r="A67" t="s">
        <v>326</v>
      </c>
      <c r="B67" t="s">
        <v>1154</v>
      </c>
    </row>
    <row r="68" spans="1:2" x14ac:dyDescent="0.2">
      <c r="A68" t="s">
        <v>327</v>
      </c>
      <c r="B68" t="s">
        <v>1155</v>
      </c>
    </row>
    <row r="69" spans="1:2" x14ac:dyDescent="0.2">
      <c r="A69" t="s">
        <v>330</v>
      </c>
      <c r="B69" t="s">
        <v>1156</v>
      </c>
    </row>
    <row r="70" spans="1:2" x14ac:dyDescent="0.2">
      <c r="A70" t="s">
        <v>374</v>
      </c>
      <c r="B70" t="s">
        <v>1157</v>
      </c>
    </row>
    <row r="72" spans="1:2" x14ac:dyDescent="0.2">
      <c r="A72" t="s">
        <v>96</v>
      </c>
      <c r="B72" t="s">
        <v>866</v>
      </c>
    </row>
    <row r="73" spans="1:2" x14ac:dyDescent="0.2">
      <c r="A73" t="s">
        <v>320</v>
      </c>
      <c r="B73" t="s">
        <v>1151</v>
      </c>
    </row>
    <row r="74" spans="1:2" x14ac:dyDescent="0.2">
      <c r="A74" t="s">
        <v>321</v>
      </c>
      <c r="B74" t="s">
        <v>1152</v>
      </c>
    </row>
    <row r="75" spans="1:2" x14ac:dyDescent="0.2">
      <c r="A75" t="s">
        <v>324</v>
      </c>
      <c r="B75" t="s">
        <v>657</v>
      </c>
    </row>
    <row r="76" spans="1:2" x14ac:dyDescent="0.2">
      <c r="A76" t="s">
        <v>325</v>
      </c>
      <c r="B76" t="s">
        <v>1153</v>
      </c>
    </row>
    <row r="77" spans="1:2" x14ac:dyDescent="0.2">
      <c r="A77" t="s">
        <v>326</v>
      </c>
      <c r="B77" t="s">
        <v>1154</v>
      </c>
    </row>
    <row r="78" spans="1:2" x14ac:dyDescent="0.2">
      <c r="A78" t="s">
        <v>327</v>
      </c>
      <c r="B78" t="s">
        <v>1155</v>
      </c>
    </row>
    <row r="79" spans="1:2" x14ac:dyDescent="0.2">
      <c r="A79" t="s">
        <v>330</v>
      </c>
      <c r="B79" t="s">
        <v>1156</v>
      </c>
    </row>
    <row r="80" spans="1:2" x14ac:dyDescent="0.2">
      <c r="A80" t="s">
        <v>374</v>
      </c>
      <c r="B80" t="s">
        <v>1157</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3DC09-8F80-42D9-8962-052C8E0975E3}">
  <dimension ref="A1:F48"/>
  <sheetViews>
    <sheetView workbookViewId="0">
      <selection activeCell="D29" sqref="D29"/>
    </sheetView>
  </sheetViews>
  <sheetFormatPr defaultRowHeight="12.75" x14ac:dyDescent="0.2"/>
  <cols>
    <col min="1" max="1" width="28.140625" bestFit="1" customWidth="1"/>
    <col min="2" max="2" width="19.5703125" customWidth="1"/>
    <col min="3" max="3" width="20.140625" customWidth="1"/>
    <col min="4" max="4" width="167.140625" bestFit="1" customWidth="1"/>
    <col min="5" max="5" width="58.28515625" bestFit="1" customWidth="1"/>
    <col min="6" max="6" width="29.140625" bestFit="1" customWidth="1"/>
    <col min="7" max="7" width="14.42578125" bestFit="1" customWidth="1"/>
  </cols>
  <sheetData>
    <row r="1" spans="1:6" x14ac:dyDescent="0.2">
      <c r="A1" s="142" t="s">
        <v>2330</v>
      </c>
      <c r="B1" s="142" t="s">
        <v>2331</v>
      </c>
      <c r="C1" s="142" t="s">
        <v>2332</v>
      </c>
      <c r="D1" s="142" t="s">
        <v>2333</v>
      </c>
      <c r="E1" s="142"/>
      <c r="F1" s="142"/>
    </row>
    <row r="2" spans="1:6" x14ac:dyDescent="0.2">
      <c r="A2" t="s">
        <v>2334</v>
      </c>
      <c r="B2" t="s">
        <v>2335</v>
      </c>
    </row>
    <row r="3" spans="1:6" x14ac:dyDescent="0.2">
      <c r="A3" t="s">
        <v>2336</v>
      </c>
      <c r="B3" t="s">
        <v>2335</v>
      </c>
    </row>
    <row r="4" spans="1:6" x14ac:dyDescent="0.2">
      <c r="A4" t="s">
        <v>2337</v>
      </c>
      <c r="B4" t="s">
        <v>2338</v>
      </c>
      <c r="C4" t="s">
        <v>2339</v>
      </c>
    </row>
    <row r="5" spans="1:6" x14ac:dyDescent="0.2">
      <c r="A5" t="s">
        <v>1510</v>
      </c>
      <c r="B5" t="s">
        <v>2338</v>
      </c>
      <c r="C5" t="s">
        <v>2340</v>
      </c>
      <c r="D5" t="s">
        <v>2341</v>
      </c>
    </row>
    <row r="6" spans="1:6" x14ac:dyDescent="0.2">
      <c r="A6" t="s">
        <v>2342</v>
      </c>
      <c r="B6" t="s">
        <v>2338</v>
      </c>
      <c r="C6" t="s">
        <v>2340</v>
      </c>
    </row>
    <row r="7" spans="1:6" x14ac:dyDescent="0.2">
      <c r="A7" t="s">
        <v>2343</v>
      </c>
      <c r="B7" t="s">
        <v>2338</v>
      </c>
      <c r="C7" t="s">
        <v>2340</v>
      </c>
    </row>
    <row r="8" spans="1:6" x14ac:dyDescent="0.2">
      <c r="A8" t="s">
        <v>96</v>
      </c>
      <c r="B8" t="s">
        <v>2338</v>
      </c>
      <c r="C8" t="s">
        <v>2340</v>
      </c>
    </row>
    <row r="9" spans="1:6" x14ac:dyDescent="0.2">
      <c r="A9" t="s">
        <v>2344</v>
      </c>
      <c r="B9" t="s">
        <v>2338</v>
      </c>
      <c r="C9" t="s">
        <v>2340</v>
      </c>
    </row>
    <row r="10" spans="1:6" x14ac:dyDescent="0.2">
      <c r="A10" t="s">
        <v>2345</v>
      </c>
      <c r="B10" t="s">
        <v>2338</v>
      </c>
      <c r="C10" t="s">
        <v>2340</v>
      </c>
    </row>
    <row r="11" spans="1:6" x14ac:dyDescent="0.2">
      <c r="A11" t="s">
        <v>2346</v>
      </c>
      <c r="B11" t="s">
        <v>2335</v>
      </c>
    </row>
    <row r="12" spans="1:6" x14ac:dyDescent="0.2">
      <c r="A12" t="s">
        <v>2347</v>
      </c>
      <c r="B12" t="s">
        <v>2335</v>
      </c>
    </row>
    <row r="13" spans="1:6" x14ac:dyDescent="0.2">
      <c r="A13" t="s">
        <v>430</v>
      </c>
      <c r="B13" t="s">
        <v>2335</v>
      </c>
    </row>
    <row r="14" spans="1:6" x14ac:dyDescent="0.2">
      <c r="A14" t="s">
        <v>2348</v>
      </c>
      <c r="B14" t="s">
        <v>2335</v>
      </c>
    </row>
    <row r="15" spans="1:6" x14ac:dyDescent="0.2">
      <c r="A15" t="s">
        <v>2349</v>
      </c>
      <c r="B15" t="s">
        <v>2335</v>
      </c>
    </row>
    <row r="16" spans="1:6" x14ac:dyDescent="0.2">
      <c r="A16" t="s">
        <v>2350</v>
      </c>
      <c r="B16" t="s">
        <v>2335</v>
      </c>
    </row>
    <row r="17" spans="1:4" x14ac:dyDescent="0.2">
      <c r="A17" t="s">
        <v>2351</v>
      </c>
      <c r="B17" t="s">
        <v>2338</v>
      </c>
      <c r="C17" t="s">
        <v>2339</v>
      </c>
    </row>
    <row r="18" spans="1:4" x14ac:dyDescent="0.2">
      <c r="A18" t="s">
        <v>2352</v>
      </c>
      <c r="B18" t="s">
        <v>2335</v>
      </c>
      <c r="C18" t="s">
        <v>2339</v>
      </c>
    </row>
    <row r="19" spans="1:4" x14ac:dyDescent="0.2">
      <c r="A19" t="s">
        <v>2353</v>
      </c>
      <c r="B19" t="s">
        <v>2338</v>
      </c>
      <c r="C19" t="s">
        <v>2339</v>
      </c>
    </row>
    <row r="20" spans="1:4" x14ac:dyDescent="0.2">
      <c r="A20" t="s">
        <v>2354</v>
      </c>
      <c r="B20" t="s">
        <v>2338</v>
      </c>
      <c r="C20" t="s">
        <v>2339</v>
      </c>
    </row>
    <row r="21" spans="1:4" x14ac:dyDescent="0.2">
      <c r="A21" t="s">
        <v>94</v>
      </c>
      <c r="B21" t="s">
        <v>2338</v>
      </c>
      <c r="C21" t="s">
        <v>2339</v>
      </c>
      <c r="D21" t="s">
        <v>2355</v>
      </c>
    </row>
    <row r="22" spans="1:4" x14ac:dyDescent="0.2">
      <c r="A22" t="s">
        <v>2356</v>
      </c>
      <c r="B22" t="s">
        <v>2338</v>
      </c>
      <c r="C22" t="s">
        <v>2339</v>
      </c>
      <c r="D22" t="s">
        <v>2357</v>
      </c>
    </row>
    <row r="23" spans="1:4" x14ac:dyDescent="0.2">
      <c r="A23" t="s">
        <v>2358</v>
      </c>
      <c r="B23" t="s">
        <v>2338</v>
      </c>
      <c r="C23" t="s">
        <v>2359</v>
      </c>
      <c r="D23" t="s">
        <v>2360</v>
      </c>
    </row>
    <row r="24" spans="1:4" x14ac:dyDescent="0.2">
      <c r="A24" t="s">
        <v>2361</v>
      </c>
      <c r="B24" t="s">
        <v>2338</v>
      </c>
      <c r="C24" t="s">
        <v>2339</v>
      </c>
    </row>
    <row r="25" spans="1:4" x14ac:dyDescent="0.2">
      <c r="A25" t="s">
        <v>2362</v>
      </c>
      <c r="B25" t="s">
        <v>2338</v>
      </c>
      <c r="C25" t="s">
        <v>2339</v>
      </c>
    </row>
    <row r="26" spans="1:4" x14ac:dyDescent="0.2">
      <c r="A26" t="s">
        <v>2363</v>
      </c>
      <c r="B26" t="s">
        <v>2335</v>
      </c>
    </row>
    <row r="27" spans="1:4" x14ac:dyDescent="0.2">
      <c r="A27" t="s">
        <v>2364</v>
      </c>
      <c r="B27" t="s">
        <v>2335</v>
      </c>
    </row>
    <row r="28" spans="1:4" x14ac:dyDescent="0.2">
      <c r="A28" t="s">
        <v>2365</v>
      </c>
      <c r="B28" t="s">
        <v>2335</v>
      </c>
    </row>
    <row r="29" spans="1:4" x14ac:dyDescent="0.2">
      <c r="A29" t="s">
        <v>2366</v>
      </c>
      <c r="B29" t="s">
        <v>2338</v>
      </c>
      <c r="C29" t="s">
        <v>2372</v>
      </c>
      <c r="D29" t="s">
        <v>2396</v>
      </c>
    </row>
    <row r="30" spans="1:4" x14ac:dyDescent="0.2">
      <c r="A30" t="s">
        <v>2367</v>
      </c>
      <c r="B30" t="s">
        <v>2335</v>
      </c>
    </row>
    <row r="31" spans="1:4" x14ac:dyDescent="0.2">
      <c r="A31" t="s">
        <v>2368</v>
      </c>
      <c r="B31" t="s">
        <v>2338</v>
      </c>
      <c r="C31" t="s">
        <v>2369</v>
      </c>
    </row>
    <row r="32" spans="1:4" x14ac:dyDescent="0.2">
      <c r="A32" t="s">
        <v>30</v>
      </c>
      <c r="B32" t="s">
        <v>2335</v>
      </c>
    </row>
    <row r="33" spans="1:4" x14ac:dyDescent="0.2">
      <c r="A33" t="s">
        <v>2370</v>
      </c>
      <c r="B33" t="s">
        <v>2338</v>
      </c>
      <c r="C33" t="s">
        <v>2369</v>
      </c>
    </row>
    <row r="34" spans="1:4" x14ac:dyDescent="0.2">
      <c r="A34" t="s">
        <v>2371</v>
      </c>
      <c r="B34" t="s">
        <v>2338</v>
      </c>
      <c r="C34" t="s">
        <v>2372</v>
      </c>
      <c r="D34" t="s">
        <v>2373</v>
      </c>
    </row>
    <row r="35" spans="1:4" x14ac:dyDescent="0.2">
      <c r="A35" t="s">
        <v>2374</v>
      </c>
      <c r="B35" t="s">
        <v>2338</v>
      </c>
      <c r="C35" t="s">
        <v>2340</v>
      </c>
    </row>
    <row r="36" spans="1:4" x14ac:dyDescent="0.2">
      <c r="A36" t="s">
        <v>2375</v>
      </c>
      <c r="B36" t="s">
        <v>2338</v>
      </c>
      <c r="C36" t="s">
        <v>2369</v>
      </c>
    </row>
    <row r="37" spans="1:4" x14ac:dyDescent="0.2">
      <c r="A37" t="s">
        <v>2376</v>
      </c>
      <c r="B37" t="s">
        <v>2338</v>
      </c>
      <c r="C37" t="s">
        <v>2369</v>
      </c>
    </row>
    <row r="38" spans="1:4" x14ac:dyDescent="0.2">
      <c r="A38" t="s">
        <v>2377</v>
      </c>
      <c r="B38" t="s">
        <v>2338</v>
      </c>
      <c r="C38" t="s">
        <v>2378</v>
      </c>
    </row>
    <row r="39" spans="1:4" x14ac:dyDescent="0.2">
      <c r="A39" t="s">
        <v>2379</v>
      </c>
      <c r="B39" t="s">
        <v>2338</v>
      </c>
      <c r="C39" t="s">
        <v>2378</v>
      </c>
      <c r="D39" t="s">
        <v>2390</v>
      </c>
    </row>
    <row r="40" spans="1:4" x14ac:dyDescent="0.2">
      <c r="A40" t="s">
        <v>2380</v>
      </c>
      <c r="B40" t="s">
        <v>2338</v>
      </c>
      <c r="C40" t="s">
        <v>2378</v>
      </c>
    </row>
    <row r="41" spans="1:4" x14ac:dyDescent="0.2">
      <c r="A41" t="s">
        <v>2381</v>
      </c>
      <c r="B41" t="s">
        <v>2338</v>
      </c>
      <c r="C41" t="s">
        <v>2378</v>
      </c>
    </row>
    <row r="42" spans="1:4" x14ac:dyDescent="0.2">
      <c r="A42" t="s">
        <v>2382</v>
      </c>
      <c r="B42" t="s">
        <v>2338</v>
      </c>
      <c r="C42" t="s">
        <v>2378</v>
      </c>
      <c r="D42" t="s">
        <v>2383</v>
      </c>
    </row>
    <row r="43" spans="1:4" x14ac:dyDescent="0.2">
      <c r="A43" t="s">
        <v>2384</v>
      </c>
      <c r="B43" t="s">
        <v>2338</v>
      </c>
      <c r="C43" t="s">
        <v>2378</v>
      </c>
    </row>
    <row r="44" spans="1:4" x14ac:dyDescent="0.2">
      <c r="A44" t="s">
        <v>2385</v>
      </c>
      <c r="B44" t="s">
        <v>2335</v>
      </c>
    </row>
    <row r="45" spans="1:4" x14ac:dyDescent="0.2">
      <c r="A45" t="s">
        <v>2386</v>
      </c>
      <c r="B45" t="s">
        <v>2335</v>
      </c>
    </row>
    <row r="46" spans="1:4" x14ac:dyDescent="0.2">
      <c r="A46" t="s">
        <v>2387</v>
      </c>
      <c r="B46" t="s">
        <v>2335</v>
      </c>
    </row>
    <row r="47" spans="1:4" x14ac:dyDescent="0.2">
      <c r="A47" t="s">
        <v>1537</v>
      </c>
      <c r="B47" t="s">
        <v>2338</v>
      </c>
      <c r="C47" t="s">
        <v>2372</v>
      </c>
      <c r="D47" t="s">
        <v>2389</v>
      </c>
    </row>
    <row r="48" spans="1:4" x14ac:dyDescent="0.2">
      <c r="A48" t="s">
        <v>2388</v>
      </c>
      <c r="B48" t="s">
        <v>2335</v>
      </c>
    </row>
  </sheetData>
  <pageMargins left="0.511811024" right="0.511811024" top="0.78740157499999996" bottom="0.78740157499999996" header="0.31496062000000002" footer="0.31496062000000002"/>
  <headerFooter>
    <oddFooter>&amp;L_x000D_&amp;1#&amp;"Aptos"&amp;10&amp;K000000 Restrito</oddFooter>
  </headerFooter>
  <tableParts count="1">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2">
    <tabColor rgb="FF70AD47"/>
    <pageSetUpPr autoPageBreaks="0"/>
  </sheetPr>
  <dimension ref="A1:BO39"/>
  <sheetViews>
    <sheetView showGridLines="0" zoomScaleNormal="100" workbookViewId="0">
      <pane xSplit="4" ySplit="5" topLeftCell="BF6" activePane="bottomRight" state="frozen"/>
      <selection activeCell="F56" sqref="F56"/>
      <selection pane="topRight" activeCell="F56" sqref="F56"/>
      <selection pane="bottomLeft" activeCell="F56" sqref="F56"/>
      <selection pane="bottomRight" activeCell="BO18" sqref="BO18"/>
    </sheetView>
  </sheetViews>
  <sheetFormatPr defaultColWidth="9.140625" defaultRowHeight="12.75" outlineLevelRow="1" x14ac:dyDescent="0.2"/>
  <cols>
    <col min="1" max="2" width="9.140625" style="574" hidden="1" customWidth="1"/>
    <col min="3" max="3" width="1.42578125" style="643" customWidth="1"/>
    <col min="4" max="4" width="45" style="1072" customWidth="1"/>
    <col min="5" max="40" width="10.85546875" style="544" customWidth="1"/>
    <col min="41" max="66" width="10" style="1073" customWidth="1"/>
    <col min="67" max="67" width="11.140625" bestFit="1" customWidth="1"/>
  </cols>
  <sheetData>
    <row r="1" spans="1:67" ht="7.5" customHeight="1" x14ac:dyDescent="0.2">
      <c r="D1" s="575"/>
      <c r="E1" s="544" t="s">
        <v>539</v>
      </c>
      <c r="F1" s="544" t="s">
        <v>540</v>
      </c>
      <c r="G1" s="544" t="s">
        <v>541</v>
      </c>
      <c r="H1" s="544" t="s">
        <v>484</v>
      </c>
      <c r="I1" s="544" t="s">
        <v>483</v>
      </c>
      <c r="J1" s="544" t="s">
        <v>7</v>
      </c>
      <c r="K1" s="544" t="str">
        <f>IF(LEFT(J1,1)="4","1T"&amp;RIGHT(J1,2)+1,LEFT(J1,1)+1&amp;RIGHT(J1,3))</f>
        <v>2T12</v>
      </c>
      <c r="L1" s="544" t="str">
        <f t="shared" ref="L1:AD1" si="0">IF(LEFT(K1,1)="4","1T"&amp;RIGHT(K1,2)+1,LEFT(K1,1)+1&amp;RIGHT(K1,3))</f>
        <v>3T12</v>
      </c>
      <c r="M1" s="544" t="str">
        <f t="shared" si="0"/>
        <v>4T12</v>
      </c>
      <c r="N1" s="544" t="str">
        <f t="shared" si="0"/>
        <v>1T13</v>
      </c>
      <c r="O1" s="544" t="str">
        <f t="shared" si="0"/>
        <v>2T13</v>
      </c>
      <c r="P1" s="544" t="str">
        <f t="shared" si="0"/>
        <v>3T13</v>
      </c>
      <c r="Q1" s="544" t="str">
        <f t="shared" si="0"/>
        <v>4T13</v>
      </c>
      <c r="R1" s="544" t="str">
        <f t="shared" si="0"/>
        <v>1T14</v>
      </c>
      <c r="S1" s="544" t="str">
        <f t="shared" si="0"/>
        <v>2T14</v>
      </c>
      <c r="T1" s="544" t="str">
        <f t="shared" si="0"/>
        <v>3T14</v>
      </c>
      <c r="U1" s="544" t="str">
        <f t="shared" si="0"/>
        <v>4T14</v>
      </c>
      <c r="V1" s="544" t="str">
        <f t="shared" si="0"/>
        <v>1T15</v>
      </c>
      <c r="W1" s="544" t="str">
        <f t="shared" si="0"/>
        <v>2T15</v>
      </c>
      <c r="X1" s="544" t="str">
        <f t="shared" si="0"/>
        <v>3T15</v>
      </c>
      <c r="Y1" s="544" t="str">
        <f t="shared" si="0"/>
        <v>4T15</v>
      </c>
      <c r="Z1" s="544" t="str">
        <f t="shared" si="0"/>
        <v>1T16</v>
      </c>
      <c r="AA1" s="544" t="str">
        <f t="shared" si="0"/>
        <v>2T16</v>
      </c>
      <c r="AB1" s="544" t="str">
        <f t="shared" si="0"/>
        <v>3T16</v>
      </c>
      <c r="AC1" s="544" t="str">
        <f t="shared" si="0"/>
        <v>4T16</v>
      </c>
      <c r="AD1" s="544" t="str">
        <f t="shared" si="0"/>
        <v>1T17</v>
      </c>
      <c r="AE1" s="544" t="str">
        <f t="shared" ref="AE1:AN1" si="1">IF(LEFT(AD1,1)="4","1T"&amp;RIGHT(AD1,2)+1,LEFT(AD1,1)+1&amp;RIGHT(AD1,3))</f>
        <v>2T17</v>
      </c>
      <c r="AF1" s="544" t="str">
        <f t="shared" si="1"/>
        <v>3T17</v>
      </c>
      <c r="AG1" s="544" t="str">
        <f t="shared" si="1"/>
        <v>4T17</v>
      </c>
      <c r="AH1" s="544" t="str">
        <f t="shared" si="1"/>
        <v>1T18</v>
      </c>
      <c r="AI1" s="544" t="str">
        <f t="shared" si="1"/>
        <v>2T18</v>
      </c>
      <c r="AJ1" s="544" t="str">
        <f t="shared" si="1"/>
        <v>3T18</v>
      </c>
      <c r="AK1" s="544" t="str">
        <f t="shared" si="1"/>
        <v>4T18</v>
      </c>
      <c r="AL1" s="544" t="str">
        <f t="shared" si="1"/>
        <v>1T19</v>
      </c>
      <c r="AM1" s="544" t="str">
        <f t="shared" si="1"/>
        <v>2T19</v>
      </c>
      <c r="AN1" s="544" t="str">
        <f t="shared" si="1"/>
        <v>3T19</v>
      </c>
      <c r="AO1" s="544" t="s">
        <v>1411</v>
      </c>
      <c r="AP1" s="544" t="str">
        <f t="shared" ref="AP1:AW1" si="2">IF(LEFT(AO1,1)="4","1T"&amp;RIGHT(AO1,2)+1,LEFT(AO1,1)+1&amp;RIGHT(AO1,3))</f>
        <v>1T20</v>
      </c>
      <c r="AQ1" s="544" t="str">
        <f t="shared" si="2"/>
        <v>2T20</v>
      </c>
      <c r="AR1" s="544" t="str">
        <f t="shared" si="2"/>
        <v>3T20</v>
      </c>
      <c r="AS1" s="544" t="str">
        <f t="shared" si="2"/>
        <v>4T20</v>
      </c>
      <c r="AT1" s="544" t="str">
        <f t="shared" si="2"/>
        <v>1T21</v>
      </c>
      <c r="AU1" s="544" t="str">
        <f t="shared" si="2"/>
        <v>2T21</v>
      </c>
      <c r="AV1" s="544" t="str">
        <f t="shared" si="2"/>
        <v>3T21</v>
      </c>
      <c r="AW1" s="544" t="str">
        <f t="shared" si="2"/>
        <v>4T21</v>
      </c>
      <c r="AX1" s="544" t="str">
        <f t="shared" ref="AX1:BE1" si="3">IF(LEFT(AW1,1)="4","1T"&amp;RIGHT(AW1,2)+1,LEFT(AW1,1)+1&amp;RIGHT(AW1,3))</f>
        <v>1T22</v>
      </c>
      <c r="AY1" s="544" t="str">
        <f t="shared" si="3"/>
        <v>2T22</v>
      </c>
      <c r="AZ1" s="544" t="str">
        <f t="shared" si="3"/>
        <v>3T22</v>
      </c>
      <c r="BA1" s="544" t="str">
        <f t="shared" si="3"/>
        <v>4T22</v>
      </c>
      <c r="BB1" s="544" t="str">
        <f t="shared" si="3"/>
        <v>1T23</v>
      </c>
      <c r="BC1" s="544" t="str">
        <f t="shared" si="3"/>
        <v>2T23</v>
      </c>
      <c r="BD1" s="544" t="str">
        <f t="shared" si="3"/>
        <v>3T23</v>
      </c>
      <c r="BE1" s="544" t="str">
        <f t="shared" si="3"/>
        <v>4T23</v>
      </c>
      <c r="BF1" s="544" t="str">
        <f t="shared" ref="BF1:BM1" si="4">IF(LEFT(BE1,1)="4","1T"&amp;RIGHT(BE1,2)+1,LEFT(BE1,1)+1&amp;RIGHT(BE1,3))</f>
        <v>1T24</v>
      </c>
      <c r="BG1" s="544" t="str">
        <f t="shared" si="4"/>
        <v>2T24</v>
      </c>
      <c r="BH1" s="544" t="str">
        <f t="shared" si="4"/>
        <v>3T24</v>
      </c>
      <c r="BI1" s="544" t="str">
        <f t="shared" si="4"/>
        <v>4T24</v>
      </c>
      <c r="BJ1" s="544" t="str">
        <f t="shared" si="4"/>
        <v>1T25</v>
      </c>
      <c r="BK1" s="544" t="str">
        <f t="shared" si="4"/>
        <v>2T25</v>
      </c>
      <c r="BL1" s="544" t="str">
        <f t="shared" si="4"/>
        <v>3T25</v>
      </c>
      <c r="BM1" s="544" t="str">
        <f t="shared" si="4"/>
        <v>4T25</v>
      </c>
      <c r="BN1" s="544" t="str">
        <f>IF(LEFT(BM1,1)="4","1T"&amp;RIGHT(BM1,2)+1,LEFT(BM1,1)+1&amp;RIGHT(BM1,3))</f>
        <v>1T26</v>
      </c>
      <c r="BO1" s="544" t="str">
        <f>IF(LEFT(BN1,1)="4","1T"&amp;RIGHT(BN1,2)+1,LEFT(BN1,1)+1&amp;RIGHT(BN1,3))</f>
        <v>2T26</v>
      </c>
    </row>
    <row r="2" spans="1:67" ht="12.75" customHeight="1" x14ac:dyDescent="0.2">
      <c r="A2" s="576"/>
      <c r="B2" s="576"/>
      <c r="C2" s="636"/>
      <c r="D2" s="576"/>
      <c r="E2" s="544" t="str">
        <f>SUBSTITUTE(E1,"T","Q")</f>
        <v>2007</v>
      </c>
      <c r="F2" s="544" t="str">
        <f t="shared" ref="F2:AD2" si="5">SUBSTITUTE(F1,"T","Q")</f>
        <v>2008</v>
      </c>
      <c r="G2" s="544" t="str">
        <f t="shared" si="5"/>
        <v>2009</v>
      </c>
      <c r="H2" s="544" t="str">
        <f t="shared" si="5"/>
        <v>2010</v>
      </c>
      <c r="I2" s="544" t="str">
        <f t="shared" si="5"/>
        <v>2011</v>
      </c>
      <c r="J2" s="544" t="str">
        <f t="shared" si="5"/>
        <v>1Q12</v>
      </c>
      <c r="K2" s="544" t="str">
        <f t="shared" si="5"/>
        <v>2Q12</v>
      </c>
      <c r="L2" s="544" t="str">
        <f t="shared" si="5"/>
        <v>3Q12</v>
      </c>
      <c r="M2" s="544" t="str">
        <f t="shared" si="5"/>
        <v>4Q12</v>
      </c>
      <c r="N2" s="544" t="str">
        <f t="shared" si="5"/>
        <v>1Q13</v>
      </c>
      <c r="O2" s="544" t="str">
        <f t="shared" si="5"/>
        <v>2Q13</v>
      </c>
      <c r="P2" s="544" t="str">
        <f t="shared" si="5"/>
        <v>3Q13</v>
      </c>
      <c r="Q2" s="544" t="str">
        <f t="shared" si="5"/>
        <v>4Q13</v>
      </c>
      <c r="R2" s="544" t="str">
        <f t="shared" si="5"/>
        <v>1Q14</v>
      </c>
      <c r="S2" s="544" t="str">
        <f t="shared" si="5"/>
        <v>2Q14</v>
      </c>
      <c r="T2" s="544" t="str">
        <f t="shared" si="5"/>
        <v>3Q14</v>
      </c>
      <c r="U2" s="544" t="str">
        <f t="shared" si="5"/>
        <v>4Q14</v>
      </c>
      <c r="V2" s="544" t="str">
        <f t="shared" si="5"/>
        <v>1Q15</v>
      </c>
      <c r="W2" s="544" t="str">
        <f t="shared" si="5"/>
        <v>2Q15</v>
      </c>
      <c r="X2" s="544" t="str">
        <f t="shared" si="5"/>
        <v>3Q15</v>
      </c>
      <c r="Y2" s="544" t="str">
        <f t="shared" si="5"/>
        <v>4Q15</v>
      </c>
      <c r="Z2" s="544" t="str">
        <f t="shared" si="5"/>
        <v>1Q16</v>
      </c>
      <c r="AA2" s="544" t="str">
        <f t="shared" si="5"/>
        <v>2Q16</v>
      </c>
      <c r="AB2" s="544" t="str">
        <f t="shared" si="5"/>
        <v>3Q16</v>
      </c>
      <c r="AC2" s="544" t="str">
        <f t="shared" si="5"/>
        <v>4Q16</v>
      </c>
      <c r="AD2" s="544" t="str">
        <f t="shared" si="5"/>
        <v>1Q17</v>
      </c>
      <c r="AE2" s="544" t="str">
        <f t="shared" ref="AE2:AM2" si="6">SUBSTITUTE(AE1,"T","Q")</f>
        <v>2Q17</v>
      </c>
      <c r="AF2" s="544" t="str">
        <f t="shared" si="6"/>
        <v>3Q17</v>
      </c>
      <c r="AG2" s="544" t="str">
        <f t="shared" si="6"/>
        <v>4Q17</v>
      </c>
      <c r="AH2" s="544" t="str">
        <f t="shared" si="6"/>
        <v>1Q18</v>
      </c>
      <c r="AI2" s="544" t="str">
        <f t="shared" si="6"/>
        <v>2Q18</v>
      </c>
      <c r="AJ2" s="544" t="str">
        <f t="shared" si="6"/>
        <v>3Q18</v>
      </c>
      <c r="AK2" s="544" t="str">
        <f t="shared" si="6"/>
        <v>4Q18</v>
      </c>
      <c r="AL2" s="544" t="str">
        <f t="shared" si="6"/>
        <v>1Q19</v>
      </c>
      <c r="AM2" s="544" t="str">
        <f t="shared" si="6"/>
        <v>2Q19</v>
      </c>
      <c r="AN2" s="544" t="str">
        <f>SUBSTITUTE(AN1,"T","Q")</f>
        <v>3Q19</v>
      </c>
      <c r="AO2" s="544" t="s">
        <v>1514</v>
      </c>
      <c r="AP2" s="544" t="str">
        <f t="shared" ref="AP2:AW2" si="7">SUBSTITUTE(AP1,"T","Q")</f>
        <v>1Q20</v>
      </c>
      <c r="AQ2" s="544" t="str">
        <f t="shared" si="7"/>
        <v>2Q20</v>
      </c>
      <c r="AR2" s="544" t="str">
        <f t="shared" si="7"/>
        <v>3Q20</v>
      </c>
      <c r="AS2" s="544" t="str">
        <f t="shared" si="7"/>
        <v>4Q20</v>
      </c>
      <c r="AT2" s="544" t="str">
        <f t="shared" si="7"/>
        <v>1Q21</v>
      </c>
      <c r="AU2" s="544" t="str">
        <f t="shared" si="7"/>
        <v>2Q21</v>
      </c>
      <c r="AV2" s="544" t="str">
        <f t="shared" si="7"/>
        <v>3Q21</v>
      </c>
      <c r="AW2" s="544" t="str">
        <f t="shared" si="7"/>
        <v>4Q21</v>
      </c>
      <c r="AX2" s="544" t="str">
        <f t="shared" ref="AX2:BC2" si="8">SUBSTITUTE(AX1,"T","Q")</f>
        <v>1Q22</v>
      </c>
      <c r="AY2" s="544" t="str">
        <f t="shared" si="8"/>
        <v>2Q22</v>
      </c>
      <c r="AZ2" s="544" t="str">
        <f t="shared" si="8"/>
        <v>3Q22</v>
      </c>
      <c r="BA2" s="544" t="str">
        <f t="shared" si="8"/>
        <v>4Q22</v>
      </c>
      <c r="BB2" s="544" t="str">
        <f t="shared" si="8"/>
        <v>1Q23</v>
      </c>
      <c r="BC2" s="544" t="str">
        <f t="shared" si="8"/>
        <v>2Q23</v>
      </c>
      <c r="BD2" s="544" t="str">
        <f t="shared" ref="BD2:BO2" si="9">SUBSTITUTE(BD1,"T","Q")</f>
        <v>3Q23</v>
      </c>
      <c r="BE2" s="544" t="str">
        <f t="shared" si="9"/>
        <v>4Q23</v>
      </c>
      <c r="BF2" s="544" t="str">
        <f t="shared" si="9"/>
        <v>1Q24</v>
      </c>
      <c r="BG2" s="544" t="str">
        <f t="shared" si="9"/>
        <v>2Q24</v>
      </c>
      <c r="BH2" s="544" t="str">
        <f t="shared" si="9"/>
        <v>3Q24</v>
      </c>
      <c r="BI2" s="544" t="str">
        <f t="shared" si="9"/>
        <v>4Q24</v>
      </c>
      <c r="BJ2" s="544" t="str">
        <f t="shared" si="9"/>
        <v>1Q25</v>
      </c>
      <c r="BK2" s="544" t="str">
        <f t="shared" si="9"/>
        <v>2Q25</v>
      </c>
      <c r="BL2" s="544" t="str">
        <f t="shared" si="9"/>
        <v>3Q25</v>
      </c>
      <c r="BM2" s="544" t="str">
        <f t="shared" si="9"/>
        <v>4Q25</v>
      </c>
      <c r="BN2" s="544" t="str">
        <f>SUBSTITUTE(BN1,"T","Q")</f>
        <v>1Q26</v>
      </c>
      <c r="BO2" s="544" t="str">
        <f t="shared" si="9"/>
        <v>2Q26</v>
      </c>
    </row>
    <row r="3" spans="1:67" ht="12.75" customHeight="1" x14ac:dyDescent="0.2">
      <c r="A3" s="518"/>
      <c r="B3" s="518"/>
      <c r="C3" s="636"/>
      <c r="D3" s="519"/>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517"/>
      <c r="AL3" s="517"/>
      <c r="AM3" s="517"/>
      <c r="AN3" s="517"/>
      <c r="AO3" s="517"/>
      <c r="AP3" s="517"/>
      <c r="AQ3" s="544"/>
      <c r="AR3" s="544"/>
      <c r="AS3" s="517"/>
      <c r="AT3" s="517"/>
      <c r="AU3" s="517"/>
      <c r="AV3" s="517"/>
      <c r="AW3" s="517"/>
      <c r="AX3" s="517"/>
      <c r="AY3" s="517"/>
      <c r="AZ3" s="517"/>
      <c r="BA3" s="517"/>
      <c r="BB3" s="517"/>
      <c r="BC3" s="517"/>
      <c r="BD3" s="517"/>
      <c r="BE3" s="517"/>
      <c r="BF3" s="517"/>
      <c r="BG3" s="517"/>
      <c r="BH3" s="517"/>
      <c r="BI3" s="517"/>
      <c r="BJ3" s="517"/>
      <c r="BK3" s="517"/>
      <c r="BL3" s="517"/>
      <c r="BM3" s="517"/>
      <c r="BN3" s="517"/>
      <c r="BO3" s="517"/>
    </row>
    <row r="4" spans="1:67" ht="12.75" customHeight="1" x14ac:dyDescent="0.2">
      <c r="A4" s="518" t="s">
        <v>337</v>
      </c>
      <c r="B4" s="518" t="s">
        <v>689</v>
      </c>
      <c r="C4" s="636"/>
      <c r="D4" s="519" t="str">
        <f>IF([1]RENAME!$H$3=1,B4,A4)</f>
        <v>(Em R$ Mil)</v>
      </c>
      <c r="E4" s="517"/>
      <c r="F4" s="517"/>
      <c r="G4" s="517"/>
      <c r="H4" s="517"/>
      <c r="I4" s="517"/>
      <c r="J4" s="517"/>
      <c r="K4" s="517"/>
      <c r="L4" s="517"/>
      <c r="M4" s="517"/>
      <c r="N4" s="517"/>
      <c r="O4" s="517"/>
      <c r="P4" s="517"/>
      <c r="Q4" s="517"/>
      <c r="R4" s="517"/>
      <c r="S4" s="517"/>
      <c r="T4" s="517"/>
      <c r="U4" s="517"/>
      <c r="V4" s="517"/>
      <c r="W4" s="517"/>
      <c r="X4" s="517"/>
      <c r="Y4" s="517"/>
      <c r="Z4" s="517"/>
      <c r="AA4" s="517"/>
      <c r="AB4" s="517"/>
      <c r="AC4" s="517"/>
      <c r="AD4" s="517"/>
      <c r="AE4" s="517"/>
      <c r="AF4" s="517"/>
      <c r="AG4" s="517"/>
      <c r="AH4" s="517"/>
      <c r="AI4" s="517"/>
      <c r="AJ4" s="517"/>
      <c r="AK4" s="517"/>
      <c r="AL4" s="756" t="s">
        <v>1423</v>
      </c>
      <c r="AM4" s="517"/>
      <c r="AN4" s="517"/>
      <c r="AO4" s="755"/>
      <c r="AP4" s="755"/>
      <c r="AQ4" s="755"/>
      <c r="AR4" s="755"/>
      <c r="AS4" s="755"/>
      <c r="AT4" s="755"/>
      <c r="AU4" s="755"/>
      <c r="AV4" s="755"/>
      <c r="AW4" s="755"/>
      <c r="AX4" s="755"/>
      <c r="AY4" s="755"/>
      <c r="AZ4" s="755"/>
      <c r="BA4" s="755"/>
      <c r="BB4" s="755"/>
      <c r="BC4" s="755"/>
      <c r="BD4" s="755"/>
      <c r="BE4" s="755"/>
      <c r="BF4" s="755"/>
      <c r="BG4" s="755"/>
      <c r="BH4" s="755"/>
      <c r="BI4" s="755"/>
      <c r="BJ4" s="755"/>
      <c r="BK4" s="755"/>
      <c r="BL4" s="755"/>
      <c r="BM4" s="755"/>
      <c r="BN4" s="755"/>
      <c r="BO4" s="755"/>
    </row>
    <row r="5" spans="1:67" ht="12.75" customHeight="1" x14ac:dyDescent="0.2">
      <c r="A5" s="516" t="s">
        <v>455</v>
      </c>
      <c r="B5" s="516" t="s">
        <v>690</v>
      </c>
      <c r="C5" s="636"/>
      <c r="D5" s="520" t="str">
        <f>IF([1]RENAME!$H$3=1,B5,A5)</f>
        <v>Demonstração de resultado consolidado</v>
      </c>
      <c r="E5" s="535" t="str">
        <f>IF([1]RENAME!$H$3=1,E2,E1)</f>
        <v>2007</v>
      </c>
      <c r="F5" s="481" t="str">
        <f>IF([1]RENAME!$H$3=1,F2,F1)</f>
        <v>2008</v>
      </c>
      <c r="G5" s="481" t="str">
        <f>IF([1]RENAME!$H$3=1,G2,G1)</f>
        <v>2009</v>
      </c>
      <c r="H5" s="481" t="str">
        <f>IF([1]RENAME!$H$3=1,H2,H1)</f>
        <v>2010</v>
      </c>
      <c r="I5" s="481" t="str">
        <f>IF([1]RENAME!$H$3=1,I2,I1)</f>
        <v>2011</v>
      </c>
      <c r="J5" s="521" t="str">
        <f>IF([1]RENAME!$H$3=1,J2,J1)</f>
        <v>1T12</v>
      </c>
      <c r="K5" s="521" t="str">
        <f>IF([1]RENAME!$H$3=1,K2,K1)</f>
        <v>2T12</v>
      </c>
      <c r="L5" s="521" t="str">
        <f>IF([1]RENAME!$H$3=1,L2,L1)</f>
        <v>3T12</v>
      </c>
      <c r="M5" s="521" t="str">
        <f>IF([1]RENAME!$H$3=1,M2,M1)</f>
        <v>4T12</v>
      </c>
      <c r="N5" s="481" t="str">
        <f>IF([1]RENAME!$H$3=1,N2,N1)</f>
        <v>1T13</v>
      </c>
      <c r="O5" s="481" t="str">
        <f>IF([1]RENAME!$H$3=1,O2,O1)</f>
        <v>2T13</v>
      </c>
      <c r="P5" s="481" t="str">
        <f>IF([1]RENAME!$H$3=1,P2,P1)</f>
        <v>3T13</v>
      </c>
      <c r="Q5" s="481" t="str">
        <f>IF([1]RENAME!$H$3=1,Q2,Q1)</f>
        <v>4T13</v>
      </c>
      <c r="R5" s="481" t="str">
        <f>IF([1]RENAME!$H$3=1,R2,R1)</f>
        <v>1T14</v>
      </c>
      <c r="S5" s="522" t="str">
        <f>IF([1]RENAME!$H$3=1,S2,S1)</f>
        <v>2T14</v>
      </c>
      <c r="T5" s="522" t="str">
        <f>IF([1]RENAME!$H$3=1,T2,T1)</f>
        <v>3T14</v>
      </c>
      <c r="U5" s="481" t="str">
        <f>IF([1]RENAME!$H$3=1,U2,U1)</f>
        <v>4T14</v>
      </c>
      <c r="V5" s="481" t="str">
        <f>IF([1]RENAME!$H$3=1,V2,V1)</f>
        <v>1T15</v>
      </c>
      <c r="W5" s="481" t="str">
        <f>IF([1]RENAME!$H$3=1,W2,W1)</f>
        <v>2T15</v>
      </c>
      <c r="X5" s="481" t="str">
        <f>IF([1]RENAME!$H$3=1,X2,X1)</f>
        <v>3T15</v>
      </c>
      <c r="Y5" s="481" t="str">
        <f>IF([1]RENAME!$H$3=1,Y2,Y1)</f>
        <v>4T15</v>
      </c>
      <c r="Z5" s="481" t="str">
        <f>IF([1]RENAME!$H$3=1,Z2,Z1)</f>
        <v>1T16</v>
      </c>
      <c r="AA5" s="481" t="str">
        <f>IF([1]RENAME!$H$3=1,AA2,AA1)</f>
        <v>2T16</v>
      </c>
      <c r="AB5" s="481" t="str">
        <f>IF([1]RENAME!$H$3=1,AB2,AB1)</f>
        <v>3T16</v>
      </c>
      <c r="AC5" s="481" t="str">
        <f>IF([1]RENAME!$H$3=1,AC2,AC1)</f>
        <v>4T16</v>
      </c>
      <c r="AD5" s="481" t="str">
        <f>IF([1]RENAME!$H$3=1,AD2,AD1)</f>
        <v>1T17</v>
      </c>
      <c r="AE5" s="481" t="str">
        <f>IF([1]RENAME!$H$3=1,AE2,AE1)</f>
        <v>2T17</v>
      </c>
      <c r="AF5" s="481" t="str">
        <f>IF([1]RENAME!$H$3=1,AF2,AF1)</f>
        <v>3T17</v>
      </c>
      <c r="AG5" s="481" t="str">
        <f>IF([1]RENAME!$H$3=1,AG2,AG1)</f>
        <v>4T17</v>
      </c>
      <c r="AH5" s="481" t="str">
        <f>IF([1]RENAME!$H$3=1,AH2,AH1)</f>
        <v>1T18</v>
      </c>
      <c r="AI5" s="481" t="str">
        <f>IF([1]RENAME!$H$3=1,AI2,AI1)</f>
        <v>2T18</v>
      </c>
      <c r="AJ5" s="481" t="str">
        <f>IF([1]RENAME!$H$3=1,AJ2,AJ1)</f>
        <v>3T18</v>
      </c>
      <c r="AK5" s="481" t="str">
        <f>IF([1]RENAME!$H$3=1,AK2,AK1)</f>
        <v>4T18</v>
      </c>
      <c r="AL5" s="482" t="str">
        <f>IF([1]RENAME!$H$3=1,AL2,AL1)</f>
        <v>1T19</v>
      </c>
      <c r="AM5" s="481" t="str">
        <f>IF([1]RENAME!$H$3=1,AM2,AM1)</f>
        <v>2T19</v>
      </c>
      <c r="AN5" s="481" t="str">
        <f>IF([1]RENAME!$H$3=1,AN2,AN1)</f>
        <v>3T19</v>
      </c>
      <c r="AO5" s="481" t="str">
        <f>IF([1]RENAME!$H$3=1,AO2,AO1)</f>
        <v>4T19</v>
      </c>
      <c r="AP5" s="481" t="str">
        <f>IF([1]RENAME!$H$3=1,AP2,AP1)</f>
        <v>1T20</v>
      </c>
      <c r="AQ5" s="481" t="str">
        <f>IF([1]RENAME!$H$3=1,AQ2,AQ1)</f>
        <v>2T20</v>
      </c>
      <c r="AR5" s="481" t="str">
        <f>IF([1]RENAME!$H$3=1,AR2,AR1)</f>
        <v>3T20</v>
      </c>
      <c r="AS5" s="481" t="str">
        <f>IF([1]RENAME!$H$3=1,AS2,AS1)</f>
        <v>4T20</v>
      </c>
      <c r="AT5" s="481" t="str">
        <f>IF([1]RENAME!$H$3=1,AT2,AT1)</f>
        <v>1T21</v>
      </c>
      <c r="AU5" s="481" t="str">
        <f>IF([1]RENAME!$H$3=1,AU2,AU1)</f>
        <v>2T21</v>
      </c>
      <c r="AV5" s="481" t="str">
        <f>IF([1]RENAME!$H$3=1,AV2,AV1)</f>
        <v>3T21</v>
      </c>
      <c r="AW5" s="481" t="str">
        <f>IF([1]RENAME!$H$3=1,AW2,AW1)</f>
        <v>4T21</v>
      </c>
      <c r="AX5" s="481" t="str">
        <f>IF([1]RENAME!$H$3=1,AX2,AX1)</f>
        <v>1T22</v>
      </c>
      <c r="AY5" s="481" t="str">
        <f>IF([1]RENAME!$H$3=1,AY2,AY1)</f>
        <v>2T22</v>
      </c>
      <c r="AZ5" s="481" t="str">
        <f>IF([1]RENAME!$H$3=1,AZ2,AZ1)</f>
        <v>3T22</v>
      </c>
      <c r="BA5" s="481" t="str">
        <f>IF([1]RENAME!$H$3=1,BA2,BA1)</f>
        <v>4T22</v>
      </c>
      <c r="BB5" s="481" t="str">
        <f>IF([1]RENAME!$H$3=1,BB2,BB1)</f>
        <v>1T23</v>
      </c>
      <c r="BC5" s="481" t="str">
        <f>IF([1]RENAME!$H$3=1,BC2,BC1)</f>
        <v>2T23</v>
      </c>
      <c r="BD5" s="481" t="str">
        <f>IF([1]RENAME!$H$3=1,BD2,BD1)</f>
        <v>3T23</v>
      </c>
      <c r="BE5" s="481" t="str">
        <f>IF([1]RENAME!$H$3=1,BE2,BE1)</f>
        <v>4T23</v>
      </c>
      <c r="BF5" s="481" t="str">
        <f>IF([1]RENAME!$H$3=1,BF2,BF1)</f>
        <v>1T24</v>
      </c>
      <c r="BG5" s="481" t="str">
        <f>IF([1]RENAME!$H$3=1,BG2,BG1)</f>
        <v>2T24</v>
      </c>
      <c r="BH5" s="481" t="str">
        <f>IF([1]RENAME!$H$3=1,BH2,BH1)</f>
        <v>3T24</v>
      </c>
      <c r="BI5" s="481" t="str">
        <f>IF([1]RENAME!$H$3=1,BI2,BI1)</f>
        <v>4T24</v>
      </c>
      <c r="BJ5" s="481" t="str">
        <f>IF([1]RENAME!$H$3=1,BJ2,BJ1)</f>
        <v>1T25</v>
      </c>
      <c r="BK5" s="481" t="str">
        <f>IF([1]RENAME!$H$3=1,BK2,BK1)</f>
        <v>2T25</v>
      </c>
      <c r="BL5" s="481" t="str">
        <f>IF([1]RENAME!$H$3=1,BL2,BL1)</f>
        <v>3T25</v>
      </c>
      <c r="BM5" s="481" t="str">
        <f>IF([1]RENAME!$H$3=1,BM2,BM1)</f>
        <v>4T25</v>
      </c>
      <c r="BN5" s="535" t="str">
        <f>IF([1]RENAME!$H$3=1,BN2,BN1)</f>
        <v>1T26</v>
      </c>
      <c r="BO5" s="481" t="str">
        <f>IF([1]RENAME!$H$3=1,BO2,BO1)</f>
        <v>2T26</v>
      </c>
    </row>
    <row r="6" spans="1:67" x14ac:dyDescent="0.2">
      <c r="A6" s="516" t="s">
        <v>66</v>
      </c>
      <c r="B6" s="516" t="s">
        <v>691</v>
      </c>
      <c r="C6" s="636"/>
      <c r="D6" s="523" t="str">
        <f>IF([1]RENAME!$H$3=1,B6,A6)</f>
        <v>Receita bruta</v>
      </c>
      <c r="E6" s="524">
        <f>SUM(E7:E8)</f>
        <v>860656</v>
      </c>
      <c r="F6" s="524">
        <f>SUM(F7:F8)</f>
        <v>1141144</v>
      </c>
      <c r="G6" s="524">
        <f>SUM(G7:G8)</f>
        <v>1331123</v>
      </c>
      <c r="H6" s="524">
        <v>1449176</v>
      </c>
      <c r="I6" s="524">
        <v>1886117</v>
      </c>
      <c r="J6" s="524">
        <v>423401</v>
      </c>
      <c r="K6" s="524">
        <v>478102</v>
      </c>
      <c r="L6" s="524">
        <v>557628</v>
      </c>
      <c r="M6" s="524">
        <v>554820</v>
      </c>
      <c r="N6" s="524">
        <v>467402</v>
      </c>
      <c r="O6" s="524">
        <v>565167</v>
      </c>
      <c r="P6" s="524">
        <v>575517</v>
      </c>
      <c r="Q6" s="524">
        <v>571830</v>
      </c>
      <c r="R6" s="524">
        <v>473707</v>
      </c>
      <c r="S6" s="524">
        <v>504301</v>
      </c>
      <c r="T6" s="524">
        <v>483485</v>
      </c>
      <c r="U6" s="524">
        <v>492847</v>
      </c>
      <c r="V6" s="524">
        <v>352881</v>
      </c>
      <c r="W6" s="524">
        <v>342164</v>
      </c>
      <c r="X6" s="524">
        <v>343147.99199999997</v>
      </c>
      <c r="Y6" s="524">
        <f t="shared" ref="Y6:AE6" si="10">+SUM(Y7:Y8)</f>
        <v>353863.47408000001</v>
      </c>
      <c r="Z6" s="524">
        <f t="shared" si="10"/>
        <v>251045.03344000003</v>
      </c>
      <c r="AA6" s="524">
        <f t="shared" si="10"/>
        <v>283051.75686000002</v>
      </c>
      <c r="AB6" s="524">
        <f t="shared" si="10"/>
        <v>292570.58199999999</v>
      </c>
      <c r="AC6" s="524">
        <f t="shared" si="10"/>
        <v>313561.64393000002</v>
      </c>
      <c r="AD6" s="524">
        <f t="shared" si="10"/>
        <v>263139.49319000001</v>
      </c>
      <c r="AE6" s="524">
        <f t="shared" si="10"/>
        <v>316766.97174999997</v>
      </c>
      <c r="AF6" s="524">
        <f t="shared" ref="AF6:AO6" si="11">+SUM(AF7:AF8)</f>
        <v>355630.59041000006</v>
      </c>
      <c r="AG6" s="524">
        <f t="shared" si="11"/>
        <v>394652.87448999996</v>
      </c>
      <c r="AH6" s="524">
        <f t="shared" si="11"/>
        <v>322849.44328000001</v>
      </c>
      <c r="AI6" s="524">
        <f t="shared" si="11"/>
        <v>360398.53693999996</v>
      </c>
      <c r="AJ6" s="524">
        <f t="shared" si="11"/>
        <v>415845.59081999998</v>
      </c>
      <c r="AK6" s="524">
        <f t="shared" si="11"/>
        <v>439626.19826000003</v>
      </c>
      <c r="AL6" s="751">
        <f t="shared" si="11"/>
        <v>367282.45629</v>
      </c>
      <c r="AM6" s="524">
        <f t="shared" si="11"/>
        <v>406330.85576000006</v>
      </c>
      <c r="AN6" s="524">
        <f t="shared" si="11"/>
        <v>415849.18766000005</v>
      </c>
      <c r="AO6" s="524">
        <f t="shared" si="11"/>
        <v>463847.30074000004</v>
      </c>
      <c r="AP6" s="524">
        <f t="shared" ref="AP6:AV6" si="12">+SUM(AP7:AP8)</f>
        <v>345453.34173999995</v>
      </c>
      <c r="AQ6" s="524">
        <f t="shared" si="12"/>
        <v>160265.12508</v>
      </c>
      <c r="AR6" s="524">
        <f t="shared" si="12"/>
        <v>358316.07078000001</v>
      </c>
      <c r="AS6" s="524">
        <f t="shared" si="12"/>
        <v>386729.15333999996</v>
      </c>
      <c r="AT6" s="524">
        <f t="shared" si="12"/>
        <v>290764.73402999999</v>
      </c>
      <c r="AU6" s="524">
        <f t="shared" si="12"/>
        <v>294711.26993999997</v>
      </c>
      <c r="AV6" s="524">
        <f t="shared" si="12"/>
        <v>289282.03484000004</v>
      </c>
      <c r="AW6" s="524">
        <f>+SUM(AW7:AW8)</f>
        <v>379482.27760999993</v>
      </c>
      <c r="AX6" s="524">
        <f>+SUM(AX7:AX8)</f>
        <v>298338.78965999995</v>
      </c>
      <c r="AY6" s="524">
        <f>+SUM(AY7:AY8)</f>
        <v>375831.22440000001</v>
      </c>
      <c r="AZ6" s="524">
        <f t="shared" ref="AZ6:BI6" si="13">+SUM(AZ7:AZ8)</f>
        <v>511410.33604000002</v>
      </c>
      <c r="BA6" s="524">
        <f t="shared" si="13"/>
        <v>506300.46126999997</v>
      </c>
      <c r="BB6" s="524">
        <f t="shared" si="13"/>
        <v>417226.32456999982</v>
      </c>
      <c r="BC6" s="524">
        <f t="shared" si="13"/>
        <v>457143.44667000009</v>
      </c>
      <c r="BD6" s="524">
        <f t="shared" si="13"/>
        <v>531099.36146000004</v>
      </c>
      <c r="BE6" s="524">
        <f t="shared" si="13"/>
        <v>565970.18728000007</v>
      </c>
      <c r="BF6" s="524">
        <f t="shared" si="13"/>
        <v>483235.76516999991</v>
      </c>
      <c r="BG6" s="524">
        <f t="shared" si="13"/>
        <v>584888.07593000005</v>
      </c>
      <c r="BH6" s="524">
        <f t="shared" si="13"/>
        <v>746758.51612000004</v>
      </c>
      <c r="BI6" s="524">
        <f t="shared" si="13"/>
        <v>770341.37877999991</v>
      </c>
      <c r="BJ6" s="524">
        <f t="shared" ref="BJ6:BO6" si="14">+SUM(BJ7:BJ8)</f>
        <v>545149.88712999993</v>
      </c>
      <c r="BK6" s="524">
        <f t="shared" si="14"/>
        <v>675686.34489999991</v>
      </c>
      <c r="BL6" s="524">
        <f t="shared" si="14"/>
        <v>786431.47869000002</v>
      </c>
      <c r="BM6" s="524">
        <f t="shared" si="14"/>
        <v>764752.75194999995</v>
      </c>
      <c r="BN6" s="524">
        <f t="shared" si="14"/>
        <v>650034.98392000003</v>
      </c>
      <c r="BO6" s="524">
        <f t="shared" si="14"/>
        <v>924739.87904999999</v>
      </c>
    </row>
    <row r="7" spans="1:67" ht="13.5" customHeight="1" outlineLevel="1" x14ac:dyDescent="0.2">
      <c r="A7" s="518" t="s">
        <v>33</v>
      </c>
      <c r="B7" s="518" t="s">
        <v>692</v>
      </c>
      <c r="C7" s="636" t="str">
        <f>IF([1]RENAME!$H$3=1,B7,A7)</f>
        <v>Logística automotiva</v>
      </c>
      <c r="D7" s="990" t="str">
        <f>HYPERLINK([1]RENAME!R4,C7)</f>
        <v>Logística automotiva</v>
      </c>
      <c r="E7" s="487">
        <v>745495</v>
      </c>
      <c r="F7" s="487">
        <v>1006490</v>
      </c>
      <c r="G7" s="487">
        <v>1199171</v>
      </c>
      <c r="H7" s="487">
        <v>1249234</v>
      </c>
      <c r="I7" s="487">
        <v>1443787</v>
      </c>
      <c r="J7" s="487">
        <v>295825</v>
      </c>
      <c r="K7" s="487">
        <v>334929</v>
      </c>
      <c r="L7" s="487">
        <v>396308</v>
      </c>
      <c r="M7" s="487">
        <v>398907</v>
      </c>
      <c r="N7" s="487">
        <v>352522</v>
      </c>
      <c r="O7" s="487">
        <v>449684</v>
      </c>
      <c r="P7" s="487">
        <v>458071</v>
      </c>
      <c r="Q7" s="487">
        <v>438447</v>
      </c>
      <c r="R7" s="487">
        <v>353100</v>
      </c>
      <c r="S7" s="487">
        <v>387721</v>
      </c>
      <c r="T7" s="487">
        <v>384907</v>
      </c>
      <c r="U7" s="487">
        <v>431261</v>
      </c>
      <c r="V7" s="487">
        <v>296153</v>
      </c>
      <c r="W7" s="487">
        <v>282208</v>
      </c>
      <c r="X7" s="487">
        <v>279188.13734000002</v>
      </c>
      <c r="Y7" s="487">
        <f>+Auto!T9</f>
        <v>291665.83533000003</v>
      </c>
      <c r="Z7" s="487">
        <f>+Auto!U9</f>
        <v>198606.12298000001</v>
      </c>
      <c r="AA7" s="487">
        <f>+Auto!V9</f>
        <v>232426.84667</v>
      </c>
      <c r="AB7" s="487">
        <f>+Auto!W9</f>
        <v>244388.95153000002</v>
      </c>
      <c r="AC7" s="487">
        <f>+Auto!X9</f>
        <v>264784.09666000004</v>
      </c>
      <c r="AD7" s="487">
        <f>+Auto!Y9</f>
        <v>214422.15101999999</v>
      </c>
      <c r="AE7" s="487">
        <f>+Auto!Z9</f>
        <v>268717.10787999997</v>
      </c>
      <c r="AF7" s="487">
        <f>+Auto!AA9</f>
        <v>305185.31597000005</v>
      </c>
      <c r="AG7" s="487">
        <f>+Auto!AB9</f>
        <v>340565.25495999999</v>
      </c>
      <c r="AH7" s="487">
        <f>+Auto!AC9</f>
        <v>275057.54545999999</v>
      </c>
      <c r="AI7" s="487">
        <f>+Auto!AD9</f>
        <v>315279.75394999998</v>
      </c>
      <c r="AJ7" s="487">
        <v>365789.47778999998</v>
      </c>
      <c r="AK7" s="487">
        <v>391684.40824000002</v>
      </c>
      <c r="AL7" s="488">
        <v>321706.25628999999</v>
      </c>
      <c r="AM7" s="487">
        <f>+Auto!AH9</f>
        <v>360853.55104000005</v>
      </c>
      <c r="AN7" s="487">
        <f>+Auto!AI9</f>
        <v>366405.11531000002</v>
      </c>
      <c r="AO7" s="487">
        <f>+Auto!AJ9</f>
        <v>414841.17645000003</v>
      </c>
      <c r="AP7" s="487">
        <f>+Auto!AK9</f>
        <v>298654.90463999996</v>
      </c>
      <c r="AQ7" s="487">
        <f>+Auto!AL9</f>
        <v>108624.88222</v>
      </c>
      <c r="AR7" s="487">
        <f>+Auto!AM9</f>
        <v>305501.52506000001</v>
      </c>
      <c r="AS7" s="487">
        <f>+Auto!AN9</f>
        <v>337571.33675999998</v>
      </c>
      <c r="AT7" s="487">
        <f>+Auto!AO9</f>
        <v>250078.92903</v>
      </c>
      <c r="AU7" s="487">
        <f>+Auto!AP9</f>
        <v>249944.68143999999</v>
      </c>
      <c r="AV7" s="487">
        <f>+Auto!AQ9</f>
        <v>243798.95912000004</v>
      </c>
      <c r="AW7" s="487">
        <f>+Auto!AR9</f>
        <v>339046.03587999992</v>
      </c>
      <c r="AX7" s="487">
        <f>+Auto!AS9</f>
        <v>249984.01542999997</v>
      </c>
      <c r="AY7" s="487">
        <v>329187.05628000002</v>
      </c>
      <c r="AZ7" s="487">
        <f>+Auto!AU9</f>
        <v>460036.70981000003</v>
      </c>
      <c r="BA7" s="487">
        <f>+Auto!AV9</f>
        <v>461462.62537999998</v>
      </c>
      <c r="BB7" s="487">
        <f>+Auto!AW9</f>
        <v>369902.34818999982</v>
      </c>
      <c r="BC7" s="487">
        <f>+Auto!AX9</f>
        <v>413999.29704000009</v>
      </c>
      <c r="BD7" s="487">
        <f>+Auto!AY9</f>
        <v>481071.89130000008</v>
      </c>
      <c r="BE7" s="487">
        <f>+Auto!AZ9</f>
        <v>516751.48728000012</v>
      </c>
      <c r="BF7" s="487">
        <f>+Auto!BA9</f>
        <v>432552.07787999994</v>
      </c>
      <c r="BG7" s="487">
        <f>+Auto!BB9</f>
        <v>529168.94435000001</v>
      </c>
      <c r="BH7" s="487">
        <f>+Auto!BC9</f>
        <v>695890.14059000008</v>
      </c>
      <c r="BI7" s="487">
        <f>+Auto!BD9</f>
        <v>720353.22578999994</v>
      </c>
      <c r="BJ7" s="487">
        <f>+Auto!BE9</f>
        <v>489547.18824999995</v>
      </c>
      <c r="BK7" s="487">
        <f>+Auto!BF9</f>
        <v>621439.08457999991</v>
      </c>
      <c r="BL7" s="487">
        <f>+Auto!BG9</f>
        <v>744446</v>
      </c>
      <c r="BM7" s="487">
        <f>+Auto!BH9</f>
        <v>717391.32421999995</v>
      </c>
      <c r="BN7" s="487">
        <f>+Auto!BI9</f>
        <v>599235.42489999998</v>
      </c>
      <c r="BO7" s="487">
        <f>+Auto!BJ9</f>
        <v>866484.33464999998</v>
      </c>
    </row>
    <row r="8" spans="1:67" ht="13.5" customHeight="1" outlineLevel="1" x14ac:dyDescent="0.2">
      <c r="A8" s="516" t="s">
        <v>34</v>
      </c>
      <c r="B8" s="516" t="s">
        <v>693</v>
      </c>
      <c r="C8" s="636" t="str">
        <f>IF([1]RENAME!$H$3=1,B8,A8)</f>
        <v>Logística integrada</v>
      </c>
      <c r="D8" s="990" t="str">
        <f>HYPERLINK(Menu!$AY$5,C8)</f>
        <v>Logística integrada</v>
      </c>
      <c r="E8" s="487">
        <v>115161</v>
      </c>
      <c r="F8" s="487">
        <v>134654</v>
      </c>
      <c r="G8" s="487">
        <v>131952</v>
      </c>
      <c r="H8" s="487">
        <v>199942</v>
      </c>
      <c r="I8" s="487">
        <v>442331</v>
      </c>
      <c r="J8" s="487">
        <v>127576</v>
      </c>
      <c r="K8" s="487">
        <v>143173</v>
      </c>
      <c r="L8" s="487">
        <v>161320</v>
      </c>
      <c r="M8" s="487">
        <v>155913</v>
      </c>
      <c r="N8" s="487">
        <v>114880</v>
      </c>
      <c r="O8" s="487">
        <v>115483</v>
      </c>
      <c r="P8" s="487">
        <v>117446</v>
      </c>
      <c r="Q8" s="487">
        <v>133383</v>
      </c>
      <c r="R8" s="487">
        <v>120607</v>
      </c>
      <c r="S8" s="487">
        <v>116580</v>
      </c>
      <c r="T8" s="487">
        <v>98578</v>
      </c>
      <c r="U8" s="487">
        <v>61586</v>
      </c>
      <c r="V8" s="487">
        <f>+LI!Q10</f>
        <v>56728</v>
      </c>
      <c r="W8" s="487">
        <f>+LI!R10</f>
        <v>59956</v>
      </c>
      <c r="X8" s="487">
        <f>+LI!S10</f>
        <v>63960</v>
      </c>
      <c r="Y8" s="487">
        <f>+LI!T10</f>
        <v>62197.638749999998</v>
      </c>
      <c r="Z8" s="487">
        <f>+LI!U10</f>
        <v>52438.910459999999</v>
      </c>
      <c r="AA8" s="487">
        <f>+LI!V10</f>
        <v>50624.91019000001</v>
      </c>
      <c r="AB8" s="487">
        <f>+LI!W10</f>
        <v>48181.630469999996</v>
      </c>
      <c r="AC8" s="487">
        <f>+LI!X10</f>
        <v>48777.547270000003</v>
      </c>
      <c r="AD8" s="487">
        <f>+LI!Y10</f>
        <v>48717.342169999996</v>
      </c>
      <c r="AE8" s="487">
        <f>+LI!Z10</f>
        <v>48049.863870000001</v>
      </c>
      <c r="AF8" s="487">
        <f>+LI!AA10</f>
        <v>50445.274439999994</v>
      </c>
      <c r="AG8" s="487">
        <f>+LI!AB10</f>
        <v>54087.619529999996</v>
      </c>
      <c r="AH8" s="487">
        <f>+LI!AC10</f>
        <v>47791.897820000006</v>
      </c>
      <c r="AI8" s="487">
        <f>+LI!AD10</f>
        <v>45118.782989999992</v>
      </c>
      <c r="AJ8" s="487">
        <f>+LI!AE10</f>
        <v>50056.113029999993</v>
      </c>
      <c r="AK8" s="487">
        <f>+LI!AF10</f>
        <v>47941.790019999993</v>
      </c>
      <c r="AL8" s="488">
        <f>+LI!AG10</f>
        <v>45576.200000000004</v>
      </c>
      <c r="AM8" s="487">
        <f>+LI!AH10</f>
        <v>45477.30472</v>
      </c>
      <c r="AN8" s="487">
        <f>+LI!AI10</f>
        <v>49444.072350000002</v>
      </c>
      <c r="AO8" s="487">
        <f>+LI!AJ10</f>
        <v>49006.12429</v>
      </c>
      <c r="AP8" s="487">
        <f>+LI!AK10</f>
        <v>46798.437100000003</v>
      </c>
      <c r="AQ8" s="487">
        <f>+LI!AL10</f>
        <v>51640.242859999998</v>
      </c>
      <c r="AR8" s="487">
        <f>+LI!AM10</f>
        <v>52814.545720000002</v>
      </c>
      <c r="AS8" s="487">
        <f>+LI!AN10</f>
        <v>49157.816579999999</v>
      </c>
      <c r="AT8" s="487">
        <f>+LI!AO10</f>
        <v>40685.805</v>
      </c>
      <c r="AU8" s="487">
        <f>+LI!AP10</f>
        <v>44766.588499999998</v>
      </c>
      <c r="AV8" s="487">
        <f>+LI!AQ10</f>
        <v>45483.075720000001</v>
      </c>
      <c r="AW8" s="487">
        <f>+LI!AR10</f>
        <v>40436.241730000009</v>
      </c>
      <c r="AX8" s="487">
        <f>+LI!AS10</f>
        <v>48354.774229999995</v>
      </c>
      <c r="AY8" s="487">
        <v>46644.168120000002</v>
      </c>
      <c r="AZ8" s="487">
        <f>+LI!AU10</f>
        <v>51373.626230000002</v>
      </c>
      <c r="BA8" s="487">
        <f>+LI!AV10</f>
        <v>44837.835890000002</v>
      </c>
      <c r="BB8" s="487">
        <f>+LI!AW10</f>
        <v>47323.97638</v>
      </c>
      <c r="BC8" s="487">
        <f>+LI!AX10</f>
        <v>43144.14963</v>
      </c>
      <c r="BD8" s="487">
        <f>+LI!AY10</f>
        <v>50027.470160000004</v>
      </c>
      <c r="BE8" s="487">
        <f>+LI!AZ10</f>
        <v>49218.7</v>
      </c>
      <c r="BF8" s="487">
        <f>+LI!BA10</f>
        <v>50683.687290000002</v>
      </c>
      <c r="BG8" s="487">
        <f>+LI!BB10</f>
        <v>55719.131580000001</v>
      </c>
      <c r="BH8" s="487">
        <f>+LI!BC10</f>
        <v>50868.375529999998</v>
      </c>
      <c r="BI8" s="487">
        <f>+LI!BD10</f>
        <v>49988.152990000002</v>
      </c>
      <c r="BJ8" s="487">
        <f>+LI!BE10</f>
        <v>55602.698880000004</v>
      </c>
      <c r="BK8" s="487">
        <f>+LI!BF10</f>
        <v>54247.260320000001</v>
      </c>
      <c r="BL8" s="487">
        <f>+LI!BG10</f>
        <v>41985.478689999996</v>
      </c>
      <c r="BM8" s="487">
        <f>+LI!BH10</f>
        <v>47361.427729999996</v>
      </c>
      <c r="BN8" s="487">
        <f>+LI!BI10</f>
        <v>50799.559020000001</v>
      </c>
      <c r="BO8" s="487">
        <f>+LI!BJ10</f>
        <v>58255.544399999999</v>
      </c>
    </row>
    <row r="9" spans="1:67" ht="13.5" customHeight="1" x14ac:dyDescent="0.2">
      <c r="A9" s="516" t="s">
        <v>1293</v>
      </c>
      <c r="B9" s="516" t="s">
        <v>1563</v>
      </c>
      <c r="C9" s="636"/>
      <c r="D9" s="526" t="str">
        <f>IF([1]RENAME!$H$3=1,B9,A9)</f>
        <v>Deduções da receita bruta</v>
      </c>
      <c r="E9" s="487">
        <v>-115715</v>
      </c>
      <c r="F9" s="487">
        <v>-162197</v>
      </c>
      <c r="G9" s="487">
        <v>-196827</v>
      </c>
      <c r="H9" s="487">
        <v>-282004</v>
      </c>
      <c r="I9" s="487">
        <v>-376754</v>
      </c>
      <c r="J9" s="525">
        <v>-81333</v>
      </c>
      <c r="K9" s="525">
        <v>-91588</v>
      </c>
      <c r="L9" s="525">
        <v>-105829</v>
      </c>
      <c r="M9" s="525">
        <v>-101172</v>
      </c>
      <c r="N9" s="525">
        <v>-88558</v>
      </c>
      <c r="O9" s="525">
        <v>-104115</v>
      </c>
      <c r="P9" s="525">
        <v>-108268</v>
      </c>
      <c r="Q9" s="525">
        <v>-106483</v>
      </c>
      <c r="R9" s="525">
        <v>-95225</v>
      </c>
      <c r="S9" s="525">
        <v>-98774</v>
      </c>
      <c r="T9" s="525">
        <v>-95407</v>
      </c>
      <c r="U9" s="525">
        <v>-95805</v>
      </c>
      <c r="V9" s="487">
        <v>-67982</v>
      </c>
      <c r="W9" s="487">
        <v>-67058</v>
      </c>
      <c r="X9" s="487">
        <v>-67762.035959999994</v>
      </c>
      <c r="Y9" s="487">
        <v>-66690.16750000001</v>
      </c>
      <c r="Z9" s="487">
        <v>-48151.203300000008</v>
      </c>
      <c r="AA9" s="487">
        <v>-54394.151560000006</v>
      </c>
      <c r="AB9" s="487">
        <v>-54752.565559999995</v>
      </c>
      <c r="AC9" s="487">
        <v>-59039.896559999994</v>
      </c>
      <c r="AD9" s="487">
        <v>-49624.916320000004</v>
      </c>
      <c r="AE9" s="490">
        <v>-51660.569389999997</v>
      </c>
      <c r="AF9" s="487">
        <v>-69751.736579999997</v>
      </c>
      <c r="AG9" s="487">
        <v>-75177.268309999999</v>
      </c>
      <c r="AH9" s="487">
        <v>-60777.078840000002</v>
      </c>
      <c r="AI9" s="487">
        <v>-67123.213439999992</v>
      </c>
      <c r="AJ9" s="490">
        <v>-84639.923620000001</v>
      </c>
      <c r="AK9" s="490">
        <v>-72400.729330000002</v>
      </c>
      <c r="AL9" s="488">
        <v>-70601.664730000004</v>
      </c>
      <c r="AM9" s="487">
        <v>-74742.844069999992</v>
      </c>
      <c r="AN9" s="487">
        <v>-75126.040760000004</v>
      </c>
      <c r="AO9" s="487">
        <v>-85518.781180000005</v>
      </c>
      <c r="AP9" s="487">
        <v>-65706.918319999997</v>
      </c>
      <c r="AQ9" s="487">
        <v>-30124.582640000004</v>
      </c>
      <c r="AR9" s="487">
        <v>-69134.587800000008</v>
      </c>
      <c r="AS9" s="487">
        <v>-73762.623570000011</v>
      </c>
      <c r="AT9" s="487">
        <v>-56852.589730000007</v>
      </c>
      <c r="AU9" s="487">
        <v>-57645.011709999992</v>
      </c>
      <c r="AV9" s="487">
        <v>-57843.520080000009</v>
      </c>
      <c r="AW9" s="487">
        <v>-74556.185990000027</v>
      </c>
      <c r="AX9" s="487">
        <v>-57272.68054999999</v>
      </c>
      <c r="AY9" s="487">
        <v>-71296.049839999992</v>
      </c>
      <c r="AZ9" s="487">
        <v>-95901.644959999947</v>
      </c>
      <c r="BA9" s="487">
        <v>-96900.989789999963</v>
      </c>
      <c r="BB9" s="487">
        <v>-81188.375400000019</v>
      </c>
      <c r="BC9" s="490">
        <v>-90492.716629999981</v>
      </c>
      <c r="BD9" s="487">
        <v>-104121.76996999996</v>
      </c>
      <c r="BE9" s="490">
        <v>-112168.91354999994</v>
      </c>
      <c r="BF9" s="490">
        <v>-94064.972370000032</v>
      </c>
      <c r="BG9" s="487">
        <v>-112045.88618999999</v>
      </c>
      <c r="BH9" s="487">
        <v>-143004.25520999997</v>
      </c>
      <c r="BI9" s="487">
        <v>-145981.20510000002</v>
      </c>
      <c r="BJ9" s="487">
        <v>-104792.60045000003</v>
      </c>
      <c r="BK9" s="118">
        <v>-135146.78451999999</v>
      </c>
      <c r="BL9" s="118">
        <v>-152208.45935999998</v>
      </c>
      <c r="BM9" s="118">
        <v>-154444.44125000003</v>
      </c>
      <c r="BN9" s="118">
        <v>-128756.31159</v>
      </c>
      <c r="BO9" s="118">
        <f>([4]Base_DRE!$X$6-[4]Base_DRE!$X$5)</f>
        <v>-184623.29668000003</v>
      </c>
    </row>
    <row r="10" spans="1:67" ht="13.5" customHeight="1" x14ac:dyDescent="0.2">
      <c r="A10" s="516" t="s">
        <v>56</v>
      </c>
      <c r="B10" s="516" t="s">
        <v>695</v>
      </c>
      <c r="C10" s="636"/>
      <c r="D10" s="523" t="str">
        <f>IF([1]RENAME!$H$3=1,B10,A10)</f>
        <v>Receita líquida</v>
      </c>
      <c r="E10" s="524">
        <f>+SUM(E9,E6)</f>
        <v>744941</v>
      </c>
      <c r="F10" s="524">
        <f>+SUM(F9,F6)</f>
        <v>978947</v>
      </c>
      <c r="G10" s="524">
        <f>+SUM(G9,G6)</f>
        <v>1134296</v>
      </c>
      <c r="H10" s="524">
        <f>+SUM(H9,H6)</f>
        <v>1167172</v>
      </c>
      <c r="I10" s="524">
        <f>+SUM(I9,I6)</f>
        <v>1509363</v>
      </c>
      <c r="J10" s="524">
        <v>342068</v>
      </c>
      <c r="K10" s="524">
        <v>386514</v>
      </c>
      <c r="L10" s="524">
        <v>451799</v>
      </c>
      <c r="M10" s="524">
        <v>453648</v>
      </c>
      <c r="N10" s="524">
        <v>378844</v>
      </c>
      <c r="O10" s="524">
        <v>461052</v>
      </c>
      <c r="P10" s="524">
        <v>467249</v>
      </c>
      <c r="Q10" s="524">
        <v>465347</v>
      </c>
      <c r="R10" s="524">
        <v>378482</v>
      </c>
      <c r="S10" s="524">
        <v>405527</v>
      </c>
      <c r="T10" s="524">
        <v>388078</v>
      </c>
      <c r="U10" s="524">
        <v>397042</v>
      </c>
      <c r="V10" s="524">
        <f>+SUM(V9,V6)</f>
        <v>284899</v>
      </c>
      <c r="W10" s="524">
        <f t="shared" ref="W10:AF10" si="15">+SUM(W9,W6)</f>
        <v>275106</v>
      </c>
      <c r="X10" s="524">
        <f t="shared" si="15"/>
        <v>275385.95603999996</v>
      </c>
      <c r="Y10" s="524">
        <f t="shared" si="15"/>
        <v>287173.30657999997</v>
      </c>
      <c r="Z10" s="524">
        <f t="shared" si="15"/>
        <v>202893.83014000003</v>
      </c>
      <c r="AA10" s="524">
        <f t="shared" si="15"/>
        <v>228657.60530000002</v>
      </c>
      <c r="AB10" s="524">
        <f t="shared" si="15"/>
        <v>237818.01644000001</v>
      </c>
      <c r="AC10" s="524">
        <f t="shared" si="15"/>
        <v>254521.74737000003</v>
      </c>
      <c r="AD10" s="524">
        <f t="shared" si="15"/>
        <v>213514.57686999999</v>
      </c>
      <c r="AE10" s="524">
        <f t="shared" si="15"/>
        <v>265106.40235999995</v>
      </c>
      <c r="AF10" s="524">
        <f t="shared" si="15"/>
        <v>285878.85383000004</v>
      </c>
      <c r="AG10" s="524">
        <f t="shared" ref="AG10:AO10" si="16">+SUM(AG9,AG6)</f>
        <v>319475.60617999994</v>
      </c>
      <c r="AH10" s="524">
        <f t="shared" si="16"/>
        <v>262072.36444</v>
      </c>
      <c r="AI10" s="524">
        <f t="shared" si="16"/>
        <v>293275.32349999994</v>
      </c>
      <c r="AJ10" s="524">
        <f>+SUM(AJ9,AJ6)</f>
        <v>331205.66719999997</v>
      </c>
      <c r="AK10" s="524">
        <f t="shared" si="16"/>
        <v>367225.46893000003</v>
      </c>
      <c r="AL10" s="751">
        <f t="shared" si="16"/>
        <v>296680.79155999998</v>
      </c>
      <c r="AM10" s="524">
        <f t="shared" si="16"/>
        <v>331588.01169000007</v>
      </c>
      <c r="AN10" s="524">
        <f t="shared" si="16"/>
        <v>340723.14690000005</v>
      </c>
      <c r="AO10" s="524">
        <f t="shared" si="16"/>
        <v>378328.51956000004</v>
      </c>
      <c r="AP10" s="524">
        <f t="shared" ref="AP10:AY10" si="17">+SUM(AP9,AP6)</f>
        <v>279746.42341999995</v>
      </c>
      <c r="AQ10" s="524">
        <f t="shared" si="17"/>
        <v>130140.54243999999</v>
      </c>
      <c r="AR10" s="524">
        <f t="shared" si="17"/>
        <v>289181.48297999997</v>
      </c>
      <c r="AS10" s="524">
        <f t="shared" si="17"/>
        <v>312966.52976999996</v>
      </c>
      <c r="AT10" s="524">
        <f t="shared" si="17"/>
        <v>233912.14429999999</v>
      </c>
      <c r="AU10" s="524">
        <f t="shared" si="17"/>
        <v>237066.25822999998</v>
      </c>
      <c r="AV10" s="524">
        <f t="shared" si="17"/>
        <v>231438.51476000002</v>
      </c>
      <c r="AW10" s="524">
        <f t="shared" si="17"/>
        <v>304926.0916199999</v>
      </c>
      <c r="AX10" s="524">
        <f t="shared" si="17"/>
        <v>241066.10910999996</v>
      </c>
      <c r="AY10" s="524">
        <f t="shared" si="17"/>
        <v>304535.17456000001</v>
      </c>
      <c r="AZ10" s="524">
        <f t="shared" ref="AZ10:BK10" si="18">+SUM(AZ9,AZ6)</f>
        <v>415508.69108000008</v>
      </c>
      <c r="BA10" s="524">
        <f t="shared" si="18"/>
        <v>409399.47148000001</v>
      </c>
      <c r="BB10" s="524">
        <f t="shared" si="18"/>
        <v>336037.9491699998</v>
      </c>
      <c r="BC10" s="524">
        <f t="shared" si="18"/>
        <v>366650.73004000011</v>
      </c>
      <c r="BD10" s="524">
        <f t="shared" si="18"/>
        <v>426977.59149000008</v>
      </c>
      <c r="BE10" s="524">
        <f t="shared" si="18"/>
        <v>453801.27373000013</v>
      </c>
      <c r="BF10" s="524">
        <f t="shared" si="18"/>
        <v>389170.79279999988</v>
      </c>
      <c r="BG10" s="524">
        <f t="shared" si="18"/>
        <v>472842.18974000006</v>
      </c>
      <c r="BH10" s="524">
        <f t="shared" si="18"/>
        <v>603754.26091000007</v>
      </c>
      <c r="BI10" s="524">
        <f t="shared" si="18"/>
        <v>624360.17367999989</v>
      </c>
      <c r="BJ10" s="524">
        <f t="shared" si="18"/>
        <v>440357.2866799999</v>
      </c>
      <c r="BK10" s="524">
        <f t="shared" si="18"/>
        <v>540539.56037999992</v>
      </c>
      <c r="BL10" s="524">
        <f>+SUM(BL9,BL6)</f>
        <v>634223.01933000004</v>
      </c>
      <c r="BM10" s="524">
        <f>+SUM(BM9,BM6)</f>
        <v>610308.31069999991</v>
      </c>
      <c r="BN10" s="524">
        <f>+SUM(BN9,BN6)</f>
        <v>521278.67233000003</v>
      </c>
      <c r="BO10" s="524">
        <f>+SUM(BO9,BO6)</f>
        <v>740116.58236999996</v>
      </c>
    </row>
    <row r="11" spans="1:67" ht="13.5" customHeight="1" x14ac:dyDescent="0.2">
      <c r="A11" s="516" t="s">
        <v>242</v>
      </c>
      <c r="B11" s="516" t="s">
        <v>696</v>
      </c>
      <c r="C11" s="636" t="str">
        <f>IF([1]RENAME!$H$3=1,B11,A11)</f>
        <v>Custo dos serviços prestados</v>
      </c>
      <c r="D11" s="991" t="str">
        <f>HYPERLINK(Menu!$AY$38,C11)</f>
        <v>Custo dos serviços prestados</v>
      </c>
      <c r="E11" s="487">
        <f>SUM(E12:E15)</f>
        <v>-623456</v>
      </c>
      <c r="F11" s="487">
        <f>SUM(F12:F15)</f>
        <v>-853850</v>
      </c>
      <c r="G11" s="487">
        <f>SUM(G12:G15)</f>
        <v>-973343</v>
      </c>
      <c r="H11" s="487">
        <f>SUM(H12:H15)</f>
        <v>-957287</v>
      </c>
      <c r="I11" s="487">
        <f>SUM(I12:I15)</f>
        <v>-1249718</v>
      </c>
      <c r="J11" s="525">
        <v>-284294</v>
      </c>
      <c r="K11" s="525">
        <v>-325780</v>
      </c>
      <c r="L11" s="525">
        <v>-384437</v>
      </c>
      <c r="M11" s="525">
        <v>-400493</v>
      </c>
      <c r="N11" s="525">
        <v>-343442</v>
      </c>
      <c r="O11" s="525">
        <v>-396401</v>
      </c>
      <c r="P11" s="525">
        <v>-411773</v>
      </c>
      <c r="Q11" s="525">
        <v>-400422</v>
      </c>
      <c r="R11" s="525">
        <v>-339378</v>
      </c>
      <c r="S11" s="525">
        <v>-351415</v>
      </c>
      <c r="T11" s="525">
        <v>-313019</v>
      </c>
      <c r="U11" s="525">
        <v>-321521</v>
      </c>
      <c r="V11" s="487">
        <v>-247035.00000000003</v>
      </c>
      <c r="W11" s="487">
        <v>-247029.00000000003</v>
      </c>
      <c r="X11" s="487">
        <v>-236878.60298999998</v>
      </c>
      <c r="Y11" s="487">
        <f t="shared" ref="Y11:AE11" si="19">+SUM(Y12:Y15)</f>
        <v>-243492.94226000001</v>
      </c>
      <c r="Z11" s="487">
        <f t="shared" si="19"/>
        <v>-178905.39563000001</v>
      </c>
      <c r="AA11" s="487">
        <f t="shared" si="19"/>
        <v>-197418.37862</v>
      </c>
      <c r="AB11" s="487">
        <f>+SUM(AB12:AB15)</f>
        <v>-198283.67272000003</v>
      </c>
      <c r="AC11" s="490">
        <f t="shared" si="19"/>
        <v>-206688.96572000001</v>
      </c>
      <c r="AD11" s="487">
        <f t="shared" si="19"/>
        <v>-180714.9791</v>
      </c>
      <c r="AE11" s="487">
        <f t="shared" si="19"/>
        <v>-211911.74471999999</v>
      </c>
      <c r="AF11" s="487">
        <f t="shared" ref="AF11:AM11" si="20">+SUM(AF12:AF15)</f>
        <v>-232694.54853</v>
      </c>
      <c r="AG11" s="490">
        <f t="shared" si="20"/>
        <v>-224722.46987</v>
      </c>
      <c r="AH11" s="487">
        <f>+SUM(AH12:AH15)</f>
        <v>-213228.31930999999</v>
      </c>
      <c r="AI11" s="487">
        <f t="shared" si="20"/>
        <v>-238039.59187999999</v>
      </c>
      <c r="AJ11" s="487">
        <f t="shared" si="20"/>
        <v>-264362.28104000003</v>
      </c>
      <c r="AK11" s="487">
        <f t="shared" si="20"/>
        <v>-280172.36882999999</v>
      </c>
      <c r="AL11" s="488">
        <f t="shared" si="20"/>
        <v>-234140.82363</v>
      </c>
      <c r="AM11" s="487">
        <f t="shared" si="20"/>
        <v>-262264.80955000001</v>
      </c>
      <c r="AN11" s="487">
        <f t="shared" ref="AN11:AX11" si="21">+SUM(AN12:AN15)</f>
        <v>-271445.67736999993</v>
      </c>
      <c r="AO11" s="487">
        <f t="shared" si="21"/>
        <v>-292621.11552000005</v>
      </c>
      <c r="AP11" s="487">
        <f t="shared" si="21"/>
        <v>-220891.82191999999</v>
      </c>
      <c r="AQ11" s="487">
        <f t="shared" si="21"/>
        <v>-118660.94420999999</v>
      </c>
      <c r="AR11" s="487">
        <f t="shared" si="21"/>
        <v>-224485.70899000001</v>
      </c>
      <c r="AS11" s="487">
        <f t="shared" si="21"/>
        <v>-247859.12856999994</v>
      </c>
      <c r="AT11" s="487">
        <f t="shared" si="21"/>
        <v>-191340.41950000005</v>
      </c>
      <c r="AU11" s="487">
        <f t="shared" si="21"/>
        <v>-192684.99836</v>
      </c>
      <c r="AV11" s="487">
        <f t="shared" si="21"/>
        <v>-189555.95867000002</v>
      </c>
      <c r="AW11" s="487">
        <f t="shared" si="21"/>
        <v>-245817.87784999996</v>
      </c>
      <c r="AX11" s="487">
        <f t="shared" si="21"/>
        <v>-201997.4</v>
      </c>
      <c r="AY11" s="487">
        <v>-247120.71317000006</v>
      </c>
      <c r="AZ11" s="487">
        <f>+SUM(AZ12:AZ15)</f>
        <v>-319903.41505000007</v>
      </c>
      <c r="BA11" s="487">
        <f>+SUM(BA12:BA15)</f>
        <v>-326804.36535000004</v>
      </c>
      <c r="BB11" s="487">
        <f>+SUM(BB12:BB15)</f>
        <v>-276115.87622999999</v>
      </c>
      <c r="BC11" s="487">
        <f>+SUM(BC12:BC15)</f>
        <v>-297703.84976999991</v>
      </c>
      <c r="BD11" s="487">
        <v>-335588.38546999998</v>
      </c>
      <c r="BE11" s="487">
        <f t="shared" ref="BE11:BM11" si="22">+SUM(BE12:BE15)</f>
        <v>-362293.63800999994</v>
      </c>
      <c r="BF11" s="487">
        <f t="shared" si="22"/>
        <v>-315601.6468300001</v>
      </c>
      <c r="BG11" s="487">
        <f t="shared" si="22"/>
        <v>-376757.38668</v>
      </c>
      <c r="BH11" s="487">
        <f t="shared" si="22"/>
        <v>-464225.44626999996</v>
      </c>
      <c r="BI11" s="487">
        <f t="shared" si="22"/>
        <v>-482497.53223000001</v>
      </c>
      <c r="BJ11" s="487">
        <f t="shared" si="22"/>
        <v>-356018.85042000003</v>
      </c>
      <c r="BK11" s="487">
        <f t="shared" si="22"/>
        <v>-429189.3385500001</v>
      </c>
      <c r="BL11" s="487">
        <f t="shared" si="22"/>
        <v>-502428.92554999999</v>
      </c>
      <c r="BM11" s="487">
        <f t="shared" si="22"/>
        <v>-508614.57857000013</v>
      </c>
      <c r="BN11" s="487">
        <f>+SUM(BN12:BN15)</f>
        <v>-437355.65777999995</v>
      </c>
      <c r="BO11" s="487">
        <f>+SUM(BO12:BO15)</f>
        <v>-587535.3522000002</v>
      </c>
    </row>
    <row r="12" spans="1:67" ht="13.5" customHeight="1" outlineLevel="1" x14ac:dyDescent="0.2">
      <c r="A12" s="516" t="s">
        <v>48</v>
      </c>
      <c r="B12" s="516" t="s">
        <v>697</v>
      </c>
      <c r="C12" s="636"/>
      <c r="D12" s="526" t="str">
        <f>IF([1]RENAME!$H$3=1,B12,A12)</f>
        <v>Com pessoal</v>
      </c>
      <c r="E12" s="487">
        <v>-73586</v>
      </c>
      <c r="F12" s="487">
        <v>-113512</v>
      </c>
      <c r="G12" s="487">
        <v>-116818</v>
      </c>
      <c r="H12" s="487">
        <v>-124097</v>
      </c>
      <c r="I12" s="487">
        <v>-191999</v>
      </c>
      <c r="J12" s="487">
        <v>-50504</v>
      </c>
      <c r="K12" s="487">
        <v>-58915</v>
      </c>
      <c r="L12" s="487">
        <v>-59533</v>
      </c>
      <c r="M12" s="487">
        <v>-60733</v>
      </c>
      <c r="N12" s="487">
        <v>-54782</v>
      </c>
      <c r="O12" s="487">
        <v>-58984</v>
      </c>
      <c r="P12" s="487">
        <v>-75103</v>
      </c>
      <c r="Q12" s="487">
        <v>-53013</v>
      </c>
      <c r="R12" s="487">
        <v>-44180</v>
      </c>
      <c r="S12" s="487">
        <v>-50019</v>
      </c>
      <c r="T12" s="487">
        <v>-42291</v>
      </c>
      <c r="U12" s="487">
        <v>-34535</v>
      </c>
      <c r="V12" s="487">
        <v>-30126</v>
      </c>
      <c r="W12" s="487">
        <v>-31462</v>
      </c>
      <c r="X12" s="487">
        <v>-30415.602929999997</v>
      </c>
      <c r="Y12" s="487">
        <v>-29278.403539999999</v>
      </c>
      <c r="Z12" s="487">
        <v>-27045</v>
      </c>
      <c r="AA12" s="487">
        <v>-27510.90511</v>
      </c>
      <c r="AB12" s="487">
        <v>-26640.882160000001</v>
      </c>
      <c r="AC12" s="490">
        <v>-24200.35223</v>
      </c>
      <c r="AD12" s="487">
        <v>-25332.397140000001</v>
      </c>
      <c r="AE12" s="487">
        <v>-28152.51153</v>
      </c>
      <c r="AF12" s="487">
        <v>-28100.153870000002</v>
      </c>
      <c r="AG12" s="487">
        <v>-29254.050369999997</v>
      </c>
      <c r="AH12" s="649">
        <v>-26709.697579999996</v>
      </c>
      <c r="AI12" s="649">
        <v>-28750.822249999997</v>
      </c>
      <c r="AJ12" s="649">
        <v>-29253.035080000001</v>
      </c>
      <c r="AK12" s="649">
        <v>-31391.000749999999</v>
      </c>
      <c r="AL12" s="753">
        <v>-28159.214309999999</v>
      </c>
      <c r="AM12" s="649">
        <v>-32977.39589</v>
      </c>
      <c r="AN12" s="649">
        <v>-32062.927030000003</v>
      </c>
      <c r="AO12" s="649">
        <v>-34105.228929999997</v>
      </c>
      <c r="AP12" s="649">
        <v>-30172.747609999999</v>
      </c>
      <c r="AQ12" s="649">
        <v>-25554.856690000001</v>
      </c>
      <c r="AR12" s="649">
        <v>-24833.953700000005</v>
      </c>
      <c r="AS12" s="649">
        <v>-25343.942609999998</v>
      </c>
      <c r="AT12" s="649">
        <v>-23791.35844</v>
      </c>
      <c r="AU12" s="649">
        <v>-24314.450710000001</v>
      </c>
      <c r="AV12" s="649">
        <v>-22503.438300000002</v>
      </c>
      <c r="AW12" s="649">
        <v>-27151.511640000001</v>
      </c>
      <c r="AX12" s="649">
        <v>-25291.377799999998</v>
      </c>
      <c r="AY12" s="649">
        <v>-28655.762189999998</v>
      </c>
      <c r="AZ12" s="649">
        <v>-29478.236100000006</v>
      </c>
      <c r="BA12" s="649">
        <v>-32609.726740000006</v>
      </c>
      <c r="BB12" s="649">
        <v>-29583.930219999995</v>
      </c>
      <c r="BC12" s="649">
        <v>-32869.703969999995</v>
      </c>
      <c r="BD12" s="649">
        <v>-34311.26442</v>
      </c>
      <c r="BE12" s="649">
        <v>-37388.499660000001</v>
      </c>
      <c r="BF12" s="649">
        <v>-34596.562979999995</v>
      </c>
      <c r="BG12" s="649">
        <v>-37569.685750000004</v>
      </c>
      <c r="BH12" s="649">
        <v>-43360.949100000013</v>
      </c>
      <c r="BI12" s="649">
        <v>-45809.890619999998</v>
      </c>
      <c r="BJ12" s="649">
        <v>-42858.327780000007</v>
      </c>
      <c r="BK12" s="649">
        <v>-48948.639220000012</v>
      </c>
      <c r="BL12" s="649">
        <v>-51367.416250000009</v>
      </c>
      <c r="BM12" s="649">
        <v>-55881.774020000012</v>
      </c>
      <c r="BN12" s="649">
        <v>-48899.43043</v>
      </c>
      <c r="BO12" s="649">
        <f>([4]Base_DRE!$X$7)</f>
        <v>-57592.008589999998</v>
      </c>
    </row>
    <row r="13" spans="1:67" ht="13.5" customHeight="1" outlineLevel="1" x14ac:dyDescent="0.2">
      <c r="A13" s="516" t="s">
        <v>1592</v>
      </c>
      <c r="B13" s="516" t="s">
        <v>698</v>
      </c>
      <c r="C13" s="636"/>
      <c r="D13" s="526" t="str">
        <f>IF([1]RENAME!$H$3=1,B13,A13)</f>
        <v>Com fretes</v>
      </c>
      <c r="E13" s="487">
        <v>-425205</v>
      </c>
      <c r="F13" s="487">
        <v>-558475</v>
      </c>
      <c r="G13" s="487">
        <v>-659226</v>
      </c>
      <c r="H13" s="487">
        <v>-743020</v>
      </c>
      <c r="I13" s="487">
        <v>-944089</v>
      </c>
      <c r="J13" s="487">
        <v>-195094</v>
      </c>
      <c r="K13" s="487">
        <v>-226288</v>
      </c>
      <c r="L13" s="487">
        <v>-282286</v>
      </c>
      <c r="M13" s="487">
        <v>-286962</v>
      </c>
      <c r="N13" s="487">
        <v>-237488</v>
      </c>
      <c r="O13" s="487">
        <v>-291999</v>
      </c>
      <c r="P13" s="487">
        <v>-292155</v>
      </c>
      <c r="Q13" s="487">
        <v>-297072</v>
      </c>
      <c r="R13" s="487">
        <v>-244263</v>
      </c>
      <c r="S13" s="487">
        <v>-260823</v>
      </c>
      <c r="T13" s="487">
        <v>-251395</v>
      </c>
      <c r="U13" s="487">
        <v>-265286</v>
      </c>
      <c r="V13" s="487">
        <v>-188963</v>
      </c>
      <c r="W13" s="487">
        <v>-179035</v>
      </c>
      <c r="X13" s="487">
        <v>-176202.69563</v>
      </c>
      <c r="Y13" s="487">
        <v>-181951.65448</v>
      </c>
      <c r="Z13" s="487">
        <v>-123965.59921</v>
      </c>
      <c r="AA13" s="487">
        <v>-143614.484</v>
      </c>
      <c r="AB13" s="487">
        <v>-148287.40933000002</v>
      </c>
      <c r="AC13" s="487">
        <v>-158008.18849</v>
      </c>
      <c r="AD13" s="487">
        <v>-130644.52497</v>
      </c>
      <c r="AE13" s="487">
        <v>-160730.03547</v>
      </c>
      <c r="AF13" s="487">
        <v>-181937.42799999999</v>
      </c>
      <c r="AG13" s="487">
        <v>-200729.15807999999</v>
      </c>
      <c r="AH13" s="649">
        <v>-165476.19539000001</v>
      </c>
      <c r="AI13" s="649">
        <v>-188242.09412000002</v>
      </c>
      <c r="AJ13" s="649">
        <v>-218673.27177000002</v>
      </c>
      <c r="AK13" s="649">
        <v>-230673.85034999999</v>
      </c>
      <c r="AL13" s="753">
        <v>-186759.01255000001</v>
      </c>
      <c r="AM13" s="649">
        <v>-211124.44077999998</v>
      </c>
      <c r="AN13" s="649">
        <v>-213640.75033999997</v>
      </c>
      <c r="AO13" s="649">
        <v>-240466.60517000002</v>
      </c>
      <c r="AP13" s="649">
        <v>-174725.55974</v>
      </c>
      <c r="AQ13" s="649">
        <v>-71319.314889999994</v>
      </c>
      <c r="AR13" s="649">
        <v>-186851.12969</v>
      </c>
      <c r="AS13" s="649">
        <v>-207649.31079999998</v>
      </c>
      <c r="AT13" s="649">
        <v>-153174.51411000002</v>
      </c>
      <c r="AU13" s="649">
        <v>-153626.14840000001</v>
      </c>
      <c r="AV13" s="649">
        <v>-149147.37083000003</v>
      </c>
      <c r="AW13" s="649">
        <v>-201799.07110999996</v>
      </c>
      <c r="AX13" s="649">
        <v>-155796.98894000001</v>
      </c>
      <c r="AY13" s="649">
        <v>-198293.92922000005</v>
      </c>
      <c r="AZ13" s="649">
        <v>-277941.54501000006</v>
      </c>
      <c r="BA13" s="649">
        <v>-275590.46846</v>
      </c>
      <c r="BB13" s="649">
        <v>-222953.00284999999</v>
      </c>
      <c r="BC13" s="649">
        <v>-245740.91349999997</v>
      </c>
      <c r="BD13" s="649">
        <v>-286980.28524999996</v>
      </c>
      <c r="BE13" s="649">
        <v>-309845.51879999996</v>
      </c>
      <c r="BF13" s="649">
        <v>-262320.49262000009</v>
      </c>
      <c r="BG13" s="649">
        <v>-318742.87725000002</v>
      </c>
      <c r="BH13" s="649">
        <v>-398356.78345999995</v>
      </c>
      <c r="BI13" s="649">
        <v>-415149.18809000007</v>
      </c>
      <c r="BJ13" s="649">
        <v>-289083.35814000003</v>
      </c>
      <c r="BK13" s="649">
        <v>-357794.75947000005</v>
      </c>
      <c r="BL13" s="649">
        <v>-429015.29191999999</v>
      </c>
      <c r="BM13" s="649">
        <v>-428323.75004000007</v>
      </c>
      <c r="BN13" s="649">
        <v>-365482.29929</v>
      </c>
      <c r="BO13" s="649">
        <f>([4]Base_DRE!$X$8)</f>
        <v>-513005.00679000007</v>
      </c>
    </row>
    <row r="14" spans="1:67" ht="13.5" customHeight="1" outlineLevel="1" x14ac:dyDescent="0.2">
      <c r="A14" s="516" t="s">
        <v>49</v>
      </c>
      <c r="B14" s="516" t="s">
        <v>699</v>
      </c>
      <c r="C14" s="636"/>
      <c r="D14" s="526" t="str">
        <f>IF([1]RENAME!$H$3=1,B14,A14)</f>
        <v>Outros</v>
      </c>
      <c r="E14" s="487">
        <v>-124665</v>
      </c>
      <c r="F14" s="487">
        <v>-181863</v>
      </c>
      <c r="G14" s="487">
        <v>-197299</v>
      </c>
      <c r="H14" s="487">
        <v>-90170</v>
      </c>
      <c r="I14" s="487">
        <v>-113630</v>
      </c>
      <c r="J14" s="487">
        <v>-38696</v>
      </c>
      <c r="K14" s="487">
        <v>-40577</v>
      </c>
      <c r="L14" s="487">
        <v>-42618</v>
      </c>
      <c r="M14" s="487">
        <v>-52798</v>
      </c>
      <c r="N14" s="487">
        <v>-51172</v>
      </c>
      <c r="O14" s="487">
        <v>-45418</v>
      </c>
      <c r="P14" s="487">
        <v>-44515</v>
      </c>
      <c r="Q14" s="487">
        <v>-50337</v>
      </c>
      <c r="R14" s="487">
        <v>-50935</v>
      </c>
      <c r="S14" s="487">
        <v>-40573</v>
      </c>
      <c r="T14" s="487">
        <v>-19333</v>
      </c>
      <c r="U14" s="487">
        <v>-21700</v>
      </c>
      <c r="V14" s="487">
        <v>-49081.909540000001</v>
      </c>
      <c r="W14" s="490">
        <v>-55743.666649999999</v>
      </c>
      <c r="X14" s="487">
        <v>-48790.067859999996</v>
      </c>
      <c r="Y14" s="490">
        <f>-54805.33866-113</f>
        <v>-54918.338660000001</v>
      </c>
      <c r="Z14" s="487">
        <v>-41593.595139999998</v>
      </c>
      <c r="AA14" s="487">
        <v>-41386.996889999995</v>
      </c>
      <c r="AB14" s="487">
        <v>-39161.032990000007</v>
      </c>
      <c r="AC14" s="487">
        <v>-39908.47552</v>
      </c>
      <c r="AD14" s="487">
        <v>-38576.118199999997</v>
      </c>
      <c r="AE14" s="487">
        <v>-39679.981599999999</v>
      </c>
      <c r="AF14" s="487">
        <v>-40980.170559999999</v>
      </c>
      <c r="AG14" s="487">
        <v>-44435.658860000003</v>
      </c>
      <c r="AH14" s="649">
        <v>-39041.823279999997</v>
      </c>
      <c r="AI14" s="649">
        <v>-41571.193379999997</v>
      </c>
      <c r="AJ14" s="649">
        <v>-39675.05906</v>
      </c>
      <c r="AK14" s="649">
        <v>-42372.672919999997</v>
      </c>
      <c r="AL14" s="753">
        <v>-39500.30816</v>
      </c>
      <c r="AM14" s="649">
        <v>-41026.242910000001</v>
      </c>
      <c r="AN14" s="490">
        <v>-46620</v>
      </c>
      <c r="AO14" s="487">
        <v>-42858.712419999996</v>
      </c>
      <c r="AP14" s="487">
        <v>-34540.348570000002</v>
      </c>
      <c r="AQ14" s="487">
        <v>-29530.36463</v>
      </c>
      <c r="AR14" s="487">
        <v>-32057.278600000001</v>
      </c>
      <c r="AS14" s="490">
        <v>-35847.613160000001</v>
      </c>
      <c r="AT14" s="649">
        <v>-30595.164949999998</v>
      </c>
      <c r="AU14" s="649">
        <v>-32427.974249999999</v>
      </c>
      <c r="AV14" s="649">
        <v>-35588.72454000001</v>
      </c>
      <c r="AW14" s="649">
        <v>-37656.524219999999</v>
      </c>
      <c r="AX14" s="649">
        <v>-37650.457930000004</v>
      </c>
      <c r="AY14" s="649">
        <v>-40550.782790000005</v>
      </c>
      <c r="AZ14" s="649">
        <v>-40973.168869999994</v>
      </c>
      <c r="BA14" s="649">
        <v>-46984.660920000009</v>
      </c>
      <c r="BB14" s="649">
        <v>-46625.644209999999</v>
      </c>
      <c r="BC14" s="649">
        <v>-43591.954849999995</v>
      </c>
      <c r="BD14" s="649">
        <v>-42308.77751</v>
      </c>
      <c r="BE14" s="649">
        <v>-46048.720580000001</v>
      </c>
      <c r="BF14" s="649">
        <v>-44584.854600000006</v>
      </c>
      <c r="BG14" s="649">
        <v>-51069.605229999994</v>
      </c>
      <c r="BH14" s="649">
        <v>-62006.626470000003</v>
      </c>
      <c r="BI14" s="649">
        <v>-60323.889880000002</v>
      </c>
      <c r="BJ14" s="649">
        <v>-51998.904050000005</v>
      </c>
      <c r="BK14" s="649">
        <v>-57416.130240000006</v>
      </c>
      <c r="BL14" s="649">
        <v>-61840.95403999999</v>
      </c>
      <c r="BM14" s="649">
        <v>-64767.640399999997</v>
      </c>
      <c r="BN14" s="649">
        <v>-57308.707150000002</v>
      </c>
      <c r="BO14" s="649">
        <f>(+SUM([4]Base_DRE!$X$9:$X$13,[4]Base_DRE!$X$32)-BO15)</f>
        <v>-65379.684829999998</v>
      </c>
    </row>
    <row r="15" spans="1:67" ht="13.5" customHeight="1" outlineLevel="1" x14ac:dyDescent="0.2">
      <c r="A15" s="516" t="s">
        <v>388</v>
      </c>
      <c r="B15" s="516" t="s">
        <v>700</v>
      </c>
      <c r="C15" s="636"/>
      <c r="D15" s="526" t="str">
        <f>IF([1]RENAME!$H$3=1,B15,A15)</f>
        <v>Crédito de PIS/COFINS</v>
      </c>
      <c r="E15" s="487" t="s">
        <v>160</v>
      </c>
      <c r="F15" s="487" t="s">
        <v>160</v>
      </c>
      <c r="G15" s="487" t="s">
        <v>160</v>
      </c>
      <c r="H15" s="487" t="s">
        <v>160</v>
      </c>
      <c r="I15" s="487" t="s">
        <v>160</v>
      </c>
      <c r="J15" s="487"/>
      <c r="K15" s="487"/>
      <c r="L15" s="487"/>
      <c r="M15" s="487"/>
      <c r="N15" s="487"/>
      <c r="O15" s="487"/>
      <c r="P15" s="487"/>
      <c r="Q15" s="487"/>
      <c r="R15" s="487"/>
      <c r="S15" s="487"/>
      <c r="T15" s="487"/>
      <c r="U15" s="487"/>
      <c r="V15" s="487">
        <v>21135.909540000001</v>
      </c>
      <c r="W15" s="487">
        <v>19211.666649999999</v>
      </c>
      <c r="X15" s="487">
        <v>18529.763429999999</v>
      </c>
      <c r="Y15" s="487">
        <v>22655.454419999998</v>
      </c>
      <c r="Z15" s="487">
        <v>13698.798720000001</v>
      </c>
      <c r="AA15" s="487">
        <v>15094.007379999999</v>
      </c>
      <c r="AB15" s="487">
        <v>15805.651760000002</v>
      </c>
      <c r="AC15" s="487">
        <v>15428.050519999999</v>
      </c>
      <c r="AD15" s="487">
        <v>13838.06121</v>
      </c>
      <c r="AE15" s="487">
        <v>16650.783880000003</v>
      </c>
      <c r="AF15" s="487">
        <v>18323.2039</v>
      </c>
      <c r="AG15" s="490">
        <v>49696.397440000001</v>
      </c>
      <c r="AH15" s="649">
        <v>17999.396940000002</v>
      </c>
      <c r="AI15" s="649">
        <v>20524.51787</v>
      </c>
      <c r="AJ15" s="649">
        <v>23239.084869999999</v>
      </c>
      <c r="AK15" s="649">
        <v>24265.155189999998</v>
      </c>
      <c r="AL15" s="753">
        <v>20277.71139</v>
      </c>
      <c r="AM15" s="649">
        <v>22863.270030000003</v>
      </c>
      <c r="AN15" s="783">
        <v>20878</v>
      </c>
      <c r="AO15" s="649">
        <v>24809.431</v>
      </c>
      <c r="AP15" s="649">
        <v>18546.834000000003</v>
      </c>
      <c r="AQ15" s="649">
        <v>7743.5920000000006</v>
      </c>
      <c r="AR15" s="649">
        <v>19256.652999999998</v>
      </c>
      <c r="AS15" s="649">
        <v>20981.738000000001</v>
      </c>
      <c r="AT15" s="649">
        <v>16220.617999999999</v>
      </c>
      <c r="AU15" s="649">
        <v>17683.575000000001</v>
      </c>
      <c r="AV15" s="649">
        <v>17683.575000000001</v>
      </c>
      <c r="AW15" s="649">
        <v>20789.22912</v>
      </c>
      <c r="AX15" s="649">
        <v>16741.424669999997</v>
      </c>
      <c r="AY15" s="649">
        <v>20379.761029999987</v>
      </c>
      <c r="AZ15" s="649">
        <v>28489.53492999998</v>
      </c>
      <c r="BA15" s="649">
        <v>28380.490769999975</v>
      </c>
      <c r="BB15" s="649">
        <v>23046.701049999992</v>
      </c>
      <c r="BC15" s="649">
        <v>24498.722549999999</v>
      </c>
      <c r="BD15" s="649">
        <v>28011.941709999996</v>
      </c>
      <c r="BE15" s="649">
        <v>30989.101029999998</v>
      </c>
      <c r="BF15" s="649">
        <v>25900.263369999997</v>
      </c>
      <c r="BG15" s="649">
        <v>30624.781550000003</v>
      </c>
      <c r="BH15" s="649">
        <v>39498.912760000028</v>
      </c>
      <c r="BI15" s="649">
        <v>38785.436360000029</v>
      </c>
      <c r="BJ15" s="649">
        <v>27921.739549999991</v>
      </c>
      <c r="BK15" s="649">
        <v>34970.190379999993</v>
      </c>
      <c r="BL15" s="649">
        <v>39794.736660000002</v>
      </c>
      <c r="BM15" s="649">
        <v>40358.585890000017</v>
      </c>
      <c r="BN15" s="649">
        <v>34334.779090000004</v>
      </c>
      <c r="BO15" s="649">
        <f>(SUM([4]Base_DRE!$X$23,[4]Base_DRE!$X$24))</f>
        <v>48441.348009999994</v>
      </c>
    </row>
    <row r="16" spans="1:67" ht="13.5" customHeight="1" x14ac:dyDescent="0.2">
      <c r="A16" s="516" t="s">
        <v>13</v>
      </c>
      <c r="B16" s="516" t="s">
        <v>701</v>
      </c>
      <c r="C16" s="636"/>
      <c r="D16" s="523" t="str">
        <f>IF([1]RENAME!$H$3=1,B16,A16)</f>
        <v>Lucro bruto</v>
      </c>
      <c r="E16" s="524">
        <f>E11+E10</f>
        <v>121485</v>
      </c>
      <c r="F16" s="524">
        <f>F11+F10</f>
        <v>125097</v>
      </c>
      <c r="G16" s="524">
        <f>G11+G10</f>
        <v>160953</v>
      </c>
      <c r="H16" s="524">
        <f>H11+H10</f>
        <v>209885</v>
      </c>
      <c r="I16" s="524">
        <f>I11+I10</f>
        <v>259645</v>
      </c>
      <c r="J16" s="524">
        <v>57774</v>
      </c>
      <c r="K16" s="524">
        <v>60734</v>
      </c>
      <c r="L16" s="524">
        <v>67362</v>
      </c>
      <c r="M16" s="524">
        <v>53155</v>
      </c>
      <c r="N16" s="524">
        <v>35402</v>
      </c>
      <c r="O16" s="524">
        <v>64651</v>
      </c>
      <c r="P16" s="524">
        <v>55476</v>
      </c>
      <c r="Q16" s="524">
        <v>64925</v>
      </c>
      <c r="R16" s="524">
        <v>39104</v>
      </c>
      <c r="S16" s="524">
        <v>54112</v>
      </c>
      <c r="T16" s="524">
        <v>75059</v>
      </c>
      <c r="U16" s="524">
        <v>75521</v>
      </c>
      <c r="V16" s="524">
        <v>37863.999999999971</v>
      </c>
      <c r="W16" s="524">
        <v>28076.999999999971</v>
      </c>
      <c r="X16" s="524">
        <v>38507.353049999947</v>
      </c>
      <c r="Y16" s="524">
        <f t="shared" ref="Y16:AE16" si="23">+SUM(Y10:Y11)</f>
        <v>43680.364319999964</v>
      </c>
      <c r="Z16" s="524">
        <f t="shared" si="23"/>
        <v>23988.434510000021</v>
      </c>
      <c r="AA16" s="524">
        <f t="shared" si="23"/>
        <v>31239.226680000022</v>
      </c>
      <c r="AB16" s="524">
        <f t="shared" si="23"/>
        <v>39534.343719999975</v>
      </c>
      <c r="AC16" s="524">
        <f t="shared" si="23"/>
        <v>47832.781650000019</v>
      </c>
      <c r="AD16" s="524">
        <f t="shared" si="23"/>
        <v>32799.597769999993</v>
      </c>
      <c r="AE16" s="524">
        <f t="shared" si="23"/>
        <v>53194.657639999961</v>
      </c>
      <c r="AF16" s="524">
        <f t="shared" ref="AF16:AO16" si="24">+SUM(AF10:AF11)</f>
        <v>53184.305300000036</v>
      </c>
      <c r="AG16" s="524">
        <f t="shared" si="24"/>
        <v>94753.136309999943</v>
      </c>
      <c r="AH16" s="524">
        <f t="shared" si="24"/>
        <v>48844.045130000013</v>
      </c>
      <c r="AI16" s="524">
        <f t="shared" si="24"/>
        <v>55235.731619999948</v>
      </c>
      <c r="AJ16" s="524">
        <f t="shared" si="24"/>
        <v>66843.386159999936</v>
      </c>
      <c r="AK16" s="524">
        <f t="shared" si="24"/>
        <v>87053.10010000004</v>
      </c>
      <c r="AL16" s="751">
        <f t="shared" si="24"/>
        <v>62539.967929999984</v>
      </c>
      <c r="AM16" s="524">
        <f t="shared" si="24"/>
        <v>69323.202140000067</v>
      </c>
      <c r="AN16" s="524">
        <f t="shared" si="24"/>
        <v>69277.469530000119</v>
      </c>
      <c r="AO16" s="524">
        <f t="shared" si="24"/>
        <v>85707.404039999994</v>
      </c>
      <c r="AP16" s="524">
        <f t="shared" ref="AP16:AY16" si="25">+SUM(AP10:AP11)</f>
        <v>58854.601499999961</v>
      </c>
      <c r="AQ16" s="524">
        <f t="shared" si="25"/>
        <v>11479.598230000003</v>
      </c>
      <c r="AR16" s="524">
        <f t="shared" si="25"/>
        <v>64695.773989999958</v>
      </c>
      <c r="AS16" s="524">
        <f t="shared" si="25"/>
        <v>65107.401200000022</v>
      </c>
      <c r="AT16" s="524">
        <f t="shared" si="25"/>
        <v>42571.724799999938</v>
      </c>
      <c r="AU16" s="524">
        <f t="shared" si="25"/>
        <v>44381.25986999998</v>
      </c>
      <c r="AV16" s="524">
        <f t="shared" si="25"/>
        <v>41882.556089999998</v>
      </c>
      <c r="AW16" s="524">
        <f t="shared" si="25"/>
        <v>59108.213769999944</v>
      </c>
      <c r="AX16" s="524">
        <f t="shared" si="25"/>
        <v>39068.709109999967</v>
      </c>
      <c r="AY16" s="524">
        <f t="shared" si="25"/>
        <v>57414.461389999953</v>
      </c>
      <c r="AZ16" s="524">
        <f t="shared" ref="AZ16:BK16" si="26">+SUM(AZ10:AZ11)</f>
        <v>95605.276030000008</v>
      </c>
      <c r="BA16" s="524">
        <f t="shared" si="26"/>
        <v>82595.106129999971</v>
      </c>
      <c r="BB16" s="524">
        <f t="shared" si="26"/>
        <v>59922.072939999809</v>
      </c>
      <c r="BC16" s="524">
        <f t="shared" si="26"/>
        <v>68946.880270000198</v>
      </c>
      <c r="BD16" s="524">
        <f t="shared" si="26"/>
        <v>91389.2060200001</v>
      </c>
      <c r="BE16" s="524">
        <f t="shared" si="26"/>
        <v>91507.635720000195</v>
      </c>
      <c r="BF16" s="524">
        <f t="shared" si="26"/>
        <v>73569.145969999779</v>
      </c>
      <c r="BG16" s="524">
        <f t="shared" si="26"/>
        <v>96084.803060000064</v>
      </c>
      <c r="BH16" s="524">
        <f t="shared" si="26"/>
        <v>139528.81464000011</v>
      </c>
      <c r="BI16" s="524">
        <f t="shared" si="26"/>
        <v>141862.64144999988</v>
      </c>
      <c r="BJ16" s="524">
        <f t="shared" si="26"/>
        <v>84338.436259999871</v>
      </c>
      <c r="BK16" s="524">
        <f t="shared" si="26"/>
        <v>111350.22182999982</v>
      </c>
      <c r="BL16" s="524">
        <f>+SUM(BL10:BL11)</f>
        <v>131794.09378000005</v>
      </c>
      <c r="BM16" s="524">
        <f>+SUM(BM10:BM11)</f>
        <v>101693.73212999979</v>
      </c>
      <c r="BN16" s="524">
        <f>+SUM(BN10:BN11)</f>
        <v>83923.01455000008</v>
      </c>
      <c r="BO16" s="524">
        <f>+SUM(BO10:BO11)</f>
        <v>152581.23016999976</v>
      </c>
    </row>
    <row r="17" spans="1:67" ht="13.5" customHeight="1" x14ac:dyDescent="0.2">
      <c r="A17" s="516" t="s">
        <v>243</v>
      </c>
      <c r="B17" s="516" t="s">
        <v>702</v>
      </c>
      <c r="C17" s="636" t="str">
        <f>IF([1]RENAME!$H$3=1,B17,A17)</f>
        <v>Despesas gerais e administrativas</v>
      </c>
      <c r="D17" s="991" t="str">
        <f>HYPERLINK(Menu!$AY$38,C17)</f>
        <v>Despesas gerais e administrativas</v>
      </c>
      <c r="E17" s="487">
        <v>-30735</v>
      </c>
      <c r="F17" s="487">
        <v>-34706</v>
      </c>
      <c r="G17" s="487">
        <v>-34799</v>
      </c>
      <c r="H17" s="487">
        <f>-41447-H18</f>
        <v>-50150</v>
      </c>
      <c r="I17" s="487">
        <f>-81393-I18</f>
        <v>-84942</v>
      </c>
      <c r="J17" s="525">
        <v>-27216</v>
      </c>
      <c r="K17" s="525">
        <v>-24635</v>
      </c>
      <c r="L17" s="525">
        <v>-18383</v>
      </c>
      <c r="M17" s="525">
        <v>-16411</v>
      </c>
      <c r="N17" s="525">
        <v>-24570</v>
      </c>
      <c r="O17" s="525">
        <v>-34977</v>
      </c>
      <c r="P17" s="525">
        <v>-15131</v>
      </c>
      <c r="Q17" s="525">
        <v>-35030</v>
      </c>
      <c r="R17" s="525">
        <v>-27771</v>
      </c>
      <c r="S17" s="525">
        <v>-24310</v>
      </c>
      <c r="T17" s="525">
        <v>-39431</v>
      </c>
      <c r="U17" s="525">
        <v>-22477</v>
      </c>
      <c r="V17" s="487">
        <v>-22273</v>
      </c>
      <c r="W17" s="487">
        <v>-21512</v>
      </c>
      <c r="X17" s="487">
        <v>-20283.748820000001</v>
      </c>
      <c r="Y17" s="487">
        <f>-19631.21106+42</f>
        <v>-19589.211060000001</v>
      </c>
      <c r="Z17" s="487">
        <v>-17549</v>
      </c>
      <c r="AA17" s="487">
        <v>-20994.139640000001</v>
      </c>
      <c r="AB17" s="487">
        <v>-19150</v>
      </c>
      <c r="AC17" s="490">
        <v>-18013.740309999997</v>
      </c>
      <c r="AD17" s="487">
        <v>-16220.708200000001</v>
      </c>
      <c r="AE17" s="487">
        <v>-15820.48993</v>
      </c>
      <c r="AF17" s="487">
        <v>-17063.53327</v>
      </c>
      <c r="AG17" s="487">
        <f>-31433.74334+Consolidado!AB23</f>
        <v>-25702.743340000001</v>
      </c>
      <c r="AH17" s="487">
        <v>-20601.551750000002</v>
      </c>
      <c r="AI17" s="487">
        <v>-16196.816349999999</v>
      </c>
      <c r="AJ17" s="487">
        <v>-17903.029560000003</v>
      </c>
      <c r="AK17" s="490">
        <v>-21720.076709999998</v>
      </c>
      <c r="AL17" s="488">
        <v>-18819.274789999996</v>
      </c>
      <c r="AM17" s="487">
        <v>-20303.640930000001</v>
      </c>
      <c r="AN17" s="487">
        <v>-20509.335719999999</v>
      </c>
      <c r="AO17" s="487">
        <f>-25806.73165+2107.26448</f>
        <v>-23699.467170000004</v>
      </c>
      <c r="AP17" s="490">
        <f>-26934.10246+86</f>
        <v>-26848.102459999998</v>
      </c>
      <c r="AQ17" s="487">
        <v>-18679.037840000001</v>
      </c>
      <c r="AR17" s="487">
        <v>-17291.9074</v>
      </c>
      <c r="AS17" s="487">
        <v>-21382.454249999999</v>
      </c>
      <c r="AT17" s="487">
        <v>-18067.067870000003</v>
      </c>
      <c r="AU17" s="487">
        <v>-19037.44154</v>
      </c>
      <c r="AV17" s="487">
        <v>-18386.381400000002</v>
      </c>
      <c r="AW17" s="487">
        <v>-22263.858070000002</v>
      </c>
      <c r="AX17" s="487">
        <v>-18051.912059999999</v>
      </c>
      <c r="AY17" s="487">
        <v>-21799.205010000001</v>
      </c>
      <c r="AZ17" s="487">
        <v>-20751.262449999998</v>
      </c>
      <c r="BA17" s="490">
        <v>-23680.224430000002</v>
      </c>
      <c r="BB17" s="487">
        <v>-20521.264250000004</v>
      </c>
      <c r="BC17" s="487">
        <v>-23597.755149999997</v>
      </c>
      <c r="BD17" s="487">
        <v>-25948.967650000002</v>
      </c>
      <c r="BE17" s="487">
        <v>-29164.700199999999</v>
      </c>
      <c r="BF17" s="487">
        <v>-28514.985760000007</v>
      </c>
      <c r="BG17" s="487">
        <v>-25062.511210000001</v>
      </c>
      <c r="BH17" s="487">
        <v>-26949.604289999996</v>
      </c>
      <c r="BI17" s="487">
        <v>-29886.641280000003</v>
      </c>
      <c r="BJ17" s="487">
        <v>-30285.684409999998</v>
      </c>
      <c r="BK17" s="487">
        <v>-32176.004999999997</v>
      </c>
      <c r="BL17" s="487">
        <v>-31673.987059999999</v>
      </c>
      <c r="BM17" s="487">
        <v>-35708.760969999988</v>
      </c>
      <c r="BN17" s="487">
        <v>-29785.524399999998</v>
      </c>
      <c r="BO17" s="487">
        <f>(+SUM([4]Base_DRE!$X$35:$X$36,[4]Base_DRE!$X$53)-2)</f>
        <v>-30456.930860000004</v>
      </c>
    </row>
    <row r="18" spans="1:67" ht="13.5" customHeight="1" x14ac:dyDescent="0.2">
      <c r="A18" s="516" t="s">
        <v>1551</v>
      </c>
      <c r="B18" s="516" t="s">
        <v>703</v>
      </c>
      <c r="C18" s="636" t="str">
        <f>IF([1]RENAME!$H$3=1,B18,A18)</f>
        <v>Outras despesas e receitas</v>
      </c>
      <c r="D18" s="991" t="str">
        <f>HYPERLINK(Menu!$AY$35,C18)</f>
        <v>Outras despesas e receitas</v>
      </c>
      <c r="E18" s="487">
        <v>-20841</v>
      </c>
      <c r="F18" s="487">
        <f>-4369-3831+1543</f>
        <v>-6657</v>
      </c>
      <c r="G18" s="487">
        <f>-6183-1033+233</f>
        <v>-6983</v>
      </c>
      <c r="H18" s="487">
        <v>8703</v>
      </c>
      <c r="I18" s="487">
        <v>3549</v>
      </c>
      <c r="J18" s="525"/>
      <c r="K18" s="525"/>
      <c r="L18" s="525"/>
      <c r="M18" s="525"/>
      <c r="N18" s="525"/>
      <c r="O18" s="525"/>
      <c r="P18" s="525"/>
      <c r="Q18" s="525"/>
      <c r="R18" s="525"/>
      <c r="S18" s="525"/>
      <c r="T18" s="525"/>
      <c r="U18" s="525"/>
      <c r="V18" s="487">
        <v>2443</v>
      </c>
      <c r="W18" s="487">
        <v>72</v>
      </c>
      <c r="X18" s="487">
        <v>-2343.6182199999998</v>
      </c>
      <c r="Y18" s="490">
        <f>-22449.33556+71</f>
        <v>-22378.33556</v>
      </c>
      <c r="Z18" s="490">
        <v>1065</v>
      </c>
      <c r="AA18" s="487">
        <v>-2609.84591</v>
      </c>
      <c r="AB18" s="487">
        <v>-2272.9788399999998</v>
      </c>
      <c r="AC18" s="490">
        <v>-4204.1514299999999</v>
      </c>
      <c r="AD18" s="487">
        <v>-2218.3438599999999</v>
      </c>
      <c r="AE18" s="490">
        <v>-24271.061309999997</v>
      </c>
      <c r="AF18" s="490">
        <v>-8184.9259600000005</v>
      </c>
      <c r="AG18" s="490">
        <v>-14977.99042</v>
      </c>
      <c r="AH18" s="649">
        <v>-5699</v>
      </c>
      <c r="AI18" s="649">
        <v>-2800.8364899999997</v>
      </c>
      <c r="AJ18" s="649">
        <v>-3254.1783700000001</v>
      </c>
      <c r="AK18" s="490">
        <v>-16756.498950000001</v>
      </c>
      <c r="AL18" s="488">
        <v>-3095.5930700000008</v>
      </c>
      <c r="AM18" s="487">
        <v>-3216.3714100000002</v>
      </c>
      <c r="AN18" s="490">
        <v>51308</v>
      </c>
      <c r="AO18" s="487">
        <f>-6790.77104-2107.26448</f>
        <v>-8898.0355199999995</v>
      </c>
      <c r="AP18" s="487">
        <f>-5170.04344-86</f>
        <v>-5256.0434400000004</v>
      </c>
      <c r="AQ18" s="487">
        <v>-1987.0434299999999</v>
      </c>
      <c r="AR18" s="487">
        <v>-5290.0947800000004</v>
      </c>
      <c r="AS18" s="490">
        <v>-3469.8977</v>
      </c>
      <c r="AT18" s="490">
        <v>5727.5650300000007</v>
      </c>
      <c r="AU18" s="490">
        <v>2871.8959400000008</v>
      </c>
      <c r="AV18" s="490">
        <v>231.54531000000048</v>
      </c>
      <c r="AW18" s="490">
        <v>-853.97310999999991</v>
      </c>
      <c r="AX18" s="487">
        <v>584.91206000000034</v>
      </c>
      <c r="AY18" s="487">
        <v>-156.7665400000003</v>
      </c>
      <c r="AZ18" s="490">
        <v>-6119.8388900000009</v>
      </c>
      <c r="BA18" s="490">
        <v>5900.2687499999965</v>
      </c>
      <c r="BB18" s="487">
        <v>838.50439000000006</v>
      </c>
      <c r="BC18" s="487">
        <v>-727.10802000000024</v>
      </c>
      <c r="BD18" s="487">
        <v>28.826159999999959</v>
      </c>
      <c r="BE18" s="487">
        <v>-2390.11366</v>
      </c>
      <c r="BF18" s="487">
        <v>-573.41901999999993</v>
      </c>
      <c r="BG18" s="487">
        <v>217.70587999999989</v>
      </c>
      <c r="BH18" s="487">
        <v>-850.78683999999998</v>
      </c>
      <c r="BI18" s="487">
        <v>4.1399699999992663</v>
      </c>
      <c r="BJ18" s="487">
        <v>-198.55453999999986</v>
      </c>
      <c r="BK18" s="487">
        <v>469.68790999999999</v>
      </c>
      <c r="BL18" s="487">
        <v>1120.9739499999998</v>
      </c>
      <c r="BM18" s="487">
        <v>-651.08033000000046</v>
      </c>
      <c r="BN18" s="490">
        <v>3375.0105600000002</v>
      </c>
      <c r="BO18" s="490">
        <f>(+[4]Base_DRE!$X$37)</f>
        <v>-8267.5808899999993</v>
      </c>
    </row>
    <row r="19" spans="1:67" ht="13.5" customHeight="1" x14ac:dyDescent="0.2">
      <c r="A19" s="516" t="s">
        <v>9</v>
      </c>
      <c r="B19" s="516" t="s">
        <v>704</v>
      </c>
      <c r="C19" s="636"/>
      <c r="D19" s="523" t="str">
        <f>IF([1]RENAME!$H$3=1,B19,A19)</f>
        <v>Lucro operacional</v>
      </c>
      <c r="E19" s="524">
        <f t="shared" ref="E19:AY19" si="27">+SUM(E16:E18)</f>
        <v>69909</v>
      </c>
      <c r="F19" s="524">
        <f t="shared" si="27"/>
        <v>83734</v>
      </c>
      <c r="G19" s="524">
        <f t="shared" si="27"/>
        <v>119171</v>
      </c>
      <c r="H19" s="524">
        <f t="shared" si="27"/>
        <v>168438</v>
      </c>
      <c r="I19" s="524">
        <f t="shared" si="27"/>
        <v>178252</v>
      </c>
      <c r="J19" s="524">
        <f t="shared" si="27"/>
        <v>30558</v>
      </c>
      <c r="K19" s="524">
        <f t="shared" si="27"/>
        <v>36099</v>
      </c>
      <c r="L19" s="524">
        <f t="shared" si="27"/>
        <v>48979</v>
      </c>
      <c r="M19" s="524">
        <f t="shared" si="27"/>
        <v>36744</v>
      </c>
      <c r="N19" s="524">
        <f t="shared" si="27"/>
        <v>10832</v>
      </c>
      <c r="O19" s="524">
        <f t="shared" si="27"/>
        <v>29674</v>
      </c>
      <c r="P19" s="524">
        <f t="shared" si="27"/>
        <v>40345</v>
      </c>
      <c r="Q19" s="524">
        <f t="shared" si="27"/>
        <v>29895</v>
      </c>
      <c r="R19" s="524">
        <f t="shared" si="27"/>
        <v>11333</v>
      </c>
      <c r="S19" s="524">
        <f t="shared" si="27"/>
        <v>29802</v>
      </c>
      <c r="T19" s="524">
        <f t="shared" si="27"/>
        <v>35628</v>
      </c>
      <c r="U19" s="524">
        <f t="shared" si="27"/>
        <v>53044</v>
      </c>
      <c r="V19" s="524">
        <f t="shared" si="27"/>
        <v>18033.999999999971</v>
      </c>
      <c r="W19" s="524">
        <f t="shared" si="27"/>
        <v>6636.9999999999709</v>
      </c>
      <c r="X19" s="524">
        <f t="shared" si="27"/>
        <v>15879.986009999946</v>
      </c>
      <c r="Y19" s="524">
        <f t="shared" si="27"/>
        <v>1712.8176999999632</v>
      </c>
      <c r="Z19" s="524">
        <f t="shared" si="27"/>
        <v>7504.434510000021</v>
      </c>
      <c r="AA19" s="524">
        <f t="shared" si="27"/>
        <v>7635.2411300000203</v>
      </c>
      <c r="AB19" s="524">
        <f t="shared" si="27"/>
        <v>18111.364879999976</v>
      </c>
      <c r="AC19" s="524">
        <f t="shared" si="27"/>
        <v>25614.88991000002</v>
      </c>
      <c r="AD19" s="524">
        <f t="shared" si="27"/>
        <v>14360.545709999991</v>
      </c>
      <c r="AE19" s="524">
        <f t="shared" si="27"/>
        <v>13103.106399999968</v>
      </c>
      <c r="AF19" s="524">
        <f t="shared" si="27"/>
        <v>27935.846070000036</v>
      </c>
      <c r="AG19" s="524">
        <f t="shared" si="27"/>
        <v>54072.402549999941</v>
      </c>
      <c r="AH19" s="524">
        <f t="shared" si="27"/>
        <v>22543.493380000011</v>
      </c>
      <c r="AI19" s="524">
        <f t="shared" si="27"/>
        <v>36238.078779999945</v>
      </c>
      <c r="AJ19" s="524">
        <f t="shared" si="27"/>
        <v>45686.178229999932</v>
      </c>
      <c r="AK19" s="524">
        <f t="shared" si="27"/>
        <v>48576.524440000045</v>
      </c>
      <c r="AL19" s="751">
        <f t="shared" si="27"/>
        <v>40625.100069999986</v>
      </c>
      <c r="AM19" s="524">
        <f t="shared" si="27"/>
        <v>45803.189800000066</v>
      </c>
      <c r="AN19" s="524">
        <f t="shared" si="27"/>
        <v>100076.13381000012</v>
      </c>
      <c r="AO19" s="524">
        <f t="shared" si="27"/>
        <v>53109.901349999993</v>
      </c>
      <c r="AP19" s="524">
        <f t="shared" si="27"/>
        <v>26750.455599999961</v>
      </c>
      <c r="AQ19" s="524">
        <f t="shared" si="27"/>
        <v>-9186.4830399999973</v>
      </c>
      <c r="AR19" s="524">
        <f t="shared" si="27"/>
        <v>42113.771809999962</v>
      </c>
      <c r="AS19" s="524">
        <f t="shared" si="27"/>
        <v>40255.049250000025</v>
      </c>
      <c r="AT19" s="524">
        <f t="shared" si="27"/>
        <v>30232.221959999937</v>
      </c>
      <c r="AU19" s="524">
        <f t="shared" si="27"/>
        <v>28215.714269999982</v>
      </c>
      <c r="AV19" s="524">
        <f t="shared" si="27"/>
        <v>23727.719999999998</v>
      </c>
      <c r="AW19" s="524">
        <f t="shared" si="27"/>
        <v>35990.382589999943</v>
      </c>
      <c r="AX19" s="524">
        <f t="shared" si="27"/>
        <v>21601.709109999967</v>
      </c>
      <c r="AY19" s="524">
        <f t="shared" si="27"/>
        <v>35458.489839999951</v>
      </c>
      <c r="AZ19" s="524">
        <f t="shared" ref="AZ19:BJ19" si="28">+SUM(AZ16:AZ18)</f>
        <v>68734.174690000014</v>
      </c>
      <c r="BA19" s="524">
        <f t="shared" si="28"/>
        <v>64815.150449999965</v>
      </c>
      <c r="BB19" s="524">
        <f t="shared" si="28"/>
        <v>40239.313079999803</v>
      </c>
      <c r="BC19" s="524">
        <f t="shared" si="28"/>
        <v>44622.017100000201</v>
      </c>
      <c r="BD19" s="524">
        <f t="shared" si="28"/>
        <v>65469.064530000091</v>
      </c>
      <c r="BE19" s="524">
        <f t="shared" si="28"/>
        <v>59952.821860000193</v>
      </c>
      <c r="BF19" s="524">
        <f t="shared" si="28"/>
        <v>44480.741189999768</v>
      </c>
      <c r="BG19" s="524">
        <f t="shared" si="28"/>
        <v>71239.997730000061</v>
      </c>
      <c r="BH19" s="524">
        <f t="shared" si="28"/>
        <v>111728.42351000012</v>
      </c>
      <c r="BI19" s="524">
        <f t="shared" si="28"/>
        <v>111980.14013999987</v>
      </c>
      <c r="BJ19" s="524">
        <f t="shared" si="28"/>
        <v>53854.197309999872</v>
      </c>
      <c r="BK19" s="524">
        <f>+SUM(BK16:BK18)</f>
        <v>79643.904739999809</v>
      </c>
      <c r="BL19" s="524">
        <f>+SUM(BL16:BL18)</f>
        <v>101241.08067000005</v>
      </c>
      <c r="BM19" s="524">
        <f>+SUM(BM16:BM18)</f>
        <v>65333.8908299998</v>
      </c>
      <c r="BN19" s="524">
        <f>+SUM(BN16:BN18)</f>
        <v>57512.500710000088</v>
      </c>
      <c r="BO19" s="524">
        <f>+SUM(BO16:BO18)</f>
        <v>113856.71841999976</v>
      </c>
    </row>
    <row r="20" spans="1:67" ht="13.5" customHeight="1" x14ac:dyDescent="0.2">
      <c r="A20" s="516" t="s">
        <v>225</v>
      </c>
      <c r="B20" s="516" t="s">
        <v>760</v>
      </c>
      <c r="C20" s="636" t="str">
        <f>IF([1]RENAME!$H$3=1,B20,A20)</f>
        <v>Equivalência patrimonial</v>
      </c>
      <c r="D20" s="991" t="str">
        <f>HYPERLINK(Menu!$AY$26,C20)</f>
        <v>Equivalência patrimonial</v>
      </c>
      <c r="E20" s="487">
        <v>0</v>
      </c>
      <c r="F20" s="487">
        <v>-4979</v>
      </c>
      <c r="G20" s="487">
        <v>0</v>
      </c>
      <c r="H20" s="487">
        <v>0</v>
      </c>
      <c r="I20" s="487">
        <v>0</v>
      </c>
      <c r="J20" s="487">
        <v>98</v>
      </c>
      <c r="K20" s="487">
        <v>732</v>
      </c>
      <c r="L20" s="487">
        <v>65</v>
      </c>
      <c r="M20" s="487">
        <v>859</v>
      </c>
      <c r="N20" s="487">
        <v>-728</v>
      </c>
      <c r="O20" s="487">
        <v>-219</v>
      </c>
      <c r="P20" s="487">
        <v>727</v>
      </c>
      <c r="Q20" s="487">
        <v>319</v>
      </c>
      <c r="R20" s="487">
        <v>-200</v>
      </c>
      <c r="S20" s="487">
        <v>68</v>
      </c>
      <c r="T20" s="487">
        <v>409</v>
      </c>
      <c r="U20" s="487">
        <v>2100</v>
      </c>
      <c r="V20" s="487">
        <v>373</v>
      </c>
      <c r="W20" s="487">
        <v>257</v>
      </c>
      <c r="X20" s="487">
        <v>784.93416000000127</v>
      </c>
      <c r="Y20" s="487">
        <v>453.33573000000024</v>
      </c>
      <c r="Z20" s="487">
        <v>-797.43479000000002</v>
      </c>
      <c r="AA20" s="487">
        <v>-908.26922999999999</v>
      </c>
      <c r="AB20" s="487">
        <v>-18.84490000000001</v>
      </c>
      <c r="AC20" s="487">
        <v>-465.49157000000025</v>
      </c>
      <c r="AD20" s="487">
        <v>-322.19973999999996</v>
      </c>
      <c r="AE20" s="487">
        <v>-379.92368999999991</v>
      </c>
      <c r="AF20" s="487">
        <v>-656.57451999999967</v>
      </c>
      <c r="AG20" s="487">
        <v>595.71961999999996</v>
      </c>
      <c r="AH20" s="487">
        <v>-425</v>
      </c>
      <c r="AI20" s="487">
        <v>-226.81720999999999</v>
      </c>
      <c r="AJ20" s="487">
        <v>341.39789999999994</v>
      </c>
      <c r="AK20" s="487">
        <v>681.55288999999982</v>
      </c>
      <c r="AL20" s="488">
        <v>-528.95529999999997</v>
      </c>
      <c r="AM20" s="487">
        <v>322.18200999999976</v>
      </c>
      <c r="AN20" s="487">
        <v>843.61563999999998</v>
      </c>
      <c r="AO20" s="487">
        <v>2349.8983000000007</v>
      </c>
      <c r="AP20" s="487">
        <v>1394.2409299999999</v>
      </c>
      <c r="AQ20" s="487">
        <v>2411.7455300000011</v>
      </c>
      <c r="AR20" s="487">
        <v>2631.5309200000002</v>
      </c>
      <c r="AS20" s="487">
        <f>-44.1788199999996-117</f>
        <v>-161.1788199999996</v>
      </c>
      <c r="AT20" s="487">
        <v>810.82394999999951</v>
      </c>
      <c r="AU20" s="487">
        <v>2401.2292212000002</v>
      </c>
      <c r="AV20" s="487">
        <v>1798.9342100000003</v>
      </c>
      <c r="AW20" s="487">
        <v>4231.8650900000002</v>
      </c>
      <c r="AX20" s="487">
        <v>3013</v>
      </c>
      <c r="AY20" s="487">
        <v>3005.671455575</v>
      </c>
      <c r="AZ20" s="487">
        <v>2435.9022784000003</v>
      </c>
      <c r="BA20" s="487">
        <v>2116.9677172000002</v>
      </c>
      <c r="BB20" s="487">
        <v>3837.9019078000001</v>
      </c>
      <c r="BC20" s="487">
        <v>2883.4226600000002</v>
      </c>
      <c r="BD20" s="487">
        <v>5093.8337000000001</v>
      </c>
      <c r="BE20" s="487">
        <v>4439.7830400000003</v>
      </c>
      <c r="BF20" s="487">
        <v>6603.9437900000003</v>
      </c>
      <c r="BG20" s="487">
        <v>9362.2939999999999</v>
      </c>
      <c r="BH20" s="487">
        <v>7432.3453100000006</v>
      </c>
      <c r="BI20" s="487">
        <v>5865.9073797000001</v>
      </c>
      <c r="BJ20" s="487">
        <v>6307.3868199999988</v>
      </c>
      <c r="BK20" s="487">
        <v>8941.1631000000052</v>
      </c>
      <c r="BL20" s="487">
        <v>7375.3358299999982</v>
      </c>
      <c r="BM20" s="487">
        <v>4187.0581799999964</v>
      </c>
      <c r="BN20" s="487">
        <v>1431.1687999999999</v>
      </c>
      <c r="BO20" s="487">
        <f>(SUM([4]Base_DRE!$X$41:$X$51))</f>
        <v>5691.9000899999992</v>
      </c>
    </row>
    <row r="21" spans="1:67" ht="13.5" customHeight="1" x14ac:dyDescent="0.2">
      <c r="A21" s="516" t="s">
        <v>331</v>
      </c>
      <c r="B21" s="516" t="s">
        <v>705</v>
      </c>
      <c r="C21" s="636" t="str">
        <f>IF([1]RENAME!$H$3=1,B21,A21)</f>
        <v>Resultado financeiro</v>
      </c>
      <c r="D21" s="991" t="str">
        <f>HYPERLINK(Menu!$AY$39,C21)</f>
        <v>Resultado financeiro</v>
      </c>
      <c r="E21" s="487">
        <f t="shared" ref="E21:BM21" si="29">SUM(E22:E23)</f>
        <v>0</v>
      </c>
      <c r="F21" s="487">
        <f t="shared" si="29"/>
        <v>7919</v>
      </c>
      <c r="G21" s="487">
        <f t="shared" si="29"/>
        <v>-11744</v>
      </c>
      <c r="H21" s="487">
        <f t="shared" si="29"/>
        <v>0</v>
      </c>
      <c r="I21" s="487">
        <f t="shared" si="29"/>
        <v>0</v>
      </c>
      <c r="J21" s="487">
        <f t="shared" si="29"/>
        <v>0</v>
      </c>
      <c r="K21" s="487">
        <f t="shared" si="29"/>
        <v>0</v>
      </c>
      <c r="L21" s="487">
        <f t="shared" si="29"/>
        <v>0</v>
      </c>
      <c r="M21" s="487">
        <f t="shared" si="29"/>
        <v>0</v>
      </c>
      <c r="N21" s="487">
        <f t="shared" si="29"/>
        <v>0</v>
      </c>
      <c r="O21" s="487">
        <f t="shared" si="29"/>
        <v>0</v>
      </c>
      <c r="P21" s="487">
        <f t="shared" si="29"/>
        <v>0</v>
      </c>
      <c r="Q21" s="487">
        <f t="shared" si="29"/>
        <v>0</v>
      </c>
      <c r="R21" s="487">
        <f t="shared" si="29"/>
        <v>0</v>
      </c>
      <c r="S21" s="487">
        <f t="shared" si="29"/>
        <v>0</v>
      </c>
      <c r="T21" s="487">
        <f t="shared" si="29"/>
        <v>0</v>
      </c>
      <c r="U21" s="487">
        <f t="shared" si="29"/>
        <v>0</v>
      </c>
      <c r="V21" s="487">
        <f t="shared" si="29"/>
        <v>-7678</v>
      </c>
      <c r="W21" s="487">
        <f t="shared" si="29"/>
        <v>-5199</v>
      </c>
      <c r="X21" s="487">
        <f t="shared" si="29"/>
        <v>-8493</v>
      </c>
      <c r="Y21" s="490">
        <f t="shared" si="29"/>
        <v>-11585</v>
      </c>
      <c r="Z21" s="490">
        <f t="shared" si="29"/>
        <v>-8795</v>
      </c>
      <c r="AA21" s="487">
        <f t="shared" si="29"/>
        <v>-6205.3005300000004</v>
      </c>
      <c r="AB21" s="490">
        <f t="shared" si="29"/>
        <v>-11073.155569999999</v>
      </c>
      <c r="AC21" s="490">
        <f t="shared" si="29"/>
        <v>-3803.2308699999994</v>
      </c>
      <c r="AD21" s="487">
        <f t="shared" si="29"/>
        <v>-4287.1967700000005</v>
      </c>
      <c r="AE21" s="490">
        <f t="shared" si="29"/>
        <v>3566.6795899999997</v>
      </c>
      <c r="AF21" s="487">
        <f t="shared" si="29"/>
        <v>-3113.1098000000002</v>
      </c>
      <c r="AG21" s="490">
        <f t="shared" si="29"/>
        <v>12617.618369999998</v>
      </c>
      <c r="AH21" s="487">
        <f t="shared" si="29"/>
        <v>-1889.4519500000006</v>
      </c>
      <c r="AI21" s="487">
        <f t="shared" si="29"/>
        <v>-825.25070000000005</v>
      </c>
      <c r="AJ21" s="490">
        <f t="shared" si="29"/>
        <v>-4991.2516099999993</v>
      </c>
      <c r="AK21" s="490">
        <f t="shared" si="29"/>
        <v>-1413.8592499999995</v>
      </c>
      <c r="AL21" s="488">
        <f t="shared" si="29"/>
        <v>-1898</v>
      </c>
      <c r="AM21" s="487">
        <f t="shared" si="29"/>
        <v>-2688</v>
      </c>
      <c r="AN21" s="487">
        <f t="shared" si="29"/>
        <v>30529</v>
      </c>
      <c r="AO21" s="487">
        <f t="shared" si="29"/>
        <v>-3245.5405300000002</v>
      </c>
      <c r="AP21" s="487">
        <f t="shared" si="29"/>
        <v>-2007.30314</v>
      </c>
      <c r="AQ21" s="487">
        <f t="shared" si="29"/>
        <v>-2212.7467099999976</v>
      </c>
      <c r="AR21" s="487">
        <f t="shared" si="29"/>
        <v>-2784.8866099999996</v>
      </c>
      <c r="AS21" s="487">
        <f t="shared" si="29"/>
        <v>-2152.0314800000006</v>
      </c>
      <c r="AT21" s="487">
        <f t="shared" si="29"/>
        <v>-2893.5208399999997</v>
      </c>
      <c r="AU21" s="487">
        <f t="shared" si="29"/>
        <v>1719.5772200000001</v>
      </c>
      <c r="AV21" s="487">
        <f t="shared" si="29"/>
        <v>-896.09401000000025</v>
      </c>
      <c r="AW21" s="487">
        <f t="shared" si="29"/>
        <v>-952.37159000000065</v>
      </c>
      <c r="AX21" s="487">
        <f t="shared" si="29"/>
        <v>-540.99999999999909</v>
      </c>
      <c r="AY21" s="487">
        <f t="shared" si="29"/>
        <v>164.84838000000036</v>
      </c>
      <c r="AZ21" s="487">
        <f t="shared" si="29"/>
        <v>-52.790259999998852</v>
      </c>
      <c r="BA21" s="487">
        <f t="shared" si="29"/>
        <v>7143.2795999999998</v>
      </c>
      <c r="BB21" s="487">
        <f t="shared" si="29"/>
        <v>1279.2891100000006</v>
      </c>
      <c r="BC21" s="487">
        <f t="shared" si="29"/>
        <v>2933.0279499999979</v>
      </c>
      <c r="BD21" s="487">
        <f t="shared" si="29"/>
        <v>2517.9430699999984</v>
      </c>
      <c r="BE21" s="487">
        <f t="shared" si="29"/>
        <v>2208.5117899999996</v>
      </c>
      <c r="BF21" s="487">
        <f t="shared" si="29"/>
        <v>2039.7343800000008</v>
      </c>
      <c r="BG21" s="490">
        <f t="shared" si="29"/>
        <v>4056.5603300000002</v>
      </c>
      <c r="BH21" s="487">
        <f t="shared" si="29"/>
        <v>1218.2220500000021</v>
      </c>
      <c r="BI21" s="487">
        <f t="shared" si="29"/>
        <v>1460.4212000000007</v>
      </c>
      <c r="BJ21" s="487">
        <f t="shared" si="29"/>
        <v>2351.3270400000001</v>
      </c>
      <c r="BK21" s="487">
        <f t="shared" si="29"/>
        <v>3260.8603000000021</v>
      </c>
      <c r="BL21" s="487">
        <f t="shared" si="29"/>
        <v>3306.933340000005</v>
      </c>
      <c r="BM21" s="487">
        <f t="shared" si="29"/>
        <v>2568.8136299999987</v>
      </c>
      <c r="BN21" s="487">
        <f>SUM(BN22:BN23)</f>
        <v>-1121.6847400000006</v>
      </c>
      <c r="BO21" s="487">
        <f>SUM(BO22:BO23)</f>
        <v>-1331.1711999999998</v>
      </c>
    </row>
    <row r="22" spans="1:67" ht="13.5" customHeight="1" outlineLevel="1" x14ac:dyDescent="0.2">
      <c r="A22" s="516" t="s">
        <v>294</v>
      </c>
      <c r="B22" s="516" t="s">
        <v>706</v>
      </c>
      <c r="C22" s="636" t="str">
        <f>IF([1]RENAME!$H$3=1,B22,A22)</f>
        <v>Despesas financeiras</v>
      </c>
      <c r="D22" s="992" t="str">
        <f>IF([1]RENAME!$H$3=1,B22,A22)</f>
        <v>Despesas financeiras</v>
      </c>
      <c r="E22" s="487">
        <v>0</v>
      </c>
      <c r="F22" s="487">
        <v>-10961</v>
      </c>
      <c r="G22" s="487">
        <v>-21093</v>
      </c>
      <c r="H22" s="487">
        <v>0</v>
      </c>
      <c r="I22" s="487">
        <v>0</v>
      </c>
      <c r="J22" s="525" t="s">
        <v>160</v>
      </c>
      <c r="K22" s="525" t="s">
        <v>160</v>
      </c>
      <c r="L22" s="525" t="s">
        <v>160</v>
      </c>
      <c r="M22" s="525" t="s">
        <v>160</v>
      </c>
      <c r="N22" s="525" t="s">
        <v>160</v>
      </c>
      <c r="O22" s="525" t="s">
        <v>160</v>
      </c>
      <c r="P22" s="525" t="s">
        <v>160</v>
      </c>
      <c r="Q22" s="525" t="s">
        <v>160</v>
      </c>
      <c r="R22" s="525" t="s">
        <v>160</v>
      </c>
      <c r="S22" s="525" t="s">
        <v>160</v>
      </c>
      <c r="T22" s="525" t="s">
        <v>160</v>
      </c>
      <c r="U22" s="525" t="s">
        <v>160</v>
      </c>
      <c r="V22" s="487">
        <v>-17705</v>
      </c>
      <c r="W22" s="487">
        <v>-16495</v>
      </c>
      <c r="X22" s="487">
        <v>-14912</v>
      </c>
      <c r="Y22" s="490">
        <v>-19635</v>
      </c>
      <c r="Z22" s="490">
        <v>-16296</v>
      </c>
      <c r="AA22" s="487">
        <v>-13907</v>
      </c>
      <c r="AB22" s="490">
        <v>-18994.62141</v>
      </c>
      <c r="AC22" s="490">
        <v>-13158.85471</v>
      </c>
      <c r="AD22" s="487">
        <v>-9593.7638100000004</v>
      </c>
      <c r="AE22" s="487">
        <v>-8091.4878599999993</v>
      </c>
      <c r="AF22" s="487">
        <v>-8691.5884399999995</v>
      </c>
      <c r="AG22" s="487">
        <v>-1529.8947799999999</v>
      </c>
      <c r="AH22" s="487">
        <v>-4564.3026500000005</v>
      </c>
      <c r="AI22" s="487">
        <v>-3828.47154</v>
      </c>
      <c r="AJ22" s="487">
        <v>-15149.87408</v>
      </c>
      <c r="AK22" s="487">
        <v>-10293.400669999999</v>
      </c>
      <c r="AL22" s="488">
        <v>-5694</v>
      </c>
      <c r="AM22" s="487">
        <v>-4049</v>
      </c>
      <c r="AN22" s="490">
        <v>-9818</v>
      </c>
      <c r="AO22" s="487">
        <v>-13645.773789999999</v>
      </c>
      <c r="AP22" s="487">
        <v>-19086.04146</v>
      </c>
      <c r="AQ22" s="487">
        <v>-11166.114489999998</v>
      </c>
      <c r="AR22" s="487">
        <v>-8161.8321499999993</v>
      </c>
      <c r="AS22" s="487">
        <v>-4033.9628000000002</v>
      </c>
      <c r="AT22" s="487">
        <v>-4430.6220699999994</v>
      </c>
      <c r="AU22" s="487">
        <v>-4001.6024600000001</v>
      </c>
      <c r="AV22" s="487">
        <v>-4355.9090100000003</v>
      </c>
      <c r="AW22" s="487">
        <v>-8571.3697200000006</v>
      </c>
      <c r="AX22" s="487">
        <v>-6749.6398200000003</v>
      </c>
      <c r="AY22" s="487">
        <v>-6908.3586099999984</v>
      </c>
      <c r="AZ22" s="487">
        <v>-5248.6184800000001</v>
      </c>
      <c r="BA22" s="487">
        <v>-4599.2150500000007</v>
      </c>
      <c r="BB22" s="487">
        <v>-6875.40067</v>
      </c>
      <c r="BC22" s="487">
        <v>-7593.7834900000016</v>
      </c>
      <c r="BD22" s="487">
        <v>-6072.336760000001</v>
      </c>
      <c r="BE22" s="487">
        <v>-7185.5800499999996</v>
      </c>
      <c r="BF22" s="487">
        <v>-6627.8497899999993</v>
      </c>
      <c r="BG22" s="487">
        <v>-6492.406930000001</v>
      </c>
      <c r="BH22" s="487">
        <v>-6743.5508199999995</v>
      </c>
      <c r="BI22" s="487">
        <v>-6905.99863</v>
      </c>
      <c r="BJ22" s="487">
        <v>-9106.8237899999986</v>
      </c>
      <c r="BK22" s="487">
        <v>-9041.2498599999999</v>
      </c>
      <c r="BL22" s="487">
        <v>-9341.6976099999956</v>
      </c>
      <c r="BM22" s="487">
        <v>-8100.294100000001</v>
      </c>
      <c r="BN22" s="487">
        <v>-8957.7325500000006</v>
      </c>
      <c r="BO22" s="487">
        <f>(+[4]Base_DRE!$X$38)</f>
        <v>-8635.5152200000011</v>
      </c>
    </row>
    <row r="23" spans="1:67" ht="13.5" customHeight="1" outlineLevel="1" x14ac:dyDescent="0.2">
      <c r="A23" s="516" t="s">
        <v>295</v>
      </c>
      <c r="B23" s="516" t="s">
        <v>707</v>
      </c>
      <c r="C23" s="636"/>
      <c r="D23" s="992" t="str">
        <f>IF([1]RENAME!$H$3=1,B23,A23)</f>
        <v>Receitas financeiras</v>
      </c>
      <c r="E23" s="487">
        <v>0</v>
      </c>
      <c r="F23" s="487">
        <v>18880</v>
      </c>
      <c r="G23" s="487">
        <v>9349</v>
      </c>
      <c r="H23" s="487">
        <v>0</v>
      </c>
      <c r="I23" s="487">
        <v>0</v>
      </c>
      <c r="J23" s="525" t="s">
        <v>160</v>
      </c>
      <c r="K23" s="525" t="s">
        <v>160</v>
      </c>
      <c r="L23" s="525" t="s">
        <v>160</v>
      </c>
      <c r="M23" s="525" t="s">
        <v>160</v>
      </c>
      <c r="N23" s="525" t="s">
        <v>160</v>
      </c>
      <c r="O23" s="525" t="s">
        <v>160</v>
      </c>
      <c r="P23" s="525" t="s">
        <v>160</v>
      </c>
      <c r="Q23" s="525" t="s">
        <v>160</v>
      </c>
      <c r="R23" s="525" t="s">
        <v>160</v>
      </c>
      <c r="S23" s="525" t="s">
        <v>160</v>
      </c>
      <c r="T23" s="525" t="s">
        <v>160</v>
      </c>
      <c r="U23" s="525" t="s">
        <v>160</v>
      </c>
      <c r="V23" s="487">
        <v>10027</v>
      </c>
      <c r="W23" s="487">
        <v>11296</v>
      </c>
      <c r="X23" s="487">
        <v>6419</v>
      </c>
      <c r="Y23" s="487">
        <v>8050</v>
      </c>
      <c r="Z23" s="487">
        <v>7501</v>
      </c>
      <c r="AA23" s="487">
        <v>7701.6994699999996</v>
      </c>
      <c r="AB23" s="487">
        <v>7921.4658400000008</v>
      </c>
      <c r="AC23" s="487">
        <v>9355.6238400000002</v>
      </c>
      <c r="AD23" s="487">
        <v>5306.5670399999999</v>
      </c>
      <c r="AE23" s="487">
        <v>11658.167449999999</v>
      </c>
      <c r="AF23" s="487">
        <v>5578.4786399999994</v>
      </c>
      <c r="AG23" s="487">
        <v>14147.513149999999</v>
      </c>
      <c r="AH23" s="487">
        <v>2674.8507</v>
      </c>
      <c r="AI23" s="487">
        <v>3003.22084</v>
      </c>
      <c r="AJ23" s="487">
        <v>10158.62247</v>
      </c>
      <c r="AK23" s="487">
        <v>8879.5414199999996</v>
      </c>
      <c r="AL23" s="488">
        <v>3796</v>
      </c>
      <c r="AM23" s="487">
        <v>1361</v>
      </c>
      <c r="AN23" s="490">
        <v>40347</v>
      </c>
      <c r="AO23" s="487">
        <v>10400.233259999999</v>
      </c>
      <c r="AP23" s="487">
        <v>17078.73832</v>
      </c>
      <c r="AQ23" s="487">
        <v>8953.3677800000005</v>
      </c>
      <c r="AR23" s="487">
        <v>5376.9455399999997</v>
      </c>
      <c r="AS23" s="487">
        <v>1881.9313199999999</v>
      </c>
      <c r="AT23" s="487">
        <v>1537.1012299999998</v>
      </c>
      <c r="AU23" s="490">
        <v>5721.1796800000002</v>
      </c>
      <c r="AV23" s="487">
        <v>3459.8150000000001</v>
      </c>
      <c r="AW23" s="487">
        <v>7618.9981299999999</v>
      </c>
      <c r="AX23" s="487">
        <v>6208.6398200000012</v>
      </c>
      <c r="AY23" s="487">
        <v>7073.2069899999988</v>
      </c>
      <c r="AZ23" s="487">
        <v>5195.8282200000012</v>
      </c>
      <c r="BA23" s="490">
        <v>11742.494650000001</v>
      </c>
      <c r="BB23" s="487">
        <v>8154.6897800000006</v>
      </c>
      <c r="BC23" s="490">
        <v>10526.811439999999</v>
      </c>
      <c r="BD23" s="487">
        <v>8590.2798299999995</v>
      </c>
      <c r="BE23" s="487">
        <v>9394.0918399999991</v>
      </c>
      <c r="BF23" s="487">
        <v>8667.5841700000001</v>
      </c>
      <c r="BG23" s="490">
        <v>10548.967260000001</v>
      </c>
      <c r="BH23" s="487">
        <v>7961.7728700000016</v>
      </c>
      <c r="BI23" s="487">
        <v>8366.4198300000007</v>
      </c>
      <c r="BJ23" s="487">
        <v>11458.150829999999</v>
      </c>
      <c r="BK23" s="487">
        <v>12302.110160000002</v>
      </c>
      <c r="BL23" s="487">
        <v>12648.630950000001</v>
      </c>
      <c r="BM23" s="487">
        <v>10669.10773</v>
      </c>
      <c r="BN23" s="487">
        <v>7836.04781</v>
      </c>
      <c r="BO23" s="487">
        <f>(+[4]Base_DRE!$X$39)</f>
        <v>7304.3440200000014</v>
      </c>
    </row>
    <row r="24" spans="1:67" ht="13.5" customHeight="1" x14ac:dyDescent="0.2">
      <c r="A24" s="516" t="s">
        <v>14</v>
      </c>
      <c r="B24" s="516" t="s">
        <v>709</v>
      </c>
      <c r="C24" s="636"/>
      <c r="D24" s="523" t="str">
        <f>IF([1]RENAME!$H$3=1,B24,A24)</f>
        <v>Lucro antes do IR e da CS</v>
      </c>
      <c r="E24" s="524">
        <f t="shared" ref="E24:AY24" si="30">E19+E21+E20</f>
        <v>69909</v>
      </c>
      <c r="F24" s="524">
        <f t="shared" si="30"/>
        <v>86674</v>
      </c>
      <c r="G24" s="524">
        <f t="shared" si="30"/>
        <v>107427</v>
      </c>
      <c r="H24" s="524">
        <f t="shared" si="30"/>
        <v>168438</v>
      </c>
      <c r="I24" s="524">
        <f t="shared" si="30"/>
        <v>178252</v>
      </c>
      <c r="J24" s="524">
        <f t="shared" si="30"/>
        <v>30656</v>
      </c>
      <c r="K24" s="524">
        <f t="shared" si="30"/>
        <v>36831</v>
      </c>
      <c r="L24" s="524">
        <f t="shared" si="30"/>
        <v>49044</v>
      </c>
      <c r="M24" s="524">
        <f t="shared" si="30"/>
        <v>37603</v>
      </c>
      <c r="N24" s="524">
        <f t="shared" si="30"/>
        <v>10104</v>
      </c>
      <c r="O24" s="524">
        <f t="shared" si="30"/>
        <v>29455</v>
      </c>
      <c r="P24" s="524">
        <f t="shared" si="30"/>
        <v>41072</v>
      </c>
      <c r="Q24" s="524">
        <f t="shared" si="30"/>
        <v>30214</v>
      </c>
      <c r="R24" s="524">
        <f t="shared" si="30"/>
        <v>11133</v>
      </c>
      <c r="S24" s="524">
        <f t="shared" si="30"/>
        <v>29870</v>
      </c>
      <c r="T24" s="524">
        <f t="shared" si="30"/>
        <v>36037</v>
      </c>
      <c r="U24" s="524">
        <f t="shared" si="30"/>
        <v>55144</v>
      </c>
      <c r="V24" s="524">
        <f t="shared" si="30"/>
        <v>10728.999999999971</v>
      </c>
      <c r="W24" s="524">
        <f t="shared" si="30"/>
        <v>1694.9999999999709</v>
      </c>
      <c r="X24" s="524">
        <f t="shared" si="30"/>
        <v>8171.9201699999476</v>
      </c>
      <c r="Y24" s="524">
        <f t="shared" si="30"/>
        <v>-9418.8465700000361</v>
      </c>
      <c r="Z24" s="524">
        <f t="shared" si="30"/>
        <v>-2088.0002799999793</v>
      </c>
      <c r="AA24" s="524">
        <f t="shared" si="30"/>
        <v>521.67137000001992</v>
      </c>
      <c r="AB24" s="524">
        <f t="shared" si="30"/>
        <v>7019.3644099999765</v>
      </c>
      <c r="AC24" s="524">
        <f t="shared" si="30"/>
        <v>21346.167470000019</v>
      </c>
      <c r="AD24" s="524">
        <f t="shared" si="30"/>
        <v>9751.1491999999907</v>
      </c>
      <c r="AE24" s="524">
        <f t="shared" si="30"/>
        <v>16289.862299999968</v>
      </c>
      <c r="AF24" s="524">
        <f t="shared" si="30"/>
        <v>24166.161750000039</v>
      </c>
      <c r="AG24" s="524">
        <f t="shared" si="30"/>
        <v>67285.740539999941</v>
      </c>
      <c r="AH24" s="524">
        <f t="shared" si="30"/>
        <v>20229.041430000012</v>
      </c>
      <c r="AI24" s="524">
        <f t="shared" si="30"/>
        <v>35186.010869999947</v>
      </c>
      <c r="AJ24" s="524">
        <f t="shared" si="30"/>
        <v>41036.324519999936</v>
      </c>
      <c r="AK24" s="524">
        <f t="shared" si="30"/>
        <v>47844.218080000042</v>
      </c>
      <c r="AL24" s="751">
        <f t="shared" si="30"/>
        <v>38198.144769999984</v>
      </c>
      <c r="AM24" s="524">
        <f t="shared" si="30"/>
        <v>43437.371810000062</v>
      </c>
      <c r="AN24" s="524">
        <f t="shared" si="30"/>
        <v>131448.74945000012</v>
      </c>
      <c r="AO24" s="524">
        <f t="shared" si="30"/>
        <v>52214.259119999995</v>
      </c>
      <c r="AP24" s="524">
        <f t="shared" si="30"/>
        <v>26137.393389999961</v>
      </c>
      <c r="AQ24" s="524">
        <f t="shared" si="30"/>
        <v>-8987.4842199999948</v>
      </c>
      <c r="AR24" s="524">
        <f t="shared" si="30"/>
        <v>41960.416119999958</v>
      </c>
      <c r="AS24" s="524">
        <f t="shared" si="30"/>
        <v>37941.838950000027</v>
      </c>
      <c r="AT24" s="524">
        <f t="shared" si="30"/>
        <v>28149.525069999934</v>
      </c>
      <c r="AU24" s="524">
        <f t="shared" si="30"/>
        <v>32336.520711199981</v>
      </c>
      <c r="AV24" s="524">
        <f t="shared" si="30"/>
        <v>24630.560199999996</v>
      </c>
      <c r="AW24" s="524">
        <f t="shared" si="30"/>
        <v>39269.87608999994</v>
      </c>
      <c r="AX24" s="524">
        <f t="shared" si="30"/>
        <v>24073.709109999967</v>
      </c>
      <c r="AY24" s="524">
        <f t="shared" si="30"/>
        <v>38629.009675574955</v>
      </c>
      <c r="AZ24" s="524">
        <f t="shared" ref="AZ24:BI24" si="31">AZ19+AZ21+AZ20</f>
        <v>71117.286708400017</v>
      </c>
      <c r="BA24" s="524">
        <f t="shared" si="31"/>
        <v>74075.39776719996</v>
      </c>
      <c r="BB24" s="524">
        <f t="shared" si="31"/>
        <v>45356.5040977998</v>
      </c>
      <c r="BC24" s="524">
        <f t="shared" si="31"/>
        <v>50438.467710000201</v>
      </c>
      <c r="BD24" s="524">
        <f t="shared" si="31"/>
        <v>73080.841300000087</v>
      </c>
      <c r="BE24" s="524">
        <f t="shared" si="31"/>
        <v>66601.116690000184</v>
      </c>
      <c r="BF24" s="524">
        <f t="shared" si="31"/>
        <v>53124.419359999767</v>
      </c>
      <c r="BG24" s="524">
        <f t="shared" si="31"/>
        <v>84658.852060000063</v>
      </c>
      <c r="BH24" s="524">
        <f t="shared" si="31"/>
        <v>120378.99087000013</v>
      </c>
      <c r="BI24" s="524">
        <f t="shared" si="31"/>
        <v>119306.46871969987</v>
      </c>
      <c r="BJ24" s="524">
        <f t="shared" ref="BJ24:BO24" si="32">BJ19+BJ21+BJ20</f>
        <v>62512.911169999876</v>
      </c>
      <c r="BK24" s="524">
        <f t="shared" si="32"/>
        <v>91845.928139999814</v>
      </c>
      <c r="BL24" s="524">
        <f t="shared" si="32"/>
        <v>111923.34984000005</v>
      </c>
      <c r="BM24" s="524">
        <f t="shared" si="32"/>
        <v>72089.762639999797</v>
      </c>
      <c r="BN24" s="524">
        <f t="shared" si="32"/>
        <v>57821.984770000083</v>
      </c>
      <c r="BO24" s="524">
        <f t="shared" si="32"/>
        <v>118217.44730999976</v>
      </c>
    </row>
    <row r="25" spans="1:67" ht="13.5" customHeight="1" x14ac:dyDescent="0.2">
      <c r="A25" s="516" t="s">
        <v>15</v>
      </c>
      <c r="B25" s="516" t="s">
        <v>710</v>
      </c>
      <c r="C25" s="636" t="str">
        <f>IF([1]RENAME!$H$3=1,B25,A25)</f>
        <v>Imposto de renda e contribuição social</v>
      </c>
      <c r="D25" s="991" t="str">
        <f>HYPERLINK(Menu!$AY$32,C25)</f>
        <v>Imposto de renda e contribuição social</v>
      </c>
      <c r="E25" s="487">
        <f>-21995-7846</f>
        <v>-29841</v>
      </c>
      <c r="F25" s="487">
        <v>-33691</v>
      </c>
      <c r="G25" s="487">
        <v>-30958</v>
      </c>
      <c r="H25" s="487">
        <v>-46409</v>
      </c>
      <c r="I25" s="487">
        <v>-48195</v>
      </c>
      <c r="J25" s="525">
        <v>-8014</v>
      </c>
      <c r="K25" s="525">
        <v>-8880</v>
      </c>
      <c r="L25" s="525">
        <v>-8831</v>
      </c>
      <c r="M25" s="525">
        <v>-14616</v>
      </c>
      <c r="N25" s="525">
        <v>-1306</v>
      </c>
      <c r="O25" s="525">
        <v>-14353</v>
      </c>
      <c r="P25" s="525">
        <v>-3882</v>
      </c>
      <c r="Q25" s="525">
        <v>-12950</v>
      </c>
      <c r="R25" s="525">
        <v>405</v>
      </c>
      <c r="S25" s="525">
        <v>-1432</v>
      </c>
      <c r="T25" s="525">
        <v>-24998</v>
      </c>
      <c r="U25" s="525">
        <v>-27524</v>
      </c>
      <c r="V25" s="487">
        <v>-3229</v>
      </c>
      <c r="W25" s="487">
        <v>-512</v>
      </c>
      <c r="X25" s="487">
        <v>-3070.77151</v>
      </c>
      <c r="Y25" s="490">
        <v>5565.3430946000008</v>
      </c>
      <c r="Z25" s="487">
        <v>185</v>
      </c>
      <c r="AA25" s="487">
        <v>-1210</v>
      </c>
      <c r="AB25" s="487">
        <v>-3177.8091100000011</v>
      </c>
      <c r="AC25" s="487">
        <v>-8770.0601499999993</v>
      </c>
      <c r="AD25" s="487">
        <v>-4298.9160000000002</v>
      </c>
      <c r="AE25" s="490">
        <v>7766.8676799999994</v>
      </c>
      <c r="AF25" s="487">
        <v>-8879.3011299999998</v>
      </c>
      <c r="AG25" s="490">
        <v>-8319.4488999999994</v>
      </c>
      <c r="AH25" s="649">
        <v>-6233</v>
      </c>
      <c r="AI25" s="649">
        <v>-7000.1369300000006</v>
      </c>
      <c r="AJ25" s="649">
        <v>-9929.7333699999999</v>
      </c>
      <c r="AK25" s="490">
        <v>-12883.216170000002</v>
      </c>
      <c r="AL25" s="488">
        <v>-11575.73976</v>
      </c>
      <c r="AM25" s="487">
        <v>-10923.94203</v>
      </c>
      <c r="AN25" s="490">
        <v>-40057.514449999995</v>
      </c>
      <c r="AO25" s="487">
        <v>-8769.3005799999992</v>
      </c>
      <c r="AP25" s="487">
        <v>-6850.96893</v>
      </c>
      <c r="AQ25" s="487">
        <v>4624.6438899999994</v>
      </c>
      <c r="AR25" s="487">
        <v>-12021.130280000001</v>
      </c>
      <c r="AS25" s="487">
        <v>-9295.3423600000006</v>
      </c>
      <c r="AT25" s="487">
        <v>-7991.2797200000005</v>
      </c>
      <c r="AU25" s="487">
        <v>-8180.5598599999994</v>
      </c>
      <c r="AV25" s="490">
        <v>9562.4</v>
      </c>
      <c r="AW25" s="487">
        <v>-9991.3930700000001</v>
      </c>
      <c r="AX25" s="487">
        <v>-5291</v>
      </c>
      <c r="AY25" s="487">
        <v>-8048.3106200000002</v>
      </c>
      <c r="AZ25" s="487">
        <v>-17648.283640000001</v>
      </c>
      <c r="BA25" s="487">
        <v>-17243.035919999998</v>
      </c>
      <c r="BB25" s="487">
        <v>-10633.6551</v>
      </c>
      <c r="BC25" s="487">
        <v>-10582.149069999999</v>
      </c>
      <c r="BD25" s="487">
        <v>-16768.140070000001</v>
      </c>
      <c r="BE25" s="487">
        <v>-15580.425179999998</v>
      </c>
      <c r="BF25" s="487">
        <v>-15609.352519999997</v>
      </c>
      <c r="BG25" s="487">
        <v>-21144.194380000001</v>
      </c>
      <c r="BH25" s="487">
        <v>-35933.303370000001</v>
      </c>
      <c r="BI25" s="487">
        <v>-34169.50647</v>
      </c>
      <c r="BJ25" s="487">
        <v>-18778.226869999999</v>
      </c>
      <c r="BK25" s="487">
        <v>-24727.419260000002</v>
      </c>
      <c r="BL25" s="487">
        <v>-32032.358809999994</v>
      </c>
      <c r="BM25" s="487">
        <v>-19871.384720000002</v>
      </c>
      <c r="BN25" s="487">
        <v>-19037.088650000002</v>
      </c>
      <c r="BO25" s="487">
        <f>(+SUM([4]Base_DRE!$X$57,[4]Base_DRE!$X$59))</f>
        <v>-35103.761790000004</v>
      </c>
    </row>
    <row r="26" spans="1:67" hidden="1" outlineLevel="1" x14ac:dyDescent="0.2">
      <c r="A26" s="516" t="s">
        <v>57</v>
      </c>
      <c r="B26" s="516" t="s">
        <v>711</v>
      </c>
      <c r="C26" s="636"/>
      <c r="D26" s="523" t="str">
        <f>IF([1]RENAME!$H$3=1,B26,A26)</f>
        <v>Lucro líquido sem operação descontinuada</v>
      </c>
      <c r="E26" s="524">
        <f>+SUM(E24:E25)</f>
        <v>40068</v>
      </c>
      <c r="F26" s="524">
        <f>+SUM(F24:F25)</f>
        <v>52983</v>
      </c>
      <c r="G26" s="524">
        <f>+SUM(G24:G25)</f>
        <v>76469</v>
      </c>
      <c r="H26" s="524">
        <f>+SUM(H24:H25)</f>
        <v>122029</v>
      </c>
      <c r="I26" s="524">
        <f>+SUM(I24:I25)</f>
        <v>130057</v>
      </c>
      <c r="J26" s="524">
        <v>14314</v>
      </c>
      <c r="K26" s="524">
        <v>18921</v>
      </c>
      <c r="L26" s="524">
        <v>30262</v>
      </c>
      <c r="M26" s="524">
        <v>16978</v>
      </c>
      <c r="N26" s="524">
        <v>999</v>
      </c>
      <c r="O26" s="524">
        <v>15209</v>
      </c>
      <c r="P26" s="524">
        <v>18348</v>
      </c>
      <c r="Q26" s="524">
        <v>4919</v>
      </c>
      <c r="R26" s="524">
        <v>1303</v>
      </c>
      <c r="S26" s="524">
        <v>19274</v>
      </c>
      <c r="T26" s="524">
        <v>-1555</v>
      </c>
      <c r="U26" s="524">
        <v>13395</v>
      </c>
      <c r="V26" s="524">
        <f>+SUM(V24:V25)</f>
        <v>7499.9999999999709</v>
      </c>
      <c r="W26" s="524">
        <f>+SUM(W24:W25)</f>
        <v>1182.9999999999709</v>
      </c>
      <c r="X26" s="524">
        <f>+SUM(X24:X25)</f>
        <v>5101.148659999948</v>
      </c>
      <c r="Y26" s="524">
        <f>+SUM(Y24:Y25)</f>
        <v>-3853.5034754000353</v>
      </c>
      <c r="Z26" s="524">
        <f>+SUM(Z24:Z25)</f>
        <v>-1903.0002799999793</v>
      </c>
      <c r="AA26" s="524">
        <f t="shared" ref="AA26:AF26" si="33">+SUM(AA24:AA25)</f>
        <v>-688.32862999998008</v>
      </c>
      <c r="AB26" s="524">
        <f t="shared" si="33"/>
        <v>3841.5552999999754</v>
      </c>
      <c r="AC26" s="524">
        <f t="shared" si="33"/>
        <v>12576.107320000019</v>
      </c>
      <c r="AD26" s="524">
        <f t="shared" si="33"/>
        <v>5452.2331999999906</v>
      </c>
      <c r="AE26" s="524">
        <f t="shared" si="33"/>
        <v>24056.729979999967</v>
      </c>
      <c r="AF26" s="524">
        <f t="shared" si="33"/>
        <v>15286.860620000039</v>
      </c>
      <c r="AG26" s="524">
        <f t="shared" ref="AG26:AM26" si="34">+SUM(AG24:AG25)</f>
        <v>58966.291639999938</v>
      </c>
      <c r="AH26" s="524">
        <f t="shared" si="34"/>
        <v>13996.041430000012</v>
      </c>
      <c r="AI26" s="524">
        <f t="shared" si="34"/>
        <v>28185.873939999947</v>
      </c>
      <c r="AJ26" s="524">
        <f t="shared" si="34"/>
        <v>31106.591149999935</v>
      </c>
      <c r="AK26" s="524">
        <f t="shared" si="34"/>
        <v>34961.001910000043</v>
      </c>
      <c r="AL26" s="751">
        <f t="shared" si="34"/>
        <v>26622.405009999984</v>
      </c>
      <c r="AM26" s="524">
        <f t="shared" si="34"/>
        <v>32513.429780000064</v>
      </c>
      <c r="AN26" s="524">
        <v>91391.468380000093</v>
      </c>
      <c r="AO26" s="524">
        <v>43444.958539999992</v>
      </c>
      <c r="AP26" s="524">
        <f t="shared" ref="AP26:AX26" si="35">+SUM(AP24:AP25)</f>
        <v>19286.424459999962</v>
      </c>
      <c r="AQ26" s="524">
        <f t="shared" si="35"/>
        <v>-4362.8403299999954</v>
      </c>
      <c r="AR26" s="524">
        <f t="shared" si="35"/>
        <v>29939.285839999957</v>
      </c>
      <c r="AS26" s="524">
        <f t="shared" si="35"/>
        <v>28646.496590000024</v>
      </c>
      <c r="AT26" s="524">
        <f t="shared" si="35"/>
        <v>20158.245349999932</v>
      </c>
      <c r="AU26" s="524">
        <f t="shared" si="35"/>
        <v>24155.960851199983</v>
      </c>
      <c r="AV26" s="524">
        <f t="shared" si="35"/>
        <v>34192.960199999994</v>
      </c>
      <c r="AW26" s="524">
        <f t="shared" si="35"/>
        <v>29278.483019999941</v>
      </c>
      <c r="AX26" s="524">
        <f t="shared" si="35"/>
        <v>18782.709109999967</v>
      </c>
      <c r="AY26" s="524">
        <v>30580.699055574954</v>
      </c>
      <c r="AZ26" s="524">
        <f t="shared" ref="AZ26:BK26" si="36">+SUM(AZ24:AZ25)</f>
        <v>53469.003068400016</v>
      </c>
      <c r="BA26" s="524">
        <f t="shared" si="36"/>
        <v>56832.361847199965</v>
      </c>
      <c r="BB26" s="524">
        <f t="shared" si="36"/>
        <v>34722.848997799796</v>
      </c>
      <c r="BC26" s="524">
        <f t="shared" si="36"/>
        <v>39856.318640000201</v>
      </c>
      <c r="BD26" s="524">
        <f t="shared" si="36"/>
        <v>56312.701230000086</v>
      </c>
      <c r="BE26" s="524">
        <f t="shared" si="36"/>
        <v>51020.691510000186</v>
      </c>
      <c r="BF26" s="524">
        <f t="shared" si="36"/>
        <v>37515.066839999767</v>
      </c>
      <c r="BG26" s="524">
        <f t="shared" si="36"/>
        <v>63514.657680000062</v>
      </c>
      <c r="BH26" s="524">
        <f t="shared" si="36"/>
        <v>84445.687500000116</v>
      </c>
      <c r="BI26" s="524">
        <v>85136.962249699864</v>
      </c>
      <c r="BJ26" s="524">
        <f t="shared" si="36"/>
        <v>43734.684299999877</v>
      </c>
      <c r="BK26" s="524">
        <f t="shared" si="36"/>
        <v>67118.508879999805</v>
      </c>
      <c r="BL26" s="524">
        <f>+SUM(BL24:BL25)</f>
        <v>79890.991030000063</v>
      </c>
      <c r="BM26" s="524">
        <f>+SUM(BM24:BM25)</f>
        <v>52218.377919999795</v>
      </c>
      <c r="BN26" s="524">
        <f>+SUM(BN24:BN25)</f>
        <v>38784.896120000078</v>
      </c>
      <c r="BO26" s="524">
        <f>+SUM(BO24:BO25)</f>
        <v>83113.685519999752</v>
      </c>
    </row>
    <row r="27" spans="1:67" hidden="1" outlineLevel="1" x14ac:dyDescent="0.2">
      <c r="A27" s="528" t="s">
        <v>1553</v>
      </c>
      <c r="B27" s="528" t="s">
        <v>713</v>
      </c>
      <c r="C27" s="636"/>
      <c r="D27" s="526" t="str">
        <f>IF([1]RENAME!$H$3=1,B27,A27)</f>
        <v>Efeitos extraordinários relacionados à venda da direct</v>
      </c>
      <c r="E27" s="529"/>
      <c r="F27" s="529"/>
      <c r="G27" s="529"/>
      <c r="H27" s="529"/>
      <c r="I27" s="529"/>
      <c r="J27" s="529">
        <v>0</v>
      </c>
      <c r="K27" s="529">
        <v>0</v>
      </c>
      <c r="L27" s="529">
        <v>0</v>
      </c>
      <c r="M27" s="529">
        <v>0</v>
      </c>
      <c r="N27" s="529">
        <v>0</v>
      </c>
      <c r="O27" s="529">
        <v>0</v>
      </c>
      <c r="P27" s="529">
        <v>0</v>
      </c>
      <c r="Q27" s="529">
        <v>0</v>
      </c>
      <c r="R27" s="529">
        <v>0</v>
      </c>
      <c r="S27" s="529">
        <v>-29236</v>
      </c>
      <c r="T27" s="529">
        <v>-26127</v>
      </c>
      <c r="U27" s="529">
        <v>0</v>
      </c>
      <c r="V27" s="529">
        <v>0</v>
      </c>
      <c r="W27" s="529">
        <v>0</v>
      </c>
      <c r="X27" s="529">
        <v>0</v>
      </c>
      <c r="Y27" s="529">
        <v>0</v>
      </c>
      <c r="Z27" s="529">
        <v>0</v>
      </c>
      <c r="AA27" s="529">
        <v>0</v>
      </c>
      <c r="AB27" s="529">
        <v>0</v>
      </c>
      <c r="AC27" s="529">
        <v>0</v>
      </c>
      <c r="AD27" s="529">
        <v>0</v>
      </c>
      <c r="AE27" s="529">
        <v>0</v>
      </c>
      <c r="AF27" s="529">
        <v>0</v>
      </c>
      <c r="AG27" s="529">
        <v>0</v>
      </c>
      <c r="AH27" s="529">
        <v>0</v>
      </c>
      <c r="AI27" s="529">
        <v>0</v>
      </c>
      <c r="AJ27" s="529">
        <v>0</v>
      </c>
      <c r="AK27" s="529">
        <v>0</v>
      </c>
      <c r="AL27" s="752">
        <v>0</v>
      </c>
      <c r="AM27" s="525">
        <v>0</v>
      </c>
      <c r="AN27" s="525">
        <v>0</v>
      </c>
      <c r="AO27" s="529">
        <v>0</v>
      </c>
      <c r="AP27" s="529">
        <v>0</v>
      </c>
      <c r="AQ27" s="529">
        <v>0</v>
      </c>
      <c r="AR27" s="529">
        <v>0</v>
      </c>
      <c r="AS27" s="529">
        <v>0</v>
      </c>
      <c r="AT27" s="529">
        <v>0</v>
      </c>
      <c r="AU27" s="529">
        <v>0</v>
      </c>
      <c r="AV27" s="529">
        <v>0</v>
      </c>
      <c r="AW27" s="529"/>
      <c r="AX27" s="529">
        <v>0</v>
      </c>
      <c r="AY27" s="529">
        <v>0</v>
      </c>
      <c r="AZ27" s="529">
        <v>0</v>
      </c>
      <c r="BA27" s="529">
        <v>0</v>
      </c>
      <c r="BB27" s="529">
        <v>0</v>
      </c>
      <c r="BC27" s="529">
        <v>0</v>
      </c>
      <c r="BD27" s="529">
        <v>0</v>
      </c>
      <c r="BE27" s="529">
        <v>0</v>
      </c>
      <c r="BF27" s="529"/>
      <c r="BG27" s="529"/>
      <c r="BH27" s="529"/>
      <c r="BI27" s="529">
        <v>0</v>
      </c>
      <c r="BJ27" s="529"/>
      <c r="BK27" s="529">
        <v>0</v>
      </c>
      <c r="BL27" s="529">
        <v>0</v>
      </c>
      <c r="BM27" s="529">
        <v>0</v>
      </c>
      <c r="BN27" s="529">
        <v>0</v>
      </c>
      <c r="BO27" s="529">
        <v>0</v>
      </c>
    </row>
    <row r="28" spans="1:67" collapsed="1" x14ac:dyDescent="0.2">
      <c r="A28" s="516" t="s">
        <v>72</v>
      </c>
      <c r="B28" s="516" t="s">
        <v>714</v>
      </c>
      <c r="D28" s="527" t="str">
        <f>IF([1]RENAME!$H$3=1,B28,A28)</f>
        <v>Lucro líquido</v>
      </c>
      <c r="E28" s="524">
        <f>SUM(E26:E27)</f>
        <v>40068</v>
      </c>
      <c r="F28" s="524">
        <f>SUM(F26:F27)</f>
        <v>52983</v>
      </c>
      <c r="G28" s="524">
        <f>SUM(G26:G27)</f>
        <v>76469</v>
      </c>
      <c r="H28" s="524">
        <f>SUM(H26:H27)</f>
        <v>122029</v>
      </c>
      <c r="I28" s="524">
        <f>SUM(I26:I27)</f>
        <v>130057</v>
      </c>
      <c r="J28" s="524">
        <v>13897</v>
      </c>
      <c r="K28" s="524">
        <v>19138</v>
      </c>
      <c r="L28" s="524">
        <v>32920</v>
      </c>
      <c r="M28" s="524">
        <v>17412</v>
      </c>
      <c r="N28" s="524">
        <v>4222</v>
      </c>
      <c r="O28" s="524">
        <v>17912.999999999942</v>
      </c>
      <c r="P28" s="524">
        <v>21092</v>
      </c>
      <c r="Q28" s="524">
        <v>6228</v>
      </c>
      <c r="R28" s="524">
        <v>1299</v>
      </c>
      <c r="S28" s="524">
        <v>-9969</v>
      </c>
      <c r="T28" s="524">
        <v>-27686</v>
      </c>
      <c r="U28" s="524">
        <v>13393</v>
      </c>
      <c r="V28" s="524">
        <v>7499.9999999999709</v>
      </c>
      <c r="W28" s="524">
        <v>1183</v>
      </c>
      <c r="X28" s="524">
        <v>5101.3234399999501</v>
      </c>
      <c r="Y28" s="524">
        <f t="shared" ref="Y28:AW28" si="37">+Y26</f>
        <v>-3853.5034754000353</v>
      </c>
      <c r="Z28" s="524">
        <f t="shared" si="37"/>
        <v>-1903.0002799999793</v>
      </c>
      <c r="AA28" s="524">
        <f t="shared" si="37"/>
        <v>-688.32862999998008</v>
      </c>
      <c r="AB28" s="524">
        <f t="shared" si="37"/>
        <v>3841.5552999999754</v>
      </c>
      <c r="AC28" s="524">
        <f t="shared" si="37"/>
        <v>12576.107320000019</v>
      </c>
      <c r="AD28" s="524">
        <f t="shared" si="37"/>
        <v>5452.2331999999906</v>
      </c>
      <c r="AE28" s="524">
        <f t="shared" si="37"/>
        <v>24056.729979999967</v>
      </c>
      <c r="AF28" s="524">
        <f t="shared" si="37"/>
        <v>15286.860620000039</v>
      </c>
      <c r="AG28" s="524">
        <f t="shared" si="37"/>
        <v>58966.291639999938</v>
      </c>
      <c r="AH28" s="524">
        <f t="shared" si="37"/>
        <v>13996.041430000012</v>
      </c>
      <c r="AI28" s="524">
        <f t="shared" si="37"/>
        <v>28185.873939999947</v>
      </c>
      <c r="AJ28" s="524">
        <f t="shared" si="37"/>
        <v>31106.591149999935</v>
      </c>
      <c r="AK28" s="524">
        <f t="shared" si="37"/>
        <v>34961.001910000043</v>
      </c>
      <c r="AL28" s="751">
        <f t="shared" si="37"/>
        <v>26622.405009999984</v>
      </c>
      <c r="AM28" s="524">
        <f t="shared" si="37"/>
        <v>32513.429780000064</v>
      </c>
      <c r="AN28" s="524">
        <f t="shared" si="37"/>
        <v>91391.468380000093</v>
      </c>
      <c r="AO28" s="524">
        <f t="shared" si="37"/>
        <v>43444.958539999992</v>
      </c>
      <c r="AP28" s="524">
        <f t="shared" si="37"/>
        <v>19286.424459999962</v>
      </c>
      <c r="AQ28" s="524">
        <f t="shared" si="37"/>
        <v>-4362.8403299999954</v>
      </c>
      <c r="AR28" s="524">
        <f t="shared" si="37"/>
        <v>29939.285839999957</v>
      </c>
      <c r="AS28" s="524">
        <f t="shared" si="37"/>
        <v>28646.496590000024</v>
      </c>
      <c r="AT28" s="524">
        <f t="shared" si="37"/>
        <v>20158.245349999932</v>
      </c>
      <c r="AU28" s="524">
        <f t="shared" si="37"/>
        <v>24155.960851199983</v>
      </c>
      <c r="AV28" s="524">
        <f t="shared" si="37"/>
        <v>34192.960199999994</v>
      </c>
      <c r="AW28" s="524">
        <f t="shared" si="37"/>
        <v>29278.483019999941</v>
      </c>
      <c r="AX28" s="524">
        <v>18782.709109999967</v>
      </c>
      <c r="AY28" s="524">
        <v>30580.699055574954</v>
      </c>
      <c r="AZ28" s="524">
        <f t="shared" ref="AZ28:BK28" si="38">+AZ26</f>
        <v>53469.003068400016</v>
      </c>
      <c r="BA28" s="524">
        <f t="shared" si="38"/>
        <v>56832.361847199965</v>
      </c>
      <c r="BB28" s="524">
        <f t="shared" si="38"/>
        <v>34722.848997799796</v>
      </c>
      <c r="BC28" s="524">
        <f t="shared" si="38"/>
        <v>39856.318640000201</v>
      </c>
      <c r="BD28" s="524">
        <f t="shared" si="38"/>
        <v>56312.701230000086</v>
      </c>
      <c r="BE28" s="524">
        <f t="shared" si="38"/>
        <v>51020.691510000186</v>
      </c>
      <c r="BF28" s="524">
        <f t="shared" si="38"/>
        <v>37515.066839999767</v>
      </c>
      <c r="BG28" s="524">
        <f t="shared" si="38"/>
        <v>63514.657680000062</v>
      </c>
      <c r="BH28" s="524">
        <f t="shared" si="38"/>
        <v>84445.687500000116</v>
      </c>
      <c r="BI28" s="524">
        <f t="shared" si="38"/>
        <v>85136.962249699864</v>
      </c>
      <c r="BJ28" s="524">
        <f>+BJ26</f>
        <v>43734.684299999877</v>
      </c>
      <c r="BK28" s="524">
        <f t="shared" si="38"/>
        <v>67118.508879999805</v>
      </c>
      <c r="BL28" s="524">
        <f>+BL26</f>
        <v>79890.991030000063</v>
      </c>
      <c r="BM28" s="524">
        <f>+BM26</f>
        <v>52218.377919999795</v>
      </c>
      <c r="BN28" s="524">
        <f>+BN26</f>
        <v>38784.896120000078</v>
      </c>
      <c r="BO28" s="524">
        <f>+BO26</f>
        <v>83113.685519999752</v>
      </c>
    </row>
    <row r="29" spans="1:67" ht="13.5" customHeight="1" x14ac:dyDescent="0.2">
      <c r="A29" s="528" t="s">
        <v>1840</v>
      </c>
      <c r="B29" s="528" t="s">
        <v>686</v>
      </c>
      <c r="C29" s="636"/>
      <c r="D29" s="526" t="str">
        <f>IF([1]RENAME!$H$3=1,B29,A29)</f>
        <v>Atribuível aos acionistas não controladores</v>
      </c>
      <c r="E29" s="487">
        <v>1</v>
      </c>
      <c r="F29" s="487">
        <v>27</v>
      </c>
      <c r="G29" s="487">
        <v>11</v>
      </c>
      <c r="H29" s="487">
        <v>-9</v>
      </c>
      <c r="I29" s="487">
        <v>-1691</v>
      </c>
      <c r="J29" s="487">
        <v>417</v>
      </c>
      <c r="K29" s="487">
        <v>-217</v>
      </c>
      <c r="L29" s="487">
        <v>-2658</v>
      </c>
      <c r="M29" s="487">
        <v>-434</v>
      </c>
      <c r="N29" s="487">
        <v>-3223</v>
      </c>
      <c r="O29" s="487">
        <v>-2704</v>
      </c>
      <c r="P29" s="487">
        <v>-2744</v>
      </c>
      <c r="Q29" s="487">
        <v>-1309</v>
      </c>
      <c r="R29" s="487">
        <v>4</v>
      </c>
      <c r="S29" s="487">
        <v>7</v>
      </c>
      <c r="T29" s="487">
        <v>4</v>
      </c>
      <c r="U29" s="487">
        <v>2</v>
      </c>
      <c r="V29" s="487">
        <v>0</v>
      </c>
      <c r="W29" s="487">
        <v>0</v>
      </c>
      <c r="X29" s="487">
        <v>0</v>
      </c>
      <c r="Y29" s="487">
        <v>0</v>
      </c>
      <c r="Z29" s="487">
        <v>0</v>
      </c>
      <c r="AA29" s="487">
        <v>0</v>
      </c>
      <c r="AB29" s="487">
        <v>0</v>
      </c>
      <c r="AC29" s="487">
        <v>0</v>
      </c>
      <c r="AD29" s="487">
        <v>0</v>
      </c>
      <c r="AE29" s="487">
        <v>0</v>
      </c>
      <c r="AF29" s="487">
        <v>0</v>
      </c>
      <c r="AG29" s="487">
        <v>0</v>
      </c>
      <c r="AH29" s="487">
        <v>0</v>
      </c>
      <c r="AI29" s="487">
        <v>0</v>
      </c>
      <c r="AJ29" s="487">
        <v>0</v>
      </c>
      <c r="AK29" s="487">
        <v>0</v>
      </c>
      <c r="AL29" s="488">
        <v>0</v>
      </c>
      <c r="AM29" s="487">
        <v>0</v>
      </c>
      <c r="AN29" s="487">
        <v>0</v>
      </c>
      <c r="AO29" s="487">
        <v>0</v>
      </c>
      <c r="AP29" s="487">
        <v>0</v>
      </c>
      <c r="AQ29" s="487">
        <v>0</v>
      </c>
      <c r="AR29" s="487">
        <v>0</v>
      </c>
      <c r="AS29" s="487">
        <v>-117</v>
      </c>
      <c r="AT29" s="487">
        <v>-90</v>
      </c>
      <c r="AU29" s="487">
        <v>-27.967488799999987</v>
      </c>
      <c r="AV29" s="487">
        <v>-44</v>
      </c>
      <c r="AW29" s="487">
        <v>-146.40199999999999</v>
      </c>
      <c r="AX29" s="487">
        <v>73</v>
      </c>
      <c r="AY29" s="487">
        <v>111.34514557500006</v>
      </c>
      <c r="AZ29" s="487">
        <v>74.033388400000135</v>
      </c>
      <c r="BA29" s="487">
        <v>109.679</v>
      </c>
      <c r="BB29" s="487">
        <v>224.09200000000001</v>
      </c>
      <c r="BC29" s="487">
        <v>196.09647000000001</v>
      </c>
      <c r="BD29" s="487">
        <v>136.32814999999999</v>
      </c>
      <c r="BE29" s="487">
        <v>-56.032869999999996</v>
      </c>
      <c r="BF29" s="487">
        <v>232.13898999999998</v>
      </c>
      <c r="BG29" s="487">
        <v>262.44155999999998</v>
      </c>
      <c r="BH29" s="487">
        <v>224.55350000000001</v>
      </c>
      <c r="BI29" s="487">
        <v>75.921869999999998</v>
      </c>
      <c r="BJ29" s="487">
        <v>0</v>
      </c>
      <c r="BK29" s="487">
        <v>0</v>
      </c>
      <c r="BL29" s="487">
        <v>0</v>
      </c>
      <c r="BM29" s="487">
        <v>0</v>
      </c>
      <c r="BN29" s="487">
        <v>0</v>
      </c>
      <c r="BO29" s="487">
        <f>(-[4]Base_DRE!$X$52)</f>
        <v>0</v>
      </c>
    </row>
    <row r="30" spans="1:67" x14ac:dyDescent="0.2">
      <c r="A30" s="516" t="s">
        <v>1839</v>
      </c>
      <c r="B30" s="516" t="s">
        <v>714</v>
      </c>
      <c r="D30" s="530" t="str">
        <f>IF([1]RENAME!$H$3=1,B30,A30)</f>
        <v>Atribuível aos acionistas controladores</v>
      </c>
      <c r="E30" s="484">
        <f t="shared" ref="E30:AN30" si="39">E28+E29</f>
        <v>40069</v>
      </c>
      <c r="F30" s="484">
        <f t="shared" si="39"/>
        <v>53010</v>
      </c>
      <c r="G30" s="484">
        <f t="shared" si="39"/>
        <v>76480</v>
      </c>
      <c r="H30" s="484">
        <f t="shared" si="39"/>
        <v>122020</v>
      </c>
      <c r="I30" s="484">
        <f t="shared" si="39"/>
        <v>128366</v>
      </c>
      <c r="J30" s="484">
        <f t="shared" si="39"/>
        <v>14314</v>
      </c>
      <c r="K30" s="484">
        <f t="shared" si="39"/>
        <v>18921</v>
      </c>
      <c r="L30" s="484">
        <f t="shared" si="39"/>
        <v>30262</v>
      </c>
      <c r="M30" s="484">
        <f t="shared" si="39"/>
        <v>16978</v>
      </c>
      <c r="N30" s="484">
        <f t="shared" si="39"/>
        <v>999</v>
      </c>
      <c r="O30" s="484">
        <f t="shared" si="39"/>
        <v>15208.999999999942</v>
      </c>
      <c r="P30" s="484">
        <f t="shared" si="39"/>
        <v>18348</v>
      </c>
      <c r="Q30" s="484">
        <f t="shared" si="39"/>
        <v>4919</v>
      </c>
      <c r="R30" s="484">
        <f t="shared" si="39"/>
        <v>1303</v>
      </c>
      <c r="S30" s="484">
        <f t="shared" si="39"/>
        <v>-9962</v>
      </c>
      <c r="T30" s="484">
        <f t="shared" si="39"/>
        <v>-27682</v>
      </c>
      <c r="U30" s="484">
        <f t="shared" si="39"/>
        <v>13395</v>
      </c>
      <c r="V30" s="484">
        <f t="shared" si="39"/>
        <v>7499.9999999999709</v>
      </c>
      <c r="W30" s="484">
        <f t="shared" si="39"/>
        <v>1183</v>
      </c>
      <c r="X30" s="484">
        <f t="shared" si="39"/>
        <v>5101.3234399999501</v>
      </c>
      <c r="Y30" s="484">
        <f t="shared" si="39"/>
        <v>-3853.5034754000353</v>
      </c>
      <c r="Z30" s="484">
        <f t="shared" si="39"/>
        <v>-1903.0002799999793</v>
      </c>
      <c r="AA30" s="484">
        <f t="shared" si="39"/>
        <v>-688.32862999998008</v>
      </c>
      <c r="AB30" s="484">
        <f t="shared" si="39"/>
        <v>3841.5552999999754</v>
      </c>
      <c r="AC30" s="484">
        <f t="shared" si="39"/>
        <v>12576.107320000019</v>
      </c>
      <c r="AD30" s="484">
        <f t="shared" si="39"/>
        <v>5452.2331999999906</v>
      </c>
      <c r="AE30" s="484">
        <f t="shared" si="39"/>
        <v>24056.729979999967</v>
      </c>
      <c r="AF30" s="484">
        <f t="shared" si="39"/>
        <v>15286.860620000039</v>
      </c>
      <c r="AG30" s="484">
        <f t="shared" si="39"/>
        <v>58966.291639999938</v>
      </c>
      <c r="AH30" s="484">
        <f t="shared" si="39"/>
        <v>13996.041430000012</v>
      </c>
      <c r="AI30" s="484">
        <f t="shared" si="39"/>
        <v>28185.873939999947</v>
      </c>
      <c r="AJ30" s="484">
        <f t="shared" si="39"/>
        <v>31106.591149999935</v>
      </c>
      <c r="AK30" s="484">
        <f t="shared" si="39"/>
        <v>34961.001910000043</v>
      </c>
      <c r="AL30" s="485">
        <f t="shared" si="39"/>
        <v>26622.405009999984</v>
      </c>
      <c r="AM30" s="484">
        <f t="shared" si="39"/>
        <v>32513.429780000064</v>
      </c>
      <c r="AN30" s="484">
        <f t="shared" si="39"/>
        <v>91391.468380000093</v>
      </c>
      <c r="AO30" s="484">
        <f>AO28+AO29</f>
        <v>43444.958539999992</v>
      </c>
      <c r="AP30" s="484">
        <f>AP28+AP29</f>
        <v>19286.424459999962</v>
      </c>
      <c r="AQ30" s="484">
        <f>AQ28+AQ29</f>
        <v>-4362.8403299999954</v>
      </c>
      <c r="AR30" s="484">
        <f>AR28+AR29</f>
        <v>29939.285839999957</v>
      </c>
      <c r="AS30" s="484">
        <f t="shared" ref="AS30:AX30" si="40">AS28-AS29</f>
        <v>28763.496590000024</v>
      </c>
      <c r="AT30" s="484">
        <f t="shared" si="40"/>
        <v>20248.245349999932</v>
      </c>
      <c r="AU30" s="484">
        <f t="shared" si="40"/>
        <v>24183.928339999984</v>
      </c>
      <c r="AV30" s="484">
        <f t="shared" si="40"/>
        <v>34236.960199999994</v>
      </c>
      <c r="AW30" s="484">
        <f t="shared" si="40"/>
        <v>29424.88501999994</v>
      </c>
      <c r="AX30" s="484">
        <f t="shared" si="40"/>
        <v>18709.709109999967</v>
      </c>
      <c r="AY30" s="484">
        <v>30469.353909999954</v>
      </c>
      <c r="AZ30" s="484">
        <f t="shared" ref="AZ30:BK30" si="41">AZ28-AZ29</f>
        <v>53394.969680000017</v>
      </c>
      <c r="BA30" s="484">
        <f t="shared" si="41"/>
        <v>56722.682847199969</v>
      </c>
      <c r="BB30" s="484">
        <f t="shared" si="41"/>
        <v>34498.756997799799</v>
      </c>
      <c r="BC30" s="484">
        <f t="shared" si="41"/>
        <v>39660.222170000205</v>
      </c>
      <c r="BD30" s="484">
        <f t="shared" si="41"/>
        <v>56176.373080000085</v>
      </c>
      <c r="BE30" s="484">
        <f t="shared" si="41"/>
        <v>51076.724380000189</v>
      </c>
      <c r="BF30" s="484">
        <f t="shared" si="41"/>
        <v>37282.927849999767</v>
      </c>
      <c r="BG30" s="484">
        <f t="shared" si="41"/>
        <v>63252.216120000063</v>
      </c>
      <c r="BH30" s="484">
        <f t="shared" si="41"/>
        <v>84221.134000000122</v>
      </c>
      <c r="BI30" s="484">
        <f t="shared" si="41"/>
        <v>85061.040379699858</v>
      </c>
      <c r="BJ30" s="484">
        <f t="shared" si="41"/>
        <v>43734.684299999877</v>
      </c>
      <c r="BK30" s="484">
        <f t="shared" si="41"/>
        <v>67118.508879999805</v>
      </c>
      <c r="BL30" s="484">
        <f>BL28-BL29</f>
        <v>79890.991030000063</v>
      </c>
      <c r="BM30" s="484">
        <f>BM28-BM29</f>
        <v>52218.377919999795</v>
      </c>
      <c r="BN30" s="484">
        <f>BN28-BN29</f>
        <v>38784.896120000078</v>
      </c>
      <c r="BO30" s="484">
        <f>BO28-BO29</f>
        <v>83113.685519999752</v>
      </c>
    </row>
    <row r="31" spans="1:67" ht="13.5" customHeight="1" x14ac:dyDescent="0.2">
      <c r="A31" s="518" t="s">
        <v>74</v>
      </c>
      <c r="B31" s="518" t="s">
        <v>715</v>
      </c>
      <c r="C31" s="644"/>
      <c r="D31" s="531" t="str">
        <f>IF([1]RENAME!$H$3=1,B31,A31)</f>
        <v>² Informações ajustadas dos efeitos extraordinários relacionados à venda da Direct, detalhada na aba "Anexos"</v>
      </c>
      <c r="E31" s="1158"/>
      <c r="F31" s="1158"/>
      <c r="G31" s="1158"/>
      <c r="H31" s="1158"/>
      <c r="I31" s="1158"/>
      <c r="J31" s="1158"/>
      <c r="K31" s="1158"/>
      <c r="L31" s="1158"/>
      <c r="M31" s="1158"/>
      <c r="N31" s="1158"/>
      <c r="O31" s="1158"/>
      <c r="P31" s="1158"/>
      <c r="Q31" s="1158"/>
      <c r="R31" s="1158"/>
      <c r="S31" s="1158"/>
      <c r="T31" s="1158"/>
      <c r="U31" s="1158"/>
      <c r="V31" s="1158"/>
      <c r="W31" s="1158"/>
      <c r="X31" s="1158"/>
      <c r="Y31" s="1158"/>
      <c r="Z31" s="1158"/>
      <c r="AA31" s="1158"/>
      <c r="AB31" s="1158"/>
      <c r="AC31" s="1158"/>
      <c r="AD31" s="1158"/>
      <c r="AE31" s="1158"/>
      <c r="AF31" s="1158"/>
      <c r="AG31" s="1158"/>
      <c r="AH31" s="1158"/>
      <c r="AI31" s="1158"/>
      <c r="AJ31" s="1158"/>
      <c r="AK31" s="1158"/>
      <c r="AL31" s="1158"/>
      <c r="AM31" s="1158"/>
      <c r="AN31" s="1158"/>
      <c r="AO31" s="1158"/>
      <c r="AP31" s="1158"/>
      <c r="AQ31" s="1158"/>
      <c r="AR31" s="1158"/>
      <c r="AS31" s="1158"/>
      <c r="AT31" s="1158"/>
      <c r="AU31" s="1158"/>
      <c r="AV31" s="1158"/>
      <c r="AW31" s="1158"/>
      <c r="AX31" s="1158"/>
      <c r="AY31" s="1158"/>
      <c r="AZ31" s="1158"/>
      <c r="BA31" s="1158"/>
      <c r="BB31" s="1158"/>
      <c r="BC31" s="1158"/>
      <c r="BD31" s="1158"/>
      <c r="BE31" s="1158"/>
      <c r="BF31" s="1158"/>
      <c r="BG31" s="1158"/>
      <c r="BH31" s="1158"/>
      <c r="BI31" s="1158"/>
      <c r="BJ31" s="1158"/>
      <c r="BK31" s="1158"/>
      <c r="BL31" s="1158"/>
      <c r="BM31" s="1158"/>
      <c r="BN31" s="1158"/>
      <c r="BO31" s="1158"/>
    </row>
    <row r="32" spans="1:67" x14ac:dyDescent="0.2">
      <c r="BB32" s="1157"/>
      <c r="BF32" s="1247"/>
      <c r="BG32" s="1247"/>
      <c r="BH32" s="1247"/>
      <c r="BI32" s="1247"/>
      <c r="BJ32" s="1247"/>
      <c r="BK32" s="1247"/>
      <c r="BL32" s="1247"/>
      <c r="BM32" s="1247"/>
      <c r="BN32" s="1247"/>
      <c r="BO32" s="1247"/>
    </row>
    <row r="33" spans="10:67" x14ac:dyDescent="0.2">
      <c r="AS33" s="1146"/>
      <c r="AW33" s="1146"/>
      <c r="BA33" s="1146"/>
      <c r="BG33" s="1220"/>
      <c r="BH33" s="1220"/>
      <c r="BI33" s="1220"/>
      <c r="BJ33" s="1220"/>
      <c r="BK33" s="1220"/>
      <c r="BL33" s="1220"/>
      <c r="BM33" s="1220"/>
      <c r="BN33" s="1220"/>
      <c r="BO33" s="1220"/>
    </row>
    <row r="34" spans="10:67" x14ac:dyDescent="0.2">
      <c r="BG34" s="1220"/>
      <c r="BH34" s="1220"/>
      <c r="BI34" s="1220"/>
      <c r="BJ34" s="1220"/>
      <c r="BK34" s="1220"/>
      <c r="BL34" s="1220"/>
      <c r="BM34" s="1220"/>
      <c r="BN34" s="1220"/>
      <c r="BO34" s="1220"/>
    </row>
    <row r="35" spans="10:67" x14ac:dyDescent="0.2">
      <c r="BG35" s="1220"/>
      <c r="BH35" s="1220"/>
      <c r="BI35" s="1220"/>
      <c r="BJ35" s="1220"/>
      <c r="BK35" s="1220"/>
      <c r="BL35" s="1220"/>
      <c r="BM35" s="1220"/>
      <c r="BN35" s="1220"/>
      <c r="BO35" s="1220"/>
    </row>
    <row r="36" spans="10:67" x14ac:dyDescent="0.2">
      <c r="BG36" s="1220"/>
      <c r="BH36" s="1220"/>
      <c r="BI36" s="1220"/>
      <c r="BJ36" s="1220"/>
      <c r="BK36" s="1220"/>
      <c r="BL36" s="1220"/>
      <c r="BM36" s="1220"/>
      <c r="BN36" s="1220"/>
      <c r="BO36" s="1220"/>
    </row>
    <row r="37" spans="10:67" x14ac:dyDescent="0.2">
      <c r="J37" s="266"/>
      <c r="K37" s="266"/>
      <c r="L37" s="266"/>
      <c r="M37" s="266"/>
      <c r="N37" s="637"/>
      <c r="O37" s="637"/>
      <c r="P37" s="1071"/>
      <c r="Q37" s="1071"/>
      <c r="R37" s="1071"/>
      <c r="S37" s="1071"/>
      <c r="T37" s="1071"/>
      <c r="U37" s="1071"/>
      <c r="V37" s="637"/>
      <c r="W37" s="637"/>
      <c r="X37" s="637"/>
      <c r="Y37" s="266"/>
      <c r="Z37" s="266"/>
      <c r="AA37" s="266"/>
      <c r="AB37" s="266"/>
      <c r="AC37" s="266"/>
      <c r="AD37" s="266"/>
      <c r="AE37" s="266"/>
      <c r="AF37" s="266"/>
      <c r="AG37" s="266"/>
      <c r="AH37" s="266" t="s">
        <v>1582</v>
      </c>
      <c r="AI37" s="266" t="s">
        <v>1582</v>
      </c>
      <c r="AJ37" s="266"/>
      <c r="AK37" s="266"/>
      <c r="AL37" s="266" t="s">
        <v>1577</v>
      </c>
      <c r="AM37" s="266" t="s">
        <v>1577</v>
      </c>
      <c r="AN37" s="266"/>
      <c r="AO37" s="266"/>
      <c r="AP37" s="266" t="s">
        <v>1648</v>
      </c>
      <c r="AQ37" s="266" t="s">
        <v>1648</v>
      </c>
      <c r="AR37" s="266"/>
      <c r="AS37" s="266"/>
      <c r="AT37" s="266" t="s">
        <v>1864</v>
      </c>
      <c r="AU37" s="266" t="s">
        <v>1864</v>
      </c>
      <c r="AV37" s="266"/>
      <c r="AW37" s="266"/>
      <c r="AX37" s="266"/>
      <c r="AY37" s="266"/>
      <c r="AZ37" s="266"/>
      <c r="BA37" s="266"/>
      <c r="BB37" s="266"/>
      <c r="BC37" s="266"/>
      <c r="BD37" s="266"/>
      <c r="BE37" s="266"/>
      <c r="BF37" s="266"/>
      <c r="BG37" s="266"/>
      <c r="BH37" s="266"/>
      <c r="BI37" s="266"/>
      <c r="BJ37" s="266"/>
      <c r="BK37" s="266"/>
      <c r="BL37" s="266"/>
      <c r="BM37" s="266"/>
      <c r="BN37" s="266"/>
      <c r="BO37" s="266"/>
    </row>
    <row r="38" spans="10:67" x14ac:dyDescent="0.2">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t="s">
        <v>1646</v>
      </c>
      <c r="AI38" s="266" t="s">
        <v>1646</v>
      </c>
      <c r="AJ38" s="266" t="s">
        <v>1646</v>
      </c>
      <c r="AK38" s="266"/>
      <c r="AL38" s="266" t="s">
        <v>1645</v>
      </c>
      <c r="AM38" s="266" t="s">
        <v>1645</v>
      </c>
      <c r="AN38" s="266" t="s">
        <v>1645</v>
      </c>
      <c r="AO38" s="266"/>
      <c r="AP38" s="266" t="s">
        <v>1647</v>
      </c>
      <c r="AQ38" s="266" t="s">
        <v>1647</v>
      </c>
      <c r="AR38" s="266" t="s">
        <v>1647</v>
      </c>
      <c r="AS38" s="266"/>
      <c r="AT38" s="266" t="s">
        <v>1865</v>
      </c>
      <c r="AU38" s="266" t="s">
        <v>1865</v>
      </c>
      <c r="AV38" s="266" t="s">
        <v>1865</v>
      </c>
      <c r="AW38" s="266"/>
      <c r="AX38" s="266" t="s">
        <v>1950</v>
      </c>
      <c r="AY38" s="266" t="s">
        <v>1950</v>
      </c>
      <c r="AZ38" s="266" t="s">
        <v>1950</v>
      </c>
      <c r="BA38" s="266"/>
      <c r="BB38" s="266" t="s">
        <v>2072</v>
      </c>
      <c r="BC38" s="266" t="s">
        <v>2072</v>
      </c>
      <c r="BD38" s="266" t="s">
        <v>2072</v>
      </c>
      <c r="BE38" s="266" t="s">
        <v>2072</v>
      </c>
      <c r="BF38" s="266"/>
      <c r="BG38" s="266"/>
      <c r="BH38" s="266"/>
      <c r="BI38" s="266"/>
      <c r="BJ38" s="266"/>
      <c r="BK38" s="266" t="s">
        <v>2072</v>
      </c>
      <c r="BL38" s="266" t="s">
        <v>2072</v>
      </c>
      <c r="BM38" s="266" t="s">
        <v>2072</v>
      </c>
      <c r="BN38" s="266" t="s">
        <v>2072</v>
      </c>
      <c r="BO38" s="266" t="s">
        <v>2072</v>
      </c>
    </row>
    <row r="39" spans="10:67" x14ac:dyDescent="0.2">
      <c r="J39" s="840">
        <f>K39</f>
        <v>2012</v>
      </c>
      <c r="K39" s="840">
        <f>L39</f>
        <v>2012</v>
      </c>
      <c r="L39" s="840">
        <f>M39</f>
        <v>2012</v>
      </c>
      <c r="M39" s="840">
        <f>N39-1</f>
        <v>2012</v>
      </c>
      <c r="N39" s="840">
        <f>O39</f>
        <v>2013</v>
      </c>
      <c r="O39" s="840">
        <f>P39</f>
        <v>2013</v>
      </c>
      <c r="P39" s="840">
        <f>Q39</f>
        <v>2013</v>
      </c>
      <c r="Q39" s="840">
        <f>R39-1</f>
        <v>2013</v>
      </c>
      <c r="R39" s="840">
        <f>S39</f>
        <v>2014</v>
      </c>
      <c r="S39" s="840">
        <f>T39</f>
        <v>2014</v>
      </c>
      <c r="T39" s="840">
        <f>U39</f>
        <v>2014</v>
      </c>
      <c r="U39" s="840">
        <f>V39-1</f>
        <v>2014</v>
      </c>
      <c r="V39" s="840">
        <f>W39</f>
        <v>2015</v>
      </c>
      <c r="W39" s="840">
        <f>X39</f>
        <v>2015</v>
      </c>
      <c r="X39" s="840">
        <f>Y39</f>
        <v>2015</v>
      </c>
      <c r="Y39" s="840">
        <f>Z39-1</f>
        <v>2015</v>
      </c>
      <c r="Z39" s="840">
        <f>AA39</f>
        <v>2016</v>
      </c>
      <c r="AA39" s="840">
        <f>AB39</f>
        <v>2016</v>
      </c>
      <c r="AB39" s="840">
        <f>AC39</f>
        <v>2016</v>
      </c>
      <c r="AC39" s="840">
        <f>AD39-1</f>
        <v>2016</v>
      </c>
      <c r="AD39" s="840">
        <f>AE39</f>
        <v>2017</v>
      </c>
      <c r="AE39" s="840">
        <f>AF39</f>
        <v>2017</v>
      </c>
      <c r="AF39" s="840">
        <f>AG39</f>
        <v>2017</v>
      </c>
      <c r="AG39" s="840">
        <f>AH39-1</f>
        <v>2017</v>
      </c>
      <c r="AH39" s="840">
        <f>AI39</f>
        <v>2018</v>
      </c>
      <c r="AI39" s="840">
        <f>AJ39</f>
        <v>2018</v>
      </c>
      <c r="AJ39" s="840">
        <f>AK39</f>
        <v>2018</v>
      </c>
      <c r="AK39" s="840">
        <f>AL39-1</f>
        <v>2018</v>
      </c>
      <c r="AL39" s="841">
        <v>2019</v>
      </c>
      <c r="AM39" s="841">
        <v>2019</v>
      </c>
      <c r="AN39" s="841">
        <v>2019</v>
      </c>
      <c r="AO39" s="841">
        <v>2019</v>
      </c>
      <c r="AP39" s="841">
        <v>2020</v>
      </c>
      <c r="AQ39" s="841">
        <v>2020</v>
      </c>
      <c r="AR39" s="841">
        <v>2020</v>
      </c>
      <c r="AS39" s="841">
        <v>2020</v>
      </c>
      <c r="AT39" s="841">
        <v>2021</v>
      </c>
      <c r="AU39" s="841">
        <v>2021</v>
      </c>
      <c r="AV39" s="841">
        <v>2021</v>
      </c>
      <c r="AW39" s="841">
        <v>2021</v>
      </c>
      <c r="AX39" s="841">
        <v>2022</v>
      </c>
      <c r="AY39" s="841">
        <v>2022</v>
      </c>
      <c r="AZ39" s="841">
        <v>2022</v>
      </c>
      <c r="BA39" s="841">
        <v>2022</v>
      </c>
      <c r="BB39" s="841">
        <v>2023</v>
      </c>
      <c r="BC39" s="841">
        <v>2023</v>
      </c>
      <c r="BD39" s="841">
        <v>2023</v>
      </c>
      <c r="BE39" s="841">
        <v>2023</v>
      </c>
      <c r="BF39" s="841"/>
      <c r="BG39" s="841"/>
      <c r="BH39" s="841"/>
      <c r="BI39" s="841"/>
      <c r="BJ39" s="841"/>
      <c r="BK39" s="841">
        <v>2023</v>
      </c>
      <c r="BL39" s="841">
        <v>2023</v>
      </c>
      <c r="BM39" s="841">
        <v>2023</v>
      </c>
      <c r="BN39" s="841">
        <v>2023</v>
      </c>
      <c r="BO39" s="841">
        <v>2023</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3">
    <tabColor theme="9"/>
    <pageSetUpPr autoPageBreaks="0" fitToPage="1"/>
  </sheetPr>
  <dimension ref="A1:BL112"/>
  <sheetViews>
    <sheetView showGridLines="0" zoomScaleNormal="100" workbookViewId="0">
      <pane xSplit="4" ySplit="5" topLeftCell="AU6" activePane="bottomRight" state="frozen"/>
      <selection activeCell="AV12" sqref="AV12"/>
      <selection pane="topRight" activeCell="AV12" sqref="AV12"/>
      <selection pane="bottomLeft" activeCell="AV12" sqref="AV12"/>
      <selection pane="bottomRight" activeCell="BH23" sqref="BH23"/>
    </sheetView>
  </sheetViews>
  <sheetFormatPr defaultColWidth="9.140625" defaultRowHeight="14.25" customHeight="1" outlineLevelRow="1" x14ac:dyDescent="0.2"/>
  <cols>
    <col min="1" max="1" width="7.85546875" style="1" hidden="1" customWidth="1"/>
    <col min="2" max="2" width="9.140625" style="1" hidden="1" customWidth="1"/>
    <col min="3" max="3" width="1.42578125" style="1" customWidth="1"/>
    <col min="4" max="4" width="39.85546875" style="1" customWidth="1"/>
    <col min="5" max="26" width="10.85546875" style="1" customWidth="1"/>
    <col min="27" max="30" width="10.140625" style="1" bestFit="1" customWidth="1"/>
    <col min="31" max="33" width="10.140625" style="1" customWidth="1"/>
    <col min="34" max="34" width="11.140625" style="1" bestFit="1" customWidth="1"/>
    <col min="35" max="35" width="11.140625" style="1" customWidth="1"/>
    <col min="36" max="40" width="9.140625" style="1"/>
    <col min="41" max="41" width="10.140625" style="1" bestFit="1" customWidth="1"/>
    <col min="42" max="44" width="9.140625" style="1"/>
    <col min="45" max="45" width="10.140625" style="1" bestFit="1" customWidth="1"/>
    <col min="46" max="51" width="9.140625" style="1"/>
    <col min="52" max="52" width="9.140625" style="1" bestFit="1" customWidth="1"/>
    <col min="53" max="57" width="9.42578125" style="1" bestFit="1" customWidth="1"/>
    <col min="58" max="61" width="10.140625" style="1" bestFit="1" customWidth="1"/>
    <col min="62" max="62" width="10.85546875" style="1" bestFit="1" customWidth="1"/>
    <col min="63" max="16384" width="9.140625" style="1"/>
  </cols>
  <sheetData>
    <row r="1" spans="1:64" ht="16.5" customHeight="1" x14ac:dyDescent="0.2">
      <c r="E1" s="266" t="s">
        <v>7</v>
      </c>
      <c r="F1" s="266" t="str">
        <f t="shared" ref="F1:AH1" si="0">IF(LEFT(E1,1)="4","1T"&amp;RIGHT(E1,2)+1,LEFT(E1,1)+1&amp;RIGHT(E1,3))</f>
        <v>2T12</v>
      </c>
      <c r="G1" s="266" t="str">
        <f t="shared" si="0"/>
        <v>3T12</v>
      </c>
      <c r="H1" s="266" t="str">
        <f t="shared" si="0"/>
        <v>4T12</v>
      </c>
      <c r="I1" s="266" t="str">
        <f t="shared" si="0"/>
        <v>1T13</v>
      </c>
      <c r="J1" s="266" t="str">
        <f t="shared" si="0"/>
        <v>2T13</v>
      </c>
      <c r="K1" s="266" t="str">
        <f t="shared" si="0"/>
        <v>3T13</v>
      </c>
      <c r="L1" s="266" t="str">
        <f t="shared" si="0"/>
        <v>4T13</v>
      </c>
      <c r="M1" s="266" t="str">
        <f t="shared" si="0"/>
        <v>1T14</v>
      </c>
      <c r="N1" s="266" t="str">
        <f t="shared" si="0"/>
        <v>2T14</v>
      </c>
      <c r="O1" s="266" t="str">
        <f t="shared" si="0"/>
        <v>3T14</v>
      </c>
      <c r="P1" s="266" t="str">
        <f t="shared" si="0"/>
        <v>4T14</v>
      </c>
      <c r="Q1" s="266" t="str">
        <f t="shared" si="0"/>
        <v>1T15</v>
      </c>
      <c r="R1" s="266" t="str">
        <f t="shared" si="0"/>
        <v>2T15</v>
      </c>
      <c r="S1" s="266" t="str">
        <f t="shared" si="0"/>
        <v>3T15</v>
      </c>
      <c r="T1" s="266" t="str">
        <f t="shared" si="0"/>
        <v>4T15</v>
      </c>
      <c r="U1" s="266" t="str">
        <f t="shared" si="0"/>
        <v>1T16</v>
      </c>
      <c r="V1" s="266" t="str">
        <f t="shared" si="0"/>
        <v>2T16</v>
      </c>
      <c r="W1" s="266" t="str">
        <f t="shared" si="0"/>
        <v>3T16</v>
      </c>
      <c r="X1" s="266" t="str">
        <f t="shared" si="0"/>
        <v>4T16</v>
      </c>
      <c r="Y1" s="266" t="str">
        <f t="shared" si="0"/>
        <v>1T17</v>
      </c>
      <c r="Z1" s="266" t="str">
        <f t="shared" si="0"/>
        <v>2T17</v>
      </c>
      <c r="AA1" s="266" t="str">
        <f t="shared" si="0"/>
        <v>3T17</v>
      </c>
      <c r="AB1" s="266" t="str">
        <f t="shared" si="0"/>
        <v>4T17</v>
      </c>
      <c r="AC1" s="266" t="str">
        <f t="shared" si="0"/>
        <v>1T18</v>
      </c>
      <c r="AD1" s="266" t="str">
        <f t="shared" si="0"/>
        <v>2T18</v>
      </c>
      <c r="AE1" s="266" t="str">
        <f t="shared" si="0"/>
        <v>3T18</v>
      </c>
      <c r="AF1" s="266" t="str">
        <f t="shared" si="0"/>
        <v>4T18</v>
      </c>
      <c r="AG1" s="266" t="str">
        <f t="shared" si="0"/>
        <v>1T19</v>
      </c>
      <c r="AH1" s="266" t="str">
        <f t="shared" si="0"/>
        <v>2T19</v>
      </c>
      <c r="AI1" s="266" t="str">
        <f t="shared" ref="AI1:AO1" si="1">IF(LEFT(AH1,1)="4","1T"&amp;RIGHT(AH1,2)+1,LEFT(AH1,1)+1&amp;RIGHT(AH1,3))</f>
        <v>3T19</v>
      </c>
      <c r="AJ1" s="266" t="str">
        <f t="shared" si="1"/>
        <v>4T19</v>
      </c>
      <c r="AK1" s="266" t="str">
        <f t="shared" si="1"/>
        <v>1T20</v>
      </c>
      <c r="AL1" s="266" t="str">
        <f t="shared" si="1"/>
        <v>2T20</v>
      </c>
      <c r="AM1" s="266" t="str">
        <f t="shared" si="1"/>
        <v>3T20</v>
      </c>
      <c r="AN1" s="266" t="str">
        <f t="shared" si="1"/>
        <v>4T20</v>
      </c>
      <c r="AO1" s="266" t="str">
        <f t="shared" si="1"/>
        <v>1T21</v>
      </c>
      <c r="AP1" s="266" t="str">
        <f t="shared" ref="AP1:AZ1" si="2">IF(LEFT(AO1,1)="4","1T"&amp;RIGHT(AO1,2)+1,LEFT(AO1,1)+1&amp;RIGHT(AO1,3))</f>
        <v>2T21</v>
      </c>
      <c r="AQ1" s="266" t="str">
        <f t="shared" si="2"/>
        <v>3T21</v>
      </c>
      <c r="AR1" s="266" t="str">
        <f t="shared" si="2"/>
        <v>4T21</v>
      </c>
      <c r="AS1" s="266" t="str">
        <f t="shared" si="2"/>
        <v>1T22</v>
      </c>
      <c r="AT1" s="266" t="str">
        <f t="shared" si="2"/>
        <v>2T22</v>
      </c>
      <c r="AU1" s="266" t="str">
        <f t="shared" si="2"/>
        <v>3T22</v>
      </c>
      <c r="AV1" s="266" t="str">
        <f t="shared" si="2"/>
        <v>4T22</v>
      </c>
      <c r="AW1" s="266" t="str">
        <f t="shared" si="2"/>
        <v>1T23</v>
      </c>
      <c r="AX1" s="266" t="str">
        <f t="shared" si="2"/>
        <v>2T23</v>
      </c>
      <c r="AY1" s="266" t="str">
        <f t="shared" si="2"/>
        <v>3T23</v>
      </c>
      <c r="AZ1" s="266" t="str">
        <f t="shared" si="2"/>
        <v>4T23</v>
      </c>
      <c r="BA1" s="266" t="str">
        <f t="shared" ref="BA1:BJ1" si="3">IF(LEFT(AZ1,1)="4","1T"&amp;RIGHT(AZ1,2)+1,LEFT(AZ1,1)+1&amp;RIGHT(AZ1,3))</f>
        <v>1T24</v>
      </c>
      <c r="BB1" s="266" t="str">
        <f t="shared" si="3"/>
        <v>2T24</v>
      </c>
      <c r="BC1" s="266" t="str">
        <f t="shared" si="3"/>
        <v>3T24</v>
      </c>
      <c r="BD1" s="266" t="str">
        <f t="shared" si="3"/>
        <v>4T24</v>
      </c>
      <c r="BE1" s="266" t="str">
        <f t="shared" si="3"/>
        <v>1T25</v>
      </c>
      <c r="BF1" s="266" t="str">
        <f t="shared" si="3"/>
        <v>2T25</v>
      </c>
      <c r="BG1" s="266" t="str">
        <f t="shared" si="3"/>
        <v>3T25</v>
      </c>
      <c r="BH1" s="266" t="str">
        <f t="shared" si="3"/>
        <v>4T25</v>
      </c>
      <c r="BI1" s="266" t="str">
        <f t="shared" si="3"/>
        <v>1T26</v>
      </c>
      <c r="BJ1" s="266" t="str">
        <f t="shared" si="3"/>
        <v>2T26</v>
      </c>
      <c r="BK1" s="266"/>
    </row>
    <row r="2" spans="1:64" ht="12.75" customHeight="1" x14ac:dyDescent="0.2">
      <c r="C2" s="15"/>
      <c r="E2" s="545" t="str">
        <f t="shared" ref="E2:AH2" si="4">SUBSTITUTE(E1,"T","Q")</f>
        <v>1Q12</v>
      </c>
      <c r="F2" s="545" t="str">
        <f t="shared" si="4"/>
        <v>2Q12</v>
      </c>
      <c r="G2" s="545" t="str">
        <f t="shared" si="4"/>
        <v>3Q12</v>
      </c>
      <c r="H2" s="545" t="str">
        <f t="shared" si="4"/>
        <v>4Q12</v>
      </c>
      <c r="I2" s="545" t="str">
        <f t="shared" si="4"/>
        <v>1Q13</v>
      </c>
      <c r="J2" s="545" t="str">
        <f t="shared" si="4"/>
        <v>2Q13</v>
      </c>
      <c r="K2" s="545" t="str">
        <f t="shared" si="4"/>
        <v>3Q13</v>
      </c>
      <c r="L2" s="545" t="str">
        <f t="shared" si="4"/>
        <v>4Q13</v>
      </c>
      <c r="M2" s="545" t="str">
        <f t="shared" si="4"/>
        <v>1Q14</v>
      </c>
      <c r="N2" s="545" t="str">
        <f t="shared" si="4"/>
        <v>2Q14</v>
      </c>
      <c r="O2" s="545" t="str">
        <f t="shared" si="4"/>
        <v>3Q14</v>
      </c>
      <c r="P2" s="545" t="str">
        <f t="shared" si="4"/>
        <v>4Q14</v>
      </c>
      <c r="Q2" s="545" t="str">
        <f t="shared" si="4"/>
        <v>1Q15</v>
      </c>
      <c r="R2" s="545" t="str">
        <f t="shared" si="4"/>
        <v>2Q15</v>
      </c>
      <c r="S2" s="545" t="str">
        <f t="shared" si="4"/>
        <v>3Q15</v>
      </c>
      <c r="T2" s="545" t="str">
        <f t="shared" si="4"/>
        <v>4Q15</v>
      </c>
      <c r="U2" s="545" t="str">
        <f t="shared" si="4"/>
        <v>1Q16</v>
      </c>
      <c r="V2" s="545" t="str">
        <f t="shared" si="4"/>
        <v>2Q16</v>
      </c>
      <c r="W2" s="545" t="str">
        <f t="shared" si="4"/>
        <v>3Q16</v>
      </c>
      <c r="X2" s="545" t="str">
        <f t="shared" si="4"/>
        <v>4Q16</v>
      </c>
      <c r="Y2" s="545" t="str">
        <f t="shared" si="4"/>
        <v>1Q17</v>
      </c>
      <c r="Z2" s="545" t="str">
        <f t="shared" si="4"/>
        <v>2Q17</v>
      </c>
      <c r="AA2" s="545" t="str">
        <f t="shared" si="4"/>
        <v>3Q17</v>
      </c>
      <c r="AB2" s="545" t="str">
        <f t="shared" si="4"/>
        <v>4Q17</v>
      </c>
      <c r="AC2" s="545" t="str">
        <f t="shared" si="4"/>
        <v>1Q18</v>
      </c>
      <c r="AD2" s="545" t="str">
        <f t="shared" si="4"/>
        <v>2Q18</v>
      </c>
      <c r="AE2" s="545" t="str">
        <f t="shared" si="4"/>
        <v>3Q18</v>
      </c>
      <c r="AF2" s="545" t="str">
        <f t="shared" si="4"/>
        <v>4Q18</v>
      </c>
      <c r="AG2" s="545" t="str">
        <f t="shared" si="4"/>
        <v>1Q19</v>
      </c>
      <c r="AH2" s="545" t="str">
        <f t="shared" si="4"/>
        <v>2Q19</v>
      </c>
      <c r="AI2" s="545" t="str">
        <f t="shared" ref="AI2:AN2" si="5">SUBSTITUTE(AI1,"T","Q")</f>
        <v>3Q19</v>
      </c>
      <c r="AJ2" s="545" t="str">
        <f t="shared" si="5"/>
        <v>4Q19</v>
      </c>
      <c r="AK2" s="545" t="str">
        <f t="shared" si="5"/>
        <v>1Q20</v>
      </c>
      <c r="AL2" s="545" t="str">
        <f t="shared" si="5"/>
        <v>2Q20</v>
      </c>
      <c r="AM2" s="545" t="str">
        <f t="shared" si="5"/>
        <v>3Q20</v>
      </c>
      <c r="AN2" s="545" t="str">
        <f t="shared" si="5"/>
        <v>4Q20</v>
      </c>
      <c r="AO2" s="545" t="str">
        <f t="shared" ref="AO2:AT2" si="6">SUBSTITUTE(AO1,"T","Q")</f>
        <v>1Q21</v>
      </c>
      <c r="AP2" s="545" t="str">
        <f t="shared" si="6"/>
        <v>2Q21</v>
      </c>
      <c r="AQ2" s="545" t="str">
        <f t="shared" si="6"/>
        <v>3Q21</v>
      </c>
      <c r="AR2" s="545" t="str">
        <f t="shared" si="6"/>
        <v>4Q21</v>
      </c>
      <c r="AS2" s="545" t="str">
        <f t="shared" si="6"/>
        <v>1Q22</v>
      </c>
      <c r="AT2" s="545" t="str">
        <f t="shared" si="6"/>
        <v>2Q22</v>
      </c>
      <c r="AU2" s="545" t="str">
        <f t="shared" ref="AU2:BA2" si="7">SUBSTITUTE(AU1,"T","Q")</f>
        <v>3Q22</v>
      </c>
      <c r="AV2" s="545" t="str">
        <f t="shared" si="7"/>
        <v>4Q22</v>
      </c>
      <c r="AW2" s="545" t="str">
        <f t="shared" si="7"/>
        <v>1Q23</v>
      </c>
      <c r="AX2" s="545" t="str">
        <f t="shared" si="7"/>
        <v>2Q23</v>
      </c>
      <c r="AY2" s="545" t="str">
        <f t="shared" si="7"/>
        <v>3Q23</v>
      </c>
      <c r="AZ2" s="545" t="str">
        <f t="shared" si="7"/>
        <v>4Q23</v>
      </c>
      <c r="BA2" s="545" t="str">
        <f t="shared" si="7"/>
        <v>1Q24</v>
      </c>
      <c r="BB2" s="545" t="str">
        <f t="shared" ref="BB2:BJ2" si="8">SUBSTITUTE(BB1,"T","Q")</f>
        <v>2Q24</v>
      </c>
      <c r="BC2" s="545" t="str">
        <f t="shared" si="8"/>
        <v>3Q24</v>
      </c>
      <c r="BD2" s="545" t="str">
        <f t="shared" si="8"/>
        <v>4Q24</v>
      </c>
      <c r="BE2" s="545" t="str">
        <f t="shared" si="8"/>
        <v>1Q25</v>
      </c>
      <c r="BF2" s="545" t="str">
        <f t="shared" si="8"/>
        <v>2Q25</v>
      </c>
      <c r="BG2" s="545" t="str">
        <f t="shared" si="8"/>
        <v>3Q25</v>
      </c>
      <c r="BH2" s="545" t="str">
        <f t="shared" si="8"/>
        <v>4Q25</v>
      </c>
      <c r="BI2" s="545" t="str">
        <f>SUBSTITUTE(BI1,"T","Q")</f>
        <v>1Q26</v>
      </c>
      <c r="BJ2" s="545" t="str">
        <f t="shared" si="8"/>
        <v>2Q26</v>
      </c>
      <c r="BK2" s="266"/>
    </row>
    <row r="3" spans="1:64" s="266" customFormat="1" ht="12.75" customHeight="1" x14ac:dyDescent="0.2">
      <c r="C3" s="633"/>
      <c r="D3" s="638"/>
      <c r="E3" s="545"/>
      <c r="F3" s="545"/>
      <c r="G3" s="545"/>
      <c r="H3" s="545"/>
      <c r="I3" s="635"/>
      <c r="J3" s="635"/>
      <c r="K3" s="545"/>
      <c r="L3" s="545"/>
      <c r="M3" s="545"/>
      <c r="N3" s="635"/>
      <c r="O3" s="1250" t="s">
        <v>552</v>
      </c>
      <c r="P3" s="266" t="s">
        <v>551</v>
      </c>
      <c r="Q3" s="269"/>
      <c r="R3" s="269"/>
      <c r="S3" s="269"/>
      <c r="T3" s="269"/>
      <c r="U3" s="269"/>
      <c r="V3" s="269"/>
      <c r="W3" s="269"/>
      <c r="X3" s="269"/>
      <c r="Y3" s="269"/>
      <c r="Z3" s="269"/>
      <c r="AA3" s="269"/>
      <c r="AB3" s="269"/>
      <c r="AC3" s="269"/>
      <c r="AD3" s="269"/>
      <c r="AE3" s="804"/>
      <c r="AF3" s="804"/>
      <c r="AG3" s="804"/>
      <c r="AH3" s="269"/>
      <c r="AI3" s="269"/>
      <c r="AJ3" s="269"/>
      <c r="AK3" s="269"/>
      <c r="AL3" s="269"/>
      <c r="AM3" s="269"/>
      <c r="AN3" s="269"/>
      <c r="AO3" s="269"/>
      <c r="AP3" s="269"/>
      <c r="AQ3" s="269"/>
      <c r="AR3" s="269"/>
      <c r="AS3" s="269"/>
      <c r="AT3" s="269"/>
      <c r="AU3" s="269"/>
      <c r="AV3" s="269"/>
      <c r="AW3" s="269"/>
      <c r="AX3" s="269"/>
      <c r="AY3" s="269"/>
      <c r="AZ3" s="269"/>
      <c r="BA3" s="269"/>
      <c r="BB3" s="269"/>
      <c r="BC3" s="269"/>
      <c r="BD3" s="269"/>
      <c r="BE3" s="269"/>
      <c r="BF3" s="269"/>
      <c r="BG3" s="269"/>
      <c r="BH3" s="269"/>
      <c r="BI3" s="269"/>
      <c r="BJ3" s="269"/>
    </row>
    <row r="4" spans="1:64" s="266" customFormat="1" ht="12.75" customHeight="1" x14ac:dyDescent="0.2">
      <c r="A4" s="266" t="s">
        <v>337</v>
      </c>
      <c r="B4" s="266" t="s">
        <v>689</v>
      </c>
      <c r="C4" s="633"/>
      <c r="D4" s="634" t="str">
        <f>IF([1]RENAME!$H$3=1,B4,A4)</f>
        <v>(Em R$ Mil)</v>
      </c>
      <c r="E4" s="545"/>
      <c r="F4" s="545"/>
      <c r="G4" s="545"/>
      <c r="H4" s="545"/>
      <c r="I4" s="635"/>
      <c r="J4" s="635"/>
      <c r="K4" s="545"/>
      <c r="L4" s="545"/>
      <c r="M4" s="545"/>
      <c r="N4" s="635"/>
      <c r="O4" s="1250"/>
      <c r="P4" s="266" t="s">
        <v>180</v>
      </c>
      <c r="Q4" s="269"/>
      <c r="R4" s="269"/>
      <c r="S4" s="269"/>
      <c r="T4" s="269"/>
      <c r="U4" s="1018"/>
      <c r="V4" s="269"/>
      <c r="W4" s="269"/>
      <c r="X4" s="269"/>
      <c r="Y4" s="269"/>
      <c r="Z4" s="269"/>
      <c r="AA4" s="269"/>
      <c r="AB4" s="269"/>
      <c r="AC4" s="269"/>
      <c r="AD4" s="269"/>
      <c r="AE4" s="269">
        <f>+(SUMIFS(Auto!$107:$107,Auto!$5:$5,B3)+SUMIFS(Auto!$35:$35,Auto!$5:$5,B3))</f>
        <v>0</v>
      </c>
      <c r="AF4" s="269"/>
      <c r="AG4" s="757" t="s">
        <v>1423</v>
      </c>
      <c r="AH4" s="776"/>
      <c r="AI4" s="776"/>
      <c r="AJ4" s="1036"/>
      <c r="AK4" s="1036"/>
      <c r="AL4" s="1036"/>
      <c r="AM4" s="1036"/>
      <c r="AN4" s="1036"/>
      <c r="AO4" s="1037"/>
      <c r="AP4" s="1036"/>
      <c r="AQ4" s="1036"/>
      <c r="AR4" s="1036"/>
      <c r="AS4" s="1036"/>
      <c r="AT4" s="1036"/>
      <c r="AU4" s="1036"/>
      <c r="AV4" s="1036"/>
      <c r="AW4" s="1036"/>
      <c r="AX4" s="1036"/>
      <c r="AY4" s="1036"/>
      <c r="AZ4" s="1036"/>
      <c r="BA4" s="1036"/>
      <c r="BB4" s="1036"/>
      <c r="BC4" s="1036"/>
      <c r="BD4" s="1036"/>
      <c r="BE4" s="1036"/>
      <c r="BF4" s="1036"/>
      <c r="BG4" s="1036"/>
      <c r="BH4" s="1036"/>
      <c r="BI4" s="1036"/>
      <c r="BJ4" s="1036"/>
    </row>
    <row r="5" spans="1:64" ht="12.75" customHeight="1" x14ac:dyDescent="0.2">
      <c r="A5" s="1" t="s">
        <v>736</v>
      </c>
      <c r="B5" s="1" t="s">
        <v>716</v>
      </c>
      <c r="C5" s="23"/>
      <c r="D5" s="113" t="str">
        <f>IF([1]RENAME!$H$3=1,B5,A5)</f>
        <v>Demonstração de resultado - automotivo</v>
      </c>
      <c r="E5" s="247" t="str">
        <f>IF([1]RENAME!$H$3=1,E2,E1)</f>
        <v>1T12</v>
      </c>
      <c r="F5" s="114" t="str">
        <f>IF([1]RENAME!$H$3=1,F2,F1)</f>
        <v>2T12</v>
      </c>
      <c r="G5" s="114" t="str">
        <f>IF([1]RENAME!$H$3=1,G2,G1)</f>
        <v>3T12</v>
      </c>
      <c r="H5" s="114" t="str">
        <f>IF([1]RENAME!$H$3=1,H2,H1)</f>
        <v>4T12</v>
      </c>
      <c r="I5" s="115" t="str">
        <f>IF([1]RENAME!$H$3=1,I2,I1)</f>
        <v>1T13</v>
      </c>
      <c r="J5" s="115" t="str">
        <f>IF([1]RENAME!$H$3=1,J2,J1)</f>
        <v>2T13</v>
      </c>
      <c r="K5" s="115" t="str">
        <f>IF([1]RENAME!$H$3=1,K2,K1)</f>
        <v>3T13</v>
      </c>
      <c r="L5" s="115" t="str">
        <f>IF([1]RENAME!$H$3=1,L2,L1)</f>
        <v>4T13</v>
      </c>
      <c r="M5" s="115" t="str">
        <f>IF([1]RENAME!$H$3=1,M2,M1)</f>
        <v>1T14</v>
      </c>
      <c r="N5" s="116" t="str">
        <f>IF([1]RENAME!$H$3=1,N2,N1)</f>
        <v>2T14</v>
      </c>
      <c r="O5" s="116" t="str">
        <f>IF([1]RENAME!$H$3=1,O2,O1)</f>
        <v>3T14</v>
      </c>
      <c r="P5" s="115" t="str">
        <f>IF([1]RENAME!$H$3=1,P2,P1)</f>
        <v>4T14</v>
      </c>
      <c r="Q5" s="115" t="str">
        <f>IF([1]RENAME!$H$3=1,Q2,Q1)</f>
        <v>1T15</v>
      </c>
      <c r="R5" s="115" t="str">
        <f>IF([1]RENAME!$H$3=1,R2,R1)</f>
        <v>2T15</v>
      </c>
      <c r="S5" s="115" t="str">
        <f>IF([1]RENAME!$H$3=1,S2,S1)</f>
        <v>3T15</v>
      </c>
      <c r="T5" s="115" t="str">
        <f>IF([1]RENAME!$H$3=1,T2,T1)</f>
        <v>4T15</v>
      </c>
      <c r="U5" s="115" t="str">
        <f>IF([1]RENAME!$H$3=1,U2,U1)</f>
        <v>1T16</v>
      </c>
      <c r="V5" s="115" t="str">
        <f>IF([1]RENAME!$H$3=1,V2,V1)</f>
        <v>2T16</v>
      </c>
      <c r="W5" s="115" t="str">
        <f>IF([1]RENAME!$H$3=1,W2,W1)</f>
        <v>3T16</v>
      </c>
      <c r="X5" s="115" t="str">
        <f>IF([1]RENAME!$H$3=1,X2,X1)</f>
        <v>4T16</v>
      </c>
      <c r="Y5" s="115" t="str">
        <f>IF([1]RENAME!$H$3=1,Y2,Y1)</f>
        <v>1T17</v>
      </c>
      <c r="Z5" s="115" t="str">
        <f>IF([1]RENAME!$H$3=1,Z2,Z1)</f>
        <v>2T17</v>
      </c>
      <c r="AA5" s="115" t="str">
        <f>IF([1]RENAME!$H$3=1,AA2,AA1)</f>
        <v>3T17</v>
      </c>
      <c r="AB5" s="115" t="str">
        <f>IF([1]RENAME!$H$3=1,AB2,AB1)</f>
        <v>4T17</v>
      </c>
      <c r="AC5" s="115" t="str">
        <f>IF([1]RENAME!$H$3=1,AC2,AC1)</f>
        <v>1T18</v>
      </c>
      <c r="AD5" s="115" t="str">
        <f>IF([1]RENAME!$H$3=1,AD2,AD1)</f>
        <v>2T18</v>
      </c>
      <c r="AE5" s="115" t="str">
        <f>IF([1]RENAME!$H$3=1,AE2,AE1)</f>
        <v>3T18</v>
      </c>
      <c r="AF5" s="115" t="str">
        <f>IF([1]RENAME!$H$3=1,AF2,AF1)</f>
        <v>4T18</v>
      </c>
      <c r="AG5" s="115" t="str">
        <f>IF([1]RENAME!$H$3=1,AG2,AG1)</f>
        <v>1T19</v>
      </c>
      <c r="AH5" s="115" t="str">
        <f>IF([1]RENAME!$H$3=1,AH2,AH1)</f>
        <v>2T19</v>
      </c>
      <c r="AI5" s="115" t="str">
        <f>IF([1]RENAME!$H$3=1,AI2,AI1)</f>
        <v>3T19</v>
      </c>
      <c r="AJ5" s="115" t="str">
        <f>IF([1]RENAME!$H$3=1,AJ2,AJ1)</f>
        <v>4T19</v>
      </c>
      <c r="AK5" s="115" t="str">
        <f>IF([1]RENAME!$H$3=1,AK2,AK1)</f>
        <v>1T20</v>
      </c>
      <c r="AL5" s="115" t="str">
        <f>IF([1]RENAME!$H$3=1,AL2,AL1)</f>
        <v>2T20</v>
      </c>
      <c r="AM5" s="115" t="str">
        <f>IF([1]RENAME!$H$3=1,AM2,AM1)</f>
        <v>3T20</v>
      </c>
      <c r="AN5" s="115" t="str">
        <f>IF([1]RENAME!$H$3=1,AN2,AN1)</f>
        <v>4T20</v>
      </c>
      <c r="AO5" s="115" t="str">
        <f>IF([1]RENAME!$H$3=1,AO2,AO1)</f>
        <v>1T21</v>
      </c>
      <c r="AP5" s="115" t="str">
        <f>IF([1]RENAME!$H$3=1,AP2,AP1)</f>
        <v>2T21</v>
      </c>
      <c r="AQ5" s="115" t="str">
        <f>IF([1]RENAME!$H$3=1,AQ2,AQ1)</f>
        <v>3T21</v>
      </c>
      <c r="AR5" s="115" t="str">
        <f>IF([1]RENAME!$H$3=1,AR2,AR1)</f>
        <v>4T21</v>
      </c>
      <c r="AS5" s="115" t="str">
        <f>IF([1]RENAME!$H$3=1,AS2,AS1)</f>
        <v>1T22</v>
      </c>
      <c r="AT5" s="115" t="str">
        <f>IF([1]RENAME!$H$3=1,AT2,AT1)</f>
        <v>2T22</v>
      </c>
      <c r="AU5" s="115" t="str">
        <f>IF([1]RENAME!$H$3=1,AU2,AU1)</f>
        <v>3T22</v>
      </c>
      <c r="AV5" s="115" t="str">
        <f>IF([1]RENAME!$H$3=1,AV2,AV1)</f>
        <v>4T22</v>
      </c>
      <c r="AW5" s="115" t="str">
        <f>IF([1]RENAME!$H$3=1,AW2,AW1)</f>
        <v>1T23</v>
      </c>
      <c r="AX5" s="115" t="str">
        <f>IF([1]RENAME!$H$3=1,AX2,AX1)</f>
        <v>2T23</v>
      </c>
      <c r="AY5" s="115" t="str">
        <f>IF([1]RENAME!$H$3=1,AY2,AY1)</f>
        <v>3T23</v>
      </c>
      <c r="AZ5" s="115" t="str">
        <f>IF([1]RENAME!$H$3=1,AZ2,AZ1)</f>
        <v>4T23</v>
      </c>
      <c r="BA5" s="115" t="str">
        <f>IF([1]RENAME!$H$3=1,BA2,BA1)</f>
        <v>1T24</v>
      </c>
      <c r="BB5" s="115" t="str">
        <f>IF([1]RENAME!$H$3=1,BB2,BB1)</f>
        <v>2T24</v>
      </c>
      <c r="BC5" s="115" t="str">
        <f>IF([1]RENAME!$H$3=1,BC2,BC1)</f>
        <v>3T24</v>
      </c>
      <c r="BD5" s="115" t="str">
        <f>IF([1]RENAME!$H$3=1,BD2,BD1)</f>
        <v>4T24</v>
      </c>
      <c r="BE5" s="115" t="str">
        <f>IF([1]RENAME!$H$3=1,BE2,BE1)</f>
        <v>1T25</v>
      </c>
      <c r="BF5" s="115" t="str">
        <f>IF([1]RENAME!$H$3=1,BF2,BF1)</f>
        <v>2T25</v>
      </c>
      <c r="BG5" s="115" t="str">
        <f>IF([1]RENAME!$H$3=1,BG2,BG1)</f>
        <v>3T25</v>
      </c>
      <c r="BH5" s="115" t="str">
        <f>IF([1]RENAME!$H$3=1,BH2,BH1)</f>
        <v>4T25</v>
      </c>
      <c r="BI5" s="247" t="str">
        <f>IF([1]RENAME!$H$3=1,BI2,BI1)</f>
        <v>1T26</v>
      </c>
      <c r="BJ5" s="115" t="str">
        <f>IF([1]RENAME!$H$3=1,BJ2,BJ1)</f>
        <v>2T26</v>
      </c>
    </row>
    <row r="6" spans="1:64" ht="14.1" customHeight="1" x14ac:dyDescent="0.2">
      <c r="A6" s="1" t="s">
        <v>512</v>
      </c>
      <c r="B6" s="1" t="s">
        <v>717</v>
      </c>
      <c r="C6" s="24"/>
      <c r="D6" s="117" t="str">
        <f>IF([1]RENAME!$H$3=1,B6,A6)</f>
        <v>Logística de veículos</v>
      </c>
      <c r="E6" s="118">
        <v>245495</v>
      </c>
      <c r="F6" s="118">
        <v>282182</v>
      </c>
      <c r="G6" s="118">
        <v>337723</v>
      </c>
      <c r="H6" s="118">
        <v>342491</v>
      </c>
      <c r="I6" s="118">
        <v>297440</v>
      </c>
      <c r="J6" s="118">
        <v>384050</v>
      </c>
      <c r="K6" s="118">
        <v>399608</v>
      </c>
      <c r="L6" s="118">
        <v>390273</v>
      </c>
      <c r="M6" s="118">
        <v>309111</v>
      </c>
      <c r="N6" s="118">
        <v>351673</v>
      </c>
      <c r="O6" s="118">
        <v>350189</v>
      </c>
      <c r="P6" s="118">
        <v>406150</v>
      </c>
      <c r="Q6" s="118">
        <v>275085</v>
      </c>
      <c r="R6" s="118">
        <v>266852</v>
      </c>
      <c r="S6" s="118">
        <v>264426</v>
      </c>
      <c r="T6" s="118">
        <v>280869.32981999998</v>
      </c>
      <c r="U6" s="118">
        <v>195391.63875000001</v>
      </c>
      <c r="V6" s="118">
        <v>232421.88584</v>
      </c>
      <c r="W6" s="118">
        <v>244388.95153000002</v>
      </c>
      <c r="X6" s="118">
        <v>264784.09666000004</v>
      </c>
      <c r="Y6" s="118">
        <v>214422.15101999999</v>
      </c>
      <c r="Z6" s="118">
        <v>268717.10787999997</v>
      </c>
      <c r="AA6" s="118">
        <v>305185.31597000005</v>
      </c>
      <c r="AB6" s="118">
        <v>340565.25495999999</v>
      </c>
      <c r="AC6" s="118">
        <v>275057.54545999999</v>
      </c>
      <c r="AD6" s="118">
        <v>315279.75394999998</v>
      </c>
      <c r="AE6" s="118">
        <v>365789.47778999998</v>
      </c>
      <c r="AF6" s="118">
        <v>391684.40824000002</v>
      </c>
      <c r="AG6" s="160">
        <v>321706.25628999999</v>
      </c>
      <c r="AH6" s="118">
        <v>360853.55104000005</v>
      </c>
      <c r="AI6" s="118">
        <v>366405.11531000002</v>
      </c>
      <c r="AJ6" s="118">
        <v>414841.17645000003</v>
      </c>
      <c r="AK6" s="118">
        <v>298654.90463999996</v>
      </c>
      <c r="AL6" s="118">
        <v>108624.88222</v>
      </c>
      <c r="AM6" s="118">
        <v>305501.52506000001</v>
      </c>
      <c r="AN6" s="118">
        <v>337571.33675999998</v>
      </c>
      <c r="AO6" s="118">
        <v>250078.92903</v>
      </c>
      <c r="AP6" s="118">
        <v>249944.68143999999</v>
      </c>
      <c r="AQ6" s="118">
        <v>243798.95912000004</v>
      </c>
      <c r="AR6" s="118">
        <v>339046.03587999992</v>
      </c>
      <c r="AS6" s="118">
        <v>249984.01542999997</v>
      </c>
      <c r="AT6" s="118">
        <v>329187.05628000002</v>
      </c>
      <c r="AU6" s="118">
        <v>460036.70981000003</v>
      </c>
      <c r="AV6" s="118">
        <v>461462.62537999998</v>
      </c>
      <c r="AW6" s="118">
        <v>369902.34818999982</v>
      </c>
      <c r="AX6" s="118">
        <v>413999.29704000009</v>
      </c>
      <c r="AY6" s="118">
        <v>481071.89130000008</v>
      </c>
      <c r="AZ6" s="118">
        <v>516751.48728000012</v>
      </c>
      <c r="BA6" s="118">
        <v>432552.07787999994</v>
      </c>
      <c r="BB6" s="118">
        <v>529168.94435000001</v>
      </c>
      <c r="BC6" s="118">
        <v>695890.14059000008</v>
      </c>
      <c r="BD6" s="118">
        <v>720353.22578999994</v>
      </c>
      <c r="BE6" s="118">
        <v>489547.18824999995</v>
      </c>
      <c r="BF6" s="118">
        <v>621439.08457999991</v>
      </c>
      <c r="BG6" s="118">
        <v>744446</v>
      </c>
      <c r="BH6" s="118">
        <v>717391.32421999995</v>
      </c>
      <c r="BI6" s="118">
        <v>599235.42489999998</v>
      </c>
      <c r="BJ6" s="118">
        <f>([4]Base_DRE!$P$5)</f>
        <v>866484.33464999998</v>
      </c>
    </row>
    <row r="7" spans="1:64" s="220" customFormat="1" ht="14.1" hidden="1" customHeight="1" outlineLevel="1" x14ac:dyDescent="0.2">
      <c r="A7" s="220" t="s">
        <v>513</v>
      </c>
      <c r="B7" s="220" t="s">
        <v>718</v>
      </c>
      <c r="C7" s="226"/>
      <c r="D7" s="227" t="str">
        <f>IF([1]RENAME!$H$3=1,B7,A7)</f>
        <v>Logística de autopeças</v>
      </c>
      <c r="E7" s="218">
        <v>48002</v>
      </c>
      <c r="F7" s="218">
        <v>50547</v>
      </c>
      <c r="G7" s="218">
        <v>56528</v>
      </c>
      <c r="H7" s="218">
        <v>54632</v>
      </c>
      <c r="I7" s="218">
        <v>53380</v>
      </c>
      <c r="J7" s="218">
        <v>64067</v>
      </c>
      <c r="K7" s="218">
        <v>56736</v>
      </c>
      <c r="L7" s="218">
        <v>47704</v>
      </c>
      <c r="M7" s="218">
        <v>43989</v>
      </c>
      <c r="N7" s="218">
        <v>36048</v>
      </c>
      <c r="O7" s="218">
        <v>34718</v>
      </c>
      <c r="P7" s="218">
        <v>25111</v>
      </c>
      <c r="Q7" s="218">
        <v>21068</v>
      </c>
      <c r="R7" s="218">
        <v>15356</v>
      </c>
      <c r="S7" s="218">
        <v>14763</v>
      </c>
      <c r="T7" s="218">
        <v>10796.505510000032</v>
      </c>
      <c r="U7" s="218">
        <v>3214.48423</v>
      </c>
      <c r="V7" s="218">
        <v>4.9608300000000014</v>
      </c>
      <c r="W7" s="218">
        <v>0</v>
      </c>
      <c r="X7" s="218">
        <v>0</v>
      </c>
      <c r="Y7" s="218">
        <v>0</v>
      </c>
      <c r="Z7" s="218">
        <v>0</v>
      </c>
      <c r="AA7" s="218">
        <v>0</v>
      </c>
      <c r="AB7" s="218">
        <v>0</v>
      </c>
      <c r="AC7" s="218">
        <v>0</v>
      </c>
      <c r="AD7" s="218">
        <v>0</v>
      </c>
      <c r="AE7" s="218">
        <v>0</v>
      </c>
      <c r="AF7" s="218">
        <v>0</v>
      </c>
      <c r="AG7" s="160">
        <v>0</v>
      </c>
      <c r="AH7" s="118">
        <v>0</v>
      </c>
      <c r="AI7" s="218">
        <v>0</v>
      </c>
      <c r="AJ7" s="218">
        <v>0</v>
      </c>
      <c r="AK7" s="218">
        <v>0</v>
      </c>
      <c r="AL7" s="218">
        <v>0</v>
      </c>
      <c r="AM7" s="218">
        <v>0</v>
      </c>
      <c r="AN7" s="218">
        <v>0</v>
      </c>
      <c r="AO7" s="218">
        <v>0</v>
      </c>
      <c r="AP7" s="218">
        <v>0</v>
      </c>
      <c r="AQ7" s="218">
        <v>0</v>
      </c>
      <c r="AR7" s="218"/>
      <c r="AS7" s="218">
        <v>0</v>
      </c>
      <c r="AT7" s="218">
        <v>0</v>
      </c>
      <c r="AU7" s="218">
        <v>0</v>
      </c>
      <c r="AV7" s="218">
        <v>0</v>
      </c>
      <c r="AW7" s="218">
        <v>0</v>
      </c>
      <c r="AX7" s="218">
        <v>0</v>
      </c>
      <c r="AY7" s="218">
        <v>0</v>
      </c>
      <c r="AZ7" s="218">
        <v>0</v>
      </c>
      <c r="BA7" s="218"/>
      <c r="BB7" s="218"/>
      <c r="BC7" s="218"/>
      <c r="BD7" s="218">
        <v>0</v>
      </c>
      <c r="BE7" s="218"/>
      <c r="BF7" s="218">
        <v>0</v>
      </c>
      <c r="BG7" s="218">
        <v>0</v>
      </c>
      <c r="BH7" s="218">
        <v>0</v>
      </c>
      <c r="BI7" s="218">
        <v>0</v>
      </c>
      <c r="BJ7" s="218">
        <v>0</v>
      </c>
    </row>
    <row r="8" spans="1:64" s="220" customFormat="1" ht="14.1" hidden="1" customHeight="1" outlineLevel="1" x14ac:dyDescent="0.2">
      <c r="A8" s="220" t="s">
        <v>514</v>
      </c>
      <c r="B8" s="220" t="s">
        <v>719</v>
      </c>
      <c r="C8" s="226"/>
      <c r="D8" s="227" t="str">
        <f>IF([1]RENAME!$H$3=1,B8,A8)</f>
        <v>Leilão automotivo</v>
      </c>
      <c r="E8" s="218">
        <v>2328</v>
      </c>
      <c r="F8" s="218">
        <v>2200</v>
      </c>
      <c r="G8" s="218">
        <v>2057</v>
      </c>
      <c r="H8" s="218">
        <v>1784</v>
      </c>
      <c r="I8" s="218">
        <v>1702</v>
      </c>
      <c r="J8" s="218">
        <v>1567</v>
      </c>
      <c r="K8" s="218">
        <v>1727</v>
      </c>
      <c r="L8" s="218">
        <v>470</v>
      </c>
      <c r="M8" s="218">
        <v>0</v>
      </c>
      <c r="N8" s="218">
        <v>0</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218">
        <v>0</v>
      </c>
      <c r="AF8" s="218">
        <v>0</v>
      </c>
      <c r="AG8" s="160">
        <v>0</v>
      </c>
      <c r="AH8" s="118">
        <v>0</v>
      </c>
      <c r="AI8" s="218">
        <v>0</v>
      </c>
      <c r="AJ8" s="218">
        <v>0</v>
      </c>
      <c r="AK8" s="218">
        <v>0</v>
      </c>
      <c r="AL8" s="218">
        <v>0</v>
      </c>
      <c r="AM8" s="218">
        <v>0</v>
      </c>
      <c r="AN8" s="218">
        <v>0</v>
      </c>
      <c r="AO8" s="218">
        <v>0</v>
      </c>
      <c r="AP8" s="218">
        <v>0</v>
      </c>
      <c r="AQ8" s="218">
        <v>0</v>
      </c>
      <c r="AR8" s="218"/>
      <c r="AS8" s="218">
        <v>0</v>
      </c>
      <c r="AT8" s="218">
        <v>0</v>
      </c>
      <c r="AU8" s="218">
        <v>0</v>
      </c>
      <c r="AV8" s="218">
        <v>0</v>
      </c>
      <c r="AW8" s="218">
        <v>0</v>
      </c>
      <c r="AX8" s="218">
        <v>0</v>
      </c>
      <c r="AY8" s="218">
        <v>0</v>
      </c>
      <c r="AZ8" s="218">
        <v>0</v>
      </c>
      <c r="BA8" s="218"/>
      <c r="BB8" s="218"/>
      <c r="BC8" s="218"/>
      <c r="BD8" s="218">
        <v>0</v>
      </c>
      <c r="BE8" s="218"/>
      <c r="BF8" s="218">
        <v>0</v>
      </c>
      <c r="BG8" s="218">
        <v>0</v>
      </c>
      <c r="BH8" s="218">
        <v>0</v>
      </c>
      <c r="BI8" s="218">
        <v>0</v>
      </c>
      <c r="BJ8" s="218">
        <v>0</v>
      </c>
    </row>
    <row r="9" spans="1:64" ht="14.1" customHeight="1" collapsed="1" x14ac:dyDescent="0.2">
      <c r="A9" s="1" t="s">
        <v>66</v>
      </c>
      <c r="B9" s="1" t="s">
        <v>691</v>
      </c>
      <c r="C9" s="24"/>
      <c r="D9" s="119" t="str">
        <f>IF([1]RENAME!$H$3=1,B9,A9)</f>
        <v>Receita bruta</v>
      </c>
      <c r="E9" s="120">
        <f t="shared" ref="E9:AT9" si="9">SUM(E6:E8)</f>
        <v>295825</v>
      </c>
      <c r="F9" s="120">
        <f t="shared" si="9"/>
        <v>334929</v>
      </c>
      <c r="G9" s="120">
        <f t="shared" si="9"/>
        <v>396308</v>
      </c>
      <c r="H9" s="120">
        <f t="shared" si="9"/>
        <v>398907</v>
      </c>
      <c r="I9" s="120">
        <f t="shared" si="9"/>
        <v>352522</v>
      </c>
      <c r="J9" s="120">
        <f t="shared" si="9"/>
        <v>449684</v>
      </c>
      <c r="K9" s="120">
        <f t="shared" si="9"/>
        <v>458071</v>
      </c>
      <c r="L9" s="120">
        <f t="shared" si="9"/>
        <v>438447</v>
      </c>
      <c r="M9" s="120">
        <f t="shared" si="9"/>
        <v>353100</v>
      </c>
      <c r="N9" s="120">
        <f t="shared" si="9"/>
        <v>387721</v>
      </c>
      <c r="O9" s="120">
        <f t="shared" si="9"/>
        <v>384907</v>
      </c>
      <c r="P9" s="120">
        <f t="shared" si="9"/>
        <v>431261</v>
      </c>
      <c r="Q9" s="120">
        <f t="shared" si="9"/>
        <v>296153</v>
      </c>
      <c r="R9" s="120">
        <f t="shared" si="9"/>
        <v>282208</v>
      </c>
      <c r="S9" s="120">
        <f t="shared" si="9"/>
        <v>279189</v>
      </c>
      <c r="T9" s="120">
        <f t="shared" si="9"/>
        <v>291665.83533000003</v>
      </c>
      <c r="U9" s="120">
        <f t="shared" si="9"/>
        <v>198606.12298000001</v>
      </c>
      <c r="V9" s="120">
        <f t="shared" si="9"/>
        <v>232426.84667</v>
      </c>
      <c r="W9" s="120">
        <f t="shared" si="9"/>
        <v>244388.95153000002</v>
      </c>
      <c r="X9" s="120">
        <f t="shared" si="9"/>
        <v>264784.09666000004</v>
      </c>
      <c r="Y9" s="120">
        <f t="shared" si="9"/>
        <v>214422.15101999999</v>
      </c>
      <c r="Z9" s="120">
        <f t="shared" si="9"/>
        <v>268717.10787999997</v>
      </c>
      <c r="AA9" s="120">
        <f t="shared" si="9"/>
        <v>305185.31597000005</v>
      </c>
      <c r="AB9" s="120">
        <f t="shared" si="9"/>
        <v>340565.25495999999</v>
      </c>
      <c r="AC9" s="120">
        <f t="shared" si="9"/>
        <v>275057.54545999999</v>
      </c>
      <c r="AD9" s="120">
        <f t="shared" si="9"/>
        <v>315279.75394999998</v>
      </c>
      <c r="AE9" s="120">
        <f t="shared" si="9"/>
        <v>365789.47778999998</v>
      </c>
      <c r="AF9" s="120">
        <f t="shared" si="9"/>
        <v>391684.40824000002</v>
      </c>
      <c r="AG9" s="162">
        <f t="shared" si="9"/>
        <v>321706.25628999999</v>
      </c>
      <c r="AH9" s="120">
        <f t="shared" si="9"/>
        <v>360853.55104000005</v>
      </c>
      <c r="AI9" s="120">
        <f t="shared" si="9"/>
        <v>366405.11531000002</v>
      </c>
      <c r="AJ9" s="120">
        <f t="shared" si="9"/>
        <v>414841.17645000003</v>
      </c>
      <c r="AK9" s="120">
        <f t="shared" si="9"/>
        <v>298654.90463999996</v>
      </c>
      <c r="AL9" s="120">
        <f t="shared" si="9"/>
        <v>108624.88222</v>
      </c>
      <c r="AM9" s="120">
        <f t="shared" si="9"/>
        <v>305501.52506000001</v>
      </c>
      <c r="AN9" s="120">
        <f t="shared" si="9"/>
        <v>337571.33675999998</v>
      </c>
      <c r="AO9" s="120">
        <f t="shared" si="9"/>
        <v>250078.92903</v>
      </c>
      <c r="AP9" s="120">
        <f t="shared" si="9"/>
        <v>249944.68143999999</v>
      </c>
      <c r="AQ9" s="120">
        <f t="shared" si="9"/>
        <v>243798.95912000004</v>
      </c>
      <c r="AR9" s="120">
        <f t="shared" si="9"/>
        <v>339046.03587999992</v>
      </c>
      <c r="AS9" s="120">
        <f t="shared" si="9"/>
        <v>249984.01542999997</v>
      </c>
      <c r="AT9" s="120">
        <f t="shared" si="9"/>
        <v>329187.05628000002</v>
      </c>
      <c r="AU9" s="120">
        <f t="shared" ref="AU9:BF9" si="10">SUM(AU6:AU8)</f>
        <v>460036.70981000003</v>
      </c>
      <c r="AV9" s="120">
        <f t="shared" si="10"/>
        <v>461462.62537999998</v>
      </c>
      <c r="AW9" s="120">
        <f t="shared" si="10"/>
        <v>369902.34818999982</v>
      </c>
      <c r="AX9" s="120">
        <f t="shared" si="10"/>
        <v>413999.29704000009</v>
      </c>
      <c r="AY9" s="120">
        <f t="shared" si="10"/>
        <v>481071.89130000008</v>
      </c>
      <c r="AZ9" s="120">
        <f t="shared" si="10"/>
        <v>516751.48728000012</v>
      </c>
      <c r="BA9" s="120">
        <f t="shared" si="10"/>
        <v>432552.07787999994</v>
      </c>
      <c r="BB9" s="120">
        <f t="shared" si="10"/>
        <v>529168.94435000001</v>
      </c>
      <c r="BC9" s="120">
        <f t="shared" si="10"/>
        <v>695890.14059000008</v>
      </c>
      <c r="BD9" s="120">
        <f>SUM(BD6:BD8)</f>
        <v>720353.22578999994</v>
      </c>
      <c r="BE9" s="120">
        <f t="shared" si="10"/>
        <v>489547.18824999995</v>
      </c>
      <c r="BF9" s="120">
        <f t="shared" si="10"/>
        <v>621439.08457999991</v>
      </c>
      <c r="BG9" s="120">
        <f>SUM(BG6:BG8)</f>
        <v>744446</v>
      </c>
      <c r="BH9" s="120">
        <f>SUM(BH6:BH8)</f>
        <v>717391.32421999995</v>
      </c>
      <c r="BI9" s="120">
        <f>SUM(BI6:BI8)</f>
        <v>599235.42489999998</v>
      </c>
      <c r="BJ9" s="120">
        <f>SUM(BJ6:BJ8)</f>
        <v>866484.33464999998</v>
      </c>
    </row>
    <row r="10" spans="1:64" ht="14.1" customHeight="1" x14ac:dyDescent="0.2">
      <c r="A10" s="516" t="s">
        <v>1293</v>
      </c>
      <c r="B10" s="516" t="s">
        <v>1563</v>
      </c>
      <c r="C10" s="24"/>
      <c r="D10" s="117" t="str">
        <f>IF([1]RENAME!$H$3=1,B10,A10)</f>
        <v>Deduções da receita bruta</v>
      </c>
      <c r="E10" s="118">
        <f>+E11-E9</f>
        <v>-57512</v>
      </c>
      <c r="F10" s="118">
        <f t="shared" ref="F10:P10" si="11">+F11-F9</f>
        <v>-64176</v>
      </c>
      <c r="G10" s="118">
        <f t="shared" si="11"/>
        <v>-76074</v>
      </c>
      <c r="H10" s="118">
        <f t="shared" si="11"/>
        <v>-71276</v>
      </c>
      <c r="I10" s="118">
        <f t="shared" si="11"/>
        <v>-66905</v>
      </c>
      <c r="J10" s="118">
        <f t="shared" si="11"/>
        <v>-82322</v>
      </c>
      <c r="K10" s="118">
        <f t="shared" si="11"/>
        <v>-84395</v>
      </c>
      <c r="L10" s="118">
        <f t="shared" si="11"/>
        <v>-79736</v>
      </c>
      <c r="M10" s="118">
        <f t="shared" si="11"/>
        <v>-69616</v>
      </c>
      <c r="N10" s="118">
        <f t="shared" si="11"/>
        <v>-75456</v>
      </c>
      <c r="O10" s="118">
        <f t="shared" si="11"/>
        <v>-74942</v>
      </c>
      <c r="P10" s="118">
        <f t="shared" si="11"/>
        <v>-84359</v>
      </c>
      <c r="Q10" s="118">
        <v>-57401</v>
      </c>
      <c r="R10" s="118">
        <v>-55703</v>
      </c>
      <c r="S10" s="118">
        <v>-55798</v>
      </c>
      <c r="T10" s="118">
        <v>-55034.690800000069</v>
      </c>
      <c r="U10" s="118">
        <v>-38776.00688000003</v>
      </c>
      <c r="V10" s="118">
        <v>-45468.952340000018</v>
      </c>
      <c r="W10" s="118">
        <v>-46470.153370000015</v>
      </c>
      <c r="X10" s="118">
        <v>-50614.433350000036</v>
      </c>
      <c r="Y10" s="118">
        <v>-41103.315629999997</v>
      </c>
      <c r="Z10" s="118">
        <v>-52946.743019999965</v>
      </c>
      <c r="AA10" s="118">
        <v>-61019.876960000052</v>
      </c>
      <c r="AB10" s="118">
        <v>-65737.152109999966</v>
      </c>
      <c r="AC10" s="118">
        <v>-52596.962559999985</v>
      </c>
      <c r="AD10" s="118">
        <v>-59289.149159999972</v>
      </c>
      <c r="AE10" s="118">
        <v>-69708.742150000005</v>
      </c>
      <c r="AF10" s="260">
        <v>-65409.641249999986</v>
      </c>
      <c r="AG10" s="160">
        <v>-62799.635449999972</v>
      </c>
      <c r="AH10" s="118">
        <v>-66748.686060000036</v>
      </c>
      <c r="AI10" s="118">
        <v>-66613.590469999996</v>
      </c>
      <c r="AJ10" s="118">
        <v>-77497.233100000012</v>
      </c>
      <c r="AK10" s="118">
        <v>-57894.401809999952</v>
      </c>
      <c r="AL10" s="118">
        <v>-21747.188200000004</v>
      </c>
      <c r="AM10" s="118">
        <v>-60044.146310000011</v>
      </c>
      <c r="AN10" s="118">
        <v>-65009.129129999958</v>
      </c>
      <c r="AO10" s="118">
        <v>-49254.193539999978</v>
      </c>
      <c r="AP10" s="118">
        <v>-49517.74914</v>
      </c>
      <c r="AQ10" s="118">
        <v>-49478.775009999998</v>
      </c>
      <c r="AR10" s="118">
        <v>-67104.971710000013</v>
      </c>
      <c r="AS10" s="118">
        <v>-48189.471709999983</v>
      </c>
      <c r="AT10" s="118">
        <v>-63085.022420000052</v>
      </c>
      <c r="AU10" s="118">
        <v>-86906.629780000017</v>
      </c>
      <c r="AV10" s="118">
        <v>-89050.690640000044</v>
      </c>
      <c r="AW10" s="118">
        <v>-72862.59156000003</v>
      </c>
      <c r="AX10" s="260">
        <v>-83095.65155000001</v>
      </c>
      <c r="AY10" s="118">
        <v>-95247.513340000005</v>
      </c>
      <c r="AZ10" s="260">
        <v>-103380.24767999997</v>
      </c>
      <c r="BA10" s="118">
        <v>-85040.23550000001</v>
      </c>
      <c r="BB10" s="118">
        <v>-101889.77088999999</v>
      </c>
      <c r="BC10" s="118">
        <v>-133957.97138</v>
      </c>
      <c r="BD10" s="118">
        <v>-137016.65207999991</v>
      </c>
      <c r="BE10" s="118">
        <v>-95011.771950000024</v>
      </c>
      <c r="BF10" s="118">
        <v>-125532.80691</v>
      </c>
      <c r="BG10" s="118">
        <v>-144587</v>
      </c>
      <c r="BH10" s="118">
        <v>-145533.56065999996</v>
      </c>
      <c r="BI10" s="118">
        <v>-119134.43192</v>
      </c>
      <c r="BJ10" s="118">
        <f>([4]Base_DRE!$P$6-[4]Base_DRE!$P$5)</f>
        <v>-173596.34143999999</v>
      </c>
    </row>
    <row r="11" spans="1:64" ht="14.1" customHeight="1" x14ac:dyDescent="0.2">
      <c r="A11" s="1" t="s">
        <v>56</v>
      </c>
      <c r="B11" s="1" t="s">
        <v>695</v>
      </c>
      <c r="C11" s="24"/>
      <c r="D11" s="119" t="str">
        <f>IF([1]RENAME!$H$3=1,B11,A11)</f>
        <v>Receita líquida</v>
      </c>
      <c r="E11" s="120">
        <v>238313</v>
      </c>
      <c r="F11" s="120">
        <v>270753</v>
      </c>
      <c r="G11" s="120">
        <v>320234</v>
      </c>
      <c r="H11" s="120">
        <v>327631</v>
      </c>
      <c r="I11" s="120">
        <v>285617</v>
      </c>
      <c r="J11" s="120">
        <v>367362</v>
      </c>
      <c r="K11" s="120">
        <v>373676</v>
      </c>
      <c r="L11" s="120">
        <v>358711</v>
      </c>
      <c r="M11" s="120">
        <v>283484</v>
      </c>
      <c r="N11" s="120">
        <v>312265</v>
      </c>
      <c r="O11" s="120">
        <v>309965</v>
      </c>
      <c r="P11" s="120">
        <v>346902</v>
      </c>
      <c r="Q11" s="120">
        <f t="shared" ref="Q11:AQ11" si="12">+Q9+Q10</f>
        <v>238752</v>
      </c>
      <c r="R11" s="120">
        <f t="shared" si="12"/>
        <v>226505</v>
      </c>
      <c r="S11" s="120">
        <f t="shared" si="12"/>
        <v>223391</v>
      </c>
      <c r="T11" s="120">
        <f t="shared" si="12"/>
        <v>236631.14452999996</v>
      </c>
      <c r="U11" s="120">
        <f t="shared" si="12"/>
        <v>159830.11609999998</v>
      </c>
      <c r="V11" s="120">
        <f t="shared" si="12"/>
        <v>186957.89432999998</v>
      </c>
      <c r="W11" s="120">
        <f t="shared" si="12"/>
        <v>197918.79816000001</v>
      </c>
      <c r="X11" s="120">
        <f t="shared" si="12"/>
        <v>214169.66331</v>
      </c>
      <c r="Y11" s="120">
        <f t="shared" si="12"/>
        <v>173318.83538999999</v>
      </c>
      <c r="Z11" s="120">
        <f t="shared" si="12"/>
        <v>215770.36486</v>
      </c>
      <c r="AA11" s="120">
        <f t="shared" si="12"/>
        <v>244165.43901</v>
      </c>
      <c r="AB11" s="120">
        <f t="shared" si="12"/>
        <v>274828.10285000002</v>
      </c>
      <c r="AC11" s="120">
        <f t="shared" si="12"/>
        <v>222460.58290000001</v>
      </c>
      <c r="AD11" s="120">
        <f t="shared" si="12"/>
        <v>255990.60479000001</v>
      </c>
      <c r="AE11" s="120">
        <f t="shared" si="12"/>
        <v>296080.73563999997</v>
      </c>
      <c r="AF11" s="120">
        <f t="shared" si="12"/>
        <v>326274.76699000003</v>
      </c>
      <c r="AG11" s="162">
        <f t="shared" si="12"/>
        <v>258906.62084000002</v>
      </c>
      <c r="AH11" s="120">
        <f t="shared" si="12"/>
        <v>294104.86498000001</v>
      </c>
      <c r="AI11" s="120">
        <f t="shared" si="12"/>
        <v>299791.52484000003</v>
      </c>
      <c r="AJ11" s="120">
        <f t="shared" si="12"/>
        <v>337343.94335000002</v>
      </c>
      <c r="AK11" s="120">
        <f t="shared" si="12"/>
        <v>240760.50283000001</v>
      </c>
      <c r="AL11" s="120">
        <f t="shared" si="12"/>
        <v>86877.694019999995</v>
      </c>
      <c r="AM11" s="120">
        <f t="shared" si="12"/>
        <v>245457.37875</v>
      </c>
      <c r="AN11" s="120">
        <f t="shared" si="12"/>
        <v>272562.20763000002</v>
      </c>
      <c r="AO11" s="120">
        <f t="shared" si="12"/>
        <v>200824.73549000002</v>
      </c>
      <c r="AP11" s="120">
        <f t="shared" si="12"/>
        <v>200426.93229999999</v>
      </c>
      <c r="AQ11" s="120">
        <f t="shared" si="12"/>
        <v>194320.18411000003</v>
      </c>
      <c r="AR11" s="120">
        <f t="shared" ref="AR11:AW11" si="13">+AR9+AR10</f>
        <v>271941.06416999991</v>
      </c>
      <c r="AS11" s="120">
        <f t="shared" si="13"/>
        <v>201794.54371999999</v>
      </c>
      <c r="AT11" s="120">
        <f t="shared" si="13"/>
        <v>266102.03385999997</v>
      </c>
      <c r="AU11" s="120">
        <f t="shared" si="13"/>
        <v>373130.08003000001</v>
      </c>
      <c r="AV11" s="120">
        <f t="shared" si="13"/>
        <v>372411.93473999994</v>
      </c>
      <c r="AW11" s="120">
        <f t="shared" si="13"/>
        <v>297039.75662999979</v>
      </c>
      <c r="AX11" s="120">
        <f t="shared" ref="AX11:BF11" si="14">+AX9+AX10</f>
        <v>330903.64549000008</v>
      </c>
      <c r="AY11" s="120">
        <f t="shared" si="14"/>
        <v>385824.37796000007</v>
      </c>
      <c r="AZ11" s="120">
        <f t="shared" si="14"/>
        <v>413371.23960000015</v>
      </c>
      <c r="BA11" s="120">
        <f t="shared" si="14"/>
        <v>347511.84237999993</v>
      </c>
      <c r="BB11" s="120">
        <f t="shared" si="14"/>
        <v>427279.17346000002</v>
      </c>
      <c r="BC11" s="120">
        <f t="shared" si="14"/>
        <v>561932.16921000008</v>
      </c>
      <c r="BD11" s="120">
        <f t="shared" si="14"/>
        <v>583336.57371000003</v>
      </c>
      <c r="BE11" s="120">
        <f t="shared" si="14"/>
        <v>394535.41629999992</v>
      </c>
      <c r="BF11" s="120">
        <f t="shared" si="14"/>
        <v>495906.27766999992</v>
      </c>
      <c r="BG11" s="120">
        <f>+BG9+BG10</f>
        <v>599859</v>
      </c>
      <c r="BH11" s="120">
        <f>+BH9+BH10</f>
        <v>571857.76355999999</v>
      </c>
      <c r="BI11" s="120">
        <f>+BI9+BI10</f>
        <v>480100.99297999998</v>
      </c>
      <c r="BJ11" s="120">
        <f>+BJ9+BJ10</f>
        <v>692887.99320999999</v>
      </c>
    </row>
    <row r="12" spans="1:64" ht="14.1" customHeight="1" x14ac:dyDescent="0.2">
      <c r="A12" s="1" t="s">
        <v>1555</v>
      </c>
      <c r="B12" s="1" t="s">
        <v>1377</v>
      </c>
      <c r="C12" s="24"/>
      <c r="D12" s="117" t="str">
        <f>IF([1]RENAME!$H$3=1,B12,A12)</f>
        <v>Custos de serviços prestados*</v>
      </c>
      <c r="E12" s="121">
        <v>-189436</v>
      </c>
      <c r="F12" s="121">
        <v>-216679</v>
      </c>
      <c r="G12" s="121">
        <v>-249204</v>
      </c>
      <c r="H12" s="121">
        <v>-267047</v>
      </c>
      <c r="I12" s="121">
        <v>-228868</v>
      </c>
      <c r="J12" s="121">
        <v>-286835</v>
      </c>
      <c r="K12" s="121">
        <v>-287067</v>
      </c>
      <c r="L12" s="121">
        <v>-277479</v>
      </c>
      <c r="M12" s="121">
        <v>-228204</v>
      </c>
      <c r="N12" s="121">
        <v>-249534</v>
      </c>
      <c r="O12" s="121">
        <v>-240311</v>
      </c>
      <c r="P12" s="121">
        <v>-270316</v>
      </c>
      <c r="Q12" s="118">
        <v>-194818</v>
      </c>
      <c r="R12" s="118">
        <v>-186806</v>
      </c>
      <c r="S12" s="118">
        <v>-182158</v>
      </c>
      <c r="T12" s="118">
        <f>-188388.95358-113</f>
        <v>-188501.95358</v>
      </c>
      <c r="U12" s="118">
        <v>-133450.33483000001</v>
      </c>
      <c r="V12" s="118">
        <v>-151593.04390999998</v>
      </c>
      <c r="W12" s="118">
        <v>-156079.47986000002</v>
      </c>
      <c r="X12" s="118">
        <v>-166209.06307</v>
      </c>
      <c r="Y12" s="118">
        <v>-141121.33221999998</v>
      </c>
      <c r="Z12" s="118">
        <v>-170858.86447999999</v>
      </c>
      <c r="AA12" s="118">
        <v>-191017.84543999998</v>
      </c>
      <c r="AB12" s="118">
        <v>-184235.34417</v>
      </c>
      <c r="AC12" s="118">
        <v>-175042.63430000001</v>
      </c>
      <c r="AD12" s="118">
        <v>-200153.55509000004</v>
      </c>
      <c r="AE12" s="118">
        <v>-226765.28566000002</v>
      </c>
      <c r="AF12" s="118">
        <v>-241697.69333000001</v>
      </c>
      <c r="AG12" s="160">
        <v>-195011.17071999999</v>
      </c>
      <c r="AH12" s="118">
        <v>-222627.48254999999</v>
      </c>
      <c r="AI12" s="260">
        <v>-231521.17430999997</v>
      </c>
      <c r="AJ12" s="118">
        <v>-251808.91704</v>
      </c>
      <c r="AK12" s="118">
        <v>-183937.82206000001</v>
      </c>
      <c r="AL12" s="118">
        <v>-79168.829530000003</v>
      </c>
      <c r="AM12" s="118">
        <v>-185716.21622999999</v>
      </c>
      <c r="AN12" s="118">
        <v>-207385.10715999999</v>
      </c>
      <c r="AO12" s="118">
        <v>-156515.03270000001</v>
      </c>
      <c r="AP12" s="118">
        <v>-156748.70746000001</v>
      </c>
      <c r="AQ12" s="118">
        <v>-152863.65859000004</v>
      </c>
      <c r="AR12" s="118">
        <v>-211529.13235</v>
      </c>
      <c r="AS12" s="118">
        <v>-164595.84351000001</v>
      </c>
      <c r="AT12" s="118">
        <v>-208320.34273</v>
      </c>
      <c r="AU12" s="118">
        <v>-280064.63664000004</v>
      </c>
      <c r="AV12" s="118">
        <v>-288983.05945</v>
      </c>
      <c r="AW12" s="118">
        <v>-235868.56953999994</v>
      </c>
      <c r="AX12" s="118">
        <v>-261388.94050999999</v>
      </c>
      <c r="AY12" s="118">
        <v>-294365.07498999999</v>
      </c>
      <c r="AZ12" s="118">
        <v>-322356.92486999987</v>
      </c>
      <c r="BA12" s="118">
        <v>-272212.08776000008</v>
      </c>
      <c r="BB12" s="118">
        <v>-330865.52973000001</v>
      </c>
      <c r="BC12" s="118">
        <v>-421044.66129999998</v>
      </c>
      <c r="BD12" s="118">
        <v>-438055.93491000007</v>
      </c>
      <c r="BE12" s="118">
        <v>-308836.84028999996</v>
      </c>
      <c r="BF12" s="118">
        <v>-383234.3390700001</v>
      </c>
      <c r="BG12" s="118">
        <v>-462122.52695999987</v>
      </c>
      <c r="BH12" s="118">
        <v>-463638.68320000003</v>
      </c>
      <c r="BI12" s="118">
        <v>-392335.67629999999</v>
      </c>
      <c r="BJ12" s="118">
        <f>(+SUM([4]Base_DRE!$P$7:$P$13))</f>
        <v>-534620.1300100002</v>
      </c>
    </row>
    <row r="13" spans="1:64" ht="14.1" customHeight="1" x14ac:dyDescent="0.2">
      <c r="A13" s="1" t="s">
        <v>393</v>
      </c>
      <c r="B13" s="1" t="s">
        <v>701</v>
      </c>
      <c r="C13" s="24"/>
      <c r="D13" s="119" t="str">
        <f>IF([1]RENAME!$H$3=1,B13,A13)</f>
        <v>Lucro bruto*</v>
      </c>
      <c r="E13" s="120">
        <f t="shared" ref="E13:P13" si="15">SUM(E11,E12)</f>
        <v>48877</v>
      </c>
      <c r="F13" s="120">
        <f t="shared" si="15"/>
        <v>54074</v>
      </c>
      <c r="G13" s="120">
        <f t="shared" si="15"/>
        <v>71030</v>
      </c>
      <c r="H13" s="120">
        <f t="shared" si="15"/>
        <v>60584</v>
      </c>
      <c r="I13" s="120">
        <f t="shared" si="15"/>
        <v>56749</v>
      </c>
      <c r="J13" s="120">
        <f t="shared" si="15"/>
        <v>80527</v>
      </c>
      <c r="K13" s="120">
        <f t="shared" si="15"/>
        <v>86609</v>
      </c>
      <c r="L13" s="120">
        <f t="shared" si="15"/>
        <v>81232</v>
      </c>
      <c r="M13" s="120">
        <f t="shared" si="15"/>
        <v>55280</v>
      </c>
      <c r="N13" s="120">
        <f t="shared" si="15"/>
        <v>62731</v>
      </c>
      <c r="O13" s="120">
        <f t="shared" si="15"/>
        <v>69654</v>
      </c>
      <c r="P13" s="120">
        <f t="shared" si="15"/>
        <v>76586</v>
      </c>
      <c r="Q13" s="120">
        <f t="shared" ref="Q13:AL13" si="16">Q11+Q12</f>
        <v>43934</v>
      </c>
      <c r="R13" s="120">
        <f t="shared" si="16"/>
        <v>39699</v>
      </c>
      <c r="S13" s="120">
        <f t="shared" si="16"/>
        <v>41233</v>
      </c>
      <c r="T13" s="120">
        <f t="shared" si="16"/>
        <v>48129.19094999996</v>
      </c>
      <c r="U13" s="120">
        <f t="shared" si="16"/>
        <v>26379.781269999978</v>
      </c>
      <c r="V13" s="120">
        <f t="shared" si="16"/>
        <v>35364.850420000002</v>
      </c>
      <c r="W13" s="120">
        <f t="shared" si="16"/>
        <v>41839.318299999984</v>
      </c>
      <c r="X13" s="120">
        <f t="shared" si="16"/>
        <v>47960.60024</v>
      </c>
      <c r="Y13" s="120">
        <f t="shared" si="16"/>
        <v>32197.503170000011</v>
      </c>
      <c r="Z13" s="120">
        <f t="shared" si="16"/>
        <v>44911.500380000012</v>
      </c>
      <c r="AA13" s="120">
        <f t="shared" si="16"/>
        <v>53147.593570000026</v>
      </c>
      <c r="AB13" s="120">
        <f t="shared" si="16"/>
        <v>90592.758680000028</v>
      </c>
      <c r="AC13" s="120">
        <f t="shared" si="16"/>
        <v>47417.948600000003</v>
      </c>
      <c r="AD13" s="120">
        <f t="shared" si="16"/>
        <v>55837.049699999974</v>
      </c>
      <c r="AE13" s="120">
        <f t="shared" si="16"/>
        <v>69315.449979999947</v>
      </c>
      <c r="AF13" s="120">
        <f t="shared" si="16"/>
        <v>84577.073660000024</v>
      </c>
      <c r="AG13" s="162">
        <f t="shared" si="16"/>
        <v>63895.450120000023</v>
      </c>
      <c r="AH13" s="120">
        <f t="shared" si="16"/>
        <v>71477.382430000027</v>
      </c>
      <c r="AI13" s="120">
        <f t="shared" si="16"/>
        <v>68270.350530000054</v>
      </c>
      <c r="AJ13" s="120">
        <f t="shared" si="16"/>
        <v>85535.026310000016</v>
      </c>
      <c r="AK13" s="120">
        <f t="shared" si="16"/>
        <v>56822.680770000006</v>
      </c>
      <c r="AL13" s="120">
        <f t="shared" si="16"/>
        <v>7708.8644899999927</v>
      </c>
      <c r="AM13" s="120">
        <f t="shared" ref="AM13:AT13" si="17">AM11+AM12</f>
        <v>59741.162520000013</v>
      </c>
      <c r="AN13" s="120">
        <f t="shared" si="17"/>
        <v>65177.100470000034</v>
      </c>
      <c r="AO13" s="120">
        <f t="shared" si="17"/>
        <v>44309.70279000001</v>
      </c>
      <c r="AP13" s="120">
        <f t="shared" si="17"/>
        <v>43678.224839999981</v>
      </c>
      <c r="AQ13" s="120">
        <f t="shared" si="17"/>
        <v>41456.525519999996</v>
      </c>
      <c r="AR13" s="120">
        <f t="shared" si="17"/>
        <v>60411.931819999911</v>
      </c>
      <c r="AS13" s="120">
        <f t="shared" si="17"/>
        <v>37198.700209999981</v>
      </c>
      <c r="AT13" s="120">
        <f t="shared" si="17"/>
        <v>57781.691129999963</v>
      </c>
      <c r="AU13" s="120">
        <f t="shared" ref="AU13:BF13" si="18">AU11+AU12</f>
        <v>93065.443389999971</v>
      </c>
      <c r="AV13" s="120">
        <f t="shared" si="18"/>
        <v>83428.875289999938</v>
      </c>
      <c r="AW13" s="120">
        <f t="shared" si="18"/>
        <v>61171.187089999847</v>
      </c>
      <c r="AX13" s="120">
        <f t="shared" si="18"/>
        <v>69514.704980000097</v>
      </c>
      <c r="AY13" s="120">
        <f t="shared" si="18"/>
        <v>91459.302970000077</v>
      </c>
      <c r="AZ13" s="120">
        <f t="shared" si="18"/>
        <v>91014.314730000275</v>
      </c>
      <c r="BA13" s="120">
        <f t="shared" si="18"/>
        <v>75299.754619999847</v>
      </c>
      <c r="BB13" s="120">
        <f t="shared" si="18"/>
        <v>96413.643730000011</v>
      </c>
      <c r="BC13" s="120">
        <f t="shared" si="18"/>
        <v>140887.5079100001</v>
      </c>
      <c r="BD13" s="120">
        <f t="shared" si="18"/>
        <v>145280.63879999996</v>
      </c>
      <c r="BE13" s="120">
        <f t="shared" si="18"/>
        <v>85698.576009999961</v>
      </c>
      <c r="BF13" s="120">
        <f t="shared" si="18"/>
        <v>112671.93859999982</v>
      </c>
      <c r="BG13" s="120">
        <f>BG11+BG12</f>
        <v>137736.47304000013</v>
      </c>
      <c r="BH13" s="120">
        <f>BH11+BH12</f>
        <v>108219.08035999996</v>
      </c>
      <c r="BI13" s="120">
        <f>BI11+BI12</f>
        <v>87765.316679999989</v>
      </c>
      <c r="BJ13" s="120">
        <f>BJ11+BJ12</f>
        <v>158267.86319999979</v>
      </c>
      <c r="BK13" s="1155"/>
    </row>
    <row r="14" spans="1:64" ht="14.1" customHeight="1" x14ac:dyDescent="0.2">
      <c r="A14" s="1" t="s">
        <v>1556</v>
      </c>
      <c r="B14" s="1" t="s">
        <v>1557</v>
      </c>
      <c r="C14" s="24"/>
      <c r="D14" s="117" t="str">
        <f>IF([1]RENAME!$H$3=1,B14,A14)</f>
        <v>Despesas*</v>
      </c>
      <c r="E14" s="121">
        <v>-21074</v>
      </c>
      <c r="F14" s="121">
        <v>-16677</v>
      </c>
      <c r="G14" s="121">
        <v>-9112</v>
      </c>
      <c r="H14" s="121">
        <v>-17676</v>
      </c>
      <c r="I14" s="121">
        <v>-20244</v>
      </c>
      <c r="J14" s="121">
        <v>-23578</v>
      </c>
      <c r="K14" s="121">
        <v>-10037</v>
      </c>
      <c r="L14" s="121">
        <v>-31133</v>
      </c>
      <c r="M14" s="121">
        <v>-24798</v>
      </c>
      <c r="N14" s="121">
        <v>-19902</v>
      </c>
      <c r="O14" s="121">
        <v>-23008</v>
      </c>
      <c r="P14" s="121">
        <v>-23555</v>
      </c>
      <c r="Q14" s="118">
        <f>-18551-1558</f>
        <v>-20109</v>
      </c>
      <c r="R14" s="118">
        <v>-18551</v>
      </c>
      <c r="S14" s="118">
        <v>-18755</v>
      </c>
      <c r="T14" s="118">
        <f>-24141.83187+113</f>
        <v>-24028.831870000002</v>
      </c>
      <c r="U14" s="118">
        <f>-15191.89146</f>
        <v>-15191.891460000001</v>
      </c>
      <c r="V14" s="118">
        <v>-21353.169100000003</v>
      </c>
      <c r="W14" s="118">
        <v>-18774.009830000003</v>
      </c>
      <c r="X14" s="118">
        <v>-18589.330899999997</v>
      </c>
      <c r="Y14" s="118">
        <v>-16353.04853</v>
      </c>
      <c r="Z14" s="118">
        <v>-34622.371769999998</v>
      </c>
      <c r="AA14" s="118">
        <v>-18277.272819999998</v>
      </c>
      <c r="AB14" s="118">
        <v>-30661.90698</v>
      </c>
      <c r="AC14" s="118">
        <v>-24805.271980000001</v>
      </c>
      <c r="AD14" s="118">
        <v>-17589.50963</v>
      </c>
      <c r="AE14" s="118">
        <v>-19911.637070000001</v>
      </c>
      <c r="AF14" s="260">
        <v>-33013.308089999999</v>
      </c>
      <c r="AG14" s="160">
        <v>-21396.712169999999</v>
      </c>
      <c r="AH14" s="118">
        <v>-22826.147920000003</v>
      </c>
      <c r="AI14" s="260">
        <v>30380.544190000001</v>
      </c>
      <c r="AJ14" s="118">
        <v>-30316.098229999996</v>
      </c>
      <c r="AK14" s="260">
        <v>-30860.54089</v>
      </c>
      <c r="AL14" s="118">
        <v>-19363.556400000001</v>
      </c>
      <c r="AM14" s="118">
        <v>-20948.943660000001</v>
      </c>
      <c r="AN14" s="118">
        <v>-21931.721740000001</v>
      </c>
      <c r="AO14" s="260">
        <v>-11188.241210000004</v>
      </c>
      <c r="AP14" s="118">
        <v>-20227.155319999998</v>
      </c>
      <c r="AQ14" s="260">
        <v>-17093.422470000005</v>
      </c>
      <c r="AR14" s="118">
        <v>-23864.233980000005</v>
      </c>
      <c r="AS14" s="118">
        <v>-16134.47566</v>
      </c>
      <c r="AT14" s="118">
        <v>-19986.929600000003</v>
      </c>
      <c r="AU14" s="260">
        <v>-25756.751630000006</v>
      </c>
      <c r="AV14" s="260">
        <v>-16507.290939999999</v>
      </c>
      <c r="AW14" s="118">
        <v>-18645.184150000001</v>
      </c>
      <c r="AX14" s="118">
        <v>-23068.069059999994</v>
      </c>
      <c r="AY14" s="118">
        <v>-24624.235850000005</v>
      </c>
      <c r="AZ14" s="118">
        <v>-28623.659970000001</v>
      </c>
      <c r="BA14" s="260">
        <v>-25337.884590000005</v>
      </c>
      <c r="BB14" s="260">
        <v>-21782.948499999999</v>
      </c>
      <c r="BC14" s="260">
        <v>-23322.650829999999</v>
      </c>
      <c r="BD14" s="260">
        <v>-25002.788710000008</v>
      </c>
      <c r="BE14" s="118">
        <v>-25180.730210000005</v>
      </c>
      <c r="BF14" s="118">
        <v>-26323.649750000008</v>
      </c>
      <c r="BG14" s="118">
        <v>-25720.035740000003</v>
      </c>
      <c r="BH14" s="118">
        <v>-30240.550179999998</v>
      </c>
      <c r="BI14" s="260">
        <v>-22213.325929999999</v>
      </c>
      <c r="BJ14" s="260">
        <f>(+SUM([4]Base_DRE!$P$35:$P$37))</f>
        <v>-33894.521939999999</v>
      </c>
      <c r="BL14" s="1171"/>
    </row>
    <row r="15" spans="1:64" ht="14.1" customHeight="1" x14ac:dyDescent="0.2">
      <c r="A15" s="1" t="s">
        <v>8</v>
      </c>
      <c r="B15" s="1" t="s">
        <v>8</v>
      </c>
      <c r="C15" s="24"/>
      <c r="D15" s="119" t="str">
        <f>IF([1]RENAME!$H$3=1,B15,A15)</f>
        <v>EBITDA</v>
      </c>
      <c r="E15" s="120">
        <f t="shared" ref="E15:AR15" si="19">+E13+E14</f>
        <v>27803</v>
      </c>
      <c r="F15" s="120">
        <f t="shared" si="19"/>
        <v>37397</v>
      </c>
      <c r="G15" s="120">
        <f t="shared" si="19"/>
        <v>61918</v>
      </c>
      <c r="H15" s="120">
        <f t="shared" si="19"/>
        <v>42908</v>
      </c>
      <c r="I15" s="120">
        <f t="shared" si="19"/>
        <v>36505</v>
      </c>
      <c r="J15" s="120">
        <f t="shared" si="19"/>
        <v>56949</v>
      </c>
      <c r="K15" s="120">
        <f t="shared" si="19"/>
        <v>76572</v>
      </c>
      <c r="L15" s="120">
        <f t="shared" si="19"/>
        <v>50099</v>
      </c>
      <c r="M15" s="120">
        <f t="shared" si="19"/>
        <v>30482</v>
      </c>
      <c r="N15" s="120">
        <f t="shared" si="19"/>
        <v>42829</v>
      </c>
      <c r="O15" s="120">
        <f t="shared" si="19"/>
        <v>46646</v>
      </c>
      <c r="P15" s="120">
        <f t="shared" si="19"/>
        <v>53031</v>
      </c>
      <c r="Q15" s="120">
        <f t="shared" si="19"/>
        <v>23825</v>
      </c>
      <c r="R15" s="120">
        <f t="shared" si="19"/>
        <v>21148</v>
      </c>
      <c r="S15" s="120">
        <f t="shared" si="19"/>
        <v>22478</v>
      </c>
      <c r="T15" s="120">
        <f t="shared" si="19"/>
        <v>24100.359079999958</v>
      </c>
      <c r="U15" s="120">
        <f t="shared" si="19"/>
        <v>11187.889809999977</v>
      </c>
      <c r="V15" s="120">
        <f t="shared" si="19"/>
        <v>14011.68132</v>
      </c>
      <c r="W15" s="120">
        <f t="shared" si="19"/>
        <v>23065.308469999982</v>
      </c>
      <c r="X15" s="120">
        <f t="shared" si="19"/>
        <v>29371.269340000003</v>
      </c>
      <c r="Y15" s="120">
        <f t="shared" si="19"/>
        <v>15844.454640000011</v>
      </c>
      <c r="Z15" s="120">
        <f t="shared" si="19"/>
        <v>10289.128610000014</v>
      </c>
      <c r="AA15" s="120">
        <f t="shared" si="19"/>
        <v>34870.320750000028</v>
      </c>
      <c r="AB15" s="120">
        <f t="shared" si="19"/>
        <v>59930.851700000028</v>
      </c>
      <c r="AC15" s="120">
        <f t="shared" si="19"/>
        <v>22612.676620000002</v>
      </c>
      <c r="AD15" s="120">
        <f t="shared" si="19"/>
        <v>38247.540069999974</v>
      </c>
      <c r="AE15" s="120">
        <f t="shared" si="19"/>
        <v>49403.81290999995</v>
      </c>
      <c r="AF15" s="120">
        <f t="shared" si="19"/>
        <v>51563.765570000025</v>
      </c>
      <c r="AG15" s="162">
        <f t="shared" si="19"/>
        <v>42498.737950000024</v>
      </c>
      <c r="AH15" s="120">
        <f t="shared" si="19"/>
        <v>48651.234510000024</v>
      </c>
      <c r="AI15" s="120">
        <f t="shared" si="19"/>
        <v>98650.894720000055</v>
      </c>
      <c r="AJ15" s="120">
        <f t="shared" si="19"/>
        <v>55218.92808000002</v>
      </c>
      <c r="AK15" s="120">
        <f t="shared" si="19"/>
        <v>25962.139880000006</v>
      </c>
      <c r="AL15" s="120">
        <f t="shared" si="19"/>
        <v>-11654.691910000009</v>
      </c>
      <c r="AM15" s="120">
        <f t="shared" si="19"/>
        <v>38792.218860000008</v>
      </c>
      <c r="AN15" s="120">
        <f t="shared" si="19"/>
        <v>43245.378730000033</v>
      </c>
      <c r="AO15" s="120">
        <f t="shared" si="19"/>
        <v>33121.461580000003</v>
      </c>
      <c r="AP15" s="120">
        <f t="shared" si="19"/>
        <v>23451.069519999983</v>
      </c>
      <c r="AQ15" s="120">
        <f t="shared" si="19"/>
        <v>24363.103049999991</v>
      </c>
      <c r="AR15" s="120">
        <f t="shared" si="19"/>
        <v>36547.697839999906</v>
      </c>
      <c r="AS15" s="120">
        <f t="shared" ref="AS15:AX15" si="20">+AS13+AS14</f>
        <v>21064.224549999981</v>
      </c>
      <c r="AT15" s="120">
        <f t="shared" si="20"/>
        <v>37794.76152999996</v>
      </c>
      <c r="AU15" s="120">
        <f t="shared" si="20"/>
        <v>67308.691759999958</v>
      </c>
      <c r="AV15" s="120">
        <f t="shared" si="20"/>
        <v>66921.584349999932</v>
      </c>
      <c r="AW15" s="120">
        <f t="shared" si="20"/>
        <v>42526.002939999846</v>
      </c>
      <c r="AX15" s="120">
        <f t="shared" si="20"/>
        <v>46446.635920000102</v>
      </c>
      <c r="AY15" s="120">
        <f t="shared" ref="AY15:BF15" si="21">+AY13+AY14</f>
        <v>66835.06712000008</v>
      </c>
      <c r="AZ15" s="120">
        <f t="shared" si="21"/>
        <v>62390.654760000274</v>
      </c>
      <c r="BA15" s="120">
        <f t="shared" si="21"/>
        <v>49961.870029999845</v>
      </c>
      <c r="BB15" s="120">
        <f t="shared" si="21"/>
        <v>74630.695230000012</v>
      </c>
      <c r="BC15" s="120">
        <f t="shared" si="21"/>
        <v>117564.8570800001</v>
      </c>
      <c r="BD15" s="120">
        <f t="shared" si="21"/>
        <v>120277.85008999995</v>
      </c>
      <c r="BE15" s="120">
        <f t="shared" si="21"/>
        <v>60517.845799999952</v>
      </c>
      <c r="BF15" s="120">
        <f t="shared" si="21"/>
        <v>86348.288849999808</v>
      </c>
      <c r="BG15" s="120">
        <f>+BG13+BG14</f>
        <v>112016.43730000012</v>
      </c>
      <c r="BH15" s="120">
        <f>+BH13+BH14</f>
        <v>77978.530179999972</v>
      </c>
      <c r="BI15" s="120">
        <f>+BI13+BI14</f>
        <v>65551.990749999997</v>
      </c>
      <c r="BJ15" s="120">
        <f>+BJ13+BJ14</f>
        <v>124373.34125999978</v>
      </c>
      <c r="BK15" s="1159"/>
    </row>
    <row r="16" spans="1:64" ht="14.1" customHeight="1" x14ac:dyDescent="0.2">
      <c r="A16" s="1" t="s">
        <v>1548</v>
      </c>
      <c r="B16" s="1" t="s">
        <v>1549</v>
      </c>
      <c r="C16" s="23"/>
      <c r="D16" s="335" t="str">
        <f>IF([1]RENAME!$H$3=1,B16,A16)</f>
        <v>Revisão base PIS/Cofins</v>
      </c>
      <c r="E16" s="118" t="s">
        <v>160</v>
      </c>
      <c r="F16" s="118" t="s">
        <v>160</v>
      </c>
      <c r="G16" s="118" t="s">
        <v>160</v>
      </c>
      <c r="H16" s="118" t="s">
        <v>160</v>
      </c>
      <c r="I16" s="118" t="s">
        <v>160</v>
      </c>
      <c r="J16" s="118" t="s">
        <v>160</v>
      </c>
      <c r="K16" s="118" t="s">
        <v>160</v>
      </c>
      <c r="L16" s="118" t="s">
        <v>160</v>
      </c>
      <c r="M16" s="118" t="s">
        <v>160</v>
      </c>
      <c r="N16" s="118" t="s">
        <v>160</v>
      </c>
      <c r="O16" s="118" t="s">
        <v>160</v>
      </c>
      <c r="P16" s="118" t="s">
        <v>160</v>
      </c>
      <c r="Q16" s="118" t="s">
        <v>160</v>
      </c>
      <c r="R16" s="118" t="s">
        <v>160</v>
      </c>
      <c r="S16" s="118" t="s">
        <v>160</v>
      </c>
      <c r="T16" s="118" t="s">
        <v>160</v>
      </c>
      <c r="U16" s="118" t="s">
        <v>160</v>
      </c>
      <c r="V16" s="118" t="s">
        <v>160</v>
      </c>
      <c r="W16" s="118" t="s">
        <v>160</v>
      </c>
      <c r="X16" s="118" t="s">
        <v>160</v>
      </c>
      <c r="Y16" s="118" t="s">
        <v>160</v>
      </c>
      <c r="Z16" s="118" t="s">
        <v>160</v>
      </c>
      <c r="AA16" s="118" t="s">
        <v>160</v>
      </c>
      <c r="AB16" s="118" t="s">
        <v>160</v>
      </c>
      <c r="AC16" s="118" t="s">
        <v>160</v>
      </c>
      <c r="AD16" s="118" t="s">
        <v>160</v>
      </c>
      <c r="AE16" s="118" t="s">
        <v>160</v>
      </c>
      <c r="AF16" s="118">
        <v>-4105.6676015284993</v>
      </c>
      <c r="AG16" s="160" t="s">
        <v>160</v>
      </c>
      <c r="AH16" s="118" t="s">
        <v>160</v>
      </c>
      <c r="AI16" s="118">
        <v>-48790.526178841319</v>
      </c>
      <c r="AJ16" s="118">
        <v>0</v>
      </c>
      <c r="AK16" s="118">
        <v>0</v>
      </c>
      <c r="AL16" s="118">
        <v>0</v>
      </c>
      <c r="AM16" s="118">
        <v>0</v>
      </c>
      <c r="AN16" s="118">
        <v>0</v>
      </c>
      <c r="AO16" s="118">
        <v>0</v>
      </c>
      <c r="AP16" s="118">
        <v>0</v>
      </c>
      <c r="AQ16" s="118">
        <v>0</v>
      </c>
      <c r="AR16" s="118">
        <v>0</v>
      </c>
      <c r="AS16" s="118">
        <v>0</v>
      </c>
      <c r="AT16" s="118">
        <v>0</v>
      </c>
      <c r="AU16" s="118">
        <v>0</v>
      </c>
      <c r="AV16" s="118">
        <v>0</v>
      </c>
      <c r="AW16" s="118">
        <v>0</v>
      </c>
      <c r="AX16" s="118">
        <v>0</v>
      </c>
      <c r="AY16" s="118">
        <v>0</v>
      </c>
      <c r="AZ16" s="118">
        <v>0</v>
      </c>
      <c r="BA16" s="118" t="s">
        <v>160</v>
      </c>
      <c r="BB16" s="118">
        <v>0</v>
      </c>
      <c r="BC16" s="118">
        <v>0</v>
      </c>
      <c r="BD16" s="118">
        <v>0</v>
      </c>
      <c r="BE16" s="118">
        <v>0</v>
      </c>
      <c r="BF16" s="118">
        <v>0</v>
      </c>
      <c r="BG16" s="118">
        <v>0</v>
      </c>
      <c r="BH16" s="118">
        <v>0</v>
      </c>
      <c r="BI16" s="118">
        <v>0</v>
      </c>
      <c r="BJ16" s="118">
        <v>0</v>
      </c>
    </row>
    <row r="17" spans="1:62" ht="14.1" customHeight="1" x14ac:dyDescent="0.2">
      <c r="A17" s="1" t="s">
        <v>1929</v>
      </c>
      <c r="B17" s="1" t="s">
        <v>1930</v>
      </c>
      <c r="C17" s="23"/>
      <c r="D17" s="335" t="str">
        <f>IF([1]RENAME!$H$3=1,B17,A17)</f>
        <v>Ganho na venda de participação acionária</v>
      </c>
      <c r="E17" s="118" t="s">
        <v>160</v>
      </c>
      <c r="F17" s="118" t="s">
        <v>160</v>
      </c>
      <c r="G17" s="118" t="s">
        <v>160</v>
      </c>
      <c r="H17" s="118" t="s">
        <v>160</v>
      </c>
      <c r="I17" s="118" t="s">
        <v>160</v>
      </c>
      <c r="J17" s="118" t="s">
        <v>160</v>
      </c>
      <c r="K17" s="118" t="s">
        <v>160</v>
      </c>
      <c r="L17" s="118" t="s">
        <v>160</v>
      </c>
      <c r="M17" s="118" t="s">
        <v>160</v>
      </c>
      <c r="N17" s="118" t="s">
        <v>160</v>
      </c>
      <c r="O17" s="118" t="s">
        <v>160</v>
      </c>
      <c r="P17" s="118" t="s">
        <v>160</v>
      </c>
      <c r="Q17" s="118" t="s">
        <v>160</v>
      </c>
      <c r="R17" s="118" t="s">
        <v>160</v>
      </c>
      <c r="S17" s="118" t="s">
        <v>160</v>
      </c>
      <c r="T17" s="118" t="s">
        <v>160</v>
      </c>
      <c r="U17" s="118" t="s">
        <v>160</v>
      </c>
      <c r="V17" s="118" t="s">
        <v>160</v>
      </c>
      <c r="W17" s="118" t="s">
        <v>160</v>
      </c>
      <c r="X17" s="118" t="s">
        <v>160</v>
      </c>
      <c r="Y17" s="118" t="s">
        <v>160</v>
      </c>
      <c r="Z17" s="118" t="s">
        <v>160</v>
      </c>
      <c r="AA17" s="118" t="s">
        <v>160</v>
      </c>
      <c r="AB17" s="118" t="s">
        <v>160</v>
      </c>
      <c r="AC17" s="118" t="s">
        <v>160</v>
      </c>
      <c r="AD17" s="118" t="s">
        <v>160</v>
      </c>
      <c r="AE17" s="118" t="s">
        <v>160</v>
      </c>
      <c r="AF17" s="118" t="s">
        <v>160</v>
      </c>
      <c r="AG17" s="160" t="s">
        <v>160</v>
      </c>
      <c r="AH17" s="118" t="s">
        <v>160</v>
      </c>
      <c r="AI17" s="118" t="s">
        <v>160</v>
      </c>
      <c r="AJ17" s="118" t="s">
        <v>160</v>
      </c>
      <c r="AK17" s="118" t="s">
        <v>160</v>
      </c>
      <c r="AL17" s="118" t="s">
        <v>160</v>
      </c>
      <c r="AM17" s="118" t="s">
        <v>160</v>
      </c>
      <c r="AN17" s="118" t="s">
        <v>160</v>
      </c>
      <c r="AO17" s="118" t="s">
        <v>160</v>
      </c>
      <c r="AP17" s="118" t="s">
        <v>160</v>
      </c>
      <c r="AQ17" s="118" t="s">
        <v>160</v>
      </c>
      <c r="AR17" s="118" t="s">
        <v>160</v>
      </c>
      <c r="AS17" s="118" t="s">
        <v>160</v>
      </c>
      <c r="AT17" s="118" t="s">
        <v>160</v>
      </c>
      <c r="AU17" s="118" t="s">
        <v>160</v>
      </c>
      <c r="AV17" s="118" t="s">
        <v>160</v>
      </c>
      <c r="AW17" s="118" t="s">
        <v>160</v>
      </c>
      <c r="AX17" s="118" t="s">
        <v>160</v>
      </c>
      <c r="AY17" s="118" t="s">
        <v>160</v>
      </c>
      <c r="AZ17" s="118" t="s">
        <v>160</v>
      </c>
      <c r="BA17" s="118" t="s">
        <v>160</v>
      </c>
      <c r="BB17" s="118" t="s">
        <v>160</v>
      </c>
      <c r="BC17" s="118" t="s">
        <v>160</v>
      </c>
      <c r="BD17" s="118" t="s">
        <v>160</v>
      </c>
      <c r="BE17" s="118" t="s">
        <v>160</v>
      </c>
      <c r="BF17" s="118" t="s">
        <v>160</v>
      </c>
      <c r="BG17" s="118" t="s">
        <v>160</v>
      </c>
      <c r="BH17" s="118" t="s">
        <v>160</v>
      </c>
      <c r="BI17" s="118" t="s">
        <v>160</v>
      </c>
      <c r="BJ17" s="118" t="s">
        <v>160</v>
      </c>
    </row>
    <row r="18" spans="1:62" ht="14.1" customHeight="1" x14ac:dyDescent="0.2">
      <c r="A18" s="1" t="s">
        <v>1912</v>
      </c>
      <c r="B18" s="1" t="s">
        <v>1913</v>
      </c>
      <c r="C18" s="23"/>
      <c r="D18" s="335" t="str">
        <f>IF([1]RENAME!$H$3=1,B18,A18)</f>
        <v>Despesas da oferta hostil</v>
      </c>
      <c r="E18" s="118" t="s">
        <v>160</v>
      </c>
      <c r="F18" s="118" t="s">
        <v>160</v>
      </c>
      <c r="G18" s="118" t="s">
        <v>160</v>
      </c>
      <c r="H18" s="118" t="s">
        <v>160</v>
      </c>
      <c r="I18" s="118" t="s">
        <v>160</v>
      </c>
      <c r="J18" s="118" t="s">
        <v>160</v>
      </c>
      <c r="K18" s="118" t="s">
        <v>160</v>
      </c>
      <c r="L18" s="118" t="s">
        <v>160</v>
      </c>
      <c r="M18" s="118" t="s">
        <v>160</v>
      </c>
      <c r="N18" s="118" t="s">
        <v>160</v>
      </c>
      <c r="O18" s="118" t="s">
        <v>160</v>
      </c>
      <c r="P18" s="118" t="s">
        <v>160</v>
      </c>
      <c r="Q18" s="118" t="s">
        <v>160</v>
      </c>
      <c r="R18" s="118" t="s">
        <v>160</v>
      </c>
      <c r="S18" s="118" t="s">
        <v>160</v>
      </c>
      <c r="T18" s="118" t="s">
        <v>160</v>
      </c>
      <c r="U18" s="118" t="s">
        <v>160</v>
      </c>
      <c r="V18" s="118" t="s">
        <v>160</v>
      </c>
      <c r="W18" s="118" t="s">
        <v>160</v>
      </c>
      <c r="X18" s="118" t="s">
        <v>160</v>
      </c>
      <c r="Y18" s="118" t="s">
        <v>160</v>
      </c>
      <c r="Z18" s="118" t="s">
        <v>160</v>
      </c>
      <c r="AA18" s="118" t="s">
        <v>160</v>
      </c>
      <c r="AB18" s="118" t="s">
        <v>160</v>
      </c>
      <c r="AC18" s="118" t="s">
        <v>160</v>
      </c>
      <c r="AD18" s="118" t="s">
        <v>160</v>
      </c>
      <c r="AE18" s="118" t="s">
        <v>160</v>
      </c>
      <c r="AF18" s="118" t="s">
        <v>160</v>
      </c>
      <c r="AG18" s="160" t="s">
        <v>160</v>
      </c>
      <c r="AH18" s="118" t="s">
        <v>160</v>
      </c>
      <c r="AI18" s="118" t="s">
        <v>160</v>
      </c>
      <c r="AJ18" s="118" t="s">
        <v>160</v>
      </c>
      <c r="AK18" s="118" t="s">
        <v>160</v>
      </c>
      <c r="AL18" s="118" t="s">
        <v>160</v>
      </c>
      <c r="AM18" s="118" t="s">
        <v>160</v>
      </c>
      <c r="AN18" s="118" t="s">
        <v>160</v>
      </c>
      <c r="AO18" s="118" t="s">
        <v>160</v>
      </c>
      <c r="AP18" s="118" t="s">
        <v>160</v>
      </c>
      <c r="AQ18" s="118">
        <v>1159</v>
      </c>
      <c r="AR18" s="118">
        <v>0</v>
      </c>
      <c r="AS18" s="118">
        <v>0</v>
      </c>
      <c r="AT18" s="118">
        <v>0</v>
      </c>
      <c r="AU18" s="118">
        <v>0</v>
      </c>
      <c r="AV18" s="118">
        <v>0</v>
      </c>
      <c r="AW18" s="118">
        <v>0</v>
      </c>
      <c r="AX18" s="118">
        <v>0</v>
      </c>
      <c r="AY18" s="118">
        <v>0</v>
      </c>
      <c r="AZ18" s="118">
        <v>0</v>
      </c>
      <c r="BA18" s="118" t="s">
        <v>160</v>
      </c>
      <c r="BB18" s="118">
        <v>0</v>
      </c>
      <c r="BC18" s="118">
        <v>0</v>
      </c>
      <c r="BD18" s="118">
        <v>0</v>
      </c>
      <c r="BE18" s="118">
        <v>0</v>
      </c>
      <c r="BF18" s="118">
        <v>0</v>
      </c>
      <c r="BG18" s="118">
        <v>0</v>
      </c>
      <c r="BH18" s="118">
        <v>0</v>
      </c>
      <c r="BI18" s="118">
        <v>0</v>
      </c>
      <c r="BJ18" s="118">
        <v>0</v>
      </c>
    </row>
    <row r="19" spans="1:62" ht="14.1" customHeight="1" x14ac:dyDescent="0.2">
      <c r="A19" s="1" t="s">
        <v>1594</v>
      </c>
      <c r="B19" s="1" t="s">
        <v>1593</v>
      </c>
      <c r="C19" s="23"/>
      <c r="D19" s="335" t="str">
        <f>IF([1]RENAME!$H$3=1,B19,A19)</f>
        <v>Custo da investigação Operação Pacto</v>
      </c>
      <c r="E19" s="118">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18">
        <v>0</v>
      </c>
      <c r="AD19" s="118">
        <v>0</v>
      </c>
      <c r="AE19" s="118">
        <v>0</v>
      </c>
      <c r="AF19" s="118">
        <v>0</v>
      </c>
      <c r="AG19" s="160">
        <v>0</v>
      </c>
      <c r="AH19" s="118">
        <v>0</v>
      </c>
      <c r="AI19" s="118">
        <v>0</v>
      </c>
      <c r="AJ19" s="118">
        <v>2254</v>
      </c>
      <c r="AK19" s="118">
        <v>3317</v>
      </c>
      <c r="AL19" s="118">
        <v>0</v>
      </c>
      <c r="AM19" s="118">
        <v>0</v>
      </c>
      <c r="AN19" s="118">
        <v>0</v>
      </c>
      <c r="AO19" s="118">
        <v>0</v>
      </c>
      <c r="AP19" s="118">
        <v>0</v>
      </c>
      <c r="AQ19" s="118">
        <v>0</v>
      </c>
      <c r="AR19" s="118">
        <v>0</v>
      </c>
      <c r="AS19" s="118">
        <v>0</v>
      </c>
      <c r="AT19" s="118">
        <v>0</v>
      </c>
      <c r="AU19" s="118">
        <v>0</v>
      </c>
      <c r="AV19" s="118">
        <v>0</v>
      </c>
      <c r="AW19" s="118">
        <v>0</v>
      </c>
      <c r="AX19" s="118">
        <v>0</v>
      </c>
      <c r="AY19" s="118">
        <v>0</v>
      </c>
      <c r="AZ19" s="118">
        <v>0</v>
      </c>
      <c r="BA19" s="118" t="s">
        <v>160</v>
      </c>
      <c r="BB19" s="118">
        <v>0</v>
      </c>
      <c r="BC19" s="118">
        <v>0</v>
      </c>
      <c r="BD19" s="118">
        <v>0</v>
      </c>
      <c r="BE19" s="118">
        <v>0</v>
      </c>
      <c r="BF19" s="118">
        <v>0</v>
      </c>
      <c r="BG19" s="118">
        <v>0</v>
      </c>
      <c r="BH19" s="118">
        <v>0</v>
      </c>
      <c r="BI19" s="118">
        <v>0</v>
      </c>
      <c r="BJ19" s="118">
        <v>0</v>
      </c>
    </row>
    <row r="20" spans="1:62" ht="14.1" customHeight="1" x14ac:dyDescent="0.2">
      <c r="A20" s="1" t="s">
        <v>388</v>
      </c>
      <c r="B20" s="1" t="s">
        <v>1547</v>
      </c>
      <c r="C20" s="23"/>
      <c r="D20" s="335" t="str">
        <f>IF([1]RENAME!$H$3=1,B20,A20)</f>
        <v>Crédito de PIS/COFINS</v>
      </c>
      <c r="E20" s="118">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260">
        <v>0</v>
      </c>
      <c r="AA20" s="118">
        <v>0</v>
      </c>
      <c r="AB20" s="118">
        <v>-24082.774269999951</v>
      </c>
      <c r="AC20" s="118" t="s">
        <v>160</v>
      </c>
      <c r="AD20" s="118" t="s">
        <v>160</v>
      </c>
      <c r="AE20" s="118" t="s">
        <v>160</v>
      </c>
      <c r="AF20" s="118">
        <v>0</v>
      </c>
      <c r="AG20" s="160" t="s">
        <v>160</v>
      </c>
      <c r="AH20" s="118" t="s">
        <v>160</v>
      </c>
      <c r="AI20" s="118">
        <v>0</v>
      </c>
      <c r="AJ20" s="118">
        <v>0</v>
      </c>
      <c r="AK20" s="118">
        <v>0</v>
      </c>
      <c r="AL20" s="118">
        <v>0</v>
      </c>
      <c r="AM20" s="118">
        <v>0</v>
      </c>
      <c r="AN20" s="118">
        <v>0</v>
      </c>
      <c r="AO20" s="118">
        <v>0</v>
      </c>
      <c r="AP20" s="118">
        <v>0</v>
      </c>
      <c r="AQ20" s="118">
        <v>0</v>
      </c>
      <c r="AR20" s="118">
        <v>0</v>
      </c>
      <c r="AS20" s="118">
        <v>0</v>
      </c>
      <c r="AT20" s="118">
        <v>0</v>
      </c>
      <c r="AU20" s="118">
        <v>0</v>
      </c>
      <c r="AV20" s="118">
        <v>0</v>
      </c>
      <c r="AW20" s="118">
        <v>0</v>
      </c>
      <c r="AX20" s="118">
        <v>0</v>
      </c>
      <c r="AY20" s="118">
        <v>0</v>
      </c>
      <c r="AZ20" s="118">
        <v>0</v>
      </c>
      <c r="BA20" s="118" t="s">
        <v>160</v>
      </c>
      <c r="BB20" s="118">
        <v>0</v>
      </c>
      <c r="BC20" s="118">
        <v>0</v>
      </c>
      <c r="BD20" s="118">
        <v>0</v>
      </c>
      <c r="BE20" s="118">
        <v>0</v>
      </c>
      <c r="BF20" s="118">
        <v>0</v>
      </c>
      <c r="BG20" s="118">
        <v>0</v>
      </c>
      <c r="BH20" s="118">
        <v>0</v>
      </c>
      <c r="BI20" s="118">
        <v>0</v>
      </c>
      <c r="BJ20" s="118">
        <v>0</v>
      </c>
    </row>
    <row r="21" spans="1:62" ht="14.1" customHeight="1" x14ac:dyDescent="0.2">
      <c r="A21" s="1" t="s">
        <v>1960</v>
      </c>
      <c r="B21" s="19" t="s">
        <v>1959</v>
      </c>
      <c r="C21" s="23"/>
      <c r="D21" s="335" t="str">
        <f>IF([1]RENAME!$H$3=1,B21,A21)</f>
        <v>Contingência cívil ex controlada Direct</v>
      </c>
      <c r="E21" s="118">
        <v>0</v>
      </c>
      <c r="F21" s="118">
        <v>0</v>
      </c>
      <c r="G21" s="118">
        <v>0</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18">
        <v>0</v>
      </c>
      <c r="Y21" s="118">
        <v>0</v>
      </c>
      <c r="Z21" s="260">
        <v>15000</v>
      </c>
      <c r="AA21" s="118">
        <v>0</v>
      </c>
      <c r="AB21" s="118">
        <v>0</v>
      </c>
      <c r="AC21" s="118" t="s">
        <v>160</v>
      </c>
      <c r="AD21" s="118" t="s">
        <v>160</v>
      </c>
      <c r="AE21" s="118" t="s">
        <v>160</v>
      </c>
      <c r="AF21" s="118">
        <v>14500</v>
      </c>
      <c r="AG21" s="160" t="s">
        <v>160</v>
      </c>
      <c r="AH21" s="118" t="s">
        <v>160</v>
      </c>
      <c r="AI21" s="118" t="s">
        <v>160</v>
      </c>
      <c r="AJ21" s="118" t="s">
        <v>160</v>
      </c>
      <c r="AK21" s="118" t="s">
        <v>160</v>
      </c>
      <c r="AL21" s="118" t="s">
        <v>160</v>
      </c>
      <c r="AM21" s="118" t="s">
        <v>160</v>
      </c>
      <c r="AN21" s="118" t="s">
        <v>160</v>
      </c>
      <c r="AO21" s="118">
        <v>0</v>
      </c>
      <c r="AP21" s="118">
        <v>0</v>
      </c>
      <c r="AQ21" s="118">
        <v>0</v>
      </c>
      <c r="AR21" s="118">
        <v>0</v>
      </c>
      <c r="AS21" s="118">
        <v>0</v>
      </c>
      <c r="AT21" s="118">
        <v>0</v>
      </c>
      <c r="AU21" s="118">
        <v>6645.02</v>
      </c>
      <c r="AV21" s="118">
        <v>0</v>
      </c>
      <c r="AW21" s="118">
        <v>0</v>
      </c>
      <c r="AX21" s="118">
        <v>0</v>
      </c>
      <c r="AY21" s="118">
        <v>0</v>
      </c>
      <c r="AZ21" s="118">
        <v>0</v>
      </c>
      <c r="BA21" s="118" t="s">
        <v>160</v>
      </c>
      <c r="BB21" s="118">
        <v>0</v>
      </c>
      <c r="BC21" s="118">
        <v>0</v>
      </c>
      <c r="BD21" s="118">
        <v>0</v>
      </c>
      <c r="BE21" s="118">
        <v>0</v>
      </c>
      <c r="BF21" s="118">
        <v>0</v>
      </c>
      <c r="BG21" s="118">
        <v>0</v>
      </c>
      <c r="BH21" s="118">
        <v>0</v>
      </c>
      <c r="BI21" s="118">
        <v>0</v>
      </c>
      <c r="BJ21" s="118">
        <v>7211</v>
      </c>
    </row>
    <row r="22" spans="1:62" ht="14.1" customHeight="1" x14ac:dyDescent="0.2">
      <c r="A22" s="1" t="s">
        <v>1346</v>
      </c>
      <c r="B22" s="1" t="s">
        <v>2034</v>
      </c>
      <c r="C22" s="23"/>
      <c r="D22" s="335" t="str">
        <f>IF([1]RENAME!$H$3=1,B22,A22)</f>
        <v>Denúncia espontânea TCE</v>
      </c>
      <c r="E22" s="118" t="s">
        <v>160</v>
      </c>
      <c r="F22" s="118" t="s">
        <v>160</v>
      </c>
      <c r="G22" s="118" t="s">
        <v>160</v>
      </c>
      <c r="H22" s="118" t="s">
        <v>160</v>
      </c>
      <c r="I22" s="118" t="s">
        <v>160</v>
      </c>
      <c r="J22" s="118" t="s">
        <v>160</v>
      </c>
      <c r="K22" s="118" t="s">
        <v>160</v>
      </c>
      <c r="L22" s="118" t="s">
        <v>160</v>
      </c>
      <c r="M22" s="118" t="s">
        <v>160</v>
      </c>
      <c r="N22" s="118" t="s">
        <v>160</v>
      </c>
      <c r="O22" s="118" t="s">
        <v>160</v>
      </c>
      <c r="P22" s="118" t="s">
        <v>160</v>
      </c>
      <c r="Q22" s="118" t="s">
        <v>160</v>
      </c>
      <c r="R22" s="118" t="s">
        <v>160</v>
      </c>
      <c r="S22" s="118" t="s">
        <v>160</v>
      </c>
      <c r="T22" s="118" t="s">
        <v>160</v>
      </c>
      <c r="U22" s="118" t="s">
        <v>160</v>
      </c>
      <c r="V22" s="118" t="s">
        <v>160</v>
      </c>
      <c r="W22" s="118" t="s">
        <v>160</v>
      </c>
      <c r="X22" s="118" t="s">
        <v>160</v>
      </c>
      <c r="Y22" s="118" t="s">
        <v>160</v>
      </c>
      <c r="Z22" s="118" t="s">
        <v>160</v>
      </c>
      <c r="AA22" s="118" t="s">
        <v>160</v>
      </c>
      <c r="AB22" s="118" t="s">
        <v>160</v>
      </c>
      <c r="AC22" s="118" t="s">
        <v>160</v>
      </c>
      <c r="AD22" s="118" t="s">
        <v>160</v>
      </c>
      <c r="AE22" s="118">
        <v>0</v>
      </c>
      <c r="AF22" s="118">
        <v>0</v>
      </c>
      <c r="AG22" s="160">
        <v>0</v>
      </c>
      <c r="AH22" s="118">
        <v>0</v>
      </c>
      <c r="AI22" s="118">
        <v>0</v>
      </c>
      <c r="AJ22" s="118">
        <v>0</v>
      </c>
      <c r="AK22" s="118">
        <v>0</v>
      </c>
      <c r="AL22" s="118">
        <v>0</v>
      </c>
      <c r="AM22" s="118">
        <v>0</v>
      </c>
      <c r="AN22" s="118">
        <v>0</v>
      </c>
      <c r="AO22" s="118">
        <v>0</v>
      </c>
      <c r="AP22" s="118">
        <v>0</v>
      </c>
      <c r="AQ22" s="118">
        <v>0</v>
      </c>
      <c r="AR22" s="118">
        <v>0</v>
      </c>
      <c r="AS22" s="118">
        <v>0</v>
      </c>
      <c r="AT22" s="118">
        <v>0</v>
      </c>
      <c r="AU22" s="118">
        <v>0</v>
      </c>
      <c r="AV22" s="118">
        <v>0</v>
      </c>
      <c r="AW22" s="118">
        <v>0</v>
      </c>
      <c r="AX22" s="118">
        <v>0</v>
      </c>
      <c r="AY22" s="118">
        <v>0</v>
      </c>
      <c r="AZ22" s="118">
        <v>0</v>
      </c>
      <c r="BA22" s="118" t="s">
        <v>160</v>
      </c>
      <c r="BB22" s="118">
        <v>0</v>
      </c>
      <c r="BC22" s="118">
        <v>0</v>
      </c>
      <c r="BD22" s="118">
        <v>0</v>
      </c>
      <c r="BE22" s="118">
        <v>0</v>
      </c>
      <c r="BF22" s="118">
        <v>0</v>
      </c>
      <c r="BG22" s="118">
        <v>0</v>
      </c>
      <c r="BH22" s="118">
        <v>0</v>
      </c>
      <c r="BI22" s="118">
        <v>0</v>
      </c>
      <c r="BJ22" s="118">
        <v>0</v>
      </c>
    </row>
    <row r="23" spans="1:62" ht="14.1" customHeight="1" x14ac:dyDescent="0.2">
      <c r="A23" s="1" t="s">
        <v>630</v>
      </c>
      <c r="B23" s="19" t="s">
        <v>1383</v>
      </c>
      <c r="C23" s="23"/>
      <c r="D23" s="335" t="str">
        <f>IF([1]RENAME!$H$3=1,B23,A23)</f>
        <v>Baixa contas a receber operação descontinuada</v>
      </c>
      <c r="E23" s="118">
        <v>0</v>
      </c>
      <c r="F23" s="118">
        <v>0</v>
      </c>
      <c r="G23" s="118">
        <v>0</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18">
        <v>0</v>
      </c>
      <c r="AD23" s="118">
        <v>0</v>
      </c>
      <c r="AE23" s="118">
        <v>0</v>
      </c>
      <c r="AF23" s="118">
        <v>0</v>
      </c>
      <c r="AG23" s="160" t="s">
        <v>160</v>
      </c>
      <c r="AH23" s="118" t="s">
        <v>160</v>
      </c>
      <c r="AI23" s="118" t="s">
        <v>160</v>
      </c>
      <c r="AJ23" s="118" t="s">
        <v>160</v>
      </c>
      <c r="AK23" s="118" t="s">
        <v>160</v>
      </c>
      <c r="AL23" s="118" t="s">
        <v>160</v>
      </c>
      <c r="AM23" s="118" t="s">
        <v>160</v>
      </c>
      <c r="AN23" s="118" t="s">
        <v>160</v>
      </c>
      <c r="AO23" s="118" t="s">
        <v>160</v>
      </c>
      <c r="AP23" s="118" t="s">
        <v>160</v>
      </c>
      <c r="AQ23" s="118" t="s">
        <v>160</v>
      </c>
      <c r="AR23" s="118" t="s">
        <v>160</v>
      </c>
      <c r="AS23" s="118" t="s">
        <v>160</v>
      </c>
      <c r="AT23" s="118" t="s">
        <v>160</v>
      </c>
      <c r="AU23" s="118" t="s">
        <v>160</v>
      </c>
      <c r="AV23" s="118" t="s">
        <v>160</v>
      </c>
      <c r="AW23" s="118" t="s">
        <v>160</v>
      </c>
      <c r="AX23" s="118" t="s">
        <v>160</v>
      </c>
      <c r="AY23" s="118" t="s">
        <v>160</v>
      </c>
      <c r="AZ23" s="118" t="s">
        <v>160</v>
      </c>
      <c r="BA23" s="118" t="s">
        <v>160</v>
      </c>
      <c r="BB23" s="118" t="s">
        <v>160</v>
      </c>
      <c r="BC23" s="118" t="s">
        <v>160</v>
      </c>
      <c r="BD23" s="118" t="s">
        <v>160</v>
      </c>
      <c r="BE23" s="118" t="s">
        <v>160</v>
      </c>
      <c r="BF23" s="118" t="s">
        <v>160</v>
      </c>
      <c r="BG23" s="118" t="s">
        <v>160</v>
      </c>
      <c r="BH23" s="118" t="s">
        <v>160</v>
      </c>
      <c r="BI23" s="118" t="s">
        <v>160</v>
      </c>
      <c r="BJ23" s="118" t="s">
        <v>160</v>
      </c>
    </row>
    <row r="24" spans="1:62" ht="14.1" customHeight="1" x14ac:dyDescent="0.2">
      <c r="A24" s="1" t="s">
        <v>2002</v>
      </c>
      <c r="B24" s="1" t="s">
        <v>2003</v>
      </c>
      <c r="C24" s="23"/>
      <c r="D24" s="335" t="str">
        <f>IF([1]RENAME!$H$3=1,B24,A24)</f>
        <v>Crédito tributário Catlog</v>
      </c>
      <c r="E24" s="118">
        <v>0</v>
      </c>
      <c r="F24" s="118">
        <v>0</v>
      </c>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0</v>
      </c>
      <c r="Y24" s="118">
        <v>0</v>
      </c>
      <c r="Z24" s="118">
        <v>0</v>
      </c>
      <c r="AA24" s="118">
        <v>0</v>
      </c>
      <c r="AB24" s="118">
        <v>0</v>
      </c>
      <c r="AC24" s="118">
        <v>0</v>
      </c>
      <c r="AD24" s="118">
        <v>0</v>
      </c>
      <c r="AE24" s="118">
        <v>0</v>
      </c>
      <c r="AF24" s="118">
        <v>0</v>
      </c>
      <c r="AG24" s="118">
        <v>0</v>
      </c>
      <c r="AH24" s="118">
        <v>0</v>
      </c>
      <c r="AI24" s="118">
        <v>0</v>
      </c>
      <c r="AJ24" s="118">
        <v>0</v>
      </c>
      <c r="AK24" s="118">
        <v>0</v>
      </c>
      <c r="AL24" s="118">
        <v>0</v>
      </c>
      <c r="AM24" s="118">
        <v>0</v>
      </c>
      <c r="AN24" s="118">
        <v>0</v>
      </c>
      <c r="AO24" s="118">
        <v>0</v>
      </c>
      <c r="AP24" s="118">
        <v>0</v>
      </c>
      <c r="AQ24" s="118">
        <v>0</v>
      </c>
      <c r="AR24" s="118">
        <v>0</v>
      </c>
      <c r="AS24" s="118">
        <v>0</v>
      </c>
      <c r="AT24" s="118">
        <v>0</v>
      </c>
      <c r="AU24" s="118">
        <v>0</v>
      </c>
      <c r="AV24" s="118">
        <v>-5458.7727579526618</v>
      </c>
      <c r="AW24" s="118">
        <v>0</v>
      </c>
      <c r="AX24" s="118">
        <v>0</v>
      </c>
      <c r="AY24" s="118">
        <v>0</v>
      </c>
      <c r="AZ24" s="118">
        <v>0</v>
      </c>
      <c r="BA24" s="118" t="s">
        <v>160</v>
      </c>
      <c r="BB24" s="118">
        <v>0</v>
      </c>
      <c r="BC24" s="118">
        <v>0</v>
      </c>
      <c r="BD24" s="118">
        <v>0</v>
      </c>
      <c r="BE24" s="118">
        <v>0</v>
      </c>
      <c r="BF24" s="118">
        <v>0</v>
      </c>
      <c r="BG24" s="118">
        <v>0</v>
      </c>
      <c r="BH24" s="118">
        <v>0</v>
      </c>
      <c r="BI24" s="118">
        <v>0</v>
      </c>
      <c r="BJ24" s="118">
        <v>0</v>
      </c>
    </row>
    <row r="25" spans="1:62" s="626" customFormat="1" ht="13.5" hidden="1" customHeight="1" outlineLevel="1" x14ac:dyDescent="0.2">
      <c r="A25" s="626" t="s">
        <v>586</v>
      </c>
      <c r="B25" s="626" t="s">
        <v>722</v>
      </c>
      <c r="C25" s="778"/>
      <c r="D25" s="779" t="str">
        <f>IF([1]RENAME!$H$3=1,B25,A25)</f>
        <v>Indenizações combinação de negócios</v>
      </c>
      <c r="E25" s="118">
        <v>0</v>
      </c>
      <c r="F25" s="118">
        <v>0</v>
      </c>
      <c r="G25" s="118">
        <v>0</v>
      </c>
      <c r="H25" s="118">
        <v>0</v>
      </c>
      <c r="I25" s="118">
        <v>0</v>
      </c>
      <c r="J25" s="118">
        <v>0</v>
      </c>
      <c r="K25" s="118">
        <v>0</v>
      </c>
      <c r="L25" s="118">
        <v>0</v>
      </c>
      <c r="M25" s="118">
        <v>0</v>
      </c>
      <c r="N25" s="118">
        <v>0</v>
      </c>
      <c r="O25" s="118">
        <v>0</v>
      </c>
      <c r="P25" s="118">
        <v>0</v>
      </c>
      <c r="Q25" s="311">
        <v>0</v>
      </c>
      <c r="R25" s="311">
        <v>0</v>
      </c>
      <c r="S25" s="311">
        <v>0</v>
      </c>
      <c r="T25" s="311">
        <v>0</v>
      </c>
      <c r="U25" s="311">
        <v>0</v>
      </c>
      <c r="V25" s="311">
        <v>0</v>
      </c>
      <c r="W25" s="311">
        <v>0</v>
      </c>
      <c r="X25" s="311">
        <v>0</v>
      </c>
      <c r="Y25" s="311">
        <v>0</v>
      </c>
      <c r="Z25" s="311">
        <v>0</v>
      </c>
      <c r="AA25" s="311">
        <v>0</v>
      </c>
      <c r="AB25" s="311">
        <v>0</v>
      </c>
      <c r="AC25" s="311">
        <v>0</v>
      </c>
      <c r="AD25" s="311">
        <v>0</v>
      </c>
      <c r="AE25" s="311">
        <v>0</v>
      </c>
      <c r="AF25" s="311">
        <v>0</v>
      </c>
      <c r="AG25" s="318">
        <v>0</v>
      </c>
      <c r="AH25" s="311">
        <v>0</v>
      </c>
      <c r="AI25" s="311">
        <v>0</v>
      </c>
      <c r="AJ25" s="311">
        <v>0</v>
      </c>
      <c r="AK25" s="311">
        <v>0</v>
      </c>
      <c r="AL25" s="311">
        <v>0</v>
      </c>
      <c r="AM25" s="311">
        <v>0</v>
      </c>
      <c r="AN25" s="311">
        <v>0</v>
      </c>
      <c r="AO25" s="311">
        <v>0</v>
      </c>
      <c r="AP25" s="311">
        <v>0</v>
      </c>
      <c r="AQ25" s="311">
        <v>0</v>
      </c>
      <c r="AR25" s="311"/>
      <c r="AS25" s="311">
        <v>0</v>
      </c>
      <c r="AT25" s="311">
        <v>0</v>
      </c>
      <c r="AU25" s="311">
        <v>0</v>
      </c>
      <c r="AV25" s="311">
        <v>0</v>
      </c>
      <c r="AW25" s="311">
        <v>0</v>
      </c>
      <c r="AX25" s="311">
        <v>0</v>
      </c>
      <c r="AY25" s="311">
        <v>0</v>
      </c>
      <c r="AZ25" s="311">
        <v>0</v>
      </c>
      <c r="BA25" s="311"/>
      <c r="BB25" s="311"/>
      <c r="BC25" s="311"/>
      <c r="BD25" s="311">
        <v>0</v>
      </c>
      <c r="BE25" s="311"/>
      <c r="BF25" s="311">
        <v>0</v>
      </c>
      <c r="BG25" s="311">
        <v>0</v>
      </c>
      <c r="BH25" s="311">
        <v>0</v>
      </c>
      <c r="BI25" s="311">
        <v>0</v>
      </c>
      <c r="BJ25" s="311">
        <v>0</v>
      </c>
    </row>
    <row r="26" spans="1:62" s="626" customFormat="1" ht="13.5" hidden="1" customHeight="1" outlineLevel="1" x14ac:dyDescent="0.2">
      <c r="A26" s="626" t="s">
        <v>585</v>
      </c>
      <c r="B26" s="626" t="s">
        <v>720</v>
      </c>
      <c r="C26" s="778"/>
      <c r="D26" s="779" t="str">
        <f>IF([1]RENAME!$H$3=1,B26,A26)</f>
        <v>Baixa ágio controlada</v>
      </c>
      <c r="E26" s="118">
        <v>0</v>
      </c>
      <c r="F26" s="118">
        <v>0</v>
      </c>
      <c r="G26" s="118">
        <v>0</v>
      </c>
      <c r="H26" s="118">
        <v>0</v>
      </c>
      <c r="I26" s="118">
        <v>0</v>
      </c>
      <c r="J26" s="118">
        <v>0</v>
      </c>
      <c r="K26" s="118">
        <v>0</v>
      </c>
      <c r="L26" s="118">
        <v>0</v>
      </c>
      <c r="M26" s="118">
        <v>0</v>
      </c>
      <c r="N26" s="118">
        <v>0</v>
      </c>
      <c r="O26" s="118">
        <v>0</v>
      </c>
      <c r="P26" s="118">
        <v>0</v>
      </c>
      <c r="Q26" s="311">
        <v>0</v>
      </c>
      <c r="R26" s="311">
        <v>0</v>
      </c>
      <c r="S26" s="311">
        <v>0</v>
      </c>
      <c r="T26" s="311">
        <v>0</v>
      </c>
      <c r="U26" s="311">
        <v>0</v>
      </c>
      <c r="V26" s="311">
        <v>0</v>
      </c>
      <c r="W26" s="311">
        <v>0</v>
      </c>
      <c r="X26" s="311">
        <v>0</v>
      </c>
      <c r="Y26" s="311">
        <v>0</v>
      </c>
      <c r="Z26" s="311">
        <f>+'Investimentos A'!AS26</f>
        <v>1365</v>
      </c>
      <c r="AA26" s="311">
        <v>0</v>
      </c>
      <c r="AB26" s="311">
        <v>0</v>
      </c>
      <c r="AC26" s="311">
        <v>0</v>
      </c>
      <c r="AD26" s="311">
        <v>0</v>
      </c>
      <c r="AE26" s="311">
        <v>0</v>
      </c>
      <c r="AF26" s="311">
        <v>0</v>
      </c>
      <c r="AG26" s="318" t="s">
        <v>160</v>
      </c>
      <c r="AH26" s="311" t="s">
        <v>160</v>
      </c>
      <c r="AI26" s="311" t="s">
        <v>160</v>
      </c>
      <c r="AJ26" s="311" t="s">
        <v>160</v>
      </c>
      <c r="AK26" s="311" t="s">
        <v>160</v>
      </c>
      <c r="AL26" s="311" t="s">
        <v>160</v>
      </c>
      <c r="AM26" s="311" t="s">
        <v>160</v>
      </c>
      <c r="AN26" s="311" t="s">
        <v>160</v>
      </c>
      <c r="AO26" s="311" t="s">
        <v>160</v>
      </c>
      <c r="AP26" s="311" t="s">
        <v>160</v>
      </c>
      <c r="AQ26" s="311" t="s">
        <v>160</v>
      </c>
      <c r="AR26" s="311"/>
      <c r="AS26" s="311" t="s">
        <v>160</v>
      </c>
      <c r="AT26" s="311" t="s">
        <v>160</v>
      </c>
      <c r="AU26" s="311" t="s">
        <v>160</v>
      </c>
      <c r="AV26" s="311" t="s">
        <v>160</v>
      </c>
      <c r="AW26" s="311" t="s">
        <v>160</v>
      </c>
      <c r="AX26" s="311" t="s">
        <v>160</v>
      </c>
      <c r="AY26" s="311" t="s">
        <v>160</v>
      </c>
      <c r="AZ26" s="311" t="s">
        <v>160</v>
      </c>
      <c r="BA26" s="311"/>
      <c r="BB26" s="311"/>
      <c r="BC26" s="311"/>
      <c r="BD26" s="311" t="s">
        <v>160</v>
      </c>
      <c r="BE26" s="311"/>
      <c r="BF26" s="311" t="s">
        <v>160</v>
      </c>
      <c r="BG26" s="311" t="s">
        <v>160</v>
      </c>
      <c r="BH26" s="311" t="s">
        <v>160</v>
      </c>
      <c r="BI26" s="311" t="s">
        <v>160</v>
      </c>
      <c r="BJ26" s="311" t="s">
        <v>160</v>
      </c>
    </row>
    <row r="27" spans="1:62" s="626" customFormat="1" ht="13.5" hidden="1" customHeight="1" outlineLevel="1" x14ac:dyDescent="0.2">
      <c r="A27" s="626" t="s">
        <v>1178</v>
      </c>
      <c r="B27" s="626" t="s">
        <v>1332</v>
      </c>
      <c r="C27" s="778"/>
      <c r="D27" s="779" t="str">
        <f>IF([1]RENAME!$H$3=1,B27,A27)</f>
        <v>Mudança critério contingência</v>
      </c>
      <c r="E27" s="118">
        <v>0</v>
      </c>
      <c r="F27" s="118">
        <v>0</v>
      </c>
      <c r="G27" s="118">
        <v>0</v>
      </c>
      <c r="H27" s="118">
        <v>0</v>
      </c>
      <c r="I27" s="118">
        <v>0</v>
      </c>
      <c r="J27" s="118">
        <v>0</v>
      </c>
      <c r="K27" s="118">
        <v>0</v>
      </c>
      <c r="L27" s="118">
        <v>0</v>
      </c>
      <c r="M27" s="118">
        <v>0</v>
      </c>
      <c r="N27" s="118">
        <v>0</v>
      </c>
      <c r="O27" s="118">
        <v>0</v>
      </c>
      <c r="P27" s="118">
        <v>0</v>
      </c>
      <c r="Q27" s="311">
        <v>0</v>
      </c>
      <c r="R27" s="311">
        <v>0</v>
      </c>
      <c r="S27" s="311">
        <v>0</v>
      </c>
      <c r="T27" s="311">
        <v>0</v>
      </c>
      <c r="U27" s="311">
        <v>0</v>
      </c>
      <c r="V27" s="311">
        <v>0</v>
      </c>
      <c r="W27" s="311">
        <v>0</v>
      </c>
      <c r="X27" s="311">
        <v>0</v>
      </c>
      <c r="Y27" s="311">
        <v>0</v>
      </c>
      <c r="Z27" s="311">
        <v>0</v>
      </c>
      <c r="AA27" s="311">
        <v>0</v>
      </c>
      <c r="AB27" s="311">
        <v>4967.1447199999993</v>
      </c>
      <c r="AC27" s="311" t="s">
        <v>160</v>
      </c>
      <c r="AD27" s="311" t="s">
        <v>160</v>
      </c>
      <c r="AE27" s="311" t="s">
        <v>160</v>
      </c>
      <c r="AF27" s="311">
        <v>0</v>
      </c>
      <c r="AG27" s="318" t="s">
        <v>160</v>
      </c>
      <c r="AH27" s="311" t="s">
        <v>160</v>
      </c>
      <c r="AI27" s="311" t="s">
        <v>160</v>
      </c>
      <c r="AJ27" s="311" t="s">
        <v>160</v>
      </c>
      <c r="AK27" s="311" t="s">
        <v>160</v>
      </c>
      <c r="AL27" s="311" t="s">
        <v>160</v>
      </c>
      <c r="AM27" s="311" t="s">
        <v>160</v>
      </c>
      <c r="AN27" s="311" t="s">
        <v>160</v>
      </c>
      <c r="AO27" s="311" t="s">
        <v>160</v>
      </c>
      <c r="AP27" s="311" t="s">
        <v>160</v>
      </c>
      <c r="AQ27" s="311" t="s">
        <v>160</v>
      </c>
      <c r="AR27" s="311"/>
      <c r="AS27" s="311" t="s">
        <v>160</v>
      </c>
      <c r="AT27" s="311" t="s">
        <v>160</v>
      </c>
      <c r="AU27" s="311" t="s">
        <v>160</v>
      </c>
      <c r="AV27" s="311" t="s">
        <v>160</v>
      </c>
      <c r="AW27" s="311" t="s">
        <v>160</v>
      </c>
      <c r="AX27" s="311" t="s">
        <v>160</v>
      </c>
      <c r="AY27" s="311" t="s">
        <v>160</v>
      </c>
      <c r="AZ27" s="311" t="s">
        <v>160</v>
      </c>
      <c r="BA27" s="311"/>
      <c r="BB27" s="311"/>
      <c r="BC27" s="311"/>
      <c r="BD27" s="311" t="s">
        <v>160</v>
      </c>
      <c r="BE27" s="311"/>
      <c r="BF27" s="311" t="s">
        <v>160</v>
      </c>
      <c r="BG27" s="311" t="s">
        <v>160</v>
      </c>
      <c r="BH27" s="311" t="s">
        <v>160</v>
      </c>
      <c r="BI27" s="311" t="s">
        <v>160</v>
      </c>
      <c r="BJ27" s="311" t="s">
        <v>160</v>
      </c>
    </row>
    <row r="28" spans="1:62" s="626" customFormat="1" ht="14.1" hidden="1" customHeight="1" outlineLevel="1" x14ac:dyDescent="0.2">
      <c r="A28" s="626" t="s">
        <v>587</v>
      </c>
      <c r="B28" s="626" t="s">
        <v>723</v>
      </c>
      <c r="C28" s="778"/>
      <c r="D28" s="779" t="str">
        <f>IF([1]RENAME!$H$3=1,B28,A28)</f>
        <v>Ganho causa Fundaf</v>
      </c>
      <c r="E28" s="118">
        <v>0</v>
      </c>
      <c r="F28" s="118">
        <v>0</v>
      </c>
      <c r="G28" s="118">
        <v>0</v>
      </c>
      <c r="H28" s="118">
        <v>0</v>
      </c>
      <c r="I28" s="118">
        <v>0</v>
      </c>
      <c r="J28" s="118">
        <v>0</v>
      </c>
      <c r="K28" s="118">
        <v>0</v>
      </c>
      <c r="L28" s="118">
        <v>0</v>
      </c>
      <c r="M28" s="118">
        <v>0</v>
      </c>
      <c r="N28" s="118">
        <v>0</v>
      </c>
      <c r="O28" s="118">
        <v>0</v>
      </c>
      <c r="P28" s="118">
        <v>0</v>
      </c>
      <c r="Q28" s="311">
        <v>0</v>
      </c>
      <c r="R28" s="311">
        <v>0</v>
      </c>
      <c r="S28" s="311">
        <v>0</v>
      </c>
      <c r="T28" s="311">
        <v>0</v>
      </c>
      <c r="U28" s="311">
        <v>0</v>
      </c>
      <c r="V28" s="311">
        <v>0</v>
      </c>
      <c r="W28" s="311">
        <v>0</v>
      </c>
      <c r="X28" s="311">
        <v>0</v>
      </c>
      <c r="Y28" s="311">
        <v>0</v>
      </c>
      <c r="Z28" s="311">
        <v>0</v>
      </c>
      <c r="AA28" s="311">
        <v>0</v>
      </c>
      <c r="AB28" s="311">
        <v>0</v>
      </c>
      <c r="AC28" s="311">
        <v>0</v>
      </c>
      <c r="AD28" s="311">
        <v>0</v>
      </c>
      <c r="AE28" s="311">
        <v>0</v>
      </c>
      <c r="AF28" s="311">
        <v>0</v>
      </c>
      <c r="AG28" s="318">
        <v>0</v>
      </c>
      <c r="AH28" s="311">
        <v>0</v>
      </c>
      <c r="AI28" s="311">
        <v>0</v>
      </c>
      <c r="AJ28" s="311">
        <v>0</v>
      </c>
      <c r="AK28" s="311">
        <v>0</v>
      </c>
      <c r="AL28" s="311">
        <v>0</v>
      </c>
      <c r="AM28" s="311">
        <v>0</v>
      </c>
      <c r="AN28" s="311">
        <v>0</v>
      </c>
      <c r="AO28" s="311">
        <v>0</v>
      </c>
      <c r="AP28" s="311">
        <v>0</v>
      </c>
      <c r="AQ28" s="311">
        <v>0</v>
      </c>
      <c r="AR28" s="311"/>
      <c r="AS28" s="311">
        <v>0</v>
      </c>
      <c r="AT28" s="311">
        <v>0</v>
      </c>
      <c r="AU28" s="311">
        <v>0</v>
      </c>
      <c r="AV28" s="311">
        <v>0</v>
      </c>
      <c r="AW28" s="311">
        <v>0</v>
      </c>
      <c r="AX28" s="311">
        <v>0</v>
      </c>
      <c r="AY28" s="311">
        <v>0</v>
      </c>
      <c r="AZ28" s="311">
        <v>0</v>
      </c>
      <c r="BA28" s="311"/>
      <c r="BB28" s="311"/>
      <c r="BC28" s="311"/>
      <c r="BD28" s="311">
        <v>0</v>
      </c>
      <c r="BE28" s="311"/>
      <c r="BF28" s="311">
        <v>0</v>
      </c>
      <c r="BG28" s="311">
        <v>0</v>
      </c>
      <c r="BH28" s="311">
        <v>0</v>
      </c>
      <c r="BI28" s="311">
        <v>0</v>
      </c>
      <c r="BJ28" s="311">
        <v>0</v>
      </c>
    </row>
    <row r="29" spans="1:62" s="626" customFormat="1" ht="14.1" hidden="1" customHeight="1" outlineLevel="1" x14ac:dyDescent="0.2">
      <c r="A29" s="626" t="s">
        <v>50</v>
      </c>
      <c r="B29" s="626" t="s">
        <v>724</v>
      </c>
      <c r="C29" s="778"/>
      <c r="D29" s="779" t="str">
        <f>IF([1]RENAME!$H$3=1,B29,A29)</f>
        <v>Baixa preço variável</v>
      </c>
      <c r="E29" s="118">
        <v>0</v>
      </c>
      <c r="F29" s="118">
        <v>0</v>
      </c>
      <c r="G29" s="118">
        <v>-7032</v>
      </c>
      <c r="H29" s="118">
        <v>0</v>
      </c>
      <c r="I29" s="118">
        <v>0</v>
      </c>
      <c r="J29" s="118">
        <v>0</v>
      </c>
      <c r="K29" s="118">
        <v>-16445</v>
      </c>
      <c r="L29" s="118">
        <v>0</v>
      </c>
      <c r="M29" s="118">
        <v>0</v>
      </c>
      <c r="N29" s="118">
        <v>0</v>
      </c>
      <c r="O29" s="118">
        <v>0</v>
      </c>
      <c r="P29" s="118">
        <v>0</v>
      </c>
      <c r="Q29" s="311">
        <v>0</v>
      </c>
      <c r="R29" s="311">
        <v>0</v>
      </c>
      <c r="S29" s="311">
        <v>0</v>
      </c>
      <c r="T29" s="311">
        <v>0</v>
      </c>
      <c r="U29" s="311">
        <v>0</v>
      </c>
      <c r="V29" s="311">
        <v>0</v>
      </c>
      <c r="W29" s="311">
        <v>0</v>
      </c>
      <c r="X29" s="311">
        <v>0</v>
      </c>
      <c r="Y29" s="311">
        <v>0</v>
      </c>
      <c r="Z29" s="311">
        <v>0</v>
      </c>
      <c r="AA29" s="311">
        <v>0</v>
      </c>
      <c r="AB29" s="311">
        <v>0</v>
      </c>
      <c r="AC29" s="311">
        <v>0</v>
      </c>
      <c r="AD29" s="311">
        <v>0</v>
      </c>
      <c r="AE29" s="311">
        <v>0</v>
      </c>
      <c r="AF29" s="311">
        <v>0</v>
      </c>
      <c r="AG29" s="318">
        <v>0</v>
      </c>
      <c r="AH29" s="311">
        <v>0</v>
      </c>
      <c r="AI29" s="311">
        <v>0</v>
      </c>
      <c r="AJ29" s="311">
        <v>0</v>
      </c>
      <c r="AK29" s="311">
        <v>0</v>
      </c>
      <c r="AL29" s="311">
        <v>0</v>
      </c>
      <c r="AM29" s="311">
        <v>0</v>
      </c>
      <c r="AN29" s="311">
        <v>0</v>
      </c>
      <c r="AO29" s="311">
        <v>0</v>
      </c>
      <c r="AP29" s="311">
        <v>0</v>
      </c>
      <c r="AQ29" s="311">
        <v>0</v>
      </c>
      <c r="AR29" s="311"/>
      <c r="AS29" s="311">
        <v>0</v>
      </c>
      <c r="AT29" s="311">
        <v>0</v>
      </c>
      <c r="AU29" s="311">
        <v>0</v>
      </c>
      <c r="AV29" s="311">
        <v>0</v>
      </c>
      <c r="AW29" s="311">
        <v>0</v>
      </c>
      <c r="AX29" s="311">
        <v>0</v>
      </c>
      <c r="AY29" s="311">
        <v>0</v>
      </c>
      <c r="AZ29" s="311">
        <v>0</v>
      </c>
      <c r="BA29" s="311"/>
      <c r="BB29" s="311"/>
      <c r="BC29" s="311"/>
      <c r="BD29" s="311">
        <v>0</v>
      </c>
      <c r="BE29" s="311"/>
      <c r="BF29" s="311">
        <v>0</v>
      </c>
      <c r="BG29" s="311">
        <v>0</v>
      </c>
      <c r="BH29" s="311">
        <v>0</v>
      </c>
      <c r="BI29" s="311">
        <v>0</v>
      </c>
      <c r="BJ29" s="311">
        <v>0</v>
      </c>
    </row>
    <row r="30" spans="1:62" s="626" customFormat="1" ht="14.1" hidden="1" customHeight="1" outlineLevel="1" x14ac:dyDescent="0.2">
      <c r="A30" s="626" t="s">
        <v>51</v>
      </c>
      <c r="B30" s="626" t="s">
        <v>725</v>
      </c>
      <c r="C30" s="778"/>
      <c r="D30" s="779" t="str">
        <f>IF([1]RENAME!$H$3=1,B30,A30)</f>
        <v>(Ganho)/Prejui. venda de ativo</v>
      </c>
      <c r="E30" s="118">
        <v>1913</v>
      </c>
      <c r="F30" s="118">
        <v>856</v>
      </c>
      <c r="G30" s="118">
        <v>637</v>
      </c>
      <c r="H30" s="118">
        <v>-492</v>
      </c>
      <c r="I30" s="118">
        <v>834</v>
      </c>
      <c r="J30" s="118">
        <v>50</v>
      </c>
      <c r="K30" s="118">
        <v>-8</v>
      </c>
      <c r="L30" s="118">
        <v>1154</v>
      </c>
      <c r="M30" s="118">
        <v>0</v>
      </c>
      <c r="N30" s="118">
        <v>0</v>
      </c>
      <c r="O30" s="118">
        <v>0</v>
      </c>
      <c r="P30" s="118">
        <v>-1316</v>
      </c>
      <c r="Q30" s="311">
        <v>0</v>
      </c>
      <c r="R30" s="311">
        <v>0</v>
      </c>
      <c r="S30" s="311">
        <v>0</v>
      </c>
      <c r="T30" s="311">
        <v>0</v>
      </c>
      <c r="U30" s="311">
        <v>0</v>
      </c>
      <c r="V30" s="311">
        <v>0</v>
      </c>
      <c r="W30" s="311">
        <v>0</v>
      </c>
      <c r="X30" s="311">
        <v>0</v>
      </c>
      <c r="Y30" s="311">
        <v>0</v>
      </c>
      <c r="Z30" s="311">
        <v>0</v>
      </c>
      <c r="AA30" s="311">
        <v>0</v>
      </c>
      <c r="AB30" s="311">
        <v>0</v>
      </c>
      <c r="AC30" s="311">
        <v>0</v>
      </c>
      <c r="AD30" s="311">
        <v>0</v>
      </c>
      <c r="AE30" s="311">
        <v>0</v>
      </c>
      <c r="AF30" s="311">
        <v>0</v>
      </c>
      <c r="AG30" s="318">
        <v>0</v>
      </c>
      <c r="AH30" s="311">
        <v>0</v>
      </c>
      <c r="AI30" s="311">
        <v>0</v>
      </c>
      <c r="AJ30" s="311">
        <v>0</v>
      </c>
      <c r="AK30" s="311">
        <v>0</v>
      </c>
      <c r="AL30" s="311">
        <v>0</v>
      </c>
      <c r="AM30" s="311">
        <v>0</v>
      </c>
      <c r="AN30" s="311">
        <v>0</v>
      </c>
      <c r="AO30" s="311">
        <v>0</v>
      </c>
      <c r="AP30" s="311">
        <v>0</v>
      </c>
      <c r="AQ30" s="311">
        <v>0</v>
      </c>
      <c r="AR30" s="311"/>
      <c r="AS30" s="311">
        <v>0</v>
      </c>
      <c r="AT30" s="311">
        <v>0</v>
      </c>
      <c r="AU30" s="311">
        <v>0</v>
      </c>
      <c r="AV30" s="311">
        <v>0</v>
      </c>
      <c r="AW30" s="311">
        <v>0</v>
      </c>
      <c r="AX30" s="311">
        <v>0</v>
      </c>
      <c r="AY30" s="311">
        <v>0</v>
      </c>
      <c r="AZ30" s="311">
        <v>0</v>
      </c>
      <c r="BA30" s="311"/>
      <c r="BB30" s="311"/>
      <c r="BC30" s="311"/>
      <c r="BD30" s="311">
        <v>0</v>
      </c>
      <c r="BE30" s="311"/>
      <c r="BF30" s="311">
        <v>0</v>
      </c>
      <c r="BG30" s="311">
        <v>0</v>
      </c>
      <c r="BH30" s="311">
        <v>0</v>
      </c>
      <c r="BI30" s="311">
        <v>0</v>
      </c>
      <c r="BJ30" s="311">
        <v>0</v>
      </c>
    </row>
    <row r="31" spans="1:62" s="626" customFormat="1" ht="14.1" hidden="1" customHeight="1" outlineLevel="1" x14ac:dyDescent="0.2">
      <c r="A31" s="626" t="s">
        <v>52</v>
      </c>
      <c r="B31" s="626" t="s">
        <v>726</v>
      </c>
      <c r="C31" s="778"/>
      <c r="D31" s="779" t="str">
        <f>IF([1]RENAME!$H$3=1,B31,A31)</f>
        <v>Desmobilização de Operações</v>
      </c>
      <c r="E31" s="118">
        <v>0</v>
      </c>
      <c r="F31" s="118">
        <v>0</v>
      </c>
      <c r="G31" s="118">
        <v>0</v>
      </c>
      <c r="H31" s="118">
        <v>0</v>
      </c>
      <c r="I31" s="118">
        <v>0</v>
      </c>
      <c r="J31" s="118">
        <v>0</v>
      </c>
      <c r="K31" s="118">
        <v>0</v>
      </c>
      <c r="L31" s="118">
        <v>0</v>
      </c>
      <c r="M31" s="118">
        <v>1685</v>
      </c>
      <c r="N31" s="118">
        <v>0</v>
      </c>
      <c r="O31" s="118">
        <v>0</v>
      </c>
      <c r="P31" s="118">
        <v>0</v>
      </c>
      <c r="Q31" s="311">
        <v>0</v>
      </c>
      <c r="R31" s="311">
        <v>0</v>
      </c>
      <c r="S31" s="311">
        <v>0</v>
      </c>
      <c r="T31" s="311">
        <v>0</v>
      </c>
      <c r="U31" s="311">
        <v>0</v>
      </c>
      <c r="V31" s="311">
        <v>0</v>
      </c>
      <c r="W31" s="311">
        <v>0</v>
      </c>
      <c r="X31" s="311">
        <v>0</v>
      </c>
      <c r="Y31" s="311">
        <v>0</v>
      </c>
      <c r="Z31" s="311">
        <v>0</v>
      </c>
      <c r="AA31" s="311">
        <v>0</v>
      </c>
      <c r="AB31" s="311">
        <v>0</v>
      </c>
      <c r="AC31" s="311">
        <v>0</v>
      </c>
      <c r="AD31" s="311">
        <v>0</v>
      </c>
      <c r="AE31" s="311">
        <v>0</v>
      </c>
      <c r="AF31" s="311">
        <v>0</v>
      </c>
      <c r="AG31" s="318">
        <v>0</v>
      </c>
      <c r="AH31" s="311">
        <v>0</v>
      </c>
      <c r="AI31" s="311">
        <v>0</v>
      </c>
      <c r="AJ31" s="311">
        <v>0</v>
      </c>
      <c r="AK31" s="311">
        <v>0</v>
      </c>
      <c r="AL31" s="311">
        <v>0</v>
      </c>
      <c r="AM31" s="311">
        <v>0</v>
      </c>
      <c r="AN31" s="311">
        <v>0</v>
      </c>
      <c r="AO31" s="311">
        <v>0</v>
      </c>
      <c r="AP31" s="311">
        <v>0</v>
      </c>
      <c r="AQ31" s="311">
        <v>0</v>
      </c>
      <c r="AR31" s="311"/>
      <c r="AS31" s="311">
        <v>0</v>
      </c>
      <c r="AT31" s="311">
        <v>0</v>
      </c>
      <c r="AU31" s="311">
        <v>0</v>
      </c>
      <c r="AV31" s="311">
        <v>0</v>
      </c>
      <c r="AW31" s="311">
        <v>0</v>
      </c>
      <c r="AX31" s="311">
        <v>0</v>
      </c>
      <c r="AY31" s="311">
        <v>0</v>
      </c>
      <c r="AZ31" s="311">
        <v>0</v>
      </c>
      <c r="BA31" s="311"/>
      <c r="BB31" s="311"/>
      <c r="BC31" s="311"/>
      <c r="BD31" s="311">
        <v>0</v>
      </c>
      <c r="BE31" s="311"/>
      <c r="BF31" s="311">
        <v>0</v>
      </c>
      <c r="BG31" s="311">
        <v>0</v>
      </c>
      <c r="BH31" s="311">
        <v>0</v>
      </c>
      <c r="BI31" s="311">
        <v>0</v>
      </c>
      <c r="BJ31" s="311">
        <v>0</v>
      </c>
    </row>
    <row r="32" spans="1:62" s="626" customFormat="1" ht="14.1" hidden="1" customHeight="1" outlineLevel="1" x14ac:dyDescent="0.2">
      <c r="A32" s="626" t="s">
        <v>53</v>
      </c>
      <c r="B32" s="626" t="s">
        <v>727</v>
      </c>
      <c r="C32" s="778"/>
      <c r="D32" s="779" t="str">
        <f>IF([1]RENAME!$H$3=1,B32,A32)</f>
        <v>Custo de Indenização</v>
      </c>
      <c r="E32" s="118">
        <v>0</v>
      </c>
      <c r="F32" s="118">
        <v>0</v>
      </c>
      <c r="G32" s="118">
        <v>0</v>
      </c>
      <c r="H32" s="118">
        <v>0</v>
      </c>
      <c r="I32" s="118">
        <v>0</v>
      </c>
      <c r="J32" s="118">
        <v>0</v>
      </c>
      <c r="K32" s="118">
        <v>0</v>
      </c>
      <c r="L32" s="118">
        <v>0</v>
      </c>
      <c r="M32" s="118">
        <v>2139</v>
      </c>
      <c r="N32" s="118">
        <v>0</v>
      </c>
      <c r="O32" s="118">
        <v>0</v>
      </c>
      <c r="P32" s="118">
        <v>0</v>
      </c>
      <c r="Q32" s="311">
        <v>0</v>
      </c>
      <c r="R32" s="311">
        <v>0</v>
      </c>
      <c r="S32" s="311">
        <v>0</v>
      </c>
      <c r="T32" s="311">
        <v>0</v>
      </c>
      <c r="U32" s="311">
        <v>0</v>
      </c>
      <c r="V32" s="311">
        <v>0</v>
      </c>
      <c r="W32" s="311">
        <v>0</v>
      </c>
      <c r="X32" s="311">
        <v>0</v>
      </c>
      <c r="Y32" s="311">
        <v>0</v>
      </c>
      <c r="Z32" s="311">
        <v>0</v>
      </c>
      <c r="AA32" s="311">
        <v>0</v>
      </c>
      <c r="AB32" s="311">
        <v>0</v>
      </c>
      <c r="AC32" s="311">
        <v>0</v>
      </c>
      <c r="AD32" s="311">
        <v>0</v>
      </c>
      <c r="AE32" s="311">
        <v>0</v>
      </c>
      <c r="AF32" s="311">
        <v>0</v>
      </c>
      <c r="AG32" s="318">
        <v>0</v>
      </c>
      <c r="AH32" s="311">
        <v>0</v>
      </c>
      <c r="AI32" s="311">
        <v>0</v>
      </c>
      <c r="AJ32" s="311">
        <v>0</v>
      </c>
      <c r="AK32" s="311">
        <v>0</v>
      </c>
      <c r="AL32" s="311">
        <v>0</v>
      </c>
      <c r="AM32" s="311">
        <v>0</v>
      </c>
      <c r="AN32" s="311">
        <v>0</v>
      </c>
      <c r="AO32" s="311">
        <v>0</v>
      </c>
      <c r="AP32" s="311">
        <v>0</v>
      </c>
      <c r="AQ32" s="311">
        <v>0</v>
      </c>
      <c r="AR32" s="311"/>
      <c r="AS32" s="311">
        <v>0</v>
      </c>
      <c r="AT32" s="311">
        <v>0</v>
      </c>
      <c r="AU32" s="311">
        <v>0</v>
      </c>
      <c r="AV32" s="311">
        <v>0</v>
      </c>
      <c r="AW32" s="311">
        <v>0</v>
      </c>
      <c r="AX32" s="311">
        <v>0</v>
      </c>
      <c r="AY32" s="311">
        <v>0</v>
      </c>
      <c r="AZ32" s="311">
        <v>0</v>
      </c>
      <c r="BA32" s="311"/>
      <c r="BB32" s="311"/>
      <c r="BC32" s="311"/>
      <c r="BD32" s="311">
        <v>0</v>
      </c>
      <c r="BE32" s="311"/>
      <c r="BF32" s="311">
        <v>0</v>
      </c>
      <c r="BG32" s="311">
        <v>0</v>
      </c>
      <c r="BH32" s="311">
        <v>0</v>
      </c>
      <c r="BI32" s="311">
        <v>0</v>
      </c>
      <c r="BJ32" s="311">
        <v>0</v>
      </c>
    </row>
    <row r="33" spans="1:62" s="626" customFormat="1" ht="14.1" hidden="1" customHeight="1" outlineLevel="1" x14ac:dyDescent="0.2">
      <c r="A33" s="626" t="s">
        <v>49</v>
      </c>
      <c r="B33" s="626" t="s">
        <v>728</v>
      </c>
      <c r="C33" s="778"/>
      <c r="D33" s="779" t="str">
        <f>IF([1]RENAME!$H$3=1,B33,A33)</f>
        <v>Outros</v>
      </c>
      <c r="E33" s="118">
        <v>2990</v>
      </c>
      <c r="F33" s="118">
        <v>1233</v>
      </c>
      <c r="G33" s="118">
        <v>105</v>
      </c>
      <c r="H33" s="118">
        <v>1432</v>
      </c>
      <c r="I33" s="118">
        <v>0</v>
      </c>
      <c r="J33" s="118">
        <v>0</v>
      </c>
      <c r="K33" s="118">
        <v>0</v>
      </c>
      <c r="L33" s="118">
        <v>0</v>
      </c>
      <c r="M33" s="118">
        <v>0</v>
      </c>
      <c r="N33" s="118">
        <v>0</v>
      </c>
      <c r="O33" s="118">
        <v>0</v>
      </c>
      <c r="P33" s="118">
        <v>0</v>
      </c>
      <c r="Q33" s="311">
        <v>0</v>
      </c>
      <c r="R33" s="311">
        <v>0</v>
      </c>
      <c r="S33" s="311">
        <v>0</v>
      </c>
      <c r="T33" s="311">
        <v>0</v>
      </c>
      <c r="U33" s="311">
        <v>0</v>
      </c>
      <c r="V33" s="311">
        <v>0</v>
      </c>
      <c r="W33" s="311">
        <v>0</v>
      </c>
      <c r="X33" s="311">
        <v>0</v>
      </c>
      <c r="Y33" s="311">
        <v>0</v>
      </c>
      <c r="Z33" s="311">
        <v>0</v>
      </c>
      <c r="AA33" s="311">
        <v>0</v>
      </c>
      <c r="AB33" s="311">
        <v>0</v>
      </c>
      <c r="AC33" s="311">
        <v>0</v>
      </c>
      <c r="AD33" s="311">
        <v>0</v>
      </c>
      <c r="AE33" s="311">
        <v>0</v>
      </c>
      <c r="AF33" s="311">
        <v>0</v>
      </c>
      <c r="AG33" s="318">
        <v>0</v>
      </c>
      <c r="AH33" s="311">
        <v>0</v>
      </c>
      <c r="AI33" s="311">
        <v>0</v>
      </c>
      <c r="AJ33" s="311">
        <v>0</v>
      </c>
      <c r="AK33" s="311">
        <v>0</v>
      </c>
      <c r="AL33" s="311">
        <v>0</v>
      </c>
      <c r="AM33" s="311">
        <v>0</v>
      </c>
      <c r="AN33" s="311">
        <v>0</v>
      </c>
      <c r="AO33" s="311">
        <v>0</v>
      </c>
      <c r="AP33" s="311">
        <v>0</v>
      </c>
      <c r="AQ33" s="311">
        <v>0</v>
      </c>
      <c r="AR33" s="311"/>
      <c r="AS33" s="311">
        <v>0</v>
      </c>
      <c r="AT33" s="311">
        <v>0</v>
      </c>
      <c r="AU33" s="311">
        <v>0</v>
      </c>
      <c r="AV33" s="311">
        <v>0</v>
      </c>
      <c r="AW33" s="311">
        <v>0</v>
      </c>
      <c r="AX33" s="311">
        <v>0</v>
      </c>
      <c r="AY33" s="311">
        <v>0</v>
      </c>
      <c r="AZ33" s="311">
        <v>0</v>
      </c>
      <c r="BA33" s="311"/>
      <c r="BB33" s="311"/>
      <c r="BC33" s="311"/>
      <c r="BD33" s="311">
        <v>0</v>
      </c>
      <c r="BE33" s="311"/>
      <c r="BF33" s="311">
        <v>0</v>
      </c>
      <c r="BG33" s="311">
        <v>0</v>
      </c>
      <c r="BH33" s="311">
        <v>0</v>
      </c>
      <c r="BI33" s="311">
        <v>0</v>
      </c>
      <c r="BJ33" s="311">
        <v>0</v>
      </c>
    </row>
    <row r="34" spans="1:62" s="626" customFormat="1" ht="14.1" hidden="1" customHeight="1" outlineLevel="1" x14ac:dyDescent="0.2">
      <c r="A34" s="626" t="s">
        <v>453</v>
      </c>
      <c r="B34" s="626" t="s">
        <v>729</v>
      </c>
      <c r="C34" s="778"/>
      <c r="D34" s="779" t="str">
        <f>IF([1]RENAME!$H$3=1,B34,A34)</f>
        <v>Provisão trabalhista e ajuste de deposito judicial</v>
      </c>
      <c r="E34" s="118">
        <v>0</v>
      </c>
      <c r="F34" s="118">
        <v>0</v>
      </c>
      <c r="G34" s="118">
        <v>0</v>
      </c>
      <c r="H34" s="118">
        <v>0</v>
      </c>
      <c r="I34" s="118">
        <v>0</v>
      </c>
      <c r="J34" s="118">
        <v>0</v>
      </c>
      <c r="K34" s="118">
        <v>0</v>
      </c>
      <c r="L34" s="118">
        <v>0</v>
      </c>
      <c r="M34" s="118">
        <v>0</v>
      </c>
      <c r="N34" s="118">
        <v>0</v>
      </c>
      <c r="O34" s="118">
        <v>0</v>
      </c>
      <c r="P34" s="118">
        <v>0</v>
      </c>
      <c r="Q34" s="311">
        <v>0</v>
      </c>
      <c r="R34" s="311">
        <v>0</v>
      </c>
      <c r="S34" s="311">
        <v>0</v>
      </c>
      <c r="T34" s="311">
        <f>('Riscos Judiciais'!O53-'Riscos Judiciais'!P53+'Riscos Judiciais'!P34-'Riscos Judiciais'!O34)*-1</f>
        <v>3757</v>
      </c>
      <c r="U34" s="311">
        <v>0</v>
      </c>
      <c r="V34" s="311">
        <v>0</v>
      </c>
      <c r="W34" s="311">
        <v>0</v>
      </c>
      <c r="X34" s="311">
        <v>0</v>
      </c>
      <c r="Y34" s="311">
        <v>0</v>
      </c>
      <c r="Z34" s="311">
        <v>0</v>
      </c>
      <c r="AA34" s="311">
        <v>0</v>
      </c>
      <c r="AB34" s="311">
        <v>0</v>
      </c>
      <c r="AC34" s="311">
        <v>0</v>
      </c>
      <c r="AD34" s="311">
        <v>0</v>
      </c>
      <c r="AE34" s="311">
        <v>0</v>
      </c>
      <c r="AF34" s="311">
        <v>0</v>
      </c>
      <c r="AG34" s="318">
        <v>0</v>
      </c>
      <c r="AH34" s="311">
        <v>0</v>
      </c>
      <c r="AI34" s="311">
        <v>0</v>
      </c>
      <c r="AJ34" s="311">
        <v>0</v>
      </c>
      <c r="AK34" s="311">
        <v>0</v>
      </c>
      <c r="AL34" s="311">
        <v>0</v>
      </c>
      <c r="AM34" s="311">
        <v>0</v>
      </c>
      <c r="AN34" s="311">
        <v>0</v>
      </c>
      <c r="AO34" s="311">
        <v>0</v>
      </c>
      <c r="AP34" s="311">
        <v>0</v>
      </c>
      <c r="AQ34" s="311">
        <v>0</v>
      </c>
      <c r="AR34" s="311"/>
      <c r="AS34" s="311">
        <v>0</v>
      </c>
      <c r="AT34" s="311">
        <v>0</v>
      </c>
      <c r="AU34" s="311">
        <v>0</v>
      </c>
      <c r="AV34" s="311">
        <v>0</v>
      </c>
      <c r="AW34" s="311">
        <v>0</v>
      </c>
      <c r="AX34" s="311">
        <v>0</v>
      </c>
      <c r="AY34" s="311">
        <v>0</v>
      </c>
      <c r="AZ34" s="311">
        <v>0</v>
      </c>
      <c r="BA34" s="311"/>
      <c r="BB34" s="311"/>
      <c r="BC34" s="311"/>
      <c r="BD34" s="311">
        <v>0</v>
      </c>
      <c r="BE34" s="311"/>
      <c r="BF34" s="311">
        <v>0</v>
      </c>
      <c r="BG34" s="311">
        <v>0</v>
      </c>
      <c r="BH34" s="311">
        <v>0</v>
      </c>
      <c r="BI34" s="311">
        <v>0</v>
      </c>
      <c r="BJ34" s="311">
        <v>0</v>
      </c>
    </row>
    <row r="35" spans="1:62" ht="14.1" customHeight="1" collapsed="1" x14ac:dyDescent="0.2">
      <c r="A35" s="1" t="s">
        <v>67</v>
      </c>
      <c r="B35" s="1" t="s">
        <v>730</v>
      </c>
      <c r="C35" s="24"/>
      <c r="D35" s="119" t="str">
        <f>IF([1]RENAME!$H$3=1,B35,A35)</f>
        <v>EBITDA ajustado</v>
      </c>
      <c r="E35" s="120">
        <f t="shared" ref="E35:AV35" si="22">+SUM(E15:E34)</f>
        <v>32706</v>
      </c>
      <c r="F35" s="120">
        <f t="shared" si="22"/>
        <v>39486</v>
      </c>
      <c r="G35" s="120">
        <f t="shared" si="22"/>
        <v>55628</v>
      </c>
      <c r="H35" s="120">
        <f t="shared" si="22"/>
        <v>43848</v>
      </c>
      <c r="I35" s="120">
        <f t="shared" si="22"/>
        <v>37339</v>
      </c>
      <c r="J35" s="120">
        <f t="shared" si="22"/>
        <v>56999</v>
      </c>
      <c r="K35" s="120">
        <f t="shared" si="22"/>
        <v>60119</v>
      </c>
      <c r="L35" s="120">
        <f t="shared" si="22"/>
        <v>51253</v>
      </c>
      <c r="M35" s="120">
        <f t="shared" si="22"/>
        <v>34306</v>
      </c>
      <c r="N35" s="120">
        <f t="shared" si="22"/>
        <v>42829</v>
      </c>
      <c r="O35" s="120">
        <f t="shared" si="22"/>
        <v>46646</v>
      </c>
      <c r="P35" s="120">
        <f t="shared" si="22"/>
        <v>51715</v>
      </c>
      <c r="Q35" s="120">
        <f t="shared" si="22"/>
        <v>23825</v>
      </c>
      <c r="R35" s="120">
        <f t="shared" si="22"/>
        <v>21148</v>
      </c>
      <c r="S35" s="120">
        <f t="shared" si="22"/>
        <v>22478</v>
      </c>
      <c r="T35" s="120">
        <f t="shared" si="22"/>
        <v>27857.359079999958</v>
      </c>
      <c r="U35" s="120">
        <f t="shared" si="22"/>
        <v>11187.889809999977</v>
      </c>
      <c r="V35" s="120">
        <f t="shared" si="22"/>
        <v>14011.68132</v>
      </c>
      <c r="W35" s="120">
        <f t="shared" si="22"/>
        <v>23065.308469999982</v>
      </c>
      <c r="X35" s="120">
        <f t="shared" si="22"/>
        <v>29371.269340000003</v>
      </c>
      <c r="Y35" s="120">
        <f t="shared" si="22"/>
        <v>15844.454640000011</v>
      </c>
      <c r="Z35" s="120">
        <f t="shared" si="22"/>
        <v>26654.128610000014</v>
      </c>
      <c r="AA35" s="120">
        <f t="shared" si="22"/>
        <v>34870.320750000028</v>
      </c>
      <c r="AB35" s="120">
        <f t="shared" si="22"/>
        <v>40815.222150000074</v>
      </c>
      <c r="AC35" s="120">
        <f t="shared" si="22"/>
        <v>22612.676620000002</v>
      </c>
      <c r="AD35" s="120">
        <f t="shared" si="22"/>
        <v>38247.540069999974</v>
      </c>
      <c r="AE35" s="120">
        <f t="shared" si="22"/>
        <v>49403.81290999995</v>
      </c>
      <c r="AF35" s="120">
        <f t="shared" si="22"/>
        <v>61958.097968471528</v>
      </c>
      <c r="AG35" s="162">
        <f t="shared" si="22"/>
        <v>42498.737950000024</v>
      </c>
      <c r="AH35" s="120">
        <f t="shared" si="22"/>
        <v>48651.234510000024</v>
      </c>
      <c r="AI35" s="120">
        <f t="shared" si="22"/>
        <v>49860.368541158736</v>
      </c>
      <c r="AJ35" s="120">
        <f t="shared" si="22"/>
        <v>57472.92808000002</v>
      </c>
      <c r="AK35" s="120">
        <f t="shared" si="22"/>
        <v>29279.139880000006</v>
      </c>
      <c r="AL35" s="120">
        <f t="shared" si="22"/>
        <v>-11654.691910000009</v>
      </c>
      <c r="AM35" s="120">
        <f t="shared" si="22"/>
        <v>38792.218860000008</v>
      </c>
      <c r="AN35" s="120">
        <f t="shared" si="22"/>
        <v>43245.378730000033</v>
      </c>
      <c r="AO35" s="120">
        <f t="shared" si="22"/>
        <v>33121.461580000003</v>
      </c>
      <c r="AP35" s="120">
        <f t="shared" si="22"/>
        <v>23451.069519999983</v>
      </c>
      <c r="AQ35" s="120">
        <f t="shared" si="22"/>
        <v>25522.103049999991</v>
      </c>
      <c r="AR35" s="120">
        <f t="shared" si="22"/>
        <v>36547.697839999906</v>
      </c>
      <c r="AS35" s="120">
        <f t="shared" si="22"/>
        <v>21064.224549999981</v>
      </c>
      <c r="AT35" s="120">
        <f t="shared" si="22"/>
        <v>37794.76152999996</v>
      </c>
      <c r="AU35" s="120">
        <f t="shared" si="22"/>
        <v>73953.711759999962</v>
      </c>
      <c r="AV35" s="120">
        <f t="shared" si="22"/>
        <v>61462.81159204727</v>
      </c>
      <c r="AW35" s="120">
        <f t="shared" ref="AW35:BF35" si="23">+SUM(AW15:AW34)</f>
        <v>42526.002939999846</v>
      </c>
      <c r="AX35" s="120">
        <f t="shared" si="23"/>
        <v>46446.635920000102</v>
      </c>
      <c r="AY35" s="120">
        <f t="shared" si="23"/>
        <v>66835.06712000008</v>
      </c>
      <c r="AZ35" s="120">
        <f t="shared" si="23"/>
        <v>62390.654760000274</v>
      </c>
      <c r="BA35" s="120">
        <f t="shared" si="23"/>
        <v>49961.870029999845</v>
      </c>
      <c r="BB35" s="120">
        <f>+SUM(BB15:BB34)</f>
        <v>74630.695230000012</v>
      </c>
      <c r="BC35" s="120">
        <f>+SUM(BC15:BC34)</f>
        <v>117564.8570800001</v>
      </c>
      <c r="BD35" s="120">
        <f>+SUM(BD15:BD34)</f>
        <v>120277.85008999995</v>
      </c>
      <c r="BE35" s="120">
        <f t="shared" si="23"/>
        <v>60517.845799999952</v>
      </c>
      <c r="BF35" s="120">
        <f t="shared" si="23"/>
        <v>86348.288849999808</v>
      </c>
      <c r="BG35" s="120">
        <f>+SUM(BG15:BG34)</f>
        <v>112016.43730000012</v>
      </c>
      <c r="BH35" s="120">
        <f>+SUM(BH15:BH34)</f>
        <v>77978.530179999972</v>
      </c>
      <c r="BI35" s="120">
        <f>+SUM(BI15:BI34)</f>
        <v>65551.990749999997</v>
      </c>
      <c r="BJ35" s="120">
        <f>+SUM(BJ15:BJ34)</f>
        <v>131584.34125999978</v>
      </c>
    </row>
    <row r="36" spans="1:62" ht="14.1" customHeight="1" x14ac:dyDescent="0.2">
      <c r="A36" s="1" t="s">
        <v>68</v>
      </c>
      <c r="B36" s="1" t="s">
        <v>731</v>
      </c>
      <c r="C36" s="24"/>
      <c r="D36" s="122" t="str">
        <f>IF([1]RENAME!$H$3=1,B36,A36)</f>
        <v>Margem EBITDA ajustado</v>
      </c>
      <c r="E36" s="13">
        <f t="shared" ref="E36:Y36" si="24">ROUND(E35/E11,3)</f>
        <v>0.13700000000000001</v>
      </c>
      <c r="F36" s="13">
        <f t="shared" si="24"/>
        <v>0.14599999999999999</v>
      </c>
      <c r="G36" s="13">
        <f t="shared" si="24"/>
        <v>0.17399999999999999</v>
      </c>
      <c r="H36" s="13">
        <f t="shared" si="24"/>
        <v>0.13400000000000001</v>
      </c>
      <c r="I36" s="13">
        <f t="shared" si="24"/>
        <v>0.13100000000000001</v>
      </c>
      <c r="J36" s="13">
        <f t="shared" si="24"/>
        <v>0.155</v>
      </c>
      <c r="K36" s="13">
        <f t="shared" si="24"/>
        <v>0.161</v>
      </c>
      <c r="L36" s="13">
        <f t="shared" si="24"/>
        <v>0.14299999999999999</v>
      </c>
      <c r="M36" s="13">
        <f t="shared" si="24"/>
        <v>0.121</v>
      </c>
      <c r="N36" s="13">
        <f t="shared" si="24"/>
        <v>0.13700000000000001</v>
      </c>
      <c r="O36" s="13">
        <f t="shared" si="24"/>
        <v>0.15</v>
      </c>
      <c r="P36" s="13">
        <f t="shared" si="24"/>
        <v>0.14899999999999999</v>
      </c>
      <c r="Q36" s="13">
        <f t="shared" si="24"/>
        <v>0.1</v>
      </c>
      <c r="R36" s="13">
        <f t="shared" si="24"/>
        <v>9.2999999999999999E-2</v>
      </c>
      <c r="S36" s="13">
        <f t="shared" si="24"/>
        <v>0.10100000000000001</v>
      </c>
      <c r="T36" s="13">
        <f t="shared" si="24"/>
        <v>0.11799999999999999</v>
      </c>
      <c r="U36" s="13">
        <f t="shared" si="24"/>
        <v>7.0000000000000007E-2</v>
      </c>
      <c r="V36" s="13">
        <f t="shared" si="24"/>
        <v>7.4999999999999997E-2</v>
      </c>
      <c r="W36" s="13">
        <f t="shared" si="24"/>
        <v>0.11700000000000001</v>
      </c>
      <c r="X36" s="13">
        <f t="shared" si="24"/>
        <v>0.13700000000000001</v>
      </c>
      <c r="Y36" s="13">
        <f t="shared" si="24"/>
        <v>9.0999999999999998E-2</v>
      </c>
      <c r="Z36" s="13">
        <v>0.124</v>
      </c>
      <c r="AA36" s="13">
        <f t="shared" ref="AA36:AH36" si="25">ROUND(AA35/AA11,3)</f>
        <v>0.14299999999999999</v>
      </c>
      <c r="AB36" s="13">
        <f t="shared" si="25"/>
        <v>0.14899999999999999</v>
      </c>
      <c r="AC36" s="13">
        <f t="shared" si="25"/>
        <v>0.10199999999999999</v>
      </c>
      <c r="AD36" s="13">
        <f t="shared" si="25"/>
        <v>0.14899999999999999</v>
      </c>
      <c r="AE36" s="13">
        <f t="shared" si="25"/>
        <v>0.16700000000000001</v>
      </c>
      <c r="AF36" s="13">
        <f t="shared" si="25"/>
        <v>0.19</v>
      </c>
      <c r="AG36" s="750">
        <f t="shared" si="25"/>
        <v>0.16400000000000001</v>
      </c>
      <c r="AH36" s="13">
        <f t="shared" si="25"/>
        <v>0.16500000000000001</v>
      </c>
      <c r="AI36" s="13">
        <v>0.16600000000000001</v>
      </c>
      <c r="AJ36" s="13">
        <v>0.17</v>
      </c>
      <c r="AK36" s="13">
        <v>0.122</v>
      </c>
      <c r="AL36" s="13">
        <v>-0.13400000000000001</v>
      </c>
      <c r="AM36" s="13">
        <f>ROUND(AM35/AM11,3)</f>
        <v>0.158</v>
      </c>
      <c r="AN36" s="13">
        <f>ROUND(AN35/AN11,3)</f>
        <v>0.159</v>
      </c>
      <c r="AO36" s="13">
        <f>ROUND(AO35/AO11,3)</f>
        <v>0.16500000000000001</v>
      </c>
      <c r="AP36" s="13">
        <f>ROUND(AP35/AP11,3)</f>
        <v>0.11700000000000001</v>
      </c>
      <c r="AQ36" s="13">
        <v>0.13100000000000001</v>
      </c>
      <c r="AR36" s="13">
        <f t="shared" ref="AR36:AW36" si="26">ROUND(AR35/AR11,3)</f>
        <v>0.13400000000000001</v>
      </c>
      <c r="AS36" s="13">
        <f t="shared" si="26"/>
        <v>0.104</v>
      </c>
      <c r="AT36" s="13">
        <f t="shared" si="26"/>
        <v>0.14199999999999999</v>
      </c>
      <c r="AU36" s="13">
        <f t="shared" si="26"/>
        <v>0.19800000000000001</v>
      </c>
      <c r="AV36" s="13">
        <f t="shared" si="26"/>
        <v>0.16500000000000001</v>
      </c>
      <c r="AW36" s="13">
        <f t="shared" si="26"/>
        <v>0.14299999999999999</v>
      </c>
      <c r="AX36" s="13">
        <f t="shared" ref="AX36:BF36" si="27">ROUND(AX35/AX11,3)</f>
        <v>0.14000000000000001</v>
      </c>
      <c r="AY36" s="13">
        <f t="shared" si="27"/>
        <v>0.17299999999999999</v>
      </c>
      <c r="AZ36" s="13">
        <f t="shared" si="27"/>
        <v>0.151</v>
      </c>
      <c r="BA36" s="13">
        <f t="shared" si="27"/>
        <v>0.14399999999999999</v>
      </c>
      <c r="BB36" s="13">
        <f t="shared" si="27"/>
        <v>0.17499999999999999</v>
      </c>
      <c r="BC36" s="13">
        <f>ROUND(BC35/BC11,3)</f>
        <v>0.20899999999999999</v>
      </c>
      <c r="BD36" s="13">
        <f>ROUND(BD35/BD11,3)</f>
        <v>0.20599999999999999</v>
      </c>
      <c r="BE36" s="13">
        <f t="shared" si="27"/>
        <v>0.153</v>
      </c>
      <c r="BF36" s="13">
        <f t="shared" si="27"/>
        <v>0.17399999999999999</v>
      </c>
      <c r="BG36" s="13">
        <f>ROUND(BG35/BG11,3)</f>
        <v>0.187</v>
      </c>
      <c r="BH36" s="13">
        <f>ROUND(BH35/BH11,3)</f>
        <v>0.13600000000000001</v>
      </c>
      <c r="BI36" s="13">
        <f>ROUND(BI35/BI11,3)</f>
        <v>0.13700000000000001</v>
      </c>
      <c r="BJ36" s="13">
        <f>ROUND(BJ35/BJ11,3)</f>
        <v>0.19</v>
      </c>
    </row>
    <row r="37" spans="1:62" ht="14.1" customHeight="1" x14ac:dyDescent="0.2">
      <c r="A37" s="1" t="s">
        <v>137</v>
      </c>
      <c r="B37" s="1" t="s">
        <v>754</v>
      </c>
      <c r="C37" s="24"/>
      <c r="D37" s="117" t="str">
        <f>IF([1]RENAME!$H$3=1,B37,A37)</f>
        <v>Depreciação e amortização</v>
      </c>
      <c r="E37" s="118">
        <v>-3912</v>
      </c>
      <c r="F37" s="118">
        <v>-4497</v>
      </c>
      <c r="G37" s="118">
        <v>-4587</v>
      </c>
      <c r="H37" s="118">
        <v>-4664</v>
      </c>
      <c r="I37" s="118">
        <v>-3833</v>
      </c>
      <c r="J37" s="118">
        <v>-3728</v>
      </c>
      <c r="K37" s="118">
        <v>-4746</v>
      </c>
      <c r="L37" s="118">
        <v>-4154</v>
      </c>
      <c r="M37" s="118">
        <v>-4278</v>
      </c>
      <c r="N37" s="118">
        <v>-3978</v>
      </c>
      <c r="O37" s="118">
        <v>-3260</v>
      </c>
      <c r="P37" s="118">
        <v>2094</v>
      </c>
      <c r="Q37" s="118">
        <f t="shared" ref="Q37:AH37" si="28">+SUM(Q38:Q39)</f>
        <v>-3137</v>
      </c>
      <c r="R37" s="118">
        <f t="shared" si="28"/>
        <v>-3319</v>
      </c>
      <c r="S37" s="118">
        <f t="shared" si="28"/>
        <v>-3290</v>
      </c>
      <c r="T37" s="118">
        <f t="shared" si="28"/>
        <v>-3505.1673300000002</v>
      </c>
      <c r="U37" s="118">
        <f t="shared" si="28"/>
        <v>-3986.2596899999999</v>
      </c>
      <c r="V37" s="118">
        <f t="shared" si="28"/>
        <v>-3739.7783599999998</v>
      </c>
      <c r="W37" s="118">
        <f t="shared" si="28"/>
        <v>-3199.9294500000005</v>
      </c>
      <c r="X37" s="118">
        <f t="shared" si="28"/>
        <v>-3160.7401399999994</v>
      </c>
      <c r="Y37" s="118">
        <f t="shared" si="28"/>
        <v>-3297.1615999999995</v>
      </c>
      <c r="Z37" s="118">
        <f t="shared" si="28"/>
        <v>-3490.2046699999996</v>
      </c>
      <c r="AA37" s="118">
        <f t="shared" si="28"/>
        <v>-3823.40445</v>
      </c>
      <c r="AB37" s="118">
        <f t="shared" si="28"/>
        <v>-3804.8000499999998</v>
      </c>
      <c r="AC37" s="118">
        <f t="shared" si="28"/>
        <v>-3811.6660800000004</v>
      </c>
      <c r="AD37" s="118">
        <f t="shared" si="28"/>
        <v>-6190.8721299999997</v>
      </c>
      <c r="AE37" s="118">
        <f t="shared" si="28"/>
        <v>-4079.5165700000002</v>
      </c>
      <c r="AF37" s="118">
        <f t="shared" si="28"/>
        <v>-3930.5324799999999</v>
      </c>
      <c r="AG37" s="160">
        <f t="shared" si="28"/>
        <v>-8448.39552</v>
      </c>
      <c r="AH37" s="118">
        <f t="shared" si="28"/>
        <v>-7600.8246600000002</v>
      </c>
      <c r="AI37" s="118">
        <v>-8106.9221099999995</v>
      </c>
      <c r="AJ37" s="118">
        <v>-8033.3827499999998</v>
      </c>
      <c r="AK37" s="118">
        <f t="shared" ref="AK37:AP37" si="29">+SUM(AK38:AK39)</f>
        <v>-7733.47966</v>
      </c>
      <c r="AL37" s="118">
        <f t="shared" si="29"/>
        <v>-7793.0588099999995</v>
      </c>
      <c r="AM37" s="118">
        <f t="shared" si="29"/>
        <v>-7391.8052800000005</v>
      </c>
      <c r="AN37" s="118">
        <f t="shared" si="29"/>
        <v>-7271.8083100000003</v>
      </c>
      <c r="AO37" s="118">
        <f t="shared" si="29"/>
        <v>-8223.5107900000003</v>
      </c>
      <c r="AP37" s="118">
        <f t="shared" si="29"/>
        <v>-8382.1100900000001</v>
      </c>
      <c r="AQ37" s="118">
        <v>-8137.3423500000008</v>
      </c>
      <c r="AR37" s="118">
        <f t="shared" ref="AR37:AW37" si="30">+SUM(AR38:AR39)</f>
        <v>-8170.075420000001</v>
      </c>
      <c r="AS37" s="118">
        <f t="shared" si="30"/>
        <v>-9160.9906600000013</v>
      </c>
      <c r="AT37" s="118">
        <f t="shared" si="30"/>
        <v>-9317.2672600000024</v>
      </c>
      <c r="AU37" s="118">
        <f t="shared" si="30"/>
        <v>-8077.3715100000009</v>
      </c>
      <c r="AV37" s="118">
        <f t="shared" si="30"/>
        <v>-8892.1822300000003</v>
      </c>
      <c r="AW37" s="118">
        <f t="shared" si="30"/>
        <v>-9191.71731</v>
      </c>
      <c r="AX37" s="118">
        <f t="shared" ref="AX37:BF37" si="31">+SUM(AX38:AX39)</f>
        <v>-9212.5258799999992</v>
      </c>
      <c r="AY37" s="118">
        <f t="shared" si="31"/>
        <v>-9497.4958900000001</v>
      </c>
      <c r="AZ37" s="118">
        <f t="shared" si="31"/>
        <v>-9966.0402800000011</v>
      </c>
      <c r="BA37" s="118">
        <f t="shared" si="31"/>
        <v>-9533.8189899999979</v>
      </c>
      <c r="BB37" s="118">
        <f t="shared" si="31"/>
        <v>-9539.9341300000015</v>
      </c>
      <c r="BC37" s="118">
        <f t="shared" si="31"/>
        <v>-9412.5899100000006</v>
      </c>
      <c r="BD37" s="118">
        <f>+SUM(BD38:BD39)</f>
        <v>-9977.5194800000008</v>
      </c>
      <c r="BE37" s="118">
        <f>+SUM(BE38:BE39)</f>
        <v>-10731.101720000001</v>
      </c>
      <c r="BF37" s="118">
        <f t="shared" si="31"/>
        <v>-10797.942190000002</v>
      </c>
      <c r="BG37" s="118">
        <f>+SUM(BG38:BG39)</f>
        <v>-11179.56077</v>
      </c>
      <c r="BH37" s="118">
        <f>+SUM(BH38:BH39)</f>
        <v>-11651.207880000002</v>
      </c>
      <c r="BI37" s="118">
        <f>+SUM(BI38:BI39)</f>
        <v>-12473.563050000001</v>
      </c>
      <c r="BJ37" s="118">
        <f>+SUM(BJ38:BJ39)</f>
        <v>-13298.62869</v>
      </c>
    </row>
    <row r="38" spans="1:62" ht="14.1" customHeight="1" outlineLevel="1" x14ac:dyDescent="0.2">
      <c r="A38" s="1" t="s">
        <v>1558</v>
      </c>
      <c r="B38" s="1" t="s">
        <v>1559</v>
      </c>
      <c r="C38" s="24"/>
      <c r="D38" s="620" t="str">
        <f>IF([1]RENAME!$H$3=1,B38,A38)</f>
        <v>Depreciação e amortização (custo)</v>
      </c>
      <c r="E38" s="118" t="s">
        <v>160</v>
      </c>
      <c r="F38" s="118" t="s">
        <v>160</v>
      </c>
      <c r="G38" s="118" t="s">
        <v>160</v>
      </c>
      <c r="H38" s="118" t="s">
        <v>160</v>
      </c>
      <c r="I38" s="118" t="s">
        <v>160</v>
      </c>
      <c r="J38" s="118" t="s">
        <v>160</v>
      </c>
      <c r="K38" s="118" t="s">
        <v>160</v>
      </c>
      <c r="L38" s="118" t="s">
        <v>160</v>
      </c>
      <c r="M38" s="118" t="s">
        <v>160</v>
      </c>
      <c r="N38" s="118" t="s">
        <v>160</v>
      </c>
      <c r="O38" s="118" t="s">
        <v>160</v>
      </c>
      <c r="P38" s="118" t="s">
        <v>160</v>
      </c>
      <c r="Q38" s="118">
        <v>-2427.1113971</v>
      </c>
      <c r="R38" s="118">
        <v>-2814.8716399999998</v>
      </c>
      <c r="S38" s="118">
        <v>-2556.9838399999999</v>
      </c>
      <c r="T38" s="118">
        <v>-2414.1940500000001</v>
      </c>
      <c r="U38" s="118">
        <v>-2946.3262800000002</v>
      </c>
      <c r="V38" s="118">
        <v>-2771.5897599999998</v>
      </c>
      <c r="W38" s="118">
        <v>-2254.8847600000004</v>
      </c>
      <c r="X38" s="118">
        <v>-2218.0580299999997</v>
      </c>
      <c r="Y38" s="118">
        <v>-2641.4951399999995</v>
      </c>
      <c r="Z38" s="118">
        <v>-2738.2197299999998</v>
      </c>
      <c r="AA38" s="118">
        <v>-3115.8922400000001</v>
      </c>
      <c r="AB38" s="118">
        <v>-3077.0676899999999</v>
      </c>
      <c r="AC38" s="118">
        <v>-3063.6576800000003</v>
      </c>
      <c r="AD38" s="118">
        <v>-5401.8806500000001</v>
      </c>
      <c r="AE38" s="118">
        <v>-3281.4094700000001</v>
      </c>
      <c r="AF38" s="118">
        <v>-3118.7475100000001</v>
      </c>
      <c r="AG38" s="160">
        <v>-7384.0668399999995</v>
      </c>
      <c r="AH38" s="118">
        <v>-6514.1297400000003</v>
      </c>
      <c r="AI38" s="118">
        <v>-6983.20399</v>
      </c>
      <c r="AJ38" s="118">
        <v>-6908.6251899999997</v>
      </c>
      <c r="AK38" s="118">
        <v>-6640.3729499999999</v>
      </c>
      <c r="AL38" s="118">
        <v>-6747.0269399999997</v>
      </c>
      <c r="AM38" s="118">
        <v>-6362.0441600000004</v>
      </c>
      <c r="AN38" s="118">
        <v>-6224.2725500000006</v>
      </c>
      <c r="AO38" s="118">
        <v>-7159.8879700000007</v>
      </c>
      <c r="AP38" s="118">
        <v>-7303.6529899999996</v>
      </c>
      <c r="AQ38" s="118">
        <v>-7072.4405999999999</v>
      </c>
      <c r="AR38" s="118">
        <v>-7099.1522700000005</v>
      </c>
      <c r="AS38" s="118">
        <v>-8040.9265400000004</v>
      </c>
      <c r="AT38" s="118">
        <v>-8187.9139300000015</v>
      </c>
      <c r="AU38" s="118">
        <v>-6984.1718700000001</v>
      </c>
      <c r="AV38" s="118">
        <v>-7771.7001600000003</v>
      </c>
      <c r="AW38" s="118">
        <v>-8070.8290699999998</v>
      </c>
      <c r="AX38" s="118">
        <v>-8047.6410699999997</v>
      </c>
      <c r="AY38" s="118">
        <v>-8283.8615200000004</v>
      </c>
      <c r="AZ38" s="118">
        <v>-8741.5593100000006</v>
      </c>
      <c r="BA38" s="118">
        <v>-8331.1583499999979</v>
      </c>
      <c r="BB38" s="118">
        <v>-8330.3485600000004</v>
      </c>
      <c r="BC38" s="118">
        <v>-8195.6965700000001</v>
      </c>
      <c r="BD38" s="118">
        <v>-8520.3460400000004</v>
      </c>
      <c r="BE38" s="118">
        <v>-8622.747370000001</v>
      </c>
      <c r="BF38" s="118">
        <v>-8723.9120500000008</v>
      </c>
      <c r="BG38" s="118">
        <v>-8933.4888900000005</v>
      </c>
      <c r="BH38" s="118">
        <v>-9262.9062300000005</v>
      </c>
      <c r="BI38" s="118">
        <v>-10081.87075</v>
      </c>
      <c r="BJ38" s="118">
        <f>(+[4]Base_DRE!$P$32)</f>
        <v>-10922.52822</v>
      </c>
    </row>
    <row r="39" spans="1:62" ht="14.1" customHeight="1" outlineLevel="1" x14ac:dyDescent="0.2">
      <c r="A39" s="1" t="s">
        <v>1560</v>
      </c>
      <c r="B39" s="1" t="s">
        <v>1561</v>
      </c>
      <c r="C39" s="24"/>
      <c r="D39" s="620" t="str">
        <f>IF([1]RENAME!$H$3=1,B39,A39)</f>
        <v>Depreciação e amortização (despesa)</v>
      </c>
      <c r="E39" s="118" t="s">
        <v>160</v>
      </c>
      <c r="F39" s="118" t="s">
        <v>160</v>
      </c>
      <c r="G39" s="118" t="s">
        <v>160</v>
      </c>
      <c r="H39" s="118" t="s">
        <v>160</v>
      </c>
      <c r="I39" s="118" t="s">
        <v>160</v>
      </c>
      <c r="J39" s="118" t="s">
        <v>160</v>
      </c>
      <c r="K39" s="118" t="s">
        <v>160</v>
      </c>
      <c r="L39" s="118" t="s">
        <v>160</v>
      </c>
      <c r="M39" s="118" t="s">
        <v>160</v>
      </c>
      <c r="N39" s="118" t="s">
        <v>160</v>
      </c>
      <c r="O39" s="118" t="s">
        <v>160</v>
      </c>
      <c r="P39" s="118" t="s">
        <v>160</v>
      </c>
      <c r="Q39" s="118">
        <v>-709.88860290000002</v>
      </c>
      <c r="R39" s="118">
        <v>-504.12836000000016</v>
      </c>
      <c r="S39" s="118">
        <v>-733.01616000000013</v>
      </c>
      <c r="T39" s="118">
        <v>-1090.9732800000002</v>
      </c>
      <c r="U39" s="118">
        <v>-1039.9334099999999</v>
      </c>
      <c r="V39" s="118">
        <v>-968.18860000000006</v>
      </c>
      <c r="W39" s="118">
        <v>-945.04468999999995</v>
      </c>
      <c r="X39" s="118">
        <v>-942.68210999999985</v>
      </c>
      <c r="Y39" s="118">
        <v>-655.66645999999992</v>
      </c>
      <c r="Z39" s="118">
        <v>-751.98493999999994</v>
      </c>
      <c r="AA39" s="118">
        <v>-707.51220999999998</v>
      </c>
      <c r="AB39" s="118">
        <v>-727.73235999999997</v>
      </c>
      <c r="AC39" s="118">
        <v>-748.00840000000005</v>
      </c>
      <c r="AD39" s="118">
        <v>-788.99148000000002</v>
      </c>
      <c r="AE39" s="118">
        <v>-798.10710000000006</v>
      </c>
      <c r="AF39" s="118">
        <v>-811.78496999999993</v>
      </c>
      <c r="AG39" s="160">
        <v>-1064.3286799999998</v>
      </c>
      <c r="AH39" s="118">
        <v>-1086.6949199999999</v>
      </c>
      <c r="AI39" s="118">
        <v>-1123.71812</v>
      </c>
      <c r="AJ39" s="118">
        <v>-1124.75756</v>
      </c>
      <c r="AK39" s="118">
        <v>-1093.10671</v>
      </c>
      <c r="AL39" s="118">
        <v>-1046.0318699999998</v>
      </c>
      <c r="AM39" s="118">
        <v>-1029.7611199999999</v>
      </c>
      <c r="AN39" s="118">
        <v>-1047.53576</v>
      </c>
      <c r="AO39" s="118">
        <v>-1063.62282</v>
      </c>
      <c r="AP39" s="118">
        <v>-1078.4571000000001</v>
      </c>
      <c r="AQ39" s="118">
        <v>-1064.9017500000004</v>
      </c>
      <c r="AR39" s="118">
        <v>-1070.9231500000001</v>
      </c>
      <c r="AS39" s="118">
        <v>-1120.0641200000002</v>
      </c>
      <c r="AT39" s="118">
        <v>-1129.3533300000004</v>
      </c>
      <c r="AU39" s="118">
        <v>-1093.1996400000003</v>
      </c>
      <c r="AV39" s="118">
        <v>-1120.4820700000002</v>
      </c>
      <c r="AW39" s="118">
        <v>-1120.8882400000002</v>
      </c>
      <c r="AX39" s="118">
        <v>-1164.8848099999998</v>
      </c>
      <c r="AY39" s="118">
        <v>-1213.63437</v>
      </c>
      <c r="AZ39" s="118">
        <v>-1224.4809700000003</v>
      </c>
      <c r="BA39" s="118">
        <v>-1202.6606400000001</v>
      </c>
      <c r="BB39" s="118">
        <v>-1209.5855700000002</v>
      </c>
      <c r="BC39" s="118">
        <v>-1216.8933400000001</v>
      </c>
      <c r="BD39" s="118">
        <v>-1457.17344</v>
      </c>
      <c r="BE39" s="118">
        <v>-2108.3543499999996</v>
      </c>
      <c r="BF39" s="118">
        <v>-2074.0301399999998</v>
      </c>
      <c r="BG39" s="118">
        <v>-2246.07188</v>
      </c>
      <c r="BH39" s="118">
        <v>-2388.3016500000003</v>
      </c>
      <c r="BI39" s="118">
        <v>-2391.6923000000002</v>
      </c>
      <c r="BJ39" s="118">
        <f>(+[4]Base_DRE!$P$53)</f>
        <v>-2376.1004699999999</v>
      </c>
    </row>
    <row r="40" spans="1:62" ht="14.1" customHeight="1" x14ac:dyDescent="0.2">
      <c r="A40" s="1" t="s">
        <v>9</v>
      </c>
      <c r="B40" s="1" t="s">
        <v>704</v>
      </c>
      <c r="C40" s="24"/>
      <c r="D40" s="119" t="str">
        <f>IF([1]RENAME!$H$3=1,B40,A40)</f>
        <v>Lucro operacional</v>
      </c>
      <c r="E40" s="120">
        <f t="shared" ref="E40:AV40" si="32">+E15+E37</f>
        <v>23891</v>
      </c>
      <c r="F40" s="120">
        <f t="shared" si="32"/>
        <v>32900</v>
      </c>
      <c r="G40" s="120">
        <f t="shared" si="32"/>
        <v>57331</v>
      </c>
      <c r="H40" s="120">
        <f t="shared" si="32"/>
        <v>38244</v>
      </c>
      <c r="I40" s="120">
        <f t="shared" si="32"/>
        <v>32672</v>
      </c>
      <c r="J40" s="120">
        <f t="shared" si="32"/>
        <v>53221</v>
      </c>
      <c r="K40" s="120">
        <f t="shared" si="32"/>
        <v>71826</v>
      </c>
      <c r="L40" s="120">
        <f t="shared" si="32"/>
        <v>45945</v>
      </c>
      <c r="M40" s="120">
        <f t="shared" si="32"/>
        <v>26204</v>
      </c>
      <c r="N40" s="120">
        <f t="shared" si="32"/>
        <v>38851</v>
      </c>
      <c r="O40" s="120">
        <f t="shared" si="32"/>
        <v>43386</v>
      </c>
      <c r="P40" s="120">
        <f t="shared" si="32"/>
        <v>55125</v>
      </c>
      <c r="Q40" s="120">
        <f t="shared" si="32"/>
        <v>20688</v>
      </c>
      <c r="R40" s="120">
        <f t="shared" si="32"/>
        <v>17829</v>
      </c>
      <c r="S40" s="120">
        <f t="shared" si="32"/>
        <v>19188</v>
      </c>
      <c r="T40" s="120">
        <f t="shared" si="32"/>
        <v>20595.191749999958</v>
      </c>
      <c r="U40" s="120">
        <f t="shared" si="32"/>
        <v>7201.6301199999771</v>
      </c>
      <c r="V40" s="120">
        <f t="shared" si="32"/>
        <v>10271.902959999999</v>
      </c>
      <c r="W40" s="120">
        <f t="shared" si="32"/>
        <v>19865.379019999982</v>
      </c>
      <c r="X40" s="120">
        <f t="shared" si="32"/>
        <v>26210.529200000004</v>
      </c>
      <c r="Y40" s="120">
        <f t="shared" si="32"/>
        <v>12547.293040000011</v>
      </c>
      <c r="Z40" s="120">
        <f t="shared" si="32"/>
        <v>6798.9239400000151</v>
      </c>
      <c r="AA40" s="120">
        <f t="shared" si="32"/>
        <v>31046.916300000026</v>
      </c>
      <c r="AB40" s="120">
        <f t="shared" si="32"/>
        <v>56126.05165000003</v>
      </c>
      <c r="AC40" s="120">
        <f t="shared" si="32"/>
        <v>18801.010540000003</v>
      </c>
      <c r="AD40" s="120">
        <f t="shared" si="32"/>
        <v>32056.667939999974</v>
      </c>
      <c r="AE40" s="120">
        <f t="shared" si="32"/>
        <v>45324.29633999995</v>
      </c>
      <c r="AF40" s="120">
        <f t="shared" si="32"/>
        <v>47633.233090000023</v>
      </c>
      <c r="AG40" s="162">
        <f t="shared" si="32"/>
        <v>34050.342430000026</v>
      </c>
      <c r="AH40" s="120">
        <f t="shared" si="32"/>
        <v>41050.409850000025</v>
      </c>
      <c r="AI40" s="120">
        <f t="shared" si="32"/>
        <v>90543.972610000055</v>
      </c>
      <c r="AJ40" s="120">
        <f t="shared" si="32"/>
        <v>47185.545330000023</v>
      </c>
      <c r="AK40" s="120">
        <f t="shared" si="32"/>
        <v>18228.660220000005</v>
      </c>
      <c r="AL40" s="120">
        <f t="shared" si="32"/>
        <v>-19447.750720000007</v>
      </c>
      <c r="AM40" s="120">
        <f t="shared" si="32"/>
        <v>31400.413580000008</v>
      </c>
      <c r="AN40" s="120">
        <f t="shared" si="32"/>
        <v>35973.570420000033</v>
      </c>
      <c r="AO40" s="120">
        <f t="shared" si="32"/>
        <v>24897.950790000003</v>
      </c>
      <c r="AP40" s="120">
        <f t="shared" si="32"/>
        <v>15068.959429999983</v>
      </c>
      <c r="AQ40" s="120">
        <f t="shared" si="32"/>
        <v>16225.76069999999</v>
      </c>
      <c r="AR40" s="120">
        <f t="shared" si="32"/>
        <v>28377.622419999905</v>
      </c>
      <c r="AS40" s="120">
        <f t="shared" si="32"/>
        <v>11903.23388999998</v>
      </c>
      <c r="AT40" s="120">
        <f t="shared" si="32"/>
        <v>28477.494269999959</v>
      </c>
      <c r="AU40" s="120">
        <f t="shared" si="32"/>
        <v>59231.320249999961</v>
      </c>
      <c r="AV40" s="120">
        <f t="shared" si="32"/>
        <v>58029.402119999933</v>
      </c>
      <c r="AW40" s="120">
        <f t="shared" ref="AW40:BF40" si="33">+AW15+AW37</f>
        <v>33334.285629999846</v>
      </c>
      <c r="AX40" s="120">
        <f t="shared" si="33"/>
        <v>37234.110040000101</v>
      </c>
      <c r="AY40" s="120">
        <f t="shared" si="33"/>
        <v>57337.571230000081</v>
      </c>
      <c r="AZ40" s="120">
        <f t="shared" si="33"/>
        <v>52424.614480000273</v>
      </c>
      <c r="BA40" s="120">
        <f t="shared" si="33"/>
        <v>40428.051039999846</v>
      </c>
      <c r="BB40" s="120">
        <f t="shared" si="33"/>
        <v>65090.761100000011</v>
      </c>
      <c r="BC40" s="120">
        <f t="shared" si="33"/>
        <v>108152.26717000011</v>
      </c>
      <c r="BD40" s="120">
        <f t="shared" si="33"/>
        <v>110300.33060999995</v>
      </c>
      <c r="BE40" s="120">
        <f t="shared" si="33"/>
        <v>49786.744079999953</v>
      </c>
      <c r="BF40" s="120">
        <f t="shared" si="33"/>
        <v>75550.346659999806</v>
      </c>
      <c r="BG40" s="120">
        <f>+BG15+BG37</f>
        <v>100836.87653000013</v>
      </c>
      <c r="BH40" s="120">
        <f>+BH15+BH37</f>
        <v>66327.322299999971</v>
      </c>
      <c r="BI40" s="120">
        <f>+BI15+BI37</f>
        <v>53078.4277</v>
      </c>
      <c r="BJ40" s="120">
        <f>+BJ15+BJ37</f>
        <v>111074.71256999979</v>
      </c>
    </row>
    <row r="41" spans="1:62" ht="14.1" customHeight="1" x14ac:dyDescent="0.2">
      <c r="A41" s="1" t="s">
        <v>331</v>
      </c>
      <c r="B41" s="1" t="s">
        <v>705</v>
      </c>
      <c r="C41" s="899"/>
      <c r="D41" s="117" t="str">
        <f>IF([1]RENAME!$H$3=1,B41,A41)</f>
        <v>Resultado financeiro</v>
      </c>
      <c r="E41" s="118">
        <v>-5955</v>
      </c>
      <c r="F41" s="118">
        <v>-5839</v>
      </c>
      <c r="G41" s="118">
        <v>-4299</v>
      </c>
      <c r="H41" s="118">
        <v>-5364</v>
      </c>
      <c r="I41" s="118">
        <v>-3853</v>
      </c>
      <c r="J41" s="118">
        <v>1985</v>
      </c>
      <c r="K41" s="118">
        <v>-10530</v>
      </c>
      <c r="L41" s="118">
        <v>-6055</v>
      </c>
      <c r="M41" s="118">
        <v>-6243</v>
      </c>
      <c r="N41" s="118">
        <v>-8174</v>
      </c>
      <c r="O41" s="118">
        <v>-11326</v>
      </c>
      <c r="P41" s="260">
        <v>-15091</v>
      </c>
      <c r="Q41" s="118">
        <v>-9644</v>
      </c>
      <c r="R41" s="118">
        <v>-8277</v>
      </c>
      <c r="S41" s="118">
        <v>-10368</v>
      </c>
      <c r="T41" s="260">
        <v>-13612.755009999997</v>
      </c>
      <c r="U41" s="260">
        <v>-10907.655780000001</v>
      </c>
      <c r="V41" s="118">
        <v>-8636.2799799999975</v>
      </c>
      <c r="W41" s="260">
        <v>-13403.729639999998</v>
      </c>
      <c r="X41" s="260">
        <v>-6443.8291399999998</v>
      </c>
      <c r="Y41" s="118">
        <v>-6485.1760699999995</v>
      </c>
      <c r="Z41" s="260">
        <v>-2170.7669500000002</v>
      </c>
      <c r="AA41" s="118">
        <v>-5024.5033699999994</v>
      </c>
      <c r="AB41" s="260">
        <v>9360.2566599999991</v>
      </c>
      <c r="AC41" s="647">
        <v>-3136.2109500000006</v>
      </c>
      <c r="AD41" s="647">
        <v>-1686.8506</v>
      </c>
      <c r="AE41" s="647">
        <v>-3183.9470299999994</v>
      </c>
      <c r="AF41" s="647">
        <v>-1437.8788800000002</v>
      </c>
      <c r="AG41" s="748">
        <v>-1747.3008800000007</v>
      </c>
      <c r="AH41" s="647">
        <v>-2168.9405800000004</v>
      </c>
      <c r="AI41" s="916">
        <v>29816.317470000005</v>
      </c>
      <c r="AJ41" s="647">
        <v>-2927.2555100000009</v>
      </c>
      <c r="AK41" s="647">
        <v>-1942.0861800000021</v>
      </c>
      <c r="AL41" s="647">
        <v>-2180.3184699999983</v>
      </c>
      <c r="AM41" s="647">
        <v>-2801.6461799999997</v>
      </c>
      <c r="AN41" s="647">
        <v>-2558.7770700000001</v>
      </c>
      <c r="AO41" s="647">
        <v>-2834.4246199999998</v>
      </c>
      <c r="AP41" s="647">
        <v>-1743.9096400000001</v>
      </c>
      <c r="AQ41" s="647">
        <v>-1251.9632400000005</v>
      </c>
      <c r="AR41" s="647">
        <v>-1575.0462900000011</v>
      </c>
      <c r="AS41" s="647">
        <v>-1424.9194000000007</v>
      </c>
      <c r="AT41" s="647">
        <v>-843.53371000000152</v>
      </c>
      <c r="AU41" s="647">
        <v>-1484.9443099999994</v>
      </c>
      <c r="AV41" s="916">
        <v>5725.1994499999992</v>
      </c>
      <c r="AW41" s="647">
        <v>805.81002999999873</v>
      </c>
      <c r="AX41" s="916">
        <v>2855.3595800000012</v>
      </c>
      <c r="AY41" s="647">
        <v>2301.2078300000003</v>
      </c>
      <c r="AZ41" s="647">
        <v>2177.0695999999998</v>
      </c>
      <c r="BA41" s="647">
        <v>1716.3008300000001</v>
      </c>
      <c r="BB41" s="916">
        <v>3704.6775899999984</v>
      </c>
      <c r="BC41" s="647">
        <v>961.25272000000132</v>
      </c>
      <c r="BD41" s="647">
        <v>1019.4839799999972</v>
      </c>
      <c r="BE41" s="647">
        <v>2461.9562300000007</v>
      </c>
      <c r="BF41" s="118">
        <v>3251.3809600000004</v>
      </c>
      <c r="BG41" s="118">
        <v>3650.4794900000034</v>
      </c>
      <c r="BH41" s="118">
        <v>3012.9503100000011</v>
      </c>
      <c r="BI41" s="118">
        <v>-686.10359000000096</v>
      </c>
      <c r="BJ41" s="118">
        <f>(+[4]Base_DRE!$P$38+[4]Base_DRE!$P$39)</f>
        <v>-1024.3334099999984</v>
      </c>
    </row>
    <row r="42" spans="1:62" ht="14.1" customHeight="1" x14ac:dyDescent="0.2">
      <c r="A42" s="1" t="s">
        <v>225</v>
      </c>
      <c r="B42" s="516" t="s">
        <v>760</v>
      </c>
      <c r="C42" s="987"/>
      <c r="D42" s="117" t="str">
        <f>IF([1]RENAME!$H$3=1,B42,A42)</f>
        <v>Equivalência patrimonial</v>
      </c>
      <c r="E42" s="118">
        <v>-442</v>
      </c>
      <c r="F42" s="118">
        <v>566</v>
      </c>
      <c r="G42" s="118">
        <v>781</v>
      </c>
      <c r="H42" s="118">
        <v>1423</v>
      </c>
      <c r="I42" s="118">
        <v>1648</v>
      </c>
      <c r="J42" s="118">
        <v>2215</v>
      </c>
      <c r="K42" s="118">
        <v>1385</v>
      </c>
      <c r="L42" s="118">
        <v>2621</v>
      </c>
      <c r="M42" s="118">
        <v>6290</v>
      </c>
      <c r="N42" s="118">
        <v>-825</v>
      </c>
      <c r="O42" s="118">
        <v>1223</v>
      </c>
      <c r="P42" s="118">
        <v>2578</v>
      </c>
      <c r="Q42" s="118">
        <v>373</v>
      </c>
      <c r="R42" s="118">
        <v>256</v>
      </c>
      <c r="S42" s="118">
        <v>785</v>
      </c>
      <c r="T42" s="118">
        <v>453.33573000000024</v>
      </c>
      <c r="U42" s="118">
        <v>-559.48050000000001</v>
      </c>
      <c r="V42" s="118">
        <v>-917.3873000000001</v>
      </c>
      <c r="W42" s="118">
        <v>122.88614</v>
      </c>
      <c r="X42" s="118">
        <v>-1098.3248500000002</v>
      </c>
      <c r="Y42" s="118">
        <v>-380.55622999999997</v>
      </c>
      <c r="Z42" s="118">
        <v>-379.92368999999991</v>
      </c>
      <c r="AA42" s="118">
        <v>-1803.4471299999998</v>
      </c>
      <c r="AB42" s="118">
        <v>636.83318999999995</v>
      </c>
      <c r="AC42" s="647">
        <f>-425.6678</f>
        <v>-425.6678</v>
      </c>
      <c r="AD42" s="647">
        <v>-226.81720999999999</v>
      </c>
      <c r="AE42" s="647">
        <v>373.91637999999995</v>
      </c>
      <c r="AF42" s="647">
        <v>697.24236999999982</v>
      </c>
      <c r="AG42" s="748">
        <v>-551.07669999999996</v>
      </c>
      <c r="AH42" s="647">
        <v>2068.5949299999997</v>
      </c>
      <c r="AI42" s="647">
        <v>3893.9486000000002</v>
      </c>
      <c r="AJ42" s="647">
        <v>11208.473480000001</v>
      </c>
      <c r="AK42" s="647">
        <v>4910.97822</v>
      </c>
      <c r="AL42" s="647">
        <v>8477.0138900000002</v>
      </c>
      <c r="AM42" s="647">
        <v>7540.6507799999999</v>
      </c>
      <c r="AN42" s="647">
        <v>1172.14777</v>
      </c>
      <c r="AO42" s="647">
        <v>-6.6976099999999974</v>
      </c>
      <c r="AP42" s="647">
        <v>-5.6868288000000007</v>
      </c>
      <c r="AQ42" s="647">
        <v>-71.188980000000001</v>
      </c>
      <c r="AR42" s="647">
        <v>2788.1172499999998</v>
      </c>
      <c r="AS42" s="647">
        <v>26.765927217999995</v>
      </c>
      <c r="AT42" s="647">
        <v>28.477895575000062</v>
      </c>
      <c r="AU42" s="647">
        <v>92.369688400000143</v>
      </c>
      <c r="AV42" s="647">
        <v>-359.47885279999991</v>
      </c>
      <c r="AW42" s="647">
        <v>-149.3644821999998</v>
      </c>
      <c r="AX42" s="647">
        <v>-434.80799999999999</v>
      </c>
      <c r="AY42" s="647">
        <v>1801.96064</v>
      </c>
      <c r="AZ42" s="647">
        <v>4503.4490400000004</v>
      </c>
      <c r="BA42" s="647">
        <v>6640.5557900000003</v>
      </c>
      <c r="BB42" s="647">
        <v>9598.1658399999997</v>
      </c>
      <c r="BC42" s="647">
        <v>7808.3474700000006</v>
      </c>
      <c r="BD42" s="647">
        <v>6301.7812396999998</v>
      </c>
      <c r="BE42" s="647">
        <v>-401.47861000000125</v>
      </c>
      <c r="BF42" s="647">
        <v>-388.97178999999608</v>
      </c>
      <c r="BG42" s="647">
        <v>-386.27006999999986</v>
      </c>
      <c r="BH42" s="647">
        <v>1425.147389999996</v>
      </c>
      <c r="BI42" s="647">
        <v>-116.50791</v>
      </c>
      <c r="BJ42" s="647">
        <f>(SUM([4]Base_DRE!$P$41:$P$51))</f>
        <v>-65.597350000001342</v>
      </c>
    </row>
    <row r="43" spans="1:62" ht="14.1" customHeight="1" x14ac:dyDescent="0.2">
      <c r="A43" s="1" t="s">
        <v>14</v>
      </c>
      <c r="B43" s="19" t="s">
        <v>709</v>
      </c>
      <c r="C43" s="642"/>
      <c r="D43" s="119" t="str">
        <f>IF([1]RENAME!$H$3=1,B43,A43)</f>
        <v>Lucro antes do IR e da CS</v>
      </c>
      <c r="E43" s="120">
        <f t="shared" ref="E43:AI43" si="34">+SUM(E40:E42)</f>
        <v>17494</v>
      </c>
      <c r="F43" s="120">
        <f t="shared" si="34"/>
        <v>27627</v>
      </c>
      <c r="G43" s="120">
        <f t="shared" si="34"/>
        <v>53813</v>
      </c>
      <c r="H43" s="120">
        <f t="shared" si="34"/>
        <v>34303</v>
      </c>
      <c r="I43" s="120">
        <f t="shared" si="34"/>
        <v>30467</v>
      </c>
      <c r="J43" s="120">
        <f t="shared" si="34"/>
        <v>57421</v>
      </c>
      <c r="K43" s="120">
        <f t="shared" si="34"/>
        <v>62681</v>
      </c>
      <c r="L43" s="120">
        <f t="shared" si="34"/>
        <v>42511</v>
      </c>
      <c r="M43" s="120">
        <f t="shared" si="34"/>
        <v>26251</v>
      </c>
      <c r="N43" s="120">
        <f t="shared" si="34"/>
        <v>29852</v>
      </c>
      <c r="O43" s="120">
        <f t="shared" si="34"/>
        <v>33283</v>
      </c>
      <c r="P43" s="120">
        <f t="shared" si="34"/>
        <v>42612</v>
      </c>
      <c r="Q43" s="120">
        <f t="shared" si="34"/>
        <v>11417</v>
      </c>
      <c r="R43" s="120">
        <f t="shared" si="34"/>
        <v>9808</v>
      </c>
      <c r="S43" s="120">
        <f t="shared" si="34"/>
        <v>9605</v>
      </c>
      <c r="T43" s="120">
        <f t="shared" si="34"/>
        <v>7435.7724699999617</v>
      </c>
      <c r="U43" s="120">
        <f t="shared" si="34"/>
        <v>-4265.5061600000236</v>
      </c>
      <c r="V43" s="120">
        <f t="shared" si="34"/>
        <v>718.23568000000182</v>
      </c>
      <c r="W43" s="120">
        <f t="shared" si="34"/>
        <v>6584.535519999984</v>
      </c>
      <c r="X43" s="120">
        <f t="shared" si="34"/>
        <v>18668.375210000002</v>
      </c>
      <c r="Y43" s="120">
        <f t="shared" si="34"/>
        <v>5681.5607400000117</v>
      </c>
      <c r="Z43" s="120">
        <f t="shared" si="34"/>
        <v>4248.2333000000153</v>
      </c>
      <c r="AA43" s="120">
        <f t="shared" si="34"/>
        <v>24218.965800000027</v>
      </c>
      <c r="AB43" s="120">
        <f t="shared" si="34"/>
        <v>66123.141500000027</v>
      </c>
      <c r="AC43" s="120">
        <f t="shared" si="34"/>
        <v>15239.131790000003</v>
      </c>
      <c r="AD43" s="120">
        <f t="shared" si="34"/>
        <v>30143.000129999971</v>
      </c>
      <c r="AE43" s="120">
        <f t="shared" si="34"/>
        <v>42514.265689999949</v>
      </c>
      <c r="AF43" s="120">
        <f t="shared" si="34"/>
        <v>46892.596580000019</v>
      </c>
      <c r="AG43" s="120">
        <f t="shared" si="34"/>
        <v>31751.964850000022</v>
      </c>
      <c r="AH43" s="120">
        <f t="shared" si="34"/>
        <v>40950.064200000023</v>
      </c>
      <c r="AI43" s="120">
        <f t="shared" si="34"/>
        <v>124254.23868000007</v>
      </c>
      <c r="AJ43" s="120">
        <f>+SUM(AJ40:AJ42)</f>
        <v>55466.763300000021</v>
      </c>
      <c r="AK43" s="120">
        <f t="shared" ref="AK43:AT43" si="35">+SUM(AK40:AK42)</f>
        <v>21197.552260000004</v>
      </c>
      <c r="AL43" s="120">
        <f t="shared" si="35"/>
        <v>-13151.055300000005</v>
      </c>
      <c r="AM43" s="120">
        <f t="shared" si="35"/>
        <v>36139.418180000008</v>
      </c>
      <c r="AN43" s="120">
        <f t="shared" si="35"/>
        <v>34586.94112000004</v>
      </c>
      <c r="AO43" s="120">
        <f t="shared" si="35"/>
        <v>22056.828560000005</v>
      </c>
      <c r="AP43" s="120">
        <f t="shared" si="35"/>
        <v>13319.362961199982</v>
      </c>
      <c r="AQ43" s="120">
        <f t="shared" si="35"/>
        <v>14902.608479999988</v>
      </c>
      <c r="AR43" s="120">
        <f t="shared" si="35"/>
        <v>29590.693379999902</v>
      </c>
      <c r="AS43" s="120">
        <f t="shared" si="35"/>
        <v>10505.08041721798</v>
      </c>
      <c r="AT43" s="120">
        <f t="shared" si="35"/>
        <v>27662.438455574957</v>
      </c>
      <c r="AU43" s="120">
        <f t="shared" ref="AU43:BF43" si="36">+SUM(AU40:AU42)</f>
        <v>57838.745628399964</v>
      </c>
      <c r="AV43" s="120">
        <f t="shared" si="36"/>
        <v>63395.122717199934</v>
      </c>
      <c r="AW43" s="120">
        <f t="shared" si="36"/>
        <v>33990.731177799848</v>
      </c>
      <c r="AX43" s="120">
        <f t="shared" si="36"/>
        <v>39654.661620000108</v>
      </c>
      <c r="AY43" s="120">
        <f t="shared" si="36"/>
        <v>61440.739700000078</v>
      </c>
      <c r="AZ43" s="120">
        <f t="shared" si="36"/>
        <v>59105.133120000275</v>
      </c>
      <c r="BA43" s="120">
        <f t="shared" si="36"/>
        <v>48784.907659999844</v>
      </c>
      <c r="BB43" s="120">
        <f t="shared" si="36"/>
        <v>78393.604530000011</v>
      </c>
      <c r="BC43" s="120">
        <f t="shared" si="36"/>
        <v>116921.86736000012</v>
      </c>
      <c r="BD43" s="120">
        <f t="shared" si="36"/>
        <v>117621.59582969993</v>
      </c>
      <c r="BE43" s="120">
        <f t="shared" si="36"/>
        <v>51847.221699999958</v>
      </c>
      <c r="BF43" s="120">
        <f t="shared" si="36"/>
        <v>78412.755829999805</v>
      </c>
      <c r="BG43" s="120">
        <f>+SUM(BG40:BG42)</f>
        <v>104101.08595000012</v>
      </c>
      <c r="BH43" s="120">
        <f>+SUM(BH40:BH42)</f>
        <v>70765.419999999969</v>
      </c>
      <c r="BI43" s="120">
        <f>+SUM(BI40:BI42)</f>
        <v>52275.816200000001</v>
      </c>
      <c r="BJ43" s="120">
        <f>+SUM(BJ40:BJ42)</f>
        <v>109984.7818099998</v>
      </c>
    </row>
    <row r="44" spans="1:62" ht="12.75" x14ac:dyDescent="0.2">
      <c r="A44" s="1" t="s">
        <v>15</v>
      </c>
      <c r="B44" s="1" t="s">
        <v>710</v>
      </c>
      <c r="C44" s="899"/>
      <c r="D44" s="117" t="str">
        <f>IF([1]RENAME!$H$3=1,B44,A44)</f>
        <v>Imposto de renda e contribuição social</v>
      </c>
      <c r="E44" s="118">
        <v>-6434</v>
      </c>
      <c r="F44" s="118">
        <v>-7808</v>
      </c>
      <c r="G44" s="118">
        <v>-13448</v>
      </c>
      <c r="H44" s="118">
        <v>-13723</v>
      </c>
      <c r="I44" s="118">
        <v>-9802</v>
      </c>
      <c r="J44" s="118">
        <v>-20427</v>
      </c>
      <c r="K44" s="118">
        <v>-12858</v>
      </c>
      <c r="L44" s="118">
        <v>-19394</v>
      </c>
      <c r="M44" s="118">
        <v>-7282</v>
      </c>
      <c r="N44" s="118">
        <v>-11132</v>
      </c>
      <c r="O44" s="118">
        <v>-8726</v>
      </c>
      <c r="P44" s="118">
        <v>-26692</v>
      </c>
      <c r="Q44" s="118">
        <v>-4182</v>
      </c>
      <c r="R44" s="118">
        <v>-3581</v>
      </c>
      <c r="S44" s="118">
        <v>-4008</v>
      </c>
      <c r="T44" s="118">
        <v>-5017.2002253999999</v>
      </c>
      <c r="U44" s="118">
        <v>311.75778999999977</v>
      </c>
      <c r="V44" s="118">
        <v>-1495.2520599999998</v>
      </c>
      <c r="W44" s="118">
        <v>-3780.7120300000006</v>
      </c>
      <c r="X44" s="118">
        <v>-7354.3355099999999</v>
      </c>
      <c r="Y44" s="118">
        <v>-2491.0042599999997</v>
      </c>
      <c r="Z44" s="260">
        <v>9941.4081800000004</v>
      </c>
      <c r="AA44" s="118">
        <v>-9378.4919499999996</v>
      </c>
      <c r="AB44" s="260">
        <v>-16319.123229999997</v>
      </c>
      <c r="AC44" s="647">
        <f>-5102.36018</f>
        <v>-5102.3601799999997</v>
      </c>
      <c r="AD44" s="647">
        <v>-5659.0454600000003</v>
      </c>
      <c r="AE44" s="647">
        <v>-11744.210439999999</v>
      </c>
      <c r="AF44" s="260">
        <v>-13478.390510000001</v>
      </c>
      <c r="AG44" s="160">
        <v>-10205.00417</v>
      </c>
      <c r="AH44" s="118">
        <v>-9660.2584000000006</v>
      </c>
      <c r="AI44" s="916">
        <v>-38073.650900000001</v>
      </c>
      <c r="AJ44" s="647">
        <v>-10000.576249999998</v>
      </c>
      <c r="AK44" s="647">
        <v>-3520.2412800000006</v>
      </c>
      <c r="AL44" s="647">
        <v>8457.5596100000002</v>
      </c>
      <c r="AM44" s="647">
        <v>-8441.7131499999996</v>
      </c>
      <c r="AN44" s="647">
        <v>-7357.6675000000005</v>
      </c>
      <c r="AO44" s="647">
        <v>-6249.9864100000004</v>
      </c>
      <c r="AP44" s="647">
        <v>-2787.7268899999999</v>
      </c>
      <c r="AQ44" s="647">
        <v>11100.8</v>
      </c>
      <c r="AR44" s="647">
        <v>-6760.2199899999996</v>
      </c>
      <c r="AS44" s="647">
        <v>-1367.35006</v>
      </c>
      <c r="AT44" s="647">
        <v>-4857.0144999999993</v>
      </c>
      <c r="AU44" s="647">
        <v>-13709.036500000002</v>
      </c>
      <c r="AV44" s="647">
        <v>-13200.501800000002</v>
      </c>
      <c r="AW44" s="647">
        <v>-8624.7267200000006</v>
      </c>
      <c r="AX44" s="647">
        <v>-8400.3372600000002</v>
      </c>
      <c r="AY44" s="647">
        <v>-14463.271100000002</v>
      </c>
      <c r="AZ44" s="647">
        <v>-13796.107250000001</v>
      </c>
      <c r="BA44" s="647">
        <v>-13907.199000000001</v>
      </c>
      <c r="BB44" s="647">
        <v>-18999.270909999999</v>
      </c>
      <c r="BC44" s="647">
        <v>-34372.840850000001</v>
      </c>
      <c r="BD44" s="647">
        <v>-33100.631090000003</v>
      </c>
      <c r="BE44" s="647">
        <v>-16927.671569999999</v>
      </c>
      <c r="BF44" s="647">
        <v>-22805.21603</v>
      </c>
      <c r="BG44" s="647">
        <v>-31525.610749999996</v>
      </c>
      <c r="BH44" s="647">
        <v>-19800.921399999999</v>
      </c>
      <c r="BI44" s="647">
        <v>-17235.087909999998</v>
      </c>
      <c r="BJ44" s="647">
        <f>(+SUM([4]Base_DRE!$P$57,[4]Base_DRE!$P$59))</f>
        <v>-33774.685260000013</v>
      </c>
    </row>
    <row r="45" spans="1:62" s="885" customFormat="1" ht="12.75" hidden="1" outlineLevel="1" x14ac:dyDescent="0.2">
      <c r="A45" s="885" t="s">
        <v>57</v>
      </c>
      <c r="B45" s="885" t="s">
        <v>711</v>
      </c>
      <c r="C45" s="23"/>
      <c r="D45" s="994" t="str">
        <f>IF([1]RENAME!$H$3=1,B45,A45)</f>
        <v>Lucro líquido sem operação descontinuada</v>
      </c>
      <c r="E45" s="120">
        <f>SUM(E43:E44)</f>
        <v>11060</v>
      </c>
      <c r="F45" s="120">
        <f t="shared" ref="F45:AS45" si="37">SUM(F43:F44)</f>
        <v>19819</v>
      </c>
      <c r="G45" s="120">
        <f t="shared" si="37"/>
        <v>40365</v>
      </c>
      <c r="H45" s="120">
        <f t="shared" si="37"/>
        <v>20580</v>
      </c>
      <c r="I45" s="120">
        <f t="shared" si="37"/>
        <v>20665</v>
      </c>
      <c r="J45" s="120">
        <f t="shared" si="37"/>
        <v>36994</v>
      </c>
      <c r="K45" s="120">
        <f t="shared" si="37"/>
        <v>49823</v>
      </c>
      <c r="L45" s="120">
        <f t="shared" si="37"/>
        <v>23117</v>
      </c>
      <c r="M45" s="120">
        <f t="shared" si="37"/>
        <v>18969</v>
      </c>
      <c r="N45" s="120">
        <f t="shared" si="37"/>
        <v>18720</v>
      </c>
      <c r="O45" s="120">
        <f t="shared" si="37"/>
        <v>24557</v>
      </c>
      <c r="P45" s="120">
        <f t="shared" si="37"/>
        <v>15920</v>
      </c>
      <c r="Q45" s="120">
        <f t="shared" si="37"/>
        <v>7235</v>
      </c>
      <c r="R45" s="120">
        <f t="shared" si="37"/>
        <v>6227</v>
      </c>
      <c r="S45" s="120">
        <f t="shared" si="37"/>
        <v>5597</v>
      </c>
      <c r="T45" s="120">
        <f t="shared" si="37"/>
        <v>2418.5722445999618</v>
      </c>
      <c r="U45" s="120">
        <f t="shared" si="37"/>
        <v>-3953.7483700000239</v>
      </c>
      <c r="V45" s="120">
        <f t="shared" si="37"/>
        <v>-777.01637999999798</v>
      </c>
      <c r="W45" s="120">
        <f t="shared" si="37"/>
        <v>2803.8234899999834</v>
      </c>
      <c r="X45" s="120">
        <f t="shared" si="37"/>
        <v>11314.039700000001</v>
      </c>
      <c r="Y45" s="120">
        <f t="shared" si="37"/>
        <v>3190.556480000012</v>
      </c>
      <c r="Z45" s="120">
        <f t="shared" si="37"/>
        <v>14189.641480000017</v>
      </c>
      <c r="AA45" s="120">
        <f t="shared" si="37"/>
        <v>14840.473850000028</v>
      </c>
      <c r="AB45" s="120">
        <f t="shared" si="37"/>
        <v>49804.01827000003</v>
      </c>
      <c r="AC45" s="120">
        <f t="shared" si="37"/>
        <v>10136.771610000003</v>
      </c>
      <c r="AD45" s="120">
        <f t="shared" si="37"/>
        <v>24483.95466999997</v>
      </c>
      <c r="AE45" s="120">
        <f t="shared" si="37"/>
        <v>30770.05524999995</v>
      </c>
      <c r="AF45" s="120">
        <f t="shared" si="37"/>
        <v>33414.206070000015</v>
      </c>
      <c r="AG45" s="162">
        <f t="shared" si="37"/>
        <v>21546.960680000022</v>
      </c>
      <c r="AH45" s="120">
        <f t="shared" si="37"/>
        <v>31289.805800000024</v>
      </c>
      <c r="AI45" s="120">
        <f t="shared" si="37"/>
        <v>86180.58778000006</v>
      </c>
      <c r="AJ45" s="120">
        <f t="shared" si="37"/>
        <v>45466.187050000022</v>
      </c>
      <c r="AK45" s="120">
        <f t="shared" si="37"/>
        <v>17677.310980000002</v>
      </c>
      <c r="AL45" s="120">
        <f t="shared" si="37"/>
        <v>-4693.4956900000052</v>
      </c>
      <c r="AM45" s="120">
        <f t="shared" si="37"/>
        <v>27697.705030000008</v>
      </c>
      <c r="AN45" s="120">
        <f t="shared" si="37"/>
        <v>27229.27362000004</v>
      </c>
      <c r="AO45" s="120">
        <f t="shared" si="37"/>
        <v>15806.842150000004</v>
      </c>
      <c r="AP45" s="120">
        <f t="shared" si="37"/>
        <v>10531.636071199982</v>
      </c>
      <c r="AQ45" s="120">
        <f t="shared" si="37"/>
        <v>26003.408479999987</v>
      </c>
      <c r="AR45" s="120">
        <f t="shared" si="37"/>
        <v>22830.473389999905</v>
      </c>
      <c r="AS45" s="120">
        <f t="shared" si="37"/>
        <v>9137.730357217979</v>
      </c>
      <c r="AT45" s="120">
        <v>22805.423955574959</v>
      </c>
      <c r="AU45" s="120">
        <f t="shared" ref="AU45:BF45" si="38">SUM(AU43:AU44)</f>
        <v>44129.709128399962</v>
      </c>
      <c r="AV45" s="120">
        <f t="shared" si="38"/>
        <v>50194.620917199936</v>
      </c>
      <c r="AW45" s="120">
        <f t="shared" si="38"/>
        <v>25366.004457799849</v>
      </c>
      <c r="AX45" s="120">
        <f t="shared" si="38"/>
        <v>31254.324360000108</v>
      </c>
      <c r="AY45" s="120">
        <f t="shared" si="38"/>
        <v>46977.46860000008</v>
      </c>
      <c r="AZ45" s="120">
        <f t="shared" si="38"/>
        <v>45309.025870000274</v>
      </c>
      <c r="BA45" s="120">
        <f t="shared" si="38"/>
        <v>34877.708659999844</v>
      </c>
      <c r="BB45" s="120">
        <f t="shared" si="38"/>
        <v>59394.333620000012</v>
      </c>
      <c r="BC45" s="120">
        <f t="shared" si="38"/>
        <v>82549.026510000112</v>
      </c>
      <c r="BD45" s="120">
        <v>84520.964739699935</v>
      </c>
      <c r="BE45" s="120">
        <f t="shared" si="38"/>
        <v>34919.55012999996</v>
      </c>
      <c r="BF45" s="120">
        <f t="shared" si="38"/>
        <v>55607.539799999809</v>
      </c>
      <c r="BG45" s="120">
        <f>SUM(BG43:BG44)</f>
        <v>72575.475200000132</v>
      </c>
      <c r="BH45" s="120">
        <f>SUM(BH43:BH44)</f>
        <v>50964.49859999997</v>
      </c>
      <c r="BI45" s="120">
        <f>SUM(BI43:BI44)</f>
        <v>35040.728289999999</v>
      </c>
      <c r="BJ45" s="120">
        <f>SUM(BJ43:BJ44)</f>
        <v>76210.096549999784</v>
      </c>
    </row>
    <row r="46" spans="1:62" s="220" customFormat="1" ht="12.75" hidden="1" outlineLevel="1" x14ac:dyDescent="0.2">
      <c r="A46" s="220" t="s">
        <v>1552</v>
      </c>
      <c r="B46" s="220" t="s">
        <v>712</v>
      </c>
      <c r="C46" s="988"/>
      <c r="D46" s="227" t="str">
        <f>IF([1]RENAME!$H$3=1,B46,A46)</f>
        <v>Prejuízo da operação descontinuada</v>
      </c>
      <c r="E46" s="218">
        <v>0</v>
      </c>
      <c r="F46" s="218">
        <v>0</v>
      </c>
      <c r="G46" s="218">
        <v>0</v>
      </c>
      <c r="H46" s="218">
        <v>0</v>
      </c>
      <c r="I46" s="218">
        <v>0</v>
      </c>
      <c r="J46" s="218">
        <v>0</v>
      </c>
      <c r="K46" s="218">
        <v>0</v>
      </c>
      <c r="L46" s="218">
        <v>0</v>
      </c>
      <c r="M46" s="218">
        <v>0</v>
      </c>
      <c r="N46" s="218">
        <v>-29236</v>
      </c>
      <c r="O46" s="218">
        <v>-21062</v>
      </c>
      <c r="P46" s="218">
        <v>0</v>
      </c>
      <c r="Q46" s="218">
        <v>0</v>
      </c>
      <c r="R46" s="218">
        <v>0</v>
      </c>
      <c r="S46" s="218">
        <v>0</v>
      </c>
      <c r="T46" s="218">
        <v>0</v>
      </c>
      <c r="U46" s="218">
        <v>0</v>
      </c>
      <c r="V46" s="218">
        <v>0</v>
      </c>
      <c r="W46" s="218">
        <v>0</v>
      </c>
      <c r="X46" s="218">
        <v>0</v>
      </c>
      <c r="Y46" s="218">
        <v>0</v>
      </c>
      <c r="Z46" s="218">
        <v>0</v>
      </c>
      <c r="AA46" s="218">
        <v>0</v>
      </c>
      <c r="AB46" s="218">
        <v>0</v>
      </c>
      <c r="AC46" s="218">
        <v>0</v>
      </c>
      <c r="AD46" s="218">
        <v>0</v>
      </c>
      <c r="AE46" s="218">
        <v>0</v>
      </c>
      <c r="AF46" s="218">
        <v>0</v>
      </c>
      <c r="AG46" s="160">
        <v>0</v>
      </c>
      <c r="AH46" s="118">
        <v>0</v>
      </c>
      <c r="AI46" s="218">
        <v>0</v>
      </c>
      <c r="AJ46" s="218">
        <v>0</v>
      </c>
      <c r="AK46" s="218">
        <v>0</v>
      </c>
      <c r="AL46" s="218">
        <v>0</v>
      </c>
      <c r="AM46" s="218">
        <v>0</v>
      </c>
      <c r="AN46" s="218">
        <v>0</v>
      </c>
      <c r="AO46" s="218">
        <v>0</v>
      </c>
      <c r="AP46" s="218">
        <v>0</v>
      </c>
      <c r="AQ46" s="218">
        <v>0</v>
      </c>
      <c r="AR46" s="218"/>
      <c r="AS46" s="218">
        <v>0</v>
      </c>
      <c r="AT46" s="218">
        <v>0</v>
      </c>
      <c r="AU46" s="218">
        <v>0</v>
      </c>
      <c r="AV46" s="218">
        <v>0</v>
      </c>
      <c r="AW46" s="218">
        <v>0</v>
      </c>
      <c r="AX46" s="218">
        <v>0</v>
      </c>
      <c r="AY46" s="218">
        <v>0</v>
      </c>
      <c r="AZ46" s="218">
        <v>0</v>
      </c>
      <c r="BA46" s="218" t="s">
        <v>160</v>
      </c>
      <c r="BB46" s="218" t="s">
        <v>160</v>
      </c>
      <c r="BC46" s="218"/>
      <c r="BD46" s="218" t="s">
        <v>160</v>
      </c>
      <c r="BE46" s="218" t="s">
        <v>160</v>
      </c>
      <c r="BF46" s="218" t="s">
        <v>160</v>
      </c>
      <c r="BG46" s="218" t="s">
        <v>160</v>
      </c>
      <c r="BH46" s="218" t="s">
        <v>160</v>
      </c>
      <c r="BI46" s="218" t="s">
        <v>160</v>
      </c>
      <c r="BJ46" s="218" t="s">
        <v>160</v>
      </c>
    </row>
    <row r="47" spans="1:62" s="220" customFormat="1" ht="12.75" hidden="1" outlineLevel="1" x14ac:dyDescent="0.2">
      <c r="A47" s="220" t="s">
        <v>1553</v>
      </c>
      <c r="B47" s="220" t="s">
        <v>713</v>
      </c>
      <c r="C47" s="988"/>
      <c r="D47" s="227" t="str">
        <f>IF([1]RENAME!$H$3=1,B47,A47)</f>
        <v>Efeitos extraordinários relacionados à venda da direct</v>
      </c>
      <c r="E47" s="218">
        <v>-417</v>
      </c>
      <c r="F47" s="218">
        <v>217</v>
      </c>
      <c r="G47" s="218">
        <v>2658</v>
      </c>
      <c r="H47" s="218">
        <v>434</v>
      </c>
      <c r="I47" s="218">
        <v>3223</v>
      </c>
      <c r="J47" s="218">
        <v>2704</v>
      </c>
      <c r="K47" s="218">
        <v>2744</v>
      </c>
      <c r="L47" s="218">
        <v>1309</v>
      </c>
      <c r="M47" s="218">
        <v>-4</v>
      </c>
      <c r="N47" s="218">
        <v>-7</v>
      </c>
      <c r="O47" s="218">
        <v>-4</v>
      </c>
      <c r="P47" s="218">
        <v>-2</v>
      </c>
      <c r="Q47" s="218">
        <v>0</v>
      </c>
      <c r="R47" s="218">
        <v>0</v>
      </c>
      <c r="S47" s="218">
        <v>0</v>
      </c>
      <c r="T47" s="218">
        <v>0</v>
      </c>
      <c r="U47" s="218">
        <v>0</v>
      </c>
      <c r="V47" s="218">
        <v>0</v>
      </c>
      <c r="W47" s="218">
        <v>0</v>
      </c>
      <c r="X47" s="218">
        <v>0</v>
      </c>
      <c r="Y47" s="218">
        <v>0</v>
      </c>
      <c r="Z47" s="218">
        <v>0</v>
      </c>
      <c r="AA47" s="218">
        <v>0</v>
      </c>
      <c r="AB47" s="218">
        <v>0</v>
      </c>
      <c r="AC47" s="218">
        <v>0</v>
      </c>
      <c r="AD47" s="218">
        <v>0</v>
      </c>
      <c r="AE47" s="218">
        <v>0</v>
      </c>
      <c r="AF47" s="218">
        <v>0</v>
      </c>
      <c r="AG47" s="160">
        <v>0</v>
      </c>
      <c r="AH47" s="118">
        <v>0</v>
      </c>
      <c r="AI47" s="218">
        <v>0</v>
      </c>
      <c r="AJ47" s="218">
        <v>0</v>
      </c>
      <c r="AK47" s="218">
        <v>0</v>
      </c>
      <c r="AL47" s="218">
        <v>0</v>
      </c>
      <c r="AM47" s="218">
        <v>0</v>
      </c>
      <c r="AN47" s="218">
        <v>0</v>
      </c>
      <c r="AO47" s="218">
        <v>0</v>
      </c>
      <c r="AP47" s="218">
        <v>0</v>
      </c>
      <c r="AQ47" s="218">
        <v>0</v>
      </c>
      <c r="AR47" s="218"/>
      <c r="AS47" s="218">
        <v>0</v>
      </c>
      <c r="AT47" s="218">
        <v>0</v>
      </c>
      <c r="AU47" s="218">
        <v>0</v>
      </c>
      <c r="AV47" s="218">
        <v>0</v>
      </c>
      <c r="AW47" s="218">
        <v>0</v>
      </c>
      <c r="AX47" s="218">
        <v>0</v>
      </c>
      <c r="AY47" s="218">
        <v>0</v>
      </c>
      <c r="AZ47" s="218">
        <v>0</v>
      </c>
      <c r="BA47" s="218" t="s">
        <v>160</v>
      </c>
      <c r="BB47" s="218" t="s">
        <v>160</v>
      </c>
      <c r="BC47" s="218"/>
      <c r="BD47" s="218" t="s">
        <v>160</v>
      </c>
      <c r="BE47" s="218" t="s">
        <v>160</v>
      </c>
      <c r="BF47" s="218" t="s">
        <v>160</v>
      </c>
      <c r="BG47" s="218" t="s">
        <v>160</v>
      </c>
      <c r="BH47" s="218" t="s">
        <v>160</v>
      </c>
      <c r="BI47" s="218" t="s">
        <v>160</v>
      </c>
      <c r="BJ47" s="218" t="s">
        <v>160</v>
      </c>
    </row>
    <row r="48" spans="1:62" s="220" customFormat="1" ht="12.75" collapsed="1" x14ac:dyDescent="0.2">
      <c r="A48" s="1" t="s">
        <v>72</v>
      </c>
      <c r="B48" s="1" t="s">
        <v>733</v>
      </c>
      <c r="C48" s="988"/>
      <c r="D48" s="124" t="str">
        <f>IF([1]RENAME!$H$3=1,B48,A48)</f>
        <v>Lucro líquido</v>
      </c>
      <c r="E48" s="125">
        <f t="shared" ref="E48:AQ48" si="39">+SUM(E45:E47)</f>
        <v>10643</v>
      </c>
      <c r="F48" s="125">
        <f t="shared" si="39"/>
        <v>20036</v>
      </c>
      <c r="G48" s="125">
        <f t="shared" si="39"/>
        <v>43023</v>
      </c>
      <c r="H48" s="125">
        <f t="shared" si="39"/>
        <v>21014</v>
      </c>
      <c r="I48" s="125">
        <f t="shared" si="39"/>
        <v>23888</v>
      </c>
      <c r="J48" s="125">
        <f t="shared" si="39"/>
        <v>39698</v>
      </c>
      <c r="K48" s="125">
        <f t="shared" si="39"/>
        <v>52567</v>
      </c>
      <c r="L48" s="125">
        <f t="shared" si="39"/>
        <v>24426</v>
      </c>
      <c r="M48" s="125">
        <f t="shared" si="39"/>
        <v>18965</v>
      </c>
      <c r="N48" s="125">
        <f t="shared" si="39"/>
        <v>-10523</v>
      </c>
      <c r="O48" s="125">
        <f t="shared" si="39"/>
        <v>3491</v>
      </c>
      <c r="P48" s="125">
        <f t="shared" si="39"/>
        <v>15918</v>
      </c>
      <c r="Q48" s="125">
        <f t="shared" si="39"/>
        <v>7235</v>
      </c>
      <c r="R48" s="125">
        <f t="shared" si="39"/>
        <v>6227</v>
      </c>
      <c r="S48" s="125">
        <f t="shared" si="39"/>
        <v>5597</v>
      </c>
      <c r="T48" s="125">
        <f t="shared" si="39"/>
        <v>2418.5722445999618</v>
      </c>
      <c r="U48" s="125">
        <f t="shared" si="39"/>
        <v>-3953.7483700000239</v>
      </c>
      <c r="V48" s="125">
        <f t="shared" si="39"/>
        <v>-777.01637999999798</v>
      </c>
      <c r="W48" s="125">
        <f t="shared" si="39"/>
        <v>2803.8234899999834</v>
      </c>
      <c r="X48" s="125">
        <f t="shared" si="39"/>
        <v>11314.039700000001</v>
      </c>
      <c r="Y48" s="125">
        <f t="shared" si="39"/>
        <v>3190.556480000012</v>
      </c>
      <c r="Z48" s="125">
        <f t="shared" si="39"/>
        <v>14189.641480000017</v>
      </c>
      <c r="AA48" s="125">
        <f t="shared" si="39"/>
        <v>14840.473850000028</v>
      </c>
      <c r="AB48" s="125">
        <f t="shared" si="39"/>
        <v>49804.01827000003</v>
      </c>
      <c r="AC48" s="125">
        <f t="shared" si="39"/>
        <v>10136.771610000003</v>
      </c>
      <c r="AD48" s="125">
        <f t="shared" si="39"/>
        <v>24483.95466999997</v>
      </c>
      <c r="AE48" s="125">
        <f t="shared" si="39"/>
        <v>30770.05524999995</v>
      </c>
      <c r="AF48" s="125">
        <f t="shared" si="39"/>
        <v>33414.206070000015</v>
      </c>
      <c r="AG48" s="164">
        <f t="shared" si="39"/>
        <v>21546.960680000022</v>
      </c>
      <c r="AH48" s="125">
        <f t="shared" si="39"/>
        <v>31289.805800000024</v>
      </c>
      <c r="AI48" s="125">
        <f t="shared" si="39"/>
        <v>86180.58778000006</v>
      </c>
      <c r="AJ48" s="125">
        <f t="shared" si="39"/>
        <v>45466.187050000022</v>
      </c>
      <c r="AK48" s="125">
        <f t="shared" si="39"/>
        <v>17677.310980000002</v>
      </c>
      <c r="AL48" s="125">
        <f t="shared" si="39"/>
        <v>-4693.4956900000052</v>
      </c>
      <c r="AM48" s="125">
        <f t="shared" si="39"/>
        <v>27697.705030000008</v>
      </c>
      <c r="AN48" s="125">
        <f t="shared" si="39"/>
        <v>27229.27362000004</v>
      </c>
      <c r="AO48" s="125">
        <f t="shared" si="39"/>
        <v>15806.842150000004</v>
      </c>
      <c r="AP48" s="125">
        <f t="shared" si="39"/>
        <v>10531.636071199982</v>
      </c>
      <c r="AQ48" s="125">
        <f t="shared" si="39"/>
        <v>26003.408479999987</v>
      </c>
      <c r="AR48" s="125">
        <f t="shared" ref="AR48:AW48" si="40">+SUM(AR45:AR47)</f>
        <v>22830.473389999905</v>
      </c>
      <c r="AS48" s="125">
        <f t="shared" si="40"/>
        <v>9137.730357217979</v>
      </c>
      <c r="AT48" s="125">
        <f t="shared" si="40"/>
        <v>22805.423955574959</v>
      </c>
      <c r="AU48" s="125">
        <f t="shared" si="40"/>
        <v>44129.709128399962</v>
      </c>
      <c r="AV48" s="125">
        <f t="shared" si="40"/>
        <v>50194.620917199936</v>
      </c>
      <c r="AW48" s="125">
        <f t="shared" si="40"/>
        <v>25366.004457799849</v>
      </c>
      <c r="AX48" s="125">
        <f t="shared" ref="AX48:BF48" si="41">+SUM(AX45:AX47)</f>
        <v>31254.324360000108</v>
      </c>
      <c r="AY48" s="125">
        <f t="shared" si="41"/>
        <v>46977.46860000008</v>
      </c>
      <c r="AZ48" s="125">
        <f t="shared" si="41"/>
        <v>45309.025870000274</v>
      </c>
      <c r="BA48" s="125">
        <f t="shared" si="41"/>
        <v>34877.708659999844</v>
      </c>
      <c r="BB48" s="125">
        <f t="shared" si="41"/>
        <v>59394.333620000012</v>
      </c>
      <c r="BC48" s="125">
        <f t="shared" si="41"/>
        <v>82549.026510000112</v>
      </c>
      <c r="BD48" s="125">
        <f t="shared" si="41"/>
        <v>84520.964739699935</v>
      </c>
      <c r="BE48" s="125">
        <f t="shared" si="41"/>
        <v>34919.55012999996</v>
      </c>
      <c r="BF48" s="125">
        <f t="shared" si="41"/>
        <v>55607.539799999809</v>
      </c>
      <c r="BG48" s="125">
        <f>+SUM(BG45:BG47)</f>
        <v>72575.475200000132</v>
      </c>
      <c r="BH48" s="125">
        <f>+SUM(BH45:BH47)</f>
        <v>50964.49859999997</v>
      </c>
      <c r="BI48" s="125">
        <f>+SUM(BI45:BI47)</f>
        <v>35040.728289999999</v>
      </c>
      <c r="BJ48" s="125">
        <f>+SUM(BJ45:BJ47)</f>
        <v>76210.096549999784</v>
      </c>
    </row>
    <row r="49" spans="1:62" ht="14.1" customHeight="1" x14ac:dyDescent="0.2">
      <c r="A49" s="1" t="s">
        <v>65</v>
      </c>
      <c r="B49" s="1" t="s">
        <v>734</v>
      </c>
      <c r="C49" s="20"/>
      <c r="D49" s="8" t="str">
        <f>IF([1]RENAME!$H$3=1,B49,A49)</f>
        <v>* Sem depreciação e amortização</v>
      </c>
      <c r="E49" s="689"/>
      <c r="F49" s="689"/>
      <c r="G49" s="689"/>
      <c r="H49" s="689"/>
      <c r="I49" s="689"/>
      <c r="J49" s="689"/>
      <c r="K49" s="689"/>
      <c r="L49" s="689"/>
      <c r="M49" s="689"/>
      <c r="N49" s="689"/>
      <c r="O49" s="689"/>
      <c r="P49" s="689"/>
      <c r="Q49" s="274"/>
      <c r="R49" s="274"/>
      <c r="S49" s="274"/>
      <c r="T49" s="274"/>
      <c r="U49" s="274"/>
      <c r="V49" s="274"/>
      <c r="W49" s="274"/>
      <c r="X49" s="274"/>
      <c r="Y49" s="274"/>
      <c r="Z49" s="274"/>
      <c r="AA49" s="274"/>
      <c r="AB49" s="274"/>
      <c r="AD49" s="274"/>
      <c r="AE49" s="274"/>
      <c r="AF49" s="328"/>
      <c r="AG49" s="274"/>
      <c r="AH49" s="274"/>
      <c r="BH49" s="926"/>
      <c r="BI49" s="926"/>
      <c r="BJ49" s="926"/>
    </row>
    <row r="50" spans="1:62" customFormat="1" ht="12.75" customHeight="1" x14ac:dyDescent="0.2">
      <c r="AT50" s="327"/>
      <c r="AU50" s="327"/>
      <c r="AV50" s="327"/>
      <c r="AW50" s="327"/>
      <c r="AX50" s="327"/>
      <c r="AY50" s="327"/>
      <c r="AZ50" s="327"/>
      <c r="BA50" s="327"/>
      <c r="BB50" s="327"/>
      <c r="BC50" s="327"/>
      <c r="BD50" s="327"/>
      <c r="BE50" s="327"/>
      <c r="BF50" s="327"/>
      <c r="BG50" s="327"/>
      <c r="BH50" s="327"/>
      <c r="BI50" s="327"/>
      <c r="BJ50" s="327"/>
    </row>
    <row r="51" spans="1:62" customFormat="1" ht="12.75" customHeight="1" x14ac:dyDescent="0.2">
      <c r="AO51" s="547" t="s">
        <v>1864</v>
      </c>
      <c r="AP51" s="547" t="s">
        <v>1864</v>
      </c>
      <c r="AQ51" s="547"/>
      <c r="AR51" s="547"/>
      <c r="AS51" s="547" t="s">
        <v>1964</v>
      </c>
      <c r="AT51" s="547" t="s">
        <v>1964</v>
      </c>
      <c r="AU51" s="547" t="s">
        <v>1964</v>
      </c>
      <c r="AV51" s="547" t="s">
        <v>1964</v>
      </c>
      <c r="AW51" s="547" t="s">
        <v>2071</v>
      </c>
      <c r="AX51" s="547" t="s">
        <v>2071</v>
      </c>
      <c r="AY51" s="547"/>
      <c r="AZ51" s="547"/>
      <c r="BA51" s="329" t="s">
        <v>2154</v>
      </c>
      <c r="BB51" s="329" t="s">
        <v>2154</v>
      </c>
      <c r="BC51" s="329"/>
      <c r="BD51" s="329"/>
      <c r="BE51" s="329" t="s">
        <v>2255</v>
      </c>
      <c r="BF51" s="329" t="s">
        <v>2255</v>
      </c>
      <c r="BG51" s="329"/>
      <c r="BH51" s="329"/>
      <c r="BI51" s="329" t="s">
        <v>2399</v>
      </c>
      <c r="BJ51" s="1075" t="s">
        <v>2399</v>
      </c>
    </row>
    <row r="52" spans="1:62" customFormat="1" ht="14.1" customHeight="1" x14ac:dyDescent="0.2">
      <c r="AO52" s="547" t="s">
        <v>1865</v>
      </c>
      <c r="AP52" s="547" t="s">
        <v>1865</v>
      </c>
      <c r="AQ52" s="547" t="s">
        <v>1865</v>
      </c>
      <c r="AR52" s="547"/>
      <c r="AS52" s="547" t="s">
        <v>1950</v>
      </c>
      <c r="AT52" s="547" t="s">
        <v>1950</v>
      </c>
      <c r="AU52" s="547" t="s">
        <v>1950</v>
      </c>
      <c r="AV52" s="547"/>
      <c r="AW52" s="547" t="s">
        <v>2072</v>
      </c>
      <c r="AX52" s="547" t="s">
        <v>2072</v>
      </c>
      <c r="AY52" s="547" t="s">
        <v>2072</v>
      </c>
      <c r="AZ52" s="547" t="s">
        <v>2072</v>
      </c>
      <c r="BA52" s="547" t="s">
        <v>2155</v>
      </c>
      <c r="BB52" s="547" t="s">
        <v>2155</v>
      </c>
      <c r="BC52" s="547" t="s">
        <v>2155</v>
      </c>
      <c r="BD52" s="547"/>
      <c r="BE52" s="547" t="s">
        <v>2254</v>
      </c>
      <c r="BF52" s="547" t="s">
        <v>2254</v>
      </c>
      <c r="BG52" s="547" t="s">
        <v>2254</v>
      </c>
      <c r="BH52" s="547"/>
      <c r="BI52" s="547" t="s">
        <v>2327</v>
      </c>
      <c r="BJ52" s="550" t="s">
        <v>2327</v>
      </c>
    </row>
    <row r="53" spans="1:62" customFormat="1" ht="14.1" customHeight="1" x14ac:dyDescent="0.2">
      <c r="AO53" s="1110">
        <v>2021</v>
      </c>
      <c r="AP53" s="1110">
        <v>2021</v>
      </c>
      <c r="AQ53" s="1110">
        <v>2021</v>
      </c>
      <c r="AR53" s="1110">
        <v>2021</v>
      </c>
      <c r="AS53" s="1110">
        <v>2022</v>
      </c>
      <c r="AT53" s="1110">
        <v>2022</v>
      </c>
      <c r="AU53" s="1110">
        <v>2022</v>
      </c>
      <c r="AV53" s="1110">
        <v>2022</v>
      </c>
      <c r="AW53" s="1110">
        <v>2023</v>
      </c>
      <c r="AX53" s="1110">
        <v>2023</v>
      </c>
      <c r="AY53" s="1110">
        <v>2023</v>
      </c>
      <c r="AZ53" s="1110">
        <v>2023</v>
      </c>
      <c r="BA53" s="1113">
        <v>2024</v>
      </c>
      <c r="BB53" s="1113">
        <v>2024</v>
      </c>
      <c r="BC53" s="1113">
        <v>2024</v>
      </c>
      <c r="BD53" s="1113">
        <v>2024</v>
      </c>
      <c r="BE53" s="1113">
        <v>2025</v>
      </c>
      <c r="BF53" s="1113">
        <v>2025</v>
      </c>
      <c r="BG53" s="1113">
        <v>2025</v>
      </c>
      <c r="BH53" s="1113">
        <v>2025</v>
      </c>
      <c r="BI53" s="1113">
        <v>2026</v>
      </c>
      <c r="BJ53" s="1079">
        <v>2026</v>
      </c>
    </row>
    <row r="54" spans="1:62" customFormat="1" ht="14.1" customHeight="1" x14ac:dyDescent="0.2">
      <c r="AT54" s="327"/>
      <c r="AU54" s="327"/>
      <c r="AV54" s="327"/>
      <c r="AW54" s="327"/>
      <c r="AX54" s="327"/>
      <c r="AY54" s="547"/>
      <c r="AZ54" s="327"/>
      <c r="BA54" s="327"/>
      <c r="BB54" s="327"/>
      <c r="BC54" s="327"/>
      <c r="BD54" s="327"/>
      <c r="BE54" s="327"/>
      <c r="BF54" s="327"/>
      <c r="BG54" s="327"/>
      <c r="BH54" s="327"/>
      <c r="BI54" s="327"/>
      <c r="BJ54" s="327"/>
    </row>
    <row r="55" spans="1:62" customFormat="1" ht="14.1" customHeight="1" x14ac:dyDescent="0.2">
      <c r="AT55" s="327"/>
      <c r="AU55" s="327"/>
      <c r="AV55" s="327"/>
      <c r="AW55" s="327"/>
      <c r="AX55" s="327"/>
      <c r="AY55" s="327"/>
      <c r="AZ55" s="327"/>
      <c r="BA55" s="327"/>
      <c r="BB55" s="327"/>
      <c r="BC55" s="327"/>
      <c r="BD55" s="327"/>
      <c r="BE55" s="327"/>
      <c r="BF55" s="327"/>
      <c r="BG55" s="327"/>
      <c r="BH55" s="327"/>
      <c r="BI55" s="327"/>
      <c r="BJ55" s="327"/>
    </row>
    <row r="56" spans="1:62" customFormat="1" ht="14.1" customHeight="1" x14ac:dyDescent="0.2">
      <c r="AT56" s="327"/>
      <c r="AU56" s="327"/>
      <c r="AV56" s="327"/>
      <c r="AW56" s="327"/>
      <c r="AX56" s="327"/>
      <c r="AY56" s="327"/>
      <c r="AZ56" s="327"/>
      <c r="BA56" s="327"/>
      <c r="BB56" s="327"/>
      <c r="BC56" s="327"/>
      <c r="BD56" s="327"/>
      <c r="BE56" s="327"/>
      <c r="BF56" s="327"/>
      <c r="BG56" s="327"/>
      <c r="BH56" s="327"/>
      <c r="BI56" s="327"/>
      <c r="BJ56" s="327"/>
    </row>
    <row r="57" spans="1:62" customFormat="1" ht="14.1" customHeight="1" x14ac:dyDescent="0.2">
      <c r="AT57" s="327"/>
      <c r="AU57" s="327"/>
      <c r="AV57" s="327"/>
      <c r="AW57" s="327"/>
      <c r="AX57" s="327"/>
      <c r="AY57" s="327"/>
      <c r="AZ57" s="327"/>
      <c r="BA57" s="327"/>
      <c r="BB57" s="327"/>
      <c r="BC57" s="327"/>
      <c r="BD57" s="327"/>
      <c r="BE57" s="327"/>
      <c r="BF57" s="327"/>
      <c r="BG57" s="327"/>
      <c r="BH57" s="327"/>
      <c r="BI57" s="327"/>
      <c r="BJ57" s="327"/>
    </row>
    <row r="58" spans="1:62" customFormat="1" ht="14.1" customHeight="1" x14ac:dyDescent="0.2">
      <c r="AT58" s="327"/>
      <c r="AU58" s="327"/>
      <c r="AV58" s="327"/>
      <c r="AW58" s="327"/>
      <c r="AX58" s="327"/>
      <c r="AY58" s="327"/>
      <c r="AZ58" s="327"/>
      <c r="BA58" s="327"/>
      <c r="BB58" s="327"/>
      <c r="BC58" s="327"/>
      <c r="BD58" s="327"/>
      <c r="BE58" s="327"/>
      <c r="BF58" s="327"/>
      <c r="BG58" s="327"/>
      <c r="BH58" s="327"/>
      <c r="BI58" s="327"/>
      <c r="BJ58" s="327"/>
    </row>
    <row r="59" spans="1:62" customFormat="1" ht="14.1" customHeight="1" x14ac:dyDescent="0.2">
      <c r="AT59" s="327"/>
      <c r="AU59" s="327"/>
      <c r="AV59" s="327"/>
      <c r="AW59" s="327"/>
      <c r="AX59" s="327"/>
      <c r="AY59" s="327"/>
      <c r="AZ59" s="327"/>
      <c r="BA59" s="327"/>
      <c r="BB59" s="327"/>
      <c r="BC59" s="327"/>
      <c r="BD59" s="327"/>
      <c r="BE59" s="327"/>
      <c r="BF59" s="327"/>
      <c r="BG59" s="327"/>
      <c r="BH59" s="327"/>
      <c r="BI59" s="327"/>
      <c r="BJ59" s="327"/>
    </row>
    <row r="60" spans="1:62" customFormat="1" ht="14.1" customHeight="1" x14ac:dyDescent="0.2">
      <c r="AT60" s="327"/>
      <c r="AU60" s="327"/>
      <c r="AV60" s="327"/>
      <c r="AW60" s="327"/>
      <c r="AX60" s="327"/>
      <c r="AY60" s="327"/>
      <c r="AZ60" s="327"/>
      <c r="BA60" s="327"/>
      <c r="BB60" s="327"/>
      <c r="BC60" s="327"/>
      <c r="BD60" s="327"/>
      <c r="BE60" s="327"/>
      <c r="BF60" s="327"/>
      <c r="BG60" s="327"/>
      <c r="BH60" s="327"/>
      <c r="BI60" s="327"/>
      <c r="BJ60" s="327"/>
    </row>
    <row r="61" spans="1:62" customFormat="1" ht="14.1" customHeight="1" x14ac:dyDescent="0.2">
      <c r="AT61" s="327"/>
      <c r="AU61" s="327"/>
      <c r="AV61" s="327"/>
      <c r="AW61" s="327"/>
      <c r="AX61" s="327"/>
      <c r="AY61" s="327"/>
      <c r="AZ61" s="327"/>
      <c r="BA61" s="327"/>
      <c r="BB61" s="327"/>
      <c r="BC61" s="327"/>
      <c r="BD61" s="327"/>
      <c r="BE61" s="327"/>
      <c r="BF61" s="327"/>
      <c r="BG61" s="327"/>
      <c r="BH61" s="327"/>
      <c r="BI61" s="327"/>
      <c r="BJ61" s="327"/>
    </row>
    <row r="62" spans="1:62" customFormat="1" ht="14.1" customHeight="1" x14ac:dyDescent="0.2">
      <c r="AT62" s="327"/>
      <c r="AU62" s="327"/>
      <c r="AV62" s="327"/>
      <c r="AW62" s="327"/>
      <c r="AX62" s="327"/>
      <c r="AY62" s="327"/>
      <c r="AZ62" s="327"/>
      <c r="BA62" s="327"/>
      <c r="BB62" s="327"/>
      <c r="BC62" s="327"/>
      <c r="BD62" s="327"/>
      <c r="BE62" s="327"/>
      <c r="BF62" s="327"/>
      <c r="BG62" s="327"/>
      <c r="BH62" s="327"/>
      <c r="BI62" s="327"/>
      <c r="BJ62" s="327"/>
    </row>
    <row r="63" spans="1:62" customFormat="1" ht="14.1" customHeight="1" x14ac:dyDescent="0.2">
      <c r="AT63" s="327"/>
      <c r="AU63" s="327"/>
      <c r="AV63" s="327"/>
      <c r="AW63" s="327"/>
      <c r="AX63" s="327"/>
      <c r="AY63" s="327"/>
      <c r="AZ63" s="327"/>
      <c r="BA63" s="327"/>
      <c r="BB63" s="327"/>
      <c r="BC63" s="327"/>
      <c r="BD63" s="327"/>
      <c r="BE63" s="327"/>
      <c r="BF63" s="327"/>
      <c r="BG63" s="327"/>
      <c r="BH63" s="327"/>
      <c r="BI63" s="327"/>
      <c r="BJ63" s="327"/>
    </row>
    <row r="64" spans="1:62" customFormat="1" ht="14.1" customHeight="1" x14ac:dyDescent="0.2"/>
    <row r="65" customFormat="1" ht="14.1" customHeight="1" outlineLevel="1" x14ac:dyDescent="0.2"/>
    <row r="66" customFormat="1" ht="14.1" customHeight="1" outlineLevel="1" x14ac:dyDescent="0.2"/>
    <row r="67" customFormat="1" ht="14.1" customHeight="1" x14ac:dyDescent="0.2"/>
    <row r="68" customFormat="1" ht="14.1" customHeight="1" x14ac:dyDescent="0.2"/>
    <row r="69" customFormat="1" ht="14.1" customHeight="1" x14ac:dyDescent="0.2"/>
    <row r="70" customFormat="1" ht="14.1" customHeight="1" x14ac:dyDescent="0.2"/>
    <row r="71" customFormat="1" ht="14.1" customHeight="1" x14ac:dyDescent="0.2"/>
    <row r="72" customFormat="1" ht="14.1" customHeight="1" x14ac:dyDescent="0.2"/>
    <row r="73" customFormat="1" ht="14.1" customHeight="1" x14ac:dyDescent="0.2"/>
    <row r="74" customFormat="1" ht="14.1" customHeight="1" x14ac:dyDescent="0.2"/>
    <row r="75" customFormat="1" ht="14.1" customHeight="1" x14ac:dyDescent="0.2"/>
    <row r="76" customFormat="1" ht="14.1" customHeight="1" x14ac:dyDescent="0.2"/>
    <row r="77" customFormat="1" ht="14.1" customHeight="1" x14ac:dyDescent="0.2"/>
    <row r="78" customFormat="1" ht="14.1" customHeight="1" x14ac:dyDescent="0.2"/>
    <row r="79" customFormat="1" ht="14.1" customHeight="1" x14ac:dyDescent="0.2"/>
    <row r="80" customFormat="1" ht="14.1" customHeight="1" x14ac:dyDescent="0.2"/>
    <row r="81" customFormat="1" ht="14.1" customHeight="1" x14ac:dyDescent="0.2"/>
    <row r="82" customFormat="1" ht="14.1" customHeight="1" x14ac:dyDescent="0.2"/>
    <row r="83" customFormat="1" ht="14.1" customHeight="1" x14ac:dyDescent="0.2"/>
    <row r="84" customFormat="1" ht="14.1" customHeight="1" x14ac:dyDescent="0.2"/>
    <row r="85" customFormat="1" ht="14.1" customHeight="1" x14ac:dyDescent="0.2"/>
    <row r="86" customFormat="1" ht="14.1" customHeight="1" x14ac:dyDescent="0.2"/>
    <row r="87" customFormat="1" ht="14.1" customHeight="1" x14ac:dyDescent="0.2"/>
    <row r="88" customFormat="1" ht="14.1" customHeight="1" x14ac:dyDescent="0.2"/>
    <row r="89" customFormat="1" ht="14.1" customHeight="1" x14ac:dyDescent="0.2"/>
    <row r="90" customFormat="1" ht="14.1" customHeight="1" x14ac:dyDescent="0.2"/>
    <row r="91" customFormat="1" ht="14.1" customHeight="1" x14ac:dyDescent="0.2"/>
    <row r="92" customFormat="1" ht="14.1" customHeight="1" x14ac:dyDescent="0.2"/>
    <row r="93" customFormat="1" ht="14.1" customHeight="1" x14ac:dyDescent="0.2"/>
    <row r="94" customFormat="1" ht="14.1" customHeight="1" x14ac:dyDescent="0.2"/>
    <row r="95" customFormat="1" ht="14.1" customHeight="1" x14ac:dyDescent="0.2"/>
    <row r="96" customFormat="1" ht="14.1" customHeight="1" x14ac:dyDescent="0.2"/>
    <row r="97" spans="5:62" customFormat="1" ht="14.1" customHeight="1" x14ac:dyDescent="0.2"/>
    <row r="98" spans="5:62" customFormat="1" ht="14.1" customHeight="1" x14ac:dyDescent="0.2">
      <c r="AT98" s="327"/>
      <c r="AU98" s="327"/>
      <c r="AV98" s="327"/>
      <c r="AW98" s="327"/>
      <c r="AX98" s="327"/>
      <c r="AY98" s="327"/>
      <c r="AZ98" s="327"/>
      <c r="BA98" s="327"/>
      <c r="BB98" s="327"/>
      <c r="BC98" s="327"/>
      <c r="BD98" s="327"/>
      <c r="BE98" s="327"/>
      <c r="BF98" s="327"/>
      <c r="BG98" s="327"/>
      <c r="BH98" s="327"/>
      <c r="BI98" s="327"/>
      <c r="BJ98" s="327"/>
    </row>
    <row r="99" spans="5:62" customFormat="1" ht="14.1" customHeight="1" x14ac:dyDescent="0.2">
      <c r="AT99" s="327"/>
      <c r="AU99" s="327"/>
      <c r="AV99" s="327"/>
      <c r="AW99" s="327"/>
      <c r="AX99" s="327"/>
      <c r="AY99" s="327"/>
      <c r="AZ99" s="327"/>
      <c r="BA99" s="327"/>
      <c r="BB99" s="327"/>
      <c r="BC99" s="327"/>
      <c r="BD99" s="327"/>
      <c r="BE99" s="327"/>
      <c r="BF99" s="327"/>
      <c r="BG99" s="327"/>
      <c r="BH99" s="327"/>
      <c r="BI99" s="327"/>
      <c r="BJ99" s="327"/>
    </row>
    <row r="100" spans="5:62" customFormat="1" ht="14.1" customHeight="1" x14ac:dyDescent="0.2">
      <c r="AT100" s="327"/>
      <c r="AU100" s="327"/>
      <c r="AV100" s="327"/>
      <c r="AW100" s="327"/>
      <c r="AX100" s="327"/>
      <c r="AY100" s="40"/>
      <c r="AZ100" s="40"/>
      <c r="BA100" s="40"/>
      <c r="BB100" s="40"/>
      <c r="BC100" s="40"/>
      <c r="BD100" s="40"/>
      <c r="BE100" s="40"/>
      <c r="BF100" s="40"/>
      <c r="BG100" s="40"/>
      <c r="BH100" s="40"/>
      <c r="BI100" s="40"/>
      <c r="BJ100" s="40"/>
    </row>
    <row r="101" spans="5:62" customFormat="1" ht="12.75" x14ac:dyDescent="0.2">
      <c r="AT101" s="327"/>
      <c r="AU101" s="327"/>
      <c r="AV101" s="547"/>
      <c r="AW101" s="547"/>
      <c r="AX101" s="547"/>
      <c r="AY101" s="40"/>
      <c r="AZ101" s="40"/>
      <c r="BA101" s="40"/>
      <c r="BB101" s="40"/>
      <c r="BC101" s="40"/>
      <c r="BD101" s="40"/>
      <c r="BE101" s="40"/>
      <c r="BF101" s="40"/>
      <c r="BG101" s="40"/>
      <c r="BH101" s="40"/>
      <c r="BI101" s="40"/>
      <c r="BJ101" s="40"/>
    </row>
    <row r="102" spans="5:62" customFormat="1" ht="12.75" x14ac:dyDescent="0.2">
      <c r="AT102" s="327"/>
      <c r="AU102" s="327"/>
      <c r="AV102" s="547"/>
      <c r="AW102" s="547"/>
      <c r="AX102" s="547"/>
      <c r="AY102" s="40"/>
      <c r="AZ102" s="40"/>
      <c r="BA102" s="40"/>
      <c r="BB102" s="40"/>
      <c r="BC102" s="40"/>
      <c r="BD102" s="40"/>
      <c r="BE102" s="40"/>
      <c r="BF102" s="40"/>
      <c r="BG102" s="40"/>
      <c r="BH102" s="40"/>
      <c r="BI102" s="40"/>
      <c r="BJ102" s="40"/>
    </row>
    <row r="103" spans="5:62" customFormat="1" ht="14.25" customHeight="1" x14ac:dyDescent="0.2">
      <c r="AT103" s="327"/>
      <c r="AU103" s="327"/>
      <c r="AV103" s="547"/>
      <c r="AW103" s="547"/>
      <c r="AX103" s="547"/>
      <c r="AY103" s="40"/>
      <c r="AZ103" s="40"/>
      <c r="BA103" s="40"/>
      <c r="BB103" s="40"/>
      <c r="BC103" s="40"/>
      <c r="BD103" s="40"/>
      <c r="BE103" s="40"/>
      <c r="BF103" s="40"/>
      <c r="BG103" s="40"/>
      <c r="BH103" s="40"/>
      <c r="BI103" s="40"/>
      <c r="BJ103" s="40"/>
    </row>
    <row r="104" spans="5:62" s="547" customFormat="1" ht="14.25" customHeight="1" x14ac:dyDescent="0.2">
      <c r="AK104" s="547" t="s">
        <v>1648</v>
      </c>
      <c r="AL104" s="547" t="s">
        <v>1648</v>
      </c>
      <c r="AO104" s="547" t="s">
        <v>1864</v>
      </c>
      <c r="AP104" s="547" t="s">
        <v>1864</v>
      </c>
      <c r="AS104" s="547" t="s">
        <v>1964</v>
      </c>
      <c r="AT104" s="547" t="s">
        <v>1964</v>
      </c>
      <c r="AW104" s="547" t="s">
        <v>2071</v>
      </c>
      <c r="AX104" s="547" t="s">
        <v>2071</v>
      </c>
      <c r="BA104" s="547" t="s">
        <v>2154</v>
      </c>
      <c r="BB104" s="547" t="s">
        <v>2154</v>
      </c>
    </row>
    <row r="105" spans="5:62" s="266" customFormat="1" ht="14.25" customHeight="1" x14ac:dyDescent="0.2">
      <c r="AC105" s="266" t="s">
        <v>1646</v>
      </c>
      <c r="AD105" s="266" t="s">
        <v>1646</v>
      </c>
      <c r="AE105" s="266" t="s">
        <v>1646</v>
      </c>
      <c r="AG105" s="266" t="s">
        <v>1645</v>
      </c>
      <c r="AH105" s="266" t="s">
        <v>1645</v>
      </c>
      <c r="AI105" s="266" t="s">
        <v>1645</v>
      </c>
      <c r="AK105" s="266" t="s">
        <v>1647</v>
      </c>
      <c r="AL105" s="266" t="s">
        <v>1647</v>
      </c>
      <c r="AM105" s="266" t="s">
        <v>1647</v>
      </c>
      <c r="AO105" s="266" t="s">
        <v>1865</v>
      </c>
      <c r="AP105" s="266" t="s">
        <v>1865</v>
      </c>
      <c r="AQ105" s="266" t="s">
        <v>1865</v>
      </c>
      <c r="AS105" s="266" t="s">
        <v>1950</v>
      </c>
      <c r="AT105" s="266" t="s">
        <v>1950</v>
      </c>
      <c r="AU105" s="266" t="s">
        <v>1950</v>
      </c>
      <c r="AW105" s="266" t="s">
        <v>2072</v>
      </c>
      <c r="AX105" s="266" t="s">
        <v>2072</v>
      </c>
      <c r="AY105" s="266" t="s">
        <v>2072</v>
      </c>
      <c r="BB105" s="266" t="s">
        <v>2155</v>
      </c>
      <c r="BC105" s="266" t="s">
        <v>2155</v>
      </c>
    </row>
    <row r="106" spans="5:62" s="266" customFormat="1" ht="14.25" customHeight="1" x14ac:dyDescent="0.2">
      <c r="E106" s="840">
        <f>F106</f>
        <v>2012</v>
      </c>
      <c r="F106" s="840">
        <f>G106</f>
        <v>2012</v>
      </c>
      <c r="G106" s="840">
        <f>H106</f>
        <v>2012</v>
      </c>
      <c r="H106" s="840">
        <f>I106-1</f>
        <v>2012</v>
      </c>
      <c r="I106" s="840">
        <f>J106</f>
        <v>2013</v>
      </c>
      <c r="J106" s="840">
        <f>K106</f>
        <v>2013</v>
      </c>
      <c r="K106" s="840">
        <f>L106</f>
        <v>2013</v>
      </c>
      <c r="L106" s="840">
        <f>M106-1</f>
        <v>2013</v>
      </c>
      <c r="M106" s="840">
        <f>N106</f>
        <v>2014</v>
      </c>
      <c r="N106" s="840">
        <f>O106</f>
        <v>2014</v>
      </c>
      <c r="O106" s="840">
        <f>P106</f>
        <v>2014</v>
      </c>
      <c r="P106" s="840">
        <f>Q106-1</f>
        <v>2014</v>
      </c>
      <c r="Q106" s="840">
        <f>R106</f>
        <v>2015</v>
      </c>
      <c r="R106" s="840">
        <f>S106</f>
        <v>2015</v>
      </c>
      <c r="S106" s="840">
        <f>T106</f>
        <v>2015</v>
      </c>
      <c r="T106" s="840">
        <f>U106-1</f>
        <v>2015</v>
      </c>
      <c r="U106" s="840">
        <f>V106</f>
        <v>2016</v>
      </c>
      <c r="V106" s="840">
        <f>W106</f>
        <v>2016</v>
      </c>
      <c r="W106" s="840">
        <f>X106</f>
        <v>2016</v>
      </c>
      <c r="X106" s="840">
        <f>Y106-1</f>
        <v>2016</v>
      </c>
      <c r="Y106" s="840">
        <f>Z106</f>
        <v>2017</v>
      </c>
      <c r="Z106" s="840">
        <f>AA106</f>
        <v>2017</v>
      </c>
      <c r="AA106" s="840">
        <f>AB106</f>
        <v>2017</v>
      </c>
      <c r="AB106" s="840">
        <f>AC106-1</f>
        <v>2017</v>
      </c>
      <c r="AC106" s="840">
        <f>AD106</f>
        <v>2018</v>
      </c>
      <c r="AD106" s="840">
        <f>AE106</f>
        <v>2018</v>
      </c>
      <c r="AE106" s="840">
        <f>AF106</f>
        <v>2018</v>
      </c>
      <c r="AF106" s="840">
        <f>AG106-1</f>
        <v>2018</v>
      </c>
      <c r="AG106" s="841">
        <v>2019</v>
      </c>
      <c r="AH106" s="841">
        <v>2019</v>
      </c>
      <c r="AI106" s="841">
        <v>2019</v>
      </c>
      <c r="AJ106" s="841">
        <v>2019</v>
      </c>
      <c r="AK106" s="841">
        <v>2020</v>
      </c>
      <c r="AL106" s="841">
        <v>2020</v>
      </c>
      <c r="AM106" s="841">
        <v>2020</v>
      </c>
      <c r="AN106" s="841">
        <v>2020</v>
      </c>
      <c r="AO106" s="841">
        <v>2021</v>
      </c>
      <c r="AP106" s="841">
        <v>2021</v>
      </c>
      <c r="AQ106" s="841">
        <v>2021</v>
      </c>
      <c r="AR106" s="841">
        <v>2021</v>
      </c>
      <c r="AS106" s="841">
        <v>2022</v>
      </c>
      <c r="AT106" s="841">
        <v>2022</v>
      </c>
      <c r="AU106" s="841">
        <v>2022</v>
      </c>
      <c r="AV106" s="841">
        <v>2022</v>
      </c>
      <c r="AW106" s="841">
        <v>2023</v>
      </c>
      <c r="AX106" s="841">
        <v>2023</v>
      </c>
      <c r="AY106" s="841">
        <v>2023</v>
      </c>
      <c r="AZ106" s="841">
        <v>2023</v>
      </c>
      <c r="BA106" s="841">
        <v>2024</v>
      </c>
      <c r="BB106" s="841">
        <v>2024</v>
      </c>
      <c r="BC106" s="841">
        <v>2024</v>
      </c>
      <c r="BD106" s="841"/>
      <c r="BE106" s="841"/>
      <c r="BF106" s="841">
        <v>2024</v>
      </c>
      <c r="BG106" s="841">
        <v>2024</v>
      </c>
      <c r="BH106" s="841">
        <v>2024</v>
      </c>
      <c r="BI106" s="841">
        <v>2024</v>
      </c>
      <c r="BJ106" s="841">
        <v>2024</v>
      </c>
    </row>
    <row r="107" spans="5:62" ht="14.25" customHeight="1" x14ac:dyDescent="0.2">
      <c r="E107" s="839"/>
      <c r="F107" s="839"/>
      <c r="G107" s="839"/>
      <c r="H107" s="839"/>
      <c r="I107" s="839"/>
      <c r="J107" s="839"/>
      <c r="K107" s="839"/>
      <c r="L107" s="839"/>
      <c r="M107" s="839"/>
      <c r="N107" s="839"/>
      <c r="O107" s="839"/>
      <c r="P107" s="839"/>
      <c r="Q107" s="839"/>
      <c r="R107" s="839"/>
      <c r="S107" s="839"/>
      <c r="T107" s="839"/>
      <c r="U107" s="839"/>
      <c r="V107" s="839"/>
      <c r="W107" s="839"/>
      <c r="X107" s="839"/>
      <c r="Y107" s="839"/>
      <c r="Z107" s="839"/>
      <c r="AA107" s="839"/>
      <c r="AB107" s="839"/>
      <c r="AC107" s="839"/>
      <c r="AD107" s="839"/>
      <c r="AE107" s="839"/>
      <c r="AF107" s="839"/>
      <c r="AG107" s="839"/>
      <c r="AH107" s="839"/>
      <c r="AI107" s="839"/>
      <c r="AJ107" s="839"/>
      <c r="AK107" s="839"/>
      <c r="AL107" s="839"/>
      <c r="AM107" s="839"/>
      <c r="AN107" s="839"/>
      <c r="AO107" s="839"/>
      <c r="AP107" s="839"/>
      <c r="AQ107" s="839"/>
      <c r="AR107" s="839"/>
      <c r="AS107" s="839"/>
      <c r="AT107" s="807"/>
      <c r="AU107" s="807"/>
      <c r="AV107" s="267"/>
      <c r="AW107" s="267"/>
      <c r="AX107" s="267"/>
      <c r="AY107" s="1186"/>
      <c r="AZ107" s="1186"/>
      <c r="BA107" s="1186"/>
      <c r="BB107" s="1186"/>
      <c r="BC107" s="1186"/>
      <c r="BD107" s="1186"/>
      <c r="BE107" s="1186"/>
      <c r="BF107" s="1186"/>
      <c r="BG107" s="1186"/>
      <c r="BH107" s="1186"/>
      <c r="BI107" s="1186"/>
    </row>
    <row r="108" spans="5:62" ht="14.25" customHeight="1" x14ac:dyDescent="0.2">
      <c r="AT108" s="926"/>
      <c r="AU108" s="926"/>
      <c r="AV108" s="926"/>
      <c r="AW108" s="926"/>
      <c r="AX108" s="926"/>
      <c r="AY108" s="187"/>
      <c r="AZ108" s="187"/>
      <c r="BA108" s="187"/>
      <c r="BB108" s="187"/>
      <c r="BC108" s="187"/>
      <c r="BD108" s="187"/>
      <c r="BE108" s="187"/>
      <c r="BF108" s="187"/>
      <c r="BG108" s="187"/>
      <c r="BH108" s="187"/>
      <c r="BI108" s="187"/>
    </row>
    <row r="109" spans="5:62" ht="14.25" customHeight="1" x14ac:dyDescent="0.2">
      <c r="AT109" s="926"/>
      <c r="AU109" s="926"/>
      <c r="AV109" s="926"/>
      <c r="AW109" s="926"/>
      <c r="AX109" s="926"/>
      <c r="AY109" s="187"/>
      <c r="AZ109" s="187"/>
      <c r="BA109" s="187"/>
      <c r="BB109" s="187"/>
      <c r="BC109" s="187"/>
      <c r="BD109" s="187"/>
      <c r="BE109" s="187"/>
      <c r="BF109" s="187"/>
      <c r="BG109" s="187"/>
      <c r="BH109" s="187"/>
      <c r="BI109" s="187"/>
    </row>
    <row r="110" spans="5:62" ht="14.25" customHeight="1" x14ac:dyDescent="0.2">
      <c r="AT110" s="926"/>
      <c r="AU110" s="926"/>
      <c r="AV110" s="926"/>
      <c r="AW110" s="926"/>
      <c r="AX110" s="926"/>
      <c r="AY110" s="926"/>
      <c r="AZ110" s="926"/>
      <c r="BA110" s="926"/>
      <c r="BB110" s="926"/>
      <c r="BC110" s="926"/>
      <c r="BD110" s="926"/>
      <c r="BE110" s="926"/>
      <c r="BF110" s="926"/>
      <c r="BG110" s="926"/>
      <c r="BH110" s="926"/>
      <c r="BI110" s="926"/>
    </row>
    <row r="111" spans="5:62" ht="14.25" customHeight="1" x14ac:dyDescent="0.2">
      <c r="AT111" s="926"/>
      <c r="AU111" s="926"/>
      <c r="AV111" s="926"/>
      <c r="AW111" s="926"/>
      <c r="AX111" s="926"/>
      <c r="AY111" s="926"/>
      <c r="AZ111" s="926"/>
      <c r="BA111" s="926"/>
      <c r="BB111" s="926"/>
      <c r="BC111" s="926"/>
      <c r="BD111" s="926"/>
      <c r="BE111" s="926"/>
      <c r="BF111" s="926"/>
      <c r="BG111" s="926"/>
      <c r="BH111" s="926"/>
      <c r="BI111" s="926"/>
    </row>
    <row r="112" spans="5:62" ht="14.25" customHeight="1" x14ac:dyDescent="0.2">
      <c r="AT112" s="926"/>
      <c r="AU112" s="926"/>
      <c r="AV112" s="926"/>
      <c r="AW112" s="926"/>
      <c r="AX112" s="926"/>
      <c r="AY112" s="926"/>
      <c r="AZ112" s="926"/>
      <c r="BA112" s="926"/>
      <c r="BB112" s="926"/>
      <c r="BC112" s="926"/>
      <c r="BD112" s="926"/>
      <c r="BE112" s="926"/>
      <c r="BF112" s="926"/>
      <c r="BG112" s="926"/>
      <c r="BH112" s="926"/>
      <c r="BI112" s="926"/>
    </row>
  </sheetData>
  <mergeCells count="1">
    <mergeCell ref="O3:O4"/>
  </mergeCells>
  <pageMargins left="0.78740157499999996" right="0.78740157499999996" top="0.984251969" bottom="0.984251969" header="0.49212598499999999" footer="0.49212598499999999"/>
  <pageSetup paperSize="9" scale="20"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4">
    <tabColor theme="9"/>
    <pageSetUpPr autoPageBreaks="0" fitToPage="1"/>
  </sheetPr>
  <dimension ref="A1:BM87"/>
  <sheetViews>
    <sheetView showGridLines="0" zoomScaleNormal="100" workbookViewId="0">
      <pane xSplit="4" ySplit="5" topLeftCell="AX6" activePane="bottomRight" state="frozen"/>
      <selection activeCell="F56" sqref="F56"/>
      <selection pane="topRight" activeCell="F56" sqref="F56"/>
      <selection pane="bottomLeft" activeCell="F56" sqref="F56"/>
      <selection pane="bottomRight" activeCell="BJ10" sqref="BG10:BJ10"/>
    </sheetView>
  </sheetViews>
  <sheetFormatPr defaultColWidth="9.140625" defaultRowHeight="12.75" outlineLevelRow="1" x14ac:dyDescent="0.2"/>
  <cols>
    <col min="1" max="2" width="9.140625" style="1" hidden="1" customWidth="1"/>
    <col min="3" max="3" width="1.42578125" style="1" customWidth="1"/>
    <col min="4" max="4" width="46.42578125" style="1" customWidth="1"/>
    <col min="5" max="34" width="9.5703125" style="1" customWidth="1"/>
    <col min="35" max="35" width="9.42578125" style="1" customWidth="1"/>
    <col min="36" max="61" width="9.5703125" style="1" customWidth="1"/>
    <col min="62" max="16384" width="9.140625" style="1"/>
  </cols>
  <sheetData>
    <row r="1" spans="1:63" ht="7.5" customHeight="1" x14ac:dyDescent="0.2">
      <c r="E1" s="266" t="s">
        <v>7</v>
      </c>
      <c r="F1" s="266" t="str">
        <f t="shared" ref="F1:AH1" si="0">IF(LEFT(E1,1)="4","1T"&amp;RIGHT(E1,2)+1,LEFT(E1,1)+1&amp;RIGHT(E1,3))</f>
        <v>2T12</v>
      </c>
      <c r="G1" s="266" t="str">
        <f t="shared" si="0"/>
        <v>3T12</v>
      </c>
      <c r="H1" s="266" t="str">
        <f t="shared" si="0"/>
        <v>4T12</v>
      </c>
      <c r="I1" s="266" t="str">
        <f t="shared" si="0"/>
        <v>1T13</v>
      </c>
      <c r="J1" s="266" t="str">
        <f t="shared" si="0"/>
        <v>2T13</v>
      </c>
      <c r="K1" s="266" t="str">
        <f t="shared" si="0"/>
        <v>3T13</v>
      </c>
      <c r="L1" s="266" t="str">
        <f t="shared" si="0"/>
        <v>4T13</v>
      </c>
      <c r="M1" s="266" t="str">
        <f t="shared" si="0"/>
        <v>1T14</v>
      </c>
      <c r="N1" s="266" t="str">
        <f t="shared" si="0"/>
        <v>2T14</v>
      </c>
      <c r="O1" s="266" t="str">
        <f t="shared" si="0"/>
        <v>3T14</v>
      </c>
      <c r="P1" s="266" t="str">
        <f t="shared" si="0"/>
        <v>4T14</v>
      </c>
      <c r="Q1" s="266" t="str">
        <f t="shared" si="0"/>
        <v>1T15</v>
      </c>
      <c r="R1" s="266" t="str">
        <f t="shared" si="0"/>
        <v>2T15</v>
      </c>
      <c r="S1" s="266" t="str">
        <f t="shared" si="0"/>
        <v>3T15</v>
      </c>
      <c r="T1" s="266" t="str">
        <f t="shared" si="0"/>
        <v>4T15</v>
      </c>
      <c r="U1" s="266" t="str">
        <f t="shared" si="0"/>
        <v>1T16</v>
      </c>
      <c r="V1" s="266" t="str">
        <f t="shared" si="0"/>
        <v>2T16</v>
      </c>
      <c r="W1" s="266" t="str">
        <f t="shared" si="0"/>
        <v>3T16</v>
      </c>
      <c r="X1" s="266" t="str">
        <f t="shared" si="0"/>
        <v>4T16</v>
      </c>
      <c r="Y1" s="266" t="str">
        <f t="shared" si="0"/>
        <v>1T17</v>
      </c>
      <c r="Z1" s="266" t="str">
        <f t="shared" si="0"/>
        <v>2T17</v>
      </c>
      <c r="AA1" s="266" t="str">
        <f t="shared" si="0"/>
        <v>3T17</v>
      </c>
      <c r="AB1" s="266" t="str">
        <f t="shared" si="0"/>
        <v>4T17</v>
      </c>
      <c r="AC1" s="266" t="str">
        <f t="shared" si="0"/>
        <v>1T18</v>
      </c>
      <c r="AD1" s="266" t="str">
        <f t="shared" si="0"/>
        <v>2T18</v>
      </c>
      <c r="AE1" s="266" t="str">
        <f t="shared" si="0"/>
        <v>3T18</v>
      </c>
      <c r="AF1" s="266" t="str">
        <f t="shared" si="0"/>
        <v>4T18</v>
      </c>
      <c r="AG1" s="266" t="str">
        <f t="shared" si="0"/>
        <v>1T19</v>
      </c>
      <c r="AH1" s="266" t="str">
        <f t="shared" si="0"/>
        <v>2T19</v>
      </c>
      <c r="AI1" s="266" t="str">
        <f t="shared" ref="AI1:AR1" si="1">IF(LEFT(AH1,1)="4","1T"&amp;RIGHT(AH1,2)+1,LEFT(AH1,1)+1&amp;RIGHT(AH1,3))</f>
        <v>3T19</v>
      </c>
      <c r="AJ1" s="266" t="str">
        <f t="shared" si="1"/>
        <v>4T19</v>
      </c>
      <c r="AK1" s="266" t="str">
        <f t="shared" si="1"/>
        <v>1T20</v>
      </c>
      <c r="AL1" s="266" t="str">
        <f t="shared" si="1"/>
        <v>2T20</v>
      </c>
      <c r="AM1" s="266" t="str">
        <f t="shared" si="1"/>
        <v>3T20</v>
      </c>
      <c r="AN1" s="266" t="str">
        <f t="shared" si="1"/>
        <v>4T20</v>
      </c>
      <c r="AO1" s="266" t="str">
        <f t="shared" si="1"/>
        <v>1T21</v>
      </c>
      <c r="AP1" s="266" t="str">
        <f t="shared" si="1"/>
        <v>2T21</v>
      </c>
      <c r="AQ1" s="266" t="str">
        <f t="shared" si="1"/>
        <v>3T21</v>
      </c>
      <c r="AR1" s="266" t="str">
        <f t="shared" si="1"/>
        <v>4T21</v>
      </c>
      <c r="AS1" s="266" t="str">
        <f t="shared" ref="AS1:AZ1" si="2">IF(LEFT(AR1,1)="4","1T"&amp;RIGHT(AR1,2)+1,LEFT(AR1,1)+1&amp;RIGHT(AR1,3))</f>
        <v>1T22</v>
      </c>
      <c r="AT1" s="266" t="str">
        <f t="shared" si="2"/>
        <v>2T22</v>
      </c>
      <c r="AU1" s="266" t="str">
        <f t="shared" si="2"/>
        <v>3T22</v>
      </c>
      <c r="AV1" s="266" t="str">
        <f t="shared" si="2"/>
        <v>4T22</v>
      </c>
      <c r="AW1" s="266" t="str">
        <f t="shared" si="2"/>
        <v>1T23</v>
      </c>
      <c r="AX1" s="266" t="str">
        <f t="shared" si="2"/>
        <v>2T23</v>
      </c>
      <c r="AY1" s="266" t="str">
        <f t="shared" si="2"/>
        <v>3T23</v>
      </c>
      <c r="AZ1" s="266" t="str">
        <f t="shared" si="2"/>
        <v>4T23</v>
      </c>
      <c r="BA1" s="266" t="str">
        <f t="shared" ref="BA1:BJ1" si="3">IF(LEFT(AZ1,1)="4","1T"&amp;RIGHT(AZ1,2)+1,LEFT(AZ1,1)+1&amp;RIGHT(AZ1,3))</f>
        <v>1T24</v>
      </c>
      <c r="BB1" s="266" t="str">
        <f t="shared" si="3"/>
        <v>2T24</v>
      </c>
      <c r="BC1" s="266" t="str">
        <f t="shared" si="3"/>
        <v>3T24</v>
      </c>
      <c r="BD1" s="266" t="str">
        <f t="shared" si="3"/>
        <v>4T24</v>
      </c>
      <c r="BE1" s="266" t="str">
        <f t="shared" si="3"/>
        <v>1T25</v>
      </c>
      <c r="BF1" s="266" t="str">
        <f t="shared" si="3"/>
        <v>2T25</v>
      </c>
      <c r="BG1" s="266" t="str">
        <f t="shared" si="3"/>
        <v>3T25</v>
      </c>
      <c r="BH1" s="266" t="str">
        <f t="shared" si="3"/>
        <v>4T25</v>
      </c>
      <c r="BI1" s="266" t="str">
        <f t="shared" si="3"/>
        <v>1T26</v>
      </c>
      <c r="BJ1" s="266" t="str">
        <f t="shared" si="3"/>
        <v>2T26</v>
      </c>
    </row>
    <row r="2" spans="1:63" ht="12.75" customHeight="1" x14ac:dyDescent="0.2">
      <c r="E2" s="266" t="str">
        <f t="shared" ref="E2:AH2" si="4">SUBSTITUTE(E1,"T","Q")</f>
        <v>1Q12</v>
      </c>
      <c r="F2" s="266" t="str">
        <f t="shared" si="4"/>
        <v>2Q12</v>
      </c>
      <c r="G2" s="266" t="str">
        <f t="shared" si="4"/>
        <v>3Q12</v>
      </c>
      <c r="H2" s="266" t="str">
        <f t="shared" si="4"/>
        <v>4Q12</v>
      </c>
      <c r="I2" s="266" t="str">
        <f t="shared" si="4"/>
        <v>1Q13</v>
      </c>
      <c r="J2" s="266" t="str">
        <f t="shared" si="4"/>
        <v>2Q13</v>
      </c>
      <c r="K2" s="266" t="str">
        <f t="shared" si="4"/>
        <v>3Q13</v>
      </c>
      <c r="L2" s="266" t="str">
        <f t="shared" si="4"/>
        <v>4Q13</v>
      </c>
      <c r="M2" s="266" t="str">
        <f t="shared" si="4"/>
        <v>1Q14</v>
      </c>
      <c r="N2" s="266" t="str">
        <f t="shared" si="4"/>
        <v>2Q14</v>
      </c>
      <c r="O2" s="266" t="str">
        <f t="shared" si="4"/>
        <v>3Q14</v>
      </c>
      <c r="P2" s="266" t="str">
        <f t="shared" si="4"/>
        <v>4Q14</v>
      </c>
      <c r="Q2" s="266" t="str">
        <f t="shared" si="4"/>
        <v>1Q15</v>
      </c>
      <c r="R2" s="266" t="str">
        <f t="shared" si="4"/>
        <v>2Q15</v>
      </c>
      <c r="S2" s="266" t="str">
        <f t="shared" si="4"/>
        <v>3Q15</v>
      </c>
      <c r="T2" s="266" t="str">
        <f t="shared" si="4"/>
        <v>4Q15</v>
      </c>
      <c r="U2" s="266" t="str">
        <f t="shared" si="4"/>
        <v>1Q16</v>
      </c>
      <c r="V2" s="266" t="str">
        <f t="shared" si="4"/>
        <v>2Q16</v>
      </c>
      <c r="W2" s="266" t="str">
        <f t="shared" si="4"/>
        <v>3Q16</v>
      </c>
      <c r="X2" s="266" t="str">
        <f t="shared" si="4"/>
        <v>4Q16</v>
      </c>
      <c r="Y2" s="266" t="str">
        <f t="shared" si="4"/>
        <v>1Q17</v>
      </c>
      <c r="Z2" s="266" t="str">
        <f t="shared" si="4"/>
        <v>2Q17</v>
      </c>
      <c r="AA2" s="266" t="str">
        <f t="shared" si="4"/>
        <v>3Q17</v>
      </c>
      <c r="AB2" s="266" t="str">
        <f t="shared" si="4"/>
        <v>4Q17</v>
      </c>
      <c r="AC2" s="266" t="str">
        <f t="shared" si="4"/>
        <v>1Q18</v>
      </c>
      <c r="AD2" s="266" t="str">
        <f t="shared" si="4"/>
        <v>2Q18</v>
      </c>
      <c r="AE2" s="266" t="str">
        <f t="shared" si="4"/>
        <v>3Q18</v>
      </c>
      <c r="AF2" s="266" t="str">
        <f t="shared" si="4"/>
        <v>4Q18</v>
      </c>
      <c r="AG2" s="266" t="str">
        <f t="shared" si="4"/>
        <v>1Q19</v>
      </c>
      <c r="AH2" s="266" t="str">
        <f t="shared" si="4"/>
        <v>2Q19</v>
      </c>
      <c r="AI2" s="266" t="str">
        <f t="shared" ref="AI2:AT2" si="5">SUBSTITUTE(AI1,"T","Q")</f>
        <v>3Q19</v>
      </c>
      <c r="AJ2" s="266" t="str">
        <f t="shared" si="5"/>
        <v>4Q19</v>
      </c>
      <c r="AK2" s="266" t="str">
        <f t="shared" si="5"/>
        <v>1Q20</v>
      </c>
      <c r="AL2" s="266" t="str">
        <f t="shared" si="5"/>
        <v>2Q20</v>
      </c>
      <c r="AM2" s="266" t="str">
        <f t="shared" si="5"/>
        <v>3Q20</v>
      </c>
      <c r="AN2" s="266" t="str">
        <f t="shared" si="5"/>
        <v>4Q20</v>
      </c>
      <c r="AO2" s="266" t="str">
        <f t="shared" si="5"/>
        <v>1Q21</v>
      </c>
      <c r="AP2" s="266" t="str">
        <f t="shared" si="5"/>
        <v>2Q21</v>
      </c>
      <c r="AQ2" s="266" t="str">
        <f t="shared" si="5"/>
        <v>3Q21</v>
      </c>
      <c r="AR2" s="266" t="str">
        <f t="shared" si="5"/>
        <v>4Q21</v>
      </c>
      <c r="AS2" s="266" t="str">
        <f t="shared" si="5"/>
        <v>1Q22</v>
      </c>
      <c r="AT2" s="266" t="str">
        <f t="shared" si="5"/>
        <v>2Q22</v>
      </c>
      <c r="AU2" s="266" t="str">
        <f t="shared" ref="AU2:BA2" si="6">SUBSTITUTE(AU1,"T","Q")</f>
        <v>3Q22</v>
      </c>
      <c r="AV2" s="266" t="str">
        <f t="shared" si="6"/>
        <v>4Q22</v>
      </c>
      <c r="AW2" s="266" t="str">
        <f t="shared" si="6"/>
        <v>1Q23</v>
      </c>
      <c r="AX2" s="266" t="str">
        <f t="shared" si="6"/>
        <v>2Q23</v>
      </c>
      <c r="AY2" s="266" t="str">
        <f t="shared" si="6"/>
        <v>3Q23</v>
      </c>
      <c r="AZ2" s="266" t="str">
        <f t="shared" si="6"/>
        <v>4Q23</v>
      </c>
      <c r="BA2" s="266" t="str">
        <f t="shared" si="6"/>
        <v>1Q24</v>
      </c>
      <c r="BB2" s="266" t="str">
        <f t="shared" ref="BB2:BJ2" si="7">SUBSTITUTE(BB1,"T","Q")</f>
        <v>2Q24</v>
      </c>
      <c r="BC2" s="266" t="str">
        <f t="shared" si="7"/>
        <v>3Q24</v>
      </c>
      <c r="BD2" s="266" t="str">
        <f t="shared" si="7"/>
        <v>4Q24</v>
      </c>
      <c r="BE2" s="266" t="str">
        <f t="shared" si="7"/>
        <v>1Q25</v>
      </c>
      <c r="BF2" s="266" t="str">
        <f t="shared" si="7"/>
        <v>2Q25</v>
      </c>
      <c r="BG2" s="266" t="str">
        <f t="shared" si="7"/>
        <v>3Q25</v>
      </c>
      <c r="BH2" s="266" t="str">
        <f t="shared" si="7"/>
        <v>4Q25</v>
      </c>
      <c r="BI2" s="266" t="str">
        <f>SUBSTITUTE(BI1,"T","Q")</f>
        <v>1Q26</v>
      </c>
      <c r="BJ2" s="266" t="str">
        <f t="shared" si="7"/>
        <v>2Q26</v>
      </c>
    </row>
    <row r="3" spans="1:63" s="266" customFormat="1" ht="12.75" customHeight="1" x14ac:dyDescent="0.2">
      <c r="O3" s="1250" t="s">
        <v>552</v>
      </c>
      <c r="P3" s="266" t="s">
        <v>551</v>
      </c>
      <c r="Q3" s="267">
        <v>-3086.91039</v>
      </c>
      <c r="R3" s="267">
        <v>-3258.3303299999998</v>
      </c>
      <c r="S3" s="267">
        <v>-3012.4188899999999</v>
      </c>
      <c r="T3" s="267">
        <v>-4110.1755300000004</v>
      </c>
      <c r="U3" s="267">
        <v>-3114.0270599999999</v>
      </c>
      <c r="V3" s="267">
        <v>-5456.2800399999996</v>
      </c>
      <c r="W3" s="267">
        <v>-3436.9309800000001</v>
      </c>
      <c r="X3" s="267">
        <v>-3599.9867299999996</v>
      </c>
      <c r="Y3" s="267">
        <v>-3188.2748700000002</v>
      </c>
      <c r="Z3" s="267">
        <v>-3252.4979399999997</v>
      </c>
      <c r="AA3" s="267">
        <v>-3392.6533399999998</v>
      </c>
      <c r="AB3" s="267">
        <v>-3533.3530499999997</v>
      </c>
      <c r="AC3" s="267">
        <v>-3018.6289700000002</v>
      </c>
      <c r="AD3" s="267"/>
      <c r="AE3" s="807"/>
      <c r="AF3" s="807"/>
      <c r="AG3" s="807"/>
      <c r="AH3" s="807"/>
      <c r="AI3" s="807"/>
      <c r="AJ3" s="807"/>
      <c r="AK3" s="807"/>
      <c r="AL3" s="807"/>
      <c r="AM3" s="807"/>
      <c r="AN3" s="839"/>
      <c r="AO3" s="839"/>
      <c r="AP3" s="839"/>
      <c r="AQ3" s="839"/>
      <c r="AR3" s="839"/>
      <c r="AS3" s="839"/>
      <c r="AT3" s="839"/>
      <c r="AU3" s="839"/>
      <c r="AV3" s="839"/>
      <c r="AW3" s="839"/>
      <c r="AX3" s="839"/>
      <c r="AY3" s="839"/>
      <c r="AZ3" s="839"/>
      <c r="BA3" s="839"/>
      <c r="BB3" s="839"/>
      <c r="BC3" s="839"/>
      <c r="BD3" s="839"/>
      <c r="BE3" s="839"/>
      <c r="BF3" s="839"/>
      <c r="BG3" s="839"/>
      <c r="BH3" s="839"/>
      <c r="BI3" s="839"/>
      <c r="BJ3" s="839"/>
    </row>
    <row r="4" spans="1:63" s="266" customFormat="1" ht="12.75" customHeight="1" x14ac:dyDescent="0.2">
      <c r="A4" s="266" t="s">
        <v>337</v>
      </c>
      <c r="B4" s="266" t="s">
        <v>689</v>
      </c>
      <c r="C4" s="636"/>
      <c r="D4" s="634" t="str">
        <f>IF([1]RENAME!$H$3=1,B4,A4)</f>
        <v>(Em R$ Mil)</v>
      </c>
      <c r="E4" s="637"/>
      <c r="F4" s="637"/>
      <c r="G4" s="637"/>
      <c r="H4" s="637"/>
      <c r="I4" s="545"/>
      <c r="J4" s="637"/>
      <c r="K4" s="637"/>
      <c r="L4" s="637"/>
      <c r="M4" s="637"/>
      <c r="N4" s="545"/>
      <c r="O4" s="1250"/>
      <c r="P4" s="266" t="s">
        <v>180</v>
      </c>
      <c r="Q4" s="268">
        <v>-188.08960999999999</v>
      </c>
      <c r="R4" s="268">
        <v>-534.66967000000022</v>
      </c>
      <c r="S4" s="268">
        <v>-371.58111000000008</v>
      </c>
      <c r="T4" s="268">
        <v>-103.08273000000001</v>
      </c>
      <c r="U4" s="268">
        <v>-104.61798999999999</v>
      </c>
      <c r="V4" s="268">
        <v>-102.92251999999999</v>
      </c>
      <c r="W4" s="268">
        <v>-100.68328</v>
      </c>
      <c r="X4" s="268">
        <v>-97.515969999999996</v>
      </c>
      <c r="Y4" s="268">
        <v>-87.390539999999987</v>
      </c>
      <c r="Z4" s="268">
        <v>-87.236190000000008</v>
      </c>
      <c r="AA4" s="268">
        <v>-88.739059999999995</v>
      </c>
      <c r="AB4" s="268">
        <v>-98.960570000000004</v>
      </c>
      <c r="AC4" s="268">
        <v>-79.525570000000002</v>
      </c>
      <c r="AD4" s="268"/>
      <c r="AE4" s="268"/>
      <c r="AF4" s="268"/>
      <c r="AG4" s="714" t="s">
        <v>1423</v>
      </c>
      <c r="AH4" s="755"/>
      <c r="AI4" s="755"/>
      <c r="AJ4" s="755"/>
      <c r="AK4" s="755"/>
      <c r="AL4" s="755"/>
      <c r="AM4" s="755"/>
      <c r="AN4" s="755"/>
      <c r="AO4" s="755"/>
      <c r="AP4" s="755"/>
      <c r="AQ4" s="755"/>
      <c r="AR4" s="755"/>
      <c r="AS4" s="755"/>
      <c r="AT4" s="755"/>
      <c r="AU4" s="755"/>
      <c r="AV4" s="755"/>
      <c r="AW4" s="755"/>
      <c r="AX4" s="755"/>
      <c r="AY4" s="755"/>
      <c r="AZ4" s="755"/>
      <c r="BA4" s="755"/>
      <c r="BB4" s="755"/>
      <c r="BC4" s="755"/>
      <c r="BD4" s="755"/>
      <c r="BE4" s="755"/>
      <c r="BF4" s="755"/>
      <c r="BG4" s="755"/>
      <c r="BH4" s="755"/>
      <c r="BI4" s="755"/>
      <c r="BJ4" s="755"/>
    </row>
    <row r="5" spans="1:63" ht="12.75" customHeight="1" x14ac:dyDescent="0.2">
      <c r="C5" s="22"/>
      <c r="D5" s="113"/>
      <c r="E5" s="247" t="str">
        <f>IF([1]RENAME!$H$3=1,E2,E1)</f>
        <v>1T12</v>
      </c>
      <c r="F5" s="114" t="str">
        <f>IF([1]RENAME!$H$3=1,F2,F1)</f>
        <v>2T12</v>
      </c>
      <c r="G5" s="114" t="str">
        <f>IF([1]RENAME!$H$3=1,G2,G1)</f>
        <v>3T12</v>
      </c>
      <c r="H5" s="114" t="str">
        <f>IF([1]RENAME!$H$3=1,H2,H1)</f>
        <v>4T12</v>
      </c>
      <c r="I5" s="115" t="str">
        <f>IF([1]RENAME!$H$3=1,I2,I1)</f>
        <v>1T13</v>
      </c>
      <c r="J5" s="115" t="str">
        <f>IF([1]RENAME!$H$3=1,J2,J1)</f>
        <v>2T13</v>
      </c>
      <c r="K5" s="115" t="str">
        <f>IF([1]RENAME!$H$3=1,K2,K1)</f>
        <v>3T13</v>
      </c>
      <c r="L5" s="115" t="str">
        <f>IF([1]RENAME!$H$3=1,L2,L1)</f>
        <v>4T13</v>
      </c>
      <c r="M5" s="115" t="str">
        <f>IF([1]RENAME!$H$3=1,M2,M1)</f>
        <v>1T14</v>
      </c>
      <c r="N5" s="116" t="str">
        <f>IF([1]RENAME!$H$3=1,N2,N1)</f>
        <v>2T14</v>
      </c>
      <c r="O5" s="116" t="str">
        <f>IF([1]RENAME!$H$3=1,O2,O1)</f>
        <v>3T14</v>
      </c>
      <c r="P5" s="115" t="str">
        <f>IF([1]RENAME!$H$3=1,P2,P1)</f>
        <v>4T14</v>
      </c>
      <c r="Q5" s="115" t="str">
        <f>IF([1]RENAME!$H$3=1,Q2,Q1)</f>
        <v>1T15</v>
      </c>
      <c r="R5" s="115" t="str">
        <f>IF([1]RENAME!$H$3=1,R2,R1)</f>
        <v>2T15</v>
      </c>
      <c r="S5" s="115" t="str">
        <f>IF([1]RENAME!$H$3=1,S2,S1)</f>
        <v>3T15</v>
      </c>
      <c r="T5" s="115" t="str">
        <f>IF([1]RENAME!$H$3=1,T2,T1)</f>
        <v>4T15</v>
      </c>
      <c r="U5" s="115" t="str">
        <f>IF([1]RENAME!$H$3=1,U2,U1)</f>
        <v>1T16</v>
      </c>
      <c r="V5" s="115" t="str">
        <f>IF([1]RENAME!$H$3=1,V2,V1)</f>
        <v>2T16</v>
      </c>
      <c r="W5" s="115" t="str">
        <f>IF([1]RENAME!$H$3=1,W2,W1)</f>
        <v>3T16</v>
      </c>
      <c r="X5" s="115" t="str">
        <f>IF([1]RENAME!$H$3=1,X2,X1)</f>
        <v>4T16</v>
      </c>
      <c r="Y5" s="115" t="str">
        <f>IF([1]RENAME!$H$3=1,Y2,Y1)</f>
        <v>1T17</v>
      </c>
      <c r="Z5" s="115" t="str">
        <f>IF([1]RENAME!$H$3=1,Z2,Z1)</f>
        <v>2T17</v>
      </c>
      <c r="AA5" s="115" t="str">
        <f>IF([1]RENAME!$H$3=1,AA2,AA1)</f>
        <v>3T17</v>
      </c>
      <c r="AB5" s="115" t="str">
        <f>IF([1]RENAME!$H$3=1,AB2,AB1)</f>
        <v>4T17</v>
      </c>
      <c r="AC5" s="115" t="str">
        <f>IF([1]RENAME!$H$3=1,AC2,AC1)</f>
        <v>1T18</v>
      </c>
      <c r="AD5" s="115" t="str">
        <f>IF([1]RENAME!$H$3=1,AD2,AD1)</f>
        <v>2T18</v>
      </c>
      <c r="AE5" s="115" t="str">
        <f>IF([1]RENAME!$H$3=1,AE2,AE1)</f>
        <v>3T18</v>
      </c>
      <c r="AF5" s="115" t="str">
        <f>IF([1]RENAME!$H$3=1,AF2,AF1)</f>
        <v>4T18</v>
      </c>
      <c r="AG5" s="222" t="str">
        <f>IF([1]RENAME!$H$3=1,AG2,AG1)</f>
        <v>1T19</v>
      </c>
      <c r="AH5" s="115" t="str">
        <f>IF([1]RENAME!$H$3=1,AH2,AH1)</f>
        <v>2T19</v>
      </c>
      <c r="AI5" s="115" t="str">
        <f>IF([1]RENAME!$H$3=1,AI2,AI1)</f>
        <v>3T19</v>
      </c>
      <c r="AJ5" s="115" t="str">
        <f>IF([1]RENAME!$H$3=1,AJ2,AJ1)</f>
        <v>4T19</v>
      </c>
      <c r="AK5" s="115" t="str">
        <f>IF([1]RENAME!$H$3=1,AK2,AK1)</f>
        <v>1T20</v>
      </c>
      <c r="AL5" s="115" t="str">
        <f>IF([1]RENAME!$H$3=1,AL2,AL1)</f>
        <v>2T20</v>
      </c>
      <c r="AM5" s="115" t="str">
        <f>IF([1]RENAME!$H$3=1,AM2,AM1)</f>
        <v>3T20</v>
      </c>
      <c r="AN5" s="115" t="str">
        <f>IF([1]RENAME!$H$3=1,AN2,AN1)</f>
        <v>4T20</v>
      </c>
      <c r="AO5" s="115" t="str">
        <f>IF([1]RENAME!$H$3=1,AO2,AO1)</f>
        <v>1T21</v>
      </c>
      <c r="AP5" s="115" t="str">
        <f>IF([1]RENAME!$H$3=1,AP2,AP1)</f>
        <v>2T21</v>
      </c>
      <c r="AQ5" s="115" t="str">
        <f>IF([1]RENAME!$H$3=1,AQ2,AQ1)</f>
        <v>3T21</v>
      </c>
      <c r="AR5" s="115" t="str">
        <f>IF([1]RENAME!$H$3=1,AR2,AR1)</f>
        <v>4T21</v>
      </c>
      <c r="AS5" s="115" t="str">
        <f>IF([1]RENAME!$H$3=1,AS2,AS1)</f>
        <v>1T22</v>
      </c>
      <c r="AT5" s="115" t="str">
        <f>IF([1]RENAME!$H$3=1,AT2,AT1)</f>
        <v>2T22</v>
      </c>
      <c r="AU5" s="115" t="str">
        <f>IF([1]RENAME!$H$3=1,AU2,AU1)</f>
        <v>3T22</v>
      </c>
      <c r="AV5" s="115" t="str">
        <f>IF([1]RENAME!$H$3=1,AV2,AV1)</f>
        <v>4T22</v>
      </c>
      <c r="AW5" s="115" t="str">
        <f>IF([1]RENAME!$H$3=1,AW2,AW1)</f>
        <v>1T23</v>
      </c>
      <c r="AX5" s="115" t="str">
        <f>IF([1]RENAME!$H$3=1,AX2,AX1)</f>
        <v>2T23</v>
      </c>
      <c r="AY5" s="115" t="str">
        <f>IF([1]RENAME!$H$3=1,AY2,AY1)</f>
        <v>3T23</v>
      </c>
      <c r="AZ5" s="115" t="str">
        <f>IF([1]RENAME!$H$3=1,AZ2,AZ1)</f>
        <v>4T23</v>
      </c>
      <c r="BA5" s="115" t="str">
        <f>IF([1]RENAME!$H$3=1,BA2,BA1)</f>
        <v>1T24</v>
      </c>
      <c r="BB5" s="115" t="str">
        <f>IF([1]RENAME!$H$3=1,BB2,BB1)</f>
        <v>2T24</v>
      </c>
      <c r="BC5" s="115" t="str">
        <f>IF([1]RENAME!$H$3=1,BC2,BC1)</f>
        <v>3T24</v>
      </c>
      <c r="BD5" s="115" t="str">
        <f>IF([1]RENAME!$H$3=1,BD2,BD1)</f>
        <v>4T24</v>
      </c>
      <c r="BE5" s="115" t="str">
        <f>IF([1]RENAME!$H$3=1,BE2,BE1)</f>
        <v>1T25</v>
      </c>
      <c r="BF5" s="115" t="str">
        <f>IF([1]RENAME!$H$3=1,BF2,BF1)</f>
        <v>2T25</v>
      </c>
      <c r="BG5" s="115" t="str">
        <f>IF([1]RENAME!$H$3=1,BG2,BG1)</f>
        <v>3T25</v>
      </c>
      <c r="BH5" s="115" t="str">
        <f>IF([1]RENAME!$H$3=1,BH2,BH1)</f>
        <v>4T25</v>
      </c>
      <c r="BI5" s="247" t="str">
        <f>IF([1]RENAME!$H$3=1,BI2,BI1)</f>
        <v>1T26</v>
      </c>
      <c r="BJ5" s="115" t="str">
        <f>IF([1]RENAME!$H$3=1,BJ2,BJ1)</f>
        <v>2T26</v>
      </c>
    </row>
    <row r="6" spans="1:63" ht="14.1" customHeight="1" x14ac:dyDescent="0.2">
      <c r="A6" s="1" t="s">
        <v>12</v>
      </c>
      <c r="B6" s="1" t="s">
        <v>737</v>
      </c>
      <c r="C6" s="23"/>
      <c r="D6" s="117" t="str">
        <f>IF([1]RENAME!$H$3=1,B6,A6)</f>
        <v>Armazenagem</v>
      </c>
      <c r="E6" s="118">
        <v>18820</v>
      </c>
      <c r="F6" s="118">
        <v>23279</v>
      </c>
      <c r="G6" s="118">
        <v>26048</v>
      </c>
      <c r="H6" s="118">
        <v>22396</v>
      </c>
      <c r="I6" s="118">
        <v>17817</v>
      </c>
      <c r="J6" s="118">
        <v>19165</v>
      </c>
      <c r="K6" s="118">
        <v>21408</v>
      </c>
      <c r="L6" s="118">
        <v>22529</v>
      </c>
      <c r="M6" s="118">
        <v>20638</v>
      </c>
      <c r="N6" s="118">
        <v>22144</v>
      </c>
      <c r="O6" s="118">
        <v>22276</v>
      </c>
      <c r="P6" s="118">
        <v>21465</v>
      </c>
      <c r="Q6" s="118">
        <v>17464</v>
      </c>
      <c r="R6" s="118">
        <v>17212</v>
      </c>
      <c r="S6" s="118">
        <v>20759</v>
      </c>
      <c r="T6" s="118">
        <v>21192.296059999997</v>
      </c>
      <c r="U6" s="118">
        <v>17628.262779999997</v>
      </c>
      <c r="V6" s="118">
        <v>14564.002850000001</v>
      </c>
      <c r="W6" s="118">
        <v>14904.022499999999</v>
      </c>
      <c r="X6" s="118">
        <v>15760.582520000002</v>
      </c>
      <c r="Y6" s="118">
        <v>14711.21329</v>
      </c>
      <c r="Z6" s="118">
        <v>15228.65266</v>
      </c>
      <c r="AA6" s="118">
        <v>15248.51109</v>
      </c>
      <c r="AB6" s="118">
        <v>18348.92193</v>
      </c>
      <c r="AC6" s="118">
        <v>13420.595569999999</v>
      </c>
      <c r="AD6" s="118">
        <v>11588.4</v>
      </c>
      <c r="AE6" s="647">
        <v>10761.402389999999</v>
      </c>
      <c r="AF6" s="647">
        <v>12177.346869999994</v>
      </c>
      <c r="AG6" s="748">
        <v>8489.4</v>
      </c>
      <c r="AH6" s="647">
        <v>8685.1920200000004</v>
      </c>
      <c r="AI6" s="647">
        <v>8764.0848000000005</v>
      </c>
      <c r="AJ6" s="647">
        <v>10631.25776</v>
      </c>
      <c r="AK6" s="647">
        <v>8671.6252599999989</v>
      </c>
      <c r="AL6" s="647">
        <v>11829.77543</v>
      </c>
      <c r="AM6" s="647">
        <v>9323.1470300000019</v>
      </c>
      <c r="AN6" s="647">
        <v>5179.5571500000005</v>
      </c>
      <c r="AO6" s="647">
        <v>1367.5780099999999</v>
      </c>
      <c r="AP6" s="647">
        <v>431.86840000000001</v>
      </c>
      <c r="AQ6" s="647">
        <v>420.28199999999998</v>
      </c>
      <c r="AR6" s="647">
        <v>638.75400000000002</v>
      </c>
      <c r="AS6" s="647">
        <v>931.00256000000002</v>
      </c>
      <c r="AT6" s="647">
        <v>946.8376200000057</v>
      </c>
      <c r="AU6" s="647">
        <v>1066.48</v>
      </c>
      <c r="AV6" s="647">
        <f>6429.3-4849.38809</f>
        <v>1579.9119099999998</v>
      </c>
      <c r="AW6" s="647">
        <v>1308</v>
      </c>
      <c r="AX6" s="647">
        <v>1469.99</v>
      </c>
      <c r="AY6" s="647">
        <f>AY10-AY7</f>
        <v>1493.4783099999986</v>
      </c>
      <c r="AZ6" s="647">
        <v>1226.0999999999999</v>
      </c>
      <c r="BA6" s="647">
        <v>872.82729000000108</v>
      </c>
      <c r="BB6" s="647">
        <v>0</v>
      </c>
      <c r="BC6" s="647"/>
      <c r="BD6" s="647">
        <v>0</v>
      </c>
      <c r="BE6" s="647">
        <v>0</v>
      </c>
      <c r="BF6" s="647">
        <v>0</v>
      </c>
      <c r="BG6" s="647">
        <v>0</v>
      </c>
      <c r="BH6" s="647">
        <v>0</v>
      </c>
      <c r="BI6" s="647">
        <v>0</v>
      </c>
      <c r="BJ6" s="647">
        <v>0</v>
      </c>
      <c r="BK6" s="1159"/>
    </row>
    <row r="7" spans="1:63" ht="14.1" customHeight="1" x14ac:dyDescent="0.2">
      <c r="A7" s="1" t="s">
        <v>450</v>
      </c>
      <c r="B7" s="1" t="s">
        <v>738</v>
      </c>
      <c r="C7" s="23"/>
      <c r="D7" s="117" t="str">
        <f>IF([1]RENAME!$H$3=1,B7,A7)</f>
        <v>Logística industrial</v>
      </c>
      <c r="E7" s="118">
        <v>23587</v>
      </c>
      <c r="F7" s="118">
        <v>25449</v>
      </c>
      <c r="G7" s="118">
        <v>23244</v>
      </c>
      <c r="H7" s="118">
        <v>24778</v>
      </c>
      <c r="I7" s="118">
        <v>25183</v>
      </c>
      <c r="J7" s="118">
        <v>28220</v>
      </c>
      <c r="K7" s="118">
        <v>25185</v>
      </c>
      <c r="L7" s="118">
        <v>29430</v>
      </c>
      <c r="M7" s="118">
        <v>31004</v>
      </c>
      <c r="N7" s="118">
        <v>28248</v>
      </c>
      <c r="O7" s="118">
        <v>37282</v>
      </c>
      <c r="P7" s="118">
        <v>40121</v>
      </c>
      <c r="Q7" s="118">
        <v>39264</v>
      </c>
      <c r="R7" s="118">
        <v>42744</v>
      </c>
      <c r="S7" s="118">
        <v>43201</v>
      </c>
      <c r="T7" s="118">
        <v>41005.342690000005</v>
      </c>
      <c r="U7" s="118">
        <v>34810.647680000002</v>
      </c>
      <c r="V7" s="118">
        <v>36060.907340000005</v>
      </c>
      <c r="W7" s="118">
        <v>33277.607969999997</v>
      </c>
      <c r="X7" s="118">
        <v>33016.964749999999</v>
      </c>
      <c r="Y7" s="118">
        <v>34006.128879999997</v>
      </c>
      <c r="Z7" s="118">
        <v>32821.211210000001</v>
      </c>
      <c r="AA7" s="118">
        <v>35196.763349999994</v>
      </c>
      <c r="AB7" s="118">
        <v>35738.6976</v>
      </c>
      <c r="AC7" s="118">
        <v>34371.302250000008</v>
      </c>
      <c r="AD7" s="118">
        <v>33530.382989999991</v>
      </c>
      <c r="AE7" s="647">
        <v>39294.710639999998</v>
      </c>
      <c r="AF7" s="647">
        <v>35764.443149999999</v>
      </c>
      <c r="AG7" s="748">
        <v>37086.800000000003</v>
      </c>
      <c r="AH7" s="647">
        <v>36792.112699999998</v>
      </c>
      <c r="AI7" s="647">
        <v>40679.987550000005</v>
      </c>
      <c r="AJ7" s="647">
        <v>38374.866529999999</v>
      </c>
      <c r="AK7" s="647">
        <v>38126.811840000002</v>
      </c>
      <c r="AL7" s="647">
        <v>39810.467429999997</v>
      </c>
      <c r="AM7" s="647">
        <v>43491.398690000002</v>
      </c>
      <c r="AN7" s="647">
        <v>43978.259429999998</v>
      </c>
      <c r="AO7" s="647">
        <v>39318.226990000003</v>
      </c>
      <c r="AP7" s="647">
        <v>44334.720099999999</v>
      </c>
      <c r="AQ7" s="647">
        <v>45062.793720000001</v>
      </c>
      <c r="AR7" s="647">
        <v>39797.487730000008</v>
      </c>
      <c r="AS7" s="647">
        <v>47423.771669999995</v>
      </c>
      <c r="AT7" s="647">
        <v>45697.330499999996</v>
      </c>
      <c r="AU7" s="647">
        <v>50307.146229999998</v>
      </c>
      <c r="AV7" s="647">
        <f>44837.83589-AV6</f>
        <v>43257.92398</v>
      </c>
      <c r="AW7" s="647">
        <f>47323.97638-AW6</f>
        <v>46015.97638</v>
      </c>
      <c r="AX7" s="647">
        <f>43144.14963-AX6</f>
        <v>41674.159630000002</v>
      </c>
      <c r="AY7" s="647">
        <v>48533.991850000006</v>
      </c>
      <c r="AZ7" s="647">
        <f>49218.7-AZ6</f>
        <v>47992.6</v>
      </c>
      <c r="BA7" s="647">
        <v>49810.86</v>
      </c>
      <c r="BB7" s="647">
        <v>55719.131580000001</v>
      </c>
      <c r="BC7" s="647">
        <v>50868.375529999998</v>
      </c>
      <c r="BD7" s="647">
        <v>49988.152990000002</v>
      </c>
      <c r="BE7" s="647">
        <v>55602.698880000004</v>
      </c>
      <c r="BF7" s="647">
        <v>54247.260320000001</v>
      </c>
      <c r="BG7" s="647">
        <v>41985.478689999996</v>
      </c>
      <c r="BH7" s="647">
        <v>47361.427729999996</v>
      </c>
      <c r="BI7" s="647">
        <v>50799.559020000001</v>
      </c>
      <c r="BJ7" s="647">
        <f>([4]Base_DRE!$T$5)</f>
        <v>58255.544399999999</v>
      </c>
    </row>
    <row r="8" spans="1:63" s="220" customFormat="1" ht="14.1" hidden="1" customHeight="1" outlineLevel="1" x14ac:dyDescent="0.2">
      <c r="A8" s="220" t="s">
        <v>2185</v>
      </c>
      <c r="B8" s="220" t="s">
        <v>2185</v>
      </c>
      <c r="C8" s="236"/>
      <c r="D8" s="217" t="str">
        <f>IF([1]RENAME!$H$3=1,B8,A8)</f>
        <v>Ecommerce</v>
      </c>
      <c r="E8" s="218">
        <v>51431</v>
      </c>
      <c r="F8" s="218">
        <v>59396</v>
      </c>
      <c r="G8" s="218">
        <v>73250</v>
      </c>
      <c r="H8" s="218">
        <v>83860</v>
      </c>
      <c r="I8" s="218">
        <v>69100</v>
      </c>
      <c r="J8" s="218">
        <v>67306</v>
      </c>
      <c r="K8" s="218">
        <v>70087</v>
      </c>
      <c r="L8" s="218">
        <v>81193</v>
      </c>
      <c r="M8" s="218">
        <v>68965</v>
      </c>
      <c r="N8" s="218">
        <v>66188</v>
      </c>
      <c r="O8" s="218">
        <v>39020</v>
      </c>
      <c r="P8" s="218">
        <v>0</v>
      </c>
      <c r="Q8" s="218">
        <v>0</v>
      </c>
      <c r="R8" s="218">
        <v>0</v>
      </c>
      <c r="S8" s="218">
        <v>0</v>
      </c>
      <c r="T8" s="218">
        <v>0</v>
      </c>
      <c r="U8" s="218">
        <v>0</v>
      </c>
      <c r="V8" s="218">
        <v>0</v>
      </c>
      <c r="W8" s="218">
        <v>0</v>
      </c>
      <c r="X8" s="218">
        <v>0</v>
      </c>
      <c r="Y8" s="218">
        <v>0</v>
      </c>
      <c r="Z8" s="218">
        <v>0</v>
      </c>
      <c r="AA8" s="218">
        <v>0</v>
      </c>
      <c r="AB8" s="218">
        <v>0</v>
      </c>
      <c r="AC8" s="218">
        <v>0</v>
      </c>
      <c r="AD8" s="218">
        <v>0</v>
      </c>
      <c r="AE8" s="218">
        <v>0</v>
      </c>
      <c r="AF8" s="218"/>
      <c r="AG8" s="160">
        <v>0</v>
      </c>
      <c r="AH8" s="118">
        <v>0</v>
      </c>
      <c r="AI8" s="118">
        <v>0</v>
      </c>
      <c r="AJ8" s="118">
        <v>0</v>
      </c>
      <c r="AK8" s="118">
        <v>0</v>
      </c>
      <c r="AL8" s="118">
        <v>0</v>
      </c>
      <c r="AM8" s="118">
        <v>0</v>
      </c>
      <c r="AN8" s="118">
        <v>0</v>
      </c>
      <c r="AO8" s="118">
        <v>0</v>
      </c>
      <c r="AP8" s="118">
        <v>0</v>
      </c>
      <c r="AQ8" s="118">
        <v>0</v>
      </c>
      <c r="AR8" s="118"/>
      <c r="AS8" s="118">
        <v>0</v>
      </c>
      <c r="AT8" s="118">
        <v>0</v>
      </c>
      <c r="AU8" s="118">
        <v>0</v>
      </c>
      <c r="AV8" s="118">
        <v>0</v>
      </c>
      <c r="AW8" s="118">
        <v>0</v>
      </c>
      <c r="AX8" s="118">
        <v>0</v>
      </c>
      <c r="AY8" s="118">
        <v>0</v>
      </c>
      <c r="AZ8" s="118">
        <v>0</v>
      </c>
      <c r="BA8" s="118"/>
      <c r="BB8" s="118"/>
      <c r="BC8" s="118"/>
      <c r="BD8" s="118">
        <v>0</v>
      </c>
      <c r="BE8" s="118"/>
      <c r="BF8" s="118">
        <v>0</v>
      </c>
      <c r="BG8" s="118">
        <v>0</v>
      </c>
      <c r="BH8" s="118">
        <v>0</v>
      </c>
      <c r="BI8" s="118">
        <v>0</v>
      </c>
      <c r="BJ8" s="118">
        <v>0</v>
      </c>
    </row>
    <row r="9" spans="1:63" s="220" customFormat="1" ht="14.1" hidden="1" customHeight="1" outlineLevel="1" x14ac:dyDescent="0.2">
      <c r="A9" s="220" t="s">
        <v>515</v>
      </c>
      <c r="B9" s="220" t="s">
        <v>739</v>
      </c>
      <c r="C9" s="236"/>
      <c r="D9" s="217" t="str">
        <f>IF([1]RENAME!$H$3=1,B9,A9)</f>
        <v>Operações descontinuadas</v>
      </c>
      <c r="E9" s="218">
        <v>33738</v>
      </c>
      <c r="F9" s="218">
        <v>35049</v>
      </c>
      <c r="G9" s="218">
        <v>38778</v>
      </c>
      <c r="H9" s="218">
        <v>24879</v>
      </c>
      <c r="I9" s="218">
        <v>2780</v>
      </c>
      <c r="J9" s="218">
        <v>792</v>
      </c>
      <c r="K9" s="218">
        <v>766</v>
      </c>
      <c r="L9" s="218">
        <v>231</v>
      </c>
      <c r="M9" s="218">
        <v>0</v>
      </c>
      <c r="N9" s="218">
        <v>0</v>
      </c>
      <c r="O9" s="218">
        <v>0</v>
      </c>
      <c r="P9" s="218">
        <v>0</v>
      </c>
      <c r="Q9" s="218">
        <v>0</v>
      </c>
      <c r="R9" s="218">
        <v>0</v>
      </c>
      <c r="S9" s="218">
        <v>0</v>
      </c>
      <c r="T9" s="218">
        <v>0</v>
      </c>
      <c r="U9" s="218">
        <v>0</v>
      </c>
      <c r="V9" s="218">
        <v>0</v>
      </c>
      <c r="W9" s="218">
        <v>0</v>
      </c>
      <c r="X9" s="218">
        <v>0</v>
      </c>
      <c r="Y9" s="218">
        <v>0</v>
      </c>
      <c r="Z9" s="218">
        <v>0</v>
      </c>
      <c r="AA9" s="218">
        <v>0</v>
      </c>
      <c r="AB9" s="218">
        <v>0</v>
      </c>
      <c r="AC9" s="218">
        <v>0</v>
      </c>
      <c r="AD9" s="218">
        <v>0</v>
      </c>
      <c r="AE9" s="218">
        <v>0</v>
      </c>
      <c r="AF9" s="218"/>
      <c r="AG9" s="160">
        <v>0</v>
      </c>
      <c r="AH9" s="118">
        <v>0</v>
      </c>
      <c r="AI9" s="118">
        <v>0</v>
      </c>
      <c r="AJ9" s="118">
        <v>0</v>
      </c>
      <c r="AK9" s="118">
        <v>0</v>
      </c>
      <c r="AL9" s="118">
        <v>0</v>
      </c>
      <c r="AM9" s="118">
        <v>0</v>
      </c>
      <c r="AN9" s="118">
        <v>0</v>
      </c>
      <c r="AO9" s="118">
        <v>0</v>
      </c>
      <c r="AP9" s="118">
        <v>0</v>
      </c>
      <c r="AQ9" s="118">
        <v>0</v>
      </c>
      <c r="AR9" s="118"/>
      <c r="AS9" s="118">
        <v>0</v>
      </c>
      <c r="AT9" s="118">
        <v>0</v>
      </c>
      <c r="AU9" s="118">
        <v>0</v>
      </c>
      <c r="AV9" s="118">
        <v>0</v>
      </c>
      <c r="AW9" s="118">
        <v>0</v>
      </c>
      <c r="AX9" s="118">
        <v>0</v>
      </c>
      <c r="AY9" s="118">
        <v>0</v>
      </c>
      <c r="AZ9" s="118">
        <v>0</v>
      </c>
      <c r="BA9" s="118"/>
      <c r="BB9" s="118"/>
      <c r="BC9" s="118"/>
      <c r="BD9" s="118">
        <v>0</v>
      </c>
      <c r="BE9" s="118"/>
      <c r="BF9" s="118">
        <v>0</v>
      </c>
      <c r="BG9" s="118">
        <v>0</v>
      </c>
      <c r="BH9" s="118">
        <v>0</v>
      </c>
      <c r="BI9" s="118">
        <v>0</v>
      </c>
      <c r="BJ9" s="118">
        <v>0</v>
      </c>
    </row>
    <row r="10" spans="1:63" ht="14.1" customHeight="1" collapsed="1" x14ac:dyDescent="0.2">
      <c r="A10" s="1" t="s">
        <v>66</v>
      </c>
      <c r="B10" s="1" t="s">
        <v>691</v>
      </c>
      <c r="C10" s="23"/>
      <c r="D10" s="119" t="str">
        <f>IF([1]RENAME!$H$3=1,B10,A10)</f>
        <v>Receita bruta</v>
      </c>
      <c r="E10" s="120">
        <f t="shared" ref="E10:AM10" si="8">SUM(E6:E9)</f>
        <v>127576</v>
      </c>
      <c r="F10" s="120">
        <f t="shared" si="8"/>
        <v>143173</v>
      </c>
      <c r="G10" s="120">
        <f t="shared" si="8"/>
        <v>161320</v>
      </c>
      <c r="H10" s="120">
        <f t="shared" si="8"/>
        <v>155913</v>
      </c>
      <c r="I10" s="120">
        <f t="shared" si="8"/>
        <v>114880</v>
      </c>
      <c r="J10" s="120">
        <f t="shared" si="8"/>
        <v>115483</v>
      </c>
      <c r="K10" s="120">
        <f t="shared" si="8"/>
        <v>117446</v>
      </c>
      <c r="L10" s="120">
        <f t="shared" si="8"/>
        <v>133383</v>
      </c>
      <c r="M10" s="120">
        <f t="shared" si="8"/>
        <v>120607</v>
      </c>
      <c r="N10" s="120">
        <f t="shared" si="8"/>
        <v>116580</v>
      </c>
      <c r="O10" s="120">
        <f t="shared" si="8"/>
        <v>98578</v>
      </c>
      <c r="P10" s="120">
        <f t="shared" si="8"/>
        <v>61586</v>
      </c>
      <c r="Q10" s="120">
        <f t="shared" si="8"/>
        <v>56728</v>
      </c>
      <c r="R10" s="120">
        <f t="shared" si="8"/>
        <v>59956</v>
      </c>
      <c r="S10" s="120">
        <f t="shared" si="8"/>
        <v>63960</v>
      </c>
      <c r="T10" s="120">
        <f t="shared" si="8"/>
        <v>62197.638749999998</v>
      </c>
      <c r="U10" s="120">
        <f t="shared" si="8"/>
        <v>52438.910459999999</v>
      </c>
      <c r="V10" s="120">
        <f t="shared" si="8"/>
        <v>50624.91019000001</v>
      </c>
      <c r="W10" s="120">
        <f t="shared" si="8"/>
        <v>48181.630469999996</v>
      </c>
      <c r="X10" s="120">
        <f t="shared" si="8"/>
        <v>48777.547270000003</v>
      </c>
      <c r="Y10" s="120">
        <f t="shared" si="8"/>
        <v>48717.342169999996</v>
      </c>
      <c r="Z10" s="120">
        <f t="shared" si="8"/>
        <v>48049.863870000001</v>
      </c>
      <c r="AA10" s="120">
        <f t="shared" si="8"/>
        <v>50445.274439999994</v>
      </c>
      <c r="AB10" s="120">
        <f t="shared" si="8"/>
        <v>54087.619529999996</v>
      </c>
      <c r="AC10" s="120">
        <f t="shared" si="8"/>
        <v>47791.897820000006</v>
      </c>
      <c r="AD10" s="120">
        <f t="shared" si="8"/>
        <v>45118.782989999992</v>
      </c>
      <c r="AE10" s="120">
        <f t="shared" si="8"/>
        <v>50056.113029999993</v>
      </c>
      <c r="AF10" s="120">
        <f t="shared" si="8"/>
        <v>47941.790019999993</v>
      </c>
      <c r="AG10" s="162">
        <f t="shared" si="8"/>
        <v>45576.200000000004</v>
      </c>
      <c r="AH10" s="120">
        <f t="shared" si="8"/>
        <v>45477.30472</v>
      </c>
      <c r="AI10" s="120">
        <f t="shared" si="8"/>
        <v>49444.072350000002</v>
      </c>
      <c r="AJ10" s="120">
        <f t="shared" si="8"/>
        <v>49006.12429</v>
      </c>
      <c r="AK10" s="120">
        <f t="shared" si="8"/>
        <v>46798.437100000003</v>
      </c>
      <c r="AL10" s="120">
        <f t="shared" si="8"/>
        <v>51640.242859999998</v>
      </c>
      <c r="AM10" s="120">
        <f t="shared" si="8"/>
        <v>52814.545720000002</v>
      </c>
      <c r="AN10" s="120">
        <f t="shared" ref="AN10:AT10" si="9">SUM(AN6:AN9)</f>
        <v>49157.816579999999</v>
      </c>
      <c r="AO10" s="120">
        <f t="shared" si="9"/>
        <v>40685.805</v>
      </c>
      <c r="AP10" s="120">
        <f t="shared" si="9"/>
        <v>44766.588499999998</v>
      </c>
      <c r="AQ10" s="120">
        <f t="shared" si="9"/>
        <v>45483.075720000001</v>
      </c>
      <c r="AR10" s="120">
        <f t="shared" si="9"/>
        <v>40436.241730000009</v>
      </c>
      <c r="AS10" s="120">
        <f t="shared" si="9"/>
        <v>48354.774229999995</v>
      </c>
      <c r="AT10" s="120">
        <f t="shared" si="9"/>
        <v>46644.168120000002</v>
      </c>
      <c r="AU10" s="120">
        <f>SUM(AU6:AU9)</f>
        <v>51373.626230000002</v>
      </c>
      <c r="AV10" s="120">
        <f>SUM(AV6:AV9)</f>
        <v>44837.835890000002</v>
      </c>
      <c r="AW10" s="120">
        <f>SUM(AW6:AW9)</f>
        <v>47323.97638</v>
      </c>
      <c r="AX10" s="120">
        <f>SUM(AX6:AX9)</f>
        <v>43144.14963</v>
      </c>
      <c r="AY10" s="120">
        <v>50027.470160000004</v>
      </c>
      <c r="AZ10" s="120">
        <f t="shared" ref="AZ10:BF10" si="10">SUM(AZ6:AZ7)</f>
        <v>49218.7</v>
      </c>
      <c r="BA10" s="120">
        <f t="shared" si="10"/>
        <v>50683.687290000002</v>
      </c>
      <c r="BB10" s="120">
        <f t="shared" si="10"/>
        <v>55719.131580000001</v>
      </c>
      <c r="BC10" s="120">
        <f t="shared" si="10"/>
        <v>50868.375529999998</v>
      </c>
      <c r="BD10" s="120">
        <f t="shared" si="10"/>
        <v>49988.152990000002</v>
      </c>
      <c r="BE10" s="120">
        <f t="shared" si="10"/>
        <v>55602.698880000004</v>
      </c>
      <c r="BF10" s="120">
        <f t="shared" si="10"/>
        <v>54247.260320000001</v>
      </c>
      <c r="BG10" s="120">
        <f>SUM(BG6:BG7)</f>
        <v>41985.478689999996</v>
      </c>
      <c r="BH10" s="120">
        <f>SUM(BH6:BH7)</f>
        <v>47361.427729999996</v>
      </c>
      <c r="BI10" s="120">
        <f>SUM(BI6:BI7)</f>
        <v>50799.559020000001</v>
      </c>
      <c r="BJ10" s="120">
        <f>SUM(BJ6:BJ7)</f>
        <v>58255.544399999999</v>
      </c>
    </row>
    <row r="11" spans="1:63" ht="14.1" customHeight="1" x14ac:dyDescent="0.2">
      <c r="A11" s="516" t="s">
        <v>1293</v>
      </c>
      <c r="B11" s="516" t="s">
        <v>1563</v>
      </c>
      <c r="C11" s="24"/>
      <c r="D11" s="117" t="str">
        <f>IF([1]RENAME!$H$3=1,B11,A11)</f>
        <v>Deduções da receita bruta</v>
      </c>
      <c r="E11" s="118">
        <f>+E12-E10</f>
        <v>-23821</v>
      </c>
      <c r="F11" s="118">
        <f t="shared" ref="F11:P11" si="11">+F12-F10</f>
        <v>-27412</v>
      </c>
      <c r="G11" s="118">
        <f t="shared" si="11"/>
        <v>-29755</v>
      </c>
      <c r="H11" s="118">
        <f t="shared" si="11"/>
        <v>-29896</v>
      </c>
      <c r="I11" s="118">
        <f t="shared" si="11"/>
        <v>-21653</v>
      </c>
      <c r="J11" s="118">
        <f t="shared" si="11"/>
        <v>-21793</v>
      </c>
      <c r="K11" s="118">
        <f t="shared" si="11"/>
        <v>-23873</v>
      </c>
      <c r="L11" s="118">
        <f t="shared" si="11"/>
        <v>-26747</v>
      </c>
      <c r="M11" s="118">
        <f t="shared" si="11"/>
        <v>-25609</v>
      </c>
      <c r="N11" s="118">
        <f t="shared" si="11"/>
        <v>-23318</v>
      </c>
      <c r="O11" s="118">
        <f t="shared" si="11"/>
        <v>-20465</v>
      </c>
      <c r="P11" s="118">
        <f t="shared" si="11"/>
        <v>-11446</v>
      </c>
      <c r="Q11" s="118">
        <v>-10581</v>
      </c>
      <c r="R11" s="118">
        <v>-11355</v>
      </c>
      <c r="S11" s="118">
        <v>-11966</v>
      </c>
      <c r="T11" s="118">
        <v>-11655.476699999985</v>
      </c>
      <c r="U11" s="118">
        <v>-9375.1964199999929</v>
      </c>
      <c r="V11" s="118">
        <v>-8925.1992200000095</v>
      </c>
      <c r="W11" s="118">
        <v>-8282.4121899999955</v>
      </c>
      <c r="X11" s="118">
        <v>-8425.4632100000017</v>
      </c>
      <c r="Y11" s="118">
        <v>-8521.600689999992</v>
      </c>
      <c r="Z11" s="118">
        <v>1286.1736299999975</v>
      </c>
      <c r="AA11" s="118">
        <v>-8731.8596199999956</v>
      </c>
      <c r="AB11" s="118">
        <v>-9440.1161999999968</v>
      </c>
      <c r="AC11" s="118">
        <v>-8180.1162800000093</v>
      </c>
      <c r="AD11" s="118">
        <v>-7834.0642799999914</v>
      </c>
      <c r="AE11" s="260">
        <v>-14931.181469999996</v>
      </c>
      <c r="AF11" s="260">
        <v>-6991.0880799999941</v>
      </c>
      <c r="AG11" s="160">
        <v>-7802.054750000003</v>
      </c>
      <c r="AH11" s="118">
        <v>-7994.1580099999992</v>
      </c>
      <c r="AI11" s="118">
        <v>-8512.4502900000007</v>
      </c>
      <c r="AJ11" s="118">
        <v>-8021.5480800000078</v>
      </c>
      <c r="AK11" s="118">
        <v>-7812.5165100000013</v>
      </c>
      <c r="AL11" s="118">
        <v>-8377.3944399999964</v>
      </c>
      <c r="AM11" s="118">
        <v>-9090.4414899999974</v>
      </c>
      <c r="AN11" s="118">
        <v>-8753.4944399999949</v>
      </c>
      <c r="AO11" s="118">
        <v>-7598.3961899999995</v>
      </c>
      <c r="AP11" s="118">
        <v>-8127.262569999999</v>
      </c>
      <c r="AQ11" s="118">
        <v>-8364.7450700000009</v>
      </c>
      <c r="AR11" s="118">
        <v>-7451.2142800000001</v>
      </c>
      <c r="AS11" s="118">
        <v>-9083.2088399999993</v>
      </c>
      <c r="AT11" s="118">
        <v>-8211.0274199999985</v>
      </c>
      <c r="AU11" s="118">
        <v>-8995.0151800000021</v>
      </c>
      <c r="AV11" s="118">
        <v>-7850.2991499999989</v>
      </c>
      <c r="AW11" s="118">
        <v>-8325.7838399999964</v>
      </c>
      <c r="AX11" s="118">
        <v>-7397.0650800000003</v>
      </c>
      <c r="AY11" s="118">
        <v>-8874.2566299999962</v>
      </c>
      <c r="AZ11" s="118">
        <v>-8788.6658699999971</v>
      </c>
      <c r="BA11" s="118">
        <v>-9024.7368700000006</v>
      </c>
      <c r="BB11" s="118">
        <v>-10156.115299999998</v>
      </c>
      <c r="BC11" s="118">
        <v>-9046.2838300000003</v>
      </c>
      <c r="BD11" s="118">
        <v>-8964.5530199999994</v>
      </c>
      <c r="BE11" s="118">
        <v>-9780.828499999996</v>
      </c>
      <c r="BF11" s="118">
        <v>-9613.9776100000017</v>
      </c>
      <c r="BG11" s="118">
        <v>-7621.7291400000031</v>
      </c>
      <c r="BH11" s="118">
        <v>-8910.8805900000007</v>
      </c>
      <c r="BI11" s="118">
        <v>-9621.8796700000003</v>
      </c>
      <c r="BJ11" s="118">
        <f>([4]Base_DRE!$T$6-[4]Base_DRE!$T$5)</f>
        <v>-11026.955239999996</v>
      </c>
    </row>
    <row r="12" spans="1:63" ht="14.1" customHeight="1" x14ac:dyDescent="0.2">
      <c r="A12" s="1" t="s">
        <v>56</v>
      </c>
      <c r="B12" s="1" t="s">
        <v>695</v>
      </c>
      <c r="C12" s="23"/>
      <c r="D12" s="119" t="str">
        <f>IF([1]RENAME!$H$3=1,B12,A12)</f>
        <v>Receita líquida</v>
      </c>
      <c r="E12" s="120">
        <v>103755</v>
      </c>
      <c r="F12" s="120">
        <v>115761</v>
      </c>
      <c r="G12" s="120">
        <v>131565</v>
      </c>
      <c r="H12" s="120">
        <v>126017</v>
      </c>
      <c r="I12" s="120">
        <v>93227</v>
      </c>
      <c r="J12" s="120">
        <v>93690</v>
      </c>
      <c r="K12" s="120">
        <v>93573</v>
      </c>
      <c r="L12" s="120">
        <v>106636</v>
      </c>
      <c r="M12" s="120">
        <v>94998</v>
      </c>
      <c r="N12" s="120">
        <v>93262</v>
      </c>
      <c r="O12" s="120">
        <v>78113</v>
      </c>
      <c r="P12" s="120">
        <v>50140</v>
      </c>
      <c r="Q12" s="120">
        <f t="shared" ref="Q12:AQ12" si="12">+SUM(Q10:Q11)</f>
        <v>46147</v>
      </c>
      <c r="R12" s="120">
        <f t="shared" si="12"/>
        <v>48601</v>
      </c>
      <c r="S12" s="120">
        <f t="shared" si="12"/>
        <v>51994</v>
      </c>
      <c r="T12" s="120">
        <f t="shared" si="12"/>
        <v>50542.162050000014</v>
      </c>
      <c r="U12" s="120">
        <f t="shared" si="12"/>
        <v>43063.714040000006</v>
      </c>
      <c r="V12" s="120">
        <f t="shared" si="12"/>
        <v>41699.71097</v>
      </c>
      <c r="W12" s="120">
        <f t="shared" si="12"/>
        <v>39899.218280000001</v>
      </c>
      <c r="X12" s="120">
        <f t="shared" si="12"/>
        <v>40352.084060000001</v>
      </c>
      <c r="Y12" s="120">
        <f t="shared" si="12"/>
        <v>40195.741480000004</v>
      </c>
      <c r="Z12" s="333">
        <f t="shared" si="12"/>
        <v>49336.037499999999</v>
      </c>
      <c r="AA12" s="120">
        <f t="shared" si="12"/>
        <v>41713.414819999998</v>
      </c>
      <c r="AB12" s="120">
        <f t="shared" si="12"/>
        <v>44647.50333</v>
      </c>
      <c r="AC12" s="120">
        <f t="shared" si="12"/>
        <v>39611.781539999996</v>
      </c>
      <c r="AD12" s="120">
        <f t="shared" si="12"/>
        <v>37284.718710000001</v>
      </c>
      <c r="AE12" s="120">
        <f t="shared" si="12"/>
        <v>35124.931559999997</v>
      </c>
      <c r="AF12" s="120">
        <f t="shared" si="12"/>
        <v>40950.701939999999</v>
      </c>
      <c r="AG12" s="162">
        <f t="shared" si="12"/>
        <v>37774.145250000001</v>
      </c>
      <c r="AH12" s="120">
        <f t="shared" si="12"/>
        <v>37483.146710000001</v>
      </c>
      <c r="AI12" s="120">
        <f t="shared" si="12"/>
        <v>40931.622060000002</v>
      </c>
      <c r="AJ12" s="120">
        <f t="shared" si="12"/>
        <v>40984.576209999992</v>
      </c>
      <c r="AK12" s="120">
        <f t="shared" si="12"/>
        <v>38985.920590000002</v>
      </c>
      <c r="AL12" s="120">
        <f t="shared" si="12"/>
        <v>43262.848420000002</v>
      </c>
      <c r="AM12" s="120">
        <f t="shared" si="12"/>
        <v>43724.104230000004</v>
      </c>
      <c r="AN12" s="120">
        <f t="shared" si="12"/>
        <v>40404.322140000004</v>
      </c>
      <c r="AO12" s="120">
        <f t="shared" si="12"/>
        <v>33087.408810000001</v>
      </c>
      <c r="AP12" s="120">
        <f t="shared" si="12"/>
        <v>36639.325929999999</v>
      </c>
      <c r="AQ12" s="120">
        <f t="shared" si="12"/>
        <v>37118.330650000004</v>
      </c>
      <c r="AR12" s="120">
        <f t="shared" ref="AR12:AW12" si="13">+SUM(AR10:AR11)</f>
        <v>32985.027450000009</v>
      </c>
      <c r="AS12" s="120">
        <f t="shared" si="13"/>
        <v>39271.565389999996</v>
      </c>
      <c r="AT12" s="120">
        <f t="shared" si="13"/>
        <v>38433.140700000004</v>
      </c>
      <c r="AU12" s="120">
        <f t="shared" si="13"/>
        <v>42378.61105</v>
      </c>
      <c r="AV12" s="120">
        <f t="shared" si="13"/>
        <v>36987.536740000003</v>
      </c>
      <c r="AW12" s="120">
        <f t="shared" si="13"/>
        <v>38998.192540000004</v>
      </c>
      <c r="AX12" s="120">
        <f t="shared" ref="AX12:BF12" si="14">+SUM(AX10:AX11)</f>
        <v>35747.08455</v>
      </c>
      <c r="AY12" s="120">
        <f t="shared" si="14"/>
        <v>41153.213530000008</v>
      </c>
      <c r="AZ12" s="120">
        <f t="shared" si="14"/>
        <v>40430.03413</v>
      </c>
      <c r="BA12" s="120">
        <f t="shared" si="14"/>
        <v>41658.950420000001</v>
      </c>
      <c r="BB12" s="120">
        <f t="shared" si="14"/>
        <v>45563.016280000003</v>
      </c>
      <c r="BC12" s="120">
        <f t="shared" si="14"/>
        <v>41822.091699999997</v>
      </c>
      <c r="BD12" s="120">
        <f t="shared" si="14"/>
        <v>41023.599970000003</v>
      </c>
      <c r="BE12" s="120">
        <f t="shared" si="14"/>
        <v>45821.870380000008</v>
      </c>
      <c r="BF12" s="120">
        <f t="shared" si="14"/>
        <v>44633.282709999999</v>
      </c>
      <c r="BG12" s="120">
        <f>+SUM(BG10:BG11)</f>
        <v>34363.749549999993</v>
      </c>
      <c r="BH12" s="120">
        <f>+SUM(BH10:BH11)</f>
        <v>38450.547139999995</v>
      </c>
      <c r="BI12" s="120">
        <f>+SUM(BI10:BI11)</f>
        <v>41177.679349999999</v>
      </c>
      <c r="BJ12" s="120">
        <f>+SUM(BJ10:BJ11)</f>
        <v>47228.589160000003</v>
      </c>
    </row>
    <row r="13" spans="1:63" ht="14.1" customHeight="1" x14ac:dyDescent="0.2">
      <c r="A13" s="1" t="s">
        <v>1555</v>
      </c>
      <c r="B13" s="1" t="s">
        <v>1377</v>
      </c>
      <c r="C13" s="22"/>
      <c r="D13" s="117" t="str">
        <f>IF([1]RENAME!$H$3=1,B13,A13)</f>
        <v>Custos de serviços prestados*</v>
      </c>
      <c r="E13" s="118">
        <v>-89682</v>
      </c>
      <c r="F13" s="118">
        <v>-102890</v>
      </c>
      <c r="G13" s="118">
        <v>-128966</v>
      </c>
      <c r="H13" s="118">
        <v>-126269</v>
      </c>
      <c r="I13" s="118">
        <v>-108693</v>
      </c>
      <c r="J13" s="118">
        <v>-103880</v>
      </c>
      <c r="K13" s="118">
        <v>-118724</v>
      </c>
      <c r="L13" s="118">
        <v>-117028</v>
      </c>
      <c r="M13" s="118">
        <v>-104665</v>
      </c>
      <c r="N13" s="118">
        <v>-95616</v>
      </c>
      <c r="O13" s="118">
        <v>-66852</v>
      </c>
      <c r="P13" s="118">
        <v>-49378</v>
      </c>
      <c r="Q13" s="118">
        <v>-46703</v>
      </c>
      <c r="R13" s="260">
        <v>-54148</v>
      </c>
      <c r="S13" s="118">
        <v>-49152</v>
      </c>
      <c r="T13" s="260">
        <v>-48466.832119999999</v>
      </c>
      <c r="U13" s="118">
        <v>-39376.193370000001</v>
      </c>
      <c r="V13" s="118">
        <v>-37564.626109999997</v>
      </c>
      <c r="W13" s="118">
        <v>-36474.726699999999</v>
      </c>
      <c r="X13" s="260">
        <v>-34661.394970000001</v>
      </c>
      <c r="Y13" s="118">
        <v>-33763.876869999993</v>
      </c>
      <c r="Z13" s="118">
        <v>-35062.16257</v>
      </c>
      <c r="AA13" s="118">
        <v>-35168.157510000005</v>
      </c>
      <c r="AB13" s="260">
        <v>-33876.704960000003</v>
      </c>
      <c r="AC13" s="118">
        <v>-32103.398359999996</v>
      </c>
      <c r="AD13" s="118">
        <v>-29829.59719</v>
      </c>
      <c r="AE13" s="118">
        <v>-31606.118449999998</v>
      </c>
      <c r="AF13" s="118">
        <v>-32730.792299999997</v>
      </c>
      <c r="AG13" s="160">
        <v>-24847.719380000002</v>
      </c>
      <c r="AH13" s="118">
        <v>-27137.973819999999</v>
      </c>
      <c r="AI13" s="260">
        <v>-26268.591779999999</v>
      </c>
      <c r="AJ13" s="118">
        <v>-27258.207099999996</v>
      </c>
      <c r="AK13" s="118">
        <v>-23949.649169999997</v>
      </c>
      <c r="AL13" s="118">
        <v>-26755.184610000004</v>
      </c>
      <c r="AM13" s="118">
        <v>-26649.67727</v>
      </c>
      <c r="AN13" s="260">
        <v>-28688.472970000003</v>
      </c>
      <c r="AO13" s="118">
        <v>-22940.262020000002</v>
      </c>
      <c r="AP13" s="118">
        <v>-24186.268790000002</v>
      </c>
      <c r="AQ13" s="118">
        <v>-25173.943309999999</v>
      </c>
      <c r="AR13" s="118">
        <v>-22896.50952</v>
      </c>
      <c r="AS13" s="118">
        <v>-25044.119490000005</v>
      </c>
      <c r="AT13" s="118">
        <v>-26249.11119</v>
      </c>
      <c r="AU13" s="118">
        <v>-28395.833310000005</v>
      </c>
      <c r="AV13" s="118">
        <v>-25579.179450000003</v>
      </c>
      <c r="AW13" s="118">
        <v>-27962.731210000002</v>
      </c>
      <c r="AX13" s="118">
        <v>-24097.067410000003</v>
      </c>
      <c r="AY13" s="118">
        <v>-28659.82591</v>
      </c>
      <c r="AZ13" s="118">
        <v>-26994.540899999996</v>
      </c>
      <c r="BA13" s="118">
        <v>-30761.998070000005</v>
      </c>
      <c r="BB13" s="118">
        <v>-33179.92899</v>
      </c>
      <c r="BC13" s="118">
        <v>-30561.183870000001</v>
      </c>
      <c r="BD13" s="118">
        <v>-31888.350020000002</v>
      </c>
      <c r="BE13" s="118">
        <v>-34249.135450000002</v>
      </c>
      <c r="BF13" s="118">
        <v>-32967.494210000004</v>
      </c>
      <c r="BG13" s="118">
        <v>-26966.71571</v>
      </c>
      <c r="BH13" s="118">
        <v>-31345.064120000003</v>
      </c>
      <c r="BI13" s="118">
        <v>-30701.950629999999</v>
      </c>
      <c r="BJ13" s="118">
        <f>(+SUM([4]Base_DRE!$T$7:$T$13))</f>
        <v>-37828.230429999996</v>
      </c>
    </row>
    <row r="14" spans="1:63" ht="14.1" customHeight="1" x14ac:dyDescent="0.2">
      <c r="A14" s="1" t="s">
        <v>393</v>
      </c>
      <c r="B14" s="1" t="s">
        <v>701</v>
      </c>
      <c r="C14" s="23"/>
      <c r="D14" s="119" t="str">
        <f>IF([1]RENAME!$H$3=1,B14,A14)</f>
        <v>Lucro bruto*</v>
      </c>
      <c r="E14" s="120">
        <f t="shared" ref="E14:AL14" si="15">E12+E13</f>
        <v>14073</v>
      </c>
      <c r="F14" s="120">
        <f t="shared" si="15"/>
        <v>12871</v>
      </c>
      <c r="G14" s="120">
        <f t="shared" si="15"/>
        <v>2599</v>
      </c>
      <c r="H14" s="120">
        <f t="shared" si="15"/>
        <v>-252</v>
      </c>
      <c r="I14" s="120">
        <f t="shared" si="15"/>
        <v>-15466</v>
      </c>
      <c r="J14" s="120">
        <f t="shared" si="15"/>
        <v>-10190</v>
      </c>
      <c r="K14" s="120">
        <f t="shared" si="15"/>
        <v>-25151</v>
      </c>
      <c r="L14" s="120">
        <f t="shared" si="15"/>
        <v>-10392</v>
      </c>
      <c r="M14" s="120">
        <f t="shared" si="15"/>
        <v>-9667</v>
      </c>
      <c r="N14" s="120">
        <f t="shared" si="15"/>
        <v>-2354</v>
      </c>
      <c r="O14" s="120">
        <f t="shared" si="15"/>
        <v>11261</v>
      </c>
      <c r="P14" s="120">
        <f t="shared" si="15"/>
        <v>762</v>
      </c>
      <c r="Q14" s="120">
        <f t="shared" si="15"/>
        <v>-556</v>
      </c>
      <c r="R14" s="120">
        <f t="shared" si="15"/>
        <v>-5547</v>
      </c>
      <c r="S14" s="120">
        <f t="shared" si="15"/>
        <v>2842</v>
      </c>
      <c r="T14" s="120">
        <f t="shared" si="15"/>
        <v>2075.3299300000144</v>
      </c>
      <c r="U14" s="120">
        <f t="shared" si="15"/>
        <v>3687.5206700000053</v>
      </c>
      <c r="V14" s="120">
        <f t="shared" si="15"/>
        <v>4135.0848600000027</v>
      </c>
      <c r="W14" s="120">
        <f t="shared" si="15"/>
        <v>3424.4915800000017</v>
      </c>
      <c r="X14" s="120">
        <f t="shared" si="15"/>
        <v>5690.6890899999999</v>
      </c>
      <c r="Y14" s="120">
        <f t="shared" si="15"/>
        <v>6431.8646100000115</v>
      </c>
      <c r="Z14" s="120">
        <f t="shared" si="15"/>
        <v>14273.874929999998</v>
      </c>
      <c r="AA14" s="120">
        <f t="shared" si="15"/>
        <v>6545.2573099999936</v>
      </c>
      <c r="AB14" s="120">
        <f t="shared" si="15"/>
        <v>10770.798369999997</v>
      </c>
      <c r="AC14" s="120">
        <f t="shared" si="15"/>
        <v>7508.3831800000007</v>
      </c>
      <c r="AD14" s="120">
        <f t="shared" si="15"/>
        <v>7455.1215200000006</v>
      </c>
      <c r="AE14" s="120">
        <f t="shared" si="15"/>
        <v>3518.8131099999991</v>
      </c>
      <c r="AF14" s="120">
        <f t="shared" si="15"/>
        <v>8219.9096400000017</v>
      </c>
      <c r="AG14" s="162">
        <f t="shared" si="15"/>
        <v>12926.425869999999</v>
      </c>
      <c r="AH14" s="120">
        <f t="shared" si="15"/>
        <v>10345.172890000002</v>
      </c>
      <c r="AI14" s="120">
        <f t="shared" si="15"/>
        <v>14663.030280000003</v>
      </c>
      <c r="AJ14" s="120">
        <f t="shared" si="15"/>
        <v>13726.369109999996</v>
      </c>
      <c r="AK14" s="120">
        <f t="shared" si="15"/>
        <v>15036.271420000005</v>
      </c>
      <c r="AL14" s="120">
        <f t="shared" si="15"/>
        <v>16507.663809999998</v>
      </c>
      <c r="AM14" s="120">
        <f t="shared" ref="AM14:AT14" si="16">AM12+AM13</f>
        <v>17074.426960000004</v>
      </c>
      <c r="AN14" s="120">
        <f t="shared" si="16"/>
        <v>11715.849170000001</v>
      </c>
      <c r="AO14" s="120">
        <f t="shared" si="16"/>
        <v>10147.146789999999</v>
      </c>
      <c r="AP14" s="120">
        <f t="shared" si="16"/>
        <v>12453.057139999997</v>
      </c>
      <c r="AQ14" s="120">
        <f t="shared" si="16"/>
        <v>11944.387340000005</v>
      </c>
      <c r="AR14" s="120">
        <f t="shared" si="16"/>
        <v>10088.517930000009</v>
      </c>
      <c r="AS14" s="120">
        <f t="shared" si="16"/>
        <v>14227.445899999992</v>
      </c>
      <c r="AT14" s="120">
        <f t="shared" si="16"/>
        <v>12184.029510000004</v>
      </c>
      <c r="AU14" s="120">
        <f t="shared" ref="AU14:BF14" si="17">AU12+AU13</f>
        <v>13982.777739999994</v>
      </c>
      <c r="AV14" s="120">
        <f t="shared" si="17"/>
        <v>11408.35729</v>
      </c>
      <c r="AW14" s="120">
        <f t="shared" si="17"/>
        <v>11035.461330000002</v>
      </c>
      <c r="AX14" s="120">
        <f t="shared" si="17"/>
        <v>11650.017139999996</v>
      </c>
      <c r="AY14" s="120">
        <f t="shared" si="17"/>
        <v>12493.387620000009</v>
      </c>
      <c r="AZ14" s="120">
        <f t="shared" si="17"/>
        <v>13435.493230000004</v>
      </c>
      <c r="BA14" s="120">
        <f t="shared" si="17"/>
        <v>10896.952349999996</v>
      </c>
      <c r="BB14" s="120">
        <f t="shared" si="17"/>
        <v>12383.087290000003</v>
      </c>
      <c r="BC14" s="120">
        <f t="shared" si="17"/>
        <v>11260.907829999996</v>
      </c>
      <c r="BD14" s="120">
        <f t="shared" si="17"/>
        <v>9135.2499500000013</v>
      </c>
      <c r="BE14" s="120">
        <f t="shared" si="17"/>
        <v>11572.734930000006</v>
      </c>
      <c r="BF14" s="120">
        <f t="shared" si="17"/>
        <v>11665.788499999995</v>
      </c>
      <c r="BG14" s="120">
        <f>BG12+BG13</f>
        <v>7397.0338399999928</v>
      </c>
      <c r="BH14" s="120">
        <f>BH12+BH13</f>
        <v>7105.4830199999924</v>
      </c>
      <c r="BI14" s="120">
        <f>BI12+BI13</f>
        <v>10475.728719999999</v>
      </c>
      <c r="BJ14" s="120">
        <f>BJ12+BJ13</f>
        <v>9400.3587300000072</v>
      </c>
    </row>
    <row r="15" spans="1:63" ht="14.1" customHeight="1" x14ac:dyDescent="0.2">
      <c r="A15" s="1" t="s">
        <v>1556</v>
      </c>
      <c r="B15" s="1" t="s">
        <v>1557</v>
      </c>
      <c r="C15" s="22"/>
      <c r="D15" s="117" t="str">
        <f>IF([1]RENAME!$H$3=1,B15,A15)</f>
        <v>Despesas*</v>
      </c>
      <c r="E15" s="118">
        <v>-5280</v>
      </c>
      <c r="F15" s="118">
        <v>-7013</v>
      </c>
      <c r="G15" s="118">
        <v>-8231</v>
      </c>
      <c r="H15" s="118">
        <v>5337</v>
      </c>
      <c r="I15" s="118">
        <v>-3003</v>
      </c>
      <c r="J15" s="118">
        <v>-10172</v>
      </c>
      <c r="K15" s="118">
        <v>-3633</v>
      </c>
      <c r="L15" s="118">
        <v>-2318</v>
      </c>
      <c r="M15" s="118">
        <v>-919</v>
      </c>
      <c r="N15" s="118">
        <v>-2308</v>
      </c>
      <c r="O15" s="118">
        <v>-15300</v>
      </c>
      <c r="P15" s="118">
        <v>2474</v>
      </c>
      <c r="Q15" s="118">
        <v>1177</v>
      </c>
      <c r="R15" s="118">
        <v>-1850</v>
      </c>
      <c r="S15" s="118">
        <v>-2767</v>
      </c>
      <c r="T15" s="260">
        <v>-16744.44572</v>
      </c>
      <c r="U15" s="118">
        <v>-165.55530000000022</v>
      </c>
      <c r="V15" s="118">
        <v>-1212.54413</v>
      </c>
      <c r="W15" s="118">
        <v>-1639.86968</v>
      </c>
      <c r="X15" s="118">
        <v>-2588.8256799999999</v>
      </c>
      <c r="Y15" s="118">
        <v>-1342.9465300000002</v>
      </c>
      <c r="Z15" s="260">
        <v>-4629.9583400000001</v>
      </c>
      <c r="AA15" s="260">
        <v>-6174.9351400000014</v>
      </c>
      <c r="AB15" s="260">
        <v>-9192.1338500000002</v>
      </c>
      <c r="AC15" s="118">
        <v>-667.74580000000003</v>
      </c>
      <c r="AD15" s="118">
        <v>-554.25487999999996</v>
      </c>
      <c r="AE15" s="118">
        <v>-382.59770999999995</v>
      </c>
      <c r="AF15" s="260">
        <v>-4590.3418099999999</v>
      </c>
      <c r="AG15" s="160">
        <v>600.34452999999996</v>
      </c>
      <c r="AH15" s="118">
        <v>446.94294000000008</v>
      </c>
      <c r="AI15" s="260">
        <v>1595.35897</v>
      </c>
      <c r="AJ15" s="118">
        <v>-1102.86581</v>
      </c>
      <c r="AK15" s="118">
        <v>-95.066719999999975</v>
      </c>
      <c r="AL15" s="118">
        <v>-199.52291000000005</v>
      </c>
      <c r="AM15" s="118">
        <v>-557.19947999999999</v>
      </c>
      <c r="AN15" s="260">
        <v>-1845.8614499999999</v>
      </c>
      <c r="AO15" s="118">
        <v>-76.880210000000019</v>
      </c>
      <c r="AP15" s="260">
        <v>5151.1847200000002</v>
      </c>
      <c r="AQ15" s="118">
        <v>13.98998000000006</v>
      </c>
      <c r="AR15" s="260">
        <v>1827.4412299999997</v>
      </c>
      <c r="AS15" s="118">
        <v>-202.53901000000008</v>
      </c>
      <c r="AT15" s="118">
        <v>-829.83764999999994</v>
      </c>
      <c r="AU15" s="118">
        <v>-11.300450000000097</v>
      </c>
      <c r="AV15" s="118">
        <v>-142.48084999999998</v>
      </c>
      <c r="AW15" s="118">
        <v>92.010109999999983</v>
      </c>
      <c r="AX15" s="118">
        <v>-84.018460000000218</v>
      </c>
      <c r="AY15" s="118">
        <v>-74.616739999999965</v>
      </c>
      <c r="AZ15" s="118">
        <v>-1699.2201799999996</v>
      </c>
      <c r="BA15" s="260">
        <v>-2540.4430400000001</v>
      </c>
      <c r="BB15" s="260">
        <v>-1844.8559499999999</v>
      </c>
      <c r="BC15" s="260">
        <v>-3253.43165</v>
      </c>
      <c r="BD15" s="260">
        <v>-3407.9472599999999</v>
      </c>
      <c r="BE15" s="118">
        <v>-3188.3353599999996</v>
      </c>
      <c r="BF15" s="118">
        <v>-3306.1176299999997</v>
      </c>
      <c r="BG15" s="118">
        <v>-2584.8586</v>
      </c>
      <c r="BH15" s="118">
        <v>-3729.5138999999995</v>
      </c>
      <c r="BI15" s="118">
        <v>-1802.35717</v>
      </c>
      <c r="BJ15" s="118">
        <f>(+SUM([4]Base_DRE!$T$35:$T$37))</f>
        <v>-2450.79628</v>
      </c>
    </row>
    <row r="16" spans="1:63" ht="14.1" customHeight="1" x14ac:dyDescent="0.2">
      <c r="A16" s="1" t="s">
        <v>8</v>
      </c>
      <c r="B16" s="1" t="s">
        <v>8</v>
      </c>
      <c r="C16" s="23"/>
      <c r="D16" s="119" t="str">
        <f>IF([1]RENAME!$H$3=1,B16,A16)</f>
        <v>EBITDA</v>
      </c>
      <c r="E16" s="120">
        <f t="shared" ref="E16:AR16" si="18">+E14+E15</f>
        <v>8793</v>
      </c>
      <c r="F16" s="120">
        <f t="shared" si="18"/>
        <v>5858</v>
      </c>
      <c r="G16" s="120">
        <f t="shared" si="18"/>
        <v>-5632</v>
      </c>
      <c r="H16" s="120">
        <f t="shared" si="18"/>
        <v>5085</v>
      </c>
      <c r="I16" s="120">
        <f t="shared" si="18"/>
        <v>-18469</v>
      </c>
      <c r="J16" s="120">
        <f t="shared" si="18"/>
        <v>-20362</v>
      </c>
      <c r="K16" s="120">
        <f t="shared" si="18"/>
        <v>-28784</v>
      </c>
      <c r="L16" s="120">
        <f t="shared" si="18"/>
        <v>-12710</v>
      </c>
      <c r="M16" s="120">
        <f t="shared" si="18"/>
        <v>-10586</v>
      </c>
      <c r="N16" s="120">
        <f t="shared" si="18"/>
        <v>-4662</v>
      </c>
      <c r="O16" s="120">
        <f t="shared" si="18"/>
        <v>-4039</v>
      </c>
      <c r="P16" s="120">
        <f t="shared" si="18"/>
        <v>3236</v>
      </c>
      <c r="Q16" s="120">
        <f t="shared" si="18"/>
        <v>621</v>
      </c>
      <c r="R16" s="120">
        <f t="shared" si="18"/>
        <v>-7397</v>
      </c>
      <c r="S16" s="120">
        <f t="shared" si="18"/>
        <v>75</v>
      </c>
      <c r="T16" s="120">
        <f t="shared" si="18"/>
        <v>-14669.115789999985</v>
      </c>
      <c r="U16" s="120">
        <f t="shared" si="18"/>
        <v>3521.9653700000054</v>
      </c>
      <c r="V16" s="120">
        <f t="shared" si="18"/>
        <v>2922.5407300000024</v>
      </c>
      <c r="W16" s="120">
        <f t="shared" si="18"/>
        <v>1784.6219000000017</v>
      </c>
      <c r="X16" s="120">
        <f t="shared" si="18"/>
        <v>3101.8634099999999</v>
      </c>
      <c r="Y16" s="120">
        <f t="shared" si="18"/>
        <v>5088.9180800000113</v>
      </c>
      <c r="Z16" s="120">
        <f t="shared" si="18"/>
        <v>9643.9165899999971</v>
      </c>
      <c r="AA16" s="120">
        <f t="shared" si="18"/>
        <v>370.32216999999218</v>
      </c>
      <c r="AB16" s="120">
        <f t="shared" si="18"/>
        <v>1578.6645199999966</v>
      </c>
      <c r="AC16" s="120">
        <f t="shared" si="18"/>
        <v>6840.637380000001</v>
      </c>
      <c r="AD16" s="120">
        <f t="shared" si="18"/>
        <v>6900.8666400000002</v>
      </c>
      <c r="AE16" s="120">
        <f t="shared" si="18"/>
        <v>3136.2153999999991</v>
      </c>
      <c r="AF16" s="120">
        <f t="shared" si="18"/>
        <v>3629.5678300000018</v>
      </c>
      <c r="AG16" s="162">
        <f t="shared" si="18"/>
        <v>13526.770399999999</v>
      </c>
      <c r="AH16" s="120">
        <f t="shared" si="18"/>
        <v>10792.115830000002</v>
      </c>
      <c r="AI16" s="120">
        <f t="shared" si="18"/>
        <v>16258.389250000002</v>
      </c>
      <c r="AJ16" s="120">
        <f t="shared" si="18"/>
        <v>12623.503299999997</v>
      </c>
      <c r="AK16" s="120">
        <f t="shared" si="18"/>
        <v>14941.204700000004</v>
      </c>
      <c r="AL16" s="120">
        <f t="shared" si="18"/>
        <v>16308.140899999999</v>
      </c>
      <c r="AM16" s="120">
        <f t="shared" si="18"/>
        <v>16517.227480000005</v>
      </c>
      <c r="AN16" s="120">
        <f t="shared" si="18"/>
        <v>9869.987720000001</v>
      </c>
      <c r="AO16" s="120">
        <f t="shared" si="18"/>
        <v>10070.26658</v>
      </c>
      <c r="AP16" s="120">
        <f t="shared" si="18"/>
        <v>17604.241859999998</v>
      </c>
      <c r="AQ16" s="120">
        <f t="shared" si="18"/>
        <v>11958.377320000005</v>
      </c>
      <c r="AR16" s="120">
        <f t="shared" si="18"/>
        <v>11915.959160000009</v>
      </c>
      <c r="AS16" s="120">
        <f t="shared" ref="AS16:AX16" si="19">+AS14+AS15</f>
        <v>14024.906889999991</v>
      </c>
      <c r="AT16" s="120">
        <f t="shared" si="19"/>
        <v>11354.191860000004</v>
      </c>
      <c r="AU16" s="120">
        <f t="shared" si="19"/>
        <v>13971.477289999993</v>
      </c>
      <c r="AV16" s="120">
        <f t="shared" si="19"/>
        <v>11265.87644</v>
      </c>
      <c r="AW16" s="120">
        <f t="shared" si="19"/>
        <v>11127.471440000001</v>
      </c>
      <c r="AX16" s="120">
        <f t="shared" si="19"/>
        <v>11565.998679999997</v>
      </c>
      <c r="AY16" s="120">
        <f t="shared" ref="AY16:BF16" si="20">+AY14+AY15</f>
        <v>12418.770880000009</v>
      </c>
      <c r="AZ16" s="120">
        <f t="shared" si="20"/>
        <v>11736.273050000003</v>
      </c>
      <c r="BA16" s="120">
        <f t="shared" si="20"/>
        <v>8356.5093099999958</v>
      </c>
      <c r="BB16" s="120">
        <f t="shared" si="20"/>
        <v>10538.231340000004</v>
      </c>
      <c r="BC16" s="120">
        <f t="shared" si="20"/>
        <v>8007.476179999996</v>
      </c>
      <c r="BD16" s="120">
        <f t="shared" si="20"/>
        <v>5727.3026900000013</v>
      </c>
      <c r="BE16" s="120">
        <f t="shared" si="20"/>
        <v>8384.3995700000069</v>
      </c>
      <c r="BF16" s="120">
        <f t="shared" si="20"/>
        <v>8359.6708699999945</v>
      </c>
      <c r="BG16" s="120">
        <f>+BG14+BG15</f>
        <v>4812.1752399999932</v>
      </c>
      <c r="BH16" s="120">
        <f>+BH14+BH15</f>
        <v>3375.9691199999929</v>
      </c>
      <c r="BI16" s="120">
        <f>+BI14+BI15</f>
        <v>8673.3715499999998</v>
      </c>
      <c r="BJ16" s="120">
        <f>+BJ14+BJ15</f>
        <v>6949.5624500000067</v>
      </c>
    </row>
    <row r="17" spans="1:62" ht="14.1" customHeight="1" x14ac:dyDescent="0.2">
      <c r="A17" s="1" t="s">
        <v>1548</v>
      </c>
      <c r="B17" s="1" t="s">
        <v>1549</v>
      </c>
      <c r="C17" s="23"/>
      <c r="D17" s="335" t="str">
        <f>IF([1]RENAME!$H$3=1,B17,A17)</f>
        <v>Revisão base PIS/Cofins</v>
      </c>
      <c r="E17" s="118" t="s">
        <v>160</v>
      </c>
      <c r="F17" s="118" t="s">
        <v>160</v>
      </c>
      <c r="G17" s="118" t="s">
        <v>160</v>
      </c>
      <c r="H17" s="118" t="s">
        <v>160</v>
      </c>
      <c r="I17" s="118" t="s">
        <v>160</v>
      </c>
      <c r="J17" s="118" t="s">
        <v>160</v>
      </c>
      <c r="K17" s="118" t="s">
        <v>160</v>
      </c>
      <c r="L17" s="118" t="s">
        <v>160</v>
      </c>
      <c r="M17" s="118" t="s">
        <v>160</v>
      </c>
      <c r="N17" s="118" t="s">
        <v>160</v>
      </c>
      <c r="O17" s="118" t="s">
        <v>160</v>
      </c>
      <c r="P17" s="118" t="s">
        <v>160</v>
      </c>
      <c r="Q17" s="118" t="s">
        <v>160</v>
      </c>
      <c r="R17" s="118" t="s">
        <v>160</v>
      </c>
      <c r="S17" s="118" t="s">
        <v>160</v>
      </c>
      <c r="T17" s="118" t="s">
        <v>160</v>
      </c>
      <c r="U17" s="118" t="s">
        <v>160</v>
      </c>
      <c r="V17" s="118" t="s">
        <v>160</v>
      </c>
      <c r="W17" s="118" t="s">
        <v>160</v>
      </c>
      <c r="X17" s="118" t="s">
        <v>160</v>
      </c>
      <c r="Y17" s="118" t="s">
        <v>160</v>
      </c>
      <c r="Z17" s="118" t="s">
        <v>160</v>
      </c>
      <c r="AA17" s="118" t="s">
        <v>160</v>
      </c>
      <c r="AB17" s="118" t="s">
        <v>160</v>
      </c>
      <c r="AC17" s="118" t="s">
        <v>160</v>
      </c>
      <c r="AD17" s="118" t="s">
        <v>160</v>
      </c>
      <c r="AE17" s="118" t="s">
        <v>160</v>
      </c>
      <c r="AF17" s="118">
        <v>-372.3470810139998</v>
      </c>
      <c r="AG17" s="160">
        <v>0</v>
      </c>
      <c r="AH17" s="118">
        <v>0</v>
      </c>
      <c r="AI17" s="118">
        <v>-1600.9180111586791</v>
      </c>
      <c r="AJ17" s="118">
        <v>0</v>
      </c>
      <c r="AK17" s="118">
        <v>0</v>
      </c>
      <c r="AL17" s="118">
        <v>0</v>
      </c>
      <c r="AM17" s="118">
        <v>0</v>
      </c>
      <c r="AN17" s="118">
        <v>0</v>
      </c>
      <c r="AO17" s="118">
        <v>0</v>
      </c>
      <c r="AP17" s="118">
        <v>-5732.7137899999998</v>
      </c>
      <c r="AQ17" s="118">
        <v>0</v>
      </c>
      <c r="AR17" s="118">
        <v>0</v>
      </c>
      <c r="AS17" s="118">
        <v>0</v>
      </c>
      <c r="AT17" s="118">
        <v>0</v>
      </c>
      <c r="AU17" s="118">
        <v>0</v>
      </c>
      <c r="AV17" s="118">
        <v>0</v>
      </c>
      <c r="AW17" s="118">
        <v>0</v>
      </c>
      <c r="AX17" s="118">
        <v>0</v>
      </c>
      <c r="AY17" s="118">
        <v>0</v>
      </c>
      <c r="AZ17" s="118">
        <v>0</v>
      </c>
      <c r="BA17" s="118" t="s">
        <v>160</v>
      </c>
      <c r="BB17" s="118" t="s">
        <v>160</v>
      </c>
      <c r="BC17" s="118">
        <v>0</v>
      </c>
      <c r="BD17" s="118">
        <v>0</v>
      </c>
      <c r="BE17" s="118">
        <v>0</v>
      </c>
      <c r="BF17" s="118">
        <v>0</v>
      </c>
      <c r="BG17" s="118">
        <v>0</v>
      </c>
      <c r="BH17" s="118">
        <v>0</v>
      </c>
      <c r="BI17" s="118">
        <v>0</v>
      </c>
      <c r="BJ17" s="118">
        <v>0</v>
      </c>
    </row>
    <row r="18" spans="1:62" ht="14.1" customHeight="1" x14ac:dyDescent="0.2">
      <c r="A18" s="1" t="s">
        <v>1929</v>
      </c>
      <c r="B18" s="1" t="s">
        <v>1930</v>
      </c>
      <c r="C18" s="23"/>
      <c r="D18" s="335" t="str">
        <f>IF([1]RENAME!$H$3=1,B18,A18)</f>
        <v>Ganho na venda de participação acionária</v>
      </c>
      <c r="E18" s="118" t="s">
        <v>160</v>
      </c>
      <c r="F18" s="118" t="s">
        <v>160</v>
      </c>
      <c r="G18" s="118" t="s">
        <v>160</v>
      </c>
      <c r="H18" s="118" t="s">
        <v>160</v>
      </c>
      <c r="I18" s="118" t="s">
        <v>160</v>
      </c>
      <c r="J18" s="118" t="s">
        <v>160</v>
      </c>
      <c r="K18" s="118" t="s">
        <v>160</v>
      </c>
      <c r="L18" s="118" t="s">
        <v>160</v>
      </c>
      <c r="M18" s="118" t="s">
        <v>160</v>
      </c>
      <c r="N18" s="118" t="s">
        <v>160</v>
      </c>
      <c r="O18" s="118" t="s">
        <v>160</v>
      </c>
      <c r="P18" s="118" t="s">
        <v>160</v>
      </c>
      <c r="Q18" s="118" t="s">
        <v>160</v>
      </c>
      <c r="R18" s="118" t="s">
        <v>160</v>
      </c>
      <c r="S18" s="118" t="s">
        <v>160</v>
      </c>
      <c r="T18" s="118" t="s">
        <v>160</v>
      </c>
      <c r="U18" s="118" t="s">
        <v>160</v>
      </c>
      <c r="V18" s="118" t="s">
        <v>160</v>
      </c>
      <c r="W18" s="118" t="s">
        <v>160</v>
      </c>
      <c r="X18" s="118" t="s">
        <v>160</v>
      </c>
      <c r="Y18" s="118" t="s">
        <v>160</v>
      </c>
      <c r="Z18" s="118" t="s">
        <v>160</v>
      </c>
      <c r="AA18" s="118" t="s">
        <v>160</v>
      </c>
      <c r="AB18" s="118" t="s">
        <v>160</v>
      </c>
      <c r="AC18" s="118" t="s">
        <v>160</v>
      </c>
      <c r="AD18" s="118" t="s">
        <v>160</v>
      </c>
      <c r="AE18" s="118" t="s">
        <v>160</v>
      </c>
      <c r="AF18" s="118" t="s">
        <v>160</v>
      </c>
      <c r="AG18" s="160" t="s">
        <v>160</v>
      </c>
      <c r="AH18" s="118" t="s">
        <v>160</v>
      </c>
      <c r="AI18" s="118" t="s">
        <v>160</v>
      </c>
      <c r="AJ18" s="118" t="s">
        <v>160</v>
      </c>
      <c r="AK18" s="118" t="s">
        <v>160</v>
      </c>
      <c r="AL18" s="118" t="s">
        <v>160</v>
      </c>
      <c r="AM18" s="118" t="s">
        <v>160</v>
      </c>
      <c r="AN18" s="118" t="s">
        <v>160</v>
      </c>
      <c r="AO18" s="118" t="s">
        <v>160</v>
      </c>
      <c r="AP18" s="118" t="s">
        <v>160</v>
      </c>
      <c r="AQ18" s="118" t="s">
        <v>160</v>
      </c>
      <c r="AR18" s="118">
        <v>-2591</v>
      </c>
      <c r="AS18" s="118" t="s">
        <v>160</v>
      </c>
      <c r="AT18" s="118" t="s">
        <v>160</v>
      </c>
      <c r="AU18" s="118" t="s">
        <v>160</v>
      </c>
      <c r="AV18" s="118" t="s">
        <v>160</v>
      </c>
      <c r="AW18" s="118" t="s">
        <v>160</v>
      </c>
      <c r="AX18" s="118" t="s">
        <v>160</v>
      </c>
      <c r="AY18" s="118" t="s">
        <v>160</v>
      </c>
      <c r="AZ18" s="118" t="s">
        <v>160</v>
      </c>
      <c r="BA18" s="118" t="s">
        <v>160</v>
      </c>
      <c r="BB18" s="118" t="s">
        <v>160</v>
      </c>
      <c r="BC18" s="118" t="s">
        <v>160</v>
      </c>
      <c r="BD18" s="118" t="s">
        <v>160</v>
      </c>
      <c r="BE18" s="118" t="s">
        <v>160</v>
      </c>
      <c r="BF18" s="118" t="s">
        <v>160</v>
      </c>
      <c r="BG18" s="118" t="s">
        <v>160</v>
      </c>
      <c r="BH18" s="118" t="s">
        <v>160</v>
      </c>
      <c r="BI18" s="118" t="s">
        <v>160</v>
      </c>
      <c r="BJ18" s="118" t="s">
        <v>160</v>
      </c>
    </row>
    <row r="19" spans="1:62" ht="14.1" customHeight="1" x14ac:dyDescent="0.2">
      <c r="A19" s="1" t="s">
        <v>1912</v>
      </c>
      <c r="B19" s="1" t="s">
        <v>1913</v>
      </c>
      <c r="C19" s="23"/>
      <c r="D19" s="335" t="str">
        <f>IF([1]RENAME!$H$3=1,B19,A19)</f>
        <v>Despesas da oferta hostil</v>
      </c>
      <c r="E19" s="118" t="s">
        <v>160</v>
      </c>
      <c r="F19" s="118" t="s">
        <v>160</v>
      </c>
      <c r="G19" s="118" t="s">
        <v>160</v>
      </c>
      <c r="H19" s="118" t="s">
        <v>160</v>
      </c>
      <c r="I19" s="118" t="s">
        <v>160</v>
      </c>
      <c r="J19" s="118" t="s">
        <v>160</v>
      </c>
      <c r="K19" s="118" t="s">
        <v>160</v>
      </c>
      <c r="L19" s="118" t="s">
        <v>160</v>
      </c>
      <c r="M19" s="118" t="s">
        <v>160</v>
      </c>
      <c r="N19" s="118" t="s">
        <v>160</v>
      </c>
      <c r="O19" s="118" t="s">
        <v>160</v>
      </c>
      <c r="P19" s="118" t="s">
        <v>160</v>
      </c>
      <c r="Q19" s="118" t="s">
        <v>160</v>
      </c>
      <c r="R19" s="118" t="s">
        <v>160</v>
      </c>
      <c r="S19" s="118" t="s">
        <v>160</v>
      </c>
      <c r="T19" s="118" t="s">
        <v>160</v>
      </c>
      <c r="U19" s="118" t="s">
        <v>160</v>
      </c>
      <c r="V19" s="118" t="s">
        <v>160</v>
      </c>
      <c r="W19" s="118" t="s">
        <v>160</v>
      </c>
      <c r="X19" s="118" t="s">
        <v>160</v>
      </c>
      <c r="Y19" s="118" t="s">
        <v>160</v>
      </c>
      <c r="Z19" s="118" t="s">
        <v>160</v>
      </c>
      <c r="AA19" s="118" t="s">
        <v>160</v>
      </c>
      <c r="AB19" s="118" t="s">
        <v>160</v>
      </c>
      <c r="AC19" s="118" t="s">
        <v>160</v>
      </c>
      <c r="AD19" s="118" t="s">
        <v>160</v>
      </c>
      <c r="AE19" s="118" t="s">
        <v>160</v>
      </c>
      <c r="AF19" s="118" t="s">
        <v>160</v>
      </c>
      <c r="AG19" s="160" t="s">
        <v>160</v>
      </c>
      <c r="AH19" s="118" t="s">
        <v>160</v>
      </c>
      <c r="AI19" s="118" t="s">
        <v>160</v>
      </c>
      <c r="AJ19" s="118" t="s">
        <v>160</v>
      </c>
      <c r="AK19" s="118" t="s">
        <v>160</v>
      </c>
      <c r="AL19" s="118" t="s">
        <v>160</v>
      </c>
      <c r="AM19" s="118" t="s">
        <v>160</v>
      </c>
      <c r="AN19" s="118" t="s">
        <v>160</v>
      </c>
      <c r="AO19" s="118" t="s">
        <v>160</v>
      </c>
      <c r="AP19" s="118" t="s">
        <v>160</v>
      </c>
      <c r="AQ19" s="118">
        <v>0</v>
      </c>
      <c r="AR19" s="118">
        <v>0</v>
      </c>
      <c r="AS19" s="118">
        <v>0</v>
      </c>
      <c r="AT19" s="118">
        <v>0</v>
      </c>
      <c r="AU19" s="118">
        <v>0</v>
      </c>
      <c r="AV19" s="118">
        <v>0</v>
      </c>
      <c r="AW19" s="118">
        <v>0</v>
      </c>
      <c r="AX19" s="118">
        <v>0</v>
      </c>
      <c r="AY19" s="118">
        <v>0</v>
      </c>
      <c r="AZ19" s="118">
        <v>0</v>
      </c>
      <c r="BA19" s="118" t="s">
        <v>160</v>
      </c>
      <c r="BB19" s="118" t="s">
        <v>160</v>
      </c>
      <c r="BC19" s="118">
        <v>0</v>
      </c>
      <c r="BD19" s="118">
        <v>0</v>
      </c>
      <c r="BE19" s="118">
        <v>0</v>
      </c>
      <c r="BF19" s="118">
        <v>0</v>
      </c>
      <c r="BG19" s="118">
        <v>0</v>
      </c>
      <c r="BH19" s="118">
        <v>0</v>
      </c>
      <c r="BI19" s="118">
        <v>0</v>
      </c>
      <c r="BJ19" s="118">
        <v>0</v>
      </c>
    </row>
    <row r="20" spans="1:62" ht="14.1" customHeight="1" x14ac:dyDescent="0.2">
      <c r="A20" s="1" t="s">
        <v>1594</v>
      </c>
      <c r="B20" s="1" t="s">
        <v>1593</v>
      </c>
      <c r="C20" s="23"/>
      <c r="D20" s="335" t="str">
        <f>IF([1]RENAME!$H$3=1,B20,A20)</f>
        <v>Custo da investigação Operação Pacto</v>
      </c>
      <c r="E20" s="118">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0</v>
      </c>
      <c r="AA20" s="118">
        <v>0</v>
      </c>
      <c r="AB20" s="118">
        <v>0</v>
      </c>
      <c r="AC20" s="118">
        <v>0</v>
      </c>
      <c r="AD20" s="118">
        <v>0</v>
      </c>
      <c r="AE20" s="118">
        <v>0</v>
      </c>
      <c r="AF20" s="118">
        <v>0</v>
      </c>
      <c r="AG20" s="160">
        <v>0</v>
      </c>
      <c r="AH20" s="118">
        <v>0</v>
      </c>
      <c r="AI20" s="118">
        <v>0</v>
      </c>
      <c r="AJ20" s="118">
        <v>0</v>
      </c>
      <c r="AK20" s="118">
        <v>0</v>
      </c>
      <c r="AL20" s="118">
        <v>0</v>
      </c>
      <c r="AM20" s="118">
        <v>0</v>
      </c>
      <c r="AN20" s="118">
        <v>0</v>
      </c>
      <c r="AO20" s="118">
        <v>0</v>
      </c>
      <c r="AP20" s="118">
        <v>0</v>
      </c>
      <c r="AQ20" s="118">
        <v>0</v>
      </c>
      <c r="AR20" s="118">
        <v>0</v>
      </c>
      <c r="AS20" s="118">
        <v>0</v>
      </c>
      <c r="AT20" s="118">
        <v>0</v>
      </c>
      <c r="AU20" s="118">
        <v>0</v>
      </c>
      <c r="AV20" s="118">
        <v>0</v>
      </c>
      <c r="AW20" s="118">
        <v>0</v>
      </c>
      <c r="AX20" s="118">
        <v>0</v>
      </c>
      <c r="AY20" s="118">
        <v>0</v>
      </c>
      <c r="AZ20" s="118">
        <v>0</v>
      </c>
      <c r="BA20" s="118" t="s">
        <v>160</v>
      </c>
      <c r="BB20" s="118" t="s">
        <v>160</v>
      </c>
      <c r="BC20" s="118">
        <v>0</v>
      </c>
      <c r="BD20" s="118">
        <v>0</v>
      </c>
      <c r="BE20" s="118">
        <v>0</v>
      </c>
      <c r="BF20" s="118">
        <v>0</v>
      </c>
      <c r="BG20" s="118">
        <v>0</v>
      </c>
      <c r="BH20" s="118">
        <v>0</v>
      </c>
      <c r="BI20" s="118">
        <v>0</v>
      </c>
      <c r="BJ20" s="118">
        <v>0</v>
      </c>
    </row>
    <row r="21" spans="1:62" ht="14.1" customHeight="1" x14ac:dyDescent="0.2">
      <c r="A21" s="1" t="s">
        <v>388</v>
      </c>
      <c r="B21" s="1" t="s">
        <v>1547</v>
      </c>
      <c r="C21" s="23"/>
      <c r="D21" s="335" t="str">
        <f>IF([1]RENAME!$H$3=1,B21,A21)</f>
        <v>Crédito de PIS/COFINS</v>
      </c>
      <c r="E21" s="118">
        <v>0</v>
      </c>
      <c r="F21" s="118">
        <v>0</v>
      </c>
      <c r="G21" s="118">
        <v>0</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18">
        <v>0</v>
      </c>
      <c r="Y21" s="118">
        <v>0</v>
      </c>
      <c r="Z21" s="118">
        <v>0</v>
      </c>
      <c r="AA21" s="118">
        <v>0</v>
      </c>
      <c r="AB21" s="118">
        <v>-5147.630339999997</v>
      </c>
      <c r="AC21" s="118" t="s">
        <v>160</v>
      </c>
      <c r="AD21" s="118" t="s">
        <v>160</v>
      </c>
      <c r="AE21" s="118" t="s">
        <v>160</v>
      </c>
      <c r="AF21" s="118">
        <v>0</v>
      </c>
      <c r="AG21" s="160">
        <v>0</v>
      </c>
      <c r="AH21" s="118">
        <v>0</v>
      </c>
      <c r="AI21" s="118">
        <v>0</v>
      </c>
      <c r="AJ21" s="118">
        <v>0</v>
      </c>
      <c r="AK21" s="118">
        <v>0</v>
      </c>
      <c r="AL21" s="118">
        <v>0</v>
      </c>
      <c r="AM21" s="118">
        <v>0</v>
      </c>
      <c r="AN21" s="118">
        <v>0</v>
      </c>
      <c r="AO21" s="118">
        <v>0</v>
      </c>
      <c r="AP21" s="118">
        <v>0</v>
      </c>
      <c r="AQ21" s="118">
        <v>0</v>
      </c>
      <c r="AR21" s="118">
        <v>0</v>
      </c>
      <c r="AS21" s="118">
        <v>0</v>
      </c>
      <c r="AT21" s="118">
        <v>0</v>
      </c>
      <c r="AU21" s="118">
        <v>0</v>
      </c>
      <c r="AV21" s="118">
        <v>0</v>
      </c>
      <c r="AW21" s="118">
        <v>0</v>
      </c>
      <c r="AX21" s="118">
        <v>0</v>
      </c>
      <c r="AY21" s="118">
        <v>0</v>
      </c>
      <c r="AZ21" s="118">
        <v>0</v>
      </c>
      <c r="BA21" s="118" t="s">
        <v>160</v>
      </c>
      <c r="BB21" s="118" t="s">
        <v>160</v>
      </c>
      <c r="BC21" s="118">
        <v>0</v>
      </c>
      <c r="BD21" s="118">
        <v>0</v>
      </c>
      <c r="BE21" s="118">
        <v>0</v>
      </c>
      <c r="BF21" s="118">
        <v>0</v>
      </c>
      <c r="BG21" s="118">
        <v>0</v>
      </c>
      <c r="BH21" s="118">
        <v>0</v>
      </c>
      <c r="BI21" s="118">
        <v>0</v>
      </c>
      <c r="BJ21" s="118">
        <v>0</v>
      </c>
    </row>
    <row r="22" spans="1:62" ht="14.1" customHeight="1" x14ac:dyDescent="0.2">
      <c r="A22" s="1" t="s">
        <v>1960</v>
      </c>
      <c r="B22" s="19" t="s">
        <v>1959</v>
      </c>
      <c r="C22" s="23"/>
      <c r="D22" s="335" t="str">
        <f>IF([1]RENAME!$H$3=1,B22,A22)</f>
        <v>Contingência cívil ex controlada Direct</v>
      </c>
      <c r="E22" s="118">
        <v>0</v>
      </c>
      <c r="F22" s="118">
        <v>0</v>
      </c>
      <c r="G22" s="118">
        <v>0</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18">
        <v>0</v>
      </c>
      <c r="Y22" s="118">
        <v>0</v>
      </c>
      <c r="Z22" s="118">
        <v>0</v>
      </c>
      <c r="AA22" s="118">
        <v>0</v>
      </c>
      <c r="AB22" s="118">
        <v>0</v>
      </c>
      <c r="AC22" s="118" t="s">
        <v>160</v>
      </c>
      <c r="AD22" s="118" t="s">
        <v>160</v>
      </c>
      <c r="AE22" s="118" t="s">
        <v>160</v>
      </c>
      <c r="AF22" s="118">
        <v>0</v>
      </c>
      <c r="AG22" s="160">
        <v>0</v>
      </c>
      <c r="AH22" s="118">
        <v>0</v>
      </c>
      <c r="AI22" s="118">
        <v>0</v>
      </c>
      <c r="AJ22" s="118">
        <v>0</v>
      </c>
      <c r="AK22" s="118">
        <v>0</v>
      </c>
      <c r="AL22" s="118">
        <v>0</v>
      </c>
      <c r="AM22" s="118">
        <v>0</v>
      </c>
      <c r="AN22" s="118">
        <v>0</v>
      </c>
      <c r="AO22" s="118">
        <v>0</v>
      </c>
      <c r="AP22" s="118">
        <v>0</v>
      </c>
      <c r="AQ22" s="118">
        <v>0</v>
      </c>
      <c r="AR22" s="118">
        <v>0</v>
      </c>
      <c r="AS22" s="118">
        <v>0</v>
      </c>
      <c r="AT22" s="118">
        <v>0</v>
      </c>
      <c r="AU22" s="118">
        <v>0</v>
      </c>
      <c r="AV22" s="118">
        <v>0</v>
      </c>
      <c r="AW22" s="118">
        <v>0</v>
      </c>
      <c r="AX22" s="118">
        <v>0</v>
      </c>
      <c r="AY22" s="118">
        <v>0</v>
      </c>
      <c r="AZ22" s="118">
        <v>0</v>
      </c>
      <c r="BA22" s="118" t="s">
        <v>160</v>
      </c>
      <c r="BB22" s="118" t="s">
        <v>160</v>
      </c>
      <c r="BC22" s="118">
        <v>0</v>
      </c>
      <c r="BD22" s="118">
        <v>0</v>
      </c>
      <c r="BE22" s="118">
        <v>0</v>
      </c>
      <c r="BF22" s="118">
        <v>0</v>
      </c>
      <c r="BG22" s="118">
        <v>0</v>
      </c>
      <c r="BH22" s="118">
        <v>0</v>
      </c>
      <c r="BI22" s="118">
        <v>0</v>
      </c>
      <c r="BJ22" s="118">
        <v>0</v>
      </c>
    </row>
    <row r="23" spans="1:62" ht="14.1" customHeight="1" x14ac:dyDescent="0.2">
      <c r="A23" s="1" t="s">
        <v>1342</v>
      </c>
      <c r="B23" s="19" t="s">
        <v>1383</v>
      </c>
      <c r="C23" s="23"/>
      <c r="D23" s="335" t="str">
        <f>IF([1]RENAME!$H$3=1,B23,A23)</f>
        <v>Denúncia espontãnea TCE</v>
      </c>
      <c r="E23" s="118" t="s">
        <v>160</v>
      </c>
      <c r="F23" s="118" t="s">
        <v>160</v>
      </c>
      <c r="G23" s="118" t="s">
        <v>160</v>
      </c>
      <c r="H23" s="118" t="s">
        <v>160</v>
      </c>
      <c r="I23" s="118" t="s">
        <v>160</v>
      </c>
      <c r="J23" s="118" t="s">
        <v>160</v>
      </c>
      <c r="K23" s="118" t="s">
        <v>160</v>
      </c>
      <c r="L23" s="118" t="s">
        <v>160</v>
      </c>
      <c r="M23" s="118" t="s">
        <v>160</v>
      </c>
      <c r="N23" s="118" t="s">
        <v>160</v>
      </c>
      <c r="O23" s="118" t="s">
        <v>160</v>
      </c>
      <c r="P23" s="118" t="s">
        <v>160</v>
      </c>
      <c r="Q23" s="118" t="s">
        <v>160</v>
      </c>
      <c r="R23" s="118" t="s">
        <v>160</v>
      </c>
      <c r="S23" s="118" t="s">
        <v>160</v>
      </c>
      <c r="T23" s="118" t="s">
        <v>160</v>
      </c>
      <c r="U23" s="118" t="s">
        <v>160</v>
      </c>
      <c r="V23" s="118" t="s">
        <v>160</v>
      </c>
      <c r="W23" s="118" t="s">
        <v>160</v>
      </c>
      <c r="X23" s="118" t="s">
        <v>160</v>
      </c>
      <c r="Y23" s="118" t="s">
        <v>160</v>
      </c>
      <c r="Z23" s="118" t="s">
        <v>160</v>
      </c>
      <c r="AA23" s="118" t="s">
        <v>160</v>
      </c>
      <c r="AB23" s="118" t="s">
        <v>160</v>
      </c>
      <c r="AC23" s="118" t="s">
        <v>160</v>
      </c>
      <c r="AD23" s="118" t="s">
        <v>160</v>
      </c>
      <c r="AE23" s="118">
        <f>5251.75993</f>
        <v>5251.7599300000002</v>
      </c>
      <c r="AF23" s="118">
        <v>0</v>
      </c>
      <c r="AG23" s="160">
        <v>0</v>
      </c>
      <c r="AH23" s="118">
        <v>0</v>
      </c>
      <c r="AI23" s="118">
        <v>0</v>
      </c>
      <c r="AJ23" s="118">
        <v>0</v>
      </c>
      <c r="AK23" s="118">
        <v>0</v>
      </c>
      <c r="AL23" s="118">
        <v>0</v>
      </c>
      <c r="AM23" s="118">
        <v>0</v>
      </c>
      <c r="AN23" s="118">
        <v>0</v>
      </c>
      <c r="AO23" s="118">
        <v>0</v>
      </c>
      <c r="AP23" s="118">
        <v>0</v>
      </c>
      <c r="AQ23" s="118">
        <v>0</v>
      </c>
      <c r="AR23" s="118">
        <v>0</v>
      </c>
      <c r="AS23" s="118">
        <v>0</v>
      </c>
      <c r="AT23" s="118">
        <v>0</v>
      </c>
      <c r="AU23" s="118">
        <v>0</v>
      </c>
      <c r="AV23" s="118">
        <v>0</v>
      </c>
      <c r="AW23" s="118">
        <v>0</v>
      </c>
      <c r="AX23" s="118">
        <v>0</v>
      </c>
      <c r="AY23" s="118">
        <v>0</v>
      </c>
      <c r="AZ23" s="118">
        <v>0</v>
      </c>
      <c r="BA23" s="118" t="s">
        <v>160</v>
      </c>
      <c r="BB23" s="118" t="s">
        <v>160</v>
      </c>
      <c r="BC23" s="118">
        <v>0</v>
      </c>
      <c r="BD23" s="118">
        <v>0</v>
      </c>
      <c r="BE23" s="118">
        <v>0</v>
      </c>
      <c r="BF23" s="118">
        <v>0</v>
      </c>
      <c r="BG23" s="118">
        <v>0</v>
      </c>
      <c r="BH23" s="118">
        <v>0</v>
      </c>
      <c r="BI23" s="118">
        <v>0</v>
      </c>
      <c r="BJ23" s="118">
        <v>0</v>
      </c>
    </row>
    <row r="24" spans="1:62" ht="14.1" customHeight="1" x14ac:dyDescent="0.2">
      <c r="A24" s="1" t="s">
        <v>52</v>
      </c>
      <c r="B24" s="1" t="s">
        <v>726</v>
      </c>
      <c r="C24" s="23"/>
      <c r="D24" s="335" t="str">
        <f>IF([1]RENAME!$H$3=1,B24,A24)</f>
        <v>Desmobilização de Operações</v>
      </c>
      <c r="E24" s="118">
        <v>0</v>
      </c>
      <c r="F24" s="118">
        <v>0</v>
      </c>
      <c r="G24" s="118">
        <v>0</v>
      </c>
      <c r="H24" s="118">
        <v>0</v>
      </c>
      <c r="I24" s="118">
        <v>0</v>
      </c>
      <c r="J24" s="118">
        <v>0</v>
      </c>
      <c r="K24" s="118">
        <v>0</v>
      </c>
      <c r="L24" s="118">
        <v>0</v>
      </c>
      <c r="M24" s="118">
        <v>6918</v>
      </c>
      <c r="N24" s="118">
        <v>0</v>
      </c>
      <c r="O24" s="118">
        <v>0</v>
      </c>
      <c r="P24" s="118">
        <v>0</v>
      </c>
      <c r="Q24" s="118">
        <v>0</v>
      </c>
      <c r="R24" s="118">
        <v>0</v>
      </c>
      <c r="S24" s="118">
        <v>0</v>
      </c>
      <c r="T24" s="118">
        <f>'Despesas por Natureza'!L30+'Despesas por Natureza'!L27</f>
        <v>6697.1685799999996</v>
      </c>
      <c r="U24" s="118">
        <v>0</v>
      </c>
      <c r="V24" s="118">
        <v>0</v>
      </c>
      <c r="W24" s="118">
        <v>0</v>
      </c>
      <c r="X24" s="118">
        <v>0</v>
      </c>
      <c r="Y24" s="118">
        <v>0</v>
      </c>
      <c r="Z24" s="118">
        <v>0</v>
      </c>
      <c r="AA24" s="118">
        <v>0</v>
      </c>
      <c r="AB24" s="118">
        <v>0</v>
      </c>
      <c r="AC24" s="118">
        <v>0</v>
      </c>
      <c r="AD24" s="118">
        <v>0</v>
      </c>
      <c r="AE24" s="118">
        <v>0</v>
      </c>
      <c r="AF24" s="118">
        <v>0</v>
      </c>
      <c r="AG24" s="160">
        <v>0</v>
      </c>
      <c r="AH24" s="118">
        <v>0</v>
      </c>
      <c r="AI24" s="118">
        <v>0</v>
      </c>
      <c r="AJ24" s="118">
        <v>0</v>
      </c>
      <c r="AK24" s="118">
        <v>0</v>
      </c>
      <c r="AL24" s="118">
        <v>0</v>
      </c>
      <c r="AM24" s="118">
        <v>0</v>
      </c>
      <c r="AN24" s="118">
        <v>5220.2719999999999</v>
      </c>
      <c r="AO24" s="118">
        <v>0</v>
      </c>
      <c r="AP24" s="118">
        <v>0</v>
      </c>
      <c r="AQ24" s="118">
        <v>0</v>
      </c>
      <c r="AR24" s="118">
        <v>0</v>
      </c>
      <c r="AS24" s="118">
        <v>0</v>
      </c>
      <c r="AT24" s="118">
        <v>0</v>
      </c>
      <c r="AU24" s="118">
        <v>0</v>
      </c>
      <c r="AV24" s="118">
        <v>0</v>
      </c>
      <c r="AW24" s="118">
        <v>0</v>
      </c>
      <c r="AX24" s="118">
        <v>0</v>
      </c>
      <c r="AY24" s="118">
        <v>0</v>
      </c>
      <c r="AZ24" s="118">
        <v>0</v>
      </c>
      <c r="BA24" s="118" t="s">
        <v>160</v>
      </c>
      <c r="BB24" s="118" t="s">
        <v>160</v>
      </c>
      <c r="BC24" s="118">
        <v>0</v>
      </c>
      <c r="BD24" s="118">
        <v>0</v>
      </c>
      <c r="BE24" s="118">
        <v>0</v>
      </c>
      <c r="BF24" s="118">
        <v>0</v>
      </c>
      <c r="BG24" s="118">
        <v>0</v>
      </c>
      <c r="BH24" s="118">
        <v>0</v>
      </c>
      <c r="BI24" s="118">
        <v>0</v>
      </c>
      <c r="BJ24" s="118">
        <v>0</v>
      </c>
    </row>
    <row r="25" spans="1:62" ht="14.1" customHeight="1" x14ac:dyDescent="0.2">
      <c r="A25" s="1" t="s">
        <v>630</v>
      </c>
      <c r="B25" s="1" t="s">
        <v>721</v>
      </c>
      <c r="C25" s="23"/>
      <c r="D25" s="335" t="str">
        <f>IF([1]RENAME!$H$3=1,B25,A25)</f>
        <v>Baixa contas a receber operação descontinuada</v>
      </c>
      <c r="E25" s="118">
        <v>0</v>
      </c>
      <c r="F25" s="118">
        <v>0</v>
      </c>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18">
        <v>0</v>
      </c>
      <c r="Y25" s="118">
        <v>0</v>
      </c>
      <c r="Z25" s="118">
        <v>0</v>
      </c>
      <c r="AA25" s="118">
        <f>+'Demais Contas a Receber'!S41-'Demais Contas a Receber'!T41</f>
        <v>5733</v>
      </c>
      <c r="AB25" s="118">
        <f>+'Demais Contas a Receber'!T41-'Demais Contas a Receber'!U41</f>
        <v>5731</v>
      </c>
      <c r="AC25" s="118" t="s">
        <v>160</v>
      </c>
      <c r="AD25" s="118" t="s">
        <v>160</v>
      </c>
      <c r="AE25" s="118" t="s">
        <v>160</v>
      </c>
      <c r="AF25" s="118">
        <v>2859.0540299999998</v>
      </c>
      <c r="AG25" s="160">
        <v>0</v>
      </c>
      <c r="AH25" s="118">
        <v>0</v>
      </c>
      <c r="AI25" s="118">
        <v>0</v>
      </c>
      <c r="AJ25" s="118">
        <v>0</v>
      </c>
      <c r="AK25" s="118">
        <v>0</v>
      </c>
      <c r="AL25" s="118">
        <v>0</v>
      </c>
      <c r="AM25" s="118">
        <v>0</v>
      </c>
      <c r="AN25" s="118">
        <v>0</v>
      </c>
      <c r="AO25" s="118">
        <v>0</v>
      </c>
      <c r="AP25" s="118">
        <v>0</v>
      </c>
      <c r="AQ25" s="118">
        <v>0</v>
      </c>
      <c r="AR25" s="118">
        <v>0</v>
      </c>
      <c r="AS25" s="118">
        <v>0</v>
      </c>
      <c r="AT25" s="118">
        <v>0</v>
      </c>
      <c r="AU25" s="118">
        <v>0</v>
      </c>
      <c r="AV25" s="118">
        <v>0</v>
      </c>
      <c r="AW25" s="118">
        <v>0</v>
      </c>
      <c r="AX25" s="118">
        <v>0</v>
      </c>
      <c r="AY25" s="118">
        <v>0</v>
      </c>
      <c r="AZ25" s="118">
        <v>0</v>
      </c>
      <c r="BA25" s="118" t="s">
        <v>160</v>
      </c>
      <c r="BB25" s="118" t="s">
        <v>160</v>
      </c>
      <c r="BC25" s="118">
        <v>0</v>
      </c>
      <c r="BD25" s="118">
        <v>0</v>
      </c>
      <c r="BE25" s="118">
        <v>0</v>
      </c>
      <c r="BF25" s="118">
        <v>0</v>
      </c>
      <c r="BG25" s="118">
        <v>0</v>
      </c>
      <c r="BH25" s="118">
        <v>0</v>
      </c>
      <c r="BI25" s="118">
        <v>0</v>
      </c>
      <c r="BJ25" s="118">
        <v>0</v>
      </c>
    </row>
    <row r="26" spans="1:62" s="220" customFormat="1" ht="14.1" hidden="1" customHeight="1" outlineLevel="1" x14ac:dyDescent="0.2">
      <c r="A26" s="220" t="s">
        <v>50</v>
      </c>
      <c r="B26" s="220" t="s">
        <v>724</v>
      </c>
      <c r="C26" s="228"/>
      <c r="D26" s="227" t="str">
        <f>IF([1]RENAME!$H$3=1,B26,A26)</f>
        <v>Baixa preço variável</v>
      </c>
      <c r="E26" s="218">
        <v>0</v>
      </c>
      <c r="F26" s="218">
        <v>0</v>
      </c>
      <c r="G26" s="218">
        <v>0</v>
      </c>
      <c r="H26" s="218">
        <v>-10000</v>
      </c>
      <c r="I26" s="218">
        <v>0</v>
      </c>
      <c r="J26" s="218">
        <v>0</v>
      </c>
      <c r="K26" s="218">
        <v>0</v>
      </c>
      <c r="L26" s="218">
        <v>0</v>
      </c>
      <c r="M26" s="218">
        <v>0</v>
      </c>
      <c r="N26" s="218">
        <v>0</v>
      </c>
      <c r="O26" s="218">
        <v>0</v>
      </c>
      <c r="P26" s="218">
        <v>0</v>
      </c>
      <c r="Q26" s="218">
        <v>0</v>
      </c>
      <c r="R26" s="218">
        <v>0</v>
      </c>
      <c r="S26" s="218">
        <v>0</v>
      </c>
      <c r="T26" s="218">
        <v>0</v>
      </c>
      <c r="U26" s="218">
        <v>0</v>
      </c>
      <c r="V26" s="218">
        <v>0</v>
      </c>
      <c r="W26" s="218">
        <v>0</v>
      </c>
      <c r="X26" s="218">
        <v>0</v>
      </c>
      <c r="Y26" s="218">
        <v>0</v>
      </c>
      <c r="Z26" s="218">
        <v>0</v>
      </c>
      <c r="AA26" s="218">
        <v>0</v>
      </c>
      <c r="AB26" s="218">
        <v>0</v>
      </c>
      <c r="AC26" s="218">
        <v>0</v>
      </c>
      <c r="AD26" s="218">
        <v>0</v>
      </c>
      <c r="AE26" s="218">
        <v>0</v>
      </c>
      <c r="AF26" s="218">
        <v>0</v>
      </c>
      <c r="AG26" s="160">
        <v>0</v>
      </c>
      <c r="AH26" s="118">
        <v>0</v>
      </c>
      <c r="AI26" s="118">
        <v>0</v>
      </c>
      <c r="AJ26" s="118">
        <v>0</v>
      </c>
      <c r="AK26" s="118">
        <v>0</v>
      </c>
      <c r="AL26" s="118">
        <v>0</v>
      </c>
      <c r="AM26" s="118">
        <v>0</v>
      </c>
      <c r="AN26" s="118">
        <v>0</v>
      </c>
      <c r="AO26" s="118">
        <v>0</v>
      </c>
      <c r="AP26" s="118">
        <v>0</v>
      </c>
      <c r="AQ26" s="118">
        <v>0</v>
      </c>
      <c r="AR26" s="118"/>
      <c r="AS26" s="118">
        <v>0</v>
      </c>
      <c r="AT26" s="118">
        <v>0</v>
      </c>
      <c r="AU26" s="118">
        <v>0</v>
      </c>
      <c r="AV26" s="118">
        <v>0</v>
      </c>
      <c r="AW26" s="118">
        <v>0</v>
      </c>
      <c r="AX26" s="118">
        <v>0</v>
      </c>
      <c r="AY26" s="118">
        <v>0</v>
      </c>
      <c r="AZ26" s="118">
        <v>0</v>
      </c>
      <c r="BA26" s="118"/>
      <c r="BB26" s="118"/>
      <c r="BC26" s="118"/>
      <c r="BD26" s="118">
        <v>0</v>
      </c>
      <c r="BE26" s="118"/>
      <c r="BF26" s="118">
        <v>0</v>
      </c>
      <c r="BG26" s="118">
        <v>0</v>
      </c>
      <c r="BH26" s="118">
        <v>0</v>
      </c>
      <c r="BI26" s="118">
        <v>0</v>
      </c>
      <c r="BJ26" s="118">
        <v>0</v>
      </c>
    </row>
    <row r="27" spans="1:62" s="220" customFormat="1" ht="14.1" hidden="1" customHeight="1" outlineLevel="1" x14ac:dyDescent="0.2">
      <c r="A27" s="220" t="s">
        <v>585</v>
      </c>
      <c r="B27" s="220" t="s">
        <v>720</v>
      </c>
      <c r="C27" s="228"/>
      <c r="D27" s="227" t="str">
        <f>IF([1]RENAME!$H$3=1,B27,A27)</f>
        <v>Baixa ágio controlada</v>
      </c>
      <c r="E27" s="218">
        <v>0</v>
      </c>
      <c r="F27" s="218">
        <v>0</v>
      </c>
      <c r="G27" s="218">
        <v>0</v>
      </c>
      <c r="H27" s="218">
        <v>0</v>
      </c>
      <c r="I27" s="218">
        <v>0</v>
      </c>
      <c r="J27" s="218">
        <v>0</v>
      </c>
      <c r="K27" s="218">
        <v>0</v>
      </c>
      <c r="L27" s="218">
        <v>0</v>
      </c>
      <c r="M27" s="218">
        <v>0</v>
      </c>
      <c r="N27" s="218">
        <v>0</v>
      </c>
      <c r="O27" s="218">
        <v>0</v>
      </c>
      <c r="P27" s="218">
        <v>0</v>
      </c>
      <c r="Q27" s="218">
        <v>0</v>
      </c>
      <c r="R27" s="218">
        <v>0</v>
      </c>
      <c r="S27" s="218">
        <v>0</v>
      </c>
      <c r="T27" s="218">
        <v>0</v>
      </c>
      <c r="U27" s="218">
        <v>0</v>
      </c>
      <c r="V27" s="218">
        <v>0</v>
      </c>
      <c r="W27" s="218">
        <v>0</v>
      </c>
      <c r="X27" s="218">
        <v>0</v>
      </c>
      <c r="Y27" s="218">
        <v>0</v>
      </c>
      <c r="Z27" s="218">
        <v>0</v>
      </c>
      <c r="AA27" s="218">
        <v>0</v>
      </c>
      <c r="AB27" s="218">
        <v>0</v>
      </c>
      <c r="AC27" s="218">
        <v>0</v>
      </c>
      <c r="AD27" s="218">
        <v>0</v>
      </c>
      <c r="AE27" s="218">
        <v>0</v>
      </c>
      <c r="AF27" s="218">
        <v>0</v>
      </c>
      <c r="AG27" s="160">
        <v>0</v>
      </c>
      <c r="AH27" s="118">
        <v>0</v>
      </c>
      <c r="AI27" s="118">
        <v>0</v>
      </c>
      <c r="AJ27" s="118">
        <v>0</v>
      </c>
      <c r="AK27" s="118">
        <v>0</v>
      </c>
      <c r="AL27" s="118">
        <v>0</v>
      </c>
      <c r="AM27" s="118">
        <v>0</v>
      </c>
      <c r="AN27" s="118">
        <v>0</v>
      </c>
      <c r="AO27" s="118">
        <v>0</v>
      </c>
      <c r="AP27" s="118">
        <v>0</v>
      </c>
      <c r="AQ27" s="118">
        <v>0</v>
      </c>
      <c r="AR27" s="118"/>
      <c r="AS27" s="118">
        <v>0</v>
      </c>
      <c r="AT27" s="118">
        <v>0</v>
      </c>
      <c r="AU27" s="118">
        <v>0</v>
      </c>
      <c r="AV27" s="118">
        <v>0</v>
      </c>
      <c r="AW27" s="118">
        <v>0</v>
      </c>
      <c r="AX27" s="118">
        <v>0</v>
      </c>
      <c r="AY27" s="118">
        <v>0</v>
      </c>
      <c r="AZ27" s="118">
        <v>0</v>
      </c>
      <c r="BA27" s="118"/>
      <c r="BB27" s="118"/>
      <c r="BC27" s="118"/>
      <c r="BD27" s="118">
        <v>0</v>
      </c>
      <c r="BE27" s="118"/>
      <c r="BF27" s="118">
        <v>0</v>
      </c>
      <c r="BG27" s="118">
        <v>0</v>
      </c>
      <c r="BH27" s="118">
        <v>0</v>
      </c>
      <c r="BI27" s="118">
        <v>0</v>
      </c>
      <c r="BJ27" s="118">
        <v>0</v>
      </c>
    </row>
    <row r="28" spans="1:62" s="220" customFormat="1" ht="14.1" hidden="1" customHeight="1" outlineLevel="1" x14ac:dyDescent="0.2">
      <c r="A28" s="220" t="s">
        <v>1178</v>
      </c>
      <c r="B28" s="220" t="s">
        <v>1332</v>
      </c>
      <c r="C28" s="228"/>
      <c r="D28" s="227" t="str">
        <f>IF([1]RENAME!$H$3=1,B28,A28)</f>
        <v>Mudança critério contingência</v>
      </c>
      <c r="E28" s="218">
        <v>0</v>
      </c>
      <c r="F28" s="218">
        <v>0</v>
      </c>
      <c r="G28" s="218">
        <v>0</v>
      </c>
      <c r="H28" s="218">
        <v>0</v>
      </c>
      <c r="I28" s="218">
        <v>0</v>
      </c>
      <c r="J28" s="218">
        <v>0</v>
      </c>
      <c r="K28" s="218">
        <v>0</v>
      </c>
      <c r="L28" s="218">
        <v>0</v>
      </c>
      <c r="M28" s="218">
        <v>0</v>
      </c>
      <c r="N28" s="218">
        <v>0</v>
      </c>
      <c r="O28" s="218">
        <v>0</v>
      </c>
      <c r="P28" s="218">
        <v>0</v>
      </c>
      <c r="Q28" s="218">
        <v>0</v>
      </c>
      <c r="R28" s="218">
        <v>0</v>
      </c>
      <c r="S28" s="218">
        <v>0</v>
      </c>
      <c r="T28" s="218">
        <v>0</v>
      </c>
      <c r="U28" s="218">
        <v>0</v>
      </c>
      <c r="V28" s="218">
        <v>0</v>
      </c>
      <c r="W28" s="218">
        <v>0</v>
      </c>
      <c r="X28" s="218">
        <v>0</v>
      </c>
      <c r="Y28" s="218">
        <v>0</v>
      </c>
      <c r="Z28" s="218">
        <v>0</v>
      </c>
      <c r="AA28" s="218">
        <v>0</v>
      </c>
      <c r="AB28" s="218">
        <v>1677.1869000000004</v>
      </c>
      <c r="AC28" s="218" t="s">
        <v>160</v>
      </c>
      <c r="AD28" s="218" t="s">
        <v>160</v>
      </c>
      <c r="AE28" s="218" t="s">
        <v>160</v>
      </c>
      <c r="AF28" s="218">
        <v>0</v>
      </c>
      <c r="AG28" s="160">
        <v>0</v>
      </c>
      <c r="AH28" s="118">
        <v>0</v>
      </c>
      <c r="AI28" s="118">
        <v>0</v>
      </c>
      <c r="AJ28" s="118">
        <v>0</v>
      </c>
      <c r="AK28" s="118">
        <v>0</v>
      </c>
      <c r="AL28" s="118">
        <v>0</v>
      </c>
      <c r="AM28" s="118">
        <v>0</v>
      </c>
      <c r="AN28" s="118">
        <v>0</v>
      </c>
      <c r="AO28" s="118">
        <v>0</v>
      </c>
      <c r="AP28" s="118">
        <v>0</v>
      </c>
      <c r="AQ28" s="118">
        <v>0</v>
      </c>
      <c r="AR28" s="118"/>
      <c r="AS28" s="118">
        <v>0</v>
      </c>
      <c r="AT28" s="118">
        <v>0</v>
      </c>
      <c r="AU28" s="118">
        <v>0</v>
      </c>
      <c r="AV28" s="118">
        <v>0</v>
      </c>
      <c r="AW28" s="118">
        <v>0</v>
      </c>
      <c r="AX28" s="118">
        <v>0</v>
      </c>
      <c r="AY28" s="118">
        <v>0</v>
      </c>
      <c r="AZ28" s="118">
        <v>0</v>
      </c>
      <c r="BA28" s="118"/>
      <c r="BB28" s="118"/>
      <c r="BC28" s="118"/>
      <c r="BD28" s="118">
        <v>0</v>
      </c>
      <c r="BE28" s="118"/>
      <c r="BF28" s="118">
        <v>0</v>
      </c>
      <c r="BG28" s="118">
        <v>0</v>
      </c>
      <c r="BH28" s="118">
        <v>0</v>
      </c>
      <c r="BI28" s="118">
        <v>0</v>
      </c>
      <c r="BJ28" s="118">
        <v>0</v>
      </c>
    </row>
    <row r="29" spans="1:62" s="220" customFormat="1" ht="14.1" hidden="1" customHeight="1" outlineLevel="1" x14ac:dyDescent="0.2">
      <c r="A29" s="220" t="s">
        <v>586</v>
      </c>
      <c r="B29" s="220" t="s">
        <v>722</v>
      </c>
      <c r="C29" s="228"/>
      <c r="D29" s="227" t="str">
        <f>IF([1]RENAME!$H$3=1,B29,A29)</f>
        <v>Indenizações combinação de negócios</v>
      </c>
      <c r="E29" s="218">
        <v>0</v>
      </c>
      <c r="F29" s="218">
        <v>0</v>
      </c>
      <c r="G29" s="218">
        <v>0</v>
      </c>
      <c r="H29" s="218">
        <v>0</v>
      </c>
      <c r="I29" s="218">
        <v>0</v>
      </c>
      <c r="J29" s="218">
        <v>0</v>
      </c>
      <c r="K29" s="218">
        <v>0</v>
      </c>
      <c r="L29" s="218">
        <v>0</v>
      </c>
      <c r="M29" s="218">
        <v>0</v>
      </c>
      <c r="N29" s="218">
        <v>0</v>
      </c>
      <c r="O29" s="218">
        <v>0</v>
      </c>
      <c r="P29" s="218">
        <v>0</v>
      </c>
      <c r="Q29" s="218">
        <v>0</v>
      </c>
      <c r="R29" s="218">
        <v>0</v>
      </c>
      <c r="S29" s="218">
        <v>0</v>
      </c>
      <c r="T29" s="218">
        <v>0</v>
      </c>
      <c r="U29" s="218">
        <v>0</v>
      </c>
      <c r="V29" s="218">
        <v>0</v>
      </c>
      <c r="W29" s="218">
        <v>0</v>
      </c>
      <c r="X29" s="218">
        <v>0</v>
      </c>
      <c r="Y29" s="218">
        <v>0</v>
      </c>
      <c r="Z29" s="218">
        <f>+'Demais Contas a Receber'!R13-'Demais Contas a Receber'!S13</f>
        <v>1767</v>
      </c>
      <c r="AA29" s="218">
        <v>0</v>
      </c>
      <c r="AB29" s="218">
        <v>0</v>
      </c>
      <c r="AC29" s="218">
        <v>0</v>
      </c>
      <c r="AD29" s="218">
        <v>0</v>
      </c>
      <c r="AE29" s="218">
        <v>0</v>
      </c>
      <c r="AF29" s="218">
        <v>0</v>
      </c>
      <c r="AG29" s="160">
        <v>0</v>
      </c>
      <c r="AH29" s="118">
        <v>0</v>
      </c>
      <c r="AI29" s="118">
        <v>0</v>
      </c>
      <c r="AJ29" s="118">
        <v>0</v>
      </c>
      <c r="AK29" s="118">
        <v>0</v>
      </c>
      <c r="AL29" s="118">
        <v>0</v>
      </c>
      <c r="AM29" s="118">
        <v>0</v>
      </c>
      <c r="AN29" s="118">
        <v>0</v>
      </c>
      <c r="AO29" s="118">
        <v>0</v>
      </c>
      <c r="AP29" s="118">
        <v>0</v>
      </c>
      <c r="AQ29" s="118">
        <v>0</v>
      </c>
      <c r="AR29" s="118"/>
      <c r="AS29" s="118">
        <v>0</v>
      </c>
      <c r="AT29" s="118">
        <v>0</v>
      </c>
      <c r="AU29" s="118">
        <v>0</v>
      </c>
      <c r="AV29" s="118">
        <v>0</v>
      </c>
      <c r="AW29" s="118">
        <v>0</v>
      </c>
      <c r="AX29" s="118">
        <v>0</v>
      </c>
      <c r="AY29" s="118">
        <v>0</v>
      </c>
      <c r="AZ29" s="118">
        <v>0</v>
      </c>
      <c r="BA29" s="118"/>
      <c r="BB29" s="118"/>
      <c r="BC29" s="118"/>
      <c r="BD29" s="118">
        <v>0</v>
      </c>
      <c r="BE29" s="118"/>
      <c r="BF29" s="118">
        <v>0</v>
      </c>
      <c r="BG29" s="118">
        <v>0</v>
      </c>
      <c r="BH29" s="118">
        <v>0</v>
      </c>
      <c r="BI29" s="118">
        <v>0</v>
      </c>
      <c r="BJ29" s="118">
        <v>0</v>
      </c>
    </row>
    <row r="30" spans="1:62" s="220" customFormat="1" ht="14.1" hidden="1" customHeight="1" outlineLevel="1" x14ac:dyDescent="0.2">
      <c r="A30" s="220" t="s">
        <v>587</v>
      </c>
      <c r="B30" s="220" t="s">
        <v>723</v>
      </c>
      <c r="C30" s="228"/>
      <c r="D30" s="227" t="str">
        <f>IF([1]RENAME!$H$3=1,B30,A30)</f>
        <v>Ganho causa Fundaf</v>
      </c>
      <c r="E30" s="218">
        <v>0</v>
      </c>
      <c r="F30" s="218">
        <v>0</v>
      </c>
      <c r="G30" s="218">
        <v>0</v>
      </c>
      <c r="H30" s="218">
        <v>0</v>
      </c>
      <c r="I30" s="218">
        <v>0</v>
      </c>
      <c r="J30" s="218">
        <v>0</v>
      </c>
      <c r="K30" s="218">
        <v>0</v>
      </c>
      <c r="L30" s="218">
        <v>0</v>
      </c>
      <c r="M30" s="218">
        <v>0</v>
      </c>
      <c r="N30" s="218">
        <v>0</v>
      </c>
      <c r="O30" s="218">
        <v>0</v>
      </c>
      <c r="P30" s="218">
        <v>0</v>
      </c>
      <c r="Q30" s="218">
        <v>0</v>
      </c>
      <c r="R30" s="218">
        <v>0</v>
      </c>
      <c r="S30" s="218">
        <v>0</v>
      </c>
      <c r="T30" s="218">
        <v>0</v>
      </c>
      <c r="U30" s="218">
        <v>0</v>
      </c>
      <c r="V30" s="218">
        <v>0</v>
      </c>
      <c r="W30" s="218">
        <v>0</v>
      </c>
      <c r="X30" s="218">
        <v>0</v>
      </c>
      <c r="Y30" s="218">
        <v>0</v>
      </c>
      <c r="Z30" s="218">
        <v>-9847.0333800000008</v>
      </c>
      <c r="AA30" s="218">
        <v>0</v>
      </c>
      <c r="AB30" s="218">
        <v>0</v>
      </c>
      <c r="AC30" s="218">
        <v>0</v>
      </c>
      <c r="AD30" s="218">
        <v>0</v>
      </c>
      <c r="AE30" s="218">
        <v>0</v>
      </c>
      <c r="AF30" s="218">
        <v>0</v>
      </c>
      <c r="AG30" s="160">
        <v>0</v>
      </c>
      <c r="AH30" s="118">
        <v>0</v>
      </c>
      <c r="AI30" s="118">
        <v>0</v>
      </c>
      <c r="AJ30" s="118">
        <v>0</v>
      </c>
      <c r="AK30" s="118">
        <v>0</v>
      </c>
      <c r="AL30" s="118">
        <v>0</v>
      </c>
      <c r="AM30" s="118">
        <v>0</v>
      </c>
      <c r="AN30" s="118">
        <v>0</v>
      </c>
      <c r="AO30" s="118">
        <v>0</v>
      </c>
      <c r="AP30" s="118">
        <v>0</v>
      </c>
      <c r="AQ30" s="118">
        <v>0</v>
      </c>
      <c r="AR30" s="118"/>
      <c r="AS30" s="118">
        <v>0</v>
      </c>
      <c r="AT30" s="118">
        <v>0</v>
      </c>
      <c r="AU30" s="118">
        <v>0</v>
      </c>
      <c r="AV30" s="118">
        <v>0</v>
      </c>
      <c r="AW30" s="118">
        <v>0</v>
      </c>
      <c r="AX30" s="118">
        <v>0</v>
      </c>
      <c r="AY30" s="118">
        <v>0</v>
      </c>
      <c r="AZ30" s="118">
        <v>0</v>
      </c>
      <c r="BA30" s="118"/>
      <c r="BB30" s="118"/>
      <c r="BC30" s="118"/>
      <c r="BD30" s="118">
        <v>0</v>
      </c>
      <c r="BE30" s="118"/>
      <c r="BF30" s="118">
        <v>0</v>
      </c>
      <c r="BG30" s="118">
        <v>0</v>
      </c>
      <c r="BH30" s="118">
        <v>0</v>
      </c>
      <c r="BI30" s="118">
        <v>0</v>
      </c>
      <c r="BJ30" s="118">
        <v>0</v>
      </c>
    </row>
    <row r="31" spans="1:62" s="220" customFormat="1" ht="14.1" hidden="1" customHeight="1" outlineLevel="1" x14ac:dyDescent="0.2">
      <c r="A31" s="220" t="s">
        <v>51</v>
      </c>
      <c r="B31" s="220" t="s">
        <v>725</v>
      </c>
      <c r="C31" s="228"/>
      <c r="D31" s="227" t="str">
        <f>IF([1]RENAME!$H$3=1,B31,A31)</f>
        <v>(Ganho)/Prejui. venda de ativo</v>
      </c>
      <c r="E31" s="218">
        <v>0</v>
      </c>
      <c r="F31" s="218">
        <v>468</v>
      </c>
      <c r="G31" s="218">
        <v>234</v>
      </c>
      <c r="H31" s="218">
        <v>606</v>
      </c>
      <c r="I31" s="218">
        <v>1189</v>
      </c>
      <c r="J31" s="218">
        <v>5137</v>
      </c>
      <c r="K31" s="218">
        <v>434</v>
      </c>
      <c r="L31" s="218">
        <v>38</v>
      </c>
      <c r="M31" s="218">
        <v>0</v>
      </c>
      <c r="N31" s="218">
        <v>0</v>
      </c>
      <c r="O31" s="218">
        <v>0</v>
      </c>
      <c r="P31" s="218">
        <v>0</v>
      </c>
      <c r="Q31" s="218">
        <v>0</v>
      </c>
      <c r="R31" s="218">
        <v>0</v>
      </c>
      <c r="S31" s="218">
        <v>0</v>
      </c>
      <c r="T31" s="218">
        <v>0</v>
      </c>
      <c r="U31" s="218">
        <v>0</v>
      </c>
      <c r="V31" s="218">
        <v>0</v>
      </c>
      <c r="W31" s="218">
        <v>0</v>
      </c>
      <c r="X31" s="218">
        <v>0</v>
      </c>
      <c r="Y31" s="218">
        <v>0</v>
      </c>
      <c r="Z31" s="218">
        <v>0</v>
      </c>
      <c r="AA31" s="218">
        <v>0</v>
      </c>
      <c r="AB31" s="218">
        <v>0</v>
      </c>
      <c r="AC31" s="218">
        <v>0</v>
      </c>
      <c r="AD31" s="218">
        <v>0</v>
      </c>
      <c r="AE31" s="218">
        <v>0</v>
      </c>
      <c r="AF31" s="218">
        <v>0</v>
      </c>
      <c r="AG31" s="160">
        <v>0</v>
      </c>
      <c r="AH31" s="118">
        <v>0</v>
      </c>
      <c r="AI31" s="118">
        <v>0</v>
      </c>
      <c r="AJ31" s="118">
        <v>0</v>
      </c>
      <c r="AK31" s="118">
        <v>0</v>
      </c>
      <c r="AL31" s="118">
        <v>0</v>
      </c>
      <c r="AM31" s="118">
        <v>0</v>
      </c>
      <c r="AN31" s="118">
        <v>0</v>
      </c>
      <c r="AO31" s="118">
        <v>0</v>
      </c>
      <c r="AP31" s="118">
        <v>0</v>
      </c>
      <c r="AQ31" s="118">
        <v>0</v>
      </c>
      <c r="AR31" s="118"/>
      <c r="AS31" s="118">
        <v>0</v>
      </c>
      <c r="AT31" s="118">
        <v>0</v>
      </c>
      <c r="AU31" s="118">
        <v>0</v>
      </c>
      <c r="AV31" s="118">
        <v>0</v>
      </c>
      <c r="AW31" s="118">
        <v>0</v>
      </c>
      <c r="AX31" s="118">
        <v>0</v>
      </c>
      <c r="AY31" s="118">
        <v>0</v>
      </c>
      <c r="AZ31" s="118">
        <v>0</v>
      </c>
      <c r="BA31" s="118"/>
      <c r="BB31" s="118"/>
      <c r="BC31" s="118"/>
      <c r="BD31" s="118">
        <v>0</v>
      </c>
      <c r="BE31" s="118"/>
      <c r="BF31" s="118">
        <v>0</v>
      </c>
      <c r="BG31" s="118">
        <v>0</v>
      </c>
      <c r="BH31" s="118">
        <v>0</v>
      </c>
      <c r="BI31" s="118">
        <v>0</v>
      </c>
      <c r="BJ31" s="118">
        <v>0</v>
      </c>
    </row>
    <row r="32" spans="1:62" s="220" customFormat="1" ht="14.1" hidden="1" customHeight="1" outlineLevel="1" x14ac:dyDescent="0.2">
      <c r="A32" s="220" t="s">
        <v>53</v>
      </c>
      <c r="B32" s="220" t="s">
        <v>727</v>
      </c>
      <c r="C32" s="228"/>
      <c r="D32" s="227" t="str">
        <f>IF([1]RENAME!$H$3=1,B32,A32)</f>
        <v>Custo de Indenização</v>
      </c>
      <c r="E32" s="218">
        <v>0</v>
      </c>
      <c r="F32" s="218">
        <v>0</v>
      </c>
      <c r="G32" s="218">
        <v>0</v>
      </c>
      <c r="H32" s="218">
        <v>0</v>
      </c>
      <c r="I32" s="218">
        <v>0</v>
      </c>
      <c r="J32" s="218">
        <v>0</v>
      </c>
      <c r="K32" s="218">
        <v>0</v>
      </c>
      <c r="L32" s="218">
        <v>0</v>
      </c>
      <c r="M32" s="218">
        <v>0</v>
      </c>
      <c r="N32" s="218">
        <v>0</v>
      </c>
      <c r="O32" s="218">
        <v>0</v>
      </c>
      <c r="P32" s="218">
        <v>0</v>
      </c>
      <c r="Q32" s="218">
        <v>0</v>
      </c>
      <c r="R32" s="218">
        <v>0</v>
      </c>
      <c r="S32" s="218">
        <v>0</v>
      </c>
      <c r="T32" s="218">
        <v>0</v>
      </c>
      <c r="U32" s="218">
        <v>0</v>
      </c>
      <c r="V32" s="218">
        <v>0</v>
      </c>
      <c r="W32" s="218">
        <v>0</v>
      </c>
      <c r="X32" s="218">
        <v>0</v>
      </c>
      <c r="Y32" s="218">
        <v>0</v>
      </c>
      <c r="Z32" s="218">
        <v>0</v>
      </c>
      <c r="AA32" s="218">
        <v>0</v>
      </c>
      <c r="AB32" s="218">
        <v>0</v>
      </c>
      <c r="AC32" s="218">
        <v>0</v>
      </c>
      <c r="AD32" s="218">
        <v>0</v>
      </c>
      <c r="AE32" s="218">
        <v>0</v>
      </c>
      <c r="AF32" s="218">
        <v>0</v>
      </c>
      <c r="AG32" s="160">
        <v>0</v>
      </c>
      <c r="AH32" s="118">
        <v>0</v>
      </c>
      <c r="AI32" s="118">
        <v>0</v>
      </c>
      <c r="AJ32" s="118">
        <v>0</v>
      </c>
      <c r="AK32" s="118">
        <v>0</v>
      </c>
      <c r="AL32" s="118">
        <v>0</v>
      </c>
      <c r="AM32" s="118">
        <v>0</v>
      </c>
      <c r="AN32" s="118">
        <v>0</v>
      </c>
      <c r="AO32" s="118">
        <v>0</v>
      </c>
      <c r="AP32" s="118">
        <v>0</v>
      </c>
      <c r="AQ32" s="118">
        <v>0</v>
      </c>
      <c r="AR32" s="118"/>
      <c r="AS32" s="118">
        <v>0</v>
      </c>
      <c r="AT32" s="118">
        <v>0</v>
      </c>
      <c r="AU32" s="118">
        <v>0</v>
      </c>
      <c r="AV32" s="118">
        <v>0</v>
      </c>
      <c r="AW32" s="118">
        <v>0</v>
      </c>
      <c r="AX32" s="118">
        <v>0</v>
      </c>
      <c r="AY32" s="118">
        <v>0</v>
      </c>
      <c r="AZ32" s="118">
        <v>0</v>
      </c>
      <c r="BA32" s="118"/>
      <c r="BB32" s="118"/>
      <c r="BC32" s="118"/>
      <c r="BD32" s="118">
        <v>0</v>
      </c>
      <c r="BE32" s="118"/>
      <c r="BF32" s="118">
        <v>0</v>
      </c>
      <c r="BG32" s="118">
        <v>0</v>
      </c>
      <c r="BH32" s="118">
        <v>0</v>
      </c>
      <c r="BI32" s="118">
        <v>0</v>
      </c>
      <c r="BJ32" s="118">
        <v>0</v>
      </c>
    </row>
    <row r="33" spans="1:62" s="220" customFormat="1" ht="14.1" hidden="1" customHeight="1" outlineLevel="1" x14ac:dyDescent="0.2">
      <c r="A33" s="220" t="s">
        <v>49</v>
      </c>
      <c r="B33" s="220" t="s">
        <v>728</v>
      </c>
      <c r="C33" s="228"/>
      <c r="D33" s="227" t="str">
        <f>IF([1]RENAME!$H$3=1,B33,A33)</f>
        <v>Outros</v>
      </c>
      <c r="E33" s="218">
        <v>0</v>
      </c>
      <c r="F33" s="218">
        <v>0</v>
      </c>
      <c r="G33" s="218">
        <v>1059</v>
      </c>
      <c r="H33" s="218">
        <v>0</v>
      </c>
      <c r="I33" s="218">
        <v>0</v>
      </c>
      <c r="J33" s="218">
        <v>0</v>
      </c>
      <c r="K33" s="218">
        <v>0</v>
      </c>
      <c r="L33" s="218">
        <v>0</v>
      </c>
      <c r="M33" s="218">
        <v>0</v>
      </c>
      <c r="N33" s="218">
        <v>0</v>
      </c>
      <c r="O33" s="218">
        <v>0</v>
      </c>
      <c r="P33" s="218">
        <v>0</v>
      </c>
      <c r="Q33" s="218">
        <v>0</v>
      </c>
      <c r="R33" s="218">
        <f>'Despesas por Natureza'!J27</f>
        <v>3704.1926200000003</v>
      </c>
      <c r="S33" s="218">
        <v>0</v>
      </c>
      <c r="T33" s="218">
        <v>0</v>
      </c>
      <c r="U33" s="218">
        <v>0</v>
      </c>
      <c r="V33" s="218">
        <v>0</v>
      </c>
      <c r="W33" s="218">
        <v>0</v>
      </c>
      <c r="X33" s="218">
        <v>0</v>
      </c>
      <c r="Y33" s="218">
        <v>0</v>
      </c>
      <c r="Z33" s="218">
        <v>0</v>
      </c>
      <c r="AA33" s="218">
        <v>0</v>
      </c>
      <c r="AB33" s="218">
        <v>0</v>
      </c>
      <c r="AC33" s="218">
        <v>0</v>
      </c>
      <c r="AD33" s="218">
        <v>0</v>
      </c>
      <c r="AE33" s="218">
        <v>0</v>
      </c>
      <c r="AF33" s="218">
        <v>0</v>
      </c>
      <c r="AG33" s="160">
        <v>0</v>
      </c>
      <c r="AH33" s="118">
        <v>0</v>
      </c>
      <c r="AI33" s="118">
        <v>0</v>
      </c>
      <c r="AJ33" s="118">
        <v>0</v>
      </c>
      <c r="AK33" s="118">
        <v>0</v>
      </c>
      <c r="AL33" s="118">
        <v>0</v>
      </c>
      <c r="AM33" s="118">
        <v>0</v>
      </c>
      <c r="AN33" s="118">
        <v>0</v>
      </c>
      <c r="AO33" s="118">
        <v>0</v>
      </c>
      <c r="AP33" s="118">
        <v>0</v>
      </c>
      <c r="AQ33" s="118">
        <v>0</v>
      </c>
      <c r="AR33" s="118"/>
      <c r="AS33" s="118">
        <v>0</v>
      </c>
      <c r="AT33" s="118">
        <v>0</v>
      </c>
      <c r="AU33" s="118">
        <v>0</v>
      </c>
      <c r="AV33" s="118">
        <v>0</v>
      </c>
      <c r="AW33" s="118">
        <v>0</v>
      </c>
      <c r="AX33" s="118">
        <v>0</v>
      </c>
      <c r="AY33" s="118">
        <v>0</v>
      </c>
      <c r="AZ33" s="118">
        <v>0</v>
      </c>
      <c r="BA33" s="118"/>
      <c r="BB33" s="118"/>
      <c r="BC33" s="118"/>
      <c r="BD33" s="118">
        <v>0</v>
      </c>
      <c r="BE33" s="118"/>
      <c r="BF33" s="118">
        <v>0</v>
      </c>
      <c r="BG33" s="118">
        <v>0</v>
      </c>
      <c r="BH33" s="118">
        <v>0</v>
      </c>
      <c r="BI33" s="118">
        <v>0</v>
      </c>
      <c r="BJ33" s="118">
        <v>0</v>
      </c>
    </row>
    <row r="34" spans="1:62" s="220" customFormat="1" ht="14.1" hidden="1" customHeight="1" outlineLevel="1" x14ac:dyDescent="0.2">
      <c r="A34" s="220" t="s">
        <v>453</v>
      </c>
      <c r="B34" s="220" t="s">
        <v>729</v>
      </c>
      <c r="C34" s="228"/>
      <c r="D34" s="227" t="str">
        <f>IF([1]RENAME!$H$3=1,B34,A34)</f>
        <v>Provisão trabalhista e ajuste de deposito judicial</v>
      </c>
      <c r="E34" s="218">
        <v>0</v>
      </c>
      <c r="F34" s="218">
        <v>0</v>
      </c>
      <c r="G34" s="218">
        <v>0</v>
      </c>
      <c r="H34" s="218">
        <v>0</v>
      </c>
      <c r="I34" s="218">
        <v>0</v>
      </c>
      <c r="J34" s="218">
        <v>0</v>
      </c>
      <c r="K34" s="218">
        <v>17500</v>
      </c>
      <c r="L34" s="218">
        <v>3952</v>
      </c>
      <c r="M34" s="218">
        <v>0</v>
      </c>
      <c r="N34" s="218">
        <v>0</v>
      </c>
      <c r="O34" s="218">
        <v>0</v>
      </c>
      <c r="P34" s="218">
        <v>2194</v>
      </c>
      <c r="Q34" s="218">
        <v>0</v>
      </c>
      <c r="R34" s="218">
        <v>0</v>
      </c>
      <c r="S34" s="218">
        <v>0</v>
      </c>
      <c r="T34" s="218">
        <f>('Riscos Judiciais'!O59-'Riscos Judiciais'!P59+'Riscos Judiciais'!P40-'Riscos Judiciais'!O40)*-1</f>
        <v>14604</v>
      </c>
      <c r="U34" s="218">
        <v>0</v>
      </c>
      <c r="V34" s="218">
        <v>0</v>
      </c>
      <c r="W34" s="218">
        <v>0</v>
      </c>
      <c r="X34" s="218">
        <v>0</v>
      </c>
      <c r="Y34" s="218">
        <v>0</v>
      </c>
      <c r="Z34" s="218">
        <v>0</v>
      </c>
      <c r="AA34" s="218">
        <v>0</v>
      </c>
      <c r="AB34" s="218">
        <v>0</v>
      </c>
      <c r="AC34" s="218">
        <v>0</v>
      </c>
      <c r="AD34" s="218">
        <v>0</v>
      </c>
      <c r="AE34" s="218">
        <v>0</v>
      </c>
      <c r="AF34" s="218">
        <v>0</v>
      </c>
      <c r="AG34" s="160">
        <v>0</v>
      </c>
      <c r="AH34" s="118">
        <v>0</v>
      </c>
      <c r="AI34" s="118">
        <v>0</v>
      </c>
      <c r="AJ34" s="118">
        <v>0</v>
      </c>
      <c r="AK34" s="118">
        <v>0</v>
      </c>
      <c r="AL34" s="118">
        <v>0</v>
      </c>
      <c r="AM34" s="118">
        <v>0</v>
      </c>
      <c r="AN34" s="118">
        <v>0</v>
      </c>
      <c r="AO34" s="118">
        <v>0</v>
      </c>
      <c r="AP34" s="118">
        <v>0</v>
      </c>
      <c r="AQ34" s="118">
        <v>0</v>
      </c>
      <c r="AR34" s="118"/>
      <c r="AS34" s="118">
        <v>0</v>
      </c>
      <c r="AT34" s="118">
        <v>0</v>
      </c>
      <c r="AU34" s="118">
        <v>0</v>
      </c>
      <c r="AV34" s="118">
        <v>0</v>
      </c>
      <c r="AW34" s="118">
        <v>0</v>
      </c>
      <c r="AX34" s="118">
        <v>0</v>
      </c>
      <c r="AY34" s="118">
        <v>0</v>
      </c>
      <c r="AZ34" s="118">
        <v>0</v>
      </c>
      <c r="BA34" s="118"/>
      <c r="BB34" s="118"/>
      <c r="BC34" s="118"/>
      <c r="BD34" s="118">
        <v>0</v>
      </c>
      <c r="BE34" s="118"/>
      <c r="BF34" s="118">
        <v>0</v>
      </c>
      <c r="BG34" s="118">
        <v>0</v>
      </c>
      <c r="BH34" s="118">
        <v>0</v>
      </c>
      <c r="BI34" s="118">
        <v>0</v>
      </c>
      <c r="BJ34" s="118">
        <v>0</v>
      </c>
    </row>
    <row r="35" spans="1:62" ht="14.1" customHeight="1" collapsed="1" x14ac:dyDescent="0.2">
      <c r="A35" s="1" t="s">
        <v>67</v>
      </c>
      <c r="B35" s="1" t="s">
        <v>730</v>
      </c>
      <c r="C35" s="23"/>
      <c r="D35" s="119" t="str">
        <f>IF([1]RENAME!$H$3=1,B35,A35)</f>
        <v>EBITDA ajustado</v>
      </c>
      <c r="E35" s="120">
        <f t="shared" ref="E35:AT35" si="21">SUM(E16:E34)</f>
        <v>8793</v>
      </c>
      <c r="F35" s="120">
        <f t="shared" si="21"/>
        <v>6326</v>
      </c>
      <c r="G35" s="120">
        <f t="shared" si="21"/>
        <v>-4339</v>
      </c>
      <c r="H35" s="120">
        <f t="shared" si="21"/>
        <v>-4309</v>
      </c>
      <c r="I35" s="120">
        <f t="shared" si="21"/>
        <v>-17280</v>
      </c>
      <c r="J35" s="120">
        <f t="shared" si="21"/>
        <v>-15225</v>
      </c>
      <c r="K35" s="120">
        <f t="shared" si="21"/>
        <v>-10850</v>
      </c>
      <c r="L35" s="120">
        <f t="shared" si="21"/>
        <v>-8720</v>
      </c>
      <c r="M35" s="120">
        <f t="shared" si="21"/>
        <v>-3668</v>
      </c>
      <c r="N35" s="120">
        <f t="shared" si="21"/>
        <v>-4662</v>
      </c>
      <c r="O35" s="120">
        <f t="shared" si="21"/>
        <v>-4039</v>
      </c>
      <c r="P35" s="120">
        <f t="shared" si="21"/>
        <v>5430</v>
      </c>
      <c r="Q35" s="120">
        <f t="shared" si="21"/>
        <v>621</v>
      </c>
      <c r="R35" s="120">
        <f t="shared" si="21"/>
        <v>-3692.8073799999997</v>
      </c>
      <c r="S35" s="120">
        <f t="shared" si="21"/>
        <v>75</v>
      </c>
      <c r="T35" s="120">
        <f t="shared" si="21"/>
        <v>6632.0527900000143</v>
      </c>
      <c r="U35" s="120">
        <f t="shared" si="21"/>
        <v>3521.9653700000054</v>
      </c>
      <c r="V35" s="120">
        <f t="shared" si="21"/>
        <v>2922.5407300000024</v>
      </c>
      <c r="W35" s="120">
        <f t="shared" si="21"/>
        <v>1784.6219000000017</v>
      </c>
      <c r="X35" s="120">
        <f t="shared" si="21"/>
        <v>3101.8634099999999</v>
      </c>
      <c r="Y35" s="120">
        <f t="shared" si="21"/>
        <v>5088.9180800000113</v>
      </c>
      <c r="Z35" s="120">
        <f t="shared" si="21"/>
        <v>1563.8832099999963</v>
      </c>
      <c r="AA35" s="120">
        <f t="shared" si="21"/>
        <v>6103.3221699999922</v>
      </c>
      <c r="AB35" s="120">
        <f t="shared" si="21"/>
        <v>3839.2210800000003</v>
      </c>
      <c r="AC35" s="120">
        <f t="shared" si="21"/>
        <v>6840.637380000001</v>
      </c>
      <c r="AD35" s="120">
        <f t="shared" si="21"/>
        <v>6900.8666400000002</v>
      </c>
      <c r="AE35" s="120">
        <f t="shared" si="21"/>
        <v>8387.9753299999993</v>
      </c>
      <c r="AF35" s="120">
        <f t="shared" si="21"/>
        <v>6116.2747789860023</v>
      </c>
      <c r="AG35" s="162">
        <f t="shared" si="21"/>
        <v>13526.770399999999</v>
      </c>
      <c r="AH35" s="120">
        <f t="shared" si="21"/>
        <v>10792.115830000002</v>
      </c>
      <c r="AI35" s="120">
        <f t="shared" si="21"/>
        <v>14657.471238841323</v>
      </c>
      <c r="AJ35" s="120">
        <f t="shared" si="21"/>
        <v>12623.503299999997</v>
      </c>
      <c r="AK35" s="120">
        <f t="shared" si="21"/>
        <v>14941.204700000004</v>
      </c>
      <c r="AL35" s="120">
        <f t="shared" si="21"/>
        <v>16308.140899999999</v>
      </c>
      <c r="AM35" s="120">
        <f t="shared" si="21"/>
        <v>16517.227480000005</v>
      </c>
      <c r="AN35" s="120">
        <f t="shared" si="21"/>
        <v>15090.259720000002</v>
      </c>
      <c r="AO35" s="120">
        <f t="shared" si="21"/>
        <v>10070.26658</v>
      </c>
      <c r="AP35" s="120">
        <f t="shared" si="21"/>
        <v>11871.528069999998</v>
      </c>
      <c r="AQ35" s="120">
        <f t="shared" si="21"/>
        <v>11958.377320000005</v>
      </c>
      <c r="AR35" s="120">
        <f t="shared" si="21"/>
        <v>9324.9591600000094</v>
      </c>
      <c r="AS35" s="120">
        <f t="shared" si="21"/>
        <v>14024.906889999991</v>
      </c>
      <c r="AT35" s="120">
        <f t="shared" si="21"/>
        <v>11354.191860000004</v>
      </c>
      <c r="AU35" s="120">
        <f t="shared" ref="AU35:BE35" si="22">SUM(AU16:AU34)</f>
        <v>13971.477289999993</v>
      </c>
      <c r="AV35" s="120">
        <f t="shared" si="22"/>
        <v>11265.87644</v>
      </c>
      <c r="AW35" s="120">
        <f t="shared" si="22"/>
        <v>11127.471440000001</v>
      </c>
      <c r="AX35" s="120">
        <f t="shared" si="22"/>
        <v>11565.998679999997</v>
      </c>
      <c r="AY35" s="120">
        <f t="shared" si="22"/>
        <v>12418.770880000009</v>
      </c>
      <c r="AZ35" s="120">
        <f t="shared" si="22"/>
        <v>11736.273050000003</v>
      </c>
      <c r="BA35" s="120">
        <f t="shared" si="22"/>
        <v>8356.5093099999958</v>
      </c>
      <c r="BB35" s="120">
        <f>SUM(BB16:BB34)</f>
        <v>10538.231340000004</v>
      </c>
      <c r="BC35" s="120">
        <f>SUM(BC16:BC34)</f>
        <v>8007.476179999996</v>
      </c>
      <c r="BD35" s="120">
        <f>SUM(BD16:BD34)</f>
        <v>5727.3026900000013</v>
      </c>
      <c r="BE35" s="120">
        <f t="shared" si="22"/>
        <v>8384.3995700000069</v>
      </c>
      <c r="BF35" s="120">
        <f>SUM(BF16:BF34)</f>
        <v>8359.6708699999945</v>
      </c>
      <c r="BG35" s="120">
        <f>SUM(BG16:BG34)</f>
        <v>4812.1752399999932</v>
      </c>
      <c r="BH35" s="120">
        <f>SUM(BH16:BH34)</f>
        <v>3375.9691199999929</v>
      </c>
      <c r="BI35" s="120">
        <f>SUM(BI16:BI34)</f>
        <v>8673.3715499999998</v>
      </c>
      <c r="BJ35" s="120">
        <f>SUM(BJ16:BJ34)</f>
        <v>6949.5624500000067</v>
      </c>
    </row>
    <row r="36" spans="1:62" ht="14.1" customHeight="1" x14ac:dyDescent="0.2">
      <c r="A36" s="1" t="s">
        <v>68</v>
      </c>
      <c r="B36" s="1" t="s">
        <v>731</v>
      </c>
      <c r="C36" s="23"/>
      <c r="D36" s="122" t="str">
        <f>IF([1]RENAME!$H$3=1,B36,A36)</f>
        <v>Margem EBITDA ajustado</v>
      </c>
      <c r="E36" s="13">
        <f t="shared" ref="E36:Y36" si="23">ROUND(E35/E12,3)</f>
        <v>8.5000000000000006E-2</v>
      </c>
      <c r="F36" s="13">
        <f t="shared" si="23"/>
        <v>5.5E-2</v>
      </c>
      <c r="G36" s="13">
        <f t="shared" si="23"/>
        <v>-3.3000000000000002E-2</v>
      </c>
      <c r="H36" s="13">
        <f t="shared" si="23"/>
        <v>-3.4000000000000002E-2</v>
      </c>
      <c r="I36" s="13">
        <f t="shared" si="23"/>
        <v>-0.185</v>
      </c>
      <c r="J36" s="13">
        <f t="shared" si="23"/>
        <v>-0.16300000000000001</v>
      </c>
      <c r="K36" s="13">
        <f t="shared" si="23"/>
        <v>-0.11600000000000001</v>
      </c>
      <c r="L36" s="13">
        <f t="shared" si="23"/>
        <v>-8.2000000000000003E-2</v>
      </c>
      <c r="M36" s="13">
        <f t="shared" si="23"/>
        <v>-3.9E-2</v>
      </c>
      <c r="N36" s="13">
        <f t="shared" si="23"/>
        <v>-0.05</v>
      </c>
      <c r="O36" s="13">
        <f t="shared" si="23"/>
        <v>-5.1999999999999998E-2</v>
      </c>
      <c r="P36" s="13">
        <f t="shared" si="23"/>
        <v>0.108</v>
      </c>
      <c r="Q36" s="13">
        <f t="shared" si="23"/>
        <v>1.2999999999999999E-2</v>
      </c>
      <c r="R36" s="13">
        <f t="shared" si="23"/>
        <v>-7.5999999999999998E-2</v>
      </c>
      <c r="S36" s="13">
        <f t="shared" si="23"/>
        <v>1E-3</v>
      </c>
      <c r="T36" s="13">
        <f t="shared" si="23"/>
        <v>0.13100000000000001</v>
      </c>
      <c r="U36" s="13">
        <f t="shared" si="23"/>
        <v>8.2000000000000003E-2</v>
      </c>
      <c r="V36" s="13">
        <f t="shared" si="23"/>
        <v>7.0000000000000007E-2</v>
      </c>
      <c r="W36" s="13">
        <f t="shared" si="23"/>
        <v>4.4999999999999998E-2</v>
      </c>
      <c r="X36" s="13">
        <f t="shared" si="23"/>
        <v>7.6999999999999999E-2</v>
      </c>
      <c r="Y36" s="13">
        <f t="shared" si="23"/>
        <v>0.127</v>
      </c>
      <c r="Z36" s="13">
        <v>3.2000000000000001E-2</v>
      </c>
      <c r="AA36" s="13">
        <f t="shared" ref="AA36:AI36" si="24">ROUND(AA35/AA12,3)</f>
        <v>0.14599999999999999</v>
      </c>
      <c r="AB36" s="13">
        <f t="shared" si="24"/>
        <v>8.5999999999999993E-2</v>
      </c>
      <c r="AC36" s="13">
        <f t="shared" si="24"/>
        <v>0.17299999999999999</v>
      </c>
      <c r="AD36" s="13">
        <f t="shared" si="24"/>
        <v>0.185</v>
      </c>
      <c r="AE36" s="13">
        <f t="shared" si="24"/>
        <v>0.23899999999999999</v>
      </c>
      <c r="AF36" s="13">
        <f t="shared" si="24"/>
        <v>0.14899999999999999</v>
      </c>
      <c r="AG36" s="750">
        <f t="shared" si="24"/>
        <v>0.35799999999999998</v>
      </c>
      <c r="AH36" s="13">
        <f t="shared" si="24"/>
        <v>0.28799999999999998</v>
      </c>
      <c r="AI36" s="13">
        <f t="shared" si="24"/>
        <v>0.35799999999999998</v>
      </c>
      <c r="AJ36" s="13">
        <v>0.308</v>
      </c>
      <c r="AK36" s="13">
        <v>0.38300000000000001</v>
      </c>
      <c r="AL36" s="13">
        <v>0.377</v>
      </c>
      <c r="AM36" s="13">
        <f>ROUND(AM35/AM12,3)</f>
        <v>0.378</v>
      </c>
      <c r="AN36" s="13">
        <f>ROUND(AN35/AN12,3)</f>
        <v>0.373</v>
      </c>
      <c r="AO36" s="13">
        <f>ROUND(AO35/AO12,3)</f>
        <v>0.30399999999999999</v>
      </c>
      <c r="AP36" s="13">
        <f>ROUND(AP35/AP12,3)</f>
        <v>0.32400000000000001</v>
      </c>
      <c r="AQ36" s="13">
        <v>0.32200000000000001</v>
      </c>
      <c r="AR36" s="13">
        <f t="shared" ref="AR36:AW36" si="25">ROUND(AR35/AR12,3)</f>
        <v>0.28299999999999997</v>
      </c>
      <c r="AS36" s="13">
        <f t="shared" si="25"/>
        <v>0.35699999999999998</v>
      </c>
      <c r="AT36" s="13">
        <f t="shared" si="25"/>
        <v>0.29499999999999998</v>
      </c>
      <c r="AU36" s="13">
        <f t="shared" si="25"/>
        <v>0.33</v>
      </c>
      <c r="AV36" s="13">
        <f t="shared" si="25"/>
        <v>0.30499999999999999</v>
      </c>
      <c r="AW36" s="13">
        <f t="shared" si="25"/>
        <v>0.28499999999999998</v>
      </c>
      <c r="AX36" s="13">
        <f t="shared" ref="AX36:BF36" si="26">ROUND(AX35/AX12,3)</f>
        <v>0.32400000000000001</v>
      </c>
      <c r="AY36" s="13">
        <f t="shared" si="26"/>
        <v>0.30199999999999999</v>
      </c>
      <c r="AZ36" s="13">
        <f t="shared" si="26"/>
        <v>0.28999999999999998</v>
      </c>
      <c r="BA36" s="13">
        <f t="shared" si="26"/>
        <v>0.20100000000000001</v>
      </c>
      <c r="BB36" s="13">
        <f t="shared" si="26"/>
        <v>0.23100000000000001</v>
      </c>
      <c r="BC36" s="13">
        <f t="shared" si="26"/>
        <v>0.191</v>
      </c>
      <c r="BD36" s="13">
        <f>ROUND(BD35/BD12,3)</f>
        <v>0.14000000000000001</v>
      </c>
      <c r="BE36" s="13">
        <f t="shared" si="26"/>
        <v>0.183</v>
      </c>
      <c r="BF36" s="13">
        <f t="shared" si="26"/>
        <v>0.187</v>
      </c>
      <c r="BG36" s="13">
        <v>0.14000000000000001</v>
      </c>
      <c r="BH36" s="13">
        <f>ROUND(BH35/BH12,3)</f>
        <v>8.7999999999999995E-2</v>
      </c>
      <c r="BI36" s="13">
        <f>ROUND(BI35/BI12,3)</f>
        <v>0.21099999999999999</v>
      </c>
      <c r="BJ36" s="13">
        <f>ROUND(BJ35/BJ12,3)</f>
        <v>0.14699999999999999</v>
      </c>
    </row>
    <row r="37" spans="1:62" ht="14.1" customHeight="1" x14ac:dyDescent="0.2">
      <c r="A37" s="1" t="s">
        <v>137</v>
      </c>
      <c r="B37" s="1" t="s">
        <v>754</v>
      </c>
      <c r="C37" s="23"/>
      <c r="D37" s="117" t="str">
        <f>IF([1]RENAME!$H$3=1,B37,A37)</f>
        <v>Depreciação e amortização</v>
      </c>
      <c r="E37" s="118">
        <v>-2126</v>
      </c>
      <c r="F37" s="118">
        <v>-2659</v>
      </c>
      <c r="G37" s="118">
        <v>-2720</v>
      </c>
      <c r="H37" s="118">
        <v>-6585</v>
      </c>
      <c r="I37" s="118">
        <v>-3371</v>
      </c>
      <c r="J37" s="118">
        <v>-3185</v>
      </c>
      <c r="K37" s="118">
        <v>-2697</v>
      </c>
      <c r="L37" s="118">
        <v>-3340</v>
      </c>
      <c r="M37" s="118">
        <v>-4285</v>
      </c>
      <c r="N37" s="118">
        <v>-4387</v>
      </c>
      <c r="O37" s="118">
        <v>-3719</v>
      </c>
      <c r="P37" s="118">
        <v>-5317</v>
      </c>
      <c r="Q37" s="118">
        <f t="shared" ref="Q37:AH37" si="27">+SUM(Q38:Q39)</f>
        <v>-3275</v>
      </c>
      <c r="R37" s="118">
        <f t="shared" si="27"/>
        <v>-3793</v>
      </c>
      <c r="S37" s="118">
        <f t="shared" si="27"/>
        <v>-3384</v>
      </c>
      <c r="T37" s="118">
        <f t="shared" si="27"/>
        <v>-4213.2582600000005</v>
      </c>
      <c r="U37" s="118">
        <f t="shared" si="27"/>
        <v>-3218.6450500000001</v>
      </c>
      <c r="V37" s="118">
        <f t="shared" si="27"/>
        <v>-5559.2025599999997</v>
      </c>
      <c r="W37" s="118">
        <f t="shared" si="27"/>
        <v>-3537.6142600000003</v>
      </c>
      <c r="X37" s="118">
        <f t="shared" si="27"/>
        <v>-3697.5026999999995</v>
      </c>
      <c r="Y37" s="118">
        <f t="shared" si="27"/>
        <v>-3275.6654100000001</v>
      </c>
      <c r="Z37" s="118">
        <f t="shared" si="27"/>
        <v>-3339.7341299999998</v>
      </c>
      <c r="AA37" s="118">
        <f t="shared" si="27"/>
        <v>-3481.3923999999997</v>
      </c>
      <c r="AB37" s="118">
        <f t="shared" si="27"/>
        <v>-3632.3136199999999</v>
      </c>
      <c r="AC37" s="118">
        <f t="shared" si="27"/>
        <v>-3098.15454</v>
      </c>
      <c r="AD37" s="118">
        <f t="shared" si="27"/>
        <v>-2719.4558000000002</v>
      </c>
      <c r="AE37" s="118">
        <f t="shared" si="27"/>
        <v>-2774.3335099999999</v>
      </c>
      <c r="AF37" s="118">
        <f t="shared" si="27"/>
        <v>-2686.27648</v>
      </c>
      <c r="AG37" s="160">
        <f t="shared" si="27"/>
        <v>-6952.038230000001</v>
      </c>
      <c r="AH37" s="118">
        <f t="shared" si="27"/>
        <v>-6039.3358799999996</v>
      </c>
      <c r="AI37" s="118">
        <v>-6725.99467</v>
      </c>
      <c r="AJ37" s="118">
        <v>-6699.1472800000001</v>
      </c>
      <c r="AK37" s="118">
        <v>-6419.5093199999992</v>
      </c>
      <c r="AL37" s="118">
        <v>-6046.7439800000002</v>
      </c>
      <c r="AM37" s="118">
        <f>+SUM(AM38:AM39)</f>
        <v>-5804.4692500000001</v>
      </c>
      <c r="AN37" s="118">
        <f>+SUM(AN38:AN39)</f>
        <v>-5588.5088900000001</v>
      </c>
      <c r="AO37" s="118">
        <f>+SUM(AO38:AO39)</f>
        <v>-4735.9954099999995</v>
      </c>
      <c r="AP37" s="118">
        <f>+SUM(AP38:AP39)</f>
        <v>-4457.4870200000005</v>
      </c>
      <c r="AQ37" s="118">
        <v>-4456.4180200000001</v>
      </c>
      <c r="AR37" s="118">
        <f t="shared" ref="AR37:AW37" si="28">+SUM(AR38:AR39)</f>
        <v>-4303.1989899999999</v>
      </c>
      <c r="AS37" s="118">
        <f t="shared" si="28"/>
        <v>-4326.4316700000008</v>
      </c>
      <c r="AT37" s="118">
        <f t="shared" si="28"/>
        <v>-4373.1962900000008</v>
      </c>
      <c r="AU37" s="118">
        <f t="shared" si="28"/>
        <v>-4468.6228499999997</v>
      </c>
      <c r="AV37" s="118">
        <f t="shared" si="28"/>
        <v>-4480.1281099999997</v>
      </c>
      <c r="AW37" s="118">
        <f t="shared" si="28"/>
        <v>-4222.4439899999998</v>
      </c>
      <c r="AX37" s="118">
        <f t="shared" ref="AX37:BG37" si="29">+SUM(AX38:AX39)</f>
        <v>-4178.0916199999992</v>
      </c>
      <c r="AY37" s="118">
        <f t="shared" si="29"/>
        <v>-4287.2775799999999</v>
      </c>
      <c r="AZ37" s="118">
        <f t="shared" si="29"/>
        <v>-4208.06567</v>
      </c>
      <c r="BA37" s="118">
        <f t="shared" si="29"/>
        <v>-4303.81916</v>
      </c>
      <c r="BB37" s="118">
        <f t="shared" si="29"/>
        <v>-4388.9947100000009</v>
      </c>
      <c r="BC37" s="118">
        <f t="shared" si="29"/>
        <v>-4431.3198400000001</v>
      </c>
      <c r="BD37" s="118">
        <f>+SUM(BD38:BD39)</f>
        <v>-4047.4931599999995</v>
      </c>
      <c r="BE37" s="118">
        <f>+SUM(BE38:BE39)</f>
        <v>-4316.9463399999995</v>
      </c>
      <c r="BF37" s="118">
        <f t="shared" si="29"/>
        <v>-4266.112790000001</v>
      </c>
      <c r="BG37" s="118">
        <f t="shared" si="29"/>
        <v>-4408.2408799999994</v>
      </c>
      <c r="BH37" s="118">
        <f>+SUM(BH38:BH39)</f>
        <v>-4369.4005899999993</v>
      </c>
      <c r="BI37" s="118">
        <f>+SUM(BI38:BI39)</f>
        <v>-4239.2985399999998</v>
      </c>
      <c r="BJ37" s="118">
        <f>+SUM(BJ38:BJ39)</f>
        <v>-4165.5566000000008</v>
      </c>
    </row>
    <row r="38" spans="1:62" ht="14.1" customHeight="1" outlineLevel="1" x14ac:dyDescent="0.2">
      <c r="A38" s="1" t="s">
        <v>1558</v>
      </c>
      <c r="B38" s="1" t="s">
        <v>1559</v>
      </c>
      <c r="C38" s="24"/>
      <c r="D38" s="620" t="str">
        <f>IF([1]RENAME!$H$3=1,B38,A38)</f>
        <v>Depreciação e amortização (custo)</v>
      </c>
      <c r="E38" s="118" t="s">
        <v>160</v>
      </c>
      <c r="F38" s="118" t="s">
        <v>160</v>
      </c>
      <c r="G38" s="118" t="s">
        <v>160</v>
      </c>
      <c r="H38" s="118" t="s">
        <v>160</v>
      </c>
      <c r="I38" s="118" t="s">
        <v>160</v>
      </c>
      <c r="J38" s="118" t="s">
        <v>160</v>
      </c>
      <c r="K38" s="118" t="s">
        <v>160</v>
      </c>
      <c r="L38" s="118" t="s">
        <v>160</v>
      </c>
      <c r="M38" s="118" t="s">
        <v>160</v>
      </c>
      <c r="N38" s="118" t="s">
        <v>160</v>
      </c>
      <c r="O38" s="118" t="s">
        <v>160</v>
      </c>
      <c r="P38" s="118" t="s">
        <v>160</v>
      </c>
      <c r="Q38" s="118">
        <v>-3086.91039</v>
      </c>
      <c r="R38" s="118">
        <v>-3258.3303299999998</v>
      </c>
      <c r="S38" s="118">
        <v>-3012.4188899999999</v>
      </c>
      <c r="T38" s="118">
        <v>-4110.1755300000004</v>
      </c>
      <c r="U38" s="118">
        <v>-3114.0270599999999</v>
      </c>
      <c r="V38" s="118">
        <v>-5456.2800399999996</v>
      </c>
      <c r="W38" s="118">
        <v>-3436.9309800000001</v>
      </c>
      <c r="X38" s="118">
        <v>-3599.9867299999996</v>
      </c>
      <c r="Y38" s="118">
        <v>-3188.2748700000002</v>
      </c>
      <c r="Z38" s="118">
        <v>-3252.4979399999997</v>
      </c>
      <c r="AA38" s="118">
        <v>-3392.6533399999998</v>
      </c>
      <c r="AB38" s="118">
        <v>-3533.3530499999997</v>
      </c>
      <c r="AC38" s="118">
        <v>-3018.6289700000002</v>
      </c>
      <c r="AD38" s="118">
        <v>-2654.5589500000001</v>
      </c>
      <c r="AE38" s="118">
        <v>-2709.4674599999998</v>
      </c>
      <c r="AF38" s="118">
        <v>-2625.1356900000001</v>
      </c>
      <c r="AG38" s="160">
        <v>-6897.8666900000007</v>
      </c>
      <c r="AH38" s="118">
        <v>-5985.2234399999998</v>
      </c>
      <c r="AI38" s="118">
        <v>-6672.6637300000002</v>
      </c>
      <c r="AJ38" s="118">
        <v>-6645.3661899999997</v>
      </c>
      <c r="AK38" s="118">
        <v>-6364.4777399999994</v>
      </c>
      <c r="AL38" s="118">
        <v>-5990.5031300000001</v>
      </c>
      <c r="AM38" s="118">
        <v>-5758.2713300000005</v>
      </c>
      <c r="AN38" s="118">
        <v>-5561.2758899999999</v>
      </c>
      <c r="AO38" s="118">
        <v>-4725.2368099999994</v>
      </c>
      <c r="AP38" s="118">
        <v>-4446.3691200000003</v>
      </c>
      <c r="AQ38" s="118">
        <v>-4445.9161700000004</v>
      </c>
      <c r="AR38" s="118">
        <v>-4293.0837099999999</v>
      </c>
      <c r="AS38" s="118">
        <v>-4316.5104600000004</v>
      </c>
      <c r="AT38" s="118">
        <v>-4363.3453200000004</v>
      </c>
      <c r="AU38" s="118">
        <v>-4458.7732299999998</v>
      </c>
      <c r="AV38" s="118">
        <v>-4470.4262899999994</v>
      </c>
      <c r="AW38" s="118">
        <v>-4213.7464099999997</v>
      </c>
      <c r="AX38" s="118">
        <v>-4170.2007799999992</v>
      </c>
      <c r="AY38" s="118">
        <v>-4279.6230500000001</v>
      </c>
      <c r="AZ38" s="118">
        <v>-4200.6129300000002</v>
      </c>
      <c r="BA38" s="118">
        <v>-4296.40265</v>
      </c>
      <c r="BB38" s="118">
        <v>-4381.5794000000005</v>
      </c>
      <c r="BC38" s="118">
        <v>-4423.9045299999998</v>
      </c>
      <c r="BD38" s="118">
        <v>-4032.9012599999996</v>
      </c>
      <c r="BE38" s="118">
        <v>-4310.1273099999999</v>
      </c>
      <c r="BF38" s="118">
        <v>-4263.5932200000007</v>
      </c>
      <c r="BG38" s="118">
        <v>-4406.1939899999998</v>
      </c>
      <c r="BH38" s="118">
        <v>-4367.9250199999997</v>
      </c>
      <c r="BI38" s="118">
        <v>-4238.1601000000001</v>
      </c>
      <c r="BJ38" s="118">
        <f>(+[4]Base_DRE!$T$32)</f>
        <v>-4164.4635400000006</v>
      </c>
    </row>
    <row r="39" spans="1:62" ht="14.1" customHeight="1" outlineLevel="1" x14ac:dyDescent="0.2">
      <c r="A39" s="1" t="s">
        <v>1560</v>
      </c>
      <c r="B39" s="1" t="s">
        <v>1561</v>
      </c>
      <c r="C39" s="24"/>
      <c r="D39" s="620" t="str">
        <f>IF([1]RENAME!$H$3=1,B39,A39)</f>
        <v>Depreciação e amortização (despesa)</v>
      </c>
      <c r="E39" s="118" t="s">
        <v>160</v>
      </c>
      <c r="F39" s="118" t="s">
        <v>160</v>
      </c>
      <c r="G39" s="118" t="s">
        <v>160</v>
      </c>
      <c r="H39" s="118" t="s">
        <v>160</v>
      </c>
      <c r="I39" s="118" t="s">
        <v>160</v>
      </c>
      <c r="J39" s="118" t="s">
        <v>160</v>
      </c>
      <c r="K39" s="118" t="s">
        <v>160</v>
      </c>
      <c r="L39" s="118" t="s">
        <v>160</v>
      </c>
      <c r="M39" s="118" t="s">
        <v>160</v>
      </c>
      <c r="N39" s="118" t="s">
        <v>160</v>
      </c>
      <c r="O39" s="118" t="s">
        <v>160</v>
      </c>
      <c r="P39" s="118" t="s">
        <v>160</v>
      </c>
      <c r="Q39" s="118">
        <v>-188.08960999999999</v>
      </c>
      <c r="R39" s="118">
        <v>-534.66967000000022</v>
      </c>
      <c r="S39" s="118">
        <v>-371.58111000000008</v>
      </c>
      <c r="T39" s="118">
        <v>-103.08273000000001</v>
      </c>
      <c r="U39" s="118">
        <v>-104.61798999999999</v>
      </c>
      <c r="V39" s="118">
        <v>-102.92251999999999</v>
      </c>
      <c r="W39" s="118">
        <v>-100.68328</v>
      </c>
      <c r="X39" s="118">
        <v>-97.515969999999996</v>
      </c>
      <c r="Y39" s="118">
        <v>-87.390539999999987</v>
      </c>
      <c r="Z39" s="118">
        <v>-87.236190000000008</v>
      </c>
      <c r="AA39" s="118">
        <v>-88.739059999999995</v>
      </c>
      <c r="AB39" s="118">
        <v>-98.960570000000004</v>
      </c>
      <c r="AC39" s="118">
        <v>-79.525570000000002</v>
      </c>
      <c r="AD39" s="118">
        <v>-64.896850000000001</v>
      </c>
      <c r="AE39" s="118">
        <v>-64.866050000000001</v>
      </c>
      <c r="AF39" s="118">
        <v>-61.140790000000003</v>
      </c>
      <c r="AG39" s="160">
        <v>-54.17154</v>
      </c>
      <c r="AH39" s="118">
        <v>-54.112439999999999</v>
      </c>
      <c r="AI39" s="118">
        <v>-53.330940000000005</v>
      </c>
      <c r="AJ39" s="118">
        <v>-53.781089999999999</v>
      </c>
      <c r="AK39" s="118">
        <v>-55.031579999999991</v>
      </c>
      <c r="AL39" s="118">
        <v>-56.240850000000009</v>
      </c>
      <c r="AM39" s="118">
        <v>-46.197920000000003</v>
      </c>
      <c r="AN39" s="118">
        <v>-27.233000000000001</v>
      </c>
      <c r="AO39" s="118">
        <v>-10.758599999999998</v>
      </c>
      <c r="AP39" s="118">
        <v>-11.117899999999999</v>
      </c>
      <c r="AQ39" s="118">
        <v>-10.501849999999999</v>
      </c>
      <c r="AR39" s="118">
        <v>-10.11528</v>
      </c>
      <c r="AS39" s="118">
        <v>-9.9212099999999985</v>
      </c>
      <c r="AT39" s="118">
        <v>-9.8509699999999984</v>
      </c>
      <c r="AU39" s="118">
        <v>-9.849619999999998</v>
      </c>
      <c r="AV39" s="118">
        <v>-9.7018199999999979</v>
      </c>
      <c r="AW39" s="118">
        <v>-8.6975799999999985</v>
      </c>
      <c r="AX39" s="118">
        <v>-7.8908399999999999</v>
      </c>
      <c r="AY39" s="118">
        <v>-7.6545299999999994</v>
      </c>
      <c r="AZ39" s="118">
        <v>-7.4527399999999995</v>
      </c>
      <c r="BA39" s="118">
        <v>-7.4165100000000006</v>
      </c>
      <c r="BB39" s="118">
        <v>-7.4153099999999998</v>
      </c>
      <c r="BC39" s="118">
        <v>-7.4153099999999998</v>
      </c>
      <c r="BD39" s="118">
        <v>-14.591899999999999</v>
      </c>
      <c r="BE39" s="118">
        <v>-6.8190299999999997</v>
      </c>
      <c r="BF39" s="118">
        <v>-2.5195699999999999</v>
      </c>
      <c r="BG39" s="118">
        <v>-2.0468899999999999</v>
      </c>
      <c r="BH39" s="118">
        <v>-1.4755699999999998</v>
      </c>
      <c r="BI39" s="118">
        <v>-1.1384399999999999</v>
      </c>
      <c r="BJ39" s="118">
        <f>(+[4]Base_DRE!$T$53)</f>
        <v>-1.0930599999999999</v>
      </c>
    </row>
    <row r="40" spans="1:62" ht="14.1" customHeight="1" x14ac:dyDescent="0.2">
      <c r="A40" s="1" t="s">
        <v>9</v>
      </c>
      <c r="B40" s="1" t="s">
        <v>704</v>
      </c>
      <c r="C40" s="23"/>
      <c r="D40" s="119" t="str">
        <f>IF([1]RENAME!$H$3=1,B40,A40)</f>
        <v>Lucro operacional</v>
      </c>
      <c r="E40" s="120">
        <f t="shared" ref="E40:AT40" si="30">E16+E37</f>
        <v>6667</v>
      </c>
      <c r="F40" s="120">
        <f t="shared" si="30"/>
        <v>3199</v>
      </c>
      <c r="G40" s="120">
        <f t="shared" si="30"/>
        <v>-8352</v>
      </c>
      <c r="H40" s="120">
        <f t="shared" si="30"/>
        <v>-1500</v>
      </c>
      <c r="I40" s="120">
        <f t="shared" si="30"/>
        <v>-21840</v>
      </c>
      <c r="J40" s="120">
        <f t="shared" si="30"/>
        <v>-23547</v>
      </c>
      <c r="K40" s="120">
        <f t="shared" si="30"/>
        <v>-31481</v>
      </c>
      <c r="L40" s="120">
        <f t="shared" si="30"/>
        <v>-16050</v>
      </c>
      <c r="M40" s="120">
        <f t="shared" si="30"/>
        <v>-14871</v>
      </c>
      <c r="N40" s="120">
        <f t="shared" si="30"/>
        <v>-9049</v>
      </c>
      <c r="O40" s="120">
        <f t="shared" si="30"/>
        <v>-7758</v>
      </c>
      <c r="P40" s="120">
        <f t="shared" si="30"/>
        <v>-2081</v>
      </c>
      <c r="Q40" s="120">
        <f t="shared" si="30"/>
        <v>-2654</v>
      </c>
      <c r="R40" s="120">
        <f t="shared" si="30"/>
        <v>-11190</v>
      </c>
      <c r="S40" s="120">
        <f t="shared" si="30"/>
        <v>-3309</v>
      </c>
      <c r="T40" s="120">
        <f t="shared" si="30"/>
        <v>-18882.374049999984</v>
      </c>
      <c r="U40" s="120">
        <f t="shared" si="30"/>
        <v>303.32032000000527</v>
      </c>
      <c r="V40" s="120">
        <f t="shared" si="30"/>
        <v>-2636.6618299999973</v>
      </c>
      <c r="W40" s="120">
        <f t="shared" si="30"/>
        <v>-1752.9923599999986</v>
      </c>
      <c r="X40" s="120">
        <f t="shared" si="30"/>
        <v>-595.63928999999962</v>
      </c>
      <c r="Y40" s="120">
        <f t="shared" si="30"/>
        <v>1813.2526700000112</v>
      </c>
      <c r="Z40" s="120">
        <f t="shared" si="30"/>
        <v>6304.1824599999973</v>
      </c>
      <c r="AA40" s="120">
        <f t="shared" si="30"/>
        <v>-3111.0702300000075</v>
      </c>
      <c r="AB40" s="120">
        <f t="shared" si="30"/>
        <v>-2053.6491000000033</v>
      </c>
      <c r="AC40" s="120">
        <f t="shared" si="30"/>
        <v>3742.482840000001</v>
      </c>
      <c r="AD40" s="120">
        <f t="shared" si="30"/>
        <v>4181.4108400000005</v>
      </c>
      <c r="AE40" s="120">
        <f t="shared" si="30"/>
        <v>361.8818899999992</v>
      </c>
      <c r="AF40" s="120">
        <f t="shared" si="30"/>
        <v>943.29135000000178</v>
      </c>
      <c r="AG40" s="162">
        <f t="shared" si="30"/>
        <v>6574.7321699999984</v>
      </c>
      <c r="AH40" s="120">
        <f t="shared" si="30"/>
        <v>4752.7799500000028</v>
      </c>
      <c r="AI40" s="120">
        <f t="shared" si="30"/>
        <v>9532.394580000002</v>
      </c>
      <c r="AJ40" s="120">
        <f t="shared" si="30"/>
        <v>5924.3560199999965</v>
      </c>
      <c r="AK40" s="120">
        <f t="shared" si="30"/>
        <v>8521.6953800000047</v>
      </c>
      <c r="AL40" s="120">
        <f t="shared" si="30"/>
        <v>10261.396919999999</v>
      </c>
      <c r="AM40" s="120">
        <f t="shared" si="30"/>
        <v>10712.758230000005</v>
      </c>
      <c r="AN40" s="120">
        <f t="shared" si="30"/>
        <v>4281.4788300000009</v>
      </c>
      <c r="AO40" s="120">
        <f t="shared" si="30"/>
        <v>5334.27117</v>
      </c>
      <c r="AP40" s="120">
        <f t="shared" si="30"/>
        <v>13146.754839999998</v>
      </c>
      <c r="AQ40" s="120">
        <f t="shared" si="30"/>
        <v>7501.959300000005</v>
      </c>
      <c r="AR40" s="120">
        <f t="shared" si="30"/>
        <v>7612.7601700000096</v>
      </c>
      <c r="AS40" s="120">
        <f t="shared" si="30"/>
        <v>9698.4752199999893</v>
      </c>
      <c r="AT40" s="120">
        <f t="shared" si="30"/>
        <v>6980.9955700000037</v>
      </c>
      <c r="AU40" s="120">
        <f t="shared" ref="AU40:BF40" si="31">AU16+AU37</f>
        <v>9502.8544399999937</v>
      </c>
      <c r="AV40" s="120">
        <f t="shared" si="31"/>
        <v>6785.7483300000004</v>
      </c>
      <c r="AW40" s="120">
        <f t="shared" si="31"/>
        <v>6905.0274500000014</v>
      </c>
      <c r="AX40" s="120">
        <f t="shared" si="31"/>
        <v>7387.9070599999977</v>
      </c>
      <c r="AY40" s="120">
        <f t="shared" si="31"/>
        <v>8131.4933000000092</v>
      </c>
      <c r="AZ40" s="120">
        <f t="shared" si="31"/>
        <v>7528.2073800000035</v>
      </c>
      <c r="BA40" s="120">
        <f t="shared" si="31"/>
        <v>4052.6901499999958</v>
      </c>
      <c r="BB40" s="120">
        <f t="shared" si="31"/>
        <v>6149.2366300000031</v>
      </c>
      <c r="BC40" s="120">
        <f t="shared" si="31"/>
        <v>3576.1563399999959</v>
      </c>
      <c r="BD40" s="120">
        <f t="shared" si="31"/>
        <v>1679.8095300000018</v>
      </c>
      <c r="BE40" s="120">
        <f t="shared" si="31"/>
        <v>4067.4532300000074</v>
      </c>
      <c r="BF40" s="120">
        <f t="shared" si="31"/>
        <v>4093.5580799999934</v>
      </c>
      <c r="BG40" s="120">
        <f>BG16+BG37</f>
        <v>403.93435999999383</v>
      </c>
      <c r="BH40" s="120">
        <f>BH16+BH37</f>
        <v>-993.43147000000636</v>
      </c>
      <c r="BI40" s="120">
        <f>BI16+BI37</f>
        <v>4434.0730100000001</v>
      </c>
      <c r="BJ40" s="120">
        <f>BJ16+BJ37</f>
        <v>2784.0058500000059</v>
      </c>
    </row>
    <row r="41" spans="1:62" ht="14.1" customHeight="1" x14ac:dyDescent="0.2">
      <c r="A41" s="1" t="s">
        <v>331</v>
      </c>
      <c r="B41" s="1" t="s">
        <v>705</v>
      </c>
      <c r="C41" s="754"/>
      <c r="D41" s="117" t="str">
        <f>IF([1]RENAME!$H$3=1,B41,A41)</f>
        <v>Resultado financeiro</v>
      </c>
      <c r="E41" s="118">
        <v>-2373</v>
      </c>
      <c r="F41" s="118">
        <v>-3191</v>
      </c>
      <c r="G41" s="118">
        <v>-5652</v>
      </c>
      <c r="H41" s="118">
        <v>-645</v>
      </c>
      <c r="I41" s="118">
        <v>-3946</v>
      </c>
      <c r="J41" s="118">
        <v>-1878</v>
      </c>
      <c r="K41" s="118">
        <v>-8312</v>
      </c>
      <c r="L41" s="118">
        <v>-6290</v>
      </c>
      <c r="M41" s="118">
        <v>-3992</v>
      </c>
      <c r="N41" s="118">
        <v>-990</v>
      </c>
      <c r="O41" s="118">
        <v>-1268</v>
      </c>
      <c r="P41" s="118">
        <v>866</v>
      </c>
      <c r="Q41" s="118">
        <v>1966</v>
      </c>
      <c r="R41" s="118">
        <v>3078</v>
      </c>
      <c r="S41" s="118">
        <v>1876</v>
      </c>
      <c r="T41" s="118">
        <v>2027.1759799999982</v>
      </c>
      <c r="U41" s="118">
        <v>2113.3060699999996</v>
      </c>
      <c r="V41" s="118">
        <v>2430.3308399999996</v>
      </c>
      <c r="W41" s="118">
        <v>2330.5740700000006</v>
      </c>
      <c r="X41" s="260">
        <v>2640.5982700000004</v>
      </c>
      <c r="Y41" s="118">
        <v>2197.9792999999995</v>
      </c>
      <c r="Z41" s="260">
        <v>5737.4465399999999</v>
      </c>
      <c r="AA41" s="118">
        <v>1911.3935699999997</v>
      </c>
      <c r="AB41" s="260">
        <v>3257.3617100000001</v>
      </c>
      <c r="AC41" s="647">
        <v>1246.7590000000002</v>
      </c>
      <c r="AD41" s="647">
        <v>861.59990000000005</v>
      </c>
      <c r="AE41" s="916">
        <v>-1807.3045799999998</v>
      </c>
      <c r="AF41" s="647">
        <v>24.01962999999995</v>
      </c>
      <c r="AG41" s="748">
        <v>-151.94352999999995</v>
      </c>
      <c r="AH41" s="647">
        <v>-518.19438000000002</v>
      </c>
      <c r="AI41" s="916">
        <v>712.68252999999982</v>
      </c>
      <c r="AJ41" s="647">
        <v>-318.28501999999997</v>
      </c>
      <c r="AK41" s="647">
        <v>-65.216959999999972</v>
      </c>
      <c r="AL41" s="647">
        <v>-32.428240000000017</v>
      </c>
      <c r="AM41" s="647">
        <v>16.759570000000025</v>
      </c>
      <c r="AN41" s="647">
        <v>406.74559000000005</v>
      </c>
      <c r="AO41" s="647">
        <v>-59.096220000000017</v>
      </c>
      <c r="AP41" s="916">
        <v>3463.48686</v>
      </c>
      <c r="AQ41" s="647">
        <v>355.86923000000002</v>
      </c>
      <c r="AR41" s="647">
        <v>622.67470000000003</v>
      </c>
      <c r="AS41" s="647">
        <v>883.23887000000036</v>
      </c>
      <c r="AT41" s="647">
        <v>1008.3820900000001</v>
      </c>
      <c r="AU41" s="647">
        <v>1432.1540499999999</v>
      </c>
      <c r="AV41" s="647">
        <v>1418.0801500000002</v>
      </c>
      <c r="AW41" s="647">
        <v>473.47907999999995</v>
      </c>
      <c r="AX41" s="647">
        <v>77.668369999999868</v>
      </c>
      <c r="AY41" s="647">
        <v>216.73523999999998</v>
      </c>
      <c r="AZ41" s="647">
        <v>31.442189999999755</v>
      </c>
      <c r="BA41" s="647">
        <v>323.43354999999997</v>
      </c>
      <c r="BB41" s="647">
        <v>351.88274000000001</v>
      </c>
      <c r="BC41" s="647">
        <v>256.96932999999967</v>
      </c>
      <c r="BD41" s="647">
        <v>440.93722000000025</v>
      </c>
      <c r="BE41" s="647">
        <v>-110.62919000000011</v>
      </c>
      <c r="BF41" s="647">
        <v>9.4793400000003203</v>
      </c>
      <c r="BG41" s="647">
        <v>-343.5461499999999</v>
      </c>
      <c r="BH41" s="647">
        <v>-444.1366800000003</v>
      </c>
      <c r="BI41" s="647">
        <v>-435.58114999999998</v>
      </c>
      <c r="BJ41" s="647">
        <f>(+[4]Base_DRE!$T$38+[4]Base_DRE!$T$39)</f>
        <v>-306.83779000000027</v>
      </c>
    </row>
    <row r="42" spans="1:62" ht="14.1" customHeight="1" x14ac:dyDescent="0.2">
      <c r="A42" s="1" t="s">
        <v>225</v>
      </c>
      <c r="B42" s="516" t="s">
        <v>760</v>
      </c>
      <c r="C42" s="22"/>
      <c r="D42" s="117" t="str">
        <f>IF([1]RENAME!$H$3=1,B42,A42)</f>
        <v>Equivalência patrimonial</v>
      </c>
      <c r="E42" s="118">
        <v>540</v>
      </c>
      <c r="F42" s="118">
        <v>166</v>
      </c>
      <c r="G42" s="118">
        <v>-716</v>
      </c>
      <c r="H42" s="118">
        <v>-564</v>
      </c>
      <c r="I42" s="118">
        <v>-2376</v>
      </c>
      <c r="J42" s="118">
        <v>-2434</v>
      </c>
      <c r="K42" s="118">
        <v>-658</v>
      </c>
      <c r="L42" s="118">
        <v>-2302</v>
      </c>
      <c r="M42" s="118">
        <v>-6490</v>
      </c>
      <c r="N42" s="118">
        <v>893</v>
      </c>
      <c r="O42" s="118">
        <v>-814</v>
      </c>
      <c r="P42" s="118">
        <v>-478</v>
      </c>
      <c r="Q42" s="118">
        <v>0</v>
      </c>
      <c r="R42" s="118">
        <v>0</v>
      </c>
      <c r="S42" s="118">
        <v>0</v>
      </c>
      <c r="T42" s="118">
        <v>0</v>
      </c>
      <c r="U42" s="118">
        <v>-237.95429000000001</v>
      </c>
      <c r="V42" s="118">
        <v>9.1180700000000066</v>
      </c>
      <c r="W42" s="118">
        <v>-141.73104000000001</v>
      </c>
      <c r="X42" s="118">
        <v>632.83327999999995</v>
      </c>
      <c r="Y42" s="118">
        <v>58.356490000000008</v>
      </c>
      <c r="Z42" s="118">
        <v>0</v>
      </c>
      <c r="AA42" s="118">
        <v>1146.8726100000001</v>
      </c>
      <c r="AB42" s="118">
        <v>-41.11357000000001</v>
      </c>
      <c r="AC42" s="647">
        <v>0</v>
      </c>
      <c r="AD42" s="647">
        <v>0</v>
      </c>
      <c r="AE42" s="647">
        <v>-32.518479999999997</v>
      </c>
      <c r="AF42" s="647">
        <v>-15.689480000000003</v>
      </c>
      <c r="AG42" s="748">
        <v>22.121400000000001</v>
      </c>
      <c r="AH42" s="647">
        <v>-1746.41292</v>
      </c>
      <c r="AI42" s="647">
        <v>-3050.3329600000002</v>
      </c>
      <c r="AJ42" s="647">
        <v>-8858.5751799999998</v>
      </c>
      <c r="AK42" s="647">
        <v>-3516.73729</v>
      </c>
      <c r="AL42" s="647">
        <v>-6065.2683599999991</v>
      </c>
      <c r="AM42" s="647">
        <v>-4909.1198599999998</v>
      </c>
      <c r="AN42" s="647">
        <v>-1333.3265899999997</v>
      </c>
      <c r="AO42" s="647">
        <v>817.52155000000005</v>
      </c>
      <c r="AP42" s="647">
        <v>2406.9160500000003</v>
      </c>
      <c r="AQ42" s="647">
        <v>1870.12319</v>
      </c>
      <c r="AR42" s="647">
        <v>1443.7478399999998</v>
      </c>
      <c r="AS42" s="647">
        <v>2986.5062800000001</v>
      </c>
      <c r="AT42" s="647">
        <v>2977.1935600000002</v>
      </c>
      <c r="AU42" s="647">
        <v>2343.5325899999998</v>
      </c>
      <c r="AV42" s="647">
        <v>2476.4465700000005</v>
      </c>
      <c r="AW42" s="647">
        <v>3987.2663900000007</v>
      </c>
      <c r="AX42" s="647">
        <v>3318.2306600000002</v>
      </c>
      <c r="AY42" s="647">
        <v>3291.8730599999999</v>
      </c>
      <c r="AZ42" s="647">
        <v>-63.665999999999997</v>
      </c>
      <c r="BA42" s="647">
        <v>-36.612000000000002</v>
      </c>
      <c r="BB42" s="647">
        <v>-235.87183999999999</v>
      </c>
      <c r="BC42" s="647">
        <v>-376.00216000000006</v>
      </c>
      <c r="BD42" s="647">
        <v>-435.87385999999736</v>
      </c>
      <c r="BE42" s="647">
        <v>6708.8654299999998</v>
      </c>
      <c r="BF42" s="647">
        <v>9330.1348900000012</v>
      </c>
      <c r="BG42" s="647">
        <v>7761.6058999999987</v>
      </c>
      <c r="BH42" s="647">
        <v>2761.9107899999999</v>
      </c>
      <c r="BI42" s="647">
        <v>1547.67671</v>
      </c>
      <c r="BJ42" s="647">
        <f>(SUM([4]Base_DRE!$T$41:$T$51))</f>
        <v>5757.4974400000001</v>
      </c>
    </row>
    <row r="43" spans="1:62" ht="14.1" customHeight="1" x14ac:dyDescent="0.2">
      <c r="A43" s="1" t="s">
        <v>14</v>
      </c>
      <c r="B43" s="19" t="s">
        <v>709</v>
      </c>
      <c r="C43" s="642"/>
      <c r="D43" s="119" t="str">
        <f>IF([1]RENAME!$H$3=1,B43,A43)</f>
        <v>Lucro antes do IR e da CS</v>
      </c>
      <c r="E43" s="120">
        <f t="shared" ref="E43:AG43" si="32">+SUM(E40:E42)</f>
        <v>4834</v>
      </c>
      <c r="F43" s="120">
        <f t="shared" si="32"/>
        <v>174</v>
      </c>
      <c r="G43" s="120">
        <f t="shared" si="32"/>
        <v>-14720</v>
      </c>
      <c r="H43" s="120">
        <f t="shared" si="32"/>
        <v>-2709</v>
      </c>
      <c r="I43" s="120">
        <f t="shared" si="32"/>
        <v>-28162</v>
      </c>
      <c r="J43" s="120">
        <f t="shared" si="32"/>
        <v>-27859</v>
      </c>
      <c r="K43" s="120">
        <f t="shared" si="32"/>
        <v>-40451</v>
      </c>
      <c r="L43" s="120">
        <f t="shared" si="32"/>
        <v>-24642</v>
      </c>
      <c r="M43" s="120">
        <f t="shared" si="32"/>
        <v>-25353</v>
      </c>
      <c r="N43" s="120">
        <f t="shared" si="32"/>
        <v>-9146</v>
      </c>
      <c r="O43" s="120">
        <f t="shared" si="32"/>
        <v>-9840</v>
      </c>
      <c r="P43" s="120">
        <f t="shared" si="32"/>
        <v>-1693</v>
      </c>
      <c r="Q43" s="120">
        <f t="shared" si="32"/>
        <v>-688</v>
      </c>
      <c r="R43" s="120">
        <f t="shared" si="32"/>
        <v>-8112</v>
      </c>
      <c r="S43" s="120">
        <f t="shared" si="32"/>
        <v>-1433</v>
      </c>
      <c r="T43" s="120">
        <f t="shared" si="32"/>
        <v>-16855.198069999984</v>
      </c>
      <c r="U43" s="120">
        <f t="shared" si="32"/>
        <v>2178.6721000000048</v>
      </c>
      <c r="V43" s="120">
        <f t="shared" si="32"/>
        <v>-197.21291999999764</v>
      </c>
      <c r="W43" s="120">
        <f t="shared" si="32"/>
        <v>435.85067000000197</v>
      </c>
      <c r="X43" s="120">
        <f t="shared" si="32"/>
        <v>2677.7922600000006</v>
      </c>
      <c r="Y43" s="120">
        <f t="shared" si="32"/>
        <v>4069.5884600000109</v>
      </c>
      <c r="Z43" s="120">
        <f t="shared" si="32"/>
        <v>12041.628999999997</v>
      </c>
      <c r="AA43" s="120">
        <f t="shared" si="32"/>
        <v>-52.804050000007692</v>
      </c>
      <c r="AB43" s="120">
        <f t="shared" si="32"/>
        <v>1162.5990399999969</v>
      </c>
      <c r="AC43" s="120">
        <f t="shared" si="32"/>
        <v>4989.2418400000015</v>
      </c>
      <c r="AD43" s="120">
        <f t="shared" si="32"/>
        <v>5043.0107400000006</v>
      </c>
      <c r="AE43" s="120">
        <f t="shared" si="32"/>
        <v>-1477.9411700000005</v>
      </c>
      <c r="AF43" s="120">
        <f t="shared" si="32"/>
        <v>951.62150000000179</v>
      </c>
      <c r="AG43" s="162">
        <f t="shared" si="32"/>
        <v>6444.9100399999988</v>
      </c>
      <c r="AH43" s="120">
        <f>+SUM(AH40:AH42)</f>
        <v>2488.1726500000032</v>
      </c>
      <c r="AI43" s="120">
        <f t="shared" ref="AI43:AT43" si="33">+SUM(AI40:AI42)</f>
        <v>7194.7441500000023</v>
      </c>
      <c r="AJ43" s="120">
        <f t="shared" si="33"/>
        <v>-3252.5041800000035</v>
      </c>
      <c r="AK43" s="120">
        <f t="shared" si="33"/>
        <v>4939.7411300000049</v>
      </c>
      <c r="AL43" s="120">
        <f t="shared" si="33"/>
        <v>4163.7003200000008</v>
      </c>
      <c r="AM43" s="120">
        <f t="shared" si="33"/>
        <v>5820.3979400000053</v>
      </c>
      <c r="AN43" s="120">
        <f t="shared" si="33"/>
        <v>3354.8978300000017</v>
      </c>
      <c r="AO43" s="120">
        <f t="shared" si="33"/>
        <v>6092.6965</v>
      </c>
      <c r="AP43" s="120">
        <f t="shared" si="33"/>
        <v>19017.157749999998</v>
      </c>
      <c r="AQ43" s="120">
        <f t="shared" si="33"/>
        <v>9727.9517200000046</v>
      </c>
      <c r="AR43" s="120">
        <f t="shared" si="33"/>
        <v>9679.18271000001</v>
      </c>
      <c r="AS43" s="120">
        <f t="shared" si="33"/>
        <v>13568.22036999999</v>
      </c>
      <c r="AT43" s="120">
        <f t="shared" si="33"/>
        <v>10966.571220000003</v>
      </c>
      <c r="AU43" s="120">
        <f t="shared" ref="AU43:BF43" si="34">+SUM(AU40:AU42)</f>
        <v>13278.541079999992</v>
      </c>
      <c r="AV43" s="120">
        <f t="shared" si="34"/>
        <v>10680.27505</v>
      </c>
      <c r="AW43" s="120">
        <f t="shared" si="34"/>
        <v>11365.772920000003</v>
      </c>
      <c r="AX43" s="120">
        <f t="shared" si="34"/>
        <v>10783.806089999998</v>
      </c>
      <c r="AY43" s="120">
        <f t="shared" si="34"/>
        <v>11640.101600000009</v>
      </c>
      <c r="AZ43" s="120">
        <f t="shared" si="34"/>
        <v>7495.9835700000031</v>
      </c>
      <c r="BA43" s="120">
        <f t="shared" si="34"/>
        <v>4339.5116999999955</v>
      </c>
      <c r="BB43" s="120">
        <f t="shared" si="34"/>
        <v>6265.2475300000033</v>
      </c>
      <c r="BC43" s="120">
        <f t="shared" si="34"/>
        <v>3457.1235099999958</v>
      </c>
      <c r="BD43" s="120">
        <f t="shared" si="34"/>
        <v>1684.8728900000046</v>
      </c>
      <c r="BE43" s="120">
        <f t="shared" si="34"/>
        <v>10665.689470000007</v>
      </c>
      <c r="BF43" s="120">
        <f t="shared" si="34"/>
        <v>13433.172309999994</v>
      </c>
      <c r="BG43" s="120">
        <f>+SUM(BG40:BG42)</f>
        <v>7821.9941099999924</v>
      </c>
      <c r="BH43" s="120">
        <f>+SUM(BH40:BH42)</f>
        <v>1324.3426399999933</v>
      </c>
      <c r="BI43" s="120">
        <f>+SUM(BI40:BI42)</f>
        <v>5546.1685699999998</v>
      </c>
      <c r="BJ43" s="120">
        <f>+SUM(BJ40:BJ42)</f>
        <v>8234.6655000000064</v>
      </c>
    </row>
    <row r="44" spans="1:62" x14ac:dyDescent="0.2">
      <c r="A44" s="1" t="s">
        <v>15</v>
      </c>
      <c r="B44" s="1" t="s">
        <v>710</v>
      </c>
      <c r="C44" s="22"/>
      <c r="D44" s="117" t="str">
        <f>IF([1]RENAME!$H$3=1,B44,A44)</f>
        <v>Imposto de renda e contribuição social</v>
      </c>
      <c r="E44" s="118">
        <v>-1580</v>
      </c>
      <c r="F44" s="118">
        <v>-1072</v>
      </c>
      <c r="G44" s="118">
        <v>4617</v>
      </c>
      <c r="H44" s="118">
        <v>-893</v>
      </c>
      <c r="I44" s="118">
        <v>8496</v>
      </c>
      <c r="J44" s="118">
        <v>6074</v>
      </c>
      <c r="K44" s="118">
        <v>8976</v>
      </c>
      <c r="L44" s="118">
        <v>6444</v>
      </c>
      <c r="M44" s="118">
        <v>7687</v>
      </c>
      <c r="N44" s="118">
        <v>9700</v>
      </c>
      <c r="O44" s="118">
        <v>-16272</v>
      </c>
      <c r="P44" s="118">
        <v>-832</v>
      </c>
      <c r="Q44" s="118">
        <v>953</v>
      </c>
      <c r="R44" s="118">
        <v>3069</v>
      </c>
      <c r="S44" s="118">
        <v>937</v>
      </c>
      <c r="T44" s="118">
        <v>10582.543320000001</v>
      </c>
      <c r="U44" s="118">
        <v>-127.89490999999987</v>
      </c>
      <c r="V44" s="118">
        <v>286.40057000000007</v>
      </c>
      <c r="W44" s="118">
        <v>602.90291999999999</v>
      </c>
      <c r="X44" s="118">
        <v>-1415.7246399999999</v>
      </c>
      <c r="Y44" s="118">
        <v>-1807.91174</v>
      </c>
      <c r="Z44" s="260">
        <v>-2174.5405000000001</v>
      </c>
      <c r="AA44" s="118">
        <v>499.1908199999998</v>
      </c>
      <c r="AB44" s="260">
        <v>7999.6743299999998</v>
      </c>
      <c r="AC44" s="647">
        <v>-1131.5722000000001</v>
      </c>
      <c r="AD44" s="647">
        <v>-1341.0914700000001</v>
      </c>
      <c r="AE44" s="647">
        <v>1814.4770699999999</v>
      </c>
      <c r="AF44" s="260">
        <v>595.17434000000003</v>
      </c>
      <c r="AG44" s="160">
        <v>-1370.73559</v>
      </c>
      <c r="AH44" s="118">
        <v>-1263.68363</v>
      </c>
      <c r="AI44" s="916">
        <v>-1983.8635499999998</v>
      </c>
      <c r="AJ44" s="647">
        <v>1231.2756699999998</v>
      </c>
      <c r="AK44" s="647">
        <v>-3330.7276499999998</v>
      </c>
      <c r="AL44" s="647">
        <v>-3832.9157199999995</v>
      </c>
      <c r="AM44" s="647">
        <v>-3579.4171299999998</v>
      </c>
      <c r="AN44" s="647">
        <v>-1937.6748600000003</v>
      </c>
      <c r="AO44" s="647">
        <v>-1741.29331</v>
      </c>
      <c r="AP44" s="647">
        <v>-5392.8329699999995</v>
      </c>
      <c r="AQ44" s="647">
        <v>-1538.3751100000002</v>
      </c>
      <c r="AR44" s="647">
        <v>-3231.1730799999996</v>
      </c>
      <c r="AS44" s="647">
        <v>-3923.3415200000004</v>
      </c>
      <c r="AT44" s="647">
        <v>-3191.29612</v>
      </c>
      <c r="AU44" s="647">
        <v>-3939.2471400000004</v>
      </c>
      <c r="AV44" s="647">
        <v>-4042.5341200000003</v>
      </c>
      <c r="AW44" s="647">
        <v>-2008.9283799999998</v>
      </c>
      <c r="AX44" s="647">
        <v>-2181.8118100000002</v>
      </c>
      <c r="AY44" s="647">
        <v>-2304.86897</v>
      </c>
      <c r="AZ44" s="647">
        <v>-1784.3179299999999</v>
      </c>
      <c r="BA44" s="647">
        <v>-1702.1535200000001</v>
      </c>
      <c r="BB44" s="647">
        <v>-2144.9234699999997</v>
      </c>
      <c r="BC44" s="647">
        <v>-1560.46252</v>
      </c>
      <c r="BD44" s="647">
        <v>-1068.87538</v>
      </c>
      <c r="BE44" s="647">
        <v>-1850.5553</v>
      </c>
      <c r="BF44" s="647">
        <v>-1922.2032300000001</v>
      </c>
      <c r="BG44" s="647">
        <v>-506.74806000000001</v>
      </c>
      <c r="BH44" s="647">
        <v>-70.463320000000181</v>
      </c>
      <c r="BI44" s="647">
        <v>-1802.00074</v>
      </c>
      <c r="BJ44" s="647">
        <f>(+[4]Base_DRE!$T$57+[4]Base_DRE!$T$59)</f>
        <v>-1329.0765299999996</v>
      </c>
    </row>
    <row r="45" spans="1:62" hidden="1" outlineLevel="1" x14ac:dyDescent="0.2">
      <c r="A45" s="1" t="s">
        <v>57</v>
      </c>
      <c r="B45" s="1" t="s">
        <v>711</v>
      </c>
      <c r="C45" s="23"/>
      <c r="D45" s="119" t="str">
        <f>IF([1]RENAME!$H$3=1,B45,A45)</f>
        <v>Lucro líquido sem operação descontinuada</v>
      </c>
      <c r="E45" s="120">
        <f t="shared" ref="E45:AN45" si="35">SUM(E43:E44)</f>
        <v>3254</v>
      </c>
      <c r="F45" s="120">
        <f t="shared" si="35"/>
        <v>-898</v>
      </c>
      <c r="G45" s="120">
        <f t="shared" si="35"/>
        <v>-10103</v>
      </c>
      <c r="H45" s="120">
        <f t="shared" si="35"/>
        <v>-3602</v>
      </c>
      <c r="I45" s="120">
        <f t="shared" si="35"/>
        <v>-19666</v>
      </c>
      <c r="J45" s="120">
        <f t="shared" si="35"/>
        <v>-21785</v>
      </c>
      <c r="K45" s="120">
        <f t="shared" si="35"/>
        <v>-31475</v>
      </c>
      <c r="L45" s="120">
        <f t="shared" si="35"/>
        <v>-18198</v>
      </c>
      <c r="M45" s="120">
        <f t="shared" si="35"/>
        <v>-17666</v>
      </c>
      <c r="N45" s="120">
        <f t="shared" si="35"/>
        <v>554</v>
      </c>
      <c r="O45" s="120">
        <f t="shared" si="35"/>
        <v>-26112</v>
      </c>
      <c r="P45" s="120">
        <f t="shared" si="35"/>
        <v>-2525</v>
      </c>
      <c r="Q45" s="120">
        <f t="shared" si="35"/>
        <v>265</v>
      </c>
      <c r="R45" s="120">
        <f t="shared" si="35"/>
        <v>-5043</v>
      </c>
      <c r="S45" s="120">
        <f t="shared" si="35"/>
        <v>-496</v>
      </c>
      <c r="T45" s="120">
        <f t="shared" si="35"/>
        <v>-6272.6547499999833</v>
      </c>
      <c r="U45" s="120">
        <f t="shared" si="35"/>
        <v>2050.7771900000048</v>
      </c>
      <c r="V45" s="120">
        <f t="shared" si="35"/>
        <v>89.187650000002435</v>
      </c>
      <c r="W45" s="120">
        <f t="shared" si="35"/>
        <v>1038.7535900000021</v>
      </c>
      <c r="X45" s="120">
        <f t="shared" si="35"/>
        <v>1262.0676200000007</v>
      </c>
      <c r="Y45" s="120">
        <f t="shared" si="35"/>
        <v>2261.6767200000108</v>
      </c>
      <c r="Z45" s="120">
        <f t="shared" si="35"/>
        <v>9867.088499999998</v>
      </c>
      <c r="AA45" s="120">
        <f t="shared" si="35"/>
        <v>446.38676999999211</v>
      </c>
      <c r="AB45" s="120">
        <f t="shared" si="35"/>
        <v>9162.2733699999972</v>
      </c>
      <c r="AC45" s="120">
        <f t="shared" si="35"/>
        <v>3857.6696400000014</v>
      </c>
      <c r="AD45" s="120">
        <f t="shared" si="35"/>
        <v>3701.9192700000003</v>
      </c>
      <c r="AE45" s="120">
        <f t="shared" si="35"/>
        <v>336.5358999999994</v>
      </c>
      <c r="AF45" s="120">
        <f t="shared" si="35"/>
        <v>1546.7958400000018</v>
      </c>
      <c r="AG45" s="162">
        <f t="shared" si="35"/>
        <v>5074.1744499999986</v>
      </c>
      <c r="AH45" s="120">
        <f t="shared" si="35"/>
        <v>1224.4890200000032</v>
      </c>
      <c r="AI45" s="120">
        <f t="shared" si="35"/>
        <v>5210.8806000000022</v>
      </c>
      <c r="AJ45" s="120">
        <f t="shared" si="35"/>
        <v>-2021.2285100000038</v>
      </c>
      <c r="AK45" s="120">
        <f t="shared" si="35"/>
        <v>1609.0134800000051</v>
      </c>
      <c r="AL45" s="120">
        <f t="shared" si="35"/>
        <v>330.78460000000132</v>
      </c>
      <c r="AM45" s="120">
        <f t="shared" si="35"/>
        <v>2240.9808100000055</v>
      </c>
      <c r="AN45" s="120">
        <f t="shared" si="35"/>
        <v>1417.2229700000014</v>
      </c>
      <c r="AO45" s="120">
        <f t="shared" ref="AO45:AT45" si="36">SUM(AO43:AO44)</f>
        <v>4351.40319</v>
      </c>
      <c r="AP45" s="120">
        <f t="shared" si="36"/>
        <v>13624.324779999999</v>
      </c>
      <c r="AQ45" s="120">
        <f t="shared" si="36"/>
        <v>8189.5766100000046</v>
      </c>
      <c r="AR45" s="120">
        <f t="shared" si="36"/>
        <v>6448.0096300000105</v>
      </c>
      <c r="AS45" s="120">
        <f t="shared" si="36"/>
        <v>9644.8788499999901</v>
      </c>
      <c r="AT45" s="120">
        <f t="shared" si="36"/>
        <v>7775.2751000000035</v>
      </c>
      <c r="AU45" s="120">
        <f t="shared" ref="AU45:BF45" si="37">SUM(AU43:AU44)</f>
        <v>9339.2939399999923</v>
      </c>
      <c r="AV45" s="120">
        <f t="shared" si="37"/>
        <v>6637.7409299999999</v>
      </c>
      <c r="AW45" s="120">
        <f t="shared" si="37"/>
        <v>9356.8445400000037</v>
      </c>
      <c r="AX45" s="120">
        <f t="shared" si="37"/>
        <v>8601.994279999999</v>
      </c>
      <c r="AY45" s="120">
        <f t="shared" si="37"/>
        <v>9335.2326300000095</v>
      </c>
      <c r="AZ45" s="120">
        <f t="shared" si="37"/>
        <v>5711.6656400000029</v>
      </c>
      <c r="BA45" s="120">
        <f t="shared" si="37"/>
        <v>2637.3581799999956</v>
      </c>
      <c r="BB45" s="120">
        <f t="shared" si="37"/>
        <v>4120.3240600000036</v>
      </c>
      <c r="BC45" s="120">
        <f t="shared" si="37"/>
        <v>1896.6609899999958</v>
      </c>
      <c r="BD45" s="120">
        <v>615.9975100000047</v>
      </c>
      <c r="BE45" s="120">
        <f>SUM(BE43:BE44)</f>
        <v>8815.1341700000066</v>
      </c>
      <c r="BF45" s="120">
        <f t="shared" si="37"/>
        <v>11510.969079999995</v>
      </c>
      <c r="BG45" s="120">
        <f>SUM(BG43:BG44)</f>
        <v>7315.2460499999925</v>
      </c>
      <c r="BH45" s="120">
        <f>SUM(BH43:BH44)</f>
        <v>1253.8793199999932</v>
      </c>
      <c r="BI45" s="120">
        <f>SUM(BI43:BI44)</f>
        <v>3744.1678299999999</v>
      </c>
      <c r="BJ45" s="120">
        <f>SUM(BJ43:BJ44)</f>
        <v>6905.5889700000071</v>
      </c>
    </row>
    <row r="46" spans="1:62" s="220" customFormat="1" hidden="1" outlineLevel="1" x14ac:dyDescent="0.2">
      <c r="A46" s="220" t="s">
        <v>1552</v>
      </c>
      <c r="B46" s="220" t="s">
        <v>712</v>
      </c>
      <c r="C46" s="228"/>
      <c r="D46" s="227" t="str">
        <f>IF([1]RENAME!$H$3=1,B46,A46)</f>
        <v>Prejuízo da operação descontinuada</v>
      </c>
      <c r="E46" s="225">
        <v>0</v>
      </c>
      <c r="F46" s="225">
        <v>0</v>
      </c>
      <c r="G46" s="225">
        <v>0</v>
      </c>
      <c r="H46" s="225">
        <v>0</v>
      </c>
      <c r="I46" s="225">
        <v>0</v>
      </c>
      <c r="J46" s="225">
        <v>0</v>
      </c>
      <c r="K46" s="225">
        <v>0</v>
      </c>
      <c r="L46" s="225">
        <v>0</v>
      </c>
      <c r="M46" s="225">
        <v>0</v>
      </c>
      <c r="N46" s="225">
        <v>0</v>
      </c>
      <c r="O46" s="225">
        <v>0</v>
      </c>
      <c r="P46" s="225">
        <v>0</v>
      </c>
      <c r="Q46" s="225">
        <v>0</v>
      </c>
      <c r="R46" s="225">
        <v>0</v>
      </c>
      <c r="S46" s="225">
        <v>0</v>
      </c>
      <c r="T46" s="225">
        <v>0</v>
      </c>
      <c r="U46" s="225">
        <v>0</v>
      </c>
      <c r="V46" s="225">
        <v>0</v>
      </c>
      <c r="W46" s="225">
        <v>0</v>
      </c>
      <c r="X46" s="225">
        <v>0</v>
      </c>
      <c r="Y46" s="225">
        <v>0</v>
      </c>
      <c r="Z46" s="225">
        <v>0</v>
      </c>
      <c r="AA46" s="225">
        <v>0</v>
      </c>
      <c r="AB46" s="225">
        <v>0</v>
      </c>
      <c r="AC46" s="225">
        <v>0</v>
      </c>
      <c r="AD46" s="225">
        <v>0</v>
      </c>
      <c r="AE46" s="225">
        <v>0</v>
      </c>
      <c r="AF46" s="225">
        <v>0</v>
      </c>
      <c r="AG46" s="749">
        <v>0</v>
      </c>
      <c r="AH46" s="121">
        <v>0</v>
      </c>
      <c r="AI46" s="121">
        <v>0</v>
      </c>
      <c r="AJ46" s="121">
        <v>0</v>
      </c>
      <c r="AK46" s="121">
        <v>0</v>
      </c>
      <c r="AL46" s="121">
        <v>0</v>
      </c>
      <c r="AM46" s="121">
        <v>0</v>
      </c>
      <c r="AN46" s="121">
        <v>0</v>
      </c>
      <c r="AO46" s="121">
        <v>0</v>
      </c>
      <c r="AP46" s="121">
        <v>0</v>
      </c>
      <c r="AQ46" s="121">
        <v>0</v>
      </c>
      <c r="AR46" s="121" t="s">
        <v>160</v>
      </c>
      <c r="AS46" s="121">
        <v>0</v>
      </c>
      <c r="AT46" s="121">
        <v>0</v>
      </c>
      <c r="AU46" s="121">
        <v>0</v>
      </c>
      <c r="AV46" s="121">
        <v>0</v>
      </c>
      <c r="AW46" s="121">
        <v>0</v>
      </c>
      <c r="AX46" s="121">
        <v>0</v>
      </c>
      <c r="AY46" s="121">
        <v>0</v>
      </c>
      <c r="AZ46" s="121">
        <v>0</v>
      </c>
      <c r="BA46" s="121" t="s">
        <v>160</v>
      </c>
      <c r="BB46" s="121" t="s">
        <v>160</v>
      </c>
      <c r="BC46" s="121"/>
      <c r="BD46" s="121">
        <v>0</v>
      </c>
      <c r="BE46" s="121">
        <v>0</v>
      </c>
      <c r="BF46" s="121">
        <v>0</v>
      </c>
      <c r="BG46" s="121">
        <v>0</v>
      </c>
      <c r="BH46" s="121">
        <v>0</v>
      </c>
      <c r="BI46" s="121">
        <v>0</v>
      </c>
      <c r="BJ46" s="121">
        <v>0</v>
      </c>
    </row>
    <row r="47" spans="1:62" s="220" customFormat="1" hidden="1" outlineLevel="1" x14ac:dyDescent="0.2">
      <c r="A47" s="220" t="s">
        <v>1562</v>
      </c>
      <c r="B47" s="220" t="s">
        <v>713</v>
      </c>
      <c r="C47" s="228"/>
      <c r="D47" s="989" t="str">
        <f>IF([1]RENAME!$H$3=1,B47,A47)</f>
        <v>Efeitos extraordinários relacionados à venda da Direct</v>
      </c>
      <c r="E47" s="225">
        <v>0</v>
      </c>
      <c r="F47" s="225">
        <v>0</v>
      </c>
      <c r="G47" s="225">
        <v>0</v>
      </c>
      <c r="H47" s="225">
        <v>0</v>
      </c>
      <c r="I47" s="225">
        <v>0</v>
      </c>
      <c r="J47" s="225">
        <v>0</v>
      </c>
      <c r="K47" s="225">
        <v>0</v>
      </c>
      <c r="L47" s="225">
        <v>0</v>
      </c>
      <c r="M47" s="225">
        <v>0</v>
      </c>
      <c r="N47" s="225">
        <v>0</v>
      </c>
      <c r="O47" s="225">
        <v>-5065</v>
      </c>
      <c r="P47" s="225">
        <v>0</v>
      </c>
      <c r="Q47" s="225">
        <v>0</v>
      </c>
      <c r="R47" s="225">
        <v>0</v>
      </c>
      <c r="S47" s="225">
        <v>0</v>
      </c>
      <c r="T47" s="225">
        <v>0</v>
      </c>
      <c r="U47" s="225">
        <v>0</v>
      </c>
      <c r="V47" s="225">
        <v>0</v>
      </c>
      <c r="W47" s="225">
        <v>0</v>
      </c>
      <c r="X47" s="225">
        <v>0</v>
      </c>
      <c r="Y47" s="225">
        <v>0</v>
      </c>
      <c r="Z47" s="225">
        <v>0</v>
      </c>
      <c r="AA47" s="225">
        <v>0</v>
      </c>
      <c r="AB47" s="225">
        <v>0</v>
      </c>
      <c r="AC47" s="225">
        <v>0</v>
      </c>
      <c r="AD47" s="225">
        <v>0</v>
      </c>
      <c r="AE47" s="225">
        <v>0</v>
      </c>
      <c r="AF47" s="225">
        <v>0</v>
      </c>
      <c r="AG47" s="749">
        <v>0</v>
      </c>
      <c r="AH47" s="121">
        <v>0</v>
      </c>
      <c r="AI47" s="121">
        <v>0</v>
      </c>
      <c r="AJ47" s="121">
        <v>0</v>
      </c>
      <c r="AK47" s="121">
        <v>0</v>
      </c>
      <c r="AL47" s="121">
        <v>0</v>
      </c>
      <c r="AM47" s="121">
        <v>0</v>
      </c>
      <c r="AN47" s="121">
        <v>0</v>
      </c>
      <c r="AO47" s="121">
        <v>0</v>
      </c>
      <c r="AP47" s="121">
        <v>0</v>
      </c>
      <c r="AQ47" s="121">
        <v>0</v>
      </c>
      <c r="AR47" s="121" t="s">
        <v>160</v>
      </c>
      <c r="AS47" s="121">
        <v>0</v>
      </c>
      <c r="AT47" s="121">
        <v>0</v>
      </c>
      <c r="AU47" s="121">
        <v>0</v>
      </c>
      <c r="AV47" s="121">
        <v>0</v>
      </c>
      <c r="AW47" s="121">
        <v>0</v>
      </c>
      <c r="AX47" s="121">
        <v>0</v>
      </c>
      <c r="AY47" s="121">
        <v>0</v>
      </c>
      <c r="AZ47" s="121">
        <v>0</v>
      </c>
      <c r="BA47" s="121" t="s">
        <v>160</v>
      </c>
      <c r="BB47" s="121" t="s">
        <v>160</v>
      </c>
      <c r="BC47" s="121"/>
      <c r="BD47" s="121">
        <v>0</v>
      </c>
      <c r="BE47" s="121">
        <v>0</v>
      </c>
      <c r="BF47" s="121">
        <v>0</v>
      </c>
      <c r="BG47" s="121">
        <v>0</v>
      </c>
      <c r="BH47" s="121">
        <v>0</v>
      </c>
      <c r="BI47" s="121">
        <v>0</v>
      </c>
      <c r="BJ47" s="121">
        <v>0</v>
      </c>
    </row>
    <row r="48" spans="1:62" s="220" customFormat="1" collapsed="1" x14ac:dyDescent="0.2">
      <c r="A48" s="1" t="s">
        <v>72</v>
      </c>
      <c r="B48" s="1" t="s">
        <v>733</v>
      </c>
      <c r="C48" s="988"/>
      <c r="D48" s="124" t="str">
        <f>IF([1]RENAME!$H$3=1,B48,A48)</f>
        <v>Lucro líquido</v>
      </c>
      <c r="E48" s="125">
        <f t="shared" ref="E48:AR48" si="38">+SUM(E45:E47)</f>
        <v>3254</v>
      </c>
      <c r="F48" s="125">
        <f t="shared" si="38"/>
        <v>-898</v>
      </c>
      <c r="G48" s="125">
        <f t="shared" si="38"/>
        <v>-10103</v>
      </c>
      <c r="H48" s="125">
        <f t="shared" si="38"/>
        <v>-3602</v>
      </c>
      <c r="I48" s="125">
        <f t="shared" si="38"/>
        <v>-19666</v>
      </c>
      <c r="J48" s="125">
        <f t="shared" si="38"/>
        <v>-21785</v>
      </c>
      <c r="K48" s="125">
        <f t="shared" si="38"/>
        <v>-31475</v>
      </c>
      <c r="L48" s="125">
        <f t="shared" si="38"/>
        <v>-18198</v>
      </c>
      <c r="M48" s="125">
        <f t="shared" si="38"/>
        <v>-17666</v>
      </c>
      <c r="N48" s="125">
        <f t="shared" si="38"/>
        <v>554</v>
      </c>
      <c r="O48" s="125">
        <f t="shared" si="38"/>
        <v>-31177</v>
      </c>
      <c r="P48" s="125">
        <f t="shared" si="38"/>
        <v>-2525</v>
      </c>
      <c r="Q48" s="125">
        <f t="shared" si="38"/>
        <v>265</v>
      </c>
      <c r="R48" s="125">
        <f t="shared" si="38"/>
        <v>-5043</v>
      </c>
      <c r="S48" s="125">
        <f t="shared" si="38"/>
        <v>-496</v>
      </c>
      <c r="T48" s="125">
        <f t="shared" si="38"/>
        <v>-6272.6547499999833</v>
      </c>
      <c r="U48" s="125">
        <f t="shared" si="38"/>
        <v>2050.7771900000048</v>
      </c>
      <c r="V48" s="125">
        <f t="shared" si="38"/>
        <v>89.187650000002435</v>
      </c>
      <c r="W48" s="125">
        <f t="shared" si="38"/>
        <v>1038.7535900000021</v>
      </c>
      <c r="X48" s="125">
        <f t="shared" si="38"/>
        <v>1262.0676200000007</v>
      </c>
      <c r="Y48" s="125">
        <f t="shared" si="38"/>
        <v>2261.6767200000108</v>
      </c>
      <c r="Z48" s="125">
        <f t="shared" si="38"/>
        <v>9867.088499999998</v>
      </c>
      <c r="AA48" s="125">
        <f t="shared" si="38"/>
        <v>446.38676999999211</v>
      </c>
      <c r="AB48" s="125">
        <f t="shared" si="38"/>
        <v>9162.2733699999972</v>
      </c>
      <c r="AC48" s="125">
        <f t="shared" si="38"/>
        <v>3857.6696400000014</v>
      </c>
      <c r="AD48" s="125">
        <f t="shared" si="38"/>
        <v>3701.9192700000003</v>
      </c>
      <c r="AE48" s="125">
        <f t="shared" si="38"/>
        <v>336.5358999999994</v>
      </c>
      <c r="AF48" s="125">
        <f t="shared" si="38"/>
        <v>1546.7958400000018</v>
      </c>
      <c r="AG48" s="164">
        <f t="shared" si="38"/>
        <v>5074.1744499999986</v>
      </c>
      <c r="AH48" s="125">
        <f t="shared" si="38"/>
        <v>1224.4890200000032</v>
      </c>
      <c r="AI48" s="125">
        <f t="shared" si="38"/>
        <v>5210.8806000000022</v>
      </c>
      <c r="AJ48" s="125">
        <f t="shared" si="38"/>
        <v>-2021.2285100000038</v>
      </c>
      <c r="AK48" s="125">
        <f t="shared" si="38"/>
        <v>1609.0134800000051</v>
      </c>
      <c r="AL48" s="125">
        <f t="shared" si="38"/>
        <v>330.78460000000132</v>
      </c>
      <c r="AM48" s="125">
        <f t="shared" si="38"/>
        <v>2240.9808100000055</v>
      </c>
      <c r="AN48" s="125">
        <f t="shared" si="38"/>
        <v>1417.2229700000014</v>
      </c>
      <c r="AO48" s="125">
        <f t="shared" si="38"/>
        <v>4351.40319</v>
      </c>
      <c r="AP48" s="125">
        <f t="shared" si="38"/>
        <v>13624.324779999999</v>
      </c>
      <c r="AQ48" s="125">
        <f t="shared" si="38"/>
        <v>8189.5766100000046</v>
      </c>
      <c r="AR48" s="125">
        <f t="shared" si="38"/>
        <v>6448.0096300000105</v>
      </c>
      <c r="AS48" s="125">
        <v>9644.8788499999901</v>
      </c>
      <c r="AT48" s="125">
        <f t="shared" ref="AT48:AY48" si="39">+SUM(AT45:AT47)</f>
        <v>7775.2751000000035</v>
      </c>
      <c r="AU48" s="125">
        <f t="shared" si="39"/>
        <v>9339.2939399999923</v>
      </c>
      <c r="AV48" s="125">
        <f t="shared" si="39"/>
        <v>6637.7409299999999</v>
      </c>
      <c r="AW48" s="125">
        <f t="shared" si="39"/>
        <v>9356.8445400000037</v>
      </c>
      <c r="AX48" s="125">
        <f t="shared" si="39"/>
        <v>8601.994279999999</v>
      </c>
      <c r="AY48" s="125">
        <f t="shared" si="39"/>
        <v>9335.2326300000095</v>
      </c>
      <c r="AZ48" s="125">
        <f t="shared" ref="AZ48:BF48" si="40">+SUM(AZ45:AZ47)</f>
        <v>5711.6656400000029</v>
      </c>
      <c r="BA48" s="125">
        <f t="shared" si="40"/>
        <v>2637.3581799999956</v>
      </c>
      <c r="BB48" s="125">
        <f t="shared" si="40"/>
        <v>4120.3240600000036</v>
      </c>
      <c r="BC48" s="125">
        <f t="shared" si="40"/>
        <v>1896.6609899999958</v>
      </c>
      <c r="BD48" s="125">
        <f t="shared" si="40"/>
        <v>615.9975100000047</v>
      </c>
      <c r="BE48" s="125">
        <f t="shared" si="40"/>
        <v>8815.1341700000066</v>
      </c>
      <c r="BF48" s="125">
        <f t="shared" si="40"/>
        <v>11510.969079999995</v>
      </c>
      <c r="BG48" s="125">
        <f>+SUM(BG45:BG47)</f>
        <v>7315.2460499999925</v>
      </c>
      <c r="BH48" s="125">
        <f>+SUM(BH45:BH47)</f>
        <v>1253.8793199999932</v>
      </c>
      <c r="BI48" s="125">
        <f>+SUM(BI45:BI47)</f>
        <v>3744.1678299999999</v>
      </c>
      <c r="BJ48" s="125">
        <f>+SUM(BJ45:BJ47)</f>
        <v>6905.5889700000071</v>
      </c>
    </row>
    <row r="49" spans="1:65" ht="14.1" customHeight="1" x14ac:dyDescent="0.2">
      <c r="A49" s="8" t="s">
        <v>65</v>
      </c>
      <c r="B49" s="1" t="s">
        <v>1997</v>
      </c>
      <c r="C49" s="1108"/>
      <c r="D49" s="1108" t="str">
        <f>IF([1]RENAME!$H$3=1,B49,A49)</f>
        <v>* Sem depreciação e amortização</v>
      </c>
      <c r="E49" s="1108"/>
      <c r="F49" s="1108"/>
      <c r="G49" s="1108"/>
      <c r="H49" s="1108"/>
      <c r="I49" s="1108"/>
      <c r="J49" s="1108"/>
      <c r="K49" s="1108"/>
      <c r="L49" s="1108"/>
      <c r="M49" s="1108"/>
      <c r="N49" s="1108"/>
      <c r="O49" s="328"/>
      <c r="P49" s="328"/>
      <c r="Q49" s="328"/>
      <c r="R49" s="328"/>
      <c r="S49" s="328"/>
      <c r="T49" s="328"/>
      <c r="U49" s="328"/>
      <c r="V49" s="328"/>
      <c r="W49" s="328"/>
      <c r="X49" s="328"/>
      <c r="Y49" s="328"/>
      <c r="Z49" s="328"/>
      <c r="AA49" s="328"/>
      <c r="AB49" s="328"/>
      <c r="AC49" s="328"/>
      <c r="AD49" s="328"/>
      <c r="AE49" s="328"/>
      <c r="AF49" s="689"/>
      <c r="AT49" s="187"/>
      <c r="AU49" s="187"/>
      <c r="AV49" s="187"/>
      <c r="AW49" s="187"/>
      <c r="AX49" s="187"/>
      <c r="AY49" s="187"/>
      <c r="AZ49" s="187"/>
      <c r="BA49" s="926"/>
      <c r="BB49" s="926"/>
      <c r="BC49" s="926"/>
      <c r="BD49" s="926"/>
      <c r="BE49" s="926"/>
      <c r="BF49" s="926"/>
      <c r="BG49" s="926"/>
      <c r="BH49" s="926"/>
      <c r="BI49" s="926"/>
      <c r="BJ49" s="926"/>
    </row>
    <row r="50" spans="1:65" ht="14.1" customHeight="1" x14ac:dyDescent="0.2">
      <c r="A50" s="8"/>
      <c r="C50" s="1244"/>
      <c r="D50" s="1244"/>
      <c r="E50" s="1244"/>
      <c r="F50" s="1244"/>
      <c r="G50" s="1244"/>
      <c r="H50" s="1244"/>
      <c r="I50" s="1244"/>
      <c r="J50" s="1244"/>
      <c r="K50" s="1244"/>
      <c r="L50" s="1244"/>
      <c r="M50" s="1244"/>
      <c r="N50" s="1244"/>
      <c r="O50" s="328"/>
      <c r="P50" s="328"/>
      <c r="Q50" s="328"/>
      <c r="R50" s="328"/>
      <c r="S50" s="328"/>
      <c r="T50" s="328"/>
      <c r="U50" s="328"/>
      <c r="V50" s="328"/>
      <c r="W50" s="328"/>
      <c r="X50" s="328"/>
      <c r="Y50" s="328"/>
      <c r="Z50" s="328"/>
      <c r="AA50" s="328"/>
      <c r="AB50" s="328"/>
      <c r="AC50" s="328"/>
      <c r="AD50" s="328"/>
      <c r="AE50" s="328"/>
      <c r="AF50" s="689"/>
      <c r="AT50" s="187"/>
      <c r="AU50" s="187"/>
      <c r="AV50" s="187"/>
      <c r="AW50" s="187"/>
      <c r="AX50" s="187"/>
      <c r="AY50" s="187"/>
      <c r="AZ50" s="187"/>
      <c r="BA50" s="926"/>
      <c r="BB50" s="926"/>
      <c r="BC50" s="926"/>
      <c r="BD50" s="926"/>
      <c r="BE50" s="926"/>
      <c r="BF50" s="926"/>
      <c r="BG50" s="926"/>
      <c r="BH50" s="926"/>
      <c r="BI50" s="926"/>
      <c r="BJ50" s="926"/>
    </row>
    <row r="51" spans="1:65" customFormat="1" ht="14.1" customHeight="1" x14ac:dyDescent="0.2">
      <c r="A51" s="547"/>
      <c r="B51" s="547"/>
      <c r="C51" s="547"/>
      <c r="D51" s="547"/>
      <c r="E51" s="547"/>
      <c r="F51" s="547"/>
      <c r="G51" s="547"/>
      <c r="H51" s="547"/>
      <c r="I51" s="547"/>
      <c r="J51" s="547"/>
      <c r="K51" s="547"/>
      <c r="L51" s="547"/>
      <c r="M51" s="547"/>
      <c r="N51" s="547"/>
      <c r="O51" s="547"/>
      <c r="P51" s="547"/>
      <c r="Q51" s="547"/>
      <c r="R51" s="547"/>
      <c r="S51" s="547"/>
      <c r="T51" s="547"/>
      <c r="U51" s="547"/>
      <c r="V51" s="547"/>
      <c r="W51" s="547"/>
      <c r="X51" s="547"/>
      <c r="Y51" s="547"/>
      <c r="Z51" s="547"/>
      <c r="AA51" s="547"/>
      <c r="AB51" s="547"/>
      <c r="AC51" s="547"/>
      <c r="AD51" s="547"/>
      <c r="AE51" s="547"/>
      <c r="AF51" s="547"/>
      <c r="AG51" s="547"/>
      <c r="AH51" s="547"/>
      <c r="AI51" s="547"/>
      <c r="AJ51" s="547"/>
      <c r="AK51" s="547" t="s">
        <v>1974</v>
      </c>
      <c r="AL51" s="1074" t="s">
        <v>1974</v>
      </c>
      <c r="AM51" s="1074"/>
      <c r="AN51" s="1074"/>
      <c r="AO51" s="1074" t="s">
        <v>1864</v>
      </c>
      <c r="AP51" s="1074" t="s">
        <v>1864</v>
      </c>
      <c r="AQ51" s="1074"/>
      <c r="AR51" s="1074"/>
      <c r="AS51" s="329" t="s">
        <v>1964</v>
      </c>
      <c r="AT51" s="329" t="s">
        <v>1964</v>
      </c>
      <c r="AU51" s="329"/>
      <c r="AV51" s="329"/>
      <c r="AW51" s="329" t="s">
        <v>2071</v>
      </c>
      <c r="AX51" s="329" t="s">
        <v>2071</v>
      </c>
      <c r="AY51" s="329"/>
      <c r="AZ51" s="329"/>
      <c r="BA51" s="329" t="s">
        <v>2154</v>
      </c>
      <c r="BB51" s="329" t="s">
        <v>2154</v>
      </c>
      <c r="BC51" s="329"/>
      <c r="BD51" s="329"/>
      <c r="BE51" s="329" t="s">
        <v>2255</v>
      </c>
      <c r="BF51" s="329" t="s">
        <v>2255</v>
      </c>
      <c r="BG51" s="329"/>
      <c r="BH51" s="329"/>
      <c r="BI51" s="329" t="s">
        <v>2326</v>
      </c>
      <c r="BJ51" s="550" t="s">
        <v>2326</v>
      </c>
      <c r="BK51" s="329" t="s">
        <v>2154</v>
      </c>
      <c r="BL51" s="329"/>
      <c r="BM51" s="329"/>
    </row>
    <row r="52" spans="1:65" customFormat="1" ht="14.1" customHeight="1" x14ac:dyDescent="0.2">
      <c r="AK52" s="547" t="s">
        <v>1647</v>
      </c>
      <c r="AL52" s="547" t="s">
        <v>1647</v>
      </c>
      <c r="AM52" s="547" t="s">
        <v>1647</v>
      </c>
      <c r="AO52" s="547" t="s">
        <v>1865</v>
      </c>
      <c r="AP52" s="547" t="s">
        <v>1865</v>
      </c>
      <c r="AQ52" s="547" t="s">
        <v>1865</v>
      </c>
      <c r="AR52" s="547"/>
      <c r="AS52" s="547" t="s">
        <v>1950</v>
      </c>
      <c r="AT52" s="547" t="s">
        <v>1950</v>
      </c>
      <c r="AU52" s="547" t="s">
        <v>1950</v>
      </c>
      <c r="AV52" s="547"/>
      <c r="AW52" s="547" t="s">
        <v>2072</v>
      </c>
      <c r="AX52" s="547" t="s">
        <v>2072</v>
      </c>
      <c r="AY52" s="547" t="s">
        <v>2072</v>
      </c>
      <c r="AZ52" s="547"/>
      <c r="BA52" s="547" t="s">
        <v>2155</v>
      </c>
      <c r="BB52" s="547" t="s">
        <v>2155</v>
      </c>
      <c r="BC52" s="547" t="s">
        <v>2155</v>
      </c>
      <c r="BD52" s="547"/>
      <c r="BE52" s="547" t="s">
        <v>2254</v>
      </c>
      <c r="BF52" s="547" t="s">
        <v>2254</v>
      </c>
      <c r="BG52" s="547" t="s">
        <v>2254</v>
      </c>
      <c r="BH52" s="547"/>
      <c r="BI52" s="547" t="s">
        <v>2327</v>
      </c>
      <c r="BJ52" s="550" t="s">
        <v>2327</v>
      </c>
      <c r="BK52" s="547" t="s">
        <v>2155</v>
      </c>
      <c r="BL52" s="547" t="s">
        <v>2155</v>
      </c>
      <c r="BM52" s="547" t="s">
        <v>2155</v>
      </c>
    </row>
    <row r="53" spans="1:65" customFormat="1" ht="14.1" customHeight="1" x14ac:dyDescent="0.2">
      <c r="AE53" s="770"/>
      <c r="AF53" s="770"/>
      <c r="AG53" s="770"/>
      <c r="AH53" s="770"/>
      <c r="AI53" s="770"/>
      <c r="AJ53" s="770"/>
      <c r="AK53" s="1113">
        <v>2020</v>
      </c>
      <c r="AL53" s="1113">
        <v>2020</v>
      </c>
      <c r="AM53" s="1113">
        <v>2020</v>
      </c>
      <c r="AN53" s="1113">
        <v>2020</v>
      </c>
      <c r="AO53" s="1113">
        <v>2021</v>
      </c>
      <c r="AP53" s="1113">
        <v>2021</v>
      </c>
      <c r="AQ53" s="1113">
        <v>2021</v>
      </c>
      <c r="AR53" s="1113">
        <v>2021</v>
      </c>
      <c r="AS53" s="1113">
        <v>2022</v>
      </c>
      <c r="AT53" s="1113">
        <v>2022</v>
      </c>
      <c r="AU53" s="1113">
        <v>2022</v>
      </c>
      <c r="AV53" s="1113">
        <v>2022</v>
      </c>
      <c r="AW53" s="1113">
        <v>2023</v>
      </c>
      <c r="AX53" s="1113">
        <v>2023</v>
      </c>
      <c r="AY53" s="1113">
        <v>2023</v>
      </c>
      <c r="AZ53" s="1113">
        <v>2023</v>
      </c>
      <c r="BA53" s="1113">
        <v>2024</v>
      </c>
      <c r="BB53" s="1113">
        <v>2024</v>
      </c>
      <c r="BC53" s="1113">
        <v>2024</v>
      </c>
      <c r="BD53" s="1113">
        <v>2024</v>
      </c>
      <c r="BE53" s="1113">
        <v>2025</v>
      </c>
      <c r="BF53" s="1113">
        <v>2025</v>
      </c>
      <c r="BG53" s="1113">
        <v>2025</v>
      </c>
      <c r="BH53" s="1113">
        <v>2025</v>
      </c>
      <c r="BI53" s="1113">
        <v>2026</v>
      </c>
      <c r="BJ53" s="1079">
        <v>2026</v>
      </c>
      <c r="BK53" s="1113">
        <v>2024</v>
      </c>
      <c r="BL53" s="1113">
        <v>2024</v>
      </c>
      <c r="BM53" s="1113">
        <v>2024</v>
      </c>
    </row>
    <row r="54" spans="1:65" customFormat="1" ht="14.1" customHeight="1" x14ac:dyDescent="0.2">
      <c r="AT54" s="327"/>
      <c r="AU54" s="40"/>
      <c r="AV54" s="40"/>
      <c r="AW54" s="40"/>
      <c r="AX54" s="40"/>
      <c r="AY54" s="40"/>
      <c r="AZ54" s="327"/>
      <c r="BA54" s="547"/>
      <c r="BB54" s="547"/>
      <c r="BC54" s="547"/>
      <c r="BD54" s="547"/>
      <c r="BE54" s="547"/>
      <c r="BF54" s="547"/>
      <c r="BG54" s="547"/>
      <c r="BH54" s="547"/>
      <c r="BI54" s="547"/>
      <c r="BJ54" s="547"/>
    </row>
    <row r="55" spans="1:65" customFormat="1" ht="14.1" customHeight="1" x14ac:dyDescent="0.2">
      <c r="AT55" s="327"/>
      <c r="AU55" s="40"/>
      <c r="AV55" s="40"/>
      <c r="AW55" s="40"/>
      <c r="AX55" s="40"/>
      <c r="AY55" s="40"/>
      <c r="AZ55" s="327"/>
      <c r="BA55" s="327"/>
      <c r="BB55" s="327"/>
      <c r="BC55" s="327"/>
      <c r="BD55" s="327"/>
      <c r="BE55" s="327"/>
      <c r="BF55" s="327"/>
      <c r="BG55" s="327"/>
      <c r="BH55" s="327"/>
      <c r="BI55" s="327"/>
      <c r="BJ55" s="327"/>
    </row>
    <row r="56" spans="1:65" customFormat="1" ht="14.1" customHeight="1" x14ac:dyDescent="0.2">
      <c r="AT56" s="327"/>
      <c r="AU56" s="40"/>
      <c r="AV56" s="40"/>
      <c r="AW56" s="40"/>
      <c r="AX56" s="40"/>
      <c r="AY56" s="40"/>
      <c r="AZ56" s="40"/>
      <c r="BA56" s="327"/>
      <c r="BB56" s="327"/>
      <c r="BC56" s="327"/>
      <c r="BD56" s="327"/>
      <c r="BE56" s="327"/>
      <c r="BF56" s="327"/>
      <c r="BG56" s="327"/>
      <c r="BH56" s="327"/>
      <c r="BI56" s="327"/>
      <c r="BJ56" s="327"/>
    </row>
    <row r="57" spans="1:65" customFormat="1" ht="14.1" customHeight="1" x14ac:dyDescent="0.2">
      <c r="AT57" s="327"/>
      <c r="AU57" s="40"/>
      <c r="AV57" s="40"/>
      <c r="AW57" s="40"/>
      <c r="AX57" s="40"/>
      <c r="AY57" s="40"/>
      <c r="AZ57" s="40"/>
      <c r="BA57" s="327"/>
      <c r="BB57" s="327"/>
      <c r="BC57" s="327"/>
      <c r="BD57" s="327"/>
      <c r="BE57" s="327"/>
      <c r="BF57" s="327"/>
      <c r="BG57" s="327"/>
      <c r="BH57" s="327"/>
      <c r="BI57" s="327"/>
      <c r="BJ57" s="327"/>
    </row>
    <row r="58" spans="1:65" customFormat="1" ht="14.1" customHeight="1" x14ac:dyDescent="0.2">
      <c r="AT58" s="40"/>
      <c r="AU58" s="40"/>
      <c r="AV58" s="40"/>
      <c r="AW58" s="40"/>
      <c r="AX58" s="40"/>
      <c r="AY58" s="40"/>
      <c r="AZ58" s="40"/>
      <c r="BA58" s="40"/>
      <c r="BB58" s="40"/>
      <c r="BC58" s="40"/>
      <c r="BD58" s="40"/>
      <c r="BE58" s="40"/>
      <c r="BF58" s="40"/>
      <c r="BG58" s="40"/>
      <c r="BH58" s="40"/>
      <c r="BI58" s="40"/>
      <c r="BJ58" s="40"/>
    </row>
    <row r="59" spans="1:65" customFormat="1" ht="14.1" customHeight="1" x14ac:dyDescent="0.2">
      <c r="AT59" s="40"/>
      <c r="AU59" s="40"/>
      <c r="AV59" s="40"/>
      <c r="AW59" s="40"/>
      <c r="AX59" s="40"/>
      <c r="AY59" s="40"/>
      <c r="AZ59" s="40"/>
      <c r="BA59" s="40"/>
      <c r="BB59" s="40"/>
      <c r="BC59" s="40"/>
      <c r="BD59" s="40"/>
      <c r="BE59" s="40"/>
      <c r="BF59" s="40"/>
      <c r="BG59" s="40"/>
      <c r="BH59" s="40"/>
      <c r="BI59" s="40"/>
      <c r="BJ59" s="40"/>
    </row>
    <row r="60" spans="1:65" customFormat="1" ht="14.1" customHeight="1" x14ac:dyDescent="0.2">
      <c r="AT60" s="40"/>
      <c r="AU60" s="40"/>
      <c r="AV60" s="40"/>
      <c r="AW60" s="40"/>
      <c r="AX60" s="40"/>
      <c r="AY60" s="40"/>
      <c r="AZ60" s="40"/>
      <c r="BA60" s="40"/>
      <c r="BB60" s="40"/>
      <c r="BC60" s="40"/>
      <c r="BD60" s="40"/>
      <c r="BE60" s="40"/>
      <c r="BF60" s="40"/>
      <c r="BG60" s="40"/>
      <c r="BH60" s="40"/>
      <c r="BI60" s="40"/>
      <c r="BJ60" s="40"/>
    </row>
    <row r="61" spans="1:65" customFormat="1" ht="14.1" customHeight="1" x14ac:dyDescent="0.2">
      <c r="AT61" s="40"/>
      <c r="AU61" s="40"/>
      <c r="AV61" s="40"/>
      <c r="AW61" s="40"/>
      <c r="AX61" s="40"/>
      <c r="AY61" s="40"/>
      <c r="AZ61" s="40"/>
      <c r="BA61" s="40"/>
      <c r="BB61" s="40"/>
      <c r="BC61" s="40"/>
      <c r="BD61" s="40"/>
      <c r="BE61" s="40"/>
      <c r="BF61" s="40"/>
      <c r="BG61" s="40"/>
      <c r="BH61" s="40"/>
      <c r="BI61" s="40"/>
      <c r="BJ61" s="40"/>
    </row>
    <row r="62" spans="1:65" customFormat="1" ht="14.1" customHeight="1" x14ac:dyDescent="0.2">
      <c r="AT62" s="40"/>
      <c r="AU62" s="40"/>
      <c r="AV62" s="40"/>
      <c r="AW62" s="40"/>
      <c r="AX62" s="40"/>
      <c r="AY62" s="40"/>
      <c r="AZ62" s="40"/>
      <c r="BA62" s="40"/>
      <c r="BB62" s="40"/>
      <c r="BC62" s="40"/>
      <c r="BD62" s="40"/>
      <c r="BE62" s="40"/>
      <c r="BF62" s="40"/>
      <c r="BG62" s="40"/>
      <c r="BH62" s="40"/>
      <c r="BI62" s="40"/>
      <c r="BJ62" s="40"/>
    </row>
    <row r="63" spans="1:65" customFormat="1" ht="14.1" customHeight="1" x14ac:dyDescent="0.2">
      <c r="AU63" s="40"/>
      <c r="AV63" s="40"/>
      <c r="AW63" s="40"/>
      <c r="AX63" s="40"/>
      <c r="AY63" s="40"/>
      <c r="AZ63" s="40"/>
      <c r="BA63" s="40"/>
      <c r="BB63" s="40"/>
      <c r="BC63" s="40"/>
      <c r="BD63" s="40"/>
      <c r="BE63" s="40"/>
      <c r="BF63" s="40"/>
      <c r="BG63" s="40"/>
      <c r="BH63" s="40"/>
      <c r="BI63" s="40"/>
      <c r="BJ63" s="40"/>
    </row>
    <row r="64" spans="1:65" customFormat="1" ht="14.1" customHeight="1" x14ac:dyDescent="0.2"/>
    <row r="65" customFormat="1" ht="14.1" customHeight="1" x14ac:dyDescent="0.2"/>
    <row r="66" customFormat="1" ht="14.1" customHeight="1" x14ac:dyDescent="0.2"/>
    <row r="67" customFormat="1" ht="14.1" customHeight="1" x14ac:dyDescent="0.2"/>
    <row r="68" customFormat="1" ht="14.1" customHeight="1" x14ac:dyDescent="0.2"/>
    <row r="69" customFormat="1" ht="14.1" customHeight="1" x14ac:dyDescent="0.2"/>
    <row r="70" customFormat="1" ht="14.1" customHeight="1" x14ac:dyDescent="0.2"/>
    <row r="71" customFormat="1" ht="14.1" customHeight="1" x14ac:dyDescent="0.2"/>
    <row r="72" customFormat="1" ht="14.1" customHeight="1" x14ac:dyDescent="0.2"/>
    <row r="73" customFormat="1" ht="14.1" customHeight="1" x14ac:dyDescent="0.2"/>
    <row r="74" customFormat="1" ht="14.1" customHeight="1" x14ac:dyDescent="0.2"/>
    <row r="75" customFormat="1" ht="14.1" customHeight="1" x14ac:dyDescent="0.2"/>
    <row r="76" customFormat="1" ht="14.1" customHeight="1" x14ac:dyDescent="0.2"/>
    <row r="77" customFormat="1" ht="14.1" customHeight="1" x14ac:dyDescent="0.2"/>
    <row r="78" s="327" customFormat="1" ht="14.1" customHeight="1" x14ac:dyDescent="0.2"/>
    <row r="79" s="327" customFormat="1" ht="14.1" customHeight="1" x14ac:dyDescent="0.2"/>
    <row r="80" s="327" customFormat="1" ht="14.1" customHeight="1" x14ac:dyDescent="0.2"/>
    <row r="81" spans="5:62" s="327" customFormat="1" ht="14.1" customHeight="1" x14ac:dyDescent="0.2"/>
    <row r="82" spans="5:62" s="327" customFormat="1" ht="14.1" customHeight="1" x14ac:dyDescent="0.2"/>
    <row r="83" spans="5:62" s="327" customFormat="1" ht="14.1" customHeight="1" x14ac:dyDescent="0.2"/>
    <row r="84" spans="5:62" s="266" customFormat="1" x14ac:dyDescent="0.2">
      <c r="E84" s="840">
        <f>F84</f>
        <v>2012</v>
      </c>
      <c r="F84" s="840">
        <f>G84</f>
        <v>2012</v>
      </c>
      <c r="G84" s="840">
        <f>H84</f>
        <v>2012</v>
      </c>
      <c r="H84" s="840">
        <f>I84-1</f>
        <v>2012</v>
      </c>
      <c r="I84" s="840">
        <f>J84</f>
        <v>2013</v>
      </c>
      <c r="J84" s="840">
        <f>K84</f>
        <v>2013</v>
      </c>
      <c r="K84" s="840">
        <f>L84</f>
        <v>2013</v>
      </c>
      <c r="L84" s="840">
        <f>M84-1</f>
        <v>2013</v>
      </c>
      <c r="M84" s="840">
        <f>N84</f>
        <v>2014</v>
      </c>
      <c r="N84" s="840">
        <f>O84</f>
        <v>2014</v>
      </c>
      <c r="O84" s="840">
        <f>P84</f>
        <v>2014</v>
      </c>
      <c r="P84" s="840">
        <f>Q84-1</f>
        <v>2014</v>
      </c>
      <c r="Q84" s="840">
        <f>R84</f>
        <v>2015</v>
      </c>
      <c r="R84" s="840">
        <f>S84</f>
        <v>2015</v>
      </c>
      <c r="S84" s="840">
        <f>T84</f>
        <v>2015</v>
      </c>
      <c r="T84" s="840">
        <f>U84-1</f>
        <v>2015</v>
      </c>
      <c r="U84" s="840">
        <f>V84</f>
        <v>2016</v>
      </c>
      <c r="V84" s="840">
        <f>W84</f>
        <v>2016</v>
      </c>
      <c r="W84" s="840">
        <f>X84</f>
        <v>2016</v>
      </c>
      <c r="X84" s="840">
        <f>Y84-1</f>
        <v>2016</v>
      </c>
      <c r="Y84" s="840">
        <f>Z84</f>
        <v>2017</v>
      </c>
      <c r="Z84" s="840">
        <f>AA84</f>
        <v>2017</v>
      </c>
      <c r="AA84" s="840">
        <f>AB84</f>
        <v>2017</v>
      </c>
      <c r="AB84" s="840">
        <f>AC84-1</f>
        <v>2017</v>
      </c>
      <c r="AC84" s="840">
        <f>AD84</f>
        <v>2018</v>
      </c>
      <c r="AD84" s="840">
        <f>AE84</f>
        <v>2018</v>
      </c>
      <c r="AE84" s="840">
        <f>AF84</f>
        <v>2018</v>
      </c>
      <c r="AF84" s="840">
        <f>AG84-1</f>
        <v>2018</v>
      </c>
      <c r="AG84" s="841">
        <v>2019</v>
      </c>
      <c r="AH84" s="841">
        <v>2019</v>
      </c>
      <c r="AI84" s="841">
        <v>2019</v>
      </c>
      <c r="AJ84" s="841">
        <v>2019</v>
      </c>
      <c r="AK84" s="841">
        <v>2020</v>
      </c>
      <c r="AL84" s="841">
        <v>2020</v>
      </c>
      <c r="AM84" s="841">
        <v>2020</v>
      </c>
      <c r="AN84" s="841">
        <v>2020</v>
      </c>
      <c r="AO84" s="841">
        <v>2021</v>
      </c>
      <c r="AP84" s="841">
        <v>2021</v>
      </c>
      <c r="AQ84" s="841">
        <v>2021</v>
      </c>
      <c r="AR84" s="841">
        <v>2021</v>
      </c>
      <c r="AS84" s="841">
        <v>2022</v>
      </c>
      <c r="AT84" s="841">
        <v>2022</v>
      </c>
      <c r="AU84" s="841">
        <v>2022</v>
      </c>
      <c r="AV84" s="841">
        <v>2022</v>
      </c>
      <c r="AW84" s="841">
        <v>2023</v>
      </c>
      <c r="AX84" s="841">
        <v>2023</v>
      </c>
      <c r="AY84" s="841">
        <v>2023</v>
      </c>
      <c r="AZ84" s="841">
        <v>2023</v>
      </c>
      <c r="BA84" s="841"/>
      <c r="BB84" s="841"/>
      <c r="BC84" s="841"/>
      <c r="BD84" s="841"/>
      <c r="BE84" s="841"/>
      <c r="BF84" s="841">
        <v>2023</v>
      </c>
      <c r="BG84" s="841">
        <v>2023</v>
      </c>
      <c r="BH84" s="841">
        <v>2023</v>
      </c>
      <c r="BI84" s="841">
        <v>2023</v>
      </c>
      <c r="BJ84" s="841">
        <v>2023</v>
      </c>
    </row>
    <row r="85" spans="5:62" s="926" customFormat="1" x14ac:dyDescent="0.2">
      <c r="E85" s="1145">
        <f t="shared" ref="E85:AI85" si="41">SUM(E17:E34)</f>
        <v>0</v>
      </c>
      <c r="F85" s="1145">
        <f t="shared" si="41"/>
        <v>468</v>
      </c>
      <c r="G85" s="1145">
        <f t="shared" si="41"/>
        <v>1293</v>
      </c>
      <c r="H85" s="1145">
        <f t="shared" si="41"/>
        <v>-9394</v>
      </c>
      <c r="I85" s="1145">
        <f t="shared" si="41"/>
        <v>1189</v>
      </c>
      <c r="J85" s="1145">
        <f t="shared" si="41"/>
        <v>5137</v>
      </c>
      <c r="K85" s="1145">
        <f t="shared" si="41"/>
        <v>17934</v>
      </c>
      <c r="L85" s="1145">
        <f t="shared" si="41"/>
        <v>3990</v>
      </c>
      <c r="M85" s="1145">
        <f t="shared" si="41"/>
        <v>6918</v>
      </c>
      <c r="N85" s="1145">
        <f t="shared" si="41"/>
        <v>0</v>
      </c>
      <c r="O85" s="1145">
        <f t="shared" si="41"/>
        <v>0</v>
      </c>
      <c r="P85" s="1145">
        <f t="shared" si="41"/>
        <v>2194</v>
      </c>
      <c r="Q85" s="1145">
        <f t="shared" si="41"/>
        <v>0</v>
      </c>
      <c r="R85" s="1145">
        <f t="shared" si="41"/>
        <v>3704.1926200000003</v>
      </c>
      <c r="S85" s="1145">
        <f t="shared" si="41"/>
        <v>0</v>
      </c>
      <c r="T85" s="1145">
        <f t="shared" si="41"/>
        <v>21301.168579999998</v>
      </c>
      <c r="U85" s="1145">
        <f t="shared" si="41"/>
        <v>0</v>
      </c>
      <c r="V85" s="1145">
        <f t="shared" si="41"/>
        <v>0</v>
      </c>
      <c r="W85" s="1145">
        <f t="shared" si="41"/>
        <v>0</v>
      </c>
      <c r="X85" s="1145">
        <f t="shared" si="41"/>
        <v>0</v>
      </c>
      <c r="Y85" s="1145">
        <f t="shared" si="41"/>
        <v>0</v>
      </c>
      <c r="Z85" s="1145">
        <f t="shared" si="41"/>
        <v>-8080.0333800000008</v>
      </c>
      <c r="AA85" s="1145">
        <f t="shared" si="41"/>
        <v>5733</v>
      </c>
      <c r="AB85" s="1145">
        <f t="shared" si="41"/>
        <v>2260.5565600000036</v>
      </c>
      <c r="AC85" s="1145">
        <f t="shared" si="41"/>
        <v>0</v>
      </c>
      <c r="AD85" s="1145">
        <f t="shared" si="41"/>
        <v>0</v>
      </c>
      <c r="AE85" s="1145">
        <f t="shared" si="41"/>
        <v>5251.7599300000002</v>
      </c>
      <c r="AF85" s="1145">
        <f t="shared" si="41"/>
        <v>2486.706948986</v>
      </c>
      <c r="AG85" s="1145">
        <f t="shared" si="41"/>
        <v>0</v>
      </c>
      <c r="AH85" s="1145">
        <f t="shared" si="41"/>
        <v>0</v>
      </c>
      <c r="AI85" s="1145">
        <f t="shared" si="41"/>
        <v>-1600.9180111586791</v>
      </c>
      <c r="AJ85" s="1145">
        <f>SUM(AJ17:AJ34)</f>
        <v>0</v>
      </c>
    </row>
    <row r="86" spans="5:62" s="926" customFormat="1" x14ac:dyDescent="0.2"/>
    <row r="87" spans="5:62" s="926" customFormat="1" x14ac:dyDescent="0.2"/>
  </sheetData>
  <mergeCells count="1">
    <mergeCell ref="O3:O4"/>
  </mergeCells>
  <pageMargins left="0.78740157499999996" right="0.78740157499999996" top="0.984251969" bottom="0.984251969" header="0.49212598499999999" footer="0.49212598499999999"/>
  <pageSetup paperSize="9"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5">
    <tabColor theme="9"/>
    <pageSetUpPr autoPageBreaks="0" fitToPage="1"/>
  </sheetPr>
  <dimension ref="A1:BK91"/>
  <sheetViews>
    <sheetView showGridLines="0" zoomScaleNormal="100" workbookViewId="0">
      <pane xSplit="4" ySplit="5" topLeftCell="AZ11" activePane="bottomRight" state="frozen"/>
      <selection activeCell="F56" sqref="F56"/>
      <selection pane="topRight" activeCell="F56" sqref="F56"/>
      <selection pane="bottomLeft" activeCell="F56" sqref="F56"/>
      <selection pane="bottomRight" activeCell="BG38" sqref="BG38"/>
    </sheetView>
  </sheetViews>
  <sheetFormatPr defaultColWidth="9.140625" defaultRowHeight="12.75" outlineLevelRow="1" x14ac:dyDescent="0.2"/>
  <cols>
    <col min="1" max="1" width="9.140625" style="1" hidden="1" customWidth="1"/>
    <col min="2" max="2" width="22.85546875" style="1" hidden="1" customWidth="1"/>
    <col min="3" max="3" width="1.42578125" style="266" customWidth="1"/>
    <col min="4" max="4" width="35.140625" style="1" customWidth="1"/>
    <col min="5" max="35" width="10.85546875" style="1" customWidth="1"/>
    <col min="36" max="40" width="11.140625" style="707" bestFit="1" customWidth="1"/>
    <col min="41" max="41" width="11.140625" style="707" customWidth="1"/>
    <col min="42" max="43" width="11.140625" style="707" bestFit="1" customWidth="1"/>
    <col min="44" max="45" width="11.140625" style="707" customWidth="1"/>
    <col min="46" max="52" width="11.140625" style="707" bestFit="1" customWidth="1"/>
    <col min="53" max="61" width="11.140625" style="707" customWidth="1"/>
    <col min="62" max="62" width="12.5703125" style="1" bestFit="1" customWidth="1"/>
    <col min="63" max="63" width="9.140625" style="1"/>
    <col min="64" max="64" width="9.85546875" style="1" bestFit="1" customWidth="1"/>
    <col min="65" max="16384" width="9.140625" style="1"/>
  </cols>
  <sheetData>
    <row r="1" spans="1:63" ht="14.25" customHeight="1" x14ac:dyDescent="0.2">
      <c r="E1" s="266" t="s">
        <v>7</v>
      </c>
      <c r="F1" s="266" t="str">
        <f>IF(LEFT(E1,1)="4","1T"&amp;RIGHT(E1,2)+1,LEFT(E1,1)+1&amp;RIGHT(E1,3))</f>
        <v>2T12</v>
      </c>
      <c r="G1" s="266" t="str">
        <f t="shared" ref="G1:AD1" si="0">IF(LEFT(F1,1)="4","1T"&amp;RIGHT(F1,2)+1,LEFT(F1,1)+1&amp;RIGHT(F1,3))</f>
        <v>3T12</v>
      </c>
      <c r="H1" s="266" t="str">
        <f t="shared" si="0"/>
        <v>4T12</v>
      </c>
      <c r="I1" s="266" t="str">
        <f t="shared" si="0"/>
        <v>1T13</v>
      </c>
      <c r="J1" s="266" t="str">
        <f t="shared" si="0"/>
        <v>2T13</v>
      </c>
      <c r="K1" s="266" t="str">
        <f t="shared" si="0"/>
        <v>3T13</v>
      </c>
      <c r="L1" s="266" t="str">
        <f t="shared" si="0"/>
        <v>4T13</v>
      </c>
      <c r="M1" s="266" t="str">
        <f t="shared" si="0"/>
        <v>1T14</v>
      </c>
      <c r="N1" s="266" t="str">
        <f t="shared" si="0"/>
        <v>2T14</v>
      </c>
      <c r="O1" s="266" t="str">
        <f t="shared" si="0"/>
        <v>3T14</v>
      </c>
      <c r="P1" s="266" t="str">
        <f t="shared" si="0"/>
        <v>4T14</v>
      </c>
      <c r="Q1" s="546" t="str">
        <f t="shared" si="0"/>
        <v>1T15</v>
      </c>
      <c r="R1" s="546" t="str">
        <f t="shared" si="0"/>
        <v>2T15</v>
      </c>
      <c r="S1" s="546" t="str">
        <f t="shared" si="0"/>
        <v>3T15</v>
      </c>
      <c r="T1" s="546" t="str">
        <f t="shared" si="0"/>
        <v>4T15</v>
      </c>
      <c r="U1" s="266" t="str">
        <f t="shared" si="0"/>
        <v>1T16</v>
      </c>
      <c r="V1" s="266" t="str">
        <f t="shared" si="0"/>
        <v>2T16</v>
      </c>
      <c r="W1" s="266" t="str">
        <f t="shared" si="0"/>
        <v>3T16</v>
      </c>
      <c r="X1" s="266" t="str">
        <f t="shared" si="0"/>
        <v>4T16</v>
      </c>
      <c r="Y1" s="266" t="str">
        <f t="shared" si="0"/>
        <v>1T17</v>
      </c>
      <c r="Z1" s="266" t="str">
        <f t="shared" si="0"/>
        <v>2T17</v>
      </c>
      <c r="AA1" s="266" t="str">
        <f t="shared" si="0"/>
        <v>3T17</v>
      </c>
      <c r="AB1" s="266" t="str">
        <f t="shared" si="0"/>
        <v>4T17</v>
      </c>
      <c r="AC1" s="266" t="str">
        <f t="shared" si="0"/>
        <v>1T18</v>
      </c>
      <c r="AD1" s="266" t="str">
        <f t="shared" si="0"/>
        <v>2T18</v>
      </c>
      <c r="AE1" s="266" t="str">
        <f t="shared" ref="AE1:AM1" si="1">IF(LEFT(AD1,1)="4","1T"&amp;RIGHT(AD1,2)+1,LEFT(AD1,1)+1&amp;RIGHT(AD1,3))</f>
        <v>3T18</v>
      </c>
      <c r="AF1" s="266" t="str">
        <f t="shared" si="1"/>
        <v>4T18</v>
      </c>
      <c r="AG1" s="266" t="str">
        <f t="shared" si="1"/>
        <v>1T19</v>
      </c>
      <c r="AH1" s="266" t="str">
        <f t="shared" si="1"/>
        <v>2T19</v>
      </c>
      <c r="AI1" s="266" t="str">
        <f t="shared" si="1"/>
        <v>3T19</v>
      </c>
      <c r="AJ1" s="266" t="str">
        <f>IF(LEFT(AI1,1)="4","1T"&amp;RIGHT(AI1,2)+1,LEFT(AI1,1)+1&amp;RIGHT(AI1,3))</f>
        <v>4T19</v>
      </c>
      <c r="AK1" s="266" t="str">
        <f>IF(LEFT(AJ1,1)="4","1T"&amp;RIGHT(AJ1,2)+1,LEFT(AJ1,1)+1&amp;RIGHT(AJ1,3))</f>
        <v>1T20</v>
      </c>
      <c r="AL1" s="266" t="str">
        <f t="shared" si="1"/>
        <v>2T20</v>
      </c>
      <c r="AM1" s="1038" t="str">
        <f t="shared" si="1"/>
        <v>3T20</v>
      </c>
      <c r="AN1" s="1038" t="str">
        <f t="shared" ref="AN1:AZ1" si="2">IF(LEFT(AM1,1)="4","1T"&amp;RIGHT(AM1,2)+1,LEFT(AM1,1)+1&amp;RIGHT(AM1,3))</f>
        <v>4T20</v>
      </c>
      <c r="AO1" s="1038" t="str">
        <f t="shared" si="2"/>
        <v>1T21</v>
      </c>
      <c r="AP1" s="1038" t="str">
        <f t="shared" si="2"/>
        <v>2T21</v>
      </c>
      <c r="AQ1" s="1038" t="str">
        <f t="shared" si="2"/>
        <v>3T21</v>
      </c>
      <c r="AR1" s="266" t="str">
        <f t="shared" si="2"/>
        <v>4T21</v>
      </c>
      <c r="AS1" s="266" t="str">
        <f t="shared" si="2"/>
        <v>1T22</v>
      </c>
      <c r="AT1" s="266" t="str">
        <f t="shared" si="2"/>
        <v>2T22</v>
      </c>
      <c r="AU1" s="266" t="str">
        <f t="shared" si="2"/>
        <v>3T22</v>
      </c>
      <c r="AV1" s="266" t="str">
        <f t="shared" si="2"/>
        <v>4T22</v>
      </c>
      <c r="AW1" s="266" t="str">
        <f t="shared" si="2"/>
        <v>1T23</v>
      </c>
      <c r="AX1" s="266" t="s">
        <v>2028</v>
      </c>
      <c r="AY1" s="266" t="str">
        <f t="shared" si="2"/>
        <v>3T23</v>
      </c>
      <c r="AZ1" s="266" t="str">
        <f t="shared" si="2"/>
        <v>4T23</v>
      </c>
      <c r="BA1" s="266" t="str">
        <f t="shared" ref="BA1:BJ1" si="3">IF(LEFT(AZ1,1)="4","1T"&amp;RIGHT(AZ1,2)+1,LEFT(AZ1,1)+1&amp;RIGHT(AZ1,3))</f>
        <v>1T24</v>
      </c>
      <c r="BB1" s="266" t="str">
        <f t="shared" si="3"/>
        <v>2T24</v>
      </c>
      <c r="BC1" s="266" t="str">
        <f t="shared" si="3"/>
        <v>3T24</v>
      </c>
      <c r="BD1" s="266" t="str">
        <f t="shared" si="3"/>
        <v>4T24</v>
      </c>
      <c r="BE1" s="266" t="str">
        <f t="shared" si="3"/>
        <v>1T25</v>
      </c>
      <c r="BF1" s="266" t="str">
        <f t="shared" si="3"/>
        <v>2T25</v>
      </c>
      <c r="BG1" s="266" t="str">
        <f t="shared" si="3"/>
        <v>3T25</v>
      </c>
      <c r="BH1" s="266" t="str">
        <f t="shared" si="3"/>
        <v>4T25</v>
      </c>
      <c r="BI1" s="266" t="str">
        <f t="shared" si="3"/>
        <v>1T26</v>
      </c>
      <c r="BJ1" s="266" t="str">
        <f t="shared" si="3"/>
        <v>2T26</v>
      </c>
    </row>
    <row r="2" spans="1:63" ht="12.75" customHeight="1" x14ac:dyDescent="0.2">
      <c r="E2" s="266" t="str">
        <f t="shared" ref="E2:AA2" si="4">SUBSTITUTE(E1,"T","Q")</f>
        <v>1Q12</v>
      </c>
      <c r="F2" s="266" t="str">
        <f t="shared" si="4"/>
        <v>2Q12</v>
      </c>
      <c r="G2" s="266" t="str">
        <f t="shared" si="4"/>
        <v>3Q12</v>
      </c>
      <c r="H2" s="266" t="str">
        <f t="shared" si="4"/>
        <v>4Q12</v>
      </c>
      <c r="I2" s="266" t="str">
        <f t="shared" si="4"/>
        <v>1Q13</v>
      </c>
      <c r="J2" s="266" t="str">
        <f t="shared" si="4"/>
        <v>2Q13</v>
      </c>
      <c r="K2" s="266" t="str">
        <f t="shared" si="4"/>
        <v>3Q13</v>
      </c>
      <c r="L2" s="266" t="str">
        <f t="shared" si="4"/>
        <v>4Q13</v>
      </c>
      <c r="M2" s="266" t="str">
        <f t="shared" si="4"/>
        <v>1Q14</v>
      </c>
      <c r="N2" s="266" t="str">
        <f t="shared" si="4"/>
        <v>2Q14</v>
      </c>
      <c r="O2" s="266" t="str">
        <f t="shared" si="4"/>
        <v>3Q14</v>
      </c>
      <c r="P2" s="266" t="str">
        <f t="shared" si="4"/>
        <v>4Q14</v>
      </c>
      <c r="Q2" s="266" t="str">
        <f t="shared" si="4"/>
        <v>1Q15</v>
      </c>
      <c r="R2" s="266" t="str">
        <f t="shared" si="4"/>
        <v>2Q15</v>
      </c>
      <c r="S2" s="266" t="str">
        <f t="shared" si="4"/>
        <v>3Q15</v>
      </c>
      <c r="T2" s="266" t="str">
        <f t="shared" si="4"/>
        <v>4Q15</v>
      </c>
      <c r="U2" s="266" t="str">
        <f t="shared" si="4"/>
        <v>1Q16</v>
      </c>
      <c r="V2" s="266" t="str">
        <f t="shared" si="4"/>
        <v>2Q16</v>
      </c>
      <c r="W2" s="266" t="str">
        <f t="shared" si="4"/>
        <v>3Q16</v>
      </c>
      <c r="X2" s="266" t="str">
        <f t="shared" si="4"/>
        <v>4Q16</v>
      </c>
      <c r="Y2" s="266" t="str">
        <f t="shared" si="4"/>
        <v>1Q17</v>
      </c>
      <c r="Z2" s="266" t="str">
        <f t="shared" si="4"/>
        <v>2Q17</v>
      </c>
      <c r="AA2" s="266" t="str">
        <f t="shared" si="4"/>
        <v>3Q17</v>
      </c>
      <c r="AB2" s="266" t="str">
        <f t="shared" ref="AB2:AG2" si="5">SUBSTITUTE(AB1,"T","Q")</f>
        <v>4Q17</v>
      </c>
      <c r="AC2" s="266" t="str">
        <f t="shared" si="5"/>
        <v>1Q18</v>
      </c>
      <c r="AD2" s="266" t="str">
        <f t="shared" si="5"/>
        <v>2Q18</v>
      </c>
      <c r="AE2" s="266" t="str">
        <f t="shared" si="5"/>
        <v>3Q18</v>
      </c>
      <c r="AF2" s="266" t="str">
        <f t="shared" si="5"/>
        <v>4Q18</v>
      </c>
      <c r="AG2" s="266" t="str">
        <f t="shared" si="5"/>
        <v>1Q19</v>
      </c>
      <c r="AH2" s="266" t="str">
        <f t="shared" ref="AH2:AM2" si="6">SUBSTITUTE(AH1,"T","Q")</f>
        <v>2Q19</v>
      </c>
      <c r="AI2" s="266" t="str">
        <f t="shared" si="6"/>
        <v>3Q19</v>
      </c>
      <c r="AJ2" s="266" t="str">
        <f t="shared" si="6"/>
        <v>4Q19</v>
      </c>
      <c r="AK2" s="266" t="str">
        <f t="shared" si="6"/>
        <v>1Q20</v>
      </c>
      <c r="AL2" s="266" t="str">
        <f t="shared" si="6"/>
        <v>2Q20</v>
      </c>
      <c r="AM2" s="266" t="str">
        <f t="shared" si="6"/>
        <v>3Q20</v>
      </c>
      <c r="AN2" s="266" t="str">
        <f t="shared" ref="AN2:AT2" si="7">SUBSTITUTE(AN1,"T","Q")</f>
        <v>4Q20</v>
      </c>
      <c r="AO2" s="266" t="str">
        <f t="shared" si="7"/>
        <v>1Q21</v>
      </c>
      <c r="AP2" s="266" t="str">
        <f t="shared" si="7"/>
        <v>2Q21</v>
      </c>
      <c r="AQ2" s="266" t="str">
        <f t="shared" si="7"/>
        <v>3Q21</v>
      </c>
      <c r="AR2" s="266" t="str">
        <f t="shared" si="7"/>
        <v>4Q21</v>
      </c>
      <c r="AS2" s="266" t="str">
        <f t="shared" si="7"/>
        <v>1Q22</v>
      </c>
      <c r="AT2" s="266" t="str">
        <f t="shared" si="7"/>
        <v>2Q22</v>
      </c>
      <c r="AU2" s="266" t="str">
        <f>SUBSTITUTE(AU1,"T","Q")</f>
        <v>3Q22</v>
      </c>
      <c r="AV2" s="266" t="str">
        <f>SUBSTITUTE(AV1,"T","Q")</f>
        <v>4Q22</v>
      </c>
      <c r="AW2" s="266" t="str">
        <f>SUBSTITUTE(AW1,"T","Q")</f>
        <v>1Q23</v>
      </c>
      <c r="AX2" s="266" t="s">
        <v>2029</v>
      </c>
      <c r="AY2" s="266" t="str">
        <f t="shared" ref="AY2:BJ2" si="8">SUBSTITUTE(AY1,"T","Q")</f>
        <v>3Q23</v>
      </c>
      <c r="AZ2" s="266" t="str">
        <f t="shared" si="8"/>
        <v>4Q23</v>
      </c>
      <c r="BA2" s="266" t="str">
        <f t="shared" si="8"/>
        <v>1Q24</v>
      </c>
      <c r="BB2" s="266" t="str">
        <f t="shared" si="8"/>
        <v>2Q24</v>
      </c>
      <c r="BC2" s="266" t="str">
        <f t="shared" si="8"/>
        <v>3Q24</v>
      </c>
      <c r="BD2" s="266" t="str">
        <f t="shared" si="8"/>
        <v>4Q24</v>
      </c>
      <c r="BE2" s="266" t="str">
        <f t="shared" si="8"/>
        <v>1Q25</v>
      </c>
      <c r="BF2" s="266" t="str">
        <f t="shared" si="8"/>
        <v>2Q25</v>
      </c>
      <c r="BG2" s="266" t="str">
        <f t="shared" si="8"/>
        <v>3Q25</v>
      </c>
      <c r="BH2" s="266" t="str">
        <f t="shared" si="8"/>
        <v>4Q25</v>
      </c>
      <c r="BI2" s="266" t="str">
        <f>SUBSTITUTE(BI1,"T","Q")</f>
        <v>1Q26</v>
      </c>
      <c r="BJ2" s="266" t="str">
        <f t="shared" si="8"/>
        <v>2Q26</v>
      </c>
    </row>
    <row r="3" spans="1:63" s="266" customFormat="1" ht="12.75" customHeight="1" x14ac:dyDescent="0.2">
      <c r="O3" s="1250"/>
      <c r="Q3" s="267">
        <f>+LI!Q3+Auto!Q3</f>
        <v>-3086.91039</v>
      </c>
      <c r="R3" s="267">
        <f>+LI!R3+Auto!R3</f>
        <v>-3258.3303299999998</v>
      </c>
      <c r="S3" s="267">
        <f>+LI!S3+Auto!S3</f>
        <v>-3012.4188899999999</v>
      </c>
      <c r="T3" s="267">
        <f>+LI!T3+Auto!T3</f>
        <v>-4110.1755300000004</v>
      </c>
      <c r="U3" s="267">
        <f>+LI!U3+Auto!U3</f>
        <v>-3114.0270599999999</v>
      </c>
      <c r="V3" s="267">
        <f>+LI!V3+Auto!V3</f>
        <v>-5456.2800399999996</v>
      </c>
      <c r="W3" s="267">
        <f>+LI!W3+Auto!W3</f>
        <v>-3436.9309800000001</v>
      </c>
      <c r="X3" s="267">
        <f>+LI!X3+Auto!X3</f>
        <v>-3599.9867299999996</v>
      </c>
      <c r="Y3" s="267">
        <f>+LI!Y3+Auto!Y3</f>
        <v>-3188.2748700000002</v>
      </c>
      <c r="Z3" s="267">
        <f>+LI!Z3+Auto!Z3</f>
        <v>-3252.4979399999997</v>
      </c>
      <c r="AA3" s="267">
        <f>+LI!AA3+Auto!AA3</f>
        <v>-3392.6533399999998</v>
      </c>
      <c r="AB3" s="267">
        <f>+LI!AB3+Auto!AB3</f>
        <v>-3533.3530499999997</v>
      </c>
      <c r="AC3" s="267">
        <f>+LI!AC3+Auto!AC3</f>
        <v>-3018.6289700000002</v>
      </c>
      <c r="AD3" s="267">
        <f>+LI!AD3+Auto!AD3</f>
        <v>0</v>
      </c>
      <c r="AE3" s="267"/>
      <c r="AF3" s="807"/>
      <c r="AG3" s="807"/>
      <c r="AH3" s="755"/>
      <c r="AI3" s="755"/>
      <c r="AJ3" s="807"/>
      <c r="AK3" s="755"/>
      <c r="AL3" s="755"/>
      <c r="AM3" s="755"/>
      <c r="AN3" s="755"/>
      <c r="AO3" s="755"/>
      <c r="AP3" s="755"/>
      <c r="AQ3" s="755"/>
      <c r="AR3" s="755"/>
      <c r="AS3" s="755"/>
      <c r="AT3" s="755"/>
      <c r="AU3" s="755"/>
      <c r="AV3" s="755"/>
      <c r="AW3" s="755"/>
      <c r="AX3" s="755"/>
      <c r="AY3" s="755"/>
      <c r="AZ3" s="755"/>
      <c r="BA3" s="755"/>
      <c r="BB3" s="755"/>
      <c r="BC3" s="755"/>
      <c r="BD3" s="755"/>
      <c r="BE3" s="755"/>
      <c r="BF3" s="755"/>
      <c r="BG3" s="755"/>
      <c r="BH3" s="755"/>
      <c r="BI3" s="755"/>
      <c r="BJ3" s="755"/>
    </row>
    <row r="4" spans="1:63" s="266" customFormat="1" ht="12.75" customHeight="1" x14ac:dyDescent="0.2">
      <c r="A4" s="266" t="s">
        <v>337</v>
      </c>
      <c r="B4" s="632" t="s">
        <v>689</v>
      </c>
      <c r="C4" s="633"/>
      <c r="D4" s="634"/>
      <c r="E4" s="545"/>
      <c r="F4" s="545"/>
      <c r="G4" s="545"/>
      <c r="H4" s="545"/>
      <c r="I4" s="695"/>
      <c r="J4" s="635"/>
      <c r="K4" s="545"/>
      <c r="L4" s="545"/>
      <c r="M4" s="545"/>
      <c r="N4" s="635"/>
      <c r="O4" s="1250"/>
      <c r="Q4" s="267">
        <f>+LI!Q4+Auto!Q4</f>
        <v>-188.08960999999999</v>
      </c>
      <c r="R4" s="267">
        <f>+LI!R4+Auto!R4</f>
        <v>-534.66967000000022</v>
      </c>
      <c r="S4" s="267">
        <f>+LI!S4+Auto!S4</f>
        <v>-371.58111000000008</v>
      </c>
      <c r="T4" s="267">
        <f>+LI!T4+Auto!T4</f>
        <v>-103.08273000000001</v>
      </c>
      <c r="U4" s="267">
        <f>+LI!U4+Auto!U4</f>
        <v>-104.61798999999999</v>
      </c>
      <c r="V4" s="267">
        <f>+LI!V4+Auto!V4</f>
        <v>-102.92251999999999</v>
      </c>
      <c r="W4" s="267">
        <f>+LI!W4+Auto!W4</f>
        <v>-100.68328</v>
      </c>
      <c r="X4" s="267">
        <f>+LI!X4+Auto!X4</f>
        <v>-97.515969999999996</v>
      </c>
      <c r="Y4" s="267">
        <f>+LI!Y4+Auto!Y4</f>
        <v>-87.390539999999987</v>
      </c>
      <c r="Z4" s="267">
        <f>+LI!Z4+Auto!Z4</f>
        <v>-87.236190000000008</v>
      </c>
      <c r="AA4" s="267">
        <f>+LI!AA4+Auto!AA4</f>
        <v>-88.739059999999995</v>
      </c>
      <c r="AB4" s="267">
        <f>+LI!AB4+Auto!AB4</f>
        <v>-98.960570000000004</v>
      </c>
      <c r="AC4" s="267">
        <f>+LI!AC4+Auto!AC4</f>
        <v>-79.525570000000002</v>
      </c>
      <c r="AD4" s="267">
        <f>+LI!AD4+Auto!AD4</f>
        <v>0</v>
      </c>
      <c r="AE4" s="267"/>
      <c r="AF4" s="267"/>
      <c r="AG4" s="714" t="s">
        <v>1423</v>
      </c>
    </row>
    <row r="5" spans="1:63" ht="12.75" customHeight="1" x14ac:dyDescent="0.2">
      <c r="A5" s="1" t="s">
        <v>1510</v>
      </c>
      <c r="B5" s="1" t="s">
        <v>1511</v>
      </c>
      <c r="C5" s="633"/>
      <c r="D5" s="113" t="str">
        <f>IF([1]RENAME!$H$3=1,B5,A5)</f>
        <v>DRE</v>
      </c>
      <c r="E5" s="114" t="str">
        <f>IF([1]RENAME!$H$3=1,E2,E1)</f>
        <v>1T12</v>
      </c>
      <c r="F5" s="114" t="str">
        <f>IF([1]RENAME!$H$3=1,F2,F1)</f>
        <v>2T12</v>
      </c>
      <c r="G5" s="114" t="str">
        <f>IF([1]RENAME!$H$3=1,G2,G1)</f>
        <v>3T12</v>
      </c>
      <c r="H5" s="114" t="str">
        <f>IF([1]RENAME!$H$3=1,H2,H1)</f>
        <v>4T12</v>
      </c>
      <c r="I5" s="115" t="str">
        <f>IF([1]RENAME!$H$3=1,I2,I1)</f>
        <v>1T13</v>
      </c>
      <c r="J5" s="115" t="str">
        <f>IF([1]RENAME!$H$3=1,J2,J1)</f>
        <v>2T13</v>
      </c>
      <c r="K5" s="115" t="str">
        <f>IF([1]RENAME!$H$3=1,K2,K1)</f>
        <v>3T13</v>
      </c>
      <c r="L5" s="115" t="str">
        <f>IF([1]RENAME!$H$3=1,L2,L1)</f>
        <v>4T13</v>
      </c>
      <c r="M5" s="115" t="str">
        <f>IF([1]RENAME!$H$3=1,M2,M1)</f>
        <v>1T14</v>
      </c>
      <c r="N5" s="116" t="str">
        <f>IF([1]RENAME!$H$3=1,N2,N1)</f>
        <v>2T14</v>
      </c>
      <c r="O5" s="116" t="str">
        <f>IF([1]RENAME!$H$3=1,O2,O1)</f>
        <v>3T14</v>
      </c>
      <c r="P5" s="115" t="str">
        <f>IF([1]RENAME!$H$3=1,P2,P1)</f>
        <v>4T14</v>
      </c>
      <c r="Q5" s="115" t="str">
        <f>IF([1]RENAME!$H$3=1,Q2,Q1)</f>
        <v>1T15</v>
      </c>
      <c r="R5" s="115" t="str">
        <f>IF([1]RENAME!$H$3=1,R2,R1)</f>
        <v>2T15</v>
      </c>
      <c r="S5" s="115" t="str">
        <f>IF([1]RENAME!$H$3=1,S2,S1)</f>
        <v>3T15</v>
      </c>
      <c r="T5" s="115" t="str">
        <f>IF([1]RENAME!$H$3=1,T2,T1)</f>
        <v>4T15</v>
      </c>
      <c r="U5" s="115" t="str">
        <f>IF([1]RENAME!$H$3=1,U2,U1)</f>
        <v>1T16</v>
      </c>
      <c r="V5" s="115" t="str">
        <f>IF([1]RENAME!$H$3=1,V2,V1)</f>
        <v>2T16</v>
      </c>
      <c r="W5" s="115" t="str">
        <f>IF([1]RENAME!$H$3=1,W2,W1)</f>
        <v>3T16</v>
      </c>
      <c r="X5" s="115" t="str">
        <f>IF([1]RENAME!$H$3=1,X2,X1)</f>
        <v>4T16</v>
      </c>
      <c r="Y5" s="115" t="str">
        <f>IF([1]RENAME!$H$3=1,Y2,Y1)</f>
        <v>1T17</v>
      </c>
      <c r="Z5" s="115" t="str">
        <f>IF([1]RENAME!$H$3=1,Z2,Z1)</f>
        <v>2T17</v>
      </c>
      <c r="AA5" s="115" t="str">
        <f>IF([1]RENAME!$H$3=1,AA2,AA1)</f>
        <v>3T17</v>
      </c>
      <c r="AB5" s="115" t="str">
        <f>IF([1]RENAME!$H$3=1,AB2,AB1)</f>
        <v>4T17</v>
      </c>
      <c r="AC5" s="115" t="str">
        <f>IF([1]RENAME!$H$3=1,AC2,AC1)</f>
        <v>1T18</v>
      </c>
      <c r="AD5" s="115" t="str">
        <f>IF([1]RENAME!$H$3=1,AD2,AD1)</f>
        <v>2T18</v>
      </c>
      <c r="AE5" s="115" t="str">
        <f>IF([1]RENAME!$H$3=1,AE2,AE1)</f>
        <v>3T18</v>
      </c>
      <c r="AF5" s="115" t="str">
        <f>IF([1]RENAME!$H$3=1,AF2,AF1)</f>
        <v>4T18</v>
      </c>
      <c r="AG5" s="222" t="str">
        <f>IF([1]RENAME!$H$3=1,AG2,AG1)</f>
        <v>1T19</v>
      </c>
      <c r="AH5" s="115" t="str">
        <f>IF([1]RENAME!$H$3=1,AH2,AH1)</f>
        <v>2T19</v>
      </c>
      <c r="AI5" s="115" t="str">
        <f>IF([1]RENAME!$H$3=1,AI2,AI1)</f>
        <v>3T19</v>
      </c>
      <c r="AJ5" s="115" t="str">
        <f>IF([1]RENAME!$H$3=1,AJ2,AJ1)</f>
        <v>4T19</v>
      </c>
      <c r="AK5" s="115" t="str">
        <f>IF([1]RENAME!$H$3=1,AK2,AK1)</f>
        <v>1T20</v>
      </c>
      <c r="AL5" s="115" t="str">
        <f>IF([1]RENAME!$H$3=1,AL2,AL1)</f>
        <v>2T20</v>
      </c>
      <c r="AM5" s="115" t="str">
        <f>IF([1]RENAME!$H$3=1,AM2,AM1)</f>
        <v>3T20</v>
      </c>
      <c r="AN5" s="115" t="str">
        <f>IF([1]RENAME!$H$3=1,AN2,AN1)</f>
        <v>4T20</v>
      </c>
      <c r="AO5" s="115" t="str">
        <f>IF([1]RENAME!$H$3=1,AO2,AO1)</f>
        <v>1T21</v>
      </c>
      <c r="AP5" s="115" t="str">
        <f>IF([1]RENAME!$H$3=1,AP2,AP1)</f>
        <v>2T21</v>
      </c>
      <c r="AQ5" s="115" t="str">
        <f>IF([1]RENAME!$H$3=1,AQ2,AQ1)</f>
        <v>3T21</v>
      </c>
      <c r="AR5" s="115" t="str">
        <f>IF([1]RENAME!$H$3=1,AR2,AR1)</f>
        <v>4T21</v>
      </c>
      <c r="AS5" s="115" t="str">
        <f>IF([1]RENAME!$H$3=1,AS2,AS1)</f>
        <v>1T22</v>
      </c>
      <c r="AT5" s="115" t="str">
        <f>IF([1]RENAME!$H$3=1,AT2,AT1)</f>
        <v>2T22</v>
      </c>
      <c r="AU5" s="115" t="str">
        <f>IF([1]RENAME!$H$3=1,AU2,AU1)</f>
        <v>3T22</v>
      </c>
      <c r="AV5" s="115" t="str">
        <f>IF([1]RENAME!$H$3=1,AV2,AV1)</f>
        <v>4T22</v>
      </c>
      <c r="AW5" s="115" t="str">
        <f>IF([1]RENAME!$H$3=1,AW2,AW1)</f>
        <v>1T23</v>
      </c>
      <c r="AX5" s="115" t="s">
        <v>2028</v>
      </c>
      <c r="AY5" s="115" t="str">
        <f>IF([1]RENAME!$H$3=1,AY2,AY1)</f>
        <v>3T23</v>
      </c>
      <c r="AZ5" s="115" t="str">
        <f>IF([1]RENAME!$H$3=1,AZ2,AZ1)</f>
        <v>4T23</v>
      </c>
      <c r="BA5" s="115" t="str">
        <f>IF([1]RENAME!$H$3=1,BA2,BA1)</f>
        <v>1T24</v>
      </c>
      <c r="BB5" s="115" t="str">
        <f>IF([1]RENAME!$H$3=1,BB2,BB1)</f>
        <v>2T24</v>
      </c>
      <c r="BC5" s="115" t="str">
        <f>IF([1]RENAME!$H$3=1,BC2,BC1)</f>
        <v>3T24</v>
      </c>
      <c r="BD5" s="115" t="str">
        <f>IF([1]RENAME!$H$3=1,BD2,BD1)</f>
        <v>4T24</v>
      </c>
      <c r="BE5" s="115" t="str">
        <f>IF([1]RENAME!$H$3=1,BE2,BE1)</f>
        <v>1T25</v>
      </c>
      <c r="BF5" s="115" t="str">
        <f>IF([1]RENAME!$H$3=1,BF2,BF1)</f>
        <v>2T25</v>
      </c>
      <c r="BG5" s="115" t="str">
        <f>IF([1]RENAME!$H$3=1,BG2,BG1)</f>
        <v>3T25</v>
      </c>
      <c r="BH5" s="115" t="str">
        <f>IF([1]RENAME!$H$3=1,BH2,BH1)</f>
        <v>4T25</v>
      </c>
      <c r="BI5" s="247" t="str">
        <f>IF([1]RENAME!$H$3=1,BI2,BI1)</f>
        <v>1T26</v>
      </c>
      <c r="BJ5" s="115" t="str">
        <f>IF([1]RENAME!$H$3=1,BJ2,BJ1)</f>
        <v>2T26</v>
      </c>
    </row>
    <row r="6" spans="1:63" ht="14.1" customHeight="1" x14ac:dyDescent="0.2">
      <c r="A6" s="1" t="s">
        <v>33</v>
      </c>
      <c r="B6" s="19" t="s">
        <v>692</v>
      </c>
      <c r="C6" s="642"/>
      <c r="D6" s="117" t="str">
        <f>IF([1]RENAME!$H$3=1,B6,A6)</f>
        <v>Logística automotiva</v>
      </c>
      <c r="E6" s="118">
        <f>+Auto!E9</f>
        <v>295825</v>
      </c>
      <c r="F6" s="118">
        <f>+Auto!F9</f>
        <v>334929</v>
      </c>
      <c r="G6" s="118">
        <f>+Auto!G9</f>
        <v>396308</v>
      </c>
      <c r="H6" s="118">
        <f>+Auto!H9</f>
        <v>398907</v>
      </c>
      <c r="I6" s="118">
        <f>+Auto!I9</f>
        <v>352522</v>
      </c>
      <c r="J6" s="118">
        <f>+Auto!J9</f>
        <v>449684</v>
      </c>
      <c r="K6" s="118">
        <f>+Auto!K9</f>
        <v>458071</v>
      </c>
      <c r="L6" s="118">
        <f>+Auto!L9</f>
        <v>438447</v>
      </c>
      <c r="M6" s="118">
        <f>+Auto!M9</f>
        <v>353100</v>
      </c>
      <c r="N6" s="118">
        <f>+Auto!N9</f>
        <v>387721</v>
      </c>
      <c r="O6" s="118">
        <f>+Auto!O9</f>
        <v>384907</v>
      </c>
      <c r="P6" s="118">
        <f>+Auto!P9</f>
        <v>431261</v>
      </c>
      <c r="Q6" s="118">
        <f>+Auto!Q9</f>
        <v>296153</v>
      </c>
      <c r="R6" s="118">
        <f>+Auto!R9</f>
        <v>282208</v>
      </c>
      <c r="S6" s="118">
        <f>+Auto!S9</f>
        <v>279189</v>
      </c>
      <c r="T6" s="118">
        <f>+Auto!T9</f>
        <v>291665.83533000003</v>
      </c>
      <c r="U6" s="118">
        <f>+Auto!U9</f>
        <v>198606.12298000001</v>
      </c>
      <c r="V6" s="118">
        <f>+Auto!V9</f>
        <v>232426.84667</v>
      </c>
      <c r="W6" s="118">
        <f>+Auto!W9</f>
        <v>244388.95153000002</v>
      </c>
      <c r="X6" s="118">
        <f>+Auto!X9</f>
        <v>264784.09666000004</v>
      </c>
      <c r="Y6" s="118">
        <f>+Auto!Y9</f>
        <v>214422.15101999999</v>
      </c>
      <c r="Z6" s="118">
        <f>+Auto!Z9</f>
        <v>268717.10787999997</v>
      </c>
      <c r="AA6" s="118">
        <f>+Auto!AA9</f>
        <v>305185.31597000005</v>
      </c>
      <c r="AB6" s="118">
        <f>+Auto!AB9</f>
        <v>340565.25495999999</v>
      </c>
      <c r="AC6" s="118">
        <f>+Auto!AC9</f>
        <v>275057.54545999999</v>
      </c>
      <c r="AD6" s="118">
        <f>+Auto!AD9</f>
        <v>315279.75394999998</v>
      </c>
      <c r="AE6" s="118">
        <f>+Auto!AE9</f>
        <v>365789.47778999998</v>
      </c>
      <c r="AF6" s="118">
        <f>+Auto!AF9</f>
        <v>391684.40824000002</v>
      </c>
      <c r="AG6" s="160">
        <f>+Auto!AG9</f>
        <v>321706.25628999999</v>
      </c>
      <c r="AH6" s="118">
        <f>+Auto!AH9</f>
        <v>360853.55104000005</v>
      </c>
      <c r="AI6" s="118">
        <f>+Auto!AI9</f>
        <v>366405.11531000002</v>
      </c>
      <c r="AJ6" s="118">
        <f>+Auto!AJ9</f>
        <v>414841.17645000003</v>
      </c>
      <c r="AK6" s="118">
        <f>+Auto!AK9</f>
        <v>298654.90463999996</v>
      </c>
      <c r="AL6" s="118">
        <f>+Auto!AL9</f>
        <v>108624.88222</v>
      </c>
      <c r="AM6" s="118">
        <f>+Auto!AM9</f>
        <v>305501.52506000001</v>
      </c>
      <c r="AN6" s="118">
        <f>+Auto!AN9</f>
        <v>337571.33675999998</v>
      </c>
      <c r="AO6" s="118">
        <f>+Auto!AO9</f>
        <v>250078.92903</v>
      </c>
      <c r="AP6" s="118">
        <f>+Auto!AP9</f>
        <v>249944.68143999999</v>
      </c>
      <c r="AQ6" s="118">
        <f>+Auto!AQ9</f>
        <v>243798.95912000004</v>
      </c>
      <c r="AR6" s="118">
        <f>+Auto!AR9</f>
        <v>339046.03587999992</v>
      </c>
      <c r="AS6" s="118">
        <f>+Auto!AS9</f>
        <v>249984.01542999997</v>
      </c>
      <c r="AT6" s="118">
        <f>+Auto!AT9</f>
        <v>329187.05628000002</v>
      </c>
      <c r="AU6" s="118">
        <f>+Auto!AU9</f>
        <v>460036.70981000003</v>
      </c>
      <c r="AV6" s="118">
        <f>+Auto!AV9</f>
        <v>461462.62537999998</v>
      </c>
      <c r="AW6" s="118">
        <f>+Auto!AW9</f>
        <v>369902.34818999982</v>
      </c>
      <c r="AX6" s="118">
        <v>413999.29704000009</v>
      </c>
      <c r="AY6" s="118">
        <f>+Auto!AY9</f>
        <v>481071.89130000008</v>
      </c>
      <c r="AZ6" s="118">
        <f>+Auto!AZ9</f>
        <v>516751.48728000012</v>
      </c>
      <c r="BA6" s="118">
        <v>432552.07787999994</v>
      </c>
      <c r="BB6" s="118">
        <v>529168.94435000001</v>
      </c>
      <c r="BC6" s="118">
        <v>695890.14059000008</v>
      </c>
      <c r="BD6" s="118">
        <v>720353.22578999994</v>
      </c>
      <c r="BE6" s="118">
        <v>489547.18824999995</v>
      </c>
      <c r="BF6" s="118">
        <v>621439.08457999991</v>
      </c>
      <c r="BG6" s="118">
        <v>744445.99184999999</v>
      </c>
      <c r="BH6" s="118">
        <v>717391.32421999995</v>
      </c>
      <c r="BI6" s="118">
        <v>599235.42489999998</v>
      </c>
      <c r="BJ6" s="118">
        <f>+Auto!BJ9</f>
        <v>866484.33464999998</v>
      </c>
    </row>
    <row r="7" spans="1:63" ht="14.1" customHeight="1" x14ac:dyDescent="0.2">
      <c r="A7" s="1" t="s">
        <v>34</v>
      </c>
      <c r="B7" s="1" t="s">
        <v>693</v>
      </c>
      <c r="C7" s="642"/>
      <c r="D7" s="117" t="str">
        <f>IF([1]RENAME!$H$3=1,B7,A7)</f>
        <v>Logística integrada</v>
      </c>
      <c r="E7" s="118">
        <f>+LI!E10</f>
        <v>127576</v>
      </c>
      <c r="F7" s="118">
        <f>+LI!F10</f>
        <v>143173</v>
      </c>
      <c r="G7" s="118">
        <f>+LI!G10</f>
        <v>161320</v>
      </c>
      <c r="H7" s="118">
        <f>+LI!H10</f>
        <v>155913</v>
      </c>
      <c r="I7" s="118">
        <f>+LI!I10</f>
        <v>114880</v>
      </c>
      <c r="J7" s="118">
        <f>+LI!J10</f>
        <v>115483</v>
      </c>
      <c r="K7" s="118">
        <f>+LI!K10</f>
        <v>117446</v>
      </c>
      <c r="L7" s="118">
        <f>+LI!L10</f>
        <v>133383</v>
      </c>
      <c r="M7" s="118">
        <f>+LI!M10</f>
        <v>120607</v>
      </c>
      <c r="N7" s="118">
        <f>+LI!N10</f>
        <v>116580</v>
      </c>
      <c r="O7" s="118">
        <f>+LI!O10</f>
        <v>98578</v>
      </c>
      <c r="P7" s="118">
        <f>+LI!P10</f>
        <v>61586</v>
      </c>
      <c r="Q7" s="118">
        <f>+LI!Q10</f>
        <v>56728</v>
      </c>
      <c r="R7" s="118">
        <f>+LI!R10</f>
        <v>59956</v>
      </c>
      <c r="S7" s="118">
        <f>+LI!S10</f>
        <v>63960</v>
      </c>
      <c r="T7" s="118">
        <f>+LI!T10</f>
        <v>62197.638749999998</v>
      </c>
      <c r="U7" s="118">
        <f>+LI!U10</f>
        <v>52438.910459999999</v>
      </c>
      <c r="V7" s="118">
        <f>+LI!V10</f>
        <v>50624.91019000001</v>
      </c>
      <c r="W7" s="118">
        <f>+LI!W10</f>
        <v>48181.630469999996</v>
      </c>
      <c r="X7" s="118">
        <f>+LI!X10</f>
        <v>48777.547270000003</v>
      </c>
      <c r="Y7" s="118">
        <f>+LI!Y10</f>
        <v>48717.342169999996</v>
      </c>
      <c r="Z7" s="118">
        <f>+LI!Z10</f>
        <v>48049.863870000001</v>
      </c>
      <c r="AA7" s="118">
        <f>+LI!AA10</f>
        <v>50445.274439999994</v>
      </c>
      <c r="AB7" s="118">
        <f>+LI!AB10</f>
        <v>54087.619529999996</v>
      </c>
      <c r="AC7" s="118">
        <f>+LI!AC10</f>
        <v>47791.897820000006</v>
      </c>
      <c r="AD7" s="118">
        <f>+LI!AD10</f>
        <v>45118.782989999992</v>
      </c>
      <c r="AE7" s="118">
        <f>+LI!AE10</f>
        <v>50056.113029999993</v>
      </c>
      <c r="AF7" s="118">
        <f>+LI!AF10</f>
        <v>47941.790019999993</v>
      </c>
      <c r="AG7" s="160">
        <f>+LI!AG10</f>
        <v>45576.200000000004</v>
      </c>
      <c r="AH7" s="118">
        <f>+LI!AH10</f>
        <v>45477.30472</v>
      </c>
      <c r="AI7" s="118">
        <f>+LI!AI10</f>
        <v>49444.072350000002</v>
      </c>
      <c r="AJ7" s="118">
        <f>+LI!AJ10</f>
        <v>49006.12429</v>
      </c>
      <c r="AK7" s="118">
        <f>+LI!AK10</f>
        <v>46798.437100000003</v>
      </c>
      <c r="AL7" s="118">
        <f>+LI!AL10</f>
        <v>51640.242859999998</v>
      </c>
      <c r="AM7" s="118">
        <f>+LI!AM10</f>
        <v>52814.545720000002</v>
      </c>
      <c r="AN7" s="118">
        <f>+LI!AN10</f>
        <v>49157.816579999999</v>
      </c>
      <c r="AO7" s="118">
        <f>+LI!AO10</f>
        <v>40685.805</v>
      </c>
      <c r="AP7" s="118">
        <f>+LI!AP10</f>
        <v>44766.588499999998</v>
      </c>
      <c r="AQ7" s="118">
        <f>+LI!AQ10</f>
        <v>45483.075720000001</v>
      </c>
      <c r="AR7" s="118">
        <f>+LI!AR10</f>
        <v>40436.241730000009</v>
      </c>
      <c r="AS7" s="118">
        <f>+LI!AS10</f>
        <v>48354.774229999995</v>
      </c>
      <c r="AT7" s="118">
        <f>+LI!AT10</f>
        <v>46644.168120000002</v>
      </c>
      <c r="AU7" s="118">
        <f>+LI!AU10</f>
        <v>51373.626230000002</v>
      </c>
      <c r="AV7" s="118">
        <f>+LI!AV10</f>
        <v>44837.835890000002</v>
      </c>
      <c r="AW7" s="118">
        <f>+LI!AW10</f>
        <v>47323.97638</v>
      </c>
      <c r="AX7" s="118">
        <v>43144.14963</v>
      </c>
      <c r="AY7" s="118">
        <f>+LI!AY10</f>
        <v>50027.470160000004</v>
      </c>
      <c r="AZ7" s="118">
        <f>+LI!AZ10</f>
        <v>49218.7</v>
      </c>
      <c r="BA7" s="118">
        <v>50683.687290000002</v>
      </c>
      <c r="BB7" s="118">
        <v>55719.131580000001</v>
      </c>
      <c r="BC7" s="118">
        <v>50868.375529999998</v>
      </c>
      <c r="BD7" s="118">
        <v>49988.152990000002</v>
      </c>
      <c r="BE7" s="118">
        <v>55602.698880000004</v>
      </c>
      <c r="BF7" s="118">
        <v>54247.260320000001</v>
      </c>
      <c r="BG7" s="118">
        <v>41985.478689999996</v>
      </c>
      <c r="BH7" s="118">
        <v>47361.427729999996</v>
      </c>
      <c r="BI7" s="118">
        <v>50799.559020000001</v>
      </c>
      <c r="BJ7" s="118">
        <f>+LI!BJ10</f>
        <v>58255.544399999999</v>
      </c>
    </row>
    <row r="8" spans="1:63" ht="14.1" customHeight="1" x14ac:dyDescent="0.2">
      <c r="A8" s="1" t="s">
        <v>66</v>
      </c>
      <c r="B8" s="19" t="s">
        <v>691</v>
      </c>
      <c r="C8" s="642"/>
      <c r="D8" s="119" t="str">
        <f>IF([1]RENAME!$H$3=1,B8,A8)</f>
        <v>Receita bruta</v>
      </c>
      <c r="E8" s="120">
        <f t="shared" ref="E8:U8" si="9">SUM(E6:E7)</f>
        <v>423401</v>
      </c>
      <c r="F8" s="120">
        <f t="shared" si="9"/>
        <v>478102</v>
      </c>
      <c r="G8" s="120">
        <f t="shared" si="9"/>
        <v>557628</v>
      </c>
      <c r="H8" s="120">
        <f t="shared" si="9"/>
        <v>554820</v>
      </c>
      <c r="I8" s="120">
        <f t="shared" si="9"/>
        <v>467402</v>
      </c>
      <c r="J8" s="120">
        <f t="shared" si="9"/>
        <v>565167</v>
      </c>
      <c r="K8" s="120">
        <f t="shared" si="9"/>
        <v>575517</v>
      </c>
      <c r="L8" s="120">
        <f t="shared" si="9"/>
        <v>571830</v>
      </c>
      <c r="M8" s="120">
        <f t="shared" si="9"/>
        <v>473707</v>
      </c>
      <c r="N8" s="120">
        <f t="shared" si="9"/>
        <v>504301</v>
      </c>
      <c r="O8" s="120">
        <f t="shared" si="9"/>
        <v>483485</v>
      </c>
      <c r="P8" s="120">
        <f t="shared" si="9"/>
        <v>492847</v>
      </c>
      <c r="Q8" s="120">
        <f t="shared" si="9"/>
        <v>352881</v>
      </c>
      <c r="R8" s="120">
        <f t="shared" si="9"/>
        <v>342164</v>
      </c>
      <c r="S8" s="120">
        <f t="shared" si="9"/>
        <v>343149</v>
      </c>
      <c r="T8" s="120">
        <f t="shared" si="9"/>
        <v>353863.47408000001</v>
      </c>
      <c r="U8" s="120">
        <f t="shared" si="9"/>
        <v>251045.03344000003</v>
      </c>
      <c r="V8" s="120">
        <f>SUM(V6:V7)</f>
        <v>283051.75686000002</v>
      </c>
      <c r="W8" s="120">
        <f>SUM(W6:W7)</f>
        <v>292570.58199999999</v>
      </c>
      <c r="X8" s="120">
        <f>SUM(X6:X7)</f>
        <v>313561.64393000002</v>
      </c>
      <c r="Y8" s="120">
        <f>SUM(Y6:Y7)</f>
        <v>263139.49319000001</v>
      </c>
      <c r="Z8" s="120">
        <v>316766.97174999997</v>
      </c>
      <c r="AA8" s="120">
        <f t="shared" ref="AA8:AG8" si="10">SUM(AA6:AA7)</f>
        <v>355630.59041000006</v>
      </c>
      <c r="AB8" s="120">
        <f t="shared" si="10"/>
        <v>394652.87448999996</v>
      </c>
      <c r="AC8" s="120">
        <f t="shared" si="10"/>
        <v>322849.44328000001</v>
      </c>
      <c r="AD8" s="120">
        <f t="shared" si="10"/>
        <v>360398.53693999996</v>
      </c>
      <c r="AE8" s="120">
        <f t="shared" si="10"/>
        <v>415845.59081999998</v>
      </c>
      <c r="AF8" s="120">
        <f t="shared" si="10"/>
        <v>439626.19826000003</v>
      </c>
      <c r="AG8" s="162">
        <f t="shared" si="10"/>
        <v>367282.45629</v>
      </c>
      <c r="AH8" s="120">
        <f t="shared" ref="AH8:AM8" si="11">SUM(AH6:AH7)</f>
        <v>406330.85576000006</v>
      </c>
      <c r="AI8" s="120">
        <f t="shared" si="11"/>
        <v>415849.18766000005</v>
      </c>
      <c r="AJ8" s="120">
        <f t="shared" si="11"/>
        <v>463847.30074000004</v>
      </c>
      <c r="AK8" s="120">
        <f t="shared" si="11"/>
        <v>345453.34173999995</v>
      </c>
      <c r="AL8" s="120">
        <f t="shared" si="11"/>
        <v>160265.12508</v>
      </c>
      <c r="AM8" s="120">
        <f t="shared" si="11"/>
        <v>358316.07078000001</v>
      </c>
      <c r="AN8" s="120">
        <f t="shared" ref="AN8:AT8" si="12">SUM(AN6:AN7)</f>
        <v>386729.15333999996</v>
      </c>
      <c r="AO8" s="120">
        <f t="shared" si="12"/>
        <v>290764.73402999999</v>
      </c>
      <c r="AP8" s="120">
        <f t="shared" si="12"/>
        <v>294711.26993999997</v>
      </c>
      <c r="AQ8" s="120">
        <f t="shared" si="12"/>
        <v>289282.03484000004</v>
      </c>
      <c r="AR8" s="120">
        <f t="shared" si="12"/>
        <v>379482.27760999993</v>
      </c>
      <c r="AS8" s="120">
        <f t="shared" si="12"/>
        <v>298338.78965999995</v>
      </c>
      <c r="AT8" s="120">
        <f t="shared" si="12"/>
        <v>375831.22440000001</v>
      </c>
      <c r="AU8" s="120">
        <f>SUM(AU6:AU7)</f>
        <v>511410.33604000002</v>
      </c>
      <c r="AV8" s="120">
        <f>SUM(AV6:AV7)</f>
        <v>506300.46126999997</v>
      </c>
      <c r="AW8" s="120">
        <f>SUM(AW6:AW7)</f>
        <v>417226.32456999982</v>
      </c>
      <c r="AX8" s="120">
        <v>457143.44667000009</v>
      </c>
      <c r="AY8" s="120">
        <f t="shared" ref="AY8:BF8" si="13">SUM(AY6:AY7)</f>
        <v>531099.36146000004</v>
      </c>
      <c r="AZ8" s="120">
        <f t="shared" si="13"/>
        <v>565970.18728000007</v>
      </c>
      <c r="BA8" s="120">
        <f t="shared" si="13"/>
        <v>483235.76516999991</v>
      </c>
      <c r="BB8" s="120">
        <f t="shared" si="13"/>
        <v>584888.07593000005</v>
      </c>
      <c r="BC8" s="120">
        <f t="shared" si="13"/>
        <v>746758.51612000004</v>
      </c>
      <c r="BD8" s="120">
        <f t="shared" si="13"/>
        <v>770341.37877999991</v>
      </c>
      <c r="BE8" s="120">
        <f t="shared" si="13"/>
        <v>545149.88712999993</v>
      </c>
      <c r="BF8" s="120">
        <f t="shared" si="13"/>
        <v>675686.34489999991</v>
      </c>
      <c r="BG8" s="120">
        <f>SUM(BG6:BG7)</f>
        <v>786431.47054000001</v>
      </c>
      <c r="BH8" s="120">
        <f>SUM(BH6:BH7)</f>
        <v>764752.75194999995</v>
      </c>
      <c r="BI8" s="120">
        <f>SUM(BI6:BI7)</f>
        <v>650034.98392000003</v>
      </c>
      <c r="BJ8" s="120">
        <f>SUM(BJ6:BJ7)</f>
        <v>924739.87904999999</v>
      </c>
    </row>
    <row r="9" spans="1:63" ht="14.1" customHeight="1" x14ac:dyDescent="0.2">
      <c r="A9" s="516" t="s">
        <v>1293</v>
      </c>
      <c r="B9" s="516" t="s">
        <v>1563</v>
      </c>
      <c r="C9" s="642"/>
      <c r="D9" s="117" t="str">
        <f>IF([1]RENAME!$H$3=1,B9,A9)</f>
        <v>Deduções da receita bruta</v>
      </c>
      <c r="E9" s="118">
        <f>+Auto!E10+LI!E11</f>
        <v>-81333</v>
      </c>
      <c r="F9" s="118">
        <f>+Auto!F10+LI!F11</f>
        <v>-91588</v>
      </c>
      <c r="G9" s="118">
        <f>+Auto!G10+LI!G11</f>
        <v>-105829</v>
      </c>
      <c r="H9" s="118">
        <f>+Auto!H10+LI!H11</f>
        <v>-101172</v>
      </c>
      <c r="I9" s="118">
        <f>+Auto!I10+LI!I11</f>
        <v>-88558</v>
      </c>
      <c r="J9" s="118">
        <f>+Auto!J10+LI!J11</f>
        <v>-104115</v>
      </c>
      <c r="K9" s="118">
        <f>+Auto!K10+LI!K11</f>
        <v>-108268</v>
      </c>
      <c r="L9" s="118">
        <f>+Auto!L10+LI!L11</f>
        <v>-106483</v>
      </c>
      <c r="M9" s="118">
        <f>+Auto!M10+LI!M11</f>
        <v>-95225</v>
      </c>
      <c r="N9" s="118">
        <f>+Auto!N10+LI!N11</f>
        <v>-98774</v>
      </c>
      <c r="O9" s="118">
        <f>+Auto!O10+LI!O11</f>
        <v>-95407</v>
      </c>
      <c r="P9" s="118">
        <f>+Auto!P10+LI!P11</f>
        <v>-95805</v>
      </c>
      <c r="Q9" s="118">
        <f>+Auto!Q10+LI!Q11</f>
        <v>-67982</v>
      </c>
      <c r="R9" s="118">
        <f>+Auto!R10+LI!R11</f>
        <v>-67058</v>
      </c>
      <c r="S9" s="118">
        <f>+Auto!S10+LI!S11</f>
        <v>-67764</v>
      </c>
      <c r="T9" s="118">
        <f>+Auto!T10+LI!T11</f>
        <v>-66690.167500000054</v>
      </c>
      <c r="U9" s="118">
        <f>+Auto!U10+LI!U11</f>
        <v>-48151.203300000023</v>
      </c>
      <c r="V9" s="118">
        <f>+Auto!V10+LI!V11</f>
        <v>-54394.151560000028</v>
      </c>
      <c r="W9" s="118">
        <f>+Auto!W10+LI!W11</f>
        <v>-54752.56556000001</v>
      </c>
      <c r="X9" s="118">
        <f>+Auto!X10+LI!X11</f>
        <v>-59039.896560000037</v>
      </c>
      <c r="Y9" s="118">
        <f>+Auto!Y10+LI!Y11</f>
        <v>-49624.916319999989</v>
      </c>
      <c r="Z9" s="260">
        <f>+Auto!Z10+LI!Z11</f>
        <v>-51660.569389999968</v>
      </c>
      <c r="AA9" s="118">
        <f>+Auto!AA10+LI!AA11</f>
        <v>-69751.736580000055</v>
      </c>
      <c r="AB9" s="118">
        <f>+Auto!AB10+LI!AB11</f>
        <v>-75177.268309999956</v>
      </c>
      <c r="AC9" s="118">
        <f>+Auto!AC10+LI!AC11</f>
        <v>-60777.078839999995</v>
      </c>
      <c r="AD9" s="118">
        <f>+Auto!AD10+LI!AD11</f>
        <v>-67123.213439999963</v>
      </c>
      <c r="AE9" s="260">
        <f>+Auto!AE10+LI!AE11</f>
        <v>-84639.923620000001</v>
      </c>
      <c r="AF9" s="260">
        <f>+Auto!AF10+LI!AF11</f>
        <v>-72400.729329999973</v>
      </c>
      <c r="AG9" s="160">
        <f>+Auto!AG10+LI!AG11</f>
        <v>-70601.690199999983</v>
      </c>
      <c r="AH9" s="118">
        <f>+Auto!AH10+LI!AH11</f>
        <v>-74742.844070000036</v>
      </c>
      <c r="AI9" s="118">
        <f>+Auto!AI10+LI!AI11</f>
        <v>-75126.040760000004</v>
      </c>
      <c r="AJ9" s="118">
        <f>+Auto!AJ10+LI!AJ11</f>
        <v>-85518.78118000002</v>
      </c>
      <c r="AK9" s="118">
        <f>+Auto!AK10+LI!AK11</f>
        <v>-65706.918319999953</v>
      </c>
      <c r="AL9" s="118">
        <f>+Auto!AL10+LI!AL11</f>
        <v>-30124.582640000001</v>
      </c>
      <c r="AM9" s="118">
        <f>+Auto!AM10+LI!AM11</f>
        <v>-69134.587800000008</v>
      </c>
      <c r="AN9" s="118">
        <f>+Auto!AN10+LI!AN11</f>
        <v>-73762.623569999952</v>
      </c>
      <c r="AO9" s="118">
        <f>+Auto!AO10+LI!AO11</f>
        <v>-56852.589729999978</v>
      </c>
      <c r="AP9" s="118">
        <f>+Auto!AP10+LI!AP11</f>
        <v>-57645.011709999999</v>
      </c>
      <c r="AQ9" s="118">
        <f>+Auto!AQ10+LI!AQ11</f>
        <v>-57843.520080000002</v>
      </c>
      <c r="AR9" s="118">
        <f>+Auto!AR10+LI!AR11</f>
        <v>-74556.185990000013</v>
      </c>
      <c r="AS9" s="118">
        <v>-57272.680549999983</v>
      </c>
      <c r="AT9" s="118">
        <f>+Auto!AT10+LI!AT11</f>
        <v>-71296.049840000051</v>
      </c>
      <c r="AU9" s="118">
        <f>+Auto!AU10+LI!AU11</f>
        <v>-95901.64496000002</v>
      </c>
      <c r="AV9" s="118">
        <f>+Auto!AV10+LI!AV11</f>
        <v>-96900.989790000051</v>
      </c>
      <c r="AW9" s="118">
        <f>+Auto!AW10+LI!AW11</f>
        <v>-81188.375400000019</v>
      </c>
      <c r="AX9" s="260">
        <v>-90492.71663000001</v>
      </c>
      <c r="AY9" s="118">
        <f>+Auto!AY10+LI!AY11</f>
        <v>-104121.76996999999</v>
      </c>
      <c r="AZ9" s="260">
        <f>+Auto!AZ10+LI!AZ11</f>
        <v>-112168.91354999997</v>
      </c>
      <c r="BA9" s="118">
        <v>-94064.972370000003</v>
      </c>
      <c r="BB9" s="118">
        <v>-112045.88618999999</v>
      </c>
      <c r="BC9" s="118">
        <v>-143004.25521</v>
      </c>
      <c r="BD9" s="118">
        <v>-145981.2050999999</v>
      </c>
      <c r="BE9" s="118">
        <v>-104792.60045000003</v>
      </c>
      <c r="BF9" s="118">
        <v>-135146.78451999999</v>
      </c>
      <c r="BG9" s="118">
        <v>-152208.45936000004</v>
      </c>
      <c r="BH9" s="118">
        <v>-154444.44124999997</v>
      </c>
      <c r="BI9" s="118">
        <v>-128756.31159</v>
      </c>
      <c r="BJ9" s="118">
        <f>+Auto!BJ10+LI!BJ11</f>
        <v>-184623.29667999997</v>
      </c>
    </row>
    <row r="10" spans="1:63" ht="14.1" customHeight="1" x14ac:dyDescent="0.2">
      <c r="A10" s="1" t="s">
        <v>56</v>
      </c>
      <c r="B10" s="19" t="s">
        <v>695</v>
      </c>
      <c r="C10" s="642"/>
      <c r="D10" s="119" t="str">
        <f>IF([1]RENAME!$H$3=1,B10,A10)</f>
        <v>Receita líquida</v>
      </c>
      <c r="E10" s="120">
        <f>Auto!E11+LI!E12</f>
        <v>342068</v>
      </c>
      <c r="F10" s="120">
        <f>Auto!F11+LI!F12</f>
        <v>386514</v>
      </c>
      <c r="G10" s="120">
        <f>Auto!G11+LI!G12</f>
        <v>451799</v>
      </c>
      <c r="H10" s="120">
        <f>Auto!H11+LI!H12</f>
        <v>453648</v>
      </c>
      <c r="I10" s="120">
        <f>Auto!I11+LI!I12</f>
        <v>378844</v>
      </c>
      <c r="J10" s="120">
        <f>Auto!J11+LI!J12</f>
        <v>461052</v>
      </c>
      <c r="K10" s="120">
        <f>Auto!K11+LI!K12</f>
        <v>467249</v>
      </c>
      <c r="L10" s="120">
        <f>Auto!L11+LI!L12</f>
        <v>465347</v>
      </c>
      <c r="M10" s="120">
        <f>Auto!M11+LI!M12</f>
        <v>378482</v>
      </c>
      <c r="N10" s="120">
        <f>Auto!N11+LI!N12</f>
        <v>405527</v>
      </c>
      <c r="O10" s="120">
        <f>Auto!O11+LI!O12</f>
        <v>388078</v>
      </c>
      <c r="P10" s="120">
        <f>Auto!P11+LI!P12</f>
        <v>397042</v>
      </c>
      <c r="Q10" s="120">
        <f>+Auto!Q11+LI!Q12</f>
        <v>284899</v>
      </c>
      <c r="R10" s="120">
        <f>+Auto!R11+LI!R12</f>
        <v>275106</v>
      </c>
      <c r="S10" s="120">
        <f>+Auto!S11+LI!S12</f>
        <v>275385</v>
      </c>
      <c r="T10" s="120">
        <f>+Auto!T11+LI!T12</f>
        <v>287173.30657999997</v>
      </c>
      <c r="U10" s="120">
        <f>+Auto!U11+LI!U12</f>
        <v>202893.83013999998</v>
      </c>
      <c r="V10" s="120">
        <f>+Auto!V11+LI!V12</f>
        <v>228657.6053</v>
      </c>
      <c r="W10" s="120">
        <f>+Auto!W11+LI!W12</f>
        <v>237818.01644000001</v>
      </c>
      <c r="X10" s="120">
        <f>+Auto!X11+LI!X12</f>
        <v>254521.74737</v>
      </c>
      <c r="Y10" s="120">
        <f>+Auto!Y11+LI!Y12</f>
        <v>213514.57686999999</v>
      </c>
      <c r="Z10" s="120">
        <f>+Auto!Z11+LI!Z12</f>
        <v>265106.40236000001</v>
      </c>
      <c r="AA10" s="120">
        <f>+Auto!AA11+LI!AA12</f>
        <v>285878.85382999998</v>
      </c>
      <c r="AB10" s="120">
        <f>+Auto!AB11+LI!AB12</f>
        <v>319475.60618</v>
      </c>
      <c r="AC10" s="120">
        <f>+Auto!AC11+LI!AC12</f>
        <v>262072.36444</v>
      </c>
      <c r="AD10" s="120">
        <f>+Auto!AD11+LI!AD12</f>
        <v>293275.3235</v>
      </c>
      <c r="AE10" s="120">
        <f>+Auto!AE11+LI!AE12</f>
        <v>331205.66719999997</v>
      </c>
      <c r="AF10" s="120">
        <f>+Auto!AF11+LI!AF12</f>
        <v>367225.46893000003</v>
      </c>
      <c r="AG10" s="162">
        <f>+Auto!AG11+LI!AG12</f>
        <v>296680.76609000005</v>
      </c>
      <c r="AH10" s="120">
        <f>+Auto!AH11+LI!AH12</f>
        <v>331588.01169000001</v>
      </c>
      <c r="AI10" s="120">
        <f>+Auto!AI11+LI!AI12</f>
        <v>340723.14690000005</v>
      </c>
      <c r="AJ10" s="120">
        <f>+Auto!AJ11+LI!AJ12</f>
        <v>378328.51955999999</v>
      </c>
      <c r="AK10" s="120">
        <f>+Auto!AK11+LI!AK12</f>
        <v>279746.42342000001</v>
      </c>
      <c r="AL10" s="120">
        <f>+Auto!AL11+LI!AL12</f>
        <v>130140.54243999999</v>
      </c>
      <c r="AM10" s="120">
        <f>+Auto!AM11+LI!AM12</f>
        <v>289181.48298000003</v>
      </c>
      <c r="AN10" s="120">
        <f>+Auto!AN11+LI!AN12</f>
        <v>312966.52977000002</v>
      </c>
      <c r="AO10" s="120">
        <f>+Auto!AO11+LI!AO12</f>
        <v>233912.14430000001</v>
      </c>
      <c r="AP10" s="120">
        <f>+Auto!AP11+LI!AP12</f>
        <v>237066.25822999998</v>
      </c>
      <c r="AQ10" s="120">
        <f>+Auto!AQ11+LI!AQ12</f>
        <v>231438.51476000005</v>
      </c>
      <c r="AR10" s="120">
        <f>+Auto!AR11+LI!AR12</f>
        <v>304926.0916199999</v>
      </c>
      <c r="AS10" s="120">
        <f>+Auto!AS11+LI!AS12</f>
        <v>241066.10910999999</v>
      </c>
      <c r="AT10" s="120">
        <f>+Auto!AT11+LI!AT12</f>
        <v>304535.17455999996</v>
      </c>
      <c r="AU10" s="120">
        <f>+Auto!AU11+LI!AU12</f>
        <v>415508.69108000002</v>
      </c>
      <c r="AV10" s="120">
        <f>+Auto!AV11+LI!AV12</f>
        <v>409399.47147999995</v>
      </c>
      <c r="AW10" s="120">
        <f>+Auto!AW11+LI!AW12</f>
        <v>336037.9491699998</v>
      </c>
      <c r="AX10" s="120">
        <v>366650.73004000005</v>
      </c>
      <c r="AY10" s="120">
        <f>+Auto!AY11+LI!AY12</f>
        <v>426977.59149000008</v>
      </c>
      <c r="AZ10" s="120">
        <f>+Auto!AZ11+LI!AZ12</f>
        <v>453801.27373000013</v>
      </c>
      <c r="BA10" s="120">
        <f>+Auto!BA11+LI!BA12</f>
        <v>389170.79279999994</v>
      </c>
      <c r="BB10" s="120">
        <f>+Auto!BB11+LI!BB12</f>
        <v>472842.18974</v>
      </c>
      <c r="BC10" s="120">
        <f>+Auto!BC11+LI!BC12</f>
        <v>603754.26091000007</v>
      </c>
      <c r="BD10" s="120">
        <f>+Auto!BD11+LI!BD12</f>
        <v>624360.17368000001</v>
      </c>
      <c r="BE10" s="120">
        <f>+Auto!BE11+LI!BE12</f>
        <v>440357.2866799999</v>
      </c>
      <c r="BF10" s="120">
        <f>+Auto!BF11+LI!BF12</f>
        <v>540539.56037999992</v>
      </c>
      <c r="BG10" s="120">
        <f>+Auto!BG11+LI!BG12</f>
        <v>634222.74954999995</v>
      </c>
      <c r="BH10" s="120">
        <f>+Auto!BH11+LI!BH12</f>
        <v>610308.31070000003</v>
      </c>
      <c r="BI10" s="120">
        <f>+Auto!BI11+LI!BI12</f>
        <v>521278.67232999997</v>
      </c>
      <c r="BJ10" s="120">
        <f>+Auto!BJ11+LI!BJ12</f>
        <v>740116.58236999996</v>
      </c>
    </row>
    <row r="11" spans="1:63" ht="14.1" customHeight="1" x14ac:dyDescent="0.2">
      <c r="A11" s="1" t="s">
        <v>1555</v>
      </c>
      <c r="B11" s="19" t="s">
        <v>1377</v>
      </c>
      <c r="C11" s="993" t="str">
        <f>IF([1]RENAME!$H$3=1,B11,A11)</f>
        <v>Custos de serviços prestados*</v>
      </c>
      <c r="D11" s="991" t="str">
        <f>HYPERLINK(Menu!$AY$38,C11)</f>
        <v>Custos de serviços prestados*</v>
      </c>
      <c r="E11" s="118">
        <f>Auto!E12+LI!E13</f>
        <v>-279118</v>
      </c>
      <c r="F11" s="118">
        <f>Auto!F12+LI!F13</f>
        <v>-319569</v>
      </c>
      <c r="G11" s="118">
        <f>Auto!G12+LI!G13</f>
        <v>-378170</v>
      </c>
      <c r="H11" s="118">
        <f>Auto!H12+LI!H13</f>
        <v>-393316</v>
      </c>
      <c r="I11" s="118">
        <f>Auto!I12+LI!I13</f>
        <v>-337561</v>
      </c>
      <c r="J11" s="118">
        <f>Auto!J12+LI!J13</f>
        <v>-390715</v>
      </c>
      <c r="K11" s="118">
        <f>Auto!K12+LI!K13</f>
        <v>-405791</v>
      </c>
      <c r="L11" s="118">
        <f>Auto!L12+LI!L13</f>
        <v>-394507</v>
      </c>
      <c r="M11" s="118">
        <f>Auto!M12+LI!M13</f>
        <v>-332869</v>
      </c>
      <c r="N11" s="118">
        <f>Auto!N12+LI!N13</f>
        <v>-345150</v>
      </c>
      <c r="O11" s="118">
        <f>Auto!O12+LI!O13</f>
        <v>-307163</v>
      </c>
      <c r="P11" s="118">
        <f>Auto!P12+LI!P13</f>
        <v>-319694</v>
      </c>
      <c r="Q11" s="118">
        <f>+LI!Q13+Auto!Q12</f>
        <v>-241521</v>
      </c>
      <c r="R11" s="260">
        <f>+LI!R13+Auto!R12</f>
        <v>-240954</v>
      </c>
      <c r="S11" s="118">
        <f>+LI!S13+Auto!S12</f>
        <v>-231310</v>
      </c>
      <c r="T11" s="260">
        <f>+LI!T13+Auto!T12</f>
        <v>-236968.78570000001</v>
      </c>
      <c r="U11" s="118">
        <f>+LI!U13+Auto!U12</f>
        <v>-172826.5282</v>
      </c>
      <c r="V11" s="118">
        <f>+LI!V13+Auto!V12</f>
        <v>-189157.67001999996</v>
      </c>
      <c r="W11" s="118">
        <f>+LI!W13+Auto!W12</f>
        <v>-192554.20656000002</v>
      </c>
      <c r="X11" s="260">
        <f>+LI!X13+Auto!X12</f>
        <v>-200870.45804</v>
      </c>
      <c r="Y11" s="118">
        <f>+LI!Y13+Auto!Y12</f>
        <v>-174885.20908999996</v>
      </c>
      <c r="Z11" s="118">
        <f>+LI!Z13+Auto!Z12</f>
        <v>-205921.02704999998</v>
      </c>
      <c r="AA11" s="118">
        <f>+LI!AA13+Auto!AA12</f>
        <v>-226186.00294999999</v>
      </c>
      <c r="AB11" s="260">
        <f>+LI!AB13+Auto!AB12</f>
        <v>-218112.04913</v>
      </c>
      <c r="AC11" s="118">
        <f>+LI!AC13+Auto!AC12</f>
        <v>-207146.03266</v>
      </c>
      <c r="AD11" s="118">
        <f>+LI!AD13+Auto!AD12</f>
        <v>-229983.15228000004</v>
      </c>
      <c r="AE11" s="118">
        <f>+LI!AE13+Auto!AE12</f>
        <v>-258371.40411000003</v>
      </c>
      <c r="AF11" s="118">
        <f>+LI!AF13+Auto!AF12</f>
        <v>-274428.48563000001</v>
      </c>
      <c r="AG11" s="160">
        <f>+LI!AG13+Auto!AG12</f>
        <v>-219858.89009999999</v>
      </c>
      <c r="AH11" s="118">
        <f>+LI!AH13+Auto!AH12</f>
        <v>-249765.45636999997</v>
      </c>
      <c r="AI11" s="260">
        <f>+LI!AI13+Auto!AI12</f>
        <v>-257789.76608999996</v>
      </c>
      <c r="AJ11" s="118">
        <f>+LI!AJ13+Auto!AJ12</f>
        <v>-279067.12413999997</v>
      </c>
      <c r="AK11" s="118">
        <f>+LI!AK13+Auto!AK12</f>
        <v>-207887.47123</v>
      </c>
      <c r="AL11" s="118">
        <f>+LI!AL13+Auto!AL12</f>
        <v>-105924.01414000001</v>
      </c>
      <c r="AM11" s="118">
        <f>+LI!AM13+Auto!AM12</f>
        <v>-212365.89350000001</v>
      </c>
      <c r="AN11" s="260">
        <f>+LI!AN13+Auto!AN12</f>
        <v>-236073.58012999999</v>
      </c>
      <c r="AO11" s="118">
        <f>+LI!AO13+Auto!AO12</f>
        <v>-179455.29472000001</v>
      </c>
      <c r="AP11" s="118">
        <f>+LI!AP13+Auto!AP12</f>
        <v>-180934.97625000001</v>
      </c>
      <c r="AQ11" s="118">
        <f>+LI!AQ13+Auto!AQ12</f>
        <v>-178037.60190000004</v>
      </c>
      <c r="AR11" s="118">
        <f>+LI!AR13+Auto!AR12</f>
        <v>-234425.64186999999</v>
      </c>
      <c r="AS11" s="118">
        <v>-189639.96300000002</v>
      </c>
      <c r="AT11" s="118">
        <f>+LI!AT13+Auto!AT12</f>
        <v>-234569.45392</v>
      </c>
      <c r="AU11" s="118">
        <f>+LI!AU13+Auto!AU12</f>
        <v>-308460.46995000006</v>
      </c>
      <c r="AV11" s="118">
        <f>+LI!AV13+Auto!AV12</f>
        <v>-314562.2389</v>
      </c>
      <c r="AW11" s="118">
        <f>+LI!AW13+Auto!AW12</f>
        <v>-263831.30074999994</v>
      </c>
      <c r="AX11" s="118">
        <v>-285486.00792</v>
      </c>
      <c r="AY11" s="118">
        <f>+LI!AY13+Auto!AY12</f>
        <v>-323024.90090000001</v>
      </c>
      <c r="AZ11" s="118">
        <f>+LI!AZ13+Auto!AZ12</f>
        <v>-349351.46576999989</v>
      </c>
      <c r="BA11" s="118">
        <v>-302974.08583000011</v>
      </c>
      <c r="BB11" s="118">
        <v>-364045.45872</v>
      </c>
      <c r="BC11" s="118">
        <v>-451605.84516999999</v>
      </c>
      <c r="BD11" s="118">
        <v>-469944.28493000008</v>
      </c>
      <c r="BE11" s="118">
        <v>-343085.97573999997</v>
      </c>
      <c r="BF11" s="118">
        <v>-416201.83328000014</v>
      </c>
      <c r="BG11" s="118">
        <v>-489089.24266999989</v>
      </c>
      <c r="BH11" s="118">
        <v>-494983.74732000002</v>
      </c>
      <c r="BI11" s="118">
        <v>-423037.62693000003</v>
      </c>
      <c r="BJ11" s="118">
        <f>+LI!BJ13+Auto!BJ12</f>
        <v>-572448.36044000019</v>
      </c>
      <c r="BK11" s="1171"/>
    </row>
    <row r="12" spans="1:63" ht="14.1" customHeight="1" x14ac:dyDescent="0.2">
      <c r="A12" s="1" t="s">
        <v>393</v>
      </c>
      <c r="B12" s="19" t="s">
        <v>740</v>
      </c>
      <c r="C12" s="642"/>
      <c r="D12" s="119" t="str">
        <f>IF([1]RENAME!$H$3=1,B12,A12)</f>
        <v>Lucro bruto*</v>
      </c>
      <c r="E12" s="120">
        <f t="shared" ref="E12:AG12" si="14">SUM(E10:E11)</f>
        <v>62950</v>
      </c>
      <c r="F12" s="120">
        <f t="shared" si="14"/>
        <v>66945</v>
      </c>
      <c r="G12" s="120">
        <f t="shared" si="14"/>
        <v>73629</v>
      </c>
      <c r="H12" s="120">
        <f t="shared" si="14"/>
        <v>60332</v>
      </c>
      <c r="I12" s="120">
        <f t="shared" si="14"/>
        <v>41283</v>
      </c>
      <c r="J12" s="120">
        <f t="shared" si="14"/>
        <v>70337</v>
      </c>
      <c r="K12" s="120">
        <f t="shared" si="14"/>
        <v>61458</v>
      </c>
      <c r="L12" s="120">
        <f t="shared" si="14"/>
        <v>70840</v>
      </c>
      <c r="M12" s="120">
        <f t="shared" si="14"/>
        <v>45613</v>
      </c>
      <c r="N12" s="120">
        <f t="shared" si="14"/>
        <v>60377</v>
      </c>
      <c r="O12" s="120">
        <f t="shared" si="14"/>
        <v>80915</v>
      </c>
      <c r="P12" s="120">
        <f t="shared" si="14"/>
        <v>77348</v>
      </c>
      <c r="Q12" s="120">
        <f t="shared" si="14"/>
        <v>43378</v>
      </c>
      <c r="R12" s="120">
        <f t="shared" si="14"/>
        <v>34152</v>
      </c>
      <c r="S12" s="120">
        <f t="shared" si="14"/>
        <v>44075</v>
      </c>
      <c r="T12" s="120">
        <f t="shared" si="14"/>
        <v>50204.520879999967</v>
      </c>
      <c r="U12" s="120">
        <f t="shared" si="14"/>
        <v>30067.301939999976</v>
      </c>
      <c r="V12" s="120">
        <f t="shared" si="14"/>
        <v>39499.935280000034</v>
      </c>
      <c r="W12" s="120">
        <f t="shared" si="14"/>
        <v>45263.809879999986</v>
      </c>
      <c r="X12" s="120">
        <f t="shared" si="14"/>
        <v>53651.28933</v>
      </c>
      <c r="Y12" s="120">
        <f t="shared" si="14"/>
        <v>38629.36778000003</v>
      </c>
      <c r="Z12" s="120">
        <f t="shared" si="14"/>
        <v>59185.375310000032</v>
      </c>
      <c r="AA12" s="120">
        <f t="shared" si="14"/>
        <v>59692.850879999984</v>
      </c>
      <c r="AB12" s="120">
        <f t="shared" si="14"/>
        <v>101363.55705</v>
      </c>
      <c r="AC12" s="120">
        <f t="shared" si="14"/>
        <v>54926.331780000008</v>
      </c>
      <c r="AD12" s="120">
        <f t="shared" si="14"/>
        <v>63292.17121999996</v>
      </c>
      <c r="AE12" s="120">
        <f t="shared" si="14"/>
        <v>72834.263089999935</v>
      </c>
      <c r="AF12" s="120">
        <f t="shared" si="14"/>
        <v>92796.983300000022</v>
      </c>
      <c r="AG12" s="162">
        <f t="shared" si="14"/>
        <v>76821.875990000059</v>
      </c>
      <c r="AH12" s="120">
        <f t="shared" ref="AH12:AM12" si="15">SUM(AH10:AH11)</f>
        <v>81822.555320000043</v>
      </c>
      <c r="AI12" s="120">
        <f t="shared" si="15"/>
        <v>82933.38081000009</v>
      </c>
      <c r="AJ12" s="120">
        <f t="shared" si="15"/>
        <v>99261.395420000015</v>
      </c>
      <c r="AK12" s="120">
        <f t="shared" si="15"/>
        <v>71858.952190000011</v>
      </c>
      <c r="AL12" s="120">
        <f t="shared" si="15"/>
        <v>24216.528299999976</v>
      </c>
      <c r="AM12" s="120">
        <f t="shared" si="15"/>
        <v>76815.589480000024</v>
      </c>
      <c r="AN12" s="120">
        <f t="shared" ref="AN12:AT12" si="16">SUM(AN10:AN11)</f>
        <v>76892.949640000035</v>
      </c>
      <c r="AO12" s="120">
        <f t="shared" si="16"/>
        <v>54456.849580000009</v>
      </c>
      <c r="AP12" s="120">
        <f t="shared" si="16"/>
        <v>56131.281979999971</v>
      </c>
      <c r="AQ12" s="120">
        <f t="shared" si="16"/>
        <v>53400.912860000011</v>
      </c>
      <c r="AR12" s="120">
        <f t="shared" si="16"/>
        <v>70500.449749999912</v>
      </c>
      <c r="AS12" s="120">
        <f t="shared" si="16"/>
        <v>51426.146109999972</v>
      </c>
      <c r="AT12" s="120">
        <f t="shared" si="16"/>
        <v>69965.720639999956</v>
      </c>
      <c r="AU12" s="120">
        <f>SUM(AU10:AU11)</f>
        <v>107048.22112999996</v>
      </c>
      <c r="AV12" s="120">
        <f>SUM(AV10:AV11)</f>
        <v>94837.232579999953</v>
      </c>
      <c r="AW12" s="120">
        <f>SUM(AW10:AW11)</f>
        <v>72206.648419999867</v>
      </c>
      <c r="AX12" s="120">
        <v>81164.722120000049</v>
      </c>
      <c r="AY12" s="120">
        <f t="shared" ref="AY12:BF12" si="17">SUM(AY10:AY11)</f>
        <v>103952.69059000007</v>
      </c>
      <c r="AZ12" s="120">
        <f t="shared" si="17"/>
        <v>104449.80796000024</v>
      </c>
      <c r="BA12" s="120">
        <f t="shared" si="17"/>
        <v>86196.706969999825</v>
      </c>
      <c r="BB12" s="120">
        <f t="shared" si="17"/>
        <v>108796.73102000001</v>
      </c>
      <c r="BC12" s="120">
        <f t="shared" si="17"/>
        <v>152148.41574000008</v>
      </c>
      <c r="BD12" s="120">
        <f t="shared" si="17"/>
        <v>154415.88874999993</v>
      </c>
      <c r="BE12" s="120">
        <f t="shared" si="17"/>
        <v>97271.310939999938</v>
      </c>
      <c r="BF12" s="120">
        <f t="shared" si="17"/>
        <v>124337.72709999979</v>
      </c>
      <c r="BG12" s="120">
        <f>SUM(BG10:BG11)</f>
        <v>145133.50688000006</v>
      </c>
      <c r="BH12" s="120">
        <f>SUM(BH10:BH11)</f>
        <v>115324.56338000001</v>
      </c>
      <c r="BI12" s="120">
        <f>SUM(BI10:BI11)</f>
        <v>98241.045399999944</v>
      </c>
      <c r="BJ12" s="120">
        <f>SUM(BJ10:BJ11)</f>
        <v>167668.22192999977</v>
      </c>
    </row>
    <row r="13" spans="1:63" ht="14.1" customHeight="1" x14ac:dyDescent="0.2">
      <c r="A13" s="1" t="s">
        <v>1556</v>
      </c>
      <c r="B13" s="19" t="s">
        <v>1564</v>
      </c>
      <c r="C13" s="993" t="str">
        <f>IF([1]RENAME!$H$3=1,B13,A13)</f>
        <v>Despesas*</v>
      </c>
      <c r="D13" s="991" t="str">
        <f>HYPERLINK(Menu!$AY$38,C13)</f>
        <v>Despesas*</v>
      </c>
      <c r="E13" s="118">
        <f>Auto!E14+LI!E15</f>
        <v>-26354</v>
      </c>
      <c r="F13" s="118">
        <f>Auto!F14+LI!F15</f>
        <v>-23690</v>
      </c>
      <c r="G13" s="118">
        <f>Auto!G14+LI!G15</f>
        <v>-17343</v>
      </c>
      <c r="H13" s="118">
        <f>Auto!H14+LI!H15</f>
        <v>-12339</v>
      </c>
      <c r="I13" s="118">
        <f>Auto!I14+LI!I15</f>
        <v>-23247</v>
      </c>
      <c r="J13" s="118">
        <f>Auto!J14+LI!J15</f>
        <v>-33750</v>
      </c>
      <c r="K13" s="118">
        <f>Auto!K14+LI!K15</f>
        <v>-13670</v>
      </c>
      <c r="L13" s="118">
        <f>Auto!L14+LI!L15</f>
        <v>-33451</v>
      </c>
      <c r="M13" s="118">
        <f>Auto!M14+LI!M15</f>
        <v>-25717</v>
      </c>
      <c r="N13" s="118">
        <f>Auto!N14+LI!N15</f>
        <v>-22210</v>
      </c>
      <c r="O13" s="118">
        <f>Auto!O14+LI!O15</f>
        <v>-38308</v>
      </c>
      <c r="P13" s="118">
        <f>Auto!P14+LI!P15</f>
        <v>-21081</v>
      </c>
      <c r="Q13" s="118">
        <f>+Auto!Q14+LI!Q15</f>
        <v>-18932</v>
      </c>
      <c r="R13" s="118">
        <f>+Auto!R14+LI!R15</f>
        <v>-20401</v>
      </c>
      <c r="S13" s="118">
        <f>+Auto!S14+LI!S15</f>
        <v>-21522</v>
      </c>
      <c r="T13" s="260">
        <f>+Auto!T14+LI!T15</f>
        <v>-40773.277589999998</v>
      </c>
      <c r="U13" s="260">
        <f>+Auto!U14+LI!U15</f>
        <v>-15357.446760000001</v>
      </c>
      <c r="V13" s="118">
        <f>+Auto!V14+LI!V15</f>
        <v>-22565.713230000001</v>
      </c>
      <c r="W13" s="118">
        <f>+Auto!W14+LI!W15</f>
        <v>-20413.879510000002</v>
      </c>
      <c r="X13" s="260">
        <f>+Auto!X14+LI!X15</f>
        <v>-21178.156579999995</v>
      </c>
      <c r="Y13" s="118">
        <f>+LI!Y15+Auto!Y14</f>
        <v>-17695.995060000001</v>
      </c>
      <c r="Z13" s="260">
        <f>+LI!Z15+Auto!Z14</f>
        <v>-39252.330109999995</v>
      </c>
      <c r="AA13" s="260">
        <f>+LI!AA15+Auto!AA14</f>
        <v>-24452.20796</v>
      </c>
      <c r="AB13" s="260">
        <f>+LI!AB15+Auto!AB14</f>
        <v>-39854.040829999998</v>
      </c>
      <c r="AC13" s="118">
        <f>+LI!AC15+Auto!AC14</f>
        <v>-25473.017780000002</v>
      </c>
      <c r="AD13" s="118">
        <f>+LI!AD15+Auto!AD14</f>
        <v>-18143.764510000001</v>
      </c>
      <c r="AE13" s="118">
        <f>+LI!AE15+Auto!AE14</f>
        <v>-20294.234779999999</v>
      </c>
      <c r="AF13" s="260">
        <f>+LI!AF15+Auto!AF14</f>
        <v>-37603.649899999997</v>
      </c>
      <c r="AG13" s="160">
        <f>+LI!AG15+Auto!AG14</f>
        <v>-20796.36764</v>
      </c>
      <c r="AH13" s="118">
        <f>+LI!AH15+Auto!AH14</f>
        <v>-22379.204980000002</v>
      </c>
      <c r="AI13" s="260">
        <f>+LI!AI15+Auto!AI14</f>
        <v>31975.903160000002</v>
      </c>
      <c r="AJ13" s="118">
        <f>+LI!AJ15+Auto!AJ14</f>
        <v>-31418.964039999995</v>
      </c>
      <c r="AK13" s="260">
        <f>+LI!AK15+Auto!AK14</f>
        <v>-30955.607609999999</v>
      </c>
      <c r="AL13" s="118">
        <f>+LI!AL15+Auto!AL14</f>
        <v>-19563.079310000001</v>
      </c>
      <c r="AM13" s="118">
        <f>+LI!AM15+Auto!AM14</f>
        <v>-21506.14314</v>
      </c>
      <c r="AN13" s="260">
        <f>+LI!AN15+Auto!AN14</f>
        <v>-23777.583190000001</v>
      </c>
      <c r="AO13" s="260">
        <f>+LI!AO15+Auto!AO14</f>
        <v>-11265.121420000003</v>
      </c>
      <c r="AP13" s="260">
        <f>+LI!AP15+Auto!AP14</f>
        <v>-15075.970599999997</v>
      </c>
      <c r="AQ13" s="260">
        <f>+LI!AQ15+Auto!AQ14</f>
        <v>-17079.432490000007</v>
      </c>
      <c r="AR13" s="260">
        <f>+LI!AR15+Auto!AR14</f>
        <v>-22036.792750000004</v>
      </c>
      <c r="AS13" s="118">
        <v>-16337.01467</v>
      </c>
      <c r="AT13" s="118">
        <f>+LI!AT15+Auto!AT14</f>
        <v>-20816.767250000004</v>
      </c>
      <c r="AU13" s="260">
        <f>+LI!AU15+Auto!AU14</f>
        <v>-25768.052080000005</v>
      </c>
      <c r="AV13" s="260">
        <f>+LI!AV15+Auto!AV14</f>
        <v>-16649.771789999999</v>
      </c>
      <c r="AW13" s="118">
        <f>+LI!AW15+Auto!AW14</f>
        <v>-18553.174040000002</v>
      </c>
      <c r="AX13" s="118">
        <v>-23152.087519999994</v>
      </c>
      <c r="AY13" s="118">
        <f>+LI!AY15+Auto!AY14</f>
        <v>-24698.852590000006</v>
      </c>
      <c r="AZ13" s="118">
        <f>+LI!AZ15+Auto!AZ14</f>
        <v>-30322.880150000001</v>
      </c>
      <c r="BA13" s="118">
        <v>-27878.327630000007</v>
      </c>
      <c r="BB13" s="118">
        <v>-23627.80445</v>
      </c>
      <c r="BC13" s="118">
        <v>-26576.082479999997</v>
      </c>
      <c r="BD13" s="118">
        <v>-28410.735970000009</v>
      </c>
      <c r="BE13" s="118">
        <v>-28369.065570000006</v>
      </c>
      <c r="BF13" s="118">
        <v>-29629.767380000008</v>
      </c>
      <c r="BG13" s="118">
        <v>-28304.894340000003</v>
      </c>
      <c r="BH13" s="118">
        <v>-33970.064079999996</v>
      </c>
      <c r="BI13" s="260">
        <v>-24015.683099999998</v>
      </c>
      <c r="BJ13" s="260">
        <f>+LI!BJ15+Auto!BJ14</f>
        <v>-36345.318220000001</v>
      </c>
    </row>
    <row r="14" spans="1:63" ht="14.1" customHeight="1" x14ac:dyDescent="0.2">
      <c r="A14" s="1" t="s">
        <v>8</v>
      </c>
      <c r="B14" s="19" t="s">
        <v>8</v>
      </c>
      <c r="C14" s="642"/>
      <c r="D14" s="119" t="str">
        <f>IF([1]RENAME!$H$3=1,B14,A14)</f>
        <v>EBITDA</v>
      </c>
      <c r="E14" s="120">
        <f t="shared" ref="E14:AS14" si="18">+SUM(E12:E13)</f>
        <v>36596</v>
      </c>
      <c r="F14" s="120">
        <f t="shared" si="18"/>
        <v>43255</v>
      </c>
      <c r="G14" s="120">
        <f t="shared" si="18"/>
        <v>56286</v>
      </c>
      <c r="H14" s="120">
        <f t="shared" si="18"/>
        <v>47993</v>
      </c>
      <c r="I14" s="120">
        <f t="shared" si="18"/>
        <v>18036</v>
      </c>
      <c r="J14" s="120">
        <f t="shared" si="18"/>
        <v>36587</v>
      </c>
      <c r="K14" s="120">
        <f t="shared" si="18"/>
        <v>47788</v>
      </c>
      <c r="L14" s="120">
        <f t="shared" si="18"/>
        <v>37389</v>
      </c>
      <c r="M14" s="120">
        <f t="shared" si="18"/>
        <v>19896</v>
      </c>
      <c r="N14" s="120">
        <f t="shared" si="18"/>
        <v>38167</v>
      </c>
      <c r="O14" s="120">
        <f t="shared" si="18"/>
        <v>42607</v>
      </c>
      <c r="P14" s="120">
        <f t="shared" si="18"/>
        <v>56267</v>
      </c>
      <c r="Q14" s="120">
        <f t="shared" si="18"/>
        <v>24446</v>
      </c>
      <c r="R14" s="120">
        <f t="shared" si="18"/>
        <v>13751</v>
      </c>
      <c r="S14" s="120">
        <f t="shared" si="18"/>
        <v>22553</v>
      </c>
      <c r="T14" s="120">
        <f t="shared" si="18"/>
        <v>9431.2432899999694</v>
      </c>
      <c r="U14" s="120">
        <f t="shared" si="18"/>
        <v>14709.855179999975</v>
      </c>
      <c r="V14" s="120">
        <f t="shared" si="18"/>
        <v>16934.222050000033</v>
      </c>
      <c r="W14" s="120">
        <f t="shared" si="18"/>
        <v>24849.930369999984</v>
      </c>
      <c r="X14" s="120">
        <f t="shared" si="18"/>
        <v>32473.132750000004</v>
      </c>
      <c r="Y14" s="120">
        <f t="shared" si="18"/>
        <v>20933.372720000028</v>
      </c>
      <c r="Z14" s="120">
        <f t="shared" si="18"/>
        <v>19933.045200000037</v>
      </c>
      <c r="AA14" s="120">
        <f t="shared" si="18"/>
        <v>35240.642919999984</v>
      </c>
      <c r="AB14" s="120">
        <f t="shared" si="18"/>
        <v>61509.516220000005</v>
      </c>
      <c r="AC14" s="120">
        <f t="shared" si="18"/>
        <v>29453.314000000006</v>
      </c>
      <c r="AD14" s="120">
        <f t="shared" si="18"/>
        <v>45148.406709999959</v>
      </c>
      <c r="AE14" s="120">
        <f t="shared" si="18"/>
        <v>52540.028309999936</v>
      </c>
      <c r="AF14" s="120">
        <f t="shared" si="18"/>
        <v>55193.333400000025</v>
      </c>
      <c r="AG14" s="162">
        <f t="shared" si="18"/>
        <v>56025.508350000062</v>
      </c>
      <c r="AH14" s="120">
        <f t="shared" si="18"/>
        <v>59443.350340000041</v>
      </c>
      <c r="AI14" s="120">
        <f t="shared" si="18"/>
        <v>114909.28397000009</v>
      </c>
      <c r="AJ14" s="120">
        <f t="shared" si="18"/>
        <v>67842.431380000024</v>
      </c>
      <c r="AK14" s="120">
        <f t="shared" si="18"/>
        <v>40903.344580000012</v>
      </c>
      <c r="AL14" s="120">
        <f t="shared" si="18"/>
        <v>4653.4489899999753</v>
      </c>
      <c r="AM14" s="120">
        <f t="shared" si="18"/>
        <v>55309.446340000024</v>
      </c>
      <c r="AN14" s="120">
        <f t="shared" si="18"/>
        <v>53115.36645000003</v>
      </c>
      <c r="AO14" s="120">
        <f t="shared" si="18"/>
        <v>43191.728160000006</v>
      </c>
      <c r="AP14" s="120">
        <f t="shared" si="18"/>
        <v>41055.31137999997</v>
      </c>
      <c r="AQ14" s="120">
        <f t="shared" si="18"/>
        <v>36321.480370000005</v>
      </c>
      <c r="AR14" s="120">
        <f t="shared" si="18"/>
        <v>48463.656999999905</v>
      </c>
      <c r="AS14" s="120">
        <f t="shared" si="18"/>
        <v>35089.131439999968</v>
      </c>
      <c r="AT14" s="120">
        <f>+SUM(AT12:AT13)</f>
        <v>49148.953389999951</v>
      </c>
      <c r="AU14" s="120">
        <f>+SUM(AU12:AU13)</f>
        <v>81280.169049999953</v>
      </c>
      <c r="AV14" s="120">
        <f>+SUM(AV12:AV13)</f>
        <v>78187.460789999954</v>
      </c>
      <c r="AW14" s="120">
        <f>+SUM(AW12:AW13)</f>
        <v>53653.474379999869</v>
      </c>
      <c r="AX14" s="120">
        <v>58012.634600000056</v>
      </c>
      <c r="AY14" s="120">
        <f t="shared" ref="AY14:BF14" si="19">+SUM(AY12:AY13)</f>
        <v>79253.838000000062</v>
      </c>
      <c r="AZ14" s="120">
        <f t="shared" si="19"/>
        <v>74126.927810000241</v>
      </c>
      <c r="BA14" s="120">
        <f t="shared" si="19"/>
        <v>58318.379339999818</v>
      </c>
      <c r="BB14" s="120">
        <f t="shared" si="19"/>
        <v>85168.926570000011</v>
      </c>
      <c r="BC14" s="120">
        <f t="shared" si="19"/>
        <v>125572.33326000009</v>
      </c>
      <c r="BD14" s="120">
        <f t="shared" si="19"/>
        <v>126005.15277999992</v>
      </c>
      <c r="BE14" s="120">
        <f t="shared" si="19"/>
        <v>68902.245369999931</v>
      </c>
      <c r="BF14" s="120">
        <f t="shared" si="19"/>
        <v>94707.959719999781</v>
      </c>
      <c r="BG14" s="120">
        <f>+SUM(BG12:BG13)</f>
        <v>116828.61254000006</v>
      </c>
      <c r="BH14" s="120">
        <f>+SUM(BH12:BH13)</f>
        <v>81354.49930000001</v>
      </c>
      <c r="BI14" s="120">
        <f>+SUM(BI12:BI13)</f>
        <v>74225.36229999995</v>
      </c>
      <c r="BJ14" s="120">
        <f>+SUM(BJ12:BJ13)</f>
        <v>131322.90370999975</v>
      </c>
    </row>
    <row r="15" spans="1:63" ht="14.1" customHeight="1" x14ac:dyDescent="0.2">
      <c r="A15" s="1" t="s">
        <v>1548</v>
      </c>
      <c r="B15" s="1" t="s">
        <v>1549</v>
      </c>
      <c r="C15" s="23"/>
      <c r="D15" s="335" t="str">
        <f>IF([1]RENAME!$H$3=1,B15,A15)</f>
        <v>Revisão base PIS/Cofins</v>
      </c>
      <c r="E15" s="118" t="s">
        <v>160</v>
      </c>
      <c r="F15" s="118" t="s">
        <v>160</v>
      </c>
      <c r="G15" s="118" t="s">
        <v>160</v>
      </c>
      <c r="H15" s="118" t="s">
        <v>160</v>
      </c>
      <c r="I15" s="118" t="s">
        <v>160</v>
      </c>
      <c r="J15" s="118" t="s">
        <v>160</v>
      </c>
      <c r="K15" s="118" t="s">
        <v>160</v>
      </c>
      <c r="L15" s="118" t="s">
        <v>160</v>
      </c>
      <c r="M15" s="118" t="s">
        <v>160</v>
      </c>
      <c r="N15" s="118" t="s">
        <v>160</v>
      </c>
      <c r="O15" s="118" t="s">
        <v>160</v>
      </c>
      <c r="P15" s="118" t="s">
        <v>160</v>
      </c>
      <c r="Q15" s="118" t="s">
        <v>160</v>
      </c>
      <c r="R15" s="118" t="s">
        <v>160</v>
      </c>
      <c r="S15" s="118" t="s">
        <v>160</v>
      </c>
      <c r="T15" s="118" t="s">
        <v>160</v>
      </c>
      <c r="U15" s="118" t="s">
        <v>160</v>
      </c>
      <c r="V15" s="118" t="s">
        <v>160</v>
      </c>
      <c r="W15" s="118" t="s">
        <v>160</v>
      </c>
      <c r="X15" s="118" t="s">
        <v>160</v>
      </c>
      <c r="Y15" s="118">
        <v>0</v>
      </c>
      <c r="Z15" s="118" t="s">
        <v>160</v>
      </c>
      <c r="AA15" s="118" t="s">
        <v>160</v>
      </c>
      <c r="AB15" s="118" t="s">
        <v>160</v>
      </c>
      <c r="AC15" s="118" t="s">
        <v>160</v>
      </c>
      <c r="AD15" s="118" t="s">
        <v>160</v>
      </c>
      <c r="AE15" s="118" t="s">
        <v>160</v>
      </c>
      <c r="AF15" s="118">
        <f>+LI!AF17+Auto!AF16</f>
        <v>-4478.014682542499</v>
      </c>
      <c r="AG15" s="160">
        <v>0</v>
      </c>
      <c r="AH15" s="118">
        <v>0</v>
      </c>
      <c r="AI15" s="118">
        <v>-50391.444189999995</v>
      </c>
      <c r="AJ15" s="118">
        <v>0</v>
      </c>
      <c r="AK15" s="118">
        <v>0</v>
      </c>
      <c r="AL15" s="118">
        <v>0</v>
      </c>
      <c r="AM15" s="118">
        <f>+Auto!AM16+LI!AM17</f>
        <v>0</v>
      </c>
      <c r="AN15" s="118">
        <f>+Auto!AN16+LI!AN17</f>
        <v>0</v>
      </c>
      <c r="AO15" s="118">
        <v>0</v>
      </c>
      <c r="AP15" s="118">
        <f>+LI!AP17</f>
        <v>-5732.7137899999998</v>
      </c>
      <c r="AQ15" s="118">
        <f>+Auto!AQ16+LI!AQ17</f>
        <v>0</v>
      </c>
      <c r="AR15" s="118">
        <f>+Auto!AR16+LI!AR17</f>
        <v>0</v>
      </c>
      <c r="AS15" s="118">
        <v>0</v>
      </c>
      <c r="AT15" s="118">
        <f>+Auto!AT16+LI!AT17</f>
        <v>0</v>
      </c>
      <c r="AU15" s="118">
        <f>+Auto!AU16+LI!AU17</f>
        <v>0</v>
      </c>
      <c r="AV15" s="118">
        <f>+Auto!AV16+LI!AV17</f>
        <v>0</v>
      </c>
      <c r="AW15" s="118">
        <f>+Auto!AW16+LI!AW17</f>
        <v>0</v>
      </c>
      <c r="AX15" s="118">
        <v>0</v>
      </c>
      <c r="AY15" s="118">
        <f>+Auto!AY16+LI!AY17</f>
        <v>0</v>
      </c>
      <c r="AZ15" s="118">
        <f>+Auto!AZ16+LI!AZ17</f>
        <v>0</v>
      </c>
      <c r="BA15" s="118" t="s">
        <v>160</v>
      </c>
      <c r="BB15" s="118" t="s">
        <v>160</v>
      </c>
      <c r="BC15" s="118" t="s">
        <v>160</v>
      </c>
      <c r="BD15" s="118">
        <v>0</v>
      </c>
      <c r="BE15" s="118">
        <f>+Auto!BE16+LI!BE17</f>
        <v>0</v>
      </c>
      <c r="BF15" s="118">
        <f>+Auto!BF16+LI!BF17</f>
        <v>0</v>
      </c>
      <c r="BG15" s="118">
        <f>+Auto!BG16+LI!BG17</f>
        <v>0</v>
      </c>
      <c r="BH15" s="118">
        <f>+Auto!BH16+LI!BH17</f>
        <v>0</v>
      </c>
      <c r="BI15" s="118">
        <f>+Auto!BI16+LI!BI17</f>
        <v>0</v>
      </c>
      <c r="BJ15" s="118">
        <f>+Auto!BJ16+LI!BJ17</f>
        <v>0</v>
      </c>
    </row>
    <row r="16" spans="1:63" ht="14.1" customHeight="1" x14ac:dyDescent="0.2">
      <c r="A16" s="1" t="s">
        <v>1929</v>
      </c>
      <c r="B16" s="1" t="s">
        <v>1930</v>
      </c>
      <c r="C16" s="23"/>
      <c r="D16" s="335" t="str">
        <f>IF([1]RENAME!$H$3=1,B16,A16)</f>
        <v>Ganho na venda de participação acionária</v>
      </c>
      <c r="E16" s="118" t="s">
        <v>160</v>
      </c>
      <c r="F16" s="118" t="s">
        <v>160</v>
      </c>
      <c r="G16" s="118" t="s">
        <v>160</v>
      </c>
      <c r="H16" s="118" t="s">
        <v>160</v>
      </c>
      <c r="I16" s="118" t="s">
        <v>160</v>
      </c>
      <c r="J16" s="118" t="s">
        <v>160</v>
      </c>
      <c r="K16" s="118" t="s">
        <v>160</v>
      </c>
      <c r="L16" s="118" t="s">
        <v>160</v>
      </c>
      <c r="M16" s="118" t="s">
        <v>160</v>
      </c>
      <c r="N16" s="118" t="s">
        <v>160</v>
      </c>
      <c r="O16" s="118" t="s">
        <v>160</v>
      </c>
      <c r="P16" s="118" t="s">
        <v>160</v>
      </c>
      <c r="Q16" s="118" t="s">
        <v>160</v>
      </c>
      <c r="R16" s="118" t="s">
        <v>160</v>
      </c>
      <c r="S16" s="118" t="s">
        <v>160</v>
      </c>
      <c r="T16" s="118" t="s">
        <v>160</v>
      </c>
      <c r="U16" s="118" t="s">
        <v>160</v>
      </c>
      <c r="V16" s="118" t="s">
        <v>160</v>
      </c>
      <c r="W16" s="118" t="s">
        <v>160</v>
      </c>
      <c r="X16" s="118" t="s">
        <v>160</v>
      </c>
      <c r="Y16" s="118" t="s">
        <v>160</v>
      </c>
      <c r="Z16" s="118" t="s">
        <v>160</v>
      </c>
      <c r="AA16" s="118" t="s">
        <v>160</v>
      </c>
      <c r="AB16" s="118" t="s">
        <v>160</v>
      </c>
      <c r="AC16" s="118" t="s">
        <v>160</v>
      </c>
      <c r="AD16" s="118" t="s">
        <v>160</v>
      </c>
      <c r="AE16" s="118" t="s">
        <v>160</v>
      </c>
      <c r="AF16" s="118" t="s">
        <v>160</v>
      </c>
      <c r="AG16" s="160" t="s">
        <v>160</v>
      </c>
      <c r="AH16" s="118" t="s">
        <v>160</v>
      </c>
      <c r="AI16" s="118" t="s">
        <v>160</v>
      </c>
      <c r="AJ16" s="118" t="s">
        <v>160</v>
      </c>
      <c r="AK16" s="118" t="s">
        <v>160</v>
      </c>
      <c r="AL16" s="118" t="s">
        <v>160</v>
      </c>
      <c r="AM16" s="118" t="s">
        <v>160</v>
      </c>
      <c r="AN16" s="118" t="s">
        <v>160</v>
      </c>
      <c r="AO16" s="118" t="s">
        <v>160</v>
      </c>
      <c r="AP16" s="118" t="s">
        <v>160</v>
      </c>
      <c r="AQ16" s="118" t="s">
        <v>160</v>
      </c>
      <c r="AR16" s="118">
        <f>LI!AR18</f>
        <v>-2591</v>
      </c>
      <c r="AS16" s="118" t="s">
        <v>160</v>
      </c>
      <c r="AT16" s="118" t="str">
        <f>LI!AT18</f>
        <v>-</v>
      </c>
      <c r="AU16" s="118" t="str">
        <f>LI!AU18</f>
        <v>-</v>
      </c>
      <c r="AV16" s="118" t="str">
        <f>LI!AV18</f>
        <v>-</v>
      </c>
      <c r="AW16" s="118" t="str">
        <f>LI!AW18</f>
        <v>-</v>
      </c>
      <c r="AX16" s="118" t="s">
        <v>160</v>
      </c>
      <c r="AY16" s="118" t="str">
        <f>LI!AY18</f>
        <v>-</v>
      </c>
      <c r="AZ16" s="118" t="str">
        <f>LI!AZ18</f>
        <v>-</v>
      </c>
      <c r="BA16" s="118" t="s">
        <v>160</v>
      </c>
      <c r="BB16" s="118" t="s">
        <v>160</v>
      </c>
      <c r="BC16" s="118" t="s">
        <v>160</v>
      </c>
      <c r="BD16" s="118" t="s">
        <v>160</v>
      </c>
      <c r="BE16" s="118" t="str">
        <f>LI!BE18</f>
        <v>-</v>
      </c>
      <c r="BF16" s="118" t="str">
        <f>LI!BF18</f>
        <v>-</v>
      </c>
      <c r="BG16" s="118" t="str">
        <f>LI!BG18</f>
        <v>-</v>
      </c>
      <c r="BH16" s="118" t="str">
        <f>LI!BH18</f>
        <v>-</v>
      </c>
      <c r="BI16" s="118" t="str">
        <f>LI!BI18</f>
        <v>-</v>
      </c>
      <c r="BJ16" s="118" t="str">
        <f>LI!BJ18</f>
        <v>-</v>
      </c>
    </row>
    <row r="17" spans="1:62" ht="14.1" customHeight="1" x14ac:dyDescent="0.2">
      <c r="A17" s="1" t="s">
        <v>1948</v>
      </c>
      <c r="B17" s="1" t="s">
        <v>1949</v>
      </c>
      <c r="C17" s="23"/>
      <c r="D17" s="335" t="str">
        <f>IF([1]RENAME!$H$3=1,B17,A17)</f>
        <v>Despesas da oferta de combinação de negócios</v>
      </c>
      <c r="E17" s="118" t="s">
        <v>160</v>
      </c>
      <c r="F17" s="118" t="s">
        <v>160</v>
      </c>
      <c r="G17" s="118" t="s">
        <v>160</v>
      </c>
      <c r="H17" s="118" t="s">
        <v>160</v>
      </c>
      <c r="I17" s="118" t="s">
        <v>160</v>
      </c>
      <c r="J17" s="118" t="s">
        <v>160</v>
      </c>
      <c r="K17" s="118" t="s">
        <v>160</v>
      </c>
      <c r="L17" s="118" t="s">
        <v>160</v>
      </c>
      <c r="M17" s="118" t="s">
        <v>160</v>
      </c>
      <c r="N17" s="118" t="s">
        <v>160</v>
      </c>
      <c r="O17" s="118" t="s">
        <v>160</v>
      </c>
      <c r="P17" s="118" t="s">
        <v>160</v>
      </c>
      <c r="Q17" s="118" t="s">
        <v>160</v>
      </c>
      <c r="R17" s="118" t="s">
        <v>160</v>
      </c>
      <c r="S17" s="118" t="s">
        <v>160</v>
      </c>
      <c r="T17" s="118" t="s">
        <v>160</v>
      </c>
      <c r="U17" s="118" t="s">
        <v>160</v>
      </c>
      <c r="V17" s="118" t="s">
        <v>160</v>
      </c>
      <c r="W17" s="118" t="s">
        <v>160</v>
      </c>
      <c r="X17" s="118" t="s">
        <v>160</v>
      </c>
      <c r="Y17" s="118" t="s">
        <v>160</v>
      </c>
      <c r="Z17" s="118" t="s">
        <v>160</v>
      </c>
      <c r="AA17" s="118" t="s">
        <v>160</v>
      </c>
      <c r="AB17" s="118" t="s">
        <v>160</v>
      </c>
      <c r="AC17" s="118" t="s">
        <v>160</v>
      </c>
      <c r="AD17" s="118" t="s">
        <v>160</v>
      </c>
      <c r="AE17" s="118" t="s">
        <v>160</v>
      </c>
      <c r="AF17" s="118" t="s">
        <v>160</v>
      </c>
      <c r="AG17" s="160" t="s">
        <v>160</v>
      </c>
      <c r="AH17" s="118" t="s">
        <v>160</v>
      </c>
      <c r="AI17" s="118" t="s">
        <v>160</v>
      </c>
      <c r="AJ17" s="118" t="s">
        <v>160</v>
      </c>
      <c r="AK17" s="118" t="s">
        <v>160</v>
      </c>
      <c r="AL17" s="118" t="s">
        <v>160</v>
      </c>
      <c r="AM17" s="118" t="s">
        <v>160</v>
      </c>
      <c r="AN17" s="118" t="s">
        <v>160</v>
      </c>
      <c r="AO17" s="118" t="s">
        <v>160</v>
      </c>
      <c r="AP17" s="118" t="s">
        <v>160</v>
      </c>
      <c r="AQ17" s="118">
        <f>+Auto!AQ18</f>
        <v>1159</v>
      </c>
      <c r="AR17" s="118">
        <f>+Auto!AR18</f>
        <v>0</v>
      </c>
      <c r="AS17" s="118">
        <v>0</v>
      </c>
      <c r="AT17" s="118">
        <f>+Auto!AT18</f>
        <v>0</v>
      </c>
      <c r="AU17" s="118">
        <f>+Auto!AU18</f>
        <v>0</v>
      </c>
      <c r="AV17" s="118">
        <f>+Auto!AV18</f>
        <v>0</v>
      </c>
      <c r="AW17" s="118">
        <f>+Auto!AW18</f>
        <v>0</v>
      </c>
      <c r="AX17" s="118">
        <v>0</v>
      </c>
      <c r="AY17" s="118">
        <f>+Auto!AY18</f>
        <v>0</v>
      </c>
      <c r="AZ17" s="118">
        <f>+Auto!AZ18</f>
        <v>0</v>
      </c>
      <c r="BA17" s="118" t="s">
        <v>160</v>
      </c>
      <c r="BB17" s="118" t="s">
        <v>160</v>
      </c>
      <c r="BC17" s="118" t="s">
        <v>160</v>
      </c>
      <c r="BD17" s="118">
        <v>0</v>
      </c>
      <c r="BE17" s="118">
        <f>+Auto!BE18</f>
        <v>0</v>
      </c>
      <c r="BF17" s="118">
        <f>+Auto!BF18</f>
        <v>0</v>
      </c>
      <c r="BG17" s="118">
        <f>+Auto!BG18</f>
        <v>0</v>
      </c>
      <c r="BH17" s="118">
        <f>+Auto!BH18</f>
        <v>0</v>
      </c>
      <c r="BI17" s="118">
        <f>+Auto!BI18</f>
        <v>0</v>
      </c>
      <c r="BJ17" s="118">
        <f>+Auto!BJ18</f>
        <v>0</v>
      </c>
    </row>
    <row r="18" spans="1:62" ht="14.1" customHeight="1" x14ac:dyDescent="0.2">
      <c r="A18" s="1" t="s">
        <v>1594</v>
      </c>
      <c r="B18" s="1" t="s">
        <v>1593</v>
      </c>
      <c r="C18" s="23"/>
      <c r="D18" s="335" t="str">
        <f>IF([1]RENAME!$H$3=1,B18,A18)</f>
        <v>Custo da investigação Operação Pacto</v>
      </c>
      <c r="E18" s="118" t="s">
        <v>160</v>
      </c>
      <c r="F18" s="118" t="s">
        <v>160</v>
      </c>
      <c r="G18" s="118" t="s">
        <v>160</v>
      </c>
      <c r="H18" s="118" t="s">
        <v>160</v>
      </c>
      <c r="I18" s="118" t="s">
        <v>160</v>
      </c>
      <c r="J18" s="118" t="s">
        <v>160</v>
      </c>
      <c r="K18" s="118" t="s">
        <v>160</v>
      </c>
      <c r="L18" s="118" t="s">
        <v>160</v>
      </c>
      <c r="M18" s="118" t="s">
        <v>160</v>
      </c>
      <c r="N18" s="118" t="s">
        <v>160</v>
      </c>
      <c r="O18" s="118" t="s">
        <v>160</v>
      </c>
      <c r="P18" s="118" t="s">
        <v>160</v>
      </c>
      <c r="Q18" s="118" t="s">
        <v>160</v>
      </c>
      <c r="R18" s="118" t="s">
        <v>160</v>
      </c>
      <c r="S18" s="118" t="s">
        <v>160</v>
      </c>
      <c r="T18" s="118" t="s">
        <v>160</v>
      </c>
      <c r="U18" s="118" t="s">
        <v>160</v>
      </c>
      <c r="V18" s="118" t="s">
        <v>160</v>
      </c>
      <c r="W18" s="118" t="s">
        <v>160</v>
      </c>
      <c r="X18" s="118" t="s">
        <v>160</v>
      </c>
      <c r="Y18" s="118" t="s">
        <v>160</v>
      </c>
      <c r="Z18" s="118" t="s">
        <v>160</v>
      </c>
      <c r="AA18" s="118" t="s">
        <v>160</v>
      </c>
      <c r="AB18" s="118" t="s">
        <v>160</v>
      </c>
      <c r="AC18" s="118" t="s">
        <v>160</v>
      </c>
      <c r="AD18" s="118" t="s">
        <v>160</v>
      </c>
      <c r="AE18" s="118" t="s">
        <v>160</v>
      </c>
      <c r="AF18" s="118" t="s">
        <v>160</v>
      </c>
      <c r="AG18" s="160" t="s">
        <v>160</v>
      </c>
      <c r="AH18" s="118" t="s">
        <v>160</v>
      </c>
      <c r="AI18" s="118" t="s">
        <v>160</v>
      </c>
      <c r="AJ18" s="118">
        <v>2254</v>
      </c>
      <c r="AK18" s="118">
        <v>3317</v>
      </c>
      <c r="AL18" s="118">
        <v>0</v>
      </c>
      <c r="AM18" s="118">
        <f>+Auto!AM19</f>
        <v>0</v>
      </c>
      <c r="AN18" s="118">
        <f>+Auto!AN19</f>
        <v>0</v>
      </c>
      <c r="AO18" s="118">
        <v>0</v>
      </c>
      <c r="AP18" s="118">
        <v>0</v>
      </c>
      <c r="AQ18" s="118">
        <f>+Auto!AQ19</f>
        <v>0</v>
      </c>
      <c r="AR18" s="118">
        <f>+Auto!AR19</f>
        <v>0</v>
      </c>
      <c r="AS18" s="118">
        <v>0</v>
      </c>
      <c r="AT18" s="118">
        <f>+Auto!AT19</f>
        <v>0</v>
      </c>
      <c r="AU18" s="118">
        <f>+Auto!AU19</f>
        <v>0</v>
      </c>
      <c r="AV18" s="118">
        <f>+Auto!AV19</f>
        <v>0</v>
      </c>
      <c r="AW18" s="118">
        <f>+Auto!AW19</f>
        <v>0</v>
      </c>
      <c r="AX18" s="118">
        <v>0</v>
      </c>
      <c r="AY18" s="118">
        <f>+Auto!AY19</f>
        <v>0</v>
      </c>
      <c r="AZ18" s="118">
        <f>+Auto!AZ19</f>
        <v>0</v>
      </c>
      <c r="BA18" s="118" t="s">
        <v>160</v>
      </c>
      <c r="BB18" s="118" t="s">
        <v>160</v>
      </c>
      <c r="BC18" s="118" t="s">
        <v>160</v>
      </c>
      <c r="BD18" s="118">
        <v>0</v>
      </c>
      <c r="BE18" s="118">
        <f>+Auto!BE19</f>
        <v>0</v>
      </c>
      <c r="BF18" s="118">
        <f>+Auto!BF19</f>
        <v>0</v>
      </c>
      <c r="BG18" s="118">
        <f>+Auto!BG19</f>
        <v>0</v>
      </c>
      <c r="BH18" s="118">
        <f>+Auto!BH19</f>
        <v>0</v>
      </c>
      <c r="BI18" s="118">
        <f>+Auto!BI19</f>
        <v>0</v>
      </c>
      <c r="BJ18" s="118">
        <f>+Auto!BJ19</f>
        <v>0</v>
      </c>
    </row>
    <row r="19" spans="1:62" ht="14.1" customHeight="1" x14ac:dyDescent="0.2">
      <c r="A19" s="1" t="s">
        <v>388</v>
      </c>
      <c r="B19" s="1" t="s">
        <v>1547</v>
      </c>
      <c r="C19" s="23"/>
      <c r="D19" s="335" t="str">
        <f>IF([1]RENAME!$H$3=1,B19,A19)</f>
        <v>Crédito de PIS/COFINS</v>
      </c>
      <c r="E19" s="118">
        <f>+Auto!E20+LI!E21</f>
        <v>0</v>
      </c>
      <c r="F19" s="118">
        <f>+Auto!F20+LI!F21</f>
        <v>0</v>
      </c>
      <c r="G19" s="118">
        <f>+Auto!G20+LI!G21</f>
        <v>0</v>
      </c>
      <c r="H19" s="118">
        <f>+Auto!H20+LI!H21</f>
        <v>0</v>
      </c>
      <c r="I19" s="118">
        <f>+Auto!I20+LI!I21</f>
        <v>0</v>
      </c>
      <c r="J19" s="118">
        <f>+Auto!J20+LI!J21</f>
        <v>0</v>
      </c>
      <c r="K19" s="118">
        <f>+Auto!K20+LI!K21</f>
        <v>0</v>
      </c>
      <c r="L19" s="118">
        <f>+Auto!L20+LI!L21</f>
        <v>0</v>
      </c>
      <c r="M19" s="118">
        <f>+Auto!M20+LI!M21</f>
        <v>0</v>
      </c>
      <c r="N19" s="118">
        <f>+Auto!N20+LI!N21</f>
        <v>0</v>
      </c>
      <c r="O19" s="118">
        <f>+Auto!O20+LI!O21</f>
        <v>0</v>
      </c>
      <c r="P19" s="118">
        <f>+Auto!P20+LI!P21</f>
        <v>0</v>
      </c>
      <c r="Q19" s="118">
        <f>+Auto!Q20+LI!Q21</f>
        <v>0</v>
      </c>
      <c r="R19" s="118">
        <f>+Auto!R20+LI!R21</f>
        <v>0</v>
      </c>
      <c r="S19" s="118">
        <f>+Auto!S20+LI!S21</f>
        <v>0</v>
      </c>
      <c r="T19" s="118">
        <f>+Auto!T20+LI!T21</f>
        <v>0</v>
      </c>
      <c r="U19" s="118">
        <f>+Auto!U20+LI!U21</f>
        <v>0</v>
      </c>
      <c r="V19" s="118">
        <f>+Auto!V20+LI!V21</f>
        <v>0</v>
      </c>
      <c r="W19" s="118">
        <f>+Auto!W20+LI!W21</f>
        <v>0</v>
      </c>
      <c r="X19" s="118">
        <f>+Auto!X20+LI!X21</f>
        <v>0</v>
      </c>
      <c r="Y19" s="118">
        <f>+Auto!Y20+LI!Y21</f>
        <v>0</v>
      </c>
      <c r="Z19" s="118">
        <f>+Auto!Z20+LI!Z21</f>
        <v>0</v>
      </c>
      <c r="AA19" s="118">
        <f>+Auto!AA20+LI!AA21</f>
        <v>0</v>
      </c>
      <c r="AB19" s="118">
        <f>+Auto!AB20+LI!AB21</f>
        <v>-29230.404609999947</v>
      </c>
      <c r="AC19" s="118" t="s">
        <v>160</v>
      </c>
      <c r="AD19" s="118" t="s">
        <v>160</v>
      </c>
      <c r="AE19" s="118" t="s">
        <v>160</v>
      </c>
      <c r="AF19" s="118">
        <v>0</v>
      </c>
      <c r="AG19" s="160">
        <v>0</v>
      </c>
      <c r="AH19" s="118">
        <v>0</v>
      </c>
      <c r="AI19" s="118">
        <v>0</v>
      </c>
      <c r="AJ19" s="118">
        <v>0</v>
      </c>
      <c r="AK19" s="118">
        <v>0</v>
      </c>
      <c r="AL19" s="118">
        <v>0</v>
      </c>
      <c r="AM19" s="118">
        <v>0</v>
      </c>
      <c r="AN19" s="118">
        <v>0</v>
      </c>
      <c r="AO19" s="118">
        <v>0</v>
      </c>
      <c r="AP19" s="118">
        <v>0</v>
      </c>
      <c r="AQ19" s="118">
        <v>0</v>
      </c>
      <c r="AR19" s="118">
        <v>0</v>
      </c>
      <c r="AS19" s="118">
        <v>0</v>
      </c>
      <c r="AT19" s="118">
        <v>0</v>
      </c>
      <c r="AU19" s="118">
        <v>0</v>
      </c>
      <c r="AV19" s="118">
        <v>0</v>
      </c>
      <c r="AW19" s="118">
        <v>0</v>
      </c>
      <c r="AX19" s="118">
        <v>0</v>
      </c>
      <c r="AY19" s="118">
        <v>0</v>
      </c>
      <c r="AZ19" s="118">
        <v>0</v>
      </c>
      <c r="BA19" s="118" t="s">
        <v>160</v>
      </c>
      <c r="BB19" s="118" t="s">
        <v>160</v>
      </c>
      <c r="BC19" s="118" t="s">
        <v>160</v>
      </c>
      <c r="BD19" s="118">
        <v>0</v>
      </c>
      <c r="BE19" s="118">
        <v>0</v>
      </c>
      <c r="BF19" s="118">
        <v>0</v>
      </c>
      <c r="BG19" s="118">
        <v>0</v>
      </c>
      <c r="BH19" s="118">
        <v>0</v>
      </c>
      <c r="BI19" s="118">
        <v>0</v>
      </c>
      <c r="BJ19" s="118">
        <v>0</v>
      </c>
    </row>
    <row r="20" spans="1:62" ht="14.1" customHeight="1" x14ac:dyDescent="0.2">
      <c r="A20" s="1" t="s">
        <v>1960</v>
      </c>
      <c r="B20" s="19" t="s">
        <v>1959</v>
      </c>
      <c r="C20" s="642"/>
      <c r="D20" s="335" t="str">
        <f>IF([1]RENAME!$H$3=1,B20,A20)</f>
        <v>Contingência cívil ex controlada Direct</v>
      </c>
      <c r="E20" s="118">
        <f>+Auto!E21+LI!E22</f>
        <v>0</v>
      </c>
      <c r="F20" s="118">
        <f>+Auto!F21+LI!F22</f>
        <v>0</v>
      </c>
      <c r="G20" s="118">
        <f>+Auto!G21+LI!G22</f>
        <v>0</v>
      </c>
      <c r="H20" s="118">
        <f>+Auto!H21+LI!H22</f>
        <v>0</v>
      </c>
      <c r="I20" s="118">
        <f>+Auto!I21+LI!I22</f>
        <v>0</v>
      </c>
      <c r="J20" s="118">
        <f>+Auto!J21+LI!J22</f>
        <v>0</v>
      </c>
      <c r="K20" s="118">
        <f>+Auto!K21+LI!K22</f>
        <v>0</v>
      </c>
      <c r="L20" s="118">
        <f>+Auto!L21+LI!L22</f>
        <v>0</v>
      </c>
      <c r="M20" s="118">
        <f>+Auto!M21+LI!M22</f>
        <v>0</v>
      </c>
      <c r="N20" s="118">
        <f>+Auto!N21+LI!N22</f>
        <v>0</v>
      </c>
      <c r="O20" s="118">
        <f>+Auto!O21+LI!O22</f>
        <v>0</v>
      </c>
      <c r="P20" s="118">
        <f>+Auto!P21+LI!P22</f>
        <v>0</v>
      </c>
      <c r="Q20" s="118">
        <f>+Auto!Q21+LI!Q22</f>
        <v>0</v>
      </c>
      <c r="R20" s="118">
        <f>+Auto!R21+LI!R22</f>
        <v>0</v>
      </c>
      <c r="S20" s="118">
        <f>+Auto!S21+LI!S22</f>
        <v>0</v>
      </c>
      <c r="T20" s="118">
        <f>+Auto!T21+LI!T22</f>
        <v>0</v>
      </c>
      <c r="U20" s="118">
        <f>+Auto!U21+LI!U22</f>
        <v>0</v>
      </c>
      <c r="V20" s="118">
        <f>+Auto!V21+LI!V22</f>
        <v>0</v>
      </c>
      <c r="W20" s="118">
        <f>+Auto!W21+LI!W22</f>
        <v>0</v>
      </c>
      <c r="X20" s="118">
        <f>+Auto!X21+LI!X22</f>
        <v>0</v>
      </c>
      <c r="Y20" s="118">
        <f>+Auto!Y21+LI!Y22</f>
        <v>0</v>
      </c>
      <c r="Z20" s="260">
        <f>+Auto!Z21+LI!Z22</f>
        <v>15000</v>
      </c>
      <c r="AA20" s="118">
        <f>+Auto!AA21+LI!AA22</f>
        <v>0</v>
      </c>
      <c r="AB20" s="118">
        <f>+Auto!AB21+LI!AB22</f>
        <v>0</v>
      </c>
      <c r="AC20" s="118" t="s">
        <v>160</v>
      </c>
      <c r="AD20" s="118" t="s">
        <v>160</v>
      </c>
      <c r="AE20" s="118" t="s">
        <v>160</v>
      </c>
      <c r="AF20" s="118">
        <f>+LI!AF22+Auto!AF21</f>
        <v>14500</v>
      </c>
      <c r="AG20" s="160">
        <v>0</v>
      </c>
      <c r="AH20" s="118">
        <v>0</v>
      </c>
      <c r="AI20" s="118">
        <v>0</v>
      </c>
      <c r="AJ20" s="118">
        <v>0</v>
      </c>
      <c r="AK20" s="118">
        <v>0</v>
      </c>
      <c r="AL20" s="118">
        <v>0</v>
      </c>
      <c r="AM20" s="118">
        <v>0</v>
      </c>
      <c r="AN20" s="118">
        <v>0</v>
      </c>
      <c r="AO20" s="118">
        <v>0</v>
      </c>
      <c r="AP20" s="118">
        <v>0</v>
      </c>
      <c r="AQ20" s="118">
        <v>0</v>
      </c>
      <c r="AR20" s="118">
        <v>0</v>
      </c>
      <c r="AS20" s="118">
        <v>0</v>
      </c>
      <c r="AT20" s="118">
        <f>+Auto!AT21</f>
        <v>0</v>
      </c>
      <c r="AU20" s="118">
        <f>+Auto!AU21</f>
        <v>6645.02</v>
      </c>
      <c r="AV20" s="118">
        <f>+Auto!AV21</f>
        <v>0</v>
      </c>
      <c r="AW20" s="118">
        <f>+Auto!AW21</f>
        <v>0</v>
      </c>
      <c r="AX20" s="118">
        <v>0</v>
      </c>
      <c r="AY20" s="118">
        <f>+Auto!AY21</f>
        <v>0</v>
      </c>
      <c r="AZ20" s="118">
        <f>+Auto!AZ21</f>
        <v>0</v>
      </c>
      <c r="BA20" s="118" t="s">
        <v>160</v>
      </c>
      <c r="BB20" s="118" t="s">
        <v>160</v>
      </c>
      <c r="BC20" s="118" t="s">
        <v>160</v>
      </c>
      <c r="BD20" s="118">
        <v>0</v>
      </c>
      <c r="BE20" s="118">
        <f>+Auto!BE21</f>
        <v>0</v>
      </c>
      <c r="BF20" s="118">
        <f>+Auto!BF21</f>
        <v>0</v>
      </c>
      <c r="BG20" s="118">
        <f>+Auto!BG21</f>
        <v>0</v>
      </c>
      <c r="BH20" s="118">
        <f>+Auto!BH21</f>
        <v>0</v>
      </c>
      <c r="BI20" s="118">
        <f>+Auto!BI21</f>
        <v>0</v>
      </c>
      <c r="BJ20" s="118">
        <f>+Auto!BJ21</f>
        <v>7211</v>
      </c>
    </row>
    <row r="21" spans="1:62" ht="14.1" customHeight="1" x14ac:dyDescent="0.2">
      <c r="A21" s="1" t="s">
        <v>1346</v>
      </c>
      <c r="B21" s="19" t="s">
        <v>1383</v>
      </c>
      <c r="C21" s="642"/>
      <c r="D21" s="335" t="str">
        <f>IF([1]RENAME!$H$3=1,B21,A21)</f>
        <v>Denúncia espontânea TCE</v>
      </c>
      <c r="E21" s="118" t="s">
        <v>160</v>
      </c>
      <c r="F21" s="118" t="s">
        <v>160</v>
      </c>
      <c r="G21" s="118" t="s">
        <v>160</v>
      </c>
      <c r="H21" s="118" t="s">
        <v>160</v>
      </c>
      <c r="I21" s="118" t="s">
        <v>160</v>
      </c>
      <c r="J21" s="118" t="s">
        <v>160</v>
      </c>
      <c r="K21" s="118" t="s">
        <v>160</v>
      </c>
      <c r="L21" s="118" t="s">
        <v>160</v>
      </c>
      <c r="M21" s="118" t="s">
        <v>160</v>
      </c>
      <c r="N21" s="118" t="s">
        <v>160</v>
      </c>
      <c r="O21" s="118" t="s">
        <v>160</v>
      </c>
      <c r="P21" s="118" t="s">
        <v>160</v>
      </c>
      <c r="Q21" s="118" t="s">
        <v>160</v>
      </c>
      <c r="R21" s="118" t="s">
        <v>160</v>
      </c>
      <c r="S21" s="118" t="s">
        <v>160</v>
      </c>
      <c r="T21" s="118" t="s">
        <v>160</v>
      </c>
      <c r="U21" s="118" t="s">
        <v>160</v>
      </c>
      <c r="V21" s="118" t="s">
        <v>160</v>
      </c>
      <c r="W21" s="118" t="s">
        <v>160</v>
      </c>
      <c r="X21" s="118" t="s">
        <v>160</v>
      </c>
      <c r="Y21" s="118" t="s">
        <v>160</v>
      </c>
      <c r="Z21" s="118" t="s">
        <v>160</v>
      </c>
      <c r="AA21" s="118" t="s">
        <v>160</v>
      </c>
      <c r="AB21" s="118" t="s">
        <v>160</v>
      </c>
      <c r="AC21" s="118" t="s">
        <v>160</v>
      </c>
      <c r="AD21" s="118" t="s">
        <v>160</v>
      </c>
      <c r="AE21" s="118">
        <f>+Auto!AE22+LI!AE23</f>
        <v>5251.7599300000002</v>
      </c>
      <c r="AF21" s="118">
        <v>0</v>
      </c>
      <c r="AG21" s="160">
        <v>0</v>
      </c>
      <c r="AH21" s="118">
        <v>0</v>
      </c>
      <c r="AI21" s="118">
        <v>0</v>
      </c>
      <c r="AJ21" s="118">
        <v>0</v>
      </c>
      <c r="AK21" s="118">
        <v>0</v>
      </c>
      <c r="AL21" s="118">
        <v>0</v>
      </c>
      <c r="AM21" s="118">
        <v>0</v>
      </c>
      <c r="AN21" s="118">
        <v>0</v>
      </c>
      <c r="AO21" s="118">
        <v>0</v>
      </c>
      <c r="AP21" s="118">
        <v>0</v>
      </c>
      <c r="AQ21" s="118">
        <v>0</v>
      </c>
      <c r="AR21" s="118">
        <v>0</v>
      </c>
      <c r="AS21" s="118">
        <v>0</v>
      </c>
      <c r="AT21" s="118">
        <v>0</v>
      </c>
      <c r="AU21" s="118">
        <v>0</v>
      </c>
      <c r="AV21" s="118">
        <v>0</v>
      </c>
      <c r="AW21" s="118">
        <v>0</v>
      </c>
      <c r="AX21" s="118">
        <v>0</v>
      </c>
      <c r="AY21" s="118">
        <v>0</v>
      </c>
      <c r="AZ21" s="118">
        <v>0</v>
      </c>
      <c r="BA21" s="118" t="s">
        <v>160</v>
      </c>
      <c r="BB21" s="118" t="s">
        <v>160</v>
      </c>
      <c r="BC21" s="118" t="s">
        <v>160</v>
      </c>
      <c r="BD21" s="118">
        <v>0</v>
      </c>
      <c r="BE21" s="118">
        <v>0</v>
      </c>
      <c r="BF21" s="118">
        <v>0</v>
      </c>
      <c r="BG21" s="118">
        <v>0</v>
      </c>
      <c r="BH21" s="118">
        <v>0</v>
      </c>
      <c r="BI21" s="118">
        <v>0</v>
      </c>
      <c r="BJ21" s="118">
        <v>0</v>
      </c>
    </row>
    <row r="22" spans="1:62" ht="14.1" customHeight="1" x14ac:dyDescent="0.2">
      <c r="A22" s="1" t="s">
        <v>52</v>
      </c>
      <c r="B22" s="19" t="s">
        <v>726</v>
      </c>
      <c r="C22" s="642"/>
      <c r="D22" s="335" t="str">
        <f>IF([1]RENAME!$H$3=1,B22,A22)</f>
        <v>Desmobilização de Operações</v>
      </c>
      <c r="E22" s="118">
        <f>+Auto!E31+LI!E24</f>
        <v>0</v>
      </c>
      <c r="F22" s="118">
        <f>+Auto!F31+LI!F24</f>
        <v>0</v>
      </c>
      <c r="G22" s="118">
        <f>+Auto!G31+LI!G24</f>
        <v>0</v>
      </c>
      <c r="H22" s="118">
        <f>+Auto!H31+LI!H24</f>
        <v>0</v>
      </c>
      <c r="I22" s="118">
        <f>+Auto!I31+LI!I24</f>
        <v>0</v>
      </c>
      <c r="J22" s="118">
        <f>+Auto!J31+LI!J24</f>
        <v>0</v>
      </c>
      <c r="K22" s="118">
        <f>+Auto!K31+LI!K24</f>
        <v>0</v>
      </c>
      <c r="L22" s="118">
        <f>+Auto!L31+LI!L24</f>
        <v>0</v>
      </c>
      <c r="M22" s="118">
        <f>+Auto!M31+LI!M24</f>
        <v>8603</v>
      </c>
      <c r="N22" s="118">
        <f>+Auto!N31+LI!N24</f>
        <v>0</v>
      </c>
      <c r="O22" s="118">
        <f>+Auto!O31+LI!O24</f>
        <v>0</v>
      </c>
      <c r="P22" s="118">
        <f>+Auto!P31+LI!P24</f>
        <v>0</v>
      </c>
      <c r="Q22" s="118">
        <f>+Auto!Q31+LI!Q24</f>
        <v>0</v>
      </c>
      <c r="R22" s="118">
        <f>+Auto!R31+LI!R24</f>
        <v>0</v>
      </c>
      <c r="S22" s="118">
        <f>+Auto!S31+LI!S24</f>
        <v>0</v>
      </c>
      <c r="T22" s="118">
        <f>+Auto!T31+LI!T24</f>
        <v>6697.1685799999996</v>
      </c>
      <c r="U22" s="118">
        <f>+Auto!U31+LI!U24</f>
        <v>0</v>
      </c>
      <c r="V22" s="118">
        <f>+Auto!V31+LI!V24</f>
        <v>0</v>
      </c>
      <c r="W22" s="118">
        <f>+Auto!W31+LI!W24</f>
        <v>0</v>
      </c>
      <c r="X22" s="118">
        <f>+Auto!X31+LI!X24</f>
        <v>0</v>
      </c>
      <c r="Y22" s="118">
        <f>+Auto!Y31+LI!Y24</f>
        <v>0</v>
      </c>
      <c r="Z22" s="118">
        <f>+Auto!Z31+LI!Z24</f>
        <v>0</v>
      </c>
      <c r="AA22" s="118">
        <f>+Auto!AA31+LI!AA24</f>
        <v>0</v>
      </c>
      <c r="AB22" s="118">
        <f>+Auto!AB31+LI!AB24</f>
        <v>0</v>
      </c>
      <c r="AC22" s="118">
        <f>+Auto!AC31+LI!AC24</f>
        <v>0</v>
      </c>
      <c r="AD22" s="118">
        <f>+Auto!AD31+LI!AD24</f>
        <v>0</v>
      </c>
      <c r="AE22" s="118">
        <v>0</v>
      </c>
      <c r="AF22" s="118">
        <v>0</v>
      </c>
      <c r="AG22" s="160">
        <v>0</v>
      </c>
      <c r="AH22" s="118">
        <v>0</v>
      </c>
      <c r="AI22" s="118">
        <v>0</v>
      </c>
      <c r="AJ22" s="118">
        <v>0</v>
      </c>
      <c r="AK22" s="118">
        <v>0</v>
      </c>
      <c r="AL22" s="118">
        <v>0</v>
      </c>
      <c r="AM22" s="118">
        <v>0</v>
      </c>
      <c r="AN22" s="118">
        <f>+LI!AN24</f>
        <v>5220.2719999999999</v>
      </c>
      <c r="AO22" s="118">
        <v>0</v>
      </c>
      <c r="AP22" s="118">
        <v>0</v>
      </c>
      <c r="AQ22" s="118">
        <f>LI!AQ24</f>
        <v>0</v>
      </c>
      <c r="AR22" s="118">
        <f>LI!AR24</f>
        <v>0</v>
      </c>
      <c r="AS22" s="118">
        <v>0</v>
      </c>
      <c r="AT22" s="118">
        <f>LI!AT24</f>
        <v>0</v>
      </c>
      <c r="AU22" s="118">
        <f>LI!AU24</f>
        <v>0</v>
      </c>
      <c r="AV22" s="118">
        <f>LI!AV24</f>
        <v>0</v>
      </c>
      <c r="AW22" s="118">
        <f>LI!AW24</f>
        <v>0</v>
      </c>
      <c r="AX22" s="118">
        <v>0</v>
      </c>
      <c r="AY22" s="118">
        <f>LI!AY24</f>
        <v>0</v>
      </c>
      <c r="AZ22" s="118">
        <f>LI!AZ24</f>
        <v>0</v>
      </c>
      <c r="BA22" s="118" t="s">
        <v>160</v>
      </c>
      <c r="BB22" s="118" t="s">
        <v>160</v>
      </c>
      <c r="BC22" s="118" t="s">
        <v>160</v>
      </c>
      <c r="BD22" s="118">
        <v>0</v>
      </c>
      <c r="BE22" s="118">
        <f>LI!BE24</f>
        <v>0</v>
      </c>
      <c r="BF22" s="118">
        <f>LI!BF24</f>
        <v>0</v>
      </c>
      <c r="BG22" s="118">
        <f>LI!BG24</f>
        <v>0</v>
      </c>
      <c r="BH22" s="118">
        <f>LI!BH24</f>
        <v>0</v>
      </c>
      <c r="BI22" s="118">
        <f>LI!BI24</f>
        <v>0</v>
      </c>
      <c r="BJ22" s="118">
        <f>LI!BJ24</f>
        <v>0</v>
      </c>
    </row>
    <row r="23" spans="1:62" ht="14.1" customHeight="1" x14ac:dyDescent="0.2">
      <c r="A23" s="1" t="s">
        <v>630</v>
      </c>
      <c r="B23" s="21" t="s">
        <v>721</v>
      </c>
      <c r="C23" s="642"/>
      <c r="D23" s="335" t="str">
        <f>IF([1]RENAME!$H$3=1,B23,A23)</f>
        <v>Baixa contas a receber operação descontinuada</v>
      </c>
      <c r="E23" s="118">
        <f>+Auto!E23+LI!E25</f>
        <v>0</v>
      </c>
      <c r="F23" s="118">
        <f>+Auto!F23+LI!F25</f>
        <v>0</v>
      </c>
      <c r="G23" s="118">
        <f>+Auto!G23+LI!G25</f>
        <v>0</v>
      </c>
      <c r="H23" s="118">
        <f>+Auto!H23+LI!H25</f>
        <v>0</v>
      </c>
      <c r="I23" s="118">
        <f>+Auto!I23+LI!I25</f>
        <v>0</v>
      </c>
      <c r="J23" s="118">
        <f>+Auto!J23+LI!J25</f>
        <v>0</v>
      </c>
      <c r="K23" s="118">
        <f>+Auto!K23+LI!K25</f>
        <v>0</v>
      </c>
      <c r="L23" s="118">
        <f>+Auto!L23+LI!L25</f>
        <v>0</v>
      </c>
      <c r="M23" s="118">
        <f>+Auto!M23+LI!M25</f>
        <v>0</v>
      </c>
      <c r="N23" s="118">
        <f>+Auto!N23+LI!N25</f>
        <v>0</v>
      </c>
      <c r="O23" s="118">
        <f>+Auto!O23+LI!O25</f>
        <v>0</v>
      </c>
      <c r="P23" s="118">
        <f>+Auto!P23+LI!P25</f>
        <v>0</v>
      </c>
      <c r="Q23" s="118">
        <f>+Auto!Q23+LI!Q25</f>
        <v>0</v>
      </c>
      <c r="R23" s="118">
        <f>+Auto!R23+LI!R25</f>
        <v>0</v>
      </c>
      <c r="S23" s="118">
        <f>+Auto!S23+LI!S25</f>
        <v>0</v>
      </c>
      <c r="T23" s="118">
        <f>+Auto!T23+LI!T25</f>
        <v>0</v>
      </c>
      <c r="U23" s="118">
        <f>+Auto!U23+LI!U25</f>
        <v>0</v>
      </c>
      <c r="V23" s="118">
        <f>+Auto!V23+LI!V25</f>
        <v>0</v>
      </c>
      <c r="W23" s="118">
        <f>+Auto!W23+LI!W25</f>
        <v>0</v>
      </c>
      <c r="X23" s="118">
        <f>+Auto!X23+LI!X25</f>
        <v>0</v>
      </c>
      <c r="Y23" s="118">
        <f>+Auto!Y23+LI!Y25</f>
        <v>0</v>
      </c>
      <c r="Z23" s="118">
        <f>+Auto!Z23+LI!Z25</f>
        <v>0</v>
      </c>
      <c r="AA23" s="118">
        <f>+Auto!AA23+LI!AA25</f>
        <v>5733</v>
      </c>
      <c r="AB23" s="118">
        <f>Auto!AB23+LI!AB25</f>
        <v>5731</v>
      </c>
      <c r="AC23" s="118" t="s">
        <v>160</v>
      </c>
      <c r="AD23" s="118" t="s">
        <v>160</v>
      </c>
      <c r="AE23" s="118" t="s">
        <v>160</v>
      </c>
      <c r="AF23" s="118">
        <f>+LI!AF25+Auto!AF23</f>
        <v>2859.0540299999998</v>
      </c>
      <c r="AG23" s="160">
        <v>0</v>
      </c>
      <c r="AH23" s="118">
        <v>0</v>
      </c>
      <c r="AI23" s="118">
        <v>0</v>
      </c>
      <c r="AJ23" s="118">
        <v>0</v>
      </c>
      <c r="AK23" s="118">
        <v>0</v>
      </c>
      <c r="AL23" s="118">
        <v>0</v>
      </c>
      <c r="AM23" s="118">
        <v>0</v>
      </c>
      <c r="AN23" s="118">
        <v>0</v>
      </c>
      <c r="AO23" s="118">
        <v>0</v>
      </c>
      <c r="AP23" s="118">
        <v>0</v>
      </c>
      <c r="AQ23" s="118">
        <v>0</v>
      </c>
      <c r="AR23" s="118">
        <v>0</v>
      </c>
      <c r="AS23" s="118">
        <v>0</v>
      </c>
      <c r="AT23" s="118">
        <v>0</v>
      </c>
      <c r="AU23" s="118">
        <v>0</v>
      </c>
      <c r="AV23" s="118">
        <v>0</v>
      </c>
      <c r="AW23" s="118">
        <v>0</v>
      </c>
      <c r="AX23" s="118">
        <v>0</v>
      </c>
      <c r="AY23" s="118">
        <v>0</v>
      </c>
      <c r="AZ23" s="118">
        <v>0</v>
      </c>
      <c r="BA23" s="118" t="s">
        <v>160</v>
      </c>
      <c r="BB23" s="118" t="s">
        <v>160</v>
      </c>
      <c r="BC23" s="118" t="s">
        <v>160</v>
      </c>
      <c r="BD23" s="118">
        <v>0</v>
      </c>
      <c r="BE23" s="118">
        <v>0</v>
      </c>
      <c r="BF23" s="118">
        <v>0</v>
      </c>
      <c r="BG23" s="118">
        <v>0</v>
      </c>
      <c r="BH23" s="118">
        <v>0</v>
      </c>
      <c r="BI23" s="118">
        <v>0</v>
      </c>
      <c r="BJ23" s="118">
        <v>0</v>
      </c>
    </row>
    <row r="24" spans="1:62" ht="14.1" customHeight="1" x14ac:dyDescent="0.2">
      <c r="A24" s="1" t="s">
        <v>2002</v>
      </c>
      <c r="B24" s="1" t="s">
        <v>2003</v>
      </c>
      <c r="C24" s="642"/>
      <c r="D24" s="335" t="str">
        <f>IF([1]RENAME!$H$3=1,B24,A24)</f>
        <v>Crédito tributário Catlog</v>
      </c>
      <c r="E24" s="118">
        <f>+Auto!E25+LI!E26</f>
        <v>0</v>
      </c>
      <c r="F24" s="118">
        <f>+Auto!F25+LI!F26</f>
        <v>0</v>
      </c>
      <c r="G24" s="118">
        <f>+Auto!G25+LI!G26</f>
        <v>0</v>
      </c>
      <c r="H24" s="118">
        <v>0</v>
      </c>
      <c r="I24" s="118">
        <f>+Auto!I25+LI!I26</f>
        <v>0</v>
      </c>
      <c r="J24" s="118">
        <f>+Auto!J25+LI!J26</f>
        <v>0</v>
      </c>
      <c r="K24" s="118">
        <f>+Auto!K25+LI!K26</f>
        <v>0</v>
      </c>
      <c r="L24" s="118">
        <f>+Auto!L25+LI!L26</f>
        <v>0</v>
      </c>
      <c r="M24" s="118">
        <f>+Auto!M25+LI!M26</f>
        <v>0</v>
      </c>
      <c r="N24" s="118">
        <f>+Auto!N25+LI!N26</f>
        <v>0</v>
      </c>
      <c r="O24" s="118">
        <f>+Auto!O25+LI!O26</f>
        <v>0</v>
      </c>
      <c r="P24" s="118">
        <f>+Auto!P25+LI!P26</f>
        <v>0</v>
      </c>
      <c r="Q24" s="118">
        <f>+Auto!Q25+LI!Q26</f>
        <v>0</v>
      </c>
      <c r="R24" s="118">
        <f>+Auto!R25+LI!R26</f>
        <v>0</v>
      </c>
      <c r="S24" s="118">
        <f>+Auto!S25+LI!S26</f>
        <v>0</v>
      </c>
      <c r="T24" s="118">
        <f>+Auto!T25+LI!T26</f>
        <v>0</v>
      </c>
      <c r="U24" s="118">
        <f>+Auto!U25+LI!U26</f>
        <v>0</v>
      </c>
      <c r="V24" s="118">
        <f>+Auto!V25+LI!V26</f>
        <v>0</v>
      </c>
      <c r="W24" s="118">
        <f>+Auto!W25+LI!W26</f>
        <v>0</v>
      </c>
      <c r="X24" s="118">
        <f>+Auto!X25+LI!X26</f>
        <v>0</v>
      </c>
      <c r="Y24" s="118">
        <f>+Auto!Y25+LI!Y26</f>
        <v>0</v>
      </c>
      <c r="Z24" s="118">
        <f>+Auto!Z25+LI!Z26</f>
        <v>0</v>
      </c>
      <c r="AA24" s="118">
        <f>+Auto!AA25+LI!AA26</f>
        <v>0</v>
      </c>
      <c r="AB24" s="118">
        <f>Auto!AB25+LI!AB26</f>
        <v>0</v>
      </c>
      <c r="AC24" s="118" t="s">
        <v>160</v>
      </c>
      <c r="AD24" s="118" t="s">
        <v>160</v>
      </c>
      <c r="AE24" s="118" t="s">
        <v>160</v>
      </c>
      <c r="AF24" s="118">
        <f>+LI!AF26+Auto!AF25</f>
        <v>0</v>
      </c>
      <c r="AG24" s="160">
        <v>0</v>
      </c>
      <c r="AH24" s="118">
        <v>0</v>
      </c>
      <c r="AI24" s="118">
        <v>0</v>
      </c>
      <c r="AJ24" s="118">
        <v>0</v>
      </c>
      <c r="AK24" s="118">
        <v>0</v>
      </c>
      <c r="AL24" s="118">
        <v>0</v>
      </c>
      <c r="AM24" s="118">
        <v>0</v>
      </c>
      <c r="AN24" s="118">
        <v>0</v>
      </c>
      <c r="AO24" s="118">
        <v>0</v>
      </c>
      <c r="AP24" s="118">
        <v>0</v>
      </c>
      <c r="AQ24" s="118">
        <v>0</v>
      </c>
      <c r="AR24" s="118">
        <v>0</v>
      </c>
      <c r="AS24" s="118">
        <v>0</v>
      </c>
      <c r="AT24" s="118">
        <v>0</v>
      </c>
      <c r="AU24" s="118">
        <v>0</v>
      </c>
      <c r="AV24" s="118">
        <f>+Auto!AV24</f>
        <v>-5458.7727579526618</v>
      </c>
      <c r="AW24" s="118">
        <f>+Auto!AW24</f>
        <v>0</v>
      </c>
      <c r="AX24" s="118">
        <v>0</v>
      </c>
      <c r="AY24" s="118">
        <f>+Auto!AY24</f>
        <v>0</v>
      </c>
      <c r="AZ24" s="118">
        <f>+Auto!AZ24</f>
        <v>0</v>
      </c>
      <c r="BA24" s="118" t="s">
        <v>160</v>
      </c>
      <c r="BB24" s="118" t="s">
        <v>160</v>
      </c>
      <c r="BC24" s="118" t="s">
        <v>160</v>
      </c>
      <c r="BD24" s="118">
        <v>0</v>
      </c>
      <c r="BE24" s="118">
        <f>+Auto!BE24</f>
        <v>0</v>
      </c>
      <c r="BF24" s="118">
        <f>+Auto!BF24</f>
        <v>0</v>
      </c>
      <c r="BG24" s="118">
        <f>+Auto!BG24</f>
        <v>0</v>
      </c>
      <c r="BH24" s="118">
        <f>+Auto!BH24</f>
        <v>0</v>
      </c>
      <c r="BI24" s="118">
        <f>+Auto!BI24</f>
        <v>0</v>
      </c>
      <c r="BJ24" s="118">
        <f>+Auto!BJ24</f>
        <v>0</v>
      </c>
    </row>
    <row r="25" spans="1:62" s="220" customFormat="1" ht="14.1" hidden="1" customHeight="1" outlineLevel="1" x14ac:dyDescent="0.2">
      <c r="A25" s="220" t="s">
        <v>50</v>
      </c>
      <c r="B25" s="230" t="s">
        <v>724</v>
      </c>
      <c r="C25" s="642"/>
      <c r="D25" s="227" t="str">
        <f>IF([1]RENAME!$H$3=1,B25,A25)</f>
        <v>Baixa preço variável</v>
      </c>
      <c r="E25" s="218">
        <f>+Auto!E29+LI!E26</f>
        <v>0</v>
      </c>
      <c r="F25" s="218">
        <f>+Auto!F29+LI!F26</f>
        <v>0</v>
      </c>
      <c r="G25" s="218">
        <f>+Auto!G29+LI!G26</f>
        <v>-7032</v>
      </c>
      <c r="H25" s="218">
        <f>+Auto!H29+LI!H26</f>
        <v>-10000</v>
      </c>
      <c r="I25" s="218">
        <f>+Auto!I29+LI!I26</f>
        <v>0</v>
      </c>
      <c r="J25" s="218">
        <f>+Auto!J29+LI!J26</f>
        <v>0</v>
      </c>
      <c r="K25" s="218">
        <f>+Auto!K29+LI!K26</f>
        <v>-16445</v>
      </c>
      <c r="L25" s="218">
        <f>+Auto!L29+LI!L26</f>
        <v>0</v>
      </c>
      <c r="M25" s="218">
        <f>+Auto!M29+LI!M26</f>
        <v>0</v>
      </c>
      <c r="N25" s="218">
        <f>+Auto!N29+LI!N26</f>
        <v>0</v>
      </c>
      <c r="O25" s="218">
        <f>+Auto!O29+LI!O26</f>
        <v>0</v>
      </c>
      <c r="P25" s="218">
        <f>+Auto!P29+LI!P26</f>
        <v>0</v>
      </c>
      <c r="Q25" s="218">
        <f>+Auto!Q29+LI!Q26</f>
        <v>0</v>
      </c>
      <c r="R25" s="218">
        <f>+Auto!R29+LI!R26</f>
        <v>0</v>
      </c>
      <c r="S25" s="218">
        <f>+Auto!S29+LI!S26</f>
        <v>0</v>
      </c>
      <c r="T25" s="218">
        <f>+Auto!T29+LI!T26</f>
        <v>0</v>
      </c>
      <c r="U25" s="218">
        <f>+Auto!U29+LI!U26</f>
        <v>0</v>
      </c>
      <c r="V25" s="218">
        <f>+Auto!V29+LI!V26</f>
        <v>0</v>
      </c>
      <c r="W25" s="218">
        <f>+Auto!W29+LI!W26</f>
        <v>0</v>
      </c>
      <c r="X25" s="218">
        <f>+Auto!X29+LI!X26</f>
        <v>0</v>
      </c>
      <c r="Y25" s="218">
        <f>+Auto!Y29+LI!Y26</f>
        <v>0</v>
      </c>
      <c r="Z25" s="218">
        <f>+Auto!Z29+LI!Z26</f>
        <v>0</v>
      </c>
      <c r="AA25" s="218">
        <f>+Auto!AA29+LI!AA26</f>
        <v>0</v>
      </c>
      <c r="AB25" s="218">
        <f>+Auto!AB29+LI!AB26</f>
        <v>0</v>
      </c>
      <c r="AC25" s="218">
        <f>+Auto!AC29+LI!AC26</f>
        <v>0</v>
      </c>
      <c r="AD25" s="218">
        <f>+Auto!AD29+LI!AD26</f>
        <v>0</v>
      </c>
      <c r="AE25" s="218">
        <v>0</v>
      </c>
      <c r="AF25" s="218">
        <v>0</v>
      </c>
      <c r="AG25" s="219">
        <v>0</v>
      </c>
      <c r="AH25" s="218">
        <v>0</v>
      </c>
      <c r="AI25" s="218">
        <v>0</v>
      </c>
      <c r="AJ25" s="218">
        <v>0</v>
      </c>
      <c r="AK25" s="218">
        <v>0</v>
      </c>
      <c r="AL25" s="218">
        <v>0</v>
      </c>
      <c r="AM25" s="218">
        <v>0</v>
      </c>
      <c r="AN25" s="218">
        <v>0</v>
      </c>
      <c r="AO25" s="218">
        <v>0</v>
      </c>
      <c r="AP25" s="218">
        <v>0</v>
      </c>
      <c r="AQ25" s="218">
        <v>0</v>
      </c>
      <c r="AR25" s="218">
        <v>0</v>
      </c>
      <c r="AS25" s="218">
        <v>0</v>
      </c>
      <c r="AT25" s="218">
        <v>0</v>
      </c>
      <c r="AU25" s="218">
        <v>0</v>
      </c>
      <c r="AV25" s="218">
        <v>0</v>
      </c>
      <c r="AW25" s="218">
        <v>0</v>
      </c>
      <c r="AX25" s="218">
        <v>0</v>
      </c>
      <c r="AY25" s="218">
        <v>0</v>
      </c>
      <c r="AZ25" s="218">
        <v>0</v>
      </c>
      <c r="BA25" s="218"/>
      <c r="BB25" s="218"/>
      <c r="BC25" s="218"/>
      <c r="BD25" s="218">
        <v>0</v>
      </c>
      <c r="BE25" s="218"/>
      <c r="BF25" s="218">
        <v>0</v>
      </c>
      <c r="BG25" s="218">
        <v>0</v>
      </c>
      <c r="BH25" s="218">
        <v>0</v>
      </c>
      <c r="BI25" s="218">
        <v>0</v>
      </c>
      <c r="BJ25" s="218">
        <v>0</v>
      </c>
    </row>
    <row r="26" spans="1:62" s="220" customFormat="1" ht="14.1" hidden="1" customHeight="1" outlineLevel="1" x14ac:dyDescent="0.2">
      <c r="A26" s="220" t="s">
        <v>1178</v>
      </c>
      <c r="B26" s="230" t="s">
        <v>1332</v>
      </c>
      <c r="C26" s="642"/>
      <c r="D26" s="227" t="str">
        <f>IF([1]RENAME!$H$3=1,B26,A26)</f>
        <v>Mudança critério contingência</v>
      </c>
      <c r="E26" s="218">
        <f>+Auto!E27+LI!E28</f>
        <v>0</v>
      </c>
      <c r="F26" s="218">
        <f>+Auto!F27+LI!F28</f>
        <v>0</v>
      </c>
      <c r="G26" s="218">
        <f>+Auto!G27+LI!G28</f>
        <v>0</v>
      </c>
      <c r="H26" s="218">
        <f>+Auto!H27+LI!H28</f>
        <v>0</v>
      </c>
      <c r="I26" s="218">
        <f>+Auto!I27+LI!I28</f>
        <v>0</v>
      </c>
      <c r="J26" s="218">
        <f>+Auto!J27+LI!J28</f>
        <v>0</v>
      </c>
      <c r="K26" s="218">
        <f>+Auto!K27+LI!K28</f>
        <v>0</v>
      </c>
      <c r="L26" s="218">
        <f>+Auto!L27+LI!L28</f>
        <v>0</v>
      </c>
      <c r="M26" s="218">
        <f>+Auto!M27+LI!M28</f>
        <v>0</v>
      </c>
      <c r="N26" s="218">
        <f>+Auto!N27+LI!N28</f>
        <v>0</v>
      </c>
      <c r="O26" s="218">
        <f>+Auto!O27+LI!O28</f>
        <v>0</v>
      </c>
      <c r="P26" s="218">
        <f>+Auto!P27+LI!P28</f>
        <v>0</v>
      </c>
      <c r="Q26" s="218">
        <f>+Auto!Q27+LI!Q28</f>
        <v>0</v>
      </c>
      <c r="R26" s="218">
        <f>+Auto!R27+LI!R28</f>
        <v>0</v>
      </c>
      <c r="S26" s="218">
        <f>+Auto!S27+LI!S28</f>
        <v>0</v>
      </c>
      <c r="T26" s="218">
        <f>+Auto!T27+LI!T28</f>
        <v>0</v>
      </c>
      <c r="U26" s="218">
        <f>+Auto!U27+LI!U28</f>
        <v>0</v>
      </c>
      <c r="V26" s="218">
        <f>+Auto!V27+LI!V28</f>
        <v>0</v>
      </c>
      <c r="W26" s="218">
        <f>+Auto!W27+LI!W28</f>
        <v>0</v>
      </c>
      <c r="X26" s="218">
        <f>+Auto!X27+LI!X28</f>
        <v>0</v>
      </c>
      <c r="Y26" s="218">
        <f>+Auto!Y27+LI!Y28</f>
        <v>0</v>
      </c>
      <c r="Z26" s="218">
        <f>+Auto!Z27+LI!Z28</f>
        <v>0</v>
      </c>
      <c r="AA26" s="218">
        <f>+Auto!AA27+LI!AA28</f>
        <v>0</v>
      </c>
      <c r="AB26" s="218">
        <f>+Auto!AB27+LI!AB28</f>
        <v>6644.3316199999999</v>
      </c>
      <c r="AC26" s="218" t="s">
        <v>160</v>
      </c>
      <c r="AD26" s="218" t="s">
        <v>160</v>
      </c>
      <c r="AE26" s="218" t="s">
        <v>160</v>
      </c>
      <c r="AF26" s="218">
        <v>0</v>
      </c>
      <c r="AG26" s="219">
        <v>0</v>
      </c>
      <c r="AH26" s="218">
        <v>0</v>
      </c>
      <c r="AI26" s="218">
        <v>0</v>
      </c>
      <c r="AJ26" s="218">
        <v>0</v>
      </c>
      <c r="AK26" s="218">
        <v>0</v>
      </c>
      <c r="AL26" s="218">
        <v>0</v>
      </c>
      <c r="AM26" s="218">
        <v>0</v>
      </c>
      <c r="AN26" s="218">
        <v>0</v>
      </c>
      <c r="AO26" s="218">
        <v>0</v>
      </c>
      <c r="AP26" s="218">
        <v>0</v>
      </c>
      <c r="AQ26" s="218">
        <v>0</v>
      </c>
      <c r="AR26" s="218">
        <v>0</v>
      </c>
      <c r="AS26" s="218">
        <v>0</v>
      </c>
      <c r="AT26" s="218">
        <v>0</v>
      </c>
      <c r="AU26" s="218">
        <v>0</v>
      </c>
      <c r="AV26" s="218">
        <v>0</v>
      </c>
      <c r="AW26" s="218">
        <v>0</v>
      </c>
      <c r="AX26" s="218">
        <v>0</v>
      </c>
      <c r="AY26" s="218">
        <v>0</v>
      </c>
      <c r="AZ26" s="218">
        <v>0</v>
      </c>
      <c r="BA26" s="218"/>
      <c r="BB26" s="218"/>
      <c r="BC26" s="218"/>
      <c r="BD26" s="218">
        <v>0</v>
      </c>
      <c r="BE26" s="218"/>
      <c r="BF26" s="218">
        <v>0</v>
      </c>
      <c r="BG26" s="218">
        <v>0</v>
      </c>
      <c r="BH26" s="218">
        <v>0</v>
      </c>
      <c r="BI26" s="218">
        <v>0</v>
      </c>
      <c r="BJ26" s="218">
        <v>0</v>
      </c>
    </row>
    <row r="27" spans="1:62" s="220" customFormat="1" ht="14.1" hidden="1" customHeight="1" outlineLevel="1" x14ac:dyDescent="0.2">
      <c r="A27" s="220" t="s">
        <v>585</v>
      </c>
      <c r="B27" s="230" t="s">
        <v>720</v>
      </c>
      <c r="C27" s="642"/>
      <c r="D27" s="227" t="str">
        <f>IF([1]RENAME!$H$3=1,B27,A27)</f>
        <v>Baixa ágio controlada</v>
      </c>
      <c r="E27" s="218">
        <f>+Auto!E26+LI!E27</f>
        <v>0</v>
      </c>
      <c r="F27" s="218">
        <f>+Auto!F26+LI!F27</f>
        <v>0</v>
      </c>
      <c r="G27" s="218">
        <f>+Auto!G26+LI!G27</f>
        <v>0</v>
      </c>
      <c r="H27" s="218">
        <f>+Auto!H26+LI!H27</f>
        <v>0</v>
      </c>
      <c r="I27" s="218">
        <f>+Auto!I26+LI!I27</f>
        <v>0</v>
      </c>
      <c r="J27" s="218">
        <f>+Auto!J26+LI!J27</f>
        <v>0</v>
      </c>
      <c r="K27" s="218">
        <f>+Auto!K26+LI!K27</f>
        <v>0</v>
      </c>
      <c r="L27" s="218">
        <f>+Auto!L26+LI!L27</f>
        <v>0</v>
      </c>
      <c r="M27" s="218">
        <f>+Auto!M26+LI!M27</f>
        <v>0</v>
      </c>
      <c r="N27" s="218">
        <f>+Auto!N26+LI!N27</f>
        <v>0</v>
      </c>
      <c r="O27" s="218">
        <f>+Auto!O26+LI!O27</f>
        <v>0</v>
      </c>
      <c r="P27" s="218">
        <f>+Auto!P26+LI!P27</f>
        <v>0</v>
      </c>
      <c r="Q27" s="218">
        <f>+Auto!Q26+LI!Q27</f>
        <v>0</v>
      </c>
      <c r="R27" s="218">
        <f>+Auto!R26+LI!R27</f>
        <v>0</v>
      </c>
      <c r="S27" s="218">
        <f>+Auto!S26+LI!S27</f>
        <v>0</v>
      </c>
      <c r="T27" s="218">
        <f>+Auto!T26+LI!T27</f>
        <v>0</v>
      </c>
      <c r="U27" s="218">
        <f>+Auto!U26+LI!U27</f>
        <v>0</v>
      </c>
      <c r="V27" s="218">
        <f>+Auto!V26+LI!V27</f>
        <v>0</v>
      </c>
      <c r="W27" s="218">
        <f>+Auto!W26+LI!W27</f>
        <v>0</v>
      </c>
      <c r="X27" s="218">
        <f>+Auto!X26+LI!X27</f>
        <v>0</v>
      </c>
      <c r="Y27" s="218">
        <f>+Auto!Y26+LI!Y27</f>
        <v>0</v>
      </c>
      <c r="Z27" s="218">
        <f>+Auto!Z26+LI!Z27</f>
        <v>1365</v>
      </c>
      <c r="AA27" s="218">
        <f>+Auto!AA26+LI!AA27</f>
        <v>0</v>
      </c>
      <c r="AB27" s="218">
        <f>+Auto!AB26+LI!AB27</f>
        <v>0</v>
      </c>
      <c r="AC27" s="218">
        <f>+Auto!AC26+LI!AC27</f>
        <v>0</v>
      </c>
      <c r="AD27" s="218">
        <f>+Auto!AD26+LI!AD27</f>
        <v>0</v>
      </c>
      <c r="AE27" s="218">
        <v>0</v>
      </c>
      <c r="AF27" s="218">
        <v>0</v>
      </c>
      <c r="AG27" s="219">
        <v>0</v>
      </c>
      <c r="AH27" s="218">
        <v>0</v>
      </c>
      <c r="AI27" s="218">
        <v>0</v>
      </c>
      <c r="AJ27" s="218">
        <v>0</v>
      </c>
      <c r="AK27" s="218">
        <v>0</v>
      </c>
      <c r="AL27" s="218">
        <v>0</v>
      </c>
      <c r="AM27" s="218">
        <v>0</v>
      </c>
      <c r="AN27" s="218">
        <v>0</v>
      </c>
      <c r="AO27" s="218">
        <v>0</v>
      </c>
      <c r="AP27" s="218">
        <v>0</v>
      </c>
      <c r="AQ27" s="218">
        <v>0</v>
      </c>
      <c r="AR27" s="218">
        <v>0</v>
      </c>
      <c r="AS27" s="218">
        <v>0</v>
      </c>
      <c r="AT27" s="218">
        <v>0</v>
      </c>
      <c r="AU27" s="218">
        <v>0</v>
      </c>
      <c r="AV27" s="218">
        <v>0</v>
      </c>
      <c r="AW27" s="218">
        <v>0</v>
      </c>
      <c r="AX27" s="218">
        <v>0</v>
      </c>
      <c r="AY27" s="218">
        <v>0</v>
      </c>
      <c r="AZ27" s="218">
        <v>0</v>
      </c>
      <c r="BA27" s="218"/>
      <c r="BB27" s="218"/>
      <c r="BC27" s="218"/>
      <c r="BD27" s="218">
        <v>0</v>
      </c>
      <c r="BE27" s="218"/>
      <c r="BF27" s="218">
        <v>0</v>
      </c>
      <c r="BG27" s="218">
        <v>0</v>
      </c>
      <c r="BH27" s="218">
        <v>0</v>
      </c>
      <c r="BI27" s="218">
        <v>0</v>
      </c>
      <c r="BJ27" s="218">
        <v>0</v>
      </c>
    </row>
    <row r="28" spans="1:62" s="220" customFormat="1" ht="14.1" hidden="1" customHeight="1" outlineLevel="1" x14ac:dyDescent="0.2">
      <c r="A28" s="220" t="s">
        <v>586</v>
      </c>
      <c r="B28" s="230" t="s">
        <v>722</v>
      </c>
      <c r="C28" s="642"/>
      <c r="D28" s="227" t="str">
        <f>IF([1]RENAME!$H$3=1,B28,A28)</f>
        <v>Indenizações combinação de negócios</v>
      </c>
      <c r="E28" s="218">
        <f>+Auto!E25+LI!E29</f>
        <v>0</v>
      </c>
      <c r="F28" s="218">
        <f>+Auto!F25+LI!F29</f>
        <v>0</v>
      </c>
      <c r="G28" s="218">
        <f>+Auto!G25+LI!G29</f>
        <v>0</v>
      </c>
      <c r="H28" s="218">
        <f>+Auto!H25+LI!H29</f>
        <v>0</v>
      </c>
      <c r="I28" s="218">
        <f>+Auto!I25+LI!I29</f>
        <v>0</v>
      </c>
      <c r="J28" s="218">
        <f>+Auto!J25+LI!J29</f>
        <v>0</v>
      </c>
      <c r="K28" s="218">
        <f>+Auto!K25+LI!K29</f>
        <v>0</v>
      </c>
      <c r="L28" s="218">
        <f>+Auto!L25+LI!L29</f>
        <v>0</v>
      </c>
      <c r="M28" s="218">
        <f>+Auto!M25+LI!M29</f>
        <v>0</v>
      </c>
      <c r="N28" s="218">
        <f>+Auto!N25+LI!N29</f>
        <v>0</v>
      </c>
      <c r="O28" s="218">
        <f>+Auto!O25+LI!O29</f>
        <v>0</v>
      </c>
      <c r="P28" s="218">
        <f>+Auto!P25+LI!P29</f>
        <v>0</v>
      </c>
      <c r="Q28" s="218">
        <f>+Auto!Q25+LI!Q29</f>
        <v>0</v>
      </c>
      <c r="R28" s="218">
        <f>+Auto!R25+LI!R29</f>
        <v>0</v>
      </c>
      <c r="S28" s="218">
        <f>+Auto!S25+LI!S29</f>
        <v>0</v>
      </c>
      <c r="T28" s="218">
        <f>+Auto!T25+LI!T29</f>
        <v>0</v>
      </c>
      <c r="U28" s="218">
        <f>+Auto!U25+LI!U29</f>
        <v>0</v>
      </c>
      <c r="V28" s="218">
        <f>+Auto!V25+LI!V29</f>
        <v>0</v>
      </c>
      <c r="W28" s="218">
        <f>+Auto!W25+LI!W29</f>
        <v>0</v>
      </c>
      <c r="X28" s="218">
        <f>+Auto!X25+LI!X29</f>
        <v>0</v>
      </c>
      <c r="Y28" s="218">
        <f>+Auto!Y25+LI!Y29</f>
        <v>0</v>
      </c>
      <c r="Z28" s="218">
        <f>+Auto!Z25+LI!Z29</f>
        <v>1767</v>
      </c>
      <c r="AA28" s="218">
        <f>+Auto!AA25+LI!AA29</f>
        <v>0</v>
      </c>
      <c r="AB28" s="218">
        <f>+Auto!AB25+LI!AB29</f>
        <v>0</v>
      </c>
      <c r="AC28" s="218" t="s">
        <v>160</v>
      </c>
      <c r="AD28" s="218" t="s">
        <v>160</v>
      </c>
      <c r="AE28" s="218" t="s">
        <v>160</v>
      </c>
      <c r="AF28" s="218">
        <v>0</v>
      </c>
      <c r="AG28" s="219">
        <v>0</v>
      </c>
      <c r="AH28" s="218">
        <v>0</v>
      </c>
      <c r="AI28" s="218">
        <v>0</v>
      </c>
      <c r="AJ28" s="218">
        <v>0</v>
      </c>
      <c r="AK28" s="218">
        <v>0</v>
      </c>
      <c r="AL28" s="218">
        <v>0</v>
      </c>
      <c r="AM28" s="218">
        <v>0</v>
      </c>
      <c r="AN28" s="218">
        <v>0</v>
      </c>
      <c r="AO28" s="218">
        <v>0</v>
      </c>
      <c r="AP28" s="218">
        <v>0</v>
      </c>
      <c r="AQ28" s="218">
        <v>0</v>
      </c>
      <c r="AR28" s="218">
        <v>0</v>
      </c>
      <c r="AS28" s="218">
        <v>0</v>
      </c>
      <c r="AT28" s="218">
        <v>0</v>
      </c>
      <c r="AU28" s="218">
        <v>0</v>
      </c>
      <c r="AV28" s="218">
        <v>0</v>
      </c>
      <c r="AW28" s="218">
        <v>0</v>
      </c>
      <c r="AX28" s="218">
        <v>0</v>
      </c>
      <c r="AY28" s="218">
        <v>0</v>
      </c>
      <c r="AZ28" s="218">
        <v>0</v>
      </c>
      <c r="BA28" s="218"/>
      <c r="BB28" s="218"/>
      <c r="BC28" s="218"/>
      <c r="BD28" s="218">
        <v>0</v>
      </c>
      <c r="BE28" s="218"/>
      <c r="BF28" s="218">
        <v>0</v>
      </c>
      <c r="BG28" s="218">
        <v>0</v>
      </c>
      <c r="BH28" s="218">
        <v>0</v>
      </c>
      <c r="BI28" s="218">
        <v>0</v>
      </c>
      <c r="BJ28" s="218">
        <v>0</v>
      </c>
    </row>
    <row r="29" spans="1:62" s="220" customFormat="1" ht="14.1" hidden="1" customHeight="1" outlineLevel="1" x14ac:dyDescent="0.2">
      <c r="A29" s="220" t="s">
        <v>587</v>
      </c>
      <c r="B29" s="230" t="s">
        <v>723</v>
      </c>
      <c r="C29" s="642"/>
      <c r="D29" s="227" t="str">
        <f>IF([1]RENAME!$H$3=1,B29,A29)</f>
        <v>Ganho causa Fundaf</v>
      </c>
      <c r="E29" s="218">
        <f>+Auto!E28+LI!E30</f>
        <v>0</v>
      </c>
      <c r="F29" s="218">
        <f>+Auto!F28+LI!F30</f>
        <v>0</v>
      </c>
      <c r="G29" s="218">
        <f>+Auto!G28+LI!G30</f>
        <v>0</v>
      </c>
      <c r="H29" s="218">
        <f>+Auto!H28+LI!H30</f>
        <v>0</v>
      </c>
      <c r="I29" s="218">
        <f>+Auto!I28+LI!I30</f>
        <v>0</v>
      </c>
      <c r="J29" s="218">
        <f>+Auto!J28+LI!J30</f>
        <v>0</v>
      </c>
      <c r="K29" s="218">
        <f>+Auto!K28+LI!K30</f>
        <v>0</v>
      </c>
      <c r="L29" s="218">
        <f>+Auto!L28+LI!L30</f>
        <v>0</v>
      </c>
      <c r="M29" s="218">
        <f>+Auto!M28+LI!M30</f>
        <v>0</v>
      </c>
      <c r="N29" s="218">
        <f>+Auto!N28+LI!N30</f>
        <v>0</v>
      </c>
      <c r="O29" s="218">
        <f>+Auto!O28+LI!O30</f>
        <v>0</v>
      </c>
      <c r="P29" s="218">
        <f>+Auto!P28+LI!P30</f>
        <v>0</v>
      </c>
      <c r="Q29" s="218">
        <f>+Auto!Q28+LI!Q30</f>
        <v>0</v>
      </c>
      <c r="R29" s="218">
        <f>+Auto!R28+LI!R30</f>
        <v>0</v>
      </c>
      <c r="S29" s="218">
        <f>+Auto!S28+LI!S30</f>
        <v>0</v>
      </c>
      <c r="T29" s="218">
        <f>+Auto!T28+LI!T30</f>
        <v>0</v>
      </c>
      <c r="U29" s="218">
        <f>+Auto!U28+LI!U30</f>
        <v>0</v>
      </c>
      <c r="V29" s="218">
        <f>+Auto!V28+LI!V30</f>
        <v>0</v>
      </c>
      <c r="W29" s="218">
        <f>+Auto!W28+LI!W30</f>
        <v>0</v>
      </c>
      <c r="X29" s="218">
        <f>+Auto!X28+LI!X30</f>
        <v>0</v>
      </c>
      <c r="Y29" s="218">
        <f>+Auto!Y28+LI!Y30</f>
        <v>0</v>
      </c>
      <c r="Z29" s="218">
        <f>+Auto!Z28+LI!Z30</f>
        <v>-9847.0333800000008</v>
      </c>
      <c r="AA29" s="218">
        <f>+Auto!AA28+LI!AA30</f>
        <v>0</v>
      </c>
      <c r="AB29" s="218">
        <f>+Auto!AB28+LI!AB30</f>
        <v>0</v>
      </c>
      <c r="AC29" s="218">
        <f>+Auto!AC28+LI!AC30</f>
        <v>0</v>
      </c>
      <c r="AD29" s="218">
        <f>+Auto!AD28+LI!AD30</f>
        <v>0</v>
      </c>
      <c r="AE29" s="218">
        <v>0</v>
      </c>
      <c r="AF29" s="218">
        <v>0</v>
      </c>
      <c r="AG29" s="219">
        <v>0</v>
      </c>
      <c r="AH29" s="218">
        <v>0</v>
      </c>
      <c r="AI29" s="218">
        <v>0</v>
      </c>
      <c r="AJ29" s="218">
        <v>0</v>
      </c>
      <c r="AK29" s="218">
        <v>0</v>
      </c>
      <c r="AL29" s="218">
        <v>0</v>
      </c>
      <c r="AM29" s="218">
        <v>0</v>
      </c>
      <c r="AN29" s="218">
        <v>0</v>
      </c>
      <c r="AO29" s="218">
        <v>0</v>
      </c>
      <c r="AP29" s="218">
        <v>0</v>
      </c>
      <c r="AQ29" s="218">
        <v>0</v>
      </c>
      <c r="AR29" s="218">
        <v>0</v>
      </c>
      <c r="AS29" s="218">
        <v>0</v>
      </c>
      <c r="AT29" s="218">
        <v>0</v>
      </c>
      <c r="AU29" s="218">
        <v>0</v>
      </c>
      <c r="AV29" s="218">
        <v>0</v>
      </c>
      <c r="AW29" s="218">
        <v>0</v>
      </c>
      <c r="AX29" s="218">
        <v>0</v>
      </c>
      <c r="AY29" s="218">
        <v>0</v>
      </c>
      <c r="AZ29" s="218">
        <v>0</v>
      </c>
      <c r="BA29" s="218"/>
      <c r="BB29" s="218"/>
      <c r="BC29" s="218"/>
      <c r="BD29" s="218">
        <v>0</v>
      </c>
      <c r="BE29" s="218"/>
      <c r="BF29" s="218">
        <v>0</v>
      </c>
      <c r="BG29" s="218">
        <v>0</v>
      </c>
      <c r="BH29" s="218">
        <v>0</v>
      </c>
      <c r="BI29" s="218">
        <v>0</v>
      </c>
      <c r="BJ29" s="218">
        <v>0</v>
      </c>
    </row>
    <row r="30" spans="1:62" s="220" customFormat="1" ht="14.1" hidden="1" customHeight="1" outlineLevel="1" x14ac:dyDescent="0.2">
      <c r="A30" s="220" t="s">
        <v>51</v>
      </c>
      <c r="B30" s="230" t="s">
        <v>725</v>
      </c>
      <c r="C30" s="642"/>
      <c r="D30" s="227" t="str">
        <f>IF([1]RENAME!$H$3=1,B30,A30)</f>
        <v>(Ganho)/Prejui. venda de ativo</v>
      </c>
      <c r="E30" s="218">
        <f>+Auto!E30+LI!E31</f>
        <v>1913</v>
      </c>
      <c r="F30" s="218">
        <f>+Auto!F30+LI!F31</f>
        <v>1324</v>
      </c>
      <c r="G30" s="218">
        <f>+Auto!G30+LI!G31</f>
        <v>871</v>
      </c>
      <c r="H30" s="218">
        <f>+Auto!H30+LI!H31</f>
        <v>114</v>
      </c>
      <c r="I30" s="218">
        <f>+Auto!I30+LI!I31</f>
        <v>2023</v>
      </c>
      <c r="J30" s="218">
        <f>+Auto!J30+LI!J31</f>
        <v>5187</v>
      </c>
      <c r="K30" s="218">
        <f>+Auto!K30+LI!K31</f>
        <v>426</v>
      </c>
      <c r="L30" s="218">
        <f>+Auto!L30+LI!L31</f>
        <v>1192</v>
      </c>
      <c r="M30" s="218">
        <f>+Auto!M30+LI!M31</f>
        <v>0</v>
      </c>
      <c r="N30" s="218">
        <f>+Auto!N30+LI!N31</f>
        <v>0</v>
      </c>
      <c r="O30" s="218">
        <f>+Auto!O30+LI!O31</f>
        <v>0</v>
      </c>
      <c r="P30" s="218">
        <f>+Auto!P30+LI!P31</f>
        <v>-1316</v>
      </c>
      <c r="Q30" s="218">
        <f>+Auto!Q30+LI!Q31</f>
        <v>0</v>
      </c>
      <c r="R30" s="218">
        <f>+Auto!R30+LI!R31</f>
        <v>0</v>
      </c>
      <c r="S30" s="218">
        <f>+Auto!S30+LI!S31</f>
        <v>0</v>
      </c>
      <c r="T30" s="218">
        <f>+Auto!T30+LI!T31</f>
        <v>0</v>
      </c>
      <c r="U30" s="218">
        <f>+Auto!U30+LI!U31</f>
        <v>0</v>
      </c>
      <c r="V30" s="218">
        <f>+Auto!V30+LI!V31</f>
        <v>0</v>
      </c>
      <c r="W30" s="218">
        <f>+Auto!W30+LI!W31</f>
        <v>0</v>
      </c>
      <c r="X30" s="218">
        <f>+Auto!X30+LI!X31</f>
        <v>0</v>
      </c>
      <c r="Y30" s="218">
        <f>+Auto!Y30+LI!Y31</f>
        <v>0</v>
      </c>
      <c r="Z30" s="218">
        <f>+Auto!Z30+LI!Z31</f>
        <v>0</v>
      </c>
      <c r="AA30" s="218">
        <f>+Auto!AA30+LI!AA31</f>
        <v>0</v>
      </c>
      <c r="AB30" s="218">
        <f>+Auto!AB30+LI!AB31</f>
        <v>0</v>
      </c>
      <c r="AC30" s="218">
        <f>+Auto!AC30+LI!AC31</f>
        <v>0</v>
      </c>
      <c r="AD30" s="218">
        <f>+Auto!AD30+LI!AD31</f>
        <v>0</v>
      </c>
      <c r="AE30" s="218">
        <v>0</v>
      </c>
      <c r="AF30" s="218">
        <v>0</v>
      </c>
      <c r="AG30" s="219">
        <v>0</v>
      </c>
      <c r="AH30" s="218">
        <v>0</v>
      </c>
      <c r="AI30" s="218">
        <v>0</v>
      </c>
      <c r="AJ30" s="218">
        <v>0</v>
      </c>
      <c r="AK30" s="218">
        <v>0</v>
      </c>
      <c r="AL30" s="218">
        <v>0</v>
      </c>
      <c r="AM30" s="218">
        <v>0</v>
      </c>
      <c r="AN30" s="218">
        <v>0</v>
      </c>
      <c r="AO30" s="218">
        <v>0</v>
      </c>
      <c r="AP30" s="218">
        <v>0</v>
      </c>
      <c r="AQ30" s="218">
        <v>0</v>
      </c>
      <c r="AR30" s="218">
        <v>0</v>
      </c>
      <c r="AS30" s="218">
        <v>0</v>
      </c>
      <c r="AT30" s="218">
        <v>0</v>
      </c>
      <c r="AU30" s="218">
        <v>0</v>
      </c>
      <c r="AV30" s="218">
        <v>0</v>
      </c>
      <c r="AW30" s="218">
        <v>0</v>
      </c>
      <c r="AX30" s="218">
        <v>0</v>
      </c>
      <c r="AY30" s="218">
        <v>0</v>
      </c>
      <c r="AZ30" s="218">
        <v>0</v>
      </c>
      <c r="BA30" s="218"/>
      <c r="BB30" s="218"/>
      <c r="BC30" s="218"/>
      <c r="BD30" s="218">
        <v>0</v>
      </c>
      <c r="BE30" s="218"/>
      <c r="BF30" s="218">
        <v>0</v>
      </c>
      <c r="BG30" s="218">
        <v>0</v>
      </c>
      <c r="BH30" s="218">
        <v>0</v>
      </c>
      <c r="BI30" s="218">
        <v>0</v>
      </c>
      <c r="BJ30" s="218">
        <v>0</v>
      </c>
    </row>
    <row r="31" spans="1:62" s="220" customFormat="1" ht="14.1" hidden="1" customHeight="1" outlineLevel="1" x14ac:dyDescent="0.2">
      <c r="A31" s="220" t="s">
        <v>457</v>
      </c>
      <c r="B31" s="230" t="s">
        <v>727</v>
      </c>
      <c r="C31" s="642"/>
      <c r="D31" s="227" t="str">
        <f>IF([1]RENAME!$H$3=1,B31,A31)</f>
        <v>Custo de indenização</v>
      </c>
      <c r="E31" s="218">
        <f>+Auto!E32+LI!E32</f>
        <v>0</v>
      </c>
      <c r="F31" s="218">
        <f>+Auto!F32+LI!F32</f>
        <v>0</v>
      </c>
      <c r="G31" s="218">
        <f>+Auto!G32+LI!G32</f>
        <v>0</v>
      </c>
      <c r="H31" s="218">
        <f>+Auto!H32+LI!H32</f>
        <v>0</v>
      </c>
      <c r="I31" s="218">
        <f>+Auto!I32+LI!I32</f>
        <v>0</v>
      </c>
      <c r="J31" s="218">
        <f>+Auto!J32+LI!J32</f>
        <v>0</v>
      </c>
      <c r="K31" s="218">
        <f>+Auto!K32+LI!K32</f>
        <v>0</v>
      </c>
      <c r="L31" s="218">
        <f>+Auto!L32+LI!L32</f>
        <v>0</v>
      </c>
      <c r="M31" s="218">
        <f>+Auto!M32+LI!M32</f>
        <v>2139</v>
      </c>
      <c r="N31" s="218">
        <f>+Auto!N32+LI!N32</f>
        <v>0</v>
      </c>
      <c r="O31" s="218">
        <f>+Auto!O32+LI!O32</f>
        <v>0</v>
      </c>
      <c r="P31" s="218">
        <f>+Auto!P32+LI!P32</f>
        <v>0</v>
      </c>
      <c r="Q31" s="218">
        <f>+Auto!Q32+LI!Q32</f>
        <v>0</v>
      </c>
      <c r="R31" s="218">
        <f>+Auto!R32+LI!R32</f>
        <v>0</v>
      </c>
      <c r="S31" s="218">
        <f>+Auto!S32+LI!S32</f>
        <v>0</v>
      </c>
      <c r="T31" s="218">
        <f>+Auto!T32+LI!T32</f>
        <v>0</v>
      </c>
      <c r="U31" s="218">
        <f>+Auto!U32+LI!U32</f>
        <v>0</v>
      </c>
      <c r="V31" s="218">
        <f>+Auto!V32+LI!V32</f>
        <v>0</v>
      </c>
      <c r="W31" s="218">
        <f>+Auto!W32+LI!W32</f>
        <v>0</v>
      </c>
      <c r="X31" s="218">
        <f>+Auto!X32+LI!X32</f>
        <v>0</v>
      </c>
      <c r="Y31" s="218">
        <f>+Auto!Y32+LI!Y32</f>
        <v>0</v>
      </c>
      <c r="Z31" s="218">
        <f>+Auto!Z32+LI!Z32</f>
        <v>0</v>
      </c>
      <c r="AA31" s="218">
        <f>+Auto!AA32+LI!AA32</f>
        <v>0</v>
      </c>
      <c r="AB31" s="218">
        <f>+Auto!AB32+LI!AB32</f>
        <v>0</v>
      </c>
      <c r="AC31" s="218">
        <f>+Auto!AC32+LI!AC32</f>
        <v>0</v>
      </c>
      <c r="AD31" s="218">
        <f>+Auto!AD32+LI!AD32</f>
        <v>0</v>
      </c>
      <c r="AE31" s="218">
        <v>0</v>
      </c>
      <c r="AF31" s="218">
        <v>0</v>
      </c>
      <c r="AG31" s="219">
        <v>0</v>
      </c>
      <c r="AH31" s="218">
        <v>0</v>
      </c>
      <c r="AI31" s="218">
        <v>0</v>
      </c>
      <c r="AJ31" s="218">
        <v>0</v>
      </c>
      <c r="AK31" s="218">
        <v>0</v>
      </c>
      <c r="AL31" s="218">
        <v>0</v>
      </c>
      <c r="AM31" s="218">
        <v>0</v>
      </c>
      <c r="AN31" s="218">
        <v>0</v>
      </c>
      <c r="AO31" s="218">
        <v>0</v>
      </c>
      <c r="AP31" s="218">
        <v>0</v>
      </c>
      <c r="AQ31" s="218">
        <v>0</v>
      </c>
      <c r="AR31" s="218">
        <v>0</v>
      </c>
      <c r="AS31" s="218">
        <v>0</v>
      </c>
      <c r="AT31" s="218">
        <v>0</v>
      </c>
      <c r="AU31" s="218">
        <v>0</v>
      </c>
      <c r="AV31" s="218">
        <v>0</v>
      </c>
      <c r="AW31" s="218">
        <v>0</v>
      </c>
      <c r="AX31" s="218">
        <v>0</v>
      </c>
      <c r="AY31" s="218">
        <v>0</v>
      </c>
      <c r="AZ31" s="218">
        <v>0</v>
      </c>
      <c r="BA31" s="218"/>
      <c r="BB31" s="218"/>
      <c r="BC31" s="218"/>
      <c r="BD31" s="218">
        <v>0</v>
      </c>
      <c r="BE31" s="218"/>
      <c r="BF31" s="218">
        <v>0</v>
      </c>
      <c r="BG31" s="218">
        <v>0</v>
      </c>
      <c r="BH31" s="218">
        <v>0</v>
      </c>
      <c r="BI31" s="218">
        <v>0</v>
      </c>
      <c r="BJ31" s="218">
        <v>0</v>
      </c>
    </row>
    <row r="32" spans="1:62" s="220" customFormat="1" ht="14.1" hidden="1" customHeight="1" outlineLevel="1" x14ac:dyDescent="0.2">
      <c r="A32" s="220" t="s">
        <v>49</v>
      </c>
      <c r="B32" s="230" t="s">
        <v>728</v>
      </c>
      <c r="C32" s="642"/>
      <c r="D32" s="227" t="str">
        <f>IF([1]RENAME!$H$3=1,B32,A32)</f>
        <v>Outros</v>
      </c>
      <c r="E32" s="218">
        <f>+Auto!E33+LI!E33</f>
        <v>2990</v>
      </c>
      <c r="F32" s="218">
        <f>+Auto!F33+LI!F33</f>
        <v>1233</v>
      </c>
      <c r="G32" s="218">
        <f>+Auto!G33+LI!G33</f>
        <v>1164</v>
      </c>
      <c r="H32" s="218">
        <f>+Auto!H33+LI!H33</f>
        <v>1432</v>
      </c>
      <c r="I32" s="218">
        <f>+Auto!I33+LI!I33</f>
        <v>0</v>
      </c>
      <c r="J32" s="218">
        <f>+Auto!J33+LI!J33</f>
        <v>0</v>
      </c>
      <c r="K32" s="218">
        <f>+Auto!K33+LI!K33</f>
        <v>0</v>
      </c>
      <c r="L32" s="218">
        <f>+Auto!L33+LI!L33</f>
        <v>0</v>
      </c>
      <c r="M32" s="218">
        <f>+Auto!M33+LI!M33</f>
        <v>0</v>
      </c>
      <c r="N32" s="218">
        <f>+Auto!N33+LI!N33</f>
        <v>0</v>
      </c>
      <c r="O32" s="218">
        <f>+Auto!O33+LI!O33</f>
        <v>0</v>
      </c>
      <c r="P32" s="218">
        <f>+Auto!P33+LI!P33</f>
        <v>0</v>
      </c>
      <c r="Q32" s="218">
        <f>+Auto!Q33+LI!Q33</f>
        <v>0</v>
      </c>
      <c r="R32" s="218">
        <f>+Auto!R33+LI!R33</f>
        <v>3704.1926200000003</v>
      </c>
      <c r="S32" s="218">
        <f>+Auto!S33+LI!S33</f>
        <v>0</v>
      </c>
      <c r="T32" s="218">
        <f>+Auto!T33+LI!T33</f>
        <v>0</v>
      </c>
      <c r="U32" s="218">
        <f>+Auto!U33+LI!U33</f>
        <v>0</v>
      </c>
      <c r="V32" s="218">
        <f>+Auto!V33+LI!V33</f>
        <v>0</v>
      </c>
      <c r="W32" s="218">
        <f>+Auto!W33+LI!W33</f>
        <v>0</v>
      </c>
      <c r="X32" s="218">
        <f>+Auto!X33+LI!X33</f>
        <v>0</v>
      </c>
      <c r="Y32" s="218">
        <f>+Auto!Y33+LI!Y33</f>
        <v>0</v>
      </c>
      <c r="Z32" s="218">
        <f>+Auto!Z33+LI!Z33</f>
        <v>0</v>
      </c>
      <c r="AA32" s="218">
        <f>+Auto!AA33+LI!AA33</f>
        <v>0</v>
      </c>
      <c r="AB32" s="218">
        <f>+Auto!AB33+LI!AB33</f>
        <v>0</v>
      </c>
      <c r="AC32" s="218">
        <f>+Auto!AC33+LI!AC33</f>
        <v>0</v>
      </c>
      <c r="AD32" s="218">
        <f>+Auto!AD33+LI!AD33</f>
        <v>0</v>
      </c>
      <c r="AE32" s="218">
        <v>0</v>
      </c>
      <c r="AF32" s="218">
        <v>0</v>
      </c>
      <c r="AG32" s="219">
        <v>0</v>
      </c>
      <c r="AH32" s="218">
        <v>0</v>
      </c>
      <c r="AI32" s="218">
        <v>0</v>
      </c>
      <c r="AJ32" s="218">
        <v>0</v>
      </c>
      <c r="AK32" s="218">
        <v>0</v>
      </c>
      <c r="AL32" s="218">
        <v>0</v>
      </c>
      <c r="AM32" s="218">
        <v>0</v>
      </c>
      <c r="AN32" s="218">
        <v>0</v>
      </c>
      <c r="AO32" s="218">
        <v>0</v>
      </c>
      <c r="AP32" s="218">
        <v>0</v>
      </c>
      <c r="AQ32" s="218">
        <v>0</v>
      </c>
      <c r="AR32" s="218">
        <v>0</v>
      </c>
      <c r="AS32" s="218">
        <v>0</v>
      </c>
      <c r="AT32" s="218">
        <v>0</v>
      </c>
      <c r="AU32" s="218">
        <v>0</v>
      </c>
      <c r="AV32" s="218">
        <v>0</v>
      </c>
      <c r="AW32" s="218">
        <v>0</v>
      </c>
      <c r="AX32" s="218">
        <v>0</v>
      </c>
      <c r="AY32" s="218">
        <v>0</v>
      </c>
      <c r="AZ32" s="218">
        <v>0</v>
      </c>
      <c r="BA32" s="218"/>
      <c r="BB32" s="218"/>
      <c r="BC32" s="218"/>
      <c r="BD32" s="218">
        <v>0</v>
      </c>
      <c r="BE32" s="218"/>
      <c r="BF32" s="218">
        <v>0</v>
      </c>
      <c r="BG32" s="218">
        <v>0</v>
      </c>
      <c r="BH32" s="218">
        <v>0</v>
      </c>
      <c r="BI32" s="218">
        <v>0</v>
      </c>
      <c r="BJ32" s="218">
        <v>0</v>
      </c>
    </row>
    <row r="33" spans="1:62" s="220" customFormat="1" ht="14.1" hidden="1" customHeight="1" outlineLevel="1" x14ac:dyDescent="0.2">
      <c r="A33" s="220" t="s">
        <v>456</v>
      </c>
      <c r="B33" s="230" t="s">
        <v>729</v>
      </c>
      <c r="C33" s="642"/>
      <c r="D33" s="227" t="str">
        <f>IF([1]RENAME!$H$3=1,B33,A33)</f>
        <v>Provisão trabalhista / ajuste depósitos judiciais</v>
      </c>
      <c r="E33" s="218">
        <f>+Auto!E34+LI!E34</f>
        <v>0</v>
      </c>
      <c r="F33" s="218">
        <f>+Auto!F34+LI!F34</f>
        <v>0</v>
      </c>
      <c r="G33" s="218">
        <f>+Auto!G34+LI!G34</f>
        <v>0</v>
      </c>
      <c r="H33" s="218">
        <f>+Auto!H34+LI!H34</f>
        <v>0</v>
      </c>
      <c r="I33" s="218">
        <f>+Auto!I34+LI!I34</f>
        <v>0</v>
      </c>
      <c r="J33" s="218">
        <f>+Auto!J34+LI!J34</f>
        <v>0</v>
      </c>
      <c r="K33" s="218">
        <f>+Auto!K34+LI!K34</f>
        <v>17500</v>
      </c>
      <c r="L33" s="218">
        <f>+Auto!L34+LI!L34</f>
        <v>3952</v>
      </c>
      <c r="M33" s="218">
        <f>+Auto!M34+LI!M34</f>
        <v>0</v>
      </c>
      <c r="N33" s="218">
        <f>+Auto!N34+LI!N34</f>
        <v>0</v>
      </c>
      <c r="O33" s="218">
        <f>+Auto!O34+LI!O34</f>
        <v>0</v>
      </c>
      <c r="P33" s="218">
        <f>+Auto!P34+LI!P34</f>
        <v>2194</v>
      </c>
      <c r="Q33" s="218">
        <f>+Auto!Q34+LI!Q34</f>
        <v>0</v>
      </c>
      <c r="R33" s="218">
        <f>+Auto!R34+LI!R34</f>
        <v>0</v>
      </c>
      <c r="S33" s="218">
        <f>+Auto!S34+LI!S34</f>
        <v>0</v>
      </c>
      <c r="T33" s="218">
        <f>+Auto!T34+LI!T34</f>
        <v>18361</v>
      </c>
      <c r="U33" s="218">
        <f>+Auto!U34+LI!U34</f>
        <v>0</v>
      </c>
      <c r="V33" s="218">
        <f>+Auto!V34+LI!V34</f>
        <v>0</v>
      </c>
      <c r="W33" s="218">
        <f>+Auto!W34+LI!W34</f>
        <v>0</v>
      </c>
      <c r="X33" s="218">
        <f>+Auto!X34+LI!X34</f>
        <v>0</v>
      </c>
      <c r="Y33" s="218">
        <f>+Auto!Y34+LI!Y34</f>
        <v>0</v>
      </c>
      <c r="Z33" s="218">
        <f>+Auto!Z34+LI!Z34</f>
        <v>0</v>
      </c>
      <c r="AA33" s="218">
        <f>+Auto!AA34+LI!AA34</f>
        <v>0</v>
      </c>
      <c r="AB33" s="218">
        <f>+Auto!AB34+LI!AB34</f>
        <v>0</v>
      </c>
      <c r="AC33" s="218">
        <f>+Auto!AC34+LI!AC34</f>
        <v>0</v>
      </c>
      <c r="AD33" s="218">
        <f>+Auto!AD34+LI!AD34</f>
        <v>0</v>
      </c>
      <c r="AE33" s="218">
        <v>0</v>
      </c>
      <c r="AF33" s="218">
        <v>0</v>
      </c>
      <c r="AG33" s="219">
        <v>0</v>
      </c>
      <c r="AH33" s="218">
        <v>0</v>
      </c>
      <c r="AI33" s="218">
        <v>0</v>
      </c>
      <c r="AJ33" s="218">
        <v>0</v>
      </c>
      <c r="AK33" s="218">
        <v>0</v>
      </c>
      <c r="AL33" s="218">
        <v>0</v>
      </c>
      <c r="AM33" s="218">
        <v>0</v>
      </c>
      <c r="AN33" s="218">
        <v>0</v>
      </c>
      <c r="AO33" s="218">
        <v>0</v>
      </c>
      <c r="AP33" s="218">
        <v>0</v>
      </c>
      <c r="AQ33" s="218">
        <v>0</v>
      </c>
      <c r="AR33" s="218">
        <v>0</v>
      </c>
      <c r="AS33" s="218">
        <v>0</v>
      </c>
      <c r="AT33" s="218">
        <v>0</v>
      </c>
      <c r="AU33" s="218">
        <v>0</v>
      </c>
      <c r="AV33" s="218">
        <v>0</v>
      </c>
      <c r="AW33" s="218">
        <v>0</v>
      </c>
      <c r="AX33" s="218">
        <v>0</v>
      </c>
      <c r="AY33" s="218">
        <v>0</v>
      </c>
      <c r="AZ33" s="218">
        <v>0</v>
      </c>
      <c r="BA33" s="218"/>
      <c r="BB33" s="218"/>
      <c r="BC33" s="218"/>
      <c r="BD33" s="218">
        <v>0</v>
      </c>
      <c r="BE33" s="218"/>
      <c r="BF33" s="218">
        <v>0</v>
      </c>
      <c r="BG33" s="218">
        <v>0</v>
      </c>
      <c r="BH33" s="218">
        <v>0</v>
      </c>
      <c r="BI33" s="218">
        <v>0</v>
      </c>
      <c r="BJ33" s="218">
        <v>0</v>
      </c>
    </row>
    <row r="34" spans="1:62" ht="14.1" customHeight="1" collapsed="1" x14ac:dyDescent="0.2">
      <c r="A34" s="1" t="s">
        <v>67</v>
      </c>
      <c r="B34" s="19" t="s">
        <v>730</v>
      </c>
      <c r="C34" s="642"/>
      <c r="D34" s="119" t="str">
        <f>IF([1]RENAME!$H$3=1,B34,A34)</f>
        <v>EBITDA ajustado</v>
      </c>
      <c r="E34" s="120">
        <f t="shared" ref="E34:AV34" si="20">SUM(E14:E33)</f>
        <v>41499</v>
      </c>
      <c r="F34" s="120">
        <f t="shared" si="20"/>
        <v>45812</v>
      </c>
      <c r="G34" s="120">
        <f t="shared" si="20"/>
        <v>51289</v>
      </c>
      <c r="H34" s="120">
        <f t="shared" si="20"/>
        <v>39539</v>
      </c>
      <c r="I34" s="120">
        <f t="shared" si="20"/>
        <v>20059</v>
      </c>
      <c r="J34" s="120">
        <f t="shared" si="20"/>
        <v>41774</v>
      </c>
      <c r="K34" s="120">
        <f t="shared" si="20"/>
        <v>49269</v>
      </c>
      <c r="L34" s="120">
        <f t="shared" si="20"/>
        <v>42533</v>
      </c>
      <c r="M34" s="120">
        <f t="shared" si="20"/>
        <v>30638</v>
      </c>
      <c r="N34" s="120">
        <f t="shared" si="20"/>
        <v>38167</v>
      </c>
      <c r="O34" s="120">
        <f t="shared" si="20"/>
        <v>42607</v>
      </c>
      <c r="P34" s="120">
        <f t="shared" si="20"/>
        <v>57145</v>
      </c>
      <c r="Q34" s="120">
        <f t="shared" si="20"/>
        <v>24446</v>
      </c>
      <c r="R34" s="120">
        <f t="shared" si="20"/>
        <v>17455.192620000002</v>
      </c>
      <c r="S34" s="120">
        <f t="shared" si="20"/>
        <v>22553</v>
      </c>
      <c r="T34" s="120">
        <f t="shared" si="20"/>
        <v>34489.411869999967</v>
      </c>
      <c r="U34" s="120">
        <f t="shared" si="20"/>
        <v>14709.855179999975</v>
      </c>
      <c r="V34" s="120">
        <f t="shared" si="20"/>
        <v>16934.222050000033</v>
      </c>
      <c r="W34" s="120">
        <f t="shared" si="20"/>
        <v>24849.930369999984</v>
      </c>
      <c r="X34" s="120">
        <f t="shared" si="20"/>
        <v>32473.132750000004</v>
      </c>
      <c r="Y34" s="120">
        <f t="shared" si="20"/>
        <v>20933.372720000028</v>
      </c>
      <c r="Z34" s="120">
        <f t="shared" si="20"/>
        <v>28218.011820000036</v>
      </c>
      <c r="AA34" s="120">
        <f t="shared" si="20"/>
        <v>40973.642919999984</v>
      </c>
      <c r="AB34" s="120">
        <f t="shared" si="20"/>
        <v>44654.443230000055</v>
      </c>
      <c r="AC34" s="120">
        <f t="shared" si="20"/>
        <v>29453.314000000006</v>
      </c>
      <c r="AD34" s="120">
        <f t="shared" si="20"/>
        <v>45148.406709999959</v>
      </c>
      <c r="AE34" s="120">
        <f t="shared" si="20"/>
        <v>57791.788239999936</v>
      </c>
      <c r="AF34" s="120">
        <f t="shared" si="20"/>
        <v>68074.372747457528</v>
      </c>
      <c r="AG34" s="162">
        <f t="shared" si="20"/>
        <v>56025.508350000062</v>
      </c>
      <c r="AH34" s="120">
        <f t="shared" si="20"/>
        <v>59443.350340000041</v>
      </c>
      <c r="AI34" s="120">
        <f t="shared" si="20"/>
        <v>64517.839780000097</v>
      </c>
      <c r="AJ34" s="120">
        <f t="shared" si="20"/>
        <v>70096.431380000024</v>
      </c>
      <c r="AK34" s="120">
        <f t="shared" si="20"/>
        <v>44220.344580000012</v>
      </c>
      <c r="AL34" s="120">
        <f t="shared" si="20"/>
        <v>4653.4489899999753</v>
      </c>
      <c r="AM34" s="120">
        <f t="shared" si="20"/>
        <v>55309.446340000024</v>
      </c>
      <c r="AN34" s="120">
        <f t="shared" si="20"/>
        <v>58335.638450000028</v>
      </c>
      <c r="AO34" s="120">
        <f t="shared" si="20"/>
        <v>43191.728160000006</v>
      </c>
      <c r="AP34" s="120">
        <f t="shared" si="20"/>
        <v>35322.597589999968</v>
      </c>
      <c r="AQ34" s="120">
        <f t="shared" si="20"/>
        <v>37480.480370000005</v>
      </c>
      <c r="AR34" s="120">
        <f t="shared" si="20"/>
        <v>45872.656999999905</v>
      </c>
      <c r="AS34" s="120">
        <f t="shared" si="20"/>
        <v>35089.131439999968</v>
      </c>
      <c r="AT34" s="120">
        <f t="shared" si="20"/>
        <v>49148.953389999951</v>
      </c>
      <c r="AU34" s="120">
        <f t="shared" si="20"/>
        <v>87925.189049999957</v>
      </c>
      <c r="AV34" s="120">
        <f t="shared" si="20"/>
        <v>72728.688032047299</v>
      </c>
      <c r="AW34" s="120">
        <f>SUM(AW14:AW33)</f>
        <v>53653.474379999869</v>
      </c>
      <c r="AX34" s="120">
        <v>58012.634600000056</v>
      </c>
      <c r="AY34" s="120">
        <f t="shared" ref="AY34:BF34" si="21">SUM(AY14:AY33)</f>
        <v>79253.838000000062</v>
      </c>
      <c r="AZ34" s="120">
        <f t="shared" si="21"/>
        <v>74126.927810000241</v>
      </c>
      <c r="BA34" s="120">
        <f t="shared" si="21"/>
        <v>58318.379339999818</v>
      </c>
      <c r="BB34" s="120">
        <f t="shared" si="21"/>
        <v>85168.926570000011</v>
      </c>
      <c r="BC34" s="120">
        <f t="shared" si="21"/>
        <v>125572.33326000009</v>
      </c>
      <c r="BD34" s="120">
        <f>SUM(BD14:BD33)</f>
        <v>126005.15277999992</v>
      </c>
      <c r="BE34" s="120">
        <f t="shared" si="21"/>
        <v>68902.245369999931</v>
      </c>
      <c r="BF34" s="120">
        <f t="shared" si="21"/>
        <v>94707.959719999781</v>
      </c>
      <c r="BG34" s="120">
        <f>SUM(BG14:BG33)</f>
        <v>116828.61254000006</v>
      </c>
      <c r="BH34" s="120">
        <f>SUM(BH14:BH33)</f>
        <v>81354.49930000001</v>
      </c>
      <c r="BI34" s="120">
        <f>SUM(BI14:BI33)</f>
        <v>74225.36229999995</v>
      </c>
      <c r="BJ34" s="120">
        <f>SUM(BJ14:BJ33)</f>
        <v>138533.90370999975</v>
      </c>
    </row>
    <row r="35" spans="1:62" ht="14.1" customHeight="1" x14ac:dyDescent="0.2">
      <c r="A35" s="1" t="s">
        <v>68</v>
      </c>
      <c r="B35" s="19" t="s">
        <v>731</v>
      </c>
      <c r="C35" s="642"/>
      <c r="D35" s="122" t="str">
        <f>IF([1]RENAME!$H$3=1,B35,A35)</f>
        <v>Margem EBITDA ajustado</v>
      </c>
      <c r="E35" s="13">
        <f t="shared" ref="E35:Y35" si="22">ROUND(E34/E10,3)</f>
        <v>0.121</v>
      </c>
      <c r="F35" s="13">
        <f t="shared" si="22"/>
        <v>0.11899999999999999</v>
      </c>
      <c r="G35" s="13">
        <f t="shared" si="22"/>
        <v>0.114</v>
      </c>
      <c r="H35" s="13">
        <f t="shared" si="22"/>
        <v>8.6999999999999994E-2</v>
      </c>
      <c r="I35" s="13">
        <f t="shared" si="22"/>
        <v>5.2999999999999999E-2</v>
      </c>
      <c r="J35" s="13">
        <f t="shared" si="22"/>
        <v>9.0999999999999998E-2</v>
      </c>
      <c r="K35" s="13">
        <f t="shared" si="22"/>
        <v>0.105</v>
      </c>
      <c r="L35" s="13">
        <f t="shared" si="22"/>
        <v>9.0999999999999998E-2</v>
      </c>
      <c r="M35" s="13">
        <f t="shared" si="22"/>
        <v>8.1000000000000003E-2</v>
      </c>
      <c r="N35" s="13">
        <f t="shared" si="22"/>
        <v>9.4E-2</v>
      </c>
      <c r="O35" s="13">
        <f t="shared" si="22"/>
        <v>0.11</v>
      </c>
      <c r="P35" s="13">
        <f t="shared" si="22"/>
        <v>0.14399999999999999</v>
      </c>
      <c r="Q35" s="13">
        <f t="shared" si="22"/>
        <v>8.5999999999999993E-2</v>
      </c>
      <c r="R35" s="13">
        <f t="shared" si="22"/>
        <v>6.3E-2</v>
      </c>
      <c r="S35" s="13">
        <f t="shared" si="22"/>
        <v>8.2000000000000003E-2</v>
      </c>
      <c r="T35" s="13">
        <f t="shared" si="22"/>
        <v>0.12</v>
      </c>
      <c r="U35" s="13">
        <f t="shared" si="22"/>
        <v>7.2999999999999995E-2</v>
      </c>
      <c r="V35" s="13">
        <f t="shared" si="22"/>
        <v>7.3999999999999996E-2</v>
      </c>
      <c r="W35" s="13">
        <f t="shared" si="22"/>
        <v>0.104</v>
      </c>
      <c r="X35" s="13">
        <f t="shared" si="22"/>
        <v>0.128</v>
      </c>
      <c r="Y35" s="13">
        <f t="shared" si="22"/>
        <v>9.8000000000000004E-2</v>
      </c>
      <c r="Z35" s="13">
        <v>0.106</v>
      </c>
      <c r="AA35" s="13">
        <f t="shared" ref="AA35:AV35" si="23">ROUND(AA34/AA10,3)</f>
        <v>0.14299999999999999</v>
      </c>
      <c r="AB35" s="13">
        <f t="shared" si="23"/>
        <v>0.14000000000000001</v>
      </c>
      <c r="AC35" s="13">
        <f t="shared" si="23"/>
        <v>0.112</v>
      </c>
      <c r="AD35" s="13">
        <f t="shared" si="23"/>
        <v>0.154</v>
      </c>
      <c r="AE35" s="13">
        <f t="shared" si="23"/>
        <v>0.17399999999999999</v>
      </c>
      <c r="AF35" s="13">
        <f t="shared" si="23"/>
        <v>0.185</v>
      </c>
      <c r="AG35" s="750">
        <f t="shared" si="23"/>
        <v>0.189</v>
      </c>
      <c r="AH35" s="13">
        <f t="shared" si="23"/>
        <v>0.17899999999999999</v>
      </c>
      <c r="AI35" s="13">
        <f t="shared" si="23"/>
        <v>0.189</v>
      </c>
      <c r="AJ35" s="13">
        <f t="shared" si="23"/>
        <v>0.185</v>
      </c>
      <c r="AK35" s="13">
        <f t="shared" si="23"/>
        <v>0.158</v>
      </c>
      <c r="AL35" s="13">
        <f t="shared" si="23"/>
        <v>3.5999999999999997E-2</v>
      </c>
      <c r="AM35" s="13">
        <f t="shared" si="23"/>
        <v>0.191</v>
      </c>
      <c r="AN35" s="13">
        <f t="shared" si="23"/>
        <v>0.186</v>
      </c>
      <c r="AO35" s="13">
        <f t="shared" si="23"/>
        <v>0.185</v>
      </c>
      <c r="AP35" s="13">
        <f t="shared" si="23"/>
        <v>0.14899999999999999</v>
      </c>
      <c r="AQ35" s="13">
        <f t="shared" si="23"/>
        <v>0.16200000000000001</v>
      </c>
      <c r="AR35" s="13">
        <f t="shared" si="23"/>
        <v>0.15</v>
      </c>
      <c r="AS35" s="13">
        <f t="shared" si="23"/>
        <v>0.14599999999999999</v>
      </c>
      <c r="AT35" s="13">
        <f t="shared" si="23"/>
        <v>0.161</v>
      </c>
      <c r="AU35" s="13">
        <f t="shared" si="23"/>
        <v>0.21199999999999999</v>
      </c>
      <c r="AV35" s="13">
        <f t="shared" si="23"/>
        <v>0.17799999999999999</v>
      </c>
      <c r="AW35" s="13">
        <f>ROUND(AW34/AW10,3)</f>
        <v>0.16</v>
      </c>
      <c r="AX35" s="13">
        <v>0.158</v>
      </c>
      <c r="AY35" s="13">
        <f t="shared" ref="AY35:BF35" si="24">ROUND(AY34/AY10,3)</f>
        <v>0.186</v>
      </c>
      <c r="AZ35" s="13">
        <f t="shared" si="24"/>
        <v>0.16300000000000001</v>
      </c>
      <c r="BA35" s="13">
        <f t="shared" si="24"/>
        <v>0.15</v>
      </c>
      <c r="BB35" s="13">
        <f t="shared" si="24"/>
        <v>0.18</v>
      </c>
      <c r="BC35" s="13">
        <f t="shared" si="24"/>
        <v>0.20799999999999999</v>
      </c>
      <c r="BD35" s="13">
        <f>ROUND(BD34/BD10,3)</f>
        <v>0.20200000000000001</v>
      </c>
      <c r="BE35" s="13">
        <f t="shared" si="24"/>
        <v>0.156</v>
      </c>
      <c r="BF35" s="13">
        <f t="shared" si="24"/>
        <v>0.17499999999999999</v>
      </c>
      <c r="BG35" s="13">
        <f>ROUND(BG34/BG10,3)</f>
        <v>0.184</v>
      </c>
      <c r="BH35" s="13">
        <f>ROUND(BH34/BH10,3)</f>
        <v>0.13300000000000001</v>
      </c>
      <c r="BI35" s="13">
        <f>ROUND(BI34/BI10,3)</f>
        <v>0.14199999999999999</v>
      </c>
      <c r="BJ35" s="13">
        <f>ROUND(BJ34/BJ10,3)</f>
        <v>0.187</v>
      </c>
    </row>
    <row r="36" spans="1:62" ht="14.1" customHeight="1" x14ac:dyDescent="0.2">
      <c r="A36" s="1" t="s">
        <v>137</v>
      </c>
      <c r="B36" s="19" t="s">
        <v>754</v>
      </c>
      <c r="C36" s="642"/>
      <c r="D36" s="117" t="str">
        <f>IF([1]RENAME!$H$3=1,B36,A36)</f>
        <v>Depreciação e amortização</v>
      </c>
      <c r="E36" s="118">
        <f>+Auto!E37+LI!E37</f>
        <v>-6038</v>
      </c>
      <c r="F36" s="118">
        <f>+Auto!F37+LI!F37</f>
        <v>-7156</v>
      </c>
      <c r="G36" s="118">
        <f>+Auto!G37+LI!G37</f>
        <v>-7307</v>
      </c>
      <c r="H36" s="118">
        <f>+Auto!H37+LI!H37</f>
        <v>-11249</v>
      </c>
      <c r="I36" s="118">
        <f>+Auto!I37+LI!I37</f>
        <v>-7204</v>
      </c>
      <c r="J36" s="118">
        <f>+Auto!J37+LI!J37</f>
        <v>-6913</v>
      </c>
      <c r="K36" s="118">
        <f>+Auto!K37+LI!K37</f>
        <v>-7443</v>
      </c>
      <c r="L36" s="118">
        <f>+Auto!L37+LI!L37</f>
        <v>-7494</v>
      </c>
      <c r="M36" s="118">
        <f>+Auto!M37+LI!M37</f>
        <v>-8563</v>
      </c>
      <c r="N36" s="118">
        <f>+Auto!N37+LI!N37</f>
        <v>-8365</v>
      </c>
      <c r="O36" s="118">
        <f>+Auto!O37+LI!O37</f>
        <v>-6979</v>
      </c>
      <c r="P36" s="118">
        <f>+Auto!P37+LI!P37</f>
        <v>-3223</v>
      </c>
      <c r="Q36" s="118">
        <f t="shared" ref="Q36:AC36" si="25">+SUM(Q37:Q38)</f>
        <v>-6412</v>
      </c>
      <c r="R36" s="118">
        <f t="shared" si="25"/>
        <v>-7112</v>
      </c>
      <c r="S36" s="118">
        <f t="shared" si="25"/>
        <v>-6674</v>
      </c>
      <c r="T36" s="118">
        <f t="shared" si="25"/>
        <v>-7718.4255900000007</v>
      </c>
      <c r="U36" s="118">
        <f t="shared" si="25"/>
        <v>-7204.9047399999999</v>
      </c>
      <c r="V36" s="118">
        <f t="shared" si="25"/>
        <v>-9298.98092</v>
      </c>
      <c r="W36" s="118">
        <f t="shared" si="25"/>
        <v>-6737.5437099999999</v>
      </c>
      <c r="X36" s="118">
        <f t="shared" si="25"/>
        <v>-6858.242839999999</v>
      </c>
      <c r="Y36" s="118">
        <f t="shared" si="25"/>
        <v>-6572.82701</v>
      </c>
      <c r="Z36" s="118">
        <f t="shared" si="25"/>
        <v>-6829.9387999999999</v>
      </c>
      <c r="AA36" s="118">
        <f>+SUM(AA37:AA38)</f>
        <v>-7304.7968499999997</v>
      </c>
      <c r="AB36" s="118">
        <f t="shared" si="25"/>
        <v>-7437.1136699999997</v>
      </c>
      <c r="AC36" s="118">
        <f t="shared" si="25"/>
        <v>-6909.8206200000004</v>
      </c>
      <c r="AD36" s="118">
        <f t="shared" ref="AD36:AJ36" si="26">+SUM(AD37:AD38)</f>
        <v>-8910.3279299999995</v>
      </c>
      <c r="AE36" s="118">
        <f t="shared" si="26"/>
        <v>-6853.8500800000002</v>
      </c>
      <c r="AF36" s="118">
        <f t="shared" si="26"/>
        <v>-6616.8089600000003</v>
      </c>
      <c r="AG36" s="160">
        <f t="shared" si="26"/>
        <v>-15400.43375</v>
      </c>
      <c r="AH36" s="118">
        <f t="shared" si="26"/>
        <v>-13640.160540000001</v>
      </c>
      <c r="AI36" s="118">
        <f t="shared" si="26"/>
        <v>-14832.91678</v>
      </c>
      <c r="AJ36" s="118">
        <f t="shared" si="26"/>
        <v>-14732.53003</v>
      </c>
      <c r="AK36" s="118">
        <f t="shared" ref="AK36:AT36" si="27">+SUM(AK37:AK38)</f>
        <v>-14152.98898</v>
      </c>
      <c r="AL36" s="118">
        <f t="shared" si="27"/>
        <v>-13839.80279</v>
      </c>
      <c r="AM36" s="118">
        <f t="shared" si="27"/>
        <v>-13196.274530000001</v>
      </c>
      <c r="AN36" s="118">
        <f t="shared" si="27"/>
        <v>-12860.317200000001</v>
      </c>
      <c r="AO36" s="118">
        <f t="shared" si="27"/>
        <v>-12959.5062</v>
      </c>
      <c r="AP36" s="118">
        <f t="shared" si="27"/>
        <v>-12839.597110000001</v>
      </c>
      <c r="AQ36" s="118">
        <f t="shared" si="27"/>
        <v>-12593.76037</v>
      </c>
      <c r="AR36" s="118">
        <f>+SUM(AR37:AR38)</f>
        <v>-12473.274410000002</v>
      </c>
      <c r="AS36" s="118">
        <f>+SUM(AS37:AS38)</f>
        <v>-13487.422330000001</v>
      </c>
      <c r="AT36" s="118">
        <f t="shared" si="27"/>
        <v>-13690.463550000004</v>
      </c>
      <c r="AU36" s="118">
        <f>+SUM(AU37:AU38)</f>
        <v>-12545.994360000001</v>
      </c>
      <c r="AV36" s="118">
        <f>+SUM(AV37:AV38)</f>
        <v>-13372.31034</v>
      </c>
      <c r="AW36" s="118">
        <f>+SUM(AW37:AW38)</f>
        <v>-13414.1613</v>
      </c>
      <c r="AX36" s="118">
        <v>-13390.617499999998</v>
      </c>
      <c r="AY36" s="118">
        <f t="shared" ref="AY36:BD36" si="28">+SUM(AY37:AY38)</f>
        <v>-13784.77347</v>
      </c>
      <c r="AZ36" s="118">
        <f t="shared" si="28"/>
        <v>-14174.105950000001</v>
      </c>
      <c r="BA36" s="118">
        <f t="shared" si="28"/>
        <v>-13837.638149999999</v>
      </c>
      <c r="BB36" s="118">
        <f t="shared" si="28"/>
        <v>-13928.92884</v>
      </c>
      <c r="BC36" s="118">
        <f t="shared" si="28"/>
        <v>-13843.909750000001</v>
      </c>
      <c r="BD36" s="118">
        <f t="shared" si="28"/>
        <v>-14025.012639999999</v>
      </c>
      <c r="BE36" s="118">
        <v>-15048.048060000001</v>
      </c>
      <c r="BF36" s="118">
        <v>-15064.054980000001</v>
      </c>
      <c r="BG36" s="118">
        <f>+SUM(BG37:BG38)</f>
        <v>-15587.801650000001</v>
      </c>
      <c r="BH36" s="118">
        <v>-16020.608469999999</v>
      </c>
      <c r="BI36" s="118">
        <v>-16712.86159</v>
      </c>
      <c r="BJ36" s="118">
        <f>+SUM(BJ37:BJ38)</f>
        <v>-17464.185290000001</v>
      </c>
    </row>
    <row r="37" spans="1:62" ht="14.1" customHeight="1" outlineLevel="1" x14ac:dyDescent="0.2">
      <c r="A37" s="1" t="s">
        <v>1558</v>
      </c>
      <c r="B37" s="1" t="s">
        <v>1559</v>
      </c>
      <c r="C37" s="24"/>
      <c r="D37" s="620" t="str">
        <f>IF([1]RENAME!$H$3=1,B37,A37)</f>
        <v>Depreciação e amortização (custo)</v>
      </c>
      <c r="E37" s="118" t="s">
        <v>160</v>
      </c>
      <c r="F37" s="118" t="s">
        <v>160</v>
      </c>
      <c r="G37" s="118" t="s">
        <v>160</v>
      </c>
      <c r="H37" s="118" t="s">
        <v>160</v>
      </c>
      <c r="I37" s="118" t="s">
        <v>160</v>
      </c>
      <c r="J37" s="118" t="s">
        <v>160</v>
      </c>
      <c r="K37" s="118" t="s">
        <v>160</v>
      </c>
      <c r="L37" s="118" t="s">
        <v>160</v>
      </c>
      <c r="M37" s="118" t="s">
        <v>160</v>
      </c>
      <c r="N37" s="118" t="s">
        <v>160</v>
      </c>
      <c r="O37" s="118" t="s">
        <v>160</v>
      </c>
      <c r="P37" s="118" t="s">
        <v>160</v>
      </c>
      <c r="Q37" s="118">
        <f>+Auto!Q38+LI!Q38</f>
        <v>-5514.0217871000004</v>
      </c>
      <c r="R37" s="118">
        <f>+Auto!R38+LI!R38</f>
        <v>-6073.2019700000001</v>
      </c>
      <c r="S37" s="118">
        <f>+Auto!S38+LI!S38</f>
        <v>-5569.4027299999998</v>
      </c>
      <c r="T37" s="118">
        <f>+Auto!T38+LI!T38</f>
        <v>-6524.3695800000005</v>
      </c>
      <c r="U37" s="118">
        <f>+Auto!U38+LI!U38</f>
        <v>-6060.3533399999997</v>
      </c>
      <c r="V37" s="118">
        <f>+Auto!V38+LI!V38</f>
        <v>-8227.8698000000004</v>
      </c>
      <c r="W37" s="118">
        <f>+Auto!W38+LI!W38</f>
        <v>-5691.81574</v>
      </c>
      <c r="X37" s="118">
        <f>+Auto!X38+LI!X38</f>
        <v>-5818.0447599999989</v>
      </c>
      <c r="Y37" s="118">
        <f>+Auto!Y38+LI!Y38</f>
        <v>-5829.7700100000002</v>
      </c>
      <c r="Z37" s="118">
        <f>+Auto!Z38+LI!Z38</f>
        <v>-5990.71767</v>
      </c>
      <c r="AA37" s="118">
        <f>+Auto!AA38+LI!AA38</f>
        <v>-6508.54558</v>
      </c>
      <c r="AB37" s="118">
        <f>+Auto!AB38+LI!AB38</f>
        <v>-6610.4207399999996</v>
      </c>
      <c r="AC37" s="118">
        <f>+Auto!AC38+LI!AC38</f>
        <v>-6082.28665</v>
      </c>
      <c r="AD37" s="118">
        <f>+Auto!AD38+LI!AD38</f>
        <v>-8056.4395999999997</v>
      </c>
      <c r="AE37" s="118">
        <f>+Auto!AE38+LI!AE38</f>
        <v>-5990.8769300000004</v>
      </c>
      <c r="AF37" s="118">
        <f>+Auto!AF38+LI!AF38</f>
        <v>-5743.8832000000002</v>
      </c>
      <c r="AG37" s="160">
        <f>+Auto!AG38+LI!AG38</f>
        <v>-14281.93353</v>
      </c>
      <c r="AH37" s="118">
        <f>+Auto!AH38+LI!AH38</f>
        <v>-12499.35318</v>
      </c>
      <c r="AI37" s="118">
        <f>+Auto!AI38+LI!AI38</f>
        <v>-13655.86772</v>
      </c>
      <c r="AJ37" s="118">
        <f>+Auto!AJ38+LI!AJ38</f>
        <v>-13553.991379999999</v>
      </c>
      <c r="AK37" s="118">
        <f>+Auto!AK38+LI!AK38</f>
        <v>-13004.850689999999</v>
      </c>
      <c r="AL37" s="118">
        <f>+Auto!AL38+LI!AL38</f>
        <v>-12737.530070000001</v>
      </c>
      <c r="AM37" s="118">
        <f>+Auto!AM38+LI!AM38</f>
        <v>-12120.315490000001</v>
      </c>
      <c r="AN37" s="118">
        <f>+Auto!AN38+LI!AN38</f>
        <v>-11785.54844</v>
      </c>
      <c r="AO37" s="118">
        <f>+Auto!AO38+LI!AO38</f>
        <v>-11885.12478</v>
      </c>
      <c r="AP37" s="118">
        <f>+Auto!AP38+LI!AP38</f>
        <v>-11750.02211</v>
      </c>
      <c r="AQ37" s="118">
        <f>+Auto!AQ38+LI!AQ38</f>
        <v>-11518.35677</v>
      </c>
      <c r="AR37" s="118">
        <f>+Auto!AR38+LI!AR38</f>
        <v>-11392.235980000001</v>
      </c>
      <c r="AS37" s="118">
        <v>-12357.437000000002</v>
      </c>
      <c r="AT37" s="118">
        <f>+Auto!AT38+LI!AT38</f>
        <v>-12551.259250000003</v>
      </c>
      <c r="AU37" s="118">
        <f>+Auto!AU38+LI!AU38</f>
        <v>-11442.945100000001</v>
      </c>
      <c r="AV37" s="118">
        <f>+Auto!AV38+LI!AV38</f>
        <v>-12242.12645</v>
      </c>
      <c r="AW37" s="118">
        <f>+Auto!AW38+LI!AW38</f>
        <v>-12284.57548</v>
      </c>
      <c r="AX37" s="118">
        <v>-12217.841849999999</v>
      </c>
      <c r="AY37" s="118">
        <f>+Auto!AY38+LI!AY38</f>
        <v>-12563.484570000001</v>
      </c>
      <c r="AZ37" s="118">
        <f>+Auto!AZ38+LI!AZ38</f>
        <v>-12942.17224</v>
      </c>
      <c r="BA37" s="118">
        <v>-12627.560999999998</v>
      </c>
      <c r="BB37" s="118">
        <v>-12711.927960000001</v>
      </c>
      <c r="BC37" s="118">
        <v>-12619.6011</v>
      </c>
      <c r="BD37" s="118">
        <v>-12553.247299999999</v>
      </c>
      <c r="BE37" s="118">
        <v>-12932.874680000001</v>
      </c>
      <c r="BF37" s="118">
        <v>-12987.505270000001</v>
      </c>
      <c r="BG37" s="118">
        <v>-13339.68288</v>
      </c>
      <c r="BH37" s="118">
        <v>-13630.831249999999</v>
      </c>
      <c r="BI37" s="118">
        <v>-14320.030849999999</v>
      </c>
      <c r="BJ37" s="118">
        <f>+Auto!BJ38+LI!BJ38</f>
        <v>-15086.991760000001</v>
      </c>
    </row>
    <row r="38" spans="1:62" ht="14.1" customHeight="1" outlineLevel="1" x14ac:dyDescent="0.2">
      <c r="A38" s="1" t="s">
        <v>1560</v>
      </c>
      <c r="B38" s="1" t="s">
        <v>1561</v>
      </c>
      <c r="C38" s="24"/>
      <c r="D38" s="620" t="str">
        <f>IF([1]RENAME!$H$3=1,B38,A38)</f>
        <v>Depreciação e amortização (despesa)</v>
      </c>
      <c r="E38" s="118" t="s">
        <v>160</v>
      </c>
      <c r="F38" s="118" t="s">
        <v>160</v>
      </c>
      <c r="G38" s="118" t="s">
        <v>160</v>
      </c>
      <c r="H38" s="118" t="s">
        <v>160</v>
      </c>
      <c r="I38" s="118" t="s">
        <v>160</v>
      </c>
      <c r="J38" s="118" t="s">
        <v>160</v>
      </c>
      <c r="K38" s="118" t="s">
        <v>160</v>
      </c>
      <c r="L38" s="118" t="s">
        <v>160</v>
      </c>
      <c r="M38" s="118" t="s">
        <v>160</v>
      </c>
      <c r="N38" s="118" t="s">
        <v>160</v>
      </c>
      <c r="O38" s="118" t="s">
        <v>160</v>
      </c>
      <c r="P38" s="118" t="s">
        <v>160</v>
      </c>
      <c r="Q38" s="118">
        <f>+Auto!Q39+LI!Q39</f>
        <v>-897.97821290000002</v>
      </c>
      <c r="R38" s="118">
        <f>+Auto!R39+LI!R39</f>
        <v>-1038.7980300000004</v>
      </c>
      <c r="S38" s="118">
        <f>+Auto!S39+LI!S39</f>
        <v>-1104.5972700000002</v>
      </c>
      <c r="T38" s="118">
        <f>+Auto!T39+LI!T39</f>
        <v>-1194.0560100000002</v>
      </c>
      <c r="U38" s="118">
        <f>+Auto!U39+LI!U39</f>
        <v>-1144.5513999999998</v>
      </c>
      <c r="V38" s="118">
        <f>+Auto!V39+LI!V39</f>
        <v>-1071.11112</v>
      </c>
      <c r="W38" s="118">
        <f>+Auto!W39+LI!W39</f>
        <v>-1045.7279699999999</v>
      </c>
      <c r="X38" s="118">
        <f>+Auto!X39+LI!X39</f>
        <v>-1040.1980799999999</v>
      </c>
      <c r="Y38" s="118">
        <f>+Auto!Y39+LI!Y39</f>
        <v>-743.0569999999999</v>
      </c>
      <c r="Z38" s="118">
        <f>+Auto!Z39+LI!Z39</f>
        <v>-839.2211299999999</v>
      </c>
      <c r="AA38" s="118">
        <f>+Auto!AA39+LI!AA39</f>
        <v>-796.25126999999998</v>
      </c>
      <c r="AB38" s="118">
        <f>+Auto!AB39+LI!AB39</f>
        <v>-826.69292999999993</v>
      </c>
      <c r="AC38" s="118">
        <f>+Auto!AC39+LI!AC39</f>
        <v>-827.53397000000007</v>
      </c>
      <c r="AD38" s="118">
        <f>+Auto!AD39+LI!AD39</f>
        <v>-853.88833</v>
      </c>
      <c r="AE38" s="118">
        <f>+Auto!AE39+LI!AE39</f>
        <v>-862.97315000000003</v>
      </c>
      <c r="AF38" s="118">
        <f>+Auto!AF39+LI!AF39</f>
        <v>-872.92575999999997</v>
      </c>
      <c r="AG38" s="160">
        <f>+Auto!AG39+LI!AG39</f>
        <v>-1118.5002199999999</v>
      </c>
      <c r="AH38" s="118">
        <f>+Auto!AH39+LI!AH39</f>
        <v>-1140.80736</v>
      </c>
      <c r="AI38" s="118">
        <f>+Auto!AI39+LI!AI39</f>
        <v>-1177.0490600000001</v>
      </c>
      <c r="AJ38" s="118">
        <f>+Auto!AJ39+LI!AJ39</f>
        <v>-1178.53865</v>
      </c>
      <c r="AK38" s="118">
        <f>+Auto!AK39+LI!AK39</f>
        <v>-1148.1382900000001</v>
      </c>
      <c r="AL38" s="118">
        <f>+Auto!AL39+LI!AL39</f>
        <v>-1102.2727199999997</v>
      </c>
      <c r="AM38" s="118">
        <f>+Auto!AM39+LI!AM39</f>
        <v>-1075.95904</v>
      </c>
      <c r="AN38" s="118">
        <f>+Auto!AN39+LI!AN39</f>
        <v>-1074.7687599999999</v>
      </c>
      <c r="AO38" s="118">
        <f>+Auto!AO39+LI!AO39</f>
        <v>-1074.3814199999999</v>
      </c>
      <c r="AP38" s="118">
        <f>+Auto!AP39+LI!AP39</f>
        <v>-1089.575</v>
      </c>
      <c r="AQ38" s="118">
        <f>+Auto!AQ39+LI!AQ39</f>
        <v>-1075.4036000000006</v>
      </c>
      <c r="AR38" s="118">
        <f>+Auto!AR39+LI!AR39</f>
        <v>-1081.0384300000001</v>
      </c>
      <c r="AS38" s="118">
        <v>-1129.9853300000002</v>
      </c>
      <c r="AT38" s="118">
        <f>+Auto!AT39+LI!AT39</f>
        <v>-1139.2043000000003</v>
      </c>
      <c r="AU38" s="118">
        <f>+Auto!AU39+LI!AU39</f>
        <v>-1103.0492600000002</v>
      </c>
      <c r="AV38" s="118">
        <f>+Auto!AV39+LI!AV39</f>
        <v>-1130.1838900000002</v>
      </c>
      <c r="AW38" s="118">
        <f>+Auto!AW39+LI!AW39</f>
        <v>-1129.5858200000002</v>
      </c>
      <c r="AX38" s="118">
        <v>-1172.7756499999998</v>
      </c>
      <c r="AY38" s="118">
        <f>+Auto!AY39+LI!AY39</f>
        <v>-1221.2889</v>
      </c>
      <c r="AZ38" s="118">
        <f>+Auto!AZ39+LI!AZ39</f>
        <v>-1231.9337100000002</v>
      </c>
      <c r="BA38" s="118">
        <v>-1210.0771500000001</v>
      </c>
      <c r="BB38" s="118">
        <v>-1217.0008800000003</v>
      </c>
      <c r="BC38" s="118">
        <v>-1224.3086500000002</v>
      </c>
      <c r="BD38" s="118">
        <v>-1471.7653399999999</v>
      </c>
      <c r="BE38" s="118">
        <v>-2115.1733799999997</v>
      </c>
      <c r="BF38" s="118">
        <v>-2076.5497099999998</v>
      </c>
      <c r="BG38" s="118">
        <v>-2248.11877</v>
      </c>
      <c r="BH38" s="118">
        <v>-2389.7772200000004</v>
      </c>
      <c r="BI38" s="118">
        <v>-2392.8307399999999</v>
      </c>
      <c r="BJ38" s="118">
        <f>+Auto!BJ39+LI!BJ39</f>
        <v>-2377.19353</v>
      </c>
    </row>
    <row r="39" spans="1:62" ht="14.1" customHeight="1" x14ac:dyDescent="0.2">
      <c r="A39" s="1" t="s">
        <v>9</v>
      </c>
      <c r="B39" s="19" t="s">
        <v>704</v>
      </c>
      <c r="C39" s="642"/>
      <c r="D39" s="119" t="str">
        <f>IF([1]RENAME!$H$3=1,B39,A39)</f>
        <v>Lucro operacional</v>
      </c>
      <c r="E39" s="120">
        <f t="shared" ref="E39:AV39" si="29">E14+E36</f>
        <v>30558</v>
      </c>
      <c r="F39" s="120">
        <f t="shared" si="29"/>
        <v>36099</v>
      </c>
      <c r="G39" s="120">
        <f t="shared" si="29"/>
        <v>48979</v>
      </c>
      <c r="H39" s="120">
        <f t="shared" si="29"/>
        <v>36744</v>
      </c>
      <c r="I39" s="120">
        <f t="shared" si="29"/>
        <v>10832</v>
      </c>
      <c r="J39" s="120">
        <f t="shared" si="29"/>
        <v>29674</v>
      </c>
      <c r="K39" s="120">
        <f t="shared" si="29"/>
        <v>40345</v>
      </c>
      <c r="L39" s="120">
        <f t="shared" si="29"/>
        <v>29895</v>
      </c>
      <c r="M39" s="120">
        <f t="shared" si="29"/>
        <v>11333</v>
      </c>
      <c r="N39" s="120">
        <f t="shared" si="29"/>
        <v>29802</v>
      </c>
      <c r="O39" s="120">
        <f t="shared" si="29"/>
        <v>35628</v>
      </c>
      <c r="P39" s="120">
        <f t="shared" si="29"/>
        <v>53044</v>
      </c>
      <c r="Q39" s="120">
        <f t="shared" si="29"/>
        <v>18034</v>
      </c>
      <c r="R39" s="120">
        <f t="shared" si="29"/>
        <v>6639</v>
      </c>
      <c r="S39" s="120">
        <f t="shared" si="29"/>
        <v>15879</v>
      </c>
      <c r="T39" s="120">
        <f t="shared" si="29"/>
        <v>1712.8176999999687</v>
      </c>
      <c r="U39" s="120">
        <f t="shared" si="29"/>
        <v>7504.9504399999751</v>
      </c>
      <c r="V39" s="120">
        <f t="shared" si="29"/>
        <v>7635.2411300000331</v>
      </c>
      <c r="W39" s="120">
        <f t="shared" si="29"/>
        <v>18112.386659999982</v>
      </c>
      <c r="X39" s="120">
        <f t="shared" si="29"/>
        <v>25614.889910000005</v>
      </c>
      <c r="Y39" s="120">
        <f t="shared" si="29"/>
        <v>14360.545710000028</v>
      </c>
      <c r="Z39" s="120">
        <f t="shared" si="29"/>
        <v>13103.106400000037</v>
      </c>
      <c r="AA39" s="120">
        <f t="shared" si="29"/>
        <v>27935.846069999985</v>
      </c>
      <c r="AB39" s="120">
        <f t="shared" si="29"/>
        <v>54072.402550000006</v>
      </c>
      <c r="AC39" s="120">
        <f t="shared" si="29"/>
        <v>22543.493380000007</v>
      </c>
      <c r="AD39" s="120">
        <f t="shared" si="29"/>
        <v>36238.07877999996</v>
      </c>
      <c r="AE39" s="120">
        <f t="shared" si="29"/>
        <v>45686.178229999932</v>
      </c>
      <c r="AF39" s="120">
        <f t="shared" si="29"/>
        <v>48576.524440000023</v>
      </c>
      <c r="AG39" s="162">
        <f t="shared" si="29"/>
        <v>40625.074600000065</v>
      </c>
      <c r="AH39" s="120">
        <f t="shared" si="29"/>
        <v>45803.189800000036</v>
      </c>
      <c r="AI39" s="120">
        <f t="shared" si="29"/>
        <v>100076.36719000009</v>
      </c>
      <c r="AJ39" s="120">
        <f t="shared" si="29"/>
        <v>53109.901350000022</v>
      </c>
      <c r="AK39" s="120">
        <f t="shared" si="29"/>
        <v>26750.35560000001</v>
      </c>
      <c r="AL39" s="120">
        <f t="shared" si="29"/>
        <v>-9186.3538000000244</v>
      </c>
      <c r="AM39" s="120">
        <f t="shared" si="29"/>
        <v>42113.171810000022</v>
      </c>
      <c r="AN39" s="120">
        <f t="shared" si="29"/>
        <v>40255.049250000025</v>
      </c>
      <c r="AO39" s="120">
        <f t="shared" si="29"/>
        <v>30232.221960000006</v>
      </c>
      <c r="AP39" s="120">
        <f t="shared" si="29"/>
        <v>28215.714269999968</v>
      </c>
      <c r="AQ39" s="120">
        <f t="shared" si="29"/>
        <v>23727.720000000005</v>
      </c>
      <c r="AR39" s="120">
        <f t="shared" si="29"/>
        <v>35990.382589999906</v>
      </c>
      <c r="AS39" s="120">
        <f t="shared" si="29"/>
        <v>21601.709109999967</v>
      </c>
      <c r="AT39" s="120">
        <f t="shared" si="29"/>
        <v>35458.489839999951</v>
      </c>
      <c r="AU39" s="120">
        <f t="shared" si="29"/>
        <v>68734.174689999956</v>
      </c>
      <c r="AV39" s="120">
        <f t="shared" si="29"/>
        <v>64815.150449999957</v>
      </c>
      <c r="AW39" s="120">
        <f>AW14+AW36</f>
        <v>40239.313079999869</v>
      </c>
      <c r="AX39" s="120">
        <v>44622.017100000056</v>
      </c>
      <c r="AY39" s="120">
        <f t="shared" ref="AY39:BF39" si="30">AY14+AY36</f>
        <v>65469.064530000061</v>
      </c>
      <c r="AZ39" s="120">
        <f t="shared" si="30"/>
        <v>59952.821860000244</v>
      </c>
      <c r="BA39" s="120">
        <f t="shared" si="30"/>
        <v>44480.741189999819</v>
      </c>
      <c r="BB39" s="120">
        <f t="shared" si="30"/>
        <v>71239.997730000003</v>
      </c>
      <c r="BC39" s="120">
        <f t="shared" si="30"/>
        <v>111728.42351000008</v>
      </c>
      <c r="BD39" s="120">
        <f t="shared" si="30"/>
        <v>111980.14013999992</v>
      </c>
      <c r="BE39" s="120">
        <f t="shared" si="30"/>
        <v>53854.19730999993</v>
      </c>
      <c r="BF39" s="120">
        <f t="shared" si="30"/>
        <v>79643.90473999978</v>
      </c>
      <c r="BG39" s="120">
        <f>BG14+BG36</f>
        <v>101240.81089000005</v>
      </c>
      <c r="BH39" s="120">
        <f>BH14+BH36</f>
        <v>65333.890830000011</v>
      </c>
      <c r="BI39" s="120">
        <f>BI14+BI36</f>
        <v>57512.500709999949</v>
      </c>
      <c r="BJ39" s="120">
        <f>BJ14+BJ36</f>
        <v>113858.71841999976</v>
      </c>
    </row>
    <row r="40" spans="1:62" ht="14.1" customHeight="1" x14ac:dyDescent="0.2">
      <c r="A40" s="1" t="s">
        <v>331</v>
      </c>
      <c r="B40" s="19" t="s">
        <v>705</v>
      </c>
      <c r="C40" s="993" t="str">
        <f>IF([1]RENAME!$H$3=1,B40,A40)</f>
        <v>Resultado financeiro</v>
      </c>
      <c r="D40" s="991" t="str">
        <f>HYPERLINK(Menu!$AY$39,C40)</f>
        <v>Resultado financeiro</v>
      </c>
      <c r="E40" s="118">
        <f>+Auto!E41+LI!E41</f>
        <v>-8328</v>
      </c>
      <c r="F40" s="118">
        <f>+Auto!F41+LI!F41</f>
        <v>-9030</v>
      </c>
      <c r="G40" s="118">
        <f>+Auto!G41+LI!G41</f>
        <v>-9951</v>
      </c>
      <c r="H40" s="118">
        <f>+Auto!H41+LI!H41</f>
        <v>-6009</v>
      </c>
      <c r="I40" s="118">
        <f>+Auto!I41+LI!I41</f>
        <v>-7799</v>
      </c>
      <c r="J40" s="118">
        <f>+Auto!J41+LI!J41</f>
        <v>107</v>
      </c>
      <c r="K40" s="118">
        <f>+Auto!K41+LI!K41</f>
        <v>-18842</v>
      </c>
      <c r="L40" s="118">
        <f>+Auto!L41+LI!L41</f>
        <v>-12345</v>
      </c>
      <c r="M40" s="118">
        <f>+Auto!M41+LI!M41</f>
        <v>-10235</v>
      </c>
      <c r="N40" s="118">
        <f>+Auto!N41+LI!N41</f>
        <v>-9164</v>
      </c>
      <c r="O40" s="118">
        <f>+Auto!O41+LI!O41</f>
        <v>-12594</v>
      </c>
      <c r="P40" s="260">
        <f>+Auto!P41+LI!P41</f>
        <v>-14225</v>
      </c>
      <c r="Q40" s="118">
        <f>+Auto!Q41+LI!Q41</f>
        <v>-7678</v>
      </c>
      <c r="R40" s="118">
        <f>+Auto!R41+LI!R41</f>
        <v>-5199</v>
      </c>
      <c r="S40" s="118">
        <f>+Auto!S41+LI!S41</f>
        <v>-8492</v>
      </c>
      <c r="T40" s="260">
        <f>+Auto!T41+LI!T41</f>
        <v>-11585.579029999999</v>
      </c>
      <c r="U40" s="260">
        <f>+Auto!U41+LI!U41</f>
        <v>-8794.3497100000022</v>
      </c>
      <c r="V40" s="118">
        <f>+Auto!V41+LI!V41</f>
        <v>-6205.9491399999979</v>
      </c>
      <c r="W40" s="260">
        <f>+Auto!W41+LI!W41</f>
        <v>-11073.155569999997</v>
      </c>
      <c r="X40" s="260">
        <f>+Auto!X41+LI!X41</f>
        <v>-3803.2308699999994</v>
      </c>
      <c r="Y40" s="118">
        <f>+LI!Y41+Auto!Y41</f>
        <v>-4287.1967700000005</v>
      </c>
      <c r="Z40" s="260">
        <f>+LI!Z41+Auto!Z41</f>
        <v>3566.6795899999997</v>
      </c>
      <c r="AA40" s="118">
        <f>+LI!AA41+Auto!AA41</f>
        <v>-3113.1097999999997</v>
      </c>
      <c r="AB40" s="260">
        <f>+LI!AB41+Auto!AB41</f>
        <v>12617.61837</v>
      </c>
      <c r="AC40" s="118">
        <f>+LI!AC41+Auto!AC41</f>
        <v>-1889.4519500000004</v>
      </c>
      <c r="AD40" s="118">
        <f>+LI!AD41+Auto!AD41</f>
        <v>-825.25069999999994</v>
      </c>
      <c r="AE40" s="260">
        <f>+LI!AE41+Auto!AE41</f>
        <v>-4991.2516099999993</v>
      </c>
      <c r="AF40" s="118">
        <f>+LI!AF41+Auto!AF41</f>
        <v>-1413.8592500000002</v>
      </c>
      <c r="AG40" s="160">
        <f>+LI!AG41+Auto!AG41</f>
        <v>-1899.2444100000007</v>
      </c>
      <c r="AH40" s="118">
        <f>+LI!AH41+Auto!AH41</f>
        <v>-2687.1349600000003</v>
      </c>
      <c r="AI40" s="260">
        <f>+LI!AI41+Auto!AI41</f>
        <v>30529.000000000004</v>
      </c>
      <c r="AJ40" s="118">
        <f>+LI!AJ41+Auto!AJ41</f>
        <v>-3245.5405300000007</v>
      </c>
      <c r="AK40" s="118">
        <f>+LI!AK41+Auto!AK41</f>
        <v>-2007.303140000002</v>
      </c>
      <c r="AL40" s="118">
        <f>+LI!AL41+Auto!AL41</f>
        <v>-2212.7467099999985</v>
      </c>
      <c r="AM40" s="118">
        <f>+LI!AM41+Auto!AM41</f>
        <v>-2784.8866099999996</v>
      </c>
      <c r="AN40" s="118">
        <f>+LI!AN41+Auto!AN41</f>
        <v>-2152.0314800000001</v>
      </c>
      <c r="AO40" s="118">
        <f>+LI!AO41+Auto!AO41</f>
        <v>-2893.5208399999997</v>
      </c>
      <c r="AP40" s="260">
        <f>+LI!AP41+Auto!AP41</f>
        <v>1719.5772199999999</v>
      </c>
      <c r="AQ40" s="118">
        <f>+LI!AQ41+Auto!AQ41</f>
        <v>-896.09401000000048</v>
      </c>
      <c r="AR40" s="118">
        <f>+LI!AR41+Auto!AR41</f>
        <v>-952.37159000000111</v>
      </c>
      <c r="AS40" s="118">
        <v>-541.68053000000032</v>
      </c>
      <c r="AT40" s="118">
        <f>+LI!AT41+Auto!AT41</f>
        <v>164.84837999999854</v>
      </c>
      <c r="AU40" s="118">
        <f>+LI!AU41+Auto!AU41</f>
        <v>-52.790259999999535</v>
      </c>
      <c r="AV40" s="260">
        <f>+LI!AV41+Auto!AV41</f>
        <v>7143.2795999999998</v>
      </c>
      <c r="AW40" s="118">
        <f>+LI!AW41+Auto!AW41</f>
        <v>1279.2891099999988</v>
      </c>
      <c r="AX40" s="260">
        <v>2933.0279500000011</v>
      </c>
      <c r="AY40" s="118">
        <f>+LI!AY41+Auto!AY41</f>
        <v>2517.9430700000003</v>
      </c>
      <c r="AZ40" s="118">
        <f>+LI!AZ41+Auto!AZ41</f>
        <v>2208.5117899999996</v>
      </c>
      <c r="BA40" s="118">
        <v>2039.7343800000001</v>
      </c>
      <c r="BB40" s="260">
        <v>4056.5603299999984</v>
      </c>
      <c r="BC40" s="118">
        <v>1218.222050000001</v>
      </c>
      <c r="BD40" s="118">
        <v>1460.4211999999975</v>
      </c>
      <c r="BE40" s="118">
        <v>2351.3270400000006</v>
      </c>
      <c r="BF40" s="118">
        <v>3260.8603000000007</v>
      </c>
      <c r="BG40" s="118">
        <v>3306.9333400000032</v>
      </c>
      <c r="BH40" s="118">
        <v>2568.8136300000006</v>
      </c>
      <c r="BI40" s="118">
        <v>-1121.6847399999999</v>
      </c>
      <c r="BJ40" s="118">
        <f>+LI!BJ41+Auto!BJ41</f>
        <v>-1331.1711999999986</v>
      </c>
    </row>
    <row r="41" spans="1:62" ht="14.1" customHeight="1" x14ac:dyDescent="0.2">
      <c r="A41" s="1" t="s">
        <v>225</v>
      </c>
      <c r="B41" s="516" t="s">
        <v>760</v>
      </c>
      <c r="C41" s="993" t="str">
        <f>IF([1]RENAME!$H$3=1,B41,A41)</f>
        <v>Equivalência patrimonial</v>
      </c>
      <c r="D41" s="991" t="str">
        <f>HYPERLINK(Menu!$AY$26,C41)</f>
        <v>Equivalência patrimonial</v>
      </c>
      <c r="E41" s="118">
        <f>+Auto!E42+LI!E42</f>
        <v>98</v>
      </c>
      <c r="F41" s="118">
        <f>+Auto!F42+LI!F42</f>
        <v>732</v>
      </c>
      <c r="G41" s="118">
        <f>+Auto!G42+LI!G42</f>
        <v>65</v>
      </c>
      <c r="H41" s="118">
        <f>+Auto!H42+LI!H42</f>
        <v>859</v>
      </c>
      <c r="I41" s="118">
        <f>+Auto!I42+LI!I42</f>
        <v>-728</v>
      </c>
      <c r="J41" s="118">
        <f>+Auto!J42+LI!J42</f>
        <v>-219</v>
      </c>
      <c r="K41" s="118">
        <f>+Auto!K42+LI!K42</f>
        <v>727</v>
      </c>
      <c r="L41" s="118">
        <f>+Auto!L42+LI!L42</f>
        <v>319</v>
      </c>
      <c r="M41" s="118">
        <f>+Auto!M42+LI!M42</f>
        <v>-200</v>
      </c>
      <c r="N41" s="118">
        <f>+Auto!N42+LI!N42</f>
        <v>68</v>
      </c>
      <c r="O41" s="118">
        <f>+Auto!O42+LI!O42</f>
        <v>409</v>
      </c>
      <c r="P41" s="118">
        <f>+Auto!P42+LI!P42</f>
        <v>2100</v>
      </c>
      <c r="Q41" s="118">
        <f>+Auto!Q42+LI!Q42</f>
        <v>373</v>
      </c>
      <c r="R41" s="118">
        <f>+Auto!R42+LI!R42</f>
        <v>256</v>
      </c>
      <c r="S41" s="118">
        <f>+Auto!S42+LI!S42</f>
        <v>785</v>
      </c>
      <c r="T41" s="118">
        <f>+Auto!T42+LI!T42</f>
        <v>453.33573000000024</v>
      </c>
      <c r="U41" s="118">
        <f>+Auto!U42+LI!U42</f>
        <v>-797.43479000000002</v>
      </c>
      <c r="V41" s="118">
        <f>+Auto!V42+LI!V42</f>
        <v>-908.26923000000011</v>
      </c>
      <c r="W41" s="118">
        <f>+Auto!W42+LI!W42</f>
        <v>-18.84490000000001</v>
      </c>
      <c r="X41" s="118">
        <f>+Auto!X42+LI!X42</f>
        <v>-465.49157000000025</v>
      </c>
      <c r="Y41" s="118">
        <f>+LI!Y42+Auto!Y42</f>
        <v>-322.19973999999996</v>
      </c>
      <c r="Z41" s="118">
        <f>+LI!Z42+Auto!Z42</f>
        <v>-379.92368999999991</v>
      </c>
      <c r="AA41" s="118">
        <f>+LI!AA42+Auto!AA42</f>
        <v>-656.57451999999967</v>
      </c>
      <c r="AB41" s="118">
        <f>+LI!AB42+Auto!AB42</f>
        <v>595.71961999999996</v>
      </c>
      <c r="AC41" s="118">
        <f>+LI!AC42+Auto!AC42</f>
        <v>-425.6678</v>
      </c>
      <c r="AD41" s="118">
        <f>+LI!AD42+Auto!AD42</f>
        <v>-226.81720999999999</v>
      </c>
      <c r="AE41" s="118">
        <f>+LI!AE42+Auto!AE42</f>
        <v>341.39789999999994</v>
      </c>
      <c r="AF41" s="118">
        <f>+LI!AF42+Auto!AF42</f>
        <v>681.55288999999982</v>
      </c>
      <c r="AG41" s="160">
        <f>+LI!AG42+Auto!AG42</f>
        <v>-528.95529999999997</v>
      </c>
      <c r="AH41" s="118">
        <f>+LI!AH42+Auto!AH42</f>
        <v>322.18200999999976</v>
      </c>
      <c r="AI41" s="118">
        <f>+LI!AI42+Auto!AI42</f>
        <v>843.61563999999998</v>
      </c>
      <c r="AJ41" s="118">
        <f>+LI!AJ42+Auto!AJ42</f>
        <v>2349.8983000000007</v>
      </c>
      <c r="AK41" s="118">
        <f>+LI!AK42+Auto!AK42</f>
        <v>1394.2409299999999</v>
      </c>
      <c r="AL41" s="118">
        <f>+LI!AL42+Auto!AL42</f>
        <v>2411.7455300000011</v>
      </c>
      <c r="AM41" s="118">
        <f>+LI!AM42+Auto!AM42</f>
        <v>2631.5309200000002</v>
      </c>
      <c r="AN41" s="118">
        <f>+LI!AN42+Auto!AN42</f>
        <v>-161.17881999999963</v>
      </c>
      <c r="AO41" s="118">
        <f>+LI!AO42+Auto!AO42</f>
        <v>810.82393999999999</v>
      </c>
      <c r="AP41" s="118">
        <f>+LI!AP42+Auto!AP42</f>
        <v>2401.2292212000002</v>
      </c>
      <c r="AQ41" s="118">
        <f>+LI!AQ42+Auto!AQ42</f>
        <v>1798.9342100000001</v>
      </c>
      <c r="AR41" s="118">
        <f>+LI!AR42+Auto!AR42</f>
        <v>4231.8650899999993</v>
      </c>
      <c r="AS41" s="118">
        <v>3013.2722072179999</v>
      </c>
      <c r="AT41" s="118">
        <f>+LI!AT42+Auto!AT42</f>
        <v>3005.6714555750004</v>
      </c>
      <c r="AU41" s="118">
        <f>+LI!AU42+Auto!AU42</f>
        <v>2435.9022783999999</v>
      </c>
      <c r="AV41" s="118">
        <f>+LI!AV42+Auto!AV42</f>
        <v>2116.9677172000006</v>
      </c>
      <c r="AW41" s="118">
        <f>+LI!AW42+Auto!AW42</f>
        <v>3837.901907800001</v>
      </c>
      <c r="AX41" s="118">
        <v>2883.4226600000002</v>
      </c>
      <c r="AY41" s="118">
        <f>+LI!AY42+Auto!AY42</f>
        <v>5093.8337000000001</v>
      </c>
      <c r="AZ41" s="118">
        <f>+LI!AZ42+Auto!AZ42</f>
        <v>4439.7830400000003</v>
      </c>
      <c r="BA41" s="118">
        <v>6603.9437900000003</v>
      </c>
      <c r="BB41" s="118">
        <v>9362.2939999999999</v>
      </c>
      <c r="BC41" s="118">
        <v>7432.3453100000006</v>
      </c>
      <c r="BD41" s="118">
        <v>5865.9073797000028</v>
      </c>
      <c r="BE41" s="118">
        <v>6307.3868199999988</v>
      </c>
      <c r="BF41" s="118">
        <v>8941.1631000000052</v>
      </c>
      <c r="BG41" s="118">
        <v>7375.3358299999991</v>
      </c>
      <c r="BH41" s="118">
        <v>4187.0581799999964</v>
      </c>
      <c r="BI41" s="118">
        <v>1431.1687999999999</v>
      </c>
      <c r="BJ41" s="118">
        <f>+LI!BJ42+Auto!BJ42</f>
        <v>5691.9000899999992</v>
      </c>
    </row>
    <row r="42" spans="1:62" ht="14.1" customHeight="1" x14ac:dyDescent="0.2">
      <c r="A42" s="1" t="s">
        <v>14</v>
      </c>
      <c r="B42" s="19" t="s">
        <v>709</v>
      </c>
      <c r="C42" s="642"/>
      <c r="D42" s="119" t="str">
        <f>IF([1]RENAME!$H$3=1,B42,A42)</f>
        <v>Lucro antes do IR e da CS</v>
      </c>
      <c r="E42" s="120">
        <f t="shared" ref="E42:AS42" si="31">+SUM(E39:E41)</f>
        <v>22328</v>
      </c>
      <c r="F42" s="120">
        <f t="shared" si="31"/>
        <v>27801</v>
      </c>
      <c r="G42" s="120">
        <f t="shared" si="31"/>
        <v>39093</v>
      </c>
      <c r="H42" s="120">
        <f t="shared" si="31"/>
        <v>31594</v>
      </c>
      <c r="I42" s="120">
        <f t="shared" si="31"/>
        <v>2305</v>
      </c>
      <c r="J42" s="120">
        <f t="shared" si="31"/>
        <v>29562</v>
      </c>
      <c r="K42" s="120">
        <f t="shared" si="31"/>
        <v>22230</v>
      </c>
      <c r="L42" s="120">
        <f t="shared" si="31"/>
        <v>17869</v>
      </c>
      <c r="M42" s="120">
        <f t="shared" si="31"/>
        <v>898</v>
      </c>
      <c r="N42" s="120">
        <f t="shared" si="31"/>
        <v>20706</v>
      </c>
      <c r="O42" s="120">
        <f t="shared" si="31"/>
        <v>23443</v>
      </c>
      <c r="P42" s="120">
        <f t="shared" si="31"/>
        <v>40919</v>
      </c>
      <c r="Q42" s="120">
        <f t="shared" si="31"/>
        <v>10729</v>
      </c>
      <c r="R42" s="120">
        <f t="shared" si="31"/>
        <v>1696</v>
      </c>
      <c r="S42" s="120">
        <f t="shared" si="31"/>
        <v>8172</v>
      </c>
      <c r="T42" s="120">
        <f t="shared" si="31"/>
        <v>-9419.4256000000296</v>
      </c>
      <c r="U42" s="120">
        <f t="shared" si="31"/>
        <v>-2086.8340600000274</v>
      </c>
      <c r="V42" s="120">
        <f t="shared" si="31"/>
        <v>521.02276000003508</v>
      </c>
      <c r="W42" s="120">
        <f t="shared" si="31"/>
        <v>7020.3861899999847</v>
      </c>
      <c r="X42" s="120">
        <f t="shared" si="31"/>
        <v>21346.167470000004</v>
      </c>
      <c r="Y42" s="120">
        <f t="shared" si="31"/>
        <v>9751.1492000000271</v>
      </c>
      <c r="Z42" s="120">
        <f t="shared" si="31"/>
        <v>16289.862300000037</v>
      </c>
      <c r="AA42" s="120">
        <f t="shared" si="31"/>
        <v>24166.161749999988</v>
      </c>
      <c r="AB42" s="120">
        <f t="shared" si="31"/>
        <v>67285.740540000013</v>
      </c>
      <c r="AC42" s="120">
        <f t="shared" si="31"/>
        <v>20228.373630000009</v>
      </c>
      <c r="AD42" s="120">
        <f t="shared" si="31"/>
        <v>35186.010869999962</v>
      </c>
      <c r="AE42" s="120">
        <f t="shared" si="31"/>
        <v>41036.324519999936</v>
      </c>
      <c r="AF42" s="120">
        <f t="shared" si="31"/>
        <v>47844.218080000021</v>
      </c>
      <c r="AG42" s="162">
        <f t="shared" si="31"/>
        <v>38196.874890000065</v>
      </c>
      <c r="AH42" s="120">
        <f t="shared" si="31"/>
        <v>43438.23685000003</v>
      </c>
      <c r="AI42" s="120">
        <f t="shared" si="31"/>
        <v>131448.98283000008</v>
      </c>
      <c r="AJ42" s="120">
        <f t="shared" si="31"/>
        <v>52214.259120000024</v>
      </c>
      <c r="AK42" s="120">
        <f t="shared" si="31"/>
        <v>26137.293390000006</v>
      </c>
      <c r="AL42" s="120">
        <f t="shared" si="31"/>
        <v>-8987.3549800000219</v>
      </c>
      <c r="AM42" s="120">
        <f t="shared" si="31"/>
        <v>41959.816120000018</v>
      </c>
      <c r="AN42" s="120">
        <f t="shared" si="31"/>
        <v>37941.838950000027</v>
      </c>
      <c r="AO42" s="120">
        <f t="shared" si="31"/>
        <v>28149.525060000004</v>
      </c>
      <c r="AP42" s="120">
        <f t="shared" si="31"/>
        <v>32336.520711199966</v>
      </c>
      <c r="AQ42" s="120">
        <f t="shared" si="31"/>
        <v>24630.560200000004</v>
      </c>
      <c r="AR42" s="120">
        <f t="shared" si="31"/>
        <v>39269.876089999903</v>
      </c>
      <c r="AS42" s="120">
        <f t="shared" si="31"/>
        <v>24073.300787217966</v>
      </c>
      <c r="AT42" s="120">
        <f>+SUM(AT39:AT41)</f>
        <v>38629.009675574947</v>
      </c>
      <c r="AU42" s="120">
        <f>+SUM(AU39:AU41)</f>
        <v>71117.286708399959</v>
      </c>
      <c r="AV42" s="120">
        <f>+SUM(AV39:AV41)</f>
        <v>74075.397767199946</v>
      </c>
      <c r="AW42" s="120">
        <f>+SUM(AW39:AW41)</f>
        <v>45356.504097799865</v>
      </c>
      <c r="AX42" s="120">
        <v>50438.467710000055</v>
      </c>
      <c r="AY42" s="120">
        <f t="shared" ref="AY42:BF42" si="32">+SUM(AY39:AY41)</f>
        <v>73080.841300000058</v>
      </c>
      <c r="AZ42" s="120">
        <f t="shared" si="32"/>
        <v>66601.116690000243</v>
      </c>
      <c r="BA42" s="120">
        <f t="shared" si="32"/>
        <v>53124.419359999818</v>
      </c>
      <c r="BB42" s="120">
        <f t="shared" si="32"/>
        <v>84658.85205999999</v>
      </c>
      <c r="BC42" s="120">
        <f t="shared" si="32"/>
        <v>120378.99087000008</v>
      </c>
      <c r="BD42" s="120">
        <f t="shared" si="32"/>
        <v>119306.46871969991</v>
      </c>
      <c r="BE42" s="120">
        <f t="shared" si="32"/>
        <v>62512.911169999934</v>
      </c>
      <c r="BF42" s="120">
        <f t="shared" si="32"/>
        <v>91845.928139999785</v>
      </c>
      <c r="BG42" s="120">
        <f>+SUM(BG39:BG41)</f>
        <v>111923.08006000005</v>
      </c>
      <c r="BH42" s="120">
        <f>+SUM(BH39:BH41)</f>
        <v>72089.762640000001</v>
      </c>
      <c r="BI42" s="120">
        <f>+SUM(BI39:BI41)</f>
        <v>57821.984769999952</v>
      </c>
      <c r="BJ42" s="120">
        <f>+SUM(BJ39:BJ41)</f>
        <v>118219.44730999976</v>
      </c>
    </row>
    <row r="43" spans="1:62" ht="14.1" customHeight="1" x14ac:dyDescent="0.2">
      <c r="A43" s="1" t="s">
        <v>15</v>
      </c>
      <c r="B43" s="19" t="s">
        <v>710</v>
      </c>
      <c r="C43" s="993" t="str">
        <f>IF([1]RENAME!$H$3=1,B43,A43)</f>
        <v>Imposto de renda e contribuição social</v>
      </c>
      <c r="D43" s="991" t="str">
        <f>HYPERLINK(Menu!$AY$32,C43)</f>
        <v>Imposto de renda e contribuição social</v>
      </c>
      <c r="E43" s="118">
        <f>+Auto!E44+LI!E44</f>
        <v>-8014</v>
      </c>
      <c r="F43" s="118">
        <f>+Auto!F44+LI!F44</f>
        <v>-8880</v>
      </c>
      <c r="G43" s="118">
        <f>+Auto!G44+LI!G44</f>
        <v>-8831</v>
      </c>
      <c r="H43" s="118">
        <f>+Auto!H44+LI!H44</f>
        <v>-14616</v>
      </c>
      <c r="I43" s="118">
        <f>+Auto!I44+LI!I44</f>
        <v>-1306</v>
      </c>
      <c r="J43" s="118">
        <f>+Auto!J44+LI!J44</f>
        <v>-14353</v>
      </c>
      <c r="K43" s="118">
        <f>+Auto!K44+LI!K44</f>
        <v>-3882</v>
      </c>
      <c r="L43" s="118">
        <f>+Auto!L44+LI!L44</f>
        <v>-12950</v>
      </c>
      <c r="M43" s="118">
        <f>+Auto!M44+LI!M44</f>
        <v>405</v>
      </c>
      <c r="N43" s="118">
        <f>+Auto!N44+LI!N44</f>
        <v>-1432</v>
      </c>
      <c r="O43" s="118">
        <f>+Auto!O44+LI!O44</f>
        <v>-24998</v>
      </c>
      <c r="P43" s="118">
        <f>+Auto!P44+LI!P44</f>
        <v>-27524</v>
      </c>
      <c r="Q43" s="118">
        <f>+Auto!Q44+LI!Q44</f>
        <v>-3229</v>
      </c>
      <c r="R43" s="118">
        <f>+Auto!R44+LI!R44</f>
        <v>-512</v>
      </c>
      <c r="S43" s="118">
        <f>+Auto!S44+LI!S44</f>
        <v>-3071</v>
      </c>
      <c r="T43" s="118">
        <f>+Auto!T44+LI!T44</f>
        <v>5565.3430946000008</v>
      </c>
      <c r="U43" s="118">
        <f>+Auto!U44+LI!U44</f>
        <v>183.8628799999999</v>
      </c>
      <c r="V43" s="118">
        <f>+Auto!V44+LI!V44</f>
        <v>-1208.8514899999998</v>
      </c>
      <c r="W43" s="118">
        <f>+Auto!W44+LI!W44</f>
        <v>-3177.8091100000006</v>
      </c>
      <c r="X43" s="118">
        <f>+Auto!X44+LI!X44</f>
        <v>-8770.0601499999993</v>
      </c>
      <c r="Y43" s="118">
        <f>+LI!Y44+Auto!Y44</f>
        <v>-4298.9159999999993</v>
      </c>
      <c r="Z43" s="260">
        <f>+LI!Z44+Auto!Z44</f>
        <v>7766.8676800000003</v>
      </c>
      <c r="AA43" s="118">
        <f>+LI!AA44+Auto!AA44</f>
        <v>-8879.3011299999998</v>
      </c>
      <c r="AB43" s="260">
        <f>+LI!AB44+Auto!AB44</f>
        <v>-8319.4488999999976</v>
      </c>
      <c r="AC43" s="118">
        <f>+LI!AC44+Auto!AC44</f>
        <v>-6233.9323800000002</v>
      </c>
      <c r="AD43" s="118">
        <f>+LI!AD44+Auto!AD44</f>
        <v>-7000.1369300000006</v>
      </c>
      <c r="AE43" s="118">
        <f>+LI!AE44+Auto!AE44</f>
        <v>-9929.7333699999981</v>
      </c>
      <c r="AF43" s="260">
        <f>+LI!AF44+Auto!AF44</f>
        <v>-12883.216170000002</v>
      </c>
      <c r="AG43" s="160">
        <f>+LI!AG44+Auto!AG44</f>
        <v>-11575.73976</v>
      </c>
      <c r="AH43" s="118">
        <f>+LI!AH44+Auto!AH44</f>
        <v>-10923.94203</v>
      </c>
      <c r="AI43" s="260">
        <f>+LI!AI44+Auto!AI44</f>
        <v>-40057.514450000002</v>
      </c>
      <c r="AJ43" s="118">
        <f>+LI!AJ44+Auto!AJ44</f>
        <v>-8769.3005799999992</v>
      </c>
      <c r="AK43" s="118">
        <f>+LI!AK44+Auto!AK44</f>
        <v>-6850.9689300000009</v>
      </c>
      <c r="AL43" s="118">
        <f>+LI!AL44+Auto!AL44</f>
        <v>4624.6438900000012</v>
      </c>
      <c r="AM43" s="118">
        <f>+LI!AM44+Auto!AM44</f>
        <v>-12021.130279999999</v>
      </c>
      <c r="AN43" s="118">
        <f>+LI!AN44+Auto!AN44</f>
        <v>-9295.3423600000006</v>
      </c>
      <c r="AO43" s="118">
        <f>+LI!AO44+Auto!AO44</f>
        <v>-7991.2797200000005</v>
      </c>
      <c r="AP43" s="118">
        <f>+LI!AP44+Auto!AP44</f>
        <v>-8180.5598599999994</v>
      </c>
      <c r="AQ43" s="260">
        <f>+LI!AQ44+Auto!AQ44</f>
        <v>9562.4248899999984</v>
      </c>
      <c r="AR43" s="118">
        <f>+LI!AR44+Auto!AR44</f>
        <v>-9991.3930699999983</v>
      </c>
      <c r="AS43" s="118">
        <v>-5290.6915800000006</v>
      </c>
      <c r="AT43" s="118">
        <f>+LI!AT44+Auto!AT44</f>
        <v>-8048.3106199999993</v>
      </c>
      <c r="AU43" s="118">
        <f>+LI!AU44+Auto!AU44</f>
        <v>-17648.283640000001</v>
      </c>
      <c r="AV43" s="118">
        <f>+LI!AV44+Auto!AV44</f>
        <v>-17243.035920000002</v>
      </c>
      <c r="AW43" s="118">
        <f>+LI!AW44+Auto!AW44</f>
        <v>-10633.6551</v>
      </c>
      <c r="AX43" s="118">
        <v>-10582.149069999999</v>
      </c>
      <c r="AY43" s="118">
        <f>+LI!AY44+Auto!AY44</f>
        <v>-16768.140070000001</v>
      </c>
      <c r="AZ43" s="118">
        <f>+LI!AZ44+Auto!AZ44</f>
        <v>-15580.42518</v>
      </c>
      <c r="BA43" s="118">
        <v>-15609.35252</v>
      </c>
      <c r="BB43" s="118">
        <v>-21144.194380000001</v>
      </c>
      <c r="BC43" s="118">
        <v>-35933.303370000001</v>
      </c>
      <c r="BD43" s="118">
        <v>-34169.50647</v>
      </c>
      <c r="BE43" s="118">
        <v>-18778.226869999999</v>
      </c>
      <c r="BF43" s="118">
        <v>-24727.419259999999</v>
      </c>
      <c r="BG43" s="118">
        <v>-32032.358809999998</v>
      </c>
      <c r="BH43" s="118">
        <v>-19871.384719999998</v>
      </c>
      <c r="BI43" s="118">
        <v>-19037.088650000002</v>
      </c>
      <c r="BJ43" s="118">
        <f>+LI!BJ44+Auto!BJ44</f>
        <v>-35103.761790000011</v>
      </c>
    </row>
    <row r="44" spans="1:62" ht="14.1" hidden="1" customHeight="1" outlineLevel="1" x14ac:dyDescent="0.2">
      <c r="A44" s="1" t="s">
        <v>57</v>
      </c>
      <c r="B44" s="19" t="s">
        <v>711</v>
      </c>
      <c r="C44" s="642"/>
      <c r="D44" s="119" t="str">
        <f>IF([1]RENAME!$H$3=1,B44,A44)</f>
        <v>Lucro líquido sem operação descontinuada</v>
      </c>
      <c r="E44" s="120">
        <f t="shared" ref="E44:AP44" si="33">SUM(E42:E43)</f>
        <v>14314</v>
      </c>
      <c r="F44" s="120">
        <f t="shared" si="33"/>
        <v>18921</v>
      </c>
      <c r="G44" s="120">
        <f t="shared" si="33"/>
        <v>30262</v>
      </c>
      <c r="H44" s="120">
        <f t="shared" si="33"/>
        <v>16978</v>
      </c>
      <c r="I44" s="120">
        <f t="shared" si="33"/>
        <v>999</v>
      </c>
      <c r="J44" s="120">
        <f t="shared" si="33"/>
        <v>15209</v>
      </c>
      <c r="K44" s="120">
        <f t="shared" si="33"/>
        <v>18348</v>
      </c>
      <c r="L44" s="120">
        <f t="shared" si="33"/>
        <v>4919</v>
      </c>
      <c r="M44" s="120">
        <f t="shared" si="33"/>
        <v>1303</v>
      </c>
      <c r="N44" s="120">
        <f t="shared" si="33"/>
        <v>19274</v>
      </c>
      <c r="O44" s="120">
        <f t="shared" si="33"/>
        <v>-1555</v>
      </c>
      <c r="P44" s="120">
        <f t="shared" si="33"/>
        <v>13395</v>
      </c>
      <c r="Q44" s="120">
        <f t="shared" si="33"/>
        <v>7500</v>
      </c>
      <c r="R44" s="120">
        <f t="shared" si="33"/>
        <v>1184</v>
      </c>
      <c r="S44" s="120">
        <f t="shared" si="33"/>
        <v>5101</v>
      </c>
      <c r="T44" s="120">
        <f t="shared" si="33"/>
        <v>-3854.0825054000288</v>
      </c>
      <c r="U44" s="120">
        <f t="shared" si="33"/>
        <v>-1902.9711800000275</v>
      </c>
      <c r="V44" s="120">
        <f t="shared" si="33"/>
        <v>-687.82872999996471</v>
      </c>
      <c r="W44" s="120">
        <f t="shared" si="33"/>
        <v>3842.5770799999841</v>
      </c>
      <c r="X44" s="120">
        <f t="shared" si="33"/>
        <v>12576.107320000005</v>
      </c>
      <c r="Y44" s="120">
        <f t="shared" si="33"/>
        <v>5452.2332000000279</v>
      </c>
      <c r="Z44" s="120">
        <f t="shared" si="33"/>
        <v>24056.729980000036</v>
      </c>
      <c r="AA44" s="120">
        <f t="shared" si="33"/>
        <v>15286.860619999989</v>
      </c>
      <c r="AB44" s="120">
        <f t="shared" si="33"/>
        <v>58966.291640000018</v>
      </c>
      <c r="AC44" s="120">
        <f t="shared" si="33"/>
        <v>13994.441250000009</v>
      </c>
      <c r="AD44" s="120">
        <f t="shared" si="33"/>
        <v>28185.873939999961</v>
      </c>
      <c r="AE44" s="120">
        <f t="shared" si="33"/>
        <v>31106.591149999938</v>
      </c>
      <c r="AF44" s="120">
        <f t="shared" si="33"/>
        <v>34961.001910000021</v>
      </c>
      <c r="AG44" s="162">
        <f t="shared" si="33"/>
        <v>26621.135130000064</v>
      </c>
      <c r="AH44" s="120">
        <f t="shared" si="33"/>
        <v>32514.294820000032</v>
      </c>
      <c r="AI44" s="120">
        <f t="shared" si="33"/>
        <v>91391.468380000078</v>
      </c>
      <c r="AJ44" s="120">
        <f t="shared" si="33"/>
        <v>43444.958540000021</v>
      </c>
      <c r="AK44" s="120">
        <f t="shared" si="33"/>
        <v>19286.324460000003</v>
      </c>
      <c r="AL44" s="120">
        <f t="shared" si="33"/>
        <v>-4362.7110900000207</v>
      </c>
      <c r="AM44" s="120">
        <f t="shared" si="33"/>
        <v>29938.68584000002</v>
      </c>
      <c r="AN44" s="120">
        <f t="shared" si="33"/>
        <v>28646.496590000024</v>
      </c>
      <c r="AO44" s="120">
        <f t="shared" si="33"/>
        <v>20158.245340000001</v>
      </c>
      <c r="AP44" s="120">
        <f t="shared" si="33"/>
        <v>24155.960851199969</v>
      </c>
      <c r="AQ44" s="120">
        <f t="shared" ref="AQ44:AV44" si="34">SUM(AQ42:AQ43)</f>
        <v>34192.985090000002</v>
      </c>
      <c r="AR44" s="120">
        <f t="shared" si="34"/>
        <v>29278.483019999905</v>
      </c>
      <c r="AS44" s="120">
        <f t="shared" si="34"/>
        <v>18782.609207217967</v>
      </c>
      <c r="AT44" s="120">
        <f t="shared" si="34"/>
        <v>30580.699055574947</v>
      </c>
      <c r="AU44" s="120">
        <f t="shared" si="34"/>
        <v>53469.003068399958</v>
      </c>
      <c r="AV44" s="120">
        <f t="shared" si="34"/>
        <v>56832.361847199943</v>
      </c>
      <c r="AW44" s="120">
        <f>SUM(AW42:AW43)</f>
        <v>34722.848997799869</v>
      </c>
      <c r="AX44" s="120">
        <v>39856.318640000056</v>
      </c>
      <c r="AY44" s="120">
        <f t="shared" ref="AY44:BF44" si="35">SUM(AY42:AY43)</f>
        <v>56312.701230000057</v>
      </c>
      <c r="AZ44" s="120">
        <f t="shared" si="35"/>
        <v>51020.691510000244</v>
      </c>
      <c r="BA44" s="120">
        <f t="shared" si="35"/>
        <v>37515.066839999818</v>
      </c>
      <c r="BB44" s="120">
        <f t="shared" si="35"/>
        <v>63514.657679999989</v>
      </c>
      <c r="BC44" s="120">
        <f t="shared" si="35"/>
        <v>84445.687500000087</v>
      </c>
      <c r="BD44" s="120">
        <f t="shared" si="35"/>
        <v>85136.962249699922</v>
      </c>
      <c r="BE44" s="120">
        <f t="shared" si="35"/>
        <v>43734.684299999935</v>
      </c>
      <c r="BF44" s="120">
        <f t="shared" si="35"/>
        <v>67118.50887999979</v>
      </c>
      <c r="BG44" s="120">
        <f>SUM(BG42:BG43)</f>
        <v>79890.721250000061</v>
      </c>
      <c r="BH44" s="120">
        <f>SUM(BH42:BH43)</f>
        <v>52218.377919999999</v>
      </c>
      <c r="BI44" s="120">
        <f>SUM(BI42:BI43)</f>
        <v>38784.896119999947</v>
      </c>
      <c r="BJ44" s="120">
        <f>SUM(BJ42:BJ43)</f>
        <v>83115.685519999737</v>
      </c>
    </row>
    <row r="45" spans="1:62" s="220" customFormat="1" ht="14.1" hidden="1" customHeight="1" outlineLevel="1" x14ac:dyDescent="0.2">
      <c r="A45" s="220" t="s">
        <v>1552</v>
      </c>
      <c r="B45" s="230" t="s">
        <v>712</v>
      </c>
      <c r="C45" s="642"/>
      <c r="D45" s="229" t="str">
        <f>IF([1]RENAME!$H$3=1,B45,A45)</f>
        <v>Prejuízo da operação descontinuada</v>
      </c>
      <c r="E45" s="225">
        <f>+Auto!E46+LI!E46</f>
        <v>0</v>
      </c>
      <c r="F45" s="225">
        <f>+Auto!F46+LI!F46</f>
        <v>0</v>
      </c>
      <c r="G45" s="225">
        <f>+Auto!G46+LI!G46</f>
        <v>0</v>
      </c>
      <c r="H45" s="225">
        <f>+Auto!H46+LI!H46</f>
        <v>0</v>
      </c>
      <c r="I45" s="225">
        <f>+Auto!I46+LI!I46</f>
        <v>0</v>
      </c>
      <c r="J45" s="225">
        <f>+Auto!J46+LI!J46</f>
        <v>0</v>
      </c>
      <c r="K45" s="225">
        <f>+Auto!K46+LI!K46</f>
        <v>0</v>
      </c>
      <c r="L45" s="225">
        <f>+Auto!L46+LI!L46</f>
        <v>0</v>
      </c>
      <c r="M45" s="225">
        <f>+Auto!M46+LI!M46</f>
        <v>0</v>
      </c>
      <c r="N45" s="225">
        <f>+Auto!N46+LI!N46</f>
        <v>-29236</v>
      </c>
      <c r="O45" s="225">
        <f>+Auto!O46+LI!O46</f>
        <v>-21062</v>
      </c>
      <c r="P45" s="225">
        <f>+Auto!P46+LI!P46</f>
        <v>0</v>
      </c>
      <c r="Q45" s="225">
        <f>+Auto!Q46+LI!Q46</f>
        <v>0</v>
      </c>
      <c r="R45" s="225">
        <f>+Auto!R46+LI!R46</f>
        <v>0</v>
      </c>
      <c r="S45" s="225">
        <f>+Auto!S46+LI!S46</f>
        <v>0</v>
      </c>
      <c r="T45" s="225">
        <f>+Auto!T46+LI!T46</f>
        <v>0</v>
      </c>
      <c r="U45" s="225">
        <f>+Auto!U46+LI!U46</f>
        <v>0</v>
      </c>
      <c r="V45" s="225">
        <f>+Auto!V46+LI!V46</f>
        <v>0</v>
      </c>
      <c r="W45" s="225">
        <f>+Auto!W46+LI!W46</f>
        <v>0</v>
      </c>
      <c r="X45" s="225">
        <f>+Auto!X46+LI!X46</f>
        <v>0</v>
      </c>
      <c r="Y45" s="225">
        <f>+Auto!Y46+LI!Y46</f>
        <v>0</v>
      </c>
      <c r="Z45" s="225">
        <f>+Auto!Z46+LI!Z46</f>
        <v>0</v>
      </c>
      <c r="AA45" s="225">
        <f>+Auto!AA46+LI!AA46</f>
        <v>0</v>
      </c>
      <c r="AB45" s="225">
        <f>+Auto!AB46+LI!AB46</f>
        <v>0</v>
      </c>
      <c r="AC45" s="121">
        <f>+Auto!AC46+LI!AC46</f>
        <v>0</v>
      </c>
      <c r="AD45" s="121">
        <f>+Auto!AD46+LI!AD46</f>
        <v>0</v>
      </c>
      <c r="AE45" s="121">
        <f>+Auto!AE46+LI!AE46</f>
        <v>0</v>
      </c>
      <c r="AF45" s="121">
        <f>+Auto!AF46+LI!AF46</f>
        <v>0</v>
      </c>
      <c r="AG45" s="749">
        <v>0</v>
      </c>
      <c r="AH45" s="121">
        <v>0</v>
      </c>
      <c r="AI45" s="121">
        <v>0</v>
      </c>
      <c r="AJ45" s="121">
        <v>0</v>
      </c>
      <c r="AK45" s="121">
        <v>0</v>
      </c>
      <c r="AL45" s="121">
        <v>0</v>
      </c>
      <c r="AM45" s="121">
        <v>0</v>
      </c>
      <c r="AN45" s="121">
        <v>0</v>
      </c>
      <c r="AO45" s="121">
        <v>0</v>
      </c>
      <c r="AP45" s="121">
        <v>0</v>
      </c>
      <c r="AQ45" s="121">
        <v>0</v>
      </c>
      <c r="AR45" s="121">
        <v>0</v>
      </c>
      <c r="AS45" s="121">
        <v>0</v>
      </c>
      <c r="AT45" s="121">
        <v>0</v>
      </c>
      <c r="AU45" s="121">
        <v>0</v>
      </c>
      <c r="AV45" s="121">
        <v>0</v>
      </c>
      <c r="AW45" s="121">
        <v>0</v>
      </c>
      <c r="AX45" s="121">
        <v>0</v>
      </c>
      <c r="AY45" s="121">
        <v>0</v>
      </c>
      <c r="AZ45" s="121">
        <v>0</v>
      </c>
      <c r="BA45" s="121">
        <v>0</v>
      </c>
      <c r="BB45" s="121">
        <v>0</v>
      </c>
      <c r="BC45" s="121"/>
      <c r="BD45" s="121">
        <v>0</v>
      </c>
      <c r="BE45" s="121">
        <v>0</v>
      </c>
      <c r="BF45" s="121">
        <v>0</v>
      </c>
      <c r="BG45" s="121">
        <v>0</v>
      </c>
      <c r="BH45" s="121">
        <v>0</v>
      </c>
      <c r="BI45" s="121">
        <v>0</v>
      </c>
      <c r="BJ45" s="121">
        <v>0</v>
      </c>
    </row>
    <row r="46" spans="1:62" s="220" customFormat="1" ht="14.1" hidden="1" customHeight="1" outlineLevel="1" x14ac:dyDescent="0.2">
      <c r="A46" s="220" t="s">
        <v>1553</v>
      </c>
      <c r="B46" s="230" t="s">
        <v>713</v>
      </c>
      <c r="C46" s="642"/>
      <c r="D46" s="229" t="str">
        <f>IF([1]RENAME!$H$3=1,B46,A46)</f>
        <v>Efeitos extraordinários relacionados à venda da direct</v>
      </c>
      <c r="E46" s="225">
        <f>+Auto!E47+LI!E47</f>
        <v>-417</v>
      </c>
      <c r="F46" s="225">
        <f>+Auto!F47+LI!F47</f>
        <v>217</v>
      </c>
      <c r="G46" s="225">
        <f>+Auto!G47+LI!G47</f>
        <v>2658</v>
      </c>
      <c r="H46" s="225">
        <f>+Auto!H47+LI!H47</f>
        <v>434</v>
      </c>
      <c r="I46" s="225">
        <f>+Auto!I47+LI!I47</f>
        <v>3223</v>
      </c>
      <c r="J46" s="225">
        <f>+Auto!J47+LI!J47</f>
        <v>2704</v>
      </c>
      <c r="K46" s="225">
        <f>+Auto!K47+LI!K47</f>
        <v>2744</v>
      </c>
      <c r="L46" s="225">
        <f>+Auto!L47+LI!L47</f>
        <v>1309</v>
      </c>
      <c r="M46" s="225">
        <f>+Auto!M47+LI!M47</f>
        <v>-4</v>
      </c>
      <c r="N46" s="225">
        <f>+Auto!N47+LI!N47</f>
        <v>-7</v>
      </c>
      <c r="O46" s="225">
        <f>+Auto!O47+LI!O47</f>
        <v>-5069</v>
      </c>
      <c r="P46" s="225">
        <f>+Auto!P47+LI!P47</f>
        <v>-2</v>
      </c>
      <c r="Q46" s="225">
        <f>+Auto!Q47+LI!Q47</f>
        <v>0</v>
      </c>
      <c r="R46" s="225">
        <f>+Auto!R47+LI!R47</f>
        <v>0</v>
      </c>
      <c r="S46" s="225">
        <f>+Auto!S47+LI!S47</f>
        <v>0</v>
      </c>
      <c r="T46" s="225">
        <f>+Auto!T47+LI!T47</f>
        <v>0</v>
      </c>
      <c r="U46" s="225">
        <f>+Auto!U47+LI!U47</f>
        <v>0</v>
      </c>
      <c r="V46" s="225">
        <f>+Auto!V47+LI!V47</f>
        <v>0</v>
      </c>
      <c r="W46" s="225">
        <f>+Auto!W47+LI!W47</f>
        <v>0</v>
      </c>
      <c r="X46" s="225">
        <f>+Auto!X47+LI!X47</f>
        <v>0</v>
      </c>
      <c r="Y46" s="225">
        <f>+Auto!Y47+LI!Y47</f>
        <v>0</v>
      </c>
      <c r="Z46" s="225">
        <f>+Auto!Z47+LI!Z47</f>
        <v>0</v>
      </c>
      <c r="AA46" s="225">
        <f>+Auto!AA47+LI!AA47</f>
        <v>0</v>
      </c>
      <c r="AB46" s="225">
        <f>+Auto!AB47+LI!AB47</f>
        <v>0</v>
      </c>
      <c r="AC46" s="121">
        <f>+Auto!AC47+LI!AC47</f>
        <v>0</v>
      </c>
      <c r="AD46" s="121">
        <f>+Auto!AD47+LI!AD47</f>
        <v>0</v>
      </c>
      <c r="AE46" s="121">
        <f>+Auto!AE47+LI!AE47</f>
        <v>0</v>
      </c>
      <c r="AF46" s="121">
        <f>+Auto!AF47+LI!AF47</f>
        <v>0</v>
      </c>
      <c r="AG46" s="749">
        <v>0</v>
      </c>
      <c r="AH46" s="121">
        <v>0</v>
      </c>
      <c r="AI46" s="121">
        <v>0</v>
      </c>
      <c r="AJ46" s="121">
        <v>0</v>
      </c>
      <c r="AK46" s="121">
        <v>0</v>
      </c>
      <c r="AL46" s="121">
        <v>0</v>
      </c>
      <c r="AM46" s="121">
        <v>0</v>
      </c>
      <c r="AN46" s="121">
        <v>0</v>
      </c>
      <c r="AO46" s="121">
        <v>0</v>
      </c>
      <c r="AP46" s="121">
        <v>0</v>
      </c>
      <c r="AQ46" s="121">
        <v>0</v>
      </c>
      <c r="AR46" s="121">
        <v>0</v>
      </c>
      <c r="AS46" s="121">
        <v>0</v>
      </c>
      <c r="AT46" s="121">
        <v>0</v>
      </c>
      <c r="AU46" s="121">
        <v>0</v>
      </c>
      <c r="AV46" s="121">
        <v>0</v>
      </c>
      <c r="AW46" s="121">
        <v>0</v>
      </c>
      <c r="AX46" s="121">
        <v>0</v>
      </c>
      <c r="AY46" s="121">
        <v>0</v>
      </c>
      <c r="AZ46" s="121">
        <v>0</v>
      </c>
      <c r="BA46" s="121">
        <v>0</v>
      </c>
      <c r="BB46" s="121">
        <v>0</v>
      </c>
      <c r="BC46" s="121"/>
      <c r="BD46" s="121">
        <v>0</v>
      </c>
      <c r="BE46" s="121">
        <v>0</v>
      </c>
      <c r="BF46" s="121">
        <v>0</v>
      </c>
      <c r="BG46" s="121">
        <v>0</v>
      </c>
      <c r="BH46" s="121">
        <v>0</v>
      </c>
      <c r="BI46" s="121">
        <v>0</v>
      </c>
      <c r="BJ46" s="121">
        <v>0</v>
      </c>
    </row>
    <row r="47" spans="1:62" s="220" customFormat="1" ht="14.1" hidden="1" customHeight="1" outlineLevel="1" x14ac:dyDescent="0.2">
      <c r="A47" s="220" t="s">
        <v>1554</v>
      </c>
      <c r="B47" s="230" t="s">
        <v>686</v>
      </c>
      <c r="C47" s="642"/>
      <c r="D47" s="229" t="str">
        <f>IF([1]RENAME!$H$3=1,B47,A47)</f>
        <v>Participação dos minoritários</v>
      </c>
      <c r="E47" s="121" t="s">
        <v>160</v>
      </c>
      <c r="F47" s="121" t="s">
        <v>160</v>
      </c>
      <c r="G47" s="121" t="s">
        <v>160</v>
      </c>
      <c r="H47" s="121" t="s">
        <v>160</v>
      </c>
      <c r="I47" s="121" t="s">
        <v>160</v>
      </c>
      <c r="J47" s="121" t="s">
        <v>160</v>
      </c>
      <c r="K47" s="121" t="s">
        <v>160</v>
      </c>
      <c r="L47" s="121" t="s">
        <v>160</v>
      </c>
      <c r="M47" s="121" t="s">
        <v>160</v>
      </c>
      <c r="N47" s="121" t="s">
        <v>160</v>
      </c>
      <c r="O47" s="121" t="s">
        <v>160</v>
      </c>
      <c r="P47" s="121" t="s">
        <v>160</v>
      </c>
      <c r="Q47" s="121" t="s">
        <v>160</v>
      </c>
      <c r="R47" s="121" t="s">
        <v>160</v>
      </c>
      <c r="S47" s="121" t="s">
        <v>160</v>
      </c>
      <c r="T47" s="121" t="s">
        <v>160</v>
      </c>
      <c r="U47" s="121" t="s">
        <v>160</v>
      </c>
      <c r="V47" s="121" t="s">
        <v>160</v>
      </c>
      <c r="W47" s="121" t="s">
        <v>160</v>
      </c>
      <c r="X47" s="121" t="s">
        <v>160</v>
      </c>
      <c r="Y47" s="121" t="s">
        <v>160</v>
      </c>
      <c r="Z47" s="121" t="s">
        <v>160</v>
      </c>
      <c r="AA47" s="121" t="s">
        <v>160</v>
      </c>
      <c r="AB47" s="121" t="s">
        <v>160</v>
      </c>
      <c r="AC47" s="121" t="s">
        <v>160</v>
      </c>
      <c r="AD47" s="121" t="s">
        <v>160</v>
      </c>
      <c r="AE47" s="121" t="s">
        <v>160</v>
      </c>
      <c r="AF47" s="121" t="s">
        <v>160</v>
      </c>
      <c r="AG47" s="749">
        <v>0</v>
      </c>
      <c r="AH47" s="121">
        <v>0</v>
      </c>
      <c r="AI47" s="121">
        <v>0</v>
      </c>
      <c r="AJ47" s="121">
        <v>0</v>
      </c>
      <c r="AK47" s="121">
        <v>0</v>
      </c>
      <c r="AL47" s="121">
        <v>0</v>
      </c>
      <c r="AM47" s="121">
        <v>0</v>
      </c>
      <c r="AN47" s="121">
        <v>0</v>
      </c>
      <c r="AO47" s="121">
        <v>0</v>
      </c>
      <c r="AP47" s="121">
        <v>0</v>
      </c>
      <c r="AQ47" s="121">
        <v>0</v>
      </c>
      <c r="AR47" s="121">
        <v>0</v>
      </c>
      <c r="AS47" s="121">
        <v>0</v>
      </c>
      <c r="AT47" s="121">
        <v>0</v>
      </c>
      <c r="AU47" s="121">
        <v>0</v>
      </c>
      <c r="AV47" s="121">
        <v>0</v>
      </c>
      <c r="AW47" s="121">
        <v>0</v>
      </c>
      <c r="AX47" s="121">
        <v>0</v>
      </c>
      <c r="AY47" s="121">
        <v>0</v>
      </c>
      <c r="AZ47" s="121">
        <v>0</v>
      </c>
      <c r="BA47" s="121">
        <v>0</v>
      </c>
      <c r="BB47" s="121">
        <v>0</v>
      </c>
      <c r="BC47" s="121"/>
      <c r="BD47" s="121">
        <v>0</v>
      </c>
      <c r="BE47" s="121">
        <v>0</v>
      </c>
      <c r="BF47" s="121">
        <v>0</v>
      </c>
      <c r="BG47" s="121">
        <v>0</v>
      </c>
      <c r="BH47" s="121">
        <v>0</v>
      </c>
      <c r="BI47" s="121">
        <v>0</v>
      </c>
      <c r="BJ47" s="121">
        <v>0</v>
      </c>
    </row>
    <row r="48" spans="1:62" ht="14.1" customHeight="1" collapsed="1" x14ac:dyDescent="0.2">
      <c r="A48" s="1" t="s">
        <v>72</v>
      </c>
      <c r="B48" s="19" t="s">
        <v>714</v>
      </c>
      <c r="C48" s="642"/>
      <c r="D48" s="119" t="str">
        <f>IF([1]RENAME!$H$3=1,B48,A48)</f>
        <v>Lucro líquido</v>
      </c>
      <c r="E48" s="120">
        <f t="shared" ref="E48:AP48" si="36">SUM(E44:E47)</f>
        <v>13897</v>
      </c>
      <c r="F48" s="120">
        <f t="shared" si="36"/>
        <v>19138</v>
      </c>
      <c r="G48" s="120">
        <f t="shared" si="36"/>
        <v>32920</v>
      </c>
      <c r="H48" s="120">
        <f t="shared" si="36"/>
        <v>17412</v>
      </c>
      <c r="I48" s="120">
        <f t="shared" si="36"/>
        <v>4222</v>
      </c>
      <c r="J48" s="120">
        <f t="shared" si="36"/>
        <v>17913</v>
      </c>
      <c r="K48" s="120">
        <f t="shared" si="36"/>
        <v>21092</v>
      </c>
      <c r="L48" s="120">
        <f t="shared" si="36"/>
        <v>6228</v>
      </c>
      <c r="M48" s="120">
        <f t="shared" si="36"/>
        <v>1299</v>
      </c>
      <c r="N48" s="120">
        <f t="shared" si="36"/>
        <v>-9969</v>
      </c>
      <c r="O48" s="120">
        <f t="shared" si="36"/>
        <v>-27686</v>
      </c>
      <c r="P48" s="120">
        <f t="shared" si="36"/>
        <v>13393</v>
      </c>
      <c r="Q48" s="120">
        <f t="shared" si="36"/>
        <v>7500</v>
      </c>
      <c r="R48" s="120">
        <f t="shared" si="36"/>
        <v>1184</v>
      </c>
      <c r="S48" s="120">
        <f t="shared" si="36"/>
        <v>5101</v>
      </c>
      <c r="T48" s="120">
        <f t="shared" si="36"/>
        <v>-3854.0825054000288</v>
      </c>
      <c r="U48" s="120">
        <f t="shared" si="36"/>
        <v>-1902.9711800000275</v>
      </c>
      <c r="V48" s="120">
        <f t="shared" si="36"/>
        <v>-687.82872999996471</v>
      </c>
      <c r="W48" s="120">
        <f t="shared" si="36"/>
        <v>3842.5770799999841</v>
      </c>
      <c r="X48" s="120">
        <f t="shared" si="36"/>
        <v>12576.107320000005</v>
      </c>
      <c r="Y48" s="120">
        <f t="shared" si="36"/>
        <v>5452.2332000000279</v>
      </c>
      <c r="Z48" s="120">
        <f t="shared" si="36"/>
        <v>24056.729980000036</v>
      </c>
      <c r="AA48" s="120">
        <f t="shared" si="36"/>
        <v>15286.860619999989</v>
      </c>
      <c r="AB48" s="120">
        <f t="shared" si="36"/>
        <v>58966.291640000018</v>
      </c>
      <c r="AC48" s="120">
        <f t="shared" si="36"/>
        <v>13994.441250000009</v>
      </c>
      <c r="AD48" s="120">
        <f t="shared" si="36"/>
        <v>28185.873939999961</v>
      </c>
      <c r="AE48" s="120">
        <f t="shared" si="36"/>
        <v>31106.591149999938</v>
      </c>
      <c r="AF48" s="120">
        <f t="shared" si="36"/>
        <v>34961.001910000021</v>
      </c>
      <c r="AG48" s="162">
        <f t="shared" si="36"/>
        <v>26621.135130000064</v>
      </c>
      <c r="AH48" s="120">
        <f t="shared" si="36"/>
        <v>32514.294820000032</v>
      </c>
      <c r="AI48" s="120">
        <f t="shared" si="36"/>
        <v>91391.468380000078</v>
      </c>
      <c r="AJ48" s="120">
        <f t="shared" si="36"/>
        <v>43444.958540000021</v>
      </c>
      <c r="AK48" s="120">
        <f t="shared" si="36"/>
        <v>19286.324460000003</v>
      </c>
      <c r="AL48" s="120">
        <f t="shared" si="36"/>
        <v>-4362.7110900000207</v>
      </c>
      <c r="AM48" s="120">
        <f t="shared" si="36"/>
        <v>29938.68584000002</v>
      </c>
      <c r="AN48" s="120">
        <f t="shared" si="36"/>
        <v>28646.496590000024</v>
      </c>
      <c r="AO48" s="120">
        <f t="shared" si="36"/>
        <v>20158.245340000001</v>
      </c>
      <c r="AP48" s="120">
        <f t="shared" si="36"/>
        <v>24155.960851199969</v>
      </c>
      <c r="AQ48" s="120">
        <f t="shared" ref="AQ48:AV48" si="37">SUM(AQ44:AQ47)</f>
        <v>34192.985090000002</v>
      </c>
      <c r="AR48" s="120">
        <f t="shared" si="37"/>
        <v>29278.483019999905</v>
      </c>
      <c r="AS48" s="120">
        <f t="shared" si="37"/>
        <v>18782.609207217967</v>
      </c>
      <c r="AT48" s="120">
        <f t="shared" si="37"/>
        <v>30580.699055574947</v>
      </c>
      <c r="AU48" s="120">
        <f t="shared" si="37"/>
        <v>53469.003068399958</v>
      </c>
      <c r="AV48" s="120">
        <f t="shared" si="37"/>
        <v>56832.361847199943</v>
      </c>
      <c r="AW48" s="120">
        <f>SUM(AW44:AW47)</f>
        <v>34722.848997799869</v>
      </c>
      <c r="AX48" s="120">
        <v>39856.318640000056</v>
      </c>
      <c r="AY48" s="120">
        <f t="shared" ref="AY48:BF48" si="38">SUM(AY44:AY47)</f>
        <v>56312.701230000057</v>
      </c>
      <c r="AZ48" s="120">
        <f t="shared" si="38"/>
        <v>51020.691510000244</v>
      </c>
      <c r="BA48" s="120">
        <f t="shared" si="38"/>
        <v>37515.066839999818</v>
      </c>
      <c r="BB48" s="120">
        <f t="shared" si="38"/>
        <v>63514.657679999989</v>
      </c>
      <c r="BC48" s="120">
        <f t="shared" si="38"/>
        <v>84445.687500000087</v>
      </c>
      <c r="BD48" s="120">
        <v>85136.962249699922</v>
      </c>
      <c r="BE48" s="120">
        <f t="shared" si="38"/>
        <v>43734.684299999935</v>
      </c>
      <c r="BF48" s="120">
        <f t="shared" si="38"/>
        <v>67118.50887999979</v>
      </c>
      <c r="BG48" s="120">
        <f>SUM(BG44:BG47)</f>
        <v>79890.721250000061</v>
      </c>
      <c r="BH48" s="120">
        <f>SUM(BH44:BH47)</f>
        <v>52218.377919999999</v>
      </c>
      <c r="BI48" s="120">
        <f>SUM(BI44:BI47)</f>
        <v>38784.896119999947</v>
      </c>
      <c r="BJ48" s="120">
        <f>SUM(BJ44:BJ47)</f>
        <v>83115.685519999737</v>
      </c>
    </row>
    <row r="49" spans="1:62" ht="14.1" customHeight="1" x14ac:dyDescent="0.2">
      <c r="A49" s="1" t="s">
        <v>1554</v>
      </c>
      <c r="B49" s="19" t="s">
        <v>686</v>
      </c>
      <c r="C49" s="16"/>
      <c r="D49" s="335" t="str">
        <f>IF([1]RENAME!$H$3=1,B49,A49)</f>
        <v>Participação dos minoritários</v>
      </c>
      <c r="E49" s="121">
        <f>+Auto!E49+LI!E49</f>
        <v>0</v>
      </c>
      <c r="F49" s="121">
        <f>+Auto!F49+LI!F49</f>
        <v>0</v>
      </c>
      <c r="G49" s="121">
        <f>+Auto!G49+LI!G49</f>
        <v>0</v>
      </c>
      <c r="H49" s="121">
        <f>+Auto!H49+LI!H49</f>
        <v>0</v>
      </c>
      <c r="I49" s="121">
        <f>+Auto!I49+LI!I49</f>
        <v>0</v>
      </c>
      <c r="J49" s="121">
        <f>+Auto!J49+LI!J49</f>
        <v>0</v>
      </c>
      <c r="K49" s="121">
        <f>+Auto!K49+LI!K49</f>
        <v>0</v>
      </c>
      <c r="L49" s="121">
        <f>+Auto!L49+LI!L49</f>
        <v>0</v>
      </c>
      <c r="M49" s="121">
        <f>+Auto!M49+LI!M49</f>
        <v>0</v>
      </c>
      <c r="N49" s="121">
        <f>+Auto!N49+LI!N49</f>
        <v>0</v>
      </c>
      <c r="O49" s="121">
        <f>+Auto!O49+LI!O49</f>
        <v>0</v>
      </c>
      <c r="P49" s="121">
        <f>+Auto!P49+LI!P49</f>
        <v>0</v>
      </c>
      <c r="Q49" s="121">
        <f>+Auto!Q49+LI!Q49</f>
        <v>0</v>
      </c>
      <c r="R49" s="121">
        <f>+Auto!R49+LI!R49</f>
        <v>0</v>
      </c>
      <c r="S49" s="121">
        <f>+Auto!S49+LI!S49</f>
        <v>0</v>
      </c>
      <c r="T49" s="121">
        <f>+Auto!T49+LI!T49</f>
        <v>0</v>
      </c>
      <c r="U49" s="121">
        <f>+Auto!U49+LI!U49</f>
        <v>0</v>
      </c>
      <c r="V49" s="121">
        <f>+Auto!V49+LI!V49</f>
        <v>0</v>
      </c>
      <c r="W49" s="121">
        <f>+Auto!W49+LI!W49</f>
        <v>0</v>
      </c>
      <c r="X49" s="121">
        <f>+Auto!X49+LI!X49</f>
        <v>0</v>
      </c>
      <c r="Y49" s="121">
        <f>+Auto!Y49+LI!Y49</f>
        <v>0</v>
      </c>
      <c r="Z49" s="121">
        <f>+Auto!Z49+LI!Z49</f>
        <v>0</v>
      </c>
      <c r="AA49" s="121">
        <f>+Auto!AA49+LI!AA49</f>
        <v>0</v>
      </c>
      <c r="AB49" s="121">
        <f>+Auto!AB49+LI!AB49</f>
        <v>0</v>
      </c>
      <c r="AC49" s="121">
        <f>+Auto!AC49+LI!AC49</f>
        <v>0</v>
      </c>
      <c r="AD49" s="121">
        <f>+Auto!AD49+LI!AD49</f>
        <v>0</v>
      </c>
      <c r="AE49" s="121">
        <f>+Auto!AE49+LI!AE49</f>
        <v>0</v>
      </c>
      <c r="AF49" s="121">
        <f>+Auto!AF49+LI!AF49</f>
        <v>0</v>
      </c>
      <c r="AG49" s="749">
        <v>0</v>
      </c>
      <c r="AH49" s="121">
        <v>0</v>
      </c>
      <c r="AI49" s="121">
        <v>0</v>
      </c>
      <c r="AJ49" s="121">
        <v>0</v>
      </c>
      <c r="AK49" s="121">
        <v>0</v>
      </c>
      <c r="AL49" s="121">
        <v>0</v>
      </c>
      <c r="AM49" s="121">
        <v>0</v>
      </c>
      <c r="AN49" s="487">
        <v>-117</v>
      </c>
      <c r="AO49" s="487">
        <v>-90</v>
      </c>
      <c r="AP49" s="487">
        <v>-27.967488800000002</v>
      </c>
      <c r="AQ49" s="487">
        <v>-44</v>
      </c>
      <c r="AR49" s="487">
        <v>-146</v>
      </c>
      <c r="AS49" s="487">
        <v>73</v>
      </c>
      <c r="AT49" s="487">
        <v>111.34514557500006</v>
      </c>
      <c r="AU49" s="487">
        <v>74.033388400000135</v>
      </c>
      <c r="AV49" s="487">
        <v>109.679</v>
      </c>
      <c r="AW49" s="487">
        <v>224.09200000000001</v>
      </c>
      <c r="AX49" s="487">
        <v>196.09647000000001</v>
      </c>
      <c r="AY49" s="487">
        <f>DRE!BD29</f>
        <v>136.32814999999999</v>
      </c>
      <c r="AZ49" s="487">
        <f>DRE!BE29</f>
        <v>-56.032869999999996</v>
      </c>
      <c r="BA49" s="487">
        <v>232.13898999999998</v>
      </c>
      <c r="BB49" s="487">
        <v>262.44155999999998</v>
      </c>
      <c r="BC49" s="487">
        <v>224.55350000000001</v>
      </c>
      <c r="BD49" s="487">
        <v>75.921869999999998</v>
      </c>
      <c r="BE49" s="487">
        <v>0</v>
      </c>
      <c r="BF49" s="487">
        <v>0</v>
      </c>
      <c r="BG49" s="487">
        <f>DRE!BL29</f>
        <v>0</v>
      </c>
      <c r="BH49" s="487">
        <f>DRE!BM29</f>
        <v>0</v>
      </c>
      <c r="BI49" s="487">
        <f>DRE!BN29</f>
        <v>0</v>
      </c>
      <c r="BJ49" s="487">
        <f>DRE!BO29</f>
        <v>0</v>
      </c>
    </row>
    <row r="50" spans="1:62" ht="14.1" customHeight="1" x14ac:dyDescent="0.2">
      <c r="A50" s="516" t="s">
        <v>1839</v>
      </c>
      <c r="B50" s="516"/>
      <c r="C50" s="642"/>
      <c r="D50" s="124" t="str">
        <f>IF([1]RENAME!$H$3=1,B50,A50)</f>
        <v>Atribuível aos acionistas controladores</v>
      </c>
      <c r="E50" s="125">
        <f t="shared" ref="E50:AP50" si="39">+E48-E49</f>
        <v>13897</v>
      </c>
      <c r="F50" s="125">
        <f t="shared" si="39"/>
        <v>19138</v>
      </c>
      <c r="G50" s="125">
        <f t="shared" si="39"/>
        <v>32920</v>
      </c>
      <c r="H50" s="125">
        <f t="shared" si="39"/>
        <v>17412</v>
      </c>
      <c r="I50" s="125">
        <f t="shared" si="39"/>
        <v>4222</v>
      </c>
      <c r="J50" s="125">
        <f t="shared" si="39"/>
        <v>17913</v>
      </c>
      <c r="K50" s="125">
        <f t="shared" si="39"/>
        <v>21092</v>
      </c>
      <c r="L50" s="125">
        <f t="shared" si="39"/>
        <v>6228</v>
      </c>
      <c r="M50" s="125">
        <f t="shared" si="39"/>
        <v>1299</v>
      </c>
      <c r="N50" s="125">
        <f t="shared" si="39"/>
        <v>-9969</v>
      </c>
      <c r="O50" s="125">
        <f t="shared" si="39"/>
        <v>-27686</v>
      </c>
      <c r="P50" s="125">
        <f t="shared" si="39"/>
        <v>13393</v>
      </c>
      <c r="Q50" s="125">
        <f t="shared" si="39"/>
        <v>7500</v>
      </c>
      <c r="R50" s="125">
        <f t="shared" si="39"/>
        <v>1184</v>
      </c>
      <c r="S50" s="125">
        <f t="shared" si="39"/>
        <v>5101</v>
      </c>
      <c r="T50" s="125">
        <f t="shared" si="39"/>
        <v>-3854.0825054000288</v>
      </c>
      <c r="U50" s="125">
        <f t="shared" si="39"/>
        <v>-1902.9711800000275</v>
      </c>
      <c r="V50" s="125">
        <f t="shared" si="39"/>
        <v>-687.82872999996471</v>
      </c>
      <c r="W50" s="125">
        <f t="shared" si="39"/>
        <v>3842.5770799999841</v>
      </c>
      <c r="X50" s="125">
        <f t="shared" si="39"/>
        <v>12576.107320000005</v>
      </c>
      <c r="Y50" s="125">
        <f t="shared" si="39"/>
        <v>5452.2332000000279</v>
      </c>
      <c r="Z50" s="125">
        <f t="shared" si="39"/>
        <v>24056.729980000036</v>
      </c>
      <c r="AA50" s="125">
        <f t="shared" si="39"/>
        <v>15286.860619999989</v>
      </c>
      <c r="AB50" s="125">
        <f t="shared" si="39"/>
        <v>58966.291640000018</v>
      </c>
      <c r="AC50" s="125">
        <f t="shared" si="39"/>
        <v>13994.441250000009</v>
      </c>
      <c r="AD50" s="125">
        <f t="shared" si="39"/>
        <v>28185.873939999961</v>
      </c>
      <c r="AE50" s="125">
        <f t="shared" si="39"/>
        <v>31106.591149999938</v>
      </c>
      <c r="AF50" s="125">
        <f t="shared" si="39"/>
        <v>34961.001910000021</v>
      </c>
      <c r="AG50" s="164">
        <f t="shared" si="39"/>
        <v>26621.135130000064</v>
      </c>
      <c r="AH50" s="125">
        <f t="shared" si="39"/>
        <v>32514.294820000032</v>
      </c>
      <c r="AI50" s="125">
        <f t="shared" si="39"/>
        <v>91391.468380000078</v>
      </c>
      <c r="AJ50" s="125">
        <f t="shared" si="39"/>
        <v>43444.958540000021</v>
      </c>
      <c r="AK50" s="125">
        <f t="shared" si="39"/>
        <v>19286.324460000003</v>
      </c>
      <c r="AL50" s="125">
        <f t="shared" si="39"/>
        <v>-4362.7110900000207</v>
      </c>
      <c r="AM50" s="125">
        <f t="shared" si="39"/>
        <v>29938.68584000002</v>
      </c>
      <c r="AN50" s="125">
        <f t="shared" si="39"/>
        <v>28763.496590000024</v>
      </c>
      <c r="AO50" s="125">
        <f t="shared" si="39"/>
        <v>20248.245340000001</v>
      </c>
      <c r="AP50" s="125">
        <f t="shared" si="39"/>
        <v>24183.928339999969</v>
      </c>
      <c r="AQ50" s="125">
        <f t="shared" ref="AQ50:AW50" si="40">+AQ48-AQ49</f>
        <v>34236.985090000002</v>
      </c>
      <c r="AR50" s="125">
        <f t="shared" si="40"/>
        <v>29424.483019999905</v>
      </c>
      <c r="AS50" s="125">
        <f t="shared" si="40"/>
        <v>18709.609207217967</v>
      </c>
      <c r="AT50" s="125">
        <f t="shared" si="40"/>
        <v>30469.353909999947</v>
      </c>
      <c r="AU50" s="125">
        <f t="shared" si="40"/>
        <v>53394.969679999958</v>
      </c>
      <c r="AV50" s="125">
        <f t="shared" si="40"/>
        <v>56722.682847199947</v>
      </c>
      <c r="AW50" s="125">
        <f t="shared" si="40"/>
        <v>34498.756997799872</v>
      </c>
      <c r="AX50" s="125">
        <v>39660.222170000059</v>
      </c>
      <c r="AY50" s="125">
        <f t="shared" ref="AY50:BF50" si="41">+AY48-AY49</f>
        <v>56176.373080000056</v>
      </c>
      <c r="AZ50" s="125">
        <f t="shared" si="41"/>
        <v>51076.724380000247</v>
      </c>
      <c r="BA50" s="125">
        <f t="shared" si="41"/>
        <v>37282.927849999818</v>
      </c>
      <c r="BB50" s="125">
        <f t="shared" si="41"/>
        <v>63252.21611999999</v>
      </c>
      <c r="BC50" s="125">
        <f t="shared" si="41"/>
        <v>84221.134000000093</v>
      </c>
      <c r="BD50" s="125">
        <v>85061.040379699916</v>
      </c>
      <c r="BE50" s="125">
        <f t="shared" si="41"/>
        <v>43734.684299999935</v>
      </c>
      <c r="BF50" s="125">
        <f t="shared" si="41"/>
        <v>67118.50887999979</v>
      </c>
      <c r="BG50" s="125">
        <f>+BG48-BG49</f>
        <v>79890.721250000061</v>
      </c>
      <c r="BH50" s="125">
        <f>+BH48-BH49</f>
        <v>52218.377919999999</v>
      </c>
      <c r="BI50" s="125">
        <f>+BI48-BI49</f>
        <v>38784.896119999947</v>
      </c>
      <c r="BJ50" s="125">
        <f>+BJ48-BJ49</f>
        <v>83115.685519999737</v>
      </c>
    </row>
    <row r="51" spans="1:62" ht="14.1" customHeight="1" x14ac:dyDescent="0.2">
      <c r="A51" s="1" t="s">
        <v>65</v>
      </c>
      <c r="B51" s="1" t="s">
        <v>735</v>
      </c>
      <c r="C51" s="636"/>
      <c r="D51" s="8" t="str">
        <f>IF([1]RENAME!$H$3=1,B51,A51)</f>
        <v>* Sem depreciação e amortização</v>
      </c>
      <c r="E51" s="1144"/>
      <c r="F51" s="1144"/>
      <c r="G51" s="1144"/>
      <c r="H51" s="1144"/>
      <c r="I51" s="1144"/>
      <c r="J51" s="1144"/>
      <c r="K51" s="1144"/>
      <c r="L51" s="1144"/>
      <c r="M51" s="1144"/>
      <c r="N51" s="1144"/>
      <c r="O51" s="1144"/>
      <c r="P51" s="1144"/>
      <c r="Q51" s="1144"/>
      <c r="R51" s="1144"/>
      <c r="S51" s="1144"/>
      <c r="T51" s="1144"/>
      <c r="U51" s="1144"/>
      <c r="V51" s="1144"/>
      <c r="W51" s="1144"/>
      <c r="X51" s="1144"/>
      <c r="Y51" s="1144"/>
      <c r="Z51" s="1144"/>
      <c r="AA51" s="1144"/>
      <c r="AB51" s="1144"/>
      <c r="AC51" s="1144"/>
      <c r="AD51" s="1144"/>
      <c r="AE51" s="1144"/>
      <c r="AF51" s="1144"/>
      <c r="AG51" s="1144"/>
      <c r="AH51" s="1144"/>
      <c r="AI51" s="1144"/>
      <c r="AJ51" s="1144"/>
      <c r="AK51" s="1144"/>
      <c r="AL51" s="1144"/>
      <c r="AM51" s="1144"/>
      <c r="AN51" s="1144"/>
      <c r="AO51" s="1144"/>
      <c r="AP51" s="1144"/>
      <c r="AQ51" s="1144"/>
      <c r="AR51" s="1144"/>
      <c r="AS51" s="1144"/>
      <c r="AT51" s="1144"/>
      <c r="AU51" s="1144"/>
      <c r="AV51" s="1144"/>
      <c r="AW51" s="1188"/>
      <c r="AX51" s="1188"/>
      <c r="AY51" s="1188"/>
      <c r="AZ51" s="1188"/>
      <c r="BA51" s="1188"/>
      <c r="BB51" s="1188"/>
      <c r="BC51" s="1188"/>
      <c r="BD51" s="1188"/>
      <c r="BE51" s="1188"/>
      <c r="BF51" s="1188"/>
      <c r="BG51" s="1188"/>
      <c r="BH51" s="1188"/>
      <c r="BI51" s="1188"/>
      <c r="BJ51" s="1188"/>
    </row>
    <row r="52" spans="1:62" s="266" customFormat="1" x14ac:dyDescent="0.2">
      <c r="I52" s="637"/>
      <c r="J52" s="637"/>
      <c r="K52" s="1071"/>
      <c r="L52" s="1071"/>
      <c r="M52" s="1071"/>
      <c r="N52" s="1071"/>
      <c r="O52" s="1071"/>
      <c r="P52" s="1071"/>
      <c r="Q52" s="637"/>
      <c r="R52" s="637"/>
      <c r="S52" s="637"/>
      <c r="AC52" s="266" t="s">
        <v>1582</v>
      </c>
      <c r="AD52" s="266" t="s">
        <v>1582</v>
      </c>
      <c r="AG52" s="266" t="s">
        <v>1577</v>
      </c>
      <c r="AH52" s="266" t="s">
        <v>1577</v>
      </c>
      <c r="AK52" s="266" t="s">
        <v>1648</v>
      </c>
      <c r="AL52" s="266" t="s">
        <v>1648</v>
      </c>
      <c r="AO52" s="266" t="s">
        <v>1864</v>
      </c>
      <c r="AP52" s="266" t="s">
        <v>1864</v>
      </c>
      <c r="AS52" s="266" t="s">
        <v>1975</v>
      </c>
      <c r="AT52" s="266" t="s">
        <v>1975</v>
      </c>
      <c r="AW52" s="266" t="s">
        <v>2078</v>
      </c>
      <c r="AX52" s="266" t="s">
        <v>2078</v>
      </c>
      <c r="BA52" s="550" t="s">
        <v>2154</v>
      </c>
      <c r="BB52" s="550" t="s">
        <v>2154</v>
      </c>
      <c r="BC52" s="550"/>
      <c r="BD52" s="550"/>
      <c r="BE52" s="550" t="s">
        <v>2255</v>
      </c>
      <c r="BF52" s="550" t="s">
        <v>2255</v>
      </c>
      <c r="BG52" s="550"/>
      <c r="BH52" s="550"/>
      <c r="BI52" s="550" t="s">
        <v>2326</v>
      </c>
      <c r="BJ52" s="550" t="s">
        <v>2326</v>
      </c>
    </row>
    <row r="53" spans="1:62" s="266" customFormat="1" x14ac:dyDescent="0.2">
      <c r="AC53" s="266" t="s">
        <v>1646</v>
      </c>
      <c r="AD53" s="266" t="s">
        <v>1646</v>
      </c>
      <c r="AE53" s="266" t="s">
        <v>1646</v>
      </c>
      <c r="AG53" s="266" t="s">
        <v>1645</v>
      </c>
      <c r="AH53" s="266" t="s">
        <v>1645</v>
      </c>
      <c r="AI53" s="266" t="s">
        <v>1645</v>
      </c>
      <c r="AK53" s="266" t="s">
        <v>1647</v>
      </c>
      <c r="AL53" s="266" t="s">
        <v>1647</v>
      </c>
      <c r="AM53" s="266" t="s">
        <v>1647</v>
      </c>
      <c r="AO53" s="266" t="s">
        <v>1865</v>
      </c>
      <c r="AP53" s="266" t="s">
        <v>1865</v>
      </c>
      <c r="AQ53" s="266" t="s">
        <v>1865</v>
      </c>
      <c r="AS53" s="266" t="s">
        <v>1950</v>
      </c>
      <c r="AT53" s="266" t="s">
        <v>1950</v>
      </c>
      <c r="AU53" s="266" t="s">
        <v>1950</v>
      </c>
      <c r="AW53" s="266" t="s">
        <v>2072</v>
      </c>
      <c r="AX53" s="266" t="s">
        <v>2072</v>
      </c>
      <c r="AY53" s="266" t="s">
        <v>2072</v>
      </c>
      <c r="BA53" s="550" t="s">
        <v>2155</v>
      </c>
      <c r="BB53" s="550" t="s">
        <v>2155</v>
      </c>
      <c r="BC53" s="550" t="s">
        <v>2155</v>
      </c>
      <c r="BD53" s="550"/>
      <c r="BE53" s="550" t="s">
        <v>2254</v>
      </c>
      <c r="BF53" s="550" t="s">
        <v>2254</v>
      </c>
      <c r="BG53" s="550" t="s">
        <v>2254</v>
      </c>
      <c r="BH53" s="550" t="s">
        <v>2254</v>
      </c>
      <c r="BI53" s="550" t="s">
        <v>2327</v>
      </c>
      <c r="BJ53" s="550" t="s">
        <v>2327</v>
      </c>
    </row>
    <row r="54" spans="1:62" s="550" customFormat="1" ht="14.1" customHeight="1" x14ac:dyDescent="0.2">
      <c r="E54" s="840">
        <f>F54</f>
        <v>2012</v>
      </c>
      <c r="F54" s="840">
        <f>G54</f>
        <v>2012</v>
      </c>
      <c r="G54" s="840">
        <f>H54</f>
        <v>2012</v>
      </c>
      <c r="H54" s="840">
        <f>I54-1</f>
        <v>2012</v>
      </c>
      <c r="I54" s="840">
        <f>J54</f>
        <v>2013</v>
      </c>
      <c r="J54" s="840">
        <f>K54</f>
        <v>2013</v>
      </c>
      <c r="K54" s="840">
        <f>L54</f>
        <v>2013</v>
      </c>
      <c r="L54" s="840">
        <f>M54-1</f>
        <v>2013</v>
      </c>
      <c r="M54" s="840">
        <f>N54</f>
        <v>2014</v>
      </c>
      <c r="N54" s="840">
        <f>O54</f>
        <v>2014</v>
      </c>
      <c r="O54" s="840">
        <f>P54</f>
        <v>2014</v>
      </c>
      <c r="P54" s="840">
        <f>Q54-1</f>
        <v>2014</v>
      </c>
      <c r="Q54" s="840">
        <f>R54</f>
        <v>2015</v>
      </c>
      <c r="R54" s="840">
        <f>S54</f>
        <v>2015</v>
      </c>
      <c r="S54" s="840">
        <f>T54</f>
        <v>2015</v>
      </c>
      <c r="T54" s="840">
        <f>U54-1</f>
        <v>2015</v>
      </c>
      <c r="U54" s="840">
        <f>V54</f>
        <v>2016</v>
      </c>
      <c r="V54" s="840">
        <f>W54</f>
        <v>2016</v>
      </c>
      <c r="W54" s="840">
        <f>X54</f>
        <v>2016</v>
      </c>
      <c r="X54" s="840">
        <f>Y54-1</f>
        <v>2016</v>
      </c>
      <c r="Y54" s="840">
        <f>Z54</f>
        <v>2017</v>
      </c>
      <c r="Z54" s="840">
        <f>AA54</f>
        <v>2017</v>
      </c>
      <c r="AA54" s="840">
        <f>AB54</f>
        <v>2017</v>
      </c>
      <c r="AB54" s="840">
        <f>AC54-1</f>
        <v>2017</v>
      </c>
      <c r="AC54" s="840">
        <f>AD54</f>
        <v>2018</v>
      </c>
      <c r="AD54" s="840">
        <f>AE54</f>
        <v>2018</v>
      </c>
      <c r="AE54" s="840">
        <f>AF54</f>
        <v>2018</v>
      </c>
      <c r="AF54" s="840">
        <f>AG54-1</f>
        <v>2018</v>
      </c>
      <c r="AG54" s="841">
        <v>2019</v>
      </c>
      <c r="AH54" s="841">
        <v>2019</v>
      </c>
      <c r="AI54" s="841">
        <v>2019</v>
      </c>
      <c r="AJ54" s="841">
        <v>2019</v>
      </c>
      <c r="AK54" s="841">
        <v>2020</v>
      </c>
      <c r="AL54" s="841">
        <v>2020</v>
      </c>
      <c r="AM54" s="841">
        <v>2020</v>
      </c>
      <c r="AN54" s="841">
        <v>2020</v>
      </c>
      <c r="AO54" s="841">
        <v>2021</v>
      </c>
      <c r="AP54" s="841">
        <v>2021</v>
      </c>
      <c r="AQ54" s="841">
        <v>2021</v>
      </c>
      <c r="AR54" s="1115">
        <v>2021</v>
      </c>
      <c r="AS54" s="1115">
        <v>2022</v>
      </c>
      <c r="AT54" s="1115">
        <v>2022</v>
      </c>
      <c r="AU54" s="1115">
        <v>2022</v>
      </c>
      <c r="AV54" s="1115">
        <v>2022</v>
      </c>
      <c r="AW54" s="1115">
        <v>2023</v>
      </c>
      <c r="AX54" s="1115">
        <v>2023</v>
      </c>
      <c r="AY54" s="1115">
        <v>2023</v>
      </c>
      <c r="AZ54" s="1115">
        <v>2023</v>
      </c>
      <c r="BA54" s="1079">
        <v>2024</v>
      </c>
      <c r="BB54" s="1079">
        <v>2024</v>
      </c>
      <c r="BC54" s="1079">
        <v>2024</v>
      </c>
      <c r="BD54" s="1079">
        <v>2024</v>
      </c>
      <c r="BE54" s="1079">
        <v>2025</v>
      </c>
      <c r="BF54" s="1079">
        <v>2025</v>
      </c>
      <c r="BG54" s="1079">
        <v>2025</v>
      </c>
      <c r="BH54" s="1079">
        <v>2025</v>
      </c>
      <c r="BI54" s="1079">
        <v>2026</v>
      </c>
      <c r="BJ54" s="1079">
        <v>2026</v>
      </c>
    </row>
    <row r="55" spans="1:62" s="266" customFormat="1" ht="14.1" customHeight="1" x14ac:dyDescent="0.2">
      <c r="E55" s="267">
        <f t="shared" ref="E55:AI55" si="42">SUM(E15:E33)</f>
        <v>4903</v>
      </c>
      <c r="F55" s="267">
        <f t="shared" si="42"/>
        <v>2557</v>
      </c>
      <c r="G55" s="267">
        <f t="shared" si="42"/>
        <v>-4997</v>
      </c>
      <c r="H55" s="267">
        <f t="shared" si="42"/>
        <v>-8454</v>
      </c>
      <c r="I55" s="267">
        <f t="shared" si="42"/>
        <v>2023</v>
      </c>
      <c r="J55" s="267">
        <f t="shared" si="42"/>
        <v>5187</v>
      </c>
      <c r="K55" s="267">
        <f t="shared" si="42"/>
        <v>1481</v>
      </c>
      <c r="L55" s="267">
        <f t="shared" si="42"/>
        <v>5144</v>
      </c>
      <c r="M55" s="267">
        <f t="shared" si="42"/>
        <v>10742</v>
      </c>
      <c r="N55" s="267">
        <f t="shared" si="42"/>
        <v>0</v>
      </c>
      <c r="O55" s="267">
        <f t="shared" si="42"/>
        <v>0</v>
      </c>
      <c r="P55" s="267">
        <f t="shared" si="42"/>
        <v>878</v>
      </c>
      <c r="Q55" s="267">
        <f t="shared" si="42"/>
        <v>0</v>
      </c>
      <c r="R55" s="267">
        <f t="shared" si="42"/>
        <v>3704.1926200000003</v>
      </c>
      <c r="S55" s="267">
        <f t="shared" si="42"/>
        <v>0</v>
      </c>
      <c r="T55" s="267">
        <f t="shared" si="42"/>
        <v>25058.168579999998</v>
      </c>
      <c r="U55" s="267">
        <f t="shared" si="42"/>
        <v>0</v>
      </c>
      <c r="V55" s="267">
        <f t="shared" si="42"/>
        <v>0</v>
      </c>
      <c r="W55" s="267">
        <f t="shared" si="42"/>
        <v>0</v>
      </c>
      <c r="X55" s="267">
        <f t="shared" si="42"/>
        <v>0</v>
      </c>
      <c r="Y55" s="267">
        <f t="shared" si="42"/>
        <v>0</v>
      </c>
      <c r="Z55" s="267">
        <f t="shared" si="42"/>
        <v>8284.9666199999992</v>
      </c>
      <c r="AA55" s="267">
        <f t="shared" si="42"/>
        <v>5733</v>
      </c>
      <c r="AB55" s="267">
        <f t="shared" si="42"/>
        <v>-16855.072989999946</v>
      </c>
      <c r="AC55" s="267">
        <f t="shared" si="42"/>
        <v>0</v>
      </c>
      <c r="AD55" s="267">
        <f t="shared" si="42"/>
        <v>0</v>
      </c>
      <c r="AE55" s="267">
        <f t="shared" si="42"/>
        <v>5251.7599300000002</v>
      </c>
      <c r="AF55" s="267">
        <f t="shared" si="42"/>
        <v>12881.039347457499</v>
      </c>
      <c r="AG55" s="267">
        <f t="shared" si="42"/>
        <v>0</v>
      </c>
      <c r="AH55" s="267">
        <f t="shared" si="42"/>
        <v>0</v>
      </c>
      <c r="AI55" s="267">
        <f t="shared" si="42"/>
        <v>-50391.444189999995</v>
      </c>
      <c r="AJ55" s="267">
        <f>SUM(AJ15:AJ33)</f>
        <v>2254</v>
      </c>
      <c r="AK55" s="267">
        <v>3317</v>
      </c>
      <c r="AL55" s="267">
        <f>SUM(AL15:AL33)</f>
        <v>0</v>
      </c>
      <c r="AM55" s="267">
        <f>SUM(AM15:AM33)</f>
        <v>0</v>
      </c>
      <c r="AN55" s="267">
        <f>SUM(AN15:AN33)</f>
        <v>5220.2719999999999</v>
      </c>
      <c r="AO55" s="267"/>
      <c r="AP55" s="267">
        <f>SUM(AP15:AP33)</f>
        <v>-5732.7137899999998</v>
      </c>
      <c r="AQ55" s="267">
        <f>SUM(AQ15:AQ33)</f>
        <v>1159</v>
      </c>
      <c r="AR55" s="267"/>
      <c r="AS55" s="267"/>
      <c r="AT55" s="267">
        <f>SUM(AT15:AT33)</f>
        <v>0</v>
      </c>
      <c r="AU55" s="267">
        <f>SUM(AU15:AU33)</f>
        <v>6645.02</v>
      </c>
      <c r="AV55" s="267">
        <f>SUM(AV15:AV33)</f>
        <v>-5458.7727579526618</v>
      </c>
      <c r="AW55" s="267">
        <f>SUM(AW15:AW33)</f>
        <v>0</v>
      </c>
      <c r="AX55" s="267">
        <v>0</v>
      </c>
      <c r="AY55" s="267">
        <f>SUM(AY15:AY33)</f>
        <v>0</v>
      </c>
      <c r="AZ55" s="807"/>
      <c r="BA55" s="807"/>
      <c r="BB55" s="807"/>
      <c r="BC55" s="807"/>
      <c r="BD55" s="807"/>
      <c r="BE55" s="267"/>
      <c r="BF55" s="267"/>
      <c r="BG55" s="267"/>
      <c r="BH55" s="267"/>
      <c r="BI55" s="267"/>
      <c r="BJ55" s="267"/>
    </row>
    <row r="56" spans="1:62" s="266" customFormat="1" ht="14.1" customHeight="1" x14ac:dyDescent="0.2">
      <c r="AJ56" s="1070"/>
      <c r="AK56" s="1070"/>
      <c r="AL56" s="1070"/>
      <c r="AM56" s="1070"/>
      <c r="AN56" s="1070"/>
      <c r="AO56" s="1070"/>
      <c r="AP56" s="1070"/>
      <c r="AQ56" s="1070"/>
      <c r="AR56" s="1070"/>
      <c r="AS56" s="1070"/>
      <c r="AT56" s="1070"/>
      <c r="AU56" s="1070"/>
      <c r="AV56" s="1070"/>
      <c r="AW56" s="1070"/>
      <c r="AX56" s="1070"/>
      <c r="AY56" s="1070"/>
      <c r="AZ56" s="1189"/>
      <c r="BA56" s="1189"/>
      <c r="BB56" s="1189"/>
      <c r="BC56" s="1189"/>
      <c r="BD56" s="1189"/>
      <c r="BE56" s="1189"/>
      <c r="BF56" s="1189"/>
      <c r="BG56" s="1189"/>
      <c r="BH56" s="1189"/>
      <c r="BI56" s="1189"/>
      <c r="BJ56" s="1189"/>
    </row>
    <row r="57" spans="1:62" s="266" customFormat="1" ht="14.1" customHeight="1" x14ac:dyDescent="0.2">
      <c r="AJ57" s="1070"/>
      <c r="AK57" s="1070"/>
      <c r="AL57" s="1070"/>
      <c r="AM57" s="1070"/>
      <c r="AN57" s="1070"/>
      <c r="AO57" s="1070"/>
      <c r="AP57" s="1070"/>
      <c r="AQ57" s="1070"/>
      <c r="AR57" s="1070"/>
      <c r="AS57" s="1070"/>
      <c r="AT57" s="1070"/>
      <c r="AU57" s="1070"/>
      <c r="AV57" s="1070"/>
      <c r="AW57" s="1070"/>
      <c r="AX57" s="1070"/>
      <c r="AY57" s="1070"/>
      <c r="AZ57" s="1189"/>
      <c r="BA57" s="1189"/>
      <c r="BB57" s="1189"/>
      <c r="BC57" s="1189"/>
      <c r="BD57" s="1189"/>
      <c r="BE57" s="1189"/>
      <c r="BF57" s="1189"/>
      <c r="BG57" s="1189"/>
      <c r="BH57" s="1189"/>
      <c r="BI57" s="1189"/>
      <c r="BJ57" s="1189"/>
    </row>
    <row r="58" spans="1:62" s="266" customFormat="1" ht="14.1" customHeight="1" x14ac:dyDescent="0.2">
      <c r="AJ58" s="1070"/>
      <c r="AK58" s="1070"/>
      <c r="AL58" s="1070"/>
      <c r="AM58" s="1070"/>
      <c r="AN58" s="1070"/>
      <c r="AO58" s="1070"/>
      <c r="AP58" s="1070"/>
      <c r="AQ58" s="1070"/>
      <c r="AR58" s="1070"/>
      <c r="AS58" s="1070"/>
      <c r="AT58" s="1070"/>
      <c r="AU58" s="1070"/>
      <c r="AV58" s="1070"/>
      <c r="AW58" s="1070"/>
      <c r="AX58" s="1070"/>
      <c r="AY58" s="1070"/>
      <c r="AZ58" s="1189"/>
      <c r="BA58" s="1189"/>
      <c r="BB58" s="1189"/>
      <c r="BC58" s="1189"/>
      <c r="BD58" s="1189"/>
      <c r="BE58" s="1189"/>
      <c r="BF58" s="1189"/>
      <c r="BG58" s="1189"/>
      <c r="BH58" s="1189"/>
      <c r="BI58" s="1189"/>
      <c r="BJ58" s="1189"/>
    </row>
    <row r="59" spans="1:62" s="266" customFormat="1" ht="14.1" customHeight="1" x14ac:dyDescent="0.2">
      <c r="AJ59" s="1070"/>
      <c r="AK59" s="1070"/>
      <c r="AL59" s="1070"/>
      <c r="AM59" s="1070"/>
      <c r="AN59" s="1070"/>
      <c r="AO59" s="1070"/>
      <c r="AP59" s="1070"/>
      <c r="AQ59" s="1070"/>
      <c r="AR59" s="1070"/>
      <c r="AS59" s="1070"/>
      <c r="AT59" s="1070"/>
      <c r="AU59" s="1070"/>
      <c r="AV59" s="1070"/>
      <c r="AW59" s="1070"/>
      <c r="AX59" s="1070"/>
      <c r="AY59" s="1070"/>
      <c r="AZ59" s="1189"/>
      <c r="BA59" s="1189"/>
      <c r="BB59" s="1189"/>
      <c r="BC59" s="1189"/>
      <c r="BD59" s="1189"/>
      <c r="BE59" s="1189"/>
      <c r="BF59" s="1189"/>
      <c r="BG59" s="1189"/>
      <c r="BH59" s="1189"/>
      <c r="BI59" s="1189"/>
      <c r="BJ59" s="1189"/>
    </row>
    <row r="60" spans="1:62" s="266" customFormat="1" ht="14.1" customHeight="1" x14ac:dyDescent="0.2">
      <c r="AJ60" s="1070"/>
      <c r="AK60" s="1070"/>
      <c r="AL60" s="1070"/>
      <c r="AM60" s="1070"/>
      <c r="AN60" s="1070"/>
      <c r="AO60" s="1070"/>
      <c r="AP60" s="1070"/>
      <c r="AQ60" s="1070"/>
      <c r="AR60" s="1070"/>
      <c r="AS60" s="1070"/>
      <c r="AT60" s="1070"/>
      <c r="AU60" s="1070"/>
      <c r="AV60" s="1070"/>
      <c r="AW60" s="1070"/>
      <c r="AX60" s="1070"/>
      <c r="AY60" s="1070"/>
      <c r="AZ60" s="1070"/>
      <c r="BA60" s="1189"/>
      <c r="BB60" s="1189"/>
      <c r="BC60" s="1189"/>
      <c r="BD60" s="1189"/>
      <c r="BE60" s="1189"/>
      <c r="BF60" s="1189"/>
      <c r="BG60" s="1189"/>
      <c r="BH60" s="1189"/>
      <c r="BI60" s="1189"/>
      <c r="BJ60" s="1189"/>
    </row>
    <row r="61" spans="1:62" s="266" customFormat="1" ht="14.1" customHeight="1" x14ac:dyDescent="0.2">
      <c r="AJ61" s="1070"/>
      <c r="AK61" s="1070"/>
      <c r="AL61" s="1070"/>
      <c r="AM61" s="1070"/>
      <c r="AN61" s="1070"/>
      <c r="AO61" s="1070"/>
      <c r="AP61" s="1070"/>
      <c r="AQ61" s="1070"/>
      <c r="AR61" s="1070"/>
      <c r="AS61" s="1070"/>
      <c r="AT61" s="1070"/>
      <c r="AU61" s="1070"/>
      <c r="AV61" s="1070"/>
      <c r="AW61" s="1070"/>
      <c r="AX61" s="1070"/>
      <c r="AY61" s="1070"/>
      <c r="AZ61" s="1070"/>
      <c r="BA61" s="1189"/>
      <c r="BB61" s="1189"/>
      <c r="BC61" s="1189"/>
      <c r="BD61" s="1189"/>
      <c r="BE61" s="1189"/>
      <c r="BF61" s="1189"/>
      <c r="BG61" s="1189"/>
      <c r="BH61" s="1189"/>
      <c r="BI61" s="1189"/>
      <c r="BJ61" s="1189"/>
    </row>
    <row r="62" spans="1:62" s="266" customFormat="1" ht="14.1" customHeight="1" x14ac:dyDescent="0.2">
      <c r="AJ62" s="1070"/>
      <c r="AK62" s="1070"/>
      <c r="AL62" s="1070"/>
      <c r="AM62" s="1070"/>
      <c r="AN62" s="1070"/>
      <c r="AO62" s="1070"/>
      <c r="AP62" s="1070"/>
      <c r="AQ62" s="1070"/>
      <c r="AR62" s="1070"/>
      <c r="AS62" s="1070"/>
      <c r="AT62" s="1070"/>
      <c r="AU62" s="1070"/>
      <c r="AV62" s="1070"/>
      <c r="AW62" s="1070"/>
      <c r="AX62" s="1070"/>
      <c r="AY62" s="1070"/>
      <c r="AZ62" s="1070"/>
      <c r="BA62" s="1189"/>
      <c r="BB62" s="1189"/>
      <c r="BC62" s="1189"/>
      <c r="BD62" s="1189"/>
      <c r="BE62" s="1189"/>
      <c r="BF62" s="1189"/>
      <c r="BG62" s="1189"/>
      <c r="BH62" s="1189"/>
      <c r="BI62" s="1189"/>
      <c r="BJ62" s="1189"/>
    </row>
    <row r="63" spans="1:62" s="266" customFormat="1" ht="14.1" customHeight="1" x14ac:dyDescent="0.2">
      <c r="AJ63" s="1070"/>
      <c r="AK63" s="1070"/>
      <c r="AL63" s="1070"/>
      <c r="AM63" s="1070"/>
      <c r="AN63" s="1070"/>
      <c r="AO63" s="1070"/>
      <c r="AP63" s="1070"/>
      <c r="AQ63" s="1070"/>
      <c r="AR63" s="1070"/>
      <c r="AS63" s="1070"/>
      <c r="AT63" s="1070"/>
      <c r="AU63" s="1070"/>
      <c r="AV63" s="1070"/>
      <c r="AW63" s="1070"/>
      <c r="AX63" s="1070"/>
      <c r="AY63" s="1070"/>
      <c r="AZ63" s="1070"/>
      <c r="BA63" s="1070"/>
      <c r="BB63" s="1070"/>
      <c r="BC63" s="1070"/>
      <c r="BD63" s="1070"/>
      <c r="BE63" s="1070"/>
      <c r="BF63" s="1070"/>
      <c r="BG63" s="1070"/>
      <c r="BH63" s="1070"/>
      <c r="BI63" s="1070"/>
      <c r="BJ63" s="1070"/>
    </row>
    <row r="64" spans="1:62" s="266" customFormat="1" ht="14.1" customHeight="1" x14ac:dyDescent="0.2">
      <c r="AJ64" s="1070"/>
      <c r="AK64" s="1070"/>
      <c r="AL64" s="1070"/>
      <c r="AM64" s="1070"/>
      <c r="AN64" s="1070"/>
      <c r="AO64" s="1070"/>
      <c r="AP64" s="1070"/>
      <c r="AQ64" s="1070"/>
      <c r="AR64" s="1070"/>
      <c r="AS64" s="1070"/>
      <c r="AT64" s="1070"/>
      <c r="AU64" s="1070"/>
      <c r="AV64" s="1070"/>
      <c r="AW64" s="1070"/>
      <c r="AX64" s="1070"/>
      <c r="AY64" s="1070"/>
      <c r="AZ64" s="1070"/>
      <c r="BA64" s="1070"/>
      <c r="BB64" s="1070"/>
      <c r="BC64" s="1070"/>
      <c r="BD64" s="1070"/>
      <c r="BE64" s="1070"/>
      <c r="BF64" s="1070"/>
      <c r="BG64" s="1070"/>
      <c r="BH64" s="1070"/>
      <c r="BI64" s="1070"/>
      <c r="BJ64" s="1070"/>
    </row>
    <row r="65" spans="2:62" s="266" customFormat="1" ht="14.1" customHeight="1" x14ac:dyDescent="0.2">
      <c r="AJ65" s="1070"/>
      <c r="AK65" s="1070"/>
      <c r="AL65" s="1070"/>
      <c r="AM65" s="1070"/>
      <c r="AN65" s="1070"/>
      <c r="AO65" s="1070"/>
      <c r="AP65" s="1070"/>
      <c r="AQ65" s="1070"/>
      <c r="AR65" s="1070"/>
      <c r="AS65" s="1070"/>
      <c r="AT65" s="1070"/>
      <c r="AU65" s="1070"/>
      <c r="AV65" s="1070"/>
      <c r="AW65" s="1070"/>
      <c r="AX65" s="1070"/>
      <c r="AY65" s="1070"/>
      <c r="AZ65" s="1070"/>
      <c r="BA65" s="1070"/>
      <c r="BB65" s="1070"/>
      <c r="BC65" s="1070"/>
      <c r="BD65" s="1070"/>
      <c r="BE65" s="1070"/>
      <c r="BF65" s="1070"/>
      <c r="BG65" s="1070"/>
      <c r="BH65" s="1070"/>
      <c r="BI65" s="1070"/>
      <c r="BJ65" s="1070"/>
    </row>
    <row r="66" spans="2:62" s="266" customFormat="1" ht="14.1" customHeight="1" x14ac:dyDescent="0.2">
      <c r="AJ66" s="1070"/>
      <c r="AK66" s="1070"/>
      <c r="AL66" s="1070"/>
      <c r="AM66" s="1070"/>
      <c r="AN66" s="1070"/>
      <c r="AO66" s="1070"/>
      <c r="AP66" s="1070"/>
      <c r="AQ66" s="1070"/>
      <c r="AR66" s="1070"/>
      <c r="AS66" s="1070"/>
      <c r="AT66" s="1070"/>
      <c r="AU66" s="1070"/>
      <c r="AV66" s="1070"/>
      <c r="AW66" s="1070"/>
      <c r="AX66" s="1070"/>
      <c r="AY66" s="1070"/>
      <c r="AZ66" s="1070"/>
      <c r="BA66" s="1070"/>
      <c r="BB66" s="1070"/>
      <c r="BC66" s="1070"/>
      <c r="BD66" s="1070"/>
      <c r="BE66" s="1070"/>
      <c r="BF66" s="1070"/>
      <c r="BG66" s="1070"/>
      <c r="BH66" s="1070"/>
      <c r="BI66" s="1070"/>
      <c r="BJ66" s="1070"/>
    </row>
    <row r="67" spans="2:62" s="266" customFormat="1" ht="14.1" customHeight="1" x14ac:dyDescent="0.2">
      <c r="AJ67" s="1070"/>
      <c r="AK67" s="1070"/>
      <c r="AL67" s="1070"/>
      <c r="AM67" s="1070"/>
      <c r="AN67" s="1070"/>
      <c r="AO67" s="1070"/>
      <c r="AP67" s="1070"/>
      <c r="AQ67" s="1070"/>
      <c r="AR67" s="1070"/>
      <c r="AS67" s="1070"/>
      <c r="AT67" s="1070"/>
      <c r="AU67" s="1070"/>
      <c r="AV67" s="1070"/>
      <c r="AW67" s="1070"/>
      <c r="AX67" s="1070"/>
      <c r="AY67" s="1070"/>
      <c r="AZ67" s="1070"/>
      <c r="BA67" s="1070"/>
      <c r="BB67" s="1070"/>
      <c r="BC67" s="1070"/>
      <c r="BD67" s="1070"/>
      <c r="BE67" s="1070"/>
      <c r="BF67" s="1070"/>
      <c r="BG67" s="1070"/>
      <c r="BH67" s="1070"/>
      <c r="BI67" s="1070"/>
      <c r="BJ67" s="1070"/>
    </row>
    <row r="68" spans="2:62" s="266" customFormat="1" ht="14.1" customHeight="1" x14ac:dyDescent="0.2">
      <c r="AJ68" s="1070"/>
      <c r="AK68" s="1070"/>
      <c r="AL68" s="1070"/>
      <c r="AM68" s="1070"/>
      <c r="AN68" s="1070"/>
      <c r="AO68" s="1070"/>
      <c r="AP68" s="1070"/>
      <c r="AQ68" s="1070"/>
      <c r="AR68" s="1070"/>
      <c r="AS68" s="1070"/>
      <c r="AT68" s="1070"/>
      <c r="AU68" s="1070"/>
      <c r="AV68" s="1070"/>
      <c r="AW68" s="1070"/>
      <c r="AX68" s="1070"/>
      <c r="AY68" s="1070"/>
      <c r="AZ68" s="1070"/>
      <c r="BA68" s="1070"/>
      <c r="BB68" s="1070"/>
      <c r="BC68" s="1070"/>
      <c r="BD68" s="1070"/>
      <c r="BE68" s="1070"/>
      <c r="BF68" s="1070"/>
      <c r="BG68" s="1070"/>
      <c r="BH68" s="1070"/>
      <c r="BI68" s="1070"/>
      <c r="BJ68" s="1070"/>
    </row>
    <row r="69" spans="2:62" s="266" customFormat="1" ht="14.1" customHeight="1" x14ac:dyDescent="0.2">
      <c r="AJ69" s="1070"/>
      <c r="AK69" s="1070"/>
      <c r="AL69" s="1070"/>
      <c r="AM69" s="1070"/>
      <c r="AN69" s="1070"/>
      <c r="AO69" s="1070"/>
      <c r="AP69" s="1070"/>
      <c r="AQ69" s="1070"/>
      <c r="AR69" s="1070"/>
      <c r="AS69" s="1070"/>
      <c r="AT69" s="1070"/>
      <c r="AU69" s="1070"/>
      <c r="AV69" s="1070"/>
      <c r="AW69" s="1070"/>
      <c r="AX69" s="1070"/>
      <c r="AY69" s="1070"/>
      <c r="AZ69" s="1070"/>
      <c r="BA69" s="1070"/>
      <c r="BB69" s="1070"/>
      <c r="BC69" s="1070"/>
      <c r="BD69" s="1070"/>
      <c r="BE69" s="1070"/>
      <c r="BF69" s="1070"/>
      <c r="BG69" s="1070"/>
      <c r="BH69" s="1070"/>
      <c r="BI69" s="1070"/>
      <c r="BJ69" s="1070"/>
    </row>
    <row r="70" spans="2:62" s="266" customFormat="1" ht="14.1" customHeight="1" x14ac:dyDescent="0.2">
      <c r="AJ70" s="1070"/>
      <c r="AK70" s="1070"/>
      <c r="AL70" s="1070"/>
      <c r="AM70" s="1070"/>
      <c r="AN70" s="1070"/>
      <c r="AO70" s="1070"/>
      <c r="AP70" s="1070"/>
      <c r="AQ70" s="1070"/>
      <c r="AR70" s="1070"/>
      <c r="AS70" s="1070"/>
      <c r="AT70" s="1070"/>
      <c r="AU70" s="1070"/>
      <c r="AV70" s="1070"/>
      <c r="AW70" s="1070"/>
      <c r="AX70" s="1070"/>
      <c r="AY70" s="1070"/>
      <c r="AZ70" s="1070"/>
      <c r="BA70" s="1070"/>
      <c r="BB70" s="1070"/>
      <c r="BC70" s="1070"/>
      <c r="BD70" s="1070"/>
      <c r="BE70" s="1070"/>
      <c r="BF70" s="1070"/>
      <c r="BG70" s="1070"/>
      <c r="BH70" s="1070"/>
      <c r="BI70" s="1070"/>
      <c r="BJ70" s="1070"/>
    </row>
    <row r="71" spans="2:62" s="266" customFormat="1" ht="14.1" customHeight="1" x14ac:dyDescent="0.2">
      <c r="AJ71" s="1070"/>
      <c r="AK71" s="1070"/>
      <c r="AL71" s="1070"/>
      <c r="AM71" s="1070"/>
      <c r="AN71" s="1070"/>
      <c r="AO71" s="1070"/>
      <c r="AP71" s="1070"/>
      <c r="AQ71" s="1070"/>
      <c r="AR71" s="1070"/>
      <c r="AS71" s="1070"/>
      <c r="AT71" s="1070"/>
      <c r="AU71" s="1070"/>
      <c r="AV71" s="1070"/>
      <c r="AW71" s="1070"/>
      <c r="AX71" s="1070"/>
      <c r="AY71" s="1070"/>
      <c r="AZ71" s="1070"/>
      <c r="BA71" s="1070"/>
      <c r="BB71" s="1070"/>
      <c r="BC71" s="1070"/>
      <c r="BD71" s="1070"/>
      <c r="BE71" s="1070"/>
      <c r="BF71" s="1070"/>
      <c r="BG71" s="1070"/>
      <c r="BH71" s="1070"/>
      <c r="BI71" s="1070"/>
      <c r="BJ71" s="1070"/>
    </row>
    <row r="72" spans="2:62" s="266" customFormat="1" ht="14.1" customHeight="1" x14ac:dyDescent="0.2">
      <c r="AJ72" s="1070"/>
      <c r="AK72" s="1070"/>
      <c r="AL72" s="1070"/>
      <c r="AM72" s="1070"/>
      <c r="AN72" s="1070"/>
      <c r="AO72" s="1070"/>
      <c r="AP72" s="1070"/>
      <c r="AQ72" s="1070"/>
      <c r="AR72" s="1070"/>
      <c r="AS72" s="1070"/>
      <c r="AT72" s="1070"/>
      <c r="AU72" s="1070"/>
      <c r="AV72" s="1070"/>
      <c r="AW72" s="1070"/>
      <c r="AX72" s="1070"/>
      <c r="AY72" s="1070"/>
      <c r="AZ72" s="1070"/>
      <c r="BA72" s="1070"/>
      <c r="BB72" s="1070"/>
      <c r="BC72" s="1070"/>
      <c r="BD72" s="1070"/>
      <c r="BE72" s="1070"/>
      <c r="BF72" s="1070"/>
      <c r="BG72" s="1070"/>
      <c r="BH72" s="1070"/>
      <c r="BI72" s="1070"/>
      <c r="BJ72" s="1070"/>
    </row>
    <row r="73" spans="2:62" s="266" customFormat="1" ht="14.1" customHeight="1" x14ac:dyDescent="0.2">
      <c r="AJ73" s="1070"/>
      <c r="AK73" s="1070"/>
      <c r="AL73" s="1070"/>
      <c r="AM73" s="1070"/>
      <c r="AN73" s="1070"/>
      <c r="AO73" s="1070"/>
      <c r="AP73" s="1070"/>
      <c r="AQ73" s="1070"/>
      <c r="AR73" s="1070"/>
      <c r="AS73" s="1070"/>
      <c r="AT73" s="1070"/>
      <c r="AU73" s="1070"/>
      <c r="AV73" s="1070"/>
      <c r="AW73" s="1070"/>
      <c r="AX73" s="1070"/>
      <c r="AY73" s="1070"/>
      <c r="AZ73" s="1070"/>
      <c r="BA73" s="1070"/>
      <c r="BB73" s="1070"/>
      <c r="BC73" s="1070"/>
      <c r="BD73" s="1070"/>
      <c r="BE73" s="1070"/>
      <c r="BF73" s="1070"/>
      <c r="BG73" s="1070"/>
      <c r="BH73" s="1070"/>
      <c r="BI73" s="1070"/>
      <c r="BJ73" s="1070"/>
    </row>
    <row r="74" spans="2:62" s="266" customFormat="1" ht="14.1" customHeight="1" x14ac:dyDescent="0.2">
      <c r="AJ74" s="1070"/>
      <c r="AK74" s="1070"/>
      <c r="AL74" s="1070"/>
      <c r="AM74" s="1070"/>
      <c r="AN74" s="1070"/>
      <c r="AO74" s="1070"/>
      <c r="AP74" s="1070"/>
      <c r="AQ74" s="1070"/>
      <c r="AR74" s="1070"/>
      <c r="AS74" s="1070"/>
      <c r="AT74" s="1070"/>
      <c r="AU74" s="1070"/>
      <c r="AV74" s="1070"/>
      <c r="AW74" s="1070"/>
      <c r="AX74" s="1070"/>
      <c r="AY74" s="1070"/>
      <c r="AZ74" s="1070"/>
      <c r="BA74" s="1070"/>
      <c r="BB74" s="1070"/>
      <c r="BC74" s="1070"/>
      <c r="BD74" s="1070"/>
      <c r="BE74" s="1070"/>
      <c r="BF74" s="1070"/>
      <c r="BG74" s="1070"/>
      <c r="BH74" s="1070"/>
      <c r="BI74" s="1070"/>
      <c r="BJ74" s="1070"/>
    </row>
    <row r="75" spans="2:62" s="266" customFormat="1" ht="14.1" customHeight="1" x14ac:dyDescent="0.2">
      <c r="AJ75" s="1070"/>
      <c r="AK75" s="1070"/>
      <c r="AL75" s="1070"/>
      <c r="AM75" s="1070"/>
      <c r="AN75" s="1070"/>
      <c r="AO75" s="1070"/>
      <c r="AP75" s="1070"/>
      <c r="AQ75" s="1070"/>
      <c r="AR75" s="1070"/>
      <c r="AS75" s="1070"/>
      <c r="AT75" s="1070"/>
      <c r="AU75" s="1070"/>
      <c r="AV75" s="1070"/>
      <c r="AW75" s="1070"/>
      <c r="AX75" s="1070"/>
      <c r="AY75" s="1070"/>
      <c r="AZ75" s="1070"/>
      <c r="BA75" s="1070"/>
      <c r="BB75" s="1070"/>
      <c r="BC75" s="1070"/>
      <c r="BD75" s="1070"/>
      <c r="BE75" s="1070"/>
      <c r="BF75" s="1070"/>
      <c r="BG75" s="1070"/>
      <c r="BH75" s="1070"/>
      <c r="BI75" s="1070"/>
      <c r="BJ75" s="1070"/>
    </row>
    <row r="76" spans="2:62" s="266" customFormat="1" ht="14.1" customHeight="1" x14ac:dyDescent="0.2">
      <c r="AJ76" s="1070"/>
      <c r="AK76" s="1070"/>
      <c r="AL76" s="1070"/>
      <c r="AM76" s="1070"/>
      <c r="AN76" s="1070"/>
      <c r="AO76" s="1070"/>
      <c r="AP76" s="1070"/>
      <c r="AQ76" s="1070"/>
      <c r="AR76" s="1070"/>
      <c r="AS76" s="1070"/>
      <c r="AT76" s="1070"/>
      <c r="AU76" s="1070"/>
      <c r="AV76" s="1070"/>
      <c r="AW76" s="1070"/>
      <c r="AX76" s="1070"/>
      <c r="AY76" s="1070"/>
      <c r="AZ76" s="1070"/>
      <c r="BA76" s="1070"/>
      <c r="BB76" s="1070"/>
      <c r="BC76" s="1070"/>
      <c r="BD76" s="1070"/>
      <c r="BE76" s="1070"/>
      <c r="BF76" s="1070"/>
      <c r="BG76" s="1070"/>
      <c r="BH76" s="1070"/>
      <c r="BI76" s="1070"/>
      <c r="BJ76" s="1070"/>
    </row>
    <row r="77" spans="2:62" s="266" customFormat="1" ht="14.1" customHeight="1" x14ac:dyDescent="0.2">
      <c r="B77" s="632"/>
      <c r="C77" s="642"/>
      <c r="D77" s="1149"/>
      <c r="E77" s="637"/>
      <c r="F77" s="637"/>
      <c r="G77" s="637"/>
      <c r="H77" s="637"/>
      <c r="I77" s="637"/>
      <c r="J77" s="637"/>
      <c r="K77" s="637"/>
      <c r="L77" s="637"/>
      <c r="M77" s="637"/>
      <c r="N77" s="637"/>
      <c r="O77" s="637"/>
      <c r="P77" s="637"/>
      <c r="Q77" s="637"/>
      <c r="AJ77" s="1070"/>
      <c r="AK77" s="1070"/>
      <c r="AL77" s="1070"/>
      <c r="AM77" s="1070"/>
      <c r="AN77" s="1070"/>
      <c r="AO77" s="1070"/>
      <c r="AP77" s="1070"/>
      <c r="AQ77" s="1070"/>
      <c r="AR77" s="1070"/>
      <c r="AS77" s="1070"/>
      <c r="AT77" s="1070"/>
      <c r="AU77" s="1070"/>
      <c r="AV77" s="1070"/>
      <c r="AW77" s="1070"/>
      <c r="AX77" s="1070"/>
      <c r="AY77" s="1070"/>
      <c r="AZ77" s="1070"/>
      <c r="BA77" s="1070"/>
      <c r="BB77" s="1070"/>
      <c r="BC77" s="1070"/>
      <c r="BD77" s="1070"/>
      <c r="BE77" s="1070"/>
      <c r="BF77" s="1070"/>
      <c r="BG77" s="1070"/>
      <c r="BH77" s="1070"/>
      <c r="BI77" s="1070"/>
      <c r="BJ77" s="1070"/>
    </row>
    <row r="78" spans="2:62" s="266" customFormat="1" ht="14.1" customHeight="1" x14ac:dyDescent="0.2">
      <c r="B78" s="632"/>
      <c r="C78" s="642"/>
      <c r="E78" s="637"/>
      <c r="F78" s="637"/>
      <c r="G78" s="637"/>
      <c r="H78" s="637"/>
      <c r="I78" s="637"/>
      <c r="J78" s="637"/>
      <c r="K78" s="637"/>
      <c r="L78" s="637"/>
      <c r="M78" s="637"/>
      <c r="N78" s="637"/>
      <c r="O78" s="637"/>
      <c r="P78" s="637"/>
      <c r="Q78" s="637"/>
      <c r="AJ78" s="1070"/>
      <c r="AK78" s="1070"/>
      <c r="AL78" s="1070"/>
      <c r="AM78" s="1070"/>
      <c r="AN78" s="1070"/>
      <c r="AO78" s="1070"/>
      <c r="AP78" s="1070"/>
      <c r="AQ78" s="1070"/>
      <c r="AR78" s="1070"/>
      <c r="AS78" s="1070"/>
      <c r="AT78" s="1070"/>
      <c r="AU78" s="1070"/>
      <c r="AV78" s="1070"/>
      <c r="AW78" s="1070"/>
      <c r="AX78" s="1070"/>
      <c r="AY78" s="1070"/>
      <c r="AZ78" s="1070"/>
      <c r="BA78" s="1070"/>
      <c r="BB78" s="1070"/>
      <c r="BC78" s="1070"/>
      <c r="BD78" s="1070"/>
      <c r="BE78" s="1070"/>
      <c r="BF78" s="1070"/>
      <c r="BG78" s="1070"/>
      <c r="BH78" s="1070"/>
      <c r="BI78" s="1070"/>
      <c r="BJ78" s="1070"/>
    </row>
    <row r="79" spans="2:62" s="266" customFormat="1" ht="14.1" customHeight="1" x14ac:dyDescent="0.2">
      <c r="B79" s="632"/>
      <c r="AJ79" s="1070"/>
      <c r="AK79" s="1070"/>
      <c r="AL79" s="1070"/>
      <c r="AM79" s="1070"/>
      <c r="AN79" s="1070"/>
      <c r="AO79" s="1070"/>
      <c r="AP79" s="1070"/>
      <c r="AQ79" s="1070"/>
      <c r="AR79" s="1070"/>
      <c r="AS79" s="1070"/>
      <c r="AT79" s="1070"/>
      <c r="AU79" s="1070"/>
      <c r="AV79" s="1070"/>
      <c r="AW79" s="1070"/>
      <c r="AX79" s="1070"/>
      <c r="AY79" s="1070"/>
      <c r="AZ79" s="1070"/>
      <c r="BA79" s="1070"/>
      <c r="BB79" s="1070"/>
      <c r="BC79" s="1070"/>
      <c r="BD79" s="1070"/>
      <c r="BE79" s="1070"/>
      <c r="BF79" s="1070"/>
      <c r="BG79" s="1070"/>
      <c r="BH79" s="1070"/>
      <c r="BI79" s="1070"/>
    </row>
    <row r="80" spans="2:62" s="266" customFormat="1" ht="14.1" customHeight="1" x14ac:dyDescent="0.2">
      <c r="B80" s="632"/>
      <c r="G80" s="1150"/>
      <c r="AJ80" s="1070"/>
      <c r="AK80" s="1070"/>
      <c r="AL80" s="1070"/>
      <c r="AM80" s="1070"/>
      <c r="AN80" s="1070"/>
      <c r="AO80" s="1070"/>
      <c r="AP80" s="1070"/>
      <c r="AQ80" s="1070"/>
      <c r="AR80" s="1070"/>
      <c r="AS80" s="1070"/>
      <c r="AT80" s="1070"/>
      <c r="AU80" s="1070"/>
      <c r="AV80" s="1070"/>
      <c r="AW80" s="1070"/>
      <c r="AX80" s="1070"/>
      <c r="AY80" s="1070"/>
      <c r="AZ80" s="1070"/>
      <c r="BA80" s="1070"/>
      <c r="BB80" s="1070"/>
      <c r="BC80" s="1070"/>
      <c r="BD80" s="1070"/>
      <c r="BE80" s="1070"/>
      <c r="BF80" s="1070"/>
      <c r="BG80" s="1070"/>
      <c r="BH80" s="1070"/>
      <c r="BI80" s="1070"/>
    </row>
    <row r="81" spans="2:61" s="266" customFormat="1" ht="14.1" customHeight="1" x14ac:dyDescent="0.2">
      <c r="B81" s="632"/>
      <c r="AJ81" s="1070"/>
      <c r="AK81" s="1070"/>
      <c r="AL81" s="1070"/>
      <c r="AM81" s="1070"/>
      <c r="AN81" s="1070"/>
      <c r="AO81" s="1070"/>
      <c r="AP81" s="1070"/>
      <c r="AQ81" s="1070"/>
      <c r="AR81" s="1070"/>
      <c r="AS81" s="1070"/>
      <c r="AT81" s="1070"/>
      <c r="AU81" s="1070"/>
      <c r="AV81" s="1070"/>
      <c r="AW81" s="1070"/>
      <c r="AX81" s="1070"/>
      <c r="AY81" s="1070"/>
      <c r="AZ81" s="1070"/>
      <c r="BA81" s="1070"/>
      <c r="BB81" s="1070"/>
      <c r="BC81" s="1070"/>
      <c r="BD81" s="1070"/>
      <c r="BE81" s="1070"/>
      <c r="BF81" s="1070"/>
      <c r="BG81" s="1070"/>
      <c r="BH81" s="1070"/>
      <c r="BI81" s="1070"/>
    </row>
    <row r="82" spans="2:61" s="266" customFormat="1" ht="14.1" customHeight="1" x14ac:dyDescent="0.2">
      <c r="B82" s="632"/>
      <c r="AJ82" s="1070"/>
      <c r="AK82" s="1070"/>
      <c r="AL82" s="1070"/>
      <c r="AM82" s="1070"/>
      <c r="AN82" s="1070"/>
      <c r="AO82" s="1070"/>
      <c r="AP82" s="1070"/>
      <c r="AQ82" s="1070"/>
      <c r="AR82" s="1070"/>
      <c r="AS82" s="1070"/>
      <c r="AT82" s="1070"/>
      <c r="AU82" s="1070"/>
      <c r="AV82" s="1070"/>
      <c r="AW82" s="1070"/>
      <c r="AX82" s="1070"/>
      <c r="AY82" s="1070"/>
      <c r="AZ82" s="1070"/>
      <c r="BA82" s="1070"/>
      <c r="BB82" s="1070"/>
      <c r="BC82" s="1070"/>
      <c r="BD82" s="1070"/>
      <c r="BE82" s="1070"/>
      <c r="BF82" s="1070"/>
      <c r="BG82" s="1070"/>
      <c r="BH82" s="1070"/>
      <c r="BI82" s="1070"/>
    </row>
    <row r="83" spans="2:61" s="266" customFormat="1" ht="14.1" customHeight="1" x14ac:dyDescent="0.2">
      <c r="B83" s="632"/>
      <c r="AJ83" s="1070"/>
      <c r="AK83" s="1070"/>
      <c r="AL83" s="1070"/>
      <c r="AM83" s="1070"/>
      <c r="AN83" s="1070"/>
      <c r="AO83" s="1070"/>
      <c r="AP83" s="1070"/>
      <c r="AQ83" s="1070"/>
      <c r="AR83" s="1070"/>
      <c r="AS83" s="1070"/>
      <c r="AT83" s="1070"/>
      <c r="AU83" s="1070"/>
      <c r="AV83" s="1070"/>
      <c r="AW83" s="1070"/>
      <c r="AX83" s="1070"/>
      <c r="AY83" s="1070"/>
      <c r="AZ83" s="1070"/>
      <c r="BA83" s="1070"/>
      <c r="BB83" s="1070"/>
      <c r="BC83" s="1070"/>
      <c r="BD83" s="1070"/>
      <c r="BE83" s="1070"/>
      <c r="BF83" s="1070"/>
      <c r="BG83" s="1070"/>
      <c r="BH83" s="1070"/>
      <c r="BI83" s="1070"/>
    </row>
    <row r="84" spans="2:61" s="266" customFormat="1" ht="14.1" customHeight="1" x14ac:dyDescent="0.2">
      <c r="B84" s="632"/>
      <c r="AJ84" s="1070"/>
      <c r="AK84" s="1070"/>
      <c r="AL84" s="1070"/>
      <c r="AM84" s="1070"/>
      <c r="AN84" s="1070"/>
      <c r="AO84" s="1070"/>
      <c r="AP84" s="1070"/>
      <c r="AQ84" s="1070"/>
      <c r="AR84" s="1070"/>
      <c r="AS84" s="1070"/>
      <c r="AT84" s="1070"/>
      <c r="AU84" s="1070"/>
      <c r="AV84" s="1070"/>
      <c r="AW84" s="1070"/>
      <c r="AX84" s="1070"/>
      <c r="AY84" s="1070"/>
      <c r="AZ84" s="1070"/>
      <c r="BA84" s="1070"/>
      <c r="BB84" s="1070"/>
      <c r="BC84" s="1070"/>
      <c r="BD84" s="1070"/>
      <c r="BE84" s="1070"/>
      <c r="BF84" s="1070"/>
      <c r="BG84" s="1070"/>
      <c r="BH84" s="1070"/>
      <c r="BI84" s="1070"/>
    </row>
    <row r="85" spans="2:61" s="266" customFormat="1" ht="14.1" customHeight="1" x14ac:dyDescent="0.2">
      <c r="B85" s="632"/>
      <c r="AJ85" s="1070"/>
      <c r="AK85" s="1070"/>
      <c r="AL85" s="1070"/>
      <c r="AM85" s="1070"/>
      <c r="AN85" s="1070"/>
      <c r="AO85" s="1070"/>
      <c r="AP85" s="1070"/>
      <c r="AQ85" s="1070"/>
      <c r="AR85" s="1070"/>
      <c r="AS85" s="1070"/>
      <c r="AT85" s="1070"/>
      <c r="AU85" s="1070"/>
      <c r="AV85" s="1070"/>
      <c r="AW85" s="1070"/>
      <c r="AX85" s="1070"/>
      <c r="AY85" s="1070"/>
      <c r="AZ85" s="1070"/>
      <c r="BA85" s="1070"/>
      <c r="BB85" s="1070"/>
      <c r="BC85" s="1070"/>
      <c r="BD85" s="1070"/>
      <c r="BE85" s="1070"/>
      <c r="BF85" s="1070"/>
      <c r="BG85" s="1070"/>
      <c r="BH85" s="1070"/>
      <c r="BI85" s="1070"/>
    </row>
    <row r="86" spans="2:61" s="187" customFormat="1" ht="14.1" customHeight="1" x14ac:dyDescent="0.2">
      <c r="B86" s="1147"/>
      <c r="AJ86" s="1148"/>
      <c r="AK86" s="1148"/>
      <c r="AL86" s="1148"/>
      <c r="AM86" s="1148"/>
      <c r="AN86" s="1148"/>
      <c r="AO86" s="1148"/>
      <c r="AP86" s="1148"/>
      <c r="AQ86" s="1148"/>
      <c r="AR86" s="1148"/>
      <c r="AS86" s="1148"/>
      <c r="AT86" s="1148"/>
      <c r="AU86" s="1148"/>
      <c r="AV86" s="1148"/>
      <c r="AW86" s="1148"/>
      <c r="AX86" s="1148"/>
      <c r="AY86" s="1148"/>
      <c r="AZ86" s="1148"/>
      <c r="BA86" s="1148"/>
      <c r="BB86" s="1148"/>
      <c r="BC86" s="1148"/>
      <c r="BD86" s="1148"/>
      <c r="BE86" s="1148"/>
      <c r="BF86" s="1148"/>
      <c r="BG86" s="1148"/>
      <c r="BH86" s="1148"/>
      <c r="BI86" s="1148"/>
    </row>
    <row r="87" spans="2:61" s="187" customFormat="1" ht="14.1" customHeight="1" x14ac:dyDescent="0.2">
      <c r="B87" s="1147"/>
      <c r="AJ87" s="1148"/>
      <c r="AK87" s="1148"/>
      <c r="AL87" s="1148"/>
      <c r="AM87" s="1148"/>
      <c r="AN87" s="1148"/>
      <c r="AO87" s="1148"/>
      <c r="AP87" s="1148"/>
      <c r="AQ87" s="1148"/>
      <c r="AR87" s="1148"/>
      <c r="AS87" s="1148"/>
      <c r="AT87" s="1148"/>
      <c r="AU87" s="1148"/>
      <c r="AV87" s="1148"/>
      <c r="AW87" s="1148"/>
      <c r="AX87" s="1148"/>
      <c r="AY87" s="1148"/>
      <c r="AZ87" s="1148"/>
      <c r="BA87" s="1148"/>
      <c r="BB87" s="1148"/>
      <c r="BC87" s="1148"/>
      <c r="BD87" s="1148"/>
      <c r="BE87" s="1148"/>
      <c r="BF87" s="1148"/>
      <c r="BG87" s="1148"/>
      <c r="BH87" s="1148"/>
      <c r="BI87" s="1148"/>
    </row>
    <row r="88" spans="2:61" s="187" customFormat="1" ht="14.1" customHeight="1" x14ac:dyDescent="0.2">
      <c r="B88" s="1147"/>
      <c r="AJ88" s="1148"/>
      <c r="AK88" s="1148"/>
      <c r="AL88" s="1148"/>
      <c r="AM88" s="1148"/>
      <c r="AN88" s="1148"/>
      <c r="AO88" s="1148"/>
      <c r="AP88" s="1148"/>
      <c r="AQ88" s="1148"/>
      <c r="AR88" s="1148"/>
      <c r="AS88" s="1148"/>
      <c r="AT88" s="1148"/>
      <c r="AU88" s="1148"/>
      <c r="AV88" s="1148"/>
      <c r="AW88" s="1148"/>
      <c r="AX88" s="1148"/>
      <c r="AY88" s="1148"/>
      <c r="AZ88" s="1148"/>
      <c r="BA88" s="1148"/>
      <c r="BB88" s="1148"/>
      <c r="BC88" s="1148"/>
      <c r="BD88" s="1148"/>
      <c r="BE88" s="1148"/>
      <c r="BF88" s="1148"/>
      <c r="BG88" s="1148"/>
      <c r="BH88" s="1148"/>
      <c r="BI88" s="1148"/>
    </row>
    <row r="89" spans="2:61" s="187" customFormat="1" ht="14.1" customHeight="1" x14ac:dyDescent="0.2">
      <c r="B89" s="1147"/>
      <c r="AJ89" s="1148"/>
      <c r="AK89" s="1148"/>
      <c r="AL89" s="1148"/>
      <c r="AM89" s="1148"/>
      <c r="AN89" s="1148"/>
      <c r="AO89" s="1148"/>
      <c r="AP89" s="1148"/>
      <c r="AQ89" s="1148"/>
      <c r="AR89" s="1148"/>
      <c r="AS89" s="1148"/>
      <c r="AT89" s="1148"/>
      <c r="AU89" s="1148"/>
      <c r="AV89" s="1148"/>
      <c r="AW89" s="1148"/>
      <c r="AX89" s="1148"/>
      <c r="AY89" s="1148"/>
      <c r="AZ89" s="1148"/>
      <c r="BA89" s="1148"/>
      <c r="BB89" s="1148"/>
      <c r="BC89" s="1148"/>
      <c r="BD89" s="1148"/>
      <c r="BE89" s="1148"/>
      <c r="BF89" s="1148"/>
      <c r="BG89" s="1148"/>
      <c r="BH89" s="1148"/>
      <c r="BI89" s="1148"/>
    </row>
    <row r="90" spans="2:61" ht="14.1" customHeight="1" x14ac:dyDescent="0.2">
      <c r="B90" s="19"/>
    </row>
    <row r="91" spans="2:61" ht="14.1" customHeight="1" x14ac:dyDescent="0.2">
      <c r="B91" s="19"/>
    </row>
  </sheetData>
  <mergeCells count="1">
    <mergeCell ref="O3:O4"/>
  </mergeCells>
  <pageMargins left="0.78740157499999996" right="0.78740157499999996" top="0.984251969" bottom="0.984251969" header="0.49212598499999999" footer="0.49212598499999999"/>
  <pageSetup paperSize="9"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9">
    <tabColor rgb="FFFAB766"/>
    <pageSetUpPr autoPageBreaks="0"/>
  </sheetPr>
  <dimension ref="A1:AZ122"/>
  <sheetViews>
    <sheetView showGridLines="0" zoomScale="115" zoomScaleNormal="115" workbookViewId="0">
      <pane xSplit="4" ySplit="10" topLeftCell="AN29" activePane="bottomRight" state="frozen"/>
      <selection activeCell="K34" sqref="K34"/>
      <selection pane="topRight" activeCell="K34" sqref="K34"/>
      <selection pane="bottomLeft" activeCell="K34" sqref="K34"/>
      <selection pane="bottomRight" activeCell="AO80" sqref="AO80"/>
    </sheetView>
  </sheetViews>
  <sheetFormatPr defaultRowHeight="12.75" outlineLevelRow="2" x14ac:dyDescent="0.2"/>
  <cols>
    <col min="1" max="2" width="9.140625" hidden="1" customWidth="1"/>
    <col min="3" max="3" width="1.42578125" style="266" hidden="1" customWidth="1"/>
    <col min="4" max="4" width="45.42578125" style="40" customWidth="1"/>
    <col min="5" max="5" width="10.85546875" style="138" customWidth="1"/>
    <col min="6" max="6" width="10.85546875" style="131" customWidth="1"/>
    <col min="7" max="49" width="10.85546875" customWidth="1"/>
    <col min="50" max="50" width="11.140625" bestFit="1" customWidth="1"/>
  </cols>
  <sheetData>
    <row r="1" spans="1:50" x14ac:dyDescent="0.2">
      <c r="E1" s="548" t="s">
        <v>87</v>
      </c>
      <c r="F1" s="548" t="str">
        <f t="shared" ref="F1:Q1" si="0">IF(LEFT(E1,1)="4","1T"&amp;RIGHT(E1,2)+1,LEFT(E1,1)+1&amp;RIGHT(E1,3))</f>
        <v>2T15</v>
      </c>
      <c r="G1" s="548" t="str">
        <f t="shared" si="0"/>
        <v>3T15</v>
      </c>
      <c r="H1" s="548" t="str">
        <f t="shared" si="0"/>
        <v>4T15</v>
      </c>
      <c r="I1" s="548" t="str">
        <f t="shared" si="0"/>
        <v>1T16</v>
      </c>
      <c r="J1" s="548" t="str">
        <f t="shared" si="0"/>
        <v>2T16</v>
      </c>
      <c r="K1" s="548" t="str">
        <f t="shared" si="0"/>
        <v>3T16</v>
      </c>
      <c r="L1" s="548" t="str">
        <f t="shared" si="0"/>
        <v>4T16</v>
      </c>
      <c r="M1" s="548" t="str">
        <f t="shared" si="0"/>
        <v>1T17</v>
      </c>
      <c r="N1" s="548" t="str">
        <f t="shared" si="0"/>
        <v>2T17</v>
      </c>
      <c r="O1" s="548" t="str">
        <f t="shared" si="0"/>
        <v>3T17</v>
      </c>
      <c r="P1" s="548" t="str">
        <f t="shared" si="0"/>
        <v>4T17</v>
      </c>
      <c r="Q1" s="548" t="str">
        <f t="shared" si="0"/>
        <v>1T18</v>
      </c>
      <c r="R1" s="548" t="str">
        <f t="shared" ref="R1:AC1" si="1">IF(LEFT(Q1,1)="4","1T"&amp;RIGHT(Q1,2)+1,LEFT(Q1,1)+1&amp;RIGHT(Q1,3))</f>
        <v>2T18</v>
      </c>
      <c r="S1" s="548" t="str">
        <f t="shared" si="1"/>
        <v>3T18</v>
      </c>
      <c r="T1" s="548" t="str">
        <f t="shared" si="1"/>
        <v>4T18</v>
      </c>
      <c r="U1" s="548" t="str">
        <f t="shared" si="1"/>
        <v>1T19</v>
      </c>
      <c r="V1" s="548" t="str">
        <f t="shared" si="1"/>
        <v>2T19</v>
      </c>
      <c r="W1" s="548" t="str">
        <f t="shared" si="1"/>
        <v>3T19</v>
      </c>
      <c r="X1" s="548" t="str">
        <f t="shared" si="1"/>
        <v>4T19</v>
      </c>
      <c r="Y1" s="548" t="str">
        <f t="shared" si="1"/>
        <v>1T20</v>
      </c>
      <c r="Z1" s="548" t="str">
        <f t="shared" si="1"/>
        <v>2T20</v>
      </c>
      <c r="AA1" s="548" t="str">
        <f t="shared" si="1"/>
        <v>3T20</v>
      </c>
      <c r="AB1" s="548" t="str">
        <f t="shared" si="1"/>
        <v>4T20</v>
      </c>
      <c r="AC1" s="548" t="str">
        <f t="shared" si="1"/>
        <v>1T21</v>
      </c>
      <c r="AD1" s="548" t="str">
        <f t="shared" ref="AD1:AO1" si="2">IF(LEFT(AC1,1)="4","1T"&amp;RIGHT(AC1,2)+1,LEFT(AC1,1)+1&amp;RIGHT(AC1,3))</f>
        <v>2T21</v>
      </c>
      <c r="AE1" s="548" t="str">
        <f t="shared" si="2"/>
        <v>3T21</v>
      </c>
      <c r="AF1" s="548" t="str">
        <f t="shared" si="2"/>
        <v>4T21</v>
      </c>
      <c r="AG1" s="548" t="str">
        <f t="shared" si="2"/>
        <v>1T22</v>
      </c>
      <c r="AH1" s="548" t="str">
        <f t="shared" si="2"/>
        <v>2T22</v>
      </c>
      <c r="AI1" s="548" t="str">
        <f t="shared" si="2"/>
        <v>3T22</v>
      </c>
      <c r="AJ1" s="548" t="str">
        <f t="shared" si="2"/>
        <v>4T22</v>
      </c>
      <c r="AK1" s="548" t="str">
        <f t="shared" si="2"/>
        <v>1T23</v>
      </c>
      <c r="AL1" s="548" t="str">
        <f t="shared" si="2"/>
        <v>2T23</v>
      </c>
      <c r="AM1" s="548" t="str">
        <f t="shared" si="2"/>
        <v>3T23</v>
      </c>
      <c r="AN1" s="548" t="str">
        <f t="shared" si="2"/>
        <v>4T23</v>
      </c>
      <c r="AO1" s="548" t="str">
        <f t="shared" si="2"/>
        <v>1T24</v>
      </c>
      <c r="AP1" s="548" t="str">
        <f t="shared" ref="AP1:AV1" si="3">IF(LEFT(AO1,1)="4","1T"&amp;RIGHT(AO1,2)+1,LEFT(AO1,1)+1&amp;RIGHT(AO1,3))</f>
        <v>2T24</v>
      </c>
      <c r="AQ1" s="548" t="str">
        <f t="shared" si="3"/>
        <v>3T24</v>
      </c>
      <c r="AR1" s="548" t="str">
        <f t="shared" si="3"/>
        <v>4T24</v>
      </c>
      <c r="AS1" s="548" t="str">
        <f t="shared" si="3"/>
        <v>1T25</v>
      </c>
      <c r="AT1" s="548" t="str">
        <f t="shared" si="3"/>
        <v>2T25</v>
      </c>
      <c r="AU1" s="548" t="str">
        <f t="shared" si="3"/>
        <v>3T25</v>
      </c>
      <c r="AV1" s="548" t="str">
        <f t="shared" si="3"/>
        <v>4T25</v>
      </c>
      <c r="AW1" s="548" t="str">
        <f>IF(LEFT(AV1,1)="4","1T"&amp;RIGHT(AV1,2)+1,LEFT(AV1,1)+1&amp;RIGHT(AV1,3))</f>
        <v>1T26</v>
      </c>
      <c r="AX1" s="548" t="str">
        <f>IF(LEFT(AW1,1)="4","1T"&amp;RIGHT(AW1,2)+1,LEFT(AW1,1)+1&amp;RIGHT(AW1,3))</f>
        <v>2T26</v>
      </c>
    </row>
    <row r="2" spans="1:50" x14ac:dyDescent="0.2">
      <c r="E2" s="548" t="str">
        <f t="shared" ref="E2:O2" si="4">SUBSTITUTE(E1,"T","Q")</f>
        <v>1Q15</v>
      </c>
      <c r="F2" s="548" t="str">
        <f t="shared" si="4"/>
        <v>2Q15</v>
      </c>
      <c r="G2" s="548" t="str">
        <f t="shared" si="4"/>
        <v>3Q15</v>
      </c>
      <c r="H2" s="548" t="str">
        <f t="shared" si="4"/>
        <v>4Q15</v>
      </c>
      <c r="I2" s="548" t="str">
        <f t="shared" si="4"/>
        <v>1Q16</v>
      </c>
      <c r="J2" s="548" t="str">
        <f t="shared" si="4"/>
        <v>2Q16</v>
      </c>
      <c r="K2" s="548" t="str">
        <f t="shared" si="4"/>
        <v>3Q16</v>
      </c>
      <c r="L2" s="548" t="str">
        <f t="shared" si="4"/>
        <v>4Q16</v>
      </c>
      <c r="M2" s="548" t="str">
        <f t="shared" si="4"/>
        <v>1Q17</v>
      </c>
      <c r="N2" s="548" t="str">
        <f t="shared" si="4"/>
        <v>2Q17</v>
      </c>
      <c r="O2" s="548" t="str">
        <f t="shared" si="4"/>
        <v>3Q17</v>
      </c>
      <c r="P2" s="548" t="str">
        <f t="shared" ref="P2:U2" si="5">SUBSTITUTE(P1,"T","Q")</f>
        <v>4Q17</v>
      </c>
      <c r="Q2" s="548" t="str">
        <f t="shared" si="5"/>
        <v>1Q18</v>
      </c>
      <c r="R2" s="548" t="str">
        <f t="shared" si="5"/>
        <v>2Q18</v>
      </c>
      <c r="S2" s="548" t="str">
        <f t="shared" si="5"/>
        <v>3Q18</v>
      </c>
      <c r="T2" s="548" t="str">
        <f t="shared" si="5"/>
        <v>4Q18</v>
      </c>
      <c r="U2" s="548" t="str">
        <f t="shared" si="5"/>
        <v>1Q19</v>
      </c>
      <c r="V2" s="548" t="str">
        <f t="shared" ref="V2:AA2" si="6">SUBSTITUTE(V1,"T","Q")</f>
        <v>2Q19</v>
      </c>
      <c r="W2" s="548" t="str">
        <f t="shared" si="6"/>
        <v>3Q19</v>
      </c>
      <c r="X2" s="548" t="str">
        <f t="shared" si="6"/>
        <v>4Q19</v>
      </c>
      <c r="Y2" s="548" t="str">
        <f t="shared" si="6"/>
        <v>1Q20</v>
      </c>
      <c r="Z2" s="548" t="str">
        <f t="shared" si="6"/>
        <v>2Q20</v>
      </c>
      <c r="AA2" s="548" t="str">
        <f t="shared" si="6"/>
        <v>3Q20</v>
      </c>
      <c r="AB2" s="548" t="str">
        <f t="shared" ref="AB2:AH2" si="7">SUBSTITUTE(AB1,"T","Q")</f>
        <v>4Q20</v>
      </c>
      <c r="AC2" s="548" t="str">
        <f t="shared" si="7"/>
        <v>1Q21</v>
      </c>
      <c r="AD2" s="548" t="str">
        <f t="shared" si="7"/>
        <v>2Q21</v>
      </c>
      <c r="AE2" s="548" t="str">
        <f t="shared" si="7"/>
        <v>3Q21</v>
      </c>
      <c r="AF2" s="548" t="str">
        <f t="shared" si="7"/>
        <v>4Q21</v>
      </c>
      <c r="AG2" s="548" t="str">
        <f t="shared" si="7"/>
        <v>1Q22</v>
      </c>
      <c r="AH2" s="548" t="str">
        <f t="shared" si="7"/>
        <v>2Q22</v>
      </c>
      <c r="AI2" s="548" t="str">
        <f t="shared" ref="AI2:AO2" si="8">SUBSTITUTE(AI1,"T","Q")</f>
        <v>3Q22</v>
      </c>
      <c r="AJ2" s="548" t="str">
        <f t="shared" si="8"/>
        <v>4Q22</v>
      </c>
      <c r="AK2" s="548" t="str">
        <f t="shared" si="8"/>
        <v>1Q23</v>
      </c>
      <c r="AL2" s="548" t="str">
        <f t="shared" si="8"/>
        <v>2Q23</v>
      </c>
      <c r="AM2" s="548" t="str">
        <f t="shared" si="8"/>
        <v>3Q23</v>
      </c>
      <c r="AN2" s="548" t="str">
        <f t="shared" si="8"/>
        <v>4Q23</v>
      </c>
      <c r="AO2" s="548" t="str">
        <f t="shared" si="8"/>
        <v>1Q24</v>
      </c>
      <c r="AP2" s="548" t="str">
        <f t="shared" ref="AP2:AX2" si="9">SUBSTITUTE(AP1,"T","Q")</f>
        <v>2Q24</v>
      </c>
      <c r="AQ2" s="548" t="str">
        <f t="shared" si="9"/>
        <v>3Q24</v>
      </c>
      <c r="AR2" s="548" t="str">
        <f t="shared" si="9"/>
        <v>4Q24</v>
      </c>
      <c r="AS2" s="548" t="str">
        <f t="shared" si="9"/>
        <v>1Q25</v>
      </c>
      <c r="AT2" s="548" t="str">
        <f t="shared" si="9"/>
        <v>2Q25</v>
      </c>
      <c r="AU2" s="548" t="str">
        <f t="shared" si="9"/>
        <v>3Q25</v>
      </c>
      <c r="AV2" s="548" t="str">
        <f t="shared" si="9"/>
        <v>4Q25</v>
      </c>
      <c r="AW2" s="548" t="str">
        <f>SUBSTITUTE(AW1,"T","Q")</f>
        <v>1Q26</v>
      </c>
      <c r="AX2" s="548" t="str">
        <f t="shared" si="9"/>
        <v>2Q26</v>
      </c>
    </row>
    <row r="3" spans="1:50" x14ac:dyDescent="0.2">
      <c r="E3" s="131"/>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row>
    <row r="4" spans="1:50" x14ac:dyDescent="0.2">
      <c r="A4" t="s">
        <v>337</v>
      </c>
      <c r="B4" t="s">
        <v>689</v>
      </c>
      <c r="D4" s="8" t="str">
        <f>IF([1]RENAME!$H$3=1,B4,A4)</f>
        <v>(Em R$ Mil)</v>
      </c>
      <c r="E4" s="131"/>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row>
    <row r="5" spans="1:50" x14ac:dyDescent="0.2">
      <c r="A5" t="s">
        <v>458</v>
      </c>
      <c r="B5" t="s">
        <v>743</v>
      </c>
      <c r="D5" s="113" t="str">
        <f>IF([1]RENAME!$H$3=1,B5,A5)</f>
        <v>Conciliação do fluxo de caixa livre consolidado</v>
      </c>
      <c r="E5" s="115" t="str">
        <f>IF([1]RENAME!$H$3=1,E2,E1)</f>
        <v>1T15</v>
      </c>
      <c r="F5" s="115" t="str">
        <f>IF([1]RENAME!$H$3=1,F2,F1)</f>
        <v>2T15</v>
      </c>
      <c r="G5" s="132" t="str">
        <f>IF([1]RENAME!$H$3=1,G2,G1)</f>
        <v>3T15</v>
      </c>
      <c r="H5" s="132" t="str">
        <f>IF([1]RENAME!$H$3=1,H2,H1)</f>
        <v>4T15</v>
      </c>
      <c r="I5" s="132" t="str">
        <f>IF([1]RENAME!$H$3=1,I2,I1)</f>
        <v>1T16</v>
      </c>
      <c r="J5" s="132" t="str">
        <f>IF([1]RENAME!$H$3=1,J2,J1)</f>
        <v>2T16</v>
      </c>
      <c r="K5" s="132" t="str">
        <f>IF([1]RENAME!$H$3=1,K2,K1)</f>
        <v>3T16</v>
      </c>
      <c r="L5" s="132" t="str">
        <f>IF([1]RENAME!$H$3=1,L2,L1)</f>
        <v>4T16</v>
      </c>
      <c r="M5" s="132" t="str">
        <f>IF([1]RENAME!$H$3=1,M2,M1)</f>
        <v>1T17</v>
      </c>
      <c r="N5" s="132" t="str">
        <f>IF([1]RENAME!$H$3=1,N2,N1)</f>
        <v>2T17</v>
      </c>
      <c r="O5" s="132" t="str">
        <f>IF([1]RENAME!$H$3=1,O2,O1)</f>
        <v>3T17</v>
      </c>
      <c r="P5" s="132" t="str">
        <f>IF([1]RENAME!$H$3=1,P2,P1)</f>
        <v>4T17</v>
      </c>
      <c r="Q5" s="132" t="str">
        <f>IF([1]RENAME!$H$3=1,Q2,Q1)</f>
        <v>1T18</v>
      </c>
      <c r="R5" s="132" t="str">
        <f>IF([1]RENAME!$H$3=1,R2,R1)</f>
        <v>2T18</v>
      </c>
      <c r="S5" s="132" t="str">
        <f>IF([1]RENAME!$H$3=1,S2,S1)</f>
        <v>3T18</v>
      </c>
      <c r="T5" s="132" t="str">
        <f>IF([1]RENAME!$H$3=1,T2,T1)</f>
        <v>4T18</v>
      </c>
      <c r="U5" s="132" t="str">
        <f>IF([1]RENAME!$H$3=1,U2,U1)</f>
        <v>1T19</v>
      </c>
      <c r="V5" s="132" t="str">
        <f>IF([1]RENAME!$H$3=1,V2,V1)</f>
        <v>2T19</v>
      </c>
      <c r="W5" s="132" t="str">
        <f>IF([1]RENAME!$H$3=1,W2,W1)</f>
        <v>3T19</v>
      </c>
      <c r="X5" s="132" t="str">
        <f>IF([1]RENAME!$H$3=1,X2,X1)</f>
        <v>4T19</v>
      </c>
      <c r="Y5" s="132" t="str">
        <f>IF([1]RENAME!$H$3=1,Y2,Y1)</f>
        <v>1T20</v>
      </c>
      <c r="Z5" s="132" t="str">
        <f>IF([1]RENAME!$H$3=1,Z2,Z1)</f>
        <v>2T20</v>
      </c>
      <c r="AA5" s="132" t="str">
        <f>IF([1]RENAME!$H$3=1,AA2,AA1)</f>
        <v>3T20</v>
      </c>
      <c r="AB5" s="132" t="str">
        <f>IF([1]RENAME!$H$3=1,AB2,AB1)</f>
        <v>4T20</v>
      </c>
      <c r="AC5" s="132" t="str">
        <f>IF([1]RENAME!$H$3=1,AC2,AC1)</f>
        <v>1T21</v>
      </c>
      <c r="AD5" s="132" t="str">
        <f>IF([1]RENAME!$H$3=1,AD2,AD1)</f>
        <v>2T21</v>
      </c>
      <c r="AE5" s="132" t="str">
        <f>IF([1]RENAME!$H$3=1,AE2,AE1)</f>
        <v>3T21</v>
      </c>
      <c r="AF5" s="132" t="str">
        <f>IF([1]RENAME!$H$3=1,AF2,AF1)</f>
        <v>4T21</v>
      </c>
      <c r="AG5" s="132" t="str">
        <f>IF([1]RENAME!$H$3=1,AG2,AG1)</f>
        <v>1T22</v>
      </c>
      <c r="AH5" s="132" t="str">
        <f>IF([1]RENAME!$H$3=1,AH2,AH1)</f>
        <v>2T22</v>
      </c>
      <c r="AI5" s="132" t="str">
        <f>IF([1]RENAME!$H$3=1,AI2,AI1)</f>
        <v>3T22</v>
      </c>
      <c r="AJ5" s="132" t="str">
        <f>IF([1]RENAME!$H$3=1,AJ2,AJ1)</f>
        <v>4T22</v>
      </c>
      <c r="AK5" s="132" t="str">
        <f>IF([1]RENAME!$H$3=1,AK2,AK1)</f>
        <v>1T23</v>
      </c>
      <c r="AL5" s="132" t="str">
        <f>IF([1]RENAME!$H$3=1,AL2,AL1)</f>
        <v>2T23</v>
      </c>
      <c r="AM5" s="132" t="str">
        <f>IF([1]RENAME!$H$3=1,AM2,AM1)</f>
        <v>3T23</v>
      </c>
      <c r="AN5" s="132" t="str">
        <f>IF([1]RENAME!$H$3=1,AN2,AN1)</f>
        <v>4T23</v>
      </c>
      <c r="AO5" s="132" t="str">
        <f>IF([1]RENAME!$H$3=1,AO2,AO1)</f>
        <v>1T24</v>
      </c>
      <c r="AP5" s="132" t="str">
        <f>IF([1]RENAME!$H$3=1,AP2,AP1)</f>
        <v>2T24</v>
      </c>
      <c r="AQ5" s="132" t="str">
        <f>IF([1]RENAME!$H$3=1,AQ2,AQ1)</f>
        <v>3T24</v>
      </c>
      <c r="AR5" s="132" t="str">
        <f>IF([1]RENAME!$H$3=1,AR2,AR1)</f>
        <v>4T24</v>
      </c>
      <c r="AS5" s="132" t="str">
        <f>IF([1]RENAME!$H$3=1,AS2,AS1)</f>
        <v>1T25</v>
      </c>
      <c r="AT5" s="132" t="str">
        <f>IF([1]RENAME!$H$3=1,AT2,AT1)</f>
        <v>2T25</v>
      </c>
      <c r="AU5" s="132" t="str">
        <f>IF([1]RENAME!$H$3=1,AU2,AU1)</f>
        <v>3T25</v>
      </c>
      <c r="AV5" s="132" t="str">
        <f>IF([1]RENAME!$H$3=1,AV2,AV1)</f>
        <v>4T25</v>
      </c>
      <c r="AW5" s="132" t="str">
        <f>IF([1]RENAME!$H$3=1,AW2,AW1)</f>
        <v>1T26</v>
      </c>
      <c r="AX5" s="132" t="str">
        <f>IF([1]RENAME!$H$3=1,AX2,AX1)</f>
        <v>2T26</v>
      </c>
    </row>
    <row r="6" spans="1:50" ht="25.5" hidden="1" outlineLevel="1" x14ac:dyDescent="0.2">
      <c r="A6" t="s">
        <v>389</v>
      </c>
      <c r="B6" t="s">
        <v>744</v>
      </c>
      <c r="D6" s="185" t="str">
        <f>IF([1]RENAME!$H$3=1,B6,A6)</f>
        <v>Caixa líquido proveniente das atividades operacionais (ITR)</v>
      </c>
      <c r="E6" s="186">
        <f t="shared" ref="E6:T6" si="10">+E63+SUM(E88:E90)</f>
        <v>54433.999999999971</v>
      </c>
      <c r="F6" s="186">
        <f t="shared" si="10"/>
        <v>-38044</v>
      </c>
      <c r="G6" s="186">
        <f t="shared" si="10"/>
        <v>70041.174780000001</v>
      </c>
      <c r="H6" s="186">
        <f t="shared" si="10"/>
        <v>25579</v>
      </c>
      <c r="I6" s="186">
        <f t="shared" si="10"/>
        <v>51186.999720000022</v>
      </c>
      <c r="J6" s="186">
        <f t="shared" si="10"/>
        <v>-2641.9999999999982</v>
      </c>
      <c r="K6" s="186">
        <f t="shared" si="10"/>
        <v>28377</v>
      </c>
      <c r="L6" s="186">
        <f t="shared" si="10"/>
        <v>7437.0000000000018</v>
      </c>
      <c r="M6" s="186">
        <f t="shared" si="10"/>
        <v>16727.027199999993</v>
      </c>
      <c r="N6" s="186">
        <f t="shared" si="10"/>
        <v>18182.445259999968</v>
      </c>
      <c r="O6" s="186">
        <f t="shared" si="10"/>
        <v>33546.934711548151</v>
      </c>
      <c r="P6" s="186">
        <f t="shared" si="10"/>
        <v>16545.937288451845</v>
      </c>
      <c r="Q6" s="186">
        <f t="shared" si="10"/>
        <v>47325</v>
      </c>
      <c r="R6" s="186">
        <f t="shared" si="10"/>
        <v>11895</v>
      </c>
      <c r="S6" s="186">
        <f t="shared" si="10"/>
        <v>33009.324519999936</v>
      </c>
      <c r="T6" s="186">
        <f t="shared" si="10"/>
        <v>12660.218080000042</v>
      </c>
      <c r="U6" s="186">
        <f t="shared" ref="U6:Z6" si="11">+U63</f>
        <v>55636</v>
      </c>
      <c r="V6" s="186">
        <f t="shared" si="11"/>
        <v>51412.371810000062</v>
      </c>
      <c r="W6" s="186">
        <f t="shared" si="11"/>
        <v>45622.193179999958</v>
      </c>
      <c r="X6" s="186">
        <f t="shared" si="11"/>
        <v>24899.259119999992</v>
      </c>
      <c r="Y6" s="186">
        <f t="shared" si="11"/>
        <v>73009.393389999968</v>
      </c>
      <c r="Z6" s="186">
        <f t="shared" si="11"/>
        <v>83569.515780000002</v>
      </c>
      <c r="AA6" s="186">
        <f>+AA63</f>
        <v>3533.416119999958</v>
      </c>
      <c r="AB6" s="186">
        <f>+AB63</f>
        <v>43612.838950000027</v>
      </c>
      <c r="AC6" s="186">
        <f>+AC63</f>
        <v>57920.245349999932</v>
      </c>
      <c r="AD6" s="186">
        <v>6722.9608511999832</v>
      </c>
      <c r="AE6" s="186">
        <v>38576.960199999994</v>
      </c>
      <c r="AF6" s="186">
        <f t="shared" ref="AF6:AK6" si="12">+AF63</f>
        <v>-49718.516980000059</v>
      </c>
      <c r="AG6" s="186">
        <f t="shared" si="12"/>
        <v>85359.709109999967</v>
      </c>
      <c r="AH6" s="186">
        <f t="shared" si="12"/>
        <v>-68.3009444250456</v>
      </c>
      <c r="AI6" s="186">
        <f t="shared" si="12"/>
        <v>59558.003068400016</v>
      </c>
      <c r="AJ6" s="186">
        <f t="shared" si="12"/>
        <v>62965.361847199965</v>
      </c>
      <c r="AK6" s="186">
        <f t="shared" si="12"/>
        <v>87055.848997799796</v>
      </c>
      <c r="AL6" s="186">
        <f t="shared" ref="AL6:AX6" si="13">+AL63</f>
        <v>45822.318640000201</v>
      </c>
      <c r="AM6" s="186">
        <f t="shared" si="13"/>
        <v>67676.701230000093</v>
      </c>
      <c r="AN6" s="186">
        <f t="shared" si="13"/>
        <v>15905.691510000186</v>
      </c>
      <c r="AO6" s="186">
        <f t="shared" si="13"/>
        <v>84452.066839999767</v>
      </c>
      <c r="AP6" s="186">
        <f t="shared" si="13"/>
        <v>49445.657680000062</v>
      </c>
      <c r="AQ6" s="186">
        <f t="shared" si="13"/>
        <v>68562.687500000116</v>
      </c>
      <c r="AR6" s="186">
        <f t="shared" si="13"/>
        <v>56234.962249699864</v>
      </c>
      <c r="AS6" s="186">
        <f t="shared" si="13"/>
        <v>110278.68429999988</v>
      </c>
      <c r="AT6" s="186">
        <f t="shared" si="13"/>
        <v>59558.508879999805</v>
      </c>
      <c r="AU6" s="186">
        <f t="shared" si="13"/>
        <v>41734.991030000063</v>
      </c>
      <c r="AV6" s="186">
        <f t="shared" si="13"/>
        <v>31691.377919999795</v>
      </c>
      <c r="AW6" s="186">
        <f>+AW63</f>
        <v>100433.89612000008</v>
      </c>
      <c r="AX6" s="186">
        <f t="shared" si="13"/>
        <v>22349.685519999752</v>
      </c>
    </row>
    <row r="7" spans="1:50" s="233" customFormat="1" ht="25.5" hidden="1" outlineLevel="1" x14ac:dyDescent="0.2">
      <c r="A7" s="233" t="s">
        <v>390</v>
      </c>
      <c r="B7" s="233" t="s">
        <v>745</v>
      </c>
      <c r="C7" s="266"/>
      <c r="D7" s="234" t="str">
        <f>IF([1]RENAME!$H$3=1,B7,A7)</f>
        <v>(-) Prejuízo antes do imposto de renda e da contribuição social das operações descontinuadas</v>
      </c>
      <c r="E7" s="235">
        <f t="shared" ref="E7:G9" si="14">-E88</f>
        <v>0</v>
      </c>
      <c r="F7" s="235">
        <f t="shared" si="14"/>
        <v>0</v>
      </c>
      <c r="G7" s="235">
        <f t="shared" si="14"/>
        <v>0</v>
      </c>
      <c r="H7" s="235">
        <f t="shared" ref="H7:I9" si="15">-H88</f>
        <v>0</v>
      </c>
      <c r="I7" s="235">
        <f t="shared" si="15"/>
        <v>0</v>
      </c>
      <c r="J7" s="235">
        <f t="shared" ref="J7:K9" si="16">-J88</f>
        <v>0</v>
      </c>
      <c r="K7" s="235">
        <f t="shared" si="16"/>
        <v>0</v>
      </c>
      <c r="L7" s="235">
        <v>0</v>
      </c>
      <c r="M7" s="235">
        <v>0</v>
      </c>
      <c r="N7" s="235">
        <v>0</v>
      </c>
      <c r="O7" s="235">
        <v>0</v>
      </c>
      <c r="P7" s="235">
        <v>0</v>
      </c>
      <c r="Q7" s="235">
        <v>0</v>
      </c>
      <c r="R7" s="235"/>
      <c r="S7" s="235">
        <v>0</v>
      </c>
      <c r="T7" s="235">
        <v>0</v>
      </c>
      <c r="U7" s="235">
        <v>0</v>
      </c>
      <c r="V7" s="235"/>
      <c r="W7" s="235">
        <v>0</v>
      </c>
      <c r="X7" s="235">
        <v>0</v>
      </c>
      <c r="Y7" s="235">
        <v>0</v>
      </c>
      <c r="Z7" s="235">
        <v>0</v>
      </c>
      <c r="AA7" s="235">
        <v>0</v>
      </c>
      <c r="AB7" s="235">
        <v>0</v>
      </c>
      <c r="AC7" s="235">
        <v>0</v>
      </c>
      <c r="AD7" s="235">
        <v>0</v>
      </c>
      <c r="AE7" s="235">
        <v>0</v>
      </c>
      <c r="AF7" s="235">
        <v>0</v>
      </c>
      <c r="AG7" s="235"/>
      <c r="AH7" s="235">
        <v>0</v>
      </c>
      <c r="AI7" s="235">
        <v>0</v>
      </c>
      <c r="AJ7" s="235">
        <v>0</v>
      </c>
      <c r="AK7" s="235">
        <v>0</v>
      </c>
      <c r="AL7" s="235">
        <v>0</v>
      </c>
      <c r="AM7" s="235">
        <v>0</v>
      </c>
      <c r="AN7" s="235">
        <v>0</v>
      </c>
      <c r="AO7" s="235">
        <v>0</v>
      </c>
      <c r="AP7" s="235" t="s">
        <v>160</v>
      </c>
      <c r="AQ7" s="235" t="s">
        <v>160</v>
      </c>
      <c r="AR7" s="235"/>
      <c r="AS7" s="235"/>
      <c r="AT7" s="235">
        <v>0</v>
      </c>
      <c r="AU7" s="235">
        <v>0</v>
      </c>
      <c r="AV7" s="235">
        <v>0</v>
      </c>
      <c r="AW7" s="235">
        <v>0</v>
      </c>
      <c r="AX7" s="235">
        <v>0</v>
      </c>
    </row>
    <row r="8" spans="1:50" s="233" customFormat="1" ht="25.5" hidden="1" outlineLevel="1" x14ac:dyDescent="0.2">
      <c r="A8" s="233" t="s">
        <v>391</v>
      </c>
      <c r="B8" s="233" t="s">
        <v>746</v>
      </c>
      <c r="C8" s="266"/>
      <c r="D8" s="234" t="str">
        <f>IF([1]RENAME!$H$3=1,B8,A8)</f>
        <v>(-) Variação dos ativos e passivos de operação descontinuada</v>
      </c>
      <c r="E8" s="235">
        <f t="shared" si="14"/>
        <v>0</v>
      </c>
      <c r="F8" s="235">
        <f t="shared" si="14"/>
        <v>0</v>
      </c>
      <c r="G8" s="235">
        <f t="shared" si="14"/>
        <v>0</v>
      </c>
      <c r="H8" s="235">
        <f t="shared" si="15"/>
        <v>0</v>
      </c>
      <c r="I8" s="235">
        <f t="shared" si="15"/>
        <v>0</v>
      </c>
      <c r="J8" s="235">
        <f t="shared" si="16"/>
        <v>0</v>
      </c>
      <c r="K8" s="235">
        <f t="shared" si="16"/>
        <v>0</v>
      </c>
      <c r="L8" s="235">
        <v>0</v>
      </c>
      <c r="M8" s="235">
        <v>0</v>
      </c>
      <c r="N8" s="235">
        <v>0</v>
      </c>
      <c r="O8" s="235">
        <v>0</v>
      </c>
      <c r="P8" s="235">
        <v>0</v>
      </c>
      <c r="Q8" s="235">
        <v>0</v>
      </c>
      <c r="R8" s="235"/>
      <c r="S8" s="235">
        <v>0</v>
      </c>
      <c r="T8" s="235">
        <v>0</v>
      </c>
      <c r="U8" s="235">
        <v>0</v>
      </c>
      <c r="V8" s="235"/>
      <c r="W8" s="235">
        <v>0</v>
      </c>
      <c r="X8" s="235">
        <v>0</v>
      </c>
      <c r="Y8" s="235">
        <v>0</v>
      </c>
      <c r="Z8" s="235">
        <v>0</v>
      </c>
      <c r="AA8" s="235">
        <v>0</v>
      </c>
      <c r="AB8" s="235">
        <v>0</v>
      </c>
      <c r="AC8" s="235">
        <v>0</v>
      </c>
      <c r="AD8" s="235">
        <v>0</v>
      </c>
      <c r="AE8" s="235">
        <v>0</v>
      </c>
      <c r="AF8" s="235">
        <v>0</v>
      </c>
      <c r="AG8" s="235"/>
      <c r="AH8" s="235">
        <v>0</v>
      </c>
      <c r="AI8" s="235">
        <v>0</v>
      </c>
      <c r="AJ8" s="235">
        <v>0</v>
      </c>
      <c r="AK8" s="235">
        <v>0</v>
      </c>
      <c r="AL8" s="235">
        <v>0</v>
      </c>
      <c r="AM8" s="235">
        <v>0</v>
      </c>
      <c r="AN8" s="235">
        <v>0</v>
      </c>
      <c r="AO8" s="235">
        <v>0</v>
      </c>
      <c r="AP8" s="235" t="s">
        <v>160</v>
      </c>
      <c r="AQ8" s="235" t="s">
        <v>160</v>
      </c>
      <c r="AR8" s="235"/>
      <c r="AS8" s="235"/>
      <c r="AT8" s="235">
        <v>0</v>
      </c>
      <c r="AU8" s="235">
        <v>0</v>
      </c>
      <c r="AV8" s="235">
        <v>0</v>
      </c>
      <c r="AW8" s="235">
        <v>0</v>
      </c>
      <c r="AX8" s="235">
        <v>0</v>
      </c>
    </row>
    <row r="9" spans="1:50" s="233" customFormat="1" hidden="1" outlineLevel="1" x14ac:dyDescent="0.2">
      <c r="A9" s="233" t="s">
        <v>392</v>
      </c>
      <c r="B9" s="233" t="s">
        <v>747</v>
      </c>
      <c r="C9" s="266"/>
      <c r="D9" s="234" t="str">
        <f>IF([1]RENAME!$H$3=1,B9,A9)</f>
        <v>(-) Perda na venda de investimento</v>
      </c>
      <c r="E9" s="235">
        <f t="shared" si="14"/>
        <v>0</v>
      </c>
      <c r="F9" s="235">
        <f t="shared" si="14"/>
        <v>0</v>
      </c>
      <c r="G9" s="235">
        <f t="shared" si="14"/>
        <v>0</v>
      </c>
      <c r="H9" s="235">
        <f t="shared" si="15"/>
        <v>0</v>
      </c>
      <c r="I9" s="235">
        <f t="shared" si="15"/>
        <v>0</v>
      </c>
      <c r="J9" s="235">
        <f t="shared" si="16"/>
        <v>0</v>
      </c>
      <c r="K9" s="235">
        <f t="shared" si="16"/>
        <v>0</v>
      </c>
      <c r="L9" s="235">
        <v>0</v>
      </c>
      <c r="M9" s="235">
        <v>0</v>
      </c>
      <c r="N9" s="235">
        <v>0</v>
      </c>
      <c r="O9" s="235">
        <v>0</v>
      </c>
      <c r="P9" s="235">
        <v>0</v>
      </c>
      <c r="Q9" s="235">
        <v>0</v>
      </c>
      <c r="R9" s="235"/>
      <c r="S9" s="235">
        <v>0</v>
      </c>
      <c r="T9" s="235">
        <v>0</v>
      </c>
      <c r="U9" s="235">
        <v>0</v>
      </c>
      <c r="V9" s="235"/>
      <c r="W9" s="235">
        <v>0</v>
      </c>
      <c r="X9" s="235">
        <v>0</v>
      </c>
      <c r="Y9" s="235">
        <v>0</v>
      </c>
      <c r="Z9" s="235">
        <v>0</v>
      </c>
      <c r="AA9" s="235">
        <v>0</v>
      </c>
      <c r="AB9" s="235">
        <v>0</v>
      </c>
      <c r="AC9" s="235">
        <v>0</v>
      </c>
      <c r="AD9" s="235">
        <v>0</v>
      </c>
      <c r="AE9" s="235">
        <v>0</v>
      </c>
      <c r="AF9" s="235">
        <v>0</v>
      </c>
      <c r="AG9" s="235"/>
      <c r="AH9" s="235">
        <v>0</v>
      </c>
      <c r="AI9" s="235">
        <v>0</v>
      </c>
      <c r="AJ9" s="235">
        <v>0</v>
      </c>
      <c r="AK9" s="235">
        <v>0</v>
      </c>
      <c r="AL9" s="235">
        <v>0</v>
      </c>
      <c r="AM9" s="235">
        <v>0</v>
      </c>
      <c r="AN9" s="235">
        <v>0</v>
      </c>
      <c r="AO9" s="235">
        <v>0</v>
      </c>
      <c r="AP9" s="235" t="s">
        <v>160</v>
      </c>
      <c r="AQ9" s="235" t="s">
        <v>160</v>
      </c>
      <c r="AR9" s="235"/>
      <c r="AS9" s="235"/>
      <c r="AT9" s="235">
        <v>0</v>
      </c>
      <c r="AU9" s="235">
        <v>0</v>
      </c>
      <c r="AV9" s="235">
        <v>0</v>
      </c>
      <c r="AW9" s="235">
        <v>0</v>
      </c>
      <c r="AX9" s="235">
        <v>0</v>
      </c>
    </row>
    <row r="10" spans="1:50" s="233" customFormat="1" ht="25.5" hidden="1" outlineLevel="1" x14ac:dyDescent="0.2">
      <c r="A10" s="233" t="s">
        <v>400</v>
      </c>
      <c r="B10" s="233" t="s">
        <v>748</v>
      </c>
      <c r="C10" s="266"/>
      <c r="D10" s="234" t="str">
        <f>IF([1]RENAME!$H$3=1,B10,A10)</f>
        <v>(-) Recebimento do ativo cindido/cedido de operações descontinuadas¹</v>
      </c>
      <c r="E10" s="235">
        <v>5405.6363199999896</v>
      </c>
      <c r="F10" s="235">
        <v>2003.9024199999999</v>
      </c>
      <c r="G10" s="235">
        <v>297.32211999999998</v>
      </c>
      <c r="H10" s="235">
        <v>0</v>
      </c>
      <c r="I10" s="235">
        <v>0</v>
      </c>
      <c r="J10" s="235">
        <v>0</v>
      </c>
      <c r="K10" s="235">
        <v>0</v>
      </c>
      <c r="L10" s="235">
        <v>0</v>
      </c>
      <c r="M10" s="235">
        <v>0</v>
      </c>
      <c r="N10" s="235">
        <v>0</v>
      </c>
      <c r="O10" s="235">
        <v>0</v>
      </c>
      <c r="P10" s="235">
        <v>0</v>
      </c>
      <c r="Q10" s="235">
        <v>0</v>
      </c>
      <c r="R10" s="235"/>
      <c r="S10" s="235">
        <v>0</v>
      </c>
      <c r="T10" s="235">
        <v>0</v>
      </c>
      <c r="U10" s="235">
        <v>0</v>
      </c>
      <c r="V10" s="235"/>
      <c r="W10" s="235">
        <v>0</v>
      </c>
      <c r="X10" s="235">
        <v>0</v>
      </c>
      <c r="Y10" s="235">
        <v>0</v>
      </c>
      <c r="Z10" s="235">
        <v>0</v>
      </c>
      <c r="AA10" s="235">
        <v>0</v>
      </c>
      <c r="AB10" s="235">
        <v>0</v>
      </c>
      <c r="AC10" s="235">
        <v>0</v>
      </c>
      <c r="AD10" s="235">
        <v>0</v>
      </c>
      <c r="AE10" s="235">
        <v>0</v>
      </c>
      <c r="AF10" s="235">
        <v>0</v>
      </c>
      <c r="AG10" s="235"/>
      <c r="AH10" s="235">
        <v>0</v>
      </c>
      <c r="AI10" s="235">
        <v>0</v>
      </c>
      <c r="AJ10" s="235">
        <v>0</v>
      </c>
      <c r="AK10" s="235">
        <v>0</v>
      </c>
      <c r="AL10" s="235">
        <v>0</v>
      </c>
      <c r="AM10" s="235">
        <v>0</v>
      </c>
      <c r="AN10" s="235">
        <v>0</v>
      </c>
      <c r="AO10" s="235">
        <v>0</v>
      </c>
      <c r="AP10" s="235" t="s">
        <v>160</v>
      </c>
      <c r="AQ10" s="235" t="s">
        <v>160</v>
      </c>
      <c r="AR10" s="235"/>
      <c r="AS10" s="235"/>
      <c r="AT10" s="235">
        <v>0</v>
      </c>
      <c r="AU10" s="235">
        <v>0</v>
      </c>
      <c r="AV10" s="235">
        <v>0</v>
      </c>
      <c r="AW10" s="235">
        <v>0</v>
      </c>
      <c r="AX10" s="235">
        <v>0</v>
      </c>
    </row>
    <row r="11" spans="1:50" ht="25.5" collapsed="1" x14ac:dyDescent="0.2">
      <c r="A11" t="s">
        <v>741</v>
      </c>
      <c r="B11" t="s">
        <v>749</v>
      </c>
      <c r="D11" s="185" t="str">
        <f>IF([1]RENAME!$H$3=1,B11,A11)</f>
        <v>A - Caixa líquido proveniente das atividades operacionais (sem descontinuadas)</v>
      </c>
      <c r="E11" s="136">
        <f>+E6-SUM(E7:E10)</f>
        <v>49028.36367999998</v>
      </c>
      <c r="F11" s="136">
        <f>+F6-SUM(F7:F10)</f>
        <v>-40047.902419999999</v>
      </c>
      <c r="G11" s="136">
        <f t="shared" ref="G11:N11" si="17">+G6-SUM(G7:G10)</f>
        <v>69743.852660000004</v>
      </c>
      <c r="H11" s="136">
        <f t="shared" si="17"/>
        <v>25579</v>
      </c>
      <c r="I11" s="136">
        <f t="shared" si="17"/>
        <v>51186.999720000022</v>
      </c>
      <c r="J11" s="136">
        <f t="shared" si="17"/>
        <v>-2641.9999999999982</v>
      </c>
      <c r="K11" s="136">
        <f t="shared" si="17"/>
        <v>28377</v>
      </c>
      <c r="L11" s="136">
        <f t="shared" si="17"/>
        <v>7437.0000000000018</v>
      </c>
      <c r="M11" s="136">
        <f t="shared" si="17"/>
        <v>16727.027199999993</v>
      </c>
      <c r="N11" s="136">
        <f t="shared" si="17"/>
        <v>18182.445259999968</v>
      </c>
      <c r="O11" s="136">
        <f t="shared" ref="O11:U11" si="18">+O6-SUM(O7:O10)</f>
        <v>33546.934711548151</v>
      </c>
      <c r="P11" s="136">
        <f t="shared" si="18"/>
        <v>16545.937288451845</v>
      </c>
      <c r="Q11" s="136">
        <f t="shared" si="18"/>
        <v>47325</v>
      </c>
      <c r="R11" s="136">
        <f t="shared" si="18"/>
        <v>11895</v>
      </c>
      <c r="S11" s="136">
        <f t="shared" si="18"/>
        <v>33009.324519999936</v>
      </c>
      <c r="T11" s="136">
        <f t="shared" si="18"/>
        <v>12660.218080000042</v>
      </c>
      <c r="U11" s="136">
        <f t="shared" si="18"/>
        <v>55636</v>
      </c>
      <c r="V11" s="136">
        <f t="shared" ref="V11:AC11" si="19">+V6-SUM(V7:V10)</f>
        <v>51412.371810000062</v>
      </c>
      <c r="W11" s="136">
        <f t="shared" si="19"/>
        <v>45622.193179999958</v>
      </c>
      <c r="X11" s="136">
        <f t="shared" si="19"/>
        <v>24899.259119999992</v>
      </c>
      <c r="Y11" s="838">
        <f t="shared" si="19"/>
        <v>73009.393389999968</v>
      </c>
      <c r="Z11" s="136">
        <f t="shared" si="19"/>
        <v>83569.515780000002</v>
      </c>
      <c r="AA11" s="136">
        <f t="shared" si="19"/>
        <v>3533.416119999958</v>
      </c>
      <c r="AB11" s="136">
        <f t="shared" si="19"/>
        <v>43612.838950000027</v>
      </c>
      <c r="AC11" s="136">
        <f t="shared" si="19"/>
        <v>57920.245349999932</v>
      </c>
      <c r="AD11" s="136">
        <f t="shared" ref="AD11:AN11" si="20">+AD6-SUM(AD7:AD10)</f>
        <v>6722.9608511999832</v>
      </c>
      <c r="AE11" s="136">
        <f t="shared" si="20"/>
        <v>38576.960199999994</v>
      </c>
      <c r="AF11" s="136">
        <f t="shared" si="20"/>
        <v>-49718.516980000059</v>
      </c>
      <c r="AG11" s="136">
        <f t="shared" si="20"/>
        <v>85359.709109999967</v>
      </c>
      <c r="AH11" s="136">
        <f t="shared" si="20"/>
        <v>-68.3009444250456</v>
      </c>
      <c r="AI11" s="136">
        <f t="shared" si="20"/>
        <v>59558.003068400016</v>
      </c>
      <c r="AJ11" s="136">
        <f t="shared" si="20"/>
        <v>62965.361847199965</v>
      </c>
      <c r="AK11" s="136">
        <f t="shared" si="20"/>
        <v>87055.848997799796</v>
      </c>
      <c r="AL11" s="136">
        <f t="shared" si="20"/>
        <v>45822.318640000201</v>
      </c>
      <c r="AM11" s="136">
        <f t="shared" si="20"/>
        <v>67676.701230000093</v>
      </c>
      <c r="AN11" s="136">
        <f t="shared" si="20"/>
        <v>15905.691510000186</v>
      </c>
      <c r="AO11" s="136">
        <f>+AO6-SUM(AO7:AO10)</f>
        <v>84452.066839999767</v>
      </c>
      <c r="AP11" s="136">
        <f>+AP6-SUM(AP7:AP10)</f>
        <v>49445.657680000062</v>
      </c>
      <c r="AQ11" s="136">
        <f>+AQ6-SUM(AQ7:AQ10)</f>
        <v>68562.687500000116</v>
      </c>
      <c r="AR11" s="136">
        <f>+AR6-SUM(AR7:AR10)</f>
        <v>56234.962249699864</v>
      </c>
      <c r="AS11" s="136">
        <v>110278</v>
      </c>
      <c r="AT11" s="136">
        <v>59550.315700000123</v>
      </c>
      <c r="AU11" s="136">
        <v>41726.806820000318</v>
      </c>
      <c r="AV11" s="136">
        <v>31683.823940000264</v>
      </c>
      <c r="AW11" s="136">
        <v>100426</v>
      </c>
      <c r="AX11" s="136">
        <f>+AX6-SUM(AX7:AX10)</f>
        <v>22349.685519999752</v>
      </c>
    </row>
    <row r="12" spans="1:50" ht="25.5" x14ac:dyDescent="0.2">
      <c r="A12" t="s">
        <v>742</v>
      </c>
      <c r="B12" t="s">
        <v>750</v>
      </c>
      <c r="D12" s="185" t="str">
        <f>IF([1]RENAME!$H$3=1,B12,A12)</f>
        <v>B - Aquisições de bens do ativo imobilizado/intangível (a partir do 1T17)</v>
      </c>
      <c r="E12" s="136">
        <f t="shared" ref="E12:N12" si="21">+E66+E65</f>
        <v>-11655</v>
      </c>
      <c r="F12" s="136">
        <f t="shared" si="21"/>
        <v>-18076</v>
      </c>
      <c r="G12" s="136">
        <f t="shared" si="21"/>
        <v>-24512</v>
      </c>
      <c r="H12" s="136">
        <f t="shared" si="21"/>
        <v>-15090</v>
      </c>
      <c r="I12" s="136">
        <f t="shared" si="21"/>
        <v>-10828</v>
      </c>
      <c r="J12" s="136">
        <f t="shared" si="21"/>
        <v>-11244</v>
      </c>
      <c r="K12" s="136">
        <f t="shared" si="21"/>
        <v>-4304</v>
      </c>
      <c r="L12" s="136">
        <f t="shared" si="21"/>
        <v>-6620</v>
      </c>
      <c r="M12" s="136">
        <f t="shared" si="21"/>
        <v>-5300.027199999985</v>
      </c>
      <c r="N12" s="136">
        <f t="shared" si="21"/>
        <v>-6918.85</v>
      </c>
      <c r="O12" s="136">
        <f t="shared" ref="O12:U12" si="22">+O66+O65</f>
        <v>-6577.0201200000001</v>
      </c>
      <c r="P12" s="136">
        <f t="shared" si="22"/>
        <v>-5385.2518799999998</v>
      </c>
      <c r="Q12" s="136">
        <f t="shared" si="22"/>
        <v>-3136</v>
      </c>
      <c r="R12" s="136">
        <f t="shared" si="22"/>
        <v>-3791</v>
      </c>
      <c r="S12" s="136">
        <f t="shared" si="22"/>
        <v>-15137.324519999936</v>
      </c>
      <c r="T12" s="136">
        <f t="shared" si="22"/>
        <v>-11168.218080000042</v>
      </c>
      <c r="U12" s="136">
        <f t="shared" si="22"/>
        <v>-9354</v>
      </c>
      <c r="V12" s="136">
        <f t="shared" ref="V12:AC12" si="23">+V66+V65</f>
        <v>-14768.371810000062</v>
      </c>
      <c r="W12" s="136">
        <f t="shared" si="23"/>
        <v>-3487.6281899999376</v>
      </c>
      <c r="X12" s="136">
        <f t="shared" si="23"/>
        <v>-11298</v>
      </c>
      <c r="Y12" s="136">
        <f t="shared" si="23"/>
        <v>-5535</v>
      </c>
      <c r="Z12" s="136">
        <f t="shared" si="23"/>
        <v>-4534</v>
      </c>
      <c r="AA12" s="136">
        <f t="shared" si="23"/>
        <v>-4723</v>
      </c>
      <c r="AB12" s="136">
        <f t="shared" si="23"/>
        <v>-3159</v>
      </c>
      <c r="AC12" s="136">
        <f t="shared" si="23"/>
        <v>-4813</v>
      </c>
      <c r="AD12" s="136">
        <f t="shared" ref="AD12:AN12" si="24">+AD66+AD65</f>
        <v>-8470</v>
      </c>
      <c r="AE12" s="136">
        <f t="shared" si="24"/>
        <v>-9638</v>
      </c>
      <c r="AF12" s="136">
        <f t="shared" si="24"/>
        <v>-5663</v>
      </c>
      <c r="AG12" s="136">
        <f t="shared" si="24"/>
        <v>-5791</v>
      </c>
      <c r="AH12" s="136">
        <f t="shared" si="24"/>
        <v>-9259</v>
      </c>
      <c r="AI12" s="136">
        <f t="shared" si="24"/>
        <v>-7154</v>
      </c>
      <c r="AJ12" s="136">
        <f t="shared" si="24"/>
        <v>-7897</v>
      </c>
      <c r="AK12" s="136">
        <f t="shared" si="24"/>
        <v>-19450</v>
      </c>
      <c r="AL12" s="136">
        <f t="shared" si="24"/>
        <v>-4662</v>
      </c>
      <c r="AM12" s="136">
        <f t="shared" si="24"/>
        <v>-9741</v>
      </c>
      <c r="AN12" s="136">
        <f t="shared" si="24"/>
        <v>-8841</v>
      </c>
      <c r="AO12" s="136">
        <f>+AO66+AO65</f>
        <v>-16032</v>
      </c>
      <c r="AP12" s="136">
        <f>+AP66+AP65</f>
        <v>-13366</v>
      </c>
      <c r="AQ12" s="136">
        <f>+AQ66+AQ65</f>
        <v>-6901</v>
      </c>
      <c r="AR12" s="136">
        <f>+AR66+AR65</f>
        <v>-20471</v>
      </c>
      <c r="AS12" s="136">
        <v>-10416</v>
      </c>
      <c r="AT12" s="136">
        <v>-10342</v>
      </c>
      <c r="AU12" s="136">
        <v>-18621</v>
      </c>
      <c r="AV12" s="136">
        <v>-44356</v>
      </c>
      <c r="AW12" s="136">
        <v>-20694</v>
      </c>
      <c r="AX12" s="136">
        <f>+AX66+AX65</f>
        <v>-14121</v>
      </c>
    </row>
    <row r="13" spans="1:50" x14ac:dyDescent="0.2">
      <c r="A13" t="s">
        <v>1637</v>
      </c>
      <c r="B13" t="s">
        <v>1638</v>
      </c>
      <c r="D13" s="832" t="str">
        <f>IF([1]RENAME!$H$3=1,B13,A13)</f>
        <v>C - Pagamento de arrendamento mercantil</v>
      </c>
      <c r="E13" s="136"/>
      <c r="F13" s="136"/>
      <c r="G13" s="136"/>
      <c r="H13" s="136"/>
      <c r="I13" s="136"/>
      <c r="J13" s="136"/>
      <c r="K13" s="136"/>
      <c r="L13" s="136"/>
      <c r="M13" s="136"/>
      <c r="N13" s="136"/>
      <c r="O13" s="136"/>
      <c r="P13" s="136"/>
      <c r="Q13" s="136"/>
      <c r="R13" s="136"/>
      <c r="S13" s="136"/>
      <c r="T13" s="136"/>
      <c r="U13" s="136">
        <f t="shared" ref="U13:Z13" si="25">+U83</f>
        <v>-5514</v>
      </c>
      <c r="V13" s="136">
        <f t="shared" si="25"/>
        <v>-6540</v>
      </c>
      <c r="W13" s="136">
        <f t="shared" si="25"/>
        <v>-7697</v>
      </c>
      <c r="X13" s="136">
        <f t="shared" si="25"/>
        <v>-10243</v>
      </c>
      <c r="Y13" s="136">
        <f t="shared" si="25"/>
        <v>-8318</v>
      </c>
      <c r="Z13" s="136">
        <f t="shared" si="25"/>
        <v>-6744</v>
      </c>
      <c r="AA13" s="136">
        <f t="shared" ref="AA13:AH13" si="26">+AA83</f>
        <v>-7498</v>
      </c>
      <c r="AB13" s="136">
        <f t="shared" si="26"/>
        <v>-7879</v>
      </c>
      <c r="AC13" s="136">
        <f t="shared" si="26"/>
        <v>-8938</v>
      </c>
      <c r="AD13" s="136">
        <f t="shared" si="26"/>
        <v>-7989</v>
      </c>
      <c r="AE13" s="136">
        <f t="shared" si="26"/>
        <v>-7821</v>
      </c>
      <c r="AF13" s="136">
        <f t="shared" si="26"/>
        <v>-7801</v>
      </c>
      <c r="AG13" s="136">
        <f t="shared" si="26"/>
        <v>-7337</v>
      </c>
      <c r="AH13" s="136">
        <f t="shared" si="26"/>
        <v>-7711</v>
      </c>
      <c r="AI13" s="136">
        <f t="shared" ref="AI13:AN13" si="27">+AI83</f>
        <v>-11299</v>
      </c>
      <c r="AJ13" s="136">
        <f t="shared" si="27"/>
        <v>-8738</v>
      </c>
      <c r="AK13" s="136">
        <f t="shared" si="27"/>
        <v>-8139</v>
      </c>
      <c r="AL13" s="136">
        <f t="shared" si="27"/>
        <v>-7850</v>
      </c>
      <c r="AM13" s="136">
        <f t="shared" si="27"/>
        <v>-8241</v>
      </c>
      <c r="AN13" s="136">
        <f t="shared" si="27"/>
        <v>-8760</v>
      </c>
      <c r="AO13" s="136">
        <f>+AO83</f>
        <v>-7662</v>
      </c>
      <c r="AP13" s="136">
        <f>+AP83</f>
        <v>-7743</v>
      </c>
      <c r="AQ13" s="136">
        <f>+AQ83</f>
        <v>-8056</v>
      </c>
      <c r="AR13" s="136">
        <f>+AR83</f>
        <v>-8107</v>
      </c>
      <c r="AS13" s="136">
        <v>-7443</v>
      </c>
      <c r="AT13" s="136">
        <v>-7680</v>
      </c>
      <c r="AU13" s="136">
        <v>-7862</v>
      </c>
      <c r="AV13" s="136">
        <v>-8476</v>
      </c>
      <c r="AW13" s="136">
        <v>-8516</v>
      </c>
      <c r="AX13" s="136">
        <f>+AX83</f>
        <v>-9388</v>
      </c>
    </row>
    <row r="14" spans="1:50" x14ac:dyDescent="0.2">
      <c r="A14" t="s">
        <v>399</v>
      </c>
      <c r="B14" t="s">
        <v>751</v>
      </c>
      <c r="D14" s="123" t="str">
        <f>IF([1]RENAME!$H$3=1,B14,A14)</f>
        <v>Fluxo de caixa livre (A + B)</v>
      </c>
      <c r="E14" s="134">
        <f>+E12+E11</f>
        <v>37373.36367999998</v>
      </c>
      <c r="F14" s="134">
        <f>+F12+F11</f>
        <v>-58123.902419999999</v>
      </c>
      <c r="G14" s="134">
        <f t="shared" ref="G14:T14" si="28">+G12+G11</f>
        <v>45231.852660000004</v>
      </c>
      <c r="H14" s="134">
        <f t="shared" si="28"/>
        <v>10489</v>
      </c>
      <c r="I14" s="134">
        <f t="shared" si="28"/>
        <v>40358.999720000022</v>
      </c>
      <c r="J14" s="134">
        <f t="shared" si="28"/>
        <v>-13885.999999999998</v>
      </c>
      <c r="K14" s="134">
        <f t="shared" si="28"/>
        <v>24073</v>
      </c>
      <c r="L14" s="134">
        <f t="shared" si="28"/>
        <v>817.00000000000182</v>
      </c>
      <c r="M14" s="134">
        <f t="shared" si="28"/>
        <v>11427.000000000007</v>
      </c>
      <c r="N14" s="134">
        <f t="shared" si="28"/>
        <v>11263.595259999967</v>
      </c>
      <c r="O14" s="134">
        <f t="shared" si="28"/>
        <v>26969.914591548149</v>
      </c>
      <c r="P14" s="134">
        <f t="shared" si="28"/>
        <v>11160.685408451845</v>
      </c>
      <c r="Q14" s="134">
        <f t="shared" si="28"/>
        <v>44189</v>
      </c>
      <c r="R14" s="134">
        <f t="shared" si="28"/>
        <v>8104</v>
      </c>
      <c r="S14" s="134">
        <f t="shared" si="28"/>
        <v>17872</v>
      </c>
      <c r="T14" s="134">
        <f t="shared" si="28"/>
        <v>1492</v>
      </c>
      <c r="U14" s="134">
        <f t="shared" ref="U14:Z14" si="29">+U12+U11+U13</f>
        <v>40768</v>
      </c>
      <c r="V14" s="134">
        <f t="shared" si="29"/>
        <v>30104</v>
      </c>
      <c r="W14" s="134">
        <f t="shared" si="29"/>
        <v>34437.564990000021</v>
      </c>
      <c r="X14" s="134">
        <f t="shared" si="29"/>
        <v>3358.2591199999915</v>
      </c>
      <c r="Y14" s="134">
        <f t="shared" si="29"/>
        <v>59156.393389999968</v>
      </c>
      <c r="Z14" s="134">
        <f t="shared" si="29"/>
        <v>72291.515780000002</v>
      </c>
      <c r="AA14" s="134">
        <f>+AA12+AA11+AA13</f>
        <v>-8687.583880000042</v>
      </c>
      <c r="AB14" s="134">
        <f>+AB12+AB11+AB13</f>
        <v>32574.838950000027</v>
      </c>
      <c r="AC14" s="134">
        <f>+AC12+AC11+AC13</f>
        <v>44169.245349999932</v>
      </c>
      <c r="AD14" s="134">
        <f>+AD12+AD11+AD13</f>
        <v>-9736.0391488000168</v>
      </c>
      <c r="AE14" s="134">
        <v>21117.960199999994</v>
      </c>
      <c r="AF14" s="134">
        <f t="shared" ref="AF14:AK14" si="30">+AF12+AF11+AF13</f>
        <v>-63182.516980000059</v>
      </c>
      <c r="AG14" s="134">
        <f t="shared" si="30"/>
        <v>72231.709109999967</v>
      </c>
      <c r="AH14" s="134">
        <f t="shared" si="30"/>
        <v>-17038.300944425046</v>
      </c>
      <c r="AI14" s="134">
        <f t="shared" si="30"/>
        <v>41105.003068400016</v>
      </c>
      <c r="AJ14" s="134">
        <f t="shared" si="30"/>
        <v>46330.361847199965</v>
      </c>
      <c r="AK14" s="134">
        <f t="shared" si="30"/>
        <v>59466.848997799796</v>
      </c>
      <c r="AL14" s="134">
        <f>+AL12+AL11+AL13</f>
        <v>33310.318640000201</v>
      </c>
      <c r="AM14" s="134">
        <f>+AM12+AM11+AM13</f>
        <v>49694.701230000093</v>
      </c>
      <c r="AN14" s="134">
        <f>+AN12+AN11+AN13</f>
        <v>-1695.3084899998139</v>
      </c>
      <c r="AO14" s="134">
        <f t="shared" ref="AO14:AT14" si="31">+AO12+AO11+AO13</f>
        <v>60758.066839999767</v>
      </c>
      <c r="AP14" s="134">
        <f t="shared" si="31"/>
        <v>28336.657680000062</v>
      </c>
      <c r="AQ14" s="134">
        <f>+AQ12+AQ11+AQ13</f>
        <v>53605.687500000116</v>
      </c>
      <c r="AR14" s="134">
        <f>+AR12+AR11+AR13</f>
        <v>27656.962249699864</v>
      </c>
      <c r="AS14" s="134">
        <f>+AS12+AS11+AS13</f>
        <v>92419</v>
      </c>
      <c r="AT14" s="134">
        <f t="shared" si="31"/>
        <v>41528.315700000123</v>
      </c>
      <c r="AU14" s="134">
        <f>+AU12+AU11+AU13</f>
        <v>15243.806820000318</v>
      </c>
      <c r="AV14" s="134">
        <f>+AV12+AV11+AV13</f>
        <v>-21148.176059999736</v>
      </c>
      <c r="AW14" s="134">
        <f>+AW12+AW11+AW13</f>
        <v>71216</v>
      </c>
      <c r="AX14" s="134">
        <f>+AX12+AX11+AX13</f>
        <v>-1159.3144800002483</v>
      </c>
    </row>
    <row r="15" spans="1:50" x14ac:dyDescent="0.2">
      <c r="A15" t="s">
        <v>517</v>
      </c>
      <c r="B15" t="s">
        <v>752</v>
      </c>
      <c r="D15" s="187"/>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row>
    <row r="16" spans="1:50" x14ac:dyDescent="0.2">
      <c r="F16" s="138"/>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row>
    <row r="17" spans="1:50" x14ac:dyDescent="0.2">
      <c r="A17" t="s">
        <v>454</v>
      </c>
      <c r="B17" t="s">
        <v>753</v>
      </c>
      <c r="D17" s="113" t="str">
        <f>IF([1]RENAME!$H$3=1,B17,A17)</f>
        <v>Demonstrativo de fluxo de caixa consolidado</v>
      </c>
      <c r="E17" s="197" t="str">
        <f t="shared" ref="E17:O17" si="32">E5</f>
        <v>1T15</v>
      </c>
      <c r="F17" s="197" t="str">
        <f t="shared" si="32"/>
        <v>2T15</v>
      </c>
      <c r="G17" s="197" t="str">
        <f t="shared" si="32"/>
        <v>3T15</v>
      </c>
      <c r="H17" s="197" t="str">
        <f t="shared" si="32"/>
        <v>4T15</v>
      </c>
      <c r="I17" s="197" t="str">
        <f t="shared" si="32"/>
        <v>1T16</v>
      </c>
      <c r="J17" s="197" t="str">
        <f t="shared" si="32"/>
        <v>2T16</v>
      </c>
      <c r="K17" s="197" t="str">
        <f t="shared" si="32"/>
        <v>3T16</v>
      </c>
      <c r="L17" s="197" t="str">
        <f t="shared" si="32"/>
        <v>4T16</v>
      </c>
      <c r="M17" s="197" t="str">
        <f t="shared" si="32"/>
        <v>1T17</v>
      </c>
      <c r="N17" s="197" t="str">
        <f t="shared" si="32"/>
        <v>2T17</v>
      </c>
      <c r="O17" s="197" t="str">
        <f t="shared" si="32"/>
        <v>3T17</v>
      </c>
      <c r="P17" s="197" t="str">
        <f t="shared" ref="P17:X17" si="33">P5</f>
        <v>4T17</v>
      </c>
      <c r="Q17" s="197" t="str">
        <f t="shared" si="33"/>
        <v>1T18</v>
      </c>
      <c r="R17" s="197" t="str">
        <f t="shared" si="33"/>
        <v>2T18</v>
      </c>
      <c r="S17" s="197" t="str">
        <f t="shared" si="33"/>
        <v>3T18</v>
      </c>
      <c r="T17" s="197" t="str">
        <f t="shared" si="33"/>
        <v>4T18</v>
      </c>
      <c r="U17" s="197" t="str">
        <f t="shared" si="33"/>
        <v>1T19</v>
      </c>
      <c r="V17" s="197" t="str">
        <f t="shared" si="33"/>
        <v>2T19</v>
      </c>
      <c r="W17" s="197" t="str">
        <f t="shared" si="33"/>
        <v>3T19</v>
      </c>
      <c r="X17" s="197" t="str">
        <f t="shared" si="33"/>
        <v>4T19</v>
      </c>
      <c r="Y17" s="197" t="str">
        <f t="shared" ref="Y17:AH17" si="34">Y5</f>
        <v>1T20</v>
      </c>
      <c r="Z17" s="197" t="str">
        <f t="shared" si="34"/>
        <v>2T20</v>
      </c>
      <c r="AA17" s="197" t="str">
        <f t="shared" si="34"/>
        <v>3T20</v>
      </c>
      <c r="AB17" s="197" t="str">
        <f t="shared" si="34"/>
        <v>4T20</v>
      </c>
      <c r="AC17" s="197" t="str">
        <f t="shared" si="34"/>
        <v>1T21</v>
      </c>
      <c r="AD17" s="197" t="str">
        <f t="shared" si="34"/>
        <v>2T21</v>
      </c>
      <c r="AE17" s="197" t="str">
        <f t="shared" si="34"/>
        <v>3T21</v>
      </c>
      <c r="AF17" s="197" t="str">
        <f t="shared" si="34"/>
        <v>4T21</v>
      </c>
      <c r="AG17" s="197" t="str">
        <f t="shared" si="34"/>
        <v>1T22</v>
      </c>
      <c r="AH17" s="197" t="str">
        <f t="shared" si="34"/>
        <v>2T22</v>
      </c>
      <c r="AI17" s="197" t="str">
        <f t="shared" ref="AI17:AT17" si="35">AI5</f>
        <v>3T22</v>
      </c>
      <c r="AJ17" s="197" t="str">
        <f t="shared" si="35"/>
        <v>4T22</v>
      </c>
      <c r="AK17" s="197" t="str">
        <f t="shared" si="35"/>
        <v>1T23</v>
      </c>
      <c r="AL17" s="197" t="str">
        <f t="shared" si="35"/>
        <v>2T23</v>
      </c>
      <c r="AM17" s="197" t="str">
        <f t="shared" si="35"/>
        <v>3T23</v>
      </c>
      <c r="AN17" s="197" t="str">
        <f t="shared" si="35"/>
        <v>4T23</v>
      </c>
      <c r="AO17" s="197" t="str">
        <f t="shared" si="35"/>
        <v>1T24</v>
      </c>
      <c r="AP17" s="197" t="str">
        <f t="shared" si="35"/>
        <v>2T24</v>
      </c>
      <c r="AQ17" s="197" t="str">
        <f t="shared" si="35"/>
        <v>3T24</v>
      </c>
      <c r="AR17" s="197" t="str">
        <f t="shared" si="35"/>
        <v>4T24</v>
      </c>
      <c r="AS17" s="197" t="str">
        <f t="shared" si="35"/>
        <v>1T25</v>
      </c>
      <c r="AT17" s="197" t="str">
        <f t="shared" si="35"/>
        <v>2T25</v>
      </c>
      <c r="AU17" s="197" t="str">
        <f>AU5</f>
        <v>3T25</v>
      </c>
      <c r="AV17" s="197" t="str">
        <f>AV5</f>
        <v>4T25</v>
      </c>
      <c r="AW17" s="197" t="str">
        <f>AW5</f>
        <v>1T26</v>
      </c>
      <c r="AX17" s="197" t="str">
        <f>AX5</f>
        <v>2T26</v>
      </c>
    </row>
    <row r="18" spans="1:50" x14ac:dyDescent="0.2">
      <c r="A18" t="s">
        <v>1204</v>
      </c>
      <c r="B18" t="s">
        <v>1205</v>
      </c>
      <c r="D18" s="133" t="str">
        <f>IF([1]RENAME!$H$3=1,B18,A18)</f>
        <v>Lucro líquido do exercício</v>
      </c>
      <c r="E18" s="134">
        <f>DRE!V28</f>
        <v>7499.9999999999709</v>
      </c>
      <c r="F18" s="134">
        <f>DRE!W28</f>
        <v>1183</v>
      </c>
      <c r="G18" s="134">
        <f>DRE!X28</f>
        <v>5101.3234399999501</v>
      </c>
      <c r="H18" s="134">
        <f>DRE!Y28</f>
        <v>-3853.5034754000353</v>
      </c>
      <c r="I18" s="134">
        <f>DRE!Z28</f>
        <v>-1903.0002799999793</v>
      </c>
      <c r="J18" s="134">
        <f>DRE!AA28</f>
        <v>-688.32862999998008</v>
      </c>
      <c r="K18" s="134">
        <f>DRE!AB28</f>
        <v>3841.5552999999754</v>
      </c>
      <c r="L18" s="134">
        <f>DRE!AC28</f>
        <v>12576.107320000019</v>
      </c>
      <c r="M18" s="134">
        <f>DRE!AD28</f>
        <v>5452.2331999999906</v>
      </c>
      <c r="N18" s="134">
        <f>DRE!AE28</f>
        <v>24056.729979999967</v>
      </c>
      <c r="O18" s="134">
        <f>DRE!AF28</f>
        <v>15286.860620000039</v>
      </c>
      <c r="P18" s="134">
        <f>DRE!AG28</f>
        <v>58966.291639999938</v>
      </c>
      <c r="Q18" s="134">
        <f>DRE!AH28</f>
        <v>13996.041430000012</v>
      </c>
      <c r="R18" s="134">
        <f>DRE!AI28</f>
        <v>28185.873939999947</v>
      </c>
      <c r="S18" s="134">
        <f>DRE!AJ28</f>
        <v>31106.591149999935</v>
      </c>
      <c r="T18" s="134">
        <f>DRE!AK28</f>
        <v>34961.001910000043</v>
      </c>
      <c r="U18" s="134">
        <f>DRE!AL28</f>
        <v>26622.405009999984</v>
      </c>
      <c r="V18" s="134">
        <f>DRE!AM28</f>
        <v>32513.429780000064</v>
      </c>
      <c r="W18" s="134">
        <f>DRE!AN28</f>
        <v>91391.468380000093</v>
      </c>
      <c r="X18" s="134">
        <f>DRE!AO28</f>
        <v>43444.958539999992</v>
      </c>
      <c r="Y18" s="134">
        <f>DRE!AP30</f>
        <v>19286.424459999962</v>
      </c>
      <c r="Z18" s="134">
        <f>DRE!AQ30</f>
        <v>-4362.8403299999954</v>
      </c>
      <c r="AA18" s="134">
        <f>DRE!AR30</f>
        <v>29939.285839999957</v>
      </c>
      <c r="AB18" s="134">
        <f>DRE!AS28</f>
        <v>28646.496590000024</v>
      </c>
      <c r="AC18" s="134">
        <f>DRE!AT28</f>
        <v>20158.245349999932</v>
      </c>
      <c r="AD18" s="134">
        <f>DRE!AU28</f>
        <v>24155.960851199983</v>
      </c>
      <c r="AE18" s="134">
        <f>DRE!AV28</f>
        <v>34192.960199999994</v>
      </c>
      <c r="AF18" s="134">
        <f>DRE!AW28</f>
        <v>29278.483019999941</v>
      </c>
      <c r="AG18" s="134">
        <f>DRE!AX28</f>
        <v>18782.709109999967</v>
      </c>
      <c r="AH18" s="134">
        <f>DRE!AY28</f>
        <v>30580.699055574954</v>
      </c>
      <c r="AI18" s="134">
        <f>DRE!AZ28</f>
        <v>53469.003068400016</v>
      </c>
      <c r="AJ18" s="134">
        <f>DRE!BA28</f>
        <v>56832.361847199965</v>
      </c>
      <c r="AK18" s="134">
        <f>DRE!BB28</f>
        <v>34722.848997799796</v>
      </c>
      <c r="AL18" s="134">
        <f>DRE!BC28</f>
        <v>39856.318640000201</v>
      </c>
      <c r="AM18" s="134">
        <f>DRE!BD28</f>
        <v>56312.701230000086</v>
      </c>
      <c r="AN18" s="134">
        <f>DRE!BE28</f>
        <v>51020.691510000186</v>
      </c>
      <c r="AO18" s="134">
        <f>DRE!BF28</f>
        <v>37515.066839999767</v>
      </c>
      <c r="AP18" s="134">
        <f>DRE!BG28</f>
        <v>63514.657680000062</v>
      </c>
      <c r="AQ18" s="134">
        <f>DRE!BH28</f>
        <v>84445.687500000116</v>
      </c>
      <c r="AR18" s="134">
        <f>DRE!BI28</f>
        <v>85136.962249699864</v>
      </c>
      <c r="AS18" s="134">
        <f>DRE!BJ28</f>
        <v>43734.684299999877</v>
      </c>
      <c r="AT18" s="134">
        <f>DRE!BK28</f>
        <v>67118.508879999805</v>
      </c>
      <c r="AU18" s="134">
        <f>DRE!BL28</f>
        <v>79890.991030000063</v>
      </c>
      <c r="AV18" s="134">
        <f>DRE!BM28</f>
        <v>52218.377919999795</v>
      </c>
      <c r="AW18" s="134">
        <f>DRE!BN28</f>
        <v>38784.896120000078</v>
      </c>
      <c r="AX18" s="134">
        <f>DRE!BO28</f>
        <v>83113.685519999752</v>
      </c>
    </row>
    <row r="19" spans="1:50" x14ac:dyDescent="0.2">
      <c r="A19" t="s">
        <v>137</v>
      </c>
      <c r="B19" t="s">
        <v>754</v>
      </c>
      <c r="D19" s="135" t="str">
        <f>IF([1]RENAME!$H$3=1,B19,A19)</f>
        <v>Depreciação e amortização</v>
      </c>
      <c r="E19" s="136">
        <v>6412.0000000000009</v>
      </c>
      <c r="F19" s="136">
        <v>7111.9999999999991</v>
      </c>
      <c r="G19" s="136">
        <v>6673</v>
      </c>
      <c r="H19" s="136">
        <v>7719</v>
      </c>
      <c r="I19" s="136">
        <v>7205</v>
      </c>
      <c r="J19" s="136">
        <v>9299</v>
      </c>
      <c r="K19" s="136">
        <v>6737</v>
      </c>
      <c r="L19" s="136">
        <v>6859</v>
      </c>
      <c r="M19" s="136">
        <v>6572</v>
      </c>
      <c r="N19" s="136">
        <v>6832</v>
      </c>
      <c r="O19" s="136">
        <v>7305</v>
      </c>
      <c r="P19" s="136">
        <v>7435</v>
      </c>
      <c r="Q19" s="136">
        <v>6910</v>
      </c>
      <c r="R19" s="136">
        <v>8910</v>
      </c>
      <c r="S19" s="136">
        <v>6854</v>
      </c>
      <c r="T19" s="136">
        <v>6616</v>
      </c>
      <c r="U19" s="136">
        <v>6470</v>
      </c>
      <c r="V19" s="136">
        <v>6502</v>
      </c>
      <c r="W19" s="136">
        <v>6554</v>
      </c>
      <c r="X19" s="136">
        <v>6284</v>
      </c>
      <c r="Y19" s="136">
        <v>6272</v>
      </c>
      <c r="Z19" s="136">
        <v>5955</v>
      </c>
      <c r="AA19" s="136">
        <v>5671</v>
      </c>
      <c r="AB19" s="136">
        <v>5527</v>
      </c>
      <c r="AC19" s="136">
        <v>5447</v>
      </c>
      <c r="AD19" s="136">
        <v>5539</v>
      </c>
      <c r="AE19" s="136">
        <v>5488</v>
      </c>
      <c r="AF19" s="136">
        <v>5541</v>
      </c>
      <c r="AG19" s="136">
        <v>5518</v>
      </c>
      <c r="AH19" s="136">
        <v>5451</v>
      </c>
      <c r="AI19" s="136">
        <v>5513</v>
      </c>
      <c r="AJ19" s="136">
        <v>5643</v>
      </c>
      <c r="AK19" s="136">
        <v>6003</v>
      </c>
      <c r="AL19" s="136">
        <v>6051</v>
      </c>
      <c r="AM19" s="136">
        <v>6147</v>
      </c>
      <c r="AN19" s="136">
        <v>6141</v>
      </c>
      <c r="AO19" s="136">
        <v>6324</v>
      </c>
      <c r="AP19" s="136">
        <v>6355</v>
      </c>
      <c r="AQ19" s="136">
        <v>6566</v>
      </c>
      <c r="AR19" s="136">
        <v>6901</v>
      </c>
      <c r="AS19" s="136">
        <v>7591</v>
      </c>
      <c r="AT19" s="136">
        <v>7605</v>
      </c>
      <c r="AU19" s="136">
        <v>7838</v>
      </c>
      <c r="AV19" s="136">
        <v>8225</v>
      </c>
      <c r="AW19" s="136">
        <v>8868</v>
      </c>
      <c r="AX19" s="136">
        <f>(+VLOOKUP($D19,'[3]DFC '!$A$7:$H$85,8,FALSE))-AW19</f>
        <v>8759</v>
      </c>
    </row>
    <row r="20" spans="1:50" x14ac:dyDescent="0.2">
      <c r="A20" t="s">
        <v>1432</v>
      </c>
      <c r="B20" t="s">
        <v>1450</v>
      </c>
      <c r="D20" s="135" t="str">
        <f>IF([1]RENAME!$H$3=1,B20,A20)</f>
        <v>Amortização direito de uso</v>
      </c>
      <c r="E20" s="136" t="s">
        <v>160</v>
      </c>
      <c r="F20" s="136" t="s">
        <v>160</v>
      </c>
      <c r="G20" s="136" t="s">
        <v>160</v>
      </c>
      <c r="H20" s="136" t="s">
        <v>160</v>
      </c>
      <c r="I20" s="136" t="s">
        <v>160</v>
      </c>
      <c r="J20" s="136" t="s">
        <v>160</v>
      </c>
      <c r="K20" s="136" t="s">
        <v>160</v>
      </c>
      <c r="L20" s="136" t="s">
        <v>160</v>
      </c>
      <c r="M20" s="136" t="s">
        <v>160</v>
      </c>
      <c r="N20" s="136" t="s">
        <v>160</v>
      </c>
      <c r="O20" s="136" t="s">
        <v>160</v>
      </c>
      <c r="P20" s="136" t="s">
        <v>160</v>
      </c>
      <c r="Q20" s="136" t="s">
        <v>160</v>
      </c>
      <c r="R20" s="136" t="s">
        <v>160</v>
      </c>
      <c r="S20" s="136" t="s">
        <v>160</v>
      </c>
      <c r="T20" s="136" t="s">
        <v>160</v>
      </c>
      <c r="U20" s="136">
        <v>8930</v>
      </c>
      <c r="V20" s="136">
        <v>7143</v>
      </c>
      <c r="W20" s="136">
        <v>8275</v>
      </c>
      <c r="X20" s="136">
        <v>8446</v>
      </c>
      <c r="Y20" s="136">
        <v>7881</v>
      </c>
      <c r="Z20" s="136">
        <v>7886</v>
      </c>
      <c r="AA20" s="136">
        <v>7525</v>
      </c>
      <c r="AB20" s="136">
        <v>7333</v>
      </c>
      <c r="AC20" s="136">
        <v>7513</v>
      </c>
      <c r="AD20" s="136">
        <v>7300</v>
      </c>
      <c r="AE20" s="136">
        <v>7107</v>
      </c>
      <c r="AF20" s="136">
        <v>6930</v>
      </c>
      <c r="AG20" s="136">
        <v>7970</v>
      </c>
      <c r="AH20" s="136">
        <v>8240</v>
      </c>
      <c r="AI20" s="136">
        <v>7033</v>
      </c>
      <c r="AJ20" s="136">
        <v>7727</v>
      </c>
      <c r="AK20" s="136">
        <v>7410</v>
      </c>
      <c r="AL20" s="136">
        <v>7342</v>
      </c>
      <c r="AM20" s="136">
        <v>7638</v>
      </c>
      <c r="AN20" s="136">
        <v>8032</v>
      </c>
      <c r="AO20" s="136">
        <v>7514</v>
      </c>
      <c r="AP20" s="136">
        <v>7573</v>
      </c>
      <c r="AQ20" s="136">
        <v>7278</v>
      </c>
      <c r="AR20" s="136">
        <v>7124</v>
      </c>
      <c r="AS20" s="136">
        <v>7457</v>
      </c>
      <c r="AT20" s="136">
        <v>7462</v>
      </c>
      <c r="AU20" s="136">
        <v>7747</v>
      </c>
      <c r="AV20" s="136">
        <v>7795</v>
      </c>
      <c r="AW20" s="136">
        <v>7845</v>
      </c>
      <c r="AX20" s="136">
        <f>(+VLOOKUP($D20,'[3]DFC '!$A$7:$H$85,8,FALSE))-AW20</f>
        <v>8705</v>
      </c>
    </row>
    <row r="21" spans="1:50" x14ac:dyDescent="0.2">
      <c r="A21" t="s">
        <v>1266</v>
      </c>
      <c r="B21" t="s">
        <v>1246</v>
      </c>
      <c r="D21" s="135" t="str">
        <f>IF([1]RENAME!$H$3=1,B21,A21)</f>
        <v>Provisão para demandas judiciais</v>
      </c>
      <c r="E21" s="136">
        <v>-1841</v>
      </c>
      <c r="F21" s="136">
        <v>215.99999999999997</v>
      </c>
      <c r="G21" s="136">
        <v>146</v>
      </c>
      <c r="H21" s="136">
        <v>12744</v>
      </c>
      <c r="I21" s="136">
        <f>-956-I58</f>
        <v>1204</v>
      </c>
      <c r="J21" s="136">
        <v>-555</v>
      </c>
      <c r="K21" s="136">
        <f>-1387-K58</f>
        <v>672</v>
      </c>
      <c r="L21" s="136">
        <f>-692-L58</f>
        <v>395</v>
      </c>
      <c r="M21" s="136">
        <f>-229-M58</f>
        <v>276</v>
      </c>
      <c r="N21" s="332">
        <v>20892.511780000001</v>
      </c>
      <c r="O21" s="136">
        <v>6259.2143399999986</v>
      </c>
      <c r="P21" s="136">
        <v>11012.273880000001</v>
      </c>
      <c r="Q21" s="136">
        <v>10299</v>
      </c>
      <c r="R21" s="136">
        <v>2110.9891300000527</v>
      </c>
      <c r="S21" s="136">
        <v>3847</v>
      </c>
      <c r="T21" s="136">
        <v>16226</v>
      </c>
      <c r="U21" s="136">
        <v>4445</v>
      </c>
      <c r="V21" s="136">
        <v>4554</v>
      </c>
      <c r="W21" s="136">
        <v>6059</v>
      </c>
      <c r="X21" s="136">
        <v>6042</v>
      </c>
      <c r="Y21" s="136">
        <v>5845</v>
      </c>
      <c r="Z21" s="136">
        <v>2080</v>
      </c>
      <c r="AA21" s="136">
        <v>5588</v>
      </c>
      <c r="AB21" s="136">
        <v>1782</v>
      </c>
      <c r="AC21" s="136">
        <v>1091</v>
      </c>
      <c r="AD21" s="136">
        <v>1148</v>
      </c>
      <c r="AE21" s="136">
        <v>114</v>
      </c>
      <c r="AF21" s="136">
        <v>2582</v>
      </c>
      <c r="AG21" s="136">
        <v>-26</v>
      </c>
      <c r="AH21" s="136">
        <v>27</v>
      </c>
      <c r="AI21" s="136">
        <v>6436</v>
      </c>
      <c r="AJ21" s="136">
        <v>415</v>
      </c>
      <c r="AK21" s="136">
        <v>478</v>
      </c>
      <c r="AL21" s="136">
        <v>197</v>
      </c>
      <c r="AM21" s="136">
        <v>369</v>
      </c>
      <c r="AN21" s="136">
        <v>1068</v>
      </c>
      <c r="AO21" s="136">
        <v>894</v>
      </c>
      <c r="AP21" s="136">
        <v>480</v>
      </c>
      <c r="AQ21" s="136">
        <v>-23</v>
      </c>
      <c r="AR21" s="136">
        <v>476</v>
      </c>
      <c r="AS21" s="136">
        <v>380</v>
      </c>
      <c r="AT21" s="136">
        <v>206</v>
      </c>
      <c r="AU21" s="136">
        <v>169</v>
      </c>
      <c r="AV21" s="136">
        <v>926</v>
      </c>
      <c r="AW21" s="136">
        <v>-760</v>
      </c>
      <c r="AX21" s="136">
        <f>(+VLOOKUP($D21,'[3]DFC '!$A$7:$H$85,8,FALSE))-AW21</f>
        <v>8193</v>
      </c>
    </row>
    <row r="22" spans="1:50" x14ac:dyDescent="0.2">
      <c r="A22" t="s">
        <v>1422</v>
      </c>
      <c r="B22" t="s">
        <v>1431</v>
      </c>
      <c r="D22" s="135" t="str">
        <f>IF([1]RENAME!$H$3=1,B22,A22)</f>
        <v>Juros sobre arrendamento</v>
      </c>
      <c r="E22" s="136">
        <v>0</v>
      </c>
      <c r="F22" s="136">
        <v>0</v>
      </c>
      <c r="G22" s="136">
        <v>0</v>
      </c>
      <c r="H22" s="136">
        <v>0</v>
      </c>
      <c r="I22" s="136">
        <v>0</v>
      </c>
      <c r="J22" s="136">
        <v>0</v>
      </c>
      <c r="K22" s="136">
        <v>0</v>
      </c>
      <c r="L22" s="136">
        <v>0</v>
      </c>
      <c r="M22" s="136">
        <v>0</v>
      </c>
      <c r="N22" s="136">
        <v>0</v>
      </c>
      <c r="O22" s="136">
        <v>0</v>
      </c>
      <c r="P22" s="136">
        <v>0</v>
      </c>
      <c r="Q22" s="136">
        <v>0</v>
      </c>
      <c r="R22" s="136">
        <v>0</v>
      </c>
      <c r="S22" s="136">
        <v>0</v>
      </c>
      <c r="T22" s="136">
        <v>0</v>
      </c>
      <c r="U22" s="136">
        <v>1307</v>
      </c>
      <c r="V22" s="136">
        <v>1616</v>
      </c>
      <c r="W22" s="136">
        <v>1718</v>
      </c>
      <c r="X22" s="136">
        <v>1799</v>
      </c>
      <c r="Y22" s="136">
        <v>1573</v>
      </c>
      <c r="Z22" s="136">
        <v>1492</v>
      </c>
      <c r="AA22" s="136">
        <v>1260</v>
      </c>
      <c r="AB22" s="136">
        <v>1126</v>
      </c>
      <c r="AC22" s="136">
        <v>1511</v>
      </c>
      <c r="AD22" s="136">
        <v>1165</v>
      </c>
      <c r="AE22" s="136">
        <v>1256</v>
      </c>
      <c r="AF22" s="136">
        <v>1089</v>
      </c>
      <c r="AG22" s="136">
        <v>1243</v>
      </c>
      <c r="AH22" s="136">
        <v>1073</v>
      </c>
      <c r="AI22" s="136">
        <v>1422</v>
      </c>
      <c r="AJ22" s="136">
        <v>1514</v>
      </c>
      <c r="AK22" s="136">
        <v>1829</v>
      </c>
      <c r="AL22" s="136">
        <v>2733</v>
      </c>
      <c r="AM22" s="136">
        <v>2518</v>
      </c>
      <c r="AN22" s="136">
        <v>2492</v>
      </c>
      <c r="AO22" s="136">
        <v>2389</v>
      </c>
      <c r="AP22" s="136">
        <v>2352</v>
      </c>
      <c r="AQ22" s="136">
        <v>2229</v>
      </c>
      <c r="AR22" s="136">
        <v>1867</v>
      </c>
      <c r="AS22" s="136">
        <v>3118</v>
      </c>
      <c r="AT22" s="136">
        <v>2944</v>
      </c>
      <c r="AU22" s="136">
        <v>2986</v>
      </c>
      <c r="AV22" s="136">
        <v>2690</v>
      </c>
      <c r="AW22" s="136">
        <v>2310</v>
      </c>
      <c r="AX22" s="136">
        <f>(+VLOOKUP($D22,'[3]DFC '!$A$7:$H$85,8,FALSE))-AW22</f>
        <v>2587</v>
      </c>
    </row>
    <row r="23" spans="1:50" ht="25.5" x14ac:dyDescent="0.2">
      <c r="A23" t="s">
        <v>1371</v>
      </c>
      <c r="B23" t="s">
        <v>762</v>
      </c>
      <c r="D23" s="135" t="str">
        <f>IF([1]RENAME!$H$3=1,B23,A23)</f>
        <v>Juros, variações monetarias e cambiais sobre empréstimos e debêntures</v>
      </c>
      <c r="E23" s="136">
        <v>15487</v>
      </c>
      <c r="F23" s="136">
        <v>4659.0000000000009</v>
      </c>
      <c r="G23" s="136">
        <v>21574</v>
      </c>
      <c r="H23" s="136">
        <v>13253</v>
      </c>
      <c r="I23" s="136">
        <v>12307</v>
      </c>
      <c r="J23" s="136">
        <v>12501</v>
      </c>
      <c r="K23" s="136">
        <v>12759</v>
      </c>
      <c r="L23" s="136">
        <v>11783</v>
      </c>
      <c r="M23" s="136">
        <v>8528</v>
      </c>
      <c r="N23" s="136">
        <v>6348</v>
      </c>
      <c r="O23" s="136">
        <v>7405.0679899999996</v>
      </c>
      <c r="P23" s="136">
        <v>4431.9320100000004</v>
      </c>
      <c r="Q23" s="136">
        <v>3734</v>
      </c>
      <c r="R23" s="136">
        <v>3010</v>
      </c>
      <c r="S23" s="136">
        <v>6771</v>
      </c>
      <c r="T23" s="136">
        <v>961</v>
      </c>
      <c r="U23" s="136">
        <v>3566</v>
      </c>
      <c r="V23" s="136">
        <v>1031</v>
      </c>
      <c r="W23" s="136">
        <v>6522</v>
      </c>
      <c r="X23" s="136">
        <v>705</v>
      </c>
      <c r="Y23" s="136">
        <v>17007</v>
      </c>
      <c r="Z23" s="136">
        <v>7129</v>
      </c>
      <c r="AA23" s="136">
        <v>-501</v>
      </c>
      <c r="AB23" s="136">
        <v>2312</v>
      </c>
      <c r="AC23" s="136">
        <v>2312</v>
      </c>
      <c r="AD23" s="136">
        <v>2177</v>
      </c>
      <c r="AE23" s="136">
        <v>2577</v>
      </c>
      <c r="AF23" s="136">
        <v>3201</v>
      </c>
      <c r="AG23" s="136">
        <v>3957</v>
      </c>
      <c r="AH23" s="136">
        <v>2320</v>
      </c>
      <c r="AI23" s="136">
        <v>2564</v>
      </c>
      <c r="AJ23" s="136">
        <v>2739</v>
      </c>
      <c r="AK23" s="136">
        <v>3682</v>
      </c>
      <c r="AL23" s="136">
        <v>3293</v>
      </c>
      <c r="AM23" s="136">
        <v>2518</v>
      </c>
      <c r="AN23" s="136">
        <v>3127</v>
      </c>
      <c r="AO23" s="136">
        <v>3111</v>
      </c>
      <c r="AP23" s="136">
        <v>2960</v>
      </c>
      <c r="AQ23" s="136">
        <v>3222</v>
      </c>
      <c r="AR23" s="136">
        <v>3186</v>
      </c>
      <c r="AS23" s="136">
        <v>3523</v>
      </c>
      <c r="AT23" s="136">
        <v>4047</v>
      </c>
      <c r="AU23" s="136">
        <v>4167</v>
      </c>
      <c r="AV23" s="136">
        <v>3502</v>
      </c>
      <c r="AW23" s="136">
        <v>4651</v>
      </c>
      <c r="AX23" s="136">
        <f>(+VLOOKUP($D23,'[3]DFC '!$A$7:$H$85,8,FALSE))-AW23</f>
        <v>4673</v>
      </c>
    </row>
    <row r="24" spans="1:50" x14ac:dyDescent="0.2">
      <c r="A24" t="s">
        <v>225</v>
      </c>
      <c r="B24" t="s">
        <v>760</v>
      </c>
      <c r="D24" s="135" t="str">
        <f>IF([1]RENAME!$H$3=1,B24,A24)</f>
        <v>Equivalência patrimonial</v>
      </c>
      <c r="E24" s="136">
        <v>-373</v>
      </c>
      <c r="F24" s="136">
        <v>-256</v>
      </c>
      <c r="G24" s="136">
        <v>-785</v>
      </c>
      <c r="H24" s="136">
        <v>-453</v>
      </c>
      <c r="I24" s="136">
        <v>797</v>
      </c>
      <c r="J24" s="136">
        <v>908</v>
      </c>
      <c r="K24" s="136">
        <v>19</v>
      </c>
      <c r="L24" s="136">
        <v>466</v>
      </c>
      <c r="M24" s="136">
        <v>322</v>
      </c>
      <c r="N24" s="136">
        <v>382</v>
      </c>
      <c r="O24" s="136">
        <v>656</v>
      </c>
      <c r="P24" s="136">
        <v>-597</v>
      </c>
      <c r="Q24" s="136">
        <v>425</v>
      </c>
      <c r="R24" s="136">
        <v>226</v>
      </c>
      <c r="S24" s="136">
        <v>-342</v>
      </c>
      <c r="T24" s="136">
        <v>-680</v>
      </c>
      <c r="U24" s="136">
        <v>529</v>
      </c>
      <c r="V24" s="136">
        <v>-322</v>
      </c>
      <c r="W24" s="136">
        <v>-844</v>
      </c>
      <c r="X24" s="136">
        <v>-2349</v>
      </c>
      <c r="Y24" s="136">
        <v>-1394</v>
      </c>
      <c r="Z24" s="136">
        <v>-2412</v>
      </c>
      <c r="AA24" s="136">
        <v>-2632</v>
      </c>
      <c r="AB24" s="136">
        <v>162</v>
      </c>
      <c r="AC24" s="136">
        <v>-810</v>
      </c>
      <c r="AD24" s="136">
        <v>-2402</v>
      </c>
      <c r="AE24" s="136">
        <v>-1799</v>
      </c>
      <c r="AF24" s="136">
        <v>-4232</v>
      </c>
      <c r="AG24" s="136">
        <v>-3013</v>
      </c>
      <c r="AH24" s="136">
        <v>-3006</v>
      </c>
      <c r="AI24" s="136">
        <v>-2436</v>
      </c>
      <c r="AJ24" s="136">
        <v>-2118</v>
      </c>
      <c r="AK24" s="136">
        <v>-3838</v>
      </c>
      <c r="AL24" s="136">
        <v>-2884</v>
      </c>
      <c r="AM24" s="136">
        <v>-5094</v>
      </c>
      <c r="AN24" s="136">
        <v>-4440</v>
      </c>
      <c r="AO24" s="136">
        <v>-6604</v>
      </c>
      <c r="AP24" s="136">
        <v>-9362</v>
      </c>
      <c r="AQ24" s="136">
        <v>-7433</v>
      </c>
      <c r="AR24" s="136">
        <v>-5865</v>
      </c>
      <c r="AS24" s="136">
        <v>-6307</v>
      </c>
      <c r="AT24" s="136">
        <v>-8942</v>
      </c>
      <c r="AU24" s="136">
        <v>-7375</v>
      </c>
      <c r="AV24" s="136">
        <v>-4187</v>
      </c>
      <c r="AW24" s="136">
        <v>-1431</v>
      </c>
      <c r="AX24" s="136">
        <f>(+VLOOKUP($D24,'[3]DFC '!$A$7:$H$85,8,FALSE))-AW24</f>
        <v>-5692</v>
      </c>
    </row>
    <row r="25" spans="1:50" x14ac:dyDescent="0.2">
      <c r="A25" t="s">
        <v>1601</v>
      </c>
      <c r="B25" t="s">
        <v>755</v>
      </c>
      <c r="D25" s="135" t="str">
        <f>IF([1]RENAME!$H$3=1,B25,A25)</f>
        <v>Perda na venda de bens</v>
      </c>
      <c r="E25" s="136">
        <v>69.000000000000014</v>
      </c>
      <c r="F25" s="136">
        <v>107.99999999999999</v>
      </c>
      <c r="G25" s="136">
        <v>-213</v>
      </c>
      <c r="H25" s="136">
        <v>370</v>
      </c>
      <c r="I25" s="136">
        <v>35</v>
      </c>
      <c r="J25" s="136">
        <v>133</v>
      </c>
      <c r="K25" s="136">
        <v>830</v>
      </c>
      <c r="L25" s="136">
        <v>1944</v>
      </c>
      <c r="M25" s="136">
        <v>152</v>
      </c>
      <c r="N25" s="136">
        <v>-78</v>
      </c>
      <c r="O25" s="136">
        <v>232</v>
      </c>
      <c r="P25" s="136">
        <v>510</v>
      </c>
      <c r="Q25" s="136">
        <v>406</v>
      </c>
      <c r="R25" s="136">
        <v>22</v>
      </c>
      <c r="S25" s="136">
        <v>-21</v>
      </c>
      <c r="T25" s="136">
        <v>819</v>
      </c>
      <c r="U25" s="136">
        <v>71</v>
      </c>
      <c r="V25" s="136">
        <v>-23</v>
      </c>
      <c r="W25" s="136">
        <v>-12</v>
      </c>
      <c r="X25" s="136">
        <v>2852</v>
      </c>
      <c r="Y25" s="136">
        <v>-16</v>
      </c>
      <c r="Z25" s="136">
        <v>-25</v>
      </c>
      <c r="AA25" s="136">
        <v>229</v>
      </c>
      <c r="AB25" s="136">
        <v>1708</v>
      </c>
      <c r="AC25" s="136">
        <v>-76</v>
      </c>
      <c r="AD25" s="136">
        <v>633</v>
      </c>
      <c r="AE25" s="136">
        <v>-148</v>
      </c>
      <c r="AF25" s="136">
        <v>5</v>
      </c>
      <c r="AG25" s="136">
        <v>71</v>
      </c>
      <c r="AH25" s="136">
        <v>15</v>
      </c>
      <c r="AI25" s="136">
        <v>65</v>
      </c>
      <c r="AJ25" s="136">
        <v>33</v>
      </c>
      <c r="AK25" s="136">
        <v>-19</v>
      </c>
      <c r="AL25" s="136">
        <v>-1</v>
      </c>
      <c r="AM25" s="136">
        <v>-189</v>
      </c>
      <c r="AN25" s="136">
        <v>385</v>
      </c>
      <c r="AO25" s="136">
        <v>-423</v>
      </c>
      <c r="AP25" s="136">
        <v>-146</v>
      </c>
      <c r="AQ25" s="136">
        <v>-82</v>
      </c>
      <c r="AR25" s="136">
        <v>-127</v>
      </c>
      <c r="AS25" s="136">
        <v>716</v>
      </c>
      <c r="AT25" s="136">
        <v>-953</v>
      </c>
      <c r="AU25" s="136">
        <v>-244</v>
      </c>
      <c r="AV25" s="136">
        <v>-6</v>
      </c>
      <c r="AW25" s="136">
        <v>-118</v>
      </c>
      <c r="AX25" s="136">
        <f>(+VLOOKUP($D25,'[3]DFC '!$A$7:$H$85,8,FALSE))-AW25</f>
        <v>-89</v>
      </c>
    </row>
    <row r="26" spans="1:50" ht="25.5" x14ac:dyDescent="0.2">
      <c r="A26" t="s">
        <v>1777</v>
      </c>
      <c r="B26" t="s">
        <v>758</v>
      </c>
      <c r="D26" s="135" t="str">
        <f>IF([1]RENAME!$H$3=1,B26,A26)</f>
        <v>(Ganho)  por redução ao valor recuperável de contas a receber</v>
      </c>
      <c r="E26" s="136">
        <v>-460.00000000000006</v>
      </c>
      <c r="F26" s="136">
        <v>-273.99999999999994</v>
      </c>
      <c r="G26" s="136">
        <v>1122</v>
      </c>
      <c r="H26" s="136">
        <v>812</v>
      </c>
      <c r="I26" s="136">
        <v>628</v>
      </c>
      <c r="J26" s="136">
        <v>-92</v>
      </c>
      <c r="K26" s="136">
        <v>-424</v>
      </c>
      <c r="L26" s="136">
        <v>755</v>
      </c>
      <c r="M26" s="136">
        <v>169</v>
      </c>
      <c r="N26" s="136">
        <v>-20</v>
      </c>
      <c r="O26" s="136">
        <v>-81</v>
      </c>
      <c r="P26" s="136">
        <v>25</v>
      </c>
      <c r="Q26" s="136">
        <v>63</v>
      </c>
      <c r="R26" s="136">
        <v>-1001</v>
      </c>
      <c r="S26" s="136">
        <v>283</v>
      </c>
      <c r="T26" s="136">
        <v>1751</v>
      </c>
      <c r="U26" s="136">
        <v>76</v>
      </c>
      <c r="V26" s="136">
        <v>-1492</v>
      </c>
      <c r="W26" s="136">
        <v>132</v>
      </c>
      <c r="X26" s="136">
        <v>-825</v>
      </c>
      <c r="Y26" s="136">
        <v>-80</v>
      </c>
      <c r="Z26" s="136">
        <v>69</v>
      </c>
      <c r="AA26" s="136">
        <v>111</v>
      </c>
      <c r="AB26" s="136">
        <v>-34</v>
      </c>
      <c r="AC26" s="136">
        <v>147</v>
      </c>
      <c r="AD26" s="136">
        <v>38</v>
      </c>
      <c r="AE26" s="136">
        <v>295</v>
      </c>
      <c r="AF26" s="136">
        <v>659</v>
      </c>
      <c r="AG26" s="136">
        <v>116</v>
      </c>
      <c r="AH26" s="136">
        <v>333</v>
      </c>
      <c r="AI26" s="136">
        <v>-54</v>
      </c>
      <c r="AJ26" s="136">
        <v>12</v>
      </c>
      <c r="AK26" s="136">
        <v>385</v>
      </c>
      <c r="AL26" s="136">
        <v>464</v>
      </c>
      <c r="AM26" s="136">
        <v>249</v>
      </c>
      <c r="AN26" s="136">
        <v>36</v>
      </c>
      <c r="AO26" s="136">
        <v>19</v>
      </c>
      <c r="AP26" s="136">
        <v>195</v>
      </c>
      <c r="AQ26" s="136">
        <v>825</v>
      </c>
      <c r="AR26" s="136">
        <v>2122</v>
      </c>
      <c r="AS26" s="136">
        <v>725</v>
      </c>
      <c r="AT26" s="136">
        <v>-648</v>
      </c>
      <c r="AU26" s="136">
        <v>-674</v>
      </c>
      <c r="AV26" s="136">
        <v>-267</v>
      </c>
      <c r="AW26" s="136">
        <v>962</v>
      </c>
      <c r="AX26" s="136">
        <f>(+VLOOKUP($D26,'[3]DFC '!$A$7:$H$85,8,FALSE))-AW26</f>
        <v>653</v>
      </c>
    </row>
    <row r="27" spans="1:50" x14ac:dyDescent="0.2">
      <c r="A27" t="s">
        <v>1565</v>
      </c>
      <c r="B27" t="s">
        <v>1566</v>
      </c>
      <c r="D27" s="135" t="str">
        <f>IF([1]RENAME!$H$3=1,B27,A27)</f>
        <v>Baixa direito de uso / arrendamento</v>
      </c>
      <c r="E27" s="136">
        <v>0</v>
      </c>
      <c r="F27" s="136">
        <v>0</v>
      </c>
      <c r="G27" s="136">
        <v>0</v>
      </c>
      <c r="H27" s="136">
        <v>0</v>
      </c>
      <c r="I27" s="136">
        <v>0</v>
      </c>
      <c r="J27" s="136">
        <v>0</v>
      </c>
      <c r="K27" s="136">
        <v>0</v>
      </c>
      <c r="L27" s="136">
        <v>0</v>
      </c>
      <c r="M27" s="136">
        <v>0</v>
      </c>
      <c r="N27" s="136">
        <v>0</v>
      </c>
      <c r="O27" s="136">
        <v>0</v>
      </c>
      <c r="P27" s="136">
        <v>0</v>
      </c>
      <c r="Q27" s="136">
        <v>0</v>
      </c>
      <c r="R27" s="136">
        <v>0</v>
      </c>
      <c r="S27" s="136">
        <v>0</v>
      </c>
      <c r="T27" s="136">
        <v>0</v>
      </c>
      <c r="U27" s="136">
        <v>0</v>
      </c>
      <c r="V27" s="136">
        <v>0</v>
      </c>
      <c r="W27" s="136">
        <v>-10</v>
      </c>
      <c r="X27" s="136">
        <v>-105</v>
      </c>
      <c r="Y27" s="136">
        <v>2</v>
      </c>
      <c r="Z27" s="136">
        <v>-38</v>
      </c>
      <c r="AA27" s="136">
        <v>-36</v>
      </c>
      <c r="AB27" s="136">
        <v>-35</v>
      </c>
      <c r="AC27" s="136">
        <v>-2</v>
      </c>
      <c r="AD27" s="136">
        <v>-1</v>
      </c>
      <c r="AE27" s="136">
        <v>0</v>
      </c>
      <c r="AF27" s="136">
        <v>3</v>
      </c>
      <c r="AG27" s="136">
        <v>0</v>
      </c>
      <c r="AH27" s="136">
        <v>0</v>
      </c>
      <c r="AI27" s="136">
        <v>0</v>
      </c>
      <c r="AJ27" s="136">
        <v>0</v>
      </c>
      <c r="AK27" s="136">
        <v>0</v>
      </c>
      <c r="AL27" s="136">
        <v>0</v>
      </c>
      <c r="AM27" s="136">
        <v>0</v>
      </c>
      <c r="AN27" s="136">
        <v>0</v>
      </c>
      <c r="AO27" s="136">
        <v>0</v>
      </c>
      <c r="AP27" s="136">
        <v>0</v>
      </c>
      <c r="AQ27" s="136">
        <v>0</v>
      </c>
      <c r="AR27" s="136">
        <v>0</v>
      </c>
      <c r="AS27" s="136">
        <v>0</v>
      </c>
      <c r="AT27" s="136">
        <v>0</v>
      </c>
      <c r="AU27" s="136">
        <v>0</v>
      </c>
      <c r="AV27" s="136">
        <v>0</v>
      </c>
      <c r="AW27" s="136">
        <v>0</v>
      </c>
      <c r="AX27" s="136">
        <f>(+VLOOKUP($D27,'[3]DFC '!$A$7:$H$85,8,FALSE))-AW27</f>
        <v>0</v>
      </c>
    </row>
    <row r="28" spans="1:50" x14ac:dyDescent="0.2">
      <c r="A28" t="s">
        <v>1262</v>
      </c>
      <c r="B28" t="s">
        <v>1263</v>
      </c>
      <c r="D28" s="135" t="str">
        <f>IF([1]RENAME!$H$3=1,B28,A28)</f>
        <v xml:space="preserve">Creditos fiscais extemporâneos </v>
      </c>
      <c r="E28" s="136">
        <v>0</v>
      </c>
      <c r="F28" s="136">
        <v>0</v>
      </c>
      <c r="G28" s="136">
        <v>0</v>
      </c>
      <c r="H28" s="136">
        <v>0</v>
      </c>
      <c r="I28" s="136">
        <v>0</v>
      </c>
      <c r="J28" s="136">
        <v>0</v>
      </c>
      <c r="K28" s="136">
        <v>0</v>
      </c>
      <c r="L28" s="136">
        <v>0</v>
      </c>
      <c r="M28" s="136">
        <v>0</v>
      </c>
      <c r="N28" s="136">
        <v>0</v>
      </c>
      <c r="O28" s="136">
        <v>0</v>
      </c>
      <c r="P28" s="136">
        <v>-50498</v>
      </c>
      <c r="Q28" s="136">
        <v>0</v>
      </c>
      <c r="R28" s="136">
        <v>0</v>
      </c>
      <c r="S28" s="136">
        <v>0</v>
      </c>
      <c r="T28" s="332">
        <v>-10599</v>
      </c>
      <c r="U28" s="136">
        <v>0</v>
      </c>
      <c r="V28" s="136">
        <v>0</v>
      </c>
      <c r="W28" s="332">
        <v>-91391</v>
      </c>
      <c r="X28" s="136">
        <v>-745</v>
      </c>
      <c r="Y28" s="136">
        <v>0</v>
      </c>
      <c r="Z28" s="136">
        <v>0</v>
      </c>
      <c r="AA28" s="136">
        <v>0</v>
      </c>
      <c r="AB28" s="136">
        <v>0</v>
      </c>
      <c r="AC28" s="136">
        <v>0</v>
      </c>
      <c r="AD28" s="136">
        <v>-8978</v>
      </c>
      <c r="AE28" s="136">
        <v>0</v>
      </c>
      <c r="AF28" s="136">
        <v>0</v>
      </c>
      <c r="AG28" s="136">
        <v>0</v>
      </c>
      <c r="AH28" s="136">
        <v>0</v>
      </c>
      <c r="AI28" s="136">
        <v>0</v>
      </c>
      <c r="AJ28" s="136">
        <v>-15341</v>
      </c>
      <c r="AK28" s="136">
        <v>0</v>
      </c>
      <c r="AL28" s="136">
        <v>0</v>
      </c>
      <c r="AM28" s="136">
        <v>0</v>
      </c>
      <c r="AN28" s="136">
        <v>0</v>
      </c>
      <c r="AO28" s="136">
        <v>0</v>
      </c>
      <c r="AP28" s="136">
        <v>0</v>
      </c>
      <c r="AQ28" s="136">
        <v>0</v>
      </c>
      <c r="AR28" s="136">
        <v>0</v>
      </c>
      <c r="AS28" s="136">
        <v>0</v>
      </c>
      <c r="AT28" s="136">
        <v>0</v>
      </c>
      <c r="AU28" s="136">
        <v>0</v>
      </c>
      <c r="AV28" s="136">
        <v>0</v>
      </c>
      <c r="AW28" s="136">
        <v>0</v>
      </c>
      <c r="AX28" s="136">
        <f>(+VLOOKUP($D28,'[3]DFC '!$A$7:$H$85,8,FALSE)-AV28)-AW28</f>
        <v>0</v>
      </c>
    </row>
    <row r="29" spans="1:50" x14ac:dyDescent="0.2">
      <c r="A29" t="s">
        <v>80</v>
      </c>
      <c r="B29" t="s">
        <v>1129</v>
      </c>
      <c r="D29" s="135" t="str">
        <f>IF([1]RENAME!$H$3=1,B29,A29)</f>
        <v>Imposto de renda e contribuição social diferidos</v>
      </c>
      <c r="E29" s="136">
        <f>-DRE!V25</f>
        <v>3229</v>
      </c>
      <c r="F29" s="136">
        <f>-DRE!W25</f>
        <v>512</v>
      </c>
      <c r="G29" s="136">
        <f>-DRE!X25</f>
        <v>3070.77151</v>
      </c>
      <c r="H29" s="136">
        <f>-DRE!Y25</f>
        <v>-5565.3430946000008</v>
      </c>
      <c r="I29" s="136">
        <f>-DRE!Z25</f>
        <v>-185</v>
      </c>
      <c r="J29" s="136">
        <f>-DRE!AA25</f>
        <v>1210</v>
      </c>
      <c r="K29" s="136">
        <f>-DRE!AB25</f>
        <v>3177.8091100000011</v>
      </c>
      <c r="L29" s="136">
        <f>-DRE!AC25</f>
        <v>8770.0601499999993</v>
      </c>
      <c r="M29" s="136">
        <f>-DRE!AD25</f>
        <v>4298.9160000000002</v>
      </c>
      <c r="N29" s="136">
        <f>-DRE!AE25</f>
        <v>-7766.8676799999994</v>
      </c>
      <c r="O29" s="136">
        <f>-DRE!AF25</f>
        <v>8879.3011299999998</v>
      </c>
      <c r="P29" s="136">
        <f>-DRE!AG25</f>
        <v>8319.4488999999994</v>
      </c>
      <c r="Q29" s="136">
        <f>-DRE!AH25</f>
        <v>6233</v>
      </c>
      <c r="R29" s="136">
        <f>-DRE!AI25</f>
        <v>7000.1369300000006</v>
      </c>
      <c r="S29" s="136">
        <f>-DRE!AJ25</f>
        <v>9929.7333699999999</v>
      </c>
      <c r="T29" s="136">
        <f>-DRE!AK25</f>
        <v>12883.216170000002</v>
      </c>
      <c r="U29" s="136">
        <f>-DRE!AL25</f>
        <v>11575.73976</v>
      </c>
      <c r="V29" s="136">
        <f>-DRE!AM25</f>
        <v>10923.94203</v>
      </c>
      <c r="W29" s="136">
        <f>-DRE!AN25</f>
        <v>40057.514449999995</v>
      </c>
      <c r="X29" s="136">
        <f>-DRE!AO25</f>
        <v>8769.3005799999992</v>
      </c>
      <c r="Y29" s="136">
        <f>-DRE!AP25</f>
        <v>6850.96893</v>
      </c>
      <c r="Z29" s="136">
        <f>-DRE!AQ25</f>
        <v>-4624.6438899999994</v>
      </c>
      <c r="AA29" s="136">
        <f>-DRE!AR25</f>
        <v>12021.130280000001</v>
      </c>
      <c r="AB29" s="136">
        <f>-DRE!AS25</f>
        <v>9295.3423600000006</v>
      </c>
      <c r="AC29" s="136">
        <v>4534</v>
      </c>
      <c r="AD29" s="136">
        <v>3877</v>
      </c>
      <c r="AE29" s="136">
        <v>436</v>
      </c>
      <c r="AF29" s="136">
        <v>2298</v>
      </c>
      <c r="AG29" s="136">
        <v>1923</v>
      </c>
      <c r="AH29" s="136">
        <v>-13</v>
      </c>
      <c r="AI29" s="136">
        <v>-2447</v>
      </c>
      <c r="AJ29" s="136">
        <v>5886</v>
      </c>
      <c r="AK29" s="136">
        <v>-4612</v>
      </c>
      <c r="AL29" s="136">
        <v>1391</v>
      </c>
      <c r="AM29" s="136">
        <v>-1322</v>
      </c>
      <c r="AN29" s="136">
        <v>417</v>
      </c>
      <c r="AO29" s="136">
        <v>3346</v>
      </c>
      <c r="AP29" s="136">
        <v>-3226</v>
      </c>
      <c r="AQ29" s="136">
        <v>-1269</v>
      </c>
      <c r="AR29" s="136">
        <v>185</v>
      </c>
      <c r="AS29" s="136">
        <v>4185</v>
      </c>
      <c r="AT29" s="136">
        <v>-1536</v>
      </c>
      <c r="AU29" s="136">
        <v>-1787</v>
      </c>
      <c r="AV29" s="136">
        <v>6635</v>
      </c>
      <c r="AW29" s="136">
        <v>-724</v>
      </c>
      <c r="AX29" s="136">
        <f>(+VLOOKUP($D29,'[3]DFC '!$A$7:$H$85,8,FALSE))-AW29</f>
        <v>-4713</v>
      </c>
    </row>
    <row r="30" spans="1:50" x14ac:dyDescent="0.2">
      <c r="A30" t="s">
        <v>1917</v>
      </c>
      <c r="B30" t="s">
        <v>1914</v>
      </c>
      <c r="D30" s="135" t="str">
        <f>IF([1]RENAME!$H$3=1,B30,A30)</f>
        <v>Imposto de renda e contribuição social correntes</v>
      </c>
      <c r="E30" s="136">
        <v>0</v>
      </c>
      <c r="F30" s="136">
        <v>0</v>
      </c>
      <c r="G30" s="136">
        <v>0</v>
      </c>
      <c r="H30" s="136">
        <v>0</v>
      </c>
      <c r="I30" s="136">
        <v>0</v>
      </c>
      <c r="J30" s="136">
        <v>0</v>
      </c>
      <c r="K30" s="136">
        <v>0</v>
      </c>
      <c r="L30" s="136">
        <v>0</v>
      </c>
      <c r="M30" s="136">
        <v>0</v>
      </c>
      <c r="N30" s="136">
        <v>0</v>
      </c>
      <c r="O30" s="136">
        <v>0</v>
      </c>
      <c r="P30" s="136">
        <v>0</v>
      </c>
      <c r="Q30" s="136">
        <v>0</v>
      </c>
      <c r="R30" s="136">
        <v>0</v>
      </c>
      <c r="S30" s="136">
        <v>0</v>
      </c>
      <c r="T30" s="136">
        <v>0</v>
      </c>
      <c r="U30" s="136">
        <v>0</v>
      </c>
      <c r="V30" s="136">
        <v>0</v>
      </c>
      <c r="W30" s="136">
        <v>0</v>
      </c>
      <c r="X30" s="136">
        <v>0</v>
      </c>
      <c r="Y30" s="136">
        <v>0</v>
      </c>
      <c r="Z30" s="136">
        <v>0</v>
      </c>
      <c r="AA30" s="136">
        <v>0</v>
      </c>
      <c r="AB30" s="136">
        <v>0</v>
      </c>
      <c r="AC30" s="136">
        <v>0</v>
      </c>
      <c r="AD30" s="136">
        <v>0</v>
      </c>
      <c r="AE30" s="136">
        <v>-2238</v>
      </c>
      <c r="AF30" s="136">
        <v>2238</v>
      </c>
      <c r="AG30" s="136">
        <v>0</v>
      </c>
      <c r="AH30" s="136">
        <v>0</v>
      </c>
      <c r="AI30" s="136">
        <v>0</v>
      </c>
      <c r="AJ30" s="136">
        <v>0</v>
      </c>
      <c r="AK30" s="136">
        <v>0</v>
      </c>
      <c r="AL30" s="136">
        <v>0</v>
      </c>
      <c r="AM30" s="136">
        <v>0</v>
      </c>
      <c r="AN30" s="136">
        <v>0</v>
      </c>
      <c r="AO30" s="136">
        <v>0</v>
      </c>
      <c r="AP30" s="136">
        <v>0</v>
      </c>
      <c r="AQ30" s="136">
        <v>0</v>
      </c>
      <c r="AR30" s="136">
        <v>0</v>
      </c>
      <c r="AS30" s="136">
        <v>0</v>
      </c>
      <c r="AT30" s="136">
        <v>0</v>
      </c>
      <c r="AU30" s="136">
        <v>0</v>
      </c>
      <c r="AV30" s="136">
        <v>0</v>
      </c>
      <c r="AW30" s="136">
        <v>0</v>
      </c>
      <c r="AX30" s="136">
        <f>(+VLOOKUP($D30,'[3]DFC '!$A$7:$H$85,8,FALSE))-AW30</f>
        <v>0</v>
      </c>
    </row>
    <row r="31" spans="1:50" x14ac:dyDescent="0.2">
      <c r="A31" t="s">
        <v>2010</v>
      </c>
      <c r="B31" t="s">
        <v>1933</v>
      </c>
      <c r="D31" s="135" t="str">
        <f>IF([1]RENAME!$H$3=1,B31,A31)</f>
        <v xml:space="preserve">Ganho na venda de investimento </v>
      </c>
      <c r="E31" s="136" t="s">
        <v>160</v>
      </c>
      <c r="F31" s="136" t="s">
        <v>160</v>
      </c>
      <c r="G31" s="136" t="s">
        <v>160</v>
      </c>
      <c r="H31" s="136" t="s">
        <v>160</v>
      </c>
      <c r="I31" s="136" t="s">
        <v>160</v>
      </c>
      <c r="J31" s="136" t="s">
        <v>160</v>
      </c>
      <c r="K31" s="136" t="s">
        <v>160</v>
      </c>
      <c r="L31" s="136" t="s">
        <v>160</v>
      </c>
      <c r="M31" s="136" t="s">
        <v>160</v>
      </c>
      <c r="N31" s="136" t="s">
        <v>160</v>
      </c>
      <c r="O31" s="136" t="s">
        <v>160</v>
      </c>
      <c r="P31" s="136" t="s">
        <v>160</v>
      </c>
      <c r="Q31" s="136" t="s">
        <v>160</v>
      </c>
      <c r="R31" s="136" t="s">
        <v>160</v>
      </c>
      <c r="S31" s="136" t="s">
        <v>160</v>
      </c>
      <c r="T31" s="136" t="s">
        <v>160</v>
      </c>
      <c r="U31" s="136" t="s">
        <v>160</v>
      </c>
      <c r="V31" s="136" t="s">
        <v>160</v>
      </c>
      <c r="W31" s="136" t="s">
        <v>160</v>
      </c>
      <c r="X31" s="136" t="s">
        <v>160</v>
      </c>
      <c r="Y31" s="136" t="s">
        <v>160</v>
      </c>
      <c r="Z31" s="136" t="s">
        <v>160</v>
      </c>
      <c r="AA31" s="136" t="s">
        <v>160</v>
      </c>
      <c r="AB31" s="136" t="s">
        <v>160</v>
      </c>
      <c r="AC31" s="136">
        <v>0</v>
      </c>
      <c r="AD31" s="136">
        <v>0</v>
      </c>
      <c r="AE31" s="136" t="s">
        <v>160</v>
      </c>
      <c r="AF31" s="136">
        <v>-2592</v>
      </c>
      <c r="AG31" s="136">
        <v>0</v>
      </c>
      <c r="AH31" s="136">
        <v>0</v>
      </c>
      <c r="AI31" s="136">
        <v>-847</v>
      </c>
      <c r="AJ31" s="136">
        <v>0</v>
      </c>
      <c r="AK31" s="136">
        <v>0</v>
      </c>
      <c r="AL31" s="136">
        <v>0</v>
      </c>
      <c r="AM31" s="136">
        <v>0</v>
      </c>
      <c r="AN31" s="136">
        <v>0</v>
      </c>
      <c r="AO31" s="136">
        <v>0</v>
      </c>
      <c r="AP31" s="136">
        <v>0</v>
      </c>
      <c r="AQ31" s="136">
        <v>0</v>
      </c>
      <c r="AR31" s="136">
        <v>0</v>
      </c>
      <c r="AS31" s="136">
        <v>0</v>
      </c>
      <c r="AT31" s="136">
        <v>0</v>
      </c>
      <c r="AU31" s="136">
        <v>0</v>
      </c>
      <c r="AV31" s="136">
        <v>0</v>
      </c>
      <c r="AW31" s="136">
        <v>0</v>
      </c>
      <c r="AX31" s="136">
        <f>(+VLOOKUP($D31,'[3]DFC '!$A$7:$H$85,8,FALSE))-AW31</f>
        <v>0</v>
      </c>
    </row>
    <row r="32" spans="1:50" hidden="1" outlineLevel="1" x14ac:dyDescent="0.2">
      <c r="A32" t="s">
        <v>1291</v>
      </c>
      <c r="B32" t="s">
        <v>1302</v>
      </c>
      <c r="D32" s="231" t="str">
        <f>IF([1]RENAME!$H$3=1,B32,A32)</f>
        <v>Perda na baixa de ágio</v>
      </c>
      <c r="E32" s="136" t="s">
        <v>160</v>
      </c>
      <c r="F32" s="136" t="s">
        <v>160</v>
      </c>
      <c r="G32" s="136" t="s">
        <v>160</v>
      </c>
      <c r="H32" s="136" t="s">
        <v>160</v>
      </c>
      <c r="I32" s="136" t="s">
        <v>160</v>
      </c>
      <c r="J32" s="136" t="s">
        <v>160</v>
      </c>
      <c r="K32" s="136" t="s">
        <v>160</v>
      </c>
      <c r="L32" s="136" t="s">
        <v>160</v>
      </c>
      <c r="M32" s="136" t="s">
        <v>160</v>
      </c>
      <c r="N32" s="232" t="s">
        <v>160</v>
      </c>
      <c r="O32" s="136" t="s">
        <v>160</v>
      </c>
      <c r="P32" s="136" t="s">
        <v>160</v>
      </c>
      <c r="Q32" s="136">
        <v>2527</v>
      </c>
      <c r="R32" s="136">
        <v>0</v>
      </c>
      <c r="S32" s="136">
        <v>0</v>
      </c>
      <c r="T32" s="136">
        <v>0</v>
      </c>
      <c r="U32" s="136">
        <v>0</v>
      </c>
      <c r="V32" s="136">
        <v>0</v>
      </c>
      <c r="W32" s="136">
        <v>0</v>
      </c>
      <c r="X32" s="136">
        <v>0</v>
      </c>
      <c r="Y32" s="136">
        <v>0</v>
      </c>
      <c r="Z32" s="136">
        <v>0</v>
      </c>
      <c r="AA32" s="136">
        <v>0</v>
      </c>
      <c r="AB32" s="136">
        <v>0</v>
      </c>
      <c r="AC32" s="136">
        <v>0</v>
      </c>
      <c r="AD32" s="136">
        <v>0</v>
      </c>
      <c r="AE32" s="136">
        <v>0</v>
      </c>
      <c r="AF32" s="136">
        <v>0</v>
      </c>
      <c r="AG32" s="136">
        <v>0</v>
      </c>
      <c r="AH32" s="136">
        <f>+VLOOKUP($D32,'[3]DFC '!$A$7:$H$85,8,FALSE)</f>
        <v>0</v>
      </c>
      <c r="AI32" s="136">
        <f>+VLOOKUP($D32,'[3]DFC '!$A$7:$H$85,8,FALSE)</f>
        <v>0</v>
      </c>
      <c r="AJ32" s="136">
        <f>+VLOOKUP($D32,'[3]DFC '!$A$7:$H$85,8,FALSE)</f>
        <v>0</v>
      </c>
      <c r="AK32" s="136">
        <f>+VLOOKUP($D32,'[3]DFC '!$A$7:$H$85,8,FALSE)</f>
        <v>0</v>
      </c>
      <c r="AL32" s="136">
        <f>+VLOOKUP($D32,'[3]DFC '!$A$7:$H$85,8,FALSE)</f>
        <v>0</v>
      </c>
      <c r="AM32" s="136">
        <f>+VLOOKUP($D32,'[3]DFC '!$A$7:$H$85,8,FALSE)</f>
        <v>0</v>
      </c>
      <c r="AN32" s="136">
        <f>+VLOOKUP($D32,'[3]DFC '!$A$7:$H$85,8,FALSE)</f>
        <v>0</v>
      </c>
      <c r="AO32" s="136">
        <f>+VLOOKUP($D32,'[3]DFC '!$A$7:$H$85,8,FALSE)</f>
        <v>0</v>
      </c>
      <c r="AP32" s="136"/>
      <c r="AQ32" s="136"/>
      <c r="AR32" s="136">
        <v>0</v>
      </c>
      <c r="AS32" s="136"/>
      <c r="AT32" s="136">
        <f>+VLOOKUP($D32,'[3]DFC '!$A$7:$H$85,8,FALSE)</f>
        <v>0</v>
      </c>
      <c r="AU32" s="136">
        <f>+VLOOKUP($D32,'[3]DFC '!$A$7:$H$85,8,FALSE)</f>
        <v>0</v>
      </c>
      <c r="AV32" s="136">
        <f>+VLOOKUP($D32,'[3]DFC '!$A$7:$H$85,8,FALSE)</f>
        <v>0</v>
      </c>
      <c r="AW32" s="136">
        <f>+VLOOKUP($D32,'[3]DFC '!$A$7:$H$85,8,FALSE)</f>
        <v>0</v>
      </c>
      <c r="AX32" s="136">
        <f>+VLOOKUP($D32,'[3]DFC '!$A$7:$H$85,8,FALSE)</f>
        <v>0</v>
      </c>
    </row>
    <row r="33" spans="1:50" hidden="1" outlineLevel="1" x14ac:dyDescent="0.2">
      <c r="A33" t="s">
        <v>1343</v>
      </c>
      <c r="B33" t="s">
        <v>1384</v>
      </c>
      <c r="D33" s="231" t="str">
        <f>IF([1]RENAME!$H$3=1,B33,A33)</f>
        <v>Resultado da operação de swap</v>
      </c>
      <c r="E33" s="136">
        <v>0</v>
      </c>
      <c r="F33" s="136">
        <v>0</v>
      </c>
      <c r="G33" s="136">
        <v>0</v>
      </c>
      <c r="H33" s="136">
        <v>0</v>
      </c>
      <c r="I33" s="136">
        <v>0</v>
      </c>
      <c r="J33" s="136">
        <v>0</v>
      </c>
      <c r="K33" s="136">
        <v>0</v>
      </c>
      <c r="L33" s="136">
        <v>0</v>
      </c>
      <c r="M33" s="136">
        <v>0</v>
      </c>
      <c r="N33" s="232">
        <v>0</v>
      </c>
      <c r="O33" s="136">
        <v>0</v>
      </c>
      <c r="P33" s="136">
        <v>0</v>
      </c>
      <c r="Q33" s="136">
        <v>0</v>
      </c>
      <c r="R33" s="136">
        <v>0</v>
      </c>
      <c r="S33" s="136">
        <v>-3735</v>
      </c>
      <c r="T33" s="136">
        <v>2034</v>
      </c>
      <c r="U33" s="136">
        <v>-1028</v>
      </c>
      <c r="V33" s="136">
        <v>1669</v>
      </c>
      <c r="W33" s="136">
        <v>-3849</v>
      </c>
      <c r="X33" s="136">
        <v>1546</v>
      </c>
      <c r="Y33" s="136">
        <v>-15165</v>
      </c>
      <c r="Z33" s="136">
        <v>-4243</v>
      </c>
      <c r="AA33" s="136">
        <v>3089</v>
      </c>
      <c r="AB33" s="136">
        <v>0</v>
      </c>
      <c r="AC33" s="136">
        <v>0</v>
      </c>
      <c r="AD33" s="136">
        <v>0</v>
      </c>
      <c r="AE33" s="136">
        <v>0</v>
      </c>
      <c r="AF33" s="136">
        <v>0</v>
      </c>
      <c r="AG33" s="136">
        <v>0</v>
      </c>
      <c r="AH33" s="136">
        <f>+VLOOKUP($D33,'[3]DFC '!$A$7:$H$85,8,FALSE)</f>
        <v>8</v>
      </c>
      <c r="AI33" s="136">
        <f>+VLOOKUP($D33,'[3]DFC '!$A$7:$H$85,8,FALSE)</f>
        <v>8</v>
      </c>
      <c r="AJ33" s="136">
        <f>+VLOOKUP($D33,'[3]DFC '!$A$7:$H$85,8,FALSE)</f>
        <v>8</v>
      </c>
      <c r="AK33" s="136">
        <f>+VLOOKUP($D33,'[3]DFC '!$A$7:$H$85,8,FALSE)</f>
        <v>8</v>
      </c>
      <c r="AL33" s="136">
        <f>+VLOOKUP($D33,'[3]DFC '!$A$7:$H$85,8,FALSE)</f>
        <v>8</v>
      </c>
      <c r="AM33" s="136">
        <f>+VLOOKUP($D33,'[3]DFC '!$A$7:$H$85,8,FALSE)</f>
        <v>8</v>
      </c>
      <c r="AN33" s="136">
        <f>+VLOOKUP($D33,'[3]DFC '!$A$7:$H$85,8,FALSE)</f>
        <v>8</v>
      </c>
      <c r="AO33" s="136">
        <f>+VLOOKUP($D33,'[3]DFC '!$A$7:$H$85,8,FALSE)</f>
        <v>8</v>
      </c>
      <c r="AP33" s="136"/>
      <c r="AQ33" s="136"/>
      <c r="AR33" s="136">
        <v>0</v>
      </c>
      <c r="AS33" s="136"/>
      <c r="AT33" s="136">
        <f>+VLOOKUP($D33,'[3]DFC '!$A$7:$H$85,8,FALSE)</f>
        <v>8</v>
      </c>
      <c r="AU33" s="136">
        <f>+VLOOKUP($D33,'[3]DFC '!$A$7:$H$85,8,FALSE)</f>
        <v>8</v>
      </c>
      <c r="AV33" s="136">
        <f>+VLOOKUP($D33,'[3]DFC '!$A$7:$H$85,8,FALSE)</f>
        <v>8</v>
      </c>
      <c r="AW33" s="136">
        <f>+VLOOKUP($D33,'[3]DFC '!$A$7:$H$85,8,FALSE)</f>
        <v>8</v>
      </c>
      <c r="AX33" s="136">
        <f>+VLOOKUP($D33,'[3]DFC '!$A$7:$H$85,8,FALSE)</f>
        <v>8</v>
      </c>
    </row>
    <row r="34" spans="1:50" hidden="1" outlineLevel="1" x14ac:dyDescent="0.2">
      <c r="A34" t="s">
        <v>1295</v>
      </c>
      <c r="B34" t="s">
        <v>1303</v>
      </c>
      <c r="D34" s="231" t="str">
        <f>IF([1]RENAME!$H$3=1,B34,A34)</f>
        <v>Valor justo na transferencia de investimento</v>
      </c>
      <c r="E34" s="136" t="s">
        <v>160</v>
      </c>
      <c r="F34" s="136" t="s">
        <v>160</v>
      </c>
      <c r="G34" s="136" t="s">
        <v>160</v>
      </c>
      <c r="H34" s="136" t="s">
        <v>160</v>
      </c>
      <c r="I34" s="136" t="s">
        <v>160</v>
      </c>
      <c r="J34" s="136" t="s">
        <v>160</v>
      </c>
      <c r="K34" s="136" t="s">
        <v>160</v>
      </c>
      <c r="L34" s="136" t="s">
        <v>160</v>
      </c>
      <c r="M34" s="136" t="s">
        <v>160</v>
      </c>
      <c r="N34" s="232" t="s">
        <v>160</v>
      </c>
      <c r="O34" s="136" t="s">
        <v>160</v>
      </c>
      <c r="P34" s="136" t="s">
        <v>160</v>
      </c>
      <c r="Q34" s="136">
        <v>-1842</v>
      </c>
      <c r="R34" s="136">
        <v>0</v>
      </c>
      <c r="S34" s="136">
        <v>0</v>
      </c>
      <c r="T34" s="136">
        <v>0</v>
      </c>
      <c r="U34" s="136">
        <v>0</v>
      </c>
      <c r="V34" s="136">
        <v>0</v>
      </c>
      <c r="W34" s="136">
        <v>0</v>
      </c>
      <c r="X34" s="136">
        <v>0</v>
      </c>
      <c r="Y34" s="136">
        <v>0</v>
      </c>
      <c r="Z34" s="136">
        <v>0</v>
      </c>
      <c r="AA34" s="136">
        <v>0</v>
      </c>
      <c r="AB34" s="136">
        <v>0</v>
      </c>
      <c r="AC34" s="136">
        <v>0</v>
      </c>
      <c r="AD34" s="136">
        <v>0</v>
      </c>
      <c r="AE34" s="136">
        <v>0</v>
      </c>
      <c r="AF34" s="136">
        <v>0</v>
      </c>
      <c r="AG34" s="136">
        <v>0</v>
      </c>
      <c r="AH34" s="136">
        <f>+VLOOKUP($D34,'[3]DFC '!$A$7:$H$85,8,FALSE)</f>
        <v>0</v>
      </c>
      <c r="AI34" s="136">
        <f>+VLOOKUP($D34,'[3]DFC '!$A$7:$H$85,8,FALSE)</f>
        <v>0</v>
      </c>
      <c r="AJ34" s="136">
        <f>+VLOOKUP($D34,'[3]DFC '!$A$7:$H$85,8,FALSE)</f>
        <v>0</v>
      </c>
      <c r="AK34" s="136">
        <f>+VLOOKUP($D34,'[3]DFC '!$A$7:$H$85,8,FALSE)</f>
        <v>0</v>
      </c>
      <c r="AL34" s="136">
        <f>+VLOOKUP($D34,'[3]DFC '!$A$7:$H$85,8,FALSE)</f>
        <v>0</v>
      </c>
      <c r="AM34" s="136">
        <f>+VLOOKUP($D34,'[3]DFC '!$A$7:$H$85,8,FALSE)</f>
        <v>0</v>
      </c>
      <c r="AN34" s="136">
        <f>+VLOOKUP($D34,'[3]DFC '!$A$7:$H$85,8,FALSE)</f>
        <v>0</v>
      </c>
      <c r="AO34" s="136">
        <f>+VLOOKUP($D34,'[3]DFC '!$A$7:$H$85,8,FALSE)</f>
        <v>0</v>
      </c>
      <c r="AP34" s="136"/>
      <c r="AQ34" s="136"/>
      <c r="AR34" s="136">
        <v>0</v>
      </c>
      <c r="AS34" s="136"/>
      <c r="AT34" s="136">
        <f>+VLOOKUP($D34,'[3]DFC '!$A$7:$H$85,8,FALSE)</f>
        <v>0</v>
      </c>
      <c r="AU34" s="136">
        <f>+VLOOKUP($D34,'[3]DFC '!$A$7:$H$85,8,FALSE)</f>
        <v>0</v>
      </c>
      <c r="AV34" s="136">
        <f>+VLOOKUP($D34,'[3]DFC '!$A$7:$H$85,8,FALSE)</f>
        <v>0</v>
      </c>
      <c r="AW34" s="136">
        <f>+VLOOKUP($D34,'[3]DFC '!$A$7:$H$85,8,FALSE)</f>
        <v>0</v>
      </c>
      <c r="AX34" s="136">
        <f>+VLOOKUP($D34,'[3]DFC '!$A$7:$H$85,8,FALSE)</f>
        <v>0</v>
      </c>
    </row>
    <row r="35" spans="1:50" ht="23.25" hidden="1" customHeight="1" outlineLevel="1" x14ac:dyDescent="0.2">
      <c r="A35" t="s">
        <v>634</v>
      </c>
      <c r="B35" t="s">
        <v>759</v>
      </c>
      <c r="D35" s="231" t="str">
        <f>IF([1]RENAME!$H$3=1,B35,A35)</f>
        <v>Provisão para perda de valores com vendas de controladas</v>
      </c>
      <c r="E35" s="136">
        <v>0</v>
      </c>
      <c r="F35" s="136">
        <v>0</v>
      </c>
      <c r="G35" s="136">
        <v>0</v>
      </c>
      <c r="H35" s="136">
        <v>0</v>
      </c>
      <c r="I35" s="136">
        <v>0</v>
      </c>
      <c r="J35" s="136">
        <v>0</v>
      </c>
      <c r="K35" s="136">
        <v>0</v>
      </c>
      <c r="L35" s="136">
        <v>0</v>
      </c>
      <c r="M35" s="136">
        <v>0</v>
      </c>
      <c r="N35" s="232">
        <v>0</v>
      </c>
      <c r="O35" s="136">
        <v>5733</v>
      </c>
      <c r="P35" s="136">
        <v>5731</v>
      </c>
      <c r="Q35" s="136">
        <v>0</v>
      </c>
      <c r="R35" s="136">
        <v>0</v>
      </c>
      <c r="S35" s="136">
        <v>0</v>
      </c>
      <c r="T35" s="136">
        <v>1907</v>
      </c>
      <c r="U35" s="136">
        <v>0</v>
      </c>
      <c r="V35" s="136">
        <v>0</v>
      </c>
      <c r="W35" s="136">
        <v>0</v>
      </c>
      <c r="X35" s="136">
        <v>0</v>
      </c>
      <c r="Y35" s="136">
        <v>0</v>
      </c>
      <c r="Z35" s="136">
        <v>0</v>
      </c>
      <c r="AA35" s="136">
        <v>0</v>
      </c>
      <c r="AB35" s="136">
        <v>0</v>
      </c>
      <c r="AC35" s="136">
        <v>0</v>
      </c>
      <c r="AD35" s="136">
        <v>0</v>
      </c>
      <c r="AE35" s="136">
        <v>0</v>
      </c>
      <c r="AF35" s="136">
        <v>0</v>
      </c>
      <c r="AG35" s="136">
        <v>0</v>
      </c>
      <c r="AH35" s="136">
        <f>+VLOOKUP($D35,'[3]DFC '!$A$7:$H$85,8,FALSE)</f>
        <v>0</v>
      </c>
      <c r="AI35" s="136">
        <f>+VLOOKUP($D35,'[3]DFC '!$A$7:$H$85,8,FALSE)</f>
        <v>0</v>
      </c>
      <c r="AJ35" s="136">
        <f>+VLOOKUP($D35,'[3]DFC '!$A$7:$H$85,8,FALSE)</f>
        <v>0</v>
      </c>
      <c r="AK35" s="136">
        <f>+VLOOKUP($D35,'[3]DFC '!$A$7:$H$85,8,FALSE)</f>
        <v>0</v>
      </c>
      <c r="AL35" s="136">
        <f>+VLOOKUP($D35,'[3]DFC '!$A$7:$H$85,8,FALSE)</f>
        <v>0</v>
      </c>
      <c r="AM35" s="136">
        <f>+VLOOKUP($D35,'[3]DFC '!$A$7:$H$85,8,FALSE)</f>
        <v>0</v>
      </c>
      <c r="AN35" s="136">
        <f>+VLOOKUP($D35,'[3]DFC '!$A$7:$H$85,8,FALSE)</f>
        <v>0</v>
      </c>
      <c r="AO35" s="136">
        <f>+VLOOKUP($D35,'[3]DFC '!$A$7:$H$85,8,FALSE)</f>
        <v>0</v>
      </c>
      <c r="AP35" s="136"/>
      <c r="AQ35" s="136"/>
      <c r="AR35" s="136">
        <v>0</v>
      </c>
      <c r="AS35" s="136"/>
      <c r="AT35" s="136">
        <f>+VLOOKUP($D35,'[3]DFC '!$A$7:$H$85,8,FALSE)</f>
        <v>0</v>
      </c>
      <c r="AU35" s="136">
        <f>+VLOOKUP($D35,'[3]DFC '!$A$7:$H$85,8,FALSE)</f>
        <v>0</v>
      </c>
      <c r="AV35" s="136">
        <f>+VLOOKUP($D35,'[3]DFC '!$A$7:$H$85,8,FALSE)</f>
        <v>0</v>
      </c>
      <c r="AW35" s="136">
        <f>+VLOOKUP($D35,'[3]DFC '!$A$7:$H$85,8,FALSE)</f>
        <v>0</v>
      </c>
      <c r="AX35" s="136">
        <f>+VLOOKUP($D35,'[3]DFC '!$A$7:$H$85,8,FALSE)</f>
        <v>0</v>
      </c>
    </row>
    <row r="36" spans="1:50" hidden="1" outlineLevel="1" x14ac:dyDescent="0.2">
      <c r="A36" t="s">
        <v>580</v>
      </c>
      <c r="B36" t="s">
        <v>1024</v>
      </c>
      <c r="D36" s="231" t="str">
        <f>IF([1]RENAME!$H$3=1,B36,A36)</f>
        <v>Provisão para perda de investimento</v>
      </c>
      <c r="E36" s="136">
        <v>0</v>
      </c>
      <c r="F36" s="136">
        <v>0</v>
      </c>
      <c r="G36" s="136">
        <v>0</v>
      </c>
      <c r="H36" s="136">
        <v>0</v>
      </c>
      <c r="I36" s="136">
        <v>0</v>
      </c>
      <c r="J36" s="136">
        <v>0</v>
      </c>
      <c r="K36" s="136">
        <v>0</v>
      </c>
      <c r="L36" s="136">
        <v>0</v>
      </c>
      <c r="M36" s="136">
        <v>0</v>
      </c>
      <c r="N36" s="232">
        <v>1365</v>
      </c>
      <c r="O36" s="136">
        <v>0</v>
      </c>
      <c r="P36" s="136">
        <v>0</v>
      </c>
      <c r="Q36" s="136">
        <v>0</v>
      </c>
      <c r="R36" s="136">
        <v>0</v>
      </c>
      <c r="S36" s="136">
        <v>0</v>
      </c>
      <c r="T36" s="136">
        <v>0</v>
      </c>
      <c r="U36" s="136">
        <v>0</v>
      </c>
      <c r="V36" s="136">
        <v>0</v>
      </c>
      <c r="W36" s="136">
        <v>0</v>
      </c>
      <c r="X36" s="136">
        <v>0</v>
      </c>
      <c r="Y36" s="136">
        <v>0</v>
      </c>
      <c r="Z36" s="136">
        <v>0</v>
      </c>
      <c r="AA36" s="136">
        <v>0</v>
      </c>
      <c r="AB36" s="136">
        <v>0</v>
      </c>
      <c r="AC36" s="136">
        <v>0</v>
      </c>
      <c r="AD36" s="136">
        <v>0</v>
      </c>
      <c r="AE36" s="136">
        <v>0</v>
      </c>
      <c r="AF36" s="136" t="s">
        <v>160</v>
      </c>
      <c r="AG36" s="136" t="s">
        <v>160</v>
      </c>
      <c r="AH36" s="136" t="s">
        <v>160</v>
      </c>
      <c r="AI36" s="136" t="s">
        <v>160</v>
      </c>
      <c r="AJ36" s="136" t="s">
        <v>160</v>
      </c>
      <c r="AK36" s="136" t="s">
        <v>160</v>
      </c>
      <c r="AL36" s="136" t="s">
        <v>160</v>
      </c>
      <c r="AM36" s="136" t="s">
        <v>160</v>
      </c>
      <c r="AN36" s="136" t="s">
        <v>160</v>
      </c>
      <c r="AO36" s="136" t="s">
        <v>160</v>
      </c>
      <c r="AP36" s="136"/>
      <c r="AQ36" s="136"/>
      <c r="AR36" s="136" t="s">
        <v>160</v>
      </c>
      <c r="AS36" s="136"/>
      <c r="AT36" s="136" t="s">
        <v>160</v>
      </c>
      <c r="AU36" s="136" t="s">
        <v>160</v>
      </c>
      <c r="AV36" s="136" t="s">
        <v>160</v>
      </c>
      <c r="AW36" s="136" t="s">
        <v>160</v>
      </c>
      <c r="AX36" s="136" t="s">
        <v>160</v>
      </c>
    </row>
    <row r="37" spans="1:50" ht="25.5" hidden="1" outlineLevel="2" x14ac:dyDescent="0.2">
      <c r="A37" s="233" t="s">
        <v>1857</v>
      </c>
      <c r="B37" s="233" t="s">
        <v>1858</v>
      </c>
      <c r="D37" s="231" t="str">
        <f>IF([1]RENAME!$H$3=1,B37,A37)</f>
        <v>Prejuízo da operação descontinuada e Participação de minoritários</v>
      </c>
      <c r="E37" s="232" t="s">
        <v>160</v>
      </c>
      <c r="F37" s="136" t="s">
        <v>160</v>
      </c>
      <c r="G37" s="136" t="s">
        <v>160</v>
      </c>
      <c r="H37" s="136" t="s">
        <v>160</v>
      </c>
      <c r="I37" s="136" t="s">
        <v>160</v>
      </c>
      <c r="J37" s="136" t="s">
        <v>160</v>
      </c>
      <c r="K37" s="136" t="s">
        <v>160</v>
      </c>
      <c r="L37" s="136" t="s">
        <v>160</v>
      </c>
      <c r="M37" s="136" t="s">
        <v>160</v>
      </c>
      <c r="N37" s="136" t="s">
        <v>160</v>
      </c>
      <c r="O37" s="136" t="s">
        <v>160</v>
      </c>
      <c r="P37" s="136" t="s">
        <v>160</v>
      </c>
      <c r="Q37" s="136" t="s">
        <v>160</v>
      </c>
      <c r="R37" s="136" t="s">
        <v>160</v>
      </c>
      <c r="S37" s="136" t="s">
        <v>160</v>
      </c>
      <c r="T37" s="136" t="s">
        <v>160</v>
      </c>
      <c r="U37" s="136" t="s">
        <v>160</v>
      </c>
      <c r="V37" s="136" t="s">
        <v>160</v>
      </c>
      <c r="W37" s="136" t="s">
        <v>160</v>
      </c>
      <c r="X37" s="136" t="s">
        <v>160</v>
      </c>
      <c r="Y37" s="136" t="s">
        <v>160</v>
      </c>
      <c r="Z37" s="136" t="s">
        <v>160</v>
      </c>
      <c r="AA37" s="136" t="s">
        <v>160</v>
      </c>
      <c r="AB37" s="136" t="s">
        <v>160</v>
      </c>
      <c r="AC37" s="136" t="s">
        <v>160</v>
      </c>
      <c r="AD37" s="136" t="s">
        <v>160</v>
      </c>
      <c r="AE37" s="136" t="s">
        <v>160</v>
      </c>
      <c r="AF37" s="136" t="s">
        <v>160</v>
      </c>
      <c r="AG37" s="136" t="s">
        <v>160</v>
      </c>
      <c r="AH37" s="136" t="s">
        <v>160</v>
      </c>
      <c r="AI37" s="136" t="s">
        <v>160</v>
      </c>
      <c r="AJ37" s="136" t="s">
        <v>160</v>
      </c>
      <c r="AK37" s="136" t="s">
        <v>160</v>
      </c>
      <c r="AL37" s="136" t="s">
        <v>160</v>
      </c>
      <c r="AM37" s="136" t="s">
        <v>160</v>
      </c>
      <c r="AN37" s="136" t="s">
        <v>160</v>
      </c>
      <c r="AO37" s="136" t="s">
        <v>160</v>
      </c>
      <c r="AP37" s="136"/>
      <c r="AQ37" s="136"/>
      <c r="AR37" s="136" t="s">
        <v>160</v>
      </c>
      <c r="AS37" s="136"/>
      <c r="AT37" s="136" t="s">
        <v>160</v>
      </c>
      <c r="AU37" s="136" t="s">
        <v>160</v>
      </c>
      <c r="AV37" s="136" t="s">
        <v>160</v>
      </c>
      <c r="AW37" s="136" t="s">
        <v>160</v>
      </c>
      <c r="AX37" s="136" t="s">
        <v>160</v>
      </c>
    </row>
    <row r="38" spans="1:50" s="233" customFormat="1" hidden="1" outlineLevel="2" x14ac:dyDescent="0.2">
      <c r="A38" s="233" t="s">
        <v>340</v>
      </c>
      <c r="B38" s="233" t="s">
        <v>763</v>
      </c>
      <c r="C38" s="266"/>
      <c r="D38" s="231" t="str">
        <f>IF([1]RENAME!$H$3=1,B38,A38)</f>
        <v xml:space="preserve">Juros aquisição / opção de compra </v>
      </c>
      <c r="E38" s="232">
        <v>272.00000000000006</v>
      </c>
      <c r="F38" s="232">
        <v>301.99999999999994</v>
      </c>
      <c r="G38" s="232">
        <v>367</v>
      </c>
      <c r="H38" s="232">
        <v>358</v>
      </c>
      <c r="I38" s="232">
        <v>358</v>
      </c>
      <c r="J38" s="232">
        <v>383</v>
      </c>
      <c r="K38" s="232">
        <v>408</v>
      </c>
      <c r="L38" s="232">
        <v>384</v>
      </c>
      <c r="M38" s="232">
        <v>137</v>
      </c>
      <c r="N38" s="232">
        <v>0</v>
      </c>
      <c r="O38" s="232">
        <v>-137</v>
      </c>
      <c r="P38" s="232">
        <v>137</v>
      </c>
      <c r="Q38" s="232">
        <v>0</v>
      </c>
      <c r="R38" s="232">
        <v>0</v>
      </c>
      <c r="S38" s="232">
        <v>0</v>
      </c>
      <c r="T38" s="232">
        <v>0</v>
      </c>
      <c r="U38" s="232">
        <v>0</v>
      </c>
      <c r="V38" s="232">
        <v>0</v>
      </c>
      <c r="W38" s="232">
        <v>0</v>
      </c>
      <c r="X38" s="136">
        <v>0</v>
      </c>
      <c r="Y38" s="136">
        <v>0</v>
      </c>
      <c r="Z38" s="136">
        <v>0</v>
      </c>
      <c r="AA38" s="136">
        <v>0</v>
      </c>
      <c r="AB38" s="136">
        <v>0</v>
      </c>
      <c r="AC38" s="136">
        <v>0</v>
      </c>
      <c r="AD38" s="136">
        <v>0</v>
      </c>
      <c r="AE38" s="136">
        <v>0</v>
      </c>
      <c r="AF38" s="136">
        <v>0</v>
      </c>
      <c r="AG38" s="136">
        <v>0</v>
      </c>
      <c r="AH38" s="136">
        <v>0</v>
      </c>
      <c r="AI38" s="136">
        <v>0</v>
      </c>
      <c r="AJ38" s="136">
        <v>0</v>
      </c>
      <c r="AK38" s="136">
        <v>0</v>
      </c>
      <c r="AL38" s="136">
        <v>0</v>
      </c>
      <c r="AM38" s="136">
        <v>0</v>
      </c>
      <c r="AN38" s="136">
        <v>0</v>
      </c>
      <c r="AO38" s="136">
        <v>0</v>
      </c>
      <c r="AP38" s="136"/>
      <c r="AQ38" s="136"/>
      <c r="AR38" s="136">
        <v>0</v>
      </c>
      <c r="AS38" s="136"/>
      <c r="AT38" s="136">
        <v>0</v>
      </c>
      <c r="AU38" s="136">
        <v>0</v>
      </c>
      <c r="AV38" s="136">
        <v>0</v>
      </c>
      <c r="AW38" s="136">
        <v>0</v>
      </c>
      <c r="AX38" s="136">
        <v>0</v>
      </c>
    </row>
    <row r="39" spans="1:50" s="233" customFormat="1" hidden="1" outlineLevel="2" x14ac:dyDescent="0.2">
      <c r="A39" s="233" t="s">
        <v>341</v>
      </c>
      <c r="B39" s="233" t="s">
        <v>764</v>
      </c>
      <c r="C39" s="266"/>
      <c r="D39" s="231" t="str">
        <f>IF([1]RENAME!$H$3=1,B39,A39)</f>
        <v>Juros sobre a venda do investimento</v>
      </c>
      <c r="E39" s="232">
        <v>-1825</v>
      </c>
      <c r="F39" s="232">
        <v>-1207</v>
      </c>
      <c r="G39" s="232">
        <v>-55</v>
      </c>
      <c r="H39" s="232">
        <v>0</v>
      </c>
      <c r="I39" s="232">
        <v>0</v>
      </c>
      <c r="J39" s="232">
        <v>0</v>
      </c>
      <c r="K39" s="232">
        <v>0</v>
      </c>
      <c r="L39" s="232">
        <v>0</v>
      </c>
      <c r="M39" s="232">
        <v>0</v>
      </c>
      <c r="N39" s="232">
        <v>0</v>
      </c>
      <c r="O39" s="232">
        <v>0</v>
      </c>
      <c r="P39" s="232">
        <v>0</v>
      </c>
      <c r="Q39" s="232">
        <v>0</v>
      </c>
      <c r="R39" s="232">
        <v>0</v>
      </c>
      <c r="S39" s="232">
        <v>0</v>
      </c>
      <c r="T39" s="232">
        <v>0</v>
      </c>
      <c r="U39" s="232">
        <v>0</v>
      </c>
      <c r="V39" s="232">
        <v>0</v>
      </c>
      <c r="W39" s="232">
        <v>0</v>
      </c>
      <c r="X39" s="136">
        <v>0</v>
      </c>
      <c r="Y39" s="136">
        <v>0</v>
      </c>
      <c r="Z39" s="136">
        <v>0</v>
      </c>
      <c r="AA39" s="136">
        <v>0</v>
      </c>
      <c r="AB39" s="136">
        <v>0</v>
      </c>
      <c r="AC39" s="136">
        <v>0</v>
      </c>
      <c r="AD39" s="136">
        <v>0</v>
      </c>
      <c r="AE39" s="136">
        <v>0</v>
      </c>
      <c r="AF39" s="136">
        <v>0</v>
      </c>
      <c r="AG39" s="136">
        <v>0</v>
      </c>
      <c r="AH39" s="136">
        <v>0</v>
      </c>
      <c r="AI39" s="136">
        <v>0</v>
      </c>
      <c r="AJ39" s="136">
        <v>0</v>
      </c>
      <c r="AK39" s="136">
        <v>0</v>
      </c>
      <c r="AL39" s="136">
        <v>0</v>
      </c>
      <c r="AM39" s="136">
        <v>0</v>
      </c>
      <c r="AN39" s="136">
        <v>0</v>
      </c>
      <c r="AO39" s="136">
        <v>0</v>
      </c>
      <c r="AP39" s="136"/>
      <c r="AQ39" s="136"/>
      <c r="AR39" s="136">
        <v>0</v>
      </c>
      <c r="AS39" s="136"/>
      <c r="AT39" s="136">
        <v>0</v>
      </c>
      <c r="AU39" s="136">
        <v>0</v>
      </c>
      <c r="AV39" s="136">
        <v>0</v>
      </c>
      <c r="AW39" s="136">
        <v>0</v>
      </c>
      <c r="AX39" s="136">
        <v>0</v>
      </c>
    </row>
    <row r="40" spans="1:50" s="233" customFormat="1" ht="25.5" hidden="1" outlineLevel="2" x14ac:dyDescent="0.2">
      <c r="A40" s="233" t="s">
        <v>339</v>
      </c>
      <c r="B40" s="233" t="s">
        <v>761</v>
      </c>
      <c r="C40" s="266"/>
      <c r="D40" s="231" t="str">
        <f>IF([1]RENAME!$H$3=1,B40,A40)</f>
        <v>Encargos financeiros de parcelamentos de tributos e títulos a pagar</v>
      </c>
      <c r="E40" s="232">
        <v>4</v>
      </c>
      <c r="F40" s="232">
        <v>0</v>
      </c>
      <c r="G40" s="232">
        <v>-4</v>
      </c>
      <c r="H40" s="232">
        <v>4811</v>
      </c>
      <c r="I40" s="232">
        <v>2283</v>
      </c>
      <c r="J40" s="232">
        <v>0</v>
      </c>
      <c r="K40" s="232">
        <f>6902-2283</f>
        <v>4619</v>
      </c>
      <c r="L40" s="232">
        <v>0</v>
      </c>
      <c r="M40" s="232">
        <v>0</v>
      </c>
      <c r="N40" s="232">
        <v>0</v>
      </c>
      <c r="O40" s="232">
        <v>0</v>
      </c>
      <c r="P40" s="232">
        <v>-3719</v>
      </c>
      <c r="Q40" s="232">
        <v>0</v>
      </c>
      <c r="R40" s="232">
        <v>0</v>
      </c>
      <c r="S40" s="232">
        <v>0</v>
      </c>
      <c r="T40" s="232">
        <v>0</v>
      </c>
      <c r="U40" s="232">
        <v>0</v>
      </c>
      <c r="V40" s="232">
        <v>0</v>
      </c>
      <c r="W40" s="232">
        <v>0</v>
      </c>
      <c r="X40" s="136">
        <v>0</v>
      </c>
      <c r="Y40" s="136">
        <v>0</v>
      </c>
      <c r="Z40" s="136">
        <v>0</v>
      </c>
      <c r="AA40" s="136">
        <v>0</v>
      </c>
      <c r="AB40" s="136">
        <v>0</v>
      </c>
      <c r="AC40" s="136">
        <v>0</v>
      </c>
      <c r="AD40" s="136">
        <v>0</v>
      </c>
      <c r="AE40" s="136">
        <v>0</v>
      </c>
      <c r="AF40" s="136">
        <v>0</v>
      </c>
      <c r="AG40" s="136">
        <v>0</v>
      </c>
      <c r="AH40" s="136">
        <f>+VLOOKUP($D40,'[3]DFC '!$A$7:$H$85,8,FALSE)-AC40</f>
        <v>0</v>
      </c>
      <c r="AI40" s="136">
        <f>+VLOOKUP($D40,'[3]DFC '!$A$7:$H$85,8,FALSE)-AD40</f>
        <v>0</v>
      </c>
      <c r="AJ40" s="136">
        <f>+VLOOKUP($D40,'[3]DFC '!$A$7:$H$85,8,FALSE)-AE40</f>
        <v>0</v>
      </c>
      <c r="AK40" s="136">
        <f>+VLOOKUP($D40,'[3]DFC '!$A$7:$H$85,8,FALSE)-AF40</f>
        <v>0</v>
      </c>
      <c r="AL40" s="136">
        <f>+VLOOKUP($D40,'[3]DFC '!$A$7:$H$85,8,FALSE)-AG40</f>
        <v>0</v>
      </c>
      <c r="AM40" s="136">
        <f>+VLOOKUP($D40,'[3]DFC '!$A$7:$H$85,8,FALSE)-AH40</f>
        <v>0</v>
      </c>
      <c r="AN40" s="136">
        <f>+VLOOKUP($D40,'[3]DFC '!$A$7:$H$85,8,FALSE)-AI40</f>
        <v>0</v>
      </c>
      <c r="AO40" s="136">
        <f>+VLOOKUP($D40,'[3]DFC '!$A$7:$H$85,8,FALSE)-AJ40</f>
        <v>0</v>
      </c>
      <c r="AP40" s="136"/>
      <c r="AQ40" s="136"/>
      <c r="AR40" s="136">
        <v>0</v>
      </c>
      <c r="AS40" s="136"/>
      <c r="AT40" s="136">
        <f>+VLOOKUP($D40,'[3]DFC '!$A$7:$H$85,8,FALSE)-AK40</f>
        <v>0</v>
      </c>
      <c r="AU40" s="136">
        <f>+VLOOKUP($D40,'[3]DFC '!$A$7:$H$85,8,FALSE)-AL40</f>
        <v>0</v>
      </c>
      <c r="AV40" s="136">
        <f>+VLOOKUP($D40,'[3]DFC '!$A$7:$H$85,8,FALSE)-AM40</f>
        <v>0</v>
      </c>
      <c r="AW40" s="136">
        <f>+VLOOKUP($D40,'[3]DFC '!$A$7:$H$85,8,FALSE)-AN40</f>
        <v>0</v>
      </c>
      <c r="AX40" s="136">
        <f>+VLOOKUP($D40,'[3]DFC '!$A$7:$H$85,8,FALSE)-AN40</f>
        <v>0</v>
      </c>
    </row>
    <row r="41" spans="1:50" s="233" customFormat="1" hidden="1" outlineLevel="2" x14ac:dyDescent="0.2">
      <c r="A41" s="233" t="s">
        <v>1344</v>
      </c>
      <c r="B41" s="233" t="s">
        <v>1247</v>
      </c>
      <c r="C41" s="266"/>
      <c r="D41" s="231" t="str">
        <f>IF([1]RENAME!$H$3=1,B41,A41)</f>
        <v xml:space="preserve">Perda na venda de investimento </v>
      </c>
      <c r="E41" s="232">
        <v>0</v>
      </c>
      <c r="F41" s="232">
        <v>0</v>
      </c>
      <c r="G41" s="232">
        <v>0</v>
      </c>
      <c r="H41" s="232">
        <v>0</v>
      </c>
      <c r="I41" s="232">
        <v>0</v>
      </c>
      <c r="J41" s="232">
        <v>0</v>
      </c>
      <c r="K41" s="232">
        <v>0</v>
      </c>
      <c r="L41" s="232">
        <v>0</v>
      </c>
      <c r="M41" s="232">
        <v>0</v>
      </c>
      <c r="N41" s="232">
        <v>0</v>
      </c>
      <c r="O41" s="232">
        <v>-471</v>
      </c>
      <c r="P41" s="232">
        <v>0</v>
      </c>
      <c r="Q41" s="232">
        <v>0</v>
      </c>
      <c r="R41" s="232">
        <v>0</v>
      </c>
      <c r="S41" s="232">
        <v>0</v>
      </c>
      <c r="T41" s="232">
        <v>0</v>
      </c>
      <c r="U41" s="232">
        <v>0</v>
      </c>
      <c r="V41" s="232">
        <v>0</v>
      </c>
      <c r="W41" s="232">
        <v>0</v>
      </c>
      <c r="X41" s="136">
        <v>0</v>
      </c>
      <c r="Y41" s="136">
        <v>0</v>
      </c>
      <c r="Z41" s="136">
        <v>0</v>
      </c>
      <c r="AA41" s="136">
        <v>0</v>
      </c>
      <c r="AB41" s="136">
        <v>0</v>
      </c>
      <c r="AC41" s="136">
        <v>0</v>
      </c>
      <c r="AD41" s="136">
        <v>0</v>
      </c>
      <c r="AE41" s="136">
        <v>0</v>
      </c>
      <c r="AF41" s="136">
        <v>0</v>
      </c>
      <c r="AG41" s="136">
        <v>0</v>
      </c>
      <c r="AH41" s="136">
        <v>0</v>
      </c>
      <c r="AI41" s="136">
        <v>0</v>
      </c>
      <c r="AJ41" s="136">
        <v>0</v>
      </c>
      <c r="AK41" s="136">
        <v>0</v>
      </c>
      <c r="AL41" s="136">
        <v>0</v>
      </c>
      <c r="AM41" s="136">
        <v>0</v>
      </c>
      <c r="AN41" s="136">
        <v>0</v>
      </c>
      <c r="AO41" s="136">
        <v>0</v>
      </c>
      <c r="AP41" s="136"/>
      <c r="AQ41" s="136"/>
      <c r="AR41" s="136">
        <v>0</v>
      </c>
      <c r="AS41" s="136"/>
      <c r="AT41" s="136">
        <v>0</v>
      </c>
      <c r="AU41" s="136">
        <v>0</v>
      </c>
      <c r="AV41" s="136">
        <v>0</v>
      </c>
      <c r="AW41" s="136">
        <v>0</v>
      </c>
      <c r="AX41" s="136">
        <v>0</v>
      </c>
    </row>
    <row r="42" spans="1:50" s="233" customFormat="1" hidden="1" outlineLevel="2" x14ac:dyDescent="0.2">
      <c r="A42" s="233" t="s">
        <v>338</v>
      </c>
      <c r="B42" s="233" t="s">
        <v>757</v>
      </c>
      <c r="C42" s="266"/>
      <c r="D42" s="231" t="str">
        <f>IF([1]RENAME!$H$3=1,B42,A42)</f>
        <v>Provisão (reversão) para perdas em ativos</v>
      </c>
      <c r="E42" s="232">
        <v>0</v>
      </c>
      <c r="F42" s="232">
        <v>0</v>
      </c>
      <c r="G42" s="232">
        <v>0</v>
      </c>
      <c r="H42" s="232">
        <v>0</v>
      </c>
      <c r="I42" s="232">
        <v>0</v>
      </c>
      <c r="J42" s="232">
        <v>0</v>
      </c>
      <c r="K42" s="232">
        <v>0</v>
      </c>
      <c r="L42" s="232">
        <v>0</v>
      </c>
      <c r="M42" s="232">
        <v>0</v>
      </c>
      <c r="N42" s="232">
        <v>223</v>
      </c>
      <c r="O42" s="232">
        <v>-223</v>
      </c>
      <c r="P42" s="232">
        <v>0</v>
      </c>
      <c r="Q42" s="232">
        <v>0</v>
      </c>
      <c r="R42" s="232">
        <v>0</v>
      </c>
      <c r="S42" s="232">
        <v>0</v>
      </c>
      <c r="T42" s="232">
        <v>0</v>
      </c>
      <c r="U42" s="232">
        <v>0</v>
      </c>
      <c r="V42" s="232">
        <v>0</v>
      </c>
      <c r="W42" s="232">
        <v>0</v>
      </c>
      <c r="X42" s="136">
        <v>0</v>
      </c>
      <c r="Y42" s="136">
        <v>0</v>
      </c>
      <c r="Z42" s="136">
        <v>0</v>
      </c>
      <c r="AA42" s="136">
        <v>0</v>
      </c>
      <c r="AB42" s="136">
        <v>0</v>
      </c>
      <c r="AC42" s="136">
        <v>0</v>
      </c>
      <c r="AD42" s="136">
        <v>0</v>
      </c>
      <c r="AE42" s="136">
        <v>0</v>
      </c>
      <c r="AF42" s="136">
        <v>0</v>
      </c>
      <c r="AG42" s="136">
        <v>0</v>
      </c>
      <c r="AH42" s="136">
        <f>+VLOOKUP($D42,'[3]DFC '!$A$7:$H$85,8,FALSE)-AC42</f>
        <v>0</v>
      </c>
      <c r="AI42" s="136">
        <f>+VLOOKUP($D42,'[3]DFC '!$A$7:$H$85,8,FALSE)-AD42</f>
        <v>0</v>
      </c>
      <c r="AJ42" s="136">
        <f>+VLOOKUP($D42,'[3]DFC '!$A$7:$H$85,8,FALSE)-AE42</f>
        <v>0</v>
      </c>
      <c r="AK42" s="136">
        <f>+VLOOKUP($D42,'[3]DFC '!$A$7:$H$85,8,FALSE)-AF42</f>
        <v>0</v>
      </c>
      <c r="AL42" s="136">
        <f>+VLOOKUP($D42,'[3]DFC '!$A$7:$H$85,8,FALSE)-AG42</f>
        <v>0</v>
      </c>
      <c r="AM42" s="136">
        <f>+VLOOKUP($D42,'[3]DFC '!$A$7:$H$85,8,FALSE)-AH42</f>
        <v>0</v>
      </c>
      <c r="AN42" s="136">
        <f>+VLOOKUP($D42,'[3]DFC '!$A$7:$H$85,8,FALSE)-AI42</f>
        <v>0</v>
      </c>
      <c r="AO42" s="136">
        <f>+VLOOKUP($D42,'[3]DFC '!$A$7:$H$85,8,FALSE)-AJ42</f>
        <v>0</v>
      </c>
      <c r="AP42" s="136"/>
      <c r="AQ42" s="136"/>
      <c r="AR42" s="136">
        <v>0</v>
      </c>
      <c r="AS42" s="136"/>
      <c r="AT42" s="136">
        <f>+VLOOKUP($D42,'[3]DFC '!$A$7:$H$85,8,FALSE)-AK42</f>
        <v>0</v>
      </c>
      <c r="AU42" s="136">
        <f>+VLOOKUP($D42,'[3]DFC '!$A$7:$H$85,8,FALSE)-AL42</f>
        <v>0</v>
      </c>
      <c r="AV42" s="136">
        <f>+VLOOKUP($D42,'[3]DFC '!$A$7:$H$85,8,FALSE)-AM42</f>
        <v>0</v>
      </c>
      <c r="AW42" s="136">
        <f>+VLOOKUP($D42,'[3]DFC '!$A$7:$H$85,8,FALSE)-AN42</f>
        <v>0</v>
      </c>
      <c r="AX42" s="136">
        <f>+VLOOKUP($D42,'[3]DFC '!$A$7:$H$85,8,FALSE)-AN42</f>
        <v>0</v>
      </c>
    </row>
    <row r="43" spans="1:50" s="233" customFormat="1" hidden="1" outlineLevel="2" x14ac:dyDescent="0.2">
      <c r="A43" s="233" t="s">
        <v>1267</v>
      </c>
      <c r="B43" s="233" t="s">
        <v>765</v>
      </c>
      <c r="C43" s="266"/>
      <c r="D43" s="231" t="str">
        <f>IF([1]RENAME!$H$3=1,B43,A43)</f>
        <v>Opções outorgadas</v>
      </c>
      <c r="E43" s="232">
        <v>110</v>
      </c>
      <c r="F43" s="232">
        <v>110</v>
      </c>
      <c r="G43" s="232">
        <v>-603</v>
      </c>
      <c r="H43" s="232">
        <v>-1730</v>
      </c>
      <c r="I43" s="232">
        <v>0</v>
      </c>
      <c r="J43" s="232">
        <v>-44</v>
      </c>
      <c r="K43" s="232">
        <v>0</v>
      </c>
      <c r="L43" s="232">
        <v>0</v>
      </c>
      <c r="M43" s="232">
        <v>0</v>
      </c>
      <c r="N43" s="232">
        <v>0</v>
      </c>
      <c r="O43" s="232">
        <v>0</v>
      </c>
      <c r="P43" s="232">
        <v>0</v>
      </c>
      <c r="Q43" s="232">
        <v>0</v>
      </c>
      <c r="R43" s="232">
        <v>0</v>
      </c>
      <c r="S43" s="232">
        <v>0</v>
      </c>
      <c r="T43" s="232">
        <v>0</v>
      </c>
      <c r="U43" s="232">
        <v>0</v>
      </c>
      <c r="V43" s="232">
        <v>0</v>
      </c>
      <c r="W43" s="232">
        <v>0</v>
      </c>
      <c r="X43" s="136">
        <v>0</v>
      </c>
      <c r="Y43" s="136">
        <v>0</v>
      </c>
      <c r="Z43" s="136">
        <v>0</v>
      </c>
      <c r="AA43" s="136">
        <v>0</v>
      </c>
      <c r="AB43" s="136">
        <v>0</v>
      </c>
      <c r="AC43" s="136">
        <v>0</v>
      </c>
      <c r="AD43" s="136">
        <v>0</v>
      </c>
      <c r="AE43" s="136">
        <v>0</v>
      </c>
      <c r="AF43" s="136">
        <v>0</v>
      </c>
      <c r="AG43" s="136">
        <v>0</v>
      </c>
      <c r="AH43" s="136">
        <v>0</v>
      </c>
      <c r="AI43" s="136">
        <v>0</v>
      </c>
      <c r="AJ43" s="136">
        <v>0</v>
      </c>
      <c r="AK43" s="136">
        <v>0</v>
      </c>
      <c r="AL43" s="136">
        <v>0</v>
      </c>
      <c r="AM43" s="136">
        <v>0</v>
      </c>
      <c r="AN43" s="136">
        <v>0</v>
      </c>
      <c r="AO43" s="136">
        <v>0</v>
      </c>
      <c r="AP43" s="136"/>
      <c r="AQ43" s="136"/>
      <c r="AR43" s="136">
        <v>0</v>
      </c>
      <c r="AS43" s="136"/>
      <c r="AT43" s="136">
        <v>0</v>
      </c>
      <c r="AU43" s="136">
        <v>0</v>
      </c>
      <c r="AV43" s="136">
        <v>0</v>
      </c>
      <c r="AW43" s="136">
        <v>0</v>
      </c>
      <c r="AX43" s="136">
        <v>0</v>
      </c>
    </row>
    <row r="44" spans="1:50" s="233" customFormat="1" hidden="1" outlineLevel="2" x14ac:dyDescent="0.2">
      <c r="A44" s="233" t="s">
        <v>338</v>
      </c>
      <c r="B44" s="233" t="s">
        <v>766</v>
      </c>
      <c r="C44" s="266"/>
      <c r="D44" s="231" t="str">
        <f>IF([1]RENAME!$H$3=1,B44,A44)</f>
        <v>Provisão (reversão) para perdas em ativos</v>
      </c>
      <c r="E44" s="232" t="s">
        <v>160</v>
      </c>
      <c r="F44" s="232" t="s">
        <v>160</v>
      </c>
      <c r="G44" s="232" t="s">
        <v>160</v>
      </c>
      <c r="H44" s="232" t="s">
        <v>160</v>
      </c>
      <c r="I44" s="232" t="s">
        <v>160</v>
      </c>
      <c r="J44" s="232" t="s">
        <v>160</v>
      </c>
      <c r="K44" s="232" t="s">
        <v>160</v>
      </c>
      <c r="L44" s="232" t="s">
        <v>160</v>
      </c>
      <c r="M44" s="232" t="s">
        <v>160</v>
      </c>
      <c r="N44" s="232" t="s">
        <v>160</v>
      </c>
      <c r="O44" s="232" t="s">
        <v>160</v>
      </c>
      <c r="P44" s="232" t="s">
        <v>160</v>
      </c>
      <c r="Q44" s="232">
        <v>0</v>
      </c>
      <c r="R44" s="232">
        <v>0</v>
      </c>
      <c r="S44" s="232">
        <v>0</v>
      </c>
      <c r="T44" s="232">
        <v>0</v>
      </c>
      <c r="U44" s="232">
        <v>0</v>
      </c>
      <c r="V44" s="232">
        <v>0</v>
      </c>
      <c r="W44" s="232">
        <v>0</v>
      </c>
      <c r="X44" s="136" t="s">
        <v>160</v>
      </c>
      <c r="Y44" s="136" t="s">
        <v>160</v>
      </c>
      <c r="Z44" s="136">
        <v>0</v>
      </c>
      <c r="AA44" s="136" t="s">
        <v>160</v>
      </c>
      <c r="AB44" s="136" t="s">
        <v>160</v>
      </c>
      <c r="AC44" s="136" t="s">
        <v>160</v>
      </c>
      <c r="AD44" s="136" t="s">
        <v>160</v>
      </c>
      <c r="AE44" s="136" t="s">
        <v>160</v>
      </c>
      <c r="AF44" s="136" t="s">
        <v>160</v>
      </c>
      <c r="AG44" s="136" t="s">
        <v>160</v>
      </c>
      <c r="AH44" s="136" t="s">
        <v>160</v>
      </c>
      <c r="AI44" s="136" t="s">
        <v>160</v>
      </c>
      <c r="AJ44" s="136" t="s">
        <v>160</v>
      </c>
      <c r="AK44" s="136" t="s">
        <v>160</v>
      </c>
      <c r="AL44" s="136" t="s">
        <v>160</v>
      </c>
      <c r="AM44" s="136" t="s">
        <v>160</v>
      </c>
      <c r="AN44" s="136" t="s">
        <v>160</v>
      </c>
      <c r="AO44" s="136" t="s">
        <v>160</v>
      </c>
      <c r="AP44" s="136"/>
      <c r="AQ44" s="136"/>
      <c r="AR44" s="136" t="s">
        <v>160</v>
      </c>
      <c r="AS44" s="136"/>
      <c r="AT44" s="136" t="s">
        <v>160</v>
      </c>
      <c r="AU44" s="136" t="s">
        <v>160</v>
      </c>
      <c r="AV44" s="136" t="s">
        <v>160</v>
      </c>
      <c r="AW44" s="136" t="s">
        <v>160</v>
      </c>
      <c r="AX44" s="136" t="s">
        <v>160</v>
      </c>
    </row>
    <row r="45" spans="1:50" collapsed="1" x14ac:dyDescent="0.2">
      <c r="A45" t="s">
        <v>342</v>
      </c>
      <c r="B45" t="s">
        <v>767</v>
      </c>
      <c r="D45" s="133" t="str">
        <f>IF([1]RENAME!$H$3=1,B45,A45)</f>
        <v>Despesas (receitas) que não afetam o fluxo de caixa</v>
      </c>
      <c r="E45" s="134">
        <f t="shared" ref="E45:AH45" si="36">SUM(E19:E44)</f>
        <v>21084</v>
      </c>
      <c r="F45" s="134">
        <f t="shared" si="36"/>
        <v>11282</v>
      </c>
      <c r="G45" s="134">
        <f t="shared" si="36"/>
        <v>31292.771509999999</v>
      </c>
      <c r="H45" s="134">
        <f t="shared" si="36"/>
        <v>32318.656905399999</v>
      </c>
      <c r="I45" s="134">
        <f t="shared" si="36"/>
        <v>24632</v>
      </c>
      <c r="J45" s="134">
        <f t="shared" si="36"/>
        <v>23743</v>
      </c>
      <c r="K45" s="134">
        <f t="shared" si="36"/>
        <v>28797.809110000002</v>
      </c>
      <c r="L45" s="134">
        <f t="shared" si="36"/>
        <v>31356.060149999998</v>
      </c>
      <c r="M45" s="134">
        <f t="shared" si="36"/>
        <v>20454.916000000001</v>
      </c>
      <c r="N45" s="134">
        <f t="shared" si="36"/>
        <v>28177.644100000001</v>
      </c>
      <c r="O45" s="134">
        <f t="shared" si="36"/>
        <v>35557.583459999994</v>
      </c>
      <c r="P45" s="134">
        <f t="shared" si="36"/>
        <v>-17212.345209999999</v>
      </c>
      <c r="Q45" s="134">
        <f t="shared" si="36"/>
        <v>28755</v>
      </c>
      <c r="R45" s="134">
        <f t="shared" si="36"/>
        <v>20278.126060000053</v>
      </c>
      <c r="S45" s="134">
        <f t="shared" si="36"/>
        <v>23586.733370000002</v>
      </c>
      <c r="T45" s="134">
        <f t="shared" si="36"/>
        <v>31918.21617</v>
      </c>
      <c r="U45" s="134">
        <f t="shared" si="36"/>
        <v>35941.739759999997</v>
      </c>
      <c r="V45" s="134">
        <f t="shared" si="36"/>
        <v>31601.942029999998</v>
      </c>
      <c r="W45" s="134">
        <f t="shared" si="36"/>
        <v>-26788.485550000005</v>
      </c>
      <c r="X45" s="134">
        <f t="shared" si="36"/>
        <v>32419.300579999999</v>
      </c>
      <c r="Y45" s="134">
        <f t="shared" si="36"/>
        <v>28775.968930000003</v>
      </c>
      <c r="Z45" s="134">
        <f t="shared" si="36"/>
        <v>13268.356110000001</v>
      </c>
      <c r="AA45" s="134">
        <f t="shared" si="36"/>
        <v>32325.130280000001</v>
      </c>
      <c r="AB45" s="134">
        <f t="shared" si="36"/>
        <v>29176.342360000002</v>
      </c>
      <c r="AC45" s="134">
        <f t="shared" si="36"/>
        <v>21667</v>
      </c>
      <c r="AD45" s="134">
        <f t="shared" si="36"/>
        <v>10496</v>
      </c>
      <c r="AE45" s="134">
        <f t="shared" si="36"/>
        <v>13088</v>
      </c>
      <c r="AF45" s="134">
        <f t="shared" si="36"/>
        <v>17722</v>
      </c>
      <c r="AG45" s="134">
        <f t="shared" si="36"/>
        <v>17759</v>
      </c>
      <c r="AH45" s="134">
        <f t="shared" si="36"/>
        <v>14448</v>
      </c>
      <c r="AI45" s="134">
        <f t="shared" ref="AI45:AT45" si="37">SUM(AI19:AI44)</f>
        <v>17257</v>
      </c>
      <c r="AJ45" s="134">
        <f t="shared" si="37"/>
        <v>6518</v>
      </c>
      <c r="AK45" s="134">
        <f t="shared" si="37"/>
        <v>11326</v>
      </c>
      <c r="AL45" s="134">
        <f t="shared" si="37"/>
        <v>18594</v>
      </c>
      <c r="AM45" s="134">
        <f t="shared" si="37"/>
        <v>12842</v>
      </c>
      <c r="AN45" s="134">
        <f t="shared" si="37"/>
        <v>17266</v>
      </c>
      <c r="AO45" s="134">
        <f t="shared" si="37"/>
        <v>16578</v>
      </c>
      <c r="AP45" s="134">
        <f t="shared" si="37"/>
        <v>7181</v>
      </c>
      <c r="AQ45" s="134">
        <f t="shared" si="37"/>
        <v>11313</v>
      </c>
      <c r="AR45" s="134">
        <f t="shared" si="37"/>
        <v>15869</v>
      </c>
      <c r="AS45" s="134">
        <f t="shared" si="37"/>
        <v>21388</v>
      </c>
      <c r="AT45" s="134">
        <f t="shared" si="37"/>
        <v>10193</v>
      </c>
      <c r="AU45" s="134">
        <f>SUM(AU19:AU44)</f>
        <v>12835</v>
      </c>
      <c r="AV45" s="134">
        <f>SUM(AV19:AV44)</f>
        <v>25321</v>
      </c>
      <c r="AW45" s="134">
        <f>SUM(AW19:AW44)</f>
        <v>21611</v>
      </c>
      <c r="AX45" s="134">
        <f>SUM(AX19:AX44)</f>
        <v>23084</v>
      </c>
    </row>
    <row r="46" spans="1:50" x14ac:dyDescent="0.2">
      <c r="A46" t="s">
        <v>36</v>
      </c>
      <c r="B46" t="s">
        <v>640</v>
      </c>
      <c r="C46" s="266" t="str">
        <f>IF([1]RENAME!$H$3=1,B46,A46)</f>
        <v>Contas a receber</v>
      </c>
      <c r="D46" s="221" t="str">
        <f>IF([1]RENAME!$H$3=1,B46,A46)</f>
        <v>Contas a receber</v>
      </c>
      <c r="E46" s="136">
        <v>66929</v>
      </c>
      <c r="F46" s="136">
        <v>-34459</v>
      </c>
      <c r="G46" s="136">
        <v>38406</v>
      </c>
      <c r="H46" s="136">
        <f>-6072-1.1534299999621</f>
        <v>-6073.1534299999621</v>
      </c>
      <c r="I46" s="136">
        <v>57721</v>
      </c>
      <c r="J46" s="136">
        <f>-9385+0.328629999979967</f>
        <v>-9384.67137000002</v>
      </c>
      <c r="K46" s="136">
        <v>12715</v>
      </c>
      <c r="L46" s="136">
        <v>-28573</v>
      </c>
      <c r="M46" s="136">
        <v>37956</v>
      </c>
      <c r="N46" s="136">
        <v>-7089</v>
      </c>
      <c r="O46" s="136">
        <v>-14113</v>
      </c>
      <c r="P46" s="136">
        <v>-33772</v>
      </c>
      <c r="Q46" s="136">
        <v>18432</v>
      </c>
      <c r="R46" s="136">
        <v>-25427</v>
      </c>
      <c r="S46" s="136">
        <v>-14881</v>
      </c>
      <c r="T46" s="136">
        <v>-37496</v>
      </c>
      <c r="U46" s="136">
        <v>23546</v>
      </c>
      <c r="V46" s="136">
        <v>-11781</v>
      </c>
      <c r="W46" s="136">
        <v>-7027.9344200001142</v>
      </c>
      <c r="X46" s="136">
        <v>-37575</v>
      </c>
      <c r="Y46" s="136">
        <v>52801</v>
      </c>
      <c r="Z46" s="136">
        <v>80939</v>
      </c>
      <c r="AA46" s="136">
        <v>-72384</v>
      </c>
      <c r="AB46" s="136">
        <v>-12387</v>
      </c>
      <c r="AC46" s="136">
        <v>42871</v>
      </c>
      <c r="AD46" s="136">
        <v>-28006</v>
      </c>
      <c r="AE46" s="136">
        <v>357</v>
      </c>
      <c r="AF46" s="136">
        <v>-106892</v>
      </c>
      <c r="AG46" s="136">
        <v>78857</v>
      </c>
      <c r="AH46" s="136">
        <v>-43097</v>
      </c>
      <c r="AI46" s="136">
        <v>-22593</v>
      </c>
      <c r="AJ46" s="136">
        <v>-24978</v>
      </c>
      <c r="AK46" s="136">
        <v>53735</v>
      </c>
      <c r="AL46" s="136">
        <v>-4576</v>
      </c>
      <c r="AM46" s="136">
        <v>-16959</v>
      </c>
      <c r="AN46" s="136">
        <v>-64789</v>
      </c>
      <c r="AO46" s="136">
        <v>51296</v>
      </c>
      <c r="AP46" s="136">
        <v>-48947</v>
      </c>
      <c r="AQ46" s="136">
        <v>-53222</v>
      </c>
      <c r="AR46" s="136">
        <v>-44717</v>
      </c>
      <c r="AS46" s="136">
        <v>108807</v>
      </c>
      <c r="AT46" s="136">
        <v>-37102</v>
      </c>
      <c r="AU46" s="136">
        <v>-51726</v>
      </c>
      <c r="AV46" s="136">
        <v>-23096</v>
      </c>
      <c r="AW46" s="136">
        <v>28979</v>
      </c>
      <c r="AX46" s="136">
        <f>(+VLOOKUP($D46,'[3]DFC '!$A$7:$H$85,8,FALSE))-AW46</f>
        <v>-114390</v>
      </c>
    </row>
    <row r="47" spans="1:50" x14ac:dyDescent="0.2">
      <c r="A47" t="s">
        <v>19</v>
      </c>
      <c r="B47" t="s">
        <v>768</v>
      </c>
      <c r="D47" s="135" t="str">
        <f>IF([1]RENAME!$H$3=1,B47,A47)</f>
        <v>Impostos a recuperar</v>
      </c>
      <c r="E47" s="136">
        <v>-1060.0000000000009</v>
      </c>
      <c r="F47" s="136">
        <v>-5834.9999999999991</v>
      </c>
      <c r="G47" s="136">
        <v>2528</v>
      </c>
      <c r="H47" s="136">
        <v>-5956</v>
      </c>
      <c r="I47" s="136">
        <v>3337</v>
      </c>
      <c r="J47" s="136">
        <v>2644</v>
      </c>
      <c r="K47" s="136">
        <v>825</v>
      </c>
      <c r="L47" s="136">
        <f>-3970-0.167470000014873</f>
        <v>-3970.1674700000149</v>
      </c>
      <c r="M47" s="136">
        <v>-2387</v>
      </c>
      <c r="N47" s="332">
        <v>-16288</v>
      </c>
      <c r="O47" s="136">
        <v>5716.9661399999986</v>
      </c>
      <c r="P47" s="136">
        <v>4131.0338600000014</v>
      </c>
      <c r="Q47" s="136">
        <v>13519</v>
      </c>
      <c r="R47" s="136">
        <v>5015</v>
      </c>
      <c r="S47" s="136">
        <v>-539</v>
      </c>
      <c r="T47" s="136">
        <v>-392</v>
      </c>
      <c r="U47" s="136">
        <v>-721</v>
      </c>
      <c r="V47" s="136">
        <v>-851</v>
      </c>
      <c r="W47" s="136">
        <v>449</v>
      </c>
      <c r="X47" s="136">
        <v>-265</v>
      </c>
      <c r="Y47" s="136">
        <v>10914</v>
      </c>
      <c r="Z47" s="136">
        <v>-376</v>
      </c>
      <c r="AA47" s="136">
        <v>10810</v>
      </c>
      <c r="AB47" s="136">
        <v>10777</v>
      </c>
      <c r="AC47" s="136">
        <v>2424</v>
      </c>
      <c r="AD47" s="136">
        <f>-22167+17956</f>
        <v>-4211</v>
      </c>
      <c r="AE47" s="136">
        <v>823</v>
      </c>
      <c r="AF47" s="136">
        <f>3987-SUM(AC47:AE47)</f>
        <v>4951</v>
      </c>
      <c r="AG47" s="136">
        <v>3119</v>
      </c>
      <c r="AH47" s="136">
        <v>9468</v>
      </c>
      <c r="AI47" s="136">
        <v>29264</v>
      </c>
      <c r="AJ47" s="136">
        <v>15980</v>
      </c>
      <c r="AK47" s="136">
        <v>13876</v>
      </c>
      <c r="AL47" s="136">
        <v>5332</v>
      </c>
      <c r="AM47" s="136">
        <v>18505</v>
      </c>
      <c r="AN47" s="136">
        <v>16682</v>
      </c>
      <c r="AO47" s="136">
        <v>11743</v>
      </c>
      <c r="AP47" s="136">
        <v>22211</v>
      </c>
      <c r="AQ47" s="136">
        <v>37291</v>
      </c>
      <c r="AR47" s="136">
        <v>32839</v>
      </c>
      <c r="AS47" s="136">
        <v>11009</v>
      </c>
      <c r="AT47" s="136">
        <v>23376</v>
      </c>
      <c r="AU47" s="136">
        <v>31612</v>
      </c>
      <c r="AV47" s="136">
        <v>-77492</v>
      </c>
      <c r="AW47" s="136">
        <v>5694</v>
      </c>
      <c r="AX47" s="136">
        <f>(+VLOOKUP($D47,'[3]DFC '!$A$7:$H$85,8,FALSE))-AW47</f>
        <v>-2165</v>
      </c>
    </row>
    <row r="48" spans="1:50" x14ac:dyDescent="0.2">
      <c r="A48" t="s">
        <v>27</v>
      </c>
      <c r="B48" t="s">
        <v>654</v>
      </c>
      <c r="C48" s="266" t="str">
        <f>IF([1]RENAME!$H$3=1,B48,A48)</f>
        <v>Depósitos judiciais</v>
      </c>
      <c r="D48" s="221" t="str">
        <f>IF([1]RENAME!$H$3=1,B48,A48)</f>
        <v>Depósitos judiciais</v>
      </c>
      <c r="E48" s="136">
        <v>-894</v>
      </c>
      <c r="F48" s="136">
        <v>-545</v>
      </c>
      <c r="G48" s="136">
        <f>-344+0.0798300000460586</f>
        <v>-343.92016999995394</v>
      </c>
      <c r="H48" s="136">
        <v>5617</v>
      </c>
      <c r="I48" s="136">
        <v>-329</v>
      </c>
      <c r="J48" s="136">
        <v>59</v>
      </c>
      <c r="K48" s="136">
        <v>550</v>
      </c>
      <c r="L48" s="136">
        <v>62</v>
      </c>
      <c r="M48" s="136">
        <v>994</v>
      </c>
      <c r="N48" s="136">
        <v>2594</v>
      </c>
      <c r="O48" s="136">
        <v>-6318.2797</v>
      </c>
      <c r="P48" s="136">
        <v>2055.2797</v>
      </c>
      <c r="Q48" s="136">
        <v>-419</v>
      </c>
      <c r="R48" s="136">
        <v>-730</v>
      </c>
      <c r="S48" s="136">
        <v>-412</v>
      </c>
      <c r="T48" s="136">
        <v>-369</v>
      </c>
      <c r="U48" s="136">
        <v>-467</v>
      </c>
      <c r="V48" s="136">
        <v>-745</v>
      </c>
      <c r="W48" s="136">
        <v>-2415</v>
      </c>
      <c r="X48" s="136">
        <v>-109</v>
      </c>
      <c r="Y48" s="136">
        <v>-595</v>
      </c>
      <c r="Z48" s="136">
        <v>216</v>
      </c>
      <c r="AA48" s="136">
        <v>-160</v>
      </c>
      <c r="AB48" s="136">
        <v>-381</v>
      </c>
      <c r="AC48" s="136">
        <v>-232</v>
      </c>
      <c r="AD48" s="136">
        <v>-26</v>
      </c>
      <c r="AE48" s="136">
        <v>104</v>
      </c>
      <c r="AF48" s="136">
        <v>-237</v>
      </c>
      <c r="AG48" s="136">
        <v>-1046</v>
      </c>
      <c r="AH48" s="136">
        <v>55</v>
      </c>
      <c r="AI48" s="136">
        <v>1251</v>
      </c>
      <c r="AJ48" s="136">
        <v>-246</v>
      </c>
      <c r="AK48" s="136">
        <v>-215</v>
      </c>
      <c r="AL48" s="136">
        <v>-48</v>
      </c>
      <c r="AM48" s="136">
        <v>-124</v>
      </c>
      <c r="AN48" s="136">
        <v>-636</v>
      </c>
      <c r="AO48" s="136">
        <v>-244</v>
      </c>
      <c r="AP48" s="136">
        <v>-1935</v>
      </c>
      <c r="AQ48" s="136">
        <v>-335</v>
      </c>
      <c r="AR48" s="136">
        <v>208</v>
      </c>
      <c r="AS48" s="136">
        <v>186</v>
      </c>
      <c r="AT48" s="136">
        <v>275</v>
      </c>
      <c r="AU48" s="136">
        <v>338</v>
      </c>
      <c r="AV48" s="136">
        <v>-423</v>
      </c>
      <c r="AW48" s="136">
        <v>-376</v>
      </c>
      <c r="AX48" s="136">
        <f>(+VLOOKUP($D48,'[3]DFC '!$A$7:$H$85,8,FALSE))-AW48</f>
        <v>-1115</v>
      </c>
    </row>
    <row r="49" spans="1:50" x14ac:dyDescent="0.2">
      <c r="A49" t="s">
        <v>343</v>
      </c>
      <c r="B49" t="s">
        <v>769</v>
      </c>
      <c r="D49" s="135" t="str">
        <f>IF([1]RENAME!$H$3=1,B49,A49)</f>
        <v>Demais ativos</v>
      </c>
      <c r="E49" s="136">
        <v>-4070</v>
      </c>
      <c r="F49" s="136">
        <v>724.00000000000023</v>
      </c>
      <c r="G49" s="136">
        <v>5157</v>
      </c>
      <c r="H49" s="136">
        <v>3711</v>
      </c>
      <c r="I49" s="136">
        <v>-2445</v>
      </c>
      <c r="J49" s="136">
        <v>6657</v>
      </c>
      <c r="K49" s="136">
        <v>2837</v>
      </c>
      <c r="L49" s="136">
        <v>3916</v>
      </c>
      <c r="M49" s="136">
        <v>-7186</v>
      </c>
      <c r="N49" s="136">
        <v>4139</v>
      </c>
      <c r="O49" s="332">
        <v>4963.43</v>
      </c>
      <c r="P49" s="136">
        <v>4310.0006700000267</v>
      </c>
      <c r="Q49" s="136">
        <v>-6925</v>
      </c>
      <c r="R49" s="136">
        <v>-664</v>
      </c>
      <c r="S49" s="136">
        <v>-403</v>
      </c>
      <c r="T49" s="136">
        <v>-1254</v>
      </c>
      <c r="U49" s="136">
        <v>-1059</v>
      </c>
      <c r="V49" s="136">
        <v>-328</v>
      </c>
      <c r="W49" s="332">
        <v>2539</v>
      </c>
      <c r="X49" s="136">
        <v>3581</v>
      </c>
      <c r="Y49" s="136">
        <v>-3414</v>
      </c>
      <c r="Z49" s="136">
        <v>-961</v>
      </c>
      <c r="AA49" s="136">
        <v>-1</v>
      </c>
      <c r="AB49" s="136">
        <v>1815</v>
      </c>
      <c r="AC49" s="136">
        <v>-4683</v>
      </c>
      <c r="AD49" s="136">
        <v>2467</v>
      </c>
      <c r="AE49" s="136">
        <v>797</v>
      </c>
      <c r="AF49" s="136">
        <v>-179</v>
      </c>
      <c r="AG49" s="136">
        <v>-950</v>
      </c>
      <c r="AH49" s="136">
        <v>27</v>
      </c>
      <c r="AI49" s="136">
        <v>-12816</v>
      </c>
      <c r="AJ49" s="136">
        <v>6066</v>
      </c>
      <c r="AK49" s="136">
        <v>660</v>
      </c>
      <c r="AL49" s="136">
        <v>1518</v>
      </c>
      <c r="AM49" s="136">
        <v>-1303</v>
      </c>
      <c r="AN49" s="136">
        <v>809</v>
      </c>
      <c r="AO49" s="136">
        <v>2116</v>
      </c>
      <c r="AP49" s="136">
        <v>-1449</v>
      </c>
      <c r="AQ49" s="136">
        <v>-3081</v>
      </c>
      <c r="AR49" s="136">
        <v>-2453</v>
      </c>
      <c r="AS49" s="136">
        <v>-4720</v>
      </c>
      <c r="AT49" s="136">
        <v>4019</v>
      </c>
      <c r="AU49" s="136">
        <v>-24618</v>
      </c>
      <c r="AV49" s="136">
        <v>290</v>
      </c>
      <c r="AW49" s="136">
        <v>2505</v>
      </c>
      <c r="AX49" s="136">
        <f>(+VLOOKUP($D49,'[3]DFC '!$A$7:$H$85,8,FALSE))-AW49</f>
        <v>-5986</v>
      </c>
    </row>
    <row r="50" spans="1:50" x14ac:dyDescent="0.2">
      <c r="A50" t="s">
        <v>164</v>
      </c>
      <c r="B50" t="s">
        <v>770</v>
      </c>
      <c r="D50" s="135" t="str">
        <f>IF([1]RENAME!$H$3=1,B50,A50)</f>
        <v>Fornecedores e fretes a pagar</v>
      </c>
      <c r="E50" s="136">
        <v>-3423</v>
      </c>
      <c r="F50" s="136">
        <v>-9275</v>
      </c>
      <c r="G50" s="136">
        <v>293</v>
      </c>
      <c r="H50" s="136">
        <v>5915</v>
      </c>
      <c r="I50" s="136">
        <v>-11500</v>
      </c>
      <c r="J50" s="136">
        <v>-3013</v>
      </c>
      <c r="K50" s="136">
        <f>1508-0.364409999976488</f>
        <v>1507.6355900000235</v>
      </c>
      <c r="L50" s="136">
        <v>10765</v>
      </c>
      <c r="M50" s="136">
        <f>-19975-1348-172.122</f>
        <v>-21495.121999999999</v>
      </c>
      <c r="N50" s="136">
        <f>46-1242-271.15-35.6</f>
        <v>-1502.75</v>
      </c>
      <c r="O50" s="136">
        <v>4221.6201199999996</v>
      </c>
      <c r="P50" s="136">
        <v>6471.2518799999998</v>
      </c>
      <c r="Q50" s="136">
        <v>-2459</v>
      </c>
      <c r="R50" s="136">
        <v>-5047</v>
      </c>
      <c r="S50" s="136">
        <v>3542</v>
      </c>
      <c r="T50" s="136">
        <v>7025</v>
      </c>
      <c r="U50" s="136">
        <v>-2031</v>
      </c>
      <c r="V50" s="136">
        <v>-1232</v>
      </c>
      <c r="W50" s="136">
        <v>-1019</v>
      </c>
      <c r="X50" s="136">
        <v>6599</v>
      </c>
      <c r="Y50" s="136">
        <v>-14917</v>
      </c>
      <c r="Z50" s="136">
        <v>-3851</v>
      </c>
      <c r="AA50" s="136">
        <v>11326</v>
      </c>
      <c r="AB50" s="136">
        <v>1666</v>
      </c>
      <c r="AC50" s="136">
        <v>-5557</v>
      </c>
      <c r="AD50" s="136">
        <v>4194</v>
      </c>
      <c r="AE50" s="136">
        <v>7429</v>
      </c>
      <c r="AF50" s="136">
        <v>9279</v>
      </c>
      <c r="AG50" s="136">
        <v>-7153</v>
      </c>
      <c r="AH50" s="136">
        <v>-8279</v>
      </c>
      <c r="AI50" s="136">
        <v>-4515</v>
      </c>
      <c r="AJ50" s="136">
        <v>6611</v>
      </c>
      <c r="AK50" s="136">
        <v>1484</v>
      </c>
      <c r="AL50" s="136">
        <v>-1237</v>
      </c>
      <c r="AM50" s="136">
        <v>5107</v>
      </c>
      <c r="AN50" s="136">
        <v>4401</v>
      </c>
      <c r="AO50" s="136">
        <v>-4058</v>
      </c>
      <c r="AP50" s="136">
        <v>10355</v>
      </c>
      <c r="AQ50" s="136">
        <v>-3860</v>
      </c>
      <c r="AR50" s="136">
        <v>9556</v>
      </c>
      <c r="AS50" s="136">
        <v>-13890</v>
      </c>
      <c r="AT50" s="136">
        <v>3222</v>
      </c>
      <c r="AU50" s="136">
        <v>6841</v>
      </c>
      <c r="AV50" s="136">
        <v>-2141</v>
      </c>
      <c r="AW50" s="136">
        <v>15042</v>
      </c>
      <c r="AX50" s="136">
        <f>(+VLOOKUP($D50,'[3]DFC '!$A$7:$H$85,8,FALSE))-AW50</f>
        <v>9389</v>
      </c>
    </row>
    <row r="51" spans="1:50" x14ac:dyDescent="0.2">
      <c r="A51" t="s">
        <v>20</v>
      </c>
      <c r="B51" t="s">
        <v>771</v>
      </c>
      <c r="D51" s="135" t="str">
        <f>IF([1]RENAME!$H$3=1,B51,A51)</f>
        <v>Salários e encargos sociais</v>
      </c>
      <c r="E51" s="136">
        <v>-1435</v>
      </c>
      <c r="F51" s="136">
        <v>-2526</v>
      </c>
      <c r="G51" s="136">
        <v>3275</v>
      </c>
      <c r="H51" s="136">
        <v>-1134</v>
      </c>
      <c r="I51" s="136">
        <v>-2625</v>
      </c>
      <c r="J51" s="136">
        <v>1245</v>
      </c>
      <c r="K51" s="136">
        <v>3295</v>
      </c>
      <c r="L51" s="136">
        <v>-4334</v>
      </c>
      <c r="M51" s="136">
        <v>173</v>
      </c>
      <c r="N51" s="136">
        <v>335</v>
      </c>
      <c r="O51" s="136">
        <v>4102.7799199999999</v>
      </c>
      <c r="P51" s="136">
        <v>-1991.7799199999999</v>
      </c>
      <c r="Q51" s="136">
        <v>-2702</v>
      </c>
      <c r="R51" s="136">
        <v>1628</v>
      </c>
      <c r="S51" s="136">
        <v>4050</v>
      </c>
      <c r="T51" s="136">
        <v>-2079</v>
      </c>
      <c r="U51" s="136">
        <v>-3663</v>
      </c>
      <c r="V51" s="136">
        <v>3670</v>
      </c>
      <c r="W51" s="136">
        <v>3894</v>
      </c>
      <c r="X51" s="136">
        <v>-1899</v>
      </c>
      <c r="Y51" s="136">
        <v>-4263</v>
      </c>
      <c r="Z51" s="136">
        <v>2867</v>
      </c>
      <c r="AA51" s="136">
        <v>1262</v>
      </c>
      <c r="AB51" s="136">
        <v>-5388</v>
      </c>
      <c r="AC51" s="136">
        <v>-2726</v>
      </c>
      <c r="AD51" s="136">
        <v>3727</v>
      </c>
      <c r="AE51" s="136">
        <v>3857</v>
      </c>
      <c r="AF51" s="136">
        <v>-1143</v>
      </c>
      <c r="AG51" s="136">
        <v>-4197</v>
      </c>
      <c r="AH51" s="136">
        <v>2589</v>
      </c>
      <c r="AI51" s="136">
        <v>4130</v>
      </c>
      <c r="AJ51" s="136">
        <v>-632</v>
      </c>
      <c r="AK51" s="136">
        <v>-3778</v>
      </c>
      <c r="AL51" s="136">
        <v>5054</v>
      </c>
      <c r="AM51" s="136">
        <v>4744</v>
      </c>
      <c r="AN51" s="136">
        <v>-2152</v>
      </c>
      <c r="AO51" s="136">
        <v>-5004</v>
      </c>
      <c r="AP51" s="136">
        <v>4905</v>
      </c>
      <c r="AQ51" s="136">
        <v>5729</v>
      </c>
      <c r="AR51" s="136">
        <v>-2429</v>
      </c>
      <c r="AS51" s="136">
        <v>-3947</v>
      </c>
      <c r="AT51" s="136">
        <v>8075</v>
      </c>
      <c r="AU51" s="136">
        <v>6636</v>
      </c>
      <c r="AV51" s="136">
        <v>-1660</v>
      </c>
      <c r="AW51" s="136">
        <v>-5155</v>
      </c>
      <c r="AX51" s="136">
        <f>(+VLOOKUP($D51,'[3]DFC '!$A$7:$H$85,8,FALSE))-AW51</f>
        <v>7996</v>
      </c>
    </row>
    <row r="52" spans="1:50" x14ac:dyDescent="0.2">
      <c r="A52" t="s">
        <v>25</v>
      </c>
      <c r="B52" t="s">
        <v>772</v>
      </c>
      <c r="D52" s="135" t="str">
        <f>IF([1]RENAME!$H$3=1,B52,A52)</f>
        <v>Partes relacionadas</v>
      </c>
      <c r="E52" s="136">
        <v>0</v>
      </c>
      <c r="F52" s="136">
        <v>11200</v>
      </c>
      <c r="G52" s="136">
        <v>6222</v>
      </c>
      <c r="H52" s="136">
        <v>-648</v>
      </c>
      <c r="I52" s="136">
        <v>1162</v>
      </c>
      <c r="J52" s="136">
        <v>162</v>
      </c>
      <c r="K52" s="136">
        <v>-5395</v>
      </c>
      <c r="L52" s="136">
        <v>265</v>
      </c>
      <c r="M52" s="136">
        <v>287</v>
      </c>
      <c r="N52" s="136">
        <v>-225</v>
      </c>
      <c r="O52" s="136">
        <v>-208</v>
      </c>
      <c r="P52" s="136">
        <v>-154</v>
      </c>
      <c r="Q52" s="136">
        <v>-565</v>
      </c>
      <c r="R52" s="136">
        <v>52</v>
      </c>
      <c r="S52" s="136">
        <v>0</v>
      </c>
      <c r="T52" s="136">
        <v>702</v>
      </c>
      <c r="U52" s="136">
        <v>-937</v>
      </c>
      <c r="V52" s="332">
        <v>13519</v>
      </c>
      <c r="W52" s="136">
        <v>1885</v>
      </c>
      <c r="X52" s="136">
        <v>-169</v>
      </c>
      <c r="Y52" s="136">
        <v>203</v>
      </c>
      <c r="Z52" s="136">
        <v>492</v>
      </c>
      <c r="AA52" s="136">
        <v>-125</v>
      </c>
      <c r="AB52" s="136">
        <v>-50</v>
      </c>
      <c r="AC52" s="136">
        <v>-84</v>
      </c>
      <c r="AD52" s="136">
        <v>100</v>
      </c>
      <c r="AE52" s="136">
        <v>415</v>
      </c>
      <c r="AF52" s="136">
        <v>-283</v>
      </c>
      <c r="AG52" s="136">
        <v>-36</v>
      </c>
      <c r="AH52" s="136">
        <v>64</v>
      </c>
      <c r="AI52" s="136">
        <v>27</v>
      </c>
      <c r="AJ52" s="136">
        <v>496</v>
      </c>
      <c r="AK52" s="136">
        <v>-73</v>
      </c>
      <c r="AL52" s="136">
        <v>-215</v>
      </c>
      <c r="AM52" s="136">
        <v>51</v>
      </c>
      <c r="AN52" s="136">
        <v>51</v>
      </c>
      <c r="AO52" s="136">
        <v>338</v>
      </c>
      <c r="AP52" s="136">
        <v>-318</v>
      </c>
      <c r="AQ52" s="136">
        <v>-617</v>
      </c>
      <c r="AR52" s="136">
        <v>282</v>
      </c>
      <c r="AS52" s="136">
        <v>-34</v>
      </c>
      <c r="AT52" s="136">
        <v>-71</v>
      </c>
      <c r="AU52" s="136">
        <v>6548</v>
      </c>
      <c r="AV52" s="136">
        <v>18</v>
      </c>
      <c r="AW52" s="136">
        <v>284</v>
      </c>
      <c r="AX52" s="136">
        <f>(+VLOOKUP($D52,'[3]DFC '!$A$7:$H$85,8,FALSE))-AW52</f>
        <v>-60</v>
      </c>
    </row>
    <row r="53" spans="1:50" x14ac:dyDescent="0.2">
      <c r="A53" t="s">
        <v>1268</v>
      </c>
      <c r="B53" t="s">
        <v>1269</v>
      </c>
      <c r="D53" s="135" t="str">
        <f>IF([1]RENAME!$H$3=1,B53,A53)</f>
        <v>Outras obrigações e tributos a recolher</v>
      </c>
      <c r="E53" s="136">
        <v>-13513</v>
      </c>
      <c r="F53" s="136">
        <v>2208.9999999999995</v>
      </c>
      <c r="G53" s="136">
        <v>-8236</v>
      </c>
      <c r="H53" s="136">
        <v>8964</v>
      </c>
      <c r="I53" s="136">
        <v>995</v>
      </c>
      <c r="J53" s="136">
        <v>-7865</v>
      </c>
      <c r="K53" s="136">
        <v>-3086</v>
      </c>
      <c r="L53" s="136">
        <v>3421</v>
      </c>
      <c r="M53" s="136">
        <v>1442</v>
      </c>
      <c r="N53" s="136">
        <v>-1976</v>
      </c>
      <c r="O53" s="136">
        <v>2616</v>
      </c>
      <c r="P53" s="136">
        <v>8107</v>
      </c>
      <c r="Q53" s="136">
        <v>-3378</v>
      </c>
      <c r="R53" s="136">
        <v>551</v>
      </c>
      <c r="S53" s="136">
        <v>3018</v>
      </c>
      <c r="T53" s="136">
        <v>5637</v>
      </c>
      <c r="U53" s="136">
        <f>-7809-1.14476999998442</f>
        <v>-7810.1447699999844</v>
      </c>
      <c r="V53" s="136">
        <v>1619</v>
      </c>
      <c r="W53" s="136">
        <v>7385.1447699999844</v>
      </c>
      <c r="X53" s="136">
        <v>-223</v>
      </c>
      <c r="Y53" s="136">
        <v>-5412</v>
      </c>
      <c r="Z53" s="136">
        <v>3024</v>
      </c>
      <c r="AA53" s="136">
        <v>994</v>
      </c>
      <c r="AB53" s="136">
        <v>-857</v>
      </c>
      <c r="AC53" s="136">
        <v>-4032</v>
      </c>
      <c r="AD53" s="136">
        <v>4616</v>
      </c>
      <c r="AE53" s="136">
        <v>-9445</v>
      </c>
      <c r="AF53" s="136">
        <v>5067</v>
      </c>
      <c r="AG53" s="136">
        <v>-6370</v>
      </c>
      <c r="AH53" s="136">
        <v>6119</v>
      </c>
      <c r="AI53" s="136">
        <v>4996</v>
      </c>
      <c r="AJ53" s="136">
        <v>8723</v>
      </c>
      <c r="AK53" s="136">
        <v>-6801</v>
      </c>
      <c r="AL53" s="136">
        <v>-1906</v>
      </c>
      <c r="AM53" s="136">
        <v>3114</v>
      </c>
      <c r="AN53" s="136">
        <v>10766</v>
      </c>
      <c r="AO53" s="136">
        <v>-8146</v>
      </c>
      <c r="AP53" s="136">
        <v>9128</v>
      </c>
      <c r="AQ53" s="136">
        <v>4947</v>
      </c>
      <c r="AR53" s="136">
        <v>8431</v>
      </c>
      <c r="AS53" s="136">
        <v>-12518</v>
      </c>
      <c r="AT53" s="136">
        <v>-1204</v>
      </c>
      <c r="AU53" s="136">
        <v>7933</v>
      </c>
      <c r="AV53" s="136">
        <v>96577</v>
      </c>
      <c r="AW53" s="136">
        <v>15165</v>
      </c>
      <c r="AX53" s="136">
        <f>(+VLOOKUP($D53,'[3]DFC '!$A$7:$H$85,8,FALSE))-AW53</f>
        <v>48679</v>
      </c>
    </row>
    <row r="54" spans="1:50" x14ac:dyDescent="0.2">
      <c r="A54" t="s">
        <v>345</v>
      </c>
      <c r="B54" t="s">
        <v>773</v>
      </c>
      <c r="D54" s="133" t="str">
        <f>IF([1]RENAME!$H$3=1,B54,A54)</f>
        <v>Variações nos ativos e passivos</v>
      </c>
      <c r="E54" s="134">
        <f t="shared" ref="E54:N54" si="38">SUM(E46:E53)</f>
        <v>42534</v>
      </c>
      <c r="F54" s="134">
        <f t="shared" si="38"/>
        <v>-38507</v>
      </c>
      <c r="G54" s="134">
        <f t="shared" si="38"/>
        <v>47301.079830000046</v>
      </c>
      <c r="H54" s="134">
        <f t="shared" si="38"/>
        <v>10395.846570000038</v>
      </c>
      <c r="I54" s="134">
        <f t="shared" si="38"/>
        <v>46316</v>
      </c>
      <c r="J54" s="134">
        <f t="shared" si="38"/>
        <v>-9495.67137000002</v>
      </c>
      <c r="K54" s="134">
        <f t="shared" si="38"/>
        <v>13248.635590000024</v>
      </c>
      <c r="L54" s="134">
        <f t="shared" si="38"/>
        <v>-18448.167470000015</v>
      </c>
      <c r="M54" s="134">
        <f t="shared" si="38"/>
        <v>9783.8780000000006</v>
      </c>
      <c r="N54" s="134">
        <f t="shared" si="38"/>
        <v>-20012.75</v>
      </c>
      <c r="O54" s="134">
        <f t="shared" ref="O54:T54" si="39">SUM(O46:O53)</f>
        <v>981.5164799999975</v>
      </c>
      <c r="P54" s="134">
        <f t="shared" si="39"/>
        <v>-10843.213809999972</v>
      </c>
      <c r="Q54" s="134">
        <f t="shared" si="39"/>
        <v>15503</v>
      </c>
      <c r="R54" s="134">
        <f t="shared" si="39"/>
        <v>-24622</v>
      </c>
      <c r="S54" s="134">
        <f t="shared" si="39"/>
        <v>-5625</v>
      </c>
      <c r="T54" s="134">
        <f t="shared" si="39"/>
        <v>-28226</v>
      </c>
      <c r="U54" s="134">
        <f t="shared" ref="U54:Z54" si="40">SUM(U46:U53)</f>
        <v>6857.8552300000156</v>
      </c>
      <c r="V54" s="134">
        <f t="shared" si="40"/>
        <v>3871</v>
      </c>
      <c r="W54" s="134">
        <f t="shared" si="40"/>
        <v>5690.2103499998702</v>
      </c>
      <c r="X54" s="134">
        <f t="shared" si="40"/>
        <v>-30060</v>
      </c>
      <c r="Y54" s="134">
        <f t="shared" si="40"/>
        <v>35317</v>
      </c>
      <c r="Z54" s="134">
        <f t="shared" si="40"/>
        <v>82350</v>
      </c>
      <c r="AA54" s="134">
        <f t="shared" ref="AA54:AH54" si="41">SUM(AA46:AA53)</f>
        <v>-48278</v>
      </c>
      <c r="AB54" s="134">
        <f t="shared" si="41"/>
        <v>-4805</v>
      </c>
      <c r="AC54" s="134">
        <f t="shared" si="41"/>
        <v>27981</v>
      </c>
      <c r="AD54" s="134">
        <f t="shared" si="41"/>
        <v>-17139</v>
      </c>
      <c r="AE54" s="134">
        <f t="shared" si="41"/>
        <v>4337</v>
      </c>
      <c r="AF54" s="134">
        <f t="shared" si="41"/>
        <v>-89437</v>
      </c>
      <c r="AG54" s="134">
        <f t="shared" si="41"/>
        <v>62224</v>
      </c>
      <c r="AH54" s="134">
        <f t="shared" si="41"/>
        <v>-33054</v>
      </c>
      <c r="AI54" s="134">
        <f>SUM(AI46:AI53)</f>
        <v>-256</v>
      </c>
      <c r="AJ54" s="134">
        <f>SUM(AJ46:AJ53)</f>
        <v>12020</v>
      </c>
      <c r="AK54" s="134">
        <f>SUM(AK46:AK53)</f>
        <v>58888</v>
      </c>
      <c r="AL54" s="134">
        <f>SUM(AL46:AL53)</f>
        <v>3922</v>
      </c>
      <c r="AM54" s="134">
        <v>13135</v>
      </c>
      <c r="AN54" s="134">
        <f t="shared" ref="AN54:AX54" si="42">SUM(AN46:AN53)</f>
        <v>-34868</v>
      </c>
      <c r="AO54" s="134">
        <f t="shared" si="42"/>
        <v>48041</v>
      </c>
      <c r="AP54" s="134">
        <f t="shared" si="42"/>
        <v>-6050</v>
      </c>
      <c r="AQ54" s="134">
        <f t="shared" si="42"/>
        <v>-13148</v>
      </c>
      <c r="AR54" s="134">
        <f t="shared" si="42"/>
        <v>1717</v>
      </c>
      <c r="AS54" s="134">
        <f t="shared" si="42"/>
        <v>84893</v>
      </c>
      <c r="AT54" s="134">
        <f t="shared" si="42"/>
        <v>590</v>
      </c>
      <c r="AU54" s="134">
        <f t="shared" si="42"/>
        <v>-16436</v>
      </c>
      <c r="AV54" s="134">
        <f t="shared" si="42"/>
        <v>-7927</v>
      </c>
      <c r="AW54" s="134">
        <f>SUM(AW46:AW53)</f>
        <v>62138</v>
      </c>
      <c r="AX54" s="134">
        <f t="shared" si="42"/>
        <v>-57652</v>
      </c>
    </row>
    <row r="55" spans="1:50" x14ac:dyDescent="0.2">
      <c r="A55" t="s">
        <v>578</v>
      </c>
      <c r="B55" t="s">
        <v>774</v>
      </c>
      <c r="D55" s="135" t="str">
        <f>IF([1]RENAME!$H$3=1,B55,A55)</f>
        <v>Juros pagos sobre empréstimos e financiamentos</v>
      </c>
      <c r="E55" s="136">
        <v>-1413.9999999999998</v>
      </c>
      <c r="F55" s="136">
        <v>-1113.0000000000002</v>
      </c>
      <c r="G55" s="136">
        <v>0</v>
      </c>
      <c r="H55" s="136">
        <v>-152</v>
      </c>
      <c r="I55" s="136">
        <v>-18</v>
      </c>
      <c r="J55" s="136">
        <v>-14</v>
      </c>
      <c r="K55" s="136">
        <v>-11</v>
      </c>
      <c r="L55" s="136">
        <v>-9</v>
      </c>
      <c r="M55" s="136">
        <v>-9</v>
      </c>
      <c r="N55" s="136">
        <v>-60</v>
      </c>
      <c r="O55" s="136">
        <v>-1181.0045452418799</v>
      </c>
      <c r="P55" s="136">
        <v>-1525.9954547581201</v>
      </c>
      <c r="Q55" s="136">
        <v>-914</v>
      </c>
      <c r="R55" s="136">
        <v>-1331</v>
      </c>
      <c r="S55" s="136">
        <v>-314</v>
      </c>
      <c r="T55" s="136">
        <v>-1514</v>
      </c>
      <c r="U55" s="136">
        <v>0</v>
      </c>
      <c r="V55" s="136">
        <v>-441</v>
      </c>
      <c r="W55" s="136">
        <v>-1112</v>
      </c>
      <c r="X55" s="136">
        <v>-276</v>
      </c>
      <c r="Y55" s="136">
        <v>-3987</v>
      </c>
      <c r="Z55" s="136">
        <v>-105</v>
      </c>
      <c r="AA55" s="136">
        <v>-853</v>
      </c>
      <c r="AB55" s="136">
        <v>-1580</v>
      </c>
      <c r="AC55" s="136">
        <v>-1534</v>
      </c>
      <c r="AD55" s="136">
        <v>-3913</v>
      </c>
      <c r="AE55" s="136">
        <v>-2005</v>
      </c>
      <c r="AF55" s="136">
        <v>-1991</v>
      </c>
      <c r="AG55" s="136">
        <v>-3593</v>
      </c>
      <c r="AH55" s="136">
        <v>-3159</v>
      </c>
      <c r="AI55" s="136">
        <v>-4543</v>
      </c>
      <c r="AJ55" s="136">
        <v>1</v>
      </c>
      <c r="AK55" s="136">
        <v>-5056</v>
      </c>
      <c r="AL55" s="136">
        <v>-2392</v>
      </c>
      <c r="AM55" s="136">
        <v>-4245</v>
      </c>
      <c r="AN55" s="136">
        <v>-2339</v>
      </c>
      <c r="AO55" s="136">
        <v>-3403</v>
      </c>
      <c r="AP55" s="136">
        <v>-2940</v>
      </c>
      <c r="AQ55" s="136">
        <v>-3509</v>
      </c>
      <c r="AR55" s="136">
        <v>-2869</v>
      </c>
      <c r="AS55" s="136">
        <v>-4738</v>
      </c>
      <c r="AT55" s="136">
        <v>-2040</v>
      </c>
      <c r="AU55" s="136">
        <v>-6181</v>
      </c>
      <c r="AV55" s="136">
        <v>-2309</v>
      </c>
      <c r="AW55" s="136">
        <v>-4379</v>
      </c>
      <c r="AX55" s="136">
        <f>(+VLOOKUP($D55,'[3]DFC '!$A$7:$H$85,8,FALSE))-AW55</f>
        <v>-2283</v>
      </c>
    </row>
    <row r="56" spans="1:50" x14ac:dyDescent="0.2">
      <c r="A56" t="s">
        <v>346</v>
      </c>
      <c r="B56" t="s">
        <v>775</v>
      </c>
      <c r="D56" s="135" t="str">
        <f>IF([1]RENAME!$H$3=1,B56,A56)</f>
        <v>Juros pagos sobre debêntures</v>
      </c>
      <c r="E56" s="136">
        <v>-12205.000000000002</v>
      </c>
      <c r="F56" s="136">
        <v>-10084.999999999998</v>
      </c>
      <c r="G56" s="136">
        <v>-13489</v>
      </c>
      <c r="H56" s="136">
        <v>-11747</v>
      </c>
      <c r="I56" s="136">
        <v>-14299</v>
      </c>
      <c r="J56" s="136">
        <v>-11453</v>
      </c>
      <c r="K56" s="136">
        <v>-13308</v>
      </c>
      <c r="L56" s="136">
        <v>-11673</v>
      </c>
      <c r="M56" s="136">
        <v>-13066</v>
      </c>
      <c r="N56" s="136">
        <v>-6758</v>
      </c>
      <c r="O56" s="136">
        <v>-9845.3321332100022</v>
      </c>
      <c r="P56" s="136">
        <v>257.33213321000221</v>
      </c>
      <c r="Q56" s="136">
        <f>-4725-0.041430000012042</f>
        <v>-4725.041430000012</v>
      </c>
      <c r="R56" s="136">
        <v>-3115</v>
      </c>
      <c r="S56" s="136">
        <v>-1712</v>
      </c>
      <c r="T56" s="136">
        <v>-2105</v>
      </c>
      <c r="U56" s="136">
        <v>-1703</v>
      </c>
      <c r="V56" s="136">
        <v>-2055</v>
      </c>
      <c r="W56" s="136">
        <v>0</v>
      </c>
      <c r="X56" s="136">
        <v>-1937</v>
      </c>
      <c r="Y56" s="136">
        <v>0</v>
      </c>
      <c r="Z56" s="136">
        <v>0</v>
      </c>
      <c r="AA56" s="136">
        <v>-1698</v>
      </c>
      <c r="AB56" s="136">
        <v>-364</v>
      </c>
      <c r="AC56" s="136">
        <v>0</v>
      </c>
      <c r="AD56" s="136">
        <v>-540</v>
      </c>
      <c r="AE56" s="136">
        <v>-204</v>
      </c>
      <c r="AF56" s="136">
        <v>0</v>
      </c>
      <c r="AG56" s="136">
        <v>0</v>
      </c>
      <c r="AH56" s="136">
        <v>0</v>
      </c>
      <c r="AI56" s="136">
        <v>0</v>
      </c>
      <c r="AJ56" s="136">
        <v>0</v>
      </c>
      <c r="AK56" s="136">
        <v>0</v>
      </c>
      <c r="AL56" s="136">
        <v>0</v>
      </c>
      <c r="AM56" s="136">
        <v>0</v>
      </c>
      <c r="AN56" s="136">
        <v>0</v>
      </c>
      <c r="AO56" s="136">
        <v>0</v>
      </c>
      <c r="AP56" s="136">
        <v>0</v>
      </c>
      <c r="AQ56" s="136">
        <v>0</v>
      </c>
      <c r="AR56" s="136">
        <v>0</v>
      </c>
      <c r="AS56" s="136">
        <v>0</v>
      </c>
      <c r="AT56" s="136">
        <v>0</v>
      </c>
      <c r="AU56" s="136">
        <v>0</v>
      </c>
      <c r="AV56" s="136">
        <v>0</v>
      </c>
      <c r="AW56" s="136">
        <v>0</v>
      </c>
      <c r="AX56" s="136">
        <f>(+VLOOKUP($D56,'[3]DFC '!$A$7:$H$85,8,FALSE))-AW56</f>
        <v>0</v>
      </c>
    </row>
    <row r="57" spans="1:50" x14ac:dyDescent="0.2">
      <c r="A57" t="s">
        <v>1776</v>
      </c>
      <c r="B57" t="s">
        <v>1449</v>
      </c>
      <c r="D57" s="135" t="str">
        <f>IF([1]RENAME!$H$3=1,B57,A57)</f>
        <v>Juros pagos sobre arrendamento</v>
      </c>
      <c r="E57" s="136">
        <v>0</v>
      </c>
      <c r="F57" s="136">
        <v>0</v>
      </c>
      <c r="G57" s="136">
        <v>0</v>
      </c>
      <c r="H57" s="136">
        <v>0</v>
      </c>
      <c r="I57" s="136">
        <v>0</v>
      </c>
      <c r="J57" s="136">
        <v>0</v>
      </c>
      <c r="K57" s="136">
        <v>0</v>
      </c>
      <c r="L57" s="136">
        <v>0</v>
      </c>
      <c r="M57" s="136">
        <v>0</v>
      </c>
      <c r="N57" s="136">
        <v>0</v>
      </c>
      <c r="O57" s="136">
        <v>0</v>
      </c>
      <c r="P57" s="136">
        <v>0</v>
      </c>
      <c r="Q57" s="136">
        <v>0</v>
      </c>
      <c r="R57" s="136">
        <v>0</v>
      </c>
      <c r="S57" s="136">
        <v>0</v>
      </c>
      <c r="T57" s="136">
        <v>0</v>
      </c>
      <c r="U57" s="136">
        <v>-766</v>
      </c>
      <c r="V57" s="136">
        <v>-1609</v>
      </c>
      <c r="W57" s="136">
        <v>-1624</v>
      </c>
      <c r="X57" s="136">
        <v>-2095</v>
      </c>
      <c r="Y57" s="136">
        <v>-1556</v>
      </c>
      <c r="Z57" s="136">
        <v>-1192</v>
      </c>
      <c r="AA57" s="136">
        <v>-1085</v>
      </c>
      <c r="AB57" s="136">
        <v>-1227</v>
      </c>
      <c r="AC57" s="136">
        <v>-1547</v>
      </c>
      <c r="AD57" s="136">
        <v>-1607</v>
      </c>
      <c r="AE57" s="136">
        <v>-1313</v>
      </c>
      <c r="AF57" s="136">
        <v>-1163</v>
      </c>
      <c r="AG57" s="136">
        <v>-1700</v>
      </c>
      <c r="AH57" s="136">
        <v>-1688</v>
      </c>
      <c r="AI57" s="136">
        <v>-1994</v>
      </c>
      <c r="AJ57" s="136">
        <v>-1641</v>
      </c>
      <c r="AK57" s="136">
        <v>-1768</v>
      </c>
      <c r="AL57" s="136">
        <v>-2470</v>
      </c>
      <c r="AM57" s="136">
        <v>-1865</v>
      </c>
      <c r="AN57" s="136">
        <v>-3194</v>
      </c>
      <c r="AO57" s="136">
        <v>-2421</v>
      </c>
      <c r="AP57" s="136">
        <v>-2305</v>
      </c>
      <c r="AQ57" s="136">
        <v>-2131</v>
      </c>
      <c r="AR57" s="136">
        <v>-1956</v>
      </c>
      <c r="AS57" s="136">
        <v>-3265</v>
      </c>
      <c r="AT57" s="136">
        <v>-3402</v>
      </c>
      <c r="AU57" s="136">
        <v>-3228</v>
      </c>
      <c r="AV57" s="136">
        <v>-3013</v>
      </c>
      <c r="AW57" s="136">
        <v>-2659</v>
      </c>
      <c r="AX57" s="136">
        <f>(+VLOOKUP($D57,'[3]DFC '!$A$7:$H$85,8,FALSE))-AW57</f>
        <v>-3024</v>
      </c>
    </row>
    <row r="58" spans="1:50" x14ac:dyDescent="0.2">
      <c r="A58" t="s">
        <v>1270</v>
      </c>
      <c r="B58" t="s">
        <v>777</v>
      </c>
      <c r="D58" s="135" t="str">
        <f>IF([1]RENAME!$H$3=1,B58,A58)</f>
        <v>Demandas judiciais pagas</v>
      </c>
      <c r="E58" s="136">
        <v>0</v>
      </c>
      <c r="F58" s="136">
        <v>0</v>
      </c>
      <c r="G58" s="136">
        <v>0</v>
      </c>
      <c r="H58" s="136">
        <v>0</v>
      </c>
      <c r="I58" s="136">
        <v>-2160</v>
      </c>
      <c r="J58" s="136">
        <v>-4223</v>
      </c>
      <c r="K58" s="136">
        <v>-2059</v>
      </c>
      <c r="L58" s="136">
        <v>-1087</v>
      </c>
      <c r="M58" s="136">
        <v>-505</v>
      </c>
      <c r="N58" s="136">
        <v>-4463.1788200000001</v>
      </c>
      <c r="O58" s="136">
        <v>-1336.2103999999999</v>
      </c>
      <c r="P58" s="136">
        <v>-3828.61078</v>
      </c>
      <c r="Q58" s="136">
        <v>-4564</v>
      </c>
      <c r="R58" s="136">
        <v>-2897</v>
      </c>
      <c r="S58" s="136">
        <v>-8197</v>
      </c>
      <c r="T58" s="136">
        <v>-7273</v>
      </c>
      <c r="U58" s="136">
        <v>-4570</v>
      </c>
      <c r="V58" s="136">
        <v>-4687</v>
      </c>
      <c r="W58" s="332">
        <v>-11365</v>
      </c>
      <c r="X58" s="136">
        <v>-6348</v>
      </c>
      <c r="Y58" s="136">
        <v>-3835</v>
      </c>
      <c r="Z58" s="136">
        <v>-4373</v>
      </c>
      <c r="AA58" s="136">
        <v>-3922</v>
      </c>
      <c r="AB58" s="136">
        <v>-4100</v>
      </c>
      <c r="AC58" s="136">
        <v>-1646</v>
      </c>
      <c r="AD58" s="136">
        <v>-1872</v>
      </c>
      <c r="AE58" s="136">
        <v>-5614</v>
      </c>
      <c r="AF58" s="136">
        <v>-1479</v>
      </c>
      <c r="AG58" s="136">
        <v>-995</v>
      </c>
      <c r="AH58" s="136">
        <v>-4017</v>
      </c>
      <c r="AI58" s="136">
        <v>-1321</v>
      </c>
      <c r="AJ58" s="136">
        <v>-3243</v>
      </c>
      <c r="AK58" s="136">
        <v>-263</v>
      </c>
      <c r="AL58" s="136">
        <v>-1959</v>
      </c>
      <c r="AM58" s="136">
        <v>-415</v>
      </c>
      <c r="AN58" s="136">
        <v>-136</v>
      </c>
      <c r="AO58" s="136">
        <v>-265</v>
      </c>
      <c r="AP58" s="136">
        <v>-9</v>
      </c>
      <c r="AQ58" s="136">
        <v>-1131</v>
      </c>
      <c r="AR58" s="136">
        <v>-6935</v>
      </c>
      <c r="AS58" s="136">
        <v>-130</v>
      </c>
      <c r="AT58" s="136">
        <v>-191</v>
      </c>
      <c r="AU58" s="136">
        <v>-1086</v>
      </c>
      <c r="AV58" s="136">
        <v>-1405</v>
      </c>
      <c r="AW58" s="136">
        <v>102</v>
      </c>
      <c r="AX58" s="136">
        <f>(+VLOOKUP($D58,'[3]DFC '!$A$7:$H$85,8,FALSE))-AW58</f>
        <v>-2544</v>
      </c>
    </row>
    <row r="59" spans="1:50" x14ac:dyDescent="0.2">
      <c r="A59" t="s">
        <v>348</v>
      </c>
      <c r="B59" t="s">
        <v>778</v>
      </c>
      <c r="D59" s="135" t="str">
        <f>IF([1]RENAME!$H$3=1,B59,A59)</f>
        <v>Imposto de renda e contribuição social pagos</v>
      </c>
      <c r="E59" s="136">
        <v>-3048</v>
      </c>
      <c r="F59" s="136">
        <v>-803.99999999999977</v>
      </c>
      <c r="G59" s="136">
        <v>-182</v>
      </c>
      <c r="H59" s="136">
        <v>-1068</v>
      </c>
      <c r="I59" s="136">
        <v>-1381</v>
      </c>
      <c r="J59" s="136">
        <v>-511</v>
      </c>
      <c r="K59" s="136">
        <v>-2133</v>
      </c>
      <c r="L59" s="136">
        <v>-5278</v>
      </c>
      <c r="M59" s="136">
        <v>-5384</v>
      </c>
      <c r="N59" s="136">
        <v>-2758</v>
      </c>
      <c r="O59" s="136">
        <v>-5916.4787699999979</v>
      </c>
      <c r="P59" s="136">
        <v>-8472.5212300000021</v>
      </c>
      <c r="Q59" s="136">
        <v>-726</v>
      </c>
      <c r="R59" s="136">
        <v>-4604</v>
      </c>
      <c r="S59" s="136">
        <v>-5836</v>
      </c>
      <c r="T59" s="136">
        <v>-15101</v>
      </c>
      <c r="U59" s="136">
        <v>-6747</v>
      </c>
      <c r="V59" s="136">
        <v>-7782</v>
      </c>
      <c r="W59" s="136">
        <v>-10570</v>
      </c>
      <c r="X59" s="136">
        <v>-10249</v>
      </c>
      <c r="Y59" s="136">
        <v>-992</v>
      </c>
      <c r="Z59" s="136">
        <v>-2016</v>
      </c>
      <c r="AA59" s="136">
        <v>-2895</v>
      </c>
      <c r="AB59" s="136">
        <v>-2134</v>
      </c>
      <c r="AC59" s="136">
        <v>-7159</v>
      </c>
      <c r="AD59" s="136">
        <v>-2858</v>
      </c>
      <c r="AE59" s="136">
        <v>-3905</v>
      </c>
      <c r="AF59" s="136">
        <v>-2649</v>
      </c>
      <c r="AG59" s="136">
        <v>-7118</v>
      </c>
      <c r="AH59" s="136">
        <v>-3179</v>
      </c>
      <c r="AI59" s="136">
        <v>-3054</v>
      </c>
      <c r="AJ59" s="136">
        <v>-7522</v>
      </c>
      <c r="AK59" s="136">
        <v>-10786</v>
      </c>
      <c r="AL59" s="136">
        <v>-9729</v>
      </c>
      <c r="AM59" s="136">
        <v>-8088</v>
      </c>
      <c r="AN59" s="136">
        <v>-11844</v>
      </c>
      <c r="AO59" s="136">
        <v>-11593</v>
      </c>
      <c r="AP59" s="136">
        <v>-9946</v>
      </c>
      <c r="AQ59" s="136">
        <v>-7277</v>
      </c>
      <c r="AR59" s="136">
        <v>-34728</v>
      </c>
      <c r="AS59" s="136">
        <v>-31604</v>
      </c>
      <c r="AT59" s="136">
        <v>-12710</v>
      </c>
      <c r="AU59" s="136">
        <v>-24060</v>
      </c>
      <c r="AV59" s="136">
        <v>-31194</v>
      </c>
      <c r="AW59" s="136">
        <v>-15164</v>
      </c>
      <c r="AX59" s="136">
        <f>(+VLOOKUP($D59,'[3]DFC '!$A$7:$H$85,8,FALSE))-AW59</f>
        <v>-18345</v>
      </c>
    </row>
    <row r="60" spans="1:50" s="233" customFormat="1" ht="25.5" hidden="1" outlineLevel="1" x14ac:dyDescent="0.2">
      <c r="A60" s="233" t="s">
        <v>579</v>
      </c>
      <c r="B60" s="233" t="s">
        <v>776</v>
      </c>
      <c r="C60" s="266"/>
      <c r="D60" s="231" t="str">
        <f>IF([1]RENAME!$H$3=1,B60,A60)</f>
        <v>Juros pagos sobre títulos a pagar e parcelamentos de tributos</v>
      </c>
      <c r="E60" s="232">
        <v>-17</v>
      </c>
      <c r="F60" s="232">
        <v>0</v>
      </c>
      <c r="G60" s="232">
        <v>17</v>
      </c>
      <c r="H60" s="232">
        <v>-315</v>
      </c>
      <c r="I60" s="232">
        <v>0</v>
      </c>
      <c r="J60" s="232">
        <v>0</v>
      </c>
      <c r="K60" s="232">
        <v>0</v>
      </c>
      <c r="L60" s="232">
        <v>0</v>
      </c>
      <c r="M60" s="232">
        <v>0</v>
      </c>
      <c r="N60" s="232">
        <v>0</v>
      </c>
      <c r="O60" s="232">
        <v>0</v>
      </c>
      <c r="P60" s="232">
        <v>-39</v>
      </c>
      <c r="Q60" s="232">
        <v>0</v>
      </c>
      <c r="R60" s="232">
        <v>0</v>
      </c>
      <c r="S60" s="232">
        <v>0</v>
      </c>
      <c r="T60" s="232">
        <v>0</v>
      </c>
      <c r="U60" s="232">
        <v>0</v>
      </c>
      <c r="V60" s="232"/>
      <c r="W60" s="232">
        <v>0</v>
      </c>
      <c r="X60" s="136">
        <v>0</v>
      </c>
      <c r="Y60" s="136">
        <v>0</v>
      </c>
      <c r="Z60" s="136">
        <v>0</v>
      </c>
      <c r="AA60" s="136">
        <v>0</v>
      </c>
      <c r="AB60" s="136">
        <v>0</v>
      </c>
      <c r="AC60" s="136">
        <v>0</v>
      </c>
      <c r="AD60" s="136">
        <v>0</v>
      </c>
      <c r="AE60" s="136">
        <v>0</v>
      </c>
      <c r="AF60" s="136">
        <v>0</v>
      </c>
      <c r="AG60" s="136">
        <v>0</v>
      </c>
      <c r="AH60" s="136">
        <v>0</v>
      </c>
      <c r="AI60" s="136">
        <v>0</v>
      </c>
      <c r="AJ60" s="136">
        <f>+VLOOKUP($D60,'[3]DFC '!$A$7:$H$85,8,FALSE)</f>
        <v>0</v>
      </c>
      <c r="AK60" s="136">
        <v>0</v>
      </c>
      <c r="AL60" s="136">
        <f>+VLOOKUP($D60,'[3]DFC '!$A$7:$H$85,8,FALSE)</f>
        <v>0</v>
      </c>
      <c r="AM60" s="136">
        <f>+VLOOKUP($D60,'[3]DFC '!$A$7:$H$85,8,FALSE)</f>
        <v>0</v>
      </c>
      <c r="AN60" s="136">
        <f>+VLOOKUP($D60,'[3]DFC '!$A$7:$H$85,8,FALSE)</f>
        <v>0</v>
      </c>
      <c r="AO60" s="136">
        <f>+VLOOKUP($D60,'[3]DFC '!$A$7:$H$85,8,FALSE)</f>
        <v>0</v>
      </c>
      <c r="AP60" s="136"/>
      <c r="AQ60" s="136"/>
      <c r="AR60" s="136">
        <v>0</v>
      </c>
      <c r="AS60" s="136">
        <v>0</v>
      </c>
      <c r="AT60" s="136">
        <f>+VLOOKUP($D60,'[3]DFC '!$A$7:$H$85,8,FALSE)</f>
        <v>0</v>
      </c>
      <c r="AU60" s="136">
        <f>+VLOOKUP($D60,'[3]DFC '!$A$7:$H$85,8,FALSE)</f>
        <v>0</v>
      </c>
      <c r="AV60" s="136">
        <f>+VLOOKUP($D60,'[3]DFC '!$A$7:$H$85,8,FALSE)</f>
        <v>0</v>
      </c>
      <c r="AW60" s="136">
        <f>+VLOOKUP($D60,'[3]DFC '!$A$7:$H$85,8,FALSE)</f>
        <v>0</v>
      </c>
      <c r="AX60" s="136">
        <f>+VLOOKUP($D60,'[3]DFC '!$A$7:$H$85,8,FALSE)</f>
        <v>0</v>
      </c>
    </row>
    <row r="61" spans="1:50" s="233" customFormat="1" hidden="1" outlineLevel="1" x14ac:dyDescent="0.2">
      <c r="A61" s="233" t="s">
        <v>355</v>
      </c>
      <c r="B61" s="233" t="s">
        <v>1265</v>
      </c>
      <c r="C61" s="266"/>
      <c r="D61" s="231" t="str">
        <f>IF([1]RENAME!$H$3=1,B61,A61)</f>
        <v>Pagamentos de títulos a pagar e tributos parcelados</v>
      </c>
      <c r="E61" s="232"/>
      <c r="F61" s="232"/>
      <c r="G61" s="232"/>
      <c r="H61" s="232"/>
      <c r="I61" s="232"/>
      <c r="J61" s="232"/>
      <c r="K61" s="232"/>
      <c r="L61" s="232"/>
      <c r="M61" s="232"/>
      <c r="N61" s="232"/>
      <c r="O61" s="232"/>
      <c r="P61" s="232">
        <v>-756</v>
      </c>
      <c r="Q61" s="232">
        <v>0</v>
      </c>
      <c r="R61" s="232">
        <v>0</v>
      </c>
      <c r="S61" s="232">
        <v>0</v>
      </c>
      <c r="T61" s="232">
        <v>0</v>
      </c>
      <c r="U61" s="232">
        <v>0</v>
      </c>
      <c r="V61" s="232"/>
      <c r="W61" s="232">
        <v>0</v>
      </c>
      <c r="X61" s="136">
        <v>0</v>
      </c>
      <c r="Y61" s="136">
        <v>0</v>
      </c>
      <c r="Z61" s="136">
        <v>0</v>
      </c>
      <c r="AA61" s="136">
        <v>0</v>
      </c>
      <c r="AB61" s="136">
        <v>0</v>
      </c>
      <c r="AC61" s="136">
        <v>0</v>
      </c>
      <c r="AD61" s="136">
        <v>0</v>
      </c>
      <c r="AE61" s="136">
        <v>0</v>
      </c>
      <c r="AF61" s="136">
        <v>0</v>
      </c>
      <c r="AG61" s="136">
        <v>0</v>
      </c>
      <c r="AH61" s="136">
        <v>0</v>
      </c>
      <c r="AI61" s="136">
        <v>0</v>
      </c>
      <c r="AJ61" s="136">
        <f>+VLOOKUP($D61,'[3]DFC '!$A$7:$H$85,8,FALSE)</f>
        <v>0</v>
      </c>
      <c r="AK61" s="136">
        <v>0</v>
      </c>
      <c r="AL61" s="136">
        <f>+VLOOKUP($D61,'[3]DFC '!$A$7:$H$85,8,FALSE)</f>
        <v>0</v>
      </c>
      <c r="AM61" s="136">
        <f>+VLOOKUP($D61,'[3]DFC '!$A$7:$H$85,8,FALSE)</f>
        <v>0</v>
      </c>
      <c r="AN61" s="136">
        <f>+VLOOKUP($D61,'[3]DFC '!$A$7:$H$85,8,FALSE)</f>
        <v>0</v>
      </c>
      <c r="AO61" s="136">
        <f>+VLOOKUP($D61,'[3]DFC '!$A$7:$H$85,8,FALSE)</f>
        <v>0</v>
      </c>
      <c r="AP61" s="136"/>
      <c r="AQ61" s="136"/>
      <c r="AR61" s="136">
        <v>0</v>
      </c>
      <c r="AS61" s="136">
        <v>0</v>
      </c>
      <c r="AT61" s="136">
        <f>+VLOOKUP($D61,'[3]DFC '!$A$7:$H$85,8,FALSE)</f>
        <v>0</v>
      </c>
      <c r="AU61" s="136">
        <f>+VLOOKUP($D61,'[3]DFC '!$A$7:$H$85,8,FALSE)</f>
        <v>0</v>
      </c>
      <c r="AV61" s="136">
        <f>+VLOOKUP($D61,'[3]DFC '!$A$7:$H$85,8,FALSE)</f>
        <v>0</v>
      </c>
      <c r="AW61" s="136">
        <f>+VLOOKUP($D61,'[3]DFC '!$A$7:$H$85,8,FALSE)</f>
        <v>0</v>
      </c>
      <c r="AX61" s="136">
        <f>+VLOOKUP($D61,'[3]DFC '!$A$7:$H$85,8,FALSE)</f>
        <v>0</v>
      </c>
    </row>
    <row r="62" spans="1:50" s="233" customFormat="1" hidden="1" outlineLevel="1" x14ac:dyDescent="0.2">
      <c r="A62" s="233" t="s">
        <v>347</v>
      </c>
      <c r="B62" s="233" t="s">
        <v>347</v>
      </c>
      <c r="C62" s="266"/>
      <c r="D62" s="231" t="str">
        <f>IF([1]RENAME!$H$3=1,B62,A62)</f>
        <v>Juros recebidos sobre aplicações financerias</v>
      </c>
      <c r="E62" s="232">
        <v>0</v>
      </c>
      <c r="F62" s="232">
        <v>0</v>
      </c>
      <c r="G62" s="232">
        <v>0</v>
      </c>
      <c r="H62" s="232">
        <v>0</v>
      </c>
      <c r="I62" s="232">
        <v>0</v>
      </c>
      <c r="J62" s="232">
        <v>0</v>
      </c>
      <c r="K62" s="232">
        <v>0</v>
      </c>
      <c r="L62" s="232">
        <v>0</v>
      </c>
      <c r="M62" s="232">
        <v>0</v>
      </c>
      <c r="N62" s="232">
        <v>0</v>
      </c>
      <c r="O62" s="232">
        <v>0</v>
      </c>
      <c r="P62" s="232">
        <v>0</v>
      </c>
      <c r="Q62" s="232" t="s">
        <v>160</v>
      </c>
      <c r="R62" s="232" t="s">
        <v>160</v>
      </c>
      <c r="S62" s="232" t="s">
        <v>160</v>
      </c>
      <c r="T62" s="232" t="s">
        <v>160</v>
      </c>
      <c r="U62" s="232">
        <v>0</v>
      </c>
      <c r="V62" s="232"/>
      <c r="W62" s="232">
        <v>0</v>
      </c>
      <c r="X62" s="136">
        <v>0</v>
      </c>
      <c r="Y62" s="136">
        <v>0</v>
      </c>
      <c r="Z62" s="136">
        <v>0</v>
      </c>
      <c r="AA62" s="136">
        <v>0</v>
      </c>
      <c r="AB62" s="136">
        <v>0</v>
      </c>
      <c r="AC62" s="136">
        <v>0</v>
      </c>
      <c r="AD62" s="136">
        <v>0</v>
      </c>
      <c r="AE62" s="136">
        <v>0</v>
      </c>
      <c r="AF62" s="136">
        <v>0</v>
      </c>
      <c r="AG62" s="136">
        <v>0</v>
      </c>
      <c r="AH62" s="136">
        <v>0</v>
      </c>
      <c r="AI62" s="136">
        <v>0</v>
      </c>
      <c r="AJ62" s="136">
        <v>0</v>
      </c>
      <c r="AK62" s="136">
        <v>0</v>
      </c>
      <c r="AL62" s="136">
        <v>0</v>
      </c>
      <c r="AM62" s="136">
        <v>0</v>
      </c>
      <c r="AN62" s="136">
        <v>0</v>
      </c>
      <c r="AO62" s="136">
        <v>0</v>
      </c>
      <c r="AP62" s="136"/>
      <c r="AQ62" s="136"/>
      <c r="AR62" s="136">
        <v>0</v>
      </c>
      <c r="AS62" s="136">
        <v>0</v>
      </c>
      <c r="AT62" s="136">
        <v>0</v>
      </c>
      <c r="AU62" s="136">
        <v>0</v>
      </c>
      <c r="AV62" s="136">
        <v>0</v>
      </c>
      <c r="AW62" s="136">
        <v>0</v>
      </c>
      <c r="AX62" s="136">
        <v>0</v>
      </c>
    </row>
    <row r="63" spans="1:50" ht="25.5" collapsed="1" x14ac:dyDescent="0.2">
      <c r="A63" t="s">
        <v>349</v>
      </c>
      <c r="B63" t="s">
        <v>779</v>
      </c>
      <c r="D63" s="133" t="str">
        <f>IF([1]RENAME!$H$3=1,B63,A63)</f>
        <v>(A) Caixa líquido proveniente das atividades operacionais</v>
      </c>
      <c r="E63" s="134">
        <f t="shared" ref="E63:AH63" si="43">SUM(E55:E62,E54,E45,E18)</f>
        <v>54433.999999999971</v>
      </c>
      <c r="F63" s="134">
        <f t="shared" si="43"/>
        <v>-38044</v>
      </c>
      <c r="G63" s="134">
        <f t="shared" si="43"/>
        <v>70041.174780000001</v>
      </c>
      <c r="H63" s="134">
        <f t="shared" si="43"/>
        <v>25579</v>
      </c>
      <c r="I63" s="134">
        <f t="shared" si="43"/>
        <v>51186.999720000022</v>
      </c>
      <c r="J63" s="134">
        <f t="shared" si="43"/>
        <v>-2641.9999999999982</v>
      </c>
      <c r="K63" s="134">
        <f t="shared" si="43"/>
        <v>28377</v>
      </c>
      <c r="L63" s="134">
        <f t="shared" si="43"/>
        <v>7437.0000000000018</v>
      </c>
      <c r="M63" s="134">
        <f t="shared" si="43"/>
        <v>16727.027199999993</v>
      </c>
      <c r="N63" s="134">
        <f t="shared" si="43"/>
        <v>18182.445259999968</v>
      </c>
      <c r="O63" s="134">
        <f t="shared" si="43"/>
        <v>33546.934711548151</v>
      </c>
      <c r="P63" s="134">
        <f t="shared" si="43"/>
        <v>16545.937288451845</v>
      </c>
      <c r="Q63" s="134">
        <f t="shared" si="43"/>
        <v>47325</v>
      </c>
      <c r="R63" s="134">
        <f t="shared" si="43"/>
        <v>11895</v>
      </c>
      <c r="S63" s="134">
        <f t="shared" si="43"/>
        <v>33009.324519999936</v>
      </c>
      <c r="T63" s="134">
        <f t="shared" si="43"/>
        <v>12660.218080000042</v>
      </c>
      <c r="U63" s="134">
        <f t="shared" si="43"/>
        <v>55636</v>
      </c>
      <c r="V63" s="134">
        <f t="shared" si="43"/>
        <v>51412.371810000062</v>
      </c>
      <c r="W63" s="134">
        <f t="shared" si="43"/>
        <v>45622.193179999958</v>
      </c>
      <c r="X63" s="134">
        <f t="shared" si="43"/>
        <v>24899.259119999992</v>
      </c>
      <c r="Y63" s="134">
        <f t="shared" si="43"/>
        <v>73009.393389999968</v>
      </c>
      <c r="Z63" s="134">
        <f t="shared" si="43"/>
        <v>83569.515780000002</v>
      </c>
      <c r="AA63" s="134">
        <f t="shared" si="43"/>
        <v>3533.416119999958</v>
      </c>
      <c r="AB63" s="134">
        <f t="shared" si="43"/>
        <v>43612.838950000027</v>
      </c>
      <c r="AC63" s="134">
        <f t="shared" si="43"/>
        <v>57920.245349999932</v>
      </c>
      <c r="AD63" s="134">
        <f t="shared" si="43"/>
        <v>6722.9608511999832</v>
      </c>
      <c r="AE63" s="134">
        <f t="shared" si="43"/>
        <v>38576.960199999994</v>
      </c>
      <c r="AF63" s="134">
        <f t="shared" si="43"/>
        <v>-49718.516980000059</v>
      </c>
      <c r="AG63" s="134">
        <f t="shared" si="43"/>
        <v>85359.709109999967</v>
      </c>
      <c r="AH63" s="134">
        <f t="shared" si="43"/>
        <v>-68.3009444250456</v>
      </c>
      <c r="AI63" s="134">
        <f>SUM(AI55:AI62,AI54,AI45,AI18)</f>
        <v>59558.003068400016</v>
      </c>
      <c r="AJ63" s="134">
        <f>SUM(AJ55:AJ62,AJ54,AJ45,AJ18)</f>
        <v>62965.361847199965</v>
      </c>
      <c r="AK63" s="134">
        <v>87055.848997799796</v>
      </c>
      <c r="AL63" s="134">
        <f t="shared" ref="AL63:AT63" si="44">SUM(AL55:AL62,AL54,AL45,AL18)</f>
        <v>45822.318640000201</v>
      </c>
      <c r="AM63" s="134">
        <f t="shared" si="44"/>
        <v>67676.701230000093</v>
      </c>
      <c r="AN63" s="134">
        <f t="shared" si="44"/>
        <v>15905.691510000186</v>
      </c>
      <c r="AO63" s="134">
        <f t="shared" si="44"/>
        <v>84452.066839999767</v>
      </c>
      <c r="AP63" s="134">
        <f t="shared" si="44"/>
        <v>49445.657680000062</v>
      </c>
      <c r="AQ63" s="134">
        <f t="shared" si="44"/>
        <v>68562.687500000116</v>
      </c>
      <c r="AR63" s="134">
        <f t="shared" si="44"/>
        <v>56234.962249699864</v>
      </c>
      <c r="AS63" s="134">
        <f>SUM(AS55:AS62,AS54,AS45,AS18)</f>
        <v>110278.68429999988</v>
      </c>
      <c r="AT63" s="134">
        <f t="shared" si="44"/>
        <v>59558.508879999805</v>
      </c>
      <c r="AU63" s="134">
        <f>SUM(AU55:AU62,AU54,AU45,AU18)</f>
        <v>41734.991030000063</v>
      </c>
      <c r="AV63" s="134">
        <f>SUM(AV55:AV62,AV54,AV45,AV18)</f>
        <v>31691.377919999795</v>
      </c>
      <c r="AW63" s="134">
        <f>SUM(AW55:AW62,AW54,AW45,AW18)</f>
        <v>100433.89612000008</v>
      </c>
      <c r="AX63" s="134">
        <f>SUM(AX55:AX62,AX54,AX45,AX18)</f>
        <v>22349.685519999752</v>
      </c>
    </row>
    <row r="64" spans="1:50" x14ac:dyDescent="0.2">
      <c r="A64" t="s">
        <v>1271</v>
      </c>
      <c r="B64" t="s">
        <v>780</v>
      </c>
      <c r="D64" s="135" t="str">
        <f>IF([1]RENAME!$H$3=1,B64,A64)</f>
        <v>Dividendos recebidos</v>
      </c>
      <c r="E64" s="136">
        <v>0</v>
      </c>
      <c r="F64" s="136">
        <v>0</v>
      </c>
      <c r="G64" s="136">
        <v>1244</v>
      </c>
      <c r="H64" s="136">
        <v>0</v>
      </c>
      <c r="I64" s="136">
        <v>0</v>
      </c>
      <c r="J64" s="136">
        <v>0</v>
      </c>
      <c r="K64" s="136">
        <v>0</v>
      </c>
      <c r="L64" s="136">
        <v>0</v>
      </c>
      <c r="M64" s="136">
        <v>0</v>
      </c>
      <c r="N64" s="136">
        <v>735</v>
      </c>
      <c r="O64" s="136">
        <v>0</v>
      </c>
      <c r="P64" s="136">
        <v>1</v>
      </c>
      <c r="Q64" s="136">
        <v>0</v>
      </c>
      <c r="R64" s="136">
        <v>244</v>
      </c>
      <c r="S64" s="136">
        <v>0</v>
      </c>
      <c r="T64" s="136">
        <v>0</v>
      </c>
      <c r="U64" s="136">
        <v>0</v>
      </c>
      <c r="V64" s="136">
        <v>267</v>
      </c>
      <c r="W64" s="136">
        <v>0</v>
      </c>
      <c r="X64" s="136">
        <v>0</v>
      </c>
      <c r="Y64" s="136">
        <v>0</v>
      </c>
      <c r="Z64" s="136">
        <v>1567</v>
      </c>
      <c r="AA64" s="136">
        <v>3775</v>
      </c>
      <c r="AB64" s="136">
        <v>2000</v>
      </c>
      <c r="AC64" s="136">
        <v>0</v>
      </c>
      <c r="AD64" s="136">
        <v>1684</v>
      </c>
      <c r="AE64" s="136">
        <v>2754</v>
      </c>
      <c r="AF64" s="136">
        <v>2150</v>
      </c>
      <c r="AG64" s="136">
        <v>1144</v>
      </c>
      <c r="AH64" s="136">
        <v>2195</v>
      </c>
      <c r="AI64" s="136">
        <v>2043</v>
      </c>
      <c r="AJ64" s="136">
        <v>1300</v>
      </c>
      <c r="AK64" s="136">
        <v>2100</v>
      </c>
      <c r="AL64" s="136">
        <v>3102</v>
      </c>
      <c r="AM64" s="136">
        <v>4000</v>
      </c>
      <c r="AN64" s="136">
        <v>5500</v>
      </c>
      <c r="AO64" s="136">
        <v>0</v>
      </c>
      <c r="AP64" s="136">
        <v>3181</v>
      </c>
      <c r="AQ64" s="136">
        <v>17473</v>
      </c>
      <c r="AR64" s="136">
        <v>6500</v>
      </c>
      <c r="AS64" s="136">
        <v>0</v>
      </c>
      <c r="AT64" s="136">
        <v>5526</v>
      </c>
      <c r="AU64" s="136">
        <v>4750</v>
      </c>
      <c r="AV64" s="136">
        <v>14351</v>
      </c>
      <c r="AW64" s="136">
        <v>0</v>
      </c>
      <c r="AX64" s="136">
        <f>(+VLOOKUP($D64,'[3]DFC '!$A$7:$H$85,8,FALSE))-AW64</f>
        <v>0</v>
      </c>
    </row>
    <row r="65" spans="1:50" x14ac:dyDescent="0.2">
      <c r="A65" t="s">
        <v>1272</v>
      </c>
      <c r="B65" t="s">
        <v>781</v>
      </c>
      <c r="C65" s="266" t="str">
        <f>IF([1]RENAME!$H$3=1,B65,A65)</f>
        <v>Aquisição de intangível</v>
      </c>
      <c r="D65" s="221" t="str">
        <f>IF([1]RENAME!$H$3=1,B65,A65)</f>
        <v>Aquisição de intangível</v>
      </c>
      <c r="E65" s="136">
        <v>-93</v>
      </c>
      <c r="F65" s="136">
        <v>-357</v>
      </c>
      <c r="G65" s="136">
        <v>-245</v>
      </c>
      <c r="H65" s="136">
        <v>-160</v>
      </c>
      <c r="I65" s="136">
        <v>-323</v>
      </c>
      <c r="J65" s="136">
        <v>-908</v>
      </c>
      <c r="K65" s="136">
        <v>-311</v>
      </c>
      <c r="L65" s="136">
        <v>-318</v>
      </c>
      <c r="M65" s="136">
        <f>-1244+172.122</f>
        <v>-1071.8779999999999</v>
      </c>
      <c r="N65" s="136">
        <f>-878+271.15</f>
        <v>-606.85</v>
      </c>
      <c r="O65" s="136">
        <v>-1173.2957699999997</v>
      </c>
      <c r="P65" s="136">
        <v>-1315.9762300000004</v>
      </c>
      <c r="Q65" s="136">
        <v>-1150</v>
      </c>
      <c r="R65" s="136">
        <v>-611</v>
      </c>
      <c r="S65" s="136">
        <v>-1486</v>
      </c>
      <c r="T65" s="136">
        <v>-2053</v>
      </c>
      <c r="U65" s="136">
        <v>-1700</v>
      </c>
      <c r="V65" s="136">
        <v>-820</v>
      </c>
      <c r="W65" s="136">
        <v>-797</v>
      </c>
      <c r="X65" s="136">
        <v>-1068</v>
      </c>
      <c r="Y65" s="136">
        <v>-1749</v>
      </c>
      <c r="Z65" s="136">
        <v>-898</v>
      </c>
      <c r="AA65" s="136">
        <v>-682</v>
      </c>
      <c r="AB65" s="136">
        <v>-696</v>
      </c>
      <c r="AC65" s="136">
        <v>-1546</v>
      </c>
      <c r="AD65" s="136">
        <v>-1234</v>
      </c>
      <c r="AE65" s="136">
        <v>-822</v>
      </c>
      <c r="AF65" s="136">
        <v>-1674</v>
      </c>
      <c r="AG65" s="136">
        <v>-2418</v>
      </c>
      <c r="AH65" s="136">
        <v>-288</v>
      </c>
      <c r="AI65" s="136">
        <v>-1354</v>
      </c>
      <c r="AJ65" s="136">
        <v>-3676</v>
      </c>
      <c r="AK65" s="136">
        <v>-2964</v>
      </c>
      <c r="AL65" s="136">
        <v>-1225</v>
      </c>
      <c r="AM65" s="136">
        <v>-1124</v>
      </c>
      <c r="AN65" s="136">
        <v>-1714</v>
      </c>
      <c r="AO65" s="136">
        <v>-2419</v>
      </c>
      <c r="AP65" s="136">
        <v>-4085</v>
      </c>
      <c r="AQ65" s="136">
        <v>-2779</v>
      </c>
      <c r="AR65" s="136">
        <v>-6459</v>
      </c>
      <c r="AS65" s="136">
        <v>-5299</v>
      </c>
      <c r="AT65" s="136">
        <v>-2647</v>
      </c>
      <c r="AU65" s="136">
        <v>-2181</v>
      </c>
      <c r="AV65" s="136">
        <v>-4743</v>
      </c>
      <c r="AW65" s="136">
        <v>-4622</v>
      </c>
      <c r="AX65" s="136">
        <f>(+VLOOKUP($D65,'[3]DFC '!$A$7:$H$85,8,FALSE))-AW65</f>
        <v>-2141</v>
      </c>
    </row>
    <row r="66" spans="1:50" x14ac:dyDescent="0.2">
      <c r="A66" t="s">
        <v>1273</v>
      </c>
      <c r="B66" t="s">
        <v>782</v>
      </c>
      <c r="C66" s="266" t="str">
        <f>IF([1]RENAME!$H$3=1,B66,A66)</f>
        <v>Aquisições de bens do ativo imobilizado</v>
      </c>
      <c r="D66" s="221" t="str">
        <f>IF([1]RENAME!$H$3=1,B66,A66)</f>
        <v>Aquisições de bens do ativo imobilizado</v>
      </c>
      <c r="E66" s="136">
        <v>-11562</v>
      </c>
      <c r="F66" s="136">
        <v>-17719</v>
      </c>
      <c r="G66" s="136">
        <v>-24267</v>
      </c>
      <c r="H66" s="136">
        <v>-14930</v>
      </c>
      <c r="I66" s="136">
        <v>-10505</v>
      </c>
      <c r="J66" s="136">
        <v>-10336</v>
      </c>
      <c r="K66" s="136">
        <v>-3993</v>
      </c>
      <c r="L66" s="136">
        <v>-6302</v>
      </c>
      <c r="M66" s="136">
        <f>-5576+1348-0.149199999985285</f>
        <v>-4228.1491999999853</v>
      </c>
      <c r="N66" s="136">
        <f>-7554+1242</f>
        <v>-6312</v>
      </c>
      <c r="O66" s="136">
        <v>-5403.7243500000004</v>
      </c>
      <c r="P66" s="136">
        <v>-4069.2756499999996</v>
      </c>
      <c r="Q66" s="136">
        <v>-1986</v>
      </c>
      <c r="R66" s="136">
        <v>-3180</v>
      </c>
      <c r="S66" s="136">
        <f>-13652+0.675480000063544</f>
        <v>-13651.324519999936</v>
      </c>
      <c r="T66" s="136">
        <f>-9115-0.218080000042391</f>
        <v>-9115.2180800000424</v>
      </c>
      <c r="U66" s="136">
        <v>-7654</v>
      </c>
      <c r="V66" s="136">
        <f>-13949+0.628189999937604</f>
        <v>-13948.371810000062</v>
      </c>
      <c r="W66" s="136">
        <v>-2690.6281899999376</v>
      </c>
      <c r="X66" s="136">
        <v>-10230</v>
      </c>
      <c r="Y66" s="136">
        <v>-3786</v>
      </c>
      <c r="Z66" s="136">
        <v>-3636</v>
      </c>
      <c r="AA66" s="136">
        <v>-4041</v>
      </c>
      <c r="AB66" s="136">
        <v>-2463</v>
      </c>
      <c r="AC66" s="136">
        <v>-3267</v>
      </c>
      <c r="AD66" s="136">
        <v>-7236</v>
      </c>
      <c r="AE66" s="136">
        <v>-8816</v>
      </c>
      <c r="AF66" s="136">
        <v>-3989</v>
      </c>
      <c r="AG66" s="136">
        <v>-3373</v>
      </c>
      <c r="AH66" s="136">
        <v>-8971</v>
      </c>
      <c r="AI66" s="136">
        <v>-5800</v>
      </c>
      <c r="AJ66" s="136">
        <v>-4221</v>
      </c>
      <c r="AK66" s="136">
        <v>-16486</v>
      </c>
      <c r="AL66" s="136">
        <v>-3437</v>
      </c>
      <c r="AM66" s="136">
        <v>-8617</v>
      </c>
      <c r="AN66" s="136">
        <v>-7127</v>
      </c>
      <c r="AO66" s="136">
        <v>-13613</v>
      </c>
      <c r="AP66" s="136">
        <v>-9281</v>
      </c>
      <c r="AQ66" s="136">
        <v>-4122</v>
      </c>
      <c r="AR66" s="136">
        <v>-14012</v>
      </c>
      <c r="AS66" s="136">
        <v>-5117</v>
      </c>
      <c r="AT66" s="136">
        <v>-7695</v>
      </c>
      <c r="AU66" s="136">
        <v>-16440</v>
      </c>
      <c r="AV66" s="136">
        <v>-39613</v>
      </c>
      <c r="AW66" s="136">
        <v>-16072</v>
      </c>
      <c r="AX66" s="136">
        <f>(+VLOOKUP($D66,'[3]DFC '!$A$7:$H$85,8,FALSE))-AW66</f>
        <v>-11980</v>
      </c>
    </row>
    <row r="67" spans="1:50" ht="25.5" x14ac:dyDescent="0.2">
      <c r="A67" t="s">
        <v>2291</v>
      </c>
      <c r="B67" t="s">
        <v>2292</v>
      </c>
      <c r="D67" s="135" t="str">
        <f>IF([1]RENAME!$H$3=1,B67,A67)</f>
        <v>Caixa e equivalentes de caixa - Buskar-me Logística e Tecnologia S.A.</v>
      </c>
      <c r="E67" s="136">
        <v>0</v>
      </c>
      <c r="F67" s="136">
        <v>0</v>
      </c>
      <c r="G67" s="136">
        <v>0</v>
      </c>
      <c r="H67" s="136">
        <v>0</v>
      </c>
      <c r="I67" s="136">
        <v>0</v>
      </c>
      <c r="J67" s="136">
        <v>0</v>
      </c>
      <c r="K67" s="136">
        <v>0</v>
      </c>
      <c r="L67" s="136">
        <v>0</v>
      </c>
      <c r="M67" s="136">
        <v>0</v>
      </c>
      <c r="N67" s="136">
        <v>0</v>
      </c>
      <c r="O67" s="136">
        <v>0</v>
      </c>
      <c r="P67" s="136">
        <v>0</v>
      </c>
      <c r="Q67" s="136">
        <v>0</v>
      </c>
      <c r="R67" s="136">
        <v>0</v>
      </c>
      <c r="S67" s="136">
        <v>0</v>
      </c>
      <c r="T67" s="136">
        <v>0</v>
      </c>
      <c r="U67" s="136">
        <v>0</v>
      </c>
      <c r="V67" s="136">
        <v>0</v>
      </c>
      <c r="W67" s="136">
        <v>0</v>
      </c>
      <c r="X67" s="136">
        <v>0</v>
      </c>
      <c r="Y67" s="136">
        <v>0</v>
      </c>
      <c r="Z67" s="136">
        <v>0</v>
      </c>
      <c r="AA67" s="136">
        <v>0</v>
      </c>
      <c r="AB67" s="136">
        <v>0</v>
      </c>
      <c r="AC67" s="136">
        <v>0</v>
      </c>
      <c r="AD67" s="136">
        <v>0</v>
      </c>
      <c r="AE67" s="136">
        <v>0</v>
      </c>
      <c r="AF67" s="136">
        <v>0</v>
      </c>
      <c r="AG67" s="136">
        <v>0</v>
      </c>
      <c r="AH67" s="136">
        <v>0</v>
      </c>
      <c r="AI67" s="136">
        <v>0</v>
      </c>
      <c r="AJ67" s="136">
        <v>0</v>
      </c>
      <c r="AK67" s="136">
        <v>0</v>
      </c>
      <c r="AL67" s="136">
        <v>0</v>
      </c>
      <c r="AM67" s="136">
        <v>0</v>
      </c>
      <c r="AN67" s="136">
        <v>0</v>
      </c>
      <c r="AO67" s="136">
        <v>0</v>
      </c>
      <c r="AP67" s="136">
        <v>0</v>
      </c>
      <c r="AQ67" s="136">
        <v>0</v>
      </c>
      <c r="AR67" s="136">
        <v>0</v>
      </c>
      <c r="AS67" s="136">
        <v>0</v>
      </c>
      <c r="AT67" s="136">
        <v>0</v>
      </c>
      <c r="AU67" s="136">
        <v>-9381</v>
      </c>
      <c r="AV67" s="136">
        <v>0</v>
      </c>
      <c r="AW67" s="136">
        <v>0</v>
      </c>
      <c r="AX67" s="136">
        <f>(+VLOOKUP($D67,'[3]DFC '!$A$7:$H$85,8,FALSE))-AW67</f>
        <v>0</v>
      </c>
    </row>
    <row r="68" spans="1:50" x14ac:dyDescent="0.2">
      <c r="A68" t="s">
        <v>352</v>
      </c>
      <c r="B68" t="s">
        <v>783</v>
      </c>
      <c r="D68" s="135" t="str">
        <f>IF([1]RENAME!$H$3=1,B68,A68)</f>
        <v xml:space="preserve">Recebimento pela venda de bens </v>
      </c>
      <c r="E68" s="136">
        <v>615</v>
      </c>
      <c r="F68" s="136">
        <v>383</v>
      </c>
      <c r="G68" s="136">
        <v>609</v>
      </c>
      <c r="H68" s="136">
        <v>298</v>
      </c>
      <c r="I68" s="136">
        <v>787</v>
      </c>
      <c r="J68" s="136">
        <v>722</v>
      </c>
      <c r="K68" s="136">
        <v>436</v>
      </c>
      <c r="L68" s="136">
        <v>387</v>
      </c>
      <c r="M68" s="136">
        <v>3</v>
      </c>
      <c r="N68" s="136">
        <f>114+35.6</f>
        <v>149.6</v>
      </c>
      <c r="O68" s="136">
        <v>156.97</v>
      </c>
      <c r="P68" s="136">
        <v>306.42999999999995</v>
      </c>
      <c r="Q68" s="136">
        <v>0</v>
      </c>
      <c r="R68" s="136">
        <v>351</v>
      </c>
      <c r="S68" s="136">
        <v>2</v>
      </c>
      <c r="T68" s="136">
        <v>25</v>
      </c>
      <c r="U68" s="136">
        <v>360</v>
      </c>
      <c r="V68" s="136">
        <v>49</v>
      </c>
      <c r="W68" s="136">
        <v>143</v>
      </c>
      <c r="X68" s="136">
        <v>896</v>
      </c>
      <c r="Y68" s="136">
        <v>45</v>
      </c>
      <c r="Z68" s="136">
        <v>37</v>
      </c>
      <c r="AA68" s="136">
        <v>17</v>
      </c>
      <c r="AB68" s="136">
        <v>449</v>
      </c>
      <c r="AC68" s="136">
        <v>353</v>
      </c>
      <c r="AD68" s="136">
        <v>213</v>
      </c>
      <c r="AE68" s="136">
        <v>182</v>
      </c>
      <c r="AF68" s="136">
        <v>83</v>
      </c>
      <c r="AG68" s="136">
        <v>0</v>
      </c>
      <c r="AH68" s="136">
        <v>410</v>
      </c>
      <c r="AI68" s="136">
        <v>309</v>
      </c>
      <c r="AJ68" s="136">
        <v>-97</v>
      </c>
      <c r="AK68" s="136">
        <v>182</v>
      </c>
      <c r="AL68" s="136">
        <v>0</v>
      </c>
      <c r="AM68" s="136">
        <v>440</v>
      </c>
      <c r="AN68" s="136">
        <v>713</v>
      </c>
      <c r="AO68" s="136">
        <v>597</v>
      </c>
      <c r="AP68" s="136">
        <v>472</v>
      </c>
      <c r="AQ68" s="136">
        <v>690</v>
      </c>
      <c r="AR68" s="136">
        <v>1053</v>
      </c>
      <c r="AS68" s="136">
        <v>-61</v>
      </c>
      <c r="AT68" s="136">
        <v>889</v>
      </c>
      <c r="AU68" s="136">
        <v>364</v>
      </c>
      <c r="AV68" s="136">
        <v>240</v>
      </c>
      <c r="AW68" s="136">
        <v>131</v>
      </c>
      <c r="AX68" s="136">
        <f>(+VLOOKUP($D68,'[3]DFC '!$A$7:$H$85,8,FALSE))-AW68</f>
        <v>171</v>
      </c>
    </row>
    <row r="69" spans="1:50" x14ac:dyDescent="0.2">
      <c r="A69" t="s">
        <v>2212</v>
      </c>
      <c r="B69" t="s">
        <v>2213</v>
      </c>
      <c r="D69" s="135" t="str">
        <f>IF([1]RENAME!$H$3=1,B69,A69)</f>
        <v>Aquisição/Aumento de capital em controladas</v>
      </c>
      <c r="E69" s="136">
        <v>0</v>
      </c>
      <c r="F69" s="136">
        <v>0</v>
      </c>
      <c r="G69" s="136">
        <v>0</v>
      </c>
      <c r="H69" s="136">
        <v>0</v>
      </c>
      <c r="I69" s="136">
        <v>0</v>
      </c>
      <c r="J69" s="136">
        <v>0</v>
      </c>
      <c r="K69" s="136">
        <v>0</v>
      </c>
      <c r="L69" s="136">
        <v>0</v>
      </c>
      <c r="M69" s="136">
        <v>0</v>
      </c>
      <c r="N69" s="136">
        <v>0</v>
      </c>
      <c r="O69" s="136">
        <v>0</v>
      </c>
      <c r="P69" s="136">
        <v>0</v>
      </c>
      <c r="Q69" s="136">
        <v>0</v>
      </c>
      <c r="R69" s="136">
        <v>0</v>
      </c>
      <c r="S69" s="136">
        <v>0</v>
      </c>
      <c r="T69" s="136">
        <v>0</v>
      </c>
      <c r="U69" s="136">
        <v>0</v>
      </c>
      <c r="V69" s="136">
        <v>0</v>
      </c>
      <c r="W69" s="136">
        <v>0</v>
      </c>
      <c r="X69" s="136">
        <v>0</v>
      </c>
      <c r="Y69" s="136">
        <v>0</v>
      </c>
      <c r="Z69" s="136">
        <v>0</v>
      </c>
      <c r="AA69" s="136">
        <v>0</v>
      </c>
      <c r="AB69" s="136">
        <v>0</v>
      </c>
      <c r="AC69" s="136">
        <v>0</v>
      </c>
      <c r="AD69" s="136">
        <v>0</v>
      </c>
      <c r="AE69" s="136">
        <v>0</v>
      </c>
      <c r="AF69" s="136">
        <v>0</v>
      </c>
      <c r="AG69" s="136">
        <v>0</v>
      </c>
      <c r="AH69" s="136">
        <v>0</v>
      </c>
      <c r="AI69" s="136">
        <v>0</v>
      </c>
      <c r="AJ69" s="136">
        <v>0</v>
      </c>
      <c r="AK69" s="136">
        <v>0</v>
      </c>
      <c r="AL69" s="136">
        <v>0</v>
      </c>
      <c r="AM69" s="136">
        <v>0</v>
      </c>
      <c r="AN69" s="136">
        <v>0</v>
      </c>
      <c r="AO69" s="136">
        <v>0</v>
      </c>
      <c r="AP69" s="136">
        <v>0</v>
      </c>
      <c r="AQ69" s="136">
        <v>-10000</v>
      </c>
      <c r="AR69" s="136">
        <v>0</v>
      </c>
      <c r="AS69" s="136">
        <v>0</v>
      </c>
      <c r="AT69" s="136">
        <v>0</v>
      </c>
      <c r="AU69" s="136">
        <v>0</v>
      </c>
      <c r="AV69" s="136">
        <v>0</v>
      </c>
      <c r="AW69" s="136">
        <v>0</v>
      </c>
      <c r="AX69" s="136">
        <f>(+VLOOKUP($D69,'[3]DFC '!$A$7:$H$85,8,FALSE))-AW69</f>
        <v>0</v>
      </c>
    </row>
    <row r="70" spans="1:50" x14ac:dyDescent="0.2">
      <c r="A70" s="782" t="s">
        <v>635</v>
      </c>
      <c r="B70" t="s">
        <v>784</v>
      </c>
      <c r="D70" s="135" t="str">
        <f>IF([1]RENAME!$H$3=1,B70,A70)</f>
        <v>Pagamento de aquisição de investimentos</v>
      </c>
      <c r="E70" s="136" t="s">
        <v>160</v>
      </c>
      <c r="F70" s="136" t="s">
        <v>160</v>
      </c>
      <c r="G70" s="136" t="s">
        <v>160</v>
      </c>
      <c r="H70" s="136" t="s">
        <v>160</v>
      </c>
      <c r="I70" s="136" t="s">
        <v>160</v>
      </c>
      <c r="J70" s="136" t="s">
        <v>160</v>
      </c>
      <c r="K70" s="136">
        <v>0</v>
      </c>
      <c r="L70" s="136">
        <v>0</v>
      </c>
      <c r="M70" s="136">
        <v>-12697</v>
      </c>
      <c r="N70" s="136">
        <v>0</v>
      </c>
      <c r="O70" s="136">
        <v>156</v>
      </c>
      <c r="P70" s="136">
        <v>-137</v>
      </c>
      <c r="Q70" s="136">
        <v>0</v>
      </c>
      <c r="R70" s="136">
        <v>0</v>
      </c>
      <c r="S70" s="136">
        <v>0</v>
      </c>
      <c r="T70" s="136">
        <v>0</v>
      </c>
      <c r="U70" s="136">
        <v>0</v>
      </c>
      <c r="V70" s="136"/>
      <c r="W70" s="136">
        <v>0</v>
      </c>
      <c r="X70" s="136">
        <v>0</v>
      </c>
      <c r="Y70" s="136">
        <v>0</v>
      </c>
      <c r="Z70" s="136">
        <v>0</v>
      </c>
      <c r="AA70" s="136">
        <v>0</v>
      </c>
      <c r="AB70" s="136">
        <v>0</v>
      </c>
      <c r="AC70" s="136">
        <v>0</v>
      </c>
      <c r="AD70" s="136">
        <v>0</v>
      </c>
      <c r="AE70" s="136">
        <v>0</v>
      </c>
      <c r="AF70" s="136">
        <v>0</v>
      </c>
      <c r="AG70" s="136">
        <v>0</v>
      </c>
      <c r="AH70" s="136">
        <v>-4000</v>
      </c>
      <c r="AI70" s="136">
        <v>-1866</v>
      </c>
      <c r="AJ70" s="136">
        <v>0</v>
      </c>
      <c r="AK70" s="136">
        <v>0</v>
      </c>
      <c r="AL70" s="136">
        <v>-1851</v>
      </c>
      <c r="AM70" s="136">
        <v>-1152</v>
      </c>
      <c r="AN70" s="136">
        <v>0</v>
      </c>
      <c r="AO70" s="136">
        <v>0</v>
      </c>
      <c r="AP70" s="136">
        <v>0</v>
      </c>
      <c r="AQ70" s="136">
        <v>0</v>
      </c>
      <c r="AR70" s="136">
        <v>-6000</v>
      </c>
      <c r="AS70" s="136">
        <v>0</v>
      </c>
      <c r="AT70" s="136">
        <v>0</v>
      </c>
      <c r="AU70" s="136">
        <v>0</v>
      </c>
      <c r="AV70" s="136">
        <v>0</v>
      </c>
      <c r="AW70" s="136">
        <v>0</v>
      </c>
      <c r="AX70" s="136">
        <f>(+VLOOKUP($D70,'[3]DFC '!$A$7:$H$85,8,FALSE))-AW70</f>
        <v>0</v>
      </c>
    </row>
    <row r="71" spans="1:50" hidden="1" outlineLevel="1" x14ac:dyDescent="0.2">
      <c r="A71" s="782" t="s">
        <v>1934</v>
      </c>
      <c r="B71" t="s">
        <v>1935</v>
      </c>
      <c r="D71" s="231" t="str">
        <f>IF([1]RENAME!$H$3=1,B71,A71)</f>
        <v>Alienação de investimentos</v>
      </c>
      <c r="E71" s="232" t="s">
        <v>160</v>
      </c>
      <c r="F71" s="232" t="s">
        <v>160</v>
      </c>
      <c r="G71" s="232" t="s">
        <v>160</v>
      </c>
      <c r="H71" s="232" t="s">
        <v>160</v>
      </c>
      <c r="I71" s="232" t="s">
        <v>160</v>
      </c>
      <c r="J71" s="232" t="s">
        <v>160</v>
      </c>
      <c r="K71" s="232" t="s">
        <v>160</v>
      </c>
      <c r="L71" s="232" t="s">
        <v>160</v>
      </c>
      <c r="M71" s="232" t="s">
        <v>160</v>
      </c>
      <c r="N71" s="232" t="s">
        <v>160</v>
      </c>
      <c r="O71" s="232">
        <v>0</v>
      </c>
      <c r="P71" s="232" t="s">
        <v>160</v>
      </c>
      <c r="Q71" s="232">
        <v>0</v>
      </c>
      <c r="R71" s="232">
        <v>0</v>
      </c>
      <c r="S71" s="232">
        <v>0</v>
      </c>
      <c r="T71" s="232">
        <v>0</v>
      </c>
      <c r="U71" s="232">
        <v>0</v>
      </c>
      <c r="V71" s="232">
        <v>0</v>
      </c>
      <c r="W71" s="232">
        <v>0</v>
      </c>
      <c r="X71" s="232">
        <v>0</v>
      </c>
      <c r="Y71" s="232">
        <v>0</v>
      </c>
      <c r="Z71" s="232">
        <v>0</v>
      </c>
      <c r="AA71" s="232">
        <v>0</v>
      </c>
      <c r="AB71" s="232">
        <v>0</v>
      </c>
      <c r="AC71" s="232">
        <v>0</v>
      </c>
      <c r="AD71" s="232">
        <v>0</v>
      </c>
      <c r="AE71" s="232">
        <v>0</v>
      </c>
      <c r="AF71" s="232">
        <v>3775</v>
      </c>
      <c r="AG71" s="232">
        <v>0</v>
      </c>
      <c r="AH71" s="232">
        <v>0</v>
      </c>
      <c r="AI71" s="232">
        <v>0</v>
      </c>
      <c r="AJ71" s="232">
        <v>0</v>
      </c>
      <c r="AK71" s="232">
        <v>0</v>
      </c>
      <c r="AL71" s="232">
        <v>0</v>
      </c>
      <c r="AM71" s="232">
        <v>0</v>
      </c>
      <c r="AN71" s="232">
        <v>0</v>
      </c>
      <c r="AO71" s="232">
        <v>0</v>
      </c>
      <c r="AP71" s="232">
        <v>0</v>
      </c>
      <c r="AQ71" s="232">
        <v>0</v>
      </c>
      <c r="AR71" s="232">
        <v>0</v>
      </c>
      <c r="AS71" s="232">
        <v>0</v>
      </c>
      <c r="AT71" s="232">
        <v>0</v>
      </c>
      <c r="AU71" s="232">
        <f>+VLOOKUP($D71,'[3]DFC '!$A$7:$H$85,8,FALSE)</f>
        <v>0</v>
      </c>
      <c r="AV71" s="232">
        <f>+VLOOKUP($D71,'[3]DFC '!$A$7:$H$85,8,FALSE)</f>
        <v>0</v>
      </c>
      <c r="AW71" s="232">
        <f>+VLOOKUP($D71,'[3]DFC '!$A$7:$H$85,8,FALSE)</f>
        <v>0</v>
      </c>
      <c r="AX71" s="232">
        <f>+VLOOKUP($D71,'[3]DFC '!$A$7:$H$85,8,FALSE)</f>
        <v>0</v>
      </c>
    </row>
    <row r="72" spans="1:50" ht="25.5" hidden="1" outlineLevel="1" x14ac:dyDescent="0.2">
      <c r="A72" s="782" t="s">
        <v>1993</v>
      </c>
      <c r="B72" t="s">
        <v>1994</v>
      </c>
      <c r="D72" s="231" t="str">
        <f>IF([1]RENAME!$H$3=1,B72,A72)</f>
        <v>Caixa e equivalentes de caixa - Catlog Logística de Transportes S.A</v>
      </c>
      <c r="E72" s="232" t="s">
        <v>160</v>
      </c>
      <c r="F72" s="232" t="s">
        <v>160</v>
      </c>
      <c r="G72" s="232" t="s">
        <v>160</v>
      </c>
      <c r="H72" s="232" t="s">
        <v>160</v>
      </c>
      <c r="I72" s="232" t="s">
        <v>160</v>
      </c>
      <c r="J72" s="232" t="s">
        <v>160</v>
      </c>
      <c r="K72" s="232" t="s">
        <v>160</v>
      </c>
      <c r="L72" s="232" t="s">
        <v>160</v>
      </c>
      <c r="M72" s="232" t="s">
        <v>160</v>
      </c>
      <c r="N72" s="232" t="s">
        <v>160</v>
      </c>
      <c r="O72" s="232">
        <v>0</v>
      </c>
      <c r="P72" s="232" t="s">
        <v>160</v>
      </c>
      <c r="Q72" s="232">
        <v>0</v>
      </c>
      <c r="R72" s="232">
        <v>0</v>
      </c>
      <c r="S72" s="232">
        <v>0</v>
      </c>
      <c r="T72" s="232">
        <v>0</v>
      </c>
      <c r="U72" s="232">
        <v>0</v>
      </c>
      <c r="V72" s="232">
        <v>0</v>
      </c>
      <c r="W72" s="232">
        <v>0</v>
      </c>
      <c r="X72" s="232">
        <v>0</v>
      </c>
      <c r="Y72" s="232">
        <v>0</v>
      </c>
      <c r="Z72" s="232">
        <v>0</v>
      </c>
      <c r="AA72" s="232">
        <v>0</v>
      </c>
      <c r="AB72" s="232">
        <v>0</v>
      </c>
      <c r="AC72" s="232">
        <v>0</v>
      </c>
      <c r="AD72" s="232">
        <v>0</v>
      </c>
      <c r="AE72" s="232">
        <v>0</v>
      </c>
      <c r="AF72" s="232">
        <v>0</v>
      </c>
      <c r="AG72" s="232">
        <v>0</v>
      </c>
      <c r="AH72" s="232">
        <v>0</v>
      </c>
      <c r="AI72" s="232">
        <v>525</v>
      </c>
      <c r="AJ72" s="232">
        <v>-1</v>
      </c>
      <c r="AK72" s="232">
        <v>0</v>
      </c>
      <c r="AL72" s="232">
        <v>0</v>
      </c>
      <c r="AM72" s="232">
        <v>0</v>
      </c>
      <c r="AN72" s="232">
        <v>0</v>
      </c>
      <c r="AO72" s="232">
        <v>0</v>
      </c>
      <c r="AP72" s="232">
        <v>0</v>
      </c>
      <c r="AQ72" s="232">
        <v>0</v>
      </c>
      <c r="AR72" s="232">
        <v>0</v>
      </c>
      <c r="AS72" s="232">
        <v>0</v>
      </c>
      <c r="AT72" s="232">
        <v>0</v>
      </c>
      <c r="AU72" s="232">
        <v>0</v>
      </c>
      <c r="AV72" s="232">
        <v>0</v>
      </c>
      <c r="AW72" s="232">
        <v>0</v>
      </c>
      <c r="AX72" s="232">
        <v>0</v>
      </c>
    </row>
    <row r="73" spans="1:50" hidden="1" outlineLevel="1" x14ac:dyDescent="0.2">
      <c r="A73" s="782" t="s">
        <v>1996</v>
      </c>
      <c r="B73" t="s">
        <v>1995</v>
      </c>
      <c r="D73" s="231" t="str">
        <f>IF([1]RENAME!$H$3=1,B73,A73)</f>
        <v xml:space="preserve">Compra de participação acionária </v>
      </c>
      <c r="E73" s="232" t="s">
        <v>160</v>
      </c>
      <c r="F73" s="232" t="s">
        <v>160</v>
      </c>
      <c r="G73" s="232" t="s">
        <v>160</v>
      </c>
      <c r="H73" s="232" t="s">
        <v>160</v>
      </c>
      <c r="I73" s="232" t="s">
        <v>160</v>
      </c>
      <c r="J73" s="232" t="s">
        <v>160</v>
      </c>
      <c r="K73" s="232" t="s">
        <v>160</v>
      </c>
      <c r="L73" s="232" t="s">
        <v>160</v>
      </c>
      <c r="M73" s="232" t="s">
        <v>160</v>
      </c>
      <c r="N73" s="232" t="s">
        <v>160</v>
      </c>
      <c r="O73" s="232">
        <v>0</v>
      </c>
      <c r="P73" s="232" t="s">
        <v>160</v>
      </c>
      <c r="Q73" s="232">
        <v>0</v>
      </c>
      <c r="R73" s="232">
        <v>0</v>
      </c>
      <c r="S73" s="232">
        <v>0</v>
      </c>
      <c r="T73" s="232">
        <v>0</v>
      </c>
      <c r="U73" s="232">
        <v>0</v>
      </c>
      <c r="V73" s="232">
        <v>0</v>
      </c>
      <c r="W73" s="232">
        <v>0</v>
      </c>
      <c r="X73" s="232">
        <v>0</v>
      </c>
      <c r="Y73" s="232">
        <v>0</v>
      </c>
      <c r="Z73" s="232">
        <v>0</v>
      </c>
      <c r="AA73" s="232">
        <v>0</v>
      </c>
      <c r="AB73" s="232">
        <v>0</v>
      </c>
      <c r="AC73" s="232">
        <v>0</v>
      </c>
      <c r="AD73" s="232">
        <v>0</v>
      </c>
      <c r="AE73" s="232">
        <v>0</v>
      </c>
      <c r="AF73" s="232">
        <v>0</v>
      </c>
      <c r="AG73" s="232">
        <v>0</v>
      </c>
      <c r="AH73" s="232">
        <v>0</v>
      </c>
      <c r="AI73" s="232">
        <v>0</v>
      </c>
      <c r="AJ73" s="232">
        <v>0</v>
      </c>
      <c r="AK73" s="232">
        <v>0</v>
      </c>
      <c r="AL73" s="232">
        <v>0</v>
      </c>
      <c r="AM73" s="232">
        <v>0</v>
      </c>
      <c r="AN73" s="232">
        <v>0</v>
      </c>
      <c r="AO73" s="232">
        <v>0</v>
      </c>
      <c r="AP73" s="232">
        <v>0</v>
      </c>
      <c r="AQ73" s="232" t="s">
        <v>160</v>
      </c>
      <c r="AR73" s="232">
        <v>0</v>
      </c>
      <c r="AS73" s="232" t="s">
        <v>160</v>
      </c>
      <c r="AT73" s="232" t="s">
        <v>160</v>
      </c>
      <c r="AU73" s="232" t="s">
        <v>160</v>
      </c>
      <c r="AV73" s="232" t="s">
        <v>160</v>
      </c>
      <c r="AW73" s="232" t="s">
        <v>160</v>
      </c>
      <c r="AX73" s="232" t="s">
        <v>160</v>
      </c>
    </row>
    <row r="74" spans="1:50" hidden="1" outlineLevel="1" x14ac:dyDescent="0.2">
      <c r="A74" t="s">
        <v>353</v>
      </c>
      <c r="B74" t="s">
        <v>785</v>
      </c>
      <c r="D74" s="231" t="str">
        <f>IF([1]RENAME!$H$3=1,B74,A74)</f>
        <v>Valor recebido na venda de investimento</v>
      </c>
      <c r="E74" s="232">
        <v>40199</v>
      </c>
      <c r="F74" s="232">
        <v>0</v>
      </c>
      <c r="G74" s="232">
        <v>41867</v>
      </c>
      <c r="H74" s="232">
        <v>0</v>
      </c>
      <c r="I74" s="232">
        <v>0</v>
      </c>
      <c r="J74" s="232">
        <v>0</v>
      </c>
      <c r="K74" s="232">
        <v>0</v>
      </c>
      <c r="L74" s="232">
        <v>0</v>
      </c>
      <c r="M74" s="232">
        <v>0</v>
      </c>
      <c r="N74" s="232">
        <v>0</v>
      </c>
      <c r="O74" s="232">
        <v>0</v>
      </c>
      <c r="P74" s="232">
        <v>0</v>
      </c>
      <c r="Q74" s="232">
        <v>0</v>
      </c>
      <c r="R74" s="232">
        <v>0</v>
      </c>
      <c r="S74" s="232">
        <v>0</v>
      </c>
      <c r="T74" s="232">
        <v>0</v>
      </c>
      <c r="U74" s="232">
        <v>0</v>
      </c>
      <c r="V74" s="232"/>
      <c r="W74" s="232">
        <v>0</v>
      </c>
      <c r="X74" s="136">
        <v>0</v>
      </c>
      <c r="Y74" s="136">
        <v>0</v>
      </c>
      <c r="Z74" s="136">
        <v>0</v>
      </c>
      <c r="AA74" s="136">
        <v>0</v>
      </c>
      <c r="AB74" s="136">
        <v>0</v>
      </c>
      <c r="AC74" s="136">
        <v>0</v>
      </c>
      <c r="AD74" s="136">
        <v>0</v>
      </c>
      <c r="AE74" s="136">
        <v>0</v>
      </c>
      <c r="AF74" s="136">
        <v>0</v>
      </c>
      <c r="AG74" s="136">
        <v>0</v>
      </c>
      <c r="AH74" s="136">
        <v>0</v>
      </c>
      <c r="AI74" s="136">
        <v>0</v>
      </c>
      <c r="AJ74" s="136">
        <v>0</v>
      </c>
      <c r="AK74" s="136">
        <v>0</v>
      </c>
      <c r="AL74" s="136">
        <v>0</v>
      </c>
      <c r="AM74" s="136">
        <v>0</v>
      </c>
      <c r="AN74" s="136">
        <v>0</v>
      </c>
      <c r="AO74" s="136">
        <v>0</v>
      </c>
      <c r="AP74" s="136"/>
      <c r="AQ74" s="136"/>
      <c r="AR74" s="136">
        <v>0</v>
      </c>
      <c r="AS74" s="136"/>
      <c r="AT74" s="136">
        <v>0</v>
      </c>
      <c r="AU74" s="136">
        <v>0</v>
      </c>
      <c r="AV74" s="136">
        <v>0</v>
      </c>
      <c r="AW74" s="136">
        <v>0</v>
      </c>
      <c r="AX74" s="136">
        <v>0</v>
      </c>
    </row>
    <row r="75" spans="1:50" hidden="1" outlineLevel="1" x14ac:dyDescent="0.2">
      <c r="A75" t="s">
        <v>1345</v>
      </c>
      <c r="B75" t="s">
        <v>1385</v>
      </c>
      <c r="D75" s="231" t="str">
        <f>IF([1]RENAME!$H$3=1,B75,A75)</f>
        <v>Redução de capital em controladas</v>
      </c>
      <c r="E75" s="232" t="s">
        <v>160</v>
      </c>
      <c r="F75" s="232" t="s">
        <v>160</v>
      </c>
      <c r="G75" s="232" t="s">
        <v>160</v>
      </c>
      <c r="H75" s="232" t="s">
        <v>160</v>
      </c>
      <c r="I75" s="232" t="s">
        <v>160</v>
      </c>
      <c r="J75" s="232" t="s">
        <v>160</v>
      </c>
      <c r="K75" s="232" t="s">
        <v>160</v>
      </c>
      <c r="L75" s="232" t="s">
        <v>160</v>
      </c>
      <c r="M75" s="232" t="s">
        <v>160</v>
      </c>
      <c r="N75" s="232" t="s">
        <v>160</v>
      </c>
      <c r="O75" s="232">
        <v>0</v>
      </c>
      <c r="P75" s="232">
        <v>0</v>
      </c>
      <c r="Q75" s="232">
        <v>0</v>
      </c>
      <c r="R75" s="232" t="s">
        <v>160</v>
      </c>
      <c r="S75" s="232">
        <v>491</v>
      </c>
      <c r="T75" s="232">
        <v>0</v>
      </c>
      <c r="U75" s="232">
        <v>0</v>
      </c>
      <c r="V75" s="232">
        <v>0</v>
      </c>
      <c r="W75" s="232">
        <v>320</v>
      </c>
      <c r="X75" s="136">
        <v>0</v>
      </c>
      <c r="Y75" s="136">
        <v>0</v>
      </c>
      <c r="Z75" s="136">
        <v>0</v>
      </c>
      <c r="AA75" s="136">
        <v>0</v>
      </c>
      <c r="AB75" s="136">
        <v>0</v>
      </c>
      <c r="AC75" s="136">
        <v>0</v>
      </c>
      <c r="AD75" s="136">
        <v>0</v>
      </c>
      <c r="AE75" s="136">
        <v>0</v>
      </c>
      <c r="AF75" s="136">
        <v>0</v>
      </c>
      <c r="AG75" s="136">
        <v>0</v>
      </c>
      <c r="AH75" s="136">
        <v>0</v>
      </c>
      <c r="AI75" s="136">
        <v>0</v>
      </c>
      <c r="AJ75" s="136">
        <v>0</v>
      </c>
      <c r="AK75" s="136">
        <v>0</v>
      </c>
      <c r="AL75" s="136">
        <v>0</v>
      </c>
      <c r="AM75" s="136">
        <v>0</v>
      </c>
      <c r="AN75" s="136">
        <v>0</v>
      </c>
      <c r="AO75" s="136">
        <v>0</v>
      </c>
      <c r="AP75" s="136"/>
      <c r="AQ75" s="136"/>
      <c r="AR75" s="136">
        <v>0</v>
      </c>
      <c r="AS75" s="136"/>
      <c r="AT75" s="136">
        <v>0</v>
      </c>
      <c r="AU75" s="136">
        <v>0</v>
      </c>
      <c r="AV75" s="136">
        <v>0</v>
      </c>
      <c r="AW75" s="136">
        <v>0</v>
      </c>
      <c r="AX75" s="136">
        <v>0</v>
      </c>
    </row>
    <row r="76" spans="1:50" ht="25.5" hidden="1" outlineLevel="1" x14ac:dyDescent="0.2">
      <c r="A76" t="s">
        <v>1301</v>
      </c>
      <c r="B76" t="s">
        <v>1304</v>
      </c>
      <c r="D76" s="231" t="str">
        <f>IF([1]RENAME!$H$3=1,B76,A76)</f>
        <v>Caixa e equivalentes de caixa - Tegma Logistica Integrada S.A.</v>
      </c>
      <c r="E76" s="232" t="s">
        <v>160</v>
      </c>
      <c r="F76" s="232" t="s">
        <v>160</v>
      </c>
      <c r="G76" s="232" t="s">
        <v>160</v>
      </c>
      <c r="H76" s="232" t="s">
        <v>160</v>
      </c>
      <c r="I76" s="232" t="s">
        <v>160</v>
      </c>
      <c r="J76" s="232" t="s">
        <v>160</v>
      </c>
      <c r="K76" s="232" t="s">
        <v>160</v>
      </c>
      <c r="L76" s="232" t="s">
        <v>160</v>
      </c>
      <c r="M76" s="232" t="s">
        <v>160</v>
      </c>
      <c r="N76" s="232" t="s">
        <v>160</v>
      </c>
      <c r="O76" s="232">
        <v>0</v>
      </c>
      <c r="P76" s="232" t="s">
        <v>160</v>
      </c>
      <c r="Q76" s="232">
        <v>-655</v>
      </c>
      <c r="R76" s="232">
        <v>0</v>
      </c>
      <c r="S76" s="232">
        <v>0</v>
      </c>
      <c r="T76" s="232">
        <v>0</v>
      </c>
      <c r="U76" s="232">
        <v>0</v>
      </c>
      <c r="V76" s="232">
        <v>0</v>
      </c>
      <c r="W76" s="232">
        <v>0</v>
      </c>
      <c r="X76" s="136">
        <v>0</v>
      </c>
      <c r="Y76" s="136">
        <v>0</v>
      </c>
      <c r="Z76" s="136">
        <v>0</v>
      </c>
      <c r="AA76" s="136">
        <v>0</v>
      </c>
      <c r="AB76" s="136">
        <v>0</v>
      </c>
      <c r="AC76" s="136">
        <v>0</v>
      </c>
      <c r="AD76" s="136">
        <v>0</v>
      </c>
      <c r="AE76" s="136">
        <v>0</v>
      </c>
      <c r="AF76" s="136">
        <v>0</v>
      </c>
      <c r="AG76" s="136">
        <v>0</v>
      </c>
      <c r="AH76" s="136">
        <v>0</v>
      </c>
      <c r="AI76" s="136">
        <v>0</v>
      </c>
      <c r="AJ76" s="136">
        <v>0</v>
      </c>
      <c r="AK76" s="136">
        <v>0</v>
      </c>
      <c r="AL76" s="136">
        <v>0</v>
      </c>
      <c r="AM76" s="136">
        <v>0</v>
      </c>
      <c r="AN76" s="136">
        <v>0</v>
      </c>
      <c r="AO76" s="136">
        <v>0</v>
      </c>
      <c r="AP76" s="136"/>
      <c r="AQ76" s="136"/>
      <c r="AR76" s="136">
        <v>0</v>
      </c>
      <c r="AS76" s="136"/>
      <c r="AT76" s="136">
        <v>0</v>
      </c>
      <c r="AU76" s="136">
        <v>0</v>
      </c>
      <c r="AV76" s="136">
        <v>0</v>
      </c>
      <c r="AW76" s="136">
        <v>0</v>
      </c>
      <c r="AX76" s="136">
        <v>0</v>
      </c>
    </row>
    <row r="77" spans="1:50" hidden="1" outlineLevel="1" x14ac:dyDescent="0.2">
      <c r="A77" t="s">
        <v>351</v>
      </c>
      <c r="B77" t="s">
        <v>786</v>
      </c>
      <c r="D77" s="231" t="str">
        <f>IF([1]RENAME!$H$3=1,B77,A77)</f>
        <v>Redução (aumento) das aplicações financeiras</v>
      </c>
      <c r="E77" s="232">
        <v>0</v>
      </c>
      <c r="F77" s="232">
        <v>0</v>
      </c>
      <c r="G77" s="232">
        <v>0</v>
      </c>
      <c r="H77" s="232">
        <v>0</v>
      </c>
      <c r="I77" s="232">
        <v>0</v>
      </c>
      <c r="J77" s="232">
        <v>0</v>
      </c>
      <c r="K77" s="232">
        <v>0</v>
      </c>
      <c r="L77" s="232">
        <v>0</v>
      </c>
      <c r="M77" s="232">
        <v>0</v>
      </c>
      <c r="N77" s="232">
        <v>0</v>
      </c>
      <c r="O77" s="232">
        <v>0</v>
      </c>
      <c r="P77" s="232">
        <v>0</v>
      </c>
      <c r="Q77" s="232">
        <v>0</v>
      </c>
      <c r="R77" s="232">
        <v>0</v>
      </c>
      <c r="S77" s="232">
        <v>0</v>
      </c>
      <c r="T77" s="232">
        <v>0</v>
      </c>
      <c r="U77" s="232">
        <v>0</v>
      </c>
      <c r="V77" s="232"/>
      <c r="W77" s="232">
        <v>0</v>
      </c>
      <c r="X77" s="136">
        <v>0</v>
      </c>
      <c r="Y77" s="136">
        <v>0</v>
      </c>
      <c r="Z77" s="136">
        <v>0</v>
      </c>
      <c r="AA77" s="136">
        <v>0</v>
      </c>
      <c r="AB77" s="136">
        <v>0</v>
      </c>
      <c r="AC77" s="136">
        <v>0</v>
      </c>
      <c r="AD77" s="136">
        <v>0</v>
      </c>
      <c r="AE77" s="136">
        <v>0</v>
      </c>
      <c r="AF77" s="136">
        <v>0</v>
      </c>
      <c r="AG77" s="136">
        <v>0</v>
      </c>
      <c r="AH77" s="136">
        <v>0</v>
      </c>
      <c r="AI77" s="136">
        <v>0</v>
      </c>
      <c r="AJ77" s="136">
        <v>0</v>
      </c>
      <c r="AK77" s="136">
        <v>0</v>
      </c>
      <c r="AL77" s="136">
        <v>0</v>
      </c>
      <c r="AM77" s="136">
        <v>0</v>
      </c>
      <c r="AN77" s="136">
        <v>0</v>
      </c>
      <c r="AO77" s="136">
        <v>0</v>
      </c>
      <c r="AP77" s="136"/>
      <c r="AQ77" s="136"/>
      <c r="AR77" s="136">
        <v>0</v>
      </c>
      <c r="AS77" s="136"/>
      <c r="AT77" s="136">
        <v>0</v>
      </c>
      <c r="AU77" s="136">
        <v>0</v>
      </c>
      <c r="AV77" s="136">
        <v>0</v>
      </c>
      <c r="AW77" s="136">
        <v>0</v>
      </c>
      <c r="AX77" s="136">
        <v>0</v>
      </c>
    </row>
    <row r="78" spans="1:50" hidden="1" outlineLevel="1" x14ac:dyDescent="0.2">
      <c r="A78" t="s">
        <v>350</v>
      </c>
      <c r="B78" t="s">
        <v>787</v>
      </c>
      <c r="D78" s="231" t="str">
        <f>IF([1]RENAME!$H$3=1,B78,A78)</f>
        <v>Transferência para caixa e equivalentes de caixa</v>
      </c>
      <c r="E78" s="232">
        <v>0</v>
      </c>
      <c r="F78" s="232">
        <v>0</v>
      </c>
      <c r="G78" s="232">
        <v>0</v>
      </c>
      <c r="H78" s="232">
        <v>0</v>
      </c>
      <c r="I78" s="232">
        <v>0</v>
      </c>
      <c r="J78" s="232">
        <v>0</v>
      </c>
      <c r="K78" s="232">
        <v>0</v>
      </c>
      <c r="L78" s="232">
        <v>0</v>
      </c>
      <c r="M78" s="232">
        <v>0</v>
      </c>
      <c r="N78" s="232">
        <v>0</v>
      </c>
      <c r="O78" s="232">
        <v>0</v>
      </c>
      <c r="P78" s="232">
        <v>0</v>
      </c>
      <c r="Q78" s="232">
        <v>0</v>
      </c>
      <c r="R78" s="232">
        <v>0</v>
      </c>
      <c r="S78" s="232">
        <v>0</v>
      </c>
      <c r="T78" s="232">
        <v>0</v>
      </c>
      <c r="U78" s="232">
        <v>0</v>
      </c>
      <c r="V78" s="232"/>
      <c r="W78" s="232">
        <v>0</v>
      </c>
      <c r="X78" s="136">
        <v>0</v>
      </c>
      <c r="Y78" s="136">
        <v>0</v>
      </c>
      <c r="Z78" s="136">
        <v>0</v>
      </c>
      <c r="AA78" s="136">
        <v>0</v>
      </c>
      <c r="AB78" s="136">
        <v>0</v>
      </c>
      <c r="AC78" s="136">
        <v>0</v>
      </c>
      <c r="AD78" s="136">
        <v>0</v>
      </c>
      <c r="AE78" s="136">
        <v>0</v>
      </c>
      <c r="AF78" s="136">
        <v>0</v>
      </c>
      <c r="AG78" s="136">
        <v>0</v>
      </c>
      <c r="AH78" s="136">
        <v>0</v>
      </c>
      <c r="AI78" s="136">
        <v>0</v>
      </c>
      <c r="AJ78" s="136">
        <v>0</v>
      </c>
      <c r="AK78" s="136">
        <v>0</v>
      </c>
      <c r="AL78" s="136">
        <v>0</v>
      </c>
      <c r="AM78" s="136">
        <v>0</v>
      </c>
      <c r="AN78" s="136">
        <v>0</v>
      </c>
      <c r="AO78" s="136">
        <v>0</v>
      </c>
      <c r="AP78" s="136"/>
      <c r="AQ78" s="136"/>
      <c r="AR78" s="136">
        <v>0</v>
      </c>
      <c r="AS78" s="136"/>
      <c r="AT78" s="136">
        <v>0</v>
      </c>
      <c r="AU78" s="136">
        <v>0</v>
      </c>
      <c r="AV78" s="136">
        <v>0</v>
      </c>
      <c r="AW78" s="136">
        <v>0</v>
      </c>
      <c r="AX78" s="136">
        <v>0</v>
      </c>
    </row>
    <row r="79" spans="1:50" ht="25.5" collapsed="1" x14ac:dyDescent="0.2">
      <c r="A79" t="s">
        <v>354</v>
      </c>
      <c r="B79" t="s">
        <v>1531</v>
      </c>
      <c r="D79" s="133" t="str">
        <f>IF([1]RENAME!$H$3=1,B79,A79)</f>
        <v>(B) Caixa líquido proveniente das (aplicado nas) atividades de investimentos</v>
      </c>
      <c r="E79" s="134">
        <f t="shared" ref="E79:AS79" si="45">SUM(E64:E78)</f>
        <v>29159</v>
      </c>
      <c r="F79" s="134">
        <f t="shared" si="45"/>
        <v>-17693</v>
      </c>
      <c r="G79" s="134">
        <f t="shared" si="45"/>
        <v>19208</v>
      </c>
      <c r="H79" s="134">
        <f t="shared" si="45"/>
        <v>-14792</v>
      </c>
      <c r="I79" s="134">
        <f t="shared" si="45"/>
        <v>-10041</v>
      </c>
      <c r="J79" s="134">
        <f t="shared" si="45"/>
        <v>-10522</v>
      </c>
      <c r="K79" s="134">
        <f t="shared" si="45"/>
        <v>-3868</v>
      </c>
      <c r="L79" s="134">
        <f t="shared" si="45"/>
        <v>-6233</v>
      </c>
      <c r="M79" s="134">
        <f t="shared" si="45"/>
        <v>-17994.027199999986</v>
      </c>
      <c r="N79" s="134">
        <f t="shared" si="45"/>
        <v>-6034.25</v>
      </c>
      <c r="O79" s="134">
        <f t="shared" si="45"/>
        <v>-6264.0501199999999</v>
      </c>
      <c r="P79" s="134">
        <f t="shared" si="45"/>
        <v>-5214.8218799999995</v>
      </c>
      <c r="Q79" s="134">
        <f t="shared" si="45"/>
        <v>-3791</v>
      </c>
      <c r="R79" s="134">
        <f t="shared" si="45"/>
        <v>-3196</v>
      </c>
      <c r="S79" s="134">
        <f t="shared" si="45"/>
        <v>-14644.324519999936</v>
      </c>
      <c r="T79" s="134">
        <f t="shared" si="45"/>
        <v>-11143.218080000042</v>
      </c>
      <c r="U79" s="134">
        <f t="shared" si="45"/>
        <v>-8994</v>
      </c>
      <c r="V79" s="134">
        <f t="shared" si="45"/>
        <v>-14452.371810000062</v>
      </c>
      <c r="W79" s="134">
        <f t="shared" si="45"/>
        <v>-3024.6281899999376</v>
      </c>
      <c r="X79" s="134">
        <f t="shared" si="45"/>
        <v>-10402</v>
      </c>
      <c r="Y79" s="134">
        <f t="shared" si="45"/>
        <v>-5490</v>
      </c>
      <c r="Z79" s="134">
        <f t="shared" si="45"/>
        <v>-2930</v>
      </c>
      <c r="AA79" s="134">
        <f t="shared" si="45"/>
        <v>-931</v>
      </c>
      <c r="AB79" s="134">
        <f t="shared" si="45"/>
        <v>-710</v>
      </c>
      <c r="AC79" s="134">
        <f t="shared" si="45"/>
        <v>-4460</v>
      </c>
      <c r="AD79" s="134">
        <f t="shared" si="45"/>
        <v>-6573</v>
      </c>
      <c r="AE79" s="134">
        <f t="shared" si="45"/>
        <v>-6702</v>
      </c>
      <c r="AF79" s="134">
        <f t="shared" si="45"/>
        <v>345</v>
      </c>
      <c r="AG79" s="134">
        <f t="shared" si="45"/>
        <v>-4647</v>
      </c>
      <c r="AH79" s="134">
        <f t="shared" si="45"/>
        <v>-10654</v>
      </c>
      <c r="AI79" s="134">
        <f t="shared" si="45"/>
        <v>-6143</v>
      </c>
      <c r="AJ79" s="134">
        <f t="shared" si="45"/>
        <v>-6695</v>
      </c>
      <c r="AK79" s="134">
        <f t="shared" si="45"/>
        <v>-17168</v>
      </c>
      <c r="AL79" s="134">
        <f t="shared" si="45"/>
        <v>-3411</v>
      </c>
      <c r="AM79" s="134">
        <f t="shared" si="45"/>
        <v>-6453</v>
      </c>
      <c r="AN79" s="134">
        <f t="shared" si="45"/>
        <v>-2628</v>
      </c>
      <c r="AO79" s="134">
        <f t="shared" si="45"/>
        <v>-15435</v>
      </c>
      <c r="AP79" s="134">
        <f t="shared" si="45"/>
        <v>-9713</v>
      </c>
      <c r="AQ79" s="134">
        <f t="shared" si="45"/>
        <v>1262</v>
      </c>
      <c r="AR79" s="134">
        <f t="shared" si="45"/>
        <v>-18918</v>
      </c>
      <c r="AS79" s="134">
        <f t="shared" si="45"/>
        <v>-10477</v>
      </c>
      <c r="AT79" s="134">
        <f>SUM(AT64:AT78)</f>
        <v>-3927</v>
      </c>
      <c r="AU79" s="134">
        <f>SUM(AU64:AU78)</f>
        <v>-22888</v>
      </c>
      <c r="AV79" s="134">
        <f>SUM(AV64:AV78)</f>
        <v>-29765</v>
      </c>
      <c r="AW79" s="134">
        <f>SUM(AW64:AW78)</f>
        <v>-20563</v>
      </c>
      <c r="AX79" s="134">
        <f>SUM(AX64:AX78)</f>
        <v>-13950</v>
      </c>
    </row>
    <row r="80" spans="1:50" x14ac:dyDescent="0.2">
      <c r="A80" t="s">
        <v>1275</v>
      </c>
      <c r="B80" t="s">
        <v>1276</v>
      </c>
      <c r="D80" s="135" t="str">
        <f>IF([1]RENAME!$H$3=1,B80,A80)</f>
        <v>Dividendos e juros sobre capital próprio pagos</v>
      </c>
      <c r="E80" s="136">
        <v>0</v>
      </c>
      <c r="F80" s="136">
        <v>0</v>
      </c>
      <c r="G80" s="136">
        <v>-5000</v>
      </c>
      <c r="H80" s="136">
        <v>0</v>
      </c>
      <c r="I80" s="136">
        <v>0</v>
      </c>
      <c r="J80" s="136">
        <v>0</v>
      </c>
      <c r="K80" s="136">
        <v>0</v>
      </c>
      <c r="L80" s="136">
        <v>0</v>
      </c>
      <c r="M80" s="136">
        <v>0</v>
      </c>
      <c r="N80" s="136">
        <v>-8000</v>
      </c>
      <c r="O80" s="136">
        <v>-14750</v>
      </c>
      <c r="P80" s="136">
        <v>-7643</v>
      </c>
      <c r="Q80" s="136">
        <v>0</v>
      </c>
      <c r="R80" s="136">
        <v>-38856</v>
      </c>
      <c r="S80" s="136">
        <v>-21090</v>
      </c>
      <c r="T80" s="136">
        <v>-15554</v>
      </c>
      <c r="U80" s="136">
        <v>0</v>
      </c>
      <c r="V80" s="136">
        <v>-28306</v>
      </c>
      <c r="W80" s="136">
        <v>-29568</v>
      </c>
      <c r="X80" s="136">
        <v>-45696</v>
      </c>
      <c r="Y80" s="136">
        <v>0</v>
      </c>
      <c r="Z80" s="136">
        <v>0</v>
      </c>
      <c r="AA80" s="136">
        <v>0</v>
      </c>
      <c r="AB80" s="136">
        <v>-22431</v>
      </c>
      <c r="AC80" s="136">
        <v>0</v>
      </c>
      <c r="AD80" s="136">
        <v>-12541</v>
      </c>
      <c r="AE80" s="136">
        <v>-22157</v>
      </c>
      <c r="AF80" s="136">
        <v>-17118</v>
      </c>
      <c r="AG80" s="136">
        <v>0</v>
      </c>
      <c r="AH80" s="136">
        <v>-22339</v>
      </c>
      <c r="AI80" s="136">
        <v>-24589</v>
      </c>
      <c r="AJ80" s="136">
        <v>-27035</v>
      </c>
      <c r="AK80" s="136">
        <v>0</v>
      </c>
      <c r="AL80" s="136">
        <v>-39563</v>
      </c>
      <c r="AM80" s="136">
        <v>-37648</v>
      </c>
      <c r="AN80" s="136">
        <v>-35606</v>
      </c>
      <c r="AO80" s="136">
        <v>0</v>
      </c>
      <c r="AP80" s="136">
        <v>-47713</v>
      </c>
      <c r="AQ80" s="136">
        <v>-80444</v>
      </c>
      <c r="AR80" s="136">
        <v>-52001</v>
      </c>
      <c r="AS80" s="136">
        <v>0</v>
      </c>
      <c r="AT80" s="136">
        <v>-38903</v>
      </c>
      <c r="AU80" s="136">
        <v>-89016</v>
      </c>
      <c r="AV80" s="136">
        <v>-164185</v>
      </c>
      <c r="AW80" s="136">
        <v>0</v>
      </c>
      <c r="AX80" s="136">
        <f>(IFERROR(+VLOOKUP($D80,'[3]DFC '!$A$7:$H$85,8,FALSE),0))-AW80</f>
        <v>0</v>
      </c>
    </row>
    <row r="81" spans="1:50" x14ac:dyDescent="0.2">
      <c r="A81" t="s">
        <v>1274</v>
      </c>
      <c r="B81" t="s">
        <v>789</v>
      </c>
      <c r="C81" s="266" t="str">
        <f>IF([1]RENAME!$H$3=1,B81,A81)</f>
        <v>Captação empréstimos e financiamentos</v>
      </c>
      <c r="D81" s="221" t="str">
        <f>IF([1]RENAME!$H$3=1,B81,A81)</f>
        <v>Captação empréstimos e financiamentos</v>
      </c>
      <c r="E81" s="136">
        <v>0</v>
      </c>
      <c r="F81" s="136">
        <v>0</v>
      </c>
      <c r="G81" s="136">
        <v>0</v>
      </c>
      <c r="H81" s="136">
        <v>0</v>
      </c>
      <c r="I81" s="136">
        <v>0</v>
      </c>
      <c r="J81" s="136">
        <v>0</v>
      </c>
      <c r="K81" s="136">
        <v>0</v>
      </c>
      <c r="L81" s="136">
        <v>0</v>
      </c>
      <c r="M81" s="136">
        <v>1342</v>
      </c>
      <c r="N81" s="136">
        <f>53132-0.195259999964037</f>
        <v>53131.804740000036</v>
      </c>
      <c r="O81" s="136">
        <v>0</v>
      </c>
      <c r="P81" s="136">
        <v>0</v>
      </c>
      <c r="Q81" s="136">
        <v>0</v>
      </c>
      <c r="R81" s="136">
        <v>0</v>
      </c>
      <c r="S81" s="136">
        <v>50000</v>
      </c>
      <c r="T81" s="136">
        <v>0</v>
      </c>
      <c r="U81" s="136">
        <v>30000</v>
      </c>
      <c r="V81" s="136">
        <v>0</v>
      </c>
      <c r="W81" s="136">
        <v>0</v>
      </c>
      <c r="X81" s="136">
        <v>0</v>
      </c>
      <c r="Y81" s="136">
        <v>0</v>
      </c>
      <c r="Z81" s="136">
        <v>90000</v>
      </c>
      <c r="AA81" s="136">
        <v>45000</v>
      </c>
      <c r="AB81" s="136">
        <v>0</v>
      </c>
      <c r="AC81" s="136">
        <v>0</v>
      </c>
      <c r="AD81" s="136">
        <v>0</v>
      </c>
      <c r="AE81" s="136">
        <v>0</v>
      </c>
      <c r="AF81" s="136">
        <v>0</v>
      </c>
      <c r="AG81" s="136">
        <v>0</v>
      </c>
      <c r="AH81" s="136">
        <v>0</v>
      </c>
      <c r="AI81" s="136">
        <v>0</v>
      </c>
      <c r="AJ81" s="136">
        <v>32568</v>
      </c>
      <c r="AK81" s="136">
        <v>0</v>
      </c>
      <c r="AL81" s="136">
        <v>0</v>
      </c>
      <c r="AM81" s="136">
        <v>51266</v>
      </c>
      <c r="AN81" s="136">
        <v>5005</v>
      </c>
      <c r="AO81" s="136">
        <v>5910</v>
      </c>
      <c r="AP81" s="136">
        <v>8729</v>
      </c>
      <c r="AQ81" s="136">
        <v>0</v>
      </c>
      <c r="AR81" s="136">
        <v>0</v>
      </c>
      <c r="AS81" s="136">
        <v>6522</v>
      </c>
      <c r="AT81" s="136">
        <v>0</v>
      </c>
      <c r="AU81" s="136">
        <v>0</v>
      </c>
      <c r="AV81" s="136">
        <v>40000</v>
      </c>
      <c r="AW81" s="136">
        <v>0</v>
      </c>
      <c r="AX81" s="136">
        <f>(IFERROR(+VLOOKUP($D81,'[3]DFC '!$A$7:$H$85,8,FALSE),0))-AW81</f>
        <v>14922</v>
      </c>
    </row>
    <row r="82" spans="1:50" x14ac:dyDescent="0.2">
      <c r="A82" t="s">
        <v>1868</v>
      </c>
      <c r="B82" t="s">
        <v>790</v>
      </c>
      <c r="D82" s="135" t="str">
        <f>IF([1]RENAME!$H$3=1,B82,A82)</f>
        <v>Pagamento de empréstimos e financiamentos</v>
      </c>
      <c r="E82" s="136">
        <v>-917</v>
      </c>
      <c r="F82" s="136">
        <v>-163067</v>
      </c>
      <c r="G82" s="136">
        <v>-805</v>
      </c>
      <c r="H82" s="136">
        <v>-613</v>
      </c>
      <c r="I82" s="136">
        <v>-20422</v>
      </c>
      <c r="J82" s="136">
        <v>-306</v>
      </c>
      <c r="K82" s="136">
        <v>-300</v>
      </c>
      <c r="L82" s="136">
        <v>-50257</v>
      </c>
      <c r="M82" s="136">
        <v>-66920</v>
      </c>
      <c r="N82" s="136">
        <v>-263</v>
      </c>
      <c r="O82" s="136">
        <v>-50255.884591548151</v>
      </c>
      <c r="P82" s="136">
        <v>-263.11540845184936</v>
      </c>
      <c r="Q82" s="136">
        <v>-66800</v>
      </c>
      <c r="R82" s="136">
        <v>-4620</v>
      </c>
      <c r="S82" s="136">
        <v>-40000</v>
      </c>
      <c r="T82" s="136">
        <v>0</v>
      </c>
      <c r="U82" s="136">
        <v>-46676</v>
      </c>
      <c r="V82" s="136">
        <v>-3333</v>
      </c>
      <c r="W82" s="136">
        <v>0</v>
      </c>
      <c r="X82" s="136">
        <v>-3334</v>
      </c>
      <c r="Y82" s="136">
        <v>0</v>
      </c>
      <c r="Z82" s="136">
        <v>-3333</v>
      </c>
      <c r="AA82" s="136">
        <v>-96373</v>
      </c>
      <c r="AB82" s="136">
        <v>0</v>
      </c>
      <c r="AC82" s="136">
        <v>0</v>
      </c>
      <c r="AD82" s="136">
        <v>-40000</v>
      </c>
      <c r="AE82" s="136">
        <v>0</v>
      </c>
      <c r="AF82" s="136">
        <v>0</v>
      </c>
      <c r="AG82" s="136">
        <v>-10000</v>
      </c>
      <c r="AH82" s="136">
        <v>-50000</v>
      </c>
      <c r="AI82" s="136">
        <v>0</v>
      </c>
      <c r="AJ82" s="136">
        <v>0</v>
      </c>
      <c r="AK82" s="136">
        <v>-10000</v>
      </c>
      <c r="AL82" s="136">
        <v>0</v>
      </c>
      <c r="AM82" s="136">
        <v>-45000</v>
      </c>
      <c r="AN82" s="136">
        <v>0</v>
      </c>
      <c r="AO82" s="136">
        <v>0</v>
      </c>
      <c r="AP82" s="136">
        <v>-10000</v>
      </c>
      <c r="AQ82" s="136">
        <v>0</v>
      </c>
      <c r="AR82" s="136">
        <v>0</v>
      </c>
      <c r="AS82" s="136">
        <v>-1018</v>
      </c>
      <c r="AT82" s="136">
        <v>-1087</v>
      </c>
      <c r="AU82" s="136">
        <v>-23448</v>
      </c>
      <c r="AV82" s="136">
        <v>-1062</v>
      </c>
      <c r="AW82" s="136">
        <v>-1018</v>
      </c>
      <c r="AX82" s="136">
        <f>(IFERROR(+VLOOKUP($D82,'[3]DFC '!$A$7:$H$85,8,FALSE),0))-AW82</f>
        <v>-1202</v>
      </c>
    </row>
    <row r="83" spans="1:50" x14ac:dyDescent="0.2">
      <c r="A83" t="s">
        <v>1775</v>
      </c>
      <c r="B83" t="s">
        <v>1448</v>
      </c>
      <c r="D83" s="135" t="str">
        <f>IF([1]RENAME!$H$3=1,B83,A83)</f>
        <v>Pagamento de arrendamento</v>
      </c>
      <c r="E83" s="136">
        <v>0</v>
      </c>
      <c r="F83" s="136">
        <v>0</v>
      </c>
      <c r="G83" s="136">
        <v>0</v>
      </c>
      <c r="H83" s="136">
        <v>0</v>
      </c>
      <c r="I83" s="136">
        <v>0</v>
      </c>
      <c r="J83" s="136">
        <v>0</v>
      </c>
      <c r="K83" s="136">
        <v>0</v>
      </c>
      <c r="L83" s="136">
        <v>0</v>
      </c>
      <c r="M83" s="136">
        <v>0</v>
      </c>
      <c r="N83" s="136">
        <v>0</v>
      </c>
      <c r="O83" s="136">
        <v>0</v>
      </c>
      <c r="P83" s="136">
        <v>0</v>
      </c>
      <c r="Q83" s="136">
        <v>0</v>
      </c>
      <c r="R83" s="136">
        <v>0</v>
      </c>
      <c r="S83" s="136">
        <v>0</v>
      </c>
      <c r="T83" s="136">
        <v>0</v>
      </c>
      <c r="U83" s="136">
        <v>-5514</v>
      </c>
      <c r="V83" s="136">
        <v>-6540</v>
      </c>
      <c r="W83" s="136">
        <v>-7697</v>
      </c>
      <c r="X83" s="136">
        <v>-10243</v>
      </c>
      <c r="Y83" s="136">
        <v>-8318</v>
      </c>
      <c r="Z83" s="136">
        <v>-6744</v>
      </c>
      <c r="AA83" s="136">
        <v>-7498</v>
      </c>
      <c r="AB83" s="136">
        <v>-7879</v>
      </c>
      <c r="AC83" s="136">
        <v>-8938</v>
      </c>
      <c r="AD83" s="136">
        <v>-7989</v>
      </c>
      <c r="AE83" s="136">
        <v>-7821</v>
      </c>
      <c r="AF83" s="136">
        <v>-7801</v>
      </c>
      <c r="AG83" s="136">
        <v>-7337</v>
      </c>
      <c r="AH83" s="136">
        <v>-7711</v>
      </c>
      <c r="AI83" s="136">
        <v>-11299</v>
      </c>
      <c r="AJ83" s="136">
        <v>-8738</v>
      </c>
      <c r="AK83" s="136">
        <v>-8139</v>
      </c>
      <c r="AL83" s="136">
        <v>-7850</v>
      </c>
      <c r="AM83" s="136">
        <v>-8241</v>
      </c>
      <c r="AN83" s="136">
        <v>-8760</v>
      </c>
      <c r="AO83" s="136">
        <v>-7662</v>
      </c>
      <c r="AP83" s="136">
        <v>-7743</v>
      </c>
      <c r="AQ83" s="136">
        <v>-8056</v>
      </c>
      <c r="AR83" s="136">
        <v>-8107</v>
      </c>
      <c r="AS83" s="136">
        <v>-7443</v>
      </c>
      <c r="AT83" s="136">
        <v>-7680</v>
      </c>
      <c r="AU83" s="136">
        <v>-7862</v>
      </c>
      <c r="AV83" s="136">
        <v>-8476</v>
      </c>
      <c r="AW83" s="136">
        <v>-8516</v>
      </c>
      <c r="AX83" s="136">
        <f>(IFERROR(+VLOOKUP($D83,'[3]DFC '!$A$7:$H$85,8,FALSE),0))-AW83</f>
        <v>-9388</v>
      </c>
    </row>
    <row r="84" spans="1:50" ht="12" customHeight="1" x14ac:dyDescent="0.2">
      <c r="A84" s="715" t="s">
        <v>1910</v>
      </c>
      <c r="B84" t="s">
        <v>1911</v>
      </c>
      <c r="D84" s="135" t="s">
        <v>1910</v>
      </c>
      <c r="E84" s="136">
        <v>-16</v>
      </c>
      <c r="F84" s="136">
        <v>-5.0000000000000009</v>
      </c>
      <c r="G84" s="136">
        <v>0</v>
      </c>
      <c r="H84" s="136">
        <v>-2666</v>
      </c>
      <c r="I84" s="136">
        <v>-2290</v>
      </c>
      <c r="J84" s="136">
        <v>-7</v>
      </c>
      <c r="K84" s="136">
        <f>-3790+2283</f>
        <v>-1507</v>
      </c>
      <c r="L84" s="136">
        <v>-7</v>
      </c>
      <c r="M84" s="136">
        <v>0</v>
      </c>
      <c r="N84" s="136">
        <v>0</v>
      </c>
      <c r="O84" s="136">
        <v>0</v>
      </c>
      <c r="P84" s="136">
        <v>0</v>
      </c>
      <c r="Q84" s="136">
        <v>0</v>
      </c>
      <c r="R84" s="136">
        <v>0</v>
      </c>
      <c r="S84" s="136">
        <v>0</v>
      </c>
      <c r="T84" s="136">
        <v>0</v>
      </c>
      <c r="U84" s="136">
        <v>0</v>
      </c>
      <c r="V84" s="136"/>
      <c r="W84" s="136">
        <v>0</v>
      </c>
      <c r="X84" s="136">
        <v>0</v>
      </c>
      <c r="Y84" s="136">
        <v>0</v>
      </c>
      <c r="Z84" s="136">
        <v>0</v>
      </c>
      <c r="AA84" s="136">
        <v>0</v>
      </c>
      <c r="AB84" s="136">
        <v>0</v>
      </c>
      <c r="AC84" s="136">
        <v>0</v>
      </c>
      <c r="AD84" s="136">
        <v>0</v>
      </c>
      <c r="AE84" s="136">
        <v>-25005</v>
      </c>
      <c r="AF84" s="136">
        <v>0</v>
      </c>
      <c r="AG84" s="136">
        <v>0</v>
      </c>
      <c r="AH84" s="136">
        <v>0</v>
      </c>
      <c r="AI84" s="136">
        <v>0</v>
      </c>
      <c r="AJ84" s="136">
        <v>0</v>
      </c>
      <c r="AK84" s="136">
        <v>0</v>
      </c>
      <c r="AL84" s="136">
        <v>0</v>
      </c>
      <c r="AM84" s="136">
        <v>0</v>
      </c>
      <c r="AN84" s="136">
        <v>0</v>
      </c>
      <c r="AO84" s="136">
        <v>0</v>
      </c>
      <c r="AP84" s="136">
        <v>0</v>
      </c>
      <c r="AQ84" s="136">
        <v>0</v>
      </c>
      <c r="AR84" s="136">
        <v>0</v>
      </c>
      <c r="AS84" s="136">
        <v>0</v>
      </c>
      <c r="AT84" s="136">
        <v>0</v>
      </c>
      <c r="AU84" s="136">
        <v>0</v>
      </c>
      <c r="AV84" s="136">
        <v>0</v>
      </c>
      <c r="AW84" s="136">
        <v>0</v>
      </c>
      <c r="AX84" s="136">
        <f>(IFERROR(+VLOOKUP($D84,'[3]DFC '!$A$7:$H$85,8,FALSE),0))-AW84</f>
        <v>0</v>
      </c>
    </row>
    <row r="85" spans="1:50" hidden="1" outlineLevel="1" x14ac:dyDescent="0.2">
      <c r="A85" t="s">
        <v>1340</v>
      </c>
      <c r="B85" t="s">
        <v>791</v>
      </c>
      <c r="D85" s="231" t="str">
        <f>IF([1]RENAME!$H$3=1,B85,A85)</f>
        <v>Instrumentos financeiros derivativos</v>
      </c>
      <c r="E85" s="232">
        <v>-3634</v>
      </c>
      <c r="F85" s="232">
        <v>43431</v>
      </c>
      <c r="G85" s="232">
        <v>-8198</v>
      </c>
      <c r="H85" s="232">
        <v>0</v>
      </c>
      <c r="I85" s="232">
        <v>0</v>
      </c>
      <c r="J85" s="232">
        <v>0</v>
      </c>
      <c r="K85" s="232">
        <v>0</v>
      </c>
      <c r="L85" s="232">
        <v>0</v>
      </c>
      <c r="M85" s="232">
        <v>0</v>
      </c>
      <c r="N85" s="232">
        <v>0</v>
      </c>
      <c r="O85" s="232">
        <v>0</v>
      </c>
      <c r="P85" s="232">
        <v>0</v>
      </c>
      <c r="Q85" s="232">
        <v>0</v>
      </c>
      <c r="R85" s="232">
        <v>0</v>
      </c>
      <c r="S85" s="232">
        <v>0</v>
      </c>
      <c r="T85" s="232">
        <v>-385</v>
      </c>
      <c r="U85" s="232">
        <v>0</v>
      </c>
      <c r="V85" s="232">
        <v>0</v>
      </c>
      <c r="W85" s="232">
        <v>0</v>
      </c>
      <c r="X85" s="232">
        <v>0</v>
      </c>
      <c r="Y85" s="232">
        <v>-593</v>
      </c>
      <c r="Z85" s="232">
        <v>0</v>
      </c>
      <c r="AA85" s="232">
        <v>17560</v>
      </c>
      <c r="AB85" s="232">
        <v>0</v>
      </c>
      <c r="AC85" s="232">
        <v>0</v>
      </c>
      <c r="AD85" s="232">
        <v>0</v>
      </c>
      <c r="AE85" s="232">
        <v>0</v>
      </c>
      <c r="AF85" s="232">
        <v>0</v>
      </c>
      <c r="AG85" s="232">
        <v>0</v>
      </c>
      <c r="AH85" s="232">
        <v>0</v>
      </c>
      <c r="AI85" s="136">
        <v>0</v>
      </c>
      <c r="AJ85" s="136">
        <v>0</v>
      </c>
      <c r="AK85" s="136">
        <f>IFERROR(+VLOOKUP($D85,'[3]DFC '!$A$7:$H$85,8,FALSE),0)</f>
        <v>0</v>
      </c>
      <c r="AL85" s="136">
        <f>IFERROR(+VLOOKUP($D85,'[3]DFC '!$A$7:$H$85,8,FALSE),0)</f>
        <v>0</v>
      </c>
      <c r="AM85" s="136">
        <f>IFERROR(+VLOOKUP($D85,'[3]DFC '!$A$7:$H$85,8,FALSE),0)</f>
        <v>0</v>
      </c>
      <c r="AN85" s="136">
        <f>IFERROR(+VLOOKUP($D85,'[3]DFC '!$A$7:$H$85,8,FALSE),0)</f>
        <v>0</v>
      </c>
      <c r="AO85" s="136">
        <f>IFERROR(+VLOOKUP($D85,'[3]DFC '!$A$7:$H$85,8,FALSE),0)</f>
        <v>0</v>
      </c>
      <c r="AP85" s="136"/>
      <c r="AQ85" s="136"/>
      <c r="AR85" s="136">
        <v>0</v>
      </c>
      <c r="AS85" s="136"/>
      <c r="AT85" s="136">
        <f>IFERROR(+VLOOKUP($D85,'[3]DFC '!$A$7:$H$85,8,FALSE),0)</f>
        <v>0</v>
      </c>
      <c r="AU85" s="136">
        <f>IFERROR(+VLOOKUP($D85,'[3]DFC '!$A$7:$H$85,8,FALSE),0)</f>
        <v>0</v>
      </c>
      <c r="AV85" s="136">
        <f>IFERROR(+VLOOKUP($D85,'[3]DFC '!$A$7:$H$85,8,FALSE),0)</f>
        <v>0</v>
      </c>
      <c r="AW85" s="136">
        <f>IFERROR(+VLOOKUP($D85,'[3]DFC '!$A$7:$H$85,8,FALSE),0)</f>
        <v>0</v>
      </c>
      <c r="AX85" s="136">
        <f>IFERROR(+VLOOKUP($D85,'[3]DFC '!$A$7:$H$85,8,FALSE),0)</f>
        <v>0</v>
      </c>
    </row>
    <row r="86" spans="1:50" hidden="1" outlineLevel="1" x14ac:dyDescent="0.2">
      <c r="A86" t="s">
        <v>344</v>
      </c>
      <c r="B86" t="s">
        <v>772</v>
      </c>
      <c r="D86" s="231" t="str">
        <f>IF([1]RENAME!$H$3=1,B86,A86)</f>
        <v>Aumento (redução) de partes relacionadas</v>
      </c>
      <c r="E86" s="232">
        <v>77</v>
      </c>
      <c r="F86" s="232">
        <v>-77</v>
      </c>
      <c r="G86" s="232">
        <v>0</v>
      </c>
      <c r="H86" s="232">
        <v>0</v>
      </c>
      <c r="I86" s="232">
        <v>0</v>
      </c>
      <c r="J86" s="232">
        <v>0</v>
      </c>
      <c r="K86" s="232">
        <v>0</v>
      </c>
      <c r="L86" s="232">
        <v>0</v>
      </c>
      <c r="M86" s="232">
        <v>0</v>
      </c>
      <c r="N86" s="232">
        <v>0</v>
      </c>
      <c r="O86" s="232">
        <v>0</v>
      </c>
      <c r="P86" s="232">
        <v>0</v>
      </c>
      <c r="Q86" s="232">
        <v>0</v>
      </c>
      <c r="R86" s="232">
        <v>0</v>
      </c>
      <c r="S86" s="232">
        <v>0</v>
      </c>
      <c r="T86" s="232">
        <v>0</v>
      </c>
      <c r="U86" s="232">
        <v>0</v>
      </c>
      <c r="V86" s="232"/>
      <c r="W86" s="232">
        <v>0</v>
      </c>
      <c r="X86" s="232">
        <v>0</v>
      </c>
      <c r="Y86" s="232">
        <v>0</v>
      </c>
      <c r="Z86" s="232">
        <v>0</v>
      </c>
      <c r="AA86" s="232">
        <v>0</v>
      </c>
      <c r="AB86" s="232">
        <v>0</v>
      </c>
      <c r="AC86" s="232">
        <v>0</v>
      </c>
      <c r="AD86" s="232">
        <v>0</v>
      </c>
      <c r="AE86" s="232">
        <v>0</v>
      </c>
      <c r="AF86" s="232">
        <v>0</v>
      </c>
      <c r="AG86" s="232">
        <v>0</v>
      </c>
      <c r="AH86" s="232">
        <v>0</v>
      </c>
      <c r="AI86" s="232">
        <v>0</v>
      </c>
      <c r="AJ86" s="232">
        <v>0</v>
      </c>
      <c r="AK86" s="136">
        <f>IFERROR(+VLOOKUP($D86,'[3]DFC '!$A$7:$H$85,8,FALSE),0)</f>
        <v>0</v>
      </c>
      <c r="AL86" s="136">
        <f>IFERROR(+VLOOKUP($D86,'[3]DFC '!$A$7:$H$85,8,FALSE),0)</f>
        <v>0</v>
      </c>
      <c r="AM86" s="136">
        <f>IFERROR(+VLOOKUP($D86,'[3]DFC '!$A$7:$H$85,8,FALSE),0)</f>
        <v>0</v>
      </c>
      <c r="AN86" s="136">
        <f>IFERROR(+VLOOKUP($D86,'[3]DFC '!$A$7:$H$85,8,FALSE),0)</f>
        <v>0</v>
      </c>
      <c r="AO86" s="136">
        <f>IFERROR(+VLOOKUP($D86,'[3]DFC '!$A$7:$H$85,8,FALSE),0)</f>
        <v>0</v>
      </c>
      <c r="AP86" s="136"/>
      <c r="AQ86" s="136"/>
      <c r="AR86" s="136">
        <v>0</v>
      </c>
      <c r="AS86" s="136"/>
      <c r="AT86" s="136">
        <f>IFERROR(+VLOOKUP($D86,'[3]DFC '!$A$7:$H$85,8,FALSE),0)</f>
        <v>0</v>
      </c>
      <c r="AU86" s="136">
        <f>IFERROR(+VLOOKUP($D86,'[3]DFC '!$A$7:$H$85,8,FALSE),0)</f>
        <v>0</v>
      </c>
      <c r="AV86" s="136">
        <f>IFERROR(+VLOOKUP($D86,'[3]DFC '!$A$7:$H$85,8,FALSE),0)</f>
        <v>0</v>
      </c>
      <c r="AW86" s="136">
        <f>IFERROR(+VLOOKUP($D86,'[3]DFC '!$A$7:$H$85,8,FALSE),0)</f>
        <v>0</v>
      </c>
      <c r="AX86" s="136">
        <f>IFERROR(+VLOOKUP($D86,'[3]DFC '!$A$7:$H$85,8,FALSE),0)</f>
        <v>0</v>
      </c>
    </row>
    <row r="87" spans="1:50" ht="25.5" collapsed="1" x14ac:dyDescent="0.2">
      <c r="A87" t="s">
        <v>356</v>
      </c>
      <c r="B87" t="s">
        <v>1530</v>
      </c>
      <c r="D87" s="133" t="str">
        <f>IF([1]RENAME!$H$3=1,B87,A87)</f>
        <v>(C) Caixa líquido proveniente das (aplicado nas) atividades de financiamento</v>
      </c>
      <c r="E87" s="134">
        <f t="shared" ref="E87:AH87" si="46">SUM(E80:E86)</f>
        <v>-4490</v>
      </c>
      <c r="F87" s="134">
        <f t="shared" si="46"/>
        <v>-119718</v>
      </c>
      <c r="G87" s="134">
        <f t="shared" si="46"/>
        <v>-14003</v>
      </c>
      <c r="H87" s="134">
        <f t="shared" si="46"/>
        <v>-3279</v>
      </c>
      <c r="I87" s="134">
        <f t="shared" si="46"/>
        <v>-22712</v>
      </c>
      <c r="J87" s="134">
        <f t="shared" si="46"/>
        <v>-313</v>
      </c>
      <c r="K87" s="134">
        <f t="shared" si="46"/>
        <v>-1807</v>
      </c>
      <c r="L87" s="134">
        <f t="shared" si="46"/>
        <v>-50264</v>
      </c>
      <c r="M87" s="134">
        <f t="shared" si="46"/>
        <v>-65578</v>
      </c>
      <c r="N87" s="134">
        <f t="shared" si="46"/>
        <v>44868.804740000036</v>
      </c>
      <c r="O87" s="134">
        <f t="shared" si="46"/>
        <v>-65005.884591548151</v>
      </c>
      <c r="P87" s="134">
        <f t="shared" si="46"/>
        <v>-7906.1154084518494</v>
      </c>
      <c r="Q87" s="134">
        <f t="shared" si="46"/>
        <v>-66800</v>
      </c>
      <c r="R87" s="134">
        <f t="shared" si="46"/>
        <v>-43476</v>
      </c>
      <c r="S87" s="134">
        <f t="shared" si="46"/>
        <v>-11090</v>
      </c>
      <c r="T87" s="134">
        <f t="shared" si="46"/>
        <v>-15939</v>
      </c>
      <c r="U87" s="134">
        <f t="shared" si="46"/>
        <v>-22190</v>
      </c>
      <c r="V87" s="134">
        <f t="shared" si="46"/>
        <v>-38179</v>
      </c>
      <c r="W87" s="134">
        <f t="shared" si="46"/>
        <v>-37265</v>
      </c>
      <c r="X87" s="134">
        <f t="shared" si="46"/>
        <v>-59273</v>
      </c>
      <c r="Y87" s="134">
        <f t="shared" si="46"/>
        <v>-8911</v>
      </c>
      <c r="Z87" s="134">
        <f t="shared" si="46"/>
        <v>79923</v>
      </c>
      <c r="AA87" s="134">
        <f t="shared" si="46"/>
        <v>-41311</v>
      </c>
      <c r="AB87" s="134">
        <f t="shared" si="46"/>
        <v>-30310</v>
      </c>
      <c r="AC87" s="134">
        <f t="shared" si="46"/>
        <v>-8938</v>
      </c>
      <c r="AD87" s="134">
        <f t="shared" si="46"/>
        <v>-60530</v>
      </c>
      <c r="AE87" s="134">
        <f t="shared" si="46"/>
        <v>-54983</v>
      </c>
      <c r="AF87" s="134">
        <f t="shared" si="46"/>
        <v>-24919</v>
      </c>
      <c r="AG87" s="134">
        <f t="shared" si="46"/>
        <v>-17337</v>
      </c>
      <c r="AH87" s="134">
        <f t="shared" si="46"/>
        <v>-80050</v>
      </c>
      <c r="AI87" s="134">
        <f t="shared" ref="AI87:AO87" si="47">SUM(AI80:AI86)</f>
        <v>-35888</v>
      </c>
      <c r="AJ87" s="134">
        <f t="shared" si="47"/>
        <v>-3205</v>
      </c>
      <c r="AK87" s="134">
        <f t="shared" si="47"/>
        <v>-18139</v>
      </c>
      <c r="AL87" s="134">
        <f t="shared" si="47"/>
        <v>-47413</v>
      </c>
      <c r="AM87" s="134">
        <f t="shared" si="47"/>
        <v>-39623</v>
      </c>
      <c r="AN87" s="134">
        <f t="shared" si="47"/>
        <v>-39361</v>
      </c>
      <c r="AO87" s="134">
        <f t="shared" si="47"/>
        <v>-1752</v>
      </c>
      <c r="AP87" s="134">
        <f t="shared" ref="AP87:AX87" si="48">SUM(AP80:AP86)</f>
        <v>-56727</v>
      </c>
      <c r="AQ87" s="134">
        <f t="shared" si="48"/>
        <v>-88500</v>
      </c>
      <c r="AR87" s="134">
        <f t="shared" si="48"/>
        <v>-60108</v>
      </c>
      <c r="AS87" s="134">
        <f t="shared" si="48"/>
        <v>-1939</v>
      </c>
      <c r="AT87" s="134">
        <f t="shared" si="48"/>
        <v>-47670</v>
      </c>
      <c r="AU87" s="134">
        <f t="shared" si="48"/>
        <v>-120326</v>
      </c>
      <c r="AV87" s="134">
        <f t="shared" si="48"/>
        <v>-133723</v>
      </c>
      <c r="AW87" s="134">
        <f>SUM(AW80:AW86)</f>
        <v>-9534</v>
      </c>
      <c r="AX87" s="134">
        <f t="shared" si="48"/>
        <v>4332</v>
      </c>
    </row>
    <row r="88" spans="1:50" s="233" customFormat="1" ht="25.5" hidden="1" outlineLevel="1" x14ac:dyDescent="0.2">
      <c r="A88" s="233" t="s">
        <v>357</v>
      </c>
      <c r="B88" s="233" t="s">
        <v>792</v>
      </c>
      <c r="C88" s="266"/>
      <c r="D88" s="231" t="str">
        <f>IF([1]RENAME!$H$3=1,B88,A88)</f>
        <v>Prejuízo antes do imposto de renda e da contribuição social das operações descontinuadas</v>
      </c>
      <c r="E88" s="232">
        <v>0</v>
      </c>
      <c r="F88" s="232">
        <v>0</v>
      </c>
      <c r="G88" s="232">
        <v>0</v>
      </c>
      <c r="H88" s="232">
        <v>0</v>
      </c>
      <c r="I88" s="232">
        <v>0</v>
      </c>
      <c r="J88" s="232">
        <v>0</v>
      </c>
      <c r="K88" s="232">
        <v>0</v>
      </c>
      <c r="L88" s="232">
        <v>0</v>
      </c>
      <c r="M88" s="232">
        <v>0</v>
      </c>
      <c r="N88" s="232">
        <v>0</v>
      </c>
      <c r="O88" s="232">
        <v>0</v>
      </c>
      <c r="P88" s="232">
        <v>0</v>
      </c>
      <c r="Q88" s="232">
        <v>0</v>
      </c>
      <c r="R88" s="232">
        <v>0</v>
      </c>
      <c r="S88" s="232">
        <v>0</v>
      </c>
      <c r="T88" s="232">
        <v>0</v>
      </c>
      <c r="U88" s="232">
        <v>0</v>
      </c>
      <c r="V88" s="232">
        <v>0</v>
      </c>
      <c r="W88" s="232">
        <v>0</v>
      </c>
      <c r="X88" s="136">
        <v>0</v>
      </c>
      <c r="Y88" s="136">
        <v>0</v>
      </c>
      <c r="Z88" s="136">
        <v>0</v>
      </c>
      <c r="AA88" s="136">
        <v>0</v>
      </c>
      <c r="AB88" s="136">
        <v>0</v>
      </c>
      <c r="AC88" s="136">
        <v>0</v>
      </c>
      <c r="AD88" s="136">
        <v>0</v>
      </c>
      <c r="AE88" s="136">
        <v>0</v>
      </c>
      <c r="AF88" s="136">
        <v>0</v>
      </c>
      <c r="AG88" s="136">
        <v>0</v>
      </c>
      <c r="AH88" s="136">
        <v>0</v>
      </c>
      <c r="AI88" s="136">
        <v>0</v>
      </c>
      <c r="AJ88" s="136">
        <v>0</v>
      </c>
      <c r="AK88" s="136">
        <v>0</v>
      </c>
      <c r="AL88" s="136">
        <v>0</v>
      </c>
      <c r="AM88" s="136">
        <v>0</v>
      </c>
      <c r="AN88" s="136">
        <v>0</v>
      </c>
      <c r="AO88" s="136">
        <v>0</v>
      </c>
      <c r="AP88" s="136">
        <v>0</v>
      </c>
      <c r="AQ88" s="136"/>
      <c r="AR88" s="136">
        <v>0</v>
      </c>
      <c r="AS88" s="136">
        <v>0</v>
      </c>
      <c r="AT88" s="136">
        <v>0</v>
      </c>
      <c r="AU88" s="136">
        <v>0</v>
      </c>
      <c r="AV88" s="136">
        <v>0</v>
      </c>
      <c r="AW88" s="136">
        <v>0</v>
      </c>
      <c r="AX88" s="136">
        <v>0</v>
      </c>
    </row>
    <row r="89" spans="1:50" s="233" customFormat="1" ht="25.5" hidden="1" outlineLevel="1" x14ac:dyDescent="0.2">
      <c r="A89" s="233" t="s">
        <v>358</v>
      </c>
      <c r="B89" s="233" t="s">
        <v>793</v>
      </c>
      <c r="C89" s="266"/>
      <c r="D89" s="231" t="str">
        <f>IF([1]RENAME!$H$3=1,B89,A89)</f>
        <v>Variação dos ativos e passivos de operação descontinuada</v>
      </c>
      <c r="E89" s="232">
        <v>0</v>
      </c>
      <c r="F89" s="232">
        <v>0</v>
      </c>
      <c r="G89" s="232">
        <v>0</v>
      </c>
      <c r="H89" s="232">
        <v>0</v>
      </c>
      <c r="I89" s="232">
        <v>0</v>
      </c>
      <c r="J89" s="232">
        <v>0</v>
      </c>
      <c r="K89" s="232">
        <v>0</v>
      </c>
      <c r="L89" s="232">
        <v>0</v>
      </c>
      <c r="M89" s="232">
        <v>0</v>
      </c>
      <c r="N89" s="232">
        <v>0</v>
      </c>
      <c r="O89" s="232">
        <v>0</v>
      </c>
      <c r="P89" s="232">
        <v>0</v>
      </c>
      <c r="Q89" s="232">
        <v>0</v>
      </c>
      <c r="R89" s="232">
        <v>0</v>
      </c>
      <c r="S89" s="232">
        <v>0</v>
      </c>
      <c r="T89" s="232">
        <v>0</v>
      </c>
      <c r="U89" s="232">
        <v>0</v>
      </c>
      <c r="V89" s="232">
        <v>0</v>
      </c>
      <c r="W89" s="232">
        <v>0</v>
      </c>
      <c r="X89" s="136">
        <v>0</v>
      </c>
      <c r="Y89" s="136">
        <v>0</v>
      </c>
      <c r="Z89" s="136">
        <v>0</v>
      </c>
      <c r="AA89" s="136">
        <v>0</v>
      </c>
      <c r="AB89" s="136">
        <v>0</v>
      </c>
      <c r="AC89" s="136">
        <v>0</v>
      </c>
      <c r="AD89" s="136">
        <v>0</v>
      </c>
      <c r="AE89" s="136">
        <v>0</v>
      </c>
      <c r="AF89" s="136">
        <v>0</v>
      </c>
      <c r="AG89" s="136">
        <v>0</v>
      </c>
      <c r="AH89" s="136">
        <v>0</v>
      </c>
      <c r="AI89" s="136">
        <v>0</v>
      </c>
      <c r="AJ89" s="136">
        <v>0</v>
      </c>
      <c r="AK89" s="136">
        <v>0</v>
      </c>
      <c r="AL89" s="136">
        <v>0</v>
      </c>
      <c r="AM89" s="136">
        <v>0</v>
      </c>
      <c r="AN89" s="136">
        <v>0</v>
      </c>
      <c r="AO89" s="136">
        <v>0</v>
      </c>
      <c r="AP89" s="136">
        <v>0</v>
      </c>
      <c r="AQ89" s="136"/>
      <c r="AR89" s="136">
        <v>0</v>
      </c>
      <c r="AS89" s="136">
        <v>0</v>
      </c>
      <c r="AT89" s="136">
        <v>0</v>
      </c>
      <c r="AU89" s="136">
        <v>0</v>
      </c>
      <c r="AV89" s="136">
        <v>0</v>
      </c>
      <c r="AW89" s="136">
        <v>0</v>
      </c>
      <c r="AX89" s="136">
        <v>0</v>
      </c>
    </row>
    <row r="90" spans="1:50" s="233" customFormat="1" hidden="1" outlineLevel="1" x14ac:dyDescent="0.2">
      <c r="A90" s="233" t="s">
        <v>359</v>
      </c>
      <c r="B90" s="233" t="s">
        <v>747</v>
      </c>
      <c r="C90" s="266"/>
      <c r="D90" s="231" t="str">
        <f>IF([1]RENAME!$H$3=1,B90,A90)</f>
        <v>Perda na venda de investimento</v>
      </c>
      <c r="E90" s="232">
        <v>0</v>
      </c>
      <c r="F90" s="232">
        <v>0</v>
      </c>
      <c r="G90" s="232">
        <v>0</v>
      </c>
      <c r="H90" s="232">
        <v>0</v>
      </c>
      <c r="I90" s="232">
        <v>0</v>
      </c>
      <c r="J90" s="232">
        <v>0</v>
      </c>
      <c r="K90" s="232">
        <v>0</v>
      </c>
      <c r="L90" s="232">
        <v>0</v>
      </c>
      <c r="M90" s="232">
        <v>0</v>
      </c>
      <c r="N90" s="232">
        <v>0</v>
      </c>
      <c r="O90" s="232">
        <v>0</v>
      </c>
      <c r="P90" s="232">
        <v>0</v>
      </c>
      <c r="Q90" s="232">
        <v>0</v>
      </c>
      <c r="R90" s="232">
        <v>0</v>
      </c>
      <c r="S90" s="232">
        <v>0</v>
      </c>
      <c r="T90" s="232">
        <v>0</v>
      </c>
      <c r="U90" s="232">
        <v>0</v>
      </c>
      <c r="V90" s="232">
        <v>0</v>
      </c>
      <c r="W90" s="232">
        <v>0</v>
      </c>
      <c r="X90" s="136">
        <v>0</v>
      </c>
      <c r="Y90" s="136">
        <v>0</v>
      </c>
      <c r="Z90" s="136">
        <v>0</v>
      </c>
      <c r="AA90" s="136">
        <v>0</v>
      </c>
      <c r="AB90" s="136">
        <v>0</v>
      </c>
      <c r="AC90" s="136">
        <v>0</v>
      </c>
      <c r="AD90" s="136">
        <v>0</v>
      </c>
      <c r="AE90" s="136">
        <v>0</v>
      </c>
      <c r="AF90" s="136">
        <v>0</v>
      </c>
      <c r="AG90" s="136">
        <v>0</v>
      </c>
      <c r="AH90" s="136">
        <v>0</v>
      </c>
      <c r="AI90" s="136">
        <v>0</v>
      </c>
      <c r="AJ90" s="136">
        <v>0</v>
      </c>
      <c r="AK90" s="136">
        <v>0</v>
      </c>
      <c r="AL90" s="136">
        <v>0</v>
      </c>
      <c r="AM90" s="136">
        <v>0</v>
      </c>
      <c r="AN90" s="136">
        <v>0</v>
      </c>
      <c r="AO90" s="136">
        <v>0</v>
      </c>
      <c r="AP90" s="136">
        <v>0</v>
      </c>
      <c r="AQ90" s="136"/>
      <c r="AR90" s="136">
        <v>0</v>
      </c>
      <c r="AS90" s="136">
        <v>0</v>
      </c>
      <c r="AT90" s="136">
        <v>0</v>
      </c>
      <c r="AU90" s="136">
        <v>0</v>
      </c>
      <c r="AV90" s="136">
        <v>0</v>
      </c>
      <c r="AW90" s="136">
        <v>0</v>
      </c>
      <c r="AX90" s="136">
        <v>0</v>
      </c>
    </row>
    <row r="91" spans="1:50" collapsed="1" x14ac:dyDescent="0.2">
      <c r="A91" t="s">
        <v>360</v>
      </c>
      <c r="B91" t="s">
        <v>794</v>
      </c>
      <c r="D91" s="133" t="str">
        <f>IF([1]RENAME!$H$3=1,B91,A91)</f>
        <v>(D) Caixa líquido de operações descontinuadas</v>
      </c>
      <c r="E91" s="134">
        <v>0</v>
      </c>
      <c r="F91" s="134">
        <f>SUM(F88:F90)</f>
        <v>0</v>
      </c>
      <c r="G91" s="134">
        <f>SUM(G88:G90)</f>
        <v>0</v>
      </c>
      <c r="H91" s="134">
        <v>0</v>
      </c>
      <c r="I91" s="134">
        <v>0</v>
      </c>
      <c r="J91" s="134">
        <v>0</v>
      </c>
      <c r="K91" s="134">
        <v>0</v>
      </c>
      <c r="L91" s="134">
        <v>0</v>
      </c>
      <c r="M91" s="134">
        <v>0</v>
      </c>
      <c r="N91" s="134">
        <v>0</v>
      </c>
      <c r="O91" s="134">
        <v>0</v>
      </c>
      <c r="P91" s="134">
        <v>0</v>
      </c>
      <c r="Q91" s="134">
        <v>0</v>
      </c>
      <c r="R91" s="134">
        <v>0</v>
      </c>
      <c r="S91" s="134">
        <v>0</v>
      </c>
      <c r="T91" s="134">
        <v>0</v>
      </c>
      <c r="U91" s="134">
        <v>0</v>
      </c>
      <c r="V91" s="134">
        <v>0</v>
      </c>
      <c r="W91" s="134">
        <v>0</v>
      </c>
      <c r="X91" s="134">
        <v>0</v>
      </c>
      <c r="Y91" s="134">
        <v>0</v>
      </c>
      <c r="Z91" s="134">
        <v>0</v>
      </c>
      <c r="AA91" s="134">
        <v>0</v>
      </c>
      <c r="AB91" s="134">
        <v>0</v>
      </c>
      <c r="AC91" s="134">
        <v>0</v>
      </c>
      <c r="AD91" s="134">
        <v>0</v>
      </c>
      <c r="AE91" s="134">
        <v>0</v>
      </c>
      <c r="AF91" s="134"/>
      <c r="AG91" s="134"/>
      <c r="AH91" s="134">
        <v>0</v>
      </c>
      <c r="AI91" s="134">
        <v>0</v>
      </c>
      <c r="AJ91" s="134">
        <v>0</v>
      </c>
      <c r="AK91" s="134">
        <v>0</v>
      </c>
      <c r="AL91" s="134">
        <v>0</v>
      </c>
      <c r="AM91" s="134">
        <v>0</v>
      </c>
      <c r="AN91" s="134">
        <v>0</v>
      </c>
      <c r="AO91" s="134">
        <v>0</v>
      </c>
      <c r="AP91" s="134">
        <v>0</v>
      </c>
      <c r="AQ91" s="134"/>
      <c r="AR91" s="134">
        <v>0</v>
      </c>
      <c r="AS91" s="134">
        <v>0</v>
      </c>
      <c r="AT91" s="134">
        <v>0</v>
      </c>
      <c r="AU91" s="134">
        <v>0</v>
      </c>
      <c r="AV91" s="134">
        <v>0</v>
      </c>
      <c r="AW91" s="134">
        <v>0</v>
      </c>
      <c r="AX91" s="134">
        <v>0</v>
      </c>
    </row>
    <row r="92" spans="1:50" x14ac:dyDescent="0.2">
      <c r="A92" t="s">
        <v>459</v>
      </c>
      <c r="B92" t="s">
        <v>795</v>
      </c>
      <c r="D92" s="133" t="str">
        <f>IF([1]RENAME!$H$3=1,B92,A92)</f>
        <v>Variação de caixa (A + B + C +D)</v>
      </c>
      <c r="E92" s="134">
        <f t="shared" ref="E92:AT92" si="49">SUM(E91,E87,E79,E63)</f>
        <v>79102.999999999971</v>
      </c>
      <c r="F92" s="134">
        <f t="shared" si="49"/>
        <v>-175455</v>
      </c>
      <c r="G92" s="134">
        <f t="shared" si="49"/>
        <v>75246.174780000001</v>
      </c>
      <c r="H92" s="134">
        <f t="shared" si="49"/>
        <v>7508</v>
      </c>
      <c r="I92" s="134">
        <f t="shared" si="49"/>
        <v>18433.999720000022</v>
      </c>
      <c r="J92" s="134">
        <f t="shared" si="49"/>
        <v>-13476.999999999998</v>
      </c>
      <c r="K92" s="134">
        <f t="shared" si="49"/>
        <v>22702</v>
      </c>
      <c r="L92" s="134">
        <f t="shared" si="49"/>
        <v>-49060</v>
      </c>
      <c r="M92" s="134">
        <f t="shared" si="49"/>
        <v>-66844.999999999985</v>
      </c>
      <c r="N92" s="134">
        <f t="shared" si="49"/>
        <v>57017</v>
      </c>
      <c r="O92" s="134">
        <f t="shared" si="49"/>
        <v>-37723</v>
      </c>
      <c r="P92" s="134">
        <f t="shared" si="49"/>
        <v>3424.9999999999964</v>
      </c>
      <c r="Q92" s="134">
        <f t="shared" si="49"/>
        <v>-23266</v>
      </c>
      <c r="R92" s="134">
        <f t="shared" si="49"/>
        <v>-34777</v>
      </c>
      <c r="S92" s="134">
        <f t="shared" si="49"/>
        <v>7275</v>
      </c>
      <c r="T92" s="134">
        <f t="shared" si="49"/>
        <v>-14422</v>
      </c>
      <c r="U92" s="134">
        <f t="shared" si="49"/>
        <v>24452</v>
      </c>
      <c r="V92" s="134">
        <f t="shared" si="49"/>
        <v>-1219</v>
      </c>
      <c r="W92" s="134">
        <f t="shared" si="49"/>
        <v>5332.5649900000208</v>
      </c>
      <c r="X92" s="134">
        <f t="shared" si="49"/>
        <v>-44775.740880000012</v>
      </c>
      <c r="Y92" s="134">
        <f t="shared" si="49"/>
        <v>58608.393389999968</v>
      </c>
      <c r="Z92" s="134">
        <f t="shared" si="49"/>
        <v>160562.51578000002</v>
      </c>
      <c r="AA92" s="134">
        <f t="shared" si="49"/>
        <v>-38708.583880000042</v>
      </c>
      <c r="AB92" s="134">
        <f t="shared" si="49"/>
        <v>12592.838950000027</v>
      </c>
      <c r="AC92" s="134">
        <f t="shared" si="49"/>
        <v>44522.245349999932</v>
      </c>
      <c r="AD92" s="134">
        <f t="shared" si="49"/>
        <v>-60380.039148800017</v>
      </c>
      <c r="AE92" s="134">
        <f t="shared" si="49"/>
        <v>-23108.039800000006</v>
      </c>
      <c r="AF92" s="134">
        <f t="shared" si="49"/>
        <v>-74292.516980000059</v>
      </c>
      <c r="AG92" s="134">
        <f t="shared" si="49"/>
        <v>63375.709109999967</v>
      </c>
      <c r="AH92" s="134">
        <f t="shared" si="49"/>
        <v>-90772.300944425049</v>
      </c>
      <c r="AI92" s="134">
        <f t="shared" si="49"/>
        <v>17527.003068400016</v>
      </c>
      <c r="AJ92" s="134">
        <f t="shared" si="49"/>
        <v>53065.361847199965</v>
      </c>
      <c r="AK92" s="134">
        <f t="shared" si="49"/>
        <v>51748.848997799796</v>
      </c>
      <c r="AL92" s="134">
        <f t="shared" si="49"/>
        <v>-5001.6813599997986</v>
      </c>
      <c r="AM92" s="134">
        <f t="shared" si="49"/>
        <v>21600.701230000093</v>
      </c>
      <c r="AN92" s="134">
        <f t="shared" si="49"/>
        <v>-26083.308489999814</v>
      </c>
      <c r="AO92" s="134">
        <f t="shared" si="49"/>
        <v>67265.066839999767</v>
      </c>
      <c r="AP92" s="134">
        <f t="shared" si="49"/>
        <v>-16994.342319999938</v>
      </c>
      <c r="AQ92" s="134">
        <f t="shared" si="49"/>
        <v>-18675.312499999884</v>
      </c>
      <c r="AR92" s="134">
        <f t="shared" si="49"/>
        <v>-22791.037750300136</v>
      </c>
      <c r="AS92" s="134">
        <f>SUM(AS91,AS87,AS79,AS63)</f>
        <v>97862.684299999877</v>
      </c>
      <c r="AT92" s="134">
        <f t="shared" si="49"/>
        <v>7961.5088799998048</v>
      </c>
      <c r="AU92" s="134">
        <f>SUM(AU91,AU87,AU79,AU63)</f>
        <v>-101479.00896999994</v>
      </c>
      <c r="AV92" s="134">
        <f>SUM(AV91,AV87,AV79,AV63)</f>
        <v>-131796.6220800002</v>
      </c>
      <c r="AW92" s="134">
        <f>SUM(AW91,AW87,AW79,AW63)</f>
        <v>70336.896120000078</v>
      </c>
      <c r="AX92" s="134">
        <f>SUM(AX91,AX87,AX79,AX63)</f>
        <v>12731.685519999752</v>
      </c>
    </row>
    <row r="93" spans="1:50" x14ac:dyDescent="0.2">
      <c r="A93" t="s">
        <v>361</v>
      </c>
      <c r="B93" t="s">
        <v>796</v>
      </c>
      <c r="D93" s="135" t="str">
        <f>IF([1]RENAME!$H$3=1,B93,A93)</f>
        <v>Caixa no início do período</v>
      </c>
      <c r="E93" s="136">
        <f>+BP!X7</f>
        <v>227857</v>
      </c>
      <c r="F93" s="136">
        <f>+BP!Y7</f>
        <v>306960</v>
      </c>
      <c r="G93" s="136">
        <f>+BP!Z7</f>
        <v>131505</v>
      </c>
      <c r="H93" s="136">
        <f>+BP!AA7</f>
        <v>206751</v>
      </c>
      <c r="I93" s="136">
        <f>+BP!AB7</f>
        <v>214259</v>
      </c>
      <c r="J93" s="136">
        <f>+BP!AC7</f>
        <v>232693</v>
      </c>
      <c r="K93" s="136">
        <f>+BP!AD7</f>
        <v>219216</v>
      </c>
      <c r="L93" s="136">
        <f>+BP!AE7</f>
        <v>241918</v>
      </c>
      <c r="M93" s="136">
        <f>+BP!AF7</f>
        <v>192858</v>
      </c>
      <c r="N93" s="136">
        <f>+BP!AG7</f>
        <v>126013</v>
      </c>
      <c r="O93" s="136">
        <f>+BP!AH7</f>
        <v>183030</v>
      </c>
      <c r="P93" s="136">
        <f>+BP!AI7</f>
        <v>145307</v>
      </c>
      <c r="Q93" s="136">
        <f>+BP!AJ7</f>
        <v>148732</v>
      </c>
      <c r="R93" s="136">
        <f t="shared" ref="R93:X93" si="50">+Q94</f>
        <v>125466</v>
      </c>
      <c r="S93" s="136">
        <f t="shared" si="50"/>
        <v>90689</v>
      </c>
      <c r="T93" s="136">
        <f t="shared" si="50"/>
        <v>97964</v>
      </c>
      <c r="U93" s="136">
        <f t="shared" si="50"/>
        <v>83542</v>
      </c>
      <c r="V93" s="136">
        <f t="shared" si="50"/>
        <v>107994</v>
      </c>
      <c r="W93" s="136">
        <f t="shared" si="50"/>
        <v>106775</v>
      </c>
      <c r="X93" s="136">
        <f t="shared" si="50"/>
        <v>112108</v>
      </c>
      <c r="Y93" s="136">
        <f t="shared" ref="Y93:AE93" si="51">+X94</f>
        <v>67332</v>
      </c>
      <c r="Z93" s="136">
        <f t="shared" si="51"/>
        <v>125940</v>
      </c>
      <c r="AA93" s="136">
        <f t="shared" si="51"/>
        <v>286503</v>
      </c>
      <c r="AB93" s="136">
        <f t="shared" si="51"/>
        <v>247793</v>
      </c>
      <c r="AC93" s="136">
        <f t="shared" si="51"/>
        <v>260387</v>
      </c>
      <c r="AD93" s="136">
        <f t="shared" si="51"/>
        <v>304909</v>
      </c>
      <c r="AE93" s="136">
        <f t="shared" si="51"/>
        <v>244529</v>
      </c>
      <c r="AF93" s="136">
        <f t="shared" ref="AF93:AO93" si="52">+AE94</f>
        <v>221421</v>
      </c>
      <c r="AG93" s="136">
        <f t="shared" si="52"/>
        <v>147128</v>
      </c>
      <c r="AH93" s="136">
        <f t="shared" si="52"/>
        <v>210504</v>
      </c>
      <c r="AI93" s="136">
        <f t="shared" si="52"/>
        <v>119723</v>
      </c>
      <c r="AJ93" s="136">
        <f t="shared" si="52"/>
        <v>137242</v>
      </c>
      <c r="AK93" s="136">
        <f t="shared" si="52"/>
        <v>190299</v>
      </c>
      <c r="AL93" s="136">
        <f t="shared" si="52"/>
        <v>242048</v>
      </c>
      <c r="AM93" s="136">
        <f t="shared" si="52"/>
        <v>237038</v>
      </c>
      <c r="AN93" s="136">
        <f t="shared" si="52"/>
        <v>258630</v>
      </c>
      <c r="AO93" s="136">
        <f t="shared" si="52"/>
        <v>232539</v>
      </c>
      <c r="AP93" s="136">
        <f t="shared" ref="AP93:AV93" si="53">+AO94</f>
        <v>299796</v>
      </c>
      <c r="AQ93" s="136">
        <f t="shared" si="53"/>
        <v>282802</v>
      </c>
      <c r="AR93" s="136">
        <f t="shared" si="53"/>
        <v>264126</v>
      </c>
      <c r="AS93" s="136">
        <f t="shared" si="53"/>
        <v>241335</v>
      </c>
      <c r="AT93" s="136">
        <f t="shared" si="53"/>
        <v>339197</v>
      </c>
      <c r="AU93" s="136">
        <f t="shared" si="53"/>
        <v>347151</v>
      </c>
      <c r="AV93" s="136">
        <f t="shared" si="53"/>
        <v>245664</v>
      </c>
      <c r="AW93" s="136">
        <f>+AV94</f>
        <v>113860</v>
      </c>
      <c r="AX93" s="136">
        <f>+AW94</f>
        <v>184189</v>
      </c>
    </row>
    <row r="94" spans="1:50" x14ac:dyDescent="0.2">
      <c r="A94" t="s">
        <v>362</v>
      </c>
      <c r="B94" t="s">
        <v>797</v>
      </c>
      <c r="D94" s="238" t="str">
        <f>IF([1]RENAME!$H$3=1,B94,A94)</f>
        <v>Caixa no final do período</v>
      </c>
      <c r="E94" s="239">
        <f>BP!Y7</f>
        <v>306960</v>
      </c>
      <c r="F94" s="239">
        <f>BP!Z7</f>
        <v>131505</v>
      </c>
      <c r="G94" s="239">
        <f>BP!AA7</f>
        <v>206751</v>
      </c>
      <c r="H94" s="239">
        <f>BP!AB7</f>
        <v>214259</v>
      </c>
      <c r="I94" s="239">
        <f>BP!AC7</f>
        <v>232693</v>
      </c>
      <c r="J94" s="239">
        <f>BP!AD7</f>
        <v>219216</v>
      </c>
      <c r="K94" s="239">
        <f>BP!AE7</f>
        <v>241918</v>
      </c>
      <c r="L94" s="239">
        <f>BP!AF7</f>
        <v>192858</v>
      </c>
      <c r="M94" s="239">
        <f>BP!AG7</f>
        <v>126013</v>
      </c>
      <c r="N94" s="239">
        <f>BP!AH7</f>
        <v>183030</v>
      </c>
      <c r="O94" s="239">
        <f>BP!AI7</f>
        <v>145307</v>
      </c>
      <c r="P94" s="239">
        <f>BP!AJ7</f>
        <v>148732</v>
      </c>
      <c r="Q94" s="239">
        <f>BP!AK7</f>
        <v>125466</v>
      </c>
      <c r="R94" s="239">
        <f>BP!AL7</f>
        <v>90689</v>
      </c>
      <c r="S94" s="239">
        <f>BP!AM7</f>
        <v>97964</v>
      </c>
      <c r="T94" s="239">
        <f>BP!AN7</f>
        <v>83542</v>
      </c>
      <c r="U94" s="239">
        <f>BP!AO7</f>
        <v>107994</v>
      </c>
      <c r="V94" s="239">
        <f>BP!AP7</f>
        <v>106775</v>
      </c>
      <c r="W94" s="239">
        <f>BP!AQ7</f>
        <v>112108</v>
      </c>
      <c r="X94" s="239">
        <f>BP!AR7</f>
        <v>67332</v>
      </c>
      <c r="Y94" s="239">
        <f>BP!AS7</f>
        <v>125940</v>
      </c>
      <c r="Z94" s="239">
        <f>BP!AT7</f>
        <v>286503</v>
      </c>
      <c r="AA94" s="239">
        <f>BP!AU7</f>
        <v>247793</v>
      </c>
      <c r="AB94" s="239">
        <f>BP!AV7</f>
        <v>260387</v>
      </c>
      <c r="AC94" s="239">
        <f>BP!AW7</f>
        <v>304909</v>
      </c>
      <c r="AD94" s="239">
        <f>BP!AX7</f>
        <v>244529</v>
      </c>
      <c r="AE94" s="239">
        <f>BP!AY7</f>
        <v>221421</v>
      </c>
      <c r="AF94" s="239">
        <f>BP!AZ7</f>
        <v>147128</v>
      </c>
      <c r="AG94" s="239">
        <f>BP!BA7</f>
        <v>210504</v>
      </c>
      <c r="AH94" s="239">
        <f>BP!BB7</f>
        <v>119723</v>
      </c>
      <c r="AI94" s="239">
        <f>BP!BC7</f>
        <v>137242</v>
      </c>
      <c r="AJ94" s="239">
        <f>BP!BD7</f>
        <v>190299</v>
      </c>
      <c r="AK94" s="239">
        <f>BP!BE7</f>
        <v>242048</v>
      </c>
      <c r="AL94" s="239">
        <f>BP!BF7</f>
        <v>237038</v>
      </c>
      <c r="AM94" s="239">
        <f>BP!BG7</f>
        <v>258630</v>
      </c>
      <c r="AN94" s="239">
        <f>BP!BH7</f>
        <v>232539</v>
      </c>
      <c r="AO94" s="239">
        <f>BP!BI7</f>
        <v>299796</v>
      </c>
      <c r="AP94" s="239">
        <f>BP!BJ7</f>
        <v>282802</v>
      </c>
      <c r="AQ94" s="239">
        <f>BP!BK7</f>
        <v>264126</v>
      </c>
      <c r="AR94" s="239">
        <f>BP!BL7</f>
        <v>241335</v>
      </c>
      <c r="AS94" s="239">
        <f>BP!BM7</f>
        <v>339197</v>
      </c>
      <c r="AT94" s="239">
        <f>BP!BN7</f>
        <v>347151</v>
      </c>
      <c r="AU94" s="239">
        <f>BP!BO7</f>
        <v>245664</v>
      </c>
      <c r="AV94" s="239">
        <f>BP!BP7</f>
        <v>113860</v>
      </c>
      <c r="AW94" s="239">
        <f>BP!BQ7</f>
        <v>184189</v>
      </c>
      <c r="AX94" s="239">
        <f>BP!BR7</f>
        <v>196923</v>
      </c>
    </row>
    <row r="95" spans="1:50" x14ac:dyDescent="0.2">
      <c r="A95" t="s">
        <v>237</v>
      </c>
      <c r="B95" t="s">
        <v>237</v>
      </c>
      <c r="D95" s="60" t="str">
        <f>IF([1]RENAME!$H$3=1,B95,A95)</f>
        <v xml:space="preserve">     </v>
      </c>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37"/>
      <c r="AL95" s="137"/>
      <c r="AM95" s="137"/>
      <c r="AN95" s="137"/>
      <c r="AO95" s="1230"/>
      <c r="AP95" s="1230"/>
      <c r="AQ95" s="1230"/>
      <c r="AR95" s="1230"/>
      <c r="AS95" s="1230"/>
      <c r="AT95" s="1230"/>
      <c r="AU95" s="1230"/>
      <c r="AV95" s="1230"/>
      <c r="AW95" s="1230"/>
      <c r="AX95" s="1230"/>
    </row>
    <row r="96" spans="1:50" s="997" customFormat="1" x14ac:dyDescent="0.2">
      <c r="C96" s="998"/>
      <c r="E96" s="999">
        <f t="shared" ref="E96:V96" si="54">+E94-E93-E92</f>
        <v>0</v>
      </c>
      <c r="F96" s="999">
        <f t="shared" si="54"/>
        <v>0</v>
      </c>
      <c r="G96" s="999">
        <f t="shared" si="54"/>
        <v>-0.17478000000119209</v>
      </c>
      <c r="H96" s="999">
        <f t="shared" si="54"/>
        <v>0</v>
      </c>
      <c r="I96" s="999">
        <f t="shared" si="54"/>
        <v>2.7999997837468982E-4</v>
      </c>
      <c r="J96" s="999">
        <f t="shared" si="54"/>
        <v>0</v>
      </c>
      <c r="K96" s="999">
        <f t="shared" si="54"/>
        <v>0</v>
      </c>
      <c r="L96" s="999">
        <f t="shared" si="54"/>
        <v>0</v>
      </c>
      <c r="M96" s="999">
        <f t="shared" si="54"/>
        <v>0</v>
      </c>
      <c r="N96" s="999">
        <f t="shared" si="54"/>
        <v>0</v>
      </c>
      <c r="O96" s="999">
        <f t="shared" si="54"/>
        <v>0</v>
      </c>
      <c r="P96" s="999">
        <f t="shared" si="54"/>
        <v>3.637978807091713E-12</v>
      </c>
      <c r="Q96" s="999">
        <f t="shared" si="54"/>
        <v>0</v>
      </c>
      <c r="R96" s="999">
        <f t="shared" si="54"/>
        <v>0</v>
      </c>
      <c r="S96" s="999">
        <f t="shared" si="54"/>
        <v>0</v>
      </c>
      <c r="T96" s="999">
        <f t="shared" si="54"/>
        <v>0</v>
      </c>
      <c r="U96" s="999">
        <f t="shared" si="54"/>
        <v>0</v>
      </c>
      <c r="V96" s="999">
        <f t="shared" si="54"/>
        <v>0</v>
      </c>
      <c r="W96" s="1019">
        <f>+W94-W93-W92</f>
        <v>0.43500999997922918</v>
      </c>
      <c r="X96" s="1019">
        <v>-0.25911999999516411</v>
      </c>
      <c r="Y96" s="1019">
        <f t="shared" ref="Y96:AH96" si="55">+Y94-Y93-Y92</f>
        <v>-0.393389999968349</v>
      </c>
      <c r="Z96" s="1019">
        <f t="shared" si="55"/>
        <v>0.48421999998390675</v>
      </c>
      <c r="AA96" s="1019">
        <f t="shared" si="55"/>
        <v>-1.4161199999580276</v>
      </c>
      <c r="AB96" s="1019">
        <f t="shared" si="55"/>
        <v>1.1610499999733292</v>
      </c>
      <c r="AC96" s="1019">
        <f t="shared" si="55"/>
        <v>-0.24534999993193196</v>
      </c>
      <c r="AD96" s="1019">
        <f t="shared" si="55"/>
        <v>3.9148800016846508E-2</v>
      </c>
      <c r="AE96" s="1019">
        <f t="shared" si="55"/>
        <v>3.980000000592554E-2</v>
      </c>
      <c r="AF96" s="1019">
        <f t="shared" si="55"/>
        <v>-0.48301999994146172</v>
      </c>
      <c r="AG96" s="1019">
        <f t="shared" si="55"/>
        <v>0.29089000003295951</v>
      </c>
      <c r="AH96" s="1019">
        <f t="shared" si="55"/>
        <v>-8.6990555749507621</v>
      </c>
      <c r="AI96" s="1019">
        <f t="shared" ref="AI96:AT96" si="56">+AI94-AI93-AI92</f>
        <v>-8.0030684000157635</v>
      </c>
      <c r="AJ96" s="1019">
        <f t="shared" si="56"/>
        <v>-8.3618471999652684</v>
      </c>
      <c r="AK96" s="1019">
        <f t="shared" si="56"/>
        <v>0.15100220020394772</v>
      </c>
      <c r="AL96" s="1019">
        <f t="shared" si="56"/>
        <v>-8.3186400002014125</v>
      </c>
      <c r="AM96" s="1019">
        <f t="shared" si="56"/>
        <v>-8.7012300000933465</v>
      </c>
      <c r="AN96" s="1019">
        <f t="shared" si="56"/>
        <v>-7.6915100001860992</v>
      </c>
      <c r="AO96" s="1019">
        <f t="shared" si="56"/>
        <v>-8.0668399997666711</v>
      </c>
      <c r="AP96" s="1019">
        <f t="shared" si="56"/>
        <v>0.34231999993789941</v>
      </c>
      <c r="AQ96" s="1019">
        <f t="shared" si="56"/>
        <v>-0.68750000011641532</v>
      </c>
      <c r="AR96" s="1019">
        <f t="shared" si="56"/>
        <v>3.7750300136394799E-2</v>
      </c>
      <c r="AS96" s="1019">
        <f t="shared" si="56"/>
        <v>-0.68429999987711199</v>
      </c>
      <c r="AT96" s="1019">
        <f t="shared" si="56"/>
        <v>-7.5088799998047762</v>
      </c>
      <c r="AU96" s="1019">
        <f>+AU94-AU93-AU92</f>
        <v>-7.9910300000628922</v>
      </c>
      <c r="AV96" s="1019">
        <f>+AV94-AV93-AV92</f>
        <v>-7.3779199997952674</v>
      </c>
      <c r="AW96" s="1019">
        <f>+AW94-AW93-AW92</f>
        <v>-7.8961200000776444</v>
      </c>
      <c r="AX96" s="1019">
        <f>+AX94-AX93-AX92</f>
        <v>2.3144800002482953</v>
      </c>
    </row>
    <row r="97" spans="1:52" s="327" customFormat="1" x14ac:dyDescent="0.2">
      <c r="C97" s="926"/>
      <c r="E97" s="1111"/>
      <c r="F97" s="1112"/>
    </row>
    <row r="98" spans="1:52" s="1075" customFormat="1" x14ac:dyDescent="0.2">
      <c r="C98" s="550"/>
      <c r="E98" s="1076"/>
      <c r="F98" s="1077"/>
      <c r="AK98" s="1209"/>
      <c r="AL98" s="1209"/>
      <c r="AM98" s="1209"/>
      <c r="AN98" s="1209"/>
      <c r="AQ98" s="1209"/>
      <c r="AR98" s="1209"/>
      <c r="AS98" s="1209"/>
      <c r="AT98" s="1209"/>
      <c r="AU98" s="1209"/>
      <c r="AV98" s="1209"/>
      <c r="AW98" s="1209"/>
      <c r="AX98" s="1209"/>
    </row>
    <row r="99" spans="1:52" s="1075" customFormat="1" x14ac:dyDescent="0.2">
      <c r="E99" s="1078"/>
      <c r="F99" s="1078"/>
      <c r="G99" s="1078"/>
      <c r="H99" s="550"/>
      <c r="I99" s="550"/>
      <c r="J99" s="550"/>
      <c r="K99" s="550"/>
      <c r="L99" s="550"/>
      <c r="M99" s="550"/>
      <c r="N99" s="550"/>
      <c r="O99" s="550"/>
      <c r="P99" s="550"/>
      <c r="Q99" s="550" t="s">
        <v>1582</v>
      </c>
      <c r="R99" s="550" t="s">
        <v>1582</v>
      </c>
      <c r="S99" s="550"/>
      <c r="T99" s="550"/>
      <c r="U99" s="550" t="s">
        <v>1577</v>
      </c>
      <c r="V99" s="550" t="s">
        <v>1577</v>
      </c>
      <c r="W99" s="550"/>
      <c r="X99" s="550"/>
      <c r="Y99" s="550" t="s">
        <v>1648</v>
      </c>
      <c r="Z99" s="550" t="s">
        <v>1648</v>
      </c>
      <c r="AA99" s="550"/>
      <c r="AB99" s="550"/>
      <c r="AC99" s="550" t="s">
        <v>1864</v>
      </c>
      <c r="AD99" s="550" t="s">
        <v>1864</v>
      </c>
      <c r="AE99" s="550"/>
      <c r="AF99" s="550"/>
      <c r="AG99" s="550" t="s">
        <v>1964</v>
      </c>
      <c r="AH99" s="550" t="s">
        <v>1964</v>
      </c>
      <c r="AI99" s="550"/>
      <c r="AJ99" s="550"/>
      <c r="AK99" s="550" t="s">
        <v>2071</v>
      </c>
      <c r="AL99" s="550" t="s">
        <v>2071</v>
      </c>
      <c r="AM99" s="550"/>
      <c r="AN99" s="550"/>
      <c r="AO99" s="550" t="s">
        <v>2154</v>
      </c>
      <c r="AP99" s="550" t="s">
        <v>2154</v>
      </c>
      <c r="AQ99" s="550"/>
      <c r="AR99" s="550"/>
      <c r="AS99" s="329" t="s">
        <v>2255</v>
      </c>
      <c r="AT99" s="329" t="s">
        <v>2255</v>
      </c>
      <c r="AU99" s="329"/>
      <c r="AV99" s="329"/>
      <c r="AW99" s="329" t="s">
        <v>2326</v>
      </c>
      <c r="AX99" s="329" t="s">
        <v>2326</v>
      </c>
      <c r="AY99" s="459"/>
      <c r="AZ99" s="459"/>
    </row>
    <row r="100" spans="1:52" s="1075" customFormat="1" x14ac:dyDescent="0.2">
      <c r="E100" s="550"/>
      <c r="F100" s="550"/>
      <c r="G100" s="550"/>
      <c r="H100" s="550"/>
      <c r="I100" s="550"/>
      <c r="J100" s="550"/>
      <c r="K100" s="550"/>
      <c r="L100" s="550"/>
      <c r="M100" s="550"/>
      <c r="N100" s="550"/>
      <c r="O100" s="550"/>
      <c r="P100" s="550"/>
      <c r="Q100" s="550" t="s">
        <v>1646</v>
      </c>
      <c r="R100" s="550" t="s">
        <v>1646</v>
      </c>
      <c r="S100" s="550" t="s">
        <v>1646</v>
      </c>
      <c r="T100" s="550"/>
      <c r="U100" s="550" t="s">
        <v>1645</v>
      </c>
      <c r="V100" s="550" t="s">
        <v>1645</v>
      </c>
      <c r="W100" s="550" t="s">
        <v>1645</v>
      </c>
      <c r="X100" s="550"/>
      <c r="Y100" s="550" t="s">
        <v>1647</v>
      </c>
      <c r="Z100" s="550" t="s">
        <v>1647</v>
      </c>
      <c r="AA100" s="550" t="s">
        <v>1647</v>
      </c>
      <c r="AB100" s="550"/>
      <c r="AC100" s="550" t="s">
        <v>1865</v>
      </c>
      <c r="AD100" s="550" t="s">
        <v>1865</v>
      </c>
      <c r="AE100" s="550" t="s">
        <v>1865</v>
      </c>
      <c r="AF100" s="550"/>
      <c r="AG100" s="550" t="s">
        <v>1950</v>
      </c>
      <c r="AH100" s="550" t="s">
        <v>1950</v>
      </c>
      <c r="AI100" s="550" t="s">
        <v>1950</v>
      </c>
      <c r="AJ100" s="550"/>
      <c r="AK100" s="550" t="s">
        <v>2072</v>
      </c>
      <c r="AL100" s="550" t="s">
        <v>2072</v>
      </c>
      <c r="AM100" s="550" t="s">
        <v>2072</v>
      </c>
      <c r="AN100" s="550"/>
      <c r="AO100" s="550" t="s">
        <v>2155</v>
      </c>
      <c r="AP100" s="550" t="s">
        <v>2155</v>
      </c>
      <c r="AQ100" s="550" t="s">
        <v>2155</v>
      </c>
      <c r="AR100" s="550"/>
      <c r="AS100" s="547" t="s">
        <v>2254</v>
      </c>
      <c r="AT100" s="547" t="s">
        <v>2254</v>
      </c>
      <c r="AU100" s="547" t="s">
        <v>2254</v>
      </c>
      <c r="AV100" s="547"/>
      <c r="AW100" s="547" t="s">
        <v>2327</v>
      </c>
      <c r="AX100" s="547" t="s">
        <v>2327</v>
      </c>
      <c r="AY100" s="459"/>
      <c r="AZ100" s="459"/>
    </row>
    <row r="101" spans="1:52" s="1075" customFormat="1" x14ac:dyDescent="0.2">
      <c r="E101" s="840">
        <f>F101</f>
        <v>2015</v>
      </c>
      <c r="F101" s="840">
        <f>G101</f>
        <v>2015</v>
      </c>
      <c r="G101" s="840">
        <f>H101</f>
        <v>2015</v>
      </c>
      <c r="H101" s="840">
        <f>I101-1</f>
        <v>2015</v>
      </c>
      <c r="I101" s="840">
        <f>J101</f>
        <v>2016</v>
      </c>
      <c r="J101" s="840">
        <f>K101</f>
        <v>2016</v>
      </c>
      <c r="K101" s="840">
        <f>L101</f>
        <v>2016</v>
      </c>
      <c r="L101" s="840">
        <f>M101-1</f>
        <v>2016</v>
      </c>
      <c r="M101" s="840">
        <f>N101</f>
        <v>2017</v>
      </c>
      <c r="N101" s="840">
        <f>O101</f>
        <v>2017</v>
      </c>
      <c r="O101" s="840">
        <f>P101</f>
        <v>2017</v>
      </c>
      <c r="P101" s="840">
        <f>Q101-1</f>
        <v>2017</v>
      </c>
      <c r="Q101" s="840">
        <f>R101</f>
        <v>2018</v>
      </c>
      <c r="R101" s="840">
        <f>S101</f>
        <v>2018</v>
      </c>
      <c r="S101" s="840">
        <f>T101</f>
        <v>2018</v>
      </c>
      <c r="T101" s="840">
        <f>U101-1</f>
        <v>2018</v>
      </c>
      <c r="U101" s="1079">
        <v>2019</v>
      </c>
      <c r="V101" s="1079">
        <v>2019</v>
      </c>
      <c r="W101" s="1079">
        <v>2019</v>
      </c>
      <c r="X101" s="1079">
        <v>2019</v>
      </c>
      <c r="Y101" s="1079">
        <v>2020</v>
      </c>
      <c r="Z101" s="1079">
        <v>2020</v>
      </c>
      <c r="AA101" s="1079">
        <v>2020</v>
      </c>
      <c r="AB101" s="1079">
        <v>2020</v>
      </c>
      <c r="AC101" s="1079">
        <v>2021</v>
      </c>
      <c r="AD101" s="1079">
        <v>2021</v>
      </c>
      <c r="AE101" s="1079">
        <v>2021</v>
      </c>
      <c r="AF101" s="1079">
        <v>2021</v>
      </c>
      <c r="AG101" s="1079">
        <v>2022</v>
      </c>
      <c r="AH101" s="1079">
        <v>2022</v>
      </c>
      <c r="AI101" s="1079">
        <v>2022</v>
      </c>
      <c r="AJ101" s="1079">
        <v>2022</v>
      </c>
      <c r="AK101" s="1079">
        <v>2023</v>
      </c>
      <c r="AL101" s="1079">
        <v>2023</v>
      </c>
      <c r="AM101" s="1079">
        <v>2023</v>
      </c>
      <c r="AN101" s="1079">
        <v>2023</v>
      </c>
      <c r="AO101" s="1079">
        <v>2024</v>
      </c>
      <c r="AP101" s="1079">
        <v>2024</v>
      </c>
      <c r="AQ101" s="1079">
        <v>2024</v>
      </c>
      <c r="AR101" s="1079">
        <v>2024</v>
      </c>
      <c r="AS101" s="1113">
        <v>2025</v>
      </c>
      <c r="AT101" s="1113">
        <v>2025</v>
      </c>
      <c r="AU101" s="1113">
        <v>2025</v>
      </c>
      <c r="AV101" s="1113">
        <v>2025</v>
      </c>
      <c r="AW101" s="1113">
        <v>2026</v>
      </c>
      <c r="AX101" s="1113">
        <v>2026</v>
      </c>
      <c r="AY101" s="1216"/>
      <c r="AZ101" s="1216"/>
    </row>
    <row r="102" spans="1:52" s="547" customFormat="1" x14ac:dyDescent="0.2">
      <c r="AI102" s="40"/>
      <c r="AJ102" s="40"/>
      <c r="AK102" s="327"/>
      <c r="AL102" s="327"/>
      <c r="AM102" s="327"/>
      <c r="AN102" s="327"/>
    </row>
    <row r="103" spans="1:52" s="547" customFormat="1" x14ac:dyDescent="0.2">
      <c r="E103" s="1075"/>
      <c r="F103" s="1075"/>
      <c r="G103" s="1075"/>
      <c r="H103" s="1075"/>
      <c r="I103" s="1075"/>
      <c r="J103" s="1075"/>
      <c r="K103" s="1075"/>
      <c r="L103" s="1075"/>
      <c r="M103" s="1075"/>
      <c r="N103" s="1075"/>
      <c r="O103" s="1075"/>
      <c r="P103" s="1075"/>
      <c r="Q103" s="1075"/>
      <c r="R103" s="1075"/>
      <c r="S103" s="1075"/>
      <c r="T103" s="1075"/>
      <c r="U103" s="1075"/>
      <c r="V103" s="1075"/>
      <c r="W103" s="1075"/>
      <c r="X103" s="1075"/>
      <c r="Y103" s="1075"/>
      <c r="Z103" s="1075"/>
      <c r="AA103" s="1075"/>
      <c r="AB103" s="1075"/>
      <c r="AC103" s="1075"/>
      <c r="AD103" s="1075"/>
      <c r="AE103" s="1075"/>
      <c r="AF103" s="1075"/>
      <c r="AG103" s="1075"/>
      <c r="AH103" s="1075"/>
      <c r="AI103" s="1190"/>
      <c r="AJ103" s="1190"/>
      <c r="AK103" s="1209"/>
      <c r="AL103" s="1209"/>
      <c r="AM103" s="1209"/>
      <c r="AN103" s="1209"/>
      <c r="AO103" s="1209"/>
      <c r="AP103" s="1075"/>
      <c r="AQ103" s="1209"/>
      <c r="AR103" s="1209"/>
      <c r="AS103" s="1209"/>
      <c r="AT103" s="1209"/>
      <c r="AU103" s="1209"/>
      <c r="AV103" s="1209"/>
      <c r="AW103" s="1209"/>
      <c r="AX103" s="1209"/>
    </row>
    <row r="104" spans="1:52" s="547" customFormat="1" x14ac:dyDescent="0.2">
      <c r="AI104" s="40"/>
      <c r="AJ104" s="40"/>
      <c r="AK104" s="40"/>
      <c r="AL104" s="40"/>
      <c r="AM104" s="40"/>
      <c r="AN104" s="327"/>
      <c r="AO104" s="327"/>
      <c r="AP104" s="327"/>
      <c r="AQ104" s="327"/>
      <c r="AR104" s="327"/>
      <c r="AS104" s="327"/>
      <c r="AT104" s="327"/>
      <c r="AU104" s="327"/>
      <c r="AV104" s="327"/>
      <c r="AW104" s="327"/>
      <c r="AX104" s="327"/>
    </row>
    <row r="105" spans="1:52" s="1127" customFormat="1" x14ac:dyDescent="0.2">
      <c r="A105" s="547"/>
      <c r="B105" s="547"/>
      <c r="C105" s="547"/>
      <c r="D105" s="1127">
        <v>1</v>
      </c>
      <c r="E105" s="1127">
        <v>2</v>
      </c>
      <c r="F105" s="1127">
        <v>3</v>
      </c>
      <c r="G105" s="1127">
        <v>4</v>
      </c>
      <c r="H105" s="1127">
        <v>5</v>
      </c>
      <c r="I105" s="1127">
        <v>6</v>
      </c>
      <c r="J105" s="1127">
        <v>7</v>
      </c>
      <c r="K105" s="1127">
        <v>8</v>
      </c>
      <c r="L105" s="1127">
        <v>9</v>
      </c>
      <c r="M105" s="1127">
        <v>10</v>
      </c>
      <c r="N105" s="1127">
        <v>11</v>
      </c>
      <c r="O105" s="1127">
        <v>12</v>
      </c>
      <c r="P105" s="1127">
        <v>13</v>
      </c>
      <c r="Q105" s="1127">
        <v>14</v>
      </c>
      <c r="R105" s="1127">
        <v>15</v>
      </c>
      <c r="S105" s="1127">
        <v>16</v>
      </c>
      <c r="T105" s="1127">
        <v>17</v>
      </c>
      <c r="U105" s="1127">
        <v>18</v>
      </c>
      <c r="V105" s="1127">
        <v>19</v>
      </c>
      <c r="W105" s="1127">
        <v>20</v>
      </c>
      <c r="X105" s="1127">
        <v>21</v>
      </c>
      <c r="Y105" s="1127">
        <v>22</v>
      </c>
      <c r="Z105" s="1127">
        <v>23</v>
      </c>
      <c r="AA105" s="1127">
        <v>24</v>
      </c>
      <c r="AB105" s="1127">
        <v>25</v>
      </c>
      <c r="AC105" s="1127">
        <v>26</v>
      </c>
      <c r="AD105" s="1127">
        <v>27</v>
      </c>
      <c r="AE105" s="1127">
        <v>28</v>
      </c>
      <c r="AF105" s="1127">
        <v>29</v>
      </c>
      <c r="AG105" s="1127">
        <v>30</v>
      </c>
      <c r="AH105" s="1127">
        <v>31</v>
      </c>
      <c r="AI105" s="1191"/>
      <c r="AJ105" s="1191"/>
      <c r="AK105" s="1191"/>
      <c r="AL105" s="1191"/>
      <c r="AM105" s="1191"/>
      <c r="AN105" s="1217"/>
      <c r="AO105" s="1217"/>
      <c r="AP105" s="1217"/>
      <c r="AQ105" s="1217"/>
      <c r="AR105" s="1217"/>
      <c r="AS105" s="1217"/>
      <c r="AT105" s="1217"/>
      <c r="AU105" s="1217"/>
      <c r="AV105" s="1217"/>
      <c r="AW105" s="1217"/>
      <c r="AX105" s="1217"/>
    </row>
    <row r="106" spans="1:52" s="547" customFormat="1" x14ac:dyDescent="0.2">
      <c r="AI106" s="40"/>
      <c r="AJ106" s="40"/>
      <c r="AK106" s="40"/>
      <c r="AL106" s="40"/>
      <c r="AM106" s="40"/>
      <c r="AN106" s="40"/>
      <c r="AO106" s="40"/>
      <c r="AP106" s="327"/>
      <c r="AQ106" s="327"/>
      <c r="AR106" s="327"/>
      <c r="AS106" s="327"/>
      <c r="AT106" s="327"/>
      <c r="AU106" s="327"/>
      <c r="AV106" s="327"/>
      <c r="AW106" s="327"/>
    </row>
    <row r="107" spans="1:52" s="547" customFormat="1" x14ac:dyDescent="0.2">
      <c r="AI107" s="40"/>
      <c r="AJ107" s="40"/>
      <c r="AK107" s="40"/>
      <c r="AL107" s="40"/>
      <c r="AM107" s="40"/>
      <c r="AN107" s="40"/>
      <c r="AO107" s="40"/>
      <c r="AP107" s="40"/>
      <c r="AQ107" s="327"/>
      <c r="AR107" s="327"/>
      <c r="AS107" s="327"/>
      <c r="AT107" s="327"/>
      <c r="AU107" s="327"/>
      <c r="AV107" s="327"/>
      <c r="AW107" s="327"/>
    </row>
    <row r="108" spans="1:52" s="547" customFormat="1" x14ac:dyDescent="0.2">
      <c r="AI108" s="40"/>
      <c r="AJ108" s="40"/>
      <c r="AK108" s="40"/>
      <c r="AL108" s="40"/>
      <c r="AM108" s="40"/>
      <c r="AN108" s="40"/>
      <c r="AO108" s="40"/>
      <c r="AP108" s="40"/>
      <c r="AQ108" s="327"/>
      <c r="AR108" s="327"/>
      <c r="AS108" s="327"/>
      <c r="AT108" s="327"/>
      <c r="AU108" s="327"/>
      <c r="AV108" s="327"/>
      <c r="AW108" s="327"/>
    </row>
    <row r="109" spans="1:52" s="547" customFormat="1" x14ac:dyDescent="0.2">
      <c r="C109" s="266"/>
      <c r="E109" s="549"/>
      <c r="F109" s="548"/>
      <c r="AI109" s="40"/>
      <c r="AJ109" s="40"/>
      <c r="AK109" s="40"/>
      <c r="AL109" s="40"/>
      <c r="AM109" s="40"/>
      <c r="AN109" s="40"/>
      <c r="AO109" s="40"/>
      <c r="AP109" s="40"/>
      <c r="AQ109" s="327"/>
      <c r="AR109" s="327"/>
      <c r="AS109" s="327"/>
      <c r="AT109" s="327"/>
      <c r="AU109" s="327"/>
      <c r="AV109" s="327"/>
      <c r="AW109" s="327"/>
    </row>
    <row r="110" spans="1:52" s="547" customFormat="1" x14ac:dyDescent="0.2">
      <c r="C110" s="266"/>
      <c r="E110" s="549"/>
      <c r="F110" s="548"/>
      <c r="AI110" s="40"/>
      <c r="AJ110" s="40"/>
      <c r="AK110" s="40"/>
      <c r="AL110" s="40"/>
      <c r="AM110" s="40"/>
      <c r="AN110" s="40"/>
      <c r="AO110" s="40"/>
      <c r="AP110" s="40"/>
      <c r="AQ110" s="40"/>
      <c r="AR110" s="40"/>
      <c r="AS110" s="40"/>
      <c r="AT110" s="40"/>
      <c r="AU110" s="40"/>
      <c r="AV110" s="40"/>
      <c r="AW110" s="40"/>
    </row>
    <row r="111" spans="1:52" s="547" customFormat="1" x14ac:dyDescent="0.2">
      <c r="C111" s="266"/>
      <c r="E111" s="549"/>
      <c r="F111" s="548"/>
      <c r="AI111" s="40"/>
      <c r="AJ111" s="40"/>
      <c r="AK111" s="40"/>
      <c r="AL111" s="40"/>
      <c r="AM111" s="40"/>
      <c r="AN111" s="40"/>
      <c r="AO111" s="40"/>
      <c r="AP111" s="40"/>
      <c r="AQ111" s="40"/>
      <c r="AR111" s="40"/>
      <c r="AS111" s="40"/>
      <c r="AT111" s="40"/>
      <c r="AU111" s="40"/>
      <c r="AV111" s="40"/>
      <c r="AW111" s="40"/>
    </row>
    <row r="112" spans="1:52" s="547" customFormat="1" x14ac:dyDescent="0.2">
      <c r="C112" s="266"/>
      <c r="E112" s="549"/>
      <c r="F112" s="548"/>
      <c r="AI112" s="40"/>
      <c r="AJ112" s="40"/>
      <c r="AK112" s="40"/>
      <c r="AL112" s="40"/>
      <c r="AM112" s="40"/>
      <c r="AN112" s="40"/>
      <c r="AO112" s="40"/>
      <c r="AP112" s="40"/>
      <c r="AQ112" s="40"/>
      <c r="AR112" s="40"/>
      <c r="AS112" s="40"/>
      <c r="AT112" s="40"/>
      <c r="AU112" s="40"/>
      <c r="AV112" s="40"/>
      <c r="AW112" s="40"/>
    </row>
    <row r="113" spans="3:49" s="547" customFormat="1" x14ac:dyDescent="0.2">
      <c r="C113" s="266"/>
      <c r="E113" s="549"/>
      <c r="F113" s="548"/>
      <c r="AI113" s="40"/>
      <c r="AJ113" s="40"/>
      <c r="AK113" s="40"/>
      <c r="AL113" s="40"/>
      <c r="AM113" s="40"/>
      <c r="AN113" s="40"/>
      <c r="AO113" s="40"/>
      <c r="AP113" s="40"/>
      <c r="AQ113" s="40"/>
      <c r="AR113" s="40"/>
      <c r="AS113" s="40"/>
      <c r="AT113" s="40"/>
      <c r="AU113" s="40"/>
      <c r="AV113" s="40"/>
      <c r="AW113" s="40"/>
    </row>
    <row r="114" spans="3:49" s="547" customFormat="1" x14ac:dyDescent="0.2">
      <c r="C114" s="266"/>
      <c r="E114" s="549"/>
      <c r="F114" s="548"/>
      <c r="AI114" s="40"/>
      <c r="AJ114" s="40"/>
      <c r="AK114" s="40"/>
      <c r="AL114" s="40"/>
      <c r="AM114" s="40"/>
      <c r="AN114" s="40"/>
      <c r="AO114" s="40"/>
      <c r="AP114" s="40"/>
      <c r="AQ114" s="40"/>
      <c r="AR114" s="40"/>
      <c r="AS114" s="40"/>
      <c r="AT114" s="40"/>
      <c r="AU114" s="40"/>
      <c r="AV114" s="40"/>
      <c r="AW114" s="40"/>
    </row>
    <row r="115" spans="3:49" s="547" customFormat="1" x14ac:dyDescent="0.2">
      <c r="C115" s="266"/>
      <c r="E115" s="549"/>
      <c r="F115" s="548"/>
    </row>
    <row r="116" spans="3:49" s="547" customFormat="1" x14ac:dyDescent="0.2">
      <c r="C116" s="266"/>
      <c r="E116" s="549"/>
      <c r="F116" s="548"/>
    </row>
    <row r="117" spans="3:49" s="547" customFormat="1" x14ac:dyDescent="0.2">
      <c r="C117" s="266"/>
      <c r="E117" s="549"/>
      <c r="F117" s="548"/>
    </row>
    <row r="118" spans="3:49" s="547" customFormat="1" x14ac:dyDescent="0.2">
      <c r="C118" s="266"/>
      <c r="E118" s="549"/>
      <c r="F118" s="548"/>
    </row>
    <row r="119" spans="3:49" s="547" customFormat="1" x14ac:dyDescent="0.2">
      <c r="C119" s="266"/>
      <c r="E119" s="549"/>
      <c r="F119" s="548"/>
    </row>
    <row r="120" spans="3:49" s="547" customFormat="1" x14ac:dyDescent="0.2">
      <c r="C120" s="266"/>
      <c r="E120" s="549"/>
      <c r="F120" s="548"/>
    </row>
    <row r="121" spans="3:49" s="547" customFormat="1" x14ac:dyDescent="0.2">
      <c r="C121" s="266"/>
      <c r="E121" s="549"/>
      <c r="F121" s="548"/>
    </row>
    <row r="122" spans="3:49" s="547" customFormat="1" x14ac:dyDescent="0.2">
      <c r="C122" s="266"/>
      <c r="E122" s="549"/>
      <c r="F122" s="548"/>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4FE2006B172AD4A9119391596BA80FC" ma:contentTypeVersion="13" ma:contentTypeDescription="Crie um novo documento." ma:contentTypeScope="" ma:versionID="8518c535c68ff52bf1452e97449fa0d3">
  <xsd:schema xmlns:xsd="http://www.w3.org/2001/XMLSchema" xmlns:xs="http://www.w3.org/2001/XMLSchema" xmlns:p="http://schemas.microsoft.com/office/2006/metadata/properties" xmlns:ns2="85cf778f-a274-4d0c-8650-1f54cf81030a" xmlns:ns3="345cf64b-68ea-4429-946b-7fdedc4d1d31" targetNamespace="http://schemas.microsoft.com/office/2006/metadata/properties" ma:root="true" ma:fieldsID="02fef0caa5f9b0905e0cfcf8172ce9fd" ns2:_="" ns3:_="">
    <xsd:import namespace="85cf778f-a274-4d0c-8650-1f54cf81030a"/>
    <xsd:import namespace="345cf64b-68ea-4429-946b-7fdedc4d1d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cf778f-a274-4d0c-8650-1f54cf810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c53bd68f-f1cc-4b81-b95b-ea9b844cd076"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5cf64b-68ea-4429-946b-7fdedc4d1d3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45a791-c1b3-4cf6-992f-d1db59c313ce}" ma:internalName="TaxCatchAll" ma:showField="CatchAllData" ma:web="345cf64b-68ea-4429-946b-7fdedc4d1d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d="http://www.w3.org/2001/XMLSchema" xmlns:xsi="http://www.w3.org/2001/XMLSchema-instance" xmlns="http://www.boldonjames.com/2008/01/sie/internal/label" sislVersion="0" policy="48e0a426-e65c-4014-aea4-d04bb802e535" origin="userSelected">
  <element uid="34c9aaed-8947-4806-87fd-0b64c7f25038" value=""/>
</sisl>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5cf778f-a274-4d0c-8650-1f54cf81030a">
      <Terms xmlns="http://schemas.microsoft.com/office/infopath/2007/PartnerControls"/>
    </lcf76f155ced4ddcb4097134ff3c332f>
    <TaxCatchAll xmlns="345cf64b-68ea-4429-946b-7fdedc4d1d31" xsi:nil="true"/>
  </documentManagement>
</p:properties>
</file>

<file path=customXml/itemProps1.xml><?xml version="1.0" encoding="utf-8"?>
<ds:datastoreItem xmlns:ds="http://schemas.openxmlformats.org/officeDocument/2006/customXml" ds:itemID="{84C92AC4-B697-4956-BCE1-EE265CAC7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cf778f-a274-4d0c-8650-1f54cf81030a"/>
    <ds:schemaRef ds:uri="345cf64b-68ea-4429-946b-7fdedc4d1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074314-5F28-4285-8091-5752E2F5714B}">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A71FB8BD-EF2F-410A-A245-EB3C762702AC}">
  <ds:schemaRefs>
    <ds:schemaRef ds:uri="http://schemas.microsoft.com/sharepoint/v3/contenttype/forms"/>
  </ds:schemaRefs>
</ds:datastoreItem>
</file>

<file path=customXml/itemProps4.xml><?xml version="1.0" encoding="utf-8"?>
<ds:datastoreItem xmlns:ds="http://schemas.openxmlformats.org/officeDocument/2006/customXml" ds:itemID="{1E991577-5AFA-43EF-8E0B-A00035E3E311}">
  <ds:schemaRefs>
    <ds:schemaRef ds:uri="http://schemas.microsoft.com/office/2006/metadata/properties"/>
    <ds:schemaRef ds:uri="http://schemas.microsoft.com/office/infopath/2007/PartnerControls"/>
    <ds:schemaRef ds:uri="85cf778f-a274-4d0c-8650-1f54cf81030a"/>
    <ds:schemaRef ds:uri="345cf64b-68ea-4429-946b-7fdedc4d1d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49</vt:i4>
      </vt:variant>
    </vt:vector>
  </HeadingPairs>
  <TitlesOfParts>
    <vt:vector size="49" baseType="lpstr">
      <vt:lpstr>Menu</vt:lpstr>
      <vt:lpstr>Análise Rápida</vt:lpstr>
      <vt:lpstr>Dados Operacionais Auto</vt:lpstr>
      <vt:lpstr>BP</vt:lpstr>
      <vt:lpstr>DRE</vt:lpstr>
      <vt:lpstr>Auto</vt:lpstr>
      <vt:lpstr>LI</vt:lpstr>
      <vt:lpstr>Consolidado</vt:lpstr>
      <vt:lpstr>DFC</vt:lpstr>
      <vt:lpstr>DVA</vt:lpstr>
      <vt:lpstr>DMPL</vt:lpstr>
      <vt:lpstr>Indicadores</vt:lpstr>
      <vt:lpstr>Dividendos</vt:lpstr>
      <vt:lpstr>Estimativas</vt:lpstr>
      <vt:lpstr>Dados Mercado</vt:lpstr>
      <vt:lpstr>Anexos</vt:lpstr>
      <vt:lpstr>Análise de Sensibilidade</vt:lpstr>
      <vt:lpstr>Risco de Liquidez</vt:lpstr>
      <vt:lpstr>Gestão de Capital</vt:lpstr>
      <vt:lpstr>Caixa e Equivalente de Caixa</vt:lpstr>
      <vt:lpstr>Contas a Receber</vt:lpstr>
      <vt:lpstr>Contas a Receber Aging</vt:lpstr>
      <vt:lpstr>Contas a Receber Mov PDD</vt:lpstr>
      <vt:lpstr>Demais Contas a Receber</vt:lpstr>
      <vt:lpstr>Impostos a Recuperar</vt:lpstr>
      <vt:lpstr>Investimentos A</vt:lpstr>
      <vt:lpstr>Investimentos C</vt:lpstr>
      <vt:lpstr>Investimentos E</vt:lpstr>
      <vt:lpstr>Investimentos F</vt:lpstr>
      <vt:lpstr>Imobilizado </vt:lpstr>
      <vt:lpstr>Empréstimos e Financiamentos</vt:lpstr>
      <vt:lpstr>Intangível</vt:lpstr>
      <vt:lpstr>Salários e Encargos Sociais</vt:lpstr>
      <vt:lpstr>Riscos Judiciais</vt:lpstr>
      <vt:lpstr>Despesas de IR e CSLL</vt:lpstr>
      <vt:lpstr>Demais Contas a Pagar</vt:lpstr>
      <vt:lpstr>Outras receitas e despesas</vt:lpstr>
      <vt:lpstr>Receita</vt:lpstr>
      <vt:lpstr>Despesas por Natureza</vt:lpstr>
      <vt:lpstr>IR e CS Diferidos</vt:lpstr>
      <vt:lpstr>Despesas por Natureza 1</vt:lpstr>
      <vt:lpstr>Resultado Financeiro</vt:lpstr>
      <vt:lpstr>Remuneração Administração</vt:lpstr>
      <vt:lpstr>Arrendamento Operacional</vt:lpstr>
      <vt:lpstr>Partes Relacionadas</vt:lpstr>
      <vt:lpstr>Direito de Uso</vt:lpstr>
      <vt:lpstr>Arrendamento Mercantil</vt:lpstr>
      <vt:lpstr>Operações Descontinuadas</vt:lpstr>
      <vt:lpstr>Regras de Atualização</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Nunes</dc:creator>
  <cp:keywords>b-class-4</cp:keywords>
  <cp:lastModifiedBy>Ian Nunes Costa E Costa</cp:lastModifiedBy>
  <cp:lastPrinted>2026-07-21T15:30:03Z</cp:lastPrinted>
  <dcterms:created xsi:type="dcterms:W3CDTF">2014-03-28T17:58:32Z</dcterms:created>
  <dcterms:modified xsi:type="dcterms:W3CDTF">2026-08-11T14:58:24Z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c7e2ed0a-d5a2-4ff1-b864-239880175ff6</vt:lpwstr>
  </property>
  <property fmtid="{D5CDD505-2E9C-101B-9397-08002B2CF9AE}" pid="3" name="bjClsUserRVM">
    <vt:lpwstr>[]</vt:lpwstr>
  </property>
  <property fmtid="{D5CDD505-2E9C-101B-9397-08002B2CF9AE}" pid="4" name="bjSaver">
    <vt:lpwstr>uw0vihqGLDGkEWvo0TsjZNMiCPsPNCgu</vt:lpwstr>
  </property>
  <property fmtid="{D5CDD505-2E9C-101B-9397-08002B2CF9AE}" pid="5" name="bjDocumentLabelXML">
    <vt:lpwstr>&lt;?xml version="1.0" encoding="us-ascii"?&gt;&lt;sisl xmlns:xsd="http://www.w3.org/2001/XMLSchema" xmlns:xsi="http://www.w3.org/2001/XMLSchema-instance" sislVersion="0" policy="48e0a426-e65c-4014-aea4-d04bb802e535" origin="userSelected" xmlns="http://www.boldonj</vt:lpwstr>
  </property>
  <property fmtid="{D5CDD505-2E9C-101B-9397-08002B2CF9AE}" pid="6" name="bjDocumentLabelXML-0">
    <vt:lpwstr>ames.com/2008/01/sie/internal/label"&gt;&lt;element uid="34c9aaed-8947-4806-87fd-0b64c7f25038" value="" /&gt;&lt;/sisl&gt;</vt:lpwstr>
  </property>
  <property fmtid="{D5CDD505-2E9C-101B-9397-08002B2CF9AE}" pid="7" name="bjDocumentSecurityLabel">
    <vt:lpwstr>Confidencial</vt:lpwstr>
  </property>
  <property fmtid="{D5CDD505-2E9C-101B-9397-08002B2CF9AE}" pid="8" name="bjLeftFooterLabel-first">
    <vt:lpwstr>&amp;"Arial,Regular"&amp;09&amp;B&amp;K000000Classificação: &amp;K993300Confidencial</vt:lpwstr>
  </property>
  <property fmtid="{D5CDD505-2E9C-101B-9397-08002B2CF9AE}" pid="9" name="bjLeftFooterLabel-even">
    <vt:lpwstr>&amp;"Arial,Regular"&amp;09&amp;B&amp;K000000Classificação: &amp;K993300Confidencial</vt:lpwstr>
  </property>
  <property fmtid="{D5CDD505-2E9C-101B-9397-08002B2CF9AE}" pid="10" name="bjLeftFooterLabel">
    <vt:lpwstr>&amp;"Arial,Regular"&amp;09&amp;B&amp;K000000Classificação: &amp;K993300Confidencial</vt:lpwstr>
  </property>
  <property fmtid="{D5CDD505-2E9C-101B-9397-08002B2CF9AE}" pid="11" name="MSIP_Label_251f2f31-8cf1-4fa8-9c87-e75b15e7f4b0_Enabled">
    <vt:lpwstr>true</vt:lpwstr>
  </property>
  <property fmtid="{D5CDD505-2E9C-101B-9397-08002B2CF9AE}" pid="12" name="MSIP_Label_251f2f31-8cf1-4fa8-9c87-e75b15e7f4b0_SetDate">
    <vt:lpwstr>2025-09-02T13:53:07Z</vt:lpwstr>
  </property>
  <property fmtid="{D5CDD505-2E9C-101B-9397-08002B2CF9AE}" pid="13" name="MSIP_Label_251f2f31-8cf1-4fa8-9c87-e75b15e7f4b0_Method">
    <vt:lpwstr>Standard</vt:lpwstr>
  </property>
  <property fmtid="{D5CDD505-2E9C-101B-9397-08002B2CF9AE}" pid="14" name="MSIP_Label_251f2f31-8cf1-4fa8-9c87-e75b15e7f4b0_Name">
    <vt:lpwstr>Restrito</vt:lpwstr>
  </property>
  <property fmtid="{D5CDD505-2E9C-101B-9397-08002B2CF9AE}" pid="15" name="MSIP_Label_251f2f31-8cf1-4fa8-9c87-e75b15e7f4b0_SiteId">
    <vt:lpwstr>c2286486-94a4-43c1-93a3-f5ac60a90b4e</vt:lpwstr>
  </property>
  <property fmtid="{D5CDD505-2E9C-101B-9397-08002B2CF9AE}" pid="16" name="MSIP_Label_251f2f31-8cf1-4fa8-9c87-e75b15e7f4b0_ActionId">
    <vt:lpwstr>6235da8d-0776-4da2-a200-aa0b63ecbea3</vt:lpwstr>
  </property>
  <property fmtid="{D5CDD505-2E9C-101B-9397-08002B2CF9AE}" pid="17" name="MSIP_Label_251f2f31-8cf1-4fa8-9c87-e75b15e7f4b0_ContentBits">
    <vt:lpwstr>2</vt:lpwstr>
  </property>
  <property fmtid="{D5CDD505-2E9C-101B-9397-08002B2CF9AE}" pid="18" name="MSIP_Label_251f2f31-8cf1-4fa8-9c87-e75b15e7f4b0_Tag">
    <vt:lpwstr>10, 3, 0, 1</vt:lpwstr>
  </property>
  <property fmtid="{D5CDD505-2E9C-101B-9397-08002B2CF9AE}" pid="19" name="ContentTypeId">
    <vt:lpwstr>0x010100E4FE2006B172AD4A9119391596BA80FC</vt:lpwstr>
  </property>
  <property fmtid="{D5CDD505-2E9C-101B-9397-08002B2CF9AE}" pid="20" name="Order">
    <vt:r8>5672200</vt:r8>
  </property>
  <property fmtid="{D5CDD505-2E9C-101B-9397-08002B2CF9AE}" pid="21" name="MediaServiceImageTags">
    <vt:lpwstr/>
  </property>
</Properties>
</file>